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pivotCache/pivotCacheDefinition2.xml" ContentType="application/vnd.openxmlformats-officedocument.spreadsheetml.pivotCacheDefinition+xml"/>
  <Override PartName="/xl/pivotCache/richPivotRecords2.xml" ContentType="application/vnd.openxmlformats-officedocument.spreadsheetml.richPivotRecords+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comments2.xml" ContentType="application/vnd.openxmlformats-officedocument.spreadsheetml.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tables/table7.xml" ContentType="application/vnd.openxmlformats-officedocument.spreadsheetml.table+xml"/>
  <Override PartName="/xl/comments4.xml" ContentType="application/vnd.openxmlformats-officedocument.spreadsheetml.comments+xml"/>
  <Override PartName="/xl/tables/table8.xml" ContentType="application/vnd.openxmlformats-officedocument.spreadsheetml.table+xml"/>
  <Override PartName="/xl/comments5.xml" ContentType="application/vnd.openxmlformats-officedocument.spreadsheetml.comments+xml"/>
  <Override PartName="/xl/tables/table9.xml" ContentType="application/vnd.openxmlformats-officedocument.spreadsheetml.table+xml"/>
  <Override PartName="/xl/comments6.xml" ContentType="application/vnd.openxmlformats-officedocument.spreadsheetml.comments+xml"/>
  <Override PartName="/xl/tables/table10.xml" ContentType="application/vnd.openxmlformats-officedocument.spreadsheetml.table+xml"/>
  <Override PartName="/xl/comments7.xml" ContentType="application/vnd.openxmlformats-officedocument.spreadsheetml.comments+xml"/>
  <Override PartName="/xl/threadedComments/threadedComment1.xml" ContentType="application/vnd.ms-excel.threadedcomments+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Users\0913279\Downloads\"/>
    </mc:Choice>
  </mc:AlternateContent>
  <xr:revisionPtr revIDLastSave="0" documentId="8_{A5A25CA5-AB5F-4D4D-969D-89C04812A727}" xr6:coauthVersionLast="47" xr6:coauthVersionMax="47" xr10:uidLastSave="{00000000-0000-0000-0000-000000000000}"/>
  <bookViews>
    <workbookView xWindow="28680" yWindow="-90" windowWidth="29040" windowHeight="15720" tabRatio="862" firstSheet="3" activeTab="4" xr2:uid="{D2A7D6A1-AED4-4062-82A4-6D0890016A8A}"/>
  </bookViews>
  <sheets>
    <sheet name="Modelo_aPreencher" sheetId="4" state="hidden" r:id="rId1"/>
    <sheet name="Atividades" sheetId="5" state="hidden" r:id="rId2"/>
    <sheet name="Planilha1" sheetId="25" state="hidden" r:id="rId3"/>
    <sheet name="Grupo" sheetId="42" r:id="rId4"/>
    <sheet name="Consolidado-Eletronorte" sheetId="30" r:id="rId5"/>
    <sheet name="Carga do orçamento" sheetId="49" r:id="rId6"/>
    <sheet name="Planilha9" sheetId="48" r:id="rId7"/>
    <sheet name="Valor divido por 1000" sheetId="38" r:id="rId8"/>
    <sheet name="Planilha8" sheetId="47" r:id="rId9"/>
    <sheet name="Planilha3" sheetId="37" r:id="rId10"/>
    <sheet name="Anotações gerais" sheetId="33" r:id="rId11"/>
    <sheet name="Status contratação" sheetId="35" r:id="rId12"/>
    <sheet name="PEP" sheetId="36" r:id="rId13"/>
    <sheet name="Usina" sheetId="40" r:id="rId14"/>
    <sheet name="Planilha5" sheetId="43" r:id="rId15"/>
    <sheet name="Tabelas Dinâmicas" sheetId="31" state="hidden" r:id="rId16"/>
    <sheet name="Planilha2" sheetId="32" state="hidden" r:id="rId17"/>
    <sheet name="ModeloFinal-CGT Eletrosul" sheetId="28" state="hidden" r:id="rId18"/>
    <sheet name="ModeloFinal-Eletronorte" sheetId="27" state="hidden" r:id="rId19"/>
    <sheet name="ModeloFinal-Operação Sudeste" sheetId="26" state="hidden" r:id="rId20"/>
    <sheet name="ModeloFinal-Chesf" sheetId="29" state="hidden" r:id="rId21"/>
    <sheet name="LO" sheetId="24" state="hidden" r:id="rId22"/>
    <sheet name="R&amp;M" sheetId="22" state="hidden" r:id="rId23"/>
    <sheet name="SGPMR" sheetId="23" state="hidden" r:id="rId24"/>
    <sheet name="_Config" sheetId="20" state="hidden" r:id="rId25"/>
  </sheets>
  <externalReferences>
    <externalReference r:id="rId26"/>
    <externalReference r:id="rId27"/>
    <externalReference r:id="rId28"/>
    <externalReference r:id="rId29"/>
    <externalReference r:id="rId30"/>
  </externalReferences>
  <definedNames>
    <definedName name="_" hidden="1">#REF!</definedName>
    <definedName name="___________________________________________________CRM2" localSheetId="20" hidden="1">{#N/A,#N/A,FALSE,"ANEXO3 99 ERA";#N/A,#N/A,FALSE,"ANEXO3 99 UBÁ2";#N/A,#N/A,FALSE,"ANEXO3 99 DTU";#N/A,#N/A,FALSE,"ANEXO3 99 RDR";#N/A,#N/A,FALSE,"ANEXO3 99 UBÁ4";#N/A,#N/A,FALSE,"ANEXO3 99 UBÁ6"}</definedName>
    <definedName name="___________________________________________________CRM2" hidden="1">{#N/A,#N/A,FALSE,"ANEXO3 99 ERA";#N/A,#N/A,FALSE,"ANEXO3 99 UBÁ2";#N/A,#N/A,FALSE,"ANEXO3 99 DTU";#N/A,#N/A,FALSE,"ANEXO3 99 RDR";#N/A,#N/A,FALSE,"ANEXO3 99 UBÁ4";#N/A,#N/A,FALSE,"ANEXO3 99 UBÁ6"}</definedName>
    <definedName name="___________________________________________________CRM3" localSheetId="20" hidden="1">{#N/A,#N/A,FALSE,"ANEXO3 99 ERA";#N/A,#N/A,FALSE,"ANEXO3 99 UBÁ2";#N/A,#N/A,FALSE,"ANEXO3 99 DTU";#N/A,#N/A,FALSE,"ANEXO3 99 RDR";#N/A,#N/A,FALSE,"ANEXO3 99 UBÁ4";#N/A,#N/A,FALSE,"ANEXO3 99 UBÁ6"}</definedName>
    <definedName name="___________________________________________________CRM3" hidden="1">{#N/A,#N/A,FALSE,"ANEXO3 99 ERA";#N/A,#N/A,FALSE,"ANEXO3 99 UBÁ2";#N/A,#N/A,FALSE,"ANEXO3 99 DTU";#N/A,#N/A,FALSE,"ANEXO3 99 RDR";#N/A,#N/A,FALSE,"ANEXO3 99 UBÁ4";#N/A,#N/A,FALSE,"ANEXO3 99 UBÁ6"}</definedName>
    <definedName name="___________________________________________________CRM4" localSheetId="20" hidden="1">{#N/A,#N/A,FALSE,"ANEXO3 99 ERA";#N/A,#N/A,FALSE,"ANEXO3 99 UBÁ2";#N/A,#N/A,FALSE,"ANEXO3 99 DTU";#N/A,#N/A,FALSE,"ANEXO3 99 RDR";#N/A,#N/A,FALSE,"ANEXO3 99 UBÁ4";#N/A,#N/A,FALSE,"ANEXO3 99 UBÁ6"}</definedName>
    <definedName name="___________________________________________________CRM4" hidden="1">{#N/A,#N/A,FALSE,"ANEXO3 99 ERA";#N/A,#N/A,FALSE,"ANEXO3 99 UBÁ2";#N/A,#N/A,FALSE,"ANEXO3 99 DTU";#N/A,#N/A,FALSE,"ANEXO3 99 RDR";#N/A,#N/A,FALSE,"ANEXO3 99 UBÁ4";#N/A,#N/A,FALSE,"ANEXO3 99 UBÁ6"}</definedName>
    <definedName name="_________________________________________________CRM2" localSheetId="20" hidden="1">{#N/A,#N/A,FALSE,"ANEXO3 99 ERA";#N/A,#N/A,FALSE,"ANEXO3 99 UBÁ2";#N/A,#N/A,FALSE,"ANEXO3 99 DTU";#N/A,#N/A,FALSE,"ANEXO3 99 RDR";#N/A,#N/A,FALSE,"ANEXO3 99 UBÁ4";#N/A,#N/A,FALSE,"ANEXO3 99 UBÁ6"}</definedName>
    <definedName name="_________________________________________________CRM2" hidden="1">{#N/A,#N/A,FALSE,"ANEXO3 99 ERA";#N/A,#N/A,FALSE,"ANEXO3 99 UBÁ2";#N/A,#N/A,FALSE,"ANEXO3 99 DTU";#N/A,#N/A,FALSE,"ANEXO3 99 RDR";#N/A,#N/A,FALSE,"ANEXO3 99 UBÁ4";#N/A,#N/A,FALSE,"ANEXO3 99 UBÁ6"}</definedName>
    <definedName name="_________________________________________________CRM3" localSheetId="20" hidden="1">{#N/A,#N/A,FALSE,"ANEXO3 99 ERA";#N/A,#N/A,FALSE,"ANEXO3 99 UBÁ2";#N/A,#N/A,FALSE,"ANEXO3 99 DTU";#N/A,#N/A,FALSE,"ANEXO3 99 RDR";#N/A,#N/A,FALSE,"ANEXO3 99 UBÁ4";#N/A,#N/A,FALSE,"ANEXO3 99 UBÁ6"}</definedName>
    <definedName name="_________________________________________________CRM3" hidden="1">{#N/A,#N/A,FALSE,"ANEXO3 99 ERA";#N/A,#N/A,FALSE,"ANEXO3 99 UBÁ2";#N/A,#N/A,FALSE,"ANEXO3 99 DTU";#N/A,#N/A,FALSE,"ANEXO3 99 RDR";#N/A,#N/A,FALSE,"ANEXO3 99 UBÁ4";#N/A,#N/A,FALSE,"ANEXO3 99 UBÁ6"}</definedName>
    <definedName name="_________________________________________________CRM4" localSheetId="20" hidden="1">{#N/A,#N/A,FALSE,"ANEXO3 99 ERA";#N/A,#N/A,FALSE,"ANEXO3 99 UBÁ2";#N/A,#N/A,FALSE,"ANEXO3 99 DTU";#N/A,#N/A,FALSE,"ANEXO3 99 RDR";#N/A,#N/A,FALSE,"ANEXO3 99 UBÁ4";#N/A,#N/A,FALSE,"ANEXO3 99 UBÁ6"}</definedName>
    <definedName name="_________________________________________________CRM4" hidden="1">{#N/A,#N/A,FALSE,"ANEXO3 99 ERA";#N/A,#N/A,FALSE,"ANEXO3 99 UBÁ2";#N/A,#N/A,FALSE,"ANEXO3 99 DTU";#N/A,#N/A,FALSE,"ANEXO3 99 RDR";#N/A,#N/A,FALSE,"ANEXO3 99 UBÁ4";#N/A,#N/A,FALSE,"ANEXO3 99 UBÁ6"}</definedName>
    <definedName name="________________________________________________CRM2" localSheetId="20" hidden="1">{#N/A,#N/A,FALSE,"ANEXO3 99 ERA";#N/A,#N/A,FALSE,"ANEXO3 99 UBÁ2";#N/A,#N/A,FALSE,"ANEXO3 99 DTU";#N/A,#N/A,FALSE,"ANEXO3 99 RDR";#N/A,#N/A,FALSE,"ANEXO3 99 UBÁ4";#N/A,#N/A,FALSE,"ANEXO3 99 UBÁ6"}</definedName>
    <definedName name="________________________________________________CRM2" hidden="1">{#N/A,#N/A,FALSE,"ANEXO3 99 ERA";#N/A,#N/A,FALSE,"ANEXO3 99 UBÁ2";#N/A,#N/A,FALSE,"ANEXO3 99 DTU";#N/A,#N/A,FALSE,"ANEXO3 99 RDR";#N/A,#N/A,FALSE,"ANEXO3 99 UBÁ4";#N/A,#N/A,FALSE,"ANEXO3 99 UBÁ6"}</definedName>
    <definedName name="________________________________________________CRM3" localSheetId="20" hidden="1">{#N/A,#N/A,FALSE,"ANEXO3 99 ERA";#N/A,#N/A,FALSE,"ANEXO3 99 UBÁ2";#N/A,#N/A,FALSE,"ANEXO3 99 DTU";#N/A,#N/A,FALSE,"ANEXO3 99 RDR";#N/A,#N/A,FALSE,"ANEXO3 99 UBÁ4";#N/A,#N/A,FALSE,"ANEXO3 99 UBÁ6"}</definedName>
    <definedName name="________________________________________________CRM3" hidden="1">{#N/A,#N/A,FALSE,"ANEXO3 99 ERA";#N/A,#N/A,FALSE,"ANEXO3 99 UBÁ2";#N/A,#N/A,FALSE,"ANEXO3 99 DTU";#N/A,#N/A,FALSE,"ANEXO3 99 RDR";#N/A,#N/A,FALSE,"ANEXO3 99 UBÁ4";#N/A,#N/A,FALSE,"ANEXO3 99 UBÁ6"}</definedName>
    <definedName name="________________________________________________CRM4" localSheetId="20" hidden="1">{#N/A,#N/A,FALSE,"ANEXO3 99 ERA";#N/A,#N/A,FALSE,"ANEXO3 99 UBÁ2";#N/A,#N/A,FALSE,"ANEXO3 99 DTU";#N/A,#N/A,FALSE,"ANEXO3 99 RDR";#N/A,#N/A,FALSE,"ANEXO3 99 UBÁ4";#N/A,#N/A,FALSE,"ANEXO3 99 UBÁ6"}</definedName>
    <definedName name="________________________________________________CRM4" hidden="1">{#N/A,#N/A,FALSE,"ANEXO3 99 ERA";#N/A,#N/A,FALSE,"ANEXO3 99 UBÁ2";#N/A,#N/A,FALSE,"ANEXO3 99 DTU";#N/A,#N/A,FALSE,"ANEXO3 99 RDR";#N/A,#N/A,FALSE,"ANEXO3 99 UBÁ4";#N/A,#N/A,FALSE,"ANEXO3 99 UBÁ6"}</definedName>
    <definedName name="_______________________________________________CRM2" localSheetId="20" hidden="1">{#N/A,#N/A,FALSE,"ANEXO3 99 ERA";#N/A,#N/A,FALSE,"ANEXO3 99 UBÁ2";#N/A,#N/A,FALSE,"ANEXO3 99 DTU";#N/A,#N/A,FALSE,"ANEXO3 99 RDR";#N/A,#N/A,FALSE,"ANEXO3 99 UBÁ4";#N/A,#N/A,FALSE,"ANEXO3 99 UBÁ6"}</definedName>
    <definedName name="_______________________________________________CRM2" hidden="1">{#N/A,#N/A,FALSE,"ANEXO3 99 ERA";#N/A,#N/A,FALSE,"ANEXO3 99 UBÁ2";#N/A,#N/A,FALSE,"ANEXO3 99 DTU";#N/A,#N/A,FALSE,"ANEXO3 99 RDR";#N/A,#N/A,FALSE,"ANEXO3 99 UBÁ4";#N/A,#N/A,FALSE,"ANEXO3 99 UBÁ6"}</definedName>
    <definedName name="_______________________________________________CRM3" localSheetId="20" hidden="1">{#N/A,#N/A,FALSE,"ANEXO3 99 ERA";#N/A,#N/A,FALSE,"ANEXO3 99 UBÁ2";#N/A,#N/A,FALSE,"ANEXO3 99 DTU";#N/A,#N/A,FALSE,"ANEXO3 99 RDR";#N/A,#N/A,FALSE,"ANEXO3 99 UBÁ4";#N/A,#N/A,FALSE,"ANEXO3 99 UBÁ6"}</definedName>
    <definedName name="_______________________________________________CRM3" hidden="1">{#N/A,#N/A,FALSE,"ANEXO3 99 ERA";#N/A,#N/A,FALSE,"ANEXO3 99 UBÁ2";#N/A,#N/A,FALSE,"ANEXO3 99 DTU";#N/A,#N/A,FALSE,"ANEXO3 99 RDR";#N/A,#N/A,FALSE,"ANEXO3 99 UBÁ4";#N/A,#N/A,FALSE,"ANEXO3 99 UBÁ6"}</definedName>
    <definedName name="_______________________________________________CRM4" localSheetId="20" hidden="1">{#N/A,#N/A,FALSE,"ANEXO3 99 ERA";#N/A,#N/A,FALSE,"ANEXO3 99 UBÁ2";#N/A,#N/A,FALSE,"ANEXO3 99 DTU";#N/A,#N/A,FALSE,"ANEXO3 99 RDR";#N/A,#N/A,FALSE,"ANEXO3 99 UBÁ4";#N/A,#N/A,FALSE,"ANEXO3 99 UBÁ6"}</definedName>
    <definedName name="_______________________________________________CRM4" hidden="1">{#N/A,#N/A,FALSE,"ANEXO3 99 ERA";#N/A,#N/A,FALSE,"ANEXO3 99 UBÁ2";#N/A,#N/A,FALSE,"ANEXO3 99 DTU";#N/A,#N/A,FALSE,"ANEXO3 99 RDR";#N/A,#N/A,FALSE,"ANEXO3 99 UBÁ4";#N/A,#N/A,FALSE,"ANEXO3 99 UBÁ6"}</definedName>
    <definedName name="______________________________________________CRM2" localSheetId="20" hidden="1">{#N/A,#N/A,FALSE,"ANEXO3 99 ERA";#N/A,#N/A,FALSE,"ANEXO3 99 UBÁ2";#N/A,#N/A,FALSE,"ANEXO3 99 DTU";#N/A,#N/A,FALSE,"ANEXO3 99 RDR";#N/A,#N/A,FALSE,"ANEXO3 99 UBÁ4";#N/A,#N/A,FALSE,"ANEXO3 99 UBÁ6"}</definedName>
    <definedName name="______________________________________________CRM2" hidden="1">{#N/A,#N/A,FALSE,"ANEXO3 99 ERA";#N/A,#N/A,FALSE,"ANEXO3 99 UBÁ2";#N/A,#N/A,FALSE,"ANEXO3 99 DTU";#N/A,#N/A,FALSE,"ANEXO3 99 RDR";#N/A,#N/A,FALSE,"ANEXO3 99 UBÁ4";#N/A,#N/A,FALSE,"ANEXO3 99 UBÁ6"}</definedName>
    <definedName name="______________________________________________CRM3" localSheetId="20" hidden="1">{#N/A,#N/A,FALSE,"ANEXO3 99 ERA";#N/A,#N/A,FALSE,"ANEXO3 99 UBÁ2";#N/A,#N/A,FALSE,"ANEXO3 99 DTU";#N/A,#N/A,FALSE,"ANEXO3 99 RDR";#N/A,#N/A,FALSE,"ANEXO3 99 UBÁ4";#N/A,#N/A,FALSE,"ANEXO3 99 UBÁ6"}</definedName>
    <definedName name="______________________________________________CRM3" hidden="1">{#N/A,#N/A,FALSE,"ANEXO3 99 ERA";#N/A,#N/A,FALSE,"ANEXO3 99 UBÁ2";#N/A,#N/A,FALSE,"ANEXO3 99 DTU";#N/A,#N/A,FALSE,"ANEXO3 99 RDR";#N/A,#N/A,FALSE,"ANEXO3 99 UBÁ4";#N/A,#N/A,FALSE,"ANEXO3 99 UBÁ6"}</definedName>
    <definedName name="______________________________________________CRM4" localSheetId="20" hidden="1">{#N/A,#N/A,FALSE,"ANEXO3 99 ERA";#N/A,#N/A,FALSE,"ANEXO3 99 UBÁ2";#N/A,#N/A,FALSE,"ANEXO3 99 DTU";#N/A,#N/A,FALSE,"ANEXO3 99 RDR";#N/A,#N/A,FALSE,"ANEXO3 99 UBÁ4";#N/A,#N/A,FALSE,"ANEXO3 99 UBÁ6"}</definedName>
    <definedName name="______________________________________________CRM4" hidden="1">{#N/A,#N/A,FALSE,"ANEXO3 99 ERA";#N/A,#N/A,FALSE,"ANEXO3 99 UBÁ2";#N/A,#N/A,FALSE,"ANEXO3 99 DTU";#N/A,#N/A,FALSE,"ANEXO3 99 RDR";#N/A,#N/A,FALSE,"ANEXO3 99 UBÁ4";#N/A,#N/A,FALSE,"ANEXO3 99 UBÁ6"}</definedName>
    <definedName name="_____________________________________________CRM2" localSheetId="20" hidden="1">{#N/A,#N/A,FALSE,"ANEXO3 99 ERA";#N/A,#N/A,FALSE,"ANEXO3 99 UBÁ2";#N/A,#N/A,FALSE,"ANEXO3 99 DTU";#N/A,#N/A,FALSE,"ANEXO3 99 RDR";#N/A,#N/A,FALSE,"ANEXO3 99 UBÁ4";#N/A,#N/A,FALSE,"ANEXO3 99 UBÁ6"}</definedName>
    <definedName name="_____________________________________________CRM2" hidden="1">{#N/A,#N/A,FALSE,"ANEXO3 99 ERA";#N/A,#N/A,FALSE,"ANEXO3 99 UBÁ2";#N/A,#N/A,FALSE,"ANEXO3 99 DTU";#N/A,#N/A,FALSE,"ANEXO3 99 RDR";#N/A,#N/A,FALSE,"ANEXO3 99 UBÁ4";#N/A,#N/A,FALSE,"ANEXO3 99 UBÁ6"}</definedName>
    <definedName name="_____________________________________________CRM3" localSheetId="20" hidden="1">{#N/A,#N/A,FALSE,"ANEXO3 99 ERA";#N/A,#N/A,FALSE,"ANEXO3 99 UBÁ2";#N/A,#N/A,FALSE,"ANEXO3 99 DTU";#N/A,#N/A,FALSE,"ANEXO3 99 RDR";#N/A,#N/A,FALSE,"ANEXO3 99 UBÁ4";#N/A,#N/A,FALSE,"ANEXO3 99 UBÁ6"}</definedName>
    <definedName name="_____________________________________________CRM3" hidden="1">{#N/A,#N/A,FALSE,"ANEXO3 99 ERA";#N/A,#N/A,FALSE,"ANEXO3 99 UBÁ2";#N/A,#N/A,FALSE,"ANEXO3 99 DTU";#N/A,#N/A,FALSE,"ANEXO3 99 RDR";#N/A,#N/A,FALSE,"ANEXO3 99 UBÁ4";#N/A,#N/A,FALSE,"ANEXO3 99 UBÁ6"}</definedName>
    <definedName name="_____________________________________________CRM4" localSheetId="20" hidden="1">{#N/A,#N/A,FALSE,"ANEXO3 99 ERA";#N/A,#N/A,FALSE,"ANEXO3 99 UBÁ2";#N/A,#N/A,FALSE,"ANEXO3 99 DTU";#N/A,#N/A,FALSE,"ANEXO3 99 RDR";#N/A,#N/A,FALSE,"ANEXO3 99 UBÁ4";#N/A,#N/A,FALSE,"ANEXO3 99 UBÁ6"}</definedName>
    <definedName name="_____________________________________________CRM4" hidden="1">{#N/A,#N/A,FALSE,"ANEXO3 99 ERA";#N/A,#N/A,FALSE,"ANEXO3 99 UBÁ2";#N/A,#N/A,FALSE,"ANEXO3 99 DTU";#N/A,#N/A,FALSE,"ANEXO3 99 RDR";#N/A,#N/A,FALSE,"ANEXO3 99 UBÁ4";#N/A,#N/A,FALSE,"ANEXO3 99 UBÁ6"}</definedName>
    <definedName name="____________________________________________CRM2" localSheetId="20" hidden="1">{#N/A,#N/A,FALSE,"ANEXO3 99 ERA";#N/A,#N/A,FALSE,"ANEXO3 99 UBÁ2";#N/A,#N/A,FALSE,"ANEXO3 99 DTU";#N/A,#N/A,FALSE,"ANEXO3 99 RDR";#N/A,#N/A,FALSE,"ANEXO3 99 UBÁ4";#N/A,#N/A,FALSE,"ANEXO3 99 UBÁ6"}</definedName>
    <definedName name="____________________________________________CRM2" hidden="1">{#N/A,#N/A,FALSE,"ANEXO3 99 ERA";#N/A,#N/A,FALSE,"ANEXO3 99 UBÁ2";#N/A,#N/A,FALSE,"ANEXO3 99 DTU";#N/A,#N/A,FALSE,"ANEXO3 99 RDR";#N/A,#N/A,FALSE,"ANEXO3 99 UBÁ4";#N/A,#N/A,FALSE,"ANEXO3 99 UBÁ6"}</definedName>
    <definedName name="____________________________________________CRM3" localSheetId="20" hidden="1">{#N/A,#N/A,FALSE,"ANEXO3 99 ERA";#N/A,#N/A,FALSE,"ANEXO3 99 UBÁ2";#N/A,#N/A,FALSE,"ANEXO3 99 DTU";#N/A,#N/A,FALSE,"ANEXO3 99 RDR";#N/A,#N/A,FALSE,"ANEXO3 99 UBÁ4";#N/A,#N/A,FALSE,"ANEXO3 99 UBÁ6"}</definedName>
    <definedName name="____________________________________________CRM3" hidden="1">{#N/A,#N/A,FALSE,"ANEXO3 99 ERA";#N/A,#N/A,FALSE,"ANEXO3 99 UBÁ2";#N/A,#N/A,FALSE,"ANEXO3 99 DTU";#N/A,#N/A,FALSE,"ANEXO3 99 RDR";#N/A,#N/A,FALSE,"ANEXO3 99 UBÁ4";#N/A,#N/A,FALSE,"ANEXO3 99 UBÁ6"}</definedName>
    <definedName name="____________________________________________CRM4" localSheetId="20" hidden="1">{#N/A,#N/A,FALSE,"ANEXO3 99 ERA";#N/A,#N/A,FALSE,"ANEXO3 99 UBÁ2";#N/A,#N/A,FALSE,"ANEXO3 99 DTU";#N/A,#N/A,FALSE,"ANEXO3 99 RDR";#N/A,#N/A,FALSE,"ANEXO3 99 UBÁ4";#N/A,#N/A,FALSE,"ANEXO3 99 UBÁ6"}</definedName>
    <definedName name="____________________________________________CRM4" hidden="1">{#N/A,#N/A,FALSE,"ANEXO3 99 ERA";#N/A,#N/A,FALSE,"ANEXO3 99 UBÁ2";#N/A,#N/A,FALSE,"ANEXO3 99 DTU";#N/A,#N/A,FALSE,"ANEXO3 99 RDR";#N/A,#N/A,FALSE,"ANEXO3 99 UBÁ4";#N/A,#N/A,FALSE,"ANEXO3 99 UBÁ6"}</definedName>
    <definedName name="__________________________________________CRM2" localSheetId="20" hidden="1">{#N/A,#N/A,FALSE,"ANEXO3 99 ERA";#N/A,#N/A,FALSE,"ANEXO3 99 UBÁ2";#N/A,#N/A,FALSE,"ANEXO3 99 DTU";#N/A,#N/A,FALSE,"ANEXO3 99 RDR";#N/A,#N/A,FALSE,"ANEXO3 99 UBÁ4";#N/A,#N/A,FALSE,"ANEXO3 99 UBÁ6"}</definedName>
    <definedName name="__________________________________________CRM2" hidden="1">{#N/A,#N/A,FALSE,"ANEXO3 99 ERA";#N/A,#N/A,FALSE,"ANEXO3 99 UBÁ2";#N/A,#N/A,FALSE,"ANEXO3 99 DTU";#N/A,#N/A,FALSE,"ANEXO3 99 RDR";#N/A,#N/A,FALSE,"ANEXO3 99 UBÁ4";#N/A,#N/A,FALSE,"ANEXO3 99 UBÁ6"}</definedName>
    <definedName name="__________________________________________CRM3" localSheetId="20" hidden="1">{#N/A,#N/A,FALSE,"ANEXO3 99 ERA";#N/A,#N/A,FALSE,"ANEXO3 99 UBÁ2";#N/A,#N/A,FALSE,"ANEXO3 99 DTU";#N/A,#N/A,FALSE,"ANEXO3 99 RDR";#N/A,#N/A,FALSE,"ANEXO3 99 UBÁ4";#N/A,#N/A,FALSE,"ANEXO3 99 UBÁ6"}</definedName>
    <definedName name="__________________________________________CRM3" hidden="1">{#N/A,#N/A,FALSE,"ANEXO3 99 ERA";#N/A,#N/A,FALSE,"ANEXO3 99 UBÁ2";#N/A,#N/A,FALSE,"ANEXO3 99 DTU";#N/A,#N/A,FALSE,"ANEXO3 99 RDR";#N/A,#N/A,FALSE,"ANEXO3 99 UBÁ4";#N/A,#N/A,FALSE,"ANEXO3 99 UBÁ6"}</definedName>
    <definedName name="__________________________________________CRM4" localSheetId="20" hidden="1">{#N/A,#N/A,FALSE,"ANEXO3 99 ERA";#N/A,#N/A,FALSE,"ANEXO3 99 UBÁ2";#N/A,#N/A,FALSE,"ANEXO3 99 DTU";#N/A,#N/A,FALSE,"ANEXO3 99 RDR";#N/A,#N/A,FALSE,"ANEXO3 99 UBÁ4";#N/A,#N/A,FALSE,"ANEXO3 99 UBÁ6"}</definedName>
    <definedName name="__________________________________________CRM4" hidden="1">{#N/A,#N/A,FALSE,"ANEXO3 99 ERA";#N/A,#N/A,FALSE,"ANEXO3 99 UBÁ2";#N/A,#N/A,FALSE,"ANEXO3 99 DTU";#N/A,#N/A,FALSE,"ANEXO3 99 RDR";#N/A,#N/A,FALSE,"ANEXO3 99 UBÁ4";#N/A,#N/A,FALSE,"ANEXO3 99 UBÁ6"}</definedName>
    <definedName name="_________________________________________CRM2" localSheetId="20" hidden="1">{#N/A,#N/A,FALSE,"ANEXO3 99 ERA";#N/A,#N/A,FALSE,"ANEXO3 99 UBÁ2";#N/A,#N/A,FALSE,"ANEXO3 99 DTU";#N/A,#N/A,FALSE,"ANEXO3 99 RDR";#N/A,#N/A,FALSE,"ANEXO3 99 UBÁ4";#N/A,#N/A,FALSE,"ANEXO3 99 UBÁ6"}</definedName>
    <definedName name="_________________________________________CRM2" hidden="1">{#N/A,#N/A,FALSE,"ANEXO3 99 ERA";#N/A,#N/A,FALSE,"ANEXO3 99 UBÁ2";#N/A,#N/A,FALSE,"ANEXO3 99 DTU";#N/A,#N/A,FALSE,"ANEXO3 99 RDR";#N/A,#N/A,FALSE,"ANEXO3 99 UBÁ4";#N/A,#N/A,FALSE,"ANEXO3 99 UBÁ6"}</definedName>
    <definedName name="_________________________________________CRM3" localSheetId="20" hidden="1">{#N/A,#N/A,FALSE,"ANEXO3 99 ERA";#N/A,#N/A,FALSE,"ANEXO3 99 UBÁ2";#N/A,#N/A,FALSE,"ANEXO3 99 DTU";#N/A,#N/A,FALSE,"ANEXO3 99 RDR";#N/A,#N/A,FALSE,"ANEXO3 99 UBÁ4";#N/A,#N/A,FALSE,"ANEXO3 99 UBÁ6"}</definedName>
    <definedName name="_________________________________________CRM3" hidden="1">{#N/A,#N/A,FALSE,"ANEXO3 99 ERA";#N/A,#N/A,FALSE,"ANEXO3 99 UBÁ2";#N/A,#N/A,FALSE,"ANEXO3 99 DTU";#N/A,#N/A,FALSE,"ANEXO3 99 RDR";#N/A,#N/A,FALSE,"ANEXO3 99 UBÁ4";#N/A,#N/A,FALSE,"ANEXO3 99 UBÁ6"}</definedName>
    <definedName name="_________________________________________CRM4" localSheetId="20" hidden="1">{#N/A,#N/A,FALSE,"ANEXO3 99 ERA";#N/A,#N/A,FALSE,"ANEXO3 99 UBÁ2";#N/A,#N/A,FALSE,"ANEXO3 99 DTU";#N/A,#N/A,FALSE,"ANEXO3 99 RDR";#N/A,#N/A,FALSE,"ANEXO3 99 UBÁ4";#N/A,#N/A,FALSE,"ANEXO3 99 UBÁ6"}</definedName>
    <definedName name="_________________________________________CRM4" hidden="1">{#N/A,#N/A,FALSE,"ANEXO3 99 ERA";#N/A,#N/A,FALSE,"ANEXO3 99 UBÁ2";#N/A,#N/A,FALSE,"ANEXO3 99 DTU";#N/A,#N/A,FALSE,"ANEXO3 99 RDR";#N/A,#N/A,FALSE,"ANEXO3 99 UBÁ4";#N/A,#N/A,FALSE,"ANEXO3 99 UBÁ6"}</definedName>
    <definedName name="________________________________________CRM2" localSheetId="20" hidden="1">{#N/A,#N/A,FALSE,"ANEXO3 99 ERA";#N/A,#N/A,FALSE,"ANEXO3 99 UBÁ2";#N/A,#N/A,FALSE,"ANEXO3 99 DTU";#N/A,#N/A,FALSE,"ANEXO3 99 RDR";#N/A,#N/A,FALSE,"ANEXO3 99 UBÁ4";#N/A,#N/A,FALSE,"ANEXO3 99 UBÁ6"}</definedName>
    <definedName name="________________________________________CRM2" hidden="1">{#N/A,#N/A,FALSE,"ANEXO3 99 ERA";#N/A,#N/A,FALSE,"ANEXO3 99 UBÁ2";#N/A,#N/A,FALSE,"ANEXO3 99 DTU";#N/A,#N/A,FALSE,"ANEXO3 99 RDR";#N/A,#N/A,FALSE,"ANEXO3 99 UBÁ4";#N/A,#N/A,FALSE,"ANEXO3 99 UBÁ6"}</definedName>
    <definedName name="________________________________________CRM3" localSheetId="20" hidden="1">{#N/A,#N/A,FALSE,"ANEXO3 99 ERA";#N/A,#N/A,FALSE,"ANEXO3 99 UBÁ2";#N/A,#N/A,FALSE,"ANEXO3 99 DTU";#N/A,#N/A,FALSE,"ANEXO3 99 RDR";#N/A,#N/A,FALSE,"ANEXO3 99 UBÁ4";#N/A,#N/A,FALSE,"ANEXO3 99 UBÁ6"}</definedName>
    <definedName name="________________________________________CRM3" hidden="1">{#N/A,#N/A,FALSE,"ANEXO3 99 ERA";#N/A,#N/A,FALSE,"ANEXO3 99 UBÁ2";#N/A,#N/A,FALSE,"ANEXO3 99 DTU";#N/A,#N/A,FALSE,"ANEXO3 99 RDR";#N/A,#N/A,FALSE,"ANEXO3 99 UBÁ4";#N/A,#N/A,FALSE,"ANEXO3 99 UBÁ6"}</definedName>
    <definedName name="________________________________________CRM4" localSheetId="20" hidden="1">{#N/A,#N/A,FALSE,"ANEXO3 99 ERA";#N/A,#N/A,FALSE,"ANEXO3 99 UBÁ2";#N/A,#N/A,FALSE,"ANEXO3 99 DTU";#N/A,#N/A,FALSE,"ANEXO3 99 RDR";#N/A,#N/A,FALSE,"ANEXO3 99 UBÁ4";#N/A,#N/A,FALSE,"ANEXO3 99 UBÁ6"}</definedName>
    <definedName name="________________________________________CRM4" hidden="1">{#N/A,#N/A,FALSE,"ANEXO3 99 ERA";#N/A,#N/A,FALSE,"ANEXO3 99 UBÁ2";#N/A,#N/A,FALSE,"ANEXO3 99 DTU";#N/A,#N/A,FALSE,"ANEXO3 99 RDR";#N/A,#N/A,FALSE,"ANEXO3 99 UBÁ4";#N/A,#N/A,FALSE,"ANEXO3 99 UBÁ6"}</definedName>
    <definedName name="_______________________________________CRM2" localSheetId="20" hidden="1">{#N/A,#N/A,FALSE,"ANEXO3 99 ERA";#N/A,#N/A,FALSE,"ANEXO3 99 UBÁ2";#N/A,#N/A,FALSE,"ANEXO3 99 DTU";#N/A,#N/A,FALSE,"ANEXO3 99 RDR";#N/A,#N/A,FALSE,"ANEXO3 99 UBÁ4";#N/A,#N/A,FALSE,"ANEXO3 99 UBÁ6"}</definedName>
    <definedName name="_______________________________________CRM2" hidden="1">{#N/A,#N/A,FALSE,"ANEXO3 99 ERA";#N/A,#N/A,FALSE,"ANEXO3 99 UBÁ2";#N/A,#N/A,FALSE,"ANEXO3 99 DTU";#N/A,#N/A,FALSE,"ANEXO3 99 RDR";#N/A,#N/A,FALSE,"ANEXO3 99 UBÁ4";#N/A,#N/A,FALSE,"ANEXO3 99 UBÁ6"}</definedName>
    <definedName name="_______________________________________CRM3" localSheetId="20" hidden="1">{#N/A,#N/A,FALSE,"ANEXO3 99 ERA";#N/A,#N/A,FALSE,"ANEXO3 99 UBÁ2";#N/A,#N/A,FALSE,"ANEXO3 99 DTU";#N/A,#N/A,FALSE,"ANEXO3 99 RDR";#N/A,#N/A,FALSE,"ANEXO3 99 UBÁ4";#N/A,#N/A,FALSE,"ANEXO3 99 UBÁ6"}</definedName>
    <definedName name="_______________________________________CRM3" hidden="1">{#N/A,#N/A,FALSE,"ANEXO3 99 ERA";#N/A,#N/A,FALSE,"ANEXO3 99 UBÁ2";#N/A,#N/A,FALSE,"ANEXO3 99 DTU";#N/A,#N/A,FALSE,"ANEXO3 99 RDR";#N/A,#N/A,FALSE,"ANEXO3 99 UBÁ4";#N/A,#N/A,FALSE,"ANEXO3 99 UBÁ6"}</definedName>
    <definedName name="_______________________________________CRM4" localSheetId="20" hidden="1">{#N/A,#N/A,FALSE,"ANEXO3 99 ERA";#N/A,#N/A,FALSE,"ANEXO3 99 UBÁ2";#N/A,#N/A,FALSE,"ANEXO3 99 DTU";#N/A,#N/A,FALSE,"ANEXO3 99 RDR";#N/A,#N/A,FALSE,"ANEXO3 99 UBÁ4";#N/A,#N/A,FALSE,"ANEXO3 99 UBÁ6"}</definedName>
    <definedName name="_______________________________________CRM4" hidden="1">{#N/A,#N/A,FALSE,"ANEXO3 99 ERA";#N/A,#N/A,FALSE,"ANEXO3 99 UBÁ2";#N/A,#N/A,FALSE,"ANEXO3 99 DTU";#N/A,#N/A,FALSE,"ANEXO3 99 RDR";#N/A,#N/A,FALSE,"ANEXO3 99 UBÁ4";#N/A,#N/A,FALSE,"ANEXO3 99 UBÁ6"}</definedName>
    <definedName name="______________________________________CRM2" localSheetId="20" hidden="1">{#N/A,#N/A,FALSE,"ANEXO3 99 ERA";#N/A,#N/A,FALSE,"ANEXO3 99 UBÁ2";#N/A,#N/A,FALSE,"ANEXO3 99 DTU";#N/A,#N/A,FALSE,"ANEXO3 99 RDR";#N/A,#N/A,FALSE,"ANEXO3 99 UBÁ4";#N/A,#N/A,FALSE,"ANEXO3 99 UBÁ6"}</definedName>
    <definedName name="______________________________________CRM2" hidden="1">{#N/A,#N/A,FALSE,"ANEXO3 99 ERA";#N/A,#N/A,FALSE,"ANEXO3 99 UBÁ2";#N/A,#N/A,FALSE,"ANEXO3 99 DTU";#N/A,#N/A,FALSE,"ANEXO3 99 RDR";#N/A,#N/A,FALSE,"ANEXO3 99 UBÁ4";#N/A,#N/A,FALSE,"ANEXO3 99 UBÁ6"}</definedName>
    <definedName name="______________________________________CRM3" localSheetId="20" hidden="1">{#N/A,#N/A,FALSE,"ANEXO3 99 ERA";#N/A,#N/A,FALSE,"ANEXO3 99 UBÁ2";#N/A,#N/A,FALSE,"ANEXO3 99 DTU";#N/A,#N/A,FALSE,"ANEXO3 99 RDR";#N/A,#N/A,FALSE,"ANEXO3 99 UBÁ4";#N/A,#N/A,FALSE,"ANEXO3 99 UBÁ6"}</definedName>
    <definedName name="______________________________________CRM3" hidden="1">{#N/A,#N/A,FALSE,"ANEXO3 99 ERA";#N/A,#N/A,FALSE,"ANEXO3 99 UBÁ2";#N/A,#N/A,FALSE,"ANEXO3 99 DTU";#N/A,#N/A,FALSE,"ANEXO3 99 RDR";#N/A,#N/A,FALSE,"ANEXO3 99 UBÁ4";#N/A,#N/A,FALSE,"ANEXO3 99 UBÁ6"}</definedName>
    <definedName name="______________________________________CRM4" localSheetId="20" hidden="1">{#N/A,#N/A,FALSE,"ANEXO3 99 ERA";#N/A,#N/A,FALSE,"ANEXO3 99 UBÁ2";#N/A,#N/A,FALSE,"ANEXO3 99 DTU";#N/A,#N/A,FALSE,"ANEXO3 99 RDR";#N/A,#N/A,FALSE,"ANEXO3 99 UBÁ4";#N/A,#N/A,FALSE,"ANEXO3 99 UBÁ6"}</definedName>
    <definedName name="______________________________________CRM4" hidden="1">{#N/A,#N/A,FALSE,"ANEXO3 99 ERA";#N/A,#N/A,FALSE,"ANEXO3 99 UBÁ2";#N/A,#N/A,FALSE,"ANEXO3 99 DTU";#N/A,#N/A,FALSE,"ANEXO3 99 RDR";#N/A,#N/A,FALSE,"ANEXO3 99 UBÁ4";#N/A,#N/A,FALSE,"ANEXO3 99 UBÁ6"}</definedName>
    <definedName name="_____________________________________CRM2" localSheetId="20" hidden="1">{#N/A,#N/A,FALSE,"ANEXO3 99 ERA";#N/A,#N/A,FALSE,"ANEXO3 99 UBÁ2";#N/A,#N/A,FALSE,"ANEXO3 99 DTU";#N/A,#N/A,FALSE,"ANEXO3 99 RDR";#N/A,#N/A,FALSE,"ANEXO3 99 UBÁ4";#N/A,#N/A,FALSE,"ANEXO3 99 UBÁ6"}</definedName>
    <definedName name="_____________________________________CRM2" hidden="1">{#N/A,#N/A,FALSE,"ANEXO3 99 ERA";#N/A,#N/A,FALSE,"ANEXO3 99 UBÁ2";#N/A,#N/A,FALSE,"ANEXO3 99 DTU";#N/A,#N/A,FALSE,"ANEXO3 99 RDR";#N/A,#N/A,FALSE,"ANEXO3 99 UBÁ4";#N/A,#N/A,FALSE,"ANEXO3 99 UBÁ6"}</definedName>
    <definedName name="_____________________________________CRM3" localSheetId="20" hidden="1">{#N/A,#N/A,FALSE,"ANEXO3 99 ERA";#N/A,#N/A,FALSE,"ANEXO3 99 UBÁ2";#N/A,#N/A,FALSE,"ANEXO3 99 DTU";#N/A,#N/A,FALSE,"ANEXO3 99 RDR";#N/A,#N/A,FALSE,"ANEXO3 99 UBÁ4";#N/A,#N/A,FALSE,"ANEXO3 99 UBÁ6"}</definedName>
    <definedName name="_____________________________________CRM3" hidden="1">{#N/A,#N/A,FALSE,"ANEXO3 99 ERA";#N/A,#N/A,FALSE,"ANEXO3 99 UBÁ2";#N/A,#N/A,FALSE,"ANEXO3 99 DTU";#N/A,#N/A,FALSE,"ANEXO3 99 RDR";#N/A,#N/A,FALSE,"ANEXO3 99 UBÁ4";#N/A,#N/A,FALSE,"ANEXO3 99 UBÁ6"}</definedName>
    <definedName name="_____________________________________CRM4" localSheetId="20" hidden="1">{#N/A,#N/A,FALSE,"ANEXO3 99 ERA";#N/A,#N/A,FALSE,"ANEXO3 99 UBÁ2";#N/A,#N/A,FALSE,"ANEXO3 99 DTU";#N/A,#N/A,FALSE,"ANEXO3 99 RDR";#N/A,#N/A,FALSE,"ANEXO3 99 UBÁ4";#N/A,#N/A,FALSE,"ANEXO3 99 UBÁ6"}</definedName>
    <definedName name="_____________________________________CRM4" hidden="1">{#N/A,#N/A,FALSE,"ANEXO3 99 ERA";#N/A,#N/A,FALSE,"ANEXO3 99 UBÁ2";#N/A,#N/A,FALSE,"ANEXO3 99 DTU";#N/A,#N/A,FALSE,"ANEXO3 99 RDR";#N/A,#N/A,FALSE,"ANEXO3 99 UBÁ4";#N/A,#N/A,FALSE,"ANEXO3 99 UBÁ6"}</definedName>
    <definedName name="___________________________________CRM2" localSheetId="20" hidden="1">{#N/A,#N/A,FALSE,"ANEXO3 99 ERA";#N/A,#N/A,FALSE,"ANEXO3 99 UBÁ2";#N/A,#N/A,FALSE,"ANEXO3 99 DTU";#N/A,#N/A,FALSE,"ANEXO3 99 RDR";#N/A,#N/A,FALSE,"ANEXO3 99 UBÁ4";#N/A,#N/A,FALSE,"ANEXO3 99 UBÁ6"}</definedName>
    <definedName name="___________________________________CRM2" hidden="1">{#N/A,#N/A,FALSE,"ANEXO3 99 ERA";#N/A,#N/A,FALSE,"ANEXO3 99 UBÁ2";#N/A,#N/A,FALSE,"ANEXO3 99 DTU";#N/A,#N/A,FALSE,"ANEXO3 99 RDR";#N/A,#N/A,FALSE,"ANEXO3 99 UBÁ4";#N/A,#N/A,FALSE,"ANEXO3 99 UBÁ6"}</definedName>
    <definedName name="___________________________________CRM3" localSheetId="20" hidden="1">{#N/A,#N/A,FALSE,"ANEXO3 99 ERA";#N/A,#N/A,FALSE,"ANEXO3 99 UBÁ2";#N/A,#N/A,FALSE,"ANEXO3 99 DTU";#N/A,#N/A,FALSE,"ANEXO3 99 RDR";#N/A,#N/A,FALSE,"ANEXO3 99 UBÁ4";#N/A,#N/A,FALSE,"ANEXO3 99 UBÁ6"}</definedName>
    <definedName name="___________________________________CRM3" hidden="1">{#N/A,#N/A,FALSE,"ANEXO3 99 ERA";#N/A,#N/A,FALSE,"ANEXO3 99 UBÁ2";#N/A,#N/A,FALSE,"ANEXO3 99 DTU";#N/A,#N/A,FALSE,"ANEXO3 99 RDR";#N/A,#N/A,FALSE,"ANEXO3 99 UBÁ4";#N/A,#N/A,FALSE,"ANEXO3 99 UBÁ6"}</definedName>
    <definedName name="___________________________________CRM4" localSheetId="20" hidden="1">{#N/A,#N/A,FALSE,"ANEXO3 99 ERA";#N/A,#N/A,FALSE,"ANEXO3 99 UBÁ2";#N/A,#N/A,FALSE,"ANEXO3 99 DTU";#N/A,#N/A,FALSE,"ANEXO3 99 RDR";#N/A,#N/A,FALSE,"ANEXO3 99 UBÁ4";#N/A,#N/A,FALSE,"ANEXO3 99 UBÁ6"}</definedName>
    <definedName name="___________________________________CRM4" hidden="1">{#N/A,#N/A,FALSE,"ANEXO3 99 ERA";#N/A,#N/A,FALSE,"ANEXO3 99 UBÁ2";#N/A,#N/A,FALSE,"ANEXO3 99 DTU";#N/A,#N/A,FALSE,"ANEXO3 99 RDR";#N/A,#N/A,FALSE,"ANEXO3 99 UBÁ4";#N/A,#N/A,FALSE,"ANEXO3 99 UBÁ6"}</definedName>
    <definedName name="__________________________________CRM2" localSheetId="20" hidden="1">{#N/A,#N/A,FALSE,"ANEXO3 99 ERA";#N/A,#N/A,FALSE,"ANEXO3 99 UBÁ2";#N/A,#N/A,FALSE,"ANEXO3 99 DTU";#N/A,#N/A,FALSE,"ANEXO3 99 RDR";#N/A,#N/A,FALSE,"ANEXO3 99 UBÁ4";#N/A,#N/A,FALSE,"ANEXO3 99 UBÁ6"}</definedName>
    <definedName name="__________________________________CRM2" hidden="1">{#N/A,#N/A,FALSE,"ANEXO3 99 ERA";#N/A,#N/A,FALSE,"ANEXO3 99 UBÁ2";#N/A,#N/A,FALSE,"ANEXO3 99 DTU";#N/A,#N/A,FALSE,"ANEXO3 99 RDR";#N/A,#N/A,FALSE,"ANEXO3 99 UBÁ4";#N/A,#N/A,FALSE,"ANEXO3 99 UBÁ6"}</definedName>
    <definedName name="__________________________________CRM3" localSheetId="20" hidden="1">{#N/A,#N/A,FALSE,"ANEXO3 99 ERA";#N/A,#N/A,FALSE,"ANEXO3 99 UBÁ2";#N/A,#N/A,FALSE,"ANEXO3 99 DTU";#N/A,#N/A,FALSE,"ANEXO3 99 RDR";#N/A,#N/A,FALSE,"ANEXO3 99 UBÁ4";#N/A,#N/A,FALSE,"ANEXO3 99 UBÁ6"}</definedName>
    <definedName name="__________________________________CRM3" hidden="1">{#N/A,#N/A,FALSE,"ANEXO3 99 ERA";#N/A,#N/A,FALSE,"ANEXO3 99 UBÁ2";#N/A,#N/A,FALSE,"ANEXO3 99 DTU";#N/A,#N/A,FALSE,"ANEXO3 99 RDR";#N/A,#N/A,FALSE,"ANEXO3 99 UBÁ4";#N/A,#N/A,FALSE,"ANEXO3 99 UBÁ6"}</definedName>
    <definedName name="__________________________________CRM4" localSheetId="20" hidden="1">{#N/A,#N/A,FALSE,"ANEXO3 99 ERA";#N/A,#N/A,FALSE,"ANEXO3 99 UBÁ2";#N/A,#N/A,FALSE,"ANEXO3 99 DTU";#N/A,#N/A,FALSE,"ANEXO3 99 RDR";#N/A,#N/A,FALSE,"ANEXO3 99 UBÁ4";#N/A,#N/A,FALSE,"ANEXO3 99 UBÁ6"}</definedName>
    <definedName name="__________________________________CRM4" hidden="1">{#N/A,#N/A,FALSE,"ANEXO3 99 ERA";#N/A,#N/A,FALSE,"ANEXO3 99 UBÁ2";#N/A,#N/A,FALSE,"ANEXO3 99 DTU";#N/A,#N/A,FALSE,"ANEXO3 99 RDR";#N/A,#N/A,FALSE,"ANEXO3 99 UBÁ4";#N/A,#N/A,FALSE,"ANEXO3 99 UBÁ6"}</definedName>
    <definedName name="_________________________________CRM2" localSheetId="20" hidden="1">{#N/A,#N/A,FALSE,"ANEXO3 99 ERA";#N/A,#N/A,FALSE,"ANEXO3 99 UBÁ2";#N/A,#N/A,FALSE,"ANEXO3 99 DTU";#N/A,#N/A,FALSE,"ANEXO3 99 RDR";#N/A,#N/A,FALSE,"ANEXO3 99 UBÁ4";#N/A,#N/A,FALSE,"ANEXO3 99 UBÁ6"}</definedName>
    <definedName name="_________________________________CRM2" hidden="1">{#N/A,#N/A,FALSE,"ANEXO3 99 ERA";#N/A,#N/A,FALSE,"ANEXO3 99 UBÁ2";#N/A,#N/A,FALSE,"ANEXO3 99 DTU";#N/A,#N/A,FALSE,"ANEXO3 99 RDR";#N/A,#N/A,FALSE,"ANEXO3 99 UBÁ4";#N/A,#N/A,FALSE,"ANEXO3 99 UBÁ6"}</definedName>
    <definedName name="_________________________________CRM3" localSheetId="20" hidden="1">{#N/A,#N/A,FALSE,"ANEXO3 99 ERA";#N/A,#N/A,FALSE,"ANEXO3 99 UBÁ2";#N/A,#N/A,FALSE,"ANEXO3 99 DTU";#N/A,#N/A,FALSE,"ANEXO3 99 RDR";#N/A,#N/A,FALSE,"ANEXO3 99 UBÁ4";#N/A,#N/A,FALSE,"ANEXO3 99 UBÁ6"}</definedName>
    <definedName name="_________________________________CRM3" hidden="1">{#N/A,#N/A,FALSE,"ANEXO3 99 ERA";#N/A,#N/A,FALSE,"ANEXO3 99 UBÁ2";#N/A,#N/A,FALSE,"ANEXO3 99 DTU";#N/A,#N/A,FALSE,"ANEXO3 99 RDR";#N/A,#N/A,FALSE,"ANEXO3 99 UBÁ4";#N/A,#N/A,FALSE,"ANEXO3 99 UBÁ6"}</definedName>
    <definedName name="_________________________________CRM4" localSheetId="20" hidden="1">{#N/A,#N/A,FALSE,"ANEXO3 99 ERA";#N/A,#N/A,FALSE,"ANEXO3 99 UBÁ2";#N/A,#N/A,FALSE,"ANEXO3 99 DTU";#N/A,#N/A,FALSE,"ANEXO3 99 RDR";#N/A,#N/A,FALSE,"ANEXO3 99 UBÁ4";#N/A,#N/A,FALSE,"ANEXO3 99 UBÁ6"}</definedName>
    <definedName name="_________________________________CRM4" hidden="1">{#N/A,#N/A,FALSE,"ANEXO3 99 ERA";#N/A,#N/A,FALSE,"ANEXO3 99 UBÁ2";#N/A,#N/A,FALSE,"ANEXO3 99 DTU";#N/A,#N/A,FALSE,"ANEXO3 99 RDR";#N/A,#N/A,FALSE,"ANEXO3 99 UBÁ4";#N/A,#N/A,FALSE,"ANEXO3 99 UBÁ6"}</definedName>
    <definedName name="________________________________CRM2" localSheetId="20" hidden="1">{#N/A,#N/A,FALSE,"ANEXO3 99 ERA";#N/A,#N/A,FALSE,"ANEXO3 99 UBÁ2";#N/A,#N/A,FALSE,"ANEXO3 99 DTU";#N/A,#N/A,FALSE,"ANEXO3 99 RDR";#N/A,#N/A,FALSE,"ANEXO3 99 UBÁ4";#N/A,#N/A,FALSE,"ANEXO3 99 UBÁ6"}</definedName>
    <definedName name="________________________________CRM2" hidden="1">{#N/A,#N/A,FALSE,"ANEXO3 99 ERA";#N/A,#N/A,FALSE,"ANEXO3 99 UBÁ2";#N/A,#N/A,FALSE,"ANEXO3 99 DTU";#N/A,#N/A,FALSE,"ANEXO3 99 RDR";#N/A,#N/A,FALSE,"ANEXO3 99 UBÁ4";#N/A,#N/A,FALSE,"ANEXO3 99 UBÁ6"}</definedName>
    <definedName name="________________________________CRM3" localSheetId="20" hidden="1">{#N/A,#N/A,FALSE,"ANEXO3 99 ERA";#N/A,#N/A,FALSE,"ANEXO3 99 UBÁ2";#N/A,#N/A,FALSE,"ANEXO3 99 DTU";#N/A,#N/A,FALSE,"ANEXO3 99 RDR";#N/A,#N/A,FALSE,"ANEXO3 99 UBÁ4";#N/A,#N/A,FALSE,"ANEXO3 99 UBÁ6"}</definedName>
    <definedName name="________________________________CRM3" hidden="1">{#N/A,#N/A,FALSE,"ANEXO3 99 ERA";#N/A,#N/A,FALSE,"ANEXO3 99 UBÁ2";#N/A,#N/A,FALSE,"ANEXO3 99 DTU";#N/A,#N/A,FALSE,"ANEXO3 99 RDR";#N/A,#N/A,FALSE,"ANEXO3 99 UBÁ4";#N/A,#N/A,FALSE,"ANEXO3 99 UBÁ6"}</definedName>
    <definedName name="________________________________CRM4" localSheetId="20" hidden="1">{#N/A,#N/A,FALSE,"ANEXO3 99 ERA";#N/A,#N/A,FALSE,"ANEXO3 99 UBÁ2";#N/A,#N/A,FALSE,"ANEXO3 99 DTU";#N/A,#N/A,FALSE,"ANEXO3 99 RDR";#N/A,#N/A,FALSE,"ANEXO3 99 UBÁ4";#N/A,#N/A,FALSE,"ANEXO3 99 UBÁ6"}</definedName>
    <definedName name="________________________________CRM4" hidden="1">{#N/A,#N/A,FALSE,"ANEXO3 99 ERA";#N/A,#N/A,FALSE,"ANEXO3 99 UBÁ2";#N/A,#N/A,FALSE,"ANEXO3 99 DTU";#N/A,#N/A,FALSE,"ANEXO3 99 RDR";#N/A,#N/A,FALSE,"ANEXO3 99 UBÁ4";#N/A,#N/A,FALSE,"ANEXO3 99 UBÁ6"}</definedName>
    <definedName name="_______________________________CRM2" localSheetId="20" hidden="1">{#N/A,#N/A,FALSE,"ANEXO3 99 ERA";#N/A,#N/A,FALSE,"ANEXO3 99 UBÁ2";#N/A,#N/A,FALSE,"ANEXO3 99 DTU";#N/A,#N/A,FALSE,"ANEXO3 99 RDR";#N/A,#N/A,FALSE,"ANEXO3 99 UBÁ4";#N/A,#N/A,FALSE,"ANEXO3 99 UBÁ6"}</definedName>
    <definedName name="_______________________________CRM2" hidden="1">{#N/A,#N/A,FALSE,"ANEXO3 99 ERA";#N/A,#N/A,FALSE,"ANEXO3 99 UBÁ2";#N/A,#N/A,FALSE,"ANEXO3 99 DTU";#N/A,#N/A,FALSE,"ANEXO3 99 RDR";#N/A,#N/A,FALSE,"ANEXO3 99 UBÁ4";#N/A,#N/A,FALSE,"ANEXO3 99 UBÁ6"}</definedName>
    <definedName name="_______________________________CRM3" localSheetId="20" hidden="1">{#N/A,#N/A,FALSE,"ANEXO3 99 ERA";#N/A,#N/A,FALSE,"ANEXO3 99 UBÁ2";#N/A,#N/A,FALSE,"ANEXO3 99 DTU";#N/A,#N/A,FALSE,"ANEXO3 99 RDR";#N/A,#N/A,FALSE,"ANEXO3 99 UBÁ4";#N/A,#N/A,FALSE,"ANEXO3 99 UBÁ6"}</definedName>
    <definedName name="_______________________________CRM3" hidden="1">{#N/A,#N/A,FALSE,"ANEXO3 99 ERA";#N/A,#N/A,FALSE,"ANEXO3 99 UBÁ2";#N/A,#N/A,FALSE,"ANEXO3 99 DTU";#N/A,#N/A,FALSE,"ANEXO3 99 RDR";#N/A,#N/A,FALSE,"ANEXO3 99 UBÁ4";#N/A,#N/A,FALSE,"ANEXO3 99 UBÁ6"}</definedName>
    <definedName name="_______________________________CRM4" localSheetId="20" hidden="1">{#N/A,#N/A,FALSE,"ANEXO3 99 ERA";#N/A,#N/A,FALSE,"ANEXO3 99 UBÁ2";#N/A,#N/A,FALSE,"ANEXO3 99 DTU";#N/A,#N/A,FALSE,"ANEXO3 99 RDR";#N/A,#N/A,FALSE,"ANEXO3 99 UBÁ4";#N/A,#N/A,FALSE,"ANEXO3 99 UBÁ6"}</definedName>
    <definedName name="_______________________________CRM4" hidden="1">{#N/A,#N/A,FALSE,"ANEXO3 99 ERA";#N/A,#N/A,FALSE,"ANEXO3 99 UBÁ2";#N/A,#N/A,FALSE,"ANEXO3 99 DTU";#N/A,#N/A,FALSE,"ANEXO3 99 RDR";#N/A,#N/A,FALSE,"ANEXO3 99 UBÁ4";#N/A,#N/A,FALSE,"ANEXO3 99 UBÁ6"}</definedName>
    <definedName name="______________________________CRM2" localSheetId="20" hidden="1">{#N/A,#N/A,FALSE,"ANEXO3 99 ERA";#N/A,#N/A,FALSE,"ANEXO3 99 UBÁ2";#N/A,#N/A,FALSE,"ANEXO3 99 DTU";#N/A,#N/A,FALSE,"ANEXO3 99 RDR";#N/A,#N/A,FALSE,"ANEXO3 99 UBÁ4";#N/A,#N/A,FALSE,"ANEXO3 99 UBÁ6"}</definedName>
    <definedName name="______________________________CRM2" hidden="1">{#N/A,#N/A,FALSE,"ANEXO3 99 ERA";#N/A,#N/A,FALSE,"ANEXO3 99 UBÁ2";#N/A,#N/A,FALSE,"ANEXO3 99 DTU";#N/A,#N/A,FALSE,"ANEXO3 99 RDR";#N/A,#N/A,FALSE,"ANEXO3 99 UBÁ4";#N/A,#N/A,FALSE,"ANEXO3 99 UBÁ6"}</definedName>
    <definedName name="______________________________CRM3" localSheetId="20" hidden="1">{#N/A,#N/A,FALSE,"ANEXO3 99 ERA";#N/A,#N/A,FALSE,"ANEXO3 99 UBÁ2";#N/A,#N/A,FALSE,"ANEXO3 99 DTU";#N/A,#N/A,FALSE,"ANEXO3 99 RDR";#N/A,#N/A,FALSE,"ANEXO3 99 UBÁ4";#N/A,#N/A,FALSE,"ANEXO3 99 UBÁ6"}</definedName>
    <definedName name="______________________________CRM3" hidden="1">{#N/A,#N/A,FALSE,"ANEXO3 99 ERA";#N/A,#N/A,FALSE,"ANEXO3 99 UBÁ2";#N/A,#N/A,FALSE,"ANEXO3 99 DTU";#N/A,#N/A,FALSE,"ANEXO3 99 RDR";#N/A,#N/A,FALSE,"ANEXO3 99 UBÁ4";#N/A,#N/A,FALSE,"ANEXO3 99 UBÁ6"}</definedName>
    <definedName name="______________________________CRM4" localSheetId="20" hidden="1">{#N/A,#N/A,FALSE,"ANEXO3 99 ERA";#N/A,#N/A,FALSE,"ANEXO3 99 UBÁ2";#N/A,#N/A,FALSE,"ANEXO3 99 DTU";#N/A,#N/A,FALSE,"ANEXO3 99 RDR";#N/A,#N/A,FALSE,"ANEXO3 99 UBÁ4";#N/A,#N/A,FALSE,"ANEXO3 99 UBÁ6"}</definedName>
    <definedName name="______________________________CRM4" hidden="1">{#N/A,#N/A,FALSE,"ANEXO3 99 ERA";#N/A,#N/A,FALSE,"ANEXO3 99 UBÁ2";#N/A,#N/A,FALSE,"ANEXO3 99 DTU";#N/A,#N/A,FALSE,"ANEXO3 99 RDR";#N/A,#N/A,FALSE,"ANEXO3 99 UBÁ4";#N/A,#N/A,FALSE,"ANEXO3 99 UBÁ6"}</definedName>
    <definedName name="_____________________________CRM2" localSheetId="20" hidden="1">{#N/A,#N/A,FALSE,"ANEXO3 99 ERA";#N/A,#N/A,FALSE,"ANEXO3 99 UBÁ2";#N/A,#N/A,FALSE,"ANEXO3 99 DTU";#N/A,#N/A,FALSE,"ANEXO3 99 RDR";#N/A,#N/A,FALSE,"ANEXO3 99 UBÁ4";#N/A,#N/A,FALSE,"ANEXO3 99 UBÁ6"}</definedName>
    <definedName name="_____________________________CRM2" hidden="1">{#N/A,#N/A,FALSE,"ANEXO3 99 ERA";#N/A,#N/A,FALSE,"ANEXO3 99 UBÁ2";#N/A,#N/A,FALSE,"ANEXO3 99 DTU";#N/A,#N/A,FALSE,"ANEXO3 99 RDR";#N/A,#N/A,FALSE,"ANEXO3 99 UBÁ4";#N/A,#N/A,FALSE,"ANEXO3 99 UBÁ6"}</definedName>
    <definedName name="_____________________________CRM3" localSheetId="20" hidden="1">{#N/A,#N/A,FALSE,"ANEXO3 99 ERA";#N/A,#N/A,FALSE,"ANEXO3 99 UBÁ2";#N/A,#N/A,FALSE,"ANEXO3 99 DTU";#N/A,#N/A,FALSE,"ANEXO3 99 RDR";#N/A,#N/A,FALSE,"ANEXO3 99 UBÁ4";#N/A,#N/A,FALSE,"ANEXO3 99 UBÁ6"}</definedName>
    <definedName name="_____________________________CRM3" hidden="1">{#N/A,#N/A,FALSE,"ANEXO3 99 ERA";#N/A,#N/A,FALSE,"ANEXO3 99 UBÁ2";#N/A,#N/A,FALSE,"ANEXO3 99 DTU";#N/A,#N/A,FALSE,"ANEXO3 99 RDR";#N/A,#N/A,FALSE,"ANEXO3 99 UBÁ4";#N/A,#N/A,FALSE,"ANEXO3 99 UBÁ6"}</definedName>
    <definedName name="_____________________________CRM4" localSheetId="20" hidden="1">{#N/A,#N/A,FALSE,"ANEXO3 99 ERA";#N/A,#N/A,FALSE,"ANEXO3 99 UBÁ2";#N/A,#N/A,FALSE,"ANEXO3 99 DTU";#N/A,#N/A,FALSE,"ANEXO3 99 RDR";#N/A,#N/A,FALSE,"ANEXO3 99 UBÁ4";#N/A,#N/A,FALSE,"ANEXO3 99 UBÁ6"}</definedName>
    <definedName name="_____________________________CRM4" hidden="1">{#N/A,#N/A,FALSE,"ANEXO3 99 ERA";#N/A,#N/A,FALSE,"ANEXO3 99 UBÁ2";#N/A,#N/A,FALSE,"ANEXO3 99 DTU";#N/A,#N/A,FALSE,"ANEXO3 99 RDR";#N/A,#N/A,FALSE,"ANEXO3 99 UBÁ4";#N/A,#N/A,FALSE,"ANEXO3 99 UBÁ6"}</definedName>
    <definedName name="____________________________CRM2" localSheetId="20" hidden="1">{#N/A,#N/A,FALSE,"ANEXO3 99 ERA";#N/A,#N/A,FALSE,"ANEXO3 99 UBÁ2";#N/A,#N/A,FALSE,"ANEXO3 99 DTU";#N/A,#N/A,FALSE,"ANEXO3 99 RDR";#N/A,#N/A,FALSE,"ANEXO3 99 UBÁ4";#N/A,#N/A,FALSE,"ANEXO3 99 UBÁ6"}</definedName>
    <definedName name="____________________________CRM2" hidden="1">{#N/A,#N/A,FALSE,"ANEXO3 99 ERA";#N/A,#N/A,FALSE,"ANEXO3 99 UBÁ2";#N/A,#N/A,FALSE,"ANEXO3 99 DTU";#N/A,#N/A,FALSE,"ANEXO3 99 RDR";#N/A,#N/A,FALSE,"ANEXO3 99 UBÁ4";#N/A,#N/A,FALSE,"ANEXO3 99 UBÁ6"}</definedName>
    <definedName name="___________________________CRM2" localSheetId="20" hidden="1">{#N/A,#N/A,FALSE,"ANEXO3 99 ERA";#N/A,#N/A,FALSE,"ANEXO3 99 UBÁ2";#N/A,#N/A,FALSE,"ANEXO3 99 DTU";#N/A,#N/A,FALSE,"ANEXO3 99 RDR";#N/A,#N/A,FALSE,"ANEXO3 99 UBÁ4";#N/A,#N/A,FALSE,"ANEXO3 99 UBÁ6"}</definedName>
    <definedName name="___________________________CRM2" hidden="1">{#N/A,#N/A,FALSE,"ANEXO3 99 ERA";#N/A,#N/A,FALSE,"ANEXO3 99 UBÁ2";#N/A,#N/A,FALSE,"ANEXO3 99 DTU";#N/A,#N/A,FALSE,"ANEXO3 99 RDR";#N/A,#N/A,FALSE,"ANEXO3 99 UBÁ4";#N/A,#N/A,FALSE,"ANEXO3 99 UBÁ6"}</definedName>
    <definedName name="___________________________CRM3" localSheetId="20" hidden="1">{#N/A,#N/A,FALSE,"ANEXO3 99 ERA";#N/A,#N/A,FALSE,"ANEXO3 99 UBÁ2";#N/A,#N/A,FALSE,"ANEXO3 99 DTU";#N/A,#N/A,FALSE,"ANEXO3 99 RDR";#N/A,#N/A,FALSE,"ANEXO3 99 UBÁ4";#N/A,#N/A,FALSE,"ANEXO3 99 UBÁ6"}</definedName>
    <definedName name="___________________________CRM3" hidden="1">{#N/A,#N/A,FALSE,"ANEXO3 99 ERA";#N/A,#N/A,FALSE,"ANEXO3 99 UBÁ2";#N/A,#N/A,FALSE,"ANEXO3 99 DTU";#N/A,#N/A,FALSE,"ANEXO3 99 RDR";#N/A,#N/A,FALSE,"ANEXO3 99 UBÁ4";#N/A,#N/A,FALSE,"ANEXO3 99 UBÁ6"}</definedName>
    <definedName name="___________________________CRM4" localSheetId="20" hidden="1">{#N/A,#N/A,FALSE,"ANEXO3 99 ERA";#N/A,#N/A,FALSE,"ANEXO3 99 UBÁ2";#N/A,#N/A,FALSE,"ANEXO3 99 DTU";#N/A,#N/A,FALSE,"ANEXO3 99 RDR";#N/A,#N/A,FALSE,"ANEXO3 99 UBÁ4";#N/A,#N/A,FALSE,"ANEXO3 99 UBÁ6"}</definedName>
    <definedName name="___________________________CRM4" hidden="1">{#N/A,#N/A,FALSE,"ANEXO3 99 ERA";#N/A,#N/A,FALSE,"ANEXO3 99 UBÁ2";#N/A,#N/A,FALSE,"ANEXO3 99 DTU";#N/A,#N/A,FALSE,"ANEXO3 99 RDR";#N/A,#N/A,FALSE,"ANEXO3 99 UBÁ4";#N/A,#N/A,FALSE,"ANEXO3 99 UBÁ6"}</definedName>
    <definedName name="__________________________CRM2" localSheetId="20" hidden="1">{#N/A,#N/A,FALSE,"ANEXO3 99 ERA";#N/A,#N/A,FALSE,"ANEXO3 99 UBÁ2";#N/A,#N/A,FALSE,"ANEXO3 99 DTU";#N/A,#N/A,FALSE,"ANEXO3 99 RDR";#N/A,#N/A,FALSE,"ANEXO3 99 UBÁ4";#N/A,#N/A,FALSE,"ANEXO3 99 UBÁ6"}</definedName>
    <definedName name="__________________________CRM2" hidden="1">{#N/A,#N/A,FALSE,"ANEXO3 99 ERA";#N/A,#N/A,FALSE,"ANEXO3 99 UBÁ2";#N/A,#N/A,FALSE,"ANEXO3 99 DTU";#N/A,#N/A,FALSE,"ANEXO3 99 RDR";#N/A,#N/A,FALSE,"ANEXO3 99 UBÁ4";#N/A,#N/A,FALSE,"ANEXO3 99 UBÁ6"}</definedName>
    <definedName name="__________________________CRM3" localSheetId="20" hidden="1">{#N/A,#N/A,FALSE,"ANEXO3 99 ERA";#N/A,#N/A,FALSE,"ANEXO3 99 UBÁ2";#N/A,#N/A,FALSE,"ANEXO3 99 DTU";#N/A,#N/A,FALSE,"ANEXO3 99 RDR";#N/A,#N/A,FALSE,"ANEXO3 99 UBÁ4";#N/A,#N/A,FALSE,"ANEXO3 99 UBÁ6"}</definedName>
    <definedName name="__________________________CRM3" hidden="1">{#N/A,#N/A,FALSE,"ANEXO3 99 ERA";#N/A,#N/A,FALSE,"ANEXO3 99 UBÁ2";#N/A,#N/A,FALSE,"ANEXO3 99 DTU";#N/A,#N/A,FALSE,"ANEXO3 99 RDR";#N/A,#N/A,FALSE,"ANEXO3 99 UBÁ4";#N/A,#N/A,FALSE,"ANEXO3 99 UBÁ6"}</definedName>
    <definedName name="__________________________CRM4" localSheetId="20" hidden="1">{#N/A,#N/A,FALSE,"ANEXO3 99 ERA";#N/A,#N/A,FALSE,"ANEXO3 99 UBÁ2";#N/A,#N/A,FALSE,"ANEXO3 99 DTU";#N/A,#N/A,FALSE,"ANEXO3 99 RDR";#N/A,#N/A,FALSE,"ANEXO3 99 UBÁ4";#N/A,#N/A,FALSE,"ANEXO3 99 UBÁ6"}</definedName>
    <definedName name="__________________________CRM4" hidden="1">{#N/A,#N/A,FALSE,"ANEXO3 99 ERA";#N/A,#N/A,FALSE,"ANEXO3 99 UBÁ2";#N/A,#N/A,FALSE,"ANEXO3 99 DTU";#N/A,#N/A,FALSE,"ANEXO3 99 RDR";#N/A,#N/A,FALSE,"ANEXO3 99 UBÁ4";#N/A,#N/A,FALSE,"ANEXO3 99 UBÁ6"}</definedName>
    <definedName name="_________________________CRM2" localSheetId="20" hidden="1">{#N/A,#N/A,FALSE,"ANEXO3 99 ERA";#N/A,#N/A,FALSE,"ANEXO3 99 UBÁ2";#N/A,#N/A,FALSE,"ANEXO3 99 DTU";#N/A,#N/A,FALSE,"ANEXO3 99 RDR";#N/A,#N/A,FALSE,"ANEXO3 99 UBÁ4";#N/A,#N/A,FALSE,"ANEXO3 99 UBÁ6"}</definedName>
    <definedName name="_________________________CRM2" hidden="1">{#N/A,#N/A,FALSE,"ANEXO3 99 ERA";#N/A,#N/A,FALSE,"ANEXO3 99 UBÁ2";#N/A,#N/A,FALSE,"ANEXO3 99 DTU";#N/A,#N/A,FALSE,"ANEXO3 99 RDR";#N/A,#N/A,FALSE,"ANEXO3 99 UBÁ4";#N/A,#N/A,FALSE,"ANEXO3 99 UBÁ6"}</definedName>
    <definedName name="_________________________CRM3" localSheetId="20" hidden="1">{#N/A,#N/A,FALSE,"ANEXO3 99 ERA";#N/A,#N/A,FALSE,"ANEXO3 99 UBÁ2";#N/A,#N/A,FALSE,"ANEXO3 99 DTU";#N/A,#N/A,FALSE,"ANEXO3 99 RDR";#N/A,#N/A,FALSE,"ANEXO3 99 UBÁ4";#N/A,#N/A,FALSE,"ANEXO3 99 UBÁ6"}</definedName>
    <definedName name="_________________________CRM3" hidden="1">{#N/A,#N/A,FALSE,"ANEXO3 99 ERA";#N/A,#N/A,FALSE,"ANEXO3 99 UBÁ2";#N/A,#N/A,FALSE,"ANEXO3 99 DTU";#N/A,#N/A,FALSE,"ANEXO3 99 RDR";#N/A,#N/A,FALSE,"ANEXO3 99 UBÁ4";#N/A,#N/A,FALSE,"ANEXO3 99 UBÁ6"}</definedName>
    <definedName name="_________________________CRM4" localSheetId="20" hidden="1">{#N/A,#N/A,FALSE,"ANEXO3 99 ERA";#N/A,#N/A,FALSE,"ANEXO3 99 UBÁ2";#N/A,#N/A,FALSE,"ANEXO3 99 DTU";#N/A,#N/A,FALSE,"ANEXO3 99 RDR";#N/A,#N/A,FALSE,"ANEXO3 99 UBÁ4";#N/A,#N/A,FALSE,"ANEXO3 99 UBÁ6"}</definedName>
    <definedName name="_________________________CRM4" hidden="1">{#N/A,#N/A,FALSE,"ANEXO3 99 ERA";#N/A,#N/A,FALSE,"ANEXO3 99 UBÁ2";#N/A,#N/A,FALSE,"ANEXO3 99 DTU";#N/A,#N/A,FALSE,"ANEXO3 99 RDR";#N/A,#N/A,FALSE,"ANEXO3 99 UBÁ4";#N/A,#N/A,FALSE,"ANEXO3 99 UBÁ6"}</definedName>
    <definedName name="________________________CRM2" localSheetId="20" hidden="1">{#N/A,#N/A,FALSE,"ANEXO3 99 ERA";#N/A,#N/A,FALSE,"ANEXO3 99 UBÁ2";#N/A,#N/A,FALSE,"ANEXO3 99 DTU";#N/A,#N/A,FALSE,"ANEXO3 99 RDR";#N/A,#N/A,FALSE,"ANEXO3 99 UBÁ4";#N/A,#N/A,FALSE,"ANEXO3 99 UBÁ6"}</definedName>
    <definedName name="________________________CRM2" hidden="1">{#N/A,#N/A,FALSE,"ANEXO3 99 ERA";#N/A,#N/A,FALSE,"ANEXO3 99 UBÁ2";#N/A,#N/A,FALSE,"ANEXO3 99 DTU";#N/A,#N/A,FALSE,"ANEXO3 99 RDR";#N/A,#N/A,FALSE,"ANEXO3 99 UBÁ4";#N/A,#N/A,FALSE,"ANEXO3 99 UBÁ6"}</definedName>
    <definedName name="________________________CRM3" localSheetId="20" hidden="1">{#N/A,#N/A,FALSE,"ANEXO3 99 ERA";#N/A,#N/A,FALSE,"ANEXO3 99 UBÁ2";#N/A,#N/A,FALSE,"ANEXO3 99 DTU";#N/A,#N/A,FALSE,"ANEXO3 99 RDR";#N/A,#N/A,FALSE,"ANEXO3 99 UBÁ4";#N/A,#N/A,FALSE,"ANEXO3 99 UBÁ6"}</definedName>
    <definedName name="________________________CRM3" hidden="1">{#N/A,#N/A,FALSE,"ANEXO3 99 ERA";#N/A,#N/A,FALSE,"ANEXO3 99 UBÁ2";#N/A,#N/A,FALSE,"ANEXO3 99 DTU";#N/A,#N/A,FALSE,"ANEXO3 99 RDR";#N/A,#N/A,FALSE,"ANEXO3 99 UBÁ4";#N/A,#N/A,FALSE,"ANEXO3 99 UBÁ6"}</definedName>
    <definedName name="________________________CRM4" localSheetId="20" hidden="1">{#N/A,#N/A,FALSE,"ANEXO3 99 ERA";#N/A,#N/A,FALSE,"ANEXO3 99 UBÁ2";#N/A,#N/A,FALSE,"ANEXO3 99 DTU";#N/A,#N/A,FALSE,"ANEXO3 99 RDR";#N/A,#N/A,FALSE,"ANEXO3 99 UBÁ4";#N/A,#N/A,FALSE,"ANEXO3 99 UBÁ6"}</definedName>
    <definedName name="________________________CRM4" hidden="1">{#N/A,#N/A,FALSE,"ANEXO3 99 ERA";#N/A,#N/A,FALSE,"ANEXO3 99 UBÁ2";#N/A,#N/A,FALSE,"ANEXO3 99 DTU";#N/A,#N/A,FALSE,"ANEXO3 99 RDR";#N/A,#N/A,FALSE,"ANEXO3 99 UBÁ4";#N/A,#N/A,FALSE,"ANEXO3 99 UBÁ6"}</definedName>
    <definedName name="_______________________CRM2" localSheetId="20" hidden="1">{#N/A,#N/A,FALSE,"ANEXO3 99 ERA";#N/A,#N/A,FALSE,"ANEXO3 99 UBÁ2";#N/A,#N/A,FALSE,"ANEXO3 99 DTU";#N/A,#N/A,FALSE,"ANEXO3 99 RDR";#N/A,#N/A,FALSE,"ANEXO3 99 UBÁ4";#N/A,#N/A,FALSE,"ANEXO3 99 UBÁ6"}</definedName>
    <definedName name="_______________________CRM2" hidden="1">{#N/A,#N/A,FALSE,"ANEXO3 99 ERA";#N/A,#N/A,FALSE,"ANEXO3 99 UBÁ2";#N/A,#N/A,FALSE,"ANEXO3 99 DTU";#N/A,#N/A,FALSE,"ANEXO3 99 RDR";#N/A,#N/A,FALSE,"ANEXO3 99 UBÁ4";#N/A,#N/A,FALSE,"ANEXO3 99 UBÁ6"}</definedName>
    <definedName name="_______________________CRM3" localSheetId="20" hidden="1">{#N/A,#N/A,FALSE,"ANEXO3 99 ERA";#N/A,#N/A,FALSE,"ANEXO3 99 UBÁ2";#N/A,#N/A,FALSE,"ANEXO3 99 DTU";#N/A,#N/A,FALSE,"ANEXO3 99 RDR";#N/A,#N/A,FALSE,"ANEXO3 99 UBÁ4";#N/A,#N/A,FALSE,"ANEXO3 99 UBÁ6"}</definedName>
    <definedName name="_______________________CRM3" hidden="1">{#N/A,#N/A,FALSE,"ANEXO3 99 ERA";#N/A,#N/A,FALSE,"ANEXO3 99 UBÁ2";#N/A,#N/A,FALSE,"ANEXO3 99 DTU";#N/A,#N/A,FALSE,"ANEXO3 99 RDR";#N/A,#N/A,FALSE,"ANEXO3 99 UBÁ4";#N/A,#N/A,FALSE,"ANEXO3 99 UBÁ6"}</definedName>
    <definedName name="_______________________CRM4" localSheetId="20" hidden="1">{#N/A,#N/A,FALSE,"ANEXO3 99 ERA";#N/A,#N/A,FALSE,"ANEXO3 99 UBÁ2";#N/A,#N/A,FALSE,"ANEXO3 99 DTU";#N/A,#N/A,FALSE,"ANEXO3 99 RDR";#N/A,#N/A,FALSE,"ANEXO3 99 UBÁ4";#N/A,#N/A,FALSE,"ANEXO3 99 UBÁ6"}</definedName>
    <definedName name="_______________________CRM4" hidden="1">{#N/A,#N/A,FALSE,"ANEXO3 99 ERA";#N/A,#N/A,FALSE,"ANEXO3 99 UBÁ2";#N/A,#N/A,FALSE,"ANEXO3 99 DTU";#N/A,#N/A,FALSE,"ANEXO3 99 RDR";#N/A,#N/A,FALSE,"ANEXO3 99 UBÁ4";#N/A,#N/A,FALSE,"ANEXO3 99 UBÁ6"}</definedName>
    <definedName name="______________________CRM2" localSheetId="20" hidden="1">{#N/A,#N/A,FALSE,"ANEXO3 99 ERA";#N/A,#N/A,FALSE,"ANEXO3 99 UBÁ2";#N/A,#N/A,FALSE,"ANEXO3 99 DTU";#N/A,#N/A,FALSE,"ANEXO3 99 RDR";#N/A,#N/A,FALSE,"ANEXO3 99 UBÁ4";#N/A,#N/A,FALSE,"ANEXO3 99 UBÁ6"}</definedName>
    <definedName name="______________________CRM2" hidden="1">{#N/A,#N/A,FALSE,"ANEXO3 99 ERA";#N/A,#N/A,FALSE,"ANEXO3 99 UBÁ2";#N/A,#N/A,FALSE,"ANEXO3 99 DTU";#N/A,#N/A,FALSE,"ANEXO3 99 RDR";#N/A,#N/A,FALSE,"ANEXO3 99 UBÁ4";#N/A,#N/A,FALSE,"ANEXO3 99 UBÁ6"}</definedName>
    <definedName name="______________________CRM3" localSheetId="20" hidden="1">{#N/A,#N/A,FALSE,"ANEXO3 99 ERA";#N/A,#N/A,FALSE,"ANEXO3 99 UBÁ2";#N/A,#N/A,FALSE,"ANEXO3 99 DTU";#N/A,#N/A,FALSE,"ANEXO3 99 RDR";#N/A,#N/A,FALSE,"ANEXO3 99 UBÁ4";#N/A,#N/A,FALSE,"ANEXO3 99 UBÁ6"}</definedName>
    <definedName name="______________________CRM3" hidden="1">{#N/A,#N/A,FALSE,"ANEXO3 99 ERA";#N/A,#N/A,FALSE,"ANEXO3 99 UBÁ2";#N/A,#N/A,FALSE,"ANEXO3 99 DTU";#N/A,#N/A,FALSE,"ANEXO3 99 RDR";#N/A,#N/A,FALSE,"ANEXO3 99 UBÁ4";#N/A,#N/A,FALSE,"ANEXO3 99 UBÁ6"}</definedName>
    <definedName name="______________________CRM4" localSheetId="20" hidden="1">{#N/A,#N/A,FALSE,"ANEXO3 99 ERA";#N/A,#N/A,FALSE,"ANEXO3 99 UBÁ2";#N/A,#N/A,FALSE,"ANEXO3 99 DTU";#N/A,#N/A,FALSE,"ANEXO3 99 RDR";#N/A,#N/A,FALSE,"ANEXO3 99 UBÁ4";#N/A,#N/A,FALSE,"ANEXO3 99 UBÁ6"}</definedName>
    <definedName name="______________________CRM4" hidden="1">{#N/A,#N/A,FALSE,"ANEXO3 99 ERA";#N/A,#N/A,FALSE,"ANEXO3 99 UBÁ2";#N/A,#N/A,FALSE,"ANEXO3 99 DTU";#N/A,#N/A,FALSE,"ANEXO3 99 RDR";#N/A,#N/A,FALSE,"ANEXO3 99 UBÁ4";#N/A,#N/A,FALSE,"ANEXO3 99 UBÁ6"}</definedName>
    <definedName name="_____________________CRM2" localSheetId="20" hidden="1">{#N/A,#N/A,FALSE,"ANEXO3 99 ERA";#N/A,#N/A,FALSE,"ANEXO3 99 UBÁ2";#N/A,#N/A,FALSE,"ANEXO3 99 DTU";#N/A,#N/A,FALSE,"ANEXO3 99 RDR";#N/A,#N/A,FALSE,"ANEXO3 99 UBÁ4";#N/A,#N/A,FALSE,"ANEXO3 99 UBÁ6"}</definedName>
    <definedName name="_____________________CRM2" hidden="1">{#N/A,#N/A,FALSE,"ANEXO3 99 ERA";#N/A,#N/A,FALSE,"ANEXO3 99 UBÁ2";#N/A,#N/A,FALSE,"ANEXO3 99 DTU";#N/A,#N/A,FALSE,"ANEXO3 99 RDR";#N/A,#N/A,FALSE,"ANEXO3 99 UBÁ4";#N/A,#N/A,FALSE,"ANEXO3 99 UBÁ6"}</definedName>
    <definedName name="_____________________CRM3" localSheetId="20" hidden="1">{#N/A,#N/A,FALSE,"ANEXO3 99 ERA";#N/A,#N/A,FALSE,"ANEXO3 99 UBÁ2";#N/A,#N/A,FALSE,"ANEXO3 99 DTU";#N/A,#N/A,FALSE,"ANEXO3 99 RDR";#N/A,#N/A,FALSE,"ANEXO3 99 UBÁ4";#N/A,#N/A,FALSE,"ANEXO3 99 UBÁ6"}</definedName>
    <definedName name="_____________________CRM3" hidden="1">{#N/A,#N/A,FALSE,"ANEXO3 99 ERA";#N/A,#N/A,FALSE,"ANEXO3 99 UBÁ2";#N/A,#N/A,FALSE,"ANEXO3 99 DTU";#N/A,#N/A,FALSE,"ANEXO3 99 RDR";#N/A,#N/A,FALSE,"ANEXO3 99 UBÁ4";#N/A,#N/A,FALSE,"ANEXO3 99 UBÁ6"}</definedName>
    <definedName name="_____________________CRM4" localSheetId="20" hidden="1">{#N/A,#N/A,FALSE,"ANEXO3 99 ERA";#N/A,#N/A,FALSE,"ANEXO3 99 UBÁ2";#N/A,#N/A,FALSE,"ANEXO3 99 DTU";#N/A,#N/A,FALSE,"ANEXO3 99 RDR";#N/A,#N/A,FALSE,"ANEXO3 99 UBÁ4";#N/A,#N/A,FALSE,"ANEXO3 99 UBÁ6"}</definedName>
    <definedName name="_____________________CRM4" hidden="1">{#N/A,#N/A,FALSE,"ANEXO3 99 ERA";#N/A,#N/A,FALSE,"ANEXO3 99 UBÁ2";#N/A,#N/A,FALSE,"ANEXO3 99 DTU";#N/A,#N/A,FALSE,"ANEXO3 99 RDR";#N/A,#N/A,FALSE,"ANEXO3 99 UBÁ4";#N/A,#N/A,FALSE,"ANEXO3 99 UBÁ6"}</definedName>
    <definedName name="____________________CRM2" localSheetId="20" hidden="1">{#N/A,#N/A,FALSE,"ANEXO3 99 ERA";#N/A,#N/A,FALSE,"ANEXO3 99 UBÁ2";#N/A,#N/A,FALSE,"ANEXO3 99 DTU";#N/A,#N/A,FALSE,"ANEXO3 99 RDR";#N/A,#N/A,FALSE,"ANEXO3 99 UBÁ4";#N/A,#N/A,FALSE,"ANEXO3 99 UBÁ6"}</definedName>
    <definedName name="____________________CRM2" hidden="1">{#N/A,#N/A,FALSE,"ANEXO3 99 ERA";#N/A,#N/A,FALSE,"ANEXO3 99 UBÁ2";#N/A,#N/A,FALSE,"ANEXO3 99 DTU";#N/A,#N/A,FALSE,"ANEXO3 99 RDR";#N/A,#N/A,FALSE,"ANEXO3 99 UBÁ4";#N/A,#N/A,FALSE,"ANEXO3 99 UBÁ6"}</definedName>
    <definedName name="____________________CRM3" localSheetId="20" hidden="1">{#N/A,#N/A,FALSE,"ANEXO3 99 ERA";#N/A,#N/A,FALSE,"ANEXO3 99 UBÁ2";#N/A,#N/A,FALSE,"ANEXO3 99 DTU";#N/A,#N/A,FALSE,"ANEXO3 99 RDR";#N/A,#N/A,FALSE,"ANEXO3 99 UBÁ4";#N/A,#N/A,FALSE,"ANEXO3 99 UBÁ6"}</definedName>
    <definedName name="____________________CRM3" hidden="1">{#N/A,#N/A,FALSE,"ANEXO3 99 ERA";#N/A,#N/A,FALSE,"ANEXO3 99 UBÁ2";#N/A,#N/A,FALSE,"ANEXO3 99 DTU";#N/A,#N/A,FALSE,"ANEXO3 99 RDR";#N/A,#N/A,FALSE,"ANEXO3 99 UBÁ4";#N/A,#N/A,FALSE,"ANEXO3 99 UBÁ6"}</definedName>
    <definedName name="____________________CRM4" localSheetId="20" hidden="1">{#N/A,#N/A,FALSE,"ANEXO3 99 ERA";#N/A,#N/A,FALSE,"ANEXO3 99 UBÁ2";#N/A,#N/A,FALSE,"ANEXO3 99 DTU";#N/A,#N/A,FALSE,"ANEXO3 99 RDR";#N/A,#N/A,FALSE,"ANEXO3 99 UBÁ4";#N/A,#N/A,FALSE,"ANEXO3 99 UBÁ6"}</definedName>
    <definedName name="____________________CRM4" hidden="1">{#N/A,#N/A,FALSE,"ANEXO3 99 ERA";#N/A,#N/A,FALSE,"ANEXO3 99 UBÁ2";#N/A,#N/A,FALSE,"ANEXO3 99 DTU";#N/A,#N/A,FALSE,"ANEXO3 99 RDR";#N/A,#N/A,FALSE,"ANEXO3 99 UBÁ4";#N/A,#N/A,FALSE,"ANEXO3 99 UBÁ6"}</definedName>
    <definedName name="___________________CRM2" localSheetId="20" hidden="1">{#N/A,#N/A,FALSE,"ANEXO3 99 ERA";#N/A,#N/A,FALSE,"ANEXO3 99 UBÁ2";#N/A,#N/A,FALSE,"ANEXO3 99 DTU";#N/A,#N/A,FALSE,"ANEXO3 99 RDR";#N/A,#N/A,FALSE,"ANEXO3 99 UBÁ4";#N/A,#N/A,FALSE,"ANEXO3 99 UBÁ6"}</definedName>
    <definedName name="___________________CRM2" hidden="1">{#N/A,#N/A,FALSE,"ANEXO3 99 ERA";#N/A,#N/A,FALSE,"ANEXO3 99 UBÁ2";#N/A,#N/A,FALSE,"ANEXO3 99 DTU";#N/A,#N/A,FALSE,"ANEXO3 99 RDR";#N/A,#N/A,FALSE,"ANEXO3 99 UBÁ4";#N/A,#N/A,FALSE,"ANEXO3 99 UBÁ6"}</definedName>
    <definedName name="___________________CRM3" localSheetId="20" hidden="1">{#N/A,#N/A,FALSE,"ANEXO3 99 ERA";#N/A,#N/A,FALSE,"ANEXO3 99 UBÁ2";#N/A,#N/A,FALSE,"ANEXO3 99 DTU";#N/A,#N/A,FALSE,"ANEXO3 99 RDR";#N/A,#N/A,FALSE,"ANEXO3 99 UBÁ4";#N/A,#N/A,FALSE,"ANEXO3 99 UBÁ6"}</definedName>
    <definedName name="___________________CRM3" hidden="1">{#N/A,#N/A,FALSE,"ANEXO3 99 ERA";#N/A,#N/A,FALSE,"ANEXO3 99 UBÁ2";#N/A,#N/A,FALSE,"ANEXO3 99 DTU";#N/A,#N/A,FALSE,"ANEXO3 99 RDR";#N/A,#N/A,FALSE,"ANEXO3 99 UBÁ4";#N/A,#N/A,FALSE,"ANEXO3 99 UBÁ6"}</definedName>
    <definedName name="___________________CRM4" localSheetId="20" hidden="1">{#N/A,#N/A,FALSE,"ANEXO3 99 ERA";#N/A,#N/A,FALSE,"ANEXO3 99 UBÁ2";#N/A,#N/A,FALSE,"ANEXO3 99 DTU";#N/A,#N/A,FALSE,"ANEXO3 99 RDR";#N/A,#N/A,FALSE,"ANEXO3 99 UBÁ4";#N/A,#N/A,FALSE,"ANEXO3 99 UBÁ6"}</definedName>
    <definedName name="___________________CRM4" hidden="1">{#N/A,#N/A,FALSE,"ANEXO3 99 ERA";#N/A,#N/A,FALSE,"ANEXO3 99 UBÁ2";#N/A,#N/A,FALSE,"ANEXO3 99 DTU";#N/A,#N/A,FALSE,"ANEXO3 99 RDR";#N/A,#N/A,FALSE,"ANEXO3 99 UBÁ4";#N/A,#N/A,FALSE,"ANEXO3 99 UBÁ6"}</definedName>
    <definedName name="__________________CRM2" localSheetId="20" hidden="1">{#N/A,#N/A,FALSE,"ANEXO3 99 ERA";#N/A,#N/A,FALSE,"ANEXO3 99 UBÁ2";#N/A,#N/A,FALSE,"ANEXO3 99 DTU";#N/A,#N/A,FALSE,"ANEXO3 99 RDR";#N/A,#N/A,FALSE,"ANEXO3 99 UBÁ4";#N/A,#N/A,FALSE,"ANEXO3 99 UBÁ6"}</definedName>
    <definedName name="__________________CRM2" hidden="1">{#N/A,#N/A,FALSE,"ANEXO3 99 ERA";#N/A,#N/A,FALSE,"ANEXO3 99 UBÁ2";#N/A,#N/A,FALSE,"ANEXO3 99 DTU";#N/A,#N/A,FALSE,"ANEXO3 99 RDR";#N/A,#N/A,FALSE,"ANEXO3 99 UBÁ4";#N/A,#N/A,FALSE,"ANEXO3 99 UBÁ6"}</definedName>
    <definedName name="__________________CRM3" localSheetId="20" hidden="1">{#N/A,#N/A,FALSE,"ANEXO3 99 ERA";#N/A,#N/A,FALSE,"ANEXO3 99 UBÁ2";#N/A,#N/A,FALSE,"ANEXO3 99 DTU";#N/A,#N/A,FALSE,"ANEXO3 99 RDR";#N/A,#N/A,FALSE,"ANEXO3 99 UBÁ4";#N/A,#N/A,FALSE,"ANEXO3 99 UBÁ6"}</definedName>
    <definedName name="__________________CRM3" hidden="1">{#N/A,#N/A,FALSE,"ANEXO3 99 ERA";#N/A,#N/A,FALSE,"ANEXO3 99 UBÁ2";#N/A,#N/A,FALSE,"ANEXO3 99 DTU";#N/A,#N/A,FALSE,"ANEXO3 99 RDR";#N/A,#N/A,FALSE,"ANEXO3 99 UBÁ4";#N/A,#N/A,FALSE,"ANEXO3 99 UBÁ6"}</definedName>
    <definedName name="__________________CRM4" localSheetId="20" hidden="1">{#N/A,#N/A,FALSE,"ANEXO3 99 ERA";#N/A,#N/A,FALSE,"ANEXO3 99 UBÁ2";#N/A,#N/A,FALSE,"ANEXO3 99 DTU";#N/A,#N/A,FALSE,"ANEXO3 99 RDR";#N/A,#N/A,FALSE,"ANEXO3 99 UBÁ4";#N/A,#N/A,FALSE,"ANEXO3 99 UBÁ6"}</definedName>
    <definedName name="__________________CRM4" hidden="1">{#N/A,#N/A,FALSE,"ANEXO3 99 ERA";#N/A,#N/A,FALSE,"ANEXO3 99 UBÁ2";#N/A,#N/A,FALSE,"ANEXO3 99 DTU";#N/A,#N/A,FALSE,"ANEXO3 99 RDR";#N/A,#N/A,FALSE,"ANEXO3 99 UBÁ4";#N/A,#N/A,FALSE,"ANEXO3 99 UBÁ6"}</definedName>
    <definedName name="_________________CRM3" localSheetId="20" hidden="1">{#N/A,#N/A,FALSE,"ANEXO3 99 ERA";#N/A,#N/A,FALSE,"ANEXO3 99 UBÁ2";#N/A,#N/A,FALSE,"ANEXO3 99 DTU";#N/A,#N/A,FALSE,"ANEXO3 99 RDR";#N/A,#N/A,FALSE,"ANEXO3 99 UBÁ4";#N/A,#N/A,FALSE,"ANEXO3 99 UBÁ6"}</definedName>
    <definedName name="_________________CRM3" hidden="1">{#N/A,#N/A,FALSE,"ANEXO3 99 ERA";#N/A,#N/A,FALSE,"ANEXO3 99 UBÁ2";#N/A,#N/A,FALSE,"ANEXO3 99 DTU";#N/A,#N/A,FALSE,"ANEXO3 99 RDR";#N/A,#N/A,FALSE,"ANEXO3 99 UBÁ4";#N/A,#N/A,FALSE,"ANEXO3 99 UBÁ6"}</definedName>
    <definedName name="________________CRM2" localSheetId="20" hidden="1">{#N/A,#N/A,FALSE,"ANEXO3 99 ERA";#N/A,#N/A,FALSE,"ANEXO3 99 UBÁ2";#N/A,#N/A,FALSE,"ANEXO3 99 DTU";#N/A,#N/A,FALSE,"ANEXO3 99 RDR";#N/A,#N/A,FALSE,"ANEXO3 99 UBÁ4";#N/A,#N/A,FALSE,"ANEXO3 99 UBÁ6"}</definedName>
    <definedName name="________________CRM2" hidden="1">{#N/A,#N/A,FALSE,"ANEXO3 99 ERA";#N/A,#N/A,FALSE,"ANEXO3 99 UBÁ2";#N/A,#N/A,FALSE,"ANEXO3 99 DTU";#N/A,#N/A,FALSE,"ANEXO3 99 RDR";#N/A,#N/A,FALSE,"ANEXO3 99 UBÁ4";#N/A,#N/A,FALSE,"ANEXO3 99 UBÁ6"}</definedName>
    <definedName name="________________CRM3" localSheetId="20" hidden="1">{#N/A,#N/A,FALSE,"ANEXO3 99 ERA";#N/A,#N/A,FALSE,"ANEXO3 99 UBÁ2";#N/A,#N/A,FALSE,"ANEXO3 99 DTU";#N/A,#N/A,FALSE,"ANEXO3 99 RDR";#N/A,#N/A,FALSE,"ANEXO3 99 UBÁ4";#N/A,#N/A,FALSE,"ANEXO3 99 UBÁ6"}</definedName>
    <definedName name="________________CRM3" hidden="1">{#N/A,#N/A,FALSE,"ANEXO3 99 ERA";#N/A,#N/A,FALSE,"ANEXO3 99 UBÁ2";#N/A,#N/A,FALSE,"ANEXO3 99 DTU";#N/A,#N/A,FALSE,"ANEXO3 99 RDR";#N/A,#N/A,FALSE,"ANEXO3 99 UBÁ4";#N/A,#N/A,FALSE,"ANEXO3 99 UBÁ6"}</definedName>
    <definedName name="________________CRM4" localSheetId="20" hidden="1">{#N/A,#N/A,FALSE,"ANEXO3 99 ERA";#N/A,#N/A,FALSE,"ANEXO3 99 UBÁ2";#N/A,#N/A,FALSE,"ANEXO3 99 DTU";#N/A,#N/A,FALSE,"ANEXO3 99 RDR";#N/A,#N/A,FALSE,"ANEXO3 99 UBÁ4";#N/A,#N/A,FALSE,"ANEXO3 99 UBÁ6"}</definedName>
    <definedName name="________________CRM4" hidden="1">{#N/A,#N/A,FALSE,"ANEXO3 99 ERA";#N/A,#N/A,FALSE,"ANEXO3 99 UBÁ2";#N/A,#N/A,FALSE,"ANEXO3 99 DTU";#N/A,#N/A,FALSE,"ANEXO3 99 RDR";#N/A,#N/A,FALSE,"ANEXO3 99 UBÁ4";#N/A,#N/A,FALSE,"ANEXO3 99 UBÁ6"}</definedName>
    <definedName name="_______________CRM2" localSheetId="20" hidden="1">{#N/A,#N/A,FALSE,"ANEXO3 99 ERA";#N/A,#N/A,FALSE,"ANEXO3 99 UBÁ2";#N/A,#N/A,FALSE,"ANEXO3 99 DTU";#N/A,#N/A,FALSE,"ANEXO3 99 RDR";#N/A,#N/A,FALSE,"ANEXO3 99 UBÁ4";#N/A,#N/A,FALSE,"ANEXO3 99 UBÁ6"}</definedName>
    <definedName name="_______________CRM2" hidden="1">{#N/A,#N/A,FALSE,"ANEXO3 99 ERA";#N/A,#N/A,FALSE,"ANEXO3 99 UBÁ2";#N/A,#N/A,FALSE,"ANEXO3 99 DTU";#N/A,#N/A,FALSE,"ANEXO3 99 RDR";#N/A,#N/A,FALSE,"ANEXO3 99 UBÁ4";#N/A,#N/A,FALSE,"ANEXO3 99 UBÁ6"}</definedName>
    <definedName name="_______________CRM3" localSheetId="20" hidden="1">{#N/A,#N/A,FALSE,"ANEXO3 99 ERA";#N/A,#N/A,FALSE,"ANEXO3 99 UBÁ2";#N/A,#N/A,FALSE,"ANEXO3 99 DTU";#N/A,#N/A,FALSE,"ANEXO3 99 RDR";#N/A,#N/A,FALSE,"ANEXO3 99 UBÁ4";#N/A,#N/A,FALSE,"ANEXO3 99 UBÁ6"}</definedName>
    <definedName name="_______________CRM3" hidden="1">{#N/A,#N/A,FALSE,"ANEXO3 99 ERA";#N/A,#N/A,FALSE,"ANEXO3 99 UBÁ2";#N/A,#N/A,FALSE,"ANEXO3 99 DTU";#N/A,#N/A,FALSE,"ANEXO3 99 RDR";#N/A,#N/A,FALSE,"ANEXO3 99 UBÁ4";#N/A,#N/A,FALSE,"ANEXO3 99 UBÁ6"}</definedName>
    <definedName name="_______________CRM4" localSheetId="20" hidden="1">{#N/A,#N/A,FALSE,"ANEXO3 99 ERA";#N/A,#N/A,FALSE,"ANEXO3 99 UBÁ2";#N/A,#N/A,FALSE,"ANEXO3 99 DTU";#N/A,#N/A,FALSE,"ANEXO3 99 RDR";#N/A,#N/A,FALSE,"ANEXO3 99 UBÁ4";#N/A,#N/A,FALSE,"ANEXO3 99 UBÁ6"}</definedName>
    <definedName name="_______________CRM4" hidden="1">{#N/A,#N/A,FALSE,"ANEXO3 99 ERA";#N/A,#N/A,FALSE,"ANEXO3 99 UBÁ2";#N/A,#N/A,FALSE,"ANEXO3 99 DTU";#N/A,#N/A,FALSE,"ANEXO3 99 RDR";#N/A,#N/A,FALSE,"ANEXO3 99 UBÁ4";#N/A,#N/A,FALSE,"ANEXO3 99 UBÁ6"}</definedName>
    <definedName name="______________CRM2" localSheetId="20" hidden="1">{#N/A,#N/A,FALSE,"ANEXO3 99 ERA";#N/A,#N/A,FALSE,"ANEXO3 99 UBÁ2";#N/A,#N/A,FALSE,"ANEXO3 99 DTU";#N/A,#N/A,FALSE,"ANEXO3 99 RDR";#N/A,#N/A,FALSE,"ANEXO3 99 UBÁ4";#N/A,#N/A,FALSE,"ANEXO3 99 UBÁ6"}</definedName>
    <definedName name="______________CRM2" hidden="1">{#N/A,#N/A,FALSE,"ANEXO3 99 ERA";#N/A,#N/A,FALSE,"ANEXO3 99 UBÁ2";#N/A,#N/A,FALSE,"ANEXO3 99 DTU";#N/A,#N/A,FALSE,"ANEXO3 99 RDR";#N/A,#N/A,FALSE,"ANEXO3 99 UBÁ4";#N/A,#N/A,FALSE,"ANEXO3 99 UBÁ6"}</definedName>
    <definedName name="______________CRM3" localSheetId="20" hidden="1">{#N/A,#N/A,FALSE,"ANEXO3 99 ERA";#N/A,#N/A,FALSE,"ANEXO3 99 UBÁ2";#N/A,#N/A,FALSE,"ANEXO3 99 DTU";#N/A,#N/A,FALSE,"ANEXO3 99 RDR";#N/A,#N/A,FALSE,"ANEXO3 99 UBÁ4";#N/A,#N/A,FALSE,"ANEXO3 99 UBÁ6"}</definedName>
    <definedName name="______________CRM3" hidden="1">{#N/A,#N/A,FALSE,"ANEXO3 99 ERA";#N/A,#N/A,FALSE,"ANEXO3 99 UBÁ2";#N/A,#N/A,FALSE,"ANEXO3 99 DTU";#N/A,#N/A,FALSE,"ANEXO3 99 RDR";#N/A,#N/A,FALSE,"ANEXO3 99 UBÁ4";#N/A,#N/A,FALSE,"ANEXO3 99 UBÁ6"}</definedName>
    <definedName name="______________CRM4" localSheetId="20" hidden="1">{#N/A,#N/A,FALSE,"ANEXO3 99 ERA";#N/A,#N/A,FALSE,"ANEXO3 99 UBÁ2";#N/A,#N/A,FALSE,"ANEXO3 99 DTU";#N/A,#N/A,FALSE,"ANEXO3 99 RDR";#N/A,#N/A,FALSE,"ANEXO3 99 UBÁ4";#N/A,#N/A,FALSE,"ANEXO3 99 UBÁ6"}</definedName>
    <definedName name="______________CRM4" hidden="1">{#N/A,#N/A,FALSE,"ANEXO3 99 ERA";#N/A,#N/A,FALSE,"ANEXO3 99 UBÁ2";#N/A,#N/A,FALSE,"ANEXO3 99 DTU";#N/A,#N/A,FALSE,"ANEXO3 99 RDR";#N/A,#N/A,FALSE,"ANEXO3 99 UBÁ4";#N/A,#N/A,FALSE,"ANEXO3 99 UBÁ6"}</definedName>
    <definedName name="_____________CRM2" localSheetId="20" hidden="1">{#N/A,#N/A,FALSE,"ANEXO3 99 ERA";#N/A,#N/A,FALSE,"ANEXO3 99 UBÁ2";#N/A,#N/A,FALSE,"ANEXO3 99 DTU";#N/A,#N/A,FALSE,"ANEXO3 99 RDR";#N/A,#N/A,FALSE,"ANEXO3 99 UBÁ4";#N/A,#N/A,FALSE,"ANEXO3 99 UBÁ6"}</definedName>
    <definedName name="_____________CRM2" hidden="1">{#N/A,#N/A,FALSE,"ANEXO3 99 ERA";#N/A,#N/A,FALSE,"ANEXO3 99 UBÁ2";#N/A,#N/A,FALSE,"ANEXO3 99 DTU";#N/A,#N/A,FALSE,"ANEXO3 99 RDR";#N/A,#N/A,FALSE,"ANEXO3 99 UBÁ4";#N/A,#N/A,FALSE,"ANEXO3 99 UBÁ6"}</definedName>
    <definedName name="_____________CRM3" localSheetId="20" hidden="1">{#N/A,#N/A,FALSE,"ANEXO3 99 ERA";#N/A,#N/A,FALSE,"ANEXO3 99 UBÁ2";#N/A,#N/A,FALSE,"ANEXO3 99 DTU";#N/A,#N/A,FALSE,"ANEXO3 99 RDR";#N/A,#N/A,FALSE,"ANEXO3 99 UBÁ4";#N/A,#N/A,FALSE,"ANEXO3 99 UBÁ6"}</definedName>
    <definedName name="_____________CRM3" hidden="1">{#N/A,#N/A,FALSE,"ANEXO3 99 ERA";#N/A,#N/A,FALSE,"ANEXO3 99 UBÁ2";#N/A,#N/A,FALSE,"ANEXO3 99 DTU";#N/A,#N/A,FALSE,"ANEXO3 99 RDR";#N/A,#N/A,FALSE,"ANEXO3 99 UBÁ4";#N/A,#N/A,FALSE,"ANEXO3 99 UBÁ6"}</definedName>
    <definedName name="_____________CRM4" localSheetId="20" hidden="1">{#N/A,#N/A,FALSE,"ANEXO3 99 ERA";#N/A,#N/A,FALSE,"ANEXO3 99 UBÁ2";#N/A,#N/A,FALSE,"ANEXO3 99 DTU";#N/A,#N/A,FALSE,"ANEXO3 99 RDR";#N/A,#N/A,FALSE,"ANEXO3 99 UBÁ4";#N/A,#N/A,FALSE,"ANEXO3 99 UBÁ6"}</definedName>
    <definedName name="_____________CRM4" hidden="1">{#N/A,#N/A,FALSE,"ANEXO3 99 ERA";#N/A,#N/A,FALSE,"ANEXO3 99 UBÁ2";#N/A,#N/A,FALSE,"ANEXO3 99 DTU";#N/A,#N/A,FALSE,"ANEXO3 99 RDR";#N/A,#N/A,FALSE,"ANEXO3 99 UBÁ4";#N/A,#N/A,FALSE,"ANEXO3 99 UBÁ6"}</definedName>
    <definedName name="____________CRM2" localSheetId="20" hidden="1">{#N/A,#N/A,FALSE,"ANEXO3 99 ERA";#N/A,#N/A,FALSE,"ANEXO3 99 UBÁ2";#N/A,#N/A,FALSE,"ANEXO3 99 DTU";#N/A,#N/A,FALSE,"ANEXO3 99 RDR";#N/A,#N/A,FALSE,"ANEXO3 99 UBÁ4";#N/A,#N/A,FALSE,"ANEXO3 99 UBÁ6"}</definedName>
    <definedName name="____________CRM2" hidden="1">{#N/A,#N/A,FALSE,"ANEXO3 99 ERA";#N/A,#N/A,FALSE,"ANEXO3 99 UBÁ2";#N/A,#N/A,FALSE,"ANEXO3 99 DTU";#N/A,#N/A,FALSE,"ANEXO3 99 RDR";#N/A,#N/A,FALSE,"ANEXO3 99 UBÁ4";#N/A,#N/A,FALSE,"ANEXO3 99 UBÁ6"}</definedName>
    <definedName name="____________CRM3" localSheetId="20" hidden="1">{#N/A,#N/A,FALSE,"ANEXO3 99 ERA";#N/A,#N/A,FALSE,"ANEXO3 99 UBÁ2";#N/A,#N/A,FALSE,"ANEXO3 99 DTU";#N/A,#N/A,FALSE,"ANEXO3 99 RDR";#N/A,#N/A,FALSE,"ANEXO3 99 UBÁ4";#N/A,#N/A,FALSE,"ANEXO3 99 UBÁ6"}</definedName>
    <definedName name="____________CRM3" hidden="1">{#N/A,#N/A,FALSE,"ANEXO3 99 ERA";#N/A,#N/A,FALSE,"ANEXO3 99 UBÁ2";#N/A,#N/A,FALSE,"ANEXO3 99 DTU";#N/A,#N/A,FALSE,"ANEXO3 99 RDR";#N/A,#N/A,FALSE,"ANEXO3 99 UBÁ4";#N/A,#N/A,FALSE,"ANEXO3 99 UBÁ6"}</definedName>
    <definedName name="____________CRM4" localSheetId="20" hidden="1">{#N/A,#N/A,FALSE,"ANEXO3 99 ERA";#N/A,#N/A,FALSE,"ANEXO3 99 UBÁ2";#N/A,#N/A,FALSE,"ANEXO3 99 DTU";#N/A,#N/A,FALSE,"ANEXO3 99 RDR";#N/A,#N/A,FALSE,"ANEXO3 99 UBÁ4";#N/A,#N/A,FALSE,"ANEXO3 99 UBÁ6"}</definedName>
    <definedName name="____________CRM4" hidden="1">{#N/A,#N/A,FALSE,"ANEXO3 99 ERA";#N/A,#N/A,FALSE,"ANEXO3 99 UBÁ2";#N/A,#N/A,FALSE,"ANEXO3 99 DTU";#N/A,#N/A,FALSE,"ANEXO3 99 RDR";#N/A,#N/A,FALSE,"ANEXO3 99 UBÁ4";#N/A,#N/A,FALSE,"ANEXO3 99 UBÁ6"}</definedName>
    <definedName name="___________CRM2" localSheetId="20" hidden="1">{#N/A,#N/A,FALSE,"ANEXO3 99 ERA";#N/A,#N/A,FALSE,"ANEXO3 99 UBÁ2";#N/A,#N/A,FALSE,"ANEXO3 99 DTU";#N/A,#N/A,FALSE,"ANEXO3 99 RDR";#N/A,#N/A,FALSE,"ANEXO3 99 UBÁ4";#N/A,#N/A,FALSE,"ANEXO3 99 UBÁ6"}</definedName>
    <definedName name="___________CRM2" hidden="1">{#N/A,#N/A,FALSE,"ANEXO3 99 ERA";#N/A,#N/A,FALSE,"ANEXO3 99 UBÁ2";#N/A,#N/A,FALSE,"ANEXO3 99 DTU";#N/A,#N/A,FALSE,"ANEXO3 99 RDR";#N/A,#N/A,FALSE,"ANEXO3 99 UBÁ4";#N/A,#N/A,FALSE,"ANEXO3 99 UBÁ6"}</definedName>
    <definedName name="___________CRM3" localSheetId="20" hidden="1">{#N/A,#N/A,FALSE,"ANEXO3 99 ERA";#N/A,#N/A,FALSE,"ANEXO3 99 UBÁ2";#N/A,#N/A,FALSE,"ANEXO3 99 DTU";#N/A,#N/A,FALSE,"ANEXO3 99 RDR";#N/A,#N/A,FALSE,"ANEXO3 99 UBÁ4";#N/A,#N/A,FALSE,"ANEXO3 99 UBÁ6"}</definedName>
    <definedName name="___________CRM3" hidden="1">{#N/A,#N/A,FALSE,"ANEXO3 99 ERA";#N/A,#N/A,FALSE,"ANEXO3 99 UBÁ2";#N/A,#N/A,FALSE,"ANEXO3 99 DTU";#N/A,#N/A,FALSE,"ANEXO3 99 RDR";#N/A,#N/A,FALSE,"ANEXO3 99 UBÁ4";#N/A,#N/A,FALSE,"ANEXO3 99 UBÁ6"}</definedName>
    <definedName name="___________CRM4" localSheetId="20" hidden="1">{#N/A,#N/A,FALSE,"ANEXO3 99 ERA";#N/A,#N/A,FALSE,"ANEXO3 99 UBÁ2";#N/A,#N/A,FALSE,"ANEXO3 99 DTU";#N/A,#N/A,FALSE,"ANEXO3 99 RDR";#N/A,#N/A,FALSE,"ANEXO3 99 UBÁ4";#N/A,#N/A,FALSE,"ANEXO3 99 UBÁ6"}</definedName>
    <definedName name="___________CRM4" hidden="1">{#N/A,#N/A,FALSE,"ANEXO3 99 ERA";#N/A,#N/A,FALSE,"ANEXO3 99 UBÁ2";#N/A,#N/A,FALSE,"ANEXO3 99 DTU";#N/A,#N/A,FALSE,"ANEXO3 99 RDR";#N/A,#N/A,FALSE,"ANEXO3 99 UBÁ4";#N/A,#N/A,FALSE,"ANEXO3 99 UBÁ6"}</definedName>
    <definedName name="__________CRM2" localSheetId="20" hidden="1">{#N/A,#N/A,FALSE,"ANEXO3 99 ERA";#N/A,#N/A,FALSE,"ANEXO3 99 UBÁ2";#N/A,#N/A,FALSE,"ANEXO3 99 DTU";#N/A,#N/A,FALSE,"ANEXO3 99 RDR";#N/A,#N/A,FALSE,"ANEXO3 99 UBÁ4";#N/A,#N/A,FALSE,"ANEXO3 99 UBÁ6"}</definedName>
    <definedName name="__________CRM2" hidden="1">{#N/A,#N/A,FALSE,"ANEXO3 99 ERA";#N/A,#N/A,FALSE,"ANEXO3 99 UBÁ2";#N/A,#N/A,FALSE,"ANEXO3 99 DTU";#N/A,#N/A,FALSE,"ANEXO3 99 RDR";#N/A,#N/A,FALSE,"ANEXO3 99 UBÁ4";#N/A,#N/A,FALSE,"ANEXO3 99 UBÁ6"}</definedName>
    <definedName name="__________CRM3" localSheetId="20" hidden="1">{#N/A,#N/A,FALSE,"ANEXO3 99 ERA";#N/A,#N/A,FALSE,"ANEXO3 99 UBÁ2";#N/A,#N/A,FALSE,"ANEXO3 99 DTU";#N/A,#N/A,FALSE,"ANEXO3 99 RDR";#N/A,#N/A,FALSE,"ANEXO3 99 UBÁ4";#N/A,#N/A,FALSE,"ANEXO3 99 UBÁ6"}</definedName>
    <definedName name="__________CRM3" hidden="1">{#N/A,#N/A,FALSE,"ANEXO3 99 ERA";#N/A,#N/A,FALSE,"ANEXO3 99 UBÁ2";#N/A,#N/A,FALSE,"ANEXO3 99 DTU";#N/A,#N/A,FALSE,"ANEXO3 99 RDR";#N/A,#N/A,FALSE,"ANEXO3 99 UBÁ4";#N/A,#N/A,FALSE,"ANEXO3 99 UBÁ6"}</definedName>
    <definedName name="__________CRM4" localSheetId="20" hidden="1">{#N/A,#N/A,FALSE,"ANEXO3 99 ERA";#N/A,#N/A,FALSE,"ANEXO3 99 UBÁ2";#N/A,#N/A,FALSE,"ANEXO3 99 DTU";#N/A,#N/A,FALSE,"ANEXO3 99 RDR";#N/A,#N/A,FALSE,"ANEXO3 99 UBÁ4";#N/A,#N/A,FALSE,"ANEXO3 99 UBÁ6"}</definedName>
    <definedName name="__________CRM4" hidden="1">{#N/A,#N/A,FALSE,"ANEXO3 99 ERA";#N/A,#N/A,FALSE,"ANEXO3 99 UBÁ2";#N/A,#N/A,FALSE,"ANEXO3 99 DTU";#N/A,#N/A,FALSE,"ANEXO3 99 RDR";#N/A,#N/A,FALSE,"ANEXO3 99 UBÁ4";#N/A,#N/A,FALSE,"ANEXO3 99 UBÁ6"}</definedName>
    <definedName name="_________CRM2" localSheetId="20" hidden="1">{#N/A,#N/A,FALSE,"ANEXO3 99 ERA";#N/A,#N/A,FALSE,"ANEXO3 99 UBÁ2";#N/A,#N/A,FALSE,"ANEXO3 99 DTU";#N/A,#N/A,FALSE,"ANEXO3 99 RDR";#N/A,#N/A,FALSE,"ANEXO3 99 UBÁ4";#N/A,#N/A,FALSE,"ANEXO3 99 UBÁ6"}</definedName>
    <definedName name="_________CRM2" hidden="1">{#N/A,#N/A,FALSE,"ANEXO3 99 ERA";#N/A,#N/A,FALSE,"ANEXO3 99 UBÁ2";#N/A,#N/A,FALSE,"ANEXO3 99 DTU";#N/A,#N/A,FALSE,"ANEXO3 99 RDR";#N/A,#N/A,FALSE,"ANEXO3 99 UBÁ4";#N/A,#N/A,FALSE,"ANEXO3 99 UBÁ6"}</definedName>
    <definedName name="_________CRM3" localSheetId="20" hidden="1">{#N/A,#N/A,FALSE,"ANEXO3 99 ERA";#N/A,#N/A,FALSE,"ANEXO3 99 UBÁ2";#N/A,#N/A,FALSE,"ANEXO3 99 DTU";#N/A,#N/A,FALSE,"ANEXO3 99 RDR";#N/A,#N/A,FALSE,"ANEXO3 99 UBÁ4";#N/A,#N/A,FALSE,"ANEXO3 99 UBÁ6"}</definedName>
    <definedName name="_________CRM3" hidden="1">{#N/A,#N/A,FALSE,"ANEXO3 99 ERA";#N/A,#N/A,FALSE,"ANEXO3 99 UBÁ2";#N/A,#N/A,FALSE,"ANEXO3 99 DTU";#N/A,#N/A,FALSE,"ANEXO3 99 RDR";#N/A,#N/A,FALSE,"ANEXO3 99 UBÁ4";#N/A,#N/A,FALSE,"ANEXO3 99 UBÁ6"}</definedName>
    <definedName name="_________CRM4" localSheetId="20" hidden="1">{#N/A,#N/A,FALSE,"ANEXO3 99 ERA";#N/A,#N/A,FALSE,"ANEXO3 99 UBÁ2";#N/A,#N/A,FALSE,"ANEXO3 99 DTU";#N/A,#N/A,FALSE,"ANEXO3 99 RDR";#N/A,#N/A,FALSE,"ANEXO3 99 UBÁ4";#N/A,#N/A,FALSE,"ANEXO3 99 UBÁ6"}</definedName>
    <definedName name="_________CRM4" hidden="1">{#N/A,#N/A,FALSE,"ANEXO3 99 ERA";#N/A,#N/A,FALSE,"ANEXO3 99 UBÁ2";#N/A,#N/A,FALSE,"ANEXO3 99 DTU";#N/A,#N/A,FALSE,"ANEXO3 99 RDR";#N/A,#N/A,FALSE,"ANEXO3 99 UBÁ4";#N/A,#N/A,FALSE,"ANEXO3 99 UBÁ6"}</definedName>
    <definedName name="________CRM2" localSheetId="20" hidden="1">{#N/A,#N/A,FALSE,"ANEXO3 99 ERA";#N/A,#N/A,FALSE,"ANEXO3 99 UBÁ2";#N/A,#N/A,FALSE,"ANEXO3 99 DTU";#N/A,#N/A,FALSE,"ANEXO3 99 RDR";#N/A,#N/A,FALSE,"ANEXO3 99 UBÁ4";#N/A,#N/A,FALSE,"ANEXO3 99 UBÁ6"}</definedName>
    <definedName name="________CRM2" hidden="1">{#N/A,#N/A,FALSE,"ANEXO3 99 ERA";#N/A,#N/A,FALSE,"ANEXO3 99 UBÁ2";#N/A,#N/A,FALSE,"ANEXO3 99 DTU";#N/A,#N/A,FALSE,"ANEXO3 99 RDR";#N/A,#N/A,FALSE,"ANEXO3 99 UBÁ4";#N/A,#N/A,FALSE,"ANEXO3 99 UBÁ6"}</definedName>
    <definedName name="________CRM3" localSheetId="20" hidden="1">{#N/A,#N/A,FALSE,"ANEXO3 99 ERA";#N/A,#N/A,FALSE,"ANEXO3 99 UBÁ2";#N/A,#N/A,FALSE,"ANEXO3 99 DTU";#N/A,#N/A,FALSE,"ANEXO3 99 RDR";#N/A,#N/A,FALSE,"ANEXO3 99 UBÁ4";#N/A,#N/A,FALSE,"ANEXO3 99 UBÁ6"}</definedName>
    <definedName name="________CRM3" hidden="1">{#N/A,#N/A,FALSE,"ANEXO3 99 ERA";#N/A,#N/A,FALSE,"ANEXO3 99 UBÁ2";#N/A,#N/A,FALSE,"ANEXO3 99 DTU";#N/A,#N/A,FALSE,"ANEXO3 99 RDR";#N/A,#N/A,FALSE,"ANEXO3 99 UBÁ4";#N/A,#N/A,FALSE,"ANEXO3 99 UBÁ6"}</definedName>
    <definedName name="________CRM4" localSheetId="20" hidden="1">{#N/A,#N/A,FALSE,"ANEXO3 99 ERA";#N/A,#N/A,FALSE,"ANEXO3 99 UBÁ2";#N/A,#N/A,FALSE,"ANEXO3 99 DTU";#N/A,#N/A,FALSE,"ANEXO3 99 RDR";#N/A,#N/A,FALSE,"ANEXO3 99 UBÁ4";#N/A,#N/A,FALSE,"ANEXO3 99 UBÁ6"}</definedName>
    <definedName name="________CRM4" hidden="1">{#N/A,#N/A,FALSE,"ANEXO3 99 ERA";#N/A,#N/A,FALSE,"ANEXO3 99 UBÁ2";#N/A,#N/A,FALSE,"ANEXO3 99 DTU";#N/A,#N/A,FALSE,"ANEXO3 99 RDR";#N/A,#N/A,FALSE,"ANEXO3 99 UBÁ4";#N/A,#N/A,FALSE,"ANEXO3 99 UBÁ6"}</definedName>
    <definedName name="_______CRM2" localSheetId="20" hidden="1">{#N/A,#N/A,FALSE,"ANEXO3 99 ERA";#N/A,#N/A,FALSE,"ANEXO3 99 UBÁ2";#N/A,#N/A,FALSE,"ANEXO3 99 DTU";#N/A,#N/A,FALSE,"ANEXO3 99 RDR";#N/A,#N/A,FALSE,"ANEXO3 99 UBÁ4";#N/A,#N/A,FALSE,"ANEXO3 99 UBÁ6"}</definedName>
    <definedName name="_______CRM2" hidden="1">{#N/A,#N/A,FALSE,"ANEXO3 99 ERA";#N/A,#N/A,FALSE,"ANEXO3 99 UBÁ2";#N/A,#N/A,FALSE,"ANEXO3 99 DTU";#N/A,#N/A,FALSE,"ANEXO3 99 RDR";#N/A,#N/A,FALSE,"ANEXO3 99 UBÁ4";#N/A,#N/A,FALSE,"ANEXO3 99 UBÁ6"}</definedName>
    <definedName name="_______CRM3" localSheetId="20" hidden="1">{#N/A,#N/A,FALSE,"ANEXO3 99 ERA";#N/A,#N/A,FALSE,"ANEXO3 99 UBÁ2";#N/A,#N/A,FALSE,"ANEXO3 99 DTU";#N/A,#N/A,FALSE,"ANEXO3 99 RDR";#N/A,#N/A,FALSE,"ANEXO3 99 UBÁ4";#N/A,#N/A,FALSE,"ANEXO3 99 UBÁ6"}</definedName>
    <definedName name="_______CRM3" hidden="1">{#N/A,#N/A,FALSE,"ANEXO3 99 ERA";#N/A,#N/A,FALSE,"ANEXO3 99 UBÁ2";#N/A,#N/A,FALSE,"ANEXO3 99 DTU";#N/A,#N/A,FALSE,"ANEXO3 99 RDR";#N/A,#N/A,FALSE,"ANEXO3 99 UBÁ4";#N/A,#N/A,FALSE,"ANEXO3 99 UBÁ6"}</definedName>
    <definedName name="_______CRM4" localSheetId="20" hidden="1">{#N/A,#N/A,FALSE,"ANEXO3 99 ERA";#N/A,#N/A,FALSE,"ANEXO3 99 UBÁ2";#N/A,#N/A,FALSE,"ANEXO3 99 DTU";#N/A,#N/A,FALSE,"ANEXO3 99 RDR";#N/A,#N/A,FALSE,"ANEXO3 99 UBÁ4";#N/A,#N/A,FALSE,"ANEXO3 99 UBÁ6"}</definedName>
    <definedName name="_______CRM4" hidden="1">{#N/A,#N/A,FALSE,"ANEXO3 99 ERA";#N/A,#N/A,FALSE,"ANEXO3 99 UBÁ2";#N/A,#N/A,FALSE,"ANEXO3 99 DTU";#N/A,#N/A,FALSE,"ANEXO3 99 RDR";#N/A,#N/A,FALSE,"ANEXO3 99 UBÁ4";#N/A,#N/A,FALSE,"ANEXO3 99 UBÁ6"}</definedName>
    <definedName name="______CRM2" localSheetId="20" hidden="1">{#N/A,#N/A,FALSE,"ANEXO3 99 ERA";#N/A,#N/A,FALSE,"ANEXO3 99 UBÁ2";#N/A,#N/A,FALSE,"ANEXO3 99 DTU";#N/A,#N/A,FALSE,"ANEXO3 99 RDR";#N/A,#N/A,FALSE,"ANEXO3 99 UBÁ4";#N/A,#N/A,FALSE,"ANEXO3 99 UBÁ6"}</definedName>
    <definedName name="______CRM2" hidden="1">{#N/A,#N/A,FALSE,"ANEXO3 99 ERA";#N/A,#N/A,FALSE,"ANEXO3 99 UBÁ2";#N/A,#N/A,FALSE,"ANEXO3 99 DTU";#N/A,#N/A,FALSE,"ANEXO3 99 RDR";#N/A,#N/A,FALSE,"ANEXO3 99 UBÁ4";#N/A,#N/A,FALSE,"ANEXO3 99 UBÁ6"}</definedName>
    <definedName name="______CRM3" localSheetId="20" hidden="1">{#N/A,#N/A,FALSE,"ANEXO3 99 ERA";#N/A,#N/A,FALSE,"ANEXO3 99 UBÁ2";#N/A,#N/A,FALSE,"ANEXO3 99 DTU";#N/A,#N/A,FALSE,"ANEXO3 99 RDR";#N/A,#N/A,FALSE,"ANEXO3 99 UBÁ4";#N/A,#N/A,FALSE,"ANEXO3 99 UBÁ6"}</definedName>
    <definedName name="______CRM3" hidden="1">{#N/A,#N/A,FALSE,"ANEXO3 99 ERA";#N/A,#N/A,FALSE,"ANEXO3 99 UBÁ2";#N/A,#N/A,FALSE,"ANEXO3 99 DTU";#N/A,#N/A,FALSE,"ANEXO3 99 RDR";#N/A,#N/A,FALSE,"ANEXO3 99 UBÁ4";#N/A,#N/A,FALSE,"ANEXO3 99 UBÁ6"}</definedName>
    <definedName name="______CRM4" localSheetId="20" hidden="1">{#N/A,#N/A,FALSE,"ANEXO3 99 ERA";#N/A,#N/A,FALSE,"ANEXO3 99 UBÁ2";#N/A,#N/A,FALSE,"ANEXO3 99 DTU";#N/A,#N/A,FALSE,"ANEXO3 99 RDR";#N/A,#N/A,FALSE,"ANEXO3 99 UBÁ4";#N/A,#N/A,FALSE,"ANEXO3 99 UBÁ6"}</definedName>
    <definedName name="______CRM4" hidden="1">{#N/A,#N/A,FALSE,"ANEXO3 99 ERA";#N/A,#N/A,FALSE,"ANEXO3 99 UBÁ2";#N/A,#N/A,FALSE,"ANEXO3 99 DTU";#N/A,#N/A,FALSE,"ANEXO3 99 RDR";#N/A,#N/A,FALSE,"ANEXO3 99 UBÁ4";#N/A,#N/A,FALSE,"ANEXO3 99 UBÁ6"}</definedName>
    <definedName name="_____CRM2" localSheetId="20" hidden="1">{#N/A,#N/A,FALSE,"ANEXO3 99 ERA";#N/A,#N/A,FALSE,"ANEXO3 99 UBÁ2";#N/A,#N/A,FALSE,"ANEXO3 99 DTU";#N/A,#N/A,FALSE,"ANEXO3 99 RDR";#N/A,#N/A,FALSE,"ANEXO3 99 UBÁ4";#N/A,#N/A,FALSE,"ANEXO3 99 UBÁ6"}</definedName>
    <definedName name="_____CRM2" hidden="1">{#N/A,#N/A,FALSE,"ANEXO3 99 ERA";#N/A,#N/A,FALSE,"ANEXO3 99 UBÁ2";#N/A,#N/A,FALSE,"ANEXO3 99 DTU";#N/A,#N/A,FALSE,"ANEXO3 99 RDR";#N/A,#N/A,FALSE,"ANEXO3 99 UBÁ4";#N/A,#N/A,FALSE,"ANEXO3 99 UBÁ6"}</definedName>
    <definedName name="_____CRM3" localSheetId="20" hidden="1">{#N/A,#N/A,FALSE,"ANEXO3 99 ERA";#N/A,#N/A,FALSE,"ANEXO3 99 UBÁ2";#N/A,#N/A,FALSE,"ANEXO3 99 DTU";#N/A,#N/A,FALSE,"ANEXO3 99 RDR";#N/A,#N/A,FALSE,"ANEXO3 99 UBÁ4";#N/A,#N/A,FALSE,"ANEXO3 99 UBÁ6"}</definedName>
    <definedName name="_____CRM3" hidden="1">{#N/A,#N/A,FALSE,"ANEXO3 99 ERA";#N/A,#N/A,FALSE,"ANEXO3 99 UBÁ2";#N/A,#N/A,FALSE,"ANEXO3 99 DTU";#N/A,#N/A,FALSE,"ANEXO3 99 RDR";#N/A,#N/A,FALSE,"ANEXO3 99 UBÁ4";#N/A,#N/A,FALSE,"ANEXO3 99 UBÁ6"}</definedName>
    <definedName name="_____CRM4" localSheetId="20" hidden="1">{#N/A,#N/A,FALSE,"ANEXO3 99 ERA";#N/A,#N/A,FALSE,"ANEXO3 99 UBÁ2";#N/A,#N/A,FALSE,"ANEXO3 99 DTU";#N/A,#N/A,FALSE,"ANEXO3 99 RDR";#N/A,#N/A,FALSE,"ANEXO3 99 UBÁ4";#N/A,#N/A,FALSE,"ANEXO3 99 UBÁ6"}</definedName>
    <definedName name="_____CRM4" hidden="1">{#N/A,#N/A,FALSE,"ANEXO3 99 ERA";#N/A,#N/A,FALSE,"ANEXO3 99 UBÁ2";#N/A,#N/A,FALSE,"ANEXO3 99 DTU";#N/A,#N/A,FALSE,"ANEXO3 99 RDR";#N/A,#N/A,FALSE,"ANEXO3 99 UBÁ4";#N/A,#N/A,FALSE,"ANEXO3 99 UBÁ6"}</definedName>
    <definedName name="____ASS2" localSheetId="20" hidden="1">{#N/A,#N/A,TRUE,"UTI"}</definedName>
    <definedName name="____ASS2" hidden="1">{#N/A,#N/A,TRUE,"UTI"}</definedName>
    <definedName name="____CRM2" localSheetId="20" hidden="1">{#N/A,#N/A,FALSE,"ANEXO3 99 ERA";#N/A,#N/A,FALSE,"ANEXO3 99 UBÁ2";#N/A,#N/A,FALSE,"ANEXO3 99 DTU";#N/A,#N/A,FALSE,"ANEXO3 99 RDR";#N/A,#N/A,FALSE,"ANEXO3 99 UBÁ4";#N/A,#N/A,FALSE,"ANEXO3 99 UBÁ6"}</definedName>
    <definedName name="____CRM2" hidden="1">{#N/A,#N/A,FALSE,"ANEXO3 99 ERA";#N/A,#N/A,FALSE,"ANEXO3 99 UBÁ2";#N/A,#N/A,FALSE,"ANEXO3 99 DTU";#N/A,#N/A,FALSE,"ANEXO3 99 RDR";#N/A,#N/A,FALSE,"ANEXO3 99 UBÁ4";#N/A,#N/A,FALSE,"ANEXO3 99 UBÁ6"}</definedName>
    <definedName name="____CRM3" localSheetId="20" hidden="1">{#N/A,#N/A,FALSE,"ANEXO3 99 ERA";#N/A,#N/A,FALSE,"ANEXO3 99 UBÁ2";#N/A,#N/A,FALSE,"ANEXO3 99 DTU";#N/A,#N/A,FALSE,"ANEXO3 99 RDR";#N/A,#N/A,FALSE,"ANEXO3 99 UBÁ4";#N/A,#N/A,FALSE,"ANEXO3 99 UBÁ6"}</definedName>
    <definedName name="____CRM3" hidden="1">{#N/A,#N/A,FALSE,"ANEXO3 99 ERA";#N/A,#N/A,FALSE,"ANEXO3 99 UBÁ2";#N/A,#N/A,FALSE,"ANEXO3 99 DTU";#N/A,#N/A,FALSE,"ANEXO3 99 RDR";#N/A,#N/A,FALSE,"ANEXO3 99 UBÁ4";#N/A,#N/A,FALSE,"ANEXO3 99 UBÁ6"}</definedName>
    <definedName name="____CRM4" localSheetId="20" hidden="1">{#N/A,#N/A,FALSE,"ANEXO3 99 ERA";#N/A,#N/A,FALSE,"ANEXO3 99 UBÁ2";#N/A,#N/A,FALSE,"ANEXO3 99 DTU";#N/A,#N/A,FALSE,"ANEXO3 99 RDR";#N/A,#N/A,FALSE,"ANEXO3 99 UBÁ4";#N/A,#N/A,FALSE,"ANEXO3 99 UBÁ6"}</definedName>
    <definedName name="____CRM4" hidden="1">{#N/A,#N/A,FALSE,"ANEXO3 99 ERA";#N/A,#N/A,FALSE,"ANEXO3 99 UBÁ2";#N/A,#N/A,FALSE,"ANEXO3 99 DTU";#N/A,#N/A,FALSE,"ANEXO3 99 RDR";#N/A,#N/A,FALSE,"ANEXO3 99 UBÁ4";#N/A,#N/A,FALSE,"ANEXO3 99 UBÁ6"}</definedName>
    <definedName name="___ASS2" localSheetId="20" hidden="1">{#N/A,#N/A,TRUE,"UTI"}</definedName>
    <definedName name="___ASS2" hidden="1">{#N/A,#N/A,TRUE,"UTI"}</definedName>
    <definedName name="___CRM2" localSheetId="20" hidden="1">{#N/A,#N/A,FALSE,"ANEXO3 99 ERA";#N/A,#N/A,FALSE,"ANEXO3 99 UBÁ2";#N/A,#N/A,FALSE,"ANEXO3 99 DTU";#N/A,#N/A,FALSE,"ANEXO3 99 RDR";#N/A,#N/A,FALSE,"ANEXO3 99 UBÁ4";#N/A,#N/A,FALSE,"ANEXO3 99 UBÁ6"}</definedName>
    <definedName name="___CRM2" hidden="1">{#N/A,#N/A,FALSE,"ANEXO3 99 ERA";#N/A,#N/A,FALSE,"ANEXO3 99 UBÁ2";#N/A,#N/A,FALSE,"ANEXO3 99 DTU";#N/A,#N/A,FALSE,"ANEXO3 99 RDR";#N/A,#N/A,FALSE,"ANEXO3 99 UBÁ4";#N/A,#N/A,FALSE,"ANEXO3 99 UBÁ6"}</definedName>
    <definedName name="___CRM3" localSheetId="20" hidden="1">{#N/A,#N/A,FALSE,"ANEXO3 99 ERA";#N/A,#N/A,FALSE,"ANEXO3 99 UBÁ2";#N/A,#N/A,FALSE,"ANEXO3 99 DTU";#N/A,#N/A,FALSE,"ANEXO3 99 RDR";#N/A,#N/A,FALSE,"ANEXO3 99 UBÁ4";#N/A,#N/A,FALSE,"ANEXO3 99 UBÁ6"}</definedName>
    <definedName name="___CRM3" hidden="1">{#N/A,#N/A,FALSE,"ANEXO3 99 ERA";#N/A,#N/A,FALSE,"ANEXO3 99 UBÁ2";#N/A,#N/A,FALSE,"ANEXO3 99 DTU";#N/A,#N/A,FALSE,"ANEXO3 99 RDR";#N/A,#N/A,FALSE,"ANEXO3 99 UBÁ4";#N/A,#N/A,FALSE,"ANEXO3 99 UBÁ6"}</definedName>
    <definedName name="___CRM4" localSheetId="20" hidden="1">{#N/A,#N/A,FALSE,"ANEXO3 99 ERA";#N/A,#N/A,FALSE,"ANEXO3 99 UBÁ2";#N/A,#N/A,FALSE,"ANEXO3 99 DTU";#N/A,#N/A,FALSE,"ANEXO3 99 RDR";#N/A,#N/A,FALSE,"ANEXO3 99 UBÁ4";#N/A,#N/A,FALSE,"ANEXO3 99 UBÁ6"}</definedName>
    <definedName name="___CRM4" hidden="1">{#N/A,#N/A,FALSE,"ANEXO3 99 ERA";#N/A,#N/A,FALSE,"ANEXO3 99 UBÁ2";#N/A,#N/A,FALSE,"ANEXO3 99 DTU";#N/A,#N/A,FALSE,"ANEXO3 99 RDR";#N/A,#N/A,FALSE,"ANEXO3 99 UBÁ4";#N/A,#N/A,FALSE,"ANEXO3 99 UBÁ6"}</definedName>
    <definedName name="__123" hidden="1">#REF!</definedName>
    <definedName name="__123Graph_A"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COMPARA" hidden="1">#REF!</definedName>
    <definedName name="__123Graph_ACONSMED" hidden="1">#REF!</definedName>
    <definedName name="__123Graph_ADIESEL" hidden="1">#REF!</definedName>
    <definedName name="__123Graph_ADM" hidden="1">#REF!</definedName>
    <definedName name="__123Graph_ADY" hidden="1">#REF!</definedName>
    <definedName name="__123Graph_AESTRUT" hidden="1">#REF!</definedName>
    <definedName name="__123Graph_AGRAF1" hidden="1">#REF!</definedName>
    <definedName name="__123Graph_AGRAF2" hidden="1">#REF!</definedName>
    <definedName name="__123Graph_AGRAF3" hidden="1">#REF!</definedName>
    <definedName name="__123Graph_AGRAF4" hidden="1">#REF!</definedName>
    <definedName name="__123Graph_AGRAFIND" hidden="1">#N/A</definedName>
    <definedName name="__123Graph_AGRAFTOT" hidden="1">#N/A</definedName>
    <definedName name="__123Graph_AGraph17" hidden="1">#REF!</definedName>
    <definedName name="__123Graph_AOCCUP" hidden="1">#REF!</definedName>
    <definedName name="__123Graph_APREVRCOM" hidden="1">#REF!</definedName>
    <definedName name="__123Graph_APREVREALI" hidden="1">#REF!</definedName>
    <definedName name="__123Graph_APREVRIND" hidden="1">#REF!</definedName>
    <definedName name="__123Graph_APREVROUT" hidden="1">#REF!</definedName>
    <definedName name="__123Graph_APREVRRES" hidden="1">#REF!</definedName>
    <definedName name="__123Graph_APREVRTOT" hidden="1">#REF!</definedName>
    <definedName name="__123Graph_APRODNVOL"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AWRTQ" hidden="1">#REF!</definedName>
    <definedName name="__123Graph_B"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COMPARA" hidden="1">#REF!</definedName>
    <definedName name="__123Graph_BCOSTDIST" hidden="1">#REF!</definedName>
    <definedName name="__123Graph_BDM" hidden="1">#REF!</definedName>
    <definedName name="__123Graph_BGRAF1" hidden="1">#REF!</definedName>
    <definedName name="__123Graph_BGRAF2" hidden="1">#REF!</definedName>
    <definedName name="__123Graph_BGRAF3" hidden="1">#REF!</definedName>
    <definedName name="__123Graph_BGRAF4" hidden="1">#REF!</definedName>
    <definedName name="__123Graph_BGRAFIND" hidden="1">#N/A</definedName>
    <definedName name="__123Graph_BGRAFTOT" hidden="1">#N/A</definedName>
    <definedName name="__123Graph_BGraph17" hidden="1">#REF!</definedName>
    <definedName name="__123Graph_BOCCUP" hidden="1">#REF!</definedName>
    <definedName name="__123Graph_BPREVREALI"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BWRTQ" hidden="1">#REF!</definedName>
    <definedName name="__123Graph_C"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6" hidden="1">#REF!</definedName>
    <definedName name="__123Graph_CCHART7" hidden="1">#REF!</definedName>
    <definedName name="__123Graph_CCHART8" hidden="1">#REF!</definedName>
    <definedName name="__123Graph_CGRAF3" hidden="1">#REF!</definedName>
    <definedName name="__123Graph_CGRAF4" hidden="1">#REF!</definedName>
    <definedName name="__123Graph_CGraph17" hidden="1">#REF!</definedName>
    <definedName name="__123Graph_CPREVREALI" hidden="1">#REF!</definedName>
    <definedName name="__123Graph_CSLIDEIII25" hidden="1">#REF!</definedName>
    <definedName name="__123Graph_CSLIDEIII26" hidden="1">#REF!</definedName>
    <definedName name="__123Graph_D" hidden="1">#REF!</definedName>
    <definedName name="__123Graph_DCHART10" hidden="1">#REF!</definedName>
    <definedName name="__123Graph_DCHART14" hidden="1">#REF!</definedName>
    <definedName name="__123Graph_DCOMPARA" hidden="1">#REF!</definedName>
    <definedName name="__123Graph_DGRAF3" hidden="1">#REF!</definedName>
    <definedName name="__123Graph_DGRAF4" hidden="1">#REF!</definedName>
    <definedName name="__123Graph_DGraph17" hidden="1">#REF!</definedName>
    <definedName name="__123Graph_DPREVREALI" hidden="1">#REF!</definedName>
    <definedName name="__123Graph_DSLIDEIII25" hidden="1">#REF!</definedName>
    <definedName name="__123Graph_E" hidden="1">#REF!</definedName>
    <definedName name="__123Graph_EGRAF3" hidden="1">#REF!</definedName>
    <definedName name="__123Graph_EGRAF4" hidden="1">#REF!</definedName>
    <definedName name="__123Graph_EGraph17" hidden="1">#REF!</definedName>
    <definedName name="__123Graph_EPREVREALI" hidden="1">#REF!</definedName>
    <definedName name="__123Graph_F" hidden="1">#REF!</definedName>
    <definedName name="__123Graph_FCOMPARA" hidden="1">#REF!</definedName>
    <definedName name="__123Graph_LBL_A" hidden="1">#REF!</definedName>
    <definedName name="__123Graph_LBL_ADIESEL" hidden="1">#REF!</definedName>
    <definedName name="__123Graph_LBL_AGRAF4" hidden="1">#REF!</definedName>
    <definedName name="__123Graph_LBL_AMONTH" hidden="1">#REF!</definedName>
    <definedName name="__123Graph_LBL_ATREND" hidden="1">#REF!</definedName>
    <definedName name="__123Graph_LBL_AYEAR" hidden="1">#REF!</definedName>
    <definedName name="__123Graph_LBL_B" hidden="1">#REF!</definedName>
    <definedName name="__123Graph_LBL_BGRAF4" hidden="1">#REF!</definedName>
    <definedName name="__123Graph_LBL_BMONTH" hidden="1">#REF!</definedName>
    <definedName name="__123Graph_LBL_BTREND" hidden="1">#REF!</definedName>
    <definedName name="__123Graph_LBL_BYEAR" hidden="1">#REF!</definedName>
    <definedName name="__123Graph_LBL_CCHART22" hidden="1">#REF!</definedName>
    <definedName name="__123Graph_LBL_CGRAF4" hidden="1">#REF!</definedName>
    <definedName name="__123Graph_LBL_DGRAF4" hidden="1">#REF!</definedName>
    <definedName name="__123Graph_LBL_EGRAF4" hidden="1">#REF!</definedName>
    <definedName name="__123Graph_LBL_FGRAF4" hidden="1">#REF!</definedName>
    <definedName name="__123Graph_X" hidden="1">#REF!</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CONSMED" hidden="1">#REF!</definedName>
    <definedName name="__123Graph_XCOSTSECT" hidden="1">#REF!</definedName>
    <definedName name="__123Graph_XDM" hidden="1">#REF!</definedName>
    <definedName name="__123Graph_XDY" hidden="1">#REF!</definedName>
    <definedName name="__123Graph_XELASTIC" hidden="1">#REF!</definedName>
    <definedName name="__123Graph_XESTRUT" hidden="1">#REF!</definedName>
    <definedName name="__123Graph_XGRAF1" hidden="1">#REF!</definedName>
    <definedName name="__123Graph_XGRAF2" hidden="1">#REF!</definedName>
    <definedName name="__123Graph_XGRAF3" hidden="1">#REF!</definedName>
    <definedName name="__123Graph_XGRAF4" hidden="1">#REF!</definedName>
    <definedName name="__123Graph_XOCCUP" hidden="1">#REF!</definedName>
    <definedName name="__123Graph_XPREVRCOM" hidden="1">#REF!</definedName>
    <definedName name="__123Graph_XPREVREALI" hidden="1">#REF!</definedName>
    <definedName name="__123Graph_XPREVRIND" hidden="1">#REF!</definedName>
    <definedName name="__123Graph_XPREVROUT" hidden="1">#REF!</definedName>
    <definedName name="__123Graph_XPREVRRES" hidden="1">#REF!</definedName>
    <definedName name="__123Graph_XPREVRTOT"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23Graph_XWRTQ" hidden="1">#REF!</definedName>
    <definedName name="__12Graph_XPREVRRES1" hidden="1">#REF!</definedName>
    <definedName name="__2__123Graph_AMKT_YTD" hidden="1">#REF!</definedName>
    <definedName name="__3__123Graph_BMKT_MONTH" hidden="1">#REF!</definedName>
    <definedName name="__4__123Graph_BMKT_YTD" hidden="1">#REF!</definedName>
    <definedName name="__5__123Graph_LBL_AMKT_MONTH" hidden="1">#REF!</definedName>
    <definedName name="__6__123Graph_LBL_AMKT_YTD" hidden="1">#REF!</definedName>
    <definedName name="__7__123Graph_LBL_BMKT_MONTH" hidden="1">#REF!</definedName>
    <definedName name="__8__123Graph_LBL_BMKT_YTD" hidden="1">#REF!</definedName>
    <definedName name="__9__123Graph_XMKT_MONTH" hidden="1">#REF!</definedName>
    <definedName name="__B1" localSheetId="20" hidden="1">{#N/A,#N/A,FALSE,"LLAVE";#N/A,#N/A,FALSE,"EERR";#N/A,#N/A,FALSE,"ESP";#N/A,#N/A,FALSE,"EOAF";#N/A,#N/A,FALSE,"CASH";#N/A,#N/A,FALSE,"FINANZAS";#N/A,#N/A,FALSE,"DEUDA";#N/A,#N/A,FALSE,"INVERSION";#N/A,#N/A,FALSE,"PERSONAL"}</definedName>
    <definedName name="__B1" hidden="1">{#N/A,#N/A,FALSE,"LLAVE";#N/A,#N/A,FALSE,"EERR";#N/A,#N/A,FALSE,"ESP";#N/A,#N/A,FALSE,"EOAF";#N/A,#N/A,FALSE,"CASH";#N/A,#N/A,FALSE,"FINANZAS";#N/A,#N/A,FALSE,"DEUDA";#N/A,#N/A,FALSE,"INVERSION";#N/A,#N/A,FALSE,"PERSONAL"}</definedName>
    <definedName name="__bb1" localSheetId="20" hidden="1">{#N/A,#N/A,FALSE,"ENERGIA";#N/A,#N/A,FALSE,"PERDIDAS";#N/A,#N/A,FALSE,"CLIENTES";#N/A,#N/A,FALSE,"ESTADO";#N/A,#N/A,FALSE,"TECNICA"}</definedName>
    <definedName name="__bb1" hidden="1">{#N/A,#N/A,FALSE,"ENERGIA";#N/A,#N/A,FALSE,"PERDIDAS";#N/A,#N/A,FALSE,"CLIENTES";#N/A,#N/A,FALSE,"ESTADO";#N/A,#N/A,FALSE,"TECNICA"}</definedName>
    <definedName name="__bbb1" localSheetId="20" hidden="1">{#N/A,#N/A,FALSE,"LLAVE";#N/A,#N/A,FALSE,"EERR";#N/A,#N/A,FALSE,"ESP";#N/A,#N/A,FALSE,"EOAF";#N/A,#N/A,FALSE,"CASH";#N/A,#N/A,FALSE,"FINANZAS";#N/A,#N/A,FALSE,"DEUDA";#N/A,#N/A,FALSE,"INVERSION";#N/A,#N/A,FALSE,"PERSONAL"}</definedName>
    <definedName name="__bbb1" hidden="1">{#N/A,#N/A,FALSE,"LLAVE";#N/A,#N/A,FALSE,"EERR";#N/A,#N/A,FALSE,"ESP";#N/A,#N/A,FALSE,"EOAF";#N/A,#N/A,FALSE,"CASH";#N/A,#N/A,FALSE,"FINANZAS";#N/A,#N/A,FALSE,"DEUDA";#N/A,#N/A,FALSE,"INVERSION";#N/A,#N/A,FALSE,"PERSONAL"}</definedName>
    <definedName name="__bx1" localSheetId="20" hidden="1">{#N/A,#N/A,FALSE,"LLAVE";#N/A,#N/A,FALSE,"EERR";#N/A,#N/A,FALSE,"ESP";#N/A,#N/A,FALSE,"EOAF";#N/A,#N/A,FALSE,"CASH";#N/A,#N/A,FALSE,"FINANZAS";#N/A,#N/A,FALSE,"DEUDA";#N/A,#N/A,FALSE,"INVERSION";#N/A,#N/A,FALSE,"PERSONAL"}</definedName>
    <definedName name="__bx1" hidden="1">{#N/A,#N/A,FALSE,"LLAVE";#N/A,#N/A,FALSE,"EERR";#N/A,#N/A,FALSE,"ESP";#N/A,#N/A,FALSE,"EOAF";#N/A,#N/A,FALSE,"CASH";#N/A,#N/A,FALSE,"FINANZAS";#N/A,#N/A,FALSE,"DEUDA";#N/A,#N/A,FALSE,"INVERSION";#N/A,#N/A,FALSE,"PERSONAL"}</definedName>
    <definedName name="__CD1" localSheetId="20" hidden="1">{#N/A,#N/A,FALSE,"LLAVE";#N/A,#N/A,FALSE,"EERR";#N/A,#N/A,FALSE,"ESP";#N/A,#N/A,FALSE,"EOAF";#N/A,#N/A,FALSE,"CASH";#N/A,#N/A,FALSE,"FINANZAS";#N/A,#N/A,FALSE,"DEUDA";#N/A,#N/A,FALSE,"INVERSION";#N/A,#N/A,FALSE,"PERSONAL"}</definedName>
    <definedName name="__CD1" hidden="1">{#N/A,#N/A,FALSE,"LLAVE";#N/A,#N/A,FALSE,"EERR";#N/A,#N/A,FALSE,"ESP";#N/A,#N/A,FALSE,"EOAF";#N/A,#N/A,FALSE,"CASH";#N/A,#N/A,FALSE,"FINANZAS";#N/A,#N/A,FALSE,"DEUDA";#N/A,#N/A,FALSE,"INVERSION";#N/A,#N/A,FALSE,"PERSONAL"}</definedName>
    <definedName name="__cdx1" localSheetId="20" hidden="1">{#N/A,#N/A,FALSE,"LLAVE";#N/A,#N/A,FALSE,"EERR";#N/A,#N/A,FALSE,"ESP";#N/A,#N/A,FALSE,"EOAF";#N/A,#N/A,FALSE,"CASH";#N/A,#N/A,FALSE,"FINANZAS";#N/A,#N/A,FALSE,"DEUDA";#N/A,#N/A,FALSE,"INVERSION";#N/A,#N/A,FALSE,"PERSONAL"}</definedName>
    <definedName name="__cdx1" hidden="1">{#N/A,#N/A,FALSE,"LLAVE";#N/A,#N/A,FALSE,"EERR";#N/A,#N/A,FALSE,"ESP";#N/A,#N/A,FALSE,"EOAF";#N/A,#N/A,FALSE,"CASH";#N/A,#N/A,FALSE,"FINANZAS";#N/A,#N/A,FALSE,"DEUDA";#N/A,#N/A,FALSE,"INVERSION";#N/A,#N/A,FALSE,"PERSONAL"}</definedName>
    <definedName name="__CRM2" localSheetId="20" hidden="1">{#N/A,#N/A,FALSE,"ANEXO3 99 ERA";#N/A,#N/A,FALSE,"ANEXO3 99 UBÁ2";#N/A,#N/A,FALSE,"ANEXO3 99 DTU";#N/A,#N/A,FALSE,"ANEXO3 99 RDR";#N/A,#N/A,FALSE,"ANEXO3 99 UBÁ4";#N/A,#N/A,FALSE,"ANEXO3 99 UBÁ6"}</definedName>
    <definedName name="__CRM2" hidden="1">{#N/A,#N/A,FALSE,"ANEXO3 99 ERA";#N/A,#N/A,FALSE,"ANEXO3 99 UBÁ2";#N/A,#N/A,FALSE,"ANEXO3 99 DTU";#N/A,#N/A,FALSE,"ANEXO3 99 RDR";#N/A,#N/A,FALSE,"ANEXO3 99 UBÁ4";#N/A,#N/A,FALSE,"ANEXO3 99 UBÁ6"}</definedName>
    <definedName name="__CRM3" localSheetId="20" hidden="1">{#N/A,#N/A,FALSE,"ANEXO3 99 ERA";#N/A,#N/A,FALSE,"ANEXO3 99 UBÁ2";#N/A,#N/A,FALSE,"ANEXO3 99 DTU";#N/A,#N/A,FALSE,"ANEXO3 99 RDR";#N/A,#N/A,FALSE,"ANEXO3 99 UBÁ4";#N/A,#N/A,FALSE,"ANEXO3 99 UBÁ6"}</definedName>
    <definedName name="__CRM3" hidden="1">{#N/A,#N/A,FALSE,"ANEXO3 99 ERA";#N/A,#N/A,FALSE,"ANEXO3 99 UBÁ2";#N/A,#N/A,FALSE,"ANEXO3 99 DTU";#N/A,#N/A,FALSE,"ANEXO3 99 RDR";#N/A,#N/A,FALSE,"ANEXO3 99 UBÁ4";#N/A,#N/A,FALSE,"ANEXO3 99 UBÁ6"}</definedName>
    <definedName name="__CRM4" localSheetId="20" hidden="1">{#N/A,#N/A,FALSE,"ANEXO3 99 ERA";#N/A,#N/A,FALSE,"ANEXO3 99 UBÁ2";#N/A,#N/A,FALSE,"ANEXO3 99 DTU";#N/A,#N/A,FALSE,"ANEXO3 99 RDR";#N/A,#N/A,FALSE,"ANEXO3 99 UBÁ4";#N/A,#N/A,FALSE,"ANEXO3 99 UBÁ6"}</definedName>
    <definedName name="__CRM4" hidden="1">{#N/A,#N/A,FALSE,"ANEXO3 99 ERA";#N/A,#N/A,FALSE,"ANEXO3 99 UBÁ2";#N/A,#N/A,FALSE,"ANEXO3 99 DTU";#N/A,#N/A,FALSE,"ANEXO3 99 RDR";#N/A,#N/A,FALSE,"ANEXO3 99 UBÁ4";#N/A,#N/A,FALSE,"ANEXO3 99 UBÁ6"}</definedName>
    <definedName name="__df1" localSheetId="20" hidden="1">{#N/A,#N/A,FALSE,"LLAVE";#N/A,#N/A,FALSE,"EERR";#N/A,#N/A,FALSE,"ESP";#N/A,#N/A,FALSE,"EOAF";#N/A,#N/A,FALSE,"CASH";#N/A,#N/A,FALSE,"FINANZAS";#N/A,#N/A,FALSE,"DEUDA";#N/A,#N/A,FALSE,"INVERSION";#N/A,#N/A,FALSE,"PERSONAL"}</definedName>
    <definedName name="__df1" hidden="1">{#N/A,#N/A,FALSE,"LLAVE";#N/A,#N/A,FALSE,"EERR";#N/A,#N/A,FALSE,"ESP";#N/A,#N/A,FALSE,"EOAF";#N/A,#N/A,FALSE,"CASH";#N/A,#N/A,FALSE,"FINANZAS";#N/A,#N/A,FALSE,"DEUDA";#N/A,#N/A,FALSE,"INVERSION";#N/A,#N/A,FALSE,"PERSONAL"}</definedName>
    <definedName name="__e1" localSheetId="20" hidden="1">{#N/A,#N/A,FALSE,"ENERGIA";#N/A,#N/A,FALSE,"PERDIDAS";#N/A,#N/A,FALSE,"CLIENTES";#N/A,#N/A,FALSE,"ESTADO";#N/A,#N/A,FALSE,"TECNICA"}</definedName>
    <definedName name="__e1" hidden="1">{#N/A,#N/A,FALSE,"ENERGIA";#N/A,#N/A,FALSE,"PERDIDAS";#N/A,#N/A,FALSE,"CLIENTES";#N/A,#N/A,FALSE,"ESTADO";#N/A,#N/A,FALSE,"TECNICA"}</definedName>
    <definedName name="__FDS_HYPERLINK_TOGGLE_STATE__" hidden="1">"ON"</definedName>
    <definedName name="__IntlFixup" hidden="1">TRUE</definedName>
    <definedName name="__IntlFixupTable" hidden="1">#REF!</definedName>
    <definedName name="__key2" hidden="1">#REF!</definedName>
    <definedName name="__NWC2" localSheetId="20" hidden="1">{"SINTESI",#N/A,FALSE,"sintesi";"VOLCAN",#N/A,FALSE,"volcan";"MDC",#N/A,FALSE,"MDCBDG";"VOLPROD",#N/A,FALSE,"volprod";"SPESE",#N/A,FALSE,"SPESE";"_Current_",#N/A,FALSE,"VARFCT";"CE",#N/A,FALSE,"CENEW";"SP",#N/A,FALSE,"SPNEW";"INVESTIM",#N/A,FALSE,"INVESTIM";"FATPROD",#N/A,FALSE,"ricprod";"PRODUNIT",#N/A,FALSE,"ricprod";"FATCAN",#N/A,FALSE,"riccan";"CANUNIT",#N/A,FALSE,"riccan";#N/A,#N/A,FALSE,"MDC FCT";"VARIANTI",#N/A,FALSE,"VARBDG"}</definedName>
    <definedName name="__NWC2" hidden="1">{"SINTESI",#N/A,FALSE,"sintesi";"VOLCAN",#N/A,FALSE,"volcan";"MDC",#N/A,FALSE,"MDCBDG";"VOLPROD",#N/A,FALSE,"volprod";"SPESE",#N/A,FALSE,"SPESE";"_Current_",#N/A,FALSE,"VARFCT";"CE",#N/A,FALSE,"CENEW";"SP",#N/A,FALSE,"SPNEW";"INVESTIM",#N/A,FALSE,"INVESTIM";"FATPROD",#N/A,FALSE,"ricprod";"PRODUNIT",#N/A,FALSE,"ricprod";"FATCAN",#N/A,FALSE,"riccan";"CANUNIT",#N/A,FALSE,"riccan";#N/A,#N/A,FALSE,"MDC FCT";"VARIANTI",#N/A,FALSE,"VARBDG"}</definedName>
    <definedName name="__xlfn.BAHTTEXT" hidden="1">#NAME?</definedName>
    <definedName name="_1__123Graph_ACHART_1" hidden="1">#REF!</definedName>
    <definedName name="_1__123Graph_ACHART_1A" hidden="1">#REF!</definedName>
    <definedName name="_1__123Graph_AR_M_MARG" hidden="1">#REF!</definedName>
    <definedName name="_1__123Graph_XCHART_2" hidden="1">#REF!</definedName>
    <definedName name="_10__123Graph_ACHART_17" hidden="1">#REF!</definedName>
    <definedName name="_10__123Graph_ACHART_18" hidden="1">#REF!</definedName>
    <definedName name="_10__123Graph_BCHART_3A" hidden="1">#REF!</definedName>
    <definedName name="_10__123Graph_CCHART_3A" hidden="1">#REF!</definedName>
    <definedName name="_108__123Graph_DCHART_1A" hidden="1">#REF!</definedName>
    <definedName name="_11__123Graph_ACHART_18" hidden="1">#REF!</definedName>
    <definedName name="_11__123Graph_ACHART_2" hidden="1">#REF!</definedName>
    <definedName name="_11__123Graph_BCHART_4A" hidden="1">#REF!</definedName>
    <definedName name="_11__123Graph_DCHART_1A" hidden="1">#REF!</definedName>
    <definedName name="_12__123Graph_ACHART_11" hidden="1">#REF!</definedName>
    <definedName name="_12__123Graph_ACHART_2" hidden="1">#REF!</definedName>
    <definedName name="_12__123Graph_ACHART_22" hidden="1">#REF!</definedName>
    <definedName name="_12__123Graph_DCHART_2A" hidden="1">#REF!</definedName>
    <definedName name="_123Graph_XPREREALI1" hidden="1">#REF!</definedName>
    <definedName name="_126__123Graph_XCHART_1A" hidden="1">#REF!</definedName>
    <definedName name="_13__123Graph_ACHART_12" hidden="1">#REF!</definedName>
    <definedName name="_13__123Graph_ACHART_22" hidden="1">#REF!</definedName>
    <definedName name="_13__123Graph_ACHART_23" hidden="1">#REF!</definedName>
    <definedName name="_13__123Graph_CCHART_1A" hidden="1">#REF!</definedName>
    <definedName name="_13__123Graph_DCHART_3A" hidden="1">#REF!</definedName>
    <definedName name="_14__123Graph_ACHART_13" hidden="1">#REF!</definedName>
    <definedName name="_14__123Graph_ACHART_23" hidden="1">#REF!</definedName>
    <definedName name="_14__123Graph_ACHART_24" hidden="1">#REF!</definedName>
    <definedName name="_14__123Graph_CCHART_2A" hidden="1">#REF!</definedName>
    <definedName name="_14__123Graph_XCHART_1A" hidden="1">#REF!</definedName>
    <definedName name="_144__123Graph_XCHART_2A" hidden="1">#REF!</definedName>
    <definedName name="_15__123Graph_ACHART_14" hidden="1">#REF!</definedName>
    <definedName name="_15__123Graph_ACHART_24" hidden="1">#REF!</definedName>
    <definedName name="_15__123Graph_ACHART_25" hidden="1">#REF!</definedName>
    <definedName name="_15__123Graph_CCHART_3A" hidden="1">#REF!</definedName>
    <definedName name="_15__123Graph_XCHART_2A" hidden="1">#REF!</definedName>
    <definedName name="_16__123Graph_ACHART_15" hidden="1">#REF!</definedName>
    <definedName name="_16__123Graph_ACHART_25" hidden="1">#REF!</definedName>
    <definedName name="_16__123Graph_ACHART_26" hidden="1">#REF!</definedName>
    <definedName name="_16__123Graph_XCHART_3A" hidden="1">#REF!</definedName>
    <definedName name="_17__123Graph_ACHART_16" hidden="1">#REF!</definedName>
    <definedName name="_17__123Graph_ACHART_26" hidden="1">#REF!</definedName>
    <definedName name="_17__123Graph_ACHART_27" hidden="1">#REF!</definedName>
    <definedName name="_17__123Graph_DCHART_1A" hidden="1">#REF!</definedName>
    <definedName name="_17__123Graph_XCHART_4A" hidden="1">#REF!</definedName>
    <definedName name="_18__123Graph_ACHART_17" hidden="1">#REF!</definedName>
    <definedName name="_18__123Graph_ACHART_1A" hidden="1">#REF!</definedName>
    <definedName name="_18__123Graph_ACHART_27" hidden="1">#REF!</definedName>
    <definedName name="_18__123Graph_ACHART_28" hidden="1">#REF!</definedName>
    <definedName name="_18__123Graph_ACHART_2A" hidden="1">#REF!</definedName>
    <definedName name="_18__123Graph_DCHART_2A" hidden="1">#REF!</definedName>
    <definedName name="_19__123Graph_ACHART_18" hidden="1">#REF!</definedName>
    <definedName name="_19__123Graph_ACHART_28" hidden="1">#REF!</definedName>
    <definedName name="_19__123Graph_ACHART_29" hidden="1">#REF!</definedName>
    <definedName name="_19__123Graph_ACHART_3A" hidden="1">#REF!</definedName>
    <definedName name="_19__123Graph_DCHART_3A" hidden="1">#REF!</definedName>
    <definedName name="_2__123Graph_ACHART_1" hidden="1">#REF!</definedName>
    <definedName name="_2__123Graph_ACHART_10" hidden="1">#REF!</definedName>
    <definedName name="_2__123Graph_ACHART_1A" hidden="1">#REF!</definedName>
    <definedName name="_2__123Graph_ACHART_2A" hidden="1">#REF!</definedName>
    <definedName name="_2__123Graph_AR_M_MARGINS" hidden="1">#REF!</definedName>
    <definedName name="_20__123Graph_ACHART_2" hidden="1">#REF!</definedName>
    <definedName name="_20__123Graph_ACHART_29" hidden="1">#REF!</definedName>
    <definedName name="_20__123Graph_ACHART_3" hidden="1">#REF!</definedName>
    <definedName name="_21__123Graph_ACHART_22" hidden="1">#REF!</definedName>
    <definedName name="_21__123Graph_ACHART_3" hidden="1">#REF!</definedName>
    <definedName name="_21__123Graph_ACHART_30" hidden="1">#REF!</definedName>
    <definedName name="_21__123Graph_XCHART_1A" hidden="1">#REF!</definedName>
    <definedName name="_22__123Graph_ACHART_23" hidden="1">#REF!</definedName>
    <definedName name="_22__123Graph_ACHART_30" hidden="1">#REF!</definedName>
    <definedName name="_22__123Graph_ACHART_4" hidden="1">#REF!</definedName>
    <definedName name="_23__123Graph_ACHART_24" hidden="1">#REF!</definedName>
    <definedName name="_23__123Graph_ACHART_4" hidden="1">#REF!</definedName>
    <definedName name="_23__123Graph_ACHART_5" hidden="1">#REF!</definedName>
    <definedName name="_23__123Graph_XCHART_2A" hidden="1">#REF!</definedName>
    <definedName name="_24__123Graph_ACHART_25" hidden="1">#REF!</definedName>
    <definedName name="_24__123Graph_ACHART_5" hidden="1">#REF!</definedName>
    <definedName name="_24__123Graph_ACHART_6" hidden="1">#REF!</definedName>
    <definedName name="_24__123Graph_XCHART_3A" hidden="1">#REF!</definedName>
    <definedName name="_25__123Graph_ACHART_26" hidden="1">#REF!</definedName>
    <definedName name="_25__123Graph_ACHART_6" hidden="1">#REF!</definedName>
    <definedName name="_25__123Graph_ACHART_7" hidden="1">#REF!</definedName>
    <definedName name="_25__123Graph_XCHART_4A" hidden="1">#REF!</definedName>
    <definedName name="_26__123Graph_ACHART_27" hidden="1">#REF!</definedName>
    <definedName name="_26__123Graph_ACHART_7" hidden="1">#REF!</definedName>
    <definedName name="_26__123Graph_ACHART_8" hidden="1">#REF!</definedName>
    <definedName name="_27__123Graph_ACHART_28" hidden="1">#REF!</definedName>
    <definedName name="_27__123Graph_ACHART_8" hidden="1">#REF!</definedName>
    <definedName name="_27__123Graph_ACHART_9" hidden="1">#REF!</definedName>
    <definedName name="_28__123Graph_ACHART_29" hidden="1">#REF!</definedName>
    <definedName name="_28__123Graph_ACHART_9" hidden="1">#REF!</definedName>
    <definedName name="_28__123Graph_BCHART_1" hidden="1">#REF!</definedName>
    <definedName name="_28__123Graph_BCHART_1A" hidden="1">#REF!</definedName>
    <definedName name="_29__123Graph_ACHART_3" hidden="1">#REF!</definedName>
    <definedName name="_29__123Graph_BCHART_1" hidden="1">#REF!</definedName>
    <definedName name="_29__123Graph_BCHART_10" hidden="1">#REF!</definedName>
    <definedName name="_3__123Graph_ACHART_10" hidden="1">#REF!</definedName>
    <definedName name="_3__123Graph_ACHART_11" hidden="1">#REF!</definedName>
    <definedName name="_3__123Graph_ACHART_3" hidden="1">#N/A</definedName>
    <definedName name="_3__123Graph_ACHART_3A" hidden="1">#REF!</definedName>
    <definedName name="_3__123Graph_AR_M_VOLUMES" hidden="1">#REF!</definedName>
    <definedName name="_3__123Graph_BCHART_1A" hidden="1">#REF!</definedName>
    <definedName name="_30__123Graph_ACHART_30" hidden="1">#REF!</definedName>
    <definedName name="_30__123Graph_BCHART_10" hidden="1">#REF!</definedName>
    <definedName name="_30__123Graph_BCHART_11" hidden="1">#REF!</definedName>
    <definedName name="_31__123Graph_ACHART_4" hidden="1">#REF!</definedName>
    <definedName name="_31__123Graph_BCHART_11" hidden="1">#REF!</definedName>
    <definedName name="_31__123Graph_BCHART_12" hidden="1">#REF!</definedName>
    <definedName name="_32__123Graph_ACHART_5" hidden="1">#REF!</definedName>
    <definedName name="_32__123Graph_BCHART_12" hidden="1">#REF!</definedName>
    <definedName name="_32__123Graph_BCHART_13" hidden="1">#REF!</definedName>
    <definedName name="_33__123Graph_ACHART_6" hidden="1">#REF!</definedName>
    <definedName name="_33__123Graph_BCHART_13" hidden="1">#REF!</definedName>
    <definedName name="_33__123Graph_BCHART_14" hidden="1">#REF!</definedName>
    <definedName name="_34__123Graph_ACHART_7" hidden="1">#REF!</definedName>
    <definedName name="_34__123Graph_BCHART_14" hidden="1">#REF!</definedName>
    <definedName name="_34__123Graph_BCHART_15" hidden="1">#REF!</definedName>
    <definedName name="_35__123Graph_ACHART_8" hidden="1">#REF!</definedName>
    <definedName name="_35__123Graph_BCHART_15" hidden="1">#REF!</definedName>
    <definedName name="_35__123Graph_BCHART_16" hidden="1">#REF!</definedName>
    <definedName name="_36__123Graph_ACHART_2A" hidden="1">#REF!</definedName>
    <definedName name="_36__123Graph_ACHART_9" hidden="1">#REF!</definedName>
    <definedName name="_36__123Graph_BCHART_16" hidden="1">#REF!</definedName>
    <definedName name="_36__123Graph_BCHART_17" hidden="1">#REF!</definedName>
    <definedName name="_37__123Graph_BCHART_1" hidden="1">#REF!</definedName>
    <definedName name="_37__123Graph_BCHART_17" hidden="1">#REF!</definedName>
    <definedName name="_37__123Graph_BCHART_18" hidden="1">#REF!</definedName>
    <definedName name="_37__123Graph_BCHART_2A" hidden="1">#REF!</definedName>
    <definedName name="_38__123Graph_BCHART_10" hidden="1">#REF!</definedName>
    <definedName name="_38__123Graph_BCHART_18" hidden="1">#REF!</definedName>
    <definedName name="_38__123Graph_BCHART_2" hidden="1">#REF!</definedName>
    <definedName name="_38__123Graph_BCHART_3A" hidden="1">#REF!</definedName>
    <definedName name="_39__123Graph_BCHART_11" hidden="1">#REF!</definedName>
    <definedName name="_39__123Graph_BCHART_2" hidden="1">#REF!</definedName>
    <definedName name="_39__123Graph_BCHART_22" hidden="1">#REF!</definedName>
    <definedName name="_39__123Graph_BCHART_4A" hidden="1">#REF!</definedName>
    <definedName name="_4__123Graph_ACHART_11" hidden="1">#REF!</definedName>
    <definedName name="_4__123Graph_ACHART_12" hidden="1">#REF!</definedName>
    <definedName name="_4__123Graph_ACHART_2A" hidden="1">#REF!</definedName>
    <definedName name="_4__123Graph_BCHART_1" hidden="1">#N/A</definedName>
    <definedName name="_4__123Graph_BCHART_1A" hidden="1">#REF!</definedName>
    <definedName name="_4__123Graph_BCHART_2A" hidden="1">#REF!</definedName>
    <definedName name="_40__123Graph_BCHART_12" hidden="1">#REF!</definedName>
    <definedName name="_40__123Graph_BCHART_22" hidden="1">#REF!</definedName>
    <definedName name="_40__123Graph_BCHART_23" hidden="1">#REF!</definedName>
    <definedName name="_41__123Graph_BCHART_13" hidden="1">#REF!</definedName>
    <definedName name="_41__123Graph_BCHART_23" hidden="1">#REF!</definedName>
    <definedName name="_41__123Graph_BCHART_24" hidden="1">#REF!</definedName>
    <definedName name="_42__123Graph_BCHART_14" hidden="1">#REF!</definedName>
    <definedName name="_42__123Graph_BCHART_24" hidden="1">#REF!</definedName>
    <definedName name="_42__123Graph_BCHART_25" hidden="1">#REF!</definedName>
    <definedName name="_43__123Graph_BCHART_15" hidden="1">#REF!</definedName>
    <definedName name="_43__123Graph_BCHART_25" hidden="1">#REF!</definedName>
    <definedName name="_43__123Graph_BCHART_26" hidden="1">#REF!</definedName>
    <definedName name="_44__123Graph_BCHART_16" hidden="1">#REF!</definedName>
    <definedName name="_44__123Graph_BCHART_26" hidden="1">#REF!</definedName>
    <definedName name="_44__123Graph_BCHART_27" hidden="1">#REF!</definedName>
    <definedName name="_45__123Graph_BCHART_17" hidden="1">#REF!</definedName>
    <definedName name="_45__123Graph_BCHART_27" hidden="1">#REF!</definedName>
    <definedName name="_45__123Graph_BCHART_28" hidden="1">#REF!</definedName>
    <definedName name="_46__123Graph_BCHART_18" hidden="1">#REF!</definedName>
    <definedName name="_46__123Graph_BCHART_28" hidden="1">#REF!</definedName>
    <definedName name="_46__123Graph_BCHART_29" hidden="1">#REF!</definedName>
    <definedName name="_46__123Graph_CCHART_1A" hidden="1">#REF!</definedName>
    <definedName name="_47__123Graph_BCHART_2" hidden="1">#REF!</definedName>
    <definedName name="_47__123Graph_BCHART_29" hidden="1">#REF!</definedName>
    <definedName name="_47__123Graph_BCHART_3" hidden="1">#REF!</definedName>
    <definedName name="_47__123Graph_CCHART_2A" hidden="1">#REF!</definedName>
    <definedName name="_48__123Graph_BCHART_22" hidden="1">#REF!</definedName>
    <definedName name="_48__123Graph_BCHART_3" hidden="1">#REF!</definedName>
    <definedName name="_48__123Graph_BCHART_30" hidden="1">#REF!</definedName>
    <definedName name="_48__123Graph_CCHART_3A" hidden="1">#REF!</definedName>
    <definedName name="_49__123Graph_BCHART_23" hidden="1">#REF!</definedName>
    <definedName name="_49__123Graph_BCHART_30" hidden="1">#REF!</definedName>
    <definedName name="_49__123Graph_BCHART_4" hidden="1">#REF!</definedName>
    <definedName name="_5__123Graph_ACHART_12" hidden="1">#REF!</definedName>
    <definedName name="_5__123Graph_ACHART_13" hidden="1">#REF!</definedName>
    <definedName name="_5__123Graph_ACHART_3A" hidden="1">#REF!</definedName>
    <definedName name="_5__123Graph_BCHART_2A" hidden="1">#REF!</definedName>
    <definedName name="_5__123Graph_BCHART_3" hidden="1">#N/A</definedName>
    <definedName name="_5__123Graph_CCHART_1A" hidden="1">#REF!</definedName>
    <definedName name="_50__123Graph_BCHART_24" hidden="1">#REF!</definedName>
    <definedName name="_50__123Graph_BCHART_4" hidden="1">#REF!</definedName>
    <definedName name="_50__123Graph_BCHART_5" hidden="1">#REF!</definedName>
    <definedName name="_51__123Graph_BCHART_25" hidden="1">#REF!</definedName>
    <definedName name="_51__123Graph_BCHART_5" hidden="1">#REF!</definedName>
    <definedName name="_51__123Graph_BCHART_6" hidden="1">#REF!</definedName>
    <definedName name="_52__123Graph_BCHART_26" hidden="1">#REF!</definedName>
    <definedName name="_52__123Graph_BCHART_6" hidden="1">#REF!</definedName>
    <definedName name="_52__123Graph_BCHART_7" hidden="1">#REF!</definedName>
    <definedName name="_53__123Graph_BCHART_27" hidden="1">#REF!</definedName>
    <definedName name="_53__123Graph_BCHART_7" hidden="1">#REF!</definedName>
    <definedName name="_53__123Graph_BCHART_8" hidden="1">#REF!</definedName>
    <definedName name="_54__123Graph_BCHART_1A" hidden="1">#REF!</definedName>
    <definedName name="_54__123Graph_BCHART_28" hidden="1">#REF!</definedName>
    <definedName name="_54__123Graph_BCHART_8" hidden="1">#REF!</definedName>
    <definedName name="_54__123Graph_BCHART_9" hidden="1">#REF!</definedName>
    <definedName name="_55__123Graph_BCHART_29" hidden="1">#REF!</definedName>
    <definedName name="_55__123Graph_BCHART_9" hidden="1">#REF!</definedName>
    <definedName name="_55__123Graph_CCHART_25" hidden="1">#REF!</definedName>
    <definedName name="_55__123Graph_DCHART_1A" hidden="1">#REF!</definedName>
    <definedName name="_56__123Graph_BCHART_3" hidden="1">#REF!</definedName>
    <definedName name="_56__123Graph_CCHART_25" hidden="1">#REF!</definedName>
    <definedName name="_56__123Graph_CCHART_26" hidden="1">#REF!</definedName>
    <definedName name="_56__123Graph_DCHART_2A" hidden="1">#REF!</definedName>
    <definedName name="_57__123Graph_BCHART_30" hidden="1">#REF!</definedName>
    <definedName name="_57__123Graph_CCHART_26" hidden="1">#REF!</definedName>
    <definedName name="_57__123Graph_CCHART_27" hidden="1">#REF!</definedName>
    <definedName name="_57__123Graph_DCHART_3A" hidden="1">#REF!</definedName>
    <definedName name="_58__123Graph_BCHART_4" hidden="1">#REF!</definedName>
    <definedName name="_58__123Graph_CCHART_27" hidden="1">#REF!</definedName>
    <definedName name="_58__123Graph_CCHART_28" hidden="1">#REF!</definedName>
    <definedName name="_59__123Graph_BCHART_5" hidden="1">#REF!</definedName>
    <definedName name="_59__123Graph_CCHART_28" hidden="1">#REF!</definedName>
    <definedName name="_59__123Graph_CCHART_29" hidden="1">#REF!</definedName>
    <definedName name="_6__123Graph_ACHART_13" hidden="1">#REF!</definedName>
    <definedName name="_6__123Graph_ACHART_14" hidden="1">#REF!</definedName>
    <definedName name="_6__123Graph_BCHART_3A" hidden="1">#REF!</definedName>
    <definedName name="_6__123Graph_DCHART_1" hidden="1">#N/A</definedName>
    <definedName name="_6__123Graph_DCHART_1A" hidden="1">#REF!</definedName>
    <definedName name="_60__123Graph_BCHART_6" hidden="1">#REF!</definedName>
    <definedName name="_60__123Graph_CCHART_29" hidden="1">#REF!</definedName>
    <definedName name="_60__123Graph_CCHART_30" hidden="1">#REF!</definedName>
    <definedName name="_61__123Graph_BCHART_7" hidden="1">#REF!</definedName>
    <definedName name="_61__123Graph_CCHART_30" hidden="1">#REF!</definedName>
    <definedName name="_61__123Graph_DCHART_25" hidden="1">#REF!</definedName>
    <definedName name="_62__123Graph_BCHART_8" hidden="1">#REF!</definedName>
    <definedName name="_62__123Graph_DCHART_25" hidden="1">#REF!</definedName>
    <definedName name="_62__123Graph_DCHART_26" hidden="1">#REF!</definedName>
    <definedName name="_63__123Graph_BCHART_9" hidden="1">#REF!</definedName>
    <definedName name="_63__123Graph_DCHART_26" hidden="1">#REF!</definedName>
    <definedName name="_63__123Graph_DCHART_27" hidden="1">#REF!</definedName>
    <definedName name="_64__123Graph_CCHART_25" hidden="1">#REF!</definedName>
    <definedName name="_64__123Graph_DCHART_27" hidden="1">#REF!</definedName>
    <definedName name="_64__123Graph_DCHART_28" hidden="1">#REF!</definedName>
    <definedName name="_65__123Graph_CCHART_26" hidden="1">#REF!</definedName>
    <definedName name="_65__123Graph_DCHART_28" hidden="1">#REF!</definedName>
    <definedName name="_65__123Graph_DCHART_29" hidden="1">#REF!</definedName>
    <definedName name="_66__123Graph_CCHART_27" hidden="1">#REF!</definedName>
    <definedName name="_66__123Graph_DCHART_29" hidden="1">#REF!</definedName>
    <definedName name="_66__123Graph_DCHART_30" hidden="1">#REF!</definedName>
    <definedName name="_66__123Graph_XCHART_1A" hidden="1">#REF!</definedName>
    <definedName name="_67__123Graph_CCHART_28" hidden="1">#REF!</definedName>
    <definedName name="_67__123Graph_DCHART_30" hidden="1">#REF!</definedName>
    <definedName name="_67__123Graph_XCHART_10" hidden="1">#REF!</definedName>
    <definedName name="_68__123Graph_CCHART_29" hidden="1">#REF!</definedName>
    <definedName name="_68__123Graph_XCHART_10" hidden="1">#REF!</definedName>
    <definedName name="_68__123Graph_XCHART_11" hidden="1">#REF!</definedName>
    <definedName name="_69__123Graph_CCHART_30" hidden="1">#REF!</definedName>
    <definedName name="_69__123Graph_XCHART_11" hidden="1">#REF!</definedName>
    <definedName name="_69__123Graph_XCHART_12" hidden="1">#REF!</definedName>
    <definedName name="_7__123Graph_ACHART_14" hidden="1">#REF!</definedName>
    <definedName name="_7__123Graph_ACHART_15" hidden="1">#REF!</definedName>
    <definedName name="_7__123Graph_BCHART_1A" hidden="1">#REF!</definedName>
    <definedName name="_7__123Graph_BCHART_4A" hidden="1">#REF!</definedName>
    <definedName name="_7__123Graph_LBL_ACHART_1" hidden="1">#N/A</definedName>
    <definedName name="_7__123Graph_XCHART_1A" hidden="1">#REF!</definedName>
    <definedName name="_70__123Graph_DCHART_25" hidden="1">#REF!</definedName>
    <definedName name="_70__123Graph_XCHART_12" hidden="1">#REF!</definedName>
    <definedName name="_70__123Graph_XCHART_13" hidden="1">#REF!</definedName>
    <definedName name="_71__123Graph_DCHART_26" hidden="1">#REF!</definedName>
    <definedName name="_71__123Graph_XCHART_13" hidden="1">#REF!</definedName>
    <definedName name="_71__123Graph_XCHART_14" hidden="1">#REF!</definedName>
    <definedName name="_72__123Graph_BCHART_2A" hidden="1">#REF!</definedName>
    <definedName name="_72__123Graph_DCHART_27" hidden="1">#REF!</definedName>
    <definedName name="_72__123Graph_XCHART_14" hidden="1">#REF!</definedName>
    <definedName name="_72__123Graph_XCHART_15" hidden="1">#REF!</definedName>
    <definedName name="_73__123Graph_DCHART_28" hidden="1">#REF!</definedName>
    <definedName name="_73__123Graph_XCHART_15" hidden="1">#REF!</definedName>
    <definedName name="_73__123Graph_XCHART_16" hidden="1">#REF!</definedName>
    <definedName name="_74__123Graph_DCHART_29" hidden="1">#REF!</definedName>
    <definedName name="_74__123Graph_XCHART_16" hidden="1">#REF!</definedName>
    <definedName name="_74__123Graph_XCHART_2" hidden="1">#REF!</definedName>
    <definedName name="_75__123Graph_DCHART_30" hidden="1">#REF!</definedName>
    <definedName name="_75__123Graph_XCHART_2" hidden="1">#REF!</definedName>
    <definedName name="_75__123Graph_XCHART_2A" hidden="1">#REF!</definedName>
    <definedName name="_75__123Graph_XCHART_3" hidden="1">#REF!</definedName>
    <definedName name="_76__123Graph_XCHART_10" hidden="1">#REF!</definedName>
    <definedName name="_76__123Graph_XCHART_3" hidden="1">#REF!</definedName>
    <definedName name="_76__123Graph_XCHART_3A" hidden="1">#REF!</definedName>
    <definedName name="_76__123Graph_XCHART_4" hidden="1">#REF!</definedName>
    <definedName name="_77__123Graph_XCHART_11" hidden="1">#REF!</definedName>
    <definedName name="_77__123Graph_XCHART_4" hidden="1">#REF!</definedName>
    <definedName name="_77__123Graph_XCHART_4A" hidden="1">#REF!</definedName>
    <definedName name="_77__123Graph_XCHART_5" hidden="1">#REF!</definedName>
    <definedName name="_78__123Graph_XCHART_12" hidden="1">#REF!</definedName>
    <definedName name="_78__123Graph_XCHART_5" hidden="1">#REF!</definedName>
    <definedName name="_78__123Graph_XCHART_6" hidden="1">#REF!</definedName>
    <definedName name="_79__123Graph_XCHART_13" hidden="1">#REF!</definedName>
    <definedName name="_79__123Graph_XCHART_6" hidden="1">#REF!</definedName>
    <definedName name="_79__123Graph_XCHART_7" hidden="1">#REF!</definedName>
    <definedName name="_8__123Graph_ACHART_15" hidden="1">#REF!</definedName>
    <definedName name="_8__123Graph_ACHART_16" hidden="1">#REF!</definedName>
    <definedName name="_8__123Graph_CCHART_1A" hidden="1">#REF!</definedName>
    <definedName name="_8__123Graph_LBL_ACHART_3" hidden="1">#N/A</definedName>
    <definedName name="_8__123Graph_XCHART_2A" hidden="1">#REF!</definedName>
    <definedName name="_80__123Graph_XCHART_14" hidden="1">#REF!</definedName>
    <definedName name="_80__123Graph_XCHART_7" hidden="1">#REF!</definedName>
    <definedName name="_80__123Graph_XCHART_8" hidden="1">#REF!</definedName>
    <definedName name="_81__123Graph_XCHART_15" hidden="1">#REF!</definedName>
    <definedName name="_81__123Graph_XCHART_8" hidden="1">#REF!</definedName>
    <definedName name="_81__123Graph_XCHART_9" hidden="1">#REF!</definedName>
    <definedName name="_82__123Graph_XCHART_16" hidden="1">#REF!</definedName>
    <definedName name="_82__123Graph_XCHART_9" hidden="1">#REF!</definedName>
    <definedName name="_83__123Graph_XCHART_2" hidden="1">#REF!</definedName>
    <definedName name="_84__123Graph_XCHART_3" hidden="1">#REF!</definedName>
    <definedName name="_85__123Graph_XCHART_4" hidden="1">#REF!</definedName>
    <definedName name="_86__123Graph_XCHART_5" hidden="1">#REF!</definedName>
    <definedName name="_87__123Graph_XCHART_6" hidden="1">#REF!</definedName>
    <definedName name="_88__123Graph_XCHART_7" hidden="1">#REF!</definedName>
    <definedName name="_89__123Graph_XCHART_8" hidden="1">#REF!</definedName>
    <definedName name="_9__123Graph_ACHART_16" hidden="1">#REF!</definedName>
    <definedName name="_9__123Graph_ACHART_17" hidden="1">#REF!</definedName>
    <definedName name="_9__123Graph_ACHART_1A" hidden="1">#REF!</definedName>
    <definedName name="_9__123Graph_BCHART_2A" hidden="1">#REF!</definedName>
    <definedName name="_9__123Graph_CCHART_2A" hidden="1">#REF!</definedName>
    <definedName name="_9__123Graph_LBL_DCHART_1" hidden="1">#N/A</definedName>
    <definedName name="_90__123Graph_CCHART_1A" hidden="1">#REF!</definedName>
    <definedName name="_90__123Graph_XCHART_9" hidden="1">#REF!</definedName>
    <definedName name="_a88" localSheetId="20" hidden="1">{#N/A,#N/A,FALSE,"CONTROLE";#N/A,#N/A,FALSE,"CONTROLE"}</definedName>
    <definedName name="_a88" hidden="1">{#N/A,#N/A,FALSE,"CONTROLE";#N/A,#N/A,FALSE,"CONTROLE"}</definedName>
    <definedName name="_AMO_UniqueIdentifier" hidden="1">"'c7bddf54-8521-417b-ae8d-d0bd6e8672cb'"</definedName>
    <definedName name="_ASS2" localSheetId="20" hidden="1">{#N/A,#N/A,TRUE,"UTI"}</definedName>
    <definedName name="_ASS2" hidden="1">{#N/A,#N/A,TRUE,"UTI"}</definedName>
    <definedName name="_ATPRegress_Dlg_Results" localSheetId="20" hidden="1">{2;#N/A;"R13C16:R17C16";#N/A;"R13C14:R17C15";FALSE;FALSE;FALSE;95;#N/A;#N/A;"R13C19";#N/A;FALSE;FALSE;FALSE;FALSE;#N/A;"";#N/A;FALSE;"";"";#N/A;#N/A;#N/A}</definedName>
    <definedName name="_ATPRegress_Dlg_Results" hidden="1">{2;#N/A;"R13C16:R17C16";#N/A;"R13C14:R17C15";FALSE;FALSE;FALSE;95;#N/A;#N/A;"R13C19";#N/A;FALSE;FALSE;FALSE;FALSE;#N/A;"";#N/A;FALSE;"";"";#N/A;#N/A;#N/A}</definedName>
    <definedName name="_ATPRegress_Dlg_Types" localSheetId="20" hidden="1">{"EXCELHLP.HLP!1802";5;10;5;10;13;13;13;8;5;5;10;14;13;13;13;13;5;10;14;13;5;10;1;2;24}</definedName>
    <definedName name="_ATPRegress_Dlg_Types" hidden="1">{"EXCELHLP.HLP!1802";5;10;5;10;13;13;13;8;5;5;10;14;13;13;13;13;5;10;14;13;5;10;1;2;24}</definedName>
    <definedName name="_ATPRegress_Range1" hidden="1">#REF!</definedName>
    <definedName name="_ATPRegress_Range2" hidden="1">#REF!</definedName>
    <definedName name="_ATPRegress_Range3" hidden="1">#REF!</definedName>
    <definedName name="_ATPRegress_Range4" hidden="1">"="</definedName>
    <definedName name="_ATPRegress_Range5" hidden="1">"="</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 localSheetId="20" hidden="1">{#N/A,#N/A,FALSE,"LLAVE";#N/A,#N/A,FALSE,"EERR";#N/A,#N/A,FALSE,"ESP";#N/A,#N/A,FALSE,"EOAF";#N/A,#N/A,FALSE,"CASH";#N/A,#N/A,FALSE,"FINANZAS";#N/A,#N/A,FALSE,"DEUDA";#N/A,#N/A,FALSE,"INVERSION";#N/A,#N/A,FALSE,"PERSONAL"}</definedName>
    <definedName name="_B1" hidden="1">{#N/A,#N/A,FALSE,"LLAVE";#N/A,#N/A,FALSE,"EERR";#N/A,#N/A,FALSE,"ESP";#N/A,#N/A,FALSE,"EOAF";#N/A,#N/A,FALSE,"CASH";#N/A,#N/A,FALSE,"FINANZAS";#N/A,#N/A,FALSE,"DEUDA";#N/A,#N/A,FALSE,"INVERSION";#N/A,#N/A,FALSE,"PERSONAL"}</definedName>
    <definedName name="_bb1" localSheetId="20" hidden="1">{#N/A,#N/A,FALSE,"ENERGIA";#N/A,#N/A,FALSE,"PERDIDAS";#N/A,#N/A,FALSE,"CLIENTES";#N/A,#N/A,FALSE,"ESTADO";#N/A,#N/A,FALSE,"TECNICA"}</definedName>
    <definedName name="_bb1" hidden="1">{#N/A,#N/A,FALSE,"ENERGIA";#N/A,#N/A,FALSE,"PERDIDAS";#N/A,#N/A,FALSE,"CLIENTES";#N/A,#N/A,FALSE,"ESTADO";#N/A,#N/A,FALSE,"TECNICA"}</definedName>
    <definedName name="_bbb1" localSheetId="20" hidden="1">{#N/A,#N/A,FALSE,"LLAVE";#N/A,#N/A,FALSE,"EERR";#N/A,#N/A,FALSE,"ESP";#N/A,#N/A,FALSE,"EOAF";#N/A,#N/A,FALSE,"CASH";#N/A,#N/A,FALSE,"FINANZAS";#N/A,#N/A,FALSE,"DEUDA";#N/A,#N/A,FALSE,"INVERSION";#N/A,#N/A,FALSE,"PERSONAL"}</definedName>
    <definedName name="_bbb1" hidden="1">{#N/A,#N/A,FALSE,"LLAVE";#N/A,#N/A,FALSE,"EERR";#N/A,#N/A,FALSE,"ESP";#N/A,#N/A,FALSE,"EOAF";#N/A,#N/A,FALSE,"CASH";#N/A,#N/A,FALSE,"FINANZAS";#N/A,#N/A,FALSE,"DEUDA";#N/A,#N/A,FALSE,"INVERSION";#N/A,#N/A,FALSE,"PERSONAL"}</definedName>
    <definedName name="_bdm.2.edm" hidden="1">#REF!</definedName>
    <definedName name="_bdm.2B2810A7FA344741B43C0EBBFE7B8878.edm" hidden="1">#REF!</definedName>
    <definedName name="_bdm.2CF0F5E541B84BA9A763D02541200425.edm" hidden="1">#N/A</definedName>
    <definedName name="_bdm.3B51E0F51BD04729AD65A957035DA53D.edm" hidden="1">#REF!</definedName>
    <definedName name="_bdm.52168FE038CF49D8AFC91AA398CA57F9.edm" hidden="1">#REF!</definedName>
    <definedName name="_bdm.59A2B09A87244712842B254750D21769.edm" hidden="1">#REF!</definedName>
    <definedName name="_bdm.59B4D989D12D4E3E96E5209B7EDA9B9F.edm" hidden="1">#REF!</definedName>
    <definedName name="_bdm.5AE389B279314541A39A1D7D46611C79.edm" hidden="1">#REF!</definedName>
    <definedName name="_bdm.66E24B06FDE644CF98E05FEE93673F82.edm" hidden="1">#REF!</definedName>
    <definedName name="_bdm.6E0AC289CA324643A6B8D0F0EC334874.edm" hidden="1">#REF!</definedName>
    <definedName name="_bdm.8013CB6D54FD4D2C956CBD1041CEC3FF.edm" hidden="1">#REF!</definedName>
    <definedName name="_bdm.9984D1F33F38468499CD7E00BAFE7CB5.edm" hidden="1">#REF!</definedName>
    <definedName name="_bdm.9AECB58EDC344D8989E5CFDFCB77697A.edm" hidden="1">#REF!</definedName>
    <definedName name="_bdm.9B7A9F7B547E4539BB7F39354A5C72B0.edm" hidden="1">#REF!</definedName>
    <definedName name="_bdm.BD267AE139784E3CB9E5B7FE9DBC5615.edm" hidden="1">#REF!</definedName>
    <definedName name="_bdm.C783EC1A8B314C00AFFB77B48FEF1B9E.edm" hidden="1">#N/A</definedName>
    <definedName name="_bdm.C9D0A5B26714462FB0E7B40861342A02.edm" hidden="1">#REF!</definedName>
    <definedName name="_bdm.CF12D9AC23CA4135BF8D6D082A7C72D5.edm" hidden="1">#N/A</definedName>
    <definedName name="_bdm.E0BA8578CDA84A7392AB05F6FABA06DA.edm" hidden="1">#REF!</definedName>
    <definedName name="_bx1" localSheetId="20" hidden="1">{#N/A,#N/A,FALSE,"LLAVE";#N/A,#N/A,FALSE,"EERR";#N/A,#N/A,FALSE,"ESP";#N/A,#N/A,FALSE,"EOAF";#N/A,#N/A,FALSE,"CASH";#N/A,#N/A,FALSE,"FINANZAS";#N/A,#N/A,FALSE,"DEUDA";#N/A,#N/A,FALSE,"INVERSION";#N/A,#N/A,FALSE,"PERSONAL"}</definedName>
    <definedName name="_bx1" hidden="1">{#N/A,#N/A,FALSE,"LLAVE";#N/A,#N/A,FALSE,"EERR";#N/A,#N/A,FALSE,"ESP";#N/A,#N/A,FALSE,"EOAF";#N/A,#N/A,FALSE,"CASH";#N/A,#N/A,FALSE,"FINANZAS";#N/A,#N/A,FALSE,"DEUDA";#N/A,#N/A,FALSE,"INVERSION";#N/A,#N/A,FALSE,"PERSONAL"}</definedName>
    <definedName name="_CD1" localSheetId="20" hidden="1">{#N/A,#N/A,FALSE,"LLAVE";#N/A,#N/A,FALSE,"EERR";#N/A,#N/A,FALSE,"ESP";#N/A,#N/A,FALSE,"EOAF";#N/A,#N/A,FALSE,"CASH";#N/A,#N/A,FALSE,"FINANZAS";#N/A,#N/A,FALSE,"DEUDA";#N/A,#N/A,FALSE,"INVERSION";#N/A,#N/A,FALSE,"PERSONAL"}</definedName>
    <definedName name="_CD1" hidden="1">{#N/A,#N/A,FALSE,"LLAVE";#N/A,#N/A,FALSE,"EERR";#N/A,#N/A,FALSE,"ESP";#N/A,#N/A,FALSE,"EOAF";#N/A,#N/A,FALSE,"CASH";#N/A,#N/A,FALSE,"FINANZAS";#N/A,#N/A,FALSE,"DEUDA";#N/A,#N/A,FALSE,"INVERSION";#N/A,#N/A,FALSE,"PERSONAL"}</definedName>
    <definedName name="_cdx1" localSheetId="20" hidden="1">{#N/A,#N/A,FALSE,"LLAVE";#N/A,#N/A,FALSE,"EERR";#N/A,#N/A,FALSE,"ESP";#N/A,#N/A,FALSE,"EOAF";#N/A,#N/A,FALSE,"CASH";#N/A,#N/A,FALSE,"FINANZAS";#N/A,#N/A,FALSE,"DEUDA";#N/A,#N/A,FALSE,"INVERSION";#N/A,#N/A,FALSE,"PERSONAL"}</definedName>
    <definedName name="_cdx1" hidden="1">{#N/A,#N/A,FALSE,"LLAVE";#N/A,#N/A,FALSE,"EERR";#N/A,#N/A,FALSE,"ESP";#N/A,#N/A,FALSE,"EOAF";#N/A,#N/A,FALSE,"CASH";#N/A,#N/A,FALSE,"FINANZAS";#N/A,#N/A,FALSE,"DEUDA";#N/A,#N/A,FALSE,"INVERSION";#N/A,#N/A,FALSE,"PERSONAL"}</definedName>
    <definedName name="_Corporativo_SPE" localSheetId="17">_tCorporativo[Corporativo_SPE]</definedName>
    <definedName name="_Corporativo_SPE" localSheetId="18">_tCorporativo[Corporativo_SPE]</definedName>
    <definedName name="_Corporativo_SPE" localSheetId="19">_tCorporativo[Corporativo_SPE]</definedName>
    <definedName name="_Corporativo_SPE">_tCorporativo[Corporativo_SPE]</definedName>
    <definedName name="_CRM2" localSheetId="20" hidden="1">{#N/A,#N/A,FALSE,"ANEXO3 99 ERA";#N/A,#N/A,FALSE,"ANEXO3 99 UBÁ2";#N/A,#N/A,FALSE,"ANEXO3 99 DTU";#N/A,#N/A,FALSE,"ANEXO3 99 RDR";#N/A,#N/A,FALSE,"ANEXO3 99 UBÁ4";#N/A,#N/A,FALSE,"ANEXO3 99 UBÁ6"}</definedName>
    <definedName name="_CRM2" hidden="1">{#N/A,#N/A,FALSE,"ANEXO3 99 ERA";#N/A,#N/A,FALSE,"ANEXO3 99 UBÁ2";#N/A,#N/A,FALSE,"ANEXO3 99 DTU";#N/A,#N/A,FALSE,"ANEXO3 99 RDR";#N/A,#N/A,FALSE,"ANEXO3 99 UBÁ4";#N/A,#N/A,FALSE,"ANEXO3 99 UBÁ6"}</definedName>
    <definedName name="_CRM3" localSheetId="20" hidden="1">{#N/A,#N/A,FALSE,"ANEXO3 99 ERA";#N/A,#N/A,FALSE,"ANEXO3 99 UBÁ2";#N/A,#N/A,FALSE,"ANEXO3 99 DTU";#N/A,#N/A,FALSE,"ANEXO3 99 RDR";#N/A,#N/A,FALSE,"ANEXO3 99 UBÁ4";#N/A,#N/A,FALSE,"ANEXO3 99 UBÁ6"}</definedName>
    <definedName name="_CRM3" hidden="1">{#N/A,#N/A,FALSE,"ANEXO3 99 ERA";#N/A,#N/A,FALSE,"ANEXO3 99 UBÁ2";#N/A,#N/A,FALSE,"ANEXO3 99 DTU";#N/A,#N/A,FALSE,"ANEXO3 99 RDR";#N/A,#N/A,FALSE,"ANEXO3 99 UBÁ4";#N/A,#N/A,FALSE,"ANEXO3 99 UBÁ6"}</definedName>
    <definedName name="_CRM4" localSheetId="20" hidden="1">{#N/A,#N/A,FALSE,"ANEXO3 99 ERA";#N/A,#N/A,FALSE,"ANEXO3 99 UBÁ2";#N/A,#N/A,FALSE,"ANEXO3 99 DTU";#N/A,#N/A,FALSE,"ANEXO3 99 RDR";#N/A,#N/A,FALSE,"ANEXO3 99 UBÁ4";#N/A,#N/A,FALSE,"ANEXO3 99 UBÁ6"}</definedName>
    <definedName name="_CRM4" hidden="1">{#N/A,#N/A,FALSE,"ANEXO3 99 ERA";#N/A,#N/A,FALSE,"ANEXO3 99 UBÁ2";#N/A,#N/A,FALSE,"ANEXO3 99 DTU";#N/A,#N/A,FALSE,"ANEXO3 99 RDR";#N/A,#N/A,FALSE,"ANEXO3 99 UBÁ4";#N/A,#N/A,FALSE,"ANEXO3 99 UBÁ6"}</definedName>
    <definedName name="_df1" localSheetId="20" hidden="1">{#N/A,#N/A,FALSE,"LLAVE";#N/A,#N/A,FALSE,"EERR";#N/A,#N/A,FALSE,"ESP";#N/A,#N/A,FALSE,"EOAF";#N/A,#N/A,FALSE,"CASH";#N/A,#N/A,FALSE,"FINANZAS";#N/A,#N/A,FALSE,"DEUDA";#N/A,#N/A,FALSE,"INVERSION";#N/A,#N/A,FALSE,"PERSONAL"}</definedName>
    <definedName name="_df1" hidden="1">{#N/A,#N/A,FALSE,"LLAVE";#N/A,#N/A,FALSE,"EERR";#N/A,#N/A,FALSE,"ESP";#N/A,#N/A,FALSE,"EOAF";#N/A,#N/A,FALSE,"CASH";#N/A,#N/A,FALSE,"FINANZAS";#N/A,#N/A,FALSE,"DEUDA";#N/A,#N/A,FALSE,"INVERSION";#N/A,#N/A,FALSE,"PERSONAL"}</definedName>
    <definedName name="_e1" localSheetId="20" hidden="1">{#N/A,#N/A,FALSE,"ENERGIA";#N/A,#N/A,FALSE,"PERDIDAS";#N/A,#N/A,FALSE,"CLIENTES";#N/A,#N/A,FALSE,"ESTADO";#N/A,#N/A,FALSE,"TECNICA"}</definedName>
    <definedName name="_e1" hidden="1">{#N/A,#N/A,FALSE,"ENERGIA";#N/A,#N/A,FALSE,"PERDIDAS";#N/A,#N/A,FALSE,"CLIENTES";#N/A,#N/A,FALSE,"ESTADO";#N/A,#N/A,FALSE,"TECNICA"}</definedName>
    <definedName name="_ep1" localSheetId="20" hidden="1">{#N/A,#N/A,FALSE,"CONTROLE"}</definedName>
    <definedName name="_ep1" hidden="1">{#N/A,#N/A,FALSE,"CONTROLE"}</definedName>
    <definedName name="_ev4" localSheetId="20" hidden="1">{#N/A,#N/A,FALSE,"CONTROLE"}</definedName>
    <definedName name="_ev4" hidden="1">{#N/A,#N/A,FALSE,"CONTROLE"}</definedName>
    <definedName name="_Fill" hidden="1">#REF!</definedName>
    <definedName name="_FilterDatabase1" hidden="1">#REF!</definedName>
    <definedName name="_xlnm._FilterDatabase" localSheetId="3" hidden="1">Grupo!$A$1:$K$124</definedName>
    <definedName name="_xlnm._FilterDatabase" localSheetId="22" hidden="1">'R&amp;M'!$B$3:$H$335</definedName>
    <definedName name="_xlnm._FilterDatabase" localSheetId="23" hidden="1">SGPMR!$A$1:$M$11175</definedName>
    <definedName name="_xlnm._FilterDatabase" hidden="1">#REF!</definedName>
    <definedName name="_fpp07" localSheetId="20" hidden="1">{"TotalGeralDespesasPorArea",#N/A,FALSE,"VinculosAccessEfetivo"}</definedName>
    <definedName name="_fpp07" hidden="1">{"TotalGeralDespesasPorArea",#N/A,FALSE,"VinculosAccessEfetivo"}</definedName>
    <definedName name="_FT08" hidden="1">"3OYHDJRF05V1IN1D1R6C32J5E"</definedName>
    <definedName name="_InvContratado" localSheetId="17">Tabela24[Investimento Contratado]</definedName>
    <definedName name="_InvContratado" localSheetId="18">Tabela24[Investimento Contratado]</definedName>
    <definedName name="_InvContratado" localSheetId="19">Tabela24[Investimento Contratado]</definedName>
    <definedName name="_InvContratado">Tabela24[Investimento Contratado]</definedName>
    <definedName name="_Investimento_Novo" localSheetId="17">Tabela22[Investimento Novo]</definedName>
    <definedName name="_Investimento_Novo" localSheetId="18">Tabela22[Investimento Novo]</definedName>
    <definedName name="_Investimento_Novo" localSheetId="19">Tabela22[Investimento Novo]</definedName>
    <definedName name="_Investimento_Novo">Tabela22[Investimento Novo]</definedName>
    <definedName name="_Key1" hidden="1">#REF!</definedName>
    <definedName name="_key2" hidden="1">#REF!</definedName>
    <definedName name="_new2" localSheetId="20" hidden="1">{"'pg(12)'!$B$1:$N$16"}</definedName>
    <definedName name="_new2" hidden="1">{"'pg(12)'!$B$1:$N$16"}</definedName>
    <definedName name="_new2002" localSheetId="20" hidden="1">{"'pg(12)'!$B$1:$N$16"}</definedName>
    <definedName name="_new2002" hidden="1">{"'pg(12)'!$B$1:$N$16"}</definedName>
    <definedName name="_new3" localSheetId="20" hidden="1">{"'pg(12)'!$B$1:$N$16"}</definedName>
    <definedName name="_new3" hidden="1">{"'pg(12)'!$B$1:$N$16"}</definedName>
    <definedName name="_NWC2" localSheetId="20" hidden="1">{"SINTESI",#N/A,FALSE,"sintesi";"VOLCAN",#N/A,FALSE,"volcan";"MDC",#N/A,FALSE,"MDCBDG";"VOLPROD",#N/A,FALSE,"volprod";"SPESE",#N/A,FALSE,"SPESE";"_Current_",#N/A,FALSE,"VARFCT";"CE",#N/A,FALSE,"CENEW";"SP",#N/A,FALSE,"SPNEW";"INVESTIM",#N/A,FALSE,"INVESTIM";"FATPROD",#N/A,FALSE,"ricprod";"PRODUNIT",#N/A,FALSE,"ricprod";"FATCAN",#N/A,FALSE,"riccan";"CANUNIT",#N/A,FALSE,"riccan";#N/A,#N/A,FALSE,"MDC FCT";"VARIANTI",#N/A,FALSE,"VARBDG"}</definedName>
    <definedName name="_NWC2" hidden="1">{"SINTESI",#N/A,FALSE,"sintesi";"VOLCAN",#N/A,FALSE,"volcan";"MDC",#N/A,FALSE,"MDCBDG";"VOLPROD",#N/A,FALSE,"volprod";"SPESE",#N/A,FALSE,"SPESE";"_Current_",#N/A,FALSE,"VARFCT";"CE",#N/A,FALSE,"CENEW";"SP",#N/A,FALSE,"SPNEW";"INVESTIM",#N/A,FALSE,"INVESTIM";"FATPROD",#N/A,FALSE,"ricprod";"PRODUNIT",#N/A,FALSE,"ricprod";"FATCAN",#N/A,FALSE,"riccan";"CANUNIT",#N/A,FALSE,"riccan";#N/A,#N/A,FALSE,"MDC FCT";"VARIANTI",#N/A,FALSE,"VARBDG"}</definedName>
    <definedName name="_o022" localSheetId="20" hidden="1">{#N/A,#N/A,FALSE,"CONTROLE";#N/A,#N/A,FALSE,"CONTROLE"}</definedName>
    <definedName name="_o022" hidden="1">{#N/A,#N/A,FALSE,"CONTROLE";#N/A,#N/A,FALSE,"CONTROLE"}</definedName>
    <definedName name="_o023" localSheetId="20" hidden="1">{#N/A,#N/A,FALSE,"CONTROLE"}</definedName>
    <definedName name="_o023" hidden="1">{#N/A,#N/A,FALSE,"CONTROLE"}</definedName>
    <definedName name="_o1"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10" localSheetId="20" hidden="1">{"TotalGeralDespesasPorArea",#N/A,FALSE,"VinculosAccessEfetivo"}</definedName>
    <definedName name="_o10" hidden="1">{"TotalGeralDespesasPorArea",#N/A,FALSE,"VinculosAccessEfetivo"}</definedName>
    <definedName name="_o11"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1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13" localSheetId="20" hidden="1">{"TotalGeralDespesasPorArea",#N/A,FALSE,"VinculosAccessEfetivo"}</definedName>
    <definedName name="_o13" hidden="1">{"TotalGeralDespesasPorArea",#N/A,FALSE,"VinculosAccessEfetivo"}</definedName>
    <definedName name="_o14" localSheetId="20" hidden="1">{#N/A,#N/A,FALSE,"CONTROLE"}</definedName>
    <definedName name="_o14" hidden="1">{#N/A,#N/A,FALSE,"CONTROLE"}</definedName>
    <definedName name="_o15" localSheetId="20" hidden="1">{#N/A,#N/A,FALSE,"CONTROLE"}</definedName>
    <definedName name="_o15" hidden="1">{#N/A,#N/A,FALSE,"CONTROLE"}</definedName>
    <definedName name="_o16" localSheetId="20" hidden="1">{"TotalGeralDespesasPorArea",#N/A,FALSE,"VinculosAccessEfetivo"}</definedName>
    <definedName name="_o16" hidden="1">{"TotalGeralDespesasPorArea",#N/A,FALSE,"VinculosAccessEfetivo"}</definedName>
    <definedName name="_o17"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17"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19" localSheetId="20" hidden="1">{#N/A,#N/A,FALSE,"CONTROLE"}</definedName>
    <definedName name="_o19" hidden="1">{#N/A,#N/A,FALSE,"CONTROLE"}</definedName>
    <definedName name="_o2"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2"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20"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21" localSheetId="20" hidden="1">{"TotalGeralDespesasPorArea",#N/A,FALSE,"VinculosAccessEfetivo"}</definedName>
    <definedName name="_o21" hidden="1">{"TotalGeralDespesasPorArea",#N/A,FALSE,"VinculosAccessEfetivo"}</definedName>
    <definedName name="_o24"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24"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25" localSheetId="20" hidden="1">{"TotalGeralDespesasPorArea",#N/A,FALSE,"VinculosAccessEfetivo"}</definedName>
    <definedName name="_o25" hidden="1">{"TotalGeralDespesasPorArea",#N/A,FALSE,"VinculosAccessEfetivo"}</definedName>
    <definedName name="_o26"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26"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28" localSheetId="20" hidden="1">{"TotalGeralDespesasPorArea",#N/A,FALSE,"VinculosAccessEfetivo"}</definedName>
    <definedName name="_o28" hidden="1">{"TotalGeralDespesasPorArea",#N/A,FALSE,"VinculosAccessEfetivo"}</definedName>
    <definedName name="_o29" localSheetId="20" hidden="1">{#N/A,#N/A,FALSE,"CONTROLE"}</definedName>
    <definedName name="_o29" hidden="1">{#N/A,#N/A,FALSE,"CONTROLE"}</definedName>
    <definedName name="_o3" localSheetId="20" hidden="1">{"TotalGeralDespesasPorArea",#N/A,FALSE,"VinculosAccessEfetivo"}</definedName>
    <definedName name="_o3" hidden="1">{"TotalGeralDespesasPorArea",#N/A,FALSE,"VinculosAccessEfetivo"}</definedName>
    <definedName name="_o30" localSheetId="20" hidden="1">{#N/A,#N/A,FALSE,"CONTROLE"}</definedName>
    <definedName name="_o30" hidden="1">{#N/A,#N/A,FALSE,"CONTROLE"}</definedName>
    <definedName name="_o31"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3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33" localSheetId="20" hidden="1">{#N/A,#N/A,FALSE,"CONTROLE"}</definedName>
    <definedName name="_o33" hidden="1">{#N/A,#N/A,FALSE,"CONTROLE"}</definedName>
    <definedName name="_o34"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34"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35"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35"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36" localSheetId="20" hidden="1">{"TotalGeralDespesasPorArea",#N/A,FALSE,"VinculosAccessEfetivo"}</definedName>
    <definedName name="_o36" hidden="1">{"TotalGeralDespesasPorArea",#N/A,FALSE,"VinculosAccessEfetivo"}</definedName>
    <definedName name="_o37" localSheetId="20" hidden="1">{#N/A,#N/A,FALSE,"CONTROLE";#N/A,#N/A,FALSE,"CONTROLE"}</definedName>
    <definedName name="_o37" hidden="1">{#N/A,#N/A,FALSE,"CONTROLE";#N/A,#N/A,FALSE,"CONTROLE"}</definedName>
    <definedName name="_o38" localSheetId="20" hidden="1">{#N/A,#N/A,FALSE,"CONTROLE"}</definedName>
    <definedName name="_o38" hidden="1">{#N/A,#N/A,FALSE,"CONTROLE"}</definedName>
    <definedName name="_o39" localSheetId="20" hidden="1">{"TotalGeralDespesasPorArea",#N/A,FALSE,"VinculosAccessEfetivo"}</definedName>
    <definedName name="_o39" hidden="1">{"TotalGeralDespesasPorArea",#N/A,FALSE,"VinculosAccessEfetivo"}</definedName>
    <definedName name="_o4" localSheetId="20" hidden="1">{"TotalGeralDespesasPorArea",#N/A,FALSE,"VinculosAccessEfetivo"}</definedName>
    <definedName name="_o4" hidden="1">{"TotalGeralDespesasPorArea",#N/A,FALSE,"VinculosAccessEfetivo"}</definedName>
    <definedName name="_o45" localSheetId="20" hidden="1">{"TotalGeralDespesasPorArea",#N/A,FALSE,"VinculosAccessEfetivo"}</definedName>
    <definedName name="_o45" hidden="1">{"TotalGeralDespesasPorArea",#N/A,FALSE,"VinculosAccessEfetivo"}</definedName>
    <definedName name="_o5" localSheetId="20" hidden="1">{"TotalGeralDespesasPorArea",#N/A,FALSE,"VinculosAccessEfetivo"}</definedName>
    <definedName name="_o5" hidden="1">{"TotalGeralDespesasPorArea",#N/A,FALSE,"VinculosAccessEfetivo"}</definedName>
    <definedName name="_o6" localSheetId="20" hidden="1">{"TotalGeralDespesasPorArea",#N/A,FALSE,"VinculosAccessEfetivo"}</definedName>
    <definedName name="_o6" hidden="1">{"TotalGeralDespesasPorArea",#N/A,FALSE,"VinculosAccessEfetivo"}</definedName>
    <definedName name="_o60" localSheetId="20" hidden="1">{"TotalGeralDespesasPorArea",#N/A,FALSE,"VinculosAccessEfetivo"}</definedName>
    <definedName name="_o60" hidden="1">{"TotalGeralDespesasPorArea",#N/A,FALSE,"VinculosAccessEfetivo"}</definedName>
    <definedName name="_o7" localSheetId="20" hidden="1">{"TotalGeralDespesasPorArea",#N/A,FALSE,"VinculosAccessEfetivo"}</definedName>
    <definedName name="_o7" hidden="1">{"TotalGeralDespesasPorArea",#N/A,FALSE,"VinculosAccessEfetivo"}</definedName>
    <definedName name="_o8" localSheetId="20" hidden="1">{"TotalGeralDespesasPorArea",#N/A,FALSE,"VinculosAccessEfetivo"}</definedName>
    <definedName name="_o8" hidden="1">{"TotalGeralDespesasPorArea",#N/A,FALSE,"VinculosAccessEfetivo"}</definedName>
    <definedName name="_o840" localSheetId="20" hidden="1">{"TotalGeralDespesasPorArea",#N/A,FALSE,"VinculosAccessEfetivo"}</definedName>
    <definedName name="_o840" hidden="1">{"TotalGeralDespesasPorArea",#N/A,FALSE,"VinculosAccessEfetivo"}</definedName>
    <definedName name="_o841" localSheetId="20" hidden="1">{"TotalGeralDespesasPorArea",#N/A,FALSE,"VinculosAccessEfetivo"}</definedName>
    <definedName name="_o841" hidden="1">{"TotalGeralDespesasPorArea",#N/A,FALSE,"VinculosAccessEfetivo"}</definedName>
    <definedName name="_o847" localSheetId="20" hidden="1">{"TotalGeralDespesasPorArea",#N/A,FALSE,"VinculosAccessEfetivo"}</definedName>
    <definedName name="_o847" hidden="1">{"TotalGeralDespesasPorArea",#N/A,FALSE,"VinculosAccessEfetivo"}</definedName>
    <definedName name="_o9" localSheetId="20" hidden="1">{"TotalGeralDespesasPorArea",#N/A,FALSE,"VinculosAccessEfetivo"}</definedName>
    <definedName name="_o9" hidden="1">{"TotalGeralDespesasPorArea",#N/A,FALSE,"VinculosAccessEfetivo"}</definedName>
    <definedName name="_Order1" hidden="1">255</definedName>
    <definedName name="_Order1_1" hidden="1">255</definedName>
    <definedName name="_Order2" hidden="1">255</definedName>
    <definedName name="_p1"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p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p10" localSheetId="20" hidden="1">{"TotalGeralDespesasPorArea",#N/A,FALSE,"VinculosAccessEfetivo"}</definedName>
    <definedName name="_p10" hidden="1">{"TotalGeralDespesasPorArea",#N/A,FALSE,"VinculosAccessEfetivo"}</definedName>
    <definedName name="_p11"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p1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p13" localSheetId="20" hidden="1">{"TotalGeralDespesasPorArea",#N/A,FALSE,"VinculosAccessEfetivo"}</definedName>
    <definedName name="_p13" hidden="1">{"TotalGeralDespesasPorArea",#N/A,FALSE,"VinculosAccessEfetivo"}</definedName>
    <definedName name="_p14" localSheetId="20" hidden="1">{#N/A,#N/A,FALSE,"CONTROLE"}</definedName>
    <definedName name="_p14" hidden="1">{#N/A,#N/A,FALSE,"CONTROLE"}</definedName>
    <definedName name="_p15" localSheetId="20" hidden="1">{#N/A,#N/A,FALSE,"CONTROLE"}</definedName>
    <definedName name="_p15" hidden="1">{#N/A,#N/A,FALSE,"CONTROLE"}</definedName>
    <definedName name="_p16" localSheetId="20" hidden="1">{"TotalGeralDespesasPorArea",#N/A,FALSE,"VinculosAccessEfetivo"}</definedName>
    <definedName name="_p16" hidden="1">{"TotalGeralDespesasPorArea",#N/A,FALSE,"VinculosAccessEfetivo"}</definedName>
    <definedName name="_p17"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p17"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p19" localSheetId="20" hidden="1">{#N/A,#N/A,FALSE,"CONTROLE"}</definedName>
    <definedName name="_p19" hidden="1">{#N/A,#N/A,FALSE,"CONTROLE"}</definedName>
    <definedName name="_p2"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p2"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p20"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p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p21" localSheetId="20" hidden="1">{"TotalGeralDespesasPorArea",#N/A,FALSE,"VinculosAccessEfetivo"}</definedName>
    <definedName name="_p21" hidden="1">{"TotalGeralDespesasPorArea",#N/A,FALSE,"VinculosAccessEfetivo"}</definedName>
    <definedName name="_p22" localSheetId="20" hidden="1">{#N/A,#N/A,FALSE,"CONTROLE";#N/A,#N/A,FALSE,"CONTROLE"}</definedName>
    <definedName name="_p22" hidden="1">{#N/A,#N/A,FALSE,"CONTROLE";#N/A,#N/A,FALSE,"CONTROLE"}</definedName>
    <definedName name="_p23" localSheetId="20" hidden="1">{#N/A,#N/A,FALSE,"CONTROLE"}</definedName>
    <definedName name="_p23" hidden="1">{#N/A,#N/A,FALSE,"CONTROLE"}</definedName>
    <definedName name="_p3" localSheetId="20" hidden="1">{"TotalGeralDespesasPorArea",#N/A,FALSE,"VinculosAccessEfetivo"}</definedName>
    <definedName name="_p3" hidden="1">{"TotalGeralDespesasPorArea",#N/A,FALSE,"VinculosAccessEfetivo"}</definedName>
    <definedName name="_p4" localSheetId="20" hidden="1">{"TotalGeralDespesasPorArea",#N/A,FALSE,"VinculosAccessEfetivo"}</definedName>
    <definedName name="_p4" hidden="1">{"TotalGeralDespesasPorArea",#N/A,FALSE,"VinculosAccessEfetivo"}</definedName>
    <definedName name="_p5" localSheetId="20" hidden="1">{"TotalGeralDespesasPorArea",#N/A,FALSE,"VinculosAccessEfetivo"}</definedName>
    <definedName name="_p5" hidden="1">{"TotalGeralDespesasPorArea",#N/A,FALSE,"VinculosAccessEfetivo"}</definedName>
    <definedName name="_p6" localSheetId="20" hidden="1">{"TotalGeralDespesasPorArea",#N/A,FALSE,"VinculosAccessEfetivo"}</definedName>
    <definedName name="_p6" hidden="1">{"TotalGeralDespesasPorArea",#N/A,FALSE,"VinculosAccessEfetivo"}</definedName>
    <definedName name="_p7" localSheetId="20" hidden="1">{"TotalGeralDespesasPorArea",#N/A,FALSE,"VinculosAccessEfetivo"}</definedName>
    <definedName name="_p7" hidden="1">{"TotalGeralDespesasPorArea",#N/A,FALSE,"VinculosAccessEfetivo"}</definedName>
    <definedName name="_p8" localSheetId="20" hidden="1">{"TotalGeralDespesasPorArea",#N/A,FALSE,"VinculosAccessEfetivo"}</definedName>
    <definedName name="_p8" hidden="1">{"TotalGeralDespesasPorArea",#N/A,FALSE,"VinculosAccessEfetivo"}</definedName>
    <definedName name="_p9" localSheetId="20" hidden="1">{"TotalGeralDespesasPorArea",#N/A,FALSE,"VinculosAccessEfetivo"}</definedName>
    <definedName name="_p9" hidden="1">{"TotalGeralDespesasPorArea",#N/A,FALSE,"VinculosAccessEfetivo"}</definedName>
    <definedName name="_r" localSheetId="20" hidden="1">{"consolidated",#N/A,FALSE,"Sheet1";"cms",#N/A,FALSE,"Sheet1";"fse",#N/A,FALSE,"Sheet1"}</definedName>
    <definedName name="_r" hidden="1">{"consolidated",#N/A,FALSE,"Sheet1";"cms",#N/A,FALSE,"Sheet1";"fse",#N/A,FALSE,"Sheet1"}</definedName>
    <definedName name="_Regression_Int" hidden="1">1</definedName>
    <definedName name="_Regression_Out" hidden="1">#REF!</definedName>
    <definedName name="_Regression_out1" hidden="1">#REF!</definedName>
    <definedName name="_Regression_X" hidden="1">#REF!</definedName>
    <definedName name="_Regression_Y" hidden="1">#REF!</definedName>
    <definedName name="_S" hidden="1">#REF!</definedName>
    <definedName name="_Segmento" localSheetId="17">Tabela19[Segmento]</definedName>
    <definedName name="_Segmento" localSheetId="18">Tabela19[Segmento]</definedName>
    <definedName name="_Segmento" localSheetId="19">Tabela19[Segmento]</definedName>
    <definedName name="_Segmento">Tabela19[Segmento]</definedName>
    <definedName name="_Sort" hidden="1">#REF!</definedName>
    <definedName name="_Table1_In1" hidden="1">#N/A</definedName>
    <definedName name="_Table1_Out" hidden="1">#N/A</definedName>
    <definedName name="_Table2_In1" hidden="1">#N/A</definedName>
    <definedName name="_Table2_In2" hidden="1">#N/A</definedName>
    <definedName name="_Table2_Out" hidden="1">#N/A</definedName>
    <definedName name="_VP" localSheetId="17">_tVP[VP]</definedName>
    <definedName name="_VP" localSheetId="18">_tVP[VP]</definedName>
    <definedName name="_VP" localSheetId="19">_tVP[VP]</definedName>
    <definedName name="_VP">_tVP[VP]</definedName>
    <definedName name="_wrn1" localSheetId="20" hidden="1">{#N/A,#N/A,FALSE,"DCF";#N/A,#N/A,FALSE,"WACC";#N/A,#N/A,FALSE,"Sales_EBIT";#N/A,#N/A,FALSE,"Capex_Depreciation";#N/A,#N/A,FALSE,"WC";#N/A,#N/A,FALSE,"Interest";#N/A,#N/A,FALSE,"Assumptions"}</definedName>
    <definedName name="_wrn1" hidden="1">{#N/A,#N/A,FALSE,"DCF";#N/A,#N/A,FALSE,"WACC";#N/A,#N/A,FALSE,"Sales_EBIT";#N/A,#N/A,FALSE,"Capex_Depreciation";#N/A,#N/A,FALSE,"WC";#N/A,#N/A,FALSE,"Interest";#N/A,#N/A,FALSE,"Assumptions"}</definedName>
    <definedName name="_xlchart.v1.0" hidden="1">'Tabelas Dinâmicas'!$F$105:$F$109</definedName>
    <definedName name="_xlchart.v1.1" hidden="1">'Tabelas Dinâmicas'!$G$105:$G$109</definedName>
    <definedName name="_xlchart.v1.2" hidden="1">'Tabelas Dinâmicas'!$F$96:$F$99</definedName>
    <definedName name="_xlchart.v1.3" hidden="1">'Tabelas Dinâmicas'!$G$95</definedName>
    <definedName name="_xlchart.v1.4" hidden="1">'Tabelas Dinâmicas'!$G$96:$G$99</definedName>
    <definedName name="_z1"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z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z10" localSheetId="20" hidden="1">{"TotalGeralDespesasPorArea",#N/A,FALSE,"VinculosAccessEfetivo"}</definedName>
    <definedName name="_z10" hidden="1">{"TotalGeralDespesasPorArea",#N/A,FALSE,"VinculosAccessEfetivo"}</definedName>
    <definedName name="_z11"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z1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z13" localSheetId="20" hidden="1">{"TotalGeralDespesasPorArea",#N/A,FALSE,"VinculosAccessEfetivo"}</definedName>
    <definedName name="_z13" hidden="1">{"TotalGeralDespesasPorArea",#N/A,FALSE,"VinculosAccessEfetivo"}</definedName>
    <definedName name="_z14" localSheetId="20" hidden="1">{#N/A,#N/A,FALSE,"CONTROLE"}</definedName>
    <definedName name="_z14" hidden="1">{#N/A,#N/A,FALSE,"CONTROLE"}</definedName>
    <definedName name="_z15" localSheetId="20" hidden="1">{#N/A,#N/A,FALSE,"CONTROLE"}</definedName>
    <definedName name="_z15" hidden="1">{#N/A,#N/A,FALSE,"CONTROLE"}</definedName>
    <definedName name="_z16" localSheetId="20" hidden="1">{"TotalGeralDespesasPorArea",#N/A,FALSE,"VinculosAccessEfetivo"}</definedName>
    <definedName name="_z16" hidden="1">{"TotalGeralDespesasPorArea",#N/A,FALSE,"VinculosAccessEfetivo"}</definedName>
    <definedName name="_z17"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z17"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z19" localSheetId="20" hidden="1">{#N/A,#N/A,FALSE,"CONTROLE"}</definedName>
    <definedName name="_z19" hidden="1">{#N/A,#N/A,FALSE,"CONTROLE"}</definedName>
    <definedName name="_z2"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z2"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z20"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z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z21" localSheetId="20" hidden="1">{"TotalGeralDespesasPorArea",#N/A,FALSE,"VinculosAccessEfetivo"}</definedName>
    <definedName name="_z21" hidden="1">{"TotalGeralDespesasPorArea",#N/A,FALSE,"VinculosAccessEfetivo"}</definedName>
    <definedName name="_z22" localSheetId="20" hidden="1">{#N/A,#N/A,FALSE,"CONTROLE";#N/A,#N/A,FALSE,"CONTROLE"}</definedName>
    <definedName name="_z22" hidden="1">{#N/A,#N/A,FALSE,"CONTROLE";#N/A,#N/A,FALSE,"CONTROLE"}</definedName>
    <definedName name="_z23" localSheetId="20" hidden="1">{#N/A,#N/A,FALSE,"CONTROLE"}</definedName>
    <definedName name="_z23" hidden="1">{#N/A,#N/A,FALSE,"CONTROLE"}</definedName>
    <definedName name="_z3" localSheetId="20" hidden="1">{"TotalGeralDespesasPorArea",#N/A,FALSE,"VinculosAccessEfetivo"}</definedName>
    <definedName name="_z3" hidden="1">{"TotalGeralDespesasPorArea",#N/A,FALSE,"VinculosAccessEfetivo"}</definedName>
    <definedName name="_z4" localSheetId="20" hidden="1">{"TotalGeralDespesasPorArea",#N/A,FALSE,"VinculosAccessEfetivo"}</definedName>
    <definedName name="_z4" hidden="1">{"TotalGeralDespesasPorArea",#N/A,FALSE,"VinculosAccessEfetivo"}</definedName>
    <definedName name="_z5" localSheetId="20" hidden="1">{"TotalGeralDespesasPorArea",#N/A,FALSE,"VinculosAccessEfetivo"}</definedName>
    <definedName name="_z5" hidden="1">{"TotalGeralDespesasPorArea",#N/A,FALSE,"VinculosAccessEfetivo"}</definedName>
    <definedName name="_z6" localSheetId="20" hidden="1">{"TotalGeralDespesasPorArea",#N/A,FALSE,"VinculosAccessEfetivo"}</definedName>
    <definedName name="_z6" hidden="1">{"TotalGeralDespesasPorArea",#N/A,FALSE,"VinculosAccessEfetivo"}</definedName>
    <definedName name="_z7" localSheetId="20" hidden="1">{"TotalGeralDespesasPorArea",#N/A,FALSE,"VinculosAccessEfetivo"}</definedName>
    <definedName name="_z7" hidden="1">{"TotalGeralDespesasPorArea",#N/A,FALSE,"VinculosAccessEfetivo"}</definedName>
    <definedName name="_z8" localSheetId="20" hidden="1">{"TotalGeralDespesasPorArea",#N/A,FALSE,"VinculosAccessEfetivo"}</definedName>
    <definedName name="_z8" hidden="1">{"TotalGeralDespesasPorArea",#N/A,FALSE,"VinculosAccessEfetivo"}</definedName>
    <definedName name="_z9" localSheetId="20" hidden="1">{"TotalGeralDespesasPorArea",#N/A,FALSE,"VinculosAccessEfetivo"}</definedName>
    <definedName name="_z9" hidden="1">{"TotalGeralDespesasPorArea",#N/A,FALSE,"VinculosAccessEfetivo"}</definedName>
    <definedName name="AAA" localSheetId="20" hidden="1">{#N/A,#N/A,FALSE,"MONTHDET";#N/A,#N/A,FALSE,"ACTUAL"}</definedName>
    <definedName name="AAA" hidden="1">{#N/A,#N/A,FALSE,"MONTHDET";#N/A,#N/A,FALSE,"ACTUAL"}</definedName>
    <definedName name="AAA_DOCTOPS" hidden="1">"AAA_SET"</definedName>
    <definedName name="AAA_duser" hidden="1">"OFF"</definedName>
    <definedName name="aaaa_1" localSheetId="20" hidden="1">{#N/A,#N/A,FALSE,"CONTROLE"}</definedName>
    <definedName name="aaaa_1" hidden="1">{#N/A,#N/A,FALSE,"CONTROLE"}</definedName>
    <definedName name="aaaaaa_1" localSheetId="20" hidden="1">{#N/A,#N/A,FALSE,"CONTROLE"}</definedName>
    <definedName name="aaaaaa_1" hidden="1">{#N/A,#N/A,FALSE,"CONTROLE"}</definedName>
    <definedName name="aaaaaaaaa" localSheetId="20" hidden="1">{#N/A,#N/A,FALSE,"ANEXO3 99 ERA";#N/A,#N/A,FALSE,"ANEXO3 99 UBÁ2";#N/A,#N/A,FALSE,"ANEXO3 99 DTU";#N/A,#N/A,FALSE,"ANEXO3 99 RDR";#N/A,#N/A,FALSE,"ANEXO3 99 UBÁ4";#N/A,#N/A,FALSE,"ANEXO3 99 UBÁ6"}</definedName>
    <definedName name="aaaaaaaaa" hidden="1">{#N/A,#N/A,FALSE,"ANEXO3 99 ERA";#N/A,#N/A,FALSE,"ANEXO3 99 UBÁ2";#N/A,#N/A,FALSE,"ANEXO3 99 DTU";#N/A,#N/A,FALSE,"ANEXO3 99 RDR";#N/A,#N/A,FALSE,"ANEXO3 99 UBÁ4";#N/A,#N/A,FALSE,"ANEXO3 99 UBÁ6"}</definedName>
    <definedName name="aaaaaaaaaaa" localSheetId="20" hidden="1">{"CONS_RAFF2",#N/A,FALSE,"CONS.RAFF2"}</definedName>
    <definedName name="aaaaaaaaaaa" hidden="1">{"CONS_RAFF2",#N/A,FALSE,"CONS.RAFF2"}</definedName>
    <definedName name="AAAAAAAAAAAA" localSheetId="20" hidden="1">{#N/A,#N/A,FALSE,"Tabl. A1";#N/A,#N/A,FALSE,"Tabl. A1 b";#N/A,#N/A,FALSE,"Tabl. A2";#N/A,#N/A,FALSE,"Tabl. A2-1";#N/A,#N/A,FALSE,"Tabl. A2-2"}</definedName>
    <definedName name="AAAAAAAAAAAA" hidden="1">{#N/A,#N/A,FALSE,"Tabl. A1";#N/A,#N/A,FALSE,"Tabl. A1 b";#N/A,#N/A,FALSE,"Tabl. A2";#N/A,#N/A,FALSE,"Tabl. A2-1";#N/A,#N/A,FALSE,"Tabl. A2-2"}</definedName>
    <definedName name="aaaaaaaaaaaaaaaa" localSheetId="20" hidden="1">{#N/A,#N/A,FALSE,"RIEP"}</definedName>
    <definedName name="aaaaaaaaaaaaaaaa" hidden="1">{#N/A,#N/A,FALSE,"RIEP"}</definedName>
    <definedName name="aab" localSheetId="20" hidden="1">{#N/A,#N/A,FALSE,"MONTHDET";#N/A,#N/A,FALSE,"ACTUAL"}</definedName>
    <definedName name="aab" hidden="1">{#N/A,#N/A,FALSE,"MONTHDET";#N/A,#N/A,FALSE,"ACTUAL"}</definedName>
    <definedName name="AAB_Addin5" hidden="1">"AAB_Description for addin 5,Description for addin 5,Description for addin 5,Description for addin 5,Description for addin 5,Description for addin 5"</definedName>
    <definedName name="AASAS" localSheetId="20" hidden="1">{"QQQ",#N/A,FALSE,"RIEP"}</definedName>
    <definedName name="AASAS" hidden="1">{"QQQ",#N/A,FALSE,"RIEP"}</definedName>
    <definedName name="AAZAZER" localSheetId="20" hidden="1">{#N/A,#N/A,FALSE,"Tabl. A1";#N/A,#N/A,FALSE,"Tabl. A1 b";#N/A,#N/A,FALSE,"Tabl. A2";#N/A,#N/A,FALSE,"Tabl. A2-1";#N/A,#N/A,FALSE,"Tabl. A2-2"}</definedName>
    <definedName name="AAZAZER" hidden="1">{#N/A,#N/A,FALSE,"Tabl. A1";#N/A,#N/A,FALSE,"Tabl. A1 b";#N/A,#N/A,FALSE,"Tabl. A2";#N/A,#N/A,FALSE,"Tabl. A2-1";#N/A,#N/A,FALSE,"Tabl. A2-2"}</definedName>
    <definedName name="ab"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ab"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abang" hidden="1">#REF!</definedName>
    <definedName name="abc_1"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abc_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abcd" localSheetId="20" hidden="1">{#N/A,#N/A,FALSE,"ANEXO3 99 ERA";#N/A,#N/A,FALSE,"ANEXO3 99 UBÁ2";#N/A,#N/A,FALSE,"ANEXO3 99 DTU";#N/A,#N/A,FALSE,"ANEXO3 99 RDR";#N/A,#N/A,FALSE,"ANEXO3 99 UBÁ4";#N/A,#N/A,FALSE,"ANEXO3 99 UBÁ6"}</definedName>
    <definedName name="abcd" hidden="1">{#N/A,#N/A,FALSE,"ANEXO3 99 ERA";#N/A,#N/A,FALSE,"ANEXO3 99 UBÁ2";#N/A,#N/A,FALSE,"ANEXO3 99 DTU";#N/A,#N/A,FALSE,"ANEXO3 99 RDR";#N/A,#N/A,FALSE,"ANEXO3 99 UBÁ4";#N/A,#N/A,FALSE,"ANEXO3 99 UBÁ6"}</definedName>
    <definedName name="ABN" localSheetId="20" hidden="1">{#N/A,#N/A,FALSE,"Tabl. FB300";#N/A,#N/A,FALSE,"Tabl. FB350";#N/A,#N/A,FALSE,"Tabl. FB400";#N/A,#N/A,FALSE,"Tabl. FB500";#N/A,#N/A,FALSE,"Tabl. FS090"}</definedName>
    <definedName name="ABN" hidden="1">{#N/A,#N/A,FALSE,"Tabl. FB300";#N/A,#N/A,FALSE,"Tabl. FB350";#N/A,#N/A,FALSE,"Tabl. FB400";#N/A,#N/A,FALSE,"Tabl. FB500";#N/A,#N/A,FALSE,"Tabl. FS090"}</definedName>
    <definedName name="ac" localSheetId="20" hidden="1">{#N/A,#N/A,FALSE,"CONTROLE";#N/A,#N/A,FALSE,"CONTROLE"}</definedName>
    <definedName name="ac" hidden="1">{#N/A,#N/A,FALSE,"CONTROLE";#N/A,#N/A,FALSE,"CONTROLE"}</definedName>
    <definedName name="AccessDatabase" hidden="1">"C:\My Documents\fabio\LAVORO\MAGAZZ.mdb"</definedName>
    <definedName name="ACCOUNT_CHANGE" hidden="1">"ACCOUNT_CHANGE"</definedName>
    <definedName name="ACCOUNTS_PAY" hidden="1">"ACCOUNTS_PAY"</definedName>
    <definedName name="ACCRUED_EXP" hidden="1">"ACCRUED_EXP"</definedName>
    <definedName name="ADD_PAID_IN" hidden="1">"ADD_PAID_IN"</definedName>
    <definedName name="adeletar" localSheetId="20" hidden="1">{"TotalGeralDespesasPorArea",#N/A,FALSE,"VinculosAccessEfetivo"}</definedName>
    <definedName name="adeletar" hidden="1">{"TotalGeralDespesasPorArea",#N/A,FALSE,"VinculosAccessEfetivo"}</definedName>
    <definedName name="adeletar1" localSheetId="20" hidden="1">{"TotalGeralDespesasPorArea",#N/A,FALSE,"VinculosAccessEfetivo"}</definedName>
    <definedName name="adeletar1" hidden="1">{"TotalGeralDespesasPorArea",#N/A,FALSE,"VinculosAccessEfetivo"}</definedName>
    <definedName name="adeletar10" localSheetId="20" hidden="1">{"TotalGeralDespesasPorArea",#N/A,FALSE,"VinculosAccessEfetivo"}</definedName>
    <definedName name="adeletar10" hidden="1">{"TotalGeralDespesasPorArea",#N/A,FALSE,"VinculosAccessEfetivo"}</definedName>
    <definedName name="adeletar2" localSheetId="20" hidden="1">{"TotalGeralDespesasPorArea",#N/A,FALSE,"VinculosAccessEfetivo"}</definedName>
    <definedName name="adeletar2" hidden="1">{"TotalGeralDespesasPorArea",#N/A,FALSE,"VinculosAccessEfetivo"}</definedName>
    <definedName name="adeletar20" localSheetId="20" hidden="1">{"TotalGeralDespesasPorArea",#N/A,FALSE,"VinculosAccessEfetivo"}</definedName>
    <definedName name="adeletar20" hidden="1">{"TotalGeralDespesasPorArea",#N/A,FALSE,"VinculosAccessEfetivo"}</definedName>
    <definedName name="adeletar21" localSheetId="20" hidden="1">{"TotalGeralDespesasPorArea",#N/A,FALSE,"VinculosAccessEfetivo"}</definedName>
    <definedName name="adeletar21" hidden="1">{"TotalGeralDespesasPorArea",#N/A,FALSE,"VinculosAccessEfetivo"}</definedName>
    <definedName name="adeletar4" localSheetId="20" hidden="1">{"TotalGeralDespesasPorArea",#N/A,FALSE,"VinculosAccessEfetivo"}</definedName>
    <definedName name="adeletar4" hidden="1">{"TotalGeralDespesasPorArea",#N/A,FALSE,"VinculosAccessEfetivo"}</definedName>
    <definedName name="adeletar50" localSheetId="20" hidden="1">{"TotalGeralDespesasPorArea",#N/A,FALSE,"VinculosAccessEfetivo"}</definedName>
    <definedName name="adeletar50" hidden="1">{"TotalGeralDespesasPorArea",#N/A,FALSE,"VinculosAccessEfetivo"}</definedName>
    <definedName name="adeletar51" localSheetId="20" hidden="1">{"TotalGeralDespesasPorArea",#N/A,FALSE,"VinculosAccessEfetivo"}</definedName>
    <definedName name="adeletar51" hidden="1">{"TotalGeralDespesasPorArea",#N/A,FALSE,"VinculosAccessEfetivo"}</definedName>
    <definedName name="ADV" localSheetId="20" hidden="1">{#N/A,#N/A,TRUE,"ANALYSE";#N/A,#N/A,TRUE,"PM VOLUME";#N/A,#N/A,TRUE,"PM VALEUR";#N/A,#N/A,TRUE,"AR1";#N/A,#N/A,TRUE,"AR2";#N/A,#N/A,TRUE,"RAF";#N/A,#N/A,TRUE,"BILAN";#N/A,#N/A,TRUE,"CASH FLOW";#N/A,#N/A,TRUE,"ETAT FI"}</definedName>
    <definedName name="ADV" hidden="1">{#N/A,#N/A,TRUE,"ANALYSE";#N/A,#N/A,TRUE,"PM VOLUME";#N/A,#N/A,TRUE,"PM VALEUR";#N/A,#N/A,TRUE,"AR1";#N/A,#N/A,TRUE,"AR2";#N/A,#N/A,TRUE,"RAF";#N/A,#N/A,TRUE,"BILAN";#N/A,#N/A,TRUE,"CASH FLOW";#N/A,#N/A,TRUE,"ETAT FI"}</definedName>
    <definedName name="aesreport2" localSheetId="20"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FECLKZE" localSheetId="20" hidden="1">{#N/A,#N/A,FALSE,"Tabl. A1";#N/A,#N/A,FALSE,"Tabl. A1 b";#N/A,#N/A,FALSE,"Tabl. A2";#N/A,#N/A,FALSE,"Tabl. A2-1";#N/A,#N/A,FALSE,"Tabl. A2-2"}</definedName>
    <definedName name="AFECLKZE" hidden="1">{#N/A,#N/A,FALSE,"Tabl. A1";#N/A,#N/A,FALSE,"Tabl. A1 b";#N/A,#N/A,FALSE,"Tabl. A2";#N/A,#N/A,FALSE,"Tabl. A2-1";#N/A,#N/A,FALSE,"Tabl. A2-2"}</definedName>
    <definedName name="AFGGF" localSheetId="20" hidden="1">{#N/A,#N/A,FALSE,"Tabl. D1";#N/A,#N/A,FALSE,"Tabl. D1 b";#N/A,#N/A,FALSE,"Tabl. D2";#N/A,#N/A,FALSE,"Tabl. D2 b";#N/A,#N/A,FALSE,"Tabl. D3";#N/A,#N/A,FALSE,"Tabl. D4";#N/A,#N/A,FALSE,"Tabl. D5"}</definedName>
    <definedName name="AFGGF" hidden="1">{#N/A,#N/A,FALSE,"Tabl. D1";#N/A,#N/A,FALSE,"Tabl. D1 b";#N/A,#N/A,FALSE,"Tabl. D2";#N/A,#N/A,FALSE,"Tabl. D2 b";#N/A,#N/A,FALSE,"Tabl. D3";#N/A,#N/A,FALSE,"Tabl. D4";#N/A,#N/A,FALSE,"Tabl. D5"}</definedName>
    <definedName name="Ambiental">_Config!$J$5</definedName>
    <definedName name="AmbientalAmbiental">_Config!$U$16:$U$18</definedName>
    <definedName name="amin1" localSheetId="20" hidden="1">{"'pg(12)'!$B$1:$N$16"}</definedName>
    <definedName name="amin1" hidden="1">{"'pg(12)'!$B$1:$N$16"}</definedName>
    <definedName name="amina" localSheetId="20" hidden="1">{"'pg(12)'!$B$1:$N$16"}</definedName>
    <definedName name="amina" hidden="1">{"'pg(12)'!$B$1:$N$16"}</definedName>
    <definedName name="amina_1" localSheetId="20" hidden="1">{"'pg(12)'!$B$1:$N$16"}</definedName>
    <definedName name="amina_1" hidden="1">{"'pg(12)'!$B$1:$N$16"}</definedName>
    <definedName name="amina_mustafa" localSheetId="20" hidden="1">{"'pg(12)'!$B$1:$N$16"}</definedName>
    <definedName name="amina_mustafa" hidden="1">{"'pg(12)'!$B$1:$N$16"}</definedName>
    <definedName name="amina2" localSheetId="20" hidden="1">{"'pg(12)'!$B$1:$N$16"}</definedName>
    <definedName name="amina2" hidden="1">{"'pg(12)'!$B$1:$N$16"}</definedName>
    <definedName name="AMORTIZATION" hidden="1">"AMORTIZATION"</definedName>
    <definedName name="ana" localSheetId="20" hidden="1">{#N/A,#N/A,TRUE,"EC COMM-t";#N/A,#N/A,TRUE,"EC PAR PDTS-t";#N/A,#N/A,TRUE,"EC MAT-t";#N/A,#N/A,TRUE,"SUIVI HAUSSES-t"}</definedName>
    <definedName name="ana" hidden="1">{#N/A,#N/A,TRUE,"EC COMM-t";#N/A,#N/A,TRUE,"EC PAR PDTS-t";#N/A,#N/A,TRUE,"EC MAT-t";#N/A,#N/A,TRUE,"SUIVI HAUSSES-t"}</definedName>
    <definedName name="annual_report2" localSheetId="20" hidden="1">{"ARPandL",#N/A,FALSE,"Report Annual";"ARCashflow",#N/A,FALSE,"Report Annual";"ARBalanceSheet",#N/A,FALSE,"Report Annual";"ARRatios",#N/A,FALSE,"Report Annual"}</definedName>
    <definedName name="annual_report2" hidden="1">{"ARPandL",#N/A,FALSE,"Report Annual";"ARCashflow",#N/A,FALSE,"Report Annual";"ARBalanceSheet",#N/A,FALSE,"Report Annual";"ARRatios",#N/A,FALSE,"Report Annual"}</definedName>
    <definedName name="anscount" hidden="1">1</definedName>
    <definedName name="aplicação" localSheetId="20" hidden="1">{#N/A,#N/A,FALSE,"CONTROLE"}</definedName>
    <definedName name="aplicação" hidden="1">{#N/A,#N/A,FALSE,"CONTROLE"}</definedName>
    <definedName name="app" localSheetId="20" hidden="1">{"BUTENE1_PR",#N/A,FALSE,"CONS.RAFF2"}</definedName>
    <definedName name="app" hidden="1">{"BUTENE1_PR",#N/A,FALSE,"CONS.RAFF2"}</definedName>
    <definedName name="ARG" localSheetId="20" hidden="1">{#N/A,#N/A,FALSE,"DEA Report";#N/A,#N/A,FALSE,"Veba Report";#N/A,#N/A,FALSE,"Wintershall Report";#N/A,#N/A,FALSE,"Fina Report"}</definedName>
    <definedName name="ARG" hidden="1">{#N/A,#N/A,FALSE,"DEA Report";#N/A,#N/A,FALSE,"Veba Report";#N/A,#N/A,FALSE,"Wintershall Report";#N/A,#N/A,FALSE,"Fina Report"}</definedName>
    <definedName name="ARG_1" localSheetId="20" hidden="1">{#N/A,#N/A,FALSE,"DEA Report";#N/A,#N/A,FALSE,"Veba Report";#N/A,#N/A,FALSE,"Wintershall Report";#N/A,#N/A,FALSE,"Fina Report"}</definedName>
    <definedName name="ARG_1" hidden="1">{#N/A,#N/A,FALSE,"DEA Report";#N/A,#N/A,FALSE,"Veba Report";#N/A,#N/A,FALSE,"Wintershall Report";#N/A,#N/A,FALSE,"Fina Report"}</definedName>
    <definedName name="Arthur" localSheetId="20" hidden="1">{#N/A,#N/A,FALSE,"ANEXO3 99 ERA";#N/A,#N/A,FALSE,"ANEXO3 99 UBÁ2";#N/A,#N/A,FALSE,"ANEXO3 99 DTU";#N/A,#N/A,FALSE,"ANEXO3 99 RDR";#N/A,#N/A,FALSE,"ANEXO3 99 UBÁ4";#N/A,#N/A,FALSE,"ANEXO3 99 UBÁ6"}</definedName>
    <definedName name="Arthur" hidden="1">{#N/A,#N/A,FALSE,"ANEXO3 99 ERA";#N/A,#N/A,FALSE,"ANEXO3 99 UBÁ2";#N/A,#N/A,FALSE,"ANEXO3 99 DTU";#N/A,#N/A,FALSE,"ANEXO3 99 RDR";#N/A,#N/A,FALSE,"ANEXO3 99 UBÁ4";#N/A,#N/A,FALSE,"ANEXO3 99 UBÁ6"}</definedName>
    <definedName name="Arthurer" localSheetId="20" hidden="1">{#N/A,#N/A,FALSE,"ANEXO3 99 ERA";#N/A,#N/A,FALSE,"ANEXO3 99 UBÁ2";#N/A,#N/A,FALSE,"ANEXO3 99 DTU";#N/A,#N/A,FALSE,"ANEXO3 99 RDR";#N/A,#N/A,FALSE,"ANEXO3 99 UBÁ4";#N/A,#N/A,FALSE,"ANEXO3 99 UBÁ6"}</definedName>
    <definedName name="Arthurer" hidden="1">{#N/A,#N/A,FALSE,"ANEXO3 99 ERA";#N/A,#N/A,FALSE,"ANEXO3 99 UBÁ2";#N/A,#N/A,FALSE,"ANEXO3 99 DTU";#N/A,#N/A,FALSE,"ANEXO3 99 RDR";#N/A,#N/A,FALSE,"ANEXO3 99 UBÁ4";#N/A,#N/A,FALSE,"ANEXO3 99 UBÁ6"}</definedName>
    <definedName name="Artrhuet" localSheetId="20" hidden="1">{#N/A,#N/A,FALSE,"ANEXO3 99 ERA";#N/A,#N/A,FALSE,"ANEXO3 99 UBÁ2";#N/A,#N/A,FALSE,"ANEXO3 99 DTU";#N/A,#N/A,FALSE,"ANEXO3 99 RDR";#N/A,#N/A,FALSE,"ANEXO3 99 UBÁ4";#N/A,#N/A,FALSE,"ANEXO3 99 UBÁ6"}</definedName>
    <definedName name="Artrhuet" hidden="1">{#N/A,#N/A,FALSE,"ANEXO3 99 ERA";#N/A,#N/A,FALSE,"ANEXO3 99 UBÁ2";#N/A,#N/A,FALSE,"ANEXO3 99 DTU";#N/A,#N/A,FALSE,"ANEXO3 99 RDR";#N/A,#N/A,FALSE,"ANEXO3 99 UBÁ4";#N/A,#N/A,FALSE,"ANEXO3 99 UBÁ6"}</definedName>
    <definedName name="as" localSheetId="20"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s"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S2DocOpenMode" hidden="1">"AS2DocumentEdit"</definedName>
    <definedName name="AS2DocOpenMode_1" hidden="1">"AS2DocumentBrowse"</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CVBN" localSheetId="20" hidden="1">{#N/A,#N/A,FALSE,"Tabl. D1";#N/A,#N/A,FALSE,"Tabl. D1 b";#N/A,#N/A,FALSE,"Tabl. D2";#N/A,#N/A,FALSE,"Tabl. D2 b";#N/A,#N/A,FALSE,"Tabl. D3";#N/A,#N/A,FALSE,"Tabl. D4";#N/A,#N/A,FALSE,"Tabl. D5"}</definedName>
    <definedName name="ASCVBN" hidden="1">{#N/A,#N/A,FALSE,"Tabl. D1";#N/A,#N/A,FALSE,"Tabl. D1 b";#N/A,#N/A,FALSE,"Tabl. D2";#N/A,#N/A,FALSE,"Tabl. D2 b";#N/A,#N/A,FALSE,"Tabl. D3";#N/A,#N/A,FALSE,"Tabl. D4";#N/A,#N/A,FALSE,"Tabl. D5"}</definedName>
    <definedName name="asd" localSheetId="20" hidden="1">{2;#N/A;"R13C16:R17C16";#N/A;"R13C14:R17C15";FALSE;FALSE;FALSE;95;#N/A;#N/A;"R13C19";#N/A;FALSE;FALSE;FALSE;FALSE;#N/A;"";#N/A;FALSE;"";"";#N/A;#N/A;#N/A}</definedName>
    <definedName name="asd" hidden="1">{2;#N/A;"R13C16:R17C16";#N/A;"R13C14:R17C15";FALSE;FALSE;FALSE;95;#N/A;#N/A;"R13C19";#N/A;FALSE;FALSE;FALSE;FALSE;#N/A;"";#N/A;FALSE;"";"";#N/A;#N/A;#N/A}</definedName>
    <definedName name="asde"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asde"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ASDF" localSheetId="20" hidden="1">{#N/A,#N/A,FALSE,"RIEP"}</definedName>
    <definedName name="ASDF" hidden="1">{#N/A,#N/A,FALSE,"RIEP"}</definedName>
    <definedName name="ass" localSheetId="20" hidden="1">{#N/A,#N/A,TRUE,"UTI"}</definedName>
    <definedName name="ass" hidden="1">{#N/A,#N/A,TRUE,"UTI"}</definedName>
    <definedName name="ASSET_TURNS" hidden="1">"ASSET_TURNS"</definedName>
    <definedName name="aùsw" localSheetId="20" hidden="1">{"SPM1",#N/A,FALSE,"RIEP"}</definedName>
    <definedName name="aùsw" hidden="1">{"SPM1",#N/A,FALSE,"RIEP"}</definedName>
    <definedName name="AXCHUT" localSheetId="20" hidden="1">{#N/A,#N/A,FALSE,"Tabl. H1";#N/A,#N/A,FALSE,"Tabl. H2"}</definedName>
    <definedName name="AXCHUT" hidden="1">{#N/A,#N/A,FALSE,"Tabl. H1";#N/A,#N/A,FALSE,"Tabl. H2"}</definedName>
    <definedName name="AZXC" localSheetId="20" hidden="1">{#N/A,#N/A,FALSE,"Tabl. H1";#N/A,#N/A,FALSE,"Tabl. H2"}</definedName>
    <definedName name="AZXC" hidden="1">{#N/A,#N/A,FALSE,"Tabl. H1";#N/A,#N/A,FALSE,"Tabl. H2"}</definedName>
    <definedName name="BANCO1" hidden="1">#REF!</definedName>
    <definedName name="Barbosa" hidden="1">#REF!</definedName>
    <definedName name="BASIC_EPS_EXCL" hidden="1">"BASIC_EPS_EXCL"</definedName>
    <definedName name="BASIC_EPS_INCL" hidden="1">"BASIC_EPS_INCL"</definedName>
    <definedName name="BASIC_NORMAL_EPS" hidden="1">"BASIC_NORMAL_EPS"</definedName>
    <definedName name="BASIC_WEIGHT" hidden="1">"BASIC_WEIGHT"</definedName>
    <definedName name="Battery" hidden="1">#REF!</definedName>
    <definedName name="bb" localSheetId="20" hidden="1">{#N/A,#N/A,FALSE,"ENERGIA";#N/A,#N/A,FALSE,"PERDIDAS";#N/A,#N/A,FALSE,"CLIENTES";#N/A,#N/A,FALSE,"ESTADO";#N/A,#N/A,FALSE,"TECNICA"}</definedName>
    <definedName name="bb" hidden="1">{#N/A,#N/A,FALSE,"ENERGIA";#N/A,#N/A,FALSE,"PERDIDAS";#N/A,#N/A,FALSE,"CLIENTES";#N/A,#N/A,FALSE,"ESTADO";#N/A,#N/A,FALSE,"TECNICA"}</definedName>
    <definedName name="bb_1" localSheetId="20" hidden="1">{#N/A,#N/A,FALSE,"ENERGIA";#N/A,#N/A,FALSE,"PERDIDAS";#N/A,#N/A,FALSE,"CLIENTES";#N/A,#N/A,FALSE,"ESTADO";#N/A,#N/A,FALSE,"TECNICA"}</definedName>
    <definedName name="bb_1" hidden="1">{#N/A,#N/A,FALSE,"ENERGIA";#N/A,#N/A,FALSE,"PERDIDAS";#N/A,#N/A,FALSE,"CLIENTES";#N/A,#N/A,FALSE,"ESTADO";#N/A,#N/A,FALSE,"TECNICA"}</definedName>
    <definedName name="bbb" localSheetId="20" hidden="1">{#N/A,#N/A,FALSE,"LLAVE";#N/A,#N/A,FALSE,"EERR";#N/A,#N/A,FALSE,"ESP";#N/A,#N/A,FALSE,"EOAF";#N/A,#N/A,FALSE,"CASH";#N/A,#N/A,FALSE,"FINANZAS";#N/A,#N/A,FALSE,"DEUDA";#N/A,#N/A,FALSE,"INVERSION";#N/A,#N/A,FALSE,"PERSONAL"}</definedName>
    <definedName name="bbb" hidden="1">{#N/A,#N/A,FALSE,"LLAVE";#N/A,#N/A,FALSE,"EERR";#N/A,#N/A,FALSE,"ESP";#N/A,#N/A,FALSE,"EOAF";#N/A,#N/A,FALSE,"CASH";#N/A,#N/A,FALSE,"FINANZAS";#N/A,#N/A,FALSE,"DEUDA";#N/A,#N/A,FALSE,"INVERSION";#N/A,#N/A,FALSE,"PERSONAL"}</definedName>
    <definedName name="bbb_1" localSheetId="20" hidden="1">{#N/A,#N/A,FALSE,"LLAVE";#N/A,#N/A,FALSE,"EERR";#N/A,#N/A,FALSE,"ESP";#N/A,#N/A,FALSE,"EOAF";#N/A,#N/A,FALSE,"CASH";#N/A,#N/A,FALSE,"FINANZAS";#N/A,#N/A,FALSE,"DEUDA";#N/A,#N/A,FALSE,"INVERSION";#N/A,#N/A,FALSE,"PERSONAL"}</definedName>
    <definedName name="bbb_1" hidden="1">{#N/A,#N/A,FALSE,"LLAVE";#N/A,#N/A,FALSE,"EERR";#N/A,#N/A,FALSE,"ESP";#N/A,#N/A,FALSE,"EOAF";#N/A,#N/A,FALSE,"CASH";#N/A,#N/A,FALSE,"FINANZAS";#N/A,#N/A,FALSE,"DEUDA";#N/A,#N/A,FALSE,"INVERSION";#N/A,#N/A,FALSE,"PERSONAL"}</definedName>
    <definedName name="BBBBBBBBB" localSheetId="20" hidden="1">{#N/A,#N/A,FALSE,"Tabl. A1";#N/A,#N/A,FALSE,"Tabl. A1 b";#N/A,#N/A,FALSE,"Tabl. A2";#N/A,#N/A,FALSE,"Tabl. A2-1";#N/A,#N/A,FALSE,"Tabl. A2-2"}</definedName>
    <definedName name="BBBBBBBBB" hidden="1">{#N/A,#N/A,FALSE,"Tabl. A1";#N/A,#N/A,FALSE,"Tabl. A1 b";#N/A,#N/A,FALSE,"Tabl. A2";#N/A,#N/A,FALSE,"Tabl. A2-1";#N/A,#N/A,FALSE,"Tabl. A2-2"}</definedName>
    <definedName name="bbbbbbbbbbbbbbbbbbbbbbbbbbbbbbbbb" localSheetId="20" hidden="1">{#N/A,#N/A,FALSE,"LLAVE";#N/A,#N/A,FALSE,"EERR";#N/A,#N/A,FALSE,"ESP";#N/A,#N/A,FALSE,"EOAF";#N/A,#N/A,FALSE,"CASH";#N/A,#N/A,FALSE,"FINANZAS";#N/A,#N/A,FALSE,"DEUDA";#N/A,#N/A,FALSE,"INVERSION";#N/A,#N/A,FALSE,"PERSONAL"}</definedName>
    <definedName name="bbbbbbbbbbbbbbbbbbbbbbbbbbbbbbbbb" hidden="1">{#N/A,#N/A,FALSE,"LLAVE";#N/A,#N/A,FALSE,"EERR";#N/A,#N/A,FALSE,"ESP";#N/A,#N/A,FALSE,"EOAF";#N/A,#N/A,FALSE,"CASH";#N/A,#N/A,FALSE,"FINANZAS";#N/A,#N/A,FALSE,"DEUDA";#N/A,#N/A,FALSE,"INVERSION";#N/A,#N/A,FALSE,"PERSONAL"}</definedName>
    <definedName name="bbbosta" localSheetId="20" hidden="1">{#N/A,#N/A,FALSE,"LLAVE";#N/A,#N/A,FALSE,"EERR";#N/A,#N/A,FALSE,"ESP";#N/A,#N/A,FALSE,"EOAF";#N/A,#N/A,FALSE,"CASH";#N/A,#N/A,FALSE,"FINANZAS";#N/A,#N/A,FALSE,"DEUDA";#N/A,#N/A,FALSE,"INVERSION";#N/A,#N/A,FALSE,"PERSONAL"}</definedName>
    <definedName name="bbbosta" hidden="1">{#N/A,#N/A,FALSE,"LLAVE";#N/A,#N/A,FALSE,"EERR";#N/A,#N/A,FALSE,"ESP";#N/A,#N/A,FALSE,"EOAF";#N/A,#N/A,FALSE,"CASH";#N/A,#N/A,FALSE,"FINANZAS";#N/A,#N/A,FALSE,"DEUDA";#N/A,#N/A,FALSE,"INVERSION";#N/A,#N/A,FALSE,"PERSONAL"}</definedName>
    <definedName name="bbosta" localSheetId="20" hidden="1">{#N/A,#N/A,FALSE,"ENERGIA";#N/A,#N/A,FALSE,"PERDIDAS";#N/A,#N/A,FALSE,"CLIENTES";#N/A,#N/A,FALSE,"ESTADO";#N/A,#N/A,FALSE,"TECNICA"}</definedName>
    <definedName name="bbosta" hidden="1">{#N/A,#N/A,FALSE,"ENERGIA";#N/A,#N/A,FALSE,"PERDIDAS";#N/A,#N/A,FALSE,"CLIENTES";#N/A,#N/A,FALSE,"ESTADO";#N/A,#N/A,FALSE,"TECNICA"}</definedName>
    <definedName name="bc"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bc"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BE" localSheetId="20" hidden="1">{#N/A,#N/A,FALSE,"PRESENT";#N/A,#N/A,FALSE,"INDICE";#N/A,#N/A,FALSE,"DIV_CONS";#N/A,#N/A,FALSE,"DIV_GRUP";#N/A,#N/A,FALSE,"DIV_BIM";#N/A,#N/A,FALSE,"DIV_UMPL";#N/A,#N/A,FALSE,"DIV_BDBAS";#N/A,#N/A,FALSE,"B_SRL";#N/A,#N/A,FALSE,"MQ_SRL"}</definedName>
    <definedName name="BE" hidden="1">{#N/A,#N/A,FALSE,"PRESENT";#N/A,#N/A,FALSE,"INDICE";#N/A,#N/A,FALSE,"DIV_CONS";#N/A,#N/A,FALSE,"DIV_GRUP";#N/A,#N/A,FALSE,"DIV_BIM";#N/A,#N/A,FALSE,"DIV_UMPL";#N/A,#N/A,FALSE,"DIV_BDBAS";#N/A,#N/A,FALSE,"B_SRL";#N/A,#N/A,FALSE,"MQ_SRL"}</definedName>
    <definedName name="BG_Del" hidden="1">15</definedName>
    <definedName name="BG_Ins" hidden="1">4</definedName>
    <definedName name="BG_Mod" hidden="1">6</definedName>
    <definedName name="bil" localSheetId="20" hidden="1">{#N/A,#N/A,FALSE,"Tabl. D1";#N/A,#N/A,FALSE,"Tabl. D1 b";#N/A,#N/A,FALSE,"Tabl. D2";#N/A,#N/A,FALSE,"Tabl. D2 b";#N/A,#N/A,FALSE,"Tabl. D3";#N/A,#N/A,FALSE,"Tabl. D4";#N/A,#N/A,FALSE,"Tabl. D5"}</definedName>
    <definedName name="bil" hidden="1">{#N/A,#N/A,FALSE,"Tabl. D1";#N/A,#N/A,FALSE,"Tabl. D1 b";#N/A,#N/A,FALSE,"Tabl. D2";#N/A,#N/A,FALSE,"Tabl. D2 b";#N/A,#N/A,FALSE,"Tabl. D3";#N/A,#N/A,FALSE,"Tabl. D4";#N/A,#N/A,FALSE,"Tabl. D5"}</definedName>
    <definedName name="blabla" localSheetId="20" hidden="1">{#N/A,#N/A,FALSE,"Tabl. H1";#N/A,#N/A,FALSE,"Tabl. H2"}</definedName>
    <definedName name="blabla" hidden="1">{#N/A,#N/A,FALSE,"Tabl. H1";#N/A,#N/A,FALSE,"Tabl. H2"}</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nnn" localSheetId="20" hidden="1">{"consolidated",#N/A,FALSE,"Sheet1";"cms",#N/A,FALSE,"Sheet1";"fse",#N/A,FALSE,"Sheet1"}</definedName>
    <definedName name="bnnn" hidden="1">{"consolidated",#N/A,FALSE,"Sheet1";"cms",#N/A,FALSE,"Sheet1";"fse",#N/A,FALSE,"Sheet1"}</definedName>
    <definedName name="booby" localSheetId="20" hidden="1">{#N/A,#N/A,TRUE,"TOTAL DISTRIBUTION";#N/A,#N/A,TRUE,"SOUTH";#N/A,#N/A,TRUE,"NORTHEAST";#N/A,#N/A,TRUE,"WEST"}</definedName>
    <definedName name="booby" hidden="1">{#N/A,#N/A,TRUE,"TOTAL DISTRIBUTION";#N/A,#N/A,TRUE,"SOUTH";#N/A,#N/A,TRUE,"NORTHEAST";#N/A,#N/A,TRUE,"WEST"}</definedName>
    <definedName name="booby2" localSheetId="20" hidden="1">{#N/A,#N/A,TRUE,"TOTAL DSBN";#N/A,#N/A,TRUE,"WEST";#N/A,#N/A,TRUE,"SOUTH";#N/A,#N/A,TRUE,"NORTHEAST"}</definedName>
    <definedName name="booby2" hidden="1">{#N/A,#N/A,TRUE,"TOTAL DSBN";#N/A,#N/A,TRUE,"WEST";#N/A,#N/A,TRUE,"SOUTH";#N/A,#N/A,TRUE,"NORTHEAST"}</definedName>
    <definedName name="BOOK_VALUE" hidden="1">"BOOK_VALUE"</definedName>
    <definedName name="bosta" localSheetId="20" hidden="1">{#N/A,#N/A,FALSE,"LLAVE";#N/A,#N/A,FALSE,"EERR";#N/A,#N/A,FALSE,"ESP";#N/A,#N/A,FALSE,"EOAF";#N/A,#N/A,FALSE,"CASH";#N/A,#N/A,FALSE,"FINANZAS";#N/A,#N/A,FALSE,"DEUDA";#N/A,#N/A,FALSE,"INVERSION";#N/A,#N/A,FALSE,"PERSONAL"}</definedName>
    <definedName name="bosta" hidden="1">{#N/A,#N/A,FALSE,"LLAVE";#N/A,#N/A,FALSE,"EERR";#N/A,#N/A,FALSE,"ESP";#N/A,#N/A,FALSE,"EOAF";#N/A,#N/A,FALSE,"CASH";#N/A,#N/A,FALSE,"FINANZAS";#N/A,#N/A,FALSE,"DEUDA";#N/A,#N/A,FALSE,"INVERSION";#N/A,#N/A,FALSE,"PERSONAL"}</definedName>
    <definedName name="boston" localSheetId="20" hidden="1">{"TotalGeralDespesasPorArea",#N/A,FALSE,"VinculosAccessEfetivo"}</definedName>
    <definedName name="boston" hidden="1">{"TotalGeralDespesasPorArea",#N/A,FALSE,"VinculosAccessEfetivo"}</definedName>
    <definedName name="boston1" localSheetId="20" hidden="1">{"TotalGeralDespesasPorArea",#N/A,FALSE,"VinculosAccessEfetivo"}</definedName>
    <definedName name="boston1" hidden="1">{"TotalGeralDespesasPorArea",#N/A,FALSE,"VinculosAccessEfetivo"}</definedName>
    <definedName name="brtbbbr" localSheetId="20" hidden="1">{#N/A,#N/A,FALSE,"RIEP"}</definedName>
    <definedName name="brtbbbr" hidden="1">{#N/A,#N/A,FALSE,"RIEP"}</definedName>
    <definedName name="BSIWhichPageSetup" hidden="1">1</definedName>
    <definedName name="BSIWhichPageSetup_0" hidden="1">"0þ"</definedName>
    <definedName name="BTOI" localSheetId="20" hidden="1">{#N/A,#N/A,FALSE,"Tabl. FB300";#N/A,#N/A,FALSE,"Tabl. FB350";#N/A,#N/A,FALSE,"Tabl. FB400";#N/A,#N/A,FALSE,"Tabl. FB500";#N/A,#N/A,FALSE,"Tabl. FS090"}</definedName>
    <definedName name="BTOI" hidden="1">{#N/A,#N/A,FALSE,"Tabl. FB300";#N/A,#N/A,FALSE,"Tabl. FB350";#N/A,#N/A,FALSE,"Tabl. FB400";#N/A,#N/A,FALSE,"Tabl. FB500";#N/A,#N/A,FALSE,"Tabl. FS090"}</definedName>
    <definedName name="btrbebt" localSheetId="20" hidden="1">{"QQQ",#N/A,FALSE,"RIEP"}</definedName>
    <definedName name="btrbebt" hidden="1">{"QQQ",#N/A,FALSE,"RIEP"}</definedName>
    <definedName name="btyebt" localSheetId="20" hidden="1">{#N/A,#N/A,FALSE,"Tabl. FB300";#N/A,#N/A,FALSE,"Tabl. FB350";#N/A,#N/A,FALSE,"Tabl. FB400";#N/A,#N/A,FALSE,"Tabl. FB500";#N/A,#N/A,FALSE,"Tabl. FS090"}</definedName>
    <definedName name="btyebt" hidden="1">{#N/A,#N/A,FALSE,"Tabl. FB300";#N/A,#N/A,FALSE,"Tabl. FB350";#N/A,#N/A,FALSE,"Tabl. FB400";#N/A,#N/A,FALSE,"Tabl. FB500";#N/A,#N/A,FALSE,"Tabl. FS090"}</definedName>
    <definedName name="bud" localSheetId="20" hidden="1">{"summary",#N/A,FALSE,"PCR DIRECTORY"}</definedName>
    <definedName name="bud" hidden="1">{"summary",#N/A,FALSE,"PCR DIRECTORY"}</definedName>
    <definedName name="BV_OVER_SHARES" hidden="1">"BV_OVER_SHARES"</definedName>
    <definedName name="bvcx" localSheetId="20" hidden="1">{#N/A,#N/A,FALSE,"Baltimore";#N/A,#N/A,FALSE,"Barrington";#N/A,#N/A,FALSE,"Butler";#N/A,#N/A,FALSE,"Cleveland";#N/A,#N/A,FALSE,"Closter";#N/A,#N/A,FALSE,"Eaton";#N/A,#N/A,FALSE,"Meriden";#N/A,#N/A,FALSE,"Mt. Vernon";#N/A,#N/A,FALSE,"Rochester";#N/A,#N/A,FALSE,"Three Rivers";#N/A,#N/A,FALSE,"Warren"}</definedName>
    <definedName name="bvcx" hidden="1">{#N/A,#N/A,FALSE,"Baltimore";#N/A,#N/A,FALSE,"Barrington";#N/A,#N/A,FALSE,"Butler";#N/A,#N/A,FALSE,"Cleveland";#N/A,#N/A,FALSE,"Closter";#N/A,#N/A,FALSE,"Eaton";#N/A,#N/A,FALSE,"Meriden";#N/A,#N/A,FALSE,"Mt. Vernon";#N/A,#N/A,FALSE,"Rochester";#N/A,#N/A,FALSE,"Three Rivers";#N/A,#N/A,FALSE,"Warren"}</definedName>
    <definedName name="bx" localSheetId="20" hidden="1">{#N/A,#N/A,FALSE,"LLAVE";#N/A,#N/A,FALSE,"EERR";#N/A,#N/A,FALSE,"ESP";#N/A,#N/A,FALSE,"EOAF";#N/A,#N/A,FALSE,"CASH";#N/A,#N/A,FALSE,"FINANZAS";#N/A,#N/A,FALSE,"DEUDA";#N/A,#N/A,FALSE,"INVERSION";#N/A,#N/A,FALSE,"PERSONAL"}</definedName>
    <definedName name="bx" hidden="1">{#N/A,#N/A,FALSE,"LLAVE";#N/A,#N/A,FALSE,"EERR";#N/A,#N/A,FALSE,"ESP";#N/A,#N/A,FALSE,"EOAF";#N/A,#N/A,FALSE,"CASH";#N/A,#N/A,FALSE,"FINANZAS";#N/A,#N/A,FALSE,"DEUDA";#N/A,#N/A,FALSE,"INVERSION";#N/A,#N/A,FALSE,"PERSONAL"}</definedName>
    <definedName name="bx_1" localSheetId="20" hidden="1">{#N/A,#N/A,FALSE,"LLAVE";#N/A,#N/A,FALSE,"EERR";#N/A,#N/A,FALSE,"ESP";#N/A,#N/A,FALSE,"EOAF";#N/A,#N/A,FALSE,"CASH";#N/A,#N/A,FALSE,"FINANZAS";#N/A,#N/A,FALSE,"DEUDA";#N/A,#N/A,FALSE,"INVERSION";#N/A,#N/A,FALSE,"PERSONAL"}</definedName>
    <definedName name="bx_1" hidden="1">{#N/A,#N/A,FALSE,"LLAVE";#N/A,#N/A,FALSE,"EERR";#N/A,#N/A,FALSE,"ESP";#N/A,#N/A,FALSE,"EOAF";#N/A,#N/A,FALSE,"CASH";#N/A,#N/A,FALSE,"FINANZAS";#N/A,#N/A,FALSE,"DEUDA";#N/A,#N/A,FALSE,"INVERSION";#N/A,#N/A,FALSE,"PERSONAL"}</definedName>
    <definedName name="byikbyuj" localSheetId="20" hidden="1">{"SPM1",#N/A,FALSE,"RIEP"}</definedName>
    <definedName name="byikbyuj" hidden="1">{"SPM1",#N/A,FALSE,"RIEP"}</definedName>
    <definedName name="byubtyuj" localSheetId="20" hidden="1">{"QQQ",#N/A,FALSE,"RIEP"}</definedName>
    <definedName name="byubtyuj" hidden="1">{"QQQ",#N/A,FALSE,"RIEP"}</definedName>
    <definedName name="byukkty" localSheetId="20" hidden="1">{#N/A,#N/A,FALSE,"RIEP"}</definedName>
    <definedName name="byukkty" hidden="1">{#N/A,#N/A,FALSE,"RIEP"}</definedName>
    <definedName name="byuku" localSheetId="20" hidden="1">{#N/A,#N/A,FALSE,"RIEP"}</definedName>
    <definedName name="byuku" hidden="1">{#N/A,#N/A,FALSE,"RIEP"}</definedName>
    <definedName name="CA" localSheetId="20" hidden="1">{"'Hoja1'!$A$1:$N$27"}</definedName>
    <definedName name="CA" hidden="1">{"'Hoja1'!$A$1:$N$27"}</definedName>
    <definedName name="cac" localSheetId="20" hidden="1">{#N/A,#N/A,TRUE,"covmen";#N/A,#N/A,TRUE,"ECORID";#N/A,#N/A,TRUE,"ECOTRA";#N/A,#N/A,TRUE,"ECOTOT";#N/A,#N/A,TRUE,"FATSOC";#N/A,#N/A,TRUE,"FATDIV";#N/A,#N/A,TRUE,"FATGEO";#N/A,#N/A,TRUE,"ORDINI";#N/A,#N/A,TRUE,"TESORI";#N/A,#N/A,TRUE,"RENDFIN"}</definedName>
    <definedName name="cac" hidden="1">{#N/A,#N/A,TRUE,"covmen";#N/A,#N/A,TRUE,"ECORID";#N/A,#N/A,TRUE,"ECOTRA";#N/A,#N/A,TRUE,"ECOTOT";#N/A,#N/A,TRUE,"FATSOC";#N/A,#N/A,TRUE,"FATDIV";#N/A,#N/A,TRUE,"FATGEO";#N/A,#N/A,TRUE,"ORDINI";#N/A,#N/A,TRUE,"TESORI";#N/A,#N/A,TRUE,"RENDFIN"}</definedName>
    <definedName name="caino" localSheetId="20" hidden="1">{"CECons",#N/A,FALSE,"CE"}</definedName>
    <definedName name="caino" hidden="1">{"CECons",#N/A,FALSE,"CE"}</definedName>
    <definedName name="CAIO" localSheetId="20" hidden="1">{"CECons",#N/A,FALSE,"CE"}</definedName>
    <definedName name="CAIO" hidden="1">{"CECons",#N/A,FALSE,"CE"}</definedName>
    <definedName name="calculations2" localSheetId="20"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pa" localSheetId="20" hidden="1">{#N/A,#N/A,FALSE,"CONTROLE"}</definedName>
    <definedName name="capa" hidden="1">{#N/A,#N/A,FALSE,"CONTROLE"}</definedName>
    <definedName name="capa2" localSheetId="20" hidden="1">{"TotalGeralDespesasPorArea",#N/A,FALSE,"VinculosAccessEfetivo"}</definedName>
    <definedName name="capa2" hidden="1">{"TotalGeralDespesasPorArea",#N/A,FALSE,"VinculosAccessEfetivo"}</definedName>
    <definedName name="capaci" localSheetId="20" hidden="1">{"'Hoja1'!$A$1:$N$27"}</definedName>
    <definedName name="capaci" hidden="1">{"'Hoja1'!$A$1:$N$27"}</definedName>
    <definedName name="capacidad1" localSheetId="20" hidden="1">{"'Hoja1'!$A$1:$N$27"}</definedName>
    <definedName name="capacidad1" hidden="1">{"'Hoja1'!$A$1:$N$27"}</definedName>
    <definedName name="CAPITAL_EXPEN" hidden="1">"CAPITAL_EXPEN"</definedName>
    <definedName name="CAPITAL_LEASE" hidden="1">"CAPITAL_LEASE"</definedName>
    <definedName name="CASH_DUE_BANKS" hidden="1">"CASH_DUE_BANKS"</definedName>
    <definedName name="CASH_EQUIV" hidden="1">"CASH_EQUIV"</definedName>
    <definedName name="CASH_INTEREST" hidden="1">"CASH_INTEREST"</definedName>
    <definedName name="CASH_ST" hidden="1">"CASH_ST"</definedName>
    <definedName name="CASH_TAXES" hidden="1">"CASH_TAXES"</definedName>
    <definedName name="CBWorkbookPriority" hidden="1">-988078685</definedName>
    <definedName name="CC" localSheetId="20" hidden="1">{#N/A,#N/A,FALSE,"CONTROLE"}</definedName>
    <definedName name="CC" hidden="1">{#N/A,#N/A,FALSE,"CONTROLE"}</definedName>
    <definedName name="çç"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çç"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CCC" localSheetId="20" hidden="1">{#N/A,#N/A,FALSE,"CONTROLE"}</definedName>
    <definedName name="CCC" hidden="1">{#N/A,#N/A,FALSE,"CONTROLE"}</definedName>
    <definedName name="cccc" localSheetId="20" hidden="1">{"SPM1",#N/A,FALSE,"RIEP"}</definedName>
    <definedName name="cccc" hidden="1">{"SPM1",#N/A,FALSE,"RIEP"}</definedName>
    <definedName name="ÇÇÇÇ"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ÇÇÇÇ"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cccc1" localSheetId="20" hidden="1">{#N/A,#N/A,FALSE,"CONTROLE"}</definedName>
    <definedName name="cccc1" hidden="1">{#N/A,#N/A,FALSE,"CONTROLE"}</definedName>
    <definedName name="çççç1"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çççç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CCSFDFRDF" localSheetId="20" hidden="1">{"SPM1",#N/A,FALSE,"RIEP"}</definedName>
    <definedName name="CCSFDFRDF" hidden="1">{"SPM1",#N/A,FALSE,"RIEP"}</definedName>
    <definedName name="CD" localSheetId="20" hidden="1">{#N/A,#N/A,FALSE,"LLAVE";#N/A,#N/A,FALSE,"EERR";#N/A,#N/A,FALSE,"ESP";#N/A,#N/A,FALSE,"EOAF";#N/A,#N/A,FALSE,"CASH";#N/A,#N/A,FALSE,"FINANZAS";#N/A,#N/A,FALSE,"DEUDA";#N/A,#N/A,FALSE,"INVERSION";#N/A,#N/A,FALSE,"PERSONAL"}</definedName>
    <definedName name="CD" hidden="1">{#N/A,#N/A,FALSE,"LLAVE";#N/A,#N/A,FALSE,"EERR";#N/A,#N/A,FALSE,"ESP";#N/A,#N/A,FALSE,"EOAF";#N/A,#N/A,FALSE,"CASH";#N/A,#N/A,FALSE,"FINANZAS";#N/A,#N/A,FALSE,"DEUDA";#N/A,#N/A,FALSE,"INVERSION";#N/A,#N/A,FALSE,"PERSONAL"}</definedName>
    <definedName name="cd_1"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cd_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cdf" localSheetId="20" hidden="1">{"SPM1",#N/A,FALSE,"RIEP"}</definedName>
    <definedName name="cdf" hidden="1">{"SPM1",#N/A,FALSE,"RIEP"}</definedName>
    <definedName name="CDVF" localSheetId="20" hidden="1">{"SPM1",#N/A,FALSE,"RIEP"}</definedName>
    <definedName name="CDVF" hidden="1">{"SPM1",#N/A,FALSE,"RIEP"}</definedName>
    <definedName name="cdx" localSheetId="20" hidden="1">{#N/A,#N/A,FALSE,"LLAVE";#N/A,#N/A,FALSE,"EERR";#N/A,#N/A,FALSE,"ESP";#N/A,#N/A,FALSE,"EOAF";#N/A,#N/A,FALSE,"CASH";#N/A,#N/A,FALSE,"FINANZAS";#N/A,#N/A,FALSE,"DEUDA";#N/A,#N/A,FALSE,"INVERSION";#N/A,#N/A,FALSE,"PERSONAL"}</definedName>
    <definedName name="cdx" hidden="1">{#N/A,#N/A,FALSE,"LLAVE";#N/A,#N/A,FALSE,"EERR";#N/A,#N/A,FALSE,"ESP";#N/A,#N/A,FALSE,"EOAF";#N/A,#N/A,FALSE,"CASH";#N/A,#N/A,FALSE,"FINANZAS";#N/A,#N/A,FALSE,"DEUDA";#N/A,#N/A,FALSE,"INVERSION";#N/A,#N/A,FALSE,"PERSONAL"}</definedName>
    <definedName name="cdx_1" localSheetId="20" hidden="1">{#N/A,#N/A,FALSE,"LLAVE";#N/A,#N/A,FALSE,"EERR";#N/A,#N/A,FALSE,"ESP";#N/A,#N/A,FALSE,"EOAF";#N/A,#N/A,FALSE,"CASH";#N/A,#N/A,FALSE,"FINANZAS";#N/A,#N/A,FALSE,"DEUDA";#N/A,#N/A,FALSE,"INVERSION";#N/A,#N/A,FALSE,"PERSONAL"}</definedName>
    <definedName name="cdx_1" hidden="1">{#N/A,#N/A,FALSE,"LLAVE";#N/A,#N/A,FALSE,"EERR";#N/A,#N/A,FALSE,"ESP";#N/A,#N/A,FALSE,"EOAF";#N/A,#N/A,FALSE,"CASH";#N/A,#N/A,FALSE,"FINANZAS";#N/A,#N/A,FALSE,"DEUDA";#N/A,#N/A,FALSE,"INVERSION";#N/A,#N/A,FALSE,"PERSONAL"}</definedName>
    <definedName name="celine" localSheetId="20" hidden="1">{#N/A,#N/A,FALSE,"Tabl. G1";#N/A,#N/A,FALSE,"Tabl. G2"}</definedName>
    <definedName name="celine" hidden="1">{#N/A,#N/A,FALSE,"Tabl. G1";#N/A,#N/A,FALSE,"Tabl. G2"}</definedName>
    <definedName name="cgico" localSheetId="20" hidden="1">{#N/A,#N/A,FALSE,"CONTROLE"}</definedName>
    <definedName name="cgico" hidden="1">{#N/A,#N/A,FALSE,"CONTROLE"}</definedName>
    <definedName name="ChangeRange" hidden="1">#N/A</definedName>
    <definedName name="CHANGES_WORK_CAP" hidden="1">"CHANGES_WORK_CAP"</definedName>
    <definedName name="Chico" localSheetId="20" hidden="1">{#N/A,#N/A,FALSE,"CONTROLE"}</definedName>
    <definedName name="Chico" hidden="1">{#N/A,#N/A,FALSE,"CONTROLE"}</definedName>
    <definedName name="Chico_" localSheetId="20" hidden="1">{#N/A,#N/A,FALSE,"CONTROLE"}</definedName>
    <definedName name="Chico_" hidden="1">{#N/A,#N/A,FALSE,"CONTROLE"}</definedName>
    <definedName name="Chico__" localSheetId="20" hidden="1">{#N/A,#N/A,FALSE,"CONTROLE"}</definedName>
    <definedName name="Chico__" hidden="1">{#N/A,#N/A,FALSE,"CONTROLE"}</definedName>
    <definedName name="Chico___" localSheetId="20" hidden="1">{#N/A,#N/A,FALSE,"CONTROLE";#N/A,#N/A,FALSE,"CONTROLE"}</definedName>
    <definedName name="Chico___" hidden="1">{#N/A,#N/A,FALSE,"CONTROLE";#N/A,#N/A,FALSE,"CONTROLE"}</definedName>
    <definedName name="CIQWBGuid" hidden="1">"6b5d2087-5424-4cc4-80cc-1310d94ce940"</definedName>
    <definedName name="CIQWBInfo" hidden="1">"{ ""CIQVersion"":""9.49.2423.4439"" }"</definedName>
    <definedName name="CITY" hidden="1">"CITY"</definedName>
    <definedName name="Clau" localSheetId="20" hidden="1">{#N/A,#N/A,FALSE,"CONTROLE"}</definedName>
    <definedName name="Clau" hidden="1">{#N/A,#N/A,FALSE,"CONTROLE"}</definedName>
    <definedName name="Claudi" localSheetId="20" hidden="1">{#N/A,#N/A,FALSE,"CONTROLE"}</definedName>
    <definedName name="Claudi" hidden="1">{#N/A,#N/A,FALSE,"CONTROLE"}</definedName>
    <definedName name="Claudia" hidden="1">#REF!</definedName>
    <definedName name="COMMON_STOCK" hidden="1">"COMMON_STOCK"</definedName>
    <definedName name="comp.SP.pag.4.PIRA" localSheetId="20" hidden="1">{#N/A,#N/A,FALSE,"CONTROLE";#N/A,#N/A,FALSE,"CONTROLE"}</definedName>
    <definedName name="comp.SP.pag.4.PIRA" hidden="1">{#N/A,#N/A,FALSE,"CONTROLE";#N/A,#N/A,FALSE,"CONTROLE"}</definedName>
    <definedName name="COMPANY_ADDRESS" hidden="1">"COMPANY_ADDRESS"</definedName>
    <definedName name="COMPANY_NAME" hidden="1">"COMPANY_NAME"</definedName>
    <definedName name="COMPANY_PHONE" hidden="1">"COMPANY_PHONE"</definedName>
    <definedName name="COMPANY_STREET1" hidden="1">"COMPANY_STREET1"</definedName>
    <definedName name="COMPANY_STREET2" hidden="1">"COMPANY_STREET2"</definedName>
    <definedName name="COMPANY_TICKER" hidden="1">"COMPANY_TICKER"</definedName>
    <definedName name="COMPANY_WEBSITE" hidden="1">"COMPANY_WEBSITE"</definedName>
    <definedName name="COMPANY_ZIP" hidden="1">"COMPANY_ZIP"</definedName>
    <definedName name="conjunto" localSheetId="20" hidden="1">{#N/A,#N/A,FALSE,"ANEXO3 99 ERA";#N/A,#N/A,FALSE,"ANEXO3 99 UBÁ2";#N/A,#N/A,FALSE,"ANEXO3 99 DTU";#N/A,#N/A,FALSE,"ANEXO3 99 RDR";#N/A,#N/A,FALSE,"ANEXO3 99 UBÁ4";#N/A,#N/A,FALSE,"ANEXO3 99 UBÁ6"}</definedName>
    <definedName name="conjunto" hidden="1">{#N/A,#N/A,FALSE,"ANEXO3 99 ERA";#N/A,#N/A,FALSE,"ANEXO3 99 UBÁ2";#N/A,#N/A,FALSE,"ANEXO3 99 DTU";#N/A,#N/A,FALSE,"ANEXO3 99 RDR";#N/A,#N/A,FALSE,"ANEXO3 99 UBÁ4";#N/A,#N/A,FALSE,"ANEXO3 99 UBÁ6"}</definedName>
    <definedName name="Consol." localSheetId="20" hidden="1">{#N/A,#N/A,FALSE,"CONTROLE"}</definedName>
    <definedName name="Consol." hidden="1">{#N/A,#N/A,FALSE,"CONTROLE"}</definedName>
    <definedName name="consol.1" localSheetId="20" hidden="1">{#N/A,#N/A,FALSE,"CONTROLE"}</definedName>
    <definedName name="consol.1" hidden="1">{#N/A,#N/A,FALSE,"CONTROLE"}</definedName>
    <definedName name="COPEN" localSheetId="20" hidden="1">{"margo-03",#N/A,FALSE,"RGR 2003";"margo-02",#N/A,FALSE,"RGR 2003";"margo-01",#N/A,FALSE,"RGR 2003"}</definedName>
    <definedName name="COPEN" hidden="1">{"margo-03",#N/A,FALSE,"RGR 2003";"margo-02",#N/A,FALSE,"RGR 2003";"margo-01",#N/A,FALSE,"RGR 2003"}</definedName>
    <definedName name="COPIA" localSheetId="20" hidden="1">{#N/A,#N/A,FALSE,"CONTROLE"}</definedName>
    <definedName name="COPIA" hidden="1">{#N/A,#N/A,FALSE,"CONTROLE"}</definedName>
    <definedName name="COPIA1" localSheetId="20" hidden="1">{#N/A,#N/A,FALSE,"CONTROLE"}</definedName>
    <definedName name="COPIA1" hidden="1">{#N/A,#N/A,FALSE,"CONTROLE"}</definedName>
    <definedName name="copie" localSheetId="20" hidden="1">{#N/A,#N/A,TRUE,"ANALYSE";#N/A,#N/A,TRUE,"PM VOLUME";#N/A,#N/A,TRUE,"PM VALEUR";#N/A,#N/A,TRUE,"AR1";#N/A,#N/A,TRUE,"AR2";#N/A,#N/A,TRUE,"RAF";#N/A,#N/A,TRUE,"BILAN";#N/A,#N/A,TRUE,"CASH FLOW";#N/A,#N/A,TRUE,"ETAT FI"}</definedName>
    <definedName name="copie" hidden="1">{#N/A,#N/A,TRUE,"ANALYSE";#N/A,#N/A,TRUE,"PM VOLUME";#N/A,#N/A,TRUE,"PM VALEUR";#N/A,#N/A,TRUE,"AR1";#N/A,#N/A,TRUE,"AR2";#N/A,#N/A,TRUE,"RAF";#N/A,#N/A,TRUE,"BILAN";#N/A,#N/A,TRUE,"CASH FLOW";#N/A,#N/A,TRUE,"ETAT FI"}</definedName>
    <definedName name="Corporativo">_Config!$F$24:$F$27</definedName>
    <definedName name="COST_REVENUE" hidden="1">"COST_REVENUE"</definedName>
    <definedName name="costos" localSheetId="20" hidden="1">{"'Hoja1'!$A$1:$N$27"}</definedName>
    <definedName name="costos" hidden="1">{"'Hoja1'!$A$1:$N$27"}</definedName>
    <definedName name="COUNTRY_NAME" hidden="1">"COUNTRY_NAME"</definedName>
    <definedName name="çp" localSheetId="20" hidden="1">{"TotalGeralDespesasPorArea",#N/A,FALSE,"VinculosAccessEfetivo"}</definedName>
    <definedName name="çp" hidden="1">{"TotalGeralDespesasPorArea",#N/A,FALSE,"VinculosAccessEfetivo"}</definedName>
    <definedName name="crema" hidden="1">#REF!</definedName>
    <definedName name="CREMA_1" hidden="1">#REF!</definedName>
    <definedName name="CREMA_2" hidden="1">#REF!</definedName>
    <definedName name="CRM" localSheetId="20" hidden="1">{#N/A,#N/A,FALSE,"ANEXO3 99 ERA";#N/A,#N/A,FALSE,"ANEXO3 99 UBÁ2";#N/A,#N/A,FALSE,"ANEXO3 99 DTU";#N/A,#N/A,FALSE,"ANEXO3 99 RDR";#N/A,#N/A,FALSE,"ANEXO3 99 UBÁ4";#N/A,#N/A,FALSE,"ANEXO3 99 UBÁ6"}</definedName>
    <definedName name="CRM" hidden="1">{#N/A,#N/A,FALSE,"ANEXO3 99 ERA";#N/A,#N/A,FALSE,"ANEXO3 99 UBÁ2";#N/A,#N/A,FALSE,"ANEXO3 99 DTU";#N/A,#N/A,FALSE,"ANEXO3 99 RDR";#N/A,#N/A,FALSE,"ANEXO3 99 UBÁ4";#N/A,#N/A,FALSE,"ANEXO3 99 UBÁ6"}</definedName>
    <definedName name="CRM3.1" localSheetId="20" hidden="1">{#N/A,#N/A,FALSE,"ANEXO3 99 ERA";#N/A,#N/A,FALSE,"ANEXO3 99 UBÁ2";#N/A,#N/A,FALSE,"ANEXO3 99 DTU";#N/A,#N/A,FALSE,"ANEXO3 99 RDR";#N/A,#N/A,FALSE,"ANEXO3 99 UBÁ4";#N/A,#N/A,FALSE,"ANEXO3 99 UBÁ6"}</definedName>
    <definedName name="CRM3.1" hidden="1">{#N/A,#N/A,FALSE,"ANEXO3 99 ERA";#N/A,#N/A,FALSE,"ANEXO3 99 UBÁ2";#N/A,#N/A,FALSE,"ANEXO3 99 DTU";#N/A,#N/A,FALSE,"ANEXO3 99 RDR";#N/A,#N/A,FALSE,"ANEXO3 99 UBÁ4";#N/A,#N/A,FALSE,"ANEXO3 99 UBÁ6"}</definedName>
    <definedName name="CronogramadeExecução2003" localSheetId="20" hidden="1">{#N/A,#N/A,FALSE,"ANEXO3 99 ERA";#N/A,#N/A,FALSE,"ANEXO3 99 UBÁ2";#N/A,#N/A,FALSE,"ANEXO3 99 DTU";#N/A,#N/A,FALSE,"ANEXO3 99 RDR";#N/A,#N/A,FALSE,"ANEXO3 99 UBÁ4";#N/A,#N/A,FALSE,"ANEXO3 99 UBÁ6"}</definedName>
    <definedName name="CronogramadeExecução2003" hidden="1">{#N/A,#N/A,FALSE,"ANEXO3 99 ERA";#N/A,#N/A,FALSE,"ANEXO3 99 UBÁ2";#N/A,#N/A,FALSE,"ANEXO3 99 DTU";#N/A,#N/A,FALSE,"ANEXO3 99 RDR";#N/A,#N/A,FALSE,"ANEXO3 99 UBÁ4";#N/A,#N/A,FALSE,"ANEXO3 99 UBÁ6"}</definedName>
    <definedName name="CronogramadeExecuçãp2003" localSheetId="20" hidden="1">{#N/A,#N/A,FALSE,"ANEXO3 99 ERA";#N/A,#N/A,FALSE,"ANEXO3 99 UBÁ2";#N/A,#N/A,FALSE,"ANEXO3 99 DTU";#N/A,#N/A,FALSE,"ANEXO3 99 RDR";#N/A,#N/A,FALSE,"ANEXO3 99 UBÁ4";#N/A,#N/A,FALSE,"ANEXO3 99 UBÁ6"}</definedName>
    <definedName name="CronogramadeExecuçãp2003" hidden="1">{#N/A,#N/A,FALSE,"ANEXO3 99 ERA";#N/A,#N/A,FALSE,"ANEXO3 99 UBÁ2";#N/A,#N/A,FALSE,"ANEXO3 99 DTU";#N/A,#N/A,FALSE,"ANEXO3 99 RDR";#N/A,#N/A,FALSE,"ANEXO3 99 UBÁ4";#N/A,#N/A,FALSE,"ANEXO3 99 UBÁ6"}</definedName>
    <definedName name="CronogramadeExecuçãp20033" localSheetId="20" hidden="1">{#N/A,#N/A,FALSE,"ANEXO3 99 ERA";#N/A,#N/A,FALSE,"ANEXO3 99 UBÁ2";#N/A,#N/A,FALSE,"ANEXO3 99 DTU";#N/A,#N/A,FALSE,"ANEXO3 99 RDR";#N/A,#N/A,FALSE,"ANEXO3 99 UBÁ4";#N/A,#N/A,FALSE,"ANEXO3 99 UBÁ6"}</definedName>
    <definedName name="CronogramadeExecuçãp20033" hidden="1">{#N/A,#N/A,FALSE,"ANEXO3 99 ERA";#N/A,#N/A,FALSE,"ANEXO3 99 UBÁ2";#N/A,#N/A,FALSE,"ANEXO3 99 DTU";#N/A,#N/A,FALSE,"ANEXO3 99 RDR";#N/A,#N/A,FALSE,"ANEXO3 99 UBÁ4";#N/A,#N/A,FALSE,"ANEXO3 99 UBÁ6"}</definedName>
    <definedName name="CURRENT_PORT" hidden="1">"CURRENT_PORT"</definedName>
    <definedName name="CURRENT_RATIO" hidden="1">"CURRENT_RATIO"</definedName>
    <definedName name="cv" localSheetId="20" hidden="1">{#N/A,#N/A,FALSE,"CONTROLE"}</definedName>
    <definedName name="cv" hidden="1">{#N/A,#N/A,FALSE,"CONTROLE"}</definedName>
    <definedName name="cvcvxvxcvxcvxcv" localSheetId="20" hidden="1">{#N/A,#N/A,FALSE,"LLAVE";#N/A,#N/A,FALSE,"EERR";#N/A,#N/A,FALSE,"ESP";#N/A,#N/A,FALSE,"EOAF";#N/A,#N/A,FALSE,"CASH";#N/A,#N/A,FALSE,"FINANZAS";#N/A,#N/A,FALSE,"DEUDA";#N/A,#N/A,FALSE,"INVERSION";#N/A,#N/A,FALSE,"PERSONAL"}</definedName>
    <definedName name="cvcvxvxcvxcvxcv" hidden="1">{#N/A,#N/A,FALSE,"LLAVE";#N/A,#N/A,FALSE,"EERR";#N/A,#N/A,FALSE,"ESP";#N/A,#N/A,FALSE,"EOAF";#N/A,#N/A,FALSE,"CASH";#N/A,#N/A,FALSE,"FINANZAS";#N/A,#N/A,FALSE,"DEUDA";#N/A,#N/A,FALSE,"INVERSION";#N/A,#N/A,FALSE,"PERSONAL"}</definedName>
    <definedName name="Cwvu.GREY_ALL." hidden="1">#REF!</definedName>
    <definedName name="cxv" localSheetId="20" hidden="1">{"'pg(12)'!$B$1:$N$16"}</definedName>
    <definedName name="cxv" hidden="1">{"'pg(12)'!$B$1:$N$16"}</definedName>
    <definedName name="d" localSheetId="20" hidden="1">{#N/A,#N/A,FALSE,"ANEXO3 99 ERA";#N/A,#N/A,FALSE,"ANEXO3 99 UBÁ2";#N/A,#N/A,FALSE,"ANEXO3 99 DTU";#N/A,#N/A,FALSE,"ANEXO3 99 RDR";#N/A,#N/A,FALSE,"ANEXO3 99 UBÁ4";#N/A,#N/A,FALSE,"ANEXO3 99 UBÁ6"}</definedName>
    <definedName name="d" hidden="1">{#N/A,#N/A,FALSE,"ANEXO3 99 ERA";#N/A,#N/A,FALSE,"ANEXO3 99 UBÁ2";#N/A,#N/A,FALSE,"ANEXO3 99 DTU";#N/A,#N/A,FALSE,"ANEXO3 99 RDR";#N/A,#N/A,FALSE,"ANEXO3 99 UBÁ4";#N/A,#N/A,FALSE,"ANEXO3 99 UBÁ6"}</definedName>
    <definedName name="d_1" hidden="1">48</definedName>
    <definedName name="dad" localSheetId="20" hidden="1">{#N/A,#N/A,FALSE,"ENERGIA";#N/A,#N/A,FALSE,"PERDIDAS";#N/A,#N/A,FALSE,"CLIENTES";#N/A,#N/A,FALSE,"ESTADO";#N/A,#N/A,FALSE,"TECNICA"}</definedName>
    <definedName name="dad" hidden="1">{#N/A,#N/A,FALSE,"ENERGIA";#N/A,#N/A,FALSE,"PERDIDAS";#N/A,#N/A,FALSE,"CLIENTES";#N/A,#N/A,FALSE,"ESTADO";#N/A,#N/A,FALSE,"TECNICA"}</definedName>
    <definedName name="DAFreofè0eirfh" localSheetId="20" hidden="1">{"SPM1",#N/A,FALSE,"RIEP"}</definedName>
    <definedName name="DAFreofè0eirfh" hidden="1">{"SPM1",#N/A,FALSE,"RIEP"}</definedName>
    <definedName name="DAYS_PAY_OUTST" hidden="1">"DAYS_PAY_OUTST"</definedName>
    <definedName name="DAYS_SALES_OUTST" hidden="1">"DAYS_SALES_OUTST"</definedName>
    <definedName name="DCC" localSheetId="20" hidden="1">{#N/A,#N/A,FALSE,"CONTROLE"}</definedName>
    <definedName name="DCC" hidden="1">{#N/A,#N/A,FALSE,"CONTROLE"}</definedName>
    <definedName name="DCF_" localSheetId="2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D" localSheetId="20" hidden="1">{"TotalGeralDespesasPorArea",#N/A,FALSE,"VinculosAccessEfetivo"}</definedName>
    <definedName name="DDD" hidden="1">{"TotalGeralDespesasPorArea",#N/A,FALSE,"VinculosAccessEfetivo"}</definedName>
    <definedName name="ddddd" hidden="1">"B1XOH6I4W1OIIVX7OZHT4J34Q"</definedName>
    <definedName name="ddddddd" localSheetId="20" hidden="1">{#N/A,#N/A,FALSE,"RIEP"}</definedName>
    <definedName name="ddddddd" hidden="1">{#N/A,#N/A,FALSE,"RIEP"}</definedName>
    <definedName name="DEC" localSheetId="20" hidden="1">{#N/A,#N/A,FALSE,"Tabl. H1";#N/A,#N/A,FALSE,"Tabl. H2"}</definedName>
    <definedName name="DEC" hidden="1">{#N/A,#N/A,FALSE,"Tabl. H1";#N/A,#N/A,FALSE,"Tabl. H2"}</definedName>
    <definedName name="def" localSheetId="20" hidden="1">{#N/A,#N/A,FALSE,"Tabl. A1";#N/A,#N/A,FALSE,"Tabl. A1 b";#N/A,#N/A,FALSE,"Tabl. A2";#N/A,#N/A,FALSE,"Tabl. A2-1";#N/A,#N/A,FALSE,"Tabl. A2-2"}</definedName>
    <definedName name="def" hidden="1">{#N/A,#N/A,FALSE,"Tabl. A1";#N/A,#N/A,FALSE,"Tabl. A1 b";#N/A,#N/A,FALSE,"Tabl. A2";#N/A,#N/A,FALSE,"Tabl. A2-1";#N/A,#N/A,FALSE,"Tabl. A2-2"}</definedName>
    <definedName name="DEFERRED_INC_TAX" hidden="1">"DEFERRED_INC_TAX"</definedName>
    <definedName name="DEFERRED_TAXES" hidden="1">"DEFERRED_TAXES"</definedName>
    <definedName name="delete" localSheetId="20" hidden="1">{"summary",#N/A,FALSE,"PCR DIRECTORY"}</definedName>
    <definedName name="delete" hidden="1">{"summary",#N/A,FALSE,"PCR DIRECTORY"}</definedName>
    <definedName name="departamentos" localSheetId="20" hidden="1">{#N/A,#N/A,FALSE,"CONTROLE";#N/A,#N/A,FALSE,"CONTROLE"}</definedName>
    <definedName name="departamentos" hidden="1">{#N/A,#N/A,FALSE,"CONTROLE";#N/A,#N/A,FALSE,"CONTROLE"}</definedName>
    <definedName name="DEPRE_AMORT" hidden="1">"DEPRE_AMORT"</definedName>
    <definedName name="DEPRE_AMORT_SUPPL" hidden="1">"DEPRE_AMORT_SUPPL"</definedName>
    <definedName name="DEPRE_DEPLE" hidden="1">"DEPRE_DEPLE"</definedName>
    <definedName name="DEPRE_SUPP" hidden="1">"DEPRE_SUPP"</definedName>
    <definedName name="DESCRIPTION_LONG" hidden="1">"DESCRIPTION_LONG"</definedName>
    <definedName name="df" localSheetId="20" hidden="1">{#N/A,#N/A,FALSE,"LLAVE";#N/A,#N/A,FALSE,"EERR";#N/A,#N/A,FALSE,"ESP";#N/A,#N/A,FALSE,"EOAF";#N/A,#N/A,FALSE,"CASH";#N/A,#N/A,FALSE,"FINANZAS";#N/A,#N/A,FALSE,"DEUDA";#N/A,#N/A,FALSE,"INVERSION";#N/A,#N/A,FALSE,"PERSONAL"}</definedName>
    <definedName name="df" hidden="1">{#N/A,#N/A,FALSE,"LLAVE";#N/A,#N/A,FALSE,"EERR";#N/A,#N/A,FALSE,"ESP";#N/A,#N/A,FALSE,"EOAF";#N/A,#N/A,FALSE,"CASH";#N/A,#N/A,FALSE,"FINANZAS";#N/A,#N/A,FALSE,"DEUDA";#N/A,#N/A,FALSE,"INVERSION";#N/A,#N/A,FALSE,"PERSONAL"}</definedName>
    <definedName name="df_1" localSheetId="20" hidden="1">{#N/A,#N/A,FALSE,"LLAVE";#N/A,#N/A,FALSE,"EERR";#N/A,#N/A,FALSE,"ESP";#N/A,#N/A,FALSE,"EOAF";#N/A,#N/A,FALSE,"CASH";#N/A,#N/A,FALSE,"FINANZAS";#N/A,#N/A,FALSE,"DEUDA";#N/A,#N/A,FALSE,"INVERSION";#N/A,#N/A,FALSE,"PERSONAL"}</definedName>
    <definedName name="df_1" hidden="1">{#N/A,#N/A,FALSE,"LLAVE";#N/A,#N/A,FALSE,"EERR";#N/A,#N/A,FALSE,"ESP";#N/A,#N/A,FALSE,"EOAF";#N/A,#N/A,FALSE,"CASH";#N/A,#N/A,FALSE,"FINANZAS";#N/A,#N/A,FALSE,"DEUDA";#N/A,#N/A,FALSE,"INVERSION";#N/A,#N/A,FALSE,"PERSONAL"}</definedName>
    <definedName name="dfaa" hidden="1">#REF!</definedName>
    <definedName name="DFda" localSheetId="20" hidden="1">{#N/A,#N/A,FALSE,"RIEP"}</definedName>
    <definedName name="DFda" hidden="1">{#N/A,#N/A,FALSE,"RIEP"}</definedName>
    <definedName name="dfdaf" hidden="1">15</definedName>
    <definedName name="DFRSFG" localSheetId="20" hidden="1">{"SPM1",#N/A,FALSE,"RIEP"}</definedName>
    <definedName name="DFRSFG" hidden="1">{"SPM1",#N/A,FALSE,"RIEP"}</definedName>
    <definedName name="dfsagasgdfagadfgdaf" localSheetId="20" hidden="1">{#N/A,#N/A,FALSE,"ENERGIA";#N/A,#N/A,FALSE,"PERDIDAS";#N/A,#N/A,FALSE,"CLIENTES";#N/A,#N/A,FALSE,"ESTADO";#N/A,#N/A,FALSE,"TECNICA"}</definedName>
    <definedName name="dfsagasgdfagadfgdaf" hidden="1">{#N/A,#N/A,FALSE,"ENERGIA";#N/A,#N/A,FALSE,"PERDIDAS";#N/A,#N/A,FALSE,"CLIENTES";#N/A,#N/A,FALSE,"ESTADO";#N/A,#N/A,FALSE,"TECNICA"}</definedName>
    <definedName name="dgdg" localSheetId="20" hidden="1">{#N/A,#N/A,FALSE,"Calc";#N/A,#N/A,FALSE,"Sensitivity";#N/A,#N/A,FALSE,"LT Earn.Dil.";#N/A,#N/A,FALSE,"Dil. AVP"}</definedName>
    <definedName name="dgdg" hidden="1">{#N/A,#N/A,FALSE,"Calc";#N/A,#N/A,FALSE,"Sensitivity";#N/A,#N/A,FALSE,"LT Earn.Dil.";#N/A,#N/A,FALSE,"Dil. AVP"}</definedName>
    <definedName name="dgdgss" localSheetId="20" hidden="1">{"consolidated",#N/A,FALSE,"Sheet1";"cms",#N/A,FALSE,"Sheet1";"fse",#N/A,FALSE,"Sheet1"}</definedName>
    <definedName name="dgdgss" hidden="1">{"consolidated",#N/A,FALSE,"Sheet1";"cms",#N/A,FALSE,"Sheet1";"fse",#N/A,FALSE,"Sheet1"}</definedName>
    <definedName name="DILUT_ADJUST" hidden="1">"DILUT_ADJUST"</definedName>
    <definedName name="DILUT_EPS_EXCL" hidden="1">"DILUT_EPS_EXCL"</definedName>
    <definedName name="DILUT_EPS_INCL" hidden="1">"DILUT_EPS_INCL"</definedName>
    <definedName name="DILUT_NORMAL_EPS" hidden="1">"DILUT_NORMAL_EPS"</definedName>
    <definedName name="DILUT_WEIGHT" hidden="1">"DILUT_WEIGHT"</definedName>
    <definedName name="dimac" localSheetId="20" hidden="1">{#N/A,#N/A,FALSE,"Tabl. D1";#N/A,#N/A,FALSE,"Tabl. D1 b";#N/A,#N/A,FALSE,"Tabl. D2";#N/A,#N/A,FALSE,"Tabl. D2 b";#N/A,#N/A,FALSE,"Tabl. D3";#N/A,#N/A,FALSE,"Tabl. D4";#N/A,#N/A,FALSE,"Tabl. D5"}</definedName>
    <definedName name="dimac" hidden="1">{#N/A,#N/A,FALSE,"Tabl. D1";#N/A,#N/A,FALSE,"Tabl. D1 b";#N/A,#N/A,FALSE,"Tabl. D2";#N/A,#N/A,FALSE,"Tabl. D2 b";#N/A,#N/A,FALSE,"Tabl. D3";#N/A,#N/A,FALSE,"Tabl. D4";#N/A,#N/A,FALSE,"Tabl. D5"}</definedName>
    <definedName name="dirk1" localSheetId="20" hidden="1">{#N/A,#N/A,TRUE,"cover";#N/A,#N/A,TRUE,"PRI";#N/A,#N/A,TRUE,"BDG";#N/A,#N/A,TRUE,"FOR";#N/A,#N/A,TRUE,"PER";#N/A,#N/A,TRUE,"ORD";#N/A,#N/A,TRUE,"INV";#N/A,#N/A,TRUE,"CASH";#N/A,#N/A,TRUE,"TAX";#N/A,#N/A,TRUE,"rev_bdg";#N/A,#N/A,TRUE,"sales";#N/A,#N/A,TRUE,"interest"}</definedName>
    <definedName name="dirk1" hidden="1">{#N/A,#N/A,TRUE,"cover";#N/A,#N/A,TRUE,"PRI";#N/A,#N/A,TRUE,"BDG";#N/A,#N/A,TRUE,"FOR";#N/A,#N/A,TRUE,"PER";#N/A,#N/A,TRUE,"ORD";#N/A,#N/A,TRUE,"INV";#N/A,#N/A,TRUE,"CASH";#N/A,#N/A,TRUE,"TAX";#N/A,#N/A,TRUE,"rev_bdg";#N/A,#N/A,TRUE,"sales";#N/A,#N/A,TRUE,"interest"}</definedName>
    <definedName name="DISCONT_OPER" hidden="1">"DISCONT_OPER"</definedName>
    <definedName name="distribucion" localSheetId="20" hidden="1">{"'Hoja1'!$A$1:$N$27"}</definedName>
    <definedName name="distribucion" hidden="1">{"'Hoja1'!$A$1:$N$27"}</definedName>
    <definedName name="distribuição" localSheetId="20" hidden="1">{#N/A,#N/A,FALSE,"ANEXO3 99 ERA";#N/A,#N/A,FALSE,"ANEXO3 99 UBÁ2";#N/A,#N/A,FALSE,"ANEXO3 99 DTU";#N/A,#N/A,FALSE,"ANEXO3 99 RDR";#N/A,#N/A,FALSE,"ANEXO3 99 UBÁ4";#N/A,#N/A,FALSE,"ANEXO3 99 UBÁ6"}</definedName>
    <definedName name="distribuição" hidden="1">{#N/A,#N/A,FALSE,"ANEXO3 99 ERA";#N/A,#N/A,FALSE,"ANEXO3 99 UBÁ2";#N/A,#N/A,FALSE,"ANEXO3 99 DTU";#N/A,#N/A,FALSE,"ANEXO3 99 RDR";#N/A,#N/A,FALSE,"ANEXO3 99 UBÁ4";#N/A,#N/A,FALSE,"ANEXO3 99 UBÁ6"}</definedName>
    <definedName name="divcms" localSheetId="20" hidden="1">{"TotalGeralDespesasPorArea",#N/A,FALSE,"VinculosAccessEfetivo"}</definedName>
    <definedName name="divcms" hidden="1">{"TotalGeralDespesasPorArea",#N/A,FALSE,"VinculosAccessEfetivo"}</definedName>
    <definedName name="DIVID_SHARE" hidden="1">"DIVID_SHARE"</definedName>
    <definedName name="DME_BeforeCloseCompleted" hidden="1">"False"</definedName>
    <definedName name="DME_Dirty" hidden="1">"False"</definedName>
    <definedName name="DME_LocalFile" hidden="1">"True"</definedName>
    <definedName name="DME_ODMALinks1" hidden="1">"::ODMA\DME-MSE\London-50880=C:\TEMP\Dme\London-50880.xls"</definedName>
    <definedName name="DME_ODMALinks2" hidden="1">"::ODMA\DME-MSE\London-48564=C:\TEMP\Dme\London-48564.xls"</definedName>
    <definedName name="DME_ODMALinks3" hidden="1">"::ODMA\DME-MSE\London-48461=C:\TEMP\Dme\London-48461.xls"</definedName>
    <definedName name="DME_ODMALinks4" hidden="1">"::ODMA\DME-MSE\London-50894=C:\TEMP\Dme\London-50894.xls"</definedName>
    <definedName name="DME_ODMALinksCount" hidden="1">"4"</definedName>
    <definedName name="DSFSDGFG" localSheetId="20" hidden="1">{"SPM1",#N/A,FALSE,"RIEP"}</definedName>
    <definedName name="DSFSDGFG" hidden="1">{"SPM1",#N/A,FALSE,"RIEP"}</definedName>
    <definedName name="dsg" localSheetId="20" hidden="1">{#N/A,#N/A,FALSE,"Calc";#N/A,#N/A,FALSE,"Sensitivity";#N/A,#N/A,FALSE,"LT Earn.Dil.";#N/A,#N/A,FALSE,"Dil. AVP"}</definedName>
    <definedName name="dsg" hidden="1">{#N/A,#N/A,FALSE,"Calc";#N/A,#N/A,FALSE,"Sensitivity";#N/A,#N/A,FALSE,"LT Earn.Dil.";#N/A,#N/A,FALSE,"Dil. AVP"}</definedName>
    <definedName name="dthrrr" localSheetId="20" hidden="1">{"SPM1",#N/A,FALSE,"RIEP"}</definedName>
    <definedName name="dthrrr" hidden="1">{"SPM1",#N/A,FALSE,"RIEP"}</definedName>
    <definedName name="dxvz" hidden="1">#REF!</definedName>
    <definedName name="e" localSheetId="20" hidden="1">{#N/A,#N/A,FALSE,"ANEXO3 99 ERA";#N/A,#N/A,FALSE,"ANEXO3 99 UBÁ2";#N/A,#N/A,FALSE,"ANEXO3 99 DTU";#N/A,#N/A,FALSE,"ANEXO3 99 RDR";#N/A,#N/A,FALSE,"ANEXO3 99 UBÁ4";#N/A,#N/A,FALSE,"ANEXO3 99 UBÁ6"}</definedName>
    <definedName name="e" hidden="1">{#N/A,#N/A,FALSE,"ANEXO3 99 ERA";#N/A,#N/A,FALSE,"ANEXO3 99 UBÁ2";#N/A,#N/A,FALSE,"ANEXO3 99 DTU";#N/A,#N/A,FALSE,"ANEXO3 99 RDR";#N/A,#N/A,FALSE,"ANEXO3 99 UBÁ4";#N/A,#N/A,FALSE,"ANEXO3 99 UBÁ6"}</definedName>
    <definedName name="e_1" localSheetId="20" hidden="1">{#N/A,#N/A,FALSE,"CONTROLE"}</definedName>
    <definedName name="e_1" hidden="1">{#N/A,#N/A,FALSE,"CONTROLE"}</definedName>
    <definedName name="EAEEE" localSheetId="20" hidden="1">{#N/A,#N/A,FALSE,"CONTROLE";#N/A,#N/A,FALSE,"CONTROLE"}</definedName>
    <definedName name="EAEEE" hidden="1">{#N/A,#N/A,FALSE,"CONTROLE";#N/A,#N/A,FALSE,"CONTROLE"}</definedName>
    <definedName name="EBIT" hidden="1">"EBIT"</definedName>
    <definedName name="EBIT_10K" hidden="1">"EBIT_10K"</definedName>
    <definedName name="EBIT_10Q" hidden="1">"EBIT_10Q"</definedName>
    <definedName name="EBIT_10Q1" hidden="1">"EBIT_10Q1"</definedName>
    <definedName name="EBIT_GROWTH_1" hidden="1">"EBIT_GROWTH_1"</definedName>
    <definedName name="EBIT_GROWTH_2" hidden="1">"EBIT_GROWTH_2"</definedName>
    <definedName name="EBIT_MARGIN" hidden="1">"EBIT_MARGIN"</definedName>
    <definedName name="EBIT_OVER_IE" hidden="1">"EBIT_OVER_IE"</definedName>
    <definedName name="EBITDA" hidden="1">"EBITDA"</definedName>
    <definedName name="EBITDA_10K" hidden="1">"EBITDA_10K"</definedName>
    <definedName name="EBITDA_10Q" hidden="1">"EBITDA_10Q"</definedName>
    <definedName name="EBITDA_10Q1" hidden="1">"EBITDA_10Q1"</definedName>
    <definedName name="EBITDA_CAPEX_OVER_TOTAL_IE" hidden="1">"EBITDA_CAPEX_OVER_TOTAL_IE"</definedName>
    <definedName name="EBITDA_GROWTH_1" hidden="1">"EBITDA_GROWTH_1"</definedName>
    <definedName name="EBITDA_GROWTH_2" hidden="1">"EBITDA_GROWTH_2"</definedName>
    <definedName name="EBITDA_MARGIN" hidden="1">"EBITDA_MARGIN"</definedName>
    <definedName name="EBITDA_OVER_TOTAL_IE" hidden="1">"EBITDA_OVER_TOTAL_IE"</definedName>
    <definedName name="ECA" localSheetId="20" hidden="1">{#N/A,#N/A,FALSE,"ANALYSE";#N/A,#N/A,FALSE,"PM VALEUR"}</definedName>
    <definedName name="ECA" hidden="1">{#N/A,#N/A,FALSE,"ANALYSE";#N/A,#N/A,FALSE,"PM VALEUR"}</definedName>
    <definedName name="ecco" localSheetId="20" hidden="1">{"CECons",#N/A,FALSE,"CE"}</definedName>
    <definedName name="ecco" hidden="1">{"CECons",#N/A,FALSE,"CE"}</definedName>
    <definedName name="eccolo" localSheetId="20" hidden="1">{"CECons",#N/A,FALSE,"CE"}</definedName>
    <definedName name="eccolo" hidden="1">{"CECons",#N/A,FALSE,"CE"}</definedName>
    <definedName name="edificios" localSheetId="20" hidden="1">{"HOJA100",#N/A,FALSE,"HOJA_100";"HOJA200",#N/A,FALSE,"HOJA_200";"HOJA300",#N/A,FALSE,"HOJA_300";"HOJA400",#N/A,FALSE,"HOJA_400"}</definedName>
    <definedName name="edificios" hidden="1">{"HOJA100",#N/A,FALSE,"HOJA_100";"HOJA200",#N/A,FALSE,"HOJA_200";"HOJA300",#N/A,FALSE,"HOJA_300";"HOJA400",#N/A,FALSE,"HOJA_400"}</definedName>
    <definedName name="ee" localSheetId="20" hidden="1">{"HOJA100",#N/A,FALSE,"HOJA_100";"HOJA200",#N/A,FALSE,"HOJA_200";"HOJA300",#N/A,FALSE,"HOJA_300";"HOJA400",#N/A,FALSE,"HOJA_400"}</definedName>
    <definedName name="ee" hidden="1">{"HOJA100",#N/A,FALSE,"HOJA_100";"HOJA200",#N/A,FALSE,"HOJA_200";"HOJA300",#N/A,FALSE,"HOJA_300";"HOJA400",#N/A,FALSE,"HOJA_400"}</definedName>
    <definedName name="EEE" localSheetId="20" hidden="1">{#N/A,#N/A,FALSE,"Tabl. H1";#N/A,#N/A,FALSE,"Tabl. H2"}</definedName>
    <definedName name="EEE" hidden="1">{#N/A,#N/A,FALSE,"Tabl. H1";#N/A,#N/A,FALSE,"Tabl. H2"}</definedName>
    <definedName name="eeeeeeeeeeee" hidden="1">#REF!</definedName>
    <definedName name="EFFECT_SPECIAL_CHARGE" hidden="1">"EFFECT_SPECIAL_CHARGE"</definedName>
    <definedName name="efi" localSheetId="20" hidden="1">{#N/A,#N/A,FALSE,"CONTROLE"}</definedName>
    <definedName name="efi" hidden="1">{#N/A,#N/A,FALSE,"CONTROLE"}</definedName>
    <definedName name="eficiencia" localSheetId="20" hidden="1">{#N/A,#N/A,FALSE,"CONTROLE"}</definedName>
    <definedName name="eficiencia" hidden="1">{#N/A,#N/A,FALSE,"CONTROLE"}</definedName>
    <definedName name="emily" localSheetId="20" hidden="1">{#N/A,#N/A,FALSE,"Calc";#N/A,#N/A,FALSE,"Sensitivity";#N/A,#N/A,FALSE,"LT Earn.Dil.";#N/A,#N/A,FALSE,"Dil. AVP"}</definedName>
    <definedName name="emily" hidden="1">{#N/A,#N/A,FALSE,"Calc";#N/A,#N/A,FALSE,"Sensitivity";#N/A,#N/A,FALSE,"LT Earn.Dil.";#N/A,#N/A,FALSE,"Dil. AVP"}</definedName>
    <definedName name="EMPLOYEES" hidden="1">"EMPLOYEES"</definedName>
    <definedName name="EPMWorkbookOptions_1" hidden="1">"EjoAAB+LCAAAAAAABADtm2uPmkwUgL836X8wflcGxNuGtWERL4kKQbRtNhuDMq6kCLwDrrv/viOIAqK1W14jaKKJzpxzZuaZcwF0mG/vSz33BpGtmcZjniyCfA4aM1PVjNfH/MqZF8hK/lvj6xfmu4l+TU3zl2A5WNTOYT3Dfni31cf8wnGsB4JYr9fFdalooleCAoAkfvR7w9kCLpX8Tlj7s3BBM2xHMWYwj0fN5RjONAw424wpm9wKIWg4"</definedName>
    <definedName name="EPMWorkbookOptions_2" hidden="1">"Yw2u3c5Qd1NxlG0rbh8oS+gNuxvSgUtrhTR3zJENkYjgHGJ7M1jEy8g3Ji2xP3kSucF3Ekyet0pklSpSlSJJ00WSeiBBDRC2YhFTa0a8TJ7baGWZPW2KFPwFT8U2dU1VZoqJv84V3YYvDLGZyX5erGXp2kwJMDx7fr6NsJVA83bZDU4YDIVet8lyrBAZ32O2x5gjjnZ1NFWFRlNbQsN2Z3tcdD9TOySDpYYLc72zwZm6iRoOWkGGiOk4pequ"</definedName>
    <definedName name="EPMWorkbookOptions_3" hidden="1">"IkbzYHVbRbwZDnx3WsqbiTQHz8vdDk/5oC+i39FeFzp+O0OoY9+CakeDSEGzhba3c1LmjPm0NGQ7gQXF90cM7VZ9HPi5UkG5kaH9t4IuSXbU7MqC1GUZIq77lBVvD3G+KAOyVCMDBuJ219UVkApRAzCE9yHWum3pyoeITAsi56NBlivlOZzOC+WKShdoal4v1MoQFoACKVqdVunqtLQZOawVY7in2Lut68PlFGfAGLGwm8cKYBFPP4DpeYfx"</definedName>
    <definedName name="EPMWorkbookOptions_4" hidden="1">"pfgsshI/kDsk/ihP9h0McaB2xLzvWR970RxOpQ+Gpj/mNx6Uj4Tm6T0+T5ch/rTwhMlwrNROPRWGOMevAqHxvwUyN8FVQP6HMAaArgFwfhST2YviLcOwpz6JgKSoeto9NXEm5J1IlAh9ZxJlcgcSTSUlkHYm11P0+L4o8cPPF71SqVymafr8okdlr+htGYY9tT1pcfzNBm8sErktdKnaHUkASWfC93j5jiSY4sf83UvCSLKQSa6n5LWlkSh8"</definedName>
    <definedName name="EPMWorkbookOptions_5" hidden="1">"uuBVqiSo1arnF7xS9gqeSzBa7gbCgE+7kyYKJAtRmyCQbJS660lj3YHMS9znExkJQKVSKv3F8yo6e5lsCzFynSrIbC/tjposkYnffKeyp9LNRIq/nowm8lJXaP5DRvvr39HK2ctoW4hhT6UAWSuCm30Cf5zJTaf6E65ys/ffx5nc7s81J/yETjuT66l+kij3Bb55yb+RVLJX/nyK2EPxq8el3T+T4fAkpb7IXU+gDvl2H2fBS16nVrMXqD7F"</definedName>
    <definedName name="EPMWorkbookOptions_6" hidden="1">"DN56X4+ryl1R6Avji/pqLXu+usMYfSoiC2LanTVhJvX6zd5lHiHSmtyTWqJJbcxLQ/aSGa2evYzmMfQuDiU+/d6ZFAdw/2tZ/DQ/Ead9nh2OJH54wUglM3gwwsfoOelPuZl2D00GhPdQqpv6G/wE4/UModBs4oUYIu6oXKjVF8fWDs8SBhsPzx8yEpwjaC8EQ7Cg4R8NCze6cpwOFbQxKhhD5c0/yBZtdUX9c5Y4Rh2Xom/2sCMsv1a3m8Z0"</definedName>
    <definedName name="EPMWorkbookOptions_7" hidden="1">"7bGCNGWqwz5Er3sLB+1fv+zNbs91Nn4DWDtOwhI6AAA="</definedName>
    <definedName name="EPS" hidden="1">"EPS"</definedName>
    <definedName name="EPS_10K" hidden="1">"EPS_10K"</definedName>
    <definedName name="EPS_10Q" hidden="1">"EPS_10Q"</definedName>
    <definedName name="EPS_10Q1" hidden="1">"EPS_10Q1"</definedName>
    <definedName name="EPS_EST" hidden="1">"EPS_EST"</definedName>
    <definedName name="EPS_EST_1" hidden="1">"EPS_EST_1"</definedName>
    <definedName name="EQUITY_AFFIL" hidden="1">"EQUITY_AFFIL"</definedName>
    <definedName name="EQUITY_MARKET_VAL" hidden="1">"EQUITY_MARKET_VAL"</definedName>
    <definedName name="equity2" localSheetId="20" hidden="1">{"SPM1",#N/A,FALSE,"RIEP"}</definedName>
    <definedName name="equity2" hidden="1">{"SPM1",#N/A,FALSE,"RIEP"}</definedName>
    <definedName name="EQV_OVER_BV" hidden="1">"EQV_OVER_BV"</definedName>
    <definedName name="EQV_OVER_LTM_PRETAX_INC" hidden="1">"EQV_OVER_LTM_PRETAX_INC"</definedName>
    <definedName name="erer" localSheetId="20" hidden="1">{#N/A,#N/A,FALSE,"ANEXO3 99 ERA";#N/A,#N/A,FALSE,"ANEXO3 99 UBÁ2";#N/A,#N/A,FALSE,"ANEXO3 99 DTU";#N/A,#N/A,FALSE,"ANEXO3 99 RDR";#N/A,#N/A,FALSE,"ANEXO3 99 UBÁ4";#N/A,#N/A,FALSE,"ANEXO3 99 UBÁ6"}</definedName>
    <definedName name="erer" hidden="1">{#N/A,#N/A,FALSE,"ANEXO3 99 ERA";#N/A,#N/A,FALSE,"ANEXO3 99 UBÁ2";#N/A,#N/A,FALSE,"ANEXO3 99 DTU";#N/A,#N/A,FALSE,"ANEXO3 99 RDR";#N/A,#N/A,FALSE,"ANEXO3 99 UBÁ4";#N/A,#N/A,FALSE,"ANEXO3 99 UBÁ6"}</definedName>
    <definedName name="ergcvbgb" localSheetId="20" hidden="1">{#N/A,#N/A,FALSE,"Tabl. H1";#N/A,#N/A,FALSE,"Tabl. H2"}</definedName>
    <definedName name="ergcvbgb" hidden="1">{#N/A,#N/A,FALSE,"Tabl. H1";#N/A,#N/A,FALSE,"Tabl. H2"}</definedName>
    <definedName name="ESOP_DEBT" hidden="1">"ESOP_DEBT"</definedName>
    <definedName name="etet" localSheetId="20" hidden="1">{#N/A,#N/A,FALSE,"Calc";#N/A,#N/A,FALSE,"Sensitivity";#N/A,#N/A,FALSE,"LT Earn.Dil.";#N/A,#N/A,FALSE,"Dil. AVP"}</definedName>
    <definedName name="etet" hidden="1">{#N/A,#N/A,FALSE,"Calc";#N/A,#N/A,FALSE,"Sensitivity";#N/A,#N/A,FALSE,"LT Earn.Dil.";#N/A,#N/A,FALSE,"Dil. AVP"}</definedName>
    <definedName name="ethth" localSheetId="20" hidden="1">{"'Hoja1'!$A$1:$N$27"}</definedName>
    <definedName name="ethth" hidden="1">{"'Hoja1'!$A$1:$N$27"}</definedName>
    <definedName name="EV__DECIMALSYMBOL__" hidden="1">"."</definedName>
    <definedName name="EV__EVCOM_OPTIONS__" hidden="1">8</definedName>
    <definedName name="EV__EXPOPTIONS__" hidden="1">0</definedName>
    <definedName name="EV__LASTREFTIME__" hidden="1">41830.6256481481</definedName>
    <definedName name="EV__LOCKEDCVW__LEGALAPP" hidden="1">"TrialBalance,F_TOP,ACTUAL,ALL_DATASRCS,D_NONE,Mg_M_Brazil,All_Interco,BR34,USD,2012.DEC,YTD,"</definedName>
    <definedName name="EV__LOCKEDCVW__NEWSPAPER" hidden="1">"TBPL,PRELIMNYP,TOTDEPT,ALLPROD,MNEWSGRP,ALLSD,2012.TOTAL,YTD,"</definedName>
    <definedName name="EV__LOCKEDCVW__USAT" hidden="1">"ADVREV,ACTUAL,D95,ALLPF,ALLPROD,C8872,ALLSD,2011.OCT,Periodic,"</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134217751</definedName>
    <definedName name="EV__WBVERSION__" hidden="1">0</definedName>
    <definedName name="EV_OVER_EMPLOYEE" hidden="1">"EV_OVER_EMPLOYEE"</definedName>
    <definedName name="EV_OVER_LTM_EBIT" hidden="1">"EV_OVER_LTM_EBIT"</definedName>
    <definedName name="EV_OVER_LTM_EBITDA" hidden="1">"EV_OVER_LTM_EBITDA"</definedName>
    <definedName name="EV_OVER_LTM_REVENUE" hidden="1">"EV_OVER_LTM_REVENUE"</definedName>
    <definedName name="EV_OVER_REVENUE_EST" hidden="1">"EV_OVER_REVENUE_EST"</definedName>
    <definedName name="EV_OVER_REVENUE_EST_1" hidden="1">"EV_OVER_REVENUE_EST_1"</definedName>
    <definedName name="EXCHANGE" hidden="1">"EXCHANGE"</definedName>
    <definedName name="EXTRA_ITEMS" hidden="1">"EXTRA_ITEMS"</definedName>
    <definedName name="f" localSheetId="20" hidden="1">{#N/A,#N/A,FALSE,"ANEXO3 99 ERA";#N/A,#N/A,FALSE,"ANEXO3 99 UBÁ2";#N/A,#N/A,FALSE,"ANEXO3 99 DTU";#N/A,#N/A,FALSE,"ANEXO3 99 RDR";#N/A,#N/A,FALSE,"ANEXO3 99 UBÁ4";#N/A,#N/A,FALSE,"ANEXO3 99 UBÁ6"}</definedName>
    <definedName name="f" hidden="1">{#N/A,#N/A,FALSE,"ANEXO3 99 ERA";#N/A,#N/A,FALSE,"ANEXO3 99 UBÁ2";#N/A,#N/A,FALSE,"ANEXO3 99 DTU";#N/A,#N/A,FALSE,"ANEXO3 99 RDR";#N/A,#N/A,FALSE,"ANEXO3 99 UBÁ4";#N/A,#N/A,FALSE,"ANEXO3 99 UBÁ6"}</definedName>
    <definedName name="f_1" localSheetId="20" hidden="1">{#N/A,#N/A,FALSE,"CONTROLE"}</definedName>
    <definedName name="f_1" hidden="1">{#N/A,#N/A,FALSE,"CONTROLE"}</definedName>
    <definedName name="fa" localSheetId="20" hidden="1">{#N/A,#N/A,FALSE,"CONTROLE"}</definedName>
    <definedName name="fa" hidden="1">{#N/A,#N/A,FALSE,"CONTROLE"}</definedName>
    <definedName name="farida" localSheetId="20" hidden="1">{"'pg(12)'!$B$1:$N$16"}</definedName>
    <definedName name="farida" hidden="1">{"'pg(12)'!$B$1:$N$16"}</definedName>
    <definedName name="FDDSFDSGF" localSheetId="20" hidden="1">{#N/A,#N/A,FALSE,"RIEP"}</definedName>
    <definedName name="FDDSFDSGF" hidden="1">{#N/A,#N/A,FALSE,"RIEP"}</definedName>
    <definedName name="fevcpflr" localSheetId="20" hidden="1">{#N/A,#N/A,FALSE,"CONTROLE";#N/A,#N/A,FALSE,"CONTROLE"}</definedName>
    <definedName name="fevcpflr" hidden="1">{#N/A,#N/A,FALSE,"CONTROLE";#N/A,#N/A,FALSE,"CONTROLE"}</definedName>
    <definedName name="ff" localSheetId="20" hidden="1">{#N/A,#N/A,FALSE,"ENERGIA";#N/A,#N/A,FALSE,"PERDIDAS";#N/A,#N/A,FALSE,"CLIENTES";#N/A,#N/A,FALSE,"ESTADO";#N/A,#N/A,FALSE,"TECNICA"}</definedName>
    <definedName name="ff" hidden="1">{#N/A,#N/A,FALSE,"ENERGIA";#N/A,#N/A,FALSE,"PERDIDAS";#N/A,#N/A,FALSE,"CLIENTES";#N/A,#N/A,FALSE,"ESTADO";#N/A,#N/A,FALSE,"TECNICA"}</definedName>
    <definedName name="ff_1" localSheetId="20" hidden="1">{#N/A,#N/A,FALSE,"ENERGIA";#N/A,#N/A,FALSE,"PERDIDAS";#N/A,#N/A,FALSE,"CLIENTES";#N/A,#N/A,FALSE,"ESTADO";#N/A,#N/A,FALSE,"TECNICA"}</definedName>
    <definedName name="ff_1" hidden="1">{#N/A,#N/A,FALSE,"ENERGIA";#N/A,#N/A,FALSE,"PERDIDAS";#N/A,#N/A,FALSE,"CLIENTES";#N/A,#N/A,FALSE,"ESTADO";#N/A,#N/A,FALSE,"TECNICA"}</definedName>
    <definedName name="fff" hidden="1">11</definedName>
    <definedName name="ffffffffff" localSheetId="20" hidden="1">{"QQQ",#N/A,FALSE,"RIEP"}</definedName>
    <definedName name="ffffffffff" hidden="1">{"QQQ",#N/A,FALSE,"RIEP"}</definedName>
    <definedName name="fgffg" localSheetId="20" hidden="1">{#N/A,#N/A,FALSE,"RIEP"}</definedName>
    <definedName name="fgffg" hidden="1">{#N/A,#N/A,FALSE,"RIEP"}</definedName>
    <definedName name="FGFG" localSheetId="20" hidden="1">{#N/A,#N/A,FALSE,"Tabl. A1";#N/A,#N/A,FALSE,"Tabl. A1 b";#N/A,#N/A,FALSE,"Tabl. A2";#N/A,#N/A,FALSE,"Tabl. A2-1";#N/A,#N/A,FALSE,"Tabl. A2-2"}</definedName>
    <definedName name="FGFG" hidden="1">{#N/A,#N/A,FALSE,"Tabl. A1";#N/A,#N/A,FALSE,"Tabl. A1 b";#N/A,#N/A,FALSE,"Tabl. A2";#N/A,#N/A,FALSE,"Tabl. A2-1";#N/A,#N/A,FALSE,"Tabl. A2-2"}</definedName>
    <definedName name="fgfghtfhjgh" localSheetId="20" hidden="1">{#N/A,#N/A,FALSE,"CONTROLE"}</definedName>
    <definedName name="fgfghtfhjgh" hidden="1">{#N/A,#N/A,FALSE,"CONTROLE"}</definedName>
    <definedName name="fgh"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fgh"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fgreggeg" localSheetId="20" hidden="1">{#N/A,#N/A,FALSE,"FY97";#N/A,#N/A,FALSE,"FY98";#N/A,#N/A,FALSE,"FY99";#N/A,#N/A,FALSE,"FY00";#N/A,#N/A,FALSE,"FY01"}</definedName>
    <definedName name="fgreggeg" hidden="1">{#N/A,#N/A,FALSE,"FY97";#N/A,#N/A,FALSE,"FY98";#N/A,#N/A,FALSE,"FY99";#N/A,#N/A,FALSE,"FY00";#N/A,#N/A,FALSE,"FY01"}</definedName>
    <definedName name="fgsg" localSheetId="20" hidden="1">{"consolidated",#N/A,FALSE,"Sheet1";"cms",#N/A,FALSE,"Sheet1";"fse",#N/A,FALSE,"Sheet1"}</definedName>
    <definedName name="fgsg" hidden="1">{"consolidated",#N/A,FALSE,"Sheet1";"cms",#N/A,FALSE,"Sheet1";"fse",#N/A,FALSE,"Sheet1"}</definedName>
    <definedName name="Finance" hidden="1">#REF!</definedName>
    <definedName name="FINANCING_CASH" hidden="1">"FINANCING_CASH"</definedName>
    <definedName name="FOREIGN_EXCHANGE" hidden="1">"FOREIGN_EXCHANGE"</definedName>
    <definedName name="fornecimento" localSheetId="20" hidden="1">{#N/A,#N/A,FALSE,"CONTROLE"}</definedName>
    <definedName name="fornecimento" hidden="1">{#N/A,#N/A,FALSE,"CONTROLE"}</definedName>
    <definedName name="FSDG" localSheetId="20" hidden="1">{#N/A,#N/A,FALSE,"RIEP"}</definedName>
    <definedName name="FSDG" hidden="1">{#N/A,#N/A,FALSE,"RIEP"}</definedName>
    <definedName name="fsfs" localSheetId="20" hidden="1">{#N/A,#N/A,FALSE,"Calc";#N/A,#N/A,FALSE,"Sensitivity";#N/A,#N/A,FALSE,"LT Earn.Dil.";#N/A,#N/A,FALSE,"Dil. AVP"}</definedName>
    <definedName name="fsfs" hidden="1">{#N/A,#N/A,FALSE,"Calc";#N/A,#N/A,FALSE,"Sensitivity";#N/A,#N/A,FALSE,"LT Earn.Dil.";#N/A,#N/A,FALSE,"Dil. AVP"}</definedName>
    <definedName name="Fuel" hidden="1">#REF!</definedName>
    <definedName name="Furnas">#REF!</definedName>
    <definedName name="fx" localSheetId="20" hidden="1">{#N/A,#N/A,FALSE,"ENERGIA";#N/A,#N/A,FALSE,"PERDIDAS";#N/A,#N/A,FALSE,"CLIENTES";#N/A,#N/A,FALSE,"ESTADO";#N/A,#N/A,FALSE,"TECNICA"}</definedName>
    <definedName name="fx" hidden="1">{#N/A,#N/A,FALSE,"ENERGIA";#N/A,#N/A,FALSE,"PERDIDAS";#N/A,#N/A,FALSE,"CLIENTES";#N/A,#N/A,FALSE,"ESTADO";#N/A,#N/A,FALSE,"TECNICA"}</definedName>
    <definedName name="fx_1" localSheetId="20" hidden="1">{#N/A,#N/A,FALSE,"ENERGIA";#N/A,#N/A,FALSE,"PERDIDAS";#N/A,#N/A,FALSE,"CLIENTES";#N/A,#N/A,FALSE,"ESTADO";#N/A,#N/A,FALSE,"TECNICA"}</definedName>
    <definedName name="fx_1" hidden="1">{#N/A,#N/A,FALSE,"ENERGIA";#N/A,#N/A,FALSE,"PERDIDAS";#N/A,#N/A,FALSE,"CLIENTES";#N/A,#N/A,FALSE,"ESTADO";#N/A,#N/A,FALSE,"TECNICA"}</definedName>
    <definedName name="FY_DATE" hidden="1">"FY_DATE"</definedName>
    <definedName name="g" localSheetId="20" hidden="1">{#N/A,#N/A,FALSE,"ANEXO3 99 ERA";#N/A,#N/A,FALSE,"ANEXO3 99 UBÁ2";#N/A,#N/A,FALSE,"ANEXO3 99 DTU";#N/A,#N/A,FALSE,"ANEXO3 99 RDR";#N/A,#N/A,FALSE,"ANEXO3 99 UBÁ4";#N/A,#N/A,FALSE,"ANEXO3 99 UBÁ6"}</definedName>
    <definedName name="g" hidden="1">{#N/A,#N/A,FALSE,"ANEXO3 99 ERA";#N/A,#N/A,FALSE,"ANEXO3 99 UBÁ2";#N/A,#N/A,FALSE,"ANEXO3 99 DTU";#N/A,#N/A,FALSE,"ANEXO3 99 RDR";#N/A,#N/A,FALSE,"ANEXO3 99 UBÁ4";#N/A,#N/A,FALSE,"ANEXO3 99 UBÁ6"}</definedName>
    <definedName name="GAIN_SALE_ASSETS" hidden="1">"GAIN_SALE_ASSETS"</definedName>
    <definedName name="georges" localSheetId="20" hidden="1">{#N/A,#N/A,FALSE,"Tabl. FB300";#N/A,#N/A,FALSE,"Tabl. FB350";#N/A,#N/A,FALSE,"Tabl. FB400";#N/A,#N/A,FALSE,"Tabl. FB500";#N/A,#N/A,FALSE,"Tabl. FS090"}</definedName>
    <definedName name="georges" hidden="1">{#N/A,#N/A,FALSE,"Tabl. FB300";#N/A,#N/A,FALSE,"Tabl. FB350";#N/A,#N/A,FALSE,"Tabl. FB400";#N/A,#N/A,FALSE,"Tabl. FB500";#N/A,#N/A,FALSE,"Tabl. FS090"}</definedName>
    <definedName name="ger" localSheetId="20" hidden="1">{#N/A,#N/A,FALSE,"CONTROLE"}</definedName>
    <definedName name="ger" hidden="1">{#N/A,#N/A,FALSE,"CONTROLE"}</definedName>
    <definedName name="Geração">_Config!$K$5:$K$8</definedName>
    <definedName name="GeraçãoAmpliação">_Config!$J$16</definedName>
    <definedName name="GeraçãoMelhoriaPequenoPorte">_Config!$P$16:$P$19</definedName>
    <definedName name="GeraçãoModernização">_Config!$T$16:$T$18</definedName>
    <definedName name="GeraçãoSegurançadeBarragem">_Config!$S$16</definedName>
    <definedName name="gerencial" localSheetId="20" hidden="1">{#N/A,#N/A,FALSE,"CONTROLE"}</definedName>
    <definedName name="gerencial" hidden="1">{#N/A,#N/A,FALSE,"CONTROLE"}</definedName>
    <definedName name="gfhkkmh" localSheetId="20" hidden="1">{#N/A,#N/A,FALSE,"RIEP"}</definedName>
    <definedName name="gfhkkmh" hidden="1">{#N/A,#N/A,FALSE,"RIEP"}</definedName>
    <definedName name="gg" localSheetId="20" hidden="1">{"TotalGeralDespesasPorArea",#N/A,FALSE,"VinculosAccessEfetivo"}</definedName>
    <definedName name="gg" hidden="1">{"TotalGeralDespesasPorArea",#N/A,FALSE,"VinculosAccessEfetivo"}</definedName>
    <definedName name="GGG" localSheetId="20" hidden="1">{#N/A,#N/A,FALSE,"CONTROLE"}</definedName>
    <definedName name="GGG" hidden="1">{#N/A,#N/A,FALSE,"CONTROLE"}</definedName>
    <definedName name="GGGG" localSheetId="20" hidden="1">{"SPM1",#N/A,FALSE,"RIEP"}</definedName>
    <definedName name="GGGG" hidden="1">{"SPM1",#N/A,FALSE,"RIEP"}</definedName>
    <definedName name="ggggggggggg" localSheetId="20" hidden="1">{"QQQ",#N/A,FALSE,"RIEP"}</definedName>
    <definedName name="ggggggggggg" hidden="1">{"QQQ",#N/A,FALSE,"RIEP"}</definedName>
    <definedName name="ghi" localSheetId="20" hidden="1">{#N/A,#N/A,FALSE,"Tabl. FB300";#N/A,#N/A,FALSE,"Tabl. FB350";#N/A,#N/A,FALSE,"Tabl. FB400";#N/A,#N/A,FALSE,"Tabl. FB500";#N/A,#N/A,FALSE,"Tabl. FS090"}</definedName>
    <definedName name="ghi" hidden="1">{#N/A,#N/A,FALSE,"Tabl. FB300";#N/A,#N/A,FALSE,"Tabl. FB350";#N/A,#N/A,FALSE,"Tabl. FB400";#N/A,#N/A,FALSE,"Tabl. FB500";#N/A,#N/A,FALSE,"Tabl. FS090"}</definedName>
    <definedName name="GOODWILL_NET" hidden="1">"GOODWILL_NET"</definedName>
    <definedName name="graph" localSheetId="20" hidden="1">{"monthly",#N/A,FALSE,"GASODEM";"qtr to yr",#N/A,FALSE,"GASODEM"}</definedName>
    <definedName name="graph" hidden="1">{"monthly",#N/A,FALSE,"GASODEM";"qtr to yr",#N/A,FALSE,"GASODEM"}</definedName>
    <definedName name="graph1" hidden="1">#REF!</definedName>
    <definedName name="grgreg" localSheetId="20" hidden="1">{#N/A,#N/A,FALSE,"Tabl. G1";#N/A,#N/A,FALSE,"Tabl. G2"}</definedName>
    <definedName name="grgreg" hidden="1">{#N/A,#N/A,FALSE,"Tabl. G1";#N/A,#N/A,FALSE,"Tabl. G2"}</definedName>
    <definedName name="GROSS_DIVID" hidden="1">"GROSS_DIVID"</definedName>
    <definedName name="GROSS_MARGIN" hidden="1">"GROSS_MARGIN"</definedName>
    <definedName name="GROSS_PROFIT" hidden="1">"GROSS_PROFIT"</definedName>
    <definedName name="Guaraniana" hidden="1">#REF!</definedName>
    <definedName name="GUILLAU" localSheetId="20" hidden="1">{#N/A,#N/A,FALSE,"Tabl. D1";#N/A,#N/A,FALSE,"Tabl. D1 b";#N/A,#N/A,FALSE,"Tabl. D2";#N/A,#N/A,FALSE,"Tabl. D2 b";#N/A,#N/A,FALSE,"Tabl. D3";#N/A,#N/A,FALSE,"Tabl. D4";#N/A,#N/A,FALSE,"Tabl. D5"}</definedName>
    <definedName name="GUILLAU" hidden="1">{#N/A,#N/A,FALSE,"Tabl. D1";#N/A,#N/A,FALSE,"Tabl. D1 b";#N/A,#N/A,FALSE,"Tabl. D2";#N/A,#N/A,FALSE,"Tabl. D2 b";#N/A,#N/A,FALSE,"Tabl. D3";#N/A,#N/A,FALSE,"Tabl. D4";#N/A,#N/A,FALSE,"Tabl. D5"}</definedName>
    <definedName name="gzdfs" localSheetId="20" hidden="1">{"'pg(12)'!$B$1:$N$16"}</definedName>
    <definedName name="gzdfs" hidden="1">{"'pg(12)'!$B$1:$N$16"}</definedName>
    <definedName name="h" localSheetId="20" hidden="1">{#N/A,#N/A,FALSE,"ANEXO3 99 ERA";#N/A,#N/A,FALSE,"ANEXO3 99 UBÁ2";#N/A,#N/A,FALSE,"ANEXO3 99 DTU";#N/A,#N/A,FALSE,"ANEXO3 99 RDR";#N/A,#N/A,FALSE,"ANEXO3 99 UBÁ4";#N/A,#N/A,FALSE,"ANEXO3 99 UBÁ6"}</definedName>
    <definedName name="h" hidden="1">{#N/A,#N/A,FALSE,"ANEXO3 99 ERA";#N/A,#N/A,FALSE,"ANEXO3 99 UBÁ2";#N/A,#N/A,FALSE,"ANEXO3 99 DTU";#N/A,#N/A,FALSE,"ANEXO3 99 RDR";#N/A,#N/A,FALSE,"ANEXO3 99 UBÁ4";#N/A,#N/A,FALSE,"ANEXO3 99 UBÁ6"}</definedName>
    <definedName name="hbhajx" localSheetId="20" hidden="1">{"SPM1",#N/A,FALSE,"RIEP"}</definedName>
    <definedName name="hbhajx" hidden="1">{"SPM1",#N/A,FALSE,"RIEP"}</definedName>
    <definedName name="hdethteh" localSheetId="20" hidden="1">{#N/A,#N/A,FALSE,"ANEXO3 99 ERA";#N/A,#N/A,FALSE,"ANEXO3 99 UBÁ2";#N/A,#N/A,FALSE,"ANEXO3 99 DTU";#N/A,#N/A,FALSE,"ANEXO3 99 RDR";#N/A,#N/A,FALSE,"ANEXO3 99 UBÁ4";#N/A,#N/A,FALSE,"ANEXO3 99 UBÁ6"}</definedName>
    <definedName name="hdethteh" hidden="1">{#N/A,#N/A,FALSE,"ANEXO3 99 ERA";#N/A,#N/A,FALSE,"ANEXO3 99 UBÁ2";#N/A,#N/A,FALSE,"ANEXO3 99 DTU";#N/A,#N/A,FALSE,"ANEXO3 99 RDR";#N/A,#N/A,FALSE,"ANEXO3 99 UBÁ4";#N/A,#N/A,FALSE,"ANEXO3 99 UBÁ6"}</definedName>
    <definedName name="hdhddshds" localSheetId="20" hidden="1">{#N/A,#N/A,FALSE,"ANEXO3 99 ERA";#N/A,#N/A,FALSE,"ANEXO3 99 UBÁ2";#N/A,#N/A,FALSE,"ANEXO3 99 DTU";#N/A,#N/A,FALSE,"ANEXO3 99 RDR";#N/A,#N/A,FALSE,"ANEXO3 99 UBÁ4";#N/A,#N/A,FALSE,"ANEXO3 99 UBÁ6"}</definedName>
    <definedName name="hdhddshds" hidden="1">{#N/A,#N/A,FALSE,"ANEXO3 99 ERA";#N/A,#N/A,FALSE,"ANEXO3 99 UBÁ2";#N/A,#N/A,FALSE,"ANEXO3 99 DTU";#N/A,#N/A,FALSE,"ANEXO3 99 RDR";#N/A,#N/A,FALSE,"ANEXO3 99 UBÁ4";#N/A,#N/A,FALSE,"ANEXO3 99 UBÁ6"}</definedName>
    <definedName name="hehehewhewhtew" localSheetId="20" hidden="1">{#N/A,#N/A,FALSE,"ANEXO3 99 ERA";#N/A,#N/A,FALSE,"ANEXO3 99 UBÁ2";#N/A,#N/A,FALSE,"ANEXO3 99 DTU";#N/A,#N/A,FALSE,"ANEXO3 99 RDR";#N/A,#N/A,FALSE,"ANEXO3 99 UBÁ4";#N/A,#N/A,FALSE,"ANEXO3 99 UBÁ6"}</definedName>
    <definedName name="hehehewhewhtew" hidden="1">{#N/A,#N/A,FALSE,"ANEXO3 99 ERA";#N/A,#N/A,FALSE,"ANEXO3 99 UBÁ2";#N/A,#N/A,FALSE,"ANEXO3 99 DTU";#N/A,#N/A,FALSE,"ANEXO3 99 RDR";#N/A,#N/A,FALSE,"ANEXO3 99 UBÁ4";#N/A,#N/A,FALSE,"ANEXO3 99 UBÁ6"}</definedName>
    <definedName name="HEKIE?." localSheetId="20" hidden="1">{#N/A,#N/A,FALSE,"Tabl. FB300";#N/A,#N/A,FALSE,"Tabl. FB350";#N/A,#N/A,FALSE,"Tabl. FB400";#N/A,#N/A,FALSE,"Tabl. FB500";#N/A,#N/A,FALSE,"Tabl. FS090"}</definedName>
    <definedName name="HEKIE?." hidden="1">{#N/A,#N/A,FALSE,"Tabl. FB300";#N/A,#N/A,FALSE,"Tabl. FB350";#N/A,#N/A,FALSE,"Tabl. FB400";#N/A,#N/A,FALSE,"Tabl. FB500";#N/A,#N/A,FALSE,"Tabl. FS090"}</definedName>
    <definedName name="hfderfPOURE" localSheetId="20" hidden="1">{#N/A,#N/A,FALSE,"RIEP"}</definedName>
    <definedName name="hfderfPOURE" hidden="1">{#N/A,#N/A,FALSE,"RIEP"}</definedName>
    <definedName name="hhh" localSheetId="20" hidden="1">{"CECons",#N/A,FALSE,"CE"}</definedName>
    <definedName name="hhh" hidden="1">{"CECons",#N/A,FALSE,"CE"}</definedName>
    <definedName name="HHHH" localSheetId="20" hidden="1">{"TotalGeralDespesasPorArea",#N/A,FALSE,"VinculosAccessEfetivo"}</definedName>
    <definedName name="HHHH" hidden="1">{"TotalGeralDespesasPorArea",#N/A,FALSE,"VinculosAccessEfetivo"}</definedName>
    <definedName name="hhhhh" localSheetId="20" hidden="1">{#N/A,#N/A,FALSE,"CONTROLE"}</definedName>
    <definedName name="hhhhh" hidden="1">{#N/A,#N/A,FALSE,"CONTROLE"}</definedName>
    <definedName name="hhhhhhh" localSheetId="20" hidden="1">{"SPM1",#N/A,FALSE,"RIEP"}</definedName>
    <definedName name="hhhhhhh" hidden="1">{"SPM1",#N/A,FALSE,"RIEP"}</definedName>
    <definedName name="hhhhhhhh" localSheetId="20" hidden="1">{#N/A,#N/A,FALSE,"CONTROLE"}</definedName>
    <definedName name="hhhhhhhh" hidden="1">{#N/A,#N/A,FALSE,"CONTROLE"}</definedName>
    <definedName name="hhhhhhhhh" localSheetId="20" hidden="1">{#N/A,#N/A,FALSE,"CONTROLE"}</definedName>
    <definedName name="hhhhhhhhh" hidden="1">{#N/A,#N/A,FALSE,"CONTROLE"}</definedName>
    <definedName name="HIGHPRICE" hidden="1">"HIGHPRICE"</definedName>
    <definedName name="hjk"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hjk"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ht" localSheetId="20" hidden="1">{"'DEC ou FEC'!$A$1:$O$132"}</definedName>
    <definedName name="ht" hidden="1">{"'DEC ou FEC'!$A$1:$O$132"}</definedName>
    <definedName name="HTML_CodePage" hidden="1">1252</definedName>
    <definedName name="HTML_Control" localSheetId="20" hidden="1">{"'Sheet1'!$A$1:$H$145"}</definedName>
    <definedName name="HTML_Control" hidden="1">{"'Sheet1'!$A$1:$H$145"}</definedName>
    <definedName name="HTML_Control2" localSheetId="20" hidden="1">{"'DEC ou FEC'!$A$1:$O$132"}</definedName>
    <definedName name="HTML_Control2" hidden="1">{"'DEC ou FEC'!$A$1:$O$132"}</definedName>
    <definedName name="HTML_Control3" localSheetId="20" hidden="1">{"'DEC ou FEC'!$A$1:$O$132"}</definedName>
    <definedName name="HTML_Control3" hidden="1">{"'DEC ou FEC'!$A$1:$O$132"}</definedName>
    <definedName name="HTML_Control4" localSheetId="20" hidden="1">{"'DEC ou FEC'!$A$1:$O$132"}</definedName>
    <definedName name="HTML_Control4" hidden="1">{"'DEC ou FEC'!$A$1:$O$132"}</definedName>
    <definedName name="HTML_Control5" localSheetId="20" hidden="1">{"'DEC ou FEC'!$A$1:$O$132"}</definedName>
    <definedName name="HTML_Control5" hidden="1">{"'DEC ou FEC'!$A$1:$O$132"}</definedName>
    <definedName name="HTML_Control6" localSheetId="20" hidden="1">{"'DEC ou FEC'!$A$1:$O$132"}</definedName>
    <definedName name="HTML_Control6" hidden="1">{"'DEC ou FEC'!$A$1:$O$132"}</definedName>
    <definedName name="HTML_Control7" localSheetId="20" hidden="1">{"'DEC ou FEC'!$A$1:$O$132"}</definedName>
    <definedName name="HTML_Control7" hidden="1">{"'DEC ou FEC'!$A$1:$O$132"}</definedName>
    <definedName name="HTML_Control8" localSheetId="20" hidden="1">{"'DEC ou FEC'!$A$1:$O$132"}</definedName>
    <definedName name="HTML_Control8" hidden="1">{"'DEC ou FEC'!$A$1:$O$132"}</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"D:\FrontPage Webs\Content\isa98\CND\capitulo4\Tabla4.4.98.htm"</definedName>
    <definedName name="HTML_PathFileMac" hidden="1">"Macintosh HD:HomePageStuff:New_Home_Page:datafile:ctryprem.html"</definedName>
    <definedName name="HTML_Title" hidden="1">"Tabla4.4.98"</definedName>
    <definedName name="HTML1_1" hidden="1">"[APU97.XLS]INTRA!$A$1:$B$93"</definedName>
    <definedName name="HTML1_10" hidden="1">""</definedName>
    <definedName name="HTML1_11" hidden="1">1</definedName>
    <definedName name="HTML1_12" hidden="1">"\\NT_ECON\InetPub\wwwroot\Fiscal\Impostos\CSIRADI.htm"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3_1" hidden="1">"[APU97.XLS]INTRA!$A$2:$B$92"</definedName>
    <definedName name="HTML3_10" hidden="1">""</definedName>
    <definedName name="HTML3_11" hidden="1">1</definedName>
    <definedName name="HTML3_12" hidden="1">"C:\Meus Documentos\IR1997\csiradi.htm"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"21/08/97"</definedName>
    <definedName name="HTML3_9" hidden="1">""</definedName>
    <definedName name="HTML4_1" hidden="1">"[APU97.XLS]INTRA!$A$1:$B$91"</definedName>
    <definedName name="HTML4_10" hidden="1">""</definedName>
    <definedName name="HTML4_11" hidden="1">1</definedName>
    <definedName name="HTML4_12" hidden="1">"\\NT_ECON\InetPub\wwwroot\Fiscal\Impostos\CSIRADI.htm"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"08/08/97"</definedName>
    <definedName name="HTML4_9" hidden="1">""</definedName>
    <definedName name="HTML5_1" hidden="1">"[APU97.XLS]INTRA!$D$2:$E$92"</definedName>
    <definedName name="HTML5_10" hidden="1">""</definedName>
    <definedName name="HTML5_11" hidden="1">1</definedName>
    <definedName name="HTML5_12" hidden="1">"C:\Meus Documentos\IR1997\csirinfo.htm"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"21/08/97"</definedName>
    <definedName name="HTML5_9" hidden="1">""</definedName>
    <definedName name="HTML6_1" hidden="1">"[APU97.XLS]INTRA!$G$2:$H$92"</definedName>
    <definedName name="HTML6_10" hidden="1">""</definedName>
    <definedName name="HTML6_11" hidden="1">1</definedName>
    <definedName name="HTML6_12" hidden="1">"C:\Meus Documentos\IR1997\csiritph.htm"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"21/08/97"</definedName>
    <definedName name="HTML6_9" hidden="1">""</definedName>
    <definedName name="HTML7_1" hidden="1">"[APU97.XLS]INTRA!$J$2:$K$92"</definedName>
    <definedName name="HTML7_10" hidden="1">""</definedName>
    <definedName name="HTML7_11" hidden="1">1</definedName>
    <definedName name="HTML7_12" hidden="1">"C:\Meus Documentos\IR1997\csircom.htm"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"21/08/97"</definedName>
    <definedName name="HTML7_9" hidden="1">""</definedName>
    <definedName name="HTML8_1" hidden="1">"[APU97.XLS]INTRA!$M$2:$N$92"</definedName>
    <definedName name="HTML8_10" hidden="1">""</definedName>
    <definedName name="HTML8_11" hidden="1">1</definedName>
    <definedName name="HTML8_12" hidden="1">"C:\Meus Documentos\IR1997\csiripp.htm"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"21/08/97"</definedName>
    <definedName name="HTML8_9" hidden="1">""</definedName>
    <definedName name="HTMLCount" hidden="1">2</definedName>
    <definedName name="ICE" hidden="1">#REF!</definedName>
    <definedName name="ihb" localSheetId="20" hidden="1">{#N/A,#N/A,FALSE,"Tabl. D1";#N/A,#N/A,FALSE,"Tabl. D1 b";#N/A,#N/A,FALSE,"Tabl. D2";#N/A,#N/A,FALSE,"Tabl. D2 b";#N/A,#N/A,FALSE,"Tabl. D3";#N/A,#N/A,FALSE,"Tabl. D4";#N/A,#N/A,FALSE,"Tabl. D5"}</definedName>
    <definedName name="ihb" hidden="1">{#N/A,#N/A,FALSE,"Tabl. D1";#N/A,#N/A,FALSE,"Tabl. D1 b";#N/A,#N/A,FALSE,"Tabl. D2";#N/A,#N/A,FALSE,"Tabl. D2 b";#N/A,#N/A,FALSE,"Tabl. D3";#N/A,#N/A,FALSE,"Tabl. D4";#N/A,#N/A,FALSE,"Tabl. D5"}</definedName>
    <definedName name="II" localSheetId="20" hidden="1">{"TotalGeralDespesasPorArea",#N/A,FALSE,"VinculosAccessEfetivo"}</definedName>
    <definedName name="II" hidden="1">{"TotalGeralDespesasPorArea",#N/A,FALSE,"VinculosAccessEfetivo"}</definedName>
    <definedName name="iiiii" localSheetId="20" hidden="1">{#N/A,#N/A,FALSE,"Calc";#N/A,#N/A,FALSE,"Sensitivity";#N/A,#N/A,FALSE,"LT Earn.Dil.";#N/A,#N/A,FALSE,"Dil. AVP"}</definedName>
    <definedName name="iiiii" hidden="1">{#N/A,#N/A,FALSE,"Calc";#N/A,#N/A,FALSE,"Sensitivity";#N/A,#N/A,FALSE,"LT Earn.Dil.";#N/A,#N/A,FALSE,"Dil. AVP"}</definedName>
    <definedName name="iLUMINAÇÃO" localSheetId="20" hidden="1">{#N/A,#N/A,FALSE,"ANEXO3 99 ERA";#N/A,#N/A,FALSE,"ANEXO3 99 UBÁ2";#N/A,#N/A,FALSE,"ANEXO3 99 DTU";#N/A,#N/A,FALSE,"ANEXO3 99 RDR";#N/A,#N/A,FALSE,"ANEXO3 99 UBÁ4";#N/A,#N/A,FALSE,"ANEXO3 99 UBÁ6"}</definedName>
    <definedName name="iLUMINAÇÃO" hidden="1">{#N/A,#N/A,FALSE,"ANEXO3 99 ERA";#N/A,#N/A,FALSE,"ANEXO3 99 UBÁ2";#N/A,#N/A,FALSE,"ANEXO3 99 DTU";#N/A,#N/A,FALSE,"ANEXO3 99 RDR";#N/A,#N/A,FALSE,"ANEXO3 99 UBÁ4";#N/A,#N/A,FALSE,"ANEXO3 99 UBÁ6"}</definedName>
    <definedName name="im" localSheetId="20" hidden="1">{#N/A,#N/A,FALSE,"ENERGIA";#N/A,#N/A,FALSE,"PERDIDAS";#N/A,#N/A,FALSE,"CLIENTES";#N/A,#N/A,FALSE,"ESTADO";#N/A,#N/A,FALSE,"TECNICA"}</definedName>
    <definedName name="im" hidden="1">{#N/A,#N/A,FALSE,"ENERGIA";#N/A,#N/A,FALSE,"PERDIDAS";#N/A,#N/A,FALSE,"CLIENTES";#N/A,#N/A,FALSE,"ESTADO";#N/A,#N/A,FALSE,"TECNICA"}</definedName>
    <definedName name="im_1" localSheetId="20" hidden="1">{#N/A,#N/A,FALSE,"ENERGIA";#N/A,#N/A,FALSE,"PERDIDAS";#N/A,#N/A,FALSE,"CLIENTES";#N/A,#N/A,FALSE,"ESTADO";#N/A,#N/A,FALSE,"TECNICA"}</definedName>
    <definedName name="im_1" hidden="1">{#N/A,#N/A,FALSE,"ENERGIA";#N/A,#N/A,FALSE,"PERDIDAS";#N/A,#N/A,FALSE,"CLIENTES";#N/A,#N/A,FALSE,"ESTADO";#N/A,#N/A,FALSE,"TECNICA"}</definedName>
    <definedName name="ime" localSheetId="20" hidden="1">{#N/A,#N/A,FALSE,"LLAVE";#N/A,#N/A,FALSE,"EERR";#N/A,#N/A,FALSE,"ESP";#N/A,#N/A,FALSE,"EOAF";#N/A,#N/A,FALSE,"CASH";#N/A,#N/A,FALSE,"FINANZAS";#N/A,#N/A,FALSE,"DEUDA";#N/A,#N/A,FALSE,"INVERSION";#N/A,#N/A,FALSE,"PERSONAL"}</definedName>
    <definedName name="ime" hidden="1">{#N/A,#N/A,FALSE,"LLAVE";#N/A,#N/A,FALSE,"EERR";#N/A,#N/A,FALSE,"ESP";#N/A,#N/A,FALSE,"EOAF";#N/A,#N/A,FALSE,"CASH";#N/A,#N/A,FALSE,"FINANZAS";#N/A,#N/A,FALSE,"DEUDA";#N/A,#N/A,FALSE,"INVERSION";#N/A,#N/A,FALSE,"PERSONAL"}</definedName>
    <definedName name="ime_1" localSheetId="20" hidden="1">{#N/A,#N/A,FALSE,"LLAVE";#N/A,#N/A,FALSE,"EERR";#N/A,#N/A,FALSE,"ESP";#N/A,#N/A,FALSE,"EOAF";#N/A,#N/A,FALSE,"CASH";#N/A,#N/A,FALSE,"FINANZAS";#N/A,#N/A,FALSE,"DEUDA";#N/A,#N/A,FALSE,"INVERSION";#N/A,#N/A,FALSE,"PERSONAL"}</definedName>
    <definedName name="ime_1" hidden="1">{#N/A,#N/A,FALSE,"LLAVE";#N/A,#N/A,FALSE,"EERR";#N/A,#N/A,FALSE,"ESP";#N/A,#N/A,FALSE,"EOAF";#N/A,#N/A,FALSE,"CASH";#N/A,#N/A,FALSE,"FINANZAS";#N/A,#N/A,FALSE,"DEUDA";#N/A,#N/A,FALSE,"INVERSION";#N/A,#N/A,FALSE,"PERSONAL"}</definedName>
    <definedName name="Inad" hidden="1">49</definedName>
    <definedName name="INC_AFTER_TAX" hidden="1">"INC_AFTER_TAX"</definedName>
    <definedName name="INC_AVAIL_EXCL" hidden="1">"INC_AVAIL_EXCL"</definedName>
    <definedName name="INC_AVAIL_INCL" hidden="1">"INC_AVAIL_INCL"</definedName>
    <definedName name="INC_BEFORE_TAX" hidden="1">"INC_BEFORE_TAX"</definedName>
    <definedName name="INC_TAX" hidden="1">"INC_TAX"</definedName>
    <definedName name="INC_TAX_EXCL" hidden="1">"INC_TAX_EXCL"</definedName>
    <definedName name="Incentive" hidden="1">#REF!</definedName>
    <definedName name="Infraestrutura">_Config!$L$5:$L$7</definedName>
    <definedName name="Infraestrutura_ajustada_26012025">#REF!</definedName>
    <definedName name="InfraestruturaBensImóveis">_Config!$W$16:$W$17</definedName>
    <definedName name="InfraestruturaBensMóveis">_Config!$V$16:$V$19</definedName>
    <definedName name="InfraestruturaTecnologiadaInformação">_Config!$X$16:$X$19</definedName>
    <definedName name="inputs" localSheetId="20" hidden="1">{"Inputs 1","Base",FALSE,"INPUTS";"Inputs 2","Base",FALSE,"INPUTS";"Inputs 3","Base",FALSE,"INPUTS";"Inputs 4","Base",FALSE,"INPUTS";"Inputs 5","Base",FALSE,"INPUTS"}</definedName>
    <definedName name="inputs" hidden="1">{"Inputs 1","Base",FALSE,"INPUTS";"Inputs 2","Base",FALSE,"INPUTS";"Inputs 3","Base",FALSE,"INPUTS";"Inputs 4","Base",FALSE,"INPUTS";"Inputs 5","Base",FALSE,"INPUTS"}</definedName>
    <definedName name="INTANGIBLES_NET" hidden="1">"INTANGIBLES_NET"</definedName>
    <definedName name="INTEREST_EXP_NET" hidden="1">"INTEREST_EXP_NET"</definedName>
    <definedName name="INTEREST_EXP_NON" hidden="1">"INTEREST_EXP_NON"</definedName>
    <definedName name="INTEREST_EXP_SUPPL" hidden="1">"INTEREST_EXP_SUPPL"</definedName>
    <definedName name="INTEREST_INC" hidden="1">"INTEREST_INC"</definedName>
    <definedName name="INTEREST_INC_10K" hidden="1">"INTEREST_INC_10K"</definedName>
    <definedName name="INTEREST_INC_10Q" hidden="1">"INTEREST_INC_10Q"</definedName>
    <definedName name="INTEREST_INC_10Q1" hidden="1">"INTEREST_INC_10Q1"</definedName>
    <definedName name="INTEREST_INC_NON" hidden="1">"INTEREST_INC_NON"</definedName>
    <definedName name="INVENTORY_TURNS" hidden="1">"INVENTORY_TURNS"</definedName>
    <definedName name="io" localSheetId="20" hidden="1">{"CECons",#N/A,FALSE,"CE"}</definedName>
    <definedName name="io" hidden="1">{"CECons",#N/A,FALSE,"CE"}</definedName>
    <definedName name="IQ_ABS_PERIOD_EST" hidden="1">"c16122"</definedName>
    <definedName name="IQ_ACCOUNT_CHANGE" hidden="1">"c1449"</definedName>
    <definedName name="IQ_ACCOUNT_CODE_INTEREST_PENALTIES" hidden="1">"c15741"</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SITION_COST_SUB" hidden="1">"c15807"</definedName>
    <definedName name="IQ_ACQUISITION_RE_ASSETS" hidden="1">"c1628"</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FO_DILUTED" hidden="1">"c16188"</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UDITOR_NAME" hidden="1">"c1539"</definedName>
    <definedName name="IQ_AUDITOR_OPINION" hidden="1">"c1540"</definedName>
    <definedName name="IQ_AUTO_LOANS_TOTAL_LOANS" hidden="1">"c15713"</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NK_DEBT" hidden="1">"c2544"</definedName>
    <definedName name="IQ_BANK_DEBT_PCT" hidden="1">"c2545"</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LT_INCENTIVE" hidden="1">"c18991"</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ROK_COMMISSION" hidden="1">"c3514"</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PCT_REV" hidden="1">"c19144"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UNDER_MANAGE" hidden="1">"c18929"</definedName>
    <definedName name="IQ_CAPITAL_UNDER_MANAGE_CURRENCY" hidden="1">"c19171"</definedName>
    <definedName name="IQ_CAPITAL_UNDER_MANAGE_DATE" hidden="1">"c18930"</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PER_SUB" hidden="1">"c15763"</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TASTROPHIC_LOSS_RATIO" hidden="1">"c15881"</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MBINED_RATIO" hidden="1">"c176"</definedName>
    <definedName name="IQ_COMM_INDUSTRIAL_LL_REC_FFIEC" hidden="1">"c18880"</definedName>
    <definedName name="IQ_COMMERCIAL_DOM" hidden="1">"c177"</definedName>
    <definedName name="IQ_COMMERCIAL_FIRE_WRITTEN" hidden="1">"c178"</definedName>
    <definedName name="IQ_COMMERCIAL_INVEST_CABLE_INVEST" hidden="1">"c15806"</definedName>
    <definedName name="IQ_COMMERCIAL_LOANS_TOTAL_LOANS" hidden="1">"c15709"</definedName>
    <definedName name="IQ_COMMERCIAL_MORT" hidden="1">"c179"</definedName>
    <definedName name="IQ_COMMERCIAL_RE_LOANS_TOTAL_LOANS" hidden="1">"c15710"</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ITUENTS" hidden="1">"c19169"</definedName>
    <definedName name="IQ_CONSTRUCTION_LOANS" hidden="1">"c222"</definedName>
    <definedName name="IQ_CONSTRUCTION_LOANS_TOTAL_LOANS" hidden="1">"c15711"</definedName>
    <definedName name="IQ_CONSUMER_LOANS" hidden="1">"c223"</definedName>
    <definedName name="IQ_CONSUMER_LOANS_TOTAL_LOANS" hidden="1">"c15712"</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FUNDS" hidden="1">"c15726"</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OVERED_WIRELESS_POPS" hidden="1">"c2124"</definedName>
    <definedName name="IQ_CP" hidden="1">"c2495"</definedName>
    <definedName name="IQ_CP_PCT" hidden="1">"c2496"</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_TAXES" hidden="1">"c19141"</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T_PREMISE_EQUIP_CABLE_INVEST" hidden="1">"c15801"</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EVELOPMENT_EXPENSE" hidden="1">"c16040"</definedName>
    <definedName name="IQ_DEVELOPMENT_REVENUE" hidden="1">"c16024"</definedName>
    <definedName name="IQ_DIFF_LASTCLOSE_TARGET_PRICE" hidden="1">"c1854"</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TR_EXCESS_EARN" hidden="1">"c329"</definedName>
    <definedName name="IQ_DISTRIBUTABLE_CASH" hidden="1">"c3002"</definedName>
    <definedName name="IQ_DISTRIBUTABLE_CASH_PAYOUT" hidden="1">"c3005"</definedName>
    <definedName name="IQ_DISTRIBUTABLE_CASH_PER_SHARE_DILUTED" hidden="1">"c16191"</definedName>
    <definedName name="IQ_DISTRIBUTABLE_CASH_SHARE" hidden="1">"c3003"</definedName>
    <definedName name="IQ_DISTRIBUTABLE_CASH_SHARES_BASIC" hidden="1">"c16189"</definedName>
    <definedName name="IQ_DISTRIBUTABLE_CASH_SHARES_DILUTED" hidden="1">"c16190"</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INT_BEAR_LIABILITIES" hidden="1">"c15703"</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NT_OPS_HOMEBUILDING_SALES" hidden="1">"c15817"</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ROWTH_1" hidden="1">"IQ_EBIT_GROWTH_1"</definedName>
    <definedName name="IQ_EBIT_GROWTH_2" hidden="1">"IQ_EBIT_GROWTH_2"</definedName>
    <definedName name="IQ_EBIT_HIGH_EST" hidden="1">"c1683"</definedName>
    <definedName name="IQ_EBIT_HOMEBUILDING_SALES" hidden="1">"c15815"</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 hidden="1">"c19143"</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HOMEBUILDING_SALES" hidden="1">"c15814"</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HOMEBUILDING_SALES" hidden="1">"c15816"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_OTHER" hidden="1">"c15613"</definedName>
    <definedName name="IQ_ECS_AUTHORIZED_SHARES_OTHER_ABS" hidden="1">"c15630"</definedName>
    <definedName name="IQ_ECS_CONVERT_FACTOR_OTHER" hidden="1">"c15611"</definedName>
    <definedName name="IQ_ECS_CONVERT_FACTOR_OTHER_ABS" hidden="1">"c15628"</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_OTHER" hidden="1">"c15609"</definedName>
    <definedName name="IQ_ECS_CONVERT_TYPE_OTHER_ABS" hidden="1">"c15626"</definedName>
    <definedName name="IQ_ECS_INACTIVE_DATE_OTHER" hidden="1">"c15606"</definedName>
    <definedName name="IQ_ECS_INACTIVE_DATE_OTHER_ABS" hidden="1">"c15623"</definedName>
    <definedName name="IQ_ECS_NAME_OTHER" hidden="1">"c15599"</definedName>
    <definedName name="IQ_ECS_NAME_OTHER_ABS" hidden="1">"c15616"</definedName>
    <definedName name="IQ_ECS_NUM_SHAREHOLDERS_OTHER" hidden="1">"c15615"</definedName>
    <definedName name="IQ_ECS_NUM_SHAREHOLDERS_OTHER_ABS" hidden="1">"c15632"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_OTHER" hidden="1">"c15600"</definedName>
    <definedName name="IQ_ECS_SHARES_OUT_BS_DATE_OTHER_ABS" hidden="1">"c15617"</definedName>
    <definedName name="IQ_ECS_SHARES_OUT_FILING_DATE_OTHER" hidden="1">"c15601"</definedName>
    <definedName name="IQ_ECS_SHARES_OUT_FILING_DATE_OTHER_ABS" hidden="1">"c15618"</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_OTHER" hidden="1">"c15604"</definedName>
    <definedName name="IQ_ECS_TYPE_OTHER_ABS" hidden="1">"c15621"</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ICIENCY_RATIO" hidden="1">"c391"</definedName>
    <definedName name="IQ_EMPLOYEES" hidden="1">"c392"</definedName>
    <definedName name="IQ_EMPLOYEES_UNDER_UNION_CONTRACTS" hidden="1">"c16109"</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"IQ_EPS_EST_1"</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EMAIL" hidden="1">"c19162"</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REIMBURSEMENTS" hidden="1">"c16020"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AIR_VALUE_DEBT" hidden="1">"c16007"</definedName>
    <definedName name="IQ_FAIR_VALUE_FIN_INSTRUMENTS_NAV" hidden="1">"c16002"</definedName>
    <definedName name="IQ_FAIR_VALUE_FIN_INSTRUMENTS_NNAV" hidden="1">"c16006"</definedName>
    <definedName name="IQ_FAIR_VALUE_TRADING_PROP" hidden="1">"c16001"</definedName>
    <definedName name="IQ_FDIC" hidden="1">"c417"</definedName>
    <definedName name="IQ_FEDFUNDS_PURCHASED_RELATED" hidden="1">"c19132"</definedName>
    <definedName name="IQ_FEDFUNDS_SOLD" hidden="1">"c2256"</definedName>
    <definedName name="IQ_FEDFUNDS_SOLD_RELATED" hidden="1">"c19130"</definedName>
    <definedName name="IQ_FFO" hidden="1">"c1574"</definedName>
    <definedName name="IQ_FFO_ACT_OR_EST" hidden="1">"c2216"</definedName>
    <definedName name="IQ_FFO_DILUTED" hidden="1">"c16186"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HARES_BASIC" hidden="1">"c16185"</definedName>
    <definedName name="IQ_FFO_SHARES_DILUTED" hidden="1">"c16187"</definedName>
    <definedName name="IQ_FFO_STDDEV_EST" hidden="1">"c422"</definedName>
    <definedName name="IQ_FFO_TOTAL_REVENUE" hidden="1">"c16060"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OREIGN_BRANCHES_U.S._BANKS_LOANS_FDIC" hidden="1">"c6438"</definedName>
    <definedName name="IQ_FOREIGN_DEP_IB" hidden="1">"c446"</definedName>
    <definedName name="IQ_FOREIGN_DEP_NON_IB" hidden="1">"c447"</definedName>
    <definedName name="IQ_FOREIGN_DEPOSITS_TOTAL_DEPOSITS" hidden="1">"c15719"</definedName>
    <definedName name="IQ_FOREIGN_EXCHANGE" hidden="1">"c1376"</definedName>
    <definedName name="IQ_FOREIGN_LOANS" hidden="1">"c448"</definedName>
    <definedName name="IQ_FOREIGN_LOANS_TOTAL_LOANS" hidden="1">"c15714"</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ND_PRIMARY_ADVISOR" hidden="1">"c19091"</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LOSSES" hidden="1">"c15871"</definedName>
    <definedName name="IQ_GROSS_MARGIN" hidden="1">"c529"</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ONFERENCE_SPACE" hidden="1">"c15971"</definedName>
    <definedName name="IQ_HG_EXP_DIRECT_CASINO_GAMING" hidden="1">"c15994"</definedName>
    <definedName name="IQ_HG_EXP_OTHER_DIRECT_HOTEL_MOTEL" hidden="1">"c15995"</definedName>
    <definedName name="IQ_HG_FOOD_BEV_EXP_DIRECT_OPERATING_EXP" hidden="1">"c15980"</definedName>
    <definedName name="IQ_HG_FOOD_BEV_REV_TOTAL_REV" hidden="1">"c15983"</definedName>
    <definedName name="IQ_HG_NUMBER_SUITES" hidden="1">"c15970"</definedName>
    <definedName name="IQ_HG_NUMBER_TABLES_AVG" hidden="1">"c15973"</definedName>
    <definedName name="IQ_HG_PROMO_ALLOW_GROSS_OPERATING_REV" hidden="1">"c15979"</definedName>
    <definedName name="IQ_HG_REV_GROSS_OPERATING" hidden="1">"c15993"</definedName>
    <definedName name="IQ_HG_REV_OTHER_CASINO" hidden="1">"c15992"</definedName>
    <definedName name="IQ_HG_REV_SLOT_MACHINE" hidden="1">"c15990"</definedName>
    <definedName name="IQ_HG_REV_TABLE" hidden="1">"c15991"</definedName>
    <definedName name="IQ_HG_ROOM_EXP_DIRECT_OPERATING_EXP" hidden="1">"c15982"</definedName>
    <definedName name="IQ_HG_ROOM_GROSS_PROFIT" hidden="1">"c15975"</definedName>
    <definedName name="IQ_HG_ROOM_MARGIN" hidden="1">"c15978"</definedName>
    <definedName name="IQ_HG_ROOM_REV_TOTAL_REV" hidden="1">"c15984"</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TABLES_JV" hidden="1">"c8643"</definedName>
    <definedName name="IQ_HG_TABLES_MANAGED" hidden="1">"c8644"</definedName>
    <definedName name="IQ_HG_TABLES_OWNED" hidden="1">"c8642"</definedName>
    <definedName name="IQ_HG_TABLES_TOTAL" hidden="1">"c8645"</definedName>
    <definedName name="IQ_HIGH_SULFUR_CONTENT_RESERVES_COAL" hidden="1">"c15928"</definedName>
    <definedName name="IQ_HIGH_SULFURE_RESERVES_TO_TOTAL_RESERVES_COAL" hidden="1">"c15963"</definedName>
    <definedName name="IQ_HIGH_TARGET_PRICE" hidden="1">"c1651"</definedName>
    <definedName name="IQ_HIGHPRICE" hidden="1">"c545"</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ME_CANCELLATION_RATE" hidden="1">"c16192"</definedName>
    <definedName name="IQ_HOME_CANCELLATION_RATE_INCL_JV" hidden="1">"c16194"</definedName>
    <definedName name="IQ_HOME_CANCELLATION_RATE_JV" hidden="1">"c16193"</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CT_UNRECOG_TAX_BENEFIT_EFFECTIVE_TAX" hidden="1">"c15748"</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BONUS" hidden="1">"c19036"</definedName>
    <definedName name="IQ_INDIVIDUAL_CALCULATED_COMP" hidden="1">"c19043"</definedName>
    <definedName name="IQ_INDIVIDUAL_CHANGE_PENSION" hidden="1">"c19058"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LT_INCENTIVE" hidden="1">"c19039"</definedName>
    <definedName name="IQ_INDIVIDUAL_MARKET_VALUE_SHARES_NOT_VESTED" hidden="1">"c19077"</definedName>
    <definedName name="IQ_INDIVIDUAL_NON_EQUITY_INCENTIVE" hidden="1">"c19048"</definedName>
    <definedName name="IQ_INDIVIDUAL_NUM_SHARED_NOT_VESTED" hidden="1">"c19076"</definedName>
    <definedName name="IQ_INDIVIDUAL_NUM_SHARES_ACQUIRED" hidden="1">"c19074"</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RESTRICTED_STOCK_COMP" hidden="1">"c19038"</definedName>
    <definedName name="IQ_INDIVIDUAL_SALARY" hidden="1">"c19035"</definedName>
    <definedName name="IQ_INDIVIDUAL_ST_COMP" hidden="1">"c19042"</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USTRY" hidden="1">"c3601"</definedName>
    <definedName name="IQ_INDUSTRY_GROUP" hidden="1">"c3602"</definedName>
    <definedName name="IQ_INDUSTRY_SECTOR" hidden="1">"c3603"</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CIQID" hidden="1">"c19101"</definedName>
    <definedName name="IQ_INSIDER_DERIVATIVES" hidden="1">"c19102"</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EXPENSE_AVG_ASSET" hidden="1">"c15705"</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COME_AVG_ASSET" hidden="1">"c15704"</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BANK_RATIO" hidden="1">"c19134"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SE_EXPENSE" hidden="1">"c16039"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CENSED_WIRELESS_POPS" hidden="1">"c2123"</definedName>
    <definedName name="IQ_LIFE_EARNED" hidden="1">"c2739"</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ETING_PROMOTION_EXPENSE" hidden="1">"c16035"</definedName>
    <definedName name="IQ_MATERIALS_SUPPLES_INVENTORY_COAL" hidden="1">"c15942"</definedName>
    <definedName name="IQ_MATURITY_DATE" hidden="1">"c2146"</definedName>
    <definedName name="IQ_MC_COMMERCIAL_ASO_FEES" hidden="1">"c15862"</definedName>
    <definedName name="IQ_MC_COMMERCIAL_NON_RISK_MEMBERS" hidden="1">"c15835"</definedName>
    <definedName name="IQ_MC_COMMERCIAL_PREMIUMS" hidden="1">"c15852"</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PO_POS_MEMBERS" hidden="1">"c15823"</definedName>
    <definedName name="IQ_MC_PPO_POS_PREMIUMS" hidden="1">"c15849"</definedName>
    <definedName name="IQ_MC_PREMIUMS" hidden="1">"c15861"</definedName>
    <definedName name="IQ_MC_RATIO" hidden="1">"c2783"</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LES_PASSED" hidden="1">"c2848"</definedName>
    <definedName name="IQ_MIN_USE_PER_SUB" hidden="1">"c15764"</definedName>
    <definedName name="IQ_MINE_DEVELOPMENT_GROSS_COAL" hidden="1">"c15940"</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EY_MKT_DEPOSITS_TOTAL_DEPOSITS" hidden="1">"c15720"</definedName>
    <definedName name="IQ_MONEY_MKT_SAVINGS_ACCT_DEPOSITS_TOTAL_DEPOSITS" hidden="1">"c15722"</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MTM_ADJ" hidden="1">"c16000"</definedName>
    <definedName name="IQ_MUTUAL_FUND_LIST" hidden="1">"c19092"</definedName>
    <definedName name="IQ_NAMES_REVISION_DATE_" hidden="1">"05/18/2022 23:01:48"</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RE" hidden="1">"c15996"</definedName>
    <definedName name="IQ_NAV_SHARE_RE" hidden="1">"c16011"</definedName>
    <definedName name="IQ_NAV_STDDEV_EST" hidden="1">"c1756"</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CHANGE" hidden="1">"c749"</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HOMEBUILDING_SALES" hidden="1">"c15818"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LOSSES" hidden="1">"c15873"</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INS_EXP" hidden="1">"c798"</definedName>
    <definedName name="IQ_NON_INS_REV" hidden="1">"c799"</definedName>
    <definedName name="IQ_NON_INT_BEAR_CD" hidden="1">"c800"</definedName>
    <definedName name="IQ_NON_INT_EXP" hidden="1">"c801"</definedName>
    <definedName name="IQ_NON_INT_EXP_AVG_ASSETS_FFIEC" hidden="1">"c18878"</definedName>
    <definedName name="IQ_NON_INT_EXPENSE_AVG_ASSET" hidden="1">"c15708"</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OME_AVG_ASSET" hidden="1">"c15707"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RE_DA" hidden="1">"c16179"</definedName>
    <definedName name="IQ_NON_RENTAL_NOI" hidden="1">"c16066"</definedName>
    <definedName name="IQ_NON_RENTAL_OPERATING_EXPENSE" hidden="1">"c16046"</definedName>
    <definedName name="IQ_NONCASH_PENSION_EXP" hidden="1">"c3000"</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CELL_SITES" hidden="1">"c15762"</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NUMBER_WIRELESS_TOWERS" hidden="1">"c15766"</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MENT_PRODUCTIVE_WELLS_DRILLED_GAS" hidden="1">"c15907"</definedName>
    <definedName name="IQ_OG_GROSS_DEVELOPMENT_PRODUCTIVE_WELLS_DRILLED_OIL" hidden="1">"c15906"</definedName>
    <definedName name="IQ_OG_GROSS_EXPLORATORY_PRODUCTIVE_WELLS_DRILLED_GAS" hidden="1">"c15905"</definedName>
    <definedName name="IQ_OG_GROSS_EXPLORATORY_PRODUCTIVE_WELLS_DRILLED_OIL" hidden="1">"c15904"</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MENT_PRODUCTIVE_WELLS_DRILLED_GAS" hidden="1">"c15911"</definedName>
    <definedName name="IQ_OG_NET_DEVELOPMENT_PRODUCTIVE_WELLS_DRILLED_OIL" hidden="1">"c15910"</definedName>
    <definedName name="IQ_OG_NET_EXPLORATORY_PRODUCTIVE_WELLS_DRILLED_GAS" hidden="1">"c15909"</definedName>
    <definedName name="IQ_OG_NET_EXPLORATORY_PRODUCTIVE_WELLS_DRILLED_OIL" hidden="1">"c15908"</definedName>
    <definedName name="IQ_OG_NET_FUTURE_CASH_FLOWS" hidden="1">"c1996"</definedName>
    <definedName name="IQ_OG_NET_FUTURE_CASH_FLOWS_GAS" hidden="1">"c2016"</definedName>
    <definedName name="IQ_OG_NET_FUTURE_CASH_FLOWS_OIL" hidden="1">"c2006"</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FFO" hidden="1">"c16180"</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S_TOTAL_DEPOSITS" hidden="1">"c15724"</definedName>
    <definedName name="IQ_OTHER_DEVELOPMENT_EXPENSE" hidden="1">"c16041"</definedName>
    <definedName name="IQ_OTHER_DEVELOPMENT_REVENUE" hidden="1">"c16025"</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ANS_TOTAL_LOANS" hidden="1">"c15716"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_OPERATING_EXPENSE" hidden="1">"c16043"</definedName>
    <definedName name="IQ_OTHER_PROP_OPERATING_REVENUE" hidden="1">"c16027"</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D_RESERVES_COAL" hidden="1">"c15916"</definedName>
    <definedName name="IQ_OWNED_RESERVES_TO_TOTAL_RESERVES_COAL" hidden="1">"c15957"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AGE_RENT" hidden="1">"c16018"</definedName>
    <definedName name="IQ_PERCENTAGE_RENT_RENTAL_REVENUE" hidden="1">"c16063"</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DATE" hidden="1">"c1069"</definedName>
    <definedName name="IQ_PRICEDATETIME" hidden="1">"IQ_PRICEDATETIME"</definedName>
    <definedName name="IQ_PRICING_DATE" hidden="1">"c1613"</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O_FORMA_BASIC_EPS" hidden="1">"c1614"</definedName>
    <definedName name="IQ_PRO_FORMA_DILUT_EPS" hidden="1">"c1615"</definedName>
    <definedName name="IQ_PRO_FORMA_NET_INC" hidden="1">"c1452"</definedName>
    <definedName name="IQ_PROBABLE_RESERVES_TO_TOTAL_RESERVES_COAL" hidden="1">"c15953"</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BONUS" hidden="1">"c18940"</definedName>
    <definedName name="IQ_PROFESSIONAL_CALCULATED_COMP" hidden="1">"c18947"</definedName>
    <definedName name="IQ_PROFESSIONAL_CHANGE_PENSION" hidden="1">"c18962"</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LT_INCENTIVE" hidden="1">"c18943"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N_RESERVES_TO_TOTAL_RESERVES_COAL" hidden="1">"c15952"</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AVG_LOANS" hidden="1">"c15717"</definedName>
    <definedName name="IQ_PROVISION_CHARGE_OFFS" hidden="1">"c1083"</definedName>
    <definedName name="IQ_PROVISION_LOAN_LOSS_AVG_ASSETS_FFIEC" hidden="1">"c18879"</definedName>
    <definedName name="IQ_PSGR_REV" hidden="1">"c19125"</definedName>
    <definedName name="IQ_PTBV" hidden="1">"c1084"</definedName>
    <definedName name="IQ_PTBV_AVG" hidden="1">"c1085"</definedName>
    <definedName name="IQ_PURCHASED_COAL" hidden="1">"c15934"</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ECIATION" hidden="1">"c16045"</definedName>
    <definedName name="IQ_RE_RENTAL_EXPENSE" hidden="1">"c16036"</definedName>
    <definedName name="IQ_REAL_ESTATE" hidden="1">"c1093"</definedName>
    <definedName name="IQ_REAL_ESTATE_ASSETS" hidden="1">"c1094"</definedName>
    <definedName name="IQ_RECENT_FUNDS" hidden="1">"c18908"</definedName>
    <definedName name="IQ_RECENT_FUNDS_ID" hidden="1">"c18909"</definedName>
    <definedName name="IQ_REDEEM_PREF_STOCK" hidden="1">"c1417"</definedName>
    <definedName name="IQ_REDUCTION_TAX_POSITION_CURRENT_YR" hidden="1">"c15734"</definedName>
    <definedName name="IQ_REDUCTION_TAX_POSITION_PRIOR_YRS" hidden="1">"c15736"</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_AVG_PROP" hidden="1">"c16056"</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NLINE_REVENUES" hidden="1">"c9904"</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REVENUES" hidden="1">"c9902"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L_WHOLESALE_REVENUES" hidden="1">"c15895"</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ALUATION_NON_TRADING_PROP" hidden="1">"c15999"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COMMERCIAL" hidden="1">"c2881"</definedName>
    <definedName name="IQ_REVENUE_DIGITAL_CABLE" hidden="1">"c2876"</definedName>
    <definedName name="IQ_REVENUE_EST" hidden="1">"c1126"</definedName>
    <definedName name="IQ_REVENUE_EST_1" hidden="1">"IQ_REVENUE_EST_1"</definedName>
    <definedName name="IQ_REVENUE_GROWTH_1" hidden="1">"IQ_REVENUE_GROWTH_1"</definedName>
    <definedName name="IQ_REVENUE_GROWTH_2" hidden="1">"IQ_REVENUE_GROWTH_2"</definedName>
    <definedName name="IQ_REVENUE_HIGH_EST" hidden="1">"c1127"</definedName>
    <definedName name="IQ_REVENUE_LOW_EST" hidden="1">"c1128"</definedName>
    <definedName name="IQ_REVENUE_MEDIAN_EST" hidden="1">"c1662"</definedName>
    <definedName name="IQ_REVENUE_NUM_EST" hidden="1">"c1129"</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39520.6920138889</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SALARIES_OTHER_BENEFITS" hidden="1">"c16176"</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CALABLE_INFRASTRUCTURE_CABLE_INVEST" hidden="1">"c15802"</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LD_COAL" hidden="1">"c15936"</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PECIALTIES" hidden="1">"c18932"</definedName>
    <definedName name="IQ_SPONSORS" hidden="1">"c18920"</definedName>
    <definedName name="IQ_SPONSORS_ID" hidden="1">"c18921"</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ORT_INFRASTRUCTURE_CABLE_INVEST" hidden="1">"c15805"</definedName>
    <definedName name="IQ_SURFACE_RESERVES_COAL" hidden="1">"c15920"</definedName>
    <definedName name="IQ_SURFACE_RESERVES_TO_TOTAL_RESERVES_COAL" hidden="1">"c15959"</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BV_SHARE_REPORTED" hidden="1">"c19140"</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IME_DEPOSITS_TOTAL_DEPOSITS" hidden="1">"c15723"</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NTAL_REVENUE" hidden="1">"c16022"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NOI" hidden="1">"c16067"</definedName>
    <definedName name="IQ_UNDERGROUND_RESERVES_COAL" hidden="1">"c15922"</definedName>
    <definedName name="IQ_UNDERGROUND_RESERVES_TO_TOTAL_RESERVES_COAL" hidden="1">"c15960"</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DEBT" hidden="1">"c2548"</definedName>
    <definedName name="IQ_UNSECURED_DEBT_PCT" hidden="1">"c2549"</definedName>
    <definedName name="IQ_UNUSUAL_EXP" hidden="1">"c1456"</definedName>
    <definedName name="IQ_UPGRADE_REBUILD_CABLE_INVEST" hidden="1">"c15804"</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TILITY_EXPENSE" hidden="1">"c16031"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IRELESS_PENETRATION" hidden="1">"c15767"</definedName>
    <definedName name="IQ_WORKING_CAP" hidden="1">"c3494"</definedName>
    <definedName name="IQ_WORKMEN_WRITTEN" hidden="1">"c1336"</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B5" hidden="1">"$B$6:$B$10"</definedName>
    <definedName name="IQRH37" hidden="1">"$H$38:$H$289"</definedName>
    <definedName name="IQRI37" hidden="1">"$I$38:$I$289"</definedName>
    <definedName name="ISS_DEBT_NET" hidden="1">"ISS_DEBT_NET"</definedName>
    <definedName name="ISS_STOCK_NET" hidden="1">"ISS_STOCK_NET"</definedName>
    <definedName name="iuyt" localSheetId="20" hidden="1">{#N/A,#N/A,FALSE,"Baltimore";#N/A,#N/A,FALSE,"Barrington";#N/A,#N/A,FALSE,"Butler";#N/A,#N/A,FALSE,"Cleveland";#N/A,#N/A,FALSE,"Closter";#N/A,#N/A,FALSE,"Eaton";#N/A,#N/A,FALSE,"Meriden";#N/A,#N/A,FALSE,"Mt. Vernon";#N/A,#N/A,FALSE,"Rochester";#N/A,#N/A,FALSE,"Three Rivers";#N/A,#N/A,FALSE,"Warren"}</definedName>
    <definedName name="iuyt" hidden="1">{#N/A,#N/A,FALSE,"Baltimore";#N/A,#N/A,FALSE,"Barrington";#N/A,#N/A,FALSE,"Butler";#N/A,#N/A,FALSE,"Cleveland";#N/A,#N/A,FALSE,"Closter";#N/A,#N/A,FALSE,"Eaton";#N/A,#N/A,FALSE,"Meriden";#N/A,#N/A,FALSE,"Mt. Vernon";#N/A,#N/A,FALSE,"Rochester";#N/A,#N/A,FALSE,"Three Rivers";#N/A,#N/A,FALSE,"Warren"}</definedName>
    <definedName name="j"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j"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JANV" localSheetId="20" hidden="1">{#N/A,#N/A,FALSE,"Tabl. H1";#N/A,#N/A,FALSE,"Tabl. H2"}</definedName>
    <definedName name="JANV" hidden="1">{#N/A,#N/A,FALSE,"Tabl. H1";#N/A,#N/A,FALSE,"Tabl. H2"}</definedName>
    <definedName name="jcjfjfjjf" localSheetId="20" hidden="1">{#N/A,#N/A,FALSE,"RIEP"}</definedName>
    <definedName name="jcjfjfjjf" hidden="1">{#N/A,#N/A,FALSE,"RIEP"}</definedName>
    <definedName name="jeudi" localSheetId="20" hidden="1">{#N/A,#N/A,FALSE,"Tabl. A1";#N/A,#N/A,FALSE,"Tabl. A1 b";#N/A,#N/A,FALSE,"Tabl. A2";#N/A,#N/A,FALSE,"Tabl. A2-1";#N/A,#N/A,FALSE,"Tabl. A2-2"}</definedName>
    <definedName name="jeudi" hidden="1">{#N/A,#N/A,FALSE,"Tabl. A1";#N/A,#N/A,FALSE,"Tabl. A1 b";#N/A,#N/A,FALSE,"Tabl. A2";#N/A,#N/A,FALSE,"Tabl. A2-1";#N/A,#N/A,FALSE,"Tabl. A2-2"}</definedName>
    <definedName name="JHGF" localSheetId="20" hidden="1">{#N/A,#N/A,FALSE,"Tabl. A1";#N/A,#N/A,FALSE,"Tabl. A1 b";#N/A,#N/A,FALSE,"Tabl. A2";#N/A,#N/A,FALSE,"Tabl. A2-1";#N/A,#N/A,FALSE,"Tabl. A2-2"}</definedName>
    <definedName name="JHGF" hidden="1">{#N/A,#N/A,FALSE,"Tabl. A1";#N/A,#N/A,FALSE,"Tabl. A1 b";#N/A,#N/A,FALSE,"Tabl. A2";#N/A,#N/A,FALSE,"Tabl. A2-1";#N/A,#N/A,FALSE,"Tabl. A2-2"}</definedName>
    <definedName name="JHGFDS" localSheetId="20" hidden="1">{#N/A,#N/A,FALSE,"Tabl. G1";#N/A,#N/A,FALSE,"Tabl. G2"}</definedName>
    <definedName name="JHGFDS" hidden="1">{#N/A,#N/A,FALSE,"Tabl. G1";#N/A,#N/A,FALSE,"Tabl. G2"}</definedName>
    <definedName name="jjfhfh" localSheetId="20" hidden="1">{"QQQ",#N/A,FALSE,"RIEP"}</definedName>
    <definedName name="jjfhfh" hidden="1">{"QQQ",#N/A,FALSE,"RIEP"}</definedName>
    <definedName name="jjj" localSheetId="20" hidden="1">{"SPM1",#N/A,FALSE,"RIEP"}</definedName>
    <definedName name="jjj" hidden="1">{"SPM1",#N/A,FALSE,"RIEP"}</definedName>
    <definedName name="jjjjj" localSheetId="20" hidden="1">{"SPM1",#N/A,FALSE,"RIEP"}</definedName>
    <definedName name="jjjjj" hidden="1">{"SPM1",#N/A,FALSE,"RIEP"}</definedName>
    <definedName name="jkl" localSheetId="20" hidden="1">{#N/A,#N/A,FALSE,"Tabl. G1";#N/A,#N/A,FALSE,"Tabl. G2"}</definedName>
    <definedName name="jkl" hidden="1">{#N/A,#N/A,FALSE,"Tabl. G1";#N/A,#N/A,FALSE,"Tabl. G2"}</definedName>
    <definedName name="JRN" localSheetId="20" hidden="1">{#N/A,#N/A,FALSE,"Tabl. FB300";#N/A,#N/A,FALSE,"Tabl. FB350";#N/A,#N/A,FALSE,"Tabl. FB400";#N/A,#N/A,FALSE,"Tabl. FB500";#N/A,#N/A,FALSE,"Tabl. FS090"}</definedName>
    <definedName name="JRN" hidden="1">{#N/A,#N/A,FALSE,"Tabl. FB300";#N/A,#N/A,FALSE,"Tabl. FB350";#N/A,#N/A,FALSE,"Tabl. FB400";#N/A,#N/A,FALSE,"Tabl. FB500";#N/A,#N/A,FALSE,"Tabl. FS090"}</definedName>
    <definedName name="k" localSheetId="20" hidden="1">{#N/A,#N/A,FALSE,"ANEXO3 99 ERA";#N/A,#N/A,FALSE,"ANEXO3 99 UBÁ2";#N/A,#N/A,FALSE,"ANEXO3 99 DTU";#N/A,#N/A,FALSE,"ANEXO3 99 RDR";#N/A,#N/A,FALSE,"ANEXO3 99 UBÁ4";#N/A,#N/A,FALSE,"ANEXO3 99 UBÁ6"}</definedName>
    <definedName name="k" hidden="1">{#N/A,#N/A,FALSE,"ANEXO3 99 ERA";#N/A,#N/A,FALSE,"ANEXO3 99 UBÁ2";#N/A,#N/A,FALSE,"ANEXO3 99 DTU";#N/A,#N/A,FALSE,"ANEXO3 99 RDR";#N/A,#N/A,FALSE,"ANEXO3 99 UBÁ4";#N/A,#N/A,FALSE,"ANEXO3 99 UBÁ6"}</definedName>
    <definedName name="K2_WBEVMODE" hidden="1">0</definedName>
    <definedName name="kfkfkfkfkkf" localSheetId="20" hidden="1">{#N/A,#N/A,FALSE,"RIEP"}</definedName>
    <definedName name="kfkfkfkfkkf" hidden="1">{#N/A,#N/A,FALSE,"RIEP"}</definedName>
    <definedName name="kico" localSheetId="20" hidden="1">{#N/A,#N/A,FALSE,"CONTROLE";#N/A,#N/A,FALSE,"CONTROLE"}</definedName>
    <definedName name="kico" hidden="1">{#N/A,#N/A,FALSE,"CONTROLE";#N/A,#N/A,FALSE,"CONTROLE"}</definedName>
    <definedName name="kiko" localSheetId="20" hidden="1">{#N/A,#N/A,FALSE,"CONTROLE";#N/A,#N/A,FALSE,"CONTROLE"}</definedName>
    <definedName name="kiko" hidden="1">{#N/A,#N/A,FALSE,"CONTROLE";#N/A,#N/A,FALSE,"CONTROLE"}</definedName>
    <definedName name="kjfsoyiupo6rhtgz" localSheetId="20" hidden="1">{#N/A,#N/A,FALSE,"RIEP"}</definedName>
    <definedName name="kjfsoyiupo6rhtgz" hidden="1">{#N/A,#N/A,FALSE,"RIEP"}</definedName>
    <definedName name="KJH" localSheetId="20" hidden="1">{#N/A,#N/A,FALSE,"Tabl. FB300";#N/A,#N/A,FALSE,"Tabl. FB350";#N/A,#N/A,FALSE,"Tabl. FB400";#N/A,#N/A,FALSE,"Tabl. FB500";#N/A,#N/A,FALSE,"Tabl. FS090"}</definedName>
    <definedName name="KJH" hidden="1">{#N/A,#N/A,FALSE,"Tabl. FB300";#N/A,#N/A,FALSE,"Tabl. FB350";#N/A,#N/A,FALSE,"Tabl. FB400";#N/A,#N/A,FALSE,"Tabl. FB500";#N/A,#N/A,FALSE,"Tabl. FS090"}</definedName>
    <definedName name="kjkdjndojdokd" localSheetId="20" hidden="1">{#N/A,#N/A,FALSE,"ANEXO3 99 ERA";#N/A,#N/A,FALSE,"ANEXO3 99 UBÁ2";#N/A,#N/A,FALSE,"ANEXO3 99 DTU";#N/A,#N/A,FALSE,"ANEXO3 99 RDR";#N/A,#N/A,FALSE,"ANEXO3 99 UBÁ4";#N/A,#N/A,FALSE,"ANEXO3 99 UBÁ6"}</definedName>
    <definedName name="kjkdjndojdokd" hidden="1">{#N/A,#N/A,FALSE,"ANEXO3 99 ERA";#N/A,#N/A,FALSE,"ANEXO3 99 UBÁ2";#N/A,#N/A,FALSE,"ANEXO3 99 DTU";#N/A,#N/A,FALSE,"ANEXO3 99 RDR";#N/A,#N/A,FALSE,"ANEXO3 99 UBÁ4";#N/A,#N/A,FALSE,"ANEXO3 99 UBÁ6"}</definedName>
    <definedName name="kkkk" localSheetId="20" hidden="1">{"'Hoja1'!$A$1:$N$27"}</definedName>
    <definedName name="kkkk" hidden="1">{"'Hoja1'!$A$1:$N$27"}</definedName>
    <definedName name="KLD" localSheetId="20" hidden="1">{#N/A,#N/A,FALSE,"Tabl. A1";#N/A,#N/A,FALSE,"Tabl. A1 b";#N/A,#N/A,FALSE,"Tabl. A2";#N/A,#N/A,FALSE,"Tabl. A2-1";#N/A,#N/A,FALSE,"Tabl. A2-2"}</definedName>
    <definedName name="KLD" hidden="1">{#N/A,#N/A,FALSE,"Tabl. A1";#N/A,#N/A,FALSE,"Tabl. A1 b";#N/A,#N/A,FALSE,"Tabl. A2";#N/A,#N/A,FALSE,"Tabl. A2-1";#N/A,#N/A,FALSE,"Tabl. A2-2"}</definedName>
    <definedName name="KLE" localSheetId="20" hidden="1">{#N/A,#N/A,FALSE,"Tabl. H1";#N/A,#N/A,FALSE,"Tabl. H2"}</definedName>
    <definedName name="KLE" hidden="1">{#N/A,#N/A,FALSE,"Tabl. H1";#N/A,#N/A,FALSE,"Tabl. H2"}</definedName>
    <definedName name="KM" localSheetId="20" hidden="1">{#N/A,#N/A,FALSE,"ANEXO3 99 ERA";#N/A,#N/A,FALSE,"ANEXO3 99 UBÁ2";#N/A,#N/A,FALSE,"ANEXO3 99 DTU";#N/A,#N/A,FALSE,"ANEXO3 99 RDR";#N/A,#N/A,FALSE,"ANEXO3 99 UBÁ4";#N/A,#N/A,FALSE,"ANEXO3 99 UBÁ6"}</definedName>
    <definedName name="KM" hidden="1">{#N/A,#N/A,FALSE,"ANEXO3 99 ERA";#N/A,#N/A,FALSE,"ANEXO3 99 UBÁ2";#N/A,#N/A,FALSE,"ANEXO3 99 DTU";#N/A,#N/A,FALSE,"ANEXO3 99 RDR";#N/A,#N/A,FALSE,"ANEXO3 99 UBÁ4";#N/A,#N/A,FALSE,"ANEXO3 99 UBÁ6"}</definedName>
    <definedName name="lan" hidden="1">#REF!</definedName>
    <definedName name="LAST_EBIT_MARGIN" hidden="1">"LAST_EBIT_MARGIN"</definedName>
    <definedName name="LAST_EBITDA_MARGIN" hidden="1">"LAST_EBITDA_MARGIN"</definedName>
    <definedName name="LAST_GROSS_MARGIN" hidden="1">"LAST_GROSS_MARGIN"</definedName>
    <definedName name="LAST_NET_INC_MARGIN" hidden="1">"LAST_NET_INC_MARGIN"</definedName>
    <definedName name="LASTSALEPRICE" hidden="1">"LASTSALEPRICE"</definedName>
    <definedName name="LATESTK" hidden="1">1000</definedName>
    <definedName name="LATESTKNONPRESS" hidden="1">50</definedName>
    <definedName name="LATESTQ" hidden="1">500</definedName>
    <definedName name="LATESTQNONPRESS" hidden="1">100</definedName>
    <definedName name="limcount" hidden="1">1</definedName>
    <definedName name="liolo" localSheetId="20" hidden="1">{#N/A,#N/A,FALSE,"Tabl. H1";#N/A,#N/A,FALSE,"Tabl. H2"}</definedName>
    <definedName name="liolo" hidden="1">{#N/A,#N/A,FALSE,"Tabl. H1";#N/A,#N/A,FALSE,"Tabl. H2"}</definedName>
    <definedName name="Livres" localSheetId="20" hidden="1">{#N/A,#N/A,FALSE,"CONTROLE"}</definedName>
    <definedName name="Livres" hidden="1">{#N/A,#N/A,FALSE,"CONTROLE"}</definedName>
    <definedName name="LKG" localSheetId="20" hidden="1">{#N/A,#N/A,FALSE,"Tabl. G1";#N/A,#N/A,FALSE,"Tabl. G2"}</definedName>
    <definedName name="LKG" hidden="1">{#N/A,#N/A,FALSE,"Tabl. G1";#N/A,#N/A,FALSE,"Tabl. G2"}</definedName>
    <definedName name="lkjh" localSheetId="20" hidden="1">{#N/A,#N/A,FALSE,"Baltimore";#N/A,#N/A,FALSE,"Barrington";#N/A,#N/A,FALSE,"Butler";#N/A,#N/A,FALSE,"Cleveland";#N/A,#N/A,FALSE,"Closter";#N/A,#N/A,FALSE,"Eaton";#N/A,#N/A,FALSE,"Meriden";#N/A,#N/A,FALSE,"Mt. Vernon";#N/A,#N/A,FALSE,"Rochester";#N/A,#N/A,FALSE,"Three Rivers";#N/A,#N/A,FALSE,"Warren"}</definedName>
    <definedName name="lkjh" hidden="1">{#N/A,#N/A,FALSE,"Baltimore";#N/A,#N/A,FALSE,"Barrington";#N/A,#N/A,FALSE,"Butler";#N/A,#N/A,FALSE,"Cleveland";#N/A,#N/A,FALSE,"Closter";#N/A,#N/A,FALSE,"Eaton";#N/A,#N/A,FALSE,"Meriden";#N/A,#N/A,FALSE,"Mt. Vernon";#N/A,#N/A,FALSE,"Rochester";#N/A,#N/A,FALSE,"Three Rivers";#N/A,#N/A,FALSE,"Warren"}</definedName>
    <definedName name="lkjhyiuoyiugjhg" localSheetId="20" hidden="1">{"'DEC ou FEC'!$A$1:$O$132"}</definedName>
    <definedName name="lkjhyiuoyiugjhg" hidden="1">{"'DEC ou FEC'!$A$1:$O$132"}</definedName>
    <definedName name="lklkl" localSheetId="20" hidden="1">{"consolidated",#N/A,FALSE,"Sheet1";"cms",#N/A,FALSE,"Sheet1";"fse",#N/A,FALSE,"Sheet1"}</definedName>
    <definedName name="lklkl" hidden="1">{"consolidated",#N/A,FALSE,"Sheet1";"cms",#N/A,FALSE,"Sheet1";"fse",#N/A,FALSE,"Sheet1"}</definedName>
    <definedName name="ll"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ll"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LLL" localSheetId="20" hidden="1">{"QQQ",#N/A,FALSE,"RIEP"}</definedName>
    <definedName name="LLL" hidden="1">{"QQQ",#N/A,FALSE,"RIEP"}</definedName>
    <definedName name="LLLL" localSheetId="20" hidden="1">{#N/A,#N/A,FALSE,"CONTROLE"}</definedName>
    <definedName name="LLLL" hidden="1">{#N/A,#N/A,FALSE,"CONTROLE"}</definedName>
    <definedName name="LOAN_LOSS" hidden="1">"LOAN_LOSS"</definedName>
    <definedName name="LONG_TERM_DEBT" hidden="1">"LONG_TERM_DEBT"</definedName>
    <definedName name="LONG_TERM_GROWTH" hidden="1">"LONG_TERM_GROWTH"</definedName>
    <definedName name="LONG_TERM_INV" hidden="1">"LONG_TERM_INV"</definedName>
    <definedName name="LOWPRICE" hidden="1">"LOWPRICE"</definedName>
    <definedName name="lowsulfurdiesel" localSheetId="20" hidden="1">{"PAGE1",#N/A,FALSE,"YIELDS";"PAGE2",#N/A,FALSE,"YIELDS";"PAGE3",#N/A,FALSE,"YIELDS"}</definedName>
    <definedName name="lowsulfurdiesel" hidden="1">{"PAGE1",#N/A,FALSE,"YIELDS";"PAGE2",#N/A,FALSE,"YIELDS";"PAGE3",#N/A,FALSE,"YIELDS"}</definedName>
    <definedName name="LTM_DATE" hidden="1">"LTM_DATE"</definedName>
    <definedName name="LTM_REVENUE_OVER_EMPLOYEES" hidden="1">"LTM_REVENUE_OVER_EMPLOYEES"</definedName>
    <definedName name="Luca" hidden="1">#REF!</definedName>
    <definedName name="lundi" localSheetId="20" hidden="1">{#N/A,#N/A,FALSE,"Tabl. G1";#N/A,#N/A,FALSE,"Tabl. G2"}</definedName>
    <definedName name="lundi" hidden="1">{#N/A,#N/A,FALSE,"Tabl. G1";#N/A,#N/A,FALSE,"Tabl. G2"}</definedName>
    <definedName name="m" localSheetId="2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m"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mar" hidden="1">#REF!</definedName>
    <definedName name="marc" hidden="1">#REF!</definedName>
    <definedName name="março" hidden="1">#REF!</definedName>
    <definedName name="mardi" localSheetId="20" hidden="1">{#N/A,#N/A,FALSE,"Tabl. H1";#N/A,#N/A,FALSE,"Tabl. H2"}</definedName>
    <definedName name="mardi" hidden="1">{#N/A,#N/A,FALSE,"Tabl. H1";#N/A,#N/A,FALSE,"Tabl. H2"}</definedName>
    <definedName name="MARKETCAP" hidden="1">"MARKETCAP"</definedName>
    <definedName name="Masefield" localSheetId="20" hidden="1">{#N/A,#N/A,FALSE,"DEA Report";#N/A,#N/A,FALSE,"Veba Report";#N/A,#N/A,FALSE,"Wintershall Report";#N/A,#N/A,FALSE,"Fina Report"}</definedName>
    <definedName name="Masefield" hidden="1">{#N/A,#N/A,FALSE,"DEA Report";#N/A,#N/A,FALSE,"Veba Report";#N/A,#N/A,FALSE,"Wintershall Report";#N/A,#N/A,FALSE,"Fina Report"}</definedName>
    <definedName name="Masefield_1" localSheetId="20" hidden="1">{#N/A,#N/A,FALSE,"DEA Report";#N/A,#N/A,FALSE,"Veba Report";#N/A,#N/A,FALSE,"Wintershall Report";#N/A,#N/A,FALSE,"Fina Report"}</definedName>
    <definedName name="Masefield_1" hidden="1">{#N/A,#N/A,FALSE,"DEA Report";#N/A,#N/A,FALSE,"Veba Report";#N/A,#N/A,FALSE,"Wintershall Report";#N/A,#N/A,FALSE,"Fina Report"}</definedName>
    <definedName name="MATERIEPRIME" localSheetId="20" hidden="1">{"BUTENE1_PR",#N/A,FALSE,"CONS.RAFF2"}</definedName>
    <definedName name="MATERIEPRIME" hidden="1">{"BUTENE1_PR",#N/A,FALSE,"CONS.RAFF2"}</definedName>
    <definedName name="men" localSheetId="20" hidden="1">{#N/A,#N/A,FALSE,"LLAVE";#N/A,#N/A,FALSE,"EERR";#N/A,#N/A,FALSE,"ESP";#N/A,#N/A,FALSE,"EOAF";#N/A,#N/A,FALSE,"CASH";#N/A,#N/A,FALSE,"FINANZAS";#N/A,#N/A,FALSE,"DEUDA";#N/A,#N/A,FALSE,"INVERSION";#N/A,#N/A,FALSE,"PERSONAL"}</definedName>
    <definedName name="men" hidden="1">{#N/A,#N/A,FALSE,"LLAVE";#N/A,#N/A,FALSE,"EERR";#N/A,#N/A,FALSE,"ESP";#N/A,#N/A,FALSE,"EOAF";#N/A,#N/A,FALSE,"CASH";#N/A,#N/A,FALSE,"FINANZAS";#N/A,#N/A,FALSE,"DEUDA";#N/A,#N/A,FALSE,"INVERSION";#N/A,#N/A,FALSE,"PERSONAL"}</definedName>
    <definedName name="men_1" localSheetId="20" hidden="1">{#N/A,#N/A,FALSE,"LLAVE";#N/A,#N/A,FALSE,"EERR";#N/A,#N/A,FALSE,"ESP";#N/A,#N/A,FALSE,"EOAF";#N/A,#N/A,FALSE,"CASH";#N/A,#N/A,FALSE,"FINANZAS";#N/A,#N/A,FALSE,"DEUDA";#N/A,#N/A,FALSE,"INVERSION";#N/A,#N/A,FALSE,"PERSONAL"}</definedName>
    <definedName name="men_1" hidden="1">{#N/A,#N/A,FALSE,"LLAVE";#N/A,#N/A,FALSE,"EERR";#N/A,#N/A,FALSE,"ESP";#N/A,#N/A,FALSE,"EOAF";#N/A,#N/A,FALSE,"CASH";#N/A,#N/A,FALSE,"FINANZAS";#N/A,#N/A,FALSE,"DEUDA";#N/A,#N/A,FALSE,"INVERSION";#N/A,#N/A,FALSE,"PERSONAL"}</definedName>
    <definedName name="MGMT1" hidden="1">#REF!</definedName>
    <definedName name="MICHELE" localSheetId="20" hidden="1">{#N/A,#N/A,FALSE,"Tabl. FB300";#N/A,#N/A,FALSE,"Tabl. FB350";#N/A,#N/A,FALSE,"Tabl. FB400";#N/A,#N/A,FALSE,"Tabl. FB500";#N/A,#N/A,FALSE,"Tabl. FS090"}</definedName>
    <definedName name="MICHELE" hidden="1">{#N/A,#N/A,FALSE,"Tabl. FB300";#N/A,#N/A,FALSE,"Tabl. FB350";#N/A,#N/A,FALSE,"Tabl. FB400";#N/A,#N/A,FALSE,"Tabl. FB500";#N/A,#N/A,FALSE,"Tabl. FS090"}</definedName>
    <definedName name="mina_new" localSheetId="20" hidden="1">{"'pg(12)'!$B$1:$N$16"}</definedName>
    <definedName name="mina_new" hidden="1">{"'pg(12)'!$B$1:$N$16"}</definedName>
    <definedName name="minnii" localSheetId="20" hidden="1">{"SPM1",#N/A,FALSE,"RIEP"}</definedName>
    <definedName name="minnii" hidden="1">{"SPM1",#N/A,FALSE,"RIEP"}</definedName>
    <definedName name="MINORITY_INTEREST" hidden="1">"MINORITY_INTEREST"</definedName>
    <definedName name="MISC_EARN_ADJ" hidden="1">"MISC_EARN_ADJ"</definedName>
    <definedName name="mita" localSheetId="20" hidden="1">{"situazione magazzino",#N/A,TRUE,"situazione magazzino";"giacenza",#N/A,TRUE,"giacenza";"mancante",#N/A,TRUE,"mancante";"dosaggi",#N/A,TRUE,"dosaggi"}</definedName>
    <definedName name="mita" hidden="1">{"situazione magazzino",#N/A,TRUE,"situazione magazzino";"giacenza",#N/A,TRUE,"giacenza";"mancante",#N/A,TRUE,"mancante";"dosaggi",#N/A,TRUE,"dosaggi"}</definedName>
    <definedName name="mizo" localSheetId="20" hidden="1">{"'pg(12)'!$B$1:$N$16"}</definedName>
    <definedName name="mizo" hidden="1">{"'pg(12)'!$B$1:$N$16"}</definedName>
    <definedName name="mizo_new" localSheetId="20" hidden="1">{"'pg(12)'!$B$1:$N$16"}</definedName>
    <definedName name="mizo_new" hidden="1">{"'pg(12)'!$B$1:$N$16"}</definedName>
    <definedName name="mizo_newa1" localSheetId="20" hidden="1">{"'pg(12)'!$B$1:$N$16"}</definedName>
    <definedName name="mizo_newa1" hidden="1">{"'pg(12)'!$B$1:$N$16"}</definedName>
    <definedName name="mizo2000" localSheetId="20" hidden="1">{"'pg(12)'!$B$1:$N$16"}</definedName>
    <definedName name="mizo2000" hidden="1">{"'pg(12)'!$B$1:$N$16"}</definedName>
    <definedName name="mizo2000_1" localSheetId="20" hidden="1">{"'pg(12)'!$B$1:$N$16"}</definedName>
    <definedName name="mizo2000_1" hidden="1">{"'pg(12)'!$B$1:$N$16"}</definedName>
    <definedName name="mizo2000_new" localSheetId="20" hidden="1">{"'pg(12)'!$B$1:$N$16"}</definedName>
    <definedName name="mizo2000_new" hidden="1">{"'pg(12)'!$B$1:$N$16"}</definedName>
    <definedName name="MLKJH" localSheetId="20" hidden="1">{#N/A,#N/A,FALSE,"Tabl. G1";#N/A,#N/A,FALSE,"Tabl. G2"}</definedName>
    <definedName name="MLKJH" hidden="1">{#N/A,#N/A,FALSE,"Tabl. G1";#N/A,#N/A,FALSE,"Tabl. G2"}</definedName>
    <definedName name="mm" localSheetId="20" hidden="1">{"'Hoja1'!$A$1:$N$27"}</definedName>
    <definedName name="mm" hidden="1">{"'Hoja1'!$A$1:$N$27"}</definedName>
    <definedName name="mmmm" localSheetId="20" hidden="1">{#N/A,#N/A,FALSE,"ANEXO3 99 ERA";#N/A,#N/A,FALSE,"ANEXO3 99 UBÁ2";#N/A,#N/A,FALSE,"ANEXO3 99 DTU";#N/A,#N/A,FALSE,"ANEXO3 99 RDR";#N/A,#N/A,FALSE,"ANEXO3 99 UBÁ4";#N/A,#N/A,FALSE,"ANEXO3 99 UBÁ6"}</definedName>
    <definedName name="mmmm" hidden="1">{#N/A,#N/A,FALSE,"ANEXO3 99 ERA";#N/A,#N/A,FALSE,"ANEXO3 99 UBÁ2";#N/A,#N/A,FALSE,"ANEXO3 99 DTU";#N/A,#N/A,FALSE,"ANEXO3 99 RDR";#N/A,#N/A,FALSE,"ANEXO3 99 UBÁ4";#N/A,#N/A,FALSE,"ANEXO3 99 UBÁ6"}</definedName>
    <definedName name="mmmmm" localSheetId="20" hidden="1">{#N/A,#N/A,FALSE,"SUMMARY";#N/A,#N/A,FALSE,"INPUTDATA";#N/A,#N/A,FALSE,"Condenser Performance"}</definedName>
    <definedName name="mmmmm" hidden="1">{#N/A,#N/A,FALSE,"SUMMARY";#N/A,#N/A,FALSE,"INPUTDATA";#N/A,#N/A,FALSE,"Condenser Performance"}</definedName>
    <definedName name="mmmmmm" localSheetId="20" hidden="1">{"'Hoja1'!$A$1:$N$27"}</definedName>
    <definedName name="mmmmmm" hidden="1">{"'Hoja1'!$A$1:$N$27"}</definedName>
    <definedName name="mmut" localSheetId="20" hidden="1">{#N/A,#N/A,FALSE,"Tabl. G1";#N/A,#N/A,FALSE,"Tabl. G2"}</definedName>
    <definedName name="mmut" hidden="1">{#N/A,#N/A,FALSE,"Tabl. G1";#N/A,#N/A,FALSE,"Tabl. G2"}</definedName>
    <definedName name="mnbv" localSheetId="20" hidden="1">{#N/A,#N/A,FALSE,"Baltimore";#N/A,#N/A,FALSE,"Barrington";#N/A,#N/A,FALSE,"Butler";#N/A,#N/A,FALSE,"Cleveland";#N/A,#N/A,FALSE,"Closter";#N/A,#N/A,FALSE,"Eaton";#N/A,#N/A,FALSE,"Meriden";#N/A,#N/A,FALSE,"Mt. Vernon";#N/A,#N/A,FALSE,"Rochester";#N/A,#N/A,FALSE,"Three Rivers";#N/A,#N/A,FALSE,"Warren"}</definedName>
    <definedName name="mnbv" hidden="1">{#N/A,#N/A,FALSE,"Baltimore";#N/A,#N/A,FALSE,"Barrington";#N/A,#N/A,FALSE,"Butler";#N/A,#N/A,FALSE,"Cleveland";#N/A,#N/A,FALSE,"Closter";#N/A,#N/A,FALSE,"Eaton";#N/A,#N/A,FALSE,"Meriden";#N/A,#N/A,FALSE,"Mt. Vernon";#N/A,#N/A,FALSE,"Rochester";#N/A,#N/A,FALSE,"Three Rivers";#N/A,#N/A,FALSE,"Warren"}</definedName>
    <definedName name="mno" localSheetId="20" hidden="1">{#N/A,#N/A,FALSE,"Tabl. H1";#N/A,#N/A,FALSE,"Tabl. H2"}</definedName>
    <definedName name="mno" hidden="1">{#N/A,#N/A,FALSE,"Tabl. H1";#N/A,#N/A,FALSE,"Tabl. H2"}</definedName>
    <definedName name="mqg" localSheetId="20" hidden="1">{#N/A,#N/A,FALSE,"Tabl. H1";#N/A,#N/A,FALSE,"Tabl. H2"}</definedName>
    <definedName name="mqg" hidden="1">{#N/A,#N/A,FALSE,"Tabl. H1";#N/A,#N/A,FALSE,"Tabl. H2"}</definedName>
    <definedName name="mso" localSheetId="20" hidden="1">{#N/A,#N/A,FALSE,"CONTROLE"}</definedName>
    <definedName name="mso" hidden="1">{#N/A,#N/A,FALSE,"CONTROLE"}</definedName>
    <definedName name="mtk" localSheetId="20" hidden="1">{#N/A,#N/A,FALSE,"Tabl. FB300";#N/A,#N/A,FALSE,"Tabl. FB350";#N/A,#N/A,FALSE,"Tabl. FB400";#N/A,#N/A,FALSE,"Tabl. FB500";#N/A,#N/A,FALSE,"Tabl. FS090"}</definedName>
    <definedName name="mtk" hidden="1">{#N/A,#N/A,FALSE,"Tabl. FB300";#N/A,#N/A,FALSE,"Tabl. FB350";#N/A,#N/A,FALSE,"Tabl. FB400";#N/A,#N/A,FALSE,"Tabl. FB500";#N/A,#N/A,FALSE,"Tabl. FS090"}</definedName>
    <definedName name="mtrk" localSheetId="20" hidden="1">{#N/A,#N/A,FALSE,"Tabl. FB300";#N/A,#N/A,FALSE,"Tabl. FB350";#N/A,#N/A,FALSE,"Tabl. FB400";#N/A,#N/A,FALSE,"Tabl. FB500";#N/A,#N/A,FALSE,"Tabl. FS090"}</definedName>
    <definedName name="mtrk" hidden="1">{#N/A,#N/A,FALSE,"Tabl. FB300";#N/A,#N/A,FALSE,"Tabl. FB350";#N/A,#N/A,FALSE,"Tabl. FB400";#N/A,#N/A,FALSE,"Tabl. FB500";#N/A,#N/A,FALSE,"Tabl. FS090"}</definedName>
    <definedName name="MUFFIGRAPH" hidden="1">#REF!</definedName>
    <definedName name="mzb" localSheetId="20" hidden="1">{#N/A,#N/A,FALSE,"Tabl. D1";#N/A,#N/A,FALSE,"Tabl. D1 b";#N/A,#N/A,FALSE,"Tabl. D2";#N/A,#N/A,FALSE,"Tabl. D2 b";#N/A,#N/A,FALSE,"Tabl. D3";#N/A,#N/A,FALSE,"Tabl. D4";#N/A,#N/A,FALSE,"Tabl. D5"}</definedName>
    <definedName name="mzb" hidden="1">{#N/A,#N/A,FALSE,"Tabl. D1";#N/A,#N/A,FALSE,"Tabl. D1 b";#N/A,#N/A,FALSE,"Tabl. D2";#N/A,#N/A,FALSE,"Tabl. D2 b";#N/A,#N/A,FALSE,"Tabl. D3";#N/A,#N/A,FALSE,"Tabl. D4";#N/A,#N/A,FALSE,"Tabl. D5"}</definedName>
    <definedName name="n" localSheetId="20" hidden="1">{#N/A,#N/A,FALSE,"DCF";#N/A,#N/A,FALSE,"WACC";#N/A,#N/A,FALSE,"Sales_EBIT";#N/A,#N/A,FALSE,"Capex_Depreciation";#N/A,#N/A,FALSE,"WC";#N/A,#N/A,FALSE,"Interest";#N/A,#N/A,FALSE,"Assumptions"}</definedName>
    <definedName name="n" hidden="1">{#N/A,#N/A,FALSE,"DCF";#N/A,#N/A,FALSE,"WACC";#N/A,#N/A,FALSE,"Sales_EBIT";#N/A,#N/A,FALSE,"Capex_Depreciation";#N/A,#N/A,FALSE,"WC";#N/A,#N/A,FALSE,"Interest";#N/A,#N/A,FALSE,"Assumptions"}</definedName>
    <definedName name="NADA" localSheetId="20" hidden="1">{"BUTENE1_PR",#N/A,FALSE,"CONS.RAFF2"}</definedName>
    <definedName name="NADA" hidden="1">{"BUTENE1_PR",#N/A,FALSE,"CONS.RAFF2"}</definedName>
    <definedName name="nanan" localSheetId="20" hidden="1">{"'Hoja1'!$A$1:$N$27"}</definedName>
    <definedName name="nanan" hidden="1">{"'Hoja1'!$A$1:$N$27"}</definedName>
    <definedName name="nao" localSheetId="20" hidden="1">{#N/A,#N/A,FALSE,"ANEXO3 99 ERA";#N/A,#N/A,FALSE,"ANEXO3 99 UBÁ2";#N/A,#N/A,FALSE,"ANEXO3 99 DTU";#N/A,#N/A,FALSE,"ANEXO3 99 RDR";#N/A,#N/A,FALSE,"ANEXO3 99 UBÁ4";#N/A,#N/A,FALSE,"ANEXO3 99 UBÁ6"}</definedName>
    <definedName name="nao" hidden="1">{#N/A,#N/A,FALSE,"ANEXO3 99 ERA";#N/A,#N/A,FALSE,"ANEXO3 99 UBÁ2";#N/A,#N/A,FALSE,"ANEXO3 99 DTU";#N/A,#N/A,FALSE,"ANEXO3 99 RDR";#N/A,#N/A,FALSE,"ANEXO3 99 UBÁ4";#N/A,#N/A,FALSE,"ANEXO3 99 UBÁ6"}</definedName>
    <definedName name="nb" localSheetId="20" hidden="1">{"TotalGeralDespesasPorArea",#N/A,FALSE,"VinculosAccessEfetivo"}</definedName>
    <definedName name="nb" hidden="1">{"TotalGeralDespesasPorArea",#N/A,FALSE,"VinculosAccessEfetivo"}</definedName>
    <definedName name="NET_CHANGE" hidden="1">"NET_CHANGE"</definedName>
    <definedName name="NET_DEBT" hidden="1">"NET_DEBT"</definedName>
    <definedName name="NET_INC" hidden="1">"NET_INC"</definedName>
    <definedName name="NET_INC_10K" hidden="1">"NET_INC_10K"</definedName>
    <definedName name="NET_INC_10Q" hidden="1">"NET_INC_10Q"</definedName>
    <definedName name="NET_INC_10Q1" hidden="1">"NET_INC_10Q1"</definedName>
    <definedName name="NET_INC_BEFORE" hidden="1">"NET_INC_BEFORE"</definedName>
    <definedName name="NET_INC_GROWTH_1" hidden="1">"NET_INC_GROWTH_1"</definedName>
    <definedName name="NET_INC_GROWTH_2" hidden="1">"NET_INC_GROWTH_2"</definedName>
    <definedName name="NET_INC_MARGIN" hidden="1">"NET_INC_MARGIN"</definedName>
    <definedName name="NET_INTEREST_INC" hidden="1">"NET_INTEREST_INC"</definedName>
    <definedName name="NET_INTEREST_INC_AFTER_LL" hidden="1">"NET_INTEREST_INC_AFTER_LL"</definedName>
    <definedName name="NET_LOANS" hidden="1">"NET_LOANS"</definedName>
    <definedName name="new" localSheetId="20" hidden="1">{"'pg(12)'!$B$1:$N$16"}</definedName>
    <definedName name="new" hidden="1">{"'pg(12)'!$B$1:$N$16"}</definedName>
    <definedName name="newa2" localSheetId="20" hidden="1">{"'pg(12)'!$B$1:$N$16"}</definedName>
    <definedName name="newa2" hidden="1">{"'pg(12)'!$B$1:$N$16"}</definedName>
    <definedName name="newname" localSheetId="20" hidden="1">{#N/A,#N/A,FALSE,"CAP 1998";#N/A,#N/A,FALSE,"CAP 1999";#N/A,#N/A,FALSE,"CAP 2000";#N/A,#N/A,FALSE,"CAP_2001";#N/A,#N/A,FALSE,"CAP_2002";#N/A,#N/A,FALSE,"MAINT_1998";#N/A,#N/A,FALSE,"MAINT_1999";#N/A,#N/A,FALSE,"MAINT_2000";#N/A,#N/A,FALSE,"MAINT_2001";#N/A,#N/A,FALSE,"MAINT_2002"}</definedName>
    <definedName name="newname" hidden="1">{#N/A,#N/A,FALSE,"CAP 1998";#N/A,#N/A,FALSE,"CAP 1999";#N/A,#N/A,FALSE,"CAP 2000";#N/A,#N/A,FALSE,"CAP_2001";#N/A,#N/A,FALSE,"CAP_2002";#N/A,#N/A,FALSE,"MAINT_1998";#N/A,#N/A,FALSE,"MAINT_1999";#N/A,#N/A,FALSE,"MAINT_2000";#N/A,#N/A,FALSE,"MAINT_2001";#N/A,#N/A,FALSE,"MAINT_2002"}</definedName>
    <definedName name="newnew" localSheetId="20" hidden="1">{"'pg(12)'!$B$1:$N$16"}</definedName>
    <definedName name="newnew" hidden="1">{"'pg(12)'!$B$1:$N$16"}</definedName>
    <definedName name="nit" localSheetId="20" hidden="1">{#N/A,#N/A,FALSE,"Tabl. D1";#N/A,#N/A,FALSE,"Tabl. D1 b";#N/A,#N/A,FALSE,"Tabl. D2";#N/A,#N/A,FALSE,"Tabl. D2 b";#N/A,#N/A,FALSE,"Tabl. D3";#N/A,#N/A,FALSE,"Tabl. D4";#N/A,#N/A,FALSE,"Tabl. D5"}</definedName>
    <definedName name="nit" hidden="1">{#N/A,#N/A,FALSE,"Tabl. D1";#N/A,#N/A,FALSE,"Tabl. D1 b";#N/A,#N/A,FALSE,"Tabl. D2";#N/A,#N/A,FALSE,"Tabl. D2 b";#N/A,#N/A,FALSE,"Tabl. D3";#N/A,#N/A,FALSE,"Tabl. D4";#N/A,#N/A,FALSE,"Tabl. D5"}</definedName>
    <definedName name="nitru" localSheetId="20" hidden="1">{#N/A,#N/A,FALSE,"Tabl. G1";#N/A,#N/A,FALSE,"Tabl. G2"}</definedName>
    <definedName name="nitru" hidden="1">{#N/A,#N/A,FALSE,"Tabl. G1";#N/A,#N/A,FALSE,"Tabl. G2"}</definedName>
    <definedName name="nnnn" localSheetId="20" hidden="1">{#N/A,#N/A,FALSE,"T COST";#N/A,#N/A,FALSE,"COST_FH"}</definedName>
    <definedName name="nnnn" hidden="1">{#N/A,#N/A,FALSE,"T COST";#N/A,#N/A,FALSE,"COST_FH"}</definedName>
    <definedName name="noidea" localSheetId="20" hidden="1">{#N/A,#N/A,FALSE,"Calc";#N/A,#N/A,FALSE,"Sensitivity";#N/A,#N/A,FALSE,"LT Earn.Dil.";#N/A,#N/A,FALSE,"Dil. AVP"}</definedName>
    <definedName name="noidea" hidden="1">{#N/A,#N/A,FALSE,"Calc";#N/A,#N/A,FALSE,"Sensitivity";#N/A,#N/A,FALSE,"LT Earn.Dil.";#N/A,#N/A,FALSE,"Dil. AVP"}</definedName>
    <definedName name="NON_CASH" hidden="1">"NON_CASH"</definedName>
    <definedName name="NON_INTEREST_EXP" hidden="1">"NON_INTEREST_EXP"</definedName>
    <definedName name="NON_INTEREST_INC" hidden="1">"NON_INTEREST_INC"</definedName>
    <definedName name="NORMAL_INC_AFTER" hidden="1">"NORMAL_INC_AFTER"</definedName>
    <definedName name="NORMAL_INC_AVAIL" hidden="1">"NORMAL_INC_AVAIL"</definedName>
    <definedName name="NORMAL_INC_BEFORE" hidden="1">"NORMAL_INC_BEFORE"</definedName>
    <definedName name="NOTES_PAY" hidden="1">"NOTES_PAY"</definedName>
    <definedName name="novo" localSheetId="20" hidden="1">{#N/A,#N/A,FALSE,"Aging Summary";#N/A,#N/A,FALSE,"Ratio Analysis";#N/A,#N/A,FALSE,"Test 120 Day Accts";#N/A,#N/A,FALSE,"Tickmarks"}</definedName>
    <definedName name="novo" hidden="1">{#N/A,#N/A,FALSE,"Aging Summary";#N/A,#N/A,FALSE,"Ratio Analysis";#N/A,#N/A,FALSE,"Test 120 Day Accts";#N/A,#N/A,FALSE,"Tickmarks"}</definedName>
    <definedName name="OCT" localSheetId="20" hidden="1">{#N/A,#N/A,FALSE,"Tabl. G1";#N/A,#N/A,FALSE,"Tabl. G2"}</definedName>
    <definedName name="OCT" hidden="1">{#N/A,#N/A,FALSE,"Tabl. G1";#N/A,#N/A,FALSE,"Tabl. G2"}</definedName>
    <definedName name="òflfgfppfpf" localSheetId="20" hidden="1">{"SPM1",#N/A,FALSE,"RIEP"}</definedName>
    <definedName name="òflfgfppfpf" hidden="1">{"SPM1",#N/A,FALSE,"RIEP"}</definedName>
    <definedName name="OIOIIUIUG" localSheetId="20" hidden="1">{"SPM1",#N/A,FALSE,"RIEP"}</definedName>
    <definedName name="OIOIIUIUG" hidden="1">{"SPM1",#N/A,FALSE,"RIEP"}</definedName>
    <definedName name="oiuy" localSheetId="20" hidden="1">{#N/A,#N/A,FALSE,"Baltimore";#N/A,#N/A,FALSE,"Barrington";#N/A,#N/A,FALSE,"Butler";#N/A,#N/A,FALSE,"Cleveland";#N/A,#N/A,FALSE,"Closter";#N/A,#N/A,FALSE,"Eaton";#N/A,#N/A,FALSE,"Meriden";#N/A,#N/A,FALSE,"Mt. Vernon";#N/A,#N/A,FALSE,"Rochester";#N/A,#N/A,FALSE,"Three Rivers";#N/A,#N/A,FALSE,"Warren"}</definedName>
    <definedName name="oiuy" hidden="1">{#N/A,#N/A,FALSE,"Baltimore";#N/A,#N/A,FALSE,"Barrington";#N/A,#N/A,FALSE,"Butler";#N/A,#N/A,FALSE,"Cleveland";#N/A,#N/A,FALSE,"Closter";#N/A,#N/A,FALSE,"Eaton";#N/A,#N/A,FALSE,"Meriden";#N/A,#N/A,FALSE,"Mt. Vernon";#N/A,#N/A,FALSE,"Rochester";#N/A,#N/A,FALSE,"Three Rivers";#N/A,#N/A,FALSE,"Warren"}</definedName>
    <definedName name="OO" localSheetId="20" hidden="1">{"TotalGeralDespesasPorArea",#N/A,FALSE,"VinculosAccessEfetivo"}</definedName>
    <definedName name="OO" hidden="1">{"TotalGeralDespesasPorArea",#N/A,FALSE,"VinculosAccessEfetivo"}</definedName>
    <definedName name="ooooo" localSheetId="20" hidden="1">{#N/A,#N/A,FALSE,"Calc";#N/A,#N/A,FALSE,"Sensitivity";#N/A,#N/A,FALSE,"LT Earn.Dil.";#N/A,#N/A,FALSE,"Dil. AVP"}</definedName>
    <definedName name="ooooo" hidden="1">{#N/A,#N/A,FALSE,"Calc";#N/A,#N/A,FALSE,"Sensitivity";#N/A,#N/A,FALSE,"LT Earn.Dil.";#N/A,#N/A,FALSE,"Dil. AVP"}</definedName>
    <definedName name="oooooo" localSheetId="20" hidden="1">{#N/A,#N/A,FALSE,"RIEP"}</definedName>
    <definedName name="oooooo" hidden="1">{#N/A,#N/A,FALSE,"RIEP"}</definedName>
    <definedName name="OPENPRICE" hidden="1">"OPENPRICE"</definedName>
    <definedName name="OPER_INC" hidden="1">"OPER_INC"</definedName>
    <definedName name="Operação" localSheetId="20" hidden="1">{#N/A,#N/A,FALSE,"ANEXO3 99 ERA";#N/A,#N/A,FALSE,"ANEXO3 99 UBÁ2";#N/A,#N/A,FALSE,"ANEXO3 99 DTU";#N/A,#N/A,FALSE,"ANEXO3 99 RDR";#N/A,#N/A,FALSE,"ANEXO3 99 UBÁ4";#N/A,#N/A,FALSE,"ANEXO3 99 UBÁ6"}</definedName>
    <definedName name="Operação" hidden="1">{#N/A,#N/A,FALSE,"ANEXO3 99 ERA";#N/A,#N/A,FALSE,"ANEXO3 99 UBÁ2";#N/A,#N/A,FALSE,"ANEXO3 99 DTU";#N/A,#N/A,FALSE,"ANEXO3 99 RDR";#N/A,#N/A,FALSE,"ANEXO3 99 UBÁ4";#N/A,#N/A,FALSE,"ANEXO3 99 UBÁ6"}</definedName>
    <definedName name="operção" localSheetId="20" hidden="1">{#N/A,#N/A,FALSE,"ANEXO3 99 ERA";#N/A,#N/A,FALSE,"ANEXO3 99 UBÁ2";#N/A,#N/A,FALSE,"ANEXO3 99 DTU";#N/A,#N/A,FALSE,"ANEXO3 99 RDR";#N/A,#N/A,FALSE,"ANEXO3 99 UBÁ4";#N/A,#N/A,FALSE,"ANEXO3 99 UBÁ6"}</definedName>
    <definedName name="operção" hidden="1">{#N/A,#N/A,FALSE,"ANEXO3 99 ERA";#N/A,#N/A,FALSE,"ANEXO3 99 UBÁ2";#N/A,#N/A,FALSE,"ANEXO3 99 DTU";#N/A,#N/A,FALSE,"ANEXO3 99 RDR";#N/A,#N/A,FALSE,"ANEXO3 99 UBÁ4";#N/A,#N/A,FALSE,"ANEXO3 99 UBÁ6"}</definedName>
    <definedName name="orlnew" localSheetId="20" hidden="1">{#N/A,#N/A,FALSE,"DEA Report";#N/A,#N/A,FALSE,"Veba Report";#N/A,#N/A,FALSE,"Wintershall Report";#N/A,#N/A,FALSE,"Fina Report"}</definedName>
    <definedName name="orlnew" hidden="1">{#N/A,#N/A,FALSE,"DEA Report";#N/A,#N/A,FALSE,"Veba Report";#N/A,#N/A,FALSE,"Wintershall Report";#N/A,#N/A,FALSE,"Fina Report"}</definedName>
    <definedName name="orlnew_1" localSheetId="20" hidden="1">{#N/A,#N/A,FALSE,"DEA Report";#N/A,#N/A,FALSE,"Veba Report";#N/A,#N/A,FALSE,"Wintershall Report";#N/A,#N/A,FALSE,"Fina Report"}</definedName>
    <definedName name="orlnew_1" hidden="1">{#N/A,#N/A,FALSE,"DEA Report";#N/A,#N/A,FALSE,"Veba Report";#N/A,#N/A,FALSE,"Wintershall Report";#N/A,#N/A,FALSE,"Fina Report"}</definedName>
    <definedName name="OTHER_ASSETS" hidden="1">"OTHER_ASSETS"</definedName>
    <definedName name="OTHER_CURRENT_ASSETS" hidden="1">"OTHER_CURRENT_ASSETS"</definedName>
    <definedName name="OTHER_CURRENT_LIAB" hidden="1">"OTHER_CURRENT_LIAB"</definedName>
    <definedName name="OTHER_EARNING" hidden="1">"OTHER_EARNING"</definedName>
    <definedName name="OTHER_EQUITY" hidden="1">"OTHER_EQUITY"</definedName>
    <definedName name="OTHER_INVESTING" hidden="1">"OTHER_INVESTING"</definedName>
    <definedName name="OTHER_LIAB" hidden="1">"OTHER_LIAB"</definedName>
    <definedName name="OTHER_LONG_TERM" hidden="1">"OTHER_LONG_TERM"</definedName>
    <definedName name="OTHER_NET" hidden="1">"OTHER_NET"</definedName>
    <definedName name="OTHER_OPER" hidden="1">"OTHER_OPER"</definedName>
    <definedName name="OTHER_RECEIV" hidden="1">"OTHER_RECEIV"</definedName>
    <definedName name="OTHER_REVENUE" hidden="1">"OTHER_REVENUE"</definedName>
    <definedName name="Output" hidden="1">#REF!</definedName>
    <definedName name="Output4" hidden="1">#REF!</definedName>
    <definedName name="P?HG" localSheetId="20" hidden="1">{#N/A,#N/A,FALSE,"Tabl. D1";#N/A,#N/A,FALSE,"Tabl. D1 b";#N/A,#N/A,FALSE,"Tabl. D2";#N/A,#N/A,FALSE,"Tabl. D2 b";#N/A,#N/A,FALSE,"Tabl. D3";#N/A,#N/A,FALSE,"Tabl. D4";#N/A,#N/A,FALSE,"Tabl. D5"}</definedName>
    <definedName name="P?HG" hidden="1">{#N/A,#N/A,FALSE,"Tabl. D1";#N/A,#N/A,FALSE,"Tabl. D1 b";#N/A,#N/A,FALSE,"Tabl. D2";#N/A,#N/A,FALSE,"Tabl. D2 b";#N/A,#N/A,FALSE,"Tabl. D3";#N/A,#N/A,FALSE,"Tabl. D4";#N/A,#N/A,FALSE,"Tabl. D5"}</definedName>
    <definedName name="pait" localSheetId="20" hidden="1">{"'pg(12)'!$B$1:$N$16"}</definedName>
    <definedName name="pait" hidden="1">{"'pg(12)'!$B$1:$N$16"}</definedName>
    <definedName name="Passages" localSheetId="20" hidden="1">{#N/A,#N/A,FALSE,"Tabl. A1";#N/A,#N/A,FALSE,"Tabl. A1 b";#N/A,#N/A,FALSE,"Tabl. A2";#N/A,#N/A,FALSE,"Tabl. A2-1";#N/A,#N/A,FALSE,"Tabl. A2-2"}</definedName>
    <definedName name="Passages" hidden="1">{#N/A,#N/A,FALSE,"Tabl. A1";#N/A,#N/A,FALSE,"Tabl. A1 b";#N/A,#N/A,FALSE,"Tabl. A2";#N/A,#N/A,FALSE,"Tabl. A2-1";#N/A,#N/A,FALSE,"Tabl. A2-2"}</definedName>
    <definedName name="passo" localSheetId="20" hidden="1">{#N/A,#N/A,FALSE,"Aging Summary";#N/A,#N/A,FALSE,"Ratio Analysis";#N/A,#N/A,FALSE,"Test 120 Day Accts";#N/A,#N/A,FALSE,"Tickmarks"}</definedName>
    <definedName name="passo" hidden="1">{#N/A,#N/A,FALSE,"Aging Summary";#N/A,#N/A,FALSE,"Ratio Analysis";#N/A,#N/A,FALSE,"Test 120 Day Accts";#N/A,#N/A,FALSE,"Tickmarks"}</definedName>
    <definedName name="pat" localSheetId="20" hidden="1">{#N/A,#N/A,FALSE,"HIGHNEW";#N/A,#N/A,FALSE,"HIGHOLD";#N/A,#N/A,FALSE,"MTHDET";#N/A,#N/A,FALSE,"ACTDET"}</definedName>
    <definedName name="pat" hidden="1">{#N/A,#N/A,FALSE,"HIGHNEW";#N/A,#N/A,FALSE,"HIGHOLD";#N/A,#N/A,FALSE,"MTHDET";#N/A,#N/A,FALSE,"ACTDET"}</definedName>
    <definedName name="PAY_ACCRUED" hidden="1">"PAY_ACCRUED"</definedName>
    <definedName name="PedasBT" localSheetId="20" hidden="1">{#N/A,#N/A,FALSE,"ANEXO3 99 ERA";#N/A,#N/A,FALSE,"ANEXO3 99 UBÁ2";#N/A,#N/A,FALSE,"ANEXO3 99 DTU";#N/A,#N/A,FALSE,"ANEXO3 99 RDR";#N/A,#N/A,FALSE,"ANEXO3 99 UBÁ4";#N/A,#N/A,FALSE,"ANEXO3 99 UBÁ6"}</definedName>
    <definedName name="PedasBT" hidden="1">{#N/A,#N/A,FALSE,"ANEXO3 99 ERA";#N/A,#N/A,FALSE,"ANEXO3 99 UBÁ2";#N/A,#N/A,FALSE,"ANEXO3 99 DTU";#N/A,#N/A,FALSE,"ANEXO3 99 RDR";#N/A,#N/A,FALSE,"ANEXO3 99 UBÁ4";#N/A,#N/A,FALSE,"ANEXO3 99 UBÁ6"}</definedName>
    <definedName name="PEDRO" localSheetId="20" hidden="1">{#N/A,#N/A,FALSE,"CONTROLE"}</definedName>
    <definedName name="PEDRO" hidden="1">{#N/A,#N/A,FALSE,"CONTROLE"}</definedName>
    <definedName name="pèippo" localSheetId="20" hidden="1">{"CECons",#N/A,FALSE,"CE"}</definedName>
    <definedName name="pèippo" hidden="1">{"CECons",#N/A,FALSE,"CE"}</definedName>
    <definedName name="Perenco" localSheetId="20" hidden="1">{#N/A,#N/A,FALSE,"DEA Report";#N/A,#N/A,FALSE,"Veba Report";#N/A,#N/A,FALSE,"Wintershall Report";#N/A,#N/A,FALSE,"Fina Report"}</definedName>
    <definedName name="Perenco" hidden="1">{#N/A,#N/A,FALSE,"DEA Report";#N/A,#N/A,FALSE,"Veba Report";#N/A,#N/A,FALSE,"Wintershall Report";#N/A,#N/A,FALSE,"Fina Report"}</definedName>
    <definedName name="Perenco_1" localSheetId="20" hidden="1">{#N/A,#N/A,FALSE,"DEA Report";#N/A,#N/A,FALSE,"Veba Report";#N/A,#N/A,FALSE,"Wintershall Report";#N/A,#N/A,FALSE,"Fina Report"}</definedName>
    <definedName name="Perenco_1" hidden="1">{#N/A,#N/A,FALSE,"DEA Report";#N/A,#N/A,FALSE,"Veba Report";#N/A,#N/A,FALSE,"Wintershall Report";#N/A,#N/A,FALSE,"Fina Report"}</definedName>
    <definedName name="PERIODDATE" hidden="1">"PERIODDATE"</definedName>
    <definedName name="pessoalporempresa" hidden="1">#N/A</definedName>
    <definedName name="pig_dig5" localSheetId="20" hidden="1">{#N/A,#N/A,FALSE,"T COST";#N/A,#N/A,FALSE,"COST_FH"}</definedName>
    <definedName name="pig_dig5" hidden="1">{#N/A,#N/A,FALSE,"T COST";#N/A,#N/A,FALSE,"COST_FH"}</definedName>
    <definedName name="pig_dog" localSheetId="20" hidden="1">{2;#N/A;"R13C16:R17C16";#N/A;"R13C14:R17C15";FALSE;FALSE;FALSE;95;#N/A;#N/A;"R13C19";#N/A;FALSE;FALSE;FALSE;FALSE;#N/A;"";#N/A;FALSE;"";"";#N/A;#N/A;#N/A}</definedName>
    <definedName name="pig_dog" hidden="1">{2;#N/A;"R13C16:R17C16";#N/A;"R13C14:R17C15";FALSE;FALSE;FALSE;95;#N/A;#N/A;"R13C19";#N/A;FALSE;FALSE;FALSE;FALSE;#N/A;"";#N/A;FALSE;"";"";#N/A;#N/A;#N/A}</definedName>
    <definedName name="pig_dog\" localSheetId="20" hidden="1">{"EXCELHLP.HLP!1802";5;10;5;10;13;13;13;8;5;5;10;14;13;13;13;13;5;10;14;13;5;10;1;2;24}</definedName>
    <definedName name="pig_dog\" hidden="1">{"EXCELHLP.HLP!1802";5;10;5;10;13;13;13;8;5;5;10;14;13;13;13;13;5;10;14;13;5;10;1;2;24}</definedName>
    <definedName name="pig_dog2" localSheetId="20"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pig_dog2"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pig_dog3" localSheetId="20" hidden="1">{#N/A,#N/A,FALSE,"Results";#N/A,#N/A,FALSE,"Input Data";#N/A,#N/A,FALSE,"Generation Calculation";#N/A,#N/A,FALSE,"Unit Heat Rate Calculation";#N/A,#N/A,FALSE,"BEFF.XLS";#N/A,#N/A,FALSE,"TURBEFF.XLS";#N/A,#N/A,FALSE,"Final FWH Extraction Flow";#N/A,#N/A,FALSE,"Condenser Performance";#N/A,#N/A,FALSE,"Stage Pressure Correction"}</definedName>
    <definedName name="pig_dog3" hidden="1">{#N/A,#N/A,FALSE,"Results";#N/A,#N/A,FALSE,"Input Data";#N/A,#N/A,FALSE,"Generation Calculation";#N/A,#N/A,FALSE,"Unit Heat Rate Calculation";#N/A,#N/A,FALSE,"BEFF.XLS";#N/A,#N/A,FALSE,"TURBEFF.XLS";#N/A,#N/A,FALSE,"Final FWH Extraction Flow";#N/A,#N/A,FALSE,"Condenser Performance";#N/A,#N/A,FALSE,"Stage Pressure Correction"}</definedName>
    <definedName name="pig_dog4" localSheetId="20" hidden="1">{#N/A,#N/A,FALSE,"SUMMARY";#N/A,#N/A,FALSE,"INPUTDATA";#N/A,#N/A,FALSE,"Condenser Performance"}</definedName>
    <definedName name="pig_dog4" hidden="1">{#N/A,#N/A,FALSE,"SUMMARY";#N/A,#N/A,FALSE,"INPUTDATA";#N/A,#N/A,FALSE,"Condenser Performance"}</definedName>
    <definedName name="pig_dog6" localSheetId="20" hidden="1">{#N/A,#N/A,FALSE,"INPUTDATA";#N/A,#N/A,FALSE,"SUMMARY";#N/A,#N/A,FALSE,"CTAREP";#N/A,#N/A,FALSE,"CTBREP";#N/A,#N/A,FALSE,"TURBEFF";#N/A,#N/A,FALSE,"Condenser Performance"}</definedName>
    <definedName name="pig_dog6" hidden="1">{#N/A,#N/A,FALSE,"INPUTDATA";#N/A,#N/A,FALSE,"SUMMARY";#N/A,#N/A,FALSE,"CTAREP";#N/A,#N/A,FALSE,"CTBREP";#N/A,#N/A,FALSE,"TURBEFF";#N/A,#N/A,FALSE,"Condenser Performance"}</definedName>
    <definedName name="pig_dog7" localSheetId="20" hidden="1">{#N/A,#N/A,FALSE,"INPUTDATA";#N/A,#N/A,FALSE,"SUMMARY"}</definedName>
    <definedName name="pig_dog7" hidden="1">{#N/A,#N/A,FALSE,"INPUTDATA";#N/A,#N/A,FALSE,"SUMMARY"}</definedName>
    <definedName name="pig_dog8" localSheetId="20" hidden="1">{#N/A,#N/A,FALSE,"INPUTDATA";#N/A,#N/A,FALSE,"SUMMARY";#N/A,#N/A,FALSE,"CTAREP";#N/A,#N/A,FALSE,"CTBREP";#N/A,#N/A,FALSE,"PMG4ST86";#N/A,#N/A,FALSE,"TURBEFF";#N/A,#N/A,FALSE,"Condenser Performance"}</definedName>
    <definedName name="pig_dog8" hidden="1">{#N/A,#N/A,FALSE,"INPUTDATA";#N/A,#N/A,FALSE,"SUMMARY";#N/A,#N/A,FALSE,"CTAREP";#N/A,#N/A,FALSE,"CTBREP";#N/A,#N/A,FALSE,"PMG4ST86";#N/A,#N/A,FALSE,"TURBEFF";#N/A,#N/A,FALSE,"Condenser Performance"}</definedName>
    <definedName name="pin" localSheetId="20" hidden="1">{"CONS_RAFF2",#N/A,FALSE,"CONS.RAFF2"}</definedName>
    <definedName name="pin" hidden="1">{"CONS_RAFF2",#N/A,FALSE,"CONS.RAFF2"}</definedName>
    <definedName name="Piratininga" localSheetId="20" hidden="1">{#N/A,#N/A,FALSE,"CONTROLE"}</definedName>
    <definedName name="Piratininga" hidden="1">{#N/A,#N/A,FALSE,"CONTROLE"}</definedName>
    <definedName name="PIRATININGAV2" localSheetId="20" hidden="1">{#N/A,#N/A,FALSE,"CONTROLE"}</definedName>
    <definedName name="PIRATININGAV2" hidden="1">{#N/A,#N/A,FALSE,"CONTROLE"}</definedName>
    <definedName name="pl"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pl"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planejamento" localSheetId="20" hidden="1">{#N/A,#N/A,FALSE,"ANEXO3 99 ERA";#N/A,#N/A,FALSE,"ANEXO3 99 UBÁ2";#N/A,#N/A,FALSE,"ANEXO3 99 DTU";#N/A,#N/A,FALSE,"ANEXO3 99 RDR";#N/A,#N/A,FALSE,"ANEXO3 99 UBÁ4";#N/A,#N/A,FALSE,"ANEXO3 99 UBÁ6"}</definedName>
    <definedName name="planejamento" hidden="1">{#N/A,#N/A,FALSE,"ANEXO3 99 ERA";#N/A,#N/A,FALSE,"ANEXO3 99 UBÁ2";#N/A,#N/A,FALSE,"ANEXO3 99 DTU";#N/A,#N/A,FALSE,"ANEXO3 99 RDR";#N/A,#N/A,FALSE,"ANEXO3 99 UBÁ4";#N/A,#N/A,FALSE,"ANEXO3 99 UBÁ6"}</definedName>
    <definedName name="pluto" localSheetId="20" hidden="1">{"SPM1",#N/A,FALSE,"RIEP"}</definedName>
    <definedName name="pluto" hidden="1">{"SPM1",#N/A,FALSE,"RIEP"}</definedName>
    <definedName name="PO" localSheetId="20" hidden="1">{"QQQ",#N/A,FALSE,"RIEP"}</definedName>
    <definedName name="PO" hidden="1">{"QQQ",#N/A,FALSE,"RIEP"}</definedName>
    <definedName name="poi" hidden="1">#N/A</definedName>
    <definedName name="POK?ZEFIFVXVW" localSheetId="20" hidden="1">{#N/A,#N/A,FALSE,"Tabl. H1";#N/A,#N/A,FALSE,"Tabl. H2"}</definedName>
    <definedName name="POK?ZEFIFVXVW" hidden="1">{#N/A,#N/A,FALSE,"Tabl. H1";#N/A,#N/A,FALSE,"Tabl. H2"}</definedName>
    <definedName name="pooh" localSheetId="20" hidden="1">{"PAGE1",#N/A,FALSE,"YIELDS";"PAGE2",#N/A,FALSE,"YIELDS";"PAGE3",#N/A,FALSE,"YIELDS"}</definedName>
    <definedName name="pooh" hidden="1">{"PAGE1",#N/A,FALSE,"YIELDS";"PAGE2",#N/A,FALSE,"YIELDS";"PAGE3",#N/A,FALSE,"YIELDS"}</definedName>
    <definedName name="pp" localSheetId="20" hidden="1">{#N/A,#N/A,FALSE,"ENERGIA";#N/A,#N/A,FALSE,"PERDIDAS";#N/A,#N/A,FALSE,"CLIENTES";#N/A,#N/A,FALSE,"ESTADO";#N/A,#N/A,FALSE,"TECNICA"}</definedName>
    <definedName name="pp" hidden="1">{#N/A,#N/A,FALSE,"ENERGIA";#N/A,#N/A,FALSE,"PERDIDAS";#N/A,#N/A,FALSE,"CLIENTES";#N/A,#N/A,FALSE,"ESTADO";#N/A,#N/A,FALSE,"TECNICA"}</definedName>
    <definedName name="pp_1" localSheetId="20" hidden="1">{#N/A,#N/A,FALSE,"ENERGIA";#N/A,#N/A,FALSE,"PERDIDAS";#N/A,#N/A,FALSE,"CLIENTES";#N/A,#N/A,FALSE,"ESTADO";#N/A,#N/A,FALSE,"TECNICA"}</definedName>
    <definedName name="pp_1" hidden="1">{#N/A,#N/A,FALSE,"ENERGIA";#N/A,#N/A,FALSE,"PERDIDAS";#N/A,#N/A,FALSE,"CLIENTES";#N/A,#N/A,FALSE,"ESTADO";#N/A,#N/A,FALSE,"TECNICA"}</definedName>
    <definedName name="ppp" localSheetId="20" hidden="1">{"QQQ",#N/A,FALSE,"RIEP"}</definedName>
    <definedName name="ppp" hidden="1">{"QQQ",#N/A,FALSE,"RIEP"}</definedName>
    <definedName name="ppppp" localSheetId="20" hidden="1">{"CECons",#N/A,FALSE,"CE"}</definedName>
    <definedName name="ppppp" hidden="1">{"CECons",#N/A,FALSE,"CE"}</definedName>
    <definedName name="pqr" localSheetId="20" hidden="1">{#N/A,#N/A,FALSE,"Tabl. A1";#N/A,#N/A,FALSE,"Tabl. A1 b";#N/A,#N/A,FALSE,"Tabl. A2";#N/A,#N/A,FALSE,"Tabl. A2-1";#N/A,#N/A,FALSE,"Tabl. A2-2"}</definedName>
    <definedName name="pqr" hidden="1">{#N/A,#N/A,FALSE,"Tabl. A1";#N/A,#N/A,FALSE,"Tabl. A1 b";#N/A,#N/A,FALSE,"Tabl. A2";#N/A,#N/A,FALSE,"Tabl. A2-1";#N/A,#N/A,FALSE,"Tabl. A2-2"}</definedName>
    <definedName name="PR00BG01" localSheetId="20" hidden="1">{#N/A,#N/A,FALSE,"Tabl. D1";#N/A,#N/A,FALSE,"Tabl. D1 b";#N/A,#N/A,FALSE,"Tabl. D2";#N/A,#N/A,FALSE,"Tabl. D2 b";#N/A,#N/A,FALSE,"Tabl. D3";#N/A,#N/A,FALSE,"Tabl. D4";#N/A,#N/A,FALSE,"Tabl. D5"}</definedName>
    <definedName name="PR00BG01" hidden="1">{#N/A,#N/A,FALSE,"Tabl. D1";#N/A,#N/A,FALSE,"Tabl. D1 b";#N/A,#N/A,FALSE,"Tabl. D2";#N/A,#N/A,FALSE,"Tabl. D2 b";#N/A,#N/A,FALSE,"Tabl. D3";#N/A,#N/A,FALSE,"Tabl. D4";#N/A,#N/A,FALSE,"Tabl. D5"}</definedName>
    <definedName name="precios" localSheetId="20" hidden="1">{"'Hoja1'!$A$1:$N$27"}</definedName>
    <definedName name="precios" hidden="1">{"'Hoja1'!$A$1:$N$27"}</definedName>
    <definedName name="precoisbol" localSheetId="20" hidden="1">{"'Hoja1'!$A$1:$N$27"}</definedName>
    <definedName name="precoisbol" hidden="1">{"'Hoja1'!$A$1:$N$27"}</definedName>
    <definedName name="PREF_DIVID" hidden="1">"PREF_DIVID"</definedName>
    <definedName name="PREF_STOCK" hidden="1">"PREF_STOCK"</definedName>
    <definedName name="PREPAID_EXPEN" hidden="1">"PREPAID_EXPEN"</definedName>
    <definedName name="Presentation" localSheetId="2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TAX_INC" hidden="1">"PRETAX_INC"</definedName>
    <definedName name="PRETAX_INC_10K" hidden="1">"PRETAX_INC_10K"</definedName>
    <definedName name="PRETAX_INC_10Q" hidden="1">"PRETAX_INC_10Q"</definedName>
    <definedName name="PRETAX_INC_10Q1" hidden="1">"PRETAX_INC_10Q1"</definedName>
    <definedName name="PRICE_OVER_EPS_EST" hidden="1">"PRICE_OVER_EPS_EST"</definedName>
    <definedName name="PRICE_OVER_EPS_EST_1" hidden="1">"PRICE_OVER_EPS_EST_1"</definedName>
    <definedName name="PRICE_OVER_LTM_EPS" hidden="1">"PRICE_OVER_LTM_EPS"</definedName>
    <definedName name="principal" hidden="1">#REF!</definedName>
    <definedName name="print99" localSheetId="20" hidden="1">{#N/A,#N/A,FALSE,"Resid CPRIV";#N/A,#N/A,FALSE,"Comer_CPRIVKsum";#N/A,#N/A,FALSE,"General (2)";#N/A,#N/A,FALSE,"Oficial";#N/A,#N/A,FALSE,"Resumen";#N/A,#N/A,FALSE,"Escenarios"}</definedName>
    <definedName name="print99" hidden="1">{#N/A,#N/A,FALSE,"Resid CPRIV";#N/A,#N/A,FALSE,"Comer_CPRIVKsum";#N/A,#N/A,FALSE,"General (2)";#N/A,#N/A,FALSE,"Oficial";#N/A,#N/A,FALSE,"Resumen";#N/A,#N/A,FALSE,"Escenarios"}</definedName>
    <definedName name="PRO_FORMA_BASIC_EPS" hidden="1">"PRO_FORMA_BASIC_EPS"</definedName>
    <definedName name="PRO_FORMA_DILUT_EPS" hidden="1">"PRO_FORMA_DILUT_EPS"</definedName>
    <definedName name="PRO_FORMA_NET_INC" hidden="1">"PRO_FORMA_NET_INC"</definedName>
    <definedName name="PROPERTY_GROSS" hidden="1">"PROPERTY_GROSS"</definedName>
    <definedName name="PROPERTY_NET" hidden="1">"PROPERTY_NET"</definedName>
    <definedName name="PZO" localSheetId="20" hidden="1">{#N/A,#N/A,FALSE,"Tabl. D1";#N/A,#N/A,FALSE,"Tabl. D1 b";#N/A,#N/A,FALSE,"Tabl. D2";#N/A,#N/A,FALSE,"Tabl. D2 b";#N/A,#N/A,FALSE,"Tabl. D3";#N/A,#N/A,FALSE,"Tabl. D4";#N/A,#N/A,FALSE,"Tabl. D5"}</definedName>
    <definedName name="PZO" hidden="1">{#N/A,#N/A,FALSE,"Tabl. D1";#N/A,#N/A,FALSE,"Tabl. D1 b";#N/A,#N/A,FALSE,"Tabl. D2";#N/A,#N/A,FALSE,"Tabl. D2 b";#N/A,#N/A,FALSE,"Tabl. D3";#N/A,#N/A,FALSE,"Tabl. D4";#N/A,#N/A,FALSE,"Tabl. D5"}</definedName>
    <definedName name="q" hidden="1">#REF!</definedName>
    <definedName name="qdfwwwwwwwwwwwwwwwwwwwwwwwwwwwwwwwweqrg" localSheetId="20" hidden="1">{"'pg(12)'!$B$1:$N$16"}</definedName>
    <definedName name="qdfwwwwwwwwwwwwwwwwwwwwwwwwwwwwwwwweqrg" hidden="1">{"'pg(12)'!$B$1:$N$16"}</definedName>
    <definedName name="qq" localSheetId="20" hidden="1">{#N/A,#N/A,FALSE,"ANEXO3 99 ERA";#N/A,#N/A,FALSE,"ANEXO3 99 UBÁ2";#N/A,#N/A,FALSE,"ANEXO3 99 DTU";#N/A,#N/A,FALSE,"ANEXO3 99 RDR";#N/A,#N/A,FALSE,"ANEXO3 99 UBÁ4";#N/A,#N/A,FALSE,"ANEXO3 99 UBÁ6"}</definedName>
    <definedName name="qq" hidden="1">{#N/A,#N/A,FALSE,"ANEXO3 99 ERA";#N/A,#N/A,FALSE,"ANEXO3 99 UBÁ2";#N/A,#N/A,FALSE,"ANEXO3 99 DTU";#N/A,#N/A,FALSE,"ANEXO3 99 RDR";#N/A,#N/A,FALSE,"ANEXO3 99 UBÁ4";#N/A,#N/A,FALSE,"ANEXO3 99 UBÁ6"}</definedName>
    <definedName name="qq_1" localSheetId="20" hidden="1">{#N/A,#N/A,FALSE,"CONTROLE"}</definedName>
    <definedName name="qq_1" hidden="1">{#N/A,#N/A,FALSE,"CONTROLE"}</definedName>
    <definedName name="qqq" localSheetId="20" hidden="1">{#N/A,#N/A,FALSE,"CONTROLE"}</definedName>
    <definedName name="qqq" hidden="1">{#N/A,#N/A,FALSE,"CONTROLE"}</definedName>
    <definedName name="qqqq" localSheetId="20" hidden="1">{#N/A,#N/A,FALSE,"CONTROLE"}</definedName>
    <definedName name="qqqq" hidden="1">{#N/A,#N/A,FALSE,"CONTROLE"}</definedName>
    <definedName name="qqqqqq" localSheetId="20" hidden="1">{#N/A,#N/A,FALSE,"CONTROLE";#N/A,#N/A,FALSE,"CONTROLE"}</definedName>
    <definedName name="qqqqqq" hidden="1">{#N/A,#N/A,FALSE,"CONTROLE";#N/A,#N/A,FALSE,"CONTROLE"}</definedName>
    <definedName name="qqqqqqqqqqqqq" localSheetId="20" hidden="1">{#N/A,#N/A,FALSE,"CONTROLE"}</definedName>
    <definedName name="qqqqqqqqqqqqq" hidden="1">{#N/A,#N/A,FALSE,"CONTROLE"}</definedName>
    <definedName name="QUICK_RATIO" hidden="1">"QUICK_RATIO"</definedName>
    <definedName name="qwer" localSheetId="20" hidden="1">{#N/A,#N/A,FALSE,"Baltimore";#N/A,#N/A,FALSE,"Barrington";#N/A,#N/A,FALSE,"Butler";#N/A,#N/A,FALSE,"Cleveland";#N/A,#N/A,FALSE,"Closter";#N/A,#N/A,FALSE,"Eaton";#N/A,#N/A,FALSE,"Meriden";#N/A,#N/A,FALSE,"Mt. Vernon";#N/A,#N/A,FALSE,"Rochester";#N/A,#N/A,FALSE,"Three Rivers";#N/A,#N/A,FALSE,"Warren"}</definedName>
    <definedName name="qwer" hidden="1">{#N/A,#N/A,FALSE,"Baltimore";#N/A,#N/A,FALSE,"Barrington";#N/A,#N/A,FALSE,"Butler";#N/A,#N/A,FALSE,"Cleveland";#N/A,#N/A,FALSE,"Closter";#N/A,#N/A,FALSE,"Eaton";#N/A,#N/A,FALSE,"Meriden";#N/A,#N/A,FALSE,"Mt. Vernon";#N/A,#N/A,FALSE,"Rochester";#N/A,#N/A,FALSE,"Three Rivers";#N/A,#N/A,FALSE,"Warren"}</definedName>
    <definedName name="QXC" localSheetId="20" hidden="1">{#N/A,#N/A,FALSE,"Tabl. H1";#N/A,#N/A,FALSE,"Tabl. H2"}</definedName>
    <definedName name="QXC" hidden="1">{#N/A,#N/A,FALSE,"Tabl. H1";#N/A,#N/A,FALSE,"Tabl. H2"}</definedName>
    <definedName name="RangeChange" hidden="1">#N/A</definedName>
    <definedName name="RBG" localSheetId="20" hidden="1">{#N/A,#N/A,FALSE,"Tabl. D1";#N/A,#N/A,FALSE,"Tabl. D1 b";#N/A,#N/A,FALSE,"Tabl. D2";#N/A,#N/A,FALSE,"Tabl. D2 b";#N/A,#N/A,FALSE,"Tabl. D3";#N/A,#N/A,FALSE,"Tabl. D4";#N/A,#N/A,FALSE,"Tabl. D5"}</definedName>
    <definedName name="RBG" hidden="1">{#N/A,#N/A,FALSE,"Tabl. D1";#N/A,#N/A,FALSE,"Tabl. D1 b";#N/A,#N/A,FALSE,"Tabl. D2";#N/A,#N/A,FALSE,"Tabl. D2 b";#N/A,#N/A,FALSE,"Tabl. D3";#N/A,#N/A,FALSE,"Tabl. D4";#N/A,#N/A,FALSE,"Tabl. D5"}</definedName>
    <definedName name="RBTESTE" localSheetId="20" hidden="1">{#N/A,#N/A,FALSE,"ENERGIA";#N/A,#N/A,FALSE,"PERDIDAS";#N/A,#N/A,FALSE,"CLIENTES";#N/A,#N/A,FALSE,"ESTADO";#N/A,#N/A,FALSE,"TECNICA"}</definedName>
    <definedName name="RBTESTE" hidden="1">{#N/A,#N/A,FALSE,"ENERGIA";#N/A,#N/A,FALSE,"PERDIDAS";#N/A,#N/A,FALSE,"CLIENTES";#N/A,#N/A,FALSE,"ESTADO";#N/A,#N/A,FALSE,"TECNICA"}</definedName>
    <definedName name="REDEEM_PREF_STOCK" hidden="1">"REDEEM_PREF_STOCK"</definedName>
    <definedName name="reduzido" localSheetId="20" hidden="1">{#N/A,#N/A,FALSE,"CONTROLE"}</definedName>
    <definedName name="reduzido" hidden="1">{#N/A,#N/A,FALSE,"CONTROLE"}</definedName>
    <definedName name="REF" localSheetId="20" hidden="1">{#N/A,#N/A,FALSE,"Tabl. A1";#N/A,#N/A,FALSE,"Tabl. A1 b";#N/A,#N/A,FALSE,"Tabl. A2";#N/A,#N/A,FALSE,"Tabl. A2-1";#N/A,#N/A,FALSE,"Tabl. A2-2"}</definedName>
    <definedName name="REF" hidden="1">{#N/A,#N/A,FALSE,"Tabl. A1";#N/A,#N/A,FALSE,"Tabl. A1 b";#N/A,#N/A,FALSE,"Tabl. A2";#N/A,#N/A,FALSE,"Tabl. A2-1";#N/A,#N/A,FALSE,"Tabl. A2-2"}</definedName>
    <definedName name="Reforços_E_Melhorias">_Config!$R$16:$R$20</definedName>
    <definedName name="Relat" localSheetId="20" hidden="1">{#N/A,#N/A,FALSE,"CONTROLE";#N/A,#N/A,FALSE,"CONTROLE"}</definedName>
    <definedName name="Relat" hidden="1">{#N/A,#N/A,FALSE,"CONTROLE";#N/A,#N/A,FALSE,"CONTROLE"}</definedName>
    <definedName name="Renato" localSheetId="20" hidden="1">{#N/A,#N/A,FALSE,"CONTROLE"}</definedName>
    <definedName name="Renato" hidden="1">{#N/A,#N/A,FALSE,"CONTROLE"}</definedName>
    <definedName name="report99" localSheetId="20" hidden="1">{"Rep 1",#N/A,FALSE,"Reports";"Rep 2",#N/A,FALSE,"Reports";"Rep 3",#N/A,FALSE,"Reports";"Rep 4",#N/A,FALSE,"Reports"}</definedName>
    <definedName name="report99" hidden="1">{"Rep 1",#N/A,FALSE,"Reports";"Rep 2",#N/A,FALSE,"Reports";"Rep 3",#N/A,FALSE,"Reports";"Rep 4",#N/A,FALSE,"Reports"}</definedName>
    <definedName name="reporting" localSheetId="20" hidden="1">{#N/A,#N/A,FALSE,"Tabl. FB300";#N/A,#N/A,FALSE,"Tabl. FB350";#N/A,#N/A,FALSE,"Tabl. FB400";#N/A,#N/A,FALSE,"Tabl. FB500";#N/A,#N/A,FALSE,"Tabl. FS090"}</definedName>
    <definedName name="reporting" hidden="1">{#N/A,#N/A,FALSE,"Tabl. FB300";#N/A,#N/A,FALSE,"Tabl. FB350";#N/A,#N/A,FALSE,"Tabl. FB400";#N/A,#N/A,FALSE,"Tabl. FB500";#N/A,#N/A,FALSE,"Tabl. FS090"}</definedName>
    <definedName name="res" localSheetId="20" hidden="1">{#N/A,#N/A,FALSE,"Tabl. FB300";#N/A,#N/A,FALSE,"Tabl. FB350";#N/A,#N/A,FALSE,"Tabl. FB400";#N/A,#N/A,FALSE,"Tabl. FB500";#N/A,#N/A,FALSE,"Tabl. FS090"}</definedName>
    <definedName name="res" hidden="1">{#N/A,#N/A,FALSE,"Tabl. FB300";#N/A,#N/A,FALSE,"Tabl. FB350";#N/A,#N/A,FALSE,"Tabl. FB400";#N/A,#N/A,FALSE,"Tabl. FB500";#N/A,#N/A,FALSE,"Tabl. FS090"}</definedName>
    <definedName name="RESEARCH_DEV" hidden="1">"RESEARCH_DEV"</definedName>
    <definedName name="result" localSheetId="20" hidden="1">{#N/A,#N/A,FALSE,"Tabl. G1";#N/A,#N/A,FALSE,"Tabl. G2"}</definedName>
    <definedName name="result" hidden="1">{#N/A,#N/A,FALSE,"Tabl. G1";#N/A,#N/A,FALSE,"Tabl. G2"}</definedName>
    <definedName name="RESUMO3" localSheetId="20" hidden="1">{#N/A,#N/A,FALSE,"CONTROLE"}</definedName>
    <definedName name="RESUMO3" hidden="1">{#N/A,#N/A,FALSE,"CONTROLE"}</definedName>
    <definedName name="RETAINED_EARN" hidden="1">"RETAINED_EARN"</definedName>
    <definedName name="RETURN_ASSETS" hidden="1">"RETURN_ASSETS"</definedName>
    <definedName name="RETURN_EQUITY" hidden="1">"RETURN_EQUITY"</definedName>
    <definedName name="RETURN_INVESTMENT" hidden="1">"RETURN_INVESTMENT"</definedName>
    <definedName name="REVENUE" hidden="1">"REVENUE"</definedName>
    <definedName name="REVENUE_10K" hidden="1">"REVENUE_10K"</definedName>
    <definedName name="REVENUE_10Q" hidden="1">"REVENUE_10Q"</definedName>
    <definedName name="REVENUE_10Q1" hidden="1">"REVENUE_10Q1"</definedName>
    <definedName name="REVENUE_EST" hidden="1">"REVENUE_EST"</definedName>
    <definedName name="REVENUE_EST_1" hidden="1">"REVENUE_EST_1"</definedName>
    <definedName name="REVENUE_GROWTH_1" hidden="1">"REVENUE_GROWTH_1"</definedName>
    <definedName name="REVENUE_GROWTH_2" hidden="1">"REVENUE_GROWTH_2"</definedName>
    <definedName name="rgeg" hidden="1">#REF!</definedName>
    <definedName name="rgewg" localSheetId="20" hidden="1">{"BUTENE1_PR",#N/A,FALSE,"CONS.RAFF2"}</definedName>
    <definedName name="rgewg" hidden="1">{"BUTENE1_PR",#N/A,FALSE,"CONS.RAFF2"}</definedName>
    <definedName name="rgregregre" localSheetId="20" hidden="1">{#N/A,#N/A,FALSE,"Baltimore";#N/A,#N/A,FALSE,"Barrington";#N/A,#N/A,FALSE,"Butler";#N/A,#N/A,FALSE,"Cleveland";#N/A,#N/A,FALSE,"Closter";#N/A,#N/A,FALSE,"Eaton";#N/A,#N/A,FALSE,"Meriden";#N/A,#N/A,FALSE,"Mt. Vernon";#N/A,#N/A,FALSE,"Rochester";#N/A,#N/A,FALSE,"Three Rivers";#N/A,#N/A,FALSE,"Warren"}</definedName>
    <definedName name="rgregregre" hidden="1">{#N/A,#N/A,FALSE,"Baltimore";#N/A,#N/A,FALSE,"Barrington";#N/A,#N/A,FALSE,"Butler";#N/A,#N/A,FALSE,"Cleveland";#N/A,#N/A,FALSE,"Closter";#N/A,#N/A,FALSE,"Eaton";#N/A,#N/A,FALSE,"Meriden";#N/A,#N/A,FALSE,"Mt. Vernon";#N/A,#N/A,FALSE,"Rochester";#N/A,#N/A,FALSE,"Three Rivers";#N/A,#N/A,FALSE,"Warren"}</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ngCompanyName" hidden="1">#REF!</definedName>
    <definedName name="rngCountry" hidden="1">#REF!</definedName>
    <definedName name="rngPeriod" hidden="1">#REF!</definedName>
    <definedName name="rngSurtaxBase" hidden="1">#REF!</definedName>
    <definedName name="RODADO" localSheetId="20" hidden="1">{#N/A,#N/A,FALSE,"ANEXO3 99 ERA";#N/A,#N/A,FALSE,"ANEXO3 99 UBÁ2";#N/A,#N/A,FALSE,"ANEXO3 99 DTU";#N/A,#N/A,FALSE,"ANEXO3 99 RDR";#N/A,#N/A,FALSE,"ANEXO3 99 UBÁ4";#N/A,#N/A,FALSE,"ANEXO3 99 UBÁ6"}</definedName>
    <definedName name="RODADO" hidden="1">{#N/A,#N/A,FALSE,"ANEXO3 99 ERA";#N/A,#N/A,FALSE,"ANEXO3 99 UBÁ2";#N/A,#N/A,FALSE,"ANEXO3 99 DTU";#N/A,#N/A,FALSE,"ANEXO3 99 RDR";#N/A,#N/A,FALSE,"ANEXO3 99 UBÁ4";#N/A,#N/A,FALSE,"ANEXO3 99 UBÁ6"}</definedName>
    <definedName name="rolle" localSheetId="20" hidden="1">{"CECons",#N/A,FALSE,"CE"}</definedName>
    <definedName name="rolle" hidden="1">{"CECons",#N/A,FALSE,"CE"}</definedName>
    <definedName name="RR" localSheetId="20" hidden="1">{"TotalGeralDespesasPorArea",#N/A,FALSE,"VinculosAccessEfetivo"}</definedName>
    <definedName name="RR" hidden="1">{"TotalGeralDespesasPorArea",#N/A,FALSE,"VinculosAccessEfetivo"}</definedName>
    <definedName name="rrr" hidden="1">#REF!</definedName>
    <definedName name="rrrr" localSheetId="20" hidden="1">{#N/A,#N/A,FALSE,"Tabl. H1";#N/A,#N/A,FALSE,"Tabl. H2"}</definedName>
    <definedName name="rrrr" hidden="1">{#N/A,#N/A,FALSE,"Tabl. H1";#N/A,#N/A,FALSE,"Tabl. H2"}</definedName>
    <definedName name="RTA" localSheetId="20" hidden="1">{#N/A,#N/A,FALSE,"Tabl. G1";#N/A,#N/A,FALSE,"Tabl. G2"}</definedName>
    <definedName name="RTA" hidden="1">{#N/A,#N/A,FALSE,"Tabl. G1";#N/A,#N/A,FALSE,"Tabl. G2"}</definedName>
    <definedName name="rwer" localSheetId="20" hidden="1">{#N/A,#N/A,FALSE,"ANEXO3 99 ERA";#N/A,#N/A,FALSE,"ANEXO3 99 UBÁ2";#N/A,#N/A,FALSE,"ANEXO3 99 DTU";#N/A,#N/A,FALSE,"ANEXO3 99 RDR";#N/A,#N/A,FALSE,"ANEXO3 99 UBÁ4";#N/A,#N/A,FALSE,"ANEXO3 99 UBÁ6"}</definedName>
    <definedName name="rwer" hidden="1">{#N/A,#N/A,FALSE,"ANEXO3 99 ERA";#N/A,#N/A,FALSE,"ANEXO3 99 UBÁ2";#N/A,#N/A,FALSE,"ANEXO3 99 DTU";#N/A,#N/A,FALSE,"ANEXO3 99 RDR";#N/A,#N/A,FALSE,"ANEXO3 99 UBÁ4";#N/A,#N/A,FALSE,"ANEXO3 99 UBÁ6"}</definedName>
    <definedName name="RZOB2" hidden="1">#REF!</definedName>
    <definedName name="s" localSheetId="20" hidden="1">{"TotalGeralDespesasPorArea",#N/A,FALSE,"VinculosAccessEfetivo"}</definedName>
    <definedName name="s" hidden="1">{"TotalGeralDespesasPorArea",#N/A,FALSE,"VinculosAccessEfetivo"}</definedName>
    <definedName name="SA" hidden="1">#REF!</definedName>
    <definedName name="sads" hidden="1">#REF!</definedName>
    <definedName name="samedi" localSheetId="20" hidden="1">{#N/A,#N/A,FALSE,"Tabl. A1";#N/A,#N/A,FALSE,"Tabl. A1 b";#N/A,#N/A,FALSE,"Tabl. A2";#N/A,#N/A,FALSE,"Tabl. A2-1";#N/A,#N/A,FALSE,"Tabl. A2-2"}</definedName>
    <definedName name="samedi" hidden="1">{#N/A,#N/A,FALSE,"Tabl. A1";#N/A,#N/A,FALSE,"Tabl. A1 b";#N/A,#N/A,FALSE,"Tabl. A2";#N/A,#N/A,FALSE,"Tabl. A2-1";#N/A,#N/A,FALSE,"Tabl. A2-2"}</definedName>
    <definedName name="SAPBEXdnldView" hidden="1">"F3OICWBKPMITAH77PSBF3UNRP"</definedName>
    <definedName name="SAPBEXhrIndnt" hidden="1">3</definedName>
    <definedName name="SAPBEXrevision" hidden="1">14</definedName>
    <definedName name="SAPBEXsysID" hidden="1">"BP1"</definedName>
    <definedName name="SAPBEXwbID" hidden="1">"3V5NCNT9AKKUEO48JR07OZCYT"</definedName>
    <definedName name="SAPFuncF4Help" localSheetId="17" hidden="1">Main.SAPF4Help()</definedName>
    <definedName name="SAPFuncF4Help" localSheetId="20" hidden="1">Main.SAPF4Help()</definedName>
    <definedName name="SAPFuncF4Help" localSheetId="18" hidden="1">Main.SAPF4Help()</definedName>
    <definedName name="SAPFuncF4Help" localSheetId="19" hidden="1">Main.SAPF4Help()</definedName>
    <definedName name="SAPFuncF4Help" hidden="1">Main.SAPF4Help()</definedName>
    <definedName name="SAPsysID" hidden="1">"708C5W7SBKP804JT78WJ0JNKI"</definedName>
    <definedName name="SAPwbID" hidden="1">"ARS"</definedName>
    <definedName name="sasd" localSheetId="20" hidden="1">{#N/A,#N/A,FALSE,"CONTROLE"}</definedName>
    <definedName name="sasd" hidden="1">{#N/A,#N/A,FALSE,"CONTROLE"}</definedName>
    <definedName name="SCG" localSheetId="20" hidden="1">{#N/A,#N/A,FALSE,"Tabl. D1";#N/A,#N/A,FALSE,"Tabl. D1 b";#N/A,#N/A,FALSE,"Tabl. D2";#N/A,#N/A,FALSE,"Tabl. D2 b";#N/A,#N/A,FALSE,"Tabl. D3";#N/A,#N/A,FALSE,"Tabl. D4";#N/A,#N/A,FALSE,"Tabl. D5"}</definedName>
    <definedName name="SCG" hidden="1">{#N/A,#N/A,FALSE,"Tabl. D1";#N/A,#N/A,FALSE,"Tabl. D1 b";#N/A,#N/A,FALSE,"Tabl. D2";#N/A,#N/A,FALSE,"Tabl. D2 b";#N/A,#N/A,FALSE,"Tabl. D3";#N/A,#N/A,FALSE,"Tabl. D4";#N/A,#N/A,FALSE,"Tabl. D5"}</definedName>
    <definedName name="sdasd" hidden="1">#REF!</definedName>
    <definedName name="SDF" localSheetId="20" hidden="1">{#N/A,#N/A,FALSE,"Tabl. G1";#N/A,#N/A,FALSE,"Tabl. G2"}</definedName>
    <definedName name="SDF" hidden="1">{#N/A,#N/A,FALSE,"Tabl. G1";#N/A,#N/A,FALSE,"Tabl. G2"}</definedName>
    <definedName name="SDFDSJF" localSheetId="20" hidden="1">{#N/A,#N/A,FALSE,"RIEP"}</definedName>
    <definedName name="SDFDSJF" hidden="1">{#N/A,#N/A,FALSE,"RIEP"}</definedName>
    <definedName name="sdfg" localSheetId="20" hidden="1">{#N/A,#N/A,FALSE,"Baltimore";#N/A,#N/A,FALSE,"Barrington";#N/A,#N/A,FALSE,"Butler";#N/A,#N/A,FALSE,"Cleveland";#N/A,#N/A,FALSE,"Closter";#N/A,#N/A,FALSE,"Eaton";#N/A,#N/A,FALSE,"Meriden";#N/A,#N/A,FALSE,"Mt. Vernon";#N/A,#N/A,FALSE,"Rochester";#N/A,#N/A,FALSE,"Three Rivers";#N/A,#N/A,FALSE,"Warren"}</definedName>
    <definedName name="sdfg" hidden="1">{#N/A,#N/A,FALSE,"Baltimore";#N/A,#N/A,FALSE,"Barrington";#N/A,#N/A,FALSE,"Butler";#N/A,#N/A,FALSE,"Cleveland";#N/A,#N/A,FALSE,"Closter";#N/A,#N/A,FALSE,"Eaton";#N/A,#N/A,FALSE,"Meriden";#N/A,#N/A,FALSE,"Mt. Vernon";#N/A,#N/A,FALSE,"Rochester";#N/A,#N/A,FALSE,"Three Rivers";#N/A,#N/A,FALSE,"Warren"}</definedName>
    <definedName name="SEDSDS" localSheetId="20" hidden="1">{#N/A,#N/A,FALSE,"RIEP"}</definedName>
    <definedName name="SEDSDS" hidden="1">{#N/A,#N/A,FALSE,"RIEP"}</definedName>
    <definedName name="sencount" hidden="1">1</definedName>
    <definedName name="sfgv" localSheetId="20" hidden="1">{"consolidated",#N/A,FALSE,"Sheet1";"cms",#N/A,FALSE,"Sheet1";"fse",#N/A,FALSE,"Sheet1"}</definedName>
    <definedName name="sfgv" hidden="1">{"consolidated",#N/A,FALSE,"Sheet1";"cms",#N/A,FALSE,"Sheet1";"fse",#N/A,FALSE,"Sheet1"}</definedName>
    <definedName name="sfq" localSheetId="20" hidden="1">{#N/A,#N/A,FALSE,"Calc";#N/A,#N/A,FALSE,"Sensitivity";#N/A,#N/A,FALSE,"LT Earn.Dil.";#N/A,#N/A,FALSE,"Dil. AVP"}</definedName>
    <definedName name="sfq" hidden="1">{#N/A,#N/A,FALSE,"Calc";#N/A,#N/A,FALSE,"Sensitivity";#N/A,#N/A,FALSE,"LT Earn.Dil.";#N/A,#N/A,FALSE,"Dil. AVP"}</definedName>
    <definedName name="SGA" hidden="1">"SGA"</definedName>
    <definedName name="sgdg" localSheetId="20" hidden="1">{#N/A,#N/A,FALSE,"Calc";#N/A,#N/A,FALSE,"Sensitivity";#N/A,#N/A,FALSE,"LT Earn.Dil.";#N/A,#N/A,FALSE,"Dil. AVP"}</definedName>
    <definedName name="sgdg" hidden="1">{#N/A,#N/A,FALSE,"Calc";#N/A,#N/A,FALSE,"Sensitivity";#N/A,#N/A,FALSE,"LT Earn.Dil.";#N/A,#N/A,FALSE,"Dil. AVP"}</definedName>
    <definedName name="sgsgsgsg" localSheetId="20" hidden="1">{#N/A,#N/A,FALSE,"ANEXO3 99 ERA";#N/A,#N/A,FALSE,"ANEXO3 99 UBÁ2";#N/A,#N/A,FALSE,"ANEXO3 99 DTU";#N/A,#N/A,FALSE,"ANEXO3 99 RDR";#N/A,#N/A,FALSE,"ANEXO3 99 UBÁ4";#N/A,#N/A,FALSE,"ANEXO3 99 UBÁ6"}</definedName>
    <definedName name="sgsgsgsg" hidden="1">{#N/A,#N/A,FALSE,"ANEXO3 99 ERA";#N/A,#N/A,FALSE,"ANEXO3 99 UBÁ2";#N/A,#N/A,FALSE,"ANEXO3 99 DTU";#N/A,#N/A,FALSE,"ANEXO3 99 RDR";#N/A,#N/A,FALSE,"ANEXO3 99 UBÁ4";#N/A,#N/A,FALSE,"ANEXO3 99 UBÁ6"}</definedName>
    <definedName name="sgsx" localSheetId="20" hidden="1">{"consolidated",#N/A,FALSE,"Sheet1";"cms",#N/A,FALSE,"Sheet1";"fse",#N/A,FALSE,"Sheet1"}</definedName>
    <definedName name="sgsx" hidden="1">{"consolidated",#N/A,FALSE,"Sheet1";"cms",#N/A,FALSE,"Sheet1";"fse",#N/A,FALSE,"Sheet1"}</definedName>
    <definedName name="SHARESOUTSTANDING" hidden="1">"SHARESOUTSTANDING"</definedName>
    <definedName name="SHORT_TERM_INVEST" hidden="1">"SHORT_TERM_INVEST"</definedName>
    <definedName name="SID" hidden="1">"Cpavan"</definedName>
    <definedName name="SILVINO" localSheetId="20" hidden="1">{#N/A,#N/A,FALSE,"ANEXO3 99 ERA";#N/A,#N/A,FALSE,"ANEXO3 99 UBÁ2";#N/A,#N/A,FALSE,"ANEXO3 99 DTU";#N/A,#N/A,FALSE,"ANEXO3 99 RDR";#N/A,#N/A,FALSE,"ANEXO3 99 UBÁ4";#N/A,#N/A,FALSE,"ANEXO3 99 UBÁ6"}</definedName>
    <definedName name="SILVINO" hidden="1">{#N/A,#N/A,FALSE,"ANEXO3 99 ERA";#N/A,#N/A,FALSE,"ANEXO3 99 UBÁ2";#N/A,#N/A,FALSE,"ANEXO3 99 DTU";#N/A,#N/A,FALSE,"ANEXO3 99 RDR";#N/A,#N/A,FALSE,"ANEXO3 99 UBÁ4";#N/A,#N/A,FALSE,"ANEXO3 99 UBÁ6"}</definedName>
    <definedName name="Sites" localSheetId="20" hidden="1">{#N/A,#N/A,TRUE,"TOTAL DISTRIBUTION";#N/A,#N/A,TRUE,"SOUTH";#N/A,#N/A,TRUE,"NORTHEAST";#N/A,#N/A,TRUE,"WEST"}</definedName>
    <definedName name="Sites" hidden="1">{#N/A,#N/A,TRUE,"TOTAL DISTRIBUTION";#N/A,#N/A,TRUE,"SOUTH";#N/A,#N/A,TRUE,"NORTHEAST";#N/A,#N/A,TRUE,"WEST"}</definedName>
    <definedName name="Sitesdate" localSheetId="20" hidden="1">{#N/A,#N/A,TRUE,"TOTAL DSBN";#N/A,#N/A,TRUE,"WEST";#N/A,#N/A,TRUE,"SOUTH";#N/A,#N/A,TRUE,"NORTHEAST"}</definedName>
    <definedName name="Sitesdate" hidden="1">{#N/A,#N/A,TRUE,"TOTAL DSBN";#N/A,#N/A,TRUE,"WEST";#N/A,#N/A,TRUE,"SOUTH";#N/A,#N/A,TRUE,"NORTHEAST"}</definedName>
    <definedName name="SOBRA" localSheetId="20" hidden="1">{#N/A,#N/A,FALSE,"CONTROLE";#N/A,#N/A,FALSE,"CONTROLE"}</definedName>
    <definedName name="SOBRA" hidden="1">{#N/A,#N/A,FALSE,"CONTROLE";#N/A,#N/A,FALSE,"CONTROLE"}</definedName>
    <definedName name="solver_adj" hidden="1">#REF!,#REF!</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0.8</definedName>
    <definedName name="SPE">_Config!$F$28:$F$42</definedName>
    <definedName name="SPWD" hidden="1">"pepsico"</definedName>
    <definedName name="ss" localSheetId="20" hidden="1">{#N/A,#N/A,FALSE,"CONTROLE"}</definedName>
    <definedName name="ss" hidden="1">{#N/A,#N/A,FALSE,"CONTROLE"}</definedName>
    <definedName name="sss" localSheetId="20" hidden="1">{#N/A,#N/A,FALSE,"CONTROLE"}</definedName>
    <definedName name="sss" hidden="1">{#N/A,#N/A,FALSE,"CONTROLE"}</definedName>
    <definedName name="SSSADADSF" localSheetId="20" hidden="1">{"SPM1",#N/A,FALSE,"RIEP"}</definedName>
    <definedName name="SSSADADSF" hidden="1">{"SPM1",#N/A,FALSE,"RIEP"}</definedName>
    <definedName name="ssss" localSheetId="20" hidden="1">{#N/A,#N/A,FALSE,"CONTROLE"}</definedName>
    <definedName name="ssss" hidden="1">{#N/A,#N/A,FALSE,"CONTROLE"}</definedName>
    <definedName name="sssss" localSheetId="20" hidden="1">{#N/A,#N/A,FALSE,"Calc";#N/A,#N/A,FALSE,"Sensitivity";#N/A,#N/A,FALSE,"LT Earn.Dil.";#N/A,#N/A,FALSE,"Dil. AVP"}</definedName>
    <definedName name="sssss" hidden="1">{#N/A,#N/A,FALSE,"Calc";#N/A,#N/A,FALSE,"Sensitivity";#N/A,#N/A,FALSE,"LT Earn.Dil.";#N/A,#N/A,FALSE,"Dil. AVP"}</definedName>
    <definedName name="ssssssssssssssssssssssssss" localSheetId="20" hidden="1">{"QQQ",#N/A,FALSE,"RIEP"}</definedName>
    <definedName name="ssssssssssssssssssssssssss" hidden="1">{"QQQ",#N/A,FALSE,"RIEP"}</definedName>
    <definedName name="STATE" hidden="1">"STATE"</definedName>
    <definedName name="Status">#REF!</definedName>
    <definedName name="steven" localSheetId="20"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OCK_BASED" hidden="1">"STOCK_BASED"</definedName>
    <definedName name="stronza" localSheetId="20" hidden="1">{"CECons",#N/A,FALSE,"CE"}</definedName>
    <definedName name="stronza" hidden="1">{"CECons",#N/A,FALSE,"CE"}</definedName>
    <definedName name="stu" localSheetId="20" hidden="1">{#N/A,#N/A,FALSE,"Tabl. D1";#N/A,#N/A,FALSE,"Tabl. D1 b";#N/A,#N/A,FALSE,"Tabl. D2";#N/A,#N/A,FALSE,"Tabl. D2 b";#N/A,#N/A,FALSE,"Tabl. D3";#N/A,#N/A,FALSE,"Tabl. D4";#N/A,#N/A,FALSE,"Tabl. D5"}</definedName>
    <definedName name="stu" hidden="1">{#N/A,#N/A,FALSE,"Tabl. D1";#N/A,#N/A,FALSE,"Tabl. D1 b";#N/A,#N/A,FALSE,"Tabl. D2";#N/A,#N/A,FALSE,"Tabl. D2 b";#N/A,#N/A,FALSE,"Tabl. D3";#N/A,#N/A,FALSE,"Tabl. D4";#N/A,#N/A,FALSE,"Tabl. D5"}</definedName>
    <definedName name="Subs" localSheetId="20" hidden="1">{#N/A,#N/A,FALSE,"ANEXO3 99 ERA";#N/A,#N/A,FALSE,"ANEXO3 99 UBÁ2";#N/A,#N/A,FALSE,"ANEXO3 99 DTU";#N/A,#N/A,FALSE,"ANEXO3 99 RDR";#N/A,#N/A,FALSE,"ANEXO3 99 UBÁ4";#N/A,#N/A,FALSE,"ANEXO3 99 UBÁ6"}</definedName>
    <definedName name="Subs" hidden="1">{#N/A,#N/A,FALSE,"ANEXO3 99 ERA";#N/A,#N/A,FALSE,"ANEXO3 99 UBÁ2";#N/A,#N/A,FALSE,"ANEXO3 99 DTU";#N/A,#N/A,FALSE,"ANEXO3 99 RDR";#N/A,#N/A,FALSE,"ANEXO3 99 UBÁ4";#N/A,#N/A,FALSE,"ANEXO3 99 UBÁ6"}</definedName>
    <definedName name="subsestacoes" localSheetId="20" hidden="1">{#N/A,#N/A,FALSE,"ANEXO3 99 ERA";#N/A,#N/A,FALSE,"ANEXO3 99 UBÁ2";#N/A,#N/A,FALSE,"ANEXO3 99 DTU";#N/A,#N/A,FALSE,"ANEXO3 99 RDR";#N/A,#N/A,FALSE,"ANEXO3 99 UBÁ4";#N/A,#N/A,FALSE,"ANEXO3 99 UBÁ6"}</definedName>
    <definedName name="subsestacoes" hidden="1">{#N/A,#N/A,FALSE,"ANEXO3 99 ERA";#N/A,#N/A,FALSE,"ANEXO3 99 UBÁ2";#N/A,#N/A,FALSE,"ANEXO3 99 DTU";#N/A,#N/A,FALSE,"ANEXO3 99 RDR";#N/A,#N/A,FALSE,"ANEXO3 99 UBÁ4";#N/A,#N/A,FALSE,"ANEXO3 99 UBÁ6"}</definedName>
    <definedName name="SWS" hidden="1">#REF!</definedName>
    <definedName name="t" localSheetId="20" hidden="1">{#N/A,#N/A,FALSE,"CONTROLE"}</definedName>
    <definedName name="t" hidden="1">{#N/A,#N/A,FALSE,"CONTROLE"}</definedName>
    <definedName name="T4211a" localSheetId="20" hidden="1">{#N/A,#N/A,FALSE,"ANEXO3 99 ERA";#N/A,#N/A,FALSE,"ANEXO3 99 UBÁ2";#N/A,#N/A,FALSE,"ANEXO3 99 DTU";#N/A,#N/A,FALSE,"ANEXO3 99 RDR";#N/A,#N/A,FALSE,"ANEXO3 99 UBÁ4";#N/A,#N/A,FALSE,"ANEXO3 99 UBÁ6"}</definedName>
    <definedName name="T4211a" hidden="1">{#N/A,#N/A,FALSE,"ANEXO3 99 ERA";#N/A,#N/A,FALSE,"ANEXO3 99 UBÁ2";#N/A,#N/A,FALSE,"ANEXO3 99 DTU";#N/A,#N/A,FALSE,"ANEXO3 99 RDR";#N/A,#N/A,FALSE,"ANEXO3 99 UBÁ4";#N/A,#N/A,FALSE,"ANEXO3 99 UBÁ6"}</definedName>
    <definedName name="T4211b" localSheetId="20" hidden="1">{#N/A,#N/A,FALSE,"ANEXO3 99 ERA";#N/A,#N/A,FALSE,"ANEXO3 99 UBÁ2";#N/A,#N/A,FALSE,"ANEXO3 99 DTU";#N/A,#N/A,FALSE,"ANEXO3 99 RDR";#N/A,#N/A,FALSE,"ANEXO3 99 UBÁ4";#N/A,#N/A,FALSE,"ANEXO3 99 UBÁ6"}</definedName>
    <definedName name="T4211b" hidden="1">{#N/A,#N/A,FALSE,"ANEXO3 99 ERA";#N/A,#N/A,FALSE,"ANEXO3 99 UBÁ2";#N/A,#N/A,FALSE,"ANEXO3 99 DTU";#N/A,#N/A,FALSE,"ANEXO3 99 RDR";#N/A,#N/A,FALSE,"ANEXO3 99 UBÁ4";#N/A,#N/A,FALSE,"ANEXO3 99 UBÁ6"}</definedName>
    <definedName name="t4211C" localSheetId="20" hidden="1">{#N/A,#N/A,FALSE,"ANEXO3 99 ERA";#N/A,#N/A,FALSE,"ANEXO3 99 UBÁ2";#N/A,#N/A,FALSE,"ANEXO3 99 DTU";#N/A,#N/A,FALSE,"ANEXO3 99 RDR";#N/A,#N/A,FALSE,"ANEXO3 99 UBÁ4";#N/A,#N/A,FALSE,"ANEXO3 99 UBÁ6"}</definedName>
    <definedName name="t4211C" hidden="1">{#N/A,#N/A,FALSE,"ANEXO3 99 ERA";#N/A,#N/A,FALSE,"ANEXO3 99 UBÁ2";#N/A,#N/A,FALSE,"ANEXO3 99 DTU";#N/A,#N/A,FALSE,"ANEXO3 99 RDR";#N/A,#N/A,FALSE,"ANEXO3 99 UBÁ4";#N/A,#N/A,FALSE,"ANEXO3 99 UBÁ6"}</definedName>
    <definedName name="t4211z" localSheetId="20" hidden="1">{#N/A,#N/A,FALSE,"ANEXO3 99 ERA";#N/A,#N/A,FALSE,"ANEXO3 99 UBÁ2";#N/A,#N/A,FALSE,"ANEXO3 99 DTU";#N/A,#N/A,FALSE,"ANEXO3 99 RDR";#N/A,#N/A,FALSE,"ANEXO3 99 UBÁ4";#N/A,#N/A,FALSE,"ANEXO3 99 UBÁ6"}</definedName>
    <definedName name="t4211z" hidden="1">{#N/A,#N/A,FALSE,"ANEXO3 99 ERA";#N/A,#N/A,FALSE,"ANEXO3 99 UBÁ2";#N/A,#N/A,FALSE,"ANEXO3 99 DTU";#N/A,#N/A,FALSE,"ANEXO3 99 RDR";#N/A,#N/A,FALSE,"ANEXO3 99 UBÁ4";#N/A,#N/A,FALSE,"ANEXO3 99 UBÁ6"}</definedName>
    <definedName name="t79oto97t" localSheetId="20" hidden="1">{#N/A,#N/A,FALSE,"RIEP"}</definedName>
    <definedName name="t79oto97t" hidden="1">{#N/A,#N/A,FALSE,"RIEP"}</definedName>
    <definedName name="t7u74u" localSheetId="20" hidden="1">{"QQQ",#N/A,FALSE,"RIEP"}</definedName>
    <definedName name="t7u74u" hidden="1">{"QQQ",#N/A,FALSE,"RIEP"}</definedName>
    <definedName name="t7u75" localSheetId="20" hidden="1">{"SPM1",#N/A,FALSE,"RIEP"}</definedName>
    <definedName name="t7u75" hidden="1">{"SPM1",#N/A,FALSE,"RIEP"}</definedName>
    <definedName name="t7ur7u" localSheetId="20" hidden="1">{#N/A,#N/A,FALSE,"RIEP"}</definedName>
    <definedName name="t7ur7u" hidden="1">{#N/A,#N/A,FALSE,"RIEP"}</definedName>
    <definedName name="tabl" localSheetId="20" hidden="1">{#N/A,#N/A,FALSE,"Tabl. H1";#N/A,#N/A,FALSE,"Tabl. H2"}</definedName>
    <definedName name="tabl" hidden="1">{#N/A,#N/A,FALSE,"Tabl. H1";#N/A,#N/A,FALSE,"Tabl. H2"}</definedName>
    <definedName name="tableau" localSheetId="20" hidden="1">{#N/A,#N/A,FALSE,"Tabl. A1";#N/A,#N/A,FALSE,"Tabl. A1 b";#N/A,#N/A,FALSE,"Tabl. A2";#N/A,#N/A,FALSE,"Tabl. A2-1";#N/A,#N/A,FALSE,"Tabl. A2-2"}</definedName>
    <definedName name="tableau" hidden="1">{#N/A,#N/A,FALSE,"Tabl. A1";#N/A,#N/A,FALSE,"Tabl. A1 b";#N/A,#N/A,FALSE,"Tabl. A2";#N/A,#N/A,FALSE,"Tabl. A2-1";#N/A,#N/A,FALSE,"Tabl. A2-2"}</definedName>
    <definedName name="tbg" localSheetId="20" hidden="1">{#N/A,#N/A,FALSE,"Tabl. G1";#N/A,#N/A,FALSE,"Tabl. G2"}</definedName>
    <definedName name="tbg" hidden="1">{#N/A,#N/A,FALSE,"Tabl. G1";#N/A,#N/A,FALSE,"Tabl. G2"}</definedName>
    <definedName name="TCO" hidden="1">#REF!</definedName>
    <definedName name="teast" localSheetId="20" hidden="1">{#N/A,#N/A,TRUE,"TOTAL DSBN";#N/A,#N/A,TRUE,"WEST";#N/A,#N/A,TRUE,"SOUTH";#N/A,#N/A,TRUE,"NORTHEAST"}</definedName>
    <definedName name="teast" hidden="1">{#N/A,#N/A,TRUE,"TOTAL DSBN";#N/A,#N/A,TRUE,"WEST";#N/A,#N/A,TRUE,"SOUTH";#N/A,#N/A,TRUE,"NORTHEAST"}</definedName>
    <definedName name="temp" hidden="1">#REF!</definedName>
    <definedName name="test.4" localSheetId="20" hidden="1">{"Padd I to III",#N/A,FALSE,"REFINERY";"Padd IV to US",#N/A,FALSE,"REFINERY";"Crude Balance I",#N/A,FALSE,"REFINERY";"Crude Balance II",#N/A,FALSE,"REFINERY"}</definedName>
    <definedName name="test.4" hidden="1">{"Padd I to III",#N/A,FALSE,"REFINERY";"Padd IV to US",#N/A,FALSE,"REFINERY";"Crude Balance I",#N/A,FALSE,"REFINERY";"Crude Balance II",#N/A,FALSE,"REFINERY"}</definedName>
    <definedName name="test.all" localSheetId="20" hidden="1">{"PAGE1",#N/A,FALSE,"YIELDS";"PAGE2",#N/A,FALSE,"YIELDS";"PAGE3",#N/A,FALSE,"YIELDS"}</definedName>
    <definedName name="test.all" hidden="1">{"PAGE1",#N/A,FALSE,"YIELDS";"PAGE2",#N/A,FALSE,"YIELDS";"PAGE3",#N/A,FALSE,"YIELDS"}</definedName>
    <definedName name="Teste" localSheetId="20" hidden="1">{#N/A,#N/A,FALSE,"COBO";#N/A,#N/A,FALSE,"Atlantic";#N/A,#N/A,FALSE,"NCalif";#N/A,#N/A,FALSE,"SCalif";#N/A,#N/A,FALSE,"Eastern";#N/A,#N/A,FALSE,"Florida";#N/A,#N/A,FALSE,"GreatWest";#N/A,#N/A,FALSE,"Heartland";#N/A,#N/A,FALSE,"Michigan";#N/A,#N/A,FALSE,"Northwest";#N/A,#N/A,FALSE,"Southeast";#N/A,#N/A,FALSE,"Texoma"}</definedName>
    <definedName name="Teste" hidden="1">{#N/A,#N/A,FALSE,"COBO";#N/A,#N/A,FALSE,"Atlantic";#N/A,#N/A,FALSE,"NCalif";#N/A,#N/A,FALSE,"SCalif";#N/A,#N/A,FALSE,"Eastern";#N/A,#N/A,FALSE,"Florida";#N/A,#N/A,FALSE,"GreatWest";#N/A,#N/A,FALSE,"Heartland";#N/A,#N/A,FALSE,"Michigan";#N/A,#N/A,FALSE,"Northwest";#N/A,#N/A,FALSE,"Southeast";#N/A,#N/A,FALSE,"Texoma"}</definedName>
    <definedName name="Teste_1" localSheetId="20" hidden="1">{#N/A,#N/A,FALSE,"CONTROLE"}</definedName>
    <definedName name="Teste_1" hidden="1">{#N/A,#N/A,FALSE,"CONTROLE"}</definedName>
    <definedName name="teste1" localSheetId="20" hidden="1">{#N/A,#N/A,FALSE,"CONTROLE"}</definedName>
    <definedName name="teste1" hidden="1">{#N/A,#N/A,FALSE,"CONTROLE"}</definedName>
    <definedName name="teste2" hidden="1">#REF!</definedName>
    <definedName name="testing" localSheetId="20" hidden="1">{"detail305",#N/A,FALSE,"BI-305"}</definedName>
    <definedName name="testing" hidden="1">{"detail305",#N/A,FALSE,"BI-305"}</definedName>
    <definedName name="TextRefCopyRangeCount" hidden="1">2</definedName>
    <definedName name="THNEN" localSheetId="20" hidden="1">{#N/A,#N/A,FALSE,"Tabl. FB300";#N/A,#N/A,FALSE,"Tabl. FB350";#N/A,#N/A,FALSE,"Tabl. FB400";#N/A,#N/A,FALSE,"Tabl. FB500";#N/A,#N/A,FALSE,"Tabl. FS090"}</definedName>
    <definedName name="THNEN" hidden="1">{#N/A,#N/A,FALSE,"Tabl. FB300";#N/A,#N/A,FALSE,"Tabl. FB350";#N/A,#N/A,FALSE,"Tabl. FB400";#N/A,#N/A,FALSE,"Tabl. FB500";#N/A,#N/A,FALSE,"Tabl. FS090"}</definedName>
    <definedName name="thth" localSheetId="20" hidden="1">{#N/A,#N/A,FALSE,"Calc";#N/A,#N/A,FALSE,"Sensitivity";#N/A,#N/A,FALSE,"LT Earn.Dil.";#N/A,#N/A,FALSE,"Dil. AVP"}</definedName>
    <definedName name="thth" hidden="1">{#N/A,#N/A,FALSE,"Calc";#N/A,#N/A,FALSE,"Sensitivity";#N/A,#N/A,FALSE,"LT Earn.Dil.";#N/A,#N/A,FALSE,"Dil. AVP"}</definedName>
    <definedName name="tikl679o679o" localSheetId="20" hidden="1">{#N/A,#N/A,FALSE,"RIEP"}</definedName>
    <definedName name="tikl679o679o" hidden="1">{#N/A,#N/A,FALSE,"RIEP"}</definedName>
    <definedName name="TOTAL_ASSETS" hidden="1">"TOTAL_ASSETS"</definedName>
    <definedName name="TOTAL_CASH_DIVID" hidden="1">"TOTAL_CASH_DIVID"</definedName>
    <definedName name="TOTAL_CASH_FINAN" hidden="1">"TOTAL_CASH_FINAN"</definedName>
    <definedName name="TOTAL_CASH_INVEST" hidden="1">"TOTAL_CASH_INVEST"</definedName>
    <definedName name="TOTAL_CASH_OPER" hidden="1">"TOTAL_CASH_OPER"</definedName>
    <definedName name="TOTAL_COMMON" hidden="1">"TOTAL_COMMON"</definedName>
    <definedName name="TOTAL_CURRENT_ASSETS" hidden="1">"TOTAL_CURRENT_ASSETS"</definedName>
    <definedName name="TOTAL_CURRENT_LIAB" hidden="1">"TOTAL_CURRENT_LIAB"</definedName>
    <definedName name="TOTAL_DEBT" hidden="1">"TOTAL_DEBT"</definedName>
    <definedName name="TOTAL_DEBT_OVER_EBITDA" hidden="1">"TOTAL_DEBT_OVER_EBITDA"</definedName>
    <definedName name="TOTAL_DEBT_OVER_TOTAL_BV" hidden="1">"TOTAL_DEBT_OVER_TOTAL_BV"</definedName>
    <definedName name="TOTAL_DEBT_OVER_TOTAL_CAP" hidden="1">"TOTAL_DEBT_OVER_TOTAL_CAP"</definedName>
    <definedName name="TOTAL_EQUITY" hidden="1">"TOTAL_EQUITY"</definedName>
    <definedName name="TOTAL_INTEREST_EXP" hidden="1">"TOTAL_INTEREST_EXP"</definedName>
    <definedName name="TOTAL_INVENTORY" hidden="1">"TOTAL_INVENTORY"</definedName>
    <definedName name="TOTAL_LIAB" hidden="1">"TOTAL_LIAB"</definedName>
    <definedName name="TOTAL_LIAB_SHAREHOLD" hidden="1">"TOTAL_LIAB_SHAREHOLD"</definedName>
    <definedName name="TOTAL_LONG_DEBT" hidden="1">"TOTAL_LONG_DEBT"</definedName>
    <definedName name="TOTAL_OPER_EXPEN" hidden="1">"TOTAL_OPER_EXPEN"</definedName>
    <definedName name="TOTAL_RECEIV" hidden="1">"TOTAL_RECEIV"</definedName>
    <definedName name="TOTAL_REVENUE" hidden="1">"TOTAL_REVENUE"</definedName>
    <definedName name="TOTAL_SPECIAL" hidden="1">"TOTAL_SPECIAL"</definedName>
    <definedName name="TRADE_AR" hidden="1">"TRADE_AR"</definedName>
    <definedName name="Transmissão">_Config!$M$5:$M$10</definedName>
    <definedName name="TransmissãoAmpliação">_Config!$Q$16</definedName>
    <definedName name="TransmissãoInvestimentodeApoio">_Config!$K$16:$K$18</definedName>
    <definedName name="TransmissãoMelhoriaGrandePorte">_Config!$L$16:$L$18</definedName>
    <definedName name="TransmissãoMelhoriaPequenoPorte">_Config!$O$16:$O$19</definedName>
    <definedName name="TransmissãoReforçoGrandePorte">_Config!$M$16:$M$18</definedName>
    <definedName name="TransmissãoReforçoPequenoPorte">_Config!$N$16:$N$19</definedName>
    <definedName name="TREASURY_STOCK" hidden="1">"TREASURY_STOCK"</definedName>
    <definedName name="TRGP" localSheetId="17">_xlfn._xlws.FILTER(RMGDE[],RMGDE[Categoria do Investimento]="RGP","")</definedName>
    <definedName name="TRGP" localSheetId="20">_xlfn._xlws.FILTER([1]!RMGDE[#Data],[1]!RMGDE[Categoria do Investimento]="RGP","")</definedName>
    <definedName name="TRGP" localSheetId="18">_xlfn._xlws.FILTER(RMGDE[],RMGDE[Categoria do Investimento]="RGP","")</definedName>
    <definedName name="TRGP" localSheetId="19">_xlfn._xlws.FILTER(RMGDE[],RMGDE[Categoria do Investimento]="RGP","")</definedName>
    <definedName name="TRGP">_xlfn._xlws.FILTER(RMGDE[],RMGDE[Categoria do Investimento]="RGP","")</definedName>
    <definedName name="trjk5i57" localSheetId="20" hidden="1">{"SPM1",#N/A,FALSE,"RIEP"}</definedName>
    <definedName name="trjk5i57" hidden="1">{"SPM1",#N/A,FALSE,"RIEP"}</definedName>
    <definedName name="trrthrthgt" localSheetId="20" hidden="1">{#N/A,#N/A,FALSE,"Tabl. A1";#N/A,#N/A,FALSE,"Tabl. A1 b";#N/A,#N/A,FALSE,"Tabl. A2";#N/A,#N/A,FALSE,"Tabl. A2-1";#N/A,#N/A,FALSE,"Tabl. A2-2"}</definedName>
    <definedName name="trrthrthgt" hidden="1">{#N/A,#N/A,FALSE,"Tabl. A1";#N/A,#N/A,FALSE,"Tabl. A1 b";#N/A,#N/A,FALSE,"Tabl. A2";#N/A,#N/A,FALSE,"Tabl. A2-1";#N/A,#N/A,FALSE,"Tabl. A2-2"}</definedName>
    <definedName name="tt" localSheetId="20" hidden="1">{#N/A,#N/A,FALSE,"CONTROLE"}</definedName>
    <definedName name="tt" hidden="1">{#N/A,#N/A,FALSE,"CONTROLE"}</definedName>
    <definedName name="tttt" localSheetId="20" hidden="1">{#N/A,#N/A,FALSE,"CONTROLE"}</definedName>
    <definedName name="tttt" hidden="1">{#N/A,#N/A,FALSE,"CONTROLE"}</definedName>
    <definedName name="ttttt" localSheetId="20" hidden="1">{"HOJA100",#N/A,FALSE,"HOJA_100";"HOJA200",#N/A,FALSE,"HOJA_200";"HOJA300",#N/A,FALSE,"HOJA_300";"HOJA400",#N/A,FALSE,"HOJA_400"}</definedName>
    <definedName name="ttttt" hidden="1">{"HOJA100",#N/A,FALSE,"HOJA_100";"HOJA200",#N/A,FALSE,"HOJA_200";"HOJA300",#N/A,FALSE,"HOJA_300";"HOJA400",#N/A,FALSE,"HOJA_400"}</definedName>
    <definedName name="tttttre" localSheetId="20" hidden="1">{#N/A,#N/A,FALSE,"Tabl. G1";#N/A,#N/A,FALSE,"Tabl. G2"}</definedName>
    <definedName name="tttttre" hidden="1">{#N/A,#N/A,FALSE,"Tabl. G1";#N/A,#N/A,FALSE,"Tabl. G2"}</definedName>
    <definedName name="tttttt" localSheetId="20" hidden="1">{"HOJA100",#N/A,FALSE,"HOJA_100";"HOJA200",#N/A,FALSE,"HOJA_200";"HOJA300",#N/A,FALSE,"HOJA_300";"HOJA400",#N/A,FALSE,"HOJA_400"}</definedName>
    <definedName name="tttttt" hidden="1">{"HOJA100",#N/A,FALSE,"HOJA_100";"HOJA200",#N/A,FALSE,"HOJA_200";"HOJA300",#N/A,FALSE,"HOJA_300";"HOJA400",#N/A,FALSE,"HOJA_400"}</definedName>
    <definedName name="ttttttt" localSheetId="20" hidden="1">{#N/A,#N/A,FALSE,"CONTROLE"}</definedName>
    <definedName name="ttttttt" hidden="1">{#N/A,#N/A,FALSE,"CONTROLE"}</definedName>
    <definedName name="tttttttt" localSheetId="20" hidden="1">{#N/A,#N/A,FALSE,"CONTROLE"}</definedName>
    <definedName name="tttttttt" hidden="1">{#N/A,#N/A,FALSE,"CONTROLE"}</definedName>
    <definedName name="ttttttttt" localSheetId="20" hidden="1">{#N/A,#N/A,FALSE,"CONTROLE"}</definedName>
    <definedName name="ttttttttt" hidden="1">{#N/A,#N/A,FALSE,"CONTROLE"}</definedName>
    <definedName name="tttttttttt" localSheetId="20" hidden="1">{#N/A,#N/A,FALSE,"CONTROLE"}</definedName>
    <definedName name="tttttttttt" hidden="1">{#N/A,#N/A,FALSE,"CONTROLE"}</definedName>
    <definedName name="tttttttttttt" localSheetId="20" hidden="1">{#N/A,#N/A,FALSE,"CONTROLE"}</definedName>
    <definedName name="tttttttttttt" hidden="1">{#N/A,#N/A,FALSE,"CONTROLE"}</definedName>
    <definedName name="ttttttttttttt" localSheetId="20" hidden="1">{#N/A,#N/A,FALSE,"CONTROLE"}</definedName>
    <definedName name="ttttttttttttt" hidden="1">{#N/A,#N/A,FALSE,"CONTROLE"}</definedName>
    <definedName name="ttttttttttttttttttttt" localSheetId="20" hidden="1">{#N/A,#N/A,FALSE,"CONTROLE"}</definedName>
    <definedName name="ttttttttttttttttttttt" hidden="1">{#N/A,#N/A,FALSE,"CONTROLE"}</definedName>
    <definedName name="ty" localSheetId="20" hidden="1">{"'Hoja1'!$A$1:$N$27"}</definedName>
    <definedName name="ty" hidden="1">{"'Hoja1'!$A$1:$N$27"}</definedName>
    <definedName name="ty65y7th" localSheetId="20" hidden="1">{#N/A,#N/A,FALSE,"Calc";#N/A,#N/A,FALSE,"Sensitivity";#N/A,#N/A,FALSE,"LT Earn.Dil.";#N/A,#N/A,FALSE,"Dil. AVP"}</definedName>
    <definedName name="ty65y7th" hidden="1">{#N/A,#N/A,FALSE,"Calc";#N/A,#N/A,FALSE,"Sensitivity";#N/A,#N/A,FALSE,"LT Earn.Dil.";#N/A,#N/A,FALSE,"Dil. AVP"}</definedName>
    <definedName name="tyiltu9ol" localSheetId="20" hidden="1">{"QQQ",#N/A,FALSE,"RIEP"}</definedName>
    <definedName name="tyiltu9ol" hidden="1">{"QQQ",#N/A,FALSE,"RIEP"}</definedName>
    <definedName name="UBB_UTEJF" localSheetId="20" hidden="1">{#N/A,#N/A,FALSE,"ANEXO3 99 ERA";#N/A,#N/A,FALSE,"ANEXO3 99 UBÁ2";#N/A,#N/A,FALSE,"ANEXO3 99 DTU";#N/A,#N/A,FALSE,"ANEXO3 99 RDR";#N/A,#N/A,FALSE,"ANEXO3 99 UBÁ4";#N/A,#N/A,FALSE,"ANEXO3 99 UBÁ6"}</definedName>
    <definedName name="UBB_UTEJF" hidden="1">{#N/A,#N/A,FALSE,"ANEXO3 99 ERA";#N/A,#N/A,FALSE,"ANEXO3 99 UBÁ2";#N/A,#N/A,FALSE,"ANEXO3 99 DTU";#N/A,#N/A,FALSE,"ANEXO3 99 RDR";#N/A,#N/A,FALSE,"ANEXO3 99 UBÁ4";#N/A,#N/A,FALSE,"ANEXO3 99 UBÁ6"}</definedName>
    <definedName name="ugkj" localSheetId="20" hidden="1">{"QQQ",#N/A,FALSE,"RIEP"}</definedName>
    <definedName name="ugkj" hidden="1">{"QQQ",#N/A,FALSE,"RIEP"}</definedName>
    <definedName name="UHJ" localSheetId="20" hidden="1">{#N/A,#N/A,FALSE,"Tabl. FB300";#N/A,#N/A,FALSE,"Tabl. FB350";#N/A,#N/A,FALSE,"Tabl. FB400";#N/A,#N/A,FALSE,"Tabl. FB500";#N/A,#N/A,FALSE,"Tabl. FS090"}</definedName>
    <definedName name="UHJ" hidden="1">{#N/A,#N/A,FALSE,"Tabl. FB300";#N/A,#N/A,FALSE,"Tabl. FB350";#N/A,#N/A,FALSE,"Tabl. FB400";#N/A,#N/A,FALSE,"Tabl. FB500";#N/A,#N/A,FALSE,"Tabl. FS090"}</definedName>
    <definedName name="umberto2" hidden="1">#REF!</definedName>
    <definedName name="UNREALIZED_GAIN" hidden="1">"UNREALIZED_GAIN"</definedName>
    <definedName name="UNUSUAL_EXP" hidden="1">"UNUSUAL_EXP"</definedName>
    <definedName name="US_GAAP" hidden="1">"US_GAAP"</definedName>
    <definedName name="utg" localSheetId="20" hidden="1">{#N/A,#N/A,FALSE,"Tabl. H1";#N/A,#N/A,FALSE,"Tabl. H2"}</definedName>
    <definedName name="utg" hidden="1">{#N/A,#N/A,FALSE,"Tabl. H1";#N/A,#N/A,FALSE,"Tabl. H2"}</definedName>
    <definedName name="uttkjg" localSheetId="20" hidden="1">{"QQQ",#N/A,FALSE,"RIEP"}</definedName>
    <definedName name="uttkjg" hidden="1">{"QQQ",#N/A,FALSE,"RIEP"}</definedName>
    <definedName name="UU" localSheetId="20" hidden="1">{"TotalGeralDespesasPorArea",#N/A,FALSE,"VinculosAccessEfetivo"}</definedName>
    <definedName name="UU" hidden="1">{"TotalGeralDespesasPorArea",#N/A,FALSE,"VinculosAccessEfetivo"}</definedName>
    <definedName name="UUJNN?JNJ" localSheetId="20" hidden="1">{#N/A,#N/A,FALSE,"Tabl. G1";#N/A,#N/A,FALSE,"Tabl. G2"}</definedName>
    <definedName name="UUJNN?JNJ" hidden="1">{#N/A,#N/A,FALSE,"Tabl. G1";#N/A,#N/A,FALSE,"Tabl. G2"}</definedName>
    <definedName name="UUYYYYYYYY" localSheetId="20" hidden="1">{#N/A,#N/A,FALSE,"Tabl. A1";#N/A,#N/A,FALSE,"Tabl. A1 b";#N/A,#N/A,FALSE,"Tabl. A2";#N/A,#N/A,FALSE,"Tabl. A2-1";#N/A,#N/A,FALSE,"Tabl. A2-2"}</definedName>
    <definedName name="UUYYYYYYYY" hidden="1">{#N/A,#N/A,FALSE,"Tabl. A1";#N/A,#N/A,FALSE,"Tabl. A1 b";#N/A,#N/A,FALSE,"Tabl. A2";#N/A,#N/A,FALSE,"Tabl. A2-1";#N/A,#N/A,FALSE,"Tabl. A2-2"}</definedName>
    <definedName name="UYB" localSheetId="20" hidden="1">{#N/A,#N/A,FALSE,"Tabl. A1";#N/A,#N/A,FALSE,"Tabl. A1 b";#N/A,#N/A,FALSE,"Tabl. A2";#N/A,#N/A,FALSE,"Tabl. A2-1";#N/A,#N/A,FALSE,"Tabl. A2-2"}</definedName>
    <definedName name="UYB" hidden="1">{#N/A,#N/A,FALSE,"Tabl. A1";#N/A,#N/A,FALSE,"Tabl. A1 b";#N/A,#N/A,FALSE,"Tabl. A2";#N/A,#N/A,FALSE,"Tabl. A2-1";#N/A,#N/A,FALSE,"Tabl. A2-2"}</definedName>
    <definedName name="v" localSheetId="20" hidden="1">{#N/A,#N/A,FALSE,"RIEP"}</definedName>
    <definedName name="v" hidden="1">{#N/A,#N/A,FALSE,"RIEP"}</definedName>
    <definedName name="v6uyjyu" localSheetId="20" hidden="1">{#N/A,#N/A,FALSE,"RIEP"}</definedName>
    <definedName name="v6uyjyu" hidden="1">{#N/A,#N/A,FALSE,"RIEP"}</definedName>
    <definedName name="vb"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vb"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vo" localSheetId="20" hidden="1">{"consolidated",#N/A,FALSE,"Sheet1";"cms",#N/A,FALSE,"Sheet1";"fse",#N/A,FALSE,"Sheet1"}</definedName>
    <definedName name="vo" hidden="1">{"consolidated",#N/A,FALSE,"Sheet1";"cms",#N/A,FALSE,"Sheet1";"fse",#N/A,FALSE,"Sheet1"}</definedName>
    <definedName name="VOLUME" hidden="1">"VOLUME"</definedName>
    <definedName name="vv" hidden="1">#REF!</definedName>
    <definedName name="vvvv" localSheetId="20" hidden="1">{"QQQ",#N/A,FALSE,"RIEP"}</definedName>
    <definedName name="vvvv" hidden="1">{"QQQ",#N/A,FALSE,"RIEP"}</definedName>
    <definedName name="vvvvbbbb" localSheetId="20" hidden="1">{#N/A,#N/A,FALSE,"RIEP"}</definedName>
    <definedName name="vvvvbbbb" hidden="1">{#N/A,#N/A,FALSE,"RIEP"}</definedName>
    <definedName name="vvvvvv" localSheetId="20" hidden="1">{#N/A,#N/A,FALSE,"RIEP"}</definedName>
    <definedName name="vvvvvv" hidden="1">{#N/A,#N/A,FALSE,"RIEP"}</definedName>
    <definedName name="vvvvvvvv" localSheetId="20" hidden="1">{"SPM1",#N/A,FALSE,"RIEP"}</definedName>
    <definedName name="vvvvvvvv" hidden="1">{"SPM1",#N/A,FALSE,"RIEP"}</definedName>
    <definedName name="vwx" localSheetId="20" hidden="1">{#N/A,#N/A,FALSE,"Tabl. FB300";#N/A,#N/A,FALSE,"Tabl. FB350";#N/A,#N/A,FALSE,"Tabl. FB400";#N/A,#N/A,FALSE,"Tabl. FB500";#N/A,#N/A,FALSE,"Tabl. FS090"}</definedName>
    <definedName name="vwx" hidden="1">{#N/A,#N/A,FALSE,"Tabl. FB300";#N/A,#N/A,FALSE,"Tabl. FB350";#N/A,#N/A,FALSE,"Tabl. FB400";#N/A,#N/A,FALSE,"Tabl. FB500";#N/A,#N/A,FALSE,"Tabl. FS090"}</definedName>
    <definedName name="w" localSheetId="20" hidden="1">{#N/A,#N/A,FALSE,"CONTROLE"}</definedName>
    <definedName name="w" hidden="1">{#N/A,#N/A,FALSE,"CONTROLE"}</definedName>
    <definedName name="wert" localSheetId="20" hidden="1">{#N/A,#N/A,FALSE,"Baltimore";#N/A,#N/A,FALSE,"Barrington";#N/A,#N/A,FALSE,"Butler";#N/A,#N/A,FALSE,"Cleveland";#N/A,#N/A,FALSE,"Closter";#N/A,#N/A,FALSE,"Eaton";#N/A,#N/A,FALSE,"Meriden";#N/A,#N/A,FALSE,"Mt. Vernon";#N/A,#N/A,FALSE,"Rochester";#N/A,#N/A,FALSE,"Three Rivers";#N/A,#N/A,FALSE,"Warren"}</definedName>
    <definedName name="wert" hidden="1">{#N/A,#N/A,FALSE,"Baltimore";#N/A,#N/A,FALSE,"Barrington";#N/A,#N/A,FALSE,"Butler";#N/A,#N/A,FALSE,"Cleveland";#N/A,#N/A,FALSE,"Closter";#N/A,#N/A,FALSE,"Eaton";#N/A,#N/A,FALSE,"Meriden";#N/A,#N/A,FALSE,"Mt. Vernon";#N/A,#N/A,FALSE,"Rochester";#N/A,#N/A,FALSE,"Three Rivers";#N/A,#N/A,FALSE,"Warren"}</definedName>
    <definedName name="wewtre" hidden="1">48</definedName>
    <definedName name="whnos" localSheetId="20" hidden="1">{#N/A,#N/A,TRUE,"TOTAL DSBN";#N/A,#N/A,TRUE,"WEST";#N/A,#N/A,TRUE,"SOUTH";#N/A,#N/A,TRUE,"NORTHEAST"}</definedName>
    <definedName name="whnos" hidden="1">{#N/A,#N/A,TRUE,"TOTAL DSBN";#N/A,#N/A,TRUE,"WEST";#N/A,#N/A,TRUE,"SOUTH";#N/A,#N/A,TRUE,"NORTHEAST"}</definedName>
    <definedName name="why?" localSheetId="20" hidden="1">{#N/A,#N/A,TRUE,"TOTAL DSBN";#N/A,#N/A,TRUE,"WEST";#N/A,#N/A,TRUE,"SOUTH";#N/A,#N/A,TRUE,"NORTHEAST"}</definedName>
    <definedName name="why?" hidden="1">{#N/A,#N/A,TRUE,"TOTAL DSBN";#N/A,#N/A,TRUE,"WEST";#N/A,#N/A,TRUE,"SOUTH";#N/A,#N/A,TRUE,"NORTHEAST"}</definedName>
    <definedName name="wnr.budget._.99." localSheetId="20" hidden="1">{#N/A,#N/A,TRUE,"cover";#N/A,#N/A,TRUE,"PRI";#N/A,#N/A,TRUE,"BDG";#N/A,#N/A,TRUE,"FOR";#N/A,#N/A,TRUE,"PER";#N/A,#N/A,TRUE,"ORD";#N/A,#N/A,TRUE,"INV";#N/A,#N/A,TRUE,"CASH";#N/A,#N/A,TRUE,"TAX";#N/A,#N/A,TRUE,"rev_bdg";#N/A,#N/A,TRUE,"sales";#N/A,#N/A,TRUE,"interest"}</definedName>
    <definedName name="wnr.budget._.99." hidden="1">{#N/A,#N/A,TRUE,"cover";#N/A,#N/A,TRUE,"PRI";#N/A,#N/A,TRUE,"BDG";#N/A,#N/A,TRUE,"FOR";#N/A,#N/A,TRUE,"PER";#N/A,#N/A,TRUE,"ORD";#N/A,#N/A,TRUE,"INV";#N/A,#N/A,TRUE,"CASH";#N/A,#N/A,TRUE,"TAX";#N/A,#N/A,TRUE,"rev_bdg";#N/A,#N/A,TRUE,"sales";#N/A,#N/A,TRUE,"interest"}</definedName>
    <definedName name="wrn.1." localSheetId="20" hidden="1">{#N/A,#N/A,FALSE,"Calc";#N/A,#N/A,FALSE,"Sensitivity";#N/A,#N/A,FALSE,"LT Earn.Dil.";#N/A,#N/A,FALSE,"Dil. AVP"}</definedName>
    <definedName name="wrn.1." hidden="1">{#N/A,#N/A,FALSE,"Calc";#N/A,#N/A,FALSE,"Sensitivity";#N/A,#N/A,FALSE,"LT Earn.Dil.";#N/A,#N/A,FALSE,"Dil. AVP"}</definedName>
    <definedName name="wrn.97maint.xls." localSheetId="20" hidden="1">{#N/A,#N/A,TRUE,"TOTAL DISTRIBUTION";#N/A,#N/A,TRUE,"SOUTH";#N/A,#N/A,TRUE,"NORTHEAST";#N/A,#N/A,TRUE,"WEST"}</definedName>
    <definedName name="wrn.97maint.xls." hidden="1">{#N/A,#N/A,TRUE,"TOTAL DISTRIBUTION";#N/A,#N/A,TRUE,"SOUTH";#N/A,#N/A,TRUE,"NORTHEAST";#N/A,#N/A,TRUE,"WEST"}</definedName>
    <definedName name="wrn.97OR.XLs." localSheetId="20" hidden="1">{#N/A,#N/A,TRUE,"TOTAL DSBN";#N/A,#N/A,TRUE,"WEST";#N/A,#N/A,TRUE,"SOUTH";#N/A,#N/A,TRUE,"NORTHEAST"}</definedName>
    <definedName name="wrn.97OR.XLs." hidden="1">{#N/A,#N/A,TRUE,"TOTAL DSBN";#N/A,#N/A,TRUE,"WEST";#N/A,#N/A,TRUE,"SOUTH";#N/A,#N/A,TRUE,"NORTHEAST"}</definedName>
    <definedName name="wrn.adj95." localSheetId="20" hidden="1">{"adj95mult",#N/A,FALSE,"COMPCO";"adj95est",#N/A,FALSE,"COMPCO"}</definedName>
    <definedName name="wrn.adj95." hidden="1">{"adj95mult",#N/A,FALSE,"COMPCO";"adj95est",#N/A,FALSE,"COMPCO"}</definedName>
    <definedName name="wrn.AESreport." localSheetId="20"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ging._.and._.Trend._.Analysis." localSheetId="2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AN." localSheetId="20"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an.1" localSheetId="20" hidden="1">{"CREDIT STATISTICS",#N/A,FALSE,"STATS";"CF_AND_IS",#N/A,FALSE,"PLAN";"DEBT SCHEDULE",#N/A,FALSE,"PLAN";"SUBSCRIBERS",#N/A,FALSE,"PLAN";"DETAIL_REV",#N/A,FALSE,"PLAN";"DETAIL_EXPENSE",#N/A,FALSE,"PLAN";"SALES_AND EXP_DRIVERS",#N/A,FALSE,"PLAN";"FIXED ASSETS",#N/A,FALSE,"PLAN";"DEPRECIATION SCHEDULE",#N/A,FALSE,"PLAN"}</definedName>
    <definedName name="wrn.alan.1" hidden="1">{"CREDIT STATISTICS",#N/A,FALSE,"STATS";"CF_AND_IS",#N/A,FALSE,"PLAN";"DEBT SCHEDULE",#N/A,FALSE,"PLAN";"SUBSCRIBERS",#N/A,FALSE,"PLAN";"DETAIL_REV",#N/A,FALSE,"PLAN";"DETAIL_EXPENSE",#N/A,FALSE,"PLAN";"SALES_AND EXP_DRIVERS",#N/A,FALSE,"PLAN";"FIXED ASSETS",#N/A,FALSE,"PLAN";"DEPRECIATION SCHEDULE",#N/A,FALSE,"PLAN"}</definedName>
    <definedName name="wrn.ALL." localSheetId="20" hidden="1">{"CS",#N/A,FALSE,"STATS";"Inc",#N/A,FALSE,"PLAN";"CASH F",#N/A,FALSE,"PLAN";"Bal S",#N/A,FALSE,"BALANCE SHEET";"Subs",#N/A,FALSE,"PLAN";"Dep",#N/A,FALSE,"PLAN";"Debt",#N/A,FALSE,"PLAN";"Sales",#N/A,FALSE,"PLAN";"FA",#N/A,FALSE,"PLAN";"Rev",#N/A,FALSE,"PLAN";"Exp",#N/A,FALSE,"PLAN"}</definedName>
    <definedName name="wrn.ALL." hidden="1">{"CS",#N/A,FALSE,"STATS";"Inc",#N/A,FALSE,"PLAN";"CASH F",#N/A,FALSE,"PLAN";"Bal S",#N/A,FALSE,"BALANCE SHEET";"Subs",#N/A,FALSE,"PLAN";"Dep",#N/A,FALSE,"PLAN";"Debt",#N/A,FALSE,"PLAN";"Sales",#N/A,FALSE,"PLAN";"FA",#N/A,FALSE,"PLAN";"Rev",#N/A,FALSE,"PLAN";"Exp",#N/A,FALSE,"PLAN"}</definedName>
    <definedName name="wrn.all._.input." localSheetId="2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Reports." localSheetId="20" hidden="1">{#N/A,#N/A,FALSE,"Baltimore";#N/A,#N/A,FALSE,"Barrington";#N/A,#N/A,FALSE,"Butler";#N/A,#N/A,FALSE,"Cleveland";#N/A,#N/A,FALSE,"Closter";#N/A,#N/A,FALSE,"Eaton";#N/A,#N/A,FALSE,"Meriden";#N/A,#N/A,FALSE,"Mt. Vernon";#N/A,#N/A,FALSE,"Rochester";#N/A,#N/A,FALSE,"Three Rivers";#N/A,#N/A,FALSE,"Warren"}</definedName>
    <definedName name="wrn.All._.Reports." hidden="1">{#N/A,#N/A,FALSE,"Baltimore";#N/A,#N/A,FALSE,"Barrington";#N/A,#N/A,FALSE,"Butler";#N/A,#N/A,FALSE,"Cleveland";#N/A,#N/A,FALSE,"Closter";#N/A,#N/A,FALSE,"Eaton";#N/A,#N/A,FALSE,"Meriden";#N/A,#N/A,FALSE,"Mt. Vernon";#N/A,#N/A,FALSE,"Rochester";#N/A,#N/A,FALSE,"Three Rivers";#N/A,#N/A,FALSE,"Warren"}</definedName>
    <definedName name="wrn.all.1" localSheetId="20" hidden="1">{"CS",#N/A,FALSE,"STATS";"Inc",#N/A,FALSE,"PLAN";"CASH F",#N/A,FALSE,"PLAN";"Bal S",#N/A,FALSE,"BALANCE SHEET";"Subs",#N/A,FALSE,"PLAN";"Dep",#N/A,FALSE,"PLAN";"Debt",#N/A,FALSE,"PLAN";"Sales",#N/A,FALSE,"PLAN";"FA",#N/A,FALSE,"PLAN";"Rev",#N/A,FALSE,"PLAN";"Exp",#N/A,FALSE,"PLAN"}</definedName>
    <definedName name="wrn.all.1" hidden="1">{"CS",#N/A,FALSE,"STATS";"Inc",#N/A,FALSE,"PLAN";"CASH F",#N/A,FALSE,"PLAN";"Bal S",#N/A,FALSE,"BALANCE SHEET";"Subs",#N/A,FALSE,"PLAN";"Dep",#N/A,FALSE,"PLAN";"Debt",#N/A,FALSE,"PLAN";"Sales",#N/A,FALSE,"PLAN";"FA",#N/A,FALSE,"PLAN";"Rev",#N/A,FALSE,"PLAN";"Exp",#N/A,FALSE,"PLAN"}</definedName>
    <definedName name="wrn.all.2" localSheetId="20"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2." localSheetId="20"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NEXO0300." localSheetId="20" hidden="1">{#N/A,#N/A,FALSE,"ANEXO3 00 GDV";#N/A,#N/A,FALSE,"ANEXO3 00 GCM";#N/A,#N/A,FALSE,"ANEXO3 00  UBÁ6";#N/A,#N/A,FALSE,"ANEXO3 00 CJI";#N/A,#N/A,FALSE,"ANEXO3 00 UBÁ4";#N/A,#N/A,FALSE,"ANEXO3 00 UBÁ5";#N/A,#N/A,FALSE,"ANEXO3 00 UBÁ7";#N/A,#N/A,FALSE,"ANEXO3 00 VRB1"}</definedName>
    <definedName name="wrn.ANEXO0300." hidden="1">{#N/A,#N/A,FALSE,"ANEXO3 00 GDV";#N/A,#N/A,FALSE,"ANEXO3 00 GCM";#N/A,#N/A,FALSE,"ANEXO3 00  UBÁ6";#N/A,#N/A,FALSE,"ANEXO3 00 CJI";#N/A,#N/A,FALSE,"ANEXO3 00 UBÁ4";#N/A,#N/A,FALSE,"ANEXO3 00 UBÁ5";#N/A,#N/A,FALSE,"ANEXO3 00 UBÁ7";#N/A,#N/A,FALSE,"ANEXO3 00 VRB1"}</definedName>
    <definedName name="wrn.ANEXO0399." localSheetId="20" hidden="1">{#N/A,#N/A,FALSE,"ANEXO3 99 ERA";#N/A,#N/A,FALSE,"ANEXO3 99 UBÁ2";#N/A,#N/A,FALSE,"ANEXO3 99 DTU";#N/A,#N/A,FALSE,"ANEXO3 99 RDR";#N/A,#N/A,FALSE,"ANEXO3 99 UBÁ4";#N/A,#N/A,FALSE,"ANEXO3 99 UBÁ6"}</definedName>
    <definedName name="wrn.ANEXO0399." hidden="1">{#N/A,#N/A,FALSE,"ANEXO3 99 ERA";#N/A,#N/A,FALSE,"ANEXO3 99 UBÁ2";#N/A,#N/A,FALSE,"ANEXO3 99 DTU";#N/A,#N/A,FALSE,"ANEXO3 99 RDR";#N/A,#N/A,FALSE,"ANEXO3 99 UBÁ4";#N/A,#N/A,FALSE,"ANEXO3 99 UBÁ6"}</definedName>
    <definedName name="wrn.ANEXO0399.2" localSheetId="20" hidden="1">{#N/A,#N/A,FALSE,"ANEXO3 99 ERA";#N/A,#N/A,FALSE,"ANEXO3 99 UBÁ2";#N/A,#N/A,FALSE,"ANEXO3 99 DTU";#N/A,#N/A,FALSE,"ANEXO3 99 RDR";#N/A,#N/A,FALSE,"ANEXO3 99 UBÁ4";#N/A,#N/A,FALSE,"ANEXO3 99 UBÁ6"}</definedName>
    <definedName name="wrn.ANEXO0399.2" hidden="1">{#N/A,#N/A,FALSE,"ANEXO3 99 ERA";#N/A,#N/A,FALSE,"ANEXO3 99 UBÁ2";#N/A,#N/A,FALSE,"ANEXO3 99 DTU";#N/A,#N/A,FALSE,"ANEXO3 99 RDR";#N/A,#N/A,FALSE,"ANEXO3 99 UBÁ4";#N/A,#N/A,FALSE,"ANEXO3 99 UBÁ6"}</definedName>
    <definedName name="wrn.Annual._.Report." localSheetId="20" hidden="1">{"ARPandL",#N/A,FALSE,"Report Annual";"ARCashflow",#N/A,FALSE,"Report Annual";"ARBalanceSheet",#N/A,FALSE,"Report Annual";"ARRatios",#N/A,FALSE,"Report Annual"}</definedName>
    <definedName name="wrn.Annual._.Report." hidden="1">{"ARPandL",#N/A,FALSE,"Report Annual";"ARCashflow",#N/A,FALSE,"Report Annual";"ARBalanceSheet",#N/A,FALSE,"Report Annual";"ARRatios",#N/A,FALSE,"Report Annual"}</definedName>
    <definedName name="wrn.APLICAÇÃO." localSheetId="20" hidden="1">{#N/A,#N/A,FALSE,"CONTROLE"}</definedName>
    <definedName name="wrn.APLICAÇÃO." hidden="1">{#N/A,#N/A,FALSE,"CONTROLE"}</definedName>
    <definedName name="wrn.Asia." localSheetId="2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uto._.Comp." localSheetId="20" hidden="1">{#N/A,#N/A,FALSE,"Sheet1"}</definedName>
    <definedName name="wrn.Auto._.Comp." hidden="1">{#N/A,#N/A,FALSE,"Sheet1"}</definedName>
    <definedName name="wrn.B._.P._.TDS." localSheetId="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wrn.B._.P._.TDS."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wrn.BANKPLAN." localSheetId="20" hidden="1">{"cebank",#N/A,FALSE,"P9498BAR";"spbank",#N/A,FALSE,"P9498BAR";"renfinbank",#N/A,FALSE,"P9498BAR";"indici",#N/A,FALSE,"P9498BAR"}</definedName>
    <definedName name="wrn.BANKPLAN." hidden="1">{"cebank",#N/A,FALSE,"P9498BAR";"spbank",#N/A,FALSE,"P9498BAR";"renfinbank",#N/A,FALSE,"P9498BAR";"indici",#N/A,FALSE,"P9498BAR"}</definedName>
    <definedName name="wrn.bdg_rev." localSheetId="20" hidden="1">{#N/A,#N/A,TRUE,"ass";#N/A,#N/A,TRUE,"rev_bdg_bp";#N/A,#N/A,TRUE,"sales_bp";#N/A,#N/A,TRUE,"costs_bp"}</definedName>
    <definedName name="wrn.bdg_rev." hidden="1">{#N/A,#N/A,TRUE,"ass";#N/A,#N/A,TRUE,"rev_bdg_bp";#N/A,#N/A,TRUE,"sales_bp";#N/A,#N/A,TRUE,"costs_bp"}</definedName>
    <definedName name="wrn.book." localSheetId="20" hidden="1">{#N/A,#N/A,FALSE,"PRESENT";#N/A,#N/A,FALSE,"INDICE";#N/A,#N/A,FALSE,"DIV_CONS";#N/A,#N/A,FALSE,"DIV_GRUP";#N/A,#N/A,FALSE,"DIV_BIM";#N/A,#N/A,FALSE,"DIV_UMPL";#N/A,#N/A,FALSE,"DIV_BDBAS";#N/A,#N/A,FALSE,"B_SRL";#N/A,#N/A,FALSE,"MQ_SRL"}</definedName>
    <definedName name="wrn.book." hidden="1">{#N/A,#N/A,FALSE,"PRESENT";#N/A,#N/A,FALSE,"INDICE";#N/A,#N/A,FALSE,"DIV_CONS";#N/A,#N/A,FALSE,"DIV_GRUP";#N/A,#N/A,FALSE,"DIV_BIM";#N/A,#N/A,FALSE,"DIV_UMPL";#N/A,#N/A,FALSE,"DIV_BDBAS";#N/A,#N/A,FALSE,"B_SRL";#N/A,#N/A,FALSE,"MQ_SRL"}</definedName>
    <definedName name="wrn.bookinterno." localSheetId="20" hidden="1">{#N/A,#N/A,FALSE,"PRESENT";#N/A,#N/A,FALSE,"INDICE";#N/A,#N/A,FALSE,"DIV_CONS";#N/A,#N/A,FALSE,"DIV_GRUP";#N/A,#N/A,FALSE,"DIV_BIM";#N/A,#N/A,FALSE,"DIV_UMPL";#N/A,#N/A,FALSE,"DIV_BDBAS"}</definedName>
    <definedName name="wrn.bookinterno." hidden="1">{#N/A,#N/A,FALSE,"PRESENT";#N/A,#N/A,FALSE,"INDICE";#N/A,#N/A,FALSE,"DIV_CONS";#N/A,#N/A,FALSE,"DIV_GRUP";#N/A,#N/A,FALSE,"DIV_BIM";#N/A,#N/A,FALSE,"DIV_UMPL";#N/A,#N/A,FALSE,"DIV_BDBAS"}</definedName>
    <definedName name="wrn.BSCOMIT." localSheetId="20" hidden="1">{#N/A,#N/A,FALSE,"bs_cons";#N/A,#N/A,FALSE,"bs_grup";#N/A,#N/A,FALSE,"bs_umpl";#N/A,#N/A,FALSE,"bs_bim";#N/A,#N/A,FALSE,"bs_bdb";#N/A,#N/A,FALSE,"bs_mq32";#N/A,#N/A,FALSE,"bs_bsrl"}</definedName>
    <definedName name="wrn.BSCOMIT." hidden="1">{#N/A,#N/A,FALSE,"bs_cons";#N/A,#N/A,FALSE,"bs_grup";#N/A,#N/A,FALSE,"bs_umpl";#N/A,#N/A,FALSE,"bs_bim";#N/A,#N/A,FALSE,"bs_bdb";#N/A,#N/A,FALSE,"bs_mq32";#N/A,#N/A,FALSE,"bs_bsrl"}</definedName>
    <definedName name="wrn.budget._.98." localSheetId="20" hidden="1">{#N/A,#N/A,TRUE,"cover";#N/A,#N/A,TRUE,"PRI";#N/A,#N/A,TRUE,"BDG";#N/A,#N/A,TRUE,"FOR";#N/A,#N/A,TRUE,"PER";#N/A,#N/A,TRUE,"ORD";#N/A,#N/A,TRUE,"INV";#N/A,#N/A,TRUE,"CASH";#N/A,#N/A,TRUE,"TAX";#N/A,#N/A,TRUE,"rev_bdg";#N/A,#N/A,TRUE,"sales";#N/A,#N/A,TRUE,"interest"}</definedName>
    <definedName name="wrn.budget._.98." hidden="1">{#N/A,#N/A,TRUE,"cover";#N/A,#N/A,TRUE,"PRI";#N/A,#N/A,TRUE,"BDG";#N/A,#N/A,TRUE,"FOR";#N/A,#N/A,TRUE,"PER";#N/A,#N/A,TRUE,"ORD";#N/A,#N/A,TRUE,"INV";#N/A,#N/A,TRUE,"CASH";#N/A,#N/A,TRUE,"TAX";#N/A,#N/A,TRUE,"rev_bdg";#N/A,#N/A,TRUE,"sales";#N/A,#N/A,TRUE,"interest"}</definedName>
    <definedName name="wrn.BUDGET98_F." localSheetId="20" hidden="1">{#N/A,#N/A,TRUE,"PRI";#N/A,#N/A,TRUE,"BDG";#N/A,#N/A,TRUE,"PER";#N/A,#N/A,TRUE,"INV";#N/A,#N/A,TRUE,"CASH";#N/A,#N/A,TRUE,"cover"}</definedName>
    <definedName name="wrn.BUDGET98_F." hidden="1">{#N/A,#N/A,TRUE,"PRI";#N/A,#N/A,TRUE,"BDG";#N/A,#N/A,TRUE,"PER";#N/A,#N/A,TRUE,"INV";#N/A,#N/A,TRUE,"CASH";#N/A,#N/A,TRUE,"cover"}</definedName>
    <definedName name="wrn.Buildups." localSheetId="20"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ildups.1" localSheetId="20" hidden="1">{"ACQ",#N/A,FALSE,"ACQUISITIONS";"ACQF",#N/A,FALSE,"ACQUISITIONS";"PF",#N/A,FALSE,"PROYECTOVILA";"PV",#N/A,FALSE,"PROYECTOVILA";"Fee Dev",#N/A,FALSE,"DEVELOPMENT GROWTH";"gd",#N/A,FALSE,"DEVELOPMENT GROWTH"}</definedName>
    <definedName name="wrn.buildups.1" hidden="1">{"ACQ",#N/A,FALSE,"ACQUISITIONS";"ACQF",#N/A,FALSE,"ACQUISITIONS";"PF",#N/A,FALSE,"PROYECTOVILA";"PV",#N/A,FALSE,"PROYECTOVILA";"Fee Dev",#N/A,FALSE,"DEVELOPMENT GROWTH";"gd",#N/A,FALSE,"DEVELOPMENT GROWTH"}</definedName>
    <definedName name="wrn.BUTENE1PR." localSheetId="20" hidden="1">{"BUTENE1_PR",#N/A,FALSE,"CONS.RAFF2"}</definedName>
    <definedName name="wrn.BUTENE1PR." hidden="1">{"BUTENE1_PR",#N/A,FALSE,"CONS.RAFF2"}</definedName>
    <definedName name="wrn.Calculations." localSheetId="20"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CC." localSheetId="20" hidden="1">{"QQQ",#N/A,FALSE,"RIEP"}</definedName>
    <definedName name="wrn.CCC." hidden="1">{"QQQ",#N/A,FALSE,"RIEP"}</definedName>
    <definedName name="wrn.charts." localSheetId="20" hidden="1">{"newyork",#N/A,FALSE,"Plots-Annually";"florida",#N/A,FALSE,"Plots-Annually"}</definedName>
    <definedName name="wrn.charts." hidden="1">{"newyork",#N/A,FALSE,"Plots-Annually";"florida",#N/A,FALSE,"Plots-Annually"}</definedName>
    <definedName name="wrn.COMMENTAIRES." localSheetId="20" hidden="1">{#N/A,#N/A,FALSE,"EC COMM-c";#N/A,#N/A,FALSE,"EC PAR PDTS-c";#N/A,#N/A,FALSE,"EC MAT-c";#N/A,#N/A,FALSE,"SUIVI HAUSSES-c"}</definedName>
    <definedName name="wrn.COMMENTAIRES." hidden="1">{#N/A,#N/A,FALSE,"EC COMM-c";#N/A,#N/A,FALSE,"EC PAR PDTS-c";#N/A,#N/A,FALSE,"EC MAT-c";#N/A,#N/A,FALSE,"SUIVI HAUSSES-c"}</definedName>
    <definedName name="wrn.COMPCO." localSheetId="20" hidden="1">{"Page1",#N/A,FALSE,"CompCo";"Page2",#N/A,FALSE,"CompCo"}</definedName>
    <definedName name="wrn.COMPCO." hidden="1">{"Page1",#N/A,FALSE,"CompCo";"Page2",#N/A,FALSE,"CompCo"}</definedName>
    <definedName name="wrn.Complet." localSheetId="20" hidden="1">{"Point Mort",#N/A,FALSE,"Ratios";"Tableaux",#N/A,FALSE,"Ratios"}</definedName>
    <definedName name="wrn.Complet." hidden="1">{"Point Mort",#N/A,FALSE,"Ratios";"Tableaux",#N/A,FALSE,"Ratios"}</definedName>
    <definedName name="wrn.Complete." localSheetId="20"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mponent._.Analy." localSheetId="20" hidden="1">{#N/A,#N/A,FALSE,"Results";#N/A,#N/A,FALSE,"Input Data";#N/A,#N/A,FALSE,"Generation Calculation";#N/A,#N/A,FALSE,"Unit Heat Rate Calculation";#N/A,#N/A,FALSE,"BEFF.XLS";#N/A,#N/A,FALSE,"TURBEFF.XLS";#N/A,#N/A,FALSE,"Final FWH Extraction Flow";#N/A,#N/A,FALSE,"Condenser Performance";#N/A,#N/A,FALSE,"Stage Pressure Correction"}</definedName>
    <definedName name="wrn.Component._.Analy." hidden="1">{#N/A,#N/A,FALSE,"Results";#N/A,#N/A,FALSE,"Input Data";#N/A,#N/A,FALSE,"Generation Calculation";#N/A,#N/A,FALSE,"Unit Heat Rate Calculation";#N/A,#N/A,FALSE,"BEFF.XLS";#N/A,#N/A,FALSE,"TURBEFF.XLS";#N/A,#N/A,FALSE,"Final FWH Extraction Flow";#N/A,#N/A,FALSE,"Condenser Performance";#N/A,#N/A,FALSE,"Stage Pressure Correction"}</definedName>
    <definedName name="wrn.Comps._.only." localSheetId="20" hidden="1">{"Multiples",#N/A,FALSE,"Multiples";"margins",#N/A,FALSE,"Margins";"Income",#N/A,FALSE,"IS1";"Balance Sheet",#N/A,FALSE,"BS";"Market",#N/A,FALSE,"MKT"}</definedName>
    <definedName name="wrn.Comps._.only." hidden="1">{"Multiples",#N/A,FALSE,"Multiples";"margins",#N/A,FALSE,"Margins";"Income",#N/A,FALSE,"IS1";"Balance Sheet",#N/A,FALSE,"BS";"Market",#N/A,FALSE,"MKT"}</definedName>
    <definedName name="wrn.condensate." localSheetId="20" hidden="1">{"condensate",#N/A,FALSE,"CNTRYTYPE"}</definedName>
    <definedName name="wrn.condensate." hidden="1">{"condensate",#N/A,FALSE,"CNTRYTYPE"}</definedName>
    <definedName name="wrn.Condenser._.Summary." localSheetId="20" hidden="1">{#N/A,#N/A,FALSE,"SUMMARY";#N/A,#N/A,FALSE,"INPUTDATA";#N/A,#N/A,FALSE,"Condenser Performance"}</definedName>
    <definedName name="wrn.Condenser._.Summary." hidden="1">{#N/A,#N/A,FALSE,"SUMMARY";#N/A,#N/A,FALSE,"INPUTDATA";#N/A,#N/A,FALSE,"Condenser Performance"}</definedName>
    <definedName name="wrn.CONSRAFF2." localSheetId="20" hidden="1">{"CONS_RAFF2",#N/A,FALSE,"CONS.RAFF2"}</definedName>
    <definedName name="wrn.CONSRAFF2." hidden="1">{"CONS_RAFF2",#N/A,FALSE,"CONS.RAFF2"}</definedName>
    <definedName name="wrn.Continous._.Page._.Numbers._.DCF." localSheetId="2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ST." localSheetId="20" hidden="1">{#N/A,#N/A,FALSE,"T COST";#N/A,#N/A,FALSE,"COST_FH"}</definedName>
    <definedName name="wrn.COST." hidden="1">{#N/A,#N/A,FALSE,"T COST";#N/A,#N/A,FALSE,"COST_FH"}</definedName>
    <definedName name="wrn.Cover." localSheetId="20"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rude." localSheetId="20" hidden="1">{"Padd1crd",#N/A,FALSE,"REFINERY";"padd2crd",#N/A,FALSE,"REFINERY";"padd3crd",#N/A,FALSE,"REFINERY";"padd4crd",#N/A,FALSE,"REFINERY";"padd5crd",#N/A,FALSE,"REFINERY"}</definedName>
    <definedName name="wrn.crude." hidden="1">{"Padd1crd",#N/A,FALSE,"REFINERY";"padd2crd",#N/A,FALSE,"REFINERY";"padd3crd",#N/A,FALSE,"REFINERY";"padd4crd",#N/A,FALSE,"REFINERY";"padd5crd",#N/A,FALSE,"REFINERY"}</definedName>
    <definedName name="wrn.CRV._.Variação." localSheetId="20" hidden="1">{#N/A,#N/A,FALSE,"CRV_Português"}</definedName>
    <definedName name="wrn.CRV._.Variação." hidden="1">{#N/A,#N/A,FALSE,"CRV_Português"}</definedName>
    <definedName name="wrn.CUADROS._.BALANCEG." localSheetId="20" hidden="1">{"HOJA100",#N/A,FALSE,"HOJA_100";"HOJA200",#N/A,FALSE,"HOJA_200";"HOJA300",#N/A,FALSE,"HOJA_300";"HOJA400",#N/A,FALSE,"HOJA_400"}</definedName>
    <definedName name="wrn.CUADROS._.BALANCEG." hidden="1">{"HOJA100",#N/A,FALSE,"HOJA_100";"HOJA200",#N/A,FALSE,"HOJA_200";"HOJA300",#N/A,FALSE,"HOJA_300";"HOJA400",#N/A,FALSE,"HOJA_400"}</definedName>
    <definedName name="wrn.Current." localSheetId="20" hidden="1">{#N/A,#N/A,FALSE,"CEO Report";"CM 2004 Actual vs. CM 2005 Actual",#N/A,FALSE,"YTD05 Actual vs YTD05 Budget";"YTD  2004 vs. 2005",#N/A,FALSE,"YTD05 Actual vs YTD05 Budget";#N/A,#N/A,FALSE,"CM Actual vs. CM Budget";"YTD 05 Budget vs. 05 Actual",#N/A,FALSE,"YTD05 Actual vs YTD05 Budget"}</definedName>
    <definedName name="wrn.Current." hidden="1">{#N/A,#N/A,FALSE,"CEO Report";"CM 2004 Actual vs. CM 2005 Actual",#N/A,FALSE,"YTD05 Actual vs YTD05 Budget";"YTD  2004 vs. 2005",#N/A,FALSE,"YTD05 Actual vs YTD05 Budget";#N/A,#N/A,FALSE,"CM Actual vs. CM Budget";"YTD 05 Budget vs. 05 Actual",#N/A,FALSE,"YTD05 Actual vs YTD05 Budget"}</definedName>
    <definedName name="wrn.Current2." localSheetId="20" hidden="1">{#N/A,#N/A,FALSE,"CEO Report";"CM 2004 Actual vs. CM 2005 Actual",#N/A,FALSE,"YTD05 Actual vs YTD05 Budget";"YTD  2004 vs. 2005",#N/A,FALSE,"YTD05 Actual vs YTD05 Budget";#N/A,#N/A,FALSE,"CM Actual vs. CM Budget";"YTD 05 Budget vs. 05 Actual",#N/A,FALSE,"YTD05 Actual vs YTD05 Budget"}</definedName>
    <definedName name="wrn.Current2." hidden="1">{#N/A,#N/A,FALSE,"CEO Report";"CM 2004 Actual vs. CM 2005 Actual",#N/A,FALSE,"YTD05 Actual vs YTD05 Budget";"YTD  2004 vs. 2005",#N/A,FALSE,"YTD05 Actual vs YTD05 Budget";#N/A,#N/A,FALSE,"CM Actual vs. CM Budget";"YTD 05 Budget vs. 05 Actual",#N/A,FALSE,"YTD05 Actual vs YTD05 Budget"}</definedName>
    <definedName name="wrn.DCF." localSheetId="20" hidden="1">{"DCF1",#N/A,FALSE,"SIERRA DCF";"MATRIX1",#N/A,FALSE,"SIERRA DCF"}</definedName>
    <definedName name="wrn.DCF." hidden="1">{"DCF1",#N/A,FALSE,"SIERRA DCF";"MATRIX1",#N/A,FALSE,"SIERRA DCF"}</definedName>
    <definedName name="wrn.DCF._.Only." localSheetId="20"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Epervier." localSheetId="2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LTA." localSheetId="20" hidden="1">{"table II 1",#N/A,FALSE,"DTables";"table II 2",#N/A,FALSE,"DTables";"table III 3",#N/A,FALSE,"DTables";"table III 4",#N/A,FALSE,"DTables"}</definedName>
    <definedName name="wrn.DELTA." hidden="1">{"table II 1",#N/A,FALSE,"DTables";"table II 2",#N/A,FALSE,"DTables";"table III 3",#N/A,FALSE,"DTables";"table III 4",#N/A,FALSE,"DTables"}</definedName>
    <definedName name="wrn.Demand._.MT." localSheetId="20" hidden="1">{"Demand by Product MT",#N/A,TRUE,"PRDEMPOR";"Demand by Sector MT",#N/A,TRUE,"PRDEMPOR"}</definedName>
    <definedName name="wrn.Demand._.MT." hidden="1">{"Demand by Product MT",#N/A,TRUE,"PRDEMPOR";"Demand by Sector MT",#N/A,TRUE,"PRDEMPOR"}</definedName>
    <definedName name="wrn.Demand._.MTOE." localSheetId="20" hidden="1">{"Demand by Product MTOE",#N/A,TRUE,"PRDEMPOR";"Demand by Sector MTOE",#N/A,TRUE,"PRDEMPOR"}</definedName>
    <definedName name="wrn.Demand._.MTOE." hidden="1">{"Demand by Product MTOE",#N/A,TRUE,"PRDEMPOR";"Demand by Sector MTOE",#N/A,TRUE,"PRDEMPOR"}</definedName>
    <definedName name="wrn.DespesasPorArea." localSheetId="20" hidden="1">{"TotalGeralDespesasPorArea",#N/A,FALSE,"VinculosAccessEfetivo"}</definedName>
    <definedName name="wrn.DespesasPorArea." hidden="1">{"TotalGeralDespesasPorArea",#N/A,FALSE,"VinculosAccessEfetivo"}</definedName>
    <definedName name="wrn.detail." localSheetId="20"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irettori." localSheetId="20" hidden="1">{#N/A,#N/A,FALSE,"L. Zottola";#N/A,#N/A,FALSE,"M. Ruggi";#N/A,#N/A,FALSE,"M. Valenti";#N/A,#N/A,FALSE,"C. Mazza";#N/A,#N/A,FALSE,"G. Bellinzona";#N/A,#N/A,FALSE,"M. Carletti";#N/A,#N/A,FALSE,"P. Maresca";#N/A,#N/A,FALSE,"L. Tondi";#N/A,#N/A,FALSE,"M. Marani";#N/A,#N/A,FALSE,"R. Ruggerini";#N/A,#N/A,FALSE,"L. Liguori";#N/A,#N/A,FALSE,"D. Battistel"}</definedName>
    <definedName name="wrn.direttori." hidden="1">{#N/A,#N/A,FALSE,"L. Zottola";#N/A,#N/A,FALSE,"M. Ruggi";#N/A,#N/A,FALSE,"M. Valenti";#N/A,#N/A,FALSE,"C. Mazza";#N/A,#N/A,FALSE,"G. Bellinzona";#N/A,#N/A,FALSE,"M. Carletti";#N/A,#N/A,FALSE,"P. Maresca";#N/A,#N/A,FALSE,"L. Tondi";#N/A,#N/A,FALSE,"M. Marani";#N/A,#N/A,FALSE,"R. Ruggerini";#N/A,#N/A,FALSE,"L. Liguori";#N/A,#N/A,FALSE,"D. Battistel"}</definedName>
    <definedName name="wrn.DISTRIBUZIONE._.UTILI." localSheetId="20" hidden="1">{#N/A,#N/A,TRUE,"UTI"}</definedName>
    <definedName name="wrn.DISTRIBUZIONE._.UTILI." hidden="1">{#N/A,#N/A,TRUE,"UTI"}</definedName>
    <definedName name="wrn.document." localSheetId="20" hidden="1">{"consolidated",#N/A,FALSE,"Sheet1";"cms",#N/A,FALSE,"Sheet1";"fse",#N/A,FALSE,"Sheet1"}</definedName>
    <definedName name="wrn.document." hidden="1">{"consolidated",#N/A,FALSE,"Sheet1";"cms",#N/A,FALSE,"Sheet1";"fse",#N/A,FALSE,"Sheet1"}</definedName>
    <definedName name="wrn.Economic._.Value._.Added._.Analysis." localSheetId="20" hidden="1">{"EVA",#N/A,FALSE,"EVA";"WACC",#N/A,FALSE,"WACC"}</definedName>
    <definedName name="wrn.Economic._.Value._.Added._.Analysis." hidden="1">{"EVA",#N/A,FALSE,"EVA";"WACC",#N/A,FALSE,"WACC"}</definedName>
    <definedName name="wrn.Engr._.Summary." localSheetId="20" hidden="1">{#N/A,#N/A,FALSE,"INPUTDATA";#N/A,#N/A,FALSE,"SUMMARY";#N/A,#N/A,FALSE,"CTAREP";#N/A,#N/A,FALSE,"CTBREP";#N/A,#N/A,FALSE,"TURBEFF";#N/A,#N/A,FALSE,"Condenser Performance"}</definedName>
    <definedName name="wrn.Engr._.Summary." hidden="1">{#N/A,#N/A,FALSE,"INPUTDATA";#N/A,#N/A,FALSE,"SUMMARY";#N/A,#N/A,FALSE,"CTAREP";#N/A,#N/A,FALSE,"CTBREP";#N/A,#N/A,FALSE,"TURBEFF";#N/A,#N/A,FALSE,"Condenser Performance"}</definedName>
    <definedName name="wrn.esterno." localSheetId="20" hidden="1">{#N/A,#N/A,FALSE,"HIGHNEW";#N/A,#N/A,FALSE,"HIGHOLD"}</definedName>
    <definedName name="wrn.esterno." hidden="1">{#N/A,#N/A,FALSE,"HIGHNEW";#N/A,#N/A,FALSE,"HIGHOLD"}</definedName>
    <definedName name="wrn.Europe." localSheetId="2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 localSheetId="20" hidden="1">{#N/A,#N/A,FALSE,"ANALYSE";#N/A,#N/A,FALSE,"PM VALEUR"}</definedName>
    <definedName name="wrn.ex." hidden="1">{#N/A,#N/A,FALSE,"ANALYSE";#N/A,#N/A,FALSE,"PM VALEUR"}</definedName>
    <definedName name="wrn.Exec._.Summary." localSheetId="20" hidden="1">{#N/A,#N/A,FALSE,"INPUTDATA";#N/A,#N/A,FALSE,"SUMMARY"}</definedName>
    <definedName name="wrn.Exec._.Summary." hidden="1">{#N/A,#N/A,FALSE,"INPUTDATA";#N/A,#N/A,FALSE,"SUMMARY"}</definedName>
    <definedName name="wrn.Exec1._.Summary" localSheetId="20" hidden="1">{#N/A,#N/A,FALSE,"INPUTDATA";#N/A,#N/A,FALSE,"SUMMARY"}</definedName>
    <definedName name="wrn.Exec1._.Summary" hidden="1">{#N/A,#N/A,FALSE,"INPUTDATA";#N/A,#N/A,FALSE,"SUMMARY"}</definedName>
    <definedName name="wrn.FCB." localSheetId="20" hidden="1">{"FCB_ALL",#N/A,FALSE,"FCB"}</definedName>
    <definedName name="wrn.FCB." hidden="1">{"FCB_ALL",#N/A,FALSE,"FCB"}</definedName>
    <definedName name="wrn.fcb2" localSheetId="20" hidden="1">{"FCB_ALL",#N/A,FALSE,"FCB"}</definedName>
    <definedName name="wrn.fcb2" hidden="1">{"FCB_ALL",#N/A,FALSE,"FCB"}</definedName>
    <definedName name="wrn.Finance." localSheetId="20" hidden="1">{"Finance 1",#N/A,FALSE,"FINANCE.XLS";"Finance 2",#N/A,FALSE,"FINANCE.XLS";"Finance 3",#N/A,FALSE,"FINANCE.XLS";"Finance 4",#N/A,FALSE,"FINANCE.XLS";"Finance 5",#N/A,FALSE,"FINANCE.XLS";"Finance 6",#N/A,FALSE,"FINANCE.XLS";"Finance 7",#N/A,FALSE,"FINANCE.XLS";"Finance 8",#N/A,FALSE,"FINANCE.XLS"}</definedName>
    <definedName name="wrn.Finance." hidden="1">{"Finance 1",#N/A,FALSE,"FINANCE.XLS";"Finance 2",#N/A,FALSE,"FINANCE.XLS";"Finance 3",#N/A,FALSE,"FINANCE.XLS";"Finance 4",#N/A,FALSE,"FINANCE.XLS";"Finance 5",#N/A,FALSE,"FINANCE.XLS";"Finance 6",#N/A,FALSE,"FINANCE.XLS";"Finance 7",#N/A,FALSE,"FINANCE.XLS";"Finance 8",#N/A,FALSE,"FINANCE.XLS"}</definedName>
    <definedName name="wrn.Financials_long." localSheetId="20"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nancials_long.1" localSheetId="20" hidden="1">{"IS",#N/A,FALSE,"Financials2 (Expanded)";"bsa",#N/A,FALSE,"Financials2 (Expanded)";"BS",#N/A,FALSE,"Financials2 (Expanded)";"CF",#N/A,FALSE,"Financials2 (Expanded)"}</definedName>
    <definedName name="wrn.financials_long.1" hidden="1">{"IS",#N/A,FALSE,"Financials2 (Expanded)";"bsa",#N/A,FALSE,"Financials2 (Expanded)";"BS",#N/A,FALSE,"Financials2 (Expanded)";"CF",#N/A,FALSE,"Financials2 (Expanded)"}</definedName>
    <definedName name="wrn.FLUJO._.CAJA." localSheetId="20" hidden="1">{"FLUJO DE CAJA",#N/A,FALSE,"Hoja1";"ANEXOS FLUJO",#N/A,FALSE,"Hoja1"}</definedName>
    <definedName name="wrn.FLUJO._.CAJA." hidden="1">{"FLUJO DE CAJA",#N/A,FALSE,"Hoja1";"ANEXOS FLUJO",#N/A,FALSE,"Hoja1"}</definedName>
    <definedName name="wrn.forneci" localSheetId="20" hidden="1">{#N/A,#N/A,FALSE,"CONTROLE";#N/A,#N/A,FALSE,"CONTROLE"}</definedName>
    <definedName name="wrn.forneci" hidden="1">{#N/A,#N/A,FALSE,"CONTROLE";#N/A,#N/A,FALSE,"CONTROLE"}</definedName>
    <definedName name="wrn.Full._.Monty." localSheetId="20"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1" localSheetId="20"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1"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localSheetId="2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1" localSheetId="2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Y97SBP." localSheetId="20" hidden="1">{#N/A,#N/A,FALSE,"FY97";#N/A,#N/A,FALSE,"FY98";#N/A,#N/A,FALSE,"FY99";#N/A,#N/A,FALSE,"FY00";#N/A,#N/A,FALSE,"FY01"}</definedName>
    <definedName name="wrn.FY97SBP." hidden="1">{#N/A,#N/A,FALSE,"FY97";#N/A,#N/A,FALSE,"FY98";#N/A,#N/A,FALSE,"FY99";#N/A,#N/A,FALSE,"FY00";#N/A,#N/A,FALSE,"FY01"}</definedName>
    <definedName name="wrn.GANANCIAS._.Y._.PERDIDAS." localSheetId="20" hidden="1">{"GAN.Y PERD.RESUMIDO",#N/A,FALSE,"Hoja1";"GAN.Y PERD.DETALLADO",#N/A,FALSE,"Hoja1"}</definedName>
    <definedName name="wrn.GANANCIAS._.Y._.PERDIDAS." hidden="1">{"GAN.Y PERD.RESUMIDO",#N/A,FALSE,"Hoja1";"GAN.Y PERD.DETALLADO",#N/A,FALSE,"Hoja1"}</definedName>
    <definedName name="wrn.GASCOND." localSheetId="20" hidden="1">{"GASCOND",#N/A,FALSE,"CONDENSATE";"CRUDECOND",#N/A,FALSE,"CONDENSATE";"TOTALCOND",#N/A,FALSE,"CONDENSATE"}</definedName>
    <definedName name="wrn.GASCOND." hidden="1">{"GASCOND",#N/A,FALSE,"CONDENSATE";"CRUDECOND",#N/A,FALSE,"CONDENSATE";"TOTALCOND",#N/A,FALSE,"CONDENSATE"}</definedName>
    <definedName name="wrn.GASODEM." localSheetId="20" hidden="1">{"monthly",#N/A,FALSE,"GASODEM";"qtr to yr",#N/A,FALSE,"GASODEM"}</definedName>
    <definedName name="wrn.GASODEM." hidden="1">{"monthly",#N/A,FALSE,"GASODEM";"qtr to yr",#N/A,FALSE,"GASODEM"}</definedName>
    <definedName name="wrn.Gefran." localSheetId="20" hidden="1">{"CECons",#N/A,FALSE,"CE"}</definedName>
    <definedName name="wrn.Gefran." hidden="1">{"CECons",#N/A,FALSE,"CE"}</definedName>
    <definedName name="wrn.heavy." localSheetId="20" hidden="1">{"heavy",#N/A,FALSE,"CNTRYTYPE"}</definedName>
    <definedName name="wrn.heavy." hidden="1">{"heavy",#N/A,FALSE,"CNTRYTYPE"}</definedName>
    <definedName name="wrn.income._.statement." localSheetId="20" hidden="1">{"income statement",#N/A,FALSE,"ATLAS-A"}</definedName>
    <definedName name="wrn.income._.statement." hidden="1">{"income statement",#N/A,FALSE,"ATLAS-A"}</definedName>
    <definedName name="wrn.INFMES." localSheetId="20" hidden="1">{#N/A,#N/A,FALSE,"ENERGIA";#N/A,#N/A,FALSE,"PERDIDAS";#N/A,#N/A,FALSE,"CLIENTES";#N/A,#N/A,FALSE,"ESTADO";#N/A,#N/A,FALSE,"TECNICA"}</definedName>
    <definedName name="wrn.INFMES." hidden="1">{#N/A,#N/A,FALSE,"ENERGIA";#N/A,#N/A,FALSE,"PERDIDAS";#N/A,#N/A,FALSE,"CLIENTES";#N/A,#N/A,FALSE,"ESTADO";#N/A,#N/A,FALSE,"TECNICA"}</definedName>
    <definedName name="wrn.INFMES._1" localSheetId="20" hidden="1">{#N/A,#N/A,FALSE,"ENERGIA";#N/A,#N/A,FALSE,"PERDIDAS";#N/A,#N/A,FALSE,"CLIENTES";#N/A,#N/A,FALSE,"ESTADO";#N/A,#N/A,FALSE,"TECNICA"}</definedName>
    <definedName name="wrn.INFMES._1" hidden="1">{#N/A,#N/A,FALSE,"ENERGIA";#N/A,#N/A,FALSE,"PERDIDAS";#N/A,#N/A,FALSE,"CLIENTES";#N/A,#N/A,FALSE,"ESTADO";#N/A,#N/A,FALSE,"TECNICA"}</definedName>
    <definedName name="wrn.INFMES.2" localSheetId="20" hidden="1">{#N/A,#N/A,FALSE,"ENERGIA";#N/A,#N/A,FALSE,"PERDIDAS";#N/A,#N/A,FALSE,"CLIENTES";#N/A,#N/A,FALSE,"ESTADO";#N/A,#N/A,FALSE,"TECNICA"}</definedName>
    <definedName name="wrn.INFMES.2" hidden="1">{#N/A,#N/A,FALSE,"ENERGIA";#N/A,#N/A,FALSE,"PERDIDAS";#N/A,#N/A,FALSE,"CLIENTES";#N/A,#N/A,FALSE,"ESTADO";#N/A,#N/A,FALSE,"TECNICA"}</definedName>
    <definedName name="wrn.Input._.and._.Growths." localSheetId="20" hidden="1">{"Product Demands Input",#N/A,TRUE,"PRDEMPOR";"Annual Growth Rates",#N/A,TRUE,"PRDEMPOR"}</definedName>
    <definedName name="wrn.Input._.and._.Growths." hidden="1">{"Product Demands Input",#N/A,TRUE,"PRDEMPOR";"Annual Growth Rates",#N/A,TRUE,"PRDEMPOR"}</definedName>
    <definedName name="wrn.Inputs." localSheetId="20" hidden="1">{"Inputs 1","Base",FALSE,"INPUTS";"Inputs 2","Base",FALSE,"INPUTS";"Inputs 3","Base",FALSE,"INPUTS";"Inputs 4","Base",FALSE,"INPUTS";"Inputs 5","Base",FALSE,"INPUTS"}</definedName>
    <definedName name="wrn.Inputs." hidden="1">{"Inputs 1","Base",FALSE,"INPUTS";"Inputs 2","Base",FALSE,"INPUTS";"Inputs 3","Base",FALSE,"INPUTS";"Inputs 4","Base",FALSE,"INPUTS";"Inputs 5","Base",FALSE,"INPUTS"}</definedName>
    <definedName name="wrn.LANDMGMT." localSheetId="20" hidden="1">{#N/A,#N/A,FALSE,"CAP 1998";#N/A,#N/A,FALSE,"CAP 1999";#N/A,#N/A,FALSE,"CAP 2000";#N/A,#N/A,FALSE,"CAP_2001";#N/A,#N/A,FALSE,"CAP_2002";#N/A,#N/A,FALSE,"MAINT_1998";#N/A,#N/A,FALSE,"MAINT_1999";#N/A,#N/A,FALSE,"MAINT_2000";#N/A,#N/A,FALSE,"MAINT_2001";#N/A,#N/A,FALSE,"MAINT_2002"}</definedName>
    <definedName name="wrn.LANDMGMT." hidden="1">{#N/A,#N/A,FALSE,"CAP 1998";#N/A,#N/A,FALSE,"CAP 1999";#N/A,#N/A,FALSE,"CAP 2000";#N/A,#N/A,FALSE,"CAP_2001";#N/A,#N/A,FALSE,"CAP_2002";#N/A,#N/A,FALSE,"MAINT_1998";#N/A,#N/A,FALSE,"MAINT_1999";#N/A,#N/A,FALSE,"MAINT_2000";#N/A,#N/A,FALSE,"MAINT_2001";#N/A,#N/A,FALSE,"MAINT_2002"}</definedName>
    <definedName name="wrn.light._.sour." localSheetId="20" hidden="1">{"light sour",#N/A,FALSE,"CNTRYTYPE"}</definedName>
    <definedName name="wrn.light._.sour." hidden="1">{"light sour",#N/A,FALSE,"CNTRYTYPE"}</definedName>
    <definedName name="wrn.magazzino." localSheetId="20" hidden="1">{"situazione magazzino",#N/A,TRUE,"situazione magazzino";"giacenza",#N/A,TRUE,"giacenza";"mancante",#N/A,TRUE,"mancante";"dosaggi",#N/A,TRUE,"dosaggi"}</definedName>
    <definedName name="wrn.magazzino." hidden="1">{"situazione magazzino",#N/A,TRUE,"situazione magazzino";"giacenza",#N/A,TRUE,"giacenza";"mancante",#N/A,TRUE,"mancante";"dosaggi",#N/A,TRUE,"dosaggi"}</definedName>
    <definedName name="wrn.MENSILE." localSheetId="20" hidden="1">{#N/A,#N/A,TRUE,"covmen";#N/A,#N/A,TRUE,"ECORID";#N/A,#N/A,TRUE,"ECOTRA";#N/A,#N/A,TRUE,"ECOTOT";#N/A,#N/A,TRUE,"FATSOC";#N/A,#N/A,TRUE,"FATDIV";#N/A,#N/A,TRUE,"FATGEO";#N/A,#N/A,TRUE,"ORDINI";#N/A,#N/A,TRUE,"TESORI";#N/A,#N/A,TRUE,"RENDFIN"}</definedName>
    <definedName name="wrn.MENSILE." hidden="1">{#N/A,#N/A,TRUE,"covmen";#N/A,#N/A,TRUE,"ECORID";#N/A,#N/A,TRUE,"ECOTRA";#N/A,#N/A,TRUE,"ECOTOT";#N/A,#N/A,TRUE,"FATSOC";#N/A,#N/A,TRUE,"FATDIV";#N/A,#N/A,TRUE,"FATGEO";#N/A,#N/A,TRUE,"ORDINI";#N/A,#N/A,TRUE,"TESORI";#N/A,#N/A,TRUE,"RENDFIN"}</definedName>
    <definedName name="wrn.MENSUAL." localSheetId="20" hidden="1">{#N/A,#N/A,FALSE,"LLAVE";#N/A,#N/A,FALSE,"EERR";#N/A,#N/A,FALSE,"ESP";#N/A,#N/A,FALSE,"EOAF";#N/A,#N/A,FALSE,"CASH";#N/A,#N/A,FALSE,"FINANZAS";#N/A,#N/A,FALSE,"DEUDA";#N/A,#N/A,FALSE,"INVERSION";#N/A,#N/A,FALSE,"PERSONAL"}</definedName>
    <definedName name="wrn.MENSUAL." hidden="1">{#N/A,#N/A,FALSE,"LLAVE";#N/A,#N/A,FALSE,"EERR";#N/A,#N/A,FALSE,"ESP";#N/A,#N/A,FALSE,"EOAF";#N/A,#N/A,FALSE,"CASH";#N/A,#N/A,FALSE,"FINANZAS";#N/A,#N/A,FALSE,"DEUDA";#N/A,#N/A,FALSE,"INVERSION";#N/A,#N/A,FALSE,"PERSONAL"}</definedName>
    <definedName name="wrn.MENSUAL._1" localSheetId="20" hidden="1">{#N/A,#N/A,FALSE,"LLAVE";#N/A,#N/A,FALSE,"EERR";#N/A,#N/A,FALSE,"ESP";#N/A,#N/A,FALSE,"EOAF";#N/A,#N/A,FALSE,"CASH";#N/A,#N/A,FALSE,"FINANZAS";#N/A,#N/A,FALSE,"DEUDA";#N/A,#N/A,FALSE,"INVERSION";#N/A,#N/A,FALSE,"PERSONAL"}</definedName>
    <definedName name="wrn.MENSUAL._1" hidden="1">{#N/A,#N/A,FALSE,"LLAVE";#N/A,#N/A,FALSE,"EERR";#N/A,#N/A,FALSE,"ESP";#N/A,#N/A,FALSE,"EOAF";#N/A,#N/A,FALSE,"CASH";#N/A,#N/A,FALSE,"FINANZAS";#N/A,#N/A,FALSE,"DEUDA";#N/A,#N/A,FALSE,"INVERSION";#N/A,#N/A,FALSE,"PERSONAL"}</definedName>
    <definedName name="wrn.MONTHLYREP." localSheetId="20" hidden="1">{#N/A,#N/A,FALSE,"HIGHNEW";#N/A,#N/A,FALSE,"HIGHOLD";#N/A,#N/A,FALSE,"MTHDET"}</definedName>
    <definedName name="wrn.MONTHLYREP." hidden="1">{#N/A,#N/A,FALSE,"HIGHNEW";#N/A,#N/A,FALSE,"HIGHOLD";#N/A,#N/A,FALSE,"MTHDET"}</definedName>
    <definedName name="wrn.Netrev." localSheetId="20" hidden="1">{"NR",#N/A,FALSE,"RENETREV"}</definedName>
    <definedName name="wrn.Netrev." hidden="1">{"NR",#N/A,FALSE,"RENETREV"}</definedName>
    <definedName name="wrn.New._.York." localSheetId="20" hidden="1">{"NY PRICES",#N/A,FALSE,"CURRENT";"NY PRICES B",#N/A,FALSE,"CURRENT";"NY PRICES",#N/A,FALSE,"CONSTANT";"NY PRICES B",#N/A,FALSE,"CONSTANT"}</definedName>
    <definedName name="wrn.New._.York." hidden="1">{"NY PRICES",#N/A,FALSE,"CURRENT";"NY PRICES B",#N/A,FALSE,"CURRENT";"NY PRICES",#N/A,FALSE,"CONSTANT";"NY PRICES B",#N/A,FALSE,"CONSTANT"}</definedName>
    <definedName name="wrn.NWE._.1995." localSheetId="20" hidden="1">{"input",#N/A,TRUE,"1995 Quality";"basedata",#N/A,TRUE,"1995 Quality";"diff",#N/A,TRUE,"1995 Quality"}</definedName>
    <definedName name="wrn.NWE._.1995." hidden="1">{"input",#N/A,TRUE,"1995 Quality";"basedata",#N/A,TRUE,"1995 Quality";"diff",#N/A,TRUE,"1995 Quality"}</definedName>
    <definedName name="wrn.NWE._.2000." localSheetId="20" hidden="1">{"input",#N/A,FALSE,"Year 2000";"basedata",#N/A,FALSE,"Year 2000";"diff",#N/A,FALSE,"Year 2000"}</definedName>
    <definedName name="wrn.NWE._.2000." hidden="1">{"input",#N/A,FALSE,"Year 2000";"basedata",#N/A,FALSE,"Year 2000";"diff",#N/A,FALSE,"Year 2000"}</definedName>
    <definedName name="wrn.Output." localSheetId="2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dg_2003." localSheetId="20" hidden="1">{"margo-03",#N/A,FALSE,"RGR 2003";"margo-02",#N/A,FALSE,"RGR 2003";"margo-01",#N/A,FALSE,"RGR 2003"}</definedName>
    <definedName name="wrn.pdg_2003." hidden="1">{"margo-03",#N/A,FALSE,"RGR 2003";"margo-02",#N/A,FALSE,"RGR 2003";"margo-01",#N/A,FALSE,"RGR 2003"}</definedName>
    <definedName name="wrn.PIANO." localSheetId="20" hidden="1">{#N/A,#N/A,TRUE,"INPUT";#N/A,#N/A,TRUE,"ECO97";#N/A,#N/A,TRUE,"eco98-99";#N/A,#N/A,TRUE,"SP";#N/A,#N/A,TRUE,"FIN";#N/A,#N/A,TRUE,"SP_COMM";#N/A,#N/A,TRUE,"RECPAY";#N/A,#N/A,TRUE,"FIXASS";#N/A,#N/A,TRUE,"TFR";#N/A,#N/A,TRUE,"TAX";#N/A,#N/A,TRUE,"FINANZ";#N/A,#N/A,TRUE,"PATNET";#N/A,#N/A,TRUE,"LEAS";#N/A,#N/A,TRUE,"AMMLEAS"}</definedName>
    <definedName name="wrn.PIANO." hidden="1">{#N/A,#N/A,TRUE,"INPUT";#N/A,#N/A,TRUE,"ECO97";#N/A,#N/A,TRUE,"eco98-99";#N/A,#N/A,TRUE,"SP";#N/A,#N/A,TRUE,"FIN";#N/A,#N/A,TRUE,"SP_COMM";#N/A,#N/A,TRUE,"RECPAY";#N/A,#N/A,TRUE,"FIXASS";#N/A,#N/A,TRUE,"TFR";#N/A,#N/A,TRUE,"TAX";#N/A,#N/A,TRUE,"FINANZ";#N/A,#N/A,TRUE,"PATNET";#N/A,#N/A,TRUE,"LEAS";#N/A,#N/A,TRUE,"AMMLEAS"}</definedName>
    <definedName name="wrn.PLCOMIT." localSheetId="20" hidden="1">{#N/A,#N/A,FALSE,"pl_cons";#N/A,#N/A,FALSE,"pl_grup";#N/A,#N/A,FALSE,"pl_umpl";#N/A,#N/A,FALSE,"pl_bim";#N/A,#N/A,FALSE,"pl_bdb";#N/A,#N/A,FALSE,"pl_mq32";#N/A,#N/A,FALSE,"pl_bsrl"}</definedName>
    <definedName name="wrn.PLCOMIT." hidden="1">{#N/A,#N/A,FALSE,"pl_cons";#N/A,#N/A,FALSE,"pl_grup";#N/A,#N/A,FALSE,"pl_umpl";#N/A,#N/A,FALSE,"pl_bim";#N/A,#N/A,FALSE,"pl_bdb";#N/A,#N/A,FALSE,"pl_mq32";#N/A,#N/A,FALSE,"pl_bsrl"}</definedName>
    <definedName name="wrn.Pricing._.Case." localSheetId="20" hidden="1">{#N/A,#N/A,TRUE,"RESULTS";#N/A,#N/A,TRUE,"REV REQUIRE";#N/A,#N/A,TRUE,"RATEBASE";#N/A,#N/A,TRUE,"LEVELIZED"}</definedName>
    <definedName name="wrn.Pricing._.Case." hidden="1">{#N/A,#N/A,TRUE,"RESULTS";#N/A,#N/A,TRUE,"REV REQUIRE";#N/A,#N/A,TRUE,"RATEBASE";#N/A,#N/A,TRUE,"LEVELIZED"}</definedName>
    <definedName name="wrn.pricing2._.case." localSheetId="20" hidden="1">{#N/A,#N/A,TRUE,"RESULTS";#N/A,#N/A,TRUE,"REV REQUIRE";#N/A,#N/A,TRUE,"RATEBASE";#N/A,#N/A,TRUE,"LEVELIZED"}</definedName>
    <definedName name="wrn.pricing2._.case." hidden="1">{#N/A,#N/A,TRUE,"RESULTS";#N/A,#N/A,TRUE,"REV REQUIRE";#N/A,#N/A,TRUE,"RATEBASE";#N/A,#N/A,TRUE,"LEVELIZED"}</definedName>
    <definedName name="wrn.print" localSheetId="20" hidden="1">{"page1",#N/A,FALSE,"PROFORMA";"page2",#N/A,FALSE,"PROFORMA";"page3",#N/A,FALSE,"PROFORMA";"page4",#N/A,FALSE,"PROFORMA";"page5",#N/A,FALSE,"PROFORMA";"page6",#N/A,FALSE,"PROFORMA";"page7",#N/A,FALSE,"PROFORMA";"page8",#N/A,FALSE,"PROFORMA"}</definedName>
    <definedName name="wrn.print" hidden="1">{"page1",#N/A,FALSE,"PROFORMA";"page2",#N/A,FALSE,"PROFORMA";"page3",#N/A,FALSE,"PROFORMA";"page4",#N/A,FALSE,"PROFORMA";"page5",#N/A,FALSE,"PROFORMA";"page6",#N/A,FALSE,"PROFORMA";"page7",#N/A,FALSE,"PROFORMA";"page8",#N/A,FALSE,"PROFORMA"}</definedName>
    <definedName name="wrn.print." localSheetId="20" hidden="1">{#N/A,#N/A,FALSE,"Resid CPRIV";#N/A,#N/A,FALSE,"Comer_CPRIVKsum";#N/A,#N/A,FALSE,"General (2)";#N/A,#N/A,FALSE,"Oficial";#N/A,#N/A,FALSE,"Resumen";#N/A,#N/A,FALSE,"Escenarios"}</definedName>
    <definedName name="wrn.print." hidden="1">{#N/A,#N/A,FALSE,"Resid CPRIV";#N/A,#N/A,FALSE,"Comer_CPRIVKsum";#N/A,#N/A,FALSE,"General (2)";#N/A,#N/A,FALSE,"Oficial";#N/A,#N/A,FALSE,"Resumen";#N/A,#N/A,FALSE,"Escenarios"}</definedName>
    <definedName name="wrn.Print._.All._.A4." localSheetId="20" hidden="1">{"Valuation",#N/A,TRUE,"Valuation Summary";"Financial Statements",#N/A,TRUE,"Results";"Results",#N/A,TRUE,"Results";"Ratios",#N/A,TRUE,"Results";"P2 Summary",#N/A,TRUE,"Results";"Historical data",#N/A,TRUE,"Historical Data";"P1 Inputs",#N/A,TRUE,"Forecast Drivers";"P2 Inputs",#N/A,TRUE,"Forecast Drivers"}</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2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graphs." localSheetId="2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Package." localSheetId="20" hidden="1">{#N/A,#N/A,FALSE,"COBO";#N/A,#N/A,FALSE,"Atlantic";#N/A,#N/A,FALSE,"NCalif";#N/A,#N/A,FALSE,"SCalif";#N/A,#N/A,FALSE,"Eastern";#N/A,#N/A,FALSE,"Florida";#N/A,#N/A,FALSE,"GreatWest";#N/A,#N/A,FALSE,"Heartland";#N/A,#N/A,FALSE,"Michigan";#N/A,#N/A,FALSE,"Northwest";#N/A,#N/A,FALSE,"Southeast";#N/A,#N/A,FALSE,"Texoma"}</definedName>
    <definedName name="wrn.Print._.Package." hidden="1">{#N/A,#N/A,FALSE,"COBO";#N/A,#N/A,FALSE,"Atlantic";#N/A,#N/A,FALSE,"NCalif";#N/A,#N/A,FALSE,"SCalif";#N/A,#N/A,FALSE,"Eastern";#N/A,#N/A,FALSE,"Florida";#N/A,#N/A,FALSE,"GreatWest";#N/A,#N/A,FALSE,"Heartland";#N/A,#N/A,FALSE,"Michigan";#N/A,#N/A,FALSE,"Northwest";#N/A,#N/A,FALSE,"Southeast";#N/A,#N/A,FALSE,"Texoma"}</definedName>
    <definedName name="wrn.Print._.Plots." localSheetId="20" hidden="1">{"Plot1",#N/A,FALSE,"Plots";"plot2",#N/A,FALSE,"Plots";"plot3",#N/A,FALSE,"Plots";"plot4",#N/A,FALSE,"Plots";"plot5",#N/A,FALSE,"Plots";"plot6",#N/A,FALSE,"Plots"}</definedName>
    <definedName name="wrn.Print._.Plots." hidden="1">{"Plot1",#N/A,FALSE,"Plots";"plot2",#N/A,FALSE,"Plots";"plot3",#N/A,FALSE,"Plots";"plot4",#N/A,FALSE,"Plots";"plot5",#N/A,FALSE,"Plots";"plot6",#N/A,FALSE,"Plots"}</definedName>
    <definedName name="wrn.print._.raw._.data._.entry." localSheetId="20" hidden="1">{"inputs raw data",#N/A,TRUE,"INPUT"}</definedName>
    <definedName name="wrn.print._.raw._.data._.entry." hidden="1">{"inputs raw data",#N/A,TRUE,"INPUT"}</definedName>
    <definedName name="wrn.Print._.Results._.A4." localSheetId="20" hidden="1">{"Valuation",#N/A,TRUE,"Valuation Summary";"Financial Statements",#N/A,TRUE,"Results";"Results",#N/A,TRUE,"Results";"Ratios",#N/A,TRUE,"Results";"P2 Summary",#N/A,TRUE,"Results"}</definedName>
    <definedName name="wrn.Print._.Results._.A4." hidden="1">{"Valuation",#N/A,TRUE,"Valuation Summary";"Financial Statements",#N/A,TRUE,"Results";"Results",#N/A,TRUE,"Results";"Ratios",#N/A,TRUE,"Results";"P2 Summary",#N/A,TRUE,"Results"}</definedName>
    <definedName name="wrn.Print._.Results._.Letter." localSheetId="20" hidden="1">{"Valuation - Letter",#N/A,TRUE,"Valuation Summary";"Financial Statements - Letter",#N/A,TRUE,"Results";"Results - Letter",#N/A,TRUE,"Results";"Ratios - Letter",#N/A,TRUE,"Results";"P2 Summary - Letter",#N/A,TRUE,"Results"}</definedName>
    <definedName name="wrn.Print._.Results._.Letter." hidden="1">{"Valuation - Letter",#N/A,TRUE,"Valuation Summary";"Financial Statements - Letter",#N/A,TRUE,"Results";"Results - Letter",#N/A,TRUE,"Results";"Ratios - Letter",#N/A,TRUE,"Results";"P2 Summary - Letter",#N/A,TRUE,"Results"}</definedName>
    <definedName name="wrn.print._.summary._.sheets." localSheetId="20" hidden="1">{"summary1",#N/A,TRUE,"Comps";"summary2",#N/A,TRUE,"Comps";"summary3",#N/A,TRUE,"Comps"}</definedName>
    <definedName name="wrn.print._.summary._.sheets." hidden="1">{"summary1",#N/A,TRUE,"Comps";"summary2",#N/A,TRUE,"Comps";"summary3",#N/A,TRUE,"Comps"}</definedName>
    <definedName name="wrn.print.1" localSheetId="20" hidden="1">{"vi1",#N/A,FALSE,"Financial Statements";"vi2",#N/A,FALSE,"Financial Statements";#N/A,#N/A,FALSE,"DCF"}</definedName>
    <definedName name="wrn.print.1" hidden="1">{"vi1",#N/A,FALSE,"Financial Statements";"vi2",#N/A,FALSE,"Financial Statements";#N/A,#N/A,FALSE,"DCF"}</definedName>
    <definedName name="wrn.Print_Buyer." localSheetId="20"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2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REP." localSheetId="20" hidden="1">{"PRINTREP",#N/A,FALSE,"Sheet1"}</definedName>
    <definedName name="wrn.PRINTREP." hidden="1">{"PRINTREP",#N/A,FALSE,"Sheet1"}</definedName>
    <definedName name="wrn.PRODTABLES." localSheetId="20"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APP_SETT." localSheetId="20" hidden="1">{#N/A,#N/A,FALSE,"COVER";#N/A,#N/A,FALSE,"REPORT";#N/A,#N/A,FALSE,"SUMMARY";#N/A,#N/A,FALSE,"DIV";#N/A,#N/A,FALSE,"GRAFICA";#N/A,#N/A,FALSE,"ARCH";#N/A,#N/A,FALSE,"TOT_ARCH";#N/A,#N/A,FALSE,"CANC";#N/A,#N/A,FALSE,"EDIT";#N/A,#N/A,FALSE,"SW";#N/A,#N/A,FALSE,"HW"}</definedName>
    <definedName name="wrn.RAPP_SETT." hidden="1">{#N/A,#N/A,FALSE,"COVER";#N/A,#N/A,FALSE,"REPORT";#N/A,#N/A,FALSE,"SUMMARY";#N/A,#N/A,FALSE,"DIV";#N/A,#N/A,FALSE,"GRAFICA";#N/A,#N/A,FALSE,"ARCH";#N/A,#N/A,FALSE,"TOT_ARCH";#N/A,#N/A,FALSE,"CANC";#N/A,#N/A,FALSE,"EDIT";#N/A,#N/A,FALSE,"SW";#N/A,#N/A,FALSE,"HW"}</definedName>
    <definedName name="wrn.REFINERY." localSheetId="20" hidden="1">{"Padd I to III",#N/A,FALSE,"REFINERY";"Padd IV to US",#N/A,FALSE,"REFINERY";"Crude Balance I",#N/A,FALSE,"REFINERY";"Crude Balance II",#N/A,FALSE,"REFINERY"}</definedName>
    <definedName name="wrn.REFINERY." hidden="1">{"Padd I to III",#N/A,FALSE,"REFINERY";"Padd IV to US",#N/A,FALSE,"REFINERY";"Crude Balance I",#N/A,FALSE,"REFINERY";"Crude Balance II",#N/A,FALSE,"REFINERY"}</definedName>
    <definedName name="wrn.Refining._.Margin._.Faxes." localSheetId="20" hidden="1">{#N/A,#N/A,FALSE,"DEA Report";#N/A,#N/A,FALSE,"Veba Report";#N/A,#N/A,FALSE,"Wintershall Report";#N/A,#N/A,FALSE,"Fina Report"}</definedName>
    <definedName name="wrn.Refining._.Margin._.Faxes." hidden="1">{#N/A,#N/A,FALSE,"DEA Report";#N/A,#N/A,FALSE,"Veba Report";#N/A,#N/A,FALSE,"Wintershall Report";#N/A,#N/A,FALSE,"Fina Report"}</definedName>
    <definedName name="wrn.Refining._.Margin._.Faxes._1" localSheetId="20" hidden="1">{#N/A,#N/A,FALSE,"DEA Report";#N/A,#N/A,FALSE,"Veba Report";#N/A,#N/A,FALSE,"Wintershall Report";#N/A,#N/A,FALSE,"Fina Report"}</definedName>
    <definedName name="wrn.Refining._.Margin._.Faxes._1" hidden="1">{#N/A,#N/A,FALSE,"DEA Report";#N/A,#N/A,FALSE,"Veba Report";#N/A,#N/A,FALSE,"Wintershall Report";#N/A,#N/A,FALSE,"Fina Report"}</definedName>
    <definedName name="wrn.region." localSheetId="20" hidden="1">{"Region",#N/A,FALSE,"CNTRYTYPE"}</definedName>
    <definedName name="wrn.region." hidden="1">{"Region",#N/A,FALSE,"CNTRYTYPE"}</definedName>
    <definedName name="wrn.RELATORIO." localSheetId="20" hidden="1">{#N/A,#N/A,FALSE,"CONTROLE";#N/A,#N/A,FALSE,"CONTROLE"}</definedName>
    <definedName name="wrn.RELATORIO." hidden="1">{#N/A,#N/A,FALSE,"CONTROLE";#N/A,#N/A,FALSE,"CONTROLE"}</definedName>
    <definedName name="wrn.rep_bdg." localSheetId="20" hidden="1">{#N/A,#N/A,TRUE,"INPUT";#N/A,#N/A,TRUE,"ECO_COMP";#N/A,#N/A,TRUE,"BDG_98";#N/A,#N/A,TRUE,"ordinato";#N/A,#N/A,TRUE,"vend_rid";#N/A,#N/A,TRUE,"vend_tra";#N/A,#N/A,TRUE,"costi_rid";#N/A,#N/A,TRUE,"costi_tra";#N/A,#N/A,TRUE,"dipendenti";#N/A,#N/A,TRUE,"costo_pers";#N/A,#N/A,TRUE,"inv_98";#N/A,#N/A,TRUE,"dett_inv";#N/A,#N/A,TRUE,"spese_gen";#N/A,#N/A,TRUE,"cover";#N/A,#N/A,TRUE,"indice"}</definedName>
    <definedName name="wrn.rep_bdg." hidden="1">{#N/A,#N/A,TRUE,"INPUT";#N/A,#N/A,TRUE,"ECO_COMP";#N/A,#N/A,TRUE,"BDG_98";#N/A,#N/A,TRUE,"ordinato";#N/A,#N/A,TRUE,"vend_rid";#N/A,#N/A,TRUE,"vend_tra";#N/A,#N/A,TRUE,"costi_rid";#N/A,#N/A,TRUE,"costi_tra";#N/A,#N/A,TRUE,"dipendenti";#N/A,#N/A,TRUE,"costo_pers";#N/A,#N/A,TRUE,"inv_98";#N/A,#N/A,TRUE,"dett_inv";#N/A,#N/A,TRUE,"spese_gen";#N/A,#N/A,TRUE,"cover";#N/A,#N/A,TRUE,"indice"}</definedName>
    <definedName name="wrn.REP_BDG_R." localSheetId="20" hidden="1">{#N/A,#N/A,TRUE,"INPUT";#N/A,#N/A,TRUE,"vend_rid";#N/A,#N/A,TRUE,"vend_tra";#N/A,#N/A,TRUE,"ordinato";#N/A,#N/A,TRUE,"costi_rid";#N/A,#N/A,TRUE,"costi_tra";#N/A,#N/A,TRUE,"dipendenti";#N/A,#N/A,TRUE,"costo_pers";#N/A,#N/A,TRUE,"inv_98";#N/A,#N/A,TRUE,"ECO_COMP";#N/A,#N/A,TRUE,"anal_gen";#N/A,#N/A,TRUE,"dett_inv";#N/A,#N/A,TRUE,"cover";#N/A,#N/A,TRUE,"indice_R"}</definedName>
    <definedName name="wrn.REP_BDG_R." hidden="1">{#N/A,#N/A,TRUE,"INPUT";#N/A,#N/A,TRUE,"vend_rid";#N/A,#N/A,TRUE,"vend_tra";#N/A,#N/A,TRUE,"ordinato";#N/A,#N/A,TRUE,"costi_rid";#N/A,#N/A,TRUE,"costi_tra";#N/A,#N/A,TRUE,"dipendenti";#N/A,#N/A,TRUE,"costo_pers";#N/A,#N/A,TRUE,"inv_98";#N/A,#N/A,TRUE,"ECO_COMP";#N/A,#N/A,TRUE,"anal_gen";#N/A,#N/A,TRUE,"dett_inv";#N/A,#N/A,TRUE,"cover";#N/A,#N/A,TRUE,"indice_R"}</definedName>
    <definedName name="wrn.Report." localSheetId="20" hidden="1">{"Rep 1",#N/A,FALSE,"Reports";"Rep 2",#N/A,FALSE,"Reports";"Rep 3",#N/A,FALSE,"Reports";"Rep 4",#N/A,FALSE,"Reports"}</definedName>
    <definedName name="wrn.Report." hidden="1">{"Rep 1",#N/A,FALSE,"Reports";"Rep 2",#N/A,FALSE,"Reports";"Rep 3",#N/A,FALSE,"Reports";"Rep 4",#N/A,FALSE,"Reports"}</definedName>
    <definedName name="wrn.REPORTESTERNO." localSheetId="20"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interno." localSheetId="20" hidden="1">{#N/A,#N/A,FALSE,"HIGHNEW";#N/A,#N/A,FALSE,"HIGHOLD";#N/A,#N/A,FALSE,"MTHDET";#N/A,#N/A,FALSE,"ACTDET"}</definedName>
    <definedName name="wrn.reportinterno." hidden="1">{#N/A,#N/A,FALSE,"HIGHNEW";#N/A,#N/A,FALSE,"HIGHOLD";#N/A,#N/A,FALSE,"MTHDET";#N/A,#N/A,FALSE,"ACTDET"}</definedName>
    <definedName name="wrn.SALARIOS._.PRESUPUESTO." localSheetId="20" hidden="1">{"SALARIOS",#N/A,FALSE,"Hoja3";"SUELDOS EMPLEADOS",#N/A,FALSE,"Hoja4";"SUELDOS EJECUTIVOS",#N/A,FALSE,"Hoja5"}</definedName>
    <definedName name="wrn.SALARIOS._.PRESUPUESTO." hidden="1">{"SALARIOS",#N/A,FALSE,"Hoja3";"SUELDOS EMPLEADOS",#N/A,FALSE,"Hoja4";"SUELDOS EJECUTIVOS",#N/A,FALSE,"Hoja5"}</definedName>
    <definedName name="wrn.sales." localSheetId="20" hidden="1">{"sales",#N/A,FALSE,"Sales";"sales existing",#N/A,FALSE,"Sales";"sales rd1",#N/A,FALSE,"Sales";"sales rd2",#N/A,FALSE,"Sales"}</definedName>
    <definedName name="wrn.sales." hidden="1">{"sales",#N/A,FALSE,"Sales";"sales existing",#N/A,FALSE,"Sales";"sales rd1",#N/A,FALSE,"Sales";"sales rd2",#N/A,FALSE,"Sales"}</definedName>
    <definedName name="wrn.sales.1" localSheetId="20" hidden="1">{"sales",#N/A,FALSE,"Sales";"sales existing",#N/A,FALSE,"Sales";"sales rd1",#N/A,FALSE,"Sales";"sales rd2",#N/A,FALSE,"Sales"}</definedName>
    <definedName name="wrn.sales.1" hidden="1">{"sales",#N/A,FALSE,"Sales";"sales existing",#N/A,FALSE,"Sales";"sales rd1",#N/A,FALSE,"Sales";"sales rd2",#N/A,FALSE,"Sales"}</definedName>
    <definedName name="wrn.SAMPLE." localSheetId="20" hidden="1">{#N/A,#N/A,TRUE,"Crude";#N/A,#N/A,TRUE,"Products"}</definedName>
    <definedName name="wrn.SAMPLE." hidden="1">{#N/A,#N/A,TRUE,"Crude";#N/A,#N/A,TRUE,"Products"}</definedName>
    <definedName name="wrn.SHORT." localSheetId="20" hidden="1">{"CREDIT STATISTICS",#N/A,FALSE,"STATS";"CF_AND_IS",#N/A,FALSE,"PLAN";"BALSHEET",#N/A,FALSE,"BALANCE SHEET"}</definedName>
    <definedName name="wrn.SHORT." hidden="1">{"CREDIT STATISTICS",#N/A,FALSE,"STATS";"CF_AND_IS",#N/A,FALSE,"PLAN";"BALSHEET",#N/A,FALSE,"BALANCE SHEET"}</definedName>
    <definedName name="wrn.short.1" localSheetId="20" hidden="1">{"CREDIT STATISTICS",#N/A,FALSE,"STATS";"CF_AND_IS",#N/A,FALSE,"PLAN";"BALSHEET",#N/A,FALSE,"BALANCE SHEET"}</definedName>
    <definedName name="wrn.short.1" hidden="1">{"CREDIT STATISTICS",#N/A,FALSE,"STATS";"CF_AND_IS",#N/A,FALSE,"PLAN";"BALSHEET",#N/A,FALSE,"BALANCE SHEET"}</definedName>
    <definedName name="wrn.SPA1." localSheetId="20" hidden="1">{#N/A,#N/A,FALSE,"RIEP"}</definedName>
    <definedName name="wrn.SPA1." hidden="1">{#N/A,#N/A,FALSE,"RIEP"}</definedName>
    <definedName name="wrn.SPM1." localSheetId="20" hidden="1">{"SPM1",#N/A,FALSE,"RIEP"}</definedName>
    <definedName name="wrn.SPM1." hidden="1">{"SPM1",#N/A,FALSE,"RIEP"}</definedName>
    <definedName name="wrn.STAND_ALONE_BOTH." localSheetId="20" hidden="1">{"FCB_ALL",#N/A,FALSE,"FCB";"GREY_ALL",#N/A,FALSE,"GREY"}</definedName>
    <definedName name="wrn.STAND_ALONE_BOTH." hidden="1">{"FCB_ALL",#N/A,FALSE,"FCB";"GREY_ALL",#N/A,FALSE,"GREY"}</definedName>
    <definedName name="wrn.SUBREGION." localSheetId="20" hidden="1">{"SUBREGION",#N/A,FALSE,"CNTRYTYPE"}</definedName>
    <definedName name="wrn.SUBREGION." hidden="1">{"SUBREGION",#N/A,FALSE,"CNTRYTYPE"}</definedName>
    <definedName name="wrn.SUDDIVISIONE._.UTILI." localSheetId="20" hidden="1">{#N/A,#N/A,TRUE,"UTIFAC";#N/A,#N/A,TRUE,"UTIESP";#N/A,#N/A,TRUE,"UTIFRA";#N/A,#N/A,TRUE,"UTIGBR";#N/A,#N/A,TRUE,"UTIGER";#N/A,#N/A,TRUE,"UTIGRE";#N/A,#N/A,TRUE,"UTISWE";#N/A,#N/A,TRUE,"UTIAUS";#N/A,#N/A,TRUE,"UTISAF";#N/A,#N/A,TRUE,"UTICAN"}</definedName>
    <definedName name="wrn.SUDDIVISIONE._.UTILI." hidden="1">{#N/A,#N/A,TRUE,"UTIFAC";#N/A,#N/A,TRUE,"UTIESP";#N/A,#N/A,TRUE,"UTIFRA";#N/A,#N/A,TRUE,"UTIGBR";#N/A,#N/A,TRUE,"UTIGER";#N/A,#N/A,TRUE,"UTIGRE";#N/A,#N/A,TRUE,"UTISWE";#N/A,#N/A,TRUE,"UTIAUS";#N/A,#N/A,TRUE,"UTISAF";#N/A,#N/A,TRUE,"UTICAN"}</definedName>
    <definedName name="wrn.SUDDIVISIONE._UTILI.I" localSheetId="20" hidden="1">{#N/A,#N/A,TRUE,"UTIFAC";#N/A,#N/A,TRUE,"UTIESP";#N/A,#N/A,TRUE,"UTIFRA";#N/A,#N/A,TRUE,"UTIGBR";#N/A,#N/A,TRUE,"UTIGER";#N/A,#N/A,TRUE,"UTIGRE";#N/A,#N/A,TRUE,"UTISWE";#N/A,#N/A,TRUE,"UTIAUS";#N/A,#N/A,TRUE,"UTISAF";#N/A,#N/A,TRUE,"UTICAN"}</definedName>
    <definedName name="wrn.SUDDIVISIONE._UTILI.I" hidden="1">{#N/A,#N/A,TRUE,"UTIFAC";#N/A,#N/A,TRUE,"UTIESP";#N/A,#N/A,TRUE,"UTIFRA";#N/A,#N/A,TRUE,"UTIGBR";#N/A,#N/A,TRUE,"UTIGER";#N/A,#N/A,TRUE,"UTIGRE";#N/A,#N/A,TRUE,"UTISWE";#N/A,#N/A,TRUE,"UTIAUS";#N/A,#N/A,TRUE,"UTISAF";#N/A,#N/A,TRUE,"UTICAN"}</definedName>
    <definedName name="wrn.SUM._.OF._.UNIT._.3." localSheetId="20" hidden="1">{#N/A,#N/A,FALSE,"INPUTDATA";#N/A,#N/A,FALSE,"SUMMARY";#N/A,#N/A,FALSE,"CTAREP";#N/A,#N/A,FALSE,"CTBREP";#N/A,#N/A,FALSE,"PMG4ST86";#N/A,#N/A,FALSE,"TURBEFF";#N/A,#N/A,FALSE,"Condenser Performance"}</definedName>
    <definedName name="wrn.SUM._.OF._.UNIT._.3." hidden="1">{#N/A,#N/A,FALSE,"INPUTDATA";#N/A,#N/A,FALSE,"SUMMARY";#N/A,#N/A,FALSE,"CTAREP";#N/A,#N/A,FALSE,"CTBREP";#N/A,#N/A,FALSE,"PMG4ST86";#N/A,#N/A,FALSE,"TURBEFF";#N/A,#N/A,FALSE,"Condenser Performance"}</definedName>
    <definedName name="wrn.summaries." localSheetId="2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20" hidden="1">{"Growth Supply Demand",#N/A,TRUE,"Summary";"Primary Energy Balance",#N/A,TRUE,"Summary"}</definedName>
    <definedName name="wrn.Summary." hidden="1">{"Growth Supply Demand",#N/A,TRUE,"Summary";"Primary Energy Balance",#N/A,TRUE,"Summary"}</definedName>
    <definedName name="wrn.sweet." localSheetId="20" hidden="1">{"sweet",#N/A,FALSE,"CNTRYTYPE"}</definedName>
    <definedName name="wrn.sweet." hidden="1">{"sweet",#N/A,FALSE,"CNTRYTYPE"}</definedName>
    <definedName name="wrn.SYNTHESE." localSheetId="20" hidden="1">{#N/A,#N/A,TRUE,"ANALYSE";#N/A,#N/A,TRUE,"PM VOLUME";#N/A,#N/A,TRUE,"PM VALEUR";#N/A,#N/A,TRUE,"AR1";#N/A,#N/A,TRUE,"AR2";#N/A,#N/A,TRUE,"RAF";#N/A,#N/A,TRUE,"BILAN";#N/A,#N/A,TRUE,"CASH FLOW";#N/A,#N/A,TRUE,"ETAT FI"}</definedName>
    <definedName name="wrn.SYNTHESE." hidden="1">{#N/A,#N/A,TRUE,"ANALYSE";#N/A,#N/A,TRUE,"PM VOLUME";#N/A,#N/A,TRUE,"PM VALEUR";#N/A,#N/A,TRUE,"AR1";#N/A,#N/A,TRUE,"AR2";#N/A,#N/A,TRUE,"RAF";#N/A,#N/A,TRUE,"BILAN";#N/A,#N/A,TRUE,"CASH FLOW";#N/A,#N/A,TRUE,"ETAT FI"}</definedName>
    <definedName name="wrn.TABLEAUX." localSheetId="20" hidden="1">{#N/A,#N/A,TRUE,"EC COMM-t";#N/A,#N/A,TRUE,"EC PAR PDTS-t";#N/A,#N/A,TRUE,"EC MAT-t";#N/A,#N/A,TRUE,"SUIVI HAUSSES-t"}</definedName>
    <definedName name="wrn.TABLEAUX." hidden="1">{#N/A,#N/A,TRUE,"EC COMM-t";#N/A,#N/A,TRUE,"EC PAR PDTS-t";#N/A,#N/A,TRUE,"EC MAT-t";#N/A,#N/A,TRUE,"SUIVI HAUSSES-t"}</definedName>
    <definedName name="wrn.Tableaux._.A." localSheetId="20" hidden="1">{#N/A,#N/A,FALSE,"Tabl. A1";#N/A,#N/A,FALSE,"Tabl. A1 b";#N/A,#N/A,FALSE,"Tabl. A2";#N/A,#N/A,FALSE,"Tabl. A2-1";#N/A,#N/A,FALSE,"Tabl. A2-2"}</definedName>
    <definedName name="wrn.Tableaux._.A." hidden="1">{#N/A,#N/A,FALSE,"Tabl. A1";#N/A,#N/A,FALSE,"Tabl. A1 b";#N/A,#N/A,FALSE,"Tabl. A2";#N/A,#N/A,FALSE,"Tabl. A2-1";#N/A,#N/A,FALSE,"Tabl. A2-2"}</definedName>
    <definedName name="wrn.Tableaux._.D." localSheetId="20" hidden="1">{#N/A,#N/A,FALSE,"Tabl. D1";#N/A,#N/A,FALSE,"Tabl. D1 b";#N/A,#N/A,FALSE,"Tabl. D2";#N/A,#N/A,FALSE,"Tabl. D2 b";#N/A,#N/A,FALSE,"Tabl. D3";#N/A,#N/A,FALSE,"Tabl. D4";#N/A,#N/A,FALSE,"Tabl. D5"}</definedName>
    <definedName name="wrn.Tableaux._.D." hidden="1">{#N/A,#N/A,FALSE,"Tabl. D1";#N/A,#N/A,FALSE,"Tabl. D1 b";#N/A,#N/A,FALSE,"Tabl. D2";#N/A,#N/A,FALSE,"Tabl. D2 b";#N/A,#N/A,FALSE,"Tabl. D3";#N/A,#N/A,FALSE,"Tabl. D4";#N/A,#N/A,FALSE,"Tabl. D5"}</definedName>
    <definedName name="wrn.Tableaux._.F." localSheetId="20" hidden="1">{#N/A,#N/A,FALSE,"Tabl. FB300";#N/A,#N/A,FALSE,"Tabl. FB350";#N/A,#N/A,FALSE,"Tabl. FB400";#N/A,#N/A,FALSE,"Tabl. FB500";#N/A,#N/A,FALSE,"Tabl. FS090"}</definedName>
    <definedName name="wrn.Tableaux._.F." hidden="1">{#N/A,#N/A,FALSE,"Tabl. FB300";#N/A,#N/A,FALSE,"Tabl. FB350";#N/A,#N/A,FALSE,"Tabl. FB400";#N/A,#N/A,FALSE,"Tabl. FB500";#N/A,#N/A,FALSE,"Tabl. FS090"}</definedName>
    <definedName name="wrn.Tableaux._.G." localSheetId="20" hidden="1">{#N/A,#N/A,FALSE,"Tabl. G1";#N/A,#N/A,FALSE,"Tabl. G2"}</definedName>
    <definedName name="wrn.Tableaux._.G." hidden="1">{#N/A,#N/A,FALSE,"Tabl. G1";#N/A,#N/A,FALSE,"Tabl. G2"}</definedName>
    <definedName name="wrn.Tableaux._.H." localSheetId="20" hidden="1">{#N/A,#N/A,FALSE,"Tabl. H1";#N/A,#N/A,FALSE,"Tabl. H2"}</definedName>
    <definedName name="wrn.Tableaux._.H." hidden="1">{#N/A,#N/A,FALSE,"Tabl. H1";#N/A,#N/A,FALSE,"Tabl. H2"}</definedName>
    <definedName name="wrn.Tables." localSheetId="20" hidden="1">{"Current",#N/A,FALSE,"Currentcal";"Current B",#N/A,FALSE,"Currentcal";"Constant",#N/A,FALSE,"Constantcal";"Constant B",#N/A,FALSE,"Constantcal"}</definedName>
    <definedName name="wrn.Tables." hidden="1">{"Current",#N/A,FALSE,"Currentcal";"Current B",#N/A,FALSE,"Currentcal";"Constant",#N/A,FALSE,"Constantcal";"Constant B",#N/A,FALSE,"Constantcal"}</definedName>
    <definedName name="wrn.test." localSheetId="20" hidden="1">{"test2",#N/A,TRUE,"Prices"}</definedName>
    <definedName name="wrn.test." hidden="1">{"test2",#N/A,TRUE,"Prices"}</definedName>
    <definedName name="wrn.total." localSheetId="20" hidden="1">{#N/A,#N/A,TRUE,"SEST";#N/A,#N/A,TRUE,"indicadores ";#N/A,#N/A,TRUE,"FPI";#N/A,#N/A,TRUE,"USOS E FONTES";#N/A,#N/A,TRUE,"gráficos"}</definedName>
    <definedName name="wrn.total." hidden="1">{#N/A,#N/A,TRUE,"SEST";#N/A,#N/A,TRUE,"indicadores ";#N/A,#N/A,TRUE,"FPI";#N/A,#N/A,TRUE,"USOS E FONTES";#N/A,#N/A,TRUE,"gráficos"}</definedName>
    <definedName name="wrn.Tout._.Sauf._.BG." localSheetId="2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IMESTRALE." localSheetId="20" hidden="1">{#N/A,#N/A,TRUE,"covtri";#N/A,#N/A,TRUE,"indtri";#N/A,#N/A,TRUE,"ECORID";#N/A,#N/A,TRUE,"ECOTRA";#N/A,#N/A,TRUE,"ECOTOT";#N/A,#N/A,TRUE,"FATSOC";#N/A,#N/A,TRUE,"FATDIV";#N/A,#N/A,TRUE,"FATGEO";#N/A,#N/A,TRUE,"ORDINI";#N/A,#N/A,TRUE,"SITPAT";#N/A,#N/A,TRUE,"RENDFIN";#N/A,#N/A,TRUE,"TESORI";#N/A,#N/A,TRUE,"PERSONE"}</definedName>
    <definedName name="wrn.TRIMESTRALE." hidden="1">{#N/A,#N/A,TRUE,"covtri";#N/A,#N/A,TRUE,"indtri";#N/A,#N/A,TRUE,"ECORID";#N/A,#N/A,TRUE,"ECOTRA";#N/A,#N/A,TRUE,"ECOTOT";#N/A,#N/A,TRUE,"FATSOC";#N/A,#N/A,TRUE,"FATDIV";#N/A,#N/A,TRUE,"FATGEO";#N/A,#N/A,TRUE,"ORDINI";#N/A,#N/A,TRUE,"SITPAT";#N/A,#N/A,TRUE,"RENDFIN";#N/A,#N/A,TRUE,"TESORI";#N/A,#N/A,TRUE,"PERSONE"}</definedName>
    <definedName name="wrn.TUTTO." localSheetId="20" hidden="1">{"SINTESI",#N/A,FALSE,"sintesi";"VOLCAN",#N/A,FALSE,"volcan";"MDC",#N/A,FALSE,"MDCBDG";"VOLPROD",#N/A,FALSE,"volprod";"SPESE",#N/A,FALSE,"SPESE";"_Current_",#N/A,FALSE,"VARFCT";"CE",#N/A,FALSE,"CENEW";"SP",#N/A,FALSE,"SPNEW";"INVESTIM",#N/A,FALSE,"INVESTIM";"FATPROD",#N/A,FALSE,"ricprod";"PRODUNIT",#N/A,FALSE,"ricprod";"FATCAN",#N/A,FALSE,"riccan";"CANUNIT",#N/A,FALSE,"riccan";#N/A,#N/A,FALSE,"MDC FCT";"VARIANTI",#N/A,FALSE,"VARBDG"}</definedName>
    <definedName name="wrn.TUTTO." hidden="1">{"SINTESI",#N/A,FALSE,"sintesi";"VOLCAN",#N/A,FALSE,"volcan";"MDC",#N/A,FALSE,"MDCBDG";"VOLPROD",#N/A,FALSE,"volprod";"SPESE",#N/A,FALSE,"SPESE";"_Current_",#N/A,FALSE,"VARFCT";"CE",#N/A,FALSE,"CENEW";"SP",#N/A,FALSE,"SPNEW";"INVESTIM",#N/A,FALSE,"INVESTIM";"FATPROD",#N/A,FALSE,"ricprod";"PRODUNIT",#N/A,FALSE,"ricprod";"FATCAN",#N/A,FALSE,"riccan";"CANUNIT",#N/A,FALSE,"riccan";#N/A,#N/A,FALSE,"MDC FCT";"VARIANTI",#N/A,FALSE,"VARBDG"}</definedName>
    <definedName name="wrn.UTILI._.SPAGNA." localSheetId="20" hidden="1">{#N/A,#N/A,TRUE,"UTIESP"}</definedName>
    <definedName name="wrn.UTILI._.SPAGNA." hidden="1">{#N/A,#N/A,TRUE,"UTIESP"}</definedName>
    <definedName name="wrn.UTILI._.SUD._.AFRICA." localSheetId="20" hidden="1">{#N/A,#N/A,TRUE,"UTISAF"}</definedName>
    <definedName name="wrn.UTILI._.SUD._.AFRICA." hidden="1">{#N/A,#N/A,TRUE,"UTISAF"}</definedName>
    <definedName name="wrn1.CCC." localSheetId="20" hidden="1">{"QQQ",#N/A,FALSE,"RIEP"}</definedName>
    <definedName name="wrn1.CCC." hidden="1">{"QQQ",#N/A,FALSE,"RIEP"}</definedName>
    <definedName name="wrn2.all" localSheetId="20" hidden="1">{"PAGE1",#N/A,FALSE,"YIELDS";"PAGE2",#N/A,FALSE,"YIELDS";"PAGE3",#N/A,FALSE,"YIELDS"}</definedName>
    <definedName name="wrn2.all" hidden="1">{"PAGE1",#N/A,FALSE,"YIELDS";"PAGE2",#N/A,FALSE,"YIELDS";"PAGE3",#N/A,FALSE,"YIELDS"}</definedName>
    <definedName name="wrn2.all." localSheetId="20" hidden="1">{"PAGE1",#N/A,FALSE,"YIELDS";"PAGE2",#N/A,FALSE,"YIELDS";"PAGE3",#N/A,FALSE,"YIELDS"}</definedName>
    <definedName name="wrn2.all." hidden="1">{"PAGE1",#N/A,FALSE,"YIELDS";"PAGE2",#N/A,FALSE,"YIELDS";"PAGE3",#N/A,FALSE,"YIELDS"}</definedName>
    <definedName name="wrn2.gasodem." localSheetId="20" hidden="1">{"monthly",#N/A,FALSE,"GASODEM";"qtr to yr",#N/A,FALSE,"GASODEM"}</definedName>
    <definedName name="wrn2.gasodem." hidden="1">{"monthly",#N/A,FALSE,"GASODEM";"qtr to yr",#N/A,FALSE,"GASODEM"}</definedName>
    <definedName name="wrn3.ALL." localSheetId="20"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s" localSheetId="20" hidden="1">{#N/A,#N/A,FALSE,"LLAVE";#N/A,#N/A,FALSE,"EERR";#N/A,#N/A,FALSE,"ESP";#N/A,#N/A,FALSE,"EOAF";#N/A,#N/A,FALSE,"CASH";#N/A,#N/A,FALSE,"FINANZAS";#N/A,#N/A,FALSE,"DEUDA";#N/A,#N/A,FALSE,"INVERSION";#N/A,#N/A,FALSE,"PERSONAL"}</definedName>
    <definedName name="ws" hidden="1">{#N/A,#N/A,FALSE,"LLAVE";#N/A,#N/A,FALSE,"EERR";#N/A,#N/A,FALSE,"ESP";#N/A,#N/A,FALSE,"EOAF";#N/A,#N/A,FALSE,"CASH";#N/A,#N/A,FALSE,"FINANZAS";#N/A,#N/A,FALSE,"DEUDA";#N/A,#N/A,FALSE,"INVERSION";#N/A,#N/A,FALSE,"PERSONAL"}</definedName>
    <definedName name="ws_1" localSheetId="20" hidden="1">{#N/A,#N/A,FALSE,"LLAVE";#N/A,#N/A,FALSE,"EERR";#N/A,#N/A,FALSE,"ESP";#N/A,#N/A,FALSE,"EOAF";#N/A,#N/A,FALSE,"CASH";#N/A,#N/A,FALSE,"FINANZAS";#N/A,#N/A,FALSE,"DEUDA";#N/A,#N/A,FALSE,"INVERSION";#N/A,#N/A,FALSE,"PERSONAL"}</definedName>
    <definedName name="ws_1" hidden="1">{#N/A,#N/A,FALSE,"LLAVE";#N/A,#N/A,FALSE,"EERR";#N/A,#N/A,FALSE,"ESP";#N/A,#N/A,FALSE,"EOAF";#N/A,#N/A,FALSE,"CASH";#N/A,#N/A,FALSE,"FINANZAS";#N/A,#N/A,FALSE,"DEUDA";#N/A,#N/A,FALSE,"INVERSION";#N/A,#N/A,FALSE,"PERSONAL"}</definedName>
    <definedName name="wvu.inputs._.raw._.data." localSheetId="2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2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20" hidden="1">{#N/A,#N/A,FALSE,"CONTROLE"}</definedName>
    <definedName name="ww" hidden="1">{#N/A,#N/A,FALSE,"CONTROLE"}</definedName>
    <definedName name="www" localSheetId="20" hidden="1">{#N/A,#N/A,FALSE,"CONTROLE";#N/A,#N/A,FALSE,"CONTROLE"}</definedName>
    <definedName name="www" hidden="1">{#N/A,#N/A,FALSE,"CONTROLE";#N/A,#N/A,FALSE,"CONTROLE"}</definedName>
    <definedName name="wwww" localSheetId="20" hidden="1">{#N/A,#N/A,FALSE,"RIEP"}</definedName>
    <definedName name="wwww" hidden="1">{#N/A,#N/A,FALSE,"RIEP"}</definedName>
    <definedName name="wwwwww" localSheetId="20" hidden="1">{#N/A,#N/A,FALSE,"CONTROLE";#N/A,#N/A,FALSE,"CONTROLE"}</definedName>
    <definedName name="wwwwww" hidden="1">{#N/A,#N/A,FALSE,"CONTROLE";#N/A,#N/A,FALSE,"CONTROLE"}</definedName>
    <definedName name="wwwwwww" localSheetId="20" hidden="1">{#N/A,#N/A,FALSE,"CONTROLE"}</definedName>
    <definedName name="wwwwwww" hidden="1">{#N/A,#N/A,FALSE,"CONTROLE"}</definedName>
    <definedName name="wwwwwwwwwwww" localSheetId="20" hidden="1">{#N/A,#N/A,FALSE,"CONTROLE"}</definedName>
    <definedName name="wwwwwwwwwwww" hidden="1">{#N/A,#N/A,FALSE,"CONTROLE"}</definedName>
    <definedName name="x" localSheetId="20" hidden="1">{#N/A,#N/A,FALSE,"FY97";#N/A,#N/A,FALSE,"FY98";#N/A,#N/A,FALSE,"FY99";#N/A,#N/A,FALSE,"FY00";#N/A,#N/A,FALSE,"FY01"}</definedName>
    <definedName name="x" hidden="1">{#N/A,#N/A,FALSE,"FY97";#N/A,#N/A,FALSE,"FY98";#N/A,#N/A,FALSE,"FY99";#N/A,#N/A,FALSE,"FY00";#N/A,#N/A,FALSE,"FY01"}</definedName>
    <definedName name="xcvb" localSheetId="20" hidden="1">{#N/A,#N/A,FALSE,"Baltimore";#N/A,#N/A,FALSE,"Barrington";#N/A,#N/A,FALSE,"Butler";#N/A,#N/A,FALSE,"Cleveland";#N/A,#N/A,FALSE,"Closter";#N/A,#N/A,FALSE,"Eaton";#N/A,#N/A,FALSE,"Meriden";#N/A,#N/A,FALSE,"Mt. Vernon";#N/A,#N/A,FALSE,"Rochester";#N/A,#N/A,FALSE,"Three Rivers";#N/A,#N/A,FALSE,"Warren"}</definedName>
    <definedName name="xcvb" hidden="1">{#N/A,#N/A,FALSE,"Baltimore";#N/A,#N/A,FALSE,"Barrington";#N/A,#N/A,FALSE,"Butler";#N/A,#N/A,FALSE,"Cleveland";#N/A,#N/A,FALSE,"Closter";#N/A,#N/A,FALSE,"Eaton";#N/A,#N/A,FALSE,"Meriden";#N/A,#N/A,FALSE,"Mt. Vernon";#N/A,#N/A,FALSE,"Rochester";#N/A,#N/A,FALSE,"Three Rivers";#N/A,#N/A,FALSE,"Warren"}</definedName>
    <definedName name="XCVBN" localSheetId="20" hidden="1">{#N/A,#N/A,FALSE,"Tabl. G1";#N/A,#N/A,FALSE,"Tabl. G2"}</definedName>
    <definedName name="XCVBN" hidden="1">{#N/A,#N/A,FALSE,"Tabl. G1";#N/A,#N/A,FALSE,"Tabl. G2"}</definedName>
    <definedName name="xcz" localSheetId="20" hidden="1">{"'pg(12)'!$B$1:$N$16"}</definedName>
    <definedName name="xcz" hidden="1">{"'pg(12)'!$B$1:$N$16"}</definedName>
    <definedName name="xpaste1" hidden="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2" hidden="1">#REF!</definedName>
    <definedName name="XREF_COLUMN_21" hidden="1">#REF!</definedName>
    <definedName name="XREF_COLUMN_22" hidden="1">#REF!</definedName>
    <definedName name="XREF_COLUMN_23" hidden="1">#REF!</definedName>
    <definedName name="XREF_COLUMN_3" hidden="1">#REF!</definedName>
    <definedName name="XREF_COLUMN_36" hidden="1">#REF!</definedName>
    <definedName name="XREF_COLUMN_38" hidden="1">#REF!</definedName>
    <definedName name="XREF_COLUMN_39" hidden="1">#REF!</definedName>
    <definedName name="XREF_COLUMN_4" hidden="1">#REF!</definedName>
    <definedName name="XREF_COLUMN_40" hidden="1">#REF!</definedName>
    <definedName name="XREF_COLUMN_42" hidden="1">#REF!</definedName>
    <definedName name="XREF_COLUMN_43" hidden="1">#REF!</definedName>
    <definedName name="XREF_COLUMN_44" hidden="1">#REF!</definedName>
    <definedName name="XREF_COLUMN_45" hidden="1">#REF!</definedName>
    <definedName name="XREF_COLUMN_5" hidden="1">#REF!</definedName>
    <definedName name="XREF_COLUMN_51" hidden="1">#REF!</definedName>
    <definedName name="XREF_COLUMN_52" hidden="1">#REF!</definedName>
    <definedName name="XREF_COLUMN_53"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18</definedName>
    <definedName name="XRefCopy1" hidden="1">#REF!</definedName>
    <definedName name="XRefCopy103" hidden="1">#REF!</definedName>
    <definedName name="XRefCopy10Row" hidden="1">#REF!</definedName>
    <definedName name="XRefCopy11Row" hidden="1">#REF!</definedName>
    <definedName name="XRefCopy12Row" hidden="1">#REF!</definedName>
    <definedName name="XRefCopy13Row" hidden="1">#REF!</definedName>
    <definedName name="XRefCopy14" hidden="1">#REF!</definedName>
    <definedName name="XRefCopy15"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Row" hidden="1">#REF!</definedName>
    <definedName name="XRefCopy1Row" hidden="1">#REF!</definedName>
    <definedName name="XRefCopy2" hidden="1">#REF!</definedName>
    <definedName name="XRefCopy20Row" hidden="1">#REF!</definedName>
    <definedName name="XRefCopy21Row" hidden="1">#REF!</definedName>
    <definedName name="XRefCopy22Row" hidden="1">#REF!</definedName>
    <definedName name="XRefCopy25Row" hidden="1">#REF!</definedName>
    <definedName name="XRefCopy26Row" hidden="1">#REF!</definedName>
    <definedName name="XRefCopy27Row" hidden="1">#REF!</definedName>
    <definedName name="XRefCopy28Row" hidden="1">#REF!</definedName>
    <definedName name="XRefCopy29Row" hidden="1">#REF!</definedName>
    <definedName name="XRefCopy2Row" hidden="1">#REF!</definedName>
    <definedName name="XRefCopy3" hidden="1">#REF!</definedName>
    <definedName name="XRefCopy30Row" hidden="1">#REF!</definedName>
    <definedName name="XRefCopy31"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5"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6" hidden="1">#REF!</definedName>
    <definedName name="XRefCopy7" hidden="1">#REF!</definedName>
    <definedName name="XRefCopy8" hidden="1">#REF!</definedName>
    <definedName name="XRefCopy85" hidden="1">#REF!</definedName>
    <definedName name="XRefCopy85Row" hidden="1">#REF!</definedName>
    <definedName name="XRefCopy86" hidden="1">#REF!</definedName>
    <definedName name="XRefCopy87" hidden="1">#REF!</definedName>
    <definedName name="XRefCopy87Row" hidden="1">#REF!</definedName>
    <definedName name="XRefCopy88" hidden="1">#REF!</definedName>
    <definedName name="XRefCopy88Row" hidden="1">#REF!</definedName>
    <definedName name="XRefCopy8Row" hidden="1">#REF!</definedName>
    <definedName name="XRefCopy9" hidden="1">#REF!</definedName>
    <definedName name="XRefCopy91" hidden="1">#REF!</definedName>
    <definedName name="XRefCopy91Row" hidden="1">#REF!</definedName>
    <definedName name="XRefCopyRangeCount" hidden="1">15</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8" hidden="1">#REF!</definedName>
    <definedName name="XRefPaste19" hidden="1">#REF!</definedName>
    <definedName name="XRefPaste19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Row" hidden="1">#REF!</definedName>
    <definedName name="XRefPaste3" hidden="1">#REF!</definedName>
    <definedName name="XRefPaste30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Row" hidden="1">#REF!</definedName>
    <definedName name="XRefPaste38Row" hidden="1">#REF!</definedName>
    <definedName name="XRefPaste3Row" hidden="1">#REF!</definedName>
    <definedName name="XRefPaste4" hidden="1">#REF!</definedName>
    <definedName name="XRefPaste40Row" hidden="1">#REF!</definedName>
    <definedName name="XRefPaste41Row" hidden="1">#REF!</definedName>
    <definedName name="XRefPaste42Row" hidden="1">#REF!</definedName>
    <definedName name="XRefPaste43Row"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9" hidden="1">#REF!</definedName>
    <definedName name="XRefPaste79Row"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13</definedName>
    <definedName name="xs" localSheetId="20" hidden="1">{#N/A,#N/A,FALSE,"ENERGIA";#N/A,#N/A,FALSE,"PERDIDAS";#N/A,#N/A,FALSE,"CLIENTES";#N/A,#N/A,FALSE,"ESTADO";#N/A,#N/A,FALSE,"TECNICA"}</definedName>
    <definedName name="xs" hidden="1">{#N/A,#N/A,FALSE,"ENERGIA";#N/A,#N/A,FALSE,"PERDIDAS";#N/A,#N/A,FALSE,"CLIENTES";#N/A,#N/A,FALSE,"ESTADO";#N/A,#N/A,FALSE,"TECNICA"}</definedName>
    <definedName name="xs_1" localSheetId="20" hidden="1">{#N/A,#N/A,FALSE,"ENERGIA";#N/A,#N/A,FALSE,"PERDIDAS";#N/A,#N/A,FALSE,"CLIENTES";#N/A,#N/A,FALSE,"ESTADO";#N/A,#N/A,FALSE,"TECNICA"}</definedName>
    <definedName name="xs_1" hidden="1">{#N/A,#N/A,FALSE,"ENERGIA";#N/A,#N/A,FALSE,"PERDIDAS";#N/A,#N/A,FALSE,"CLIENTES";#N/A,#N/A,FALSE,"ESTADO";#N/A,#N/A,FALSE,"TECNICA"}</definedName>
    <definedName name="xsa" localSheetId="20" hidden="1">{#N/A,#N/A,FALSE,"LLAVE";#N/A,#N/A,FALSE,"EERR";#N/A,#N/A,FALSE,"ESP";#N/A,#N/A,FALSE,"EOAF";#N/A,#N/A,FALSE,"CASH";#N/A,#N/A,FALSE,"FINANZAS";#N/A,#N/A,FALSE,"DEUDA";#N/A,#N/A,FALSE,"INVERSION";#N/A,#N/A,FALSE,"PERSONAL"}</definedName>
    <definedName name="xsa" hidden="1">{#N/A,#N/A,FALSE,"LLAVE";#N/A,#N/A,FALSE,"EERR";#N/A,#N/A,FALSE,"ESP";#N/A,#N/A,FALSE,"EOAF";#N/A,#N/A,FALSE,"CASH";#N/A,#N/A,FALSE,"FINANZAS";#N/A,#N/A,FALSE,"DEUDA";#N/A,#N/A,FALSE,"INVERSION";#N/A,#N/A,FALSE,"PERSONAL"}</definedName>
    <definedName name="xsa_1" localSheetId="20" hidden="1">{#N/A,#N/A,FALSE,"LLAVE";#N/A,#N/A,FALSE,"EERR";#N/A,#N/A,FALSE,"ESP";#N/A,#N/A,FALSE,"EOAF";#N/A,#N/A,FALSE,"CASH";#N/A,#N/A,FALSE,"FINANZAS";#N/A,#N/A,FALSE,"DEUDA";#N/A,#N/A,FALSE,"INVERSION";#N/A,#N/A,FALSE,"PERSONAL"}</definedName>
    <definedName name="xsa_1" hidden="1">{#N/A,#N/A,FALSE,"LLAVE";#N/A,#N/A,FALSE,"EERR";#N/A,#N/A,FALSE,"ESP";#N/A,#N/A,FALSE,"EOAF";#N/A,#N/A,FALSE,"CASH";#N/A,#N/A,FALSE,"FINANZAS";#N/A,#N/A,FALSE,"DEUDA";#N/A,#N/A,FALSE,"INVERSION";#N/A,#N/A,FALSE,"PERSONAL"}</definedName>
    <definedName name="Xuxu" localSheetId="20" hidden="1">{#N/A,#N/A,FALSE,"CONTROLE"}</definedName>
    <definedName name="Xuxu" hidden="1">{#N/A,#N/A,FALSE,"CONTROLE"}</definedName>
    <definedName name="xx" localSheetId="20" hidden="1">{2;#N/A;"R13C16:R17C16";#N/A;"R13C14:R17C15";FALSE;FALSE;FALSE;95;#N/A;#N/A;"R13C19";#N/A;FALSE;FALSE;FALSE;FALSE;#N/A;"";#N/A;FALSE;"";"";#N/A;#N/A;#N/A}</definedName>
    <definedName name="xx" hidden="1">{2;#N/A;"R13C16:R17C16";#N/A;"R13C14:R17C15";FALSE;FALSE;FALSE;95;#N/A;#N/A;"R13C19";#N/A;FALSE;FALSE;FALSE;FALSE;#N/A;"";#N/A;FALSE;"";"";#N/A;#N/A;#N/A}</definedName>
    <definedName name="xxx" localSheetId="20" hidden="1">{"detail305",#N/A,FALSE,"BI-305"}</definedName>
    <definedName name="xxx" hidden="1">{"detail305",#N/A,FALSE,"BI-305"}</definedName>
    <definedName name="xxx.detail" localSheetId="20" hidden="1">{"detail305",#N/A,FALSE,"BI-305"}</definedName>
    <definedName name="xxx.detail" hidden="1">{"detail305",#N/A,FALSE,"BI-305"}</definedName>
    <definedName name="xxx.directory" localSheetId="20" hidden="1">{"summary",#N/A,FALSE,"PCR DIRECTORY"}</definedName>
    <definedName name="xxx.directory" hidden="1">{"summary",#N/A,FALSE,"PCR DIRECTORY"}</definedName>
    <definedName name="xxx_1" localSheetId="20" hidden="1">{"'DEC ou FEC'!$A$1:$O$132"}</definedName>
    <definedName name="xxx_1" hidden="1">{"'DEC ou FEC'!$A$1:$O$132"}</definedName>
    <definedName name="xxxx" localSheetId="20" hidden="1">{#N/A,#N/A,FALSE,"ANEXO3 99 ERA";#N/A,#N/A,FALSE,"ANEXO3 99 UBÁ2";#N/A,#N/A,FALSE,"ANEXO3 99 DTU";#N/A,#N/A,FALSE,"ANEXO3 99 RDR";#N/A,#N/A,FALSE,"ANEXO3 99 UBÁ4";#N/A,#N/A,FALSE,"ANEXO3 99 UBÁ6"}</definedName>
    <definedName name="xxxx" hidden="1">{#N/A,#N/A,FALSE,"ANEXO3 99 ERA";#N/A,#N/A,FALSE,"ANEXO3 99 UBÁ2";#N/A,#N/A,FALSE,"ANEXO3 99 DTU";#N/A,#N/A,FALSE,"ANEXO3 99 RDR";#N/A,#N/A,FALSE,"ANEXO3 99 UBÁ4";#N/A,#N/A,FALSE,"ANEXO3 99 UBÁ6"}</definedName>
    <definedName name="xxxxx" localSheetId="20" hidden="1">{#N/A,#N/A,TRUE,"TOTAL DISTRIBUTION";#N/A,#N/A,TRUE,"SOUTH";#N/A,#N/A,TRUE,"NORTHEAST";#N/A,#N/A,TRUE,"WEST"}</definedName>
    <definedName name="xxxxx" hidden="1">{#N/A,#N/A,TRUE,"TOTAL DISTRIBUTION";#N/A,#N/A,TRUE,"SOUTH";#N/A,#N/A,TRUE,"NORTHEAST";#N/A,#N/A,TRUE,"WEST"}</definedName>
    <definedName name="xxxxxx" localSheetId="20" hidden="1">{#N/A,#N/A,TRUE,"TOTAL DSBN";#N/A,#N/A,TRUE,"WEST";#N/A,#N/A,TRUE,"SOUTH";#N/A,#N/A,TRUE,"NORTHEAST"}</definedName>
    <definedName name="xxxxxx" hidden="1">{#N/A,#N/A,TRUE,"TOTAL DSBN";#N/A,#N/A,TRUE,"WEST";#N/A,#N/A,TRUE,"SOUTH";#N/A,#N/A,TRUE,"NORTHEAST"}</definedName>
    <definedName name="XXXXXXX" localSheetId="20" hidden="1">{#N/A,#N/A,FALSE,"CONTROLE";#N/A,#N/A,FALSE,"CONTROLE"}</definedName>
    <definedName name="XXXXXXX" hidden="1">{#N/A,#N/A,FALSE,"CONTROLE";#N/A,#N/A,FALSE,"CONTROLE"}</definedName>
    <definedName name="xxxxxxxxxxx" localSheetId="20" hidden="1">{#N/A,#N/A,FALSE,"ANEXO3 99 ERA";#N/A,#N/A,FALSE,"ANEXO3 99 UBÁ2";#N/A,#N/A,FALSE,"ANEXO3 99 DTU";#N/A,#N/A,FALSE,"ANEXO3 99 RDR";#N/A,#N/A,FALSE,"ANEXO3 99 UBÁ4";#N/A,#N/A,FALSE,"ANEXO3 99 UBÁ6"}</definedName>
    <definedName name="xxxxxxxxxxx" hidden="1">{#N/A,#N/A,FALSE,"ANEXO3 99 ERA";#N/A,#N/A,FALSE,"ANEXO3 99 UBÁ2";#N/A,#N/A,FALSE,"ANEXO3 99 DTU";#N/A,#N/A,FALSE,"ANEXO3 99 RDR";#N/A,#N/A,FALSE,"ANEXO3 99 UBÁ4";#N/A,#N/A,FALSE,"ANEXO3 99 UBÁ6"}</definedName>
    <definedName name="xy" localSheetId="20" hidden="1">{"CONS_RAFF2",#N/A,FALSE,"CONS.RAFF2"}</definedName>
    <definedName name="xy" hidden="1">{"CONS_RAFF2",#N/A,FALSE,"CONS.RAFF2"}</definedName>
    <definedName name="YBN" localSheetId="20" hidden="1">{#N/A,#N/A,FALSE,"Tabl. A1";#N/A,#N/A,FALSE,"Tabl. A1 b";#N/A,#N/A,FALSE,"Tabl. A2";#N/A,#N/A,FALSE,"Tabl. A2-1";#N/A,#N/A,FALSE,"Tabl. A2-2"}</definedName>
    <definedName name="YBN" hidden="1">{#N/A,#N/A,FALSE,"Tabl. A1";#N/A,#N/A,FALSE,"Tabl. A1 b";#N/A,#N/A,FALSE,"Tabl. A2";#N/A,#N/A,FALSE,"Tabl. A2-1";#N/A,#N/A,FALSE,"Tabl. A2-2"}</definedName>
    <definedName name="ybukkbyitkituk" localSheetId="20" hidden="1">{#N/A,#N/A,FALSE,"RIEP"}</definedName>
    <definedName name="ybukkbyitkituk" hidden="1">{#N/A,#N/A,FALSE,"RIEP"}</definedName>
    <definedName name="YEARHIGH" hidden="1">"YEARHIGH"</definedName>
    <definedName name="YEARLOW" hidden="1">"YEARLOW"</definedName>
    <definedName name="yrnukuilky8u" localSheetId="20" hidden="1">{"QQQ",#N/A,FALSE,"RIEP"}</definedName>
    <definedName name="yrnukuilky8u" hidden="1">{"QQQ",#N/A,FALSE,"RIEP"}</definedName>
    <definedName name="YTHBVFR" localSheetId="20" hidden="1">{#N/A,#N/A,FALSE,"Tabl. FB300";#N/A,#N/A,FALSE,"Tabl. FB350";#N/A,#N/A,FALSE,"Tabl. FB400";#N/A,#N/A,FALSE,"Tabl. FB500";#N/A,#N/A,FALSE,"Tabl. FS090"}</definedName>
    <definedName name="YTHBVFR" hidden="1">{#N/A,#N/A,FALSE,"Tabl. FB300";#N/A,#N/A,FALSE,"Tabl. FB350";#N/A,#N/A,FALSE,"Tabl. FB400";#N/A,#N/A,FALSE,"Tabl. FB500";#N/A,#N/A,FALSE,"Tabl. FS090"}</definedName>
    <definedName name="YU87N" localSheetId="20" hidden="1">{#N/A,#N/A,FALSE,"Tabl. G1";#N/A,#N/A,FALSE,"Tabl. G2"}</definedName>
    <definedName name="YU87N" hidden="1">{#N/A,#N/A,FALSE,"Tabl. G1";#N/A,#N/A,FALSE,"Tabl. G2"}</definedName>
    <definedName name="YUC" localSheetId="20" hidden="1">{#N/A,#N/A,FALSE,"Tabl. H1";#N/A,#N/A,FALSE,"Tabl. H2"}</definedName>
    <definedName name="YUC" hidden="1">{#N/A,#N/A,FALSE,"Tabl. H1";#N/A,#N/A,FALSE,"Tabl. H2"}</definedName>
    <definedName name="YY" localSheetId="20" hidden="1">{"TotalGeralDespesasPorArea",#N/A,FALSE,"VinculosAccessEfetivo"}</definedName>
    <definedName name="YY" hidden="1">{"TotalGeralDespesasPorArea",#N/A,FALSE,"VinculosAccessEfetivo"}</definedName>
    <definedName name="Z_0B113C9C_A1A9_11D3_A311_0008C739212F_.wvu.PrintArea" hidden="1">#REF!</definedName>
    <definedName name="Z_1C03E4A5_0E99_11D5_896C_00008646D7BA_.wvu.Rows" hidden="1">#REF!</definedName>
    <definedName name="Z_74BB7D31_A24A_11D3_95F1_000000000000_.wvu.PrintArea" hidden="1">#REF!</definedName>
    <definedName name="zaq" localSheetId="20" hidden="1">{#N/A,#N/A,FALSE,"Calc";#N/A,#N/A,FALSE,"Sensitivity";#N/A,#N/A,FALSE,"LT Earn.Dil.";#N/A,#N/A,FALSE,"Dil. AVP"}</definedName>
    <definedName name="zaq" hidden="1">{#N/A,#N/A,FALSE,"Calc";#N/A,#N/A,FALSE,"Sensitivity";#N/A,#N/A,FALSE,"LT Earn.Dil.";#N/A,#N/A,FALSE,"Dil. AVP"}</definedName>
    <definedName name="zer" localSheetId="20" hidden="1">{#N/A,#N/A,FALSE,"Calc";#N/A,#N/A,FALSE,"Sensitivity";#N/A,#N/A,FALSE,"LT Earn.Dil.";#N/A,#N/A,FALSE,"Dil. AVP"}</definedName>
    <definedName name="zer" hidden="1">{#N/A,#N/A,FALSE,"Calc";#N/A,#N/A,FALSE,"Sensitivity";#N/A,#N/A,FALSE,"LT Earn.Dil.";#N/A,#N/A,FALSE,"Dil. AVP"}</definedName>
    <definedName name="ZWX" localSheetId="20" hidden="1">{#N/A,#N/A,FALSE,"Tabl. A1";#N/A,#N/A,FALSE,"Tabl. A1 b";#N/A,#N/A,FALSE,"Tabl. A2";#N/A,#N/A,FALSE,"Tabl. A2-1";#N/A,#N/A,FALSE,"Tabl. A2-2"}</definedName>
    <definedName name="ZWX" hidden="1">{#N/A,#N/A,FALSE,"Tabl. A1";#N/A,#N/A,FALSE,"Tabl. A1 b";#N/A,#N/A,FALSE,"Tabl. A2";#N/A,#N/A,FALSE,"Tabl. A2-1";#N/A,#N/A,FALSE,"Tabl. A2-2"}</definedName>
    <definedName name="zxcv" localSheetId="20" hidden="1">{#N/A,#N/A,FALSE,"Baltimore";#N/A,#N/A,FALSE,"Barrington";#N/A,#N/A,FALSE,"Butler";#N/A,#N/A,FALSE,"Cleveland";#N/A,#N/A,FALSE,"Closter";#N/A,#N/A,FALSE,"Eaton";#N/A,#N/A,FALSE,"Meriden";#N/A,#N/A,FALSE,"Mt. Vernon";#N/A,#N/A,FALSE,"Rochester";#N/A,#N/A,FALSE,"Three Rivers";#N/A,#N/A,FALSE,"Warren"}</definedName>
    <definedName name="zxcv" hidden="1">{#N/A,#N/A,FALSE,"Baltimore";#N/A,#N/A,FALSE,"Barrington";#N/A,#N/A,FALSE,"Butler";#N/A,#N/A,FALSE,"Cleveland";#N/A,#N/A,FALSE,"Closter";#N/A,#N/A,FALSE,"Eaton";#N/A,#N/A,FALSE,"Meriden";#N/A,#N/A,FALSE,"Mt. Vernon";#N/A,#N/A,FALSE,"Rochester";#N/A,#N/A,FALSE,"Three Rivers";#N/A,#N/A,FALSE,"Warren"}</definedName>
    <definedName name="zz" localSheetId="20" hidden="1">{#N/A,#N/A,FALSE,"CONTROLE"}</definedName>
    <definedName name="zz" hidden="1">{#N/A,#N/A,FALSE,"CONTROLE"}</definedName>
    <definedName name="zzz" localSheetId="20"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zzz"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zzzzzzzzzz" localSheetId="20" hidden="1">{#N/A,#N/A,FALSE,"RIEP"}</definedName>
    <definedName name="zzzzzzzzzz" hidden="1">{#N/A,#N/A,FALSE,"RIEP"}</definedName>
    <definedName name="zzzzzzzzzzzzz" localSheetId="20" hidden="1">{#N/A,#N/A,FALSE,"RIEP"}</definedName>
    <definedName name="zzzzzzzzzzzzz" hidden="1">{#N/A,#N/A,FALSE,"RIEP"}</definedName>
    <definedName name="zzzzzzzzzzzzzz" localSheetId="20" hidden="1">{"QQQ",#N/A,FALSE,"RIEP"}</definedName>
    <definedName name="zzzzzzzzzzzzzz" hidden="1">{"QQQ",#N/A,FALSE,"RIEP"}</definedName>
    <definedName name="ZZZZZZZZZZZZZZZ" localSheetId="20" hidden="1">{#N/A,#N/A,FALSE,"Tabl. FB300";#N/A,#N/A,FALSE,"Tabl. FB350";#N/A,#N/A,FALSE,"Tabl. FB400";#N/A,#N/A,FALSE,"Tabl. FB500";#N/A,#N/A,FALSE,"Tabl. FS090"}</definedName>
    <definedName name="ZZZZZZZZZZZZZZZ" hidden="1">{#N/A,#N/A,FALSE,"Tabl. FB300";#N/A,#N/A,FALSE,"Tabl. FB350";#N/A,#N/A,FALSE,"Tabl. FB400";#N/A,#N/A,FALSE,"Tabl. FB500";#N/A,#N/A,FALSE,"Tabl. FS090"}</definedName>
    <definedName name="zzzzzzzzzzzzzzzzzz" localSheetId="20" hidden="1">{"QQQ",#N/A,FALSE,"RIEP"}</definedName>
    <definedName name="zzzzzzzzzzzzzzzzzz" hidden="1">{"QQQ",#N/A,FALSE,"RIEP"}</definedName>
  </definedNames>
  <calcPr calcId="191028"/>
  <pivotCaches>
    <pivotCache cacheId="0" r:id="rId31"/>
    <pivotCache cacheId="1" r:id="rId32"/>
    <pivotCache cacheId="2" r:id="rId33"/>
    <pivotCache cacheId="3" r:id="rId3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30" l="1"/>
  <c r="E27" i="30"/>
  <c r="G27" i="30"/>
  <c r="AU27" i="30"/>
  <c r="AZ27" i="30" s="1"/>
  <c r="BG27" i="30" a="1"/>
  <c r="BI27" i="30"/>
  <c r="BV27" i="30"/>
  <c r="L2" i="42"/>
  <c r="L3" i="42"/>
  <c r="L4" i="42"/>
  <c r="L5" i="42"/>
  <c r="L6" i="42"/>
  <c r="L7" i="42"/>
  <c r="L8" i="42"/>
  <c r="L9" i="42"/>
  <c r="L10" i="42"/>
  <c r="L11" i="42"/>
  <c r="L12" i="42"/>
  <c r="L13" i="42"/>
  <c r="L14" i="42"/>
  <c r="L15" i="42"/>
  <c r="L16" i="42"/>
  <c r="L17" i="42"/>
  <c r="L18" i="42"/>
  <c r="L19" i="42"/>
  <c r="L20" i="42"/>
  <c r="L21" i="42"/>
  <c r="L22" i="42"/>
  <c r="L23" i="42"/>
  <c r="L24" i="42"/>
  <c r="L25" i="42"/>
  <c r="L26" i="42"/>
  <c r="L27" i="42"/>
  <c r="L28" i="42"/>
  <c r="L29" i="42"/>
  <c r="L30" i="42"/>
  <c r="L31" i="42"/>
  <c r="L32" i="42"/>
  <c r="L33" i="42"/>
  <c r="L34" i="42"/>
  <c r="L35" i="42"/>
  <c r="L36" i="42"/>
  <c r="L37" i="42"/>
  <c r="L38" i="42"/>
  <c r="L39" i="42"/>
  <c r="L40" i="42"/>
  <c r="L41" i="42"/>
  <c r="L42" i="42"/>
  <c r="L43" i="42"/>
  <c r="L44" i="42"/>
  <c r="L45" i="42"/>
  <c r="L46" i="42"/>
  <c r="L47" i="42"/>
  <c r="L48" i="42"/>
  <c r="L49" i="42"/>
  <c r="L50" i="42"/>
  <c r="L51" i="42"/>
  <c r="L52" i="42"/>
  <c r="L53" i="42"/>
  <c r="L54" i="42"/>
  <c r="L55" i="42"/>
  <c r="L56" i="42"/>
  <c r="L57" i="42"/>
  <c r="L58" i="42"/>
  <c r="L59" i="42"/>
  <c r="L60" i="42"/>
  <c r="L61" i="42"/>
  <c r="L62" i="42"/>
  <c r="L63" i="42"/>
  <c r="L64" i="42"/>
  <c r="L65" i="42"/>
  <c r="L66" i="42"/>
  <c r="L67" i="42"/>
  <c r="L68" i="42"/>
  <c r="L69" i="42"/>
  <c r="L70" i="42"/>
  <c r="L71" i="42"/>
  <c r="L72" i="42"/>
  <c r="L73" i="42"/>
  <c r="L74" i="42"/>
  <c r="L76" i="42"/>
  <c r="L77" i="42"/>
  <c r="L78" i="42"/>
  <c r="L79" i="42"/>
  <c r="L80" i="42"/>
  <c r="L81" i="42"/>
  <c r="L82" i="42"/>
  <c r="L83" i="42"/>
  <c r="L84" i="42"/>
  <c r="L85" i="42"/>
  <c r="L86" i="42"/>
  <c r="L87" i="42"/>
  <c r="L88" i="42"/>
  <c r="L89" i="42"/>
  <c r="L90" i="42"/>
  <c r="L91" i="42"/>
  <c r="L92" i="42"/>
  <c r="L93" i="42"/>
  <c r="L94" i="42"/>
  <c r="L95" i="42"/>
  <c r="L96" i="42"/>
  <c r="L97" i="42"/>
  <c r="L98" i="42"/>
  <c r="L99" i="42"/>
  <c r="L100" i="42"/>
  <c r="L101" i="42"/>
  <c r="L102" i="42"/>
  <c r="L103" i="42"/>
  <c r="L104" i="42"/>
  <c r="L105" i="42"/>
  <c r="L106" i="42"/>
  <c r="L107" i="42"/>
  <c r="L108" i="42"/>
  <c r="L109" i="42"/>
  <c r="L110" i="42"/>
  <c r="L111" i="42"/>
  <c r="L112" i="42"/>
  <c r="L113" i="42"/>
  <c r="L114" i="42"/>
  <c r="L115" i="42"/>
  <c r="L116" i="42"/>
  <c r="L117" i="42"/>
  <c r="L118" i="42"/>
  <c r="L119" i="42"/>
  <c r="L120" i="42"/>
  <c r="L121" i="42"/>
  <c r="L122" i="42"/>
  <c r="L123" i="42"/>
  <c r="L124" i="42"/>
  <c r="L75" i="42"/>
  <c r="E18" i="49"/>
  <c r="C18" i="49"/>
  <c r="B17" i="49"/>
  <c r="G17" i="49" s="1"/>
  <c r="B16" i="49"/>
  <c r="G16" i="49" s="1"/>
  <c r="B15" i="49"/>
  <c r="G15" i="49" s="1"/>
  <c r="B14" i="49"/>
  <c r="G14" i="49" s="1"/>
  <c r="B13" i="49"/>
  <c r="G13" i="49" s="1"/>
  <c r="B12" i="49"/>
  <c r="G12" i="49" s="1"/>
  <c r="B11" i="49"/>
  <c r="G11" i="49" s="1"/>
  <c r="B10" i="49"/>
  <c r="G10" i="49" s="1"/>
  <c r="B9" i="49"/>
  <c r="G9" i="49" s="1"/>
  <c r="B8" i="49"/>
  <c r="G8" i="49" s="1"/>
  <c r="B7" i="49"/>
  <c r="G7" i="49" s="1"/>
  <c r="B6" i="49"/>
  <c r="G6" i="49" s="1"/>
  <c r="B5" i="49"/>
  <c r="G5" i="49" s="1"/>
  <c r="B4" i="49"/>
  <c r="G4" i="49" s="1"/>
  <c r="B3" i="49"/>
  <c r="G3" i="49" s="1"/>
  <c r="B2" i="49"/>
  <c r="BG27" i="30" l="1"/>
  <c r="BF27" i="30"/>
  <c r="B27" i="30" s="1" a="1"/>
  <c r="B27" i="30" s="1"/>
  <c r="B18" i="49"/>
  <c r="G18" i="49" s="1"/>
  <c r="G2" i="49"/>
  <c r="D18" i="49" l="1"/>
  <c r="F18" i="49" s="1"/>
  <c r="BV77" i="30" l="1"/>
  <c r="D22" i="30"/>
  <c r="G22" i="30" s="1"/>
  <c r="E22" i="30"/>
  <c r="AU22" i="30"/>
  <c r="AZ22" i="30" s="1"/>
  <c r="BG22" i="30" a="1"/>
  <c r="BI22" i="30"/>
  <c r="BV22" i="30"/>
  <c r="D24" i="30"/>
  <c r="G24" i="30" s="1"/>
  <c r="E24" i="30"/>
  <c r="AU24" i="30"/>
  <c r="AZ24" i="30" s="1"/>
  <c r="BF24" i="30" s="1"/>
  <c r="BG24" i="30" a="1"/>
  <c r="BI24" i="30"/>
  <c r="BV24" i="30"/>
  <c r="D26" i="30"/>
  <c r="G26" i="30" s="1"/>
  <c r="E26" i="30"/>
  <c r="AU26" i="30"/>
  <c r="AZ26" i="30" s="1"/>
  <c r="BG26" i="30" a="1"/>
  <c r="BI26" i="30"/>
  <c r="BV26" i="30"/>
  <c r="D37" i="30"/>
  <c r="G37" i="30" s="1"/>
  <c r="E37" i="30"/>
  <c r="AU37" i="30"/>
  <c r="AZ37" i="30" s="1"/>
  <c r="BF37" i="30" s="1"/>
  <c r="BG37" i="30" a="1"/>
  <c r="BI37" i="30"/>
  <c r="BV37" i="30"/>
  <c r="BG22" i="30" l="1"/>
  <c r="BG26" i="30"/>
  <c r="BG24" i="30"/>
  <c r="BG37" i="30"/>
  <c r="BF22" i="30"/>
  <c r="B22" i="30" s="1" a="1"/>
  <c r="B22" i="30" s="1"/>
  <c r="B24" i="30" a="1"/>
  <c r="B24" i="30" s="1"/>
  <c r="BF26" i="30"/>
  <c r="B26" i="30" s="1" a="1"/>
  <c r="B26" i="30" s="1"/>
  <c r="B37" i="30" a="1"/>
  <c r="B37" i="30" s="1"/>
  <c r="BI19" i="30"/>
  <c r="BI20" i="30"/>
  <c r="BI21" i="30"/>
  <c r="BI23" i="30"/>
  <c r="BI25" i="30"/>
  <c r="BI28" i="30"/>
  <c r="BI29" i="30"/>
  <c r="BI33" i="30"/>
  <c r="BI44" i="30"/>
  <c r="BI36" i="30"/>
  <c r="BI32" i="30"/>
  <c r="BI34" i="30"/>
  <c r="BI31" i="30"/>
  <c r="BI35" i="30"/>
  <c r="BI45" i="30"/>
  <c r="BI39" i="30"/>
  <c r="BI49" i="30"/>
  <c r="BI40" i="30"/>
  <c r="BI52" i="30"/>
  <c r="BI62" i="30"/>
  <c r="BI38" i="30"/>
  <c r="BI147" i="30"/>
  <c r="BI46" i="30"/>
  <c r="BI47" i="30"/>
  <c r="BI41" i="30"/>
  <c r="BI48" i="30"/>
  <c r="BI56" i="30"/>
  <c r="BI76" i="30"/>
  <c r="BI126" i="30"/>
  <c r="BI53" i="30"/>
  <c r="BI54" i="30"/>
  <c r="BI57" i="30"/>
  <c r="BI89" i="30"/>
  <c r="BI69" i="30"/>
  <c r="BI77" i="30"/>
  <c r="BI92" i="30"/>
  <c r="BI96" i="30"/>
  <c r="BI82" i="30"/>
  <c r="BI65" i="30"/>
  <c r="BI127" i="30"/>
  <c r="BI81" i="30"/>
  <c r="BI43" i="30"/>
  <c r="BI63" i="30"/>
  <c r="BI67" i="30"/>
  <c r="BI95" i="30"/>
  <c r="BI61" i="30"/>
  <c r="BI64" i="30"/>
  <c r="BI68" i="30"/>
  <c r="BI60" i="30"/>
  <c r="BI58" i="30"/>
  <c r="BI86" i="30"/>
  <c r="BI30" i="30"/>
  <c r="BI50" i="30"/>
  <c r="BI51" i="30"/>
  <c r="BI78" i="30"/>
  <c r="BI70" i="30"/>
  <c r="BI80" i="30"/>
  <c r="BI90" i="30"/>
  <c r="BI97" i="30"/>
  <c r="BI83" i="30"/>
  <c r="BI84" i="30"/>
  <c r="BI85" i="30"/>
  <c r="BI71" i="30"/>
  <c r="BI79" i="30"/>
  <c r="BI101" i="30"/>
  <c r="BI144" i="30"/>
  <c r="BI73" i="30"/>
  <c r="BI91" i="30"/>
  <c r="BI74" i="30"/>
  <c r="BI93" i="30"/>
  <c r="BI94" i="30"/>
  <c r="BI75" i="30"/>
  <c r="BI72" i="30"/>
  <c r="BI145" i="30"/>
  <c r="BI98" i="30"/>
  <c r="BI99" i="30"/>
  <c r="BI100" i="30"/>
  <c r="BI146" i="30"/>
  <c r="BI102" i="30"/>
  <c r="BI103" i="30"/>
  <c r="BI104" i="30"/>
  <c r="BI105" i="30"/>
  <c r="BI106" i="30"/>
  <c r="BI107" i="30"/>
  <c r="BI108" i="30"/>
  <c r="BI109" i="30"/>
  <c r="BI110" i="30"/>
  <c r="BI111" i="30"/>
  <c r="BI112" i="30"/>
  <c r="BI113" i="30"/>
  <c r="BI114" i="30"/>
  <c r="BI115" i="30"/>
  <c r="BI116" i="30"/>
  <c r="BI117" i="30"/>
  <c r="BI118" i="30"/>
  <c r="BI119" i="30"/>
  <c r="BI120" i="30"/>
  <c r="BI121" i="30"/>
  <c r="BI122" i="30"/>
  <c r="BI123" i="30"/>
  <c r="BI124" i="30"/>
  <c r="BI125" i="30"/>
  <c r="BI42" i="30"/>
  <c r="BI66" i="30"/>
  <c r="BI128" i="30"/>
  <c r="BI129" i="30"/>
  <c r="BI130" i="30"/>
  <c r="BI131" i="30"/>
  <c r="BI132" i="30"/>
  <c r="BI133" i="30"/>
  <c r="BI134" i="30"/>
  <c r="BI135" i="30"/>
  <c r="BI136" i="30"/>
  <c r="BI137" i="30"/>
  <c r="BI138" i="30"/>
  <c r="BI139" i="30"/>
  <c r="BI140" i="30"/>
  <c r="BI141" i="30"/>
  <c r="BI142" i="30"/>
  <c r="BI143" i="30"/>
  <c r="BI55" i="30"/>
  <c r="BI59" i="30"/>
  <c r="BI87" i="30"/>
  <c r="BI88" i="30"/>
  <c r="B35" i="30" a="1"/>
  <c r="B35" i="30" s="1"/>
  <c r="D35" i="30"/>
  <c r="F35" i="30" s="1"/>
  <c r="E35" i="30"/>
  <c r="G35" i="30"/>
  <c r="AU35" i="30"/>
  <c r="AZ35" i="30" s="1"/>
  <c r="BV35" i="30"/>
  <c r="E20" i="30"/>
  <c r="G20" i="30"/>
  <c r="AU20" i="30"/>
  <c r="AZ20" i="30" s="1"/>
  <c r="BF20" i="30" s="1"/>
  <c r="BG20" i="30" a="1"/>
  <c r="BV20" i="30"/>
  <c r="D21" i="30"/>
  <c r="G21" i="30" s="1"/>
  <c r="E21" i="30"/>
  <c r="AU21" i="30"/>
  <c r="BG21" i="30" a="1"/>
  <c r="BV21" i="30"/>
  <c r="BG21" i="30" l="1"/>
  <c r="BG20" i="30"/>
  <c r="AZ21" i="30"/>
  <c r="BF21" i="30" s="1"/>
  <c r="B21" i="30" l="1" a="1"/>
  <c r="B21" i="30" s="1"/>
  <c r="F10" i="40" l="1"/>
  <c r="AI14" i="30"/>
  <c r="BR13" i="30"/>
  <c r="BE14" i="30"/>
  <c r="BD14" i="30"/>
  <c r="BC14" i="30"/>
  <c r="BB14" i="30"/>
  <c r="BA14" i="30"/>
  <c r="BE13" i="30"/>
  <c r="BD13" i="30"/>
  <c r="BC13" i="30"/>
  <c r="BB13" i="30"/>
  <c r="BA13" i="30"/>
  <c r="BR14" i="30"/>
  <c r="AV14" i="30"/>
  <c r="AV13" i="30"/>
  <c r="AW14" i="30"/>
  <c r="AW13" i="30"/>
  <c r="AY14" i="30"/>
  <c r="AY13" i="30"/>
  <c r="AX13" i="30"/>
  <c r="AX14" i="30"/>
  <c r="AI13" i="30"/>
  <c r="AL13" i="30"/>
  <c r="AL14" i="30"/>
  <c r="AO13" i="30"/>
  <c r="AO14" i="30"/>
  <c r="AM13" i="30"/>
  <c r="AM14" i="30"/>
  <c r="AQ13" i="30"/>
  <c r="AQ14" i="30"/>
  <c r="AT13" i="30"/>
  <c r="AT14" i="30"/>
  <c r="AP13" i="30"/>
  <c r="AP14" i="30"/>
  <c r="AR13" i="30"/>
  <c r="AR14" i="30"/>
  <c r="AK13" i="30"/>
  <c r="AK14" i="30"/>
  <c r="AS13" i="30"/>
  <c r="AS14" i="30"/>
  <c r="AN13" i="30"/>
  <c r="AN14" i="30"/>
  <c r="AJ14" i="30"/>
  <c r="AJ13" i="30"/>
  <c r="M3" i="37" l="1"/>
  <c r="M2" i="37"/>
  <c r="C6" i="35"/>
  <c r="C8" i="35"/>
  <c r="C7" i="35"/>
  <c r="C5" i="35"/>
  <c r="C4" i="35"/>
  <c r="I3" i="36" l="1"/>
  <c r="I4" i="38"/>
  <c r="J4" i="38"/>
  <c r="K4" i="38"/>
  <c r="L4" i="38"/>
  <c r="M4" i="38"/>
  <c r="N4" i="38"/>
  <c r="O4" i="38"/>
  <c r="P4" i="38"/>
  <c r="Q4" i="38"/>
  <c r="R4" i="38"/>
  <c r="S4" i="38"/>
  <c r="T4" i="38"/>
  <c r="V4" i="38"/>
  <c r="W4" i="38"/>
  <c r="X4" i="38"/>
  <c r="Y4" i="38"/>
  <c r="I5" i="38"/>
  <c r="J5" i="38"/>
  <c r="K5" i="38"/>
  <c r="L5" i="38"/>
  <c r="M5" i="38"/>
  <c r="N5" i="38"/>
  <c r="O5" i="38"/>
  <c r="P5" i="38"/>
  <c r="Q5" i="38"/>
  <c r="R5" i="38"/>
  <c r="S5" i="38"/>
  <c r="T5" i="38"/>
  <c r="V5" i="38"/>
  <c r="W5" i="38"/>
  <c r="X5" i="38"/>
  <c r="Y5" i="38"/>
  <c r="I6" i="38"/>
  <c r="J6" i="38"/>
  <c r="K6" i="38"/>
  <c r="L6" i="38"/>
  <c r="M6" i="38"/>
  <c r="N6" i="38"/>
  <c r="O6" i="38"/>
  <c r="P6" i="38"/>
  <c r="Q6" i="38"/>
  <c r="R6" i="38"/>
  <c r="S6" i="38"/>
  <c r="T6" i="38"/>
  <c r="V6" i="38"/>
  <c r="W6" i="38"/>
  <c r="X6" i="38"/>
  <c r="Y6" i="38"/>
  <c r="I7" i="38"/>
  <c r="J7" i="38"/>
  <c r="K7" i="38"/>
  <c r="L7" i="38"/>
  <c r="M7" i="38"/>
  <c r="N7" i="38"/>
  <c r="O7" i="38"/>
  <c r="P7" i="38"/>
  <c r="Q7" i="38"/>
  <c r="R7" i="38"/>
  <c r="S7" i="38"/>
  <c r="T7" i="38"/>
  <c r="V7" i="38"/>
  <c r="W7" i="38"/>
  <c r="X7" i="38"/>
  <c r="Y7" i="38"/>
  <c r="I8" i="38"/>
  <c r="J8" i="38"/>
  <c r="K8" i="38"/>
  <c r="L8" i="38"/>
  <c r="M8" i="38"/>
  <c r="N8" i="38"/>
  <c r="O8" i="38"/>
  <c r="P8" i="38"/>
  <c r="Q8" i="38"/>
  <c r="R8" i="38"/>
  <c r="S8" i="38"/>
  <c r="T8" i="38"/>
  <c r="V8" i="38"/>
  <c r="W8" i="38"/>
  <c r="X8" i="38"/>
  <c r="Y8" i="38"/>
  <c r="I9" i="38"/>
  <c r="J9" i="38"/>
  <c r="K9" i="38"/>
  <c r="L9" i="38"/>
  <c r="M9" i="38"/>
  <c r="N9" i="38"/>
  <c r="O9" i="38"/>
  <c r="P9" i="38"/>
  <c r="Q9" i="38"/>
  <c r="R9" i="38"/>
  <c r="S9" i="38"/>
  <c r="T9" i="38"/>
  <c r="V9" i="38"/>
  <c r="W9" i="38"/>
  <c r="X9" i="38"/>
  <c r="Y9" i="38"/>
  <c r="I10" i="38"/>
  <c r="J10" i="38"/>
  <c r="K10" i="38"/>
  <c r="L10" i="38"/>
  <c r="M10" i="38"/>
  <c r="N10" i="38"/>
  <c r="O10" i="38"/>
  <c r="P10" i="38"/>
  <c r="Q10" i="38"/>
  <c r="R10" i="38"/>
  <c r="S10" i="38"/>
  <c r="T10" i="38"/>
  <c r="V10" i="38"/>
  <c r="W10" i="38"/>
  <c r="X10" i="38"/>
  <c r="Y10" i="38"/>
  <c r="I11" i="38"/>
  <c r="J11" i="38"/>
  <c r="K11" i="38"/>
  <c r="L11" i="38"/>
  <c r="M11" i="38"/>
  <c r="N11" i="38"/>
  <c r="O11" i="38"/>
  <c r="P11" i="38"/>
  <c r="Q11" i="38"/>
  <c r="R11" i="38"/>
  <c r="S11" i="38"/>
  <c r="T11" i="38"/>
  <c r="V11" i="38"/>
  <c r="W11" i="38"/>
  <c r="X11" i="38"/>
  <c r="Y11" i="38"/>
  <c r="I12" i="38"/>
  <c r="J12" i="38"/>
  <c r="K12" i="38"/>
  <c r="L12" i="38"/>
  <c r="M12" i="38"/>
  <c r="N12" i="38"/>
  <c r="O12" i="38"/>
  <c r="P12" i="38"/>
  <c r="Q12" i="38"/>
  <c r="R12" i="38"/>
  <c r="S12" i="38"/>
  <c r="T12" i="38"/>
  <c r="V12" i="38"/>
  <c r="W12" i="38"/>
  <c r="X12" i="38"/>
  <c r="Y12" i="38"/>
  <c r="I13" i="38"/>
  <c r="J13" i="38"/>
  <c r="K13" i="38"/>
  <c r="L13" i="38"/>
  <c r="M13" i="38"/>
  <c r="N13" i="38"/>
  <c r="O13" i="38"/>
  <c r="P13" i="38"/>
  <c r="Q13" i="38"/>
  <c r="R13" i="38"/>
  <c r="S13" i="38"/>
  <c r="T13" i="38"/>
  <c r="V13" i="38"/>
  <c r="W13" i="38"/>
  <c r="X13" i="38"/>
  <c r="Y13" i="38"/>
  <c r="I14" i="38"/>
  <c r="J14" i="38"/>
  <c r="K14" i="38"/>
  <c r="L14" i="38"/>
  <c r="M14" i="38"/>
  <c r="N14" i="38"/>
  <c r="O14" i="38"/>
  <c r="P14" i="38"/>
  <c r="Q14" i="38"/>
  <c r="R14" i="38"/>
  <c r="S14" i="38"/>
  <c r="T14" i="38"/>
  <c r="V14" i="38"/>
  <c r="W14" i="38"/>
  <c r="X14" i="38"/>
  <c r="Y14" i="38"/>
  <c r="I15" i="38"/>
  <c r="J15" i="38"/>
  <c r="K15" i="38"/>
  <c r="L15" i="38"/>
  <c r="M15" i="38"/>
  <c r="N15" i="38"/>
  <c r="O15" i="38"/>
  <c r="P15" i="38"/>
  <c r="Q15" i="38"/>
  <c r="R15" i="38"/>
  <c r="S15" i="38"/>
  <c r="T15" i="38"/>
  <c r="V15" i="38"/>
  <c r="W15" i="38"/>
  <c r="X15" i="38"/>
  <c r="Y15" i="38"/>
  <c r="I16" i="38"/>
  <c r="J16" i="38"/>
  <c r="K16" i="38"/>
  <c r="L16" i="38"/>
  <c r="M16" i="38"/>
  <c r="N16" i="38"/>
  <c r="O16" i="38"/>
  <c r="P16" i="38"/>
  <c r="Q16" i="38"/>
  <c r="R16" i="38"/>
  <c r="S16" i="38"/>
  <c r="T16" i="38"/>
  <c r="V16" i="38"/>
  <c r="W16" i="38"/>
  <c r="X16" i="38"/>
  <c r="Y16" i="38"/>
  <c r="I17" i="38"/>
  <c r="J17" i="38"/>
  <c r="K17" i="38"/>
  <c r="L17" i="38"/>
  <c r="M17" i="38"/>
  <c r="N17" i="38"/>
  <c r="O17" i="38"/>
  <c r="P17" i="38"/>
  <c r="Q17" i="38"/>
  <c r="R17" i="38"/>
  <c r="S17" i="38"/>
  <c r="T17" i="38"/>
  <c r="V17" i="38"/>
  <c r="W17" i="38"/>
  <c r="X17" i="38"/>
  <c r="Y17" i="38"/>
  <c r="I18" i="38"/>
  <c r="J18" i="38"/>
  <c r="K18" i="38"/>
  <c r="L18" i="38"/>
  <c r="M18" i="38"/>
  <c r="N18" i="38"/>
  <c r="O18" i="38"/>
  <c r="P18" i="38"/>
  <c r="Q18" i="38"/>
  <c r="R18" i="38"/>
  <c r="S18" i="38"/>
  <c r="T18" i="38"/>
  <c r="V18" i="38"/>
  <c r="W18" i="38"/>
  <c r="X18" i="38"/>
  <c r="Y18" i="38"/>
  <c r="I19" i="38"/>
  <c r="J19" i="38"/>
  <c r="K19" i="38"/>
  <c r="L19" i="38"/>
  <c r="M19" i="38"/>
  <c r="N19" i="38"/>
  <c r="O19" i="38"/>
  <c r="P19" i="38"/>
  <c r="Q19" i="38"/>
  <c r="R19" i="38"/>
  <c r="S19" i="38"/>
  <c r="T19" i="38"/>
  <c r="V19" i="38"/>
  <c r="W19" i="38"/>
  <c r="X19" i="38"/>
  <c r="Y19" i="38"/>
  <c r="I20" i="38"/>
  <c r="J20" i="38"/>
  <c r="K20" i="38"/>
  <c r="L20" i="38"/>
  <c r="M20" i="38"/>
  <c r="N20" i="38"/>
  <c r="O20" i="38"/>
  <c r="P20" i="38"/>
  <c r="Q20" i="38"/>
  <c r="R20" i="38"/>
  <c r="S20" i="38"/>
  <c r="T20" i="38"/>
  <c r="V20" i="38"/>
  <c r="W20" i="38"/>
  <c r="X20" i="38"/>
  <c r="Y20" i="38"/>
  <c r="I21" i="38"/>
  <c r="J21" i="38"/>
  <c r="K21" i="38"/>
  <c r="L21" i="38"/>
  <c r="M21" i="38"/>
  <c r="N21" i="38"/>
  <c r="O21" i="38"/>
  <c r="P21" i="38"/>
  <c r="Q21" i="38"/>
  <c r="R21" i="38"/>
  <c r="S21" i="38"/>
  <c r="T21" i="38"/>
  <c r="V21" i="38"/>
  <c r="W21" i="38"/>
  <c r="X21" i="38"/>
  <c r="Y21" i="38"/>
  <c r="I22" i="38"/>
  <c r="J22" i="38"/>
  <c r="K22" i="38"/>
  <c r="L22" i="38"/>
  <c r="M22" i="38"/>
  <c r="N22" i="38"/>
  <c r="O22" i="38"/>
  <c r="P22" i="38"/>
  <c r="Q22" i="38"/>
  <c r="R22" i="38"/>
  <c r="S22" i="38"/>
  <c r="T22" i="38"/>
  <c r="V22" i="38"/>
  <c r="W22" i="38"/>
  <c r="X22" i="38"/>
  <c r="Y22" i="38"/>
  <c r="I23" i="38"/>
  <c r="J23" i="38"/>
  <c r="K23" i="38"/>
  <c r="L23" i="38"/>
  <c r="M23" i="38"/>
  <c r="N23" i="38"/>
  <c r="O23" i="38"/>
  <c r="P23" i="38"/>
  <c r="Q23" i="38"/>
  <c r="R23" i="38"/>
  <c r="S23" i="38"/>
  <c r="T23" i="38"/>
  <c r="V23" i="38"/>
  <c r="W23" i="38"/>
  <c r="X23" i="38"/>
  <c r="Y23" i="38"/>
  <c r="I24" i="38"/>
  <c r="J24" i="38"/>
  <c r="K24" i="38"/>
  <c r="L24" i="38"/>
  <c r="M24" i="38"/>
  <c r="N24" i="38"/>
  <c r="O24" i="38"/>
  <c r="P24" i="38"/>
  <c r="Q24" i="38"/>
  <c r="R24" i="38"/>
  <c r="S24" i="38"/>
  <c r="T24" i="38"/>
  <c r="V24" i="38"/>
  <c r="W24" i="38"/>
  <c r="X24" i="38"/>
  <c r="Y24" i="38"/>
  <c r="I25" i="38"/>
  <c r="J25" i="38"/>
  <c r="K25" i="38"/>
  <c r="L25" i="38"/>
  <c r="M25" i="38"/>
  <c r="N25" i="38"/>
  <c r="O25" i="38"/>
  <c r="P25" i="38"/>
  <c r="Q25" i="38"/>
  <c r="R25" i="38"/>
  <c r="S25" i="38"/>
  <c r="T25" i="38"/>
  <c r="V25" i="38"/>
  <c r="W25" i="38"/>
  <c r="X25" i="38"/>
  <c r="Y25" i="38"/>
  <c r="I26" i="38"/>
  <c r="J26" i="38"/>
  <c r="K26" i="38"/>
  <c r="L26" i="38"/>
  <c r="M26" i="38"/>
  <c r="N26" i="38"/>
  <c r="O26" i="38"/>
  <c r="P26" i="38"/>
  <c r="Q26" i="38"/>
  <c r="R26" i="38"/>
  <c r="S26" i="38"/>
  <c r="T26" i="38"/>
  <c r="V26" i="38"/>
  <c r="W26" i="38"/>
  <c r="X26" i="38"/>
  <c r="Y26" i="38"/>
  <c r="I27" i="38"/>
  <c r="J27" i="38"/>
  <c r="K27" i="38"/>
  <c r="L27" i="38"/>
  <c r="M27" i="38"/>
  <c r="N27" i="38"/>
  <c r="O27" i="38"/>
  <c r="P27" i="38"/>
  <c r="Q27" i="38"/>
  <c r="R27" i="38"/>
  <c r="S27" i="38"/>
  <c r="T27" i="38"/>
  <c r="V27" i="38"/>
  <c r="W27" i="38"/>
  <c r="X27" i="38"/>
  <c r="Y27" i="38"/>
  <c r="I28" i="38"/>
  <c r="J28" i="38"/>
  <c r="K28" i="38"/>
  <c r="L28" i="38"/>
  <c r="M28" i="38"/>
  <c r="N28" i="38"/>
  <c r="O28" i="38"/>
  <c r="P28" i="38"/>
  <c r="Q28" i="38"/>
  <c r="R28" i="38"/>
  <c r="S28" i="38"/>
  <c r="T28" i="38"/>
  <c r="V28" i="38"/>
  <c r="W28" i="38"/>
  <c r="X28" i="38"/>
  <c r="Y28" i="38"/>
  <c r="I29" i="38"/>
  <c r="J29" i="38"/>
  <c r="K29" i="38"/>
  <c r="L29" i="38"/>
  <c r="M29" i="38"/>
  <c r="N29" i="38"/>
  <c r="O29" i="38"/>
  <c r="P29" i="38"/>
  <c r="Q29" i="38"/>
  <c r="R29" i="38"/>
  <c r="S29" i="38"/>
  <c r="T29" i="38"/>
  <c r="V29" i="38"/>
  <c r="W29" i="38"/>
  <c r="X29" i="38"/>
  <c r="Y29" i="38"/>
  <c r="I30" i="38"/>
  <c r="J30" i="38"/>
  <c r="K30" i="38"/>
  <c r="L30" i="38"/>
  <c r="M30" i="38"/>
  <c r="N30" i="38"/>
  <c r="O30" i="38"/>
  <c r="P30" i="38"/>
  <c r="Q30" i="38"/>
  <c r="R30" i="38"/>
  <c r="S30" i="38"/>
  <c r="T30" i="38"/>
  <c r="V30" i="38"/>
  <c r="W30" i="38"/>
  <c r="X30" i="38"/>
  <c r="Y30" i="38"/>
  <c r="I31" i="38"/>
  <c r="J31" i="38"/>
  <c r="K31" i="38"/>
  <c r="L31" i="38"/>
  <c r="M31" i="38"/>
  <c r="N31" i="38"/>
  <c r="O31" i="38"/>
  <c r="P31" i="38"/>
  <c r="Q31" i="38"/>
  <c r="R31" i="38"/>
  <c r="S31" i="38"/>
  <c r="T31" i="38"/>
  <c r="V31" i="38"/>
  <c r="W31" i="38"/>
  <c r="X31" i="38"/>
  <c r="Y31" i="38"/>
  <c r="I32" i="38"/>
  <c r="J32" i="38"/>
  <c r="K32" i="38"/>
  <c r="L32" i="38"/>
  <c r="M32" i="38"/>
  <c r="N32" i="38"/>
  <c r="O32" i="38"/>
  <c r="P32" i="38"/>
  <c r="Q32" i="38"/>
  <c r="R32" i="38"/>
  <c r="S32" i="38"/>
  <c r="T32" i="38"/>
  <c r="V32" i="38"/>
  <c r="W32" i="38"/>
  <c r="X32" i="38"/>
  <c r="Y32" i="38"/>
  <c r="I33" i="38"/>
  <c r="J33" i="38"/>
  <c r="K33" i="38"/>
  <c r="L33" i="38"/>
  <c r="M33" i="38"/>
  <c r="N33" i="38"/>
  <c r="O33" i="38"/>
  <c r="P33" i="38"/>
  <c r="Q33" i="38"/>
  <c r="R33" i="38"/>
  <c r="S33" i="38"/>
  <c r="T33" i="38"/>
  <c r="V33" i="38"/>
  <c r="W33" i="38"/>
  <c r="X33" i="38"/>
  <c r="Y33" i="38"/>
  <c r="I34" i="38"/>
  <c r="J34" i="38"/>
  <c r="K34" i="38"/>
  <c r="L34" i="38"/>
  <c r="M34" i="38"/>
  <c r="N34" i="38"/>
  <c r="O34" i="38"/>
  <c r="P34" i="38"/>
  <c r="Q34" i="38"/>
  <c r="R34" i="38"/>
  <c r="S34" i="38"/>
  <c r="T34" i="38"/>
  <c r="V34" i="38"/>
  <c r="W34" i="38"/>
  <c r="X34" i="38"/>
  <c r="Y34" i="38"/>
  <c r="I35" i="38"/>
  <c r="J35" i="38"/>
  <c r="K35" i="38"/>
  <c r="L35" i="38"/>
  <c r="M35" i="38"/>
  <c r="N35" i="38"/>
  <c r="O35" i="38"/>
  <c r="P35" i="38"/>
  <c r="Q35" i="38"/>
  <c r="R35" i="38"/>
  <c r="S35" i="38"/>
  <c r="T35" i="38"/>
  <c r="V35" i="38"/>
  <c r="W35" i="38"/>
  <c r="X35" i="38"/>
  <c r="Y35" i="38"/>
  <c r="I36" i="38"/>
  <c r="J36" i="38"/>
  <c r="K36" i="38"/>
  <c r="L36" i="38"/>
  <c r="M36" i="38"/>
  <c r="N36" i="38"/>
  <c r="O36" i="38"/>
  <c r="P36" i="38"/>
  <c r="Q36" i="38"/>
  <c r="R36" i="38"/>
  <c r="S36" i="38"/>
  <c r="T36" i="38"/>
  <c r="V36" i="38"/>
  <c r="W36" i="38"/>
  <c r="X36" i="38"/>
  <c r="Y36" i="38"/>
  <c r="I37" i="38"/>
  <c r="J37" i="38"/>
  <c r="K37" i="38"/>
  <c r="L37" i="38"/>
  <c r="M37" i="38"/>
  <c r="N37" i="38"/>
  <c r="O37" i="38"/>
  <c r="P37" i="38"/>
  <c r="Q37" i="38"/>
  <c r="R37" i="38"/>
  <c r="S37" i="38"/>
  <c r="T37" i="38"/>
  <c r="V37" i="38"/>
  <c r="W37" i="38"/>
  <c r="X37" i="38"/>
  <c r="Y37" i="38"/>
  <c r="I38" i="38"/>
  <c r="J38" i="38"/>
  <c r="K38" i="38"/>
  <c r="L38" i="38"/>
  <c r="M38" i="38"/>
  <c r="N38" i="38"/>
  <c r="O38" i="38"/>
  <c r="P38" i="38"/>
  <c r="Q38" i="38"/>
  <c r="R38" i="38"/>
  <c r="S38" i="38"/>
  <c r="T38" i="38"/>
  <c r="V38" i="38"/>
  <c r="W38" i="38"/>
  <c r="X38" i="38"/>
  <c r="Y38" i="38"/>
  <c r="I39" i="38"/>
  <c r="J39" i="38"/>
  <c r="K39" i="38"/>
  <c r="L39" i="38"/>
  <c r="M39" i="38"/>
  <c r="N39" i="38"/>
  <c r="O39" i="38"/>
  <c r="P39" i="38"/>
  <c r="Q39" i="38"/>
  <c r="R39" i="38"/>
  <c r="S39" i="38"/>
  <c r="T39" i="38"/>
  <c r="V39" i="38"/>
  <c r="W39" i="38"/>
  <c r="X39" i="38"/>
  <c r="Y39" i="38"/>
  <c r="I40" i="38"/>
  <c r="J40" i="38"/>
  <c r="K40" i="38"/>
  <c r="L40" i="38"/>
  <c r="M40" i="38"/>
  <c r="N40" i="38"/>
  <c r="O40" i="38"/>
  <c r="P40" i="38"/>
  <c r="Q40" i="38"/>
  <c r="R40" i="38"/>
  <c r="S40" i="38"/>
  <c r="T40" i="38"/>
  <c r="V40" i="38"/>
  <c r="W40" i="38"/>
  <c r="X40" i="38"/>
  <c r="Y40" i="38"/>
  <c r="I41" i="38"/>
  <c r="J41" i="38"/>
  <c r="K41" i="38"/>
  <c r="L41" i="38"/>
  <c r="M41" i="38"/>
  <c r="N41" i="38"/>
  <c r="O41" i="38"/>
  <c r="P41" i="38"/>
  <c r="Q41" i="38"/>
  <c r="R41" i="38"/>
  <c r="S41" i="38"/>
  <c r="T41" i="38"/>
  <c r="V41" i="38"/>
  <c r="W41" i="38"/>
  <c r="X41" i="38"/>
  <c r="Y41" i="38"/>
  <c r="I42" i="38"/>
  <c r="J42" i="38"/>
  <c r="K42" i="38"/>
  <c r="L42" i="38"/>
  <c r="M42" i="38"/>
  <c r="N42" i="38"/>
  <c r="O42" i="38"/>
  <c r="P42" i="38"/>
  <c r="Q42" i="38"/>
  <c r="R42" i="38"/>
  <c r="S42" i="38"/>
  <c r="T42" i="38"/>
  <c r="V42" i="38"/>
  <c r="W42" i="38"/>
  <c r="X42" i="38"/>
  <c r="Y42" i="38"/>
  <c r="I43" i="38"/>
  <c r="J43" i="38"/>
  <c r="K43" i="38"/>
  <c r="L43" i="38"/>
  <c r="M43" i="38"/>
  <c r="N43" i="38"/>
  <c r="O43" i="38"/>
  <c r="P43" i="38"/>
  <c r="Q43" i="38"/>
  <c r="R43" i="38"/>
  <c r="S43" i="38"/>
  <c r="T43" i="38"/>
  <c r="V43" i="38"/>
  <c r="W43" i="38"/>
  <c r="X43" i="38"/>
  <c r="Y43" i="38"/>
  <c r="I44" i="38"/>
  <c r="J44" i="38"/>
  <c r="K44" i="38"/>
  <c r="L44" i="38"/>
  <c r="M44" i="38"/>
  <c r="N44" i="38"/>
  <c r="O44" i="38"/>
  <c r="P44" i="38"/>
  <c r="Q44" i="38"/>
  <c r="R44" i="38"/>
  <c r="S44" i="38"/>
  <c r="T44" i="38"/>
  <c r="V44" i="38"/>
  <c r="W44" i="38"/>
  <c r="X44" i="38"/>
  <c r="Y44" i="38"/>
  <c r="I45" i="38"/>
  <c r="J45" i="38"/>
  <c r="K45" i="38"/>
  <c r="L45" i="38"/>
  <c r="M45" i="38"/>
  <c r="N45" i="38"/>
  <c r="O45" i="38"/>
  <c r="P45" i="38"/>
  <c r="Q45" i="38"/>
  <c r="R45" i="38"/>
  <c r="S45" i="38"/>
  <c r="T45" i="38"/>
  <c r="V45" i="38"/>
  <c r="W45" i="38"/>
  <c r="X45" i="38"/>
  <c r="Y45" i="38"/>
  <c r="I46" i="38"/>
  <c r="J46" i="38"/>
  <c r="K46" i="38"/>
  <c r="L46" i="38"/>
  <c r="M46" i="38"/>
  <c r="N46" i="38"/>
  <c r="O46" i="38"/>
  <c r="P46" i="38"/>
  <c r="Q46" i="38"/>
  <c r="R46" i="38"/>
  <c r="S46" i="38"/>
  <c r="T46" i="38"/>
  <c r="V46" i="38"/>
  <c r="W46" i="38"/>
  <c r="X46" i="38"/>
  <c r="Y46" i="38"/>
  <c r="I47" i="38"/>
  <c r="J47" i="38"/>
  <c r="K47" i="38"/>
  <c r="L47" i="38"/>
  <c r="M47" i="38"/>
  <c r="N47" i="38"/>
  <c r="O47" i="38"/>
  <c r="P47" i="38"/>
  <c r="Q47" i="38"/>
  <c r="R47" i="38"/>
  <c r="S47" i="38"/>
  <c r="T47" i="38"/>
  <c r="V47" i="38"/>
  <c r="W47" i="38"/>
  <c r="X47" i="38"/>
  <c r="Y47" i="38"/>
  <c r="I48" i="38"/>
  <c r="J48" i="38"/>
  <c r="K48" i="38"/>
  <c r="L48" i="38"/>
  <c r="M48" i="38"/>
  <c r="N48" i="38"/>
  <c r="O48" i="38"/>
  <c r="P48" i="38"/>
  <c r="Q48" i="38"/>
  <c r="R48" i="38"/>
  <c r="S48" i="38"/>
  <c r="T48" i="38"/>
  <c r="V48" i="38"/>
  <c r="W48" i="38"/>
  <c r="X48" i="38"/>
  <c r="Y48" i="38"/>
  <c r="I49" i="38"/>
  <c r="J49" i="38"/>
  <c r="K49" i="38"/>
  <c r="L49" i="38"/>
  <c r="M49" i="38"/>
  <c r="N49" i="38"/>
  <c r="O49" i="38"/>
  <c r="P49" i="38"/>
  <c r="Q49" i="38"/>
  <c r="R49" i="38"/>
  <c r="S49" i="38"/>
  <c r="T49" i="38"/>
  <c r="V49" i="38"/>
  <c r="W49" i="38"/>
  <c r="X49" i="38"/>
  <c r="Y49" i="38"/>
  <c r="I50" i="38"/>
  <c r="J50" i="38"/>
  <c r="K50" i="38"/>
  <c r="L50" i="38"/>
  <c r="M50" i="38"/>
  <c r="N50" i="38"/>
  <c r="O50" i="38"/>
  <c r="P50" i="38"/>
  <c r="Q50" i="38"/>
  <c r="R50" i="38"/>
  <c r="S50" i="38"/>
  <c r="T50" i="38"/>
  <c r="V50" i="38"/>
  <c r="W50" i="38"/>
  <c r="X50" i="38"/>
  <c r="Y50" i="38"/>
  <c r="I51" i="38"/>
  <c r="J51" i="38"/>
  <c r="K51" i="38"/>
  <c r="L51" i="38"/>
  <c r="M51" i="38"/>
  <c r="N51" i="38"/>
  <c r="O51" i="38"/>
  <c r="P51" i="38"/>
  <c r="Q51" i="38"/>
  <c r="R51" i="38"/>
  <c r="S51" i="38"/>
  <c r="T51" i="38"/>
  <c r="V51" i="38"/>
  <c r="W51" i="38"/>
  <c r="X51" i="38"/>
  <c r="Y51" i="38"/>
  <c r="I52" i="38"/>
  <c r="J52" i="38"/>
  <c r="K52" i="38"/>
  <c r="L52" i="38"/>
  <c r="M52" i="38"/>
  <c r="N52" i="38"/>
  <c r="O52" i="38"/>
  <c r="P52" i="38"/>
  <c r="Q52" i="38"/>
  <c r="R52" i="38"/>
  <c r="S52" i="38"/>
  <c r="T52" i="38"/>
  <c r="V52" i="38"/>
  <c r="W52" i="38"/>
  <c r="X52" i="38"/>
  <c r="Y52" i="38"/>
  <c r="I53" i="38"/>
  <c r="J53" i="38"/>
  <c r="K53" i="38"/>
  <c r="L53" i="38"/>
  <c r="M53" i="38"/>
  <c r="N53" i="38"/>
  <c r="O53" i="38"/>
  <c r="P53" i="38"/>
  <c r="Q53" i="38"/>
  <c r="R53" i="38"/>
  <c r="S53" i="38"/>
  <c r="T53" i="38"/>
  <c r="V53" i="38"/>
  <c r="W53" i="38"/>
  <c r="X53" i="38"/>
  <c r="Y53" i="38"/>
  <c r="I54" i="38"/>
  <c r="J54" i="38"/>
  <c r="K54" i="38"/>
  <c r="L54" i="38"/>
  <c r="M54" i="38"/>
  <c r="N54" i="38"/>
  <c r="O54" i="38"/>
  <c r="P54" i="38"/>
  <c r="Q54" i="38"/>
  <c r="R54" i="38"/>
  <c r="S54" i="38"/>
  <c r="T54" i="38"/>
  <c r="V54" i="38"/>
  <c r="W54" i="38"/>
  <c r="X54" i="38"/>
  <c r="Y54" i="38"/>
  <c r="I55" i="38"/>
  <c r="J55" i="38"/>
  <c r="K55" i="38"/>
  <c r="L55" i="38"/>
  <c r="M55" i="38"/>
  <c r="N55" i="38"/>
  <c r="O55" i="38"/>
  <c r="P55" i="38"/>
  <c r="Q55" i="38"/>
  <c r="R55" i="38"/>
  <c r="S55" i="38"/>
  <c r="T55" i="38"/>
  <c r="V55" i="38"/>
  <c r="W55" i="38"/>
  <c r="X55" i="38"/>
  <c r="Y55" i="38"/>
  <c r="I56" i="38"/>
  <c r="J56" i="38"/>
  <c r="K56" i="38"/>
  <c r="L56" i="38"/>
  <c r="M56" i="38"/>
  <c r="N56" i="38"/>
  <c r="O56" i="38"/>
  <c r="P56" i="38"/>
  <c r="Q56" i="38"/>
  <c r="R56" i="38"/>
  <c r="S56" i="38"/>
  <c r="T56" i="38"/>
  <c r="V56" i="38"/>
  <c r="W56" i="38"/>
  <c r="X56" i="38"/>
  <c r="Y56" i="38"/>
  <c r="I57" i="38"/>
  <c r="J57" i="38"/>
  <c r="K57" i="38"/>
  <c r="L57" i="38"/>
  <c r="M57" i="38"/>
  <c r="N57" i="38"/>
  <c r="O57" i="38"/>
  <c r="P57" i="38"/>
  <c r="Q57" i="38"/>
  <c r="R57" i="38"/>
  <c r="S57" i="38"/>
  <c r="T57" i="38"/>
  <c r="V57" i="38"/>
  <c r="W57" i="38"/>
  <c r="X57" i="38"/>
  <c r="Y57" i="38"/>
  <c r="I58" i="38"/>
  <c r="J58" i="38"/>
  <c r="K58" i="38"/>
  <c r="L58" i="38"/>
  <c r="M58" i="38"/>
  <c r="N58" i="38"/>
  <c r="O58" i="38"/>
  <c r="P58" i="38"/>
  <c r="Q58" i="38"/>
  <c r="R58" i="38"/>
  <c r="S58" i="38"/>
  <c r="T58" i="38"/>
  <c r="V58" i="38"/>
  <c r="W58" i="38"/>
  <c r="X58" i="38"/>
  <c r="Y58" i="38"/>
  <c r="I59" i="38"/>
  <c r="J59" i="38"/>
  <c r="K59" i="38"/>
  <c r="L59" i="38"/>
  <c r="M59" i="38"/>
  <c r="N59" i="38"/>
  <c r="O59" i="38"/>
  <c r="P59" i="38"/>
  <c r="Q59" i="38"/>
  <c r="R59" i="38"/>
  <c r="S59" i="38"/>
  <c r="T59" i="38"/>
  <c r="V59" i="38"/>
  <c r="W59" i="38"/>
  <c r="X59" i="38"/>
  <c r="Y59" i="38"/>
  <c r="I60" i="38"/>
  <c r="J60" i="38"/>
  <c r="K60" i="38"/>
  <c r="L60" i="38"/>
  <c r="M60" i="38"/>
  <c r="N60" i="38"/>
  <c r="O60" i="38"/>
  <c r="P60" i="38"/>
  <c r="Q60" i="38"/>
  <c r="R60" i="38"/>
  <c r="S60" i="38"/>
  <c r="T60" i="38"/>
  <c r="V60" i="38"/>
  <c r="W60" i="38"/>
  <c r="X60" i="38"/>
  <c r="Y60" i="38"/>
  <c r="I61" i="38"/>
  <c r="J61" i="38"/>
  <c r="K61" i="38"/>
  <c r="L61" i="38"/>
  <c r="M61" i="38"/>
  <c r="N61" i="38"/>
  <c r="O61" i="38"/>
  <c r="P61" i="38"/>
  <c r="Q61" i="38"/>
  <c r="R61" i="38"/>
  <c r="S61" i="38"/>
  <c r="T61" i="38"/>
  <c r="V61" i="38"/>
  <c r="W61" i="38"/>
  <c r="X61" i="38"/>
  <c r="Y61" i="38"/>
  <c r="I62" i="38"/>
  <c r="J62" i="38"/>
  <c r="K62" i="38"/>
  <c r="L62" i="38"/>
  <c r="M62" i="38"/>
  <c r="N62" i="38"/>
  <c r="O62" i="38"/>
  <c r="P62" i="38"/>
  <c r="Q62" i="38"/>
  <c r="R62" i="38"/>
  <c r="S62" i="38"/>
  <c r="T62" i="38"/>
  <c r="V62" i="38"/>
  <c r="W62" i="38"/>
  <c r="X62" i="38"/>
  <c r="Y62" i="38"/>
  <c r="I63" i="38"/>
  <c r="J63" i="38"/>
  <c r="K63" i="38"/>
  <c r="L63" i="38"/>
  <c r="M63" i="38"/>
  <c r="N63" i="38"/>
  <c r="O63" i="38"/>
  <c r="P63" i="38"/>
  <c r="Q63" i="38"/>
  <c r="R63" i="38"/>
  <c r="S63" i="38"/>
  <c r="T63" i="38"/>
  <c r="V63" i="38"/>
  <c r="W63" i="38"/>
  <c r="X63" i="38"/>
  <c r="Y63" i="38"/>
  <c r="I64" i="38"/>
  <c r="J64" i="38"/>
  <c r="K64" i="38"/>
  <c r="L64" i="38"/>
  <c r="M64" i="38"/>
  <c r="N64" i="38"/>
  <c r="O64" i="38"/>
  <c r="P64" i="38"/>
  <c r="Q64" i="38"/>
  <c r="R64" i="38"/>
  <c r="S64" i="38"/>
  <c r="T64" i="38"/>
  <c r="V64" i="38"/>
  <c r="W64" i="38"/>
  <c r="X64" i="38"/>
  <c r="Y64" i="38"/>
  <c r="I65" i="38"/>
  <c r="J65" i="38"/>
  <c r="K65" i="38"/>
  <c r="L65" i="38"/>
  <c r="M65" i="38"/>
  <c r="N65" i="38"/>
  <c r="O65" i="38"/>
  <c r="P65" i="38"/>
  <c r="Q65" i="38"/>
  <c r="R65" i="38"/>
  <c r="S65" i="38"/>
  <c r="T65" i="38"/>
  <c r="V65" i="38"/>
  <c r="W65" i="38"/>
  <c r="X65" i="38"/>
  <c r="Y65" i="38"/>
  <c r="I66" i="38"/>
  <c r="J66" i="38"/>
  <c r="K66" i="38"/>
  <c r="L66" i="38"/>
  <c r="M66" i="38"/>
  <c r="N66" i="38"/>
  <c r="O66" i="38"/>
  <c r="P66" i="38"/>
  <c r="Q66" i="38"/>
  <c r="R66" i="38"/>
  <c r="S66" i="38"/>
  <c r="T66" i="38"/>
  <c r="V66" i="38"/>
  <c r="W66" i="38"/>
  <c r="X66" i="38"/>
  <c r="Y66" i="38"/>
  <c r="I67" i="38"/>
  <c r="J67" i="38"/>
  <c r="K67" i="38"/>
  <c r="L67" i="38"/>
  <c r="M67" i="38"/>
  <c r="N67" i="38"/>
  <c r="O67" i="38"/>
  <c r="P67" i="38"/>
  <c r="Q67" i="38"/>
  <c r="R67" i="38"/>
  <c r="S67" i="38"/>
  <c r="T67" i="38"/>
  <c r="V67" i="38"/>
  <c r="W67" i="38"/>
  <c r="X67" i="38"/>
  <c r="Y67" i="38"/>
  <c r="I68" i="38"/>
  <c r="J68" i="38"/>
  <c r="K68" i="38"/>
  <c r="L68" i="38"/>
  <c r="M68" i="38"/>
  <c r="N68" i="38"/>
  <c r="O68" i="38"/>
  <c r="P68" i="38"/>
  <c r="Q68" i="38"/>
  <c r="R68" i="38"/>
  <c r="S68" i="38"/>
  <c r="T68" i="38"/>
  <c r="V68" i="38"/>
  <c r="W68" i="38"/>
  <c r="X68" i="38"/>
  <c r="Y68" i="38"/>
  <c r="I69" i="38"/>
  <c r="J69" i="38"/>
  <c r="K69" i="38"/>
  <c r="L69" i="38"/>
  <c r="M69" i="38"/>
  <c r="N69" i="38"/>
  <c r="O69" i="38"/>
  <c r="P69" i="38"/>
  <c r="Q69" i="38"/>
  <c r="R69" i="38"/>
  <c r="S69" i="38"/>
  <c r="T69" i="38"/>
  <c r="V69" i="38"/>
  <c r="W69" i="38"/>
  <c r="X69" i="38"/>
  <c r="Y69" i="38"/>
  <c r="I70" i="38"/>
  <c r="J70" i="38"/>
  <c r="K70" i="38"/>
  <c r="L70" i="38"/>
  <c r="M70" i="38"/>
  <c r="N70" i="38"/>
  <c r="O70" i="38"/>
  <c r="P70" i="38"/>
  <c r="Q70" i="38"/>
  <c r="R70" i="38"/>
  <c r="S70" i="38"/>
  <c r="T70" i="38"/>
  <c r="V70" i="38"/>
  <c r="W70" i="38"/>
  <c r="X70" i="38"/>
  <c r="Y70" i="38"/>
  <c r="I71" i="38"/>
  <c r="J71" i="38"/>
  <c r="K71" i="38"/>
  <c r="L71" i="38"/>
  <c r="M71" i="38"/>
  <c r="N71" i="38"/>
  <c r="O71" i="38"/>
  <c r="P71" i="38"/>
  <c r="Q71" i="38"/>
  <c r="R71" i="38"/>
  <c r="S71" i="38"/>
  <c r="T71" i="38"/>
  <c r="V71" i="38"/>
  <c r="W71" i="38"/>
  <c r="X71" i="38"/>
  <c r="Y71" i="38"/>
  <c r="I72" i="38"/>
  <c r="J72" i="38"/>
  <c r="K72" i="38"/>
  <c r="L72" i="38"/>
  <c r="M72" i="38"/>
  <c r="N72" i="38"/>
  <c r="O72" i="38"/>
  <c r="P72" i="38"/>
  <c r="Q72" i="38"/>
  <c r="R72" i="38"/>
  <c r="S72" i="38"/>
  <c r="T72" i="38"/>
  <c r="V72" i="38"/>
  <c r="W72" i="38"/>
  <c r="X72" i="38"/>
  <c r="Y72" i="38"/>
  <c r="I73" i="38"/>
  <c r="J73" i="38"/>
  <c r="K73" i="38"/>
  <c r="L73" i="38"/>
  <c r="M73" i="38"/>
  <c r="N73" i="38"/>
  <c r="O73" i="38"/>
  <c r="P73" i="38"/>
  <c r="Q73" i="38"/>
  <c r="R73" i="38"/>
  <c r="S73" i="38"/>
  <c r="T73" i="38"/>
  <c r="V73" i="38"/>
  <c r="W73" i="38"/>
  <c r="X73" i="38"/>
  <c r="Y73" i="38"/>
  <c r="I74" i="38"/>
  <c r="J74" i="38"/>
  <c r="K74" i="38"/>
  <c r="L74" i="38"/>
  <c r="M74" i="38"/>
  <c r="N74" i="38"/>
  <c r="O74" i="38"/>
  <c r="P74" i="38"/>
  <c r="Q74" i="38"/>
  <c r="R74" i="38"/>
  <c r="S74" i="38"/>
  <c r="T74" i="38"/>
  <c r="V74" i="38"/>
  <c r="W74" i="38"/>
  <c r="X74" i="38"/>
  <c r="Y74" i="38"/>
  <c r="I75" i="38"/>
  <c r="J75" i="38"/>
  <c r="K75" i="38"/>
  <c r="L75" i="38"/>
  <c r="M75" i="38"/>
  <c r="N75" i="38"/>
  <c r="O75" i="38"/>
  <c r="P75" i="38"/>
  <c r="Q75" i="38"/>
  <c r="R75" i="38"/>
  <c r="S75" i="38"/>
  <c r="T75" i="38"/>
  <c r="V75" i="38"/>
  <c r="W75" i="38"/>
  <c r="X75" i="38"/>
  <c r="Y75" i="38"/>
  <c r="I76" i="38"/>
  <c r="J76" i="38"/>
  <c r="K76" i="38"/>
  <c r="L76" i="38"/>
  <c r="M76" i="38"/>
  <c r="N76" i="38"/>
  <c r="O76" i="38"/>
  <c r="P76" i="38"/>
  <c r="Q76" i="38"/>
  <c r="R76" i="38"/>
  <c r="S76" i="38"/>
  <c r="T76" i="38"/>
  <c r="V76" i="38"/>
  <c r="W76" i="38"/>
  <c r="X76" i="38"/>
  <c r="Y76" i="38"/>
  <c r="I77" i="38"/>
  <c r="J77" i="38"/>
  <c r="K77" i="38"/>
  <c r="L77" i="38"/>
  <c r="M77" i="38"/>
  <c r="N77" i="38"/>
  <c r="O77" i="38"/>
  <c r="P77" i="38"/>
  <c r="Q77" i="38"/>
  <c r="R77" i="38"/>
  <c r="S77" i="38"/>
  <c r="T77" i="38"/>
  <c r="V77" i="38"/>
  <c r="W77" i="38"/>
  <c r="X77" i="38"/>
  <c r="Y77" i="38"/>
  <c r="I78" i="38"/>
  <c r="J78" i="38"/>
  <c r="K78" i="38"/>
  <c r="L78" i="38"/>
  <c r="M78" i="38"/>
  <c r="N78" i="38"/>
  <c r="O78" i="38"/>
  <c r="P78" i="38"/>
  <c r="Q78" i="38"/>
  <c r="R78" i="38"/>
  <c r="S78" i="38"/>
  <c r="T78" i="38"/>
  <c r="V78" i="38"/>
  <c r="W78" i="38"/>
  <c r="X78" i="38"/>
  <c r="Y78" i="38"/>
  <c r="I79" i="38"/>
  <c r="J79" i="38"/>
  <c r="K79" i="38"/>
  <c r="L79" i="38"/>
  <c r="M79" i="38"/>
  <c r="N79" i="38"/>
  <c r="O79" i="38"/>
  <c r="P79" i="38"/>
  <c r="Q79" i="38"/>
  <c r="R79" i="38"/>
  <c r="S79" i="38"/>
  <c r="T79" i="38"/>
  <c r="V79" i="38"/>
  <c r="W79" i="38"/>
  <c r="X79" i="38"/>
  <c r="Y79" i="38"/>
  <c r="I80" i="38"/>
  <c r="J80" i="38"/>
  <c r="K80" i="38"/>
  <c r="L80" i="38"/>
  <c r="M80" i="38"/>
  <c r="N80" i="38"/>
  <c r="O80" i="38"/>
  <c r="P80" i="38"/>
  <c r="Q80" i="38"/>
  <c r="R80" i="38"/>
  <c r="S80" i="38"/>
  <c r="T80" i="38"/>
  <c r="V80" i="38"/>
  <c r="W80" i="38"/>
  <c r="X80" i="38"/>
  <c r="Y80" i="38"/>
  <c r="I81" i="38"/>
  <c r="J81" i="38"/>
  <c r="K81" i="38"/>
  <c r="L81" i="38"/>
  <c r="M81" i="38"/>
  <c r="N81" i="38"/>
  <c r="O81" i="38"/>
  <c r="P81" i="38"/>
  <c r="Q81" i="38"/>
  <c r="R81" i="38"/>
  <c r="S81" i="38"/>
  <c r="T81" i="38"/>
  <c r="V81" i="38"/>
  <c r="W81" i="38"/>
  <c r="X81" i="38"/>
  <c r="Y81" i="38"/>
  <c r="I82" i="38"/>
  <c r="J82" i="38"/>
  <c r="K82" i="38"/>
  <c r="L82" i="38"/>
  <c r="M82" i="38"/>
  <c r="N82" i="38"/>
  <c r="O82" i="38"/>
  <c r="P82" i="38"/>
  <c r="Q82" i="38"/>
  <c r="R82" i="38"/>
  <c r="S82" i="38"/>
  <c r="T82" i="38"/>
  <c r="V82" i="38"/>
  <c r="W82" i="38"/>
  <c r="X82" i="38"/>
  <c r="Y82" i="38"/>
  <c r="I83" i="38"/>
  <c r="J83" i="38"/>
  <c r="K83" i="38"/>
  <c r="L83" i="38"/>
  <c r="M83" i="38"/>
  <c r="N83" i="38"/>
  <c r="O83" i="38"/>
  <c r="P83" i="38"/>
  <c r="Q83" i="38"/>
  <c r="R83" i="38"/>
  <c r="S83" i="38"/>
  <c r="T83" i="38"/>
  <c r="V83" i="38"/>
  <c r="W83" i="38"/>
  <c r="X83" i="38"/>
  <c r="Y83" i="38"/>
  <c r="I84" i="38"/>
  <c r="J84" i="38"/>
  <c r="K84" i="38"/>
  <c r="L84" i="38"/>
  <c r="M84" i="38"/>
  <c r="N84" i="38"/>
  <c r="O84" i="38"/>
  <c r="P84" i="38"/>
  <c r="Q84" i="38"/>
  <c r="R84" i="38"/>
  <c r="S84" i="38"/>
  <c r="T84" i="38"/>
  <c r="V84" i="38"/>
  <c r="W84" i="38"/>
  <c r="X84" i="38"/>
  <c r="Y84" i="38"/>
  <c r="I85" i="38"/>
  <c r="J85" i="38"/>
  <c r="K85" i="38"/>
  <c r="L85" i="38"/>
  <c r="M85" i="38"/>
  <c r="N85" i="38"/>
  <c r="O85" i="38"/>
  <c r="P85" i="38"/>
  <c r="Q85" i="38"/>
  <c r="R85" i="38"/>
  <c r="S85" i="38"/>
  <c r="T85" i="38"/>
  <c r="V85" i="38"/>
  <c r="W85" i="38"/>
  <c r="X85" i="38"/>
  <c r="Y85" i="38"/>
  <c r="I86" i="38"/>
  <c r="J86" i="38"/>
  <c r="K86" i="38"/>
  <c r="L86" i="38"/>
  <c r="M86" i="38"/>
  <c r="N86" i="38"/>
  <c r="O86" i="38"/>
  <c r="P86" i="38"/>
  <c r="Q86" i="38"/>
  <c r="R86" i="38"/>
  <c r="S86" i="38"/>
  <c r="T86" i="38"/>
  <c r="V86" i="38"/>
  <c r="W86" i="38"/>
  <c r="X86" i="38"/>
  <c r="Y86" i="38"/>
  <c r="I87" i="38"/>
  <c r="J87" i="38"/>
  <c r="K87" i="38"/>
  <c r="L87" i="38"/>
  <c r="M87" i="38"/>
  <c r="N87" i="38"/>
  <c r="O87" i="38"/>
  <c r="P87" i="38"/>
  <c r="Q87" i="38"/>
  <c r="R87" i="38"/>
  <c r="S87" i="38"/>
  <c r="T87" i="38"/>
  <c r="V87" i="38"/>
  <c r="W87" i="38"/>
  <c r="X87" i="38"/>
  <c r="Y87" i="38"/>
  <c r="I88" i="38"/>
  <c r="J88" i="38"/>
  <c r="K88" i="38"/>
  <c r="L88" i="38"/>
  <c r="M88" i="38"/>
  <c r="N88" i="38"/>
  <c r="O88" i="38"/>
  <c r="P88" i="38"/>
  <c r="Q88" i="38"/>
  <c r="R88" i="38"/>
  <c r="S88" i="38"/>
  <c r="T88" i="38"/>
  <c r="V88" i="38"/>
  <c r="W88" i="38"/>
  <c r="X88" i="38"/>
  <c r="Y88" i="38"/>
  <c r="I89" i="38"/>
  <c r="J89" i="38"/>
  <c r="K89" i="38"/>
  <c r="L89" i="38"/>
  <c r="M89" i="38"/>
  <c r="N89" i="38"/>
  <c r="O89" i="38"/>
  <c r="P89" i="38"/>
  <c r="Q89" i="38"/>
  <c r="R89" i="38"/>
  <c r="S89" i="38"/>
  <c r="T89" i="38"/>
  <c r="V89" i="38"/>
  <c r="W89" i="38"/>
  <c r="X89" i="38"/>
  <c r="Y89" i="38"/>
  <c r="I90" i="38"/>
  <c r="J90" i="38"/>
  <c r="K90" i="38"/>
  <c r="L90" i="38"/>
  <c r="M90" i="38"/>
  <c r="N90" i="38"/>
  <c r="O90" i="38"/>
  <c r="P90" i="38"/>
  <c r="Q90" i="38"/>
  <c r="R90" i="38"/>
  <c r="S90" i="38"/>
  <c r="T90" i="38"/>
  <c r="V90" i="38"/>
  <c r="W90" i="38"/>
  <c r="X90" i="38"/>
  <c r="Y90" i="38"/>
  <c r="I91" i="38"/>
  <c r="J91" i="38"/>
  <c r="K91" i="38"/>
  <c r="L91" i="38"/>
  <c r="M91" i="38"/>
  <c r="N91" i="38"/>
  <c r="O91" i="38"/>
  <c r="P91" i="38"/>
  <c r="Q91" i="38"/>
  <c r="R91" i="38"/>
  <c r="S91" i="38"/>
  <c r="T91" i="38"/>
  <c r="V91" i="38"/>
  <c r="W91" i="38"/>
  <c r="X91" i="38"/>
  <c r="Y91" i="38"/>
  <c r="I92" i="38"/>
  <c r="J92" i="38"/>
  <c r="K92" i="38"/>
  <c r="L92" i="38"/>
  <c r="M92" i="38"/>
  <c r="N92" i="38"/>
  <c r="O92" i="38"/>
  <c r="P92" i="38"/>
  <c r="Q92" i="38"/>
  <c r="R92" i="38"/>
  <c r="S92" i="38"/>
  <c r="T92" i="38"/>
  <c r="V92" i="38"/>
  <c r="W92" i="38"/>
  <c r="X92" i="38"/>
  <c r="Y92" i="38"/>
  <c r="I93" i="38"/>
  <c r="J93" i="38"/>
  <c r="K93" i="38"/>
  <c r="L93" i="38"/>
  <c r="M93" i="38"/>
  <c r="N93" i="38"/>
  <c r="O93" i="38"/>
  <c r="P93" i="38"/>
  <c r="Q93" i="38"/>
  <c r="R93" i="38"/>
  <c r="S93" i="38"/>
  <c r="T93" i="38"/>
  <c r="V93" i="38"/>
  <c r="W93" i="38"/>
  <c r="X93" i="38"/>
  <c r="Y93" i="38"/>
  <c r="I94" i="38"/>
  <c r="J94" i="38"/>
  <c r="K94" i="38"/>
  <c r="L94" i="38"/>
  <c r="M94" i="38"/>
  <c r="N94" i="38"/>
  <c r="O94" i="38"/>
  <c r="P94" i="38"/>
  <c r="Q94" i="38"/>
  <c r="R94" i="38"/>
  <c r="S94" i="38"/>
  <c r="T94" i="38"/>
  <c r="V94" i="38"/>
  <c r="W94" i="38"/>
  <c r="X94" i="38"/>
  <c r="Y94" i="38"/>
  <c r="I95" i="38"/>
  <c r="J95" i="38"/>
  <c r="K95" i="38"/>
  <c r="L95" i="38"/>
  <c r="M95" i="38"/>
  <c r="N95" i="38"/>
  <c r="O95" i="38"/>
  <c r="P95" i="38"/>
  <c r="Q95" i="38"/>
  <c r="R95" i="38"/>
  <c r="S95" i="38"/>
  <c r="T95" i="38"/>
  <c r="V95" i="38"/>
  <c r="W95" i="38"/>
  <c r="X95" i="38"/>
  <c r="Y95" i="38"/>
  <c r="I96" i="38"/>
  <c r="J96" i="38"/>
  <c r="K96" i="38"/>
  <c r="L96" i="38"/>
  <c r="M96" i="38"/>
  <c r="N96" i="38"/>
  <c r="O96" i="38"/>
  <c r="P96" i="38"/>
  <c r="Q96" i="38"/>
  <c r="R96" i="38"/>
  <c r="S96" i="38"/>
  <c r="T96" i="38"/>
  <c r="V96" i="38"/>
  <c r="W96" i="38"/>
  <c r="X96" i="38"/>
  <c r="Y96" i="38"/>
  <c r="I97" i="38"/>
  <c r="J97" i="38"/>
  <c r="K97" i="38"/>
  <c r="L97" i="38"/>
  <c r="M97" i="38"/>
  <c r="N97" i="38"/>
  <c r="O97" i="38"/>
  <c r="P97" i="38"/>
  <c r="Q97" i="38"/>
  <c r="R97" i="38"/>
  <c r="S97" i="38"/>
  <c r="T97" i="38"/>
  <c r="V97" i="38"/>
  <c r="W97" i="38"/>
  <c r="X97" i="38"/>
  <c r="Y97" i="38"/>
  <c r="I98" i="38"/>
  <c r="J98" i="38"/>
  <c r="K98" i="38"/>
  <c r="L98" i="38"/>
  <c r="M98" i="38"/>
  <c r="N98" i="38"/>
  <c r="O98" i="38"/>
  <c r="P98" i="38"/>
  <c r="Q98" i="38"/>
  <c r="R98" i="38"/>
  <c r="S98" i="38"/>
  <c r="T98" i="38"/>
  <c r="V98" i="38"/>
  <c r="W98" i="38"/>
  <c r="X98" i="38"/>
  <c r="Y98" i="38"/>
  <c r="I99" i="38"/>
  <c r="J99" i="38"/>
  <c r="K99" i="38"/>
  <c r="L99" i="38"/>
  <c r="M99" i="38"/>
  <c r="N99" i="38"/>
  <c r="O99" i="38"/>
  <c r="P99" i="38"/>
  <c r="Q99" i="38"/>
  <c r="R99" i="38"/>
  <c r="S99" i="38"/>
  <c r="T99" i="38"/>
  <c r="V99" i="38"/>
  <c r="W99" i="38"/>
  <c r="X99" i="38"/>
  <c r="Y99" i="38"/>
  <c r="I100" i="38"/>
  <c r="J100" i="38"/>
  <c r="K100" i="38"/>
  <c r="L100" i="38"/>
  <c r="M100" i="38"/>
  <c r="N100" i="38"/>
  <c r="O100" i="38"/>
  <c r="P100" i="38"/>
  <c r="Q100" i="38"/>
  <c r="R100" i="38"/>
  <c r="S100" i="38"/>
  <c r="T100" i="38"/>
  <c r="V100" i="38"/>
  <c r="W100" i="38"/>
  <c r="X100" i="38"/>
  <c r="Y100" i="38"/>
  <c r="I101" i="38"/>
  <c r="J101" i="38"/>
  <c r="K101" i="38"/>
  <c r="L101" i="38"/>
  <c r="M101" i="38"/>
  <c r="N101" i="38"/>
  <c r="O101" i="38"/>
  <c r="P101" i="38"/>
  <c r="Q101" i="38"/>
  <c r="R101" i="38"/>
  <c r="S101" i="38"/>
  <c r="T101" i="38"/>
  <c r="V101" i="38"/>
  <c r="W101" i="38"/>
  <c r="X101" i="38"/>
  <c r="Y101" i="38"/>
  <c r="I102" i="38"/>
  <c r="J102" i="38"/>
  <c r="K102" i="38"/>
  <c r="L102" i="38"/>
  <c r="M102" i="38"/>
  <c r="N102" i="38"/>
  <c r="O102" i="38"/>
  <c r="P102" i="38"/>
  <c r="Q102" i="38"/>
  <c r="R102" i="38"/>
  <c r="S102" i="38"/>
  <c r="T102" i="38"/>
  <c r="V102" i="38"/>
  <c r="W102" i="38"/>
  <c r="X102" i="38"/>
  <c r="Y102" i="38"/>
  <c r="I103" i="38"/>
  <c r="J103" i="38"/>
  <c r="K103" i="38"/>
  <c r="L103" i="38"/>
  <c r="M103" i="38"/>
  <c r="N103" i="38"/>
  <c r="O103" i="38"/>
  <c r="P103" i="38"/>
  <c r="Q103" i="38"/>
  <c r="R103" i="38"/>
  <c r="S103" i="38"/>
  <c r="T103" i="38"/>
  <c r="V103" i="38"/>
  <c r="W103" i="38"/>
  <c r="X103" i="38"/>
  <c r="Y103" i="38"/>
  <c r="I104" i="38"/>
  <c r="J104" i="38"/>
  <c r="K104" i="38"/>
  <c r="L104" i="38"/>
  <c r="M104" i="38"/>
  <c r="N104" i="38"/>
  <c r="O104" i="38"/>
  <c r="P104" i="38"/>
  <c r="Q104" i="38"/>
  <c r="R104" i="38"/>
  <c r="S104" i="38"/>
  <c r="T104" i="38"/>
  <c r="V104" i="38"/>
  <c r="W104" i="38"/>
  <c r="X104" i="38"/>
  <c r="Y104" i="38"/>
  <c r="I105" i="38"/>
  <c r="J105" i="38"/>
  <c r="K105" i="38"/>
  <c r="L105" i="38"/>
  <c r="M105" i="38"/>
  <c r="N105" i="38"/>
  <c r="O105" i="38"/>
  <c r="P105" i="38"/>
  <c r="Q105" i="38"/>
  <c r="R105" i="38"/>
  <c r="S105" i="38"/>
  <c r="T105" i="38"/>
  <c r="V105" i="38"/>
  <c r="W105" i="38"/>
  <c r="X105" i="38"/>
  <c r="Y105" i="38"/>
  <c r="I106" i="38"/>
  <c r="J106" i="38"/>
  <c r="K106" i="38"/>
  <c r="L106" i="38"/>
  <c r="M106" i="38"/>
  <c r="N106" i="38"/>
  <c r="O106" i="38"/>
  <c r="P106" i="38"/>
  <c r="Q106" i="38"/>
  <c r="R106" i="38"/>
  <c r="S106" i="38"/>
  <c r="T106" i="38"/>
  <c r="V106" i="38"/>
  <c r="W106" i="38"/>
  <c r="X106" i="38"/>
  <c r="Y106" i="38"/>
  <c r="I107" i="38"/>
  <c r="J107" i="38"/>
  <c r="K107" i="38"/>
  <c r="L107" i="38"/>
  <c r="M107" i="38"/>
  <c r="N107" i="38"/>
  <c r="O107" i="38"/>
  <c r="P107" i="38"/>
  <c r="Q107" i="38"/>
  <c r="R107" i="38"/>
  <c r="S107" i="38"/>
  <c r="T107" i="38"/>
  <c r="V107" i="38"/>
  <c r="W107" i="38"/>
  <c r="X107" i="38"/>
  <c r="Y107" i="38"/>
  <c r="I108" i="38"/>
  <c r="J108" i="38"/>
  <c r="K108" i="38"/>
  <c r="L108" i="38"/>
  <c r="M108" i="38"/>
  <c r="N108" i="38"/>
  <c r="O108" i="38"/>
  <c r="P108" i="38"/>
  <c r="Q108" i="38"/>
  <c r="R108" i="38"/>
  <c r="S108" i="38"/>
  <c r="T108" i="38"/>
  <c r="V108" i="38"/>
  <c r="W108" i="38"/>
  <c r="X108" i="38"/>
  <c r="Y108" i="38"/>
  <c r="I109" i="38"/>
  <c r="J109" i="38"/>
  <c r="K109" i="38"/>
  <c r="L109" i="38"/>
  <c r="M109" i="38"/>
  <c r="N109" i="38"/>
  <c r="O109" i="38"/>
  <c r="P109" i="38"/>
  <c r="Q109" i="38"/>
  <c r="R109" i="38"/>
  <c r="S109" i="38"/>
  <c r="T109" i="38"/>
  <c r="V109" i="38"/>
  <c r="W109" i="38"/>
  <c r="X109" i="38"/>
  <c r="Y109" i="38"/>
  <c r="I110" i="38"/>
  <c r="J110" i="38"/>
  <c r="K110" i="38"/>
  <c r="L110" i="38"/>
  <c r="M110" i="38"/>
  <c r="N110" i="38"/>
  <c r="O110" i="38"/>
  <c r="P110" i="38"/>
  <c r="Q110" i="38"/>
  <c r="R110" i="38"/>
  <c r="S110" i="38"/>
  <c r="T110" i="38"/>
  <c r="V110" i="38"/>
  <c r="W110" i="38"/>
  <c r="X110" i="38"/>
  <c r="Y110" i="38"/>
  <c r="I111" i="38"/>
  <c r="J111" i="38"/>
  <c r="K111" i="38"/>
  <c r="L111" i="38"/>
  <c r="M111" i="38"/>
  <c r="N111" i="38"/>
  <c r="O111" i="38"/>
  <c r="P111" i="38"/>
  <c r="Q111" i="38"/>
  <c r="R111" i="38"/>
  <c r="S111" i="38"/>
  <c r="T111" i="38"/>
  <c r="V111" i="38"/>
  <c r="W111" i="38"/>
  <c r="X111" i="38"/>
  <c r="Y111" i="38"/>
  <c r="I112" i="38"/>
  <c r="J112" i="38"/>
  <c r="K112" i="38"/>
  <c r="L112" i="38"/>
  <c r="M112" i="38"/>
  <c r="N112" i="38"/>
  <c r="O112" i="38"/>
  <c r="P112" i="38"/>
  <c r="Q112" i="38"/>
  <c r="R112" i="38"/>
  <c r="S112" i="38"/>
  <c r="T112" i="38"/>
  <c r="V112" i="38"/>
  <c r="W112" i="38"/>
  <c r="X112" i="38"/>
  <c r="Y112" i="38"/>
  <c r="I113" i="38"/>
  <c r="J113" i="38"/>
  <c r="K113" i="38"/>
  <c r="L113" i="38"/>
  <c r="M113" i="38"/>
  <c r="N113" i="38"/>
  <c r="O113" i="38"/>
  <c r="P113" i="38"/>
  <c r="Q113" i="38"/>
  <c r="R113" i="38"/>
  <c r="S113" i="38"/>
  <c r="T113" i="38"/>
  <c r="V113" i="38"/>
  <c r="W113" i="38"/>
  <c r="X113" i="38"/>
  <c r="Y113" i="38"/>
  <c r="I114" i="38"/>
  <c r="J114" i="38"/>
  <c r="K114" i="38"/>
  <c r="L114" i="38"/>
  <c r="M114" i="38"/>
  <c r="N114" i="38"/>
  <c r="O114" i="38"/>
  <c r="P114" i="38"/>
  <c r="Q114" i="38"/>
  <c r="R114" i="38"/>
  <c r="S114" i="38"/>
  <c r="T114" i="38"/>
  <c r="V114" i="38"/>
  <c r="W114" i="38"/>
  <c r="X114" i="38"/>
  <c r="Y114" i="38"/>
  <c r="I115" i="38"/>
  <c r="J115" i="38"/>
  <c r="K115" i="38"/>
  <c r="L115" i="38"/>
  <c r="M115" i="38"/>
  <c r="N115" i="38"/>
  <c r="O115" i="38"/>
  <c r="P115" i="38"/>
  <c r="Q115" i="38"/>
  <c r="R115" i="38"/>
  <c r="S115" i="38"/>
  <c r="T115" i="38"/>
  <c r="V115" i="38"/>
  <c r="W115" i="38"/>
  <c r="X115" i="38"/>
  <c r="Y115" i="38"/>
  <c r="I116" i="38"/>
  <c r="J116" i="38"/>
  <c r="K116" i="38"/>
  <c r="L116" i="38"/>
  <c r="M116" i="38"/>
  <c r="N116" i="38"/>
  <c r="O116" i="38"/>
  <c r="P116" i="38"/>
  <c r="Q116" i="38"/>
  <c r="R116" i="38"/>
  <c r="S116" i="38"/>
  <c r="T116" i="38"/>
  <c r="V116" i="38"/>
  <c r="W116" i="38"/>
  <c r="X116" i="38"/>
  <c r="Y116" i="38"/>
  <c r="I117" i="38"/>
  <c r="J117" i="38"/>
  <c r="K117" i="38"/>
  <c r="L117" i="38"/>
  <c r="M117" i="38"/>
  <c r="N117" i="38"/>
  <c r="O117" i="38"/>
  <c r="P117" i="38"/>
  <c r="Q117" i="38"/>
  <c r="R117" i="38"/>
  <c r="S117" i="38"/>
  <c r="T117" i="38"/>
  <c r="V117" i="38"/>
  <c r="W117" i="38"/>
  <c r="X117" i="38"/>
  <c r="Y117" i="38"/>
  <c r="I118" i="38"/>
  <c r="J118" i="38"/>
  <c r="K118" i="38"/>
  <c r="L118" i="38"/>
  <c r="M118" i="38"/>
  <c r="N118" i="38"/>
  <c r="O118" i="38"/>
  <c r="P118" i="38"/>
  <c r="Q118" i="38"/>
  <c r="R118" i="38"/>
  <c r="S118" i="38"/>
  <c r="T118" i="38"/>
  <c r="V118" i="38"/>
  <c r="W118" i="38"/>
  <c r="X118" i="38"/>
  <c r="Y118" i="38"/>
  <c r="I119" i="38"/>
  <c r="J119" i="38"/>
  <c r="K119" i="38"/>
  <c r="L119" i="38"/>
  <c r="M119" i="38"/>
  <c r="N119" i="38"/>
  <c r="O119" i="38"/>
  <c r="P119" i="38"/>
  <c r="Q119" i="38"/>
  <c r="R119" i="38"/>
  <c r="S119" i="38"/>
  <c r="T119" i="38"/>
  <c r="V119" i="38"/>
  <c r="W119" i="38"/>
  <c r="X119" i="38"/>
  <c r="Y119" i="38"/>
  <c r="I120" i="38"/>
  <c r="J120" i="38"/>
  <c r="K120" i="38"/>
  <c r="L120" i="38"/>
  <c r="M120" i="38"/>
  <c r="N120" i="38"/>
  <c r="O120" i="38"/>
  <c r="P120" i="38"/>
  <c r="Q120" i="38"/>
  <c r="R120" i="38"/>
  <c r="S120" i="38"/>
  <c r="T120" i="38"/>
  <c r="V120" i="38"/>
  <c r="W120" i="38"/>
  <c r="X120" i="38"/>
  <c r="Y120" i="38"/>
  <c r="I121" i="38"/>
  <c r="J121" i="38"/>
  <c r="K121" i="38"/>
  <c r="L121" i="38"/>
  <c r="M121" i="38"/>
  <c r="N121" i="38"/>
  <c r="O121" i="38"/>
  <c r="P121" i="38"/>
  <c r="Q121" i="38"/>
  <c r="R121" i="38"/>
  <c r="S121" i="38"/>
  <c r="T121" i="38"/>
  <c r="V121" i="38"/>
  <c r="W121" i="38"/>
  <c r="X121" i="38"/>
  <c r="Y121" i="38"/>
  <c r="I122" i="38"/>
  <c r="J122" i="38"/>
  <c r="K122" i="38"/>
  <c r="L122" i="38"/>
  <c r="M122" i="38"/>
  <c r="N122" i="38"/>
  <c r="O122" i="38"/>
  <c r="P122" i="38"/>
  <c r="Q122" i="38"/>
  <c r="R122" i="38"/>
  <c r="S122" i="38"/>
  <c r="T122" i="38"/>
  <c r="V122" i="38"/>
  <c r="W122" i="38"/>
  <c r="X122" i="38"/>
  <c r="Y122" i="38"/>
  <c r="I123" i="38"/>
  <c r="J123" i="38"/>
  <c r="K123" i="38"/>
  <c r="L123" i="38"/>
  <c r="M123" i="38"/>
  <c r="N123" i="38"/>
  <c r="O123" i="38"/>
  <c r="P123" i="38"/>
  <c r="Q123" i="38"/>
  <c r="R123" i="38"/>
  <c r="S123" i="38"/>
  <c r="T123" i="38"/>
  <c r="V123" i="38"/>
  <c r="W123" i="38"/>
  <c r="X123" i="38"/>
  <c r="Y123" i="38"/>
  <c r="I124" i="38"/>
  <c r="J124" i="38"/>
  <c r="K124" i="38"/>
  <c r="L124" i="38"/>
  <c r="M124" i="38"/>
  <c r="N124" i="38"/>
  <c r="O124" i="38"/>
  <c r="P124" i="38"/>
  <c r="Q124" i="38"/>
  <c r="R124" i="38"/>
  <c r="S124" i="38"/>
  <c r="T124" i="38"/>
  <c r="V124" i="38"/>
  <c r="W124" i="38"/>
  <c r="X124" i="38"/>
  <c r="Y124" i="38"/>
  <c r="I125" i="38"/>
  <c r="J125" i="38"/>
  <c r="K125" i="38"/>
  <c r="L125" i="38"/>
  <c r="M125" i="38"/>
  <c r="N125" i="38"/>
  <c r="O125" i="38"/>
  <c r="P125" i="38"/>
  <c r="Q125" i="38"/>
  <c r="R125" i="38"/>
  <c r="S125" i="38"/>
  <c r="T125" i="38"/>
  <c r="V125" i="38"/>
  <c r="W125" i="38"/>
  <c r="X125" i="38"/>
  <c r="Y125" i="38"/>
  <c r="J3" i="38"/>
  <c r="K3" i="38"/>
  <c r="L3" i="38"/>
  <c r="M3" i="38"/>
  <c r="N3" i="38"/>
  <c r="O3" i="38"/>
  <c r="P3" i="38"/>
  <c r="Q3" i="38"/>
  <c r="R3" i="38"/>
  <c r="S3" i="38"/>
  <c r="T3" i="38"/>
  <c r="V3" i="38"/>
  <c r="W3" i="38"/>
  <c r="X3" i="38"/>
  <c r="Y3" i="38"/>
  <c r="I3" i="38"/>
  <c r="C24" i="33"/>
  <c r="C22" i="33"/>
  <c r="AU102" i="30" l="1"/>
  <c r="U79" i="38" s="1"/>
  <c r="BU16" i="30" l="1"/>
  <c r="BV15" i="30" s="1"/>
  <c r="AU23" i="30" l="1"/>
  <c r="U4" i="38" s="1"/>
  <c r="AU19" i="30"/>
  <c r="AU25" i="30"/>
  <c r="U5" i="38" s="1"/>
  <c r="AU28" i="30"/>
  <c r="AU29" i="30"/>
  <c r="U7" i="38" s="1"/>
  <c r="AU33" i="30"/>
  <c r="AU44" i="30"/>
  <c r="AU36" i="30"/>
  <c r="U14" i="38" s="1"/>
  <c r="AU32" i="30"/>
  <c r="AU34" i="30"/>
  <c r="U12" i="38" s="1"/>
  <c r="AU31" i="30"/>
  <c r="U13" i="38" s="1"/>
  <c r="AU45" i="30"/>
  <c r="AU39" i="30"/>
  <c r="U16" i="38" s="1"/>
  <c r="AU49" i="30"/>
  <c r="AU40" i="30"/>
  <c r="AU52" i="30"/>
  <c r="AU62" i="30"/>
  <c r="AU38" i="30"/>
  <c r="AU147" i="30"/>
  <c r="AU46" i="30"/>
  <c r="U23" i="38" s="1"/>
  <c r="AU47" i="30"/>
  <c r="U24" i="38" s="1"/>
  <c r="AU41" i="30"/>
  <c r="AU48" i="30"/>
  <c r="AU56" i="30"/>
  <c r="AU76" i="30"/>
  <c r="AU126" i="30"/>
  <c r="AU53" i="30"/>
  <c r="U30" i="38" s="1"/>
  <c r="AU54" i="30"/>
  <c r="U31" i="38" s="1"/>
  <c r="AU57" i="30"/>
  <c r="AU89" i="30"/>
  <c r="AU69" i="30"/>
  <c r="AU77" i="30"/>
  <c r="AU92" i="30"/>
  <c r="AU96" i="30"/>
  <c r="AU82" i="30"/>
  <c r="AU65" i="30"/>
  <c r="AU127" i="30"/>
  <c r="AU81" i="30"/>
  <c r="AU43" i="30"/>
  <c r="AU63" i="30"/>
  <c r="AU67" i="30"/>
  <c r="U44" i="38" s="1"/>
  <c r="AU95" i="30"/>
  <c r="AU61" i="30"/>
  <c r="AU64" i="30"/>
  <c r="AU68" i="30"/>
  <c r="AU60" i="30"/>
  <c r="AU58" i="30"/>
  <c r="AU86" i="30"/>
  <c r="AU30" i="30"/>
  <c r="AU50" i="30"/>
  <c r="AU51" i="30"/>
  <c r="AU78" i="30"/>
  <c r="U55" i="38" s="1"/>
  <c r="AU70" i="30"/>
  <c r="AU80" i="30"/>
  <c r="U57" i="38" s="1"/>
  <c r="AU90" i="30"/>
  <c r="AU97" i="30"/>
  <c r="AU83" i="30"/>
  <c r="U60" i="38" s="1"/>
  <c r="AU84" i="30"/>
  <c r="U61" i="38" s="1"/>
  <c r="AU85" i="30"/>
  <c r="U62" i="38" s="1"/>
  <c r="AU71" i="30"/>
  <c r="AU79" i="30"/>
  <c r="AU101" i="30"/>
  <c r="AU144" i="30"/>
  <c r="AU73" i="30"/>
  <c r="AU91" i="30"/>
  <c r="U68" i="38" s="1"/>
  <c r="AU74" i="30"/>
  <c r="AU93" i="30"/>
  <c r="U70" i="38" s="1"/>
  <c r="AU94" i="30"/>
  <c r="U71" i="38" s="1"/>
  <c r="AU75" i="30"/>
  <c r="AU72" i="30"/>
  <c r="AU145" i="30"/>
  <c r="AU98" i="30"/>
  <c r="U75" i="38" s="1"/>
  <c r="AU99" i="30"/>
  <c r="U76" i="38" s="1"/>
  <c r="AU100" i="30"/>
  <c r="U77" i="38" s="1"/>
  <c r="AU146" i="30"/>
  <c r="AU103" i="30"/>
  <c r="U80" i="38" s="1"/>
  <c r="AU104" i="30"/>
  <c r="U81" i="38" s="1"/>
  <c r="AU105" i="30"/>
  <c r="U82" i="38" s="1"/>
  <c r="AU106" i="30"/>
  <c r="U83" i="38" s="1"/>
  <c r="AU107" i="30"/>
  <c r="U84" i="38" s="1"/>
  <c r="AU108" i="30"/>
  <c r="U85" i="38" s="1"/>
  <c r="AU109" i="30"/>
  <c r="U86" i="38" s="1"/>
  <c r="AU110" i="30"/>
  <c r="U87" i="38" s="1"/>
  <c r="AU111" i="30"/>
  <c r="U88" i="38" s="1"/>
  <c r="AU112" i="30"/>
  <c r="U89" i="38" s="1"/>
  <c r="AU113" i="30"/>
  <c r="U90" i="38" s="1"/>
  <c r="AU114" i="30"/>
  <c r="U91" i="38" s="1"/>
  <c r="AU115" i="30"/>
  <c r="U92" i="38" s="1"/>
  <c r="AU116" i="30"/>
  <c r="U93" i="38" s="1"/>
  <c r="AU117" i="30"/>
  <c r="U94" i="38" s="1"/>
  <c r="AU118" i="30"/>
  <c r="U95" i="38" s="1"/>
  <c r="AU119" i="30"/>
  <c r="U96" i="38" s="1"/>
  <c r="AU120" i="30"/>
  <c r="U97" i="38" s="1"/>
  <c r="AU121" i="30"/>
  <c r="U98" i="38" s="1"/>
  <c r="AU122" i="30"/>
  <c r="U99" i="38" s="1"/>
  <c r="AU123" i="30"/>
  <c r="U100" i="38" s="1"/>
  <c r="AU124" i="30"/>
  <c r="U101" i="38" s="1"/>
  <c r="AU125" i="30"/>
  <c r="U102" i="38" s="1"/>
  <c r="AU42" i="30"/>
  <c r="AU66" i="30"/>
  <c r="U105" i="38"/>
  <c r="AU128" i="30"/>
  <c r="U106" i="38" s="1"/>
  <c r="AU129" i="30"/>
  <c r="U107" i="38" s="1"/>
  <c r="AU130" i="30"/>
  <c r="U108" i="38" s="1"/>
  <c r="AU131" i="30"/>
  <c r="U109" i="38" s="1"/>
  <c r="AU132" i="30"/>
  <c r="U110" i="38" s="1"/>
  <c r="AU133" i="30"/>
  <c r="U111" i="38" s="1"/>
  <c r="AU134" i="30"/>
  <c r="U112" i="38" s="1"/>
  <c r="AU135" i="30"/>
  <c r="U113" i="38" s="1"/>
  <c r="AU136" i="30"/>
  <c r="U114" i="38" s="1"/>
  <c r="AU137" i="30"/>
  <c r="U115" i="38" s="1"/>
  <c r="AU138" i="30"/>
  <c r="U116" i="38" s="1"/>
  <c r="AU139" i="30"/>
  <c r="U117" i="38" s="1"/>
  <c r="AU140" i="30"/>
  <c r="U118" i="38" s="1"/>
  <c r="AU141" i="30"/>
  <c r="U119" i="38" s="1"/>
  <c r="AU142" i="30"/>
  <c r="U120" i="38" s="1"/>
  <c r="AU143" i="30"/>
  <c r="U121" i="38" s="1"/>
  <c r="AU55" i="30"/>
  <c r="AU59" i="30"/>
  <c r="AU87" i="30"/>
  <c r="AU88" i="30"/>
  <c r="U34" i="38" l="1"/>
  <c r="U39" i="38"/>
  <c r="U19" i="38"/>
  <c r="U26" i="38"/>
  <c r="U29" i="38"/>
  <c r="U20" i="38"/>
  <c r="U43" i="38"/>
  <c r="U104" i="38"/>
  <c r="U17" i="38"/>
  <c r="U40" i="38"/>
  <c r="U42" i="38"/>
  <c r="U103" i="38"/>
  <c r="U18" i="38"/>
  <c r="U25" i="38"/>
  <c r="U59" i="38"/>
  <c r="U78" i="38"/>
  <c r="U11" i="38"/>
  <c r="U46" i="38"/>
  <c r="U27" i="38"/>
  <c r="U50" i="38"/>
  <c r="U28" i="38"/>
  <c r="U56" i="38"/>
  <c r="U48" i="38"/>
  <c r="U49" i="38"/>
  <c r="U122" i="38"/>
  <c r="U51" i="38"/>
  <c r="U123" i="38"/>
  <c r="U124" i="38"/>
  <c r="U21" i="38"/>
  <c r="U22" i="38"/>
  <c r="U54" i="38"/>
  <c r="U58" i="38"/>
  <c r="U66" i="38"/>
  <c r="U69" i="38"/>
  <c r="U72" i="38"/>
  <c r="U73" i="38"/>
  <c r="U9" i="38"/>
  <c r="U8" i="38"/>
  <c r="U15" i="38"/>
  <c r="U32" i="38"/>
  <c r="U33" i="38"/>
  <c r="U35" i="38"/>
  <c r="U36" i="38"/>
  <c r="U37" i="38"/>
  <c r="U38" i="38"/>
  <c r="U47" i="38"/>
  <c r="U41" i="38"/>
  <c r="U45" i="38"/>
  <c r="U10" i="38"/>
  <c r="U52" i="38"/>
  <c r="U53" i="38"/>
  <c r="U63" i="38"/>
  <c r="U64" i="38"/>
  <c r="U65" i="38"/>
  <c r="U67" i="38"/>
  <c r="U74" i="38"/>
  <c r="U125" i="38"/>
  <c r="AU13" i="30"/>
  <c r="AU14" i="30"/>
  <c r="U6" i="38"/>
  <c r="U3" i="38"/>
  <c r="C23" i="33"/>
  <c r="D17" i="33" l="1"/>
  <c r="D16" i="33"/>
  <c r="D15" i="33"/>
  <c r="C18" i="33" l="1"/>
  <c r="D9" i="33"/>
  <c r="D8" i="33"/>
  <c r="D7" i="33"/>
  <c r="F103" i="30"/>
  <c r="G103" i="30"/>
  <c r="D10" i="33" l="1"/>
  <c r="C10" i="33"/>
  <c r="C21" i="33" s="1"/>
  <c r="C83" i="31"/>
  <c r="F88" i="31"/>
  <c r="G83" i="31"/>
  <c r="F83" i="31"/>
  <c r="D88" i="31"/>
  <c r="E83" i="31"/>
  <c r="D83" i="31"/>
  <c r="C88" i="31"/>
  <c r="B83" i="31"/>
  <c r="B88" i="31"/>
  <c r="E88" i="31"/>
  <c r="G88" i="31"/>
  <c r="J55" i="31" l="1"/>
  <c r="K55" i="31" s="1"/>
  <c r="K16" i="32" l="1"/>
  <c r="K3" i="32"/>
  <c r="K4" i="32"/>
  <c r="K5" i="32"/>
  <c r="K6" i="32"/>
  <c r="K7" i="32"/>
  <c r="K8" i="32"/>
  <c r="K9" i="32"/>
  <c r="K10" i="32"/>
  <c r="K11" i="32"/>
  <c r="K12" i="32"/>
  <c r="K13" i="32"/>
  <c r="K14" i="32"/>
  <c r="K15" i="32"/>
  <c r="K2" i="32"/>
  <c r="D46" i="30"/>
  <c r="F46" i="30" s="1"/>
  <c r="E46" i="30"/>
  <c r="BG46" i="30" a="1"/>
  <c r="BV46" i="30"/>
  <c r="B48" i="31"/>
  <c r="BV100" i="30"/>
  <c r="BV128" i="30"/>
  <c r="BV64" i="30"/>
  <c r="BV131" i="30"/>
  <c r="BV132" i="30"/>
  <c r="BV133" i="30"/>
  <c r="BV82" i="30"/>
  <c r="BV134" i="30"/>
  <c r="BV135" i="30"/>
  <c r="BV136" i="30"/>
  <c r="BV90" i="30"/>
  <c r="BV104" i="30"/>
  <c r="BV83" i="30"/>
  <c r="BV105" i="30"/>
  <c r="BV137" i="30"/>
  <c r="BV138" i="30"/>
  <c r="BV139" i="30"/>
  <c r="BV140" i="30"/>
  <c r="BV141" i="30"/>
  <c r="BV70" i="30"/>
  <c r="BV98" i="30"/>
  <c r="BV50" i="30"/>
  <c r="BV146" i="30"/>
  <c r="BV72" i="30"/>
  <c r="BV84" i="30"/>
  <c r="BV142" i="30"/>
  <c r="BV143" i="30"/>
  <c r="BV53" i="30"/>
  <c r="BV67" i="30"/>
  <c r="BV54" i="30"/>
  <c r="BV99" i="30"/>
  <c r="BV87" i="30"/>
  <c r="BV88" i="30"/>
  <c r="BV122" i="30"/>
  <c r="BV129" i="30"/>
  <c r="BV108" i="30"/>
  <c r="BV106" i="30"/>
  <c r="BV107" i="30"/>
  <c r="BV110" i="30"/>
  <c r="BV109" i="30"/>
  <c r="BV111" i="30"/>
  <c r="BV114" i="30"/>
  <c r="BV123" i="30"/>
  <c r="BV115" i="30"/>
  <c r="BV116" i="30"/>
  <c r="BV117" i="30"/>
  <c r="BV118" i="30"/>
  <c r="BV119" i="30"/>
  <c r="BV120" i="30"/>
  <c r="BV121" i="30"/>
  <c r="BV78" i="30"/>
  <c r="BV125" i="30"/>
  <c r="BV124" i="30"/>
  <c r="BV93" i="30"/>
  <c r="BV80" i="30"/>
  <c r="BV47" i="30"/>
  <c r="BV39" i="30"/>
  <c r="BV71" i="30"/>
  <c r="BV69" i="30"/>
  <c r="BV45" i="30"/>
  <c r="BV79" i="30"/>
  <c r="BV101" i="30"/>
  <c r="BV144" i="30"/>
  <c r="BV59" i="30"/>
  <c r="BV81" i="30"/>
  <c r="BV68" i="30"/>
  <c r="BV36" i="30"/>
  <c r="BV145" i="30"/>
  <c r="BV147" i="30"/>
  <c r="BV95" i="30"/>
  <c r="BV73" i="30"/>
  <c r="BV74" i="30"/>
  <c r="BV75" i="30"/>
  <c r="BV61" i="30"/>
  <c r="BV97" i="30"/>
  <c r="BV96" i="30"/>
  <c r="BV92" i="30"/>
  <c r="BV89" i="30"/>
  <c r="BV56" i="30"/>
  <c r="BV38" i="30"/>
  <c r="BV113" i="30"/>
  <c r="BV112" i="30"/>
  <c r="BV43" i="30"/>
  <c r="BV130" i="30"/>
  <c r="BV52" i="30"/>
  <c r="BV62" i="30"/>
  <c r="BV51" i="30"/>
  <c r="BV94" i="30"/>
  <c r="BV126" i="30"/>
  <c r="BV42" i="30"/>
  <c r="BV66" i="30"/>
  <c r="BV55" i="30"/>
  <c r="BV60" i="30"/>
  <c r="BV34" i="30"/>
  <c r="BV102" i="30"/>
  <c r="BV41" i="30"/>
  <c r="BV57" i="30"/>
  <c r="BV29" i="30"/>
  <c r="BV76" i="30"/>
  <c r="BV58" i="30"/>
  <c r="BV65" i="30"/>
  <c r="BV63" i="30"/>
  <c r="BV48" i="30"/>
  <c r="BV127" i="30"/>
  <c r="BV40" i="30"/>
  <c r="BV32" i="30"/>
  <c r="BV23" i="30"/>
  <c r="BV28" i="30"/>
  <c r="BV33" i="30"/>
  <c r="BV44" i="30"/>
  <c r="BV85" i="30"/>
  <c r="BV86" i="30"/>
  <c r="BV49" i="30"/>
  <c r="BV30" i="30"/>
  <c r="BV31" i="30"/>
  <c r="BV25" i="30"/>
  <c r="BV91" i="30"/>
  <c r="BV19" i="30"/>
  <c r="BG85" i="30" a="1"/>
  <c r="BG98" i="30" a="1"/>
  <c r="BG60" i="30" a="1"/>
  <c r="BG35" i="30" a="1"/>
  <c r="BG44" i="30" a="1"/>
  <c r="BG33" i="30" a="1"/>
  <c r="BG28" i="30" a="1"/>
  <c r="BG19" i="30" a="1"/>
  <c r="BG84" i="30" a="1"/>
  <c r="BG91" i="30" a="1"/>
  <c r="BG23" i="30" a="1"/>
  <c r="BG25" i="30" a="1"/>
  <c r="BG72" i="30" a="1"/>
  <c r="BG32" i="30" a="1"/>
  <c r="BG146" i="30" a="1"/>
  <c r="BG70" i="30" a="1"/>
  <c r="BG41" i="30" a="1"/>
  <c r="BG102" i="30" a="1"/>
  <c r="BG34" i="30" a="1"/>
  <c r="BG55" i="30" a="1"/>
  <c r="BG51" i="30" a="1"/>
  <c r="BG31" i="30" a="1"/>
  <c r="BG61" i="30" a="1"/>
  <c r="BG75" i="30" a="1"/>
  <c r="BG74" i="30" a="1"/>
  <c r="BG73" i="30" a="1"/>
  <c r="BG95" i="30" a="1"/>
  <c r="BG30" i="30" a="1"/>
  <c r="BG147" i="30" a="1"/>
  <c r="BG145" i="30" a="1"/>
  <c r="BG36" i="30" a="1"/>
  <c r="BG68" i="30" a="1"/>
  <c r="BG81" i="30" a="1"/>
  <c r="BG50" i="30" a="1"/>
  <c r="BG59" i="30" a="1"/>
  <c r="BG144" i="30" a="1"/>
  <c r="BG101" i="30" a="1"/>
  <c r="BG79" i="30" a="1"/>
  <c r="BG45" i="30" a="1"/>
  <c r="BG69" i="30" a="1"/>
  <c r="BG71" i="30" a="1"/>
  <c r="BG39" i="30" a="1"/>
  <c r="BG47" i="30" a="1"/>
  <c r="BG80" i="30" a="1"/>
  <c r="BG93" i="30" a="1"/>
  <c r="BG124" i="30" a="1"/>
  <c r="BG125" i="30" a="1"/>
  <c r="BG78" i="30" a="1"/>
  <c r="BG121" i="30" a="1"/>
  <c r="BG120" i="30" a="1"/>
  <c r="BG119" i="30" a="1"/>
  <c r="BG118" i="30" a="1"/>
  <c r="BG117" i="30" a="1"/>
  <c r="BG116" i="30" a="1"/>
  <c r="BG115" i="30" a="1"/>
  <c r="BG123" i="30" a="1"/>
  <c r="BG114" i="30" a="1"/>
  <c r="BG111" i="30" a="1"/>
  <c r="BG109" i="30" a="1"/>
  <c r="BG110" i="30" a="1"/>
  <c r="BG107" i="30" a="1"/>
  <c r="BG106" i="30" a="1"/>
  <c r="BG108" i="30" a="1"/>
  <c r="BG129" i="30" a="1"/>
  <c r="BG122" i="30" a="1"/>
  <c r="BG88" i="30" a="1"/>
  <c r="BG87" i="30" a="1"/>
  <c r="BG99" i="30" a="1"/>
  <c r="BG54" i="30" a="1"/>
  <c r="BG67" i="30" a="1"/>
  <c r="BG53" i="30" a="1"/>
  <c r="BG143" i="30" a="1"/>
  <c r="BG142" i="30" a="1"/>
  <c r="BG141" i="30" a="1"/>
  <c r="BG140" i="30" a="1"/>
  <c r="BG139" i="30" a="1"/>
  <c r="BG138" i="30" a="1"/>
  <c r="BG137" i="30" a="1"/>
  <c r="BG136" i="30" a="1"/>
  <c r="BG135" i="30" a="1"/>
  <c r="BG134" i="30" a="1"/>
  <c r="BG133" i="30" a="1"/>
  <c r="BG132" i="30" a="1"/>
  <c r="BG131" i="30" a="1"/>
  <c r="BG128" i="30" a="1"/>
  <c r="BG100" i="30" a="1"/>
  <c r="BG40" i="30" a="1"/>
  <c r="BG66" i="30" a="1"/>
  <c r="BG49" i="30" a="1"/>
  <c r="BG42" i="30" a="1"/>
  <c r="BG126" i="30" a="1"/>
  <c r="BG127" i="30" a="1"/>
  <c r="BG48" i="30" a="1"/>
  <c r="BG63" i="30" a="1"/>
  <c r="BG94" i="30" a="1"/>
  <c r="BG62" i="30" a="1"/>
  <c r="BG52" i="30" a="1"/>
  <c r="BG130" i="30" a="1"/>
  <c r="BG43" i="30" a="1"/>
  <c r="BG65" i="30" a="1"/>
  <c r="BG112" i="30" a="1"/>
  <c r="BG113" i="30" a="1"/>
  <c r="BG38" i="30" a="1"/>
  <c r="BG56" i="30" a="1"/>
  <c r="BG86" i="30" a="1"/>
  <c r="BG89" i="30" a="1"/>
  <c r="BG92" i="30" a="1"/>
  <c r="BG96" i="30" a="1"/>
  <c r="BG97" i="30" a="1"/>
  <c r="BG105" i="30" a="1"/>
  <c r="BG83" i="30" a="1"/>
  <c r="BG104" i="30" a="1"/>
  <c r="BG90" i="30" a="1"/>
  <c r="BG58" i="30" a="1"/>
  <c r="BG82" i="30" a="1"/>
  <c r="BG77" i="30" a="1"/>
  <c r="BG76" i="30" a="1"/>
  <c r="BG29" i="30" a="1"/>
  <c r="BG64" i="30" a="1"/>
  <c r="BG57" i="30" a="1"/>
  <c r="G100" i="30"/>
  <c r="G105" i="30"/>
  <c r="G130" i="30"/>
  <c r="D64" i="30"/>
  <c r="F64" i="30" s="1"/>
  <c r="D29" i="30"/>
  <c r="F29" i="30" s="1"/>
  <c r="D76" i="30"/>
  <c r="F76" i="30" s="1"/>
  <c r="D77" i="30"/>
  <c r="F77" i="30" s="1"/>
  <c r="D82" i="30"/>
  <c r="F82" i="30" s="1"/>
  <c r="D58" i="30"/>
  <c r="F58" i="30" s="1"/>
  <c r="D90" i="30"/>
  <c r="F90" i="30" s="1"/>
  <c r="D104" i="30"/>
  <c r="F104" i="30" s="1"/>
  <c r="D83" i="30"/>
  <c r="F83" i="30" s="1"/>
  <c r="D105" i="30"/>
  <c r="F105" i="30" s="1"/>
  <c r="D97" i="30"/>
  <c r="D96" i="30"/>
  <c r="F96" i="30" s="1"/>
  <c r="D92" i="30"/>
  <c r="F92" i="30" s="1"/>
  <c r="D89" i="30"/>
  <c r="F89" i="30" s="1"/>
  <c r="D86" i="30"/>
  <c r="F86" i="30" s="1"/>
  <c r="D56" i="30"/>
  <c r="F56" i="30" s="1"/>
  <c r="D38" i="30"/>
  <c r="F38" i="30" s="1"/>
  <c r="D113" i="30"/>
  <c r="F113" i="30" s="1"/>
  <c r="D112" i="30"/>
  <c r="F112" i="30" s="1"/>
  <c r="D65" i="30"/>
  <c r="F65" i="30" s="1"/>
  <c r="D43" i="30"/>
  <c r="F43" i="30" s="1"/>
  <c r="D130" i="30"/>
  <c r="F130" i="30" s="1"/>
  <c r="D52" i="30"/>
  <c r="F52" i="30" s="1"/>
  <c r="D62" i="30"/>
  <c r="F62" i="30" s="1"/>
  <c r="D94" i="30"/>
  <c r="F94" i="30" s="1"/>
  <c r="D63" i="30"/>
  <c r="F63" i="30" s="1"/>
  <c r="D48" i="30"/>
  <c r="F48" i="30" s="1"/>
  <c r="D127" i="30"/>
  <c r="F127" i="30" s="1"/>
  <c r="D126" i="30"/>
  <c r="F126" i="30" s="1"/>
  <c r="D42" i="30"/>
  <c r="F42" i="30" s="1"/>
  <c r="D49" i="30"/>
  <c r="F49" i="30" s="1"/>
  <c r="D66" i="30"/>
  <c r="F66" i="30" s="1"/>
  <c r="D40" i="30"/>
  <c r="F40" i="30" s="1"/>
  <c r="D100" i="30"/>
  <c r="F100" i="30" s="1"/>
  <c r="D128" i="30"/>
  <c r="F128" i="30" s="1"/>
  <c r="D131" i="30"/>
  <c r="F131" i="30" s="1"/>
  <c r="D132" i="30"/>
  <c r="F132" i="30" s="1"/>
  <c r="D133" i="30"/>
  <c r="F133" i="30" s="1"/>
  <c r="D134" i="30"/>
  <c r="F134" i="30" s="1"/>
  <c r="D135" i="30"/>
  <c r="F135" i="30" s="1"/>
  <c r="D136" i="30"/>
  <c r="F136" i="30" s="1"/>
  <c r="D137" i="30"/>
  <c r="F137" i="30" s="1"/>
  <c r="D138" i="30"/>
  <c r="F138" i="30" s="1"/>
  <c r="D139" i="30"/>
  <c r="F139" i="30" s="1"/>
  <c r="D140" i="30"/>
  <c r="F140" i="30" s="1"/>
  <c r="D141" i="30"/>
  <c r="F141" i="30" s="1"/>
  <c r="D142" i="30"/>
  <c r="F142" i="30" s="1"/>
  <c r="D143" i="30"/>
  <c r="F143" i="30" s="1"/>
  <c r="D53" i="30"/>
  <c r="F53" i="30" s="1"/>
  <c r="D67" i="30"/>
  <c r="F67" i="30" s="1"/>
  <c r="D54" i="30"/>
  <c r="F54" i="30" s="1"/>
  <c r="D99" i="30"/>
  <c r="F99" i="30" s="1"/>
  <c r="D87" i="30"/>
  <c r="F87" i="30" s="1"/>
  <c r="D88" i="30"/>
  <c r="F88" i="30" s="1"/>
  <c r="D122" i="30"/>
  <c r="F122" i="30" s="1"/>
  <c r="D129" i="30"/>
  <c r="F129" i="30" s="1"/>
  <c r="D108" i="30"/>
  <c r="F108" i="30" s="1"/>
  <c r="D106" i="30"/>
  <c r="F106" i="30" s="1"/>
  <c r="D107" i="30"/>
  <c r="F107" i="30" s="1"/>
  <c r="D110" i="30"/>
  <c r="F110" i="30" s="1"/>
  <c r="D109" i="30"/>
  <c r="F109" i="30" s="1"/>
  <c r="D111" i="30"/>
  <c r="F111" i="30" s="1"/>
  <c r="D114" i="30"/>
  <c r="F114" i="30" s="1"/>
  <c r="D123" i="30"/>
  <c r="F123" i="30" s="1"/>
  <c r="D115" i="30"/>
  <c r="D116" i="30"/>
  <c r="F116" i="30" s="1"/>
  <c r="D117" i="30"/>
  <c r="F117" i="30" s="1"/>
  <c r="D118" i="30"/>
  <c r="F118" i="30" s="1"/>
  <c r="D119" i="30"/>
  <c r="F119" i="30" s="1"/>
  <c r="D120" i="30"/>
  <c r="F120" i="30" s="1"/>
  <c r="D121" i="30"/>
  <c r="F121" i="30" s="1"/>
  <c r="D78" i="30"/>
  <c r="F78" i="30" s="1"/>
  <c r="D125" i="30"/>
  <c r="F125" i="30" s="1"/>
  <c r="D124" i="30"/>
  <c r="F124" i="30" s="1"/>
  <c r="D93" i="30"/>
  <c r="D80" i="30"/>
  <c r="F80" i="30" s="1"/>
  <c r="D47" i="30"/>
  <c r="F47" i="30" s="1"/>
  <c r="D39" i="30"/>
  <c r="F39" i="30" s="1"/>
  <c r="D71" i="30"/>
  <c r="F71" i="30" s="1"/>
  <c r="D69" i="30"/>
  <c r="F69" i="30" s="1"/>
  <c r="D45" i="30"/>
  <c r="F45" i="30" s="1"/>
  <c r="D79" i="30"/>
  <c r="F79" i="30" s="1"/>
  <c r="D101" i="30"/>
  <c r="F101" i="30" s="1"/>
  <c r="D144" i="30"/>
  <c r="F144" i="30" s="1"/>
  <c r="D59" i="30"/>
  <c r="F59" i="30" s="1"/>
  <c r="D50" i="30"/>
  <c r="F50" i="30" s="1"/>
  <c r="D81" i="30"/>
  <c r="F81" i="30" s="1"/>
  <c r="D68" i="30"/>
  <c r="F68" i="30" s="1"/>
  <c r="D36" i="30"/>
  <c r="F36" i="30" s="1"/>
  <c r="D145" i="30"/>
  <c r="F145" i="30" s="1"/>
  <c r="D147" i="30"/>
  <c r="F147" i="30" s="1"/>
  <c r="D30" i="30"/>
  <c r="F30" i="30" s="1"/>
  <c r="D95" i="30"/>
  <c r="F95" i="30" s="1"/>
  <c r="D73" i="30"/>
  <c r="F73" i="30" s="1"/>
  <c r="D74" i="30"/>
  <c r="F74" i="30" s="1"/>
  <c r="D75" i="30"/>
  <c r="F75" i="30" s="1"/>
  <c r="D61" i="30"/>
  <c r="F61" i="30" s="1"/>
  <c r="D31" i="30"/>
  <c r="F31" i="30" s="1"/>
  <c r="D51" i="30"/>
  <c r="F51" i="30" s="1"/>
  <c r="D55" i="30"/>
  <c r="F55" i="30" s="1"/>
  <c r="D34" i="30"/>
  <c r="F34" i="30" s="1"/>
  <c r="D102" i="30"/>
  <c r="F102" i="30" s="1"/>
  <c r="D41" i="30"/>
  <c r="F41" i="30" s="1"/>
  <c r="D70" i="30"/>
  <c r="F70" i="30" s="1"/>
  <c r="D146" i="30"/>
  <c r="F146" i="30" s="1"/>
  <c r="D32" i="30"/>
  <c r="F32" i="30" s="1"/>
  <c r="D72" i="30"/>
  <c r="F72" i="30" s="1"/>
  <c r="D25" i="30"/>
  <c r="F25" i="30" s="1"/>
  <c r="D23" i="30"/>
  <c r="F23" i="30" s="1"/>
  <c r="D91" i="30"/>
  <c r="F91" i="30" s="1"/>
  <c r="D84" i="30"/>
  <c r="F84" i="30" s="1"/>
  <c r="D19" i="30"/>
  <c r="F19" i="30" s="1"/>
  <c r="D28" i="30"/>
  <c r="F28" i="30" s="1"/>
  <c r="D33" i="30"/>
  <c r="F33" i="30" s="1"/>
  <c r="D44" i="30"/>
  <c r="F44" i="30" s="1"/>
  <c r="D60" i="30"/>
  <c r="F60" i="30" s="1"/>
  <c r="D98" i="30"/>
  <c r="F98" i="30" s="1"/>
  <c r="D85" i="30"/>
  <c r="F85" i="30" s="1"/>
  <c r="E64" i="30"/>
  <c r="E29" i="30"/>
  <c r="E76" i="30"/>
  <c r="E77" i="30"/>
  <c r="E82" i="30"/>
  <c r="E58" i="30"/>
  <c r="E90" i="30"/>
  <c r="E104" i="30"/>
  <c r="E83" i="30"/>
  <c r="E105" i="30"/>
  <c r="E97" i="30"/>
  <c r="E96" i="30"/>
  <c r="E92" i="30"/>
  <c r="E89" i="30"/>
  <c r="E86" i="30"/>
  <c r="E56" i="30"/>
  <c r="E38" i="30"/>
  <c r="E113" i="30"/>
  <c r="E112" i="30"/>
  <c r="E65" i="30"/>
  <c r="E43" i="30"/>
  <c r="E130" i="30"/>
  <c r="E52" i="30"/>
  <c r="E62" i="30"/>
  <c r="E94" i="30"/>
  <c r="E63" i="30"/>
  <c r="E48" i="30"/>
  <c r="E127" i="30"/>
  <c r="E126" i="30"/>
  <c r="E42" i="30"/>
  <c r="E49" i="30"/>
  <c r="E66" i="30"/>
  <c r="E40" i="30"/>
  <c r="E100" i="30"/>
  <c r="E128" i="30"/>
  <c r="E131" i="30"/>
  <c r="E132" i="30"/>
  <c r="E133" i="30"/>
  <c r="E134" i="30"/>
  <c r="E135" i="30"/>
  <c r="E136" i="30"/>
  <c r="E137" i="30"/>
  <c r="E138" i="30"/>
  <c r="E139" i="30"/>
  <c r="E140" i="30"/>
  <c r="E141" i="30"/>
  <c r="E142" i="30"/>
  <c r="E143" i="30"/>
  <c r="E53" i="30"/>
  <c r="E67" i="30"/>
  <c r="E54" i="30"/>
  <c r="E99" i="30"/>
  <c r="E87" i="30"/>
  <c r="E88" i="30"/>
  <c r="E122" i="30"/>
  <c r="E129" i="30"/>
  <c r="E108" i="30"/>
  <c r="E106" i="30"/>
  <c r="E107" i="30"/>
  <c r="E110" i="30"/>
  <c r="E109" i="30"/>
  <c r="E111" i="30"/>
  <c r="E114" i="30"/>
  <c r="E123" i="30"/>
  <c r="E115" i="30"/>
  <c r="E116" i="30"/>
  <c r="E117" i="30"/>
  <c r="E118" i="30"/>
  <c r="E119" i="30"/>
  <c r="E120" i="30"/>
  <c r="E121" i="30"/>
  <c r="E78" i="30"/>
  <c r="E125" i="30"/>
  <c r="E124" i="30"/>
  <c r="E93" i="30"/>
  <c r="E80" i="30"/>
  <c r="E47" i="30"/>
  <c r="E39" i="30"/>
  <c r="E71" i="30"/>
  <c r="E69" i="30"/>
  <c r="E45" i="30"/>
  <c r="E79" i="30"/>
  <c r="E101" i="30"/>
  <c r="E144" i="30"/>
  <c r="E59" i="30"/>
  <c r="E50" i="30"/>
  <c r="E81" i="30"/>
  <c r="E68" i="30"/>
  <c r="E36" i="30"/>
  <c r="E145" i="30"/>
  <c r="E147" i="30"/>
  <c r="E30" i="30"/>
  <c r="E95" i="30"/>
  <c r="E73" i="30"/>
  <c r="E74" i="30"/>
  <c r="E75" i="30"/>
  <c r="E61" i="30"/>
  <c r="E31" i="30"/>
  <c r="E51" i="30"/>
  <c r="E55" i="30"/>
  <c r="E34" i="30"/>
  <c r="E102" i="30"/>
  <c r="E41" i="30"/>
  <c r="E70" i="30"/>
  <c r="E146" i="30"/>
  <c r="E32" i="30"/>
  <c r="E72" i="30"/>
  <c r="E25" i="30"/>
  <c r="E23" i="30"/>
  <c r="E91" i="30"/>
  <c r="E84" i="30"/>
  <c r="E19" i="30"/>
  <c r="E28" i="30"/>
  <c r="E33" i="30"/>
  <c r="E44" i="30"/>
  <c r="E60" i="30"/>
  <c r="E98" i="30"/>
  <c r="E85" i="30"/>
  <c r="D57" i="30"/>
  <c r="F57" i="30" s="1"/>
  <c r="E57" i="30"/>
  <c r="G23" i="30"/>
  <c r="G125" i="30"/>
  <c r="G46" i="30"/>
  <c r="G79" i="30"/>
  <c r="G39" i="30"/>
  <c r="J13" i="30" a="1"/>
  <c r="J13" i="30" s="1"/>
  <c r="C27" i="30" s="1"/>
  <c r="H12" i="30"/>
  <c r="AF246" i="28"/>
  <c r="AK246" i="28" s="1"/>
  <c r="AQ246" i="28" s="1"/>
  <c r="G246" i="28"/>
  <c r="E246" i="28"/>
  <c r="D246" i="28"/>
  <c r="AJ114" i="29"/>
  <c r="AI114" i="29"/>
  <c r="AH114" i="29"/>
  <c r="AG114" i="29"/>
  <c r="AF114" i="29"/>
  <c r="AU16" i="27"/>
  <c r="AZ9" i="27"/>
  <c r="AZ10" i="27"/>
  <c r="AZ11" i="27"/>
  <c r="AZ13" i="27"/>
  <c r="AZ14" i="27"/>
  <c r="AZ12" i="27"/>
  <c r="AZ21" i="27"/>
  <c r="AZ22" i="27"/>
  <c r="AZ23" i="27"/>
  <c r="AZ20" i="27"/>
  <c r="AZ16" i="27"/>
  <c r="AZ28" i="27"/>
  <c r="AZ24" i="27"/>
  <c r="AZ18" i="27"/>
  <c r="AZ27" i="27"/>
  <c r="AZ40" i="27"/>
  <c r="AZ26" i="27"/>
  <c r="AZ43" i="27"/>
  <c r="AZ44" i="27"/>
  <c r="AZ19" i="27"/>
  <c r="AZ45" i="27"/>
  <c r="AZ30" i="27"/>
  <c r="AZ31" i="27"/>
  <c r="AZ48" i="27"/>
  <c r="AZ36" i="27"/>
  <c r="AZ49" i="27"/>
  <c r="AZ50" i="27"/>
  <c r="AZ34" i="27"/>
  <c r="AZ17" i="27"/>
  <c r="AZ35" i="27"/>
  <c r="AZ51" i="27"/>
  <c r="AZ55" i="27"/>
  <c r="AZ46" i="27"/>
  <c r="AZ60" i="27"/>
  <c r="AZ58" i="27"/>
  <c r="AZ59" i="27"/>
  <c r="AZ33" i="27"/>
  <c r="AZ56" i="27"/>
  <c r="AZ70" i="27"/>
  <c r="AZ37" i="27"/>
  <c r="AZ52" i="27"/>
  <c r="AZ61" i="27"/>
  <c r="AZ74" i="27"/>
  <c r="AZ73" i="27"/>
  <c r="AZ47" i="27"/>
  <c r="AZ75" i="27"/>
  <c r="AZ64" i="27"/>
  <c r="AZ62" i="27"/>
  <c r="AZ53" i="27"/>
  <c r="AZ76" i="27"/>
  <c r="AZ77" i="27"/>
  <c r="AZ78" i="27"/>
  <c r="AZ54" i="27"/>
  <c r="AZ84" i="27"/>
  <c r="AZ63" i="27"/>
  <c r="AZ88" i="27"/>
  <c r="AZ92" i="27"/>
  <c r="AZ68" i="27"/>
  <c r="AZ67" i="27"/>
  <c r="AZ94" i="27"/>
  <c r="AZ71" i="27"/>
  <c r="AZ79" i="27"/>
  <c r="AZ98" i="27"/>
  <c r="AZ99" i="27"/>
  <c r="AZ100" i="27"/>
  <c r="AZ87" i="27"/>
  <c r="AZ125" i="27"/>
  <c r="AZ93" i="27"/>
  <c r="AZ96" i="27"/>
  <c r="AZ89" i="27"/>
  <c r="AZ126" i="27"/>
  <c r="AZ95" i="27"/>
  <c r="AZ129" i="27"/>
  <c r="AZ130" i="27"/>
  <c r="AZ69" i="27"/>
  <c r="AZ72" i="27"/>
  <c r="AZ85" i="27"/>
  <c r="AZ86" i="27"/>
  <c r="AZ101" i="27"/>
  <c r="AZ114" i="27"/>
  <c r="AZ115" i="27"/>
  <c r="AZ128" i="27"/>
  <c r="AZ124" i="27"/>
  <c r="AZ15" i="27"/>
  <c r="AZ25" i="27"/>
  <c r="AZ97" i="27"/>
  <c r="AZ91" i="27"/>
  <c r="AZ127" i="27"/>
  <c r="AZ41" i="27"/>
  <c r="AZ57" i="27"/>
  <c r="AZ90" i="27"/>
  <c r="AZ102" i="27"/>
  <c r="AZ103" i="27"/>
  <c r="AZ104" i="27"/>
  <c r="AZ105" i="27"/>
  <c r="AZ106" i="27"/>
  <c r="AZ107" i="27"/>
  <c r="AZ108" i="27"/>
  <c r="AZ109" i="27"/>
  <c r="AZ110" i="27"/>
  <c r="AZ111" i="27"/>
  <c r="AZ113" i="27"/>
  <c r="AZ80" i="27"/>
  <c r="AZ81" i="27"/>
  <c r="AZ112" i="27"/>
  <c r="AZ65" i="27"/>
  <c r="AZ29" i="27"/>
  <c r="AZ42" i="27"/>
  <c r="AZ82" i="27"/>
  <c r="AZ66" i="27"/>
  <c r="AZ83" i="27"/>
  <c r="AZ116" i="27"/>
  <c r="AZ131" i="27"/>
  <c r="AZ117" i="27"/>
  <c r="AZ118" i="27"/>
  <c r="AZ119" i="27"/>
  <c r="AZ120" i="27"/>
  <c r="AZ121" i="27"/>
  <c r="AZ122" i="27"/>
  <c r="AZ123" i="27"/>
  <c r="AZ38" i="27"/>
  <c r="AZ39" i="27"/>
  <c r="AZ32" i="27"/>
  <c r="T3" i="28"/>
  <c r="U3" i="28"/>
  <c r="V3" i="28"/>
  <c r="W3" i="28"/>
  <c r="X3" i="28"/>
  <c r="Y3" i="28"/>
  <c r="Z3" i="28"/>
  <c r="AA3" i="28"/>
  <c r="AB3" i="28"/>
  <c r="AC3" i="28"/>
  <c r="AD3" i="28"/>
  <c r="AE3" i="28"/>
  <c r="AG3" i="28"/>
  <c r="AH3" i="28"/>
  <c r="AI3" i="28"/>
  <c r="AJ3" i="28"/>
  <c r="AL3" i="28"/>
  <c r="AM3" i="28"/>
  <c r="AN3" i="28"/>
  <c r="AO3" i="28"/>
  <c r="AP3" i="28"/>
  <c r="T4" i="28"/>
  <c r="U4" i="28"/>
  <c r="V4" i="28"/>
  <c r="W4" i="28"/>
  <c r="X4" i="28"/>
  <c r="Y4" i="28"/>
  <c r="Z4" i="28"/>
  <c r="AA4" i="28"/>
  <c r="AB4" i="28"/>
  <c r="AC4" i="28"/>
  <c r="AD4" i="28"/>
  <c r="AE4" i="28"/>
  <c r="AG4" i="28"/>
  <c r="AH4" i="28"/>
  <c r="AI4" i="28"/>
  <c r="AJ4" i="28"/>
  <c r="AL4" i="28"/>
  <c r="AM4" i="28"/>
  <c r="AN4" i="28"/>
  <c r="AO4" i="28"/>
  <c r="AP4" i="28"/>
  <c r="T3" i="26"/>
  <c r="U3" i="26"/>
  <c r="V3" i="26"/>
  <c r="W3" i="26"/>
  <c r="X3" i="26"/>
  <c r="Y3" i="26"/>
  <c r="Z3" i="26"/>
  <c r="AA3" i="26"/>
  <c r="AB3" i="26"/>
  <c r="AC3" i="26"/>
  <c r="AD3" i="26"/>
  <c r="AE3" i="26"/>
  <c r="AG3" i="26"/>
  <c r="AH3" i="26"/>
  <c r="AI3" i="26"/>
  <c r="AJ3" i="26"/>
  <c r="AL3" i="26"/>
  <c r="AM3" i="26"/>
  <c r="AN3" i="26"/>
  <c r="AO3" i="26"/>
  <c r="AP3" i="26"/>
  <c r="T4" i="26"/>
  <c r="U4" i="26"/>
  <c r="V4" i="26"/>
  <c r="W4" i="26"/>
  <c r="X4" i="26"/>
  <c r="Y4" i="26"/>
  <c r="Z4" i="26"/>
  <c r="AA4" i="26"/>
  <c r="AB4" i="26"/>
  <c r="AC4" i="26"/>
  <c r="AD4" i="26"/>
  <c r="AE4" i="26"/>
  <c r="AG4" i="26"/>
  <c r="AH4" i="26"/>
  <c r="AI4" i="26"/>
  <c r="AJ4" i="26"/>
  <c r="AL4" i="26"/>
  <c r="AM4" i="26"/>
  <c r="AN4" i="26"/>
  <c r="AO4" i="26"/>
  <c r="AP4" i="26"/>
  <c r="AQ4" i="29"/>
  <c r="AQ3" i="29"/>
  <c r="AL4" i="27"/>
  <c r="AM4" i="27"/>
  <c r="AN4" i="27"/>
  <c r="AO4" i="27"/>
  <c r="AP4" i="27"/>
  <c r="AQ4" i="27"/>
  <c r="AK3" i="27"/>
  <c r="AL3" i="27"/>
  <c r="AM3" i="27"/>
  <c r="AN3" i="27"/>
  <c r="AO3" i="27"/>
  <c r="AP3" i="27"/>
  <c r="AQ3" i="27"/>
  <c r="T4" i="27"/>
  <c r="U4" i="27"/>
  <c r="V4" i="27"/>
  <c r="W4" i="27"/>
  <c r="X4" i="27"/>
  <c r="Y4" i="27"/>
  <c r="Z4" i="27"/>
  <c r="AA4" i="27"/>
  <c r="AB4" i="27"/>
  <c r="AC4" i="27"/>
  <c r="AD4" i="27"/>
  <c r="AE4" i="27"/>
  <c r="AF4" i="27"/>
  <c r="AG4" i="27"/>
  <c r="AH4" i="27"/>
  <c r="AI4" i="27"/>
  <c r="AJ4" i="27"/>
  <c r="T3" i="27"/>
  <c r="U3" i="27"/>
  <c r="V3" i="27"/>
  <c r="W3" i="27"/>
  <c r="X3" i="27"/>
  <c r="Y3" i="27"/>
  <c r="Z3" i="27"/>
  <c r="AA3" i="27"/>
  <c r="AB3" i="27"/>
  <c r="AC3" i="27"/>
  <c r="AD3" i="27"/>
  <c r="AE3" i="27"/>
  <c r="AF3" i="27"/>
  <c r="AG3" i="27"/>
  <c r="AH3" i="27"/>
  <c r="AI3" i="27"/>
  <c r="AJ3" i="27"/>
  <c r="AK4" i="27"/>
  <c r="B97" i="27" a="1"/>
  <c r="B97" i="27" s="1"/>
  <c r="B91" i="27" a="1"/>
  <c r="B91" i="27" s="1"/>
  <c r="B56" i="27" a="1"/>
  <c r="B56" i="27" s="1"/>
  <c r="B49" i="27" a="1"/>
  <c r="B49" i="27" s="1"/>
  <c r="B127" i="27" a="1"/>
  <c r="B127" i="27" s="1"/>
  <c r="B43" i="27" a="1"/>
  <c r="B43" i="27" s="1"/>
  <c r="B44" i="27" a="1"/>
  <c r="B44" i="27" s="1"/>
  <c r="B89" i="27" a="1"/>
  <c r="B89" i="27" s="1"/>
  <c r="B47" i="27" a="1"/>
  <c r="B47" i="27" s="1"/>
  <c r="B48" i="27" a="1"/>
  <c r="B48" i="27" s="1"/>
  <c r="B70" i="27" a="1"/>
  <c r="B70" i="27" s="1"/>
  <c r="B50" i="27" a="1"/>
  <c r="B50" i="27" s="1"/>
  <c r="B71" i="27" a="1"/>
  <c r="B71" i="27" s="1"/>
  <c r="B41" i="27" a="1"/>
  <c r="B41" i="27" s="1"/>
  <c r="B57" i="27" a="1"/>
  <c r="B57" i="27" s="1"/>
  <c r="B26" i="27" a="1"/>
  <c r="B26" i="27" s="1"/>
  <c r="B90" i="27" a="1"/>
  <c r="B90" i="27" s="1"/>
  <c r="B72" i="27" a="1"/>
  <c r="B72" i="27" s="1"/>
  <c r="B102" i="27" a="1"/>
  <c r="B102" i="27" s="1"/>
  <c r="B103" i="27" a="1"/>
  <c r="B103" i="27" s="1"/>
  <c r="B104" i="27" a="1"/>
  <c r="B104" i="27" s="1"/>
  <c r="B105" i="27" a="1"/>
  <c r="B105" i="27" s="1"/>
  <c r="B106" i="27" a="1"/>
  <c r="B106" i="27" s="1"/>
  <c r="B107" i="27" a="1"/>
  <c r="B107" i="27" s="1"/>
  <c r="B108" i="27" a="1"/>
  <c r="B108" i="27" s="1"/>
  <c r="B109" i="27" a="1"/>
  <c r="B109" i="27" s="1"/>
  <c r="B110" i="27" a="1"/>
  <c r="B110" i="27" s="1"/>
  <c r="B111" i="27" a="1"/>
  <c r="B111" i="27" s="1"/>
  <c r="B113" i="27" a="1"/>
  <c r="B113" i="27" s="1"/>
  <c r="B58" i="27" a="1"/>
  <c r="B58" i="27" s="1"/>
  <c r="B75" i="27" a="1"/>
  <c r="B75" i="27" s="1"/>
  <c r="B59" i="27" a="1"/>
  <c r="B59" i="27" s="1"/>
  <c r="B126" i="27" a="1"/>
  <c r="B126" i="27" s="1"/>
  <c r="B80" i="27" a="1"/>
  <c r="B80" i="27" s="1"/>
  <c r="B81" i="27" a="1"/>
  <c r="B81" i="27" s="1"/>
  <c r="B112" i="27" a="1"/>
  <c r="B112" i="27" s="1"/>
  <c r="B65" i="27" a="1"/>
  <c r="B65" i="27" s="1"/>
  <c r="B29" i="27" a="1"/>
  <c r="B29" i="27" s="1"/>
  <c r="B42" i="27" a="1"/>
  <c r="B42" i="27" s="1"/>
  <c r="B82" i="27" a="1"/>
  <c r="B82" i="27" s="1"/>
  <c r="B66" i="27" a="1"/>
  <c r="B66" i="27" s="1"/>
  <c r="B83" i="27" a="1"/>
  <c r="B83" i="27" s="1"/>
  <c r="B116" i="27" a="1"/>
  <c r="B116" i="27" s="1"/>
  <c r="B131" i="27" a="1"/>
  <c r="B131" i="27" s="1"/>
  <c r="B117" i="27" a="1"/>
  <c r="B117" i="27" s="1"/>
  <c r="B118" i="27" a="1"/>
  <c r="B118" i="27" s="1"/>
  <c r="B119" i="27" a="1"/>
  <c r="B119" i="27" s="1"/>
  <c r="B120" i="27" a="1"/>
  <c r="B120" i="27" s="1"/>
  <c r="B121" i="27" a="1"/>
  <c r="B121" i="27" s="1"/>
  <c r="B122" i="27" a="1"/>
  <c r="B122" i="27" s="1"/>
  <c r="B123" i="27" a="1"/>
  <c r="B123" i="27" s="1"/>
  <c r="B38" i="27" a="1"/>
  <c r="B38" i="27" s="1"/>
  <c r="B95" i="27" a="1"/>
  <c r="B95" i="27" s="1"/>
  <c r="B30" i="27" a="1"/>
  <c r="B30" i="27" s="1"/>
  <c r="B19" i="27" a="1"/>
  <c r="B19" i="27" s="1"/>
  <c r="B79" i="27" a="1"/>
  <c r="B79" i="27" s="1"/>
  <c r="B46" i="27" a="1"/>
  <c r="B46" i="27" s="1"/>
  <c r="B24" i="27" a="1"/>
  <c r="B24" i="27" s="1"/>
  <c r="B98" i="27" a="1"/>
  <c r="B98" i="27" s="1"/>
  <c r="B18" i="27" a="1"/>
  <c r="B18" i="27" s="1"/>
  <c r="B99" i="27" a="1"/>
  <c r="B99" i="27" s="1"/>
  <c r="B21" i="27" a="1"/>
  <c r="B21" i="27" s="1"/>
  <c r="B100" i="27" a="1"/>
  <c r="B100" i="27" s="1"/>
  <c r="B64" i="27" a="1"/>
  <c r="B64" i="27" s="1"/>
  <c r="B39" i="27" a="1"/>
  <c r="B39" i="27" s="1"/>
  <c r="B34" i="27" a="1"/>
  <c r="B34" i="27" s="1"/>
  <c r="B67" i="27" a="1"/>
  <c r="B67" i="27" s="1"/>
  <c r="B62" i="27" a="1"/>
  <c r="B62" i="27" s="1"/>
  <c r="B23" i="27" a="1"/>
  <c r="B23" i="27" s="1"/>
  <c r="B129" i="27" a="1"/>
  <c r="B129" i="27" s="1"/>
  <c r="B45" i="27" a="1"/>
  <c r="B45" i="27" s="1"/>
  <c r="B17" i="27" a="1"/>
  <c r="B17" i="27" s="1"/>
  <c r="B53" i="27" a="1"/>
  <c r="B53" i="27" s="1"/>
  <c r="B76" i="27" a="1"/>
  <c r="B76" i="27" s="1"/>
  <c r="B77" i="27" a="1"/>
  <c r="B77" i="27" s="1"/>
  <c r="B78" i="27" a="1"/>
  <c r="B78" i="27" s="1"/>
  <c r="B54" i="27" a="1"/>
  <c r="B54" i="27" s="1"/>
  <c r="B16" i="27" a="1"/>
  <c r="B16" i="27" s="1"/>
  <c r="B35" i="27" a="1"/>
  <c r="B35" i="27" s="1"/>
  <c r="B32" i="27" a="1"/>
  <c r="B32" i="27" s="1"/>
  <c r="B28" i="27" a="1"/>
  <c r="B28" i="27" s="1"/>
  <c r="B11" i="27" a="1"/>
  <c r="B11" i="27" s="1"/>
  <c r="B86" i="27" a="1"/>
  <c r="B86" i="27" s="1"/>
  <c r="B31" i="27" a="1"/>
  <c r="B31" i="27" s="1"/>
  <c r="B63" i="27" a="1"/>
  <c r="B63" i="27" s="1"/>
  <c r="B85" i="27" a="1"/>
  <c r="B85" i="27" s="1"/>
  <c r="B22" i="27" a="1"/>
  <c r="B22" i="27" s="1"/>
  <c r="B51" i="27" a="1"/>
  <c r="B51" i="27" s="1"/>
  <c r="D97" i="27"/>
  <c r="D91" i="27"/>
  <c r="D56" i="27"/>
  <c r="D49" i="27"/>
  <c r="D127" i="27"/>
  <c r="D43" i="27"/>
  <c r="D44" i="27"/>
  <c r="D89" i="27"/>
  <c r="D47" i="27"/>
  <c r="D48" i="27"/>
  <c r="D70" i="27"/>
  <c r="D50" i="27"/>
  <c r="D71" i="27"/>
  <c r="D41" i="27"/>
  <c r="D57" i="27"/>
  <c r="D26" i="27"/>
  <c r="D90" i="27"/>
  <c r="D72" i="27"/>
  <c r="D102" i="27"/>
  <c r="D103" i="27"/>
  <c r="D104" i="27"/>
  <c r="D105" i="27"/>
  <c r="D106" i="27"/>
  <c r="D107" i="27"/>
  <c r="D108" i="27"/>
  <c r="D109" i="27"/>
  <c r="D110" i="27"/>
  <c r="D111" i="27"/>
  <c r="D113" i="27"/>
  <c r="D58" i="27"/>
  <c r="D75" i="27"/>
  <c r="D59" i="27"/>
  <c r="D126" i="27"/>
  <c r="D80" i="27"/>
  <c r="D81" i="27"/>
  <c r="D112" i="27"/>
  <c r="D65" i="27"/>
  <c r="D29" i="27"/>
  <c r="D42" i="27"/>
  <c r="D82" i="27"/>
  <c r="D66" i="27"/>
  <c r="D83" i="27"/>
  <c r="D116" i="27"/>
  <c r="D131" i="27"/>
  <c r="D117" i="27"/>
  <c r="D118" i="27"/>
  <c r="D119" i="27"/>
  <c r="D120" i="27"/>
  <c r="D121" i="27"/>
  <c r="D122" i="27"/>
  <c r="D123" i="27"/>
  <c r="D38" i="27"/>
  <c r="D95" i="27"/>
  <c r="D30" i="27"/>
  <c r="D19" i="27"/>
  <c r="D79" i="27"/>
  <c r="D46" i="27"/>
  <c r="D24" i="27"/>
  <c r="D98" i="27"/>
  <c r="D18" i="27"/>
  <c r="D99" i="27"/>
  <c r="D21" i="27"/>
  <c r="D100" i="27"/>
  <c r="D64" i="27"/>
  <c r="D39" i="27"/>
  <c r="D34" i="27"/>
  <c r="D67" i="27"/>
  <c r="D62" i="27"/>
  <c r="D23" i="27"/>
  <c r="D129" i="27"/>
  <c r="D45" i="27"/>
  <c r="D17" i="27"/>
  <c r="D53" i="27"/>
  <c r="D76" i="27"/>
  <c r="D77" i="27"/>
  <c r="D78" i="27"/>
  <c r="D54" i="27"/>
  <c r="D16" i="27"/>
  <c r="D35" i="27"/>
  <c r="D32" i="27"/>
  <c r="D28" i="27"/>
  <c r="D11" i="27"/>
  <c r="D86" i="27"/>
  <c r="D31" i="27"/>
  <c r="D63" i="27"/>
  <c r="D85" i="27"/>
  <c r="D22" i="27"/>
  <c r="D51" i="27"/>
  <c r="E97" i="27"/>
  <c r="E91" i="27"/>
  <c r="E56" i="27"/>
  <c r="E49" i="27"/>
  <c r="E127" i="27"/>
  <c r="E43" i="27"/>
  <c r="E44" i="27"/>
  <c r="E89" i="27"/>
  <c r="E47" i="27"/>
  <c r="E48" i="27"/>
  <c r="E70" i="27"/>
  <c r="E50" i="27"/>
  <c r="E71" i="27"/>
  <c r="E41" i="27"/>
  <c r="E57" i="27"/>
  <c r="E26" i="27"/>
  <c r="E90" i="27"/>
  <c r="E72" i="27"/>
  <c r="E102" i="27"/>
  <c r="E103" i="27"/>
  <c r="E104" i="27"/>
  <c r="E105" i="27"/>
  <c r="E106" i="27"/>
  <c r="E107" i="27"/>
  <c r="E108" i="27"/>
  <c r="E109" i="27"/>
  <c r="E110" i="27"/>
  <c r="E111" i="27"/>
  <c r="E113" i="27"/>
  <c r="E58" i="27"/>
  <c r="E75" i="27"/>
  <c r="E59" i="27"/>
  <c r="E126" i="27"/>
  <c r="E80" i="27"/>
  <c r="E81" i="27"/>
  <c r="E112" i="27"/>
  <c r="E65" i="27"/>
  <c r="E29" i="27"/>
  <c r="E42" i="27"/>
  <c r="E82" i="27"/>
  <c r="E66" i="27"/>
  <c r="E83" i="27"/>
  <c r="E116" i="27"/>
  <c r="E131" i="27"/>
  <c r="E117" i="27"/>
  <c r="E118" i="27"/>
  <c r="E119" i="27"/>
  <c r="E120" i="27"/>
  <c r="E121" i="27"/>
  <c r="E122" i="27"/>
  <c r="E123" i="27"/>
  <c r="E38" i="27"/>
  <c r="E95" i="27"/>
  <c r="E30" i="27"/>
  <c r="E19" i="27"/>
  <c r="E79" i="27"/>
  <c r="E46" i="27"/>
  <c r="E24" i="27"/>
  <c r="E98" i="27"/>
  <c r="E18" i="27"/>
  <c r="E99" i="27"/>
  <c r="E21" i="27"/>
  <c r="E100" i="27"/>
  <c r="E64" i="27"/>
  <c r="E39" i="27"/>
  <c r="E34" i="27"/>
  <c r="E67" i="27"/>
  <c r="E62" i="27"/>
  <c r="E23" i="27"/>
  <c r="E129" i="27"/>
  <c r="E45" i="27"/>
  <c r="E17" i="27"/>
  <c r="E53" i="27"/>
  <c r="E76" i="27"/>
  <c r="E77" i="27"/>
  <c r="E78" i="27"/>
  <c r="E54" i="27"/>
  <c r="E16" i="27"/>
  <c r="E35" i="27"/>
  <c r="E32" i="27"/>
  <c r="E28" i="27"/>
  <c r="E11" i="27"/>
  <c r="E86" i="27"/>
  <c r="E31" i="27"/>
  <c r="E63" i="27"/>
  <c r="E85" i="27"/>
  <c r="E22" i="27"/>
  <c r="E51" i="27"/>
  <c r="B246" i="28" a="1"/>
  <c r="B246" i="28" s="1"/>
  <c r="G32" i="27"/>
  <c r="G28" i="27"/>
  <c r="G104" i="27"/>
  <c r="G122" i="27"/>
  <c r="G17" i="27"/>
  <c r="G76" i="27"/>
  <c r="G58" i="27"/>
  <c r="G49" i="27"/>
  <c r="G54" i="27"/>
  <c r="G71" i="27"/>
  <c r="G79" i="27"/>
  <c r="G46" i="27"/>
  <c r="G31" i="27"/>
  <c r="G59" i="27"/>
  <c r="G107" i="27"/>
  <c r="G108" i="27"/>
  <c r="G123" i="27"/>
  <c r="G24" i="27"/>
  <c r="G98" i="27"/>
  <c r="G82" i="27"/>
  <c r="G126" i="27"/>
  <c r="G41" i="27"/>
  <c r="G131" i="27"/>
  <c r="G18" i="27"/>
  <c r="G57" i="27"/>
  <c r="G109" i="27"/>
  <c r="G26" i="27"/>
  <c r="G103" i="27"/>
  <c r="G90" i="27"/>
  <c r="G80" i="27"/>
  <c r="G99" i="27"/>
  <c r="G16" i="27"/>
  <c r="G110" i="27"/>
  <c r="G111" i="27"/>
  <c r="G29" i="27"/>
  <c r="G21" i="27"/>
  <c r="G83" i="27"/>
  <c r="G63" i="27"/>
  <c r="G89" i="27"/>
  <c r="G48" i="27"/>
  <c r="G100" i="27"/>
  <c r="G53" i="27"/>
  <c r="G64" i="27"/>
  <c r="G47" i="27"/>
  <c r="G113" i="27"/>
  <c r="G66" i="27"/>
  <c r="G39" i="27"/>
  <c r="G117" i="27"/>
  <c r="G81" i="27"/>
  <c r="G34" i="27"/>
  <c r="G67" i="27"/>
  <c r="G62" i="27"/>
  <c r="G35" i="27"/>
  <c r="G112" i="27"/>
  <c r="G11" i="27"/>
  <c r="G65" i="27"/>
  <c r="G23" i="27"/>
  <c r="G70" i="27"/>
  <c r="G72" i="27"/>
  <c r="G42" i="27"/>
  <c r="G91" i="27"/>
  <c r="G56" i="27"/>
  <c r="G127" i="27"/>
  <c r="G118" i="27"/>
  <c r="G38" i="27"/>
  <c r="G97" i="27"/>
  <c r="G129" i="27"/>
  <c r="G51" i="27"/>
  <c r="G85" i="27"/>
  <c r="G22" i="27"/>
  <c r="G119" i="27"/>
  <c r="G102" i="27"/>
  <c r="G75" i="27"/>
  <c r="G45" i="27"/>
  <c r="G120" i="27"/>
  <c r="AF10" i="28"/>
  <c r="AK10" i="28" s="1"/>
  <c r="AQ10" i="28" s="1"/>
  <c r="AF11" i="28"/>
  <c r="AK11" i="28" s="1"/>
  <c r="AQ11" i="28" s="1"/>
  <c r="AF12" i="28"/>
  <c r="AK12" i="28" s="1"/>
  <c r="AQ12" i="28" s="1"/>
  <c r="AF13" i="28"/>
  <c r="AK13" i="28" s="1"/>
  <c r="AQ13" i="28" s="1"/>
  <c r="AF14" i="28"/>
  <c r="AK14" i="28" s="1"/>
  <c r="AQ14" i="28" s="1"/>
  <c r="AF15" i="28"/>
  <c r="AK15" i="28" s="1"/>
  <c r="AQ15" i="28" s="1"/>
  <c r="AF16" i="28"/>
  <c r="AK16" i="28" s="1"/>
  <c r="AQ16" i="28" s="1"/>
  <c r="AF17" i="28"/>
  <c r="AK17" i="28" s="1"/>
  <c r="AQ17" i="28" s="1"/>
  <c r="AF18" i="28"/>
  <c r="AK18" i="28" s="1"/>
  <c r="AQ18" i="28" s="1"/>
  <c r="AF19" i="28"/>
  <c r="AK19" i="28" s="1"/>
  <c r="AQ19" i="28" s="1"/>
  <c r="AF20" i="28"/>
  <c r="AK20" i="28" s="1"/>
  <c r="AQ20" i="28" s="1"/>
  <c r="AF21" i="28"/>
  <c r="AK21" i="28" s="1"/>
  <c r="AQ21" i="28" s="1"/>
  <c r="AF22" i="28"/>
  <c r="AK22" i="28" s="1"/>
  <c r="AQ22" i="28" s="1"/>
  <c r="AF23" i="28"/>
  <c r="AK23" i="28" s="1"/>
  <c r="AQ23" i="28" s="1"/>
  <c r="AF24" i="28"/>
  <c r="AK24" i="28" s="1"/>
  <c r="AQ24" i="28" s="1"/>
  <c r="AF25" i="28"/>
  <c r="AK25" i="28" s="1"/>
  <c r="AQ25" i="28" s="1"/>
  <c r="AF26" i="28"/>
  <c r="AK26" i="28" s="1"/>
  <c r="AQ26" i="28" s="1"/>
  <c r="AF27" i="28"/>
  <c r="AK27" i="28" s="1"/>
  <c r="AQ27" i="28" s="1"/>
  <c r="AF28" i="28"/>
  <c r="AK28" i="28" s="1"/>
  <c r="AQ28" i="28" s="1"/>
  <c r="AF29" i="28"/>
  <c r="AK29" i="28" s="1"/>
  <c r="AQ29" i="28" s="1"/>
  <c r="AF30" i="28"/>
  <c r="AK30" i="28" s="1"/>
  <c r="AQ30" i="28" s="1"/>
  <c r="AF31" i="28"/>
  <c r="AK31" i="28" s="1"/>
  <c r="AQ31" i="28" s="1"/>
  <c r="AF32" i="28"/>
  <c r="AK32" i="28" s="1"/>
  <c r="AQ32" i="28" s="1"/>
  <c r="AF33" i="28"/>
  <c r="AK33" i="28" s="1"/>
  <c r="AQ33" i="28" s="1"/>
  <c r="AF34" i="28"/>
  <c r="AK34" i="28" s="1"/>
  <c r="AQ34" i="28" s="1"/>
  <c r="AF35" i="28"/>
  <c r="AK35" i="28" s="1"/>
  <c r="AQ35" i="28" s="1"/>
  <c r="AF36" i="28"/>
  <c r="AK36" i="28" s="1"/>
  <c r="AQ36" i="28" s="1"/>
  <c r="AF37" i="28"/>
  <c r="AK37" i="28" s="1"/>
  <c r="AQ37" i="28" s="1"/>
  <c r="AF38" i="28"/>
  <c r="AK38" i="28" s="1"/>
  <c r="AQ38" i="28" s="1"/>
  <c r="AF39" i="28"/>
  <c r="AK39" i="28" s="1"/>
  <c r="AQ39" i="28" s="1"/>
  <c r="AF40" i="28"/>
  <c r="AK40" i="28" s="1"/>
  <c r="AQ40" i="28" s="1"/>
  <c r="AF41" i="28"/>
  <c r="AK41" i="28" s="1"/>
  <c r="AQ41" i="28" s="1"/>
  <c r="AF42" i="28"/>
  <c r="AK42" i="28" s="1"/>
  <c r="AQ42" i="28" s="1"/>
  <c r="AF43" i="28"/>
  <c r="AK43" i="28" s="1"/>
  <c r="AQ43" i="28" s="1"/>
  <c r="AF44" i="28"/>
  <c r="AK44" i="28" s="1"/>
  <c r="AQ44" i="28" s="1"/>
  <c r="AF45" i="28"/>
  <c r="AK45" i="28" s="1"/>
  <c r="AQ45" i="28" s="1"/>
  <c r="AF46" i="28"/>
  <c r="AK46" i="28" s="1"/>
  <c r="AQ46" i="28" s="1"/>
  <c r="AF47" i="28"/>
  <c r="AK47" i="28" s="1"/>
  <c r="AQ47" i="28" s="1"/>
  <c r="AF48" i="28"/>
  <c r="AK48" i="28" s="1"/>
  <c r="AQ48" i="28" s="1"/>
  <c r="AF49" i="28"/>
  <c r="AK49" i="28" s="1"/>
  <c r="AQ49" i="28" s="1"/>
  <c r="AF50" i="28"/>
  <c r="AK50" i="28" s="1"/>
  <c r="AQ50" i="28" s="1"/>
  <c r="AF51" i="28"/>
  <c r="AK51" i="28" s="1"/>
  <c r="AQ51" i="28" s="1"/>
  <c r="AF52" i="28"/>
  <c r="AK52" i="28" s="1"/>
  <c r="AQ52" i="28" s="1"/>
  <c r="AF53" i="28"/>
  <c r="AK53" i="28" s="1"/>
  <c r="AQ53" i="28" s="1"/>
  <c r="AF54" i="28"/>
  <c r="AK54" i="28" s="1"/>
  <c r="AQ54" i="28" s="1"/>
  <c r="AF55" i="28"/>
  <c r="AK55" i="28" s="1"/>
  <c r="AQ55" i="28" s="1"/>
  <c r="AF56" i="28"/>
  <c r="AK56" i="28" s="1"/>
  <c r="AQ56" i="28" s="1"/>
  <c r="AF57" i="28"/>
  <c r="AK57" i="28" s="1"/>
  <c r="AQ57" i="28" s="1"/>
  <c r="AF58" i="28"/>
  <c r="AK58" i="28" s="1"/>
  <c r="AQ58" i="28" s="1"/>
  <c r="AF59" i="28"/>
  <c r="AK59" i="28" s="1"/>
  <c r="AQ59" i="28" s="1"/>
  <c r="AF60" i="28"/>
  <c r="AK60" i="28" s="1"/>
  <c r="AQ60" i="28" s="1"/>
  <c r="AF61" i="28"/>
  <c r="AK61" i="28" s="1"/>
  <c r="AQ61" i="28" s="1"/>
  <c r="AF62" i="28"/>
  <c r="AK62" i="28" s="1"/>
  <c r="AQ62" i="28" s="1"/>
  <c r="AF63" i="28"/>
  <c r="AK63" i="28" s="1"/>
  <c r="AQ63" i="28" s="1"/>
  <c r="AF64" i="28"/>
  <c r="AK64" i="28" s="1"/>
  <c r="AQ64" i="28" s="1"/>
  <c r="AF65" i="28"/>
  <c r="AK65" i="28" s="1"/>
  <c r="AQ65" i="28" s="1"/>
  <c r="AF66" i="28"/>
  <c r="AK66" i="28" s="1"/>
  <c r="AQ66" i="28" s="1"/>
  <c r="AF67" i="28"/>
  <c r="AK67" i="28" s="1"/>
  <c r="AQ67" i="28" s="1"/>
  <c r="AF68" i="28"/>
  <c r="AK68" i="28" s="1"/>
  <c r="AQ68" i="28" s="1"/>
  <c r="AF69" i="28"/>
  <c r="AK69" i="28" s="1"/>
  <c r="AQ69" i="28" s="1"/>
  <c r="AF70" i="28"/>
  <c r="AK70" i="28" s="1"/>
  <c r="AQ70" i="28" s="1"/>
  <c r="AF71" i="28"/>
  <c r="AK71" i="28" s="1"/>
  <c r="AQ71" i="28" s="1"/>
  <c r="AF72" i="28"/>
  <c r="AK72" i="28" s="1"/>
  <c r="AQ72" i="28" s="1"/>
  <c r="AF73" i="28"/>
  <c r="AK73" i="28" s="1"/>
  <c r="AQ73" i="28" s="1"/>
  <c r="AF74" i="28"/>
  <c r="AK74" i="28" s="1"/>
  <c r="AQ74" i="28" s="1"/>
  <c r="AF75" i="28"/>
  <c r="AK75" i="28" s="1"/>
  <c r="AQ75" i="28" s="1"/>
  <c r="AF76" i="28"/>
  <c r="AK76" i="28" s="1"/>
  <c r="AQ76" i="28" s="1"/>
  <c r="AF77" i="28"/>
  <c r="AK77" i="28" s="1"/>
  <c r="AQ77" i="28" s="1"/>
  <c r="AF78" i="28"/>
  <c r="AK78" i="28" s="1"/>
  <c r="AQ78" i="28" s="1"/>
  <c r="AF79" i="28"/>
  <c r="AK79" i="28" s="1"/>
  <c r="AQ79" i="28" s="1"/>
  <c r="AF80" i="28"/>
  <c r="AK80" i="28" s="1"/>
  <c r="AQ80" i="28" s="1"/>
  <c r="AF81" i="28"/>
  <c r="AK81" i="28" s="1"/>
  <c r="AQ81" i="28" s="1"/>
  <c r="AF82" i="28"/>
  <c r="AK82" i="28" s="1"/>
  <c r="AQ82" i="28" s="1"/>
  <c r="AF83" i="28"/>
  <c r="AK83" i="28" s="1"/>
  <c r="AQ83" i="28" s="1"/>
  <c r="AF84" i="28"/>
  <c r="AK84" i="28" s="1"/>
  <c r="AQ84" i="28" s="1"/>
  <c r="AF85" i="28"/>
  <c r="AK85" i="28" s="1"/>
  <c r="AQ85" i="28" s="1"/>
  <c r="AF86" i="28"/>
  <c r="AK86" i="28" s="1"/>
  <c r="AQ86" i="28" s="1"/>
  <c r="AF87" i="28"/>
  <c r="AK87" i="28" s="1"/>
  <c r="AQ87" i="28" s="1"/>
  <c r="AF88" i="28"/>
  <c r="AK88" i="28" s="1"/>
  <c r="AQ88" i="28" s="1"/>
  <c r="AF89" i="28"/>
  <c r="AK89" i="28" s="1"/>
  <c r="AQ89" i="28" s="1"/>
  <c r="AF90" i="28"/>
  <c r="AK90" i="28" s="1"/>
  <c r="AQ90" i="28" s="1"/>
  <c r="AF91" i="28"/>
  <c r="AK91" i="28" s="1"/>
  <c r="AQ91" i="28" s="1"/>
  <c r="AF92" i="28"/>
  <c r="AK92" i="28" s="1"/>
  <c r="AQ92" i="28" s="1"/>
  <c r="AF93" i="28"/>
  <c r="AK93" i="28" s="1"/>
  <c r="AQ93" i="28" s="1"/>
  <c r="AF94" i="28"/>
  <c r="AK94" i="28" s="1"/>
  <c r="AQ94" i="28" s="1"/>
  <c r="AF95" i="28"/>
  <c r="AK95" i="28" s="1"/>
  <c r="AQ95" i="28" s="1"/>
  <c r="AF96" i="28"/>
  <c r="AK96" i="28" s="1"/>
  <c r="AQ96" i="28" s="1"/>
  <c r="AF97" i="28"/>
  <c r="AK97" i="28" s="1"/>
  <c r="AQ97" i="28" s="1"/>
  <c r="AF98" i="28"/>
  <c r="AK98" i="28" s="1"/>
  <c r="AQ98" i="28" s="1"/>
  <c r="AF99" i="28"/>
  <c r="AK99" i="28" s="1"/>
  <c r="AQ99" i="28" s="1"/>
  <c r="AF100" i="28"/>
  <c r="AK100" i="28" s="1"/>
  <c r="AQ100" i="28" s="1"/>
  <c r="AF101" i="28"/>
  <c r="AK101" i="28" s="1"/>
  <c r="AQ101" i="28" s="1"/>
  <c r="AF102" i="28"/>
  <c r="AK102" i="28" s="1"/>
  <c r="AQ102" i="28" s="1"/>
  <c r="AF103" i="28"/>
  <c r="AK103" i="28" s="1"/>
  <c r="AQ103" i="28" s="1"/>
  <c r="AF104" i="28"/>
  <c r="AK104" i="28" s="1"/>
  <c r="AQ104" i="28" s="1"/>
  <c r="AF105" i="28"/>
  <c r="AK105" i="28" s="1"/>
  <c r="AQ105" i="28" s="1"/>
  <c r="AF106" i="28"/>
  <c r="AK106" i="28" s="1"/>
  <c r="AQ106" i="28" s="1"/>
  <c r="AF107" i="28"/>
  <c r="AK107" i="28" s="1"/>
  <c r="AQ107" i="28" s="1"/>
  <c r="AF108" i="28"/>
  <c r="AK108" i="28" s="1"/>
  <c r="AQ108" i="28" s="1"/>
  <c r="AF109" i="28"/>
  <c r="AK109" i="28" s="1"/>
  <c r="AQ109" i="28" s="1"/>
  <c r="AF110" i="28"/>
  <c r="AK110" i="28" s="1"/>
  <c r="AQ110" i="28" s="1"/>
  <c r="AF111" i="28"/>
  <c r="AK111" i="28" s="1"/>
  <c r="AQ111" i="28" s="1"/>
  <c r="AF112" i="28"/>
  <c r="AK112" i="28" s="1"/>
  <c r="AQ112" i="28" s="1"/>
  <c r="AF113" i="28"/>
  <c r="AK113" i="28" s="1"/>
  <c r="AQ113" i="28" s="1"/>
  <c r="AF114" i="28"/>
  <c r="AK114" i="28" s="1"/>
  <c r="AQ114" i="28" s="1"/>
  <c r="AF115" i="28"/>
  <c r="AK115" i="28" s="1"/>
  <c r="AQ115" i="28" s="1"/>
  <c r="AF116" i="28"/>
  <c r="AK116" i="28" s="1"/>
  <c r="AQ116" i="28" s="1"/>
  <c r="AF117" i="28"/>
  <c r="AK117" i="28" s="1"/>
  <c r="AQ117" i="28" s="1"/>
  <c r="AF118" i="28"/>
  <c r="AK118" i="28" s="1"/>
  <c r="AQ118" i="28" s="1"/>
  <c r="AF119" i="28"/>
  <c r="AK119" i="28" s="1"/>
  <c r="AQ119" i="28" s="1"/>
  <c r="AF120" i="28"/>
  <c r="AK120" i="28" s="1"/>
  <c r="AQ120" i="28" s="1"/>
  <c r="AF121" i="28"/>
  <c r="AK121" i="28" s="1"/>
  <c r="AQ121" i="28" s="1"/>
  <c r="AF122" i="28"/>
  <c r="AK122" i="28" s="1"/>
  <c r="AQ122" i="28" s="1"/>
  <c r="AF123" i="28"/>
  <c r="AK123" i="28" s="1"/>
  <c r="AQ123" i="28" s="1"/>
  <c r="AF124" i="28"/>
  <c r="AK124" i="28" s="1"/>
  <c r="AQ124" i="28" s="1"/>
  <c r="AF125" i="28"/>
  <c r="AK125" i="28" s="1"/>
  <c r="AQ125" i="28" s="1"/>
  <c r="AF126" i="28"/>
  <c r="AK126" i="28" s="1"/>
  <c r="AQ126" i="28" s="1"/>
  <c r="AF127" i="28"/>
  <c r="AK127" i="28" s="1"/>
  <c r="AQ127" i="28" s="1"/>
  <c r="AF128" i="28"/>
  <c r="AK128" i="28" s="1"/>
  <c r="AQ128" i="28" s="1"/>
  <c r="AF129" i="28"/>
  <c r="AK129" i="28" s="1"/>
  <c r="AQ129" i="28" s="1"/>
  <c r="AF130" i="28"/>
  <c r="AK130" i="28" s="1"/>
  <c r="AQ130" i="28" s="1"/>
  <c r="AF131" i="28"/>
  <c r="AK131" i="28" s="1"/>
  <c r="AQ131" i="28" s="1"/>
  <c r="AF132" i="28"/>
  <c r="AK132" i="28" s="1"/>
  <c r="AQ132" i="28" s="1"/>
  <c r="AF133" i="28"/>
  <c r="AK133" i="28" s="1"/>
  <c r="AQ133" i="28" s="1"/>
  <c r="AF134" i="28"/>
  <c r="AK134" i="28" s="1"/>
  <c r="AQ134" i="28" s="1"/>
  <c r="AF135" i="28"/>
  <c r="AK135" i="28" s="1"/>
  <c r="AQ135" i="28" s="1"/>
  <c r="AF136" i="28"/>
  <c r="AK136" i="28" s="1"/>
  <c r="AQ136" i="28" s="1"/>
  <c r="AF137" i="28"/>
  <c r="AK137" i="28" s="1"/>
  <c r="AQ137" i="28" s="1"/>
  <c r="AF138" i="28"/>
  <c r="AK138" i="28" s="1"/>
  <c r="AQ138" i="28" s="1"/>
  <c r="AF139" i="28"/>
  <c r="AK139" i="28" s="1"/>
  <c r="AQ139" i="28" s="1"/>
  <c r="AF140" i="28"/>
  <c r="AK140" i="28" s="1"/>
  <c r="AQ140" i="28" s="1"/>
  <c r="AF141" i="28"/>
  <c r="AK141" i="28" s="1"/>
  <c r="AQ141" i="28" s="1"/>
  <c r="AF142" i="28"/>
  <c r="AK142" i="28" s="1"/>
  <c r="AQ142" i="28" s="1"/>
  <c r="AF143" i="28"/>
  <c r="AK143" i="28" s="1"/>
  <c r="AQ143" i="28" s="1"/>
  <c r="AF144" i="28"/>
  <c r="AK144" i="28" s="1"/>
  <c r="AQ144" i="28" s="1"/>
  <c r="AF145" i="28"/>
  <c r="AK145" i="28" s="1"/>
  <c r="AQ145" i="28" s="1"/>
  <c r="AF146" i="28"/>
  <c r="AK146" i="28" s="1"/>
  <c r="AQ146" i="28" s="1"/>
  <c r="AF147" i="28"/>
  <c r="AK147" i="28" s="1"/>
  <c r="AQ147" i="28" s="1"/>
  <c r="AF148" i="28"/>
  <c r="AK148" i="28" s="1"/>
  <c r="AQ148" i="28" s="1"/>
  <c r="AF149" i="28"/>
  <c r="AK149" i="28" s="1"/>
  <c r="AQ149" i="28" s="1"/>
  <c r="AF150" i="28"/>
  <c r="AK150" i="28" s="1"/>
  <c r="AQ150" i="28" s="1"/>
  <c r="AF151" i="28"/>
  <c r="AK151" i="28" s="1"/>
  <c r="AQ151" i="28" s="1"/>
  <c r="AF152" i="28"/>
  <c r="AK152" i="28" s="1"/>
  <c r="AQ152" i="28" s="1"/>
  <c r="AF153" i="28"/>
  <c r="AK153" i="28" s="1"/>
  <c r="AQ153" i="28" s="1"/>
  <c r="AF154" i="28"/>
  <c r="AK154" i="28" s="1"/>
  <c r="AQ154" i="28" s="1"/>
  <c r="AF155" i="28"/>
  <c r="AK155" i="28" s="1"/>
  <c r="AQ155" i="28" s="1"/>
  <c r="AF156" i="28"/>
  <c r="AK156" i="28" s="1"/>
  <c r="AQ156" i="28" s="1"/>
  <c r="AF157" i="28"/>
  <c r="AK157" i="28" s="1"/>
  <c r="AQ157" i="28" s="1"/>
  <c r="AF158" i="28"/>
  <c r="AK158" i="28" s="1"/>
  <c r="AQ158" i="28" s="1"/>
  <c r="AF159" i="28"/>
  <c r="AK159" i="28" s="1"/>
  <c r="AQ159" i="28" s="1"/>
  <c r="AF160" i="28"/>
  <c r="AK160" i="28" s="1"/>
  <c r="AQ160" i="28" s="1"/>
  <c r="AF161" i="28"/>
  <c r="AK161" i="28" s="1"/>
  <c r="AQ161" i="28" s="1"/>
  <c r="AF162" i="28"/>
  <c r="AK162" i="28" s="1"/>
  <c r="AQ162" i="28" s="1"/>
  <c r="AF163" i="28"/>
  <c r="AK163" i="28" s="1"/>
  <c r="AQ163" i="28" s="1"/>
  <c r="AF164" i="28"/>
  <c r="AK164" i="28" s="1"/>
  <c r="AQ164" i="28" s="1"/>
  <c r="AF165" i="28"/>
  <c r="AK165" i="28" s="1"/>
  <c r="AQ165" i="28" s="1"/>
  <c r="AF166" i="28"/>
  <c r="AK166" i="28" s="1"/>
  <c r="AQ166" i="28" s="1"/>
  <c r="AF167" i="28"/>
  <c r="AK167" i="28" s="1"/>
  <c r="AQ167" i="28" s="1"/>
  <c r="AF168" i="28"/>
  <c r="AK168" i="28" s="1"/>
  <c r="AQ168" i="28" s="1"/>
  <c r="AF169" i="28"/>
  <c r="AK169" i="28" s="1"/>
  <c r="AQ169" i="28" s="1"/>
  <c r="AF170" i="28"/>
  <c r="AK170" i="28" s="1"/>
  <c r="AQ170" i="28" s="1"/>
  <c r="AF171" i="28"/>
  <c r="AK171" i="28" s="1"/>
  <c r="AQ171" i="28" s="1"/>
  <c r="AF172" i="28"/>
  <c r="AK172" i="28" s="1"/>
  <c r="AQ172" i="28" s="1"/>
  <c r="AF173" i="28"/>
  <c r="AK173" i="28" s="1"/>
  <c r="AQ173" i="28" s="1"/>
  <c r="AF174" i="28"/>
  <c r="AK174" i="28" s="1"/>
  <c r="AQ174" i="28" s="1"/>
  <c r="AF175" i="28"/>
  <c r="AK175" i="28" s="1"/>
  <c r="AQ175" i="28" s="1"/>
  <c r="AF176" i="28"/>
  <c r="AK176" i="28" s="1"/>
  <c r="AQ176" i="28" s="1"/>
  <c r="AF177" i="28"/>
  <c r="AK177" i="28" s="1"/>
  <c r="AQ177" i="28" s="1"/>
  <c r="AF178" i="28"/>
  <c r="AK178" i="28" s="1"/>
  <c r="AQ178" i="28" s="1"/>
  <c r="AF179" i="28"/>
  <c r="AK179" i="28" s="1"/>
  <c r="AQ179" i="28" s="1"/>
  <c r="AF180" i="28"/>
  <c r="AK180" i="28" s="1"/>
  <c r="AQ180" i="28" s="1"/>
  <c r="AF181" i="28"/>
  <c r="AK181" i="28" s="1"/>
  <c r="AQ181" i="28" s="1"/>
  <c r="AF182" i="28"/>
  <c r="AK182" i="28" s="1"/>
  <c r="AQ182" i="28" s="1"/>
  <c r="AF183" i="28"/>
  <c r="AK183" i="28" s="1"/>
  <c r="AQ183" i="28" s="1"/>
  <c r="AF184" i="28"/>
  <c r="AK184" i="28" s="1"/>
  <c r="AQ184" i="28" s="1"/>
  <c r="AF185" i="28"/>
  <c r="AK185" i="28" s="1"/>
  <c r="AQ185" i="28" s="1"/>
  <c r="AF186" i="28"/>
  <c r="AK186" i="28" s="1"/>
  <c r="AQ186" i="28" s="1"/>
  <c r="AF187" i="28"/>
  <c r="AK187" i="28" s="1"/>
  <c r="AQ187" i="28" s="1"/>
  <c r="AF188" i="28"/>
  <c r="AK188" i="28" s="1"/>
  <c r="AQ188" i="28" s="1"/>
  <c r="AF189" i="28"/>
  <c r="AK189" i="28" s="1"/>
  <c r="AQ189" i="28" s="1"/>
  <c r="AF190" i="28"/>
  <c r="AK190" i="28" s="1"/>
  <c r="AQ190" i="28" s="1"/>
  <c r="AF191" i="28"/>
  <c r="AK191" i="28" s="1"/>
  <c r="AQ191" i="28" s="1"/>
  <c r="AF192" i="28"/>
  <c r="AK192" i="28" s="1"/>
  <c r="AQ192" i="28" s="1"/>
  <c r="AF193" i="28"/>
  <c r="AK193" i="28" s="1"/>
  <c r="AQ193" i="28" s="1"/>
  <c r="AF194" i="28"/>
  <c r="AK194" i="28" s="1"/>
  <c r="AQ194" i="28" s="1"/>
  <c r="AF195" i="28"/>
  <c r="AK195" i="28" s="1"/>
  <c r="AQ195" i="28" s="1"/>
  <c r="AF196" i="28"/>
  <c r="AK196" i="28" s="1"/>
  <c r="AQ196" i="28" s="1"/>
  <c r="AF197" i="28"/>
  <c r="AK197" i="28" s="1"/>
  <c r="AQ197" i="28" s="1"/>
  <c r="AF198" i="28"/>
  <c r="AK198" i="28" s="1"/>
  <c r="AQ198" i="28" s="1"/>
  <c r="AF199" i="28"/>
  <c r="AK199" i="28" s="1"/>
  <c r="AQ199" i="28" s="1"/>
  <c r="AF200" i="28"/>
  <c r="AK200" i="28" s="1"/>
  <c r="AQ200" i="28" s="1"/>
  <c r="AF201" i="28"/>
  <c r="AK201" i="28" s="1"/>
  <c r="AQ201" i="28" s="1"/>
  <c r="AF202" i="28"/>
  <c r="AK202" i="28" s="1"/>
  <c r="AQ202" i="28" s="1"/>
  <c r="AF203" i="28"/>
  <c r="AK203" i="28" s="1"/>
  <c r="AQ203" i="28" s="1"/>
  <c r="AF204" i="28"/>
  <c r="AK204" i="28" s="1"/>
  <c r="AQ204" i="28" s="1"/>
  <c r="AF205" i="28"/>
  <c r="AK205" i="28" s="1"/>
  <c r="AQ205" i="28" s="1"/>
  <c r="AF206" i="28"/>
  <c r="AK206" i="28" s="1"/>
  <c r="AQ206" i="28" s="1"/>
  <c r="AF207" i="28"/>
  <c r="AK207" i="28" s="1"/>
  <c r="AQ207" i="28" s="1"/>
  <c r="AF208" i="28"/>
  <c r="AK208" i="28" s="1"/>
  <c r="AQ208" i="28" s="1"/>
  <c r="AF209" i="28"/>
  <c r="AK209" i="28" s="1"/>
  <c r="AQ209" i="28" s="1"/>
  <c r="AF210" i="28"/>
  <c r="AK210" i="28" s="1"/>
  <c r="AQ210" i="28" s="1"/>
  <c r="AF211" i="28"/>
  <c r="AK211" i="28" s="1"/>
  <c r="AQ211" i="28" s="1"/>
  <c r="AF212" i="28"/>
  <c r="AK212" i="28" s="1"/>
  <c r="AQ212" i="28" s="1"/>
  <c r="AF213" i="28"/>
  <c r="AK213" i="28" s="1"/>
  <c r="AQ213" i="28" s="1"/>
  <c r="AF214" i="28"/>
  <c r="AK214" i="28" s="1"/>
  <c r="AQ214" i="28" s="1"/>
  <c r="AF215" i="28"/>
  <c r="AK215" i="28" s="1"/>
  <c r="AQ215" i="28" s="1"/>
  <c r="AF216" i="28"/>
  <c r="AK216" i="28" s="1"/>
  <c r="AQ216" i="28" s="1"/>
  <c r="AF217" i="28"/>
  <c r="AK217" i="28" s="1"/>
  <c r="AQ217" i="28" s="1"/>
  <c r="AF218" i="28"/>
  <c r="AK218" i="28" s="1"/>
  <c r="AQ218" i="28" s="1"/>
  <c r="AF219" i="28"/>
  <c r="AK219" i="28" s="1"/>
  <c r="AQ219" i="28" s="1"/>
  <c r="AF220" i="28"/>
  <c r="AK220" i="28" s="1"/>
  <c r="AQ220" i="28" s="1"/>
  <c r="AF221" i="28"/>
  <c r="AK221" i="28" s="1"/>
  <c r="AQ221" i="28" s="1"/>
  <c r="AF222" i="28"/>
  <c r="AK222" i="28" s="1"/>
  <c r="AQ222" i="28" s="1"/>
  <c r="AF223" i="28"/>
  <c r="AK223" i="28" s="1"/>
  <c r="AQ223" i="28" s="1"/>
  <c r="AF224" i="28"/>
  <c r="AK224" i="28" s="1"/>
  <c r="AQ224" i="28" s="1"/>
  <c r="AF225" i="28"/>
  <c r="AK225" i="28" s="1"/>
  <c r="AQ225" i="28" s="1"/>
  <c r="AF226" i="28"/>
  <c r="AK226" i="28" s="1"/>
  <c r="AQ226" i="28" s="1"/>
  <c r="AF227" i="28"/>
  <c r="AK227" i="28" s="1"/>
  <c r="AQ227" i="28" s="1"/>
  <c r="AF228" i="28"/>
  <c r="AK228" i="28" s="1"/>
  <c r="AQ228" i="28" s="1"/>
  <c r="AF229" i="28"/>
  <c r="AK229" i="28" s="1"/>
  <c r="AQ229" i="28" s="1"/>
  <c r="AF230" i="28"/>
  <c r="AK230" i="28" s="1"/>
  <c r="AQ230" i="28" s="1"/>
  <c r="AF231" i="28"/>
  <c r="AK231" i="28" s="1"/>
  <c r="AQ231" i="28" s="1"/>
  <c r="AF232" i="28"/>
  <c r="AK232" i="28" s="1"/>
  <c r="AQ232" i="28" s="1"/>
  <c r="AF233" i="28"/>
  <c r="AK233" i="28" s="1"/>
  <c r="AQ233" i="28" s="1"/>
  <c r="AF234" i="28"/>
  <c r="AK234" i="28" s="1"/>
  <c r="AQ234" i="28" s="1"/>
  <c r="AF235" i="28"/>
  <c r="AK235" i="28" s="1"/>
  <c r="AQ235" i="28" s="1"/>
  <c r="AF236" i="28"/>
  <c r="AK236" i="28" s="1"/>
  <c r="AQ236" i="28" s="1"/>
  <c r="AF237" i="28"/>
  <c r="AK237" i="28" s="1"/>
  <c r="AQ237" i="28" s="1"/>
  <c r="AF238" i="28"/>
  <c r="AK238" i="28" s="1"/>
  <c r="AQ238" i="28" s="1"/>
  <c r="AF239" i="28"/>
  <c r="AK239" i="28" s="1"/>
  <c r="AQ239" i="28" s="1"/>
  <c r="AF240" i="28"/>
  <c r="AK240" i="28" s="1"/>
  <c r="AQ240" i="28" s="1"/>
  <c r="AF241" i="28"/>
  <c r="AK241" i="28" s="1"/>
  <c r="AQ241" i="28" s="1"/>
  <c r="AF242" i="28"/>
  <c r="AK242" i="28" s="1"/>
  <c r="AQ242" i="28" s="1"/>
  <c r="AF243" i="28"/>
  <c r="AK243" i="28" s="1"/>
  <c r="AQ243" i="28" s="1"/>
  <c r="AF244" i="28"/>
  <c r="AK244" i="28" s="1"/>
  <c r="AQ244" i="28" s="1"/>
  <c r="AF245" i="28"/>
  <c r="AK245" i="28" s="1"/>
  <c r="AQ245" i="28" s="1"/>
  <c r="AF247" i="28"/>
  <c r="AK247" i="28" s="1"/>
  <c r="AQ247" i="28" s="1"/>
  <c r="AF248" i="28"/>
  <c r="AK248" i="28" s="1"/>
  <c r="AQ248" i="28" s="1"/>
  <c r="AF249" i="28"/>
  <c r="AK249" i="28" s="1"/>
  <c r="AQ249" i="28" s="1"/>
  <c r="AF250" i="28"/>
  <c r="AK250" i="28" s="1"/>
  <c r="AQ250" i="28" s="1"/>
  <c r="AF251" i="28"/>
  <c r="AK251" i="28" s="1"/>
  <c r="AQ251" i="28" s="1"/>
  <c r="AF252" i="28"/>
  <c r="AK252" i="28" s="1"/>
  <c r="AQ252" i="28" s="1"/>
  <c r="AF253" i="28"/>
  <c r="AK253" i="28" s="1"/>
  <c r="AQ253" i="28" s="1"/>
  <c r="AF254" i="28"/>
  <c r="AK254" i="28" s="1"/>
  <c r="AQ254" i="28" s="1"/>
  <c r="AF255" i="28"/>
  <c r="AK255" i="28" s="1"/>
  <c r="AQ255" i="28" s="1"/>
  <c r="AF256" i="28"/>
  <c r="AK256" i="28" s="1"/>
  <c r="AQ256" i="28" s="1"/>
  <c r="AF257" i="28"/>
  <c r="AK257" i="28" s="1"/>
  <c r="AQ257" i="28" s="1"/>
  <c r="AF258" i="28"/>
  <c r="AK258" i="28" s="1"/>
  <c r="AQ258" i="28" s="1"/>
  <c r="AF259" i="28"/>
  <c r="AK259" i="28" s="1"/>
  <c r="AQ259" i="28" s="1"/>
  <c r="AF260" i="28"/>
  <c r="AK260" i="28" s="1"/>
  <c r="AQ260" i="28" s="1"/>
  <c r="AF261" i="28"/>
  <c r="AK261" i="28" s="1"/>
  <c r="AQ261" i="28" s="1"/>
  <c r="AF9" i="28"/>
  <c r="AK9" i="28" s="1"/>
  <c r="AQ9" i="28" s="1"/>
  <c r="G243" i="28"/>
  <c r="E243" i="28"/>
  <c r="D243" i="28"/>
  <c r="B243" i="28" a="1"/>
  <c r="B243" i="28" s="1"/>
  <c r="G244" i="28"/>
  <c r="E244" i="28"/>
  <c r="D244" i="28"/>
  <c r="B244" i="28" a="1"/>
  <c r="B244" i="28" s="1"/>
  <c r="G245" i="28"/>
  <c r="E245" i="28"/>
  <c r="D245" i="28"/>
  <c r="B245" i="28" a="1"/>
  <c r="B245" i="28" s="1"/>
  <c r="G247" i="28"/>
  <c r="E247" i="28"/>
  <c r="D247" i="28"/>
  <c r="B247" i="28" a="1"/>
  <c r="B247" i="28" s="1"/>
  <c r="G248" i="28"/>
  <c r="E248" i="28"/>
  <c r="D248" i="28"/>
  <c r="B248" i="28" a="1"/>
  <c r="B248" i="28" s="1"/>
  <c r="G249" i="28"/>
  <c r="E249" i="28"/>
  <c r="D249" i="28"/>
  <c r="B249" i="28" a="1"/>
  <c r="B249" i="28" s="1"/>
  <c r="G250" i="28"/>
  <c r="E250" i="28"/>
  <c r="D250" i="28"/>
  <c r="B250" i="28" a="1"/>
  <c r="B250" i="28" s="1"/>
  <c r="G251" i="28"/>
  <c r="E251" i="28"/>
  <c r="D251" i="28"/>
  <c r="B251" i="28" a="1"/>
  <c r="B251" i="28" s="1"/>
  <c r="G252" i="28"/>
  <c r="E252" i="28"/>
  <c r="D252" i="28"/>
  <c r="B252" i="28" a="1"/>
  <c r="B252" i="28" s="1"/>
  <c r="AU113" i="29"/>
  <c r="BP113" i="29"/>
  <c r="BR113" i="29" s="1"/>
  <c r="BS113" i="29"/>
  <c r="BU113" i="29" s="1"/>
  <c r="BV113" i="29" s="1"/>
  <c r="BT113" i="29"/>
  <c r="G44" i="26"/>
  <c r="G45" i="26"/>
  <c r="G46" i="26"/>
  <c r="G47" i="26"/>
  <c r="G49" i="26"/>
  <c r="G50" i="26"/>
  <c r="G51" i="26"/>
  <c r="G52" i="26"/>
  <c r="G53" i="26"/>
  <c r="G55" i="26"/>
  <c r="G56" i="26"/>
  <c r="G57" i="26"/>
  <c r="G61" i="26"/>
  <c r="G62" i="26"/>
  <c r="G63" i="26"/>
  <c r="G64" i="26"/>
  <c r="G65" i="26"/>
  <c r="G66" i="26"/>
  <c r="G67" i="26"/>
  <c r="G68" i="26"/>
  <c r="G69" i="26"/>
  <c r="G70" i="26"/>
  <c r="G71" i="26"/>
  <c r="G72" i="26"/>
  <c r="G73" i="26"/>
  <c r="G74" i="26"/>
  <c r="G75" i="26"/>
  <c r="G76" i="26"/>
  <c r="G77" i="26"/>
  <c r="G78" i="26"/>
  <c r="G79" i="26"/>
  <c r="G82" i="26"/>
  <c r="G83" i="26"/>
  <c r="G84" i="26"/>
  <c r="G85" i="26"/>
  <c r="G86" i="26"/>
  <c r="G87"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AU9" i="26"/>
  <c r="AV16" i="26"/>
  <c r="AU16" i="26" s="1"/>
  <c r="AV15" i="26"/>
  <c r="AU15" i="26" s="1"/>
  <c r="AV26" i="26"/>
  <c r="AU26" i="26" s="1"/>
  <c r="AV28" i="26"/>
  <c r="AV19" i="26"/>
  <c r="AV35" i="26"/>
  <c r="AV13" i="26"/>
  <c r="AV27" i="26"/>
  <c r="AV38" i="26"/>
  <c r="AV34" i="26"/>
  <c r="AV40" i="26"/>
  <c r="AV41" i="26"/>
  <c r="AV31" i="26"/>
  <c r="AV32" i="26"/>
  <c r="AV33" i="26"/>
  <c r="AU36" i="26"/>
  <c r="AU37" i="26"/>
  <c r="AU39" i="26"/>
  <c r="AU11" i="26"/>
  <c r="AU12" i="26"/>
  <c r="AU14" i="26"/>
  <c r="AU17" i="26"/>
  <c r="AU18" i="26"/>
  <c r="AU20" i="26"/>
  <c r="AU21" i="26"/>
  <c r="AU22" i="26"/>
  <c r="AU23" i="26"/>
  <c r="AU24" i="26"/>
  <c r="AU25" i="26"/>
  <c r="AU29" i="26"/>
  <c r="AU30" i="26"/>
  <c r="AF18" i="26"/>
  <c r="AK18" i="26" s="1"/>
  <c r="AQ18" i="26" s="1"/>
  <c r="AF24" i="26"/>
  <c r="AK24" i="26" s="1"/>
  <c r="AQ24" i="26" s="1"/>
  <c r="AF30" i="26"/>
  <c r="AK30" i="26" s="1"/>
  <c r="AQ30" i="26" s="1"/>
  <c r="AF62" i="26"/>
  <c r="AK62" i="26" s="1"/>
  <c r="AQ62" i="26" s="1"/>
  <c r="AF19" i="26"/>
  <c r="AK19" i="26" s="1"/>
  <c r="AQ19" i="26" s="1"/>
  <c r="AF42" i="26"/>
  <c r="AK42" i="26" s="1"/>
  <c r="AQ42" i="26" s="1"/>
  <c r="AF72" i="26"/>
  <c r="AK72" i="26" s="1"/>
  <c r="AQ72" i="26" s="1"/>
  <c r="AF73" i="26"/>
  <c r="AK73" i="26" s="1"/>
  <c r="AQ73" i="26" s="1"/>
  <c r="AF74" i="26"/>
  <c r="AK74" i="26" s="1"/>
  <c r="AQ74" i="26" s="1"/>
  <c r="AF75" i="26"/>
  <c r="AK75" i="26" s="1"/>
  <c r="AQ75" i="26" s="1"/>
  <c r="AF76" i="26"/>
  <c r="AK76" i="26" s="1"/>
  <c r="AQ76" i="26" s="1"/>
  <c r="AF77" i="26"/>
  <c r="AK77" i="26" s="1"/>
  <c r="AQ77" i="26" s="1"/>
  <c r="AF78" i="26"/>
  <c r="AK78" i="26" s="1"/>
  <c r="AQ78" i="26" s="1"/>
  <c r="AF33" i="26"/>
  <c r="AK33" i="26" s="1"/>
  <c r="AQ33" i="26" s="1"/>
  <c r="AF26" i="26"/>
  <c r="AK26" i="26" s="1"/>
  <c r="AQ26" i="26" s="1"/>
  <c r="AF79" i="26"/>
  <c r="AK79" i="26" s="1"/>
  <c r="AQ79" i="26" s="1"/>
  <c r="AF21" i="26"/>
  <c r="AK21" i="26" s="1"/>
  <c r="AQ21" i="26" s="1"/>
  <c r="AF22" i="26"/>
  <c r="AK22" i="26" s="1"/>
  <c r="AQ22" i="26" s="1"/>
  <c r="AF23" i="26"/>
  <c r="AK23" i="26" s="1"/>
  <c r="AQ23" i="26" s="1"/>
  <c r="AF80" i="26"/>
  <c r="AK80" i="26" s="1"/>
  <c r="AQ80" i="26" s="1"/>
  <c r="AF81" i="26"/>
  <c r="AK81" i="26" s="1"/>
  <c r="AQ81" i="26" s="1"/>
  <c r="AF13" i="26"/>
  <c r="AK13" i="26" s="1"/>
  <c r="AQ13" i="26" s="1"/>
  <c r="AF82" i="26"/>
  <c r="AK82" i="26" s="1"/>
  <c r="AQ82" i="26" s="1"/>
  <c r="AF83" i="26"/>
  <c r="AK83" i="26" s="1"/>
  <c r="AQ83" i="26" s="1"/>
  <c r="AF84" i="26"/>
  <c r="AK84" i="26" s="1"/>
  <c r="AQ84" i="26" s="1"/>
  <c r="AF37" i="26"/>
  <c r="AK37" i="26" s="1"/>
  <c r="AQ37" i="26" s="1"/>
  <c r="AF43" i="26"/>
  <c r="AK43" i="26" s="1"/>
  <c r="AQ43" i="26" s="1"/>
  <c r="AF54" i="26"/>
  <c r="AK54" i="26" s="1"/>
  <c r="AQ54" i="26" s="1"/>
  <c r="AF38" i="26"/>
  <c r="AK38" i="26" s="1"/>
  <c r="AQ38" i="26" s="1"/>
  <c r="AF85" i="26"/>
  <c r="AK85" i="26" s="1"/>
  <c r="AQ85" i="26" s="1"/>
  <c r="AF86" i="26"/>
  <c r="AK86" i="26" s="1"/>
  <c r="AQ86" i="26" s="1"/>
  <c r="AF87" i="26"/>
  <c r="AK87" i="26" s="1"/>
  <c r="AQ87" i="26" s="1"/>
  <c r="AF88" i="26"/>
  <c r="AK88" i="26" s="1"/>
  <c r="AQ88" i="26" s="1"/>
  <c r="AF89" i="26"/>
  <c r="AK89" i="26" s="1"/>
  <c r="AQ89" i="26" s="1"/>
  <c r="AF90" i="26"/>
  <c r="AK90" i="26" s="1"/>
  <c r="AQ90" i="26" s="1"/>
  <c r="AF27" i="26"/>
  <c r="AK27" i="26" s="1"/>
  <c r="AQ27" i="26" s="1"/>
  <c r="AF44" i="26"/>
  <c r="AK44" i="26" s="1"/>
  <c r="AQ44" i="26" s="1"/>
  <c r="AF91" i="26"/>
  <c r="AK91" i="26" s="1"/>
  <c r="AQ91" i="26" s="1"/>
  <c r="AF56" i="26"/>
  <c r="AK56" i="26" s="1"/>
  <c r="AQ56" i="26" s="1"/>
  <c r="AF61" i="26"/>
  <c r="AK61" i="26" s="1"/>
  <c r="AQ61" i="26" s="1"/>
  <c r="AF213" i="26"/>
  <c r="AK213" i="26" s="1"/>
  <c r="AQ213" i="26" s="1"/>
  <c r="AF92" i="26"/>
  <c r="AK92" i="26" s="1"/>
  <c r="AQ92" i="26" s="1"/>
  <c r="AF93" i="26"/>
  <c r="AK93" i="26" s="1"/>
  <c r="AQ93" i="26" s="1"/>
  <c r="AF31" i="26"/>
  <c r="AK31" i="26" s="1"/>
  <c r="AQ31" i="26" s="1"/>
  <c r="AF94" i="26"/>
  <c r="AK94" i="26" s="1"/>
  <c r="AQ94" i="26" s="1"/>
  <c r="AF95" i="26"/>
  <c r="AK95" i="26" s="1"/>
  <c r="AQ95" i="26" s="1"/>
  <c r="AF59" i="26"/>
  <c r="AK59" i="26" s="1"/>
  <c r="AQ59" i="26" s="1"/>
  <c r="AF47" i="26"/>
  <c r="AK47" i="26" s="1"/>
  <c r="AQ47" i="26" s="1"/>
  <c r="AF60" i="26"/>
  <c r="AK60" i="26" s="1"/>
  <c r="AQ60" i="26" s="1"/>
  <c r="AF96" i="26"/>
  <c r="AK96" i="26" s="1"/>
  <c r="AQ96" i="26" s="1"/>
  <c r="AF97" i="26"/>
  <c r="AK97" i="26" s="1"/>
  <c r="AQ97" i="26" s="1"/>
  <c r="AF98" i="26"/>
  <c r="AK98" i="26" s="1"/>
  <c r="AQ98" i="26" s="1"/>
  <c r="AF99" i="26"/>
  <c r="AK99" i="26" s="1"/>
  <c r="AQ99" i="26" s="1"/>
  <c r="AF100" i="26"/>
  <c r="AK100" i="26" s="1"/>
  <c r="AQ100" i="26" s="1"/>
  <c r="AF101" i="26"/>
  <c r="AK101" i="26" s="1"/>
  <c r="AQ101" i="26" s="1"/>
  <c r="AF102" i="26"/>
  <c r="AK102" i="26" s="1"/>
  <c r="AQ102" i="26" s="1"/>
  <c r="AF103" i="26"/>
  <c r="AK103" i="26" s="1"/>
  <c r="AQ103" i="26" s="1"/>
  <c r="AF104" i="26"/>
  <c r="AK104" i="26" s="1"/>
  <c r="AQ104" i="26" s="1"/>
  <c r="AF105" i="26"/>
  <c r="AK105" i="26" s="1"/>
  <c r="AQ105" i="26" s="1"/>
  <c r="AF106" i="26"/>
  <c r="AK106" i="26" s="1"/>
  <c r="AQ106" i="26" s="1"/>
  <c r="AF107" i="26"/>
  <c r="AK107" i="26" s="1"/>
  <c r="AQ107" i="26" s="1"/>
  <c r="AF108" i="26"/>
  <c r="AK108" i="26" s="1"/>
  <c r="AQ108" i="26" s="1"/>
  <c r="AF109" i="26"/>
  <c r="AK109" i="26" s="1"/>
  <c r="AQ109" i="26" s="1"/>
  <c r="AF16" i="26"/>
  <c r="AK16" i="26" s="1"/>
  <c r="AQ16" i="26" s="1"/>
  <c r="AF110" i="26"/>
  <c r="AK110" i="26" s="1"/>
  <c r="AQ110" i="26" s="1"/>
  <c r="AF15" i="26"/>
  <c r="AK15" i="26" s="1"/>
  <c r="AQ15" i="26" s="1"/>
  <c r="AF111" i="26"/>
  <c r="AK111" i="26" s="1"/>
  <c r="AQ111" i="26" s="1"/>
  <c r="AF112" i="26"/>
  <c r="AK112" i="26" s="1"/>
  <c r="AQ112" i="26" s="1"/>
  <c r="AF113" i="26"/>
  <c r="AK113" i="26" s="1"/>
  <c r="AQ113" i="26" s="1"/>
  <c r="AF114" i="26"/>
  <c r="AK114" i="26" s="1"/>
  <c r="AQ114" i="26" s="1"/>
  <c r="AF115" i="26"/>
  <c r="AK115" i="26" s="1"/>
  <c r="AQ115" i="26" s="1"/>
  <c r="AF116" i="26"/>
  <c r="AK116" i="26" s="1"/>
  <c r="AQ116" i="26" s="1"/>
  <c r="AF117" i="26"/>
  <c r="AK117" i="26" s="1"/>
  <c r="AQ117" i="26" s="1"/>
  <c r="AF118" i="26"/>
  <c r="AK118" i="26" s="1"/>
  <c r="AQ118" i="26" s="1"/>
  <c r="AF119" i="26"/>
  <c r="AK119" i="26" s="1"/>
  <c r="AQ119" i="26" s="1"/>
  <c r="AF120" i="26"/>
  <c r="AK120" i="26" s="1"/>
  <c r="AQ120" i="26" s="1"/>
  <c r="AF121" i="26"/>
  <c r="AK121" i="26" s="1"/>
  <c r="AQ121" i="26" s="1"/>
  <c r="AF64" i="26"/>
  <c r="AK64" i="26" s="1"/>
  <c r="AQ64" i="26" s="1"/>
  <c r="AF66" i="26"/>
  <c r="AK66" i="26" s="1"/>
  <c r="AQ66" i="26" s="1"/>
  <c r="AF122" i="26"/>
  <c r="AK122" i="26" s="1"/>
  <c r="AQ122" i="26" s="1"/>
  <c r="AF123" i="26"/>
  <c r="AK123" i="26" s="1"/>
  <c r="AQ123" i="26" s="1"/>
  <c r="AF124" i="26"/>
  <c r="AK124" i="26" s="1"/>
  <c r="AQ124" i="26" s="1"/>
  <c r="AF125" i="26"/>
  <c r="AK125" i="26" s="1"/>
  <c r="AQ125" i="26" s="1"/>
  <c r="AF126" i="26"/>
  <c r="AK126" i="26" s="1"/>
  <c r="AQ126" i="26" s="1"/>
  <c r="AF127" i="26"/>
  <c r="AK127" i="26" s="1"/>
  <c r="AQ127" i="26" s="1"/>
  <c r="AF128" i="26"/>
  <c r="AK128" i="26" s="1"/>
  <c r="AQ128" i="26" s="1"/>
  <c r="AF129" i="26"/>
  <c r="AK129" i="26" s="1"/>
  <c r="AQ129" i="26" s="1"/>
  <c r="AF130" i="26"/>
  <c r="AK130" i="26" s="1"/>
  <c r="AQ130" i="26" s="1"/>
  <c r="AF131" i="26"/>
  <c r="AK131" i="26" s="1"/>
  <c r="AQ131" i="26" s="1"/>
  <c r="AF132" i="26"/>
  <c r="AK132" i="26" s="1"/>
  <c r="AQ132" i="26" s="1"/>
  <c r="AF133" i="26"/>
  <c r="AK133" i="26" s="1"/>
  <c r="AQ133" i="26" s="1"/>
  <c r="AF134" i="26"/>
  <c r="AK134" i="26" s="1"/>
  <c r="AQ134" i="26" s="1"/>
  <c r="AF214" i="26"/>
  <c r="AK214" i="26" s="1"/>
  <c r="AQ214" i="26" s="1"/>
  <c r="AF135" i="26"/>
  <c r="AK135" i="26" s="1"/>
  <c r="AQ135" i="26" s="1"/>
  <c r="AF136" i="26"/>
  <c r="AK136" i="26" s="1"/>
  <c r="AQ136" i="26" s="1"/>
  <c r="AF137" i="26"/>
  <c r="AK137" i="26" s="1"/>
  <c r="AQ137" i="26" s="1"/>
  <c r="AF9" i="26"/>
  <c r="AK9" i="26" s="1"/>
  <c r="AQ9" i="26" s="1"/>
  <c r="AF11" i="26"/>
  <c r="AK11" i="26" s="1"/>
  <c r="AQ11" i="26" s="1"/>
  <c r="AF12" i="26"/>
  <c r="AK12" i="26" s="1"/>
  <c r="AQ12" i="26" s="1"/>
  <c r="AF14" i="26"/>
  <c r="AK14" i="26" s="1"/>
  <c r="AQ14" i="26" s="1"/>
  <c r="AF17" i="26"/>
  <c r="AK17" i="26" s="1"/>
  <c r="AQ17" i="26" s="1"/>
  <c r="AF20" i="26"/>
  <c r="AK20" i="26" s="1"/>
  <c r="AQ20" i="26" s="1"/>
  <c r="AF25" i="26"/>
  <c r="AK25" i="26" s="1"/>
  <c r="AQ25" i="26" s="1"/>
  <c r="AF29" i="26"/>
  <c r="AK29" i="26" s="1"/>
  <c r="AQ29" i="26" s="1"/>
  <c r="AF36" i="26"/>
  <c r="AK36" i="26" s="1"/>
  <c r="AQ36" i="26" s="1"/>
  <c r="AF39" i="26"/>
  <c r="AK39" i="26" s="1"/>
  <c r="AQ39" i="26" s="1"/>
  <c r="AF34" i="26"/>
  <c r="AK34" i="26" s="1"/>
  <c r="AQ34" i="26" s="1"/>
  <c r="AF40" i="26"/>
  <c r="AK40" i="26" s="1"/>
  <c r="AQ40" i="26" s="1"/>
  <c r="AF41" i="26"/>
  <c r="AK41" i="26" s="1"/>
  <c r="AQ41" i="26" s="1"/>
  <c r="AF32" i="26"/>
  <c r="AK32" i="26" s="1"/>
  <c r="AQ32" i="26" s="1"/>
  <c r="AF28" i="26"/>
  <c r="AK28" i="26" s="1"/>
  <c r="AQ28" i="26" s="1"/>
  <c r="AF10" i="26"/>
  <c r="AK10" i="26" s="1"/>
  <c r="AF35" i="26"/>
  <c r="AK35" i="26" s="1"/>
  <c r="AQ35" i="26" s="1"/>
  <c r="AF45" i="26"/>
  <c r="AK45" i="26" s="1"/>
  <c r="AQ45" i="26" s="1"/>
  <c r="AF46" i="26"/>
  <c r="AK46" i="26" s="1"/>
  <c r="AQ46" i="26" s="1"/>
  <c r="AF48" i="26"/>
  <c r="AK48" i="26" s="1"/>
  <c r="AQ48" i="26" s="1"/>
  <c r="AF49" i="26"/>
  <c r="AK49" i="26" s="1"/>
  <c r="AQ49" i="26" s="1"/>
  <c r="AF50" i="26"/>
  <c r="AK50" i="26" s="1"/>
  <c r="AQ50" i="26" s="1"/>
  <c r="AF51" i="26"/>
  <c r="AK51" i="26" s="1"/>
  <c r="AQ51" i="26" s="1"/>
  <c r="AF52" i="26"/>
  <c r="AK52" i="26" s="1"/>
  <c r="AQ52" i="26" s="1"/>
  <c r="AF53" i="26"/>
  <c r="AK53" i="26" s="1"/>
  <c r="AQ53" i="26" s="1"/>
  <c r="AF55" i="26"/>
  <c r="AK55" i="26" s="1"/>
  <c r="AQ55" i="26" s="1"/>
  <c r="AF57" i="26"/>
  <c r="AK57" i="26" s="1"/>
  <c r="AQ57" i="26" s="1"/>
  <c r="AF58" i="26"/>
  <c r="AK58" i="26" s="1"/>
  <c r="AQ58" i="26" s="1"/>
  <c r="AF63" i="26"/>
  <c r="AK63" i="26" s="1"/>
  <c r="AQ63" i="26" s="1"/>
  <c r="AF65" i="26"/>
  <c r="AK65" i="26" s="1"/>
  <c r="AQ65" i="26" s="1"/>
  <c r="AF67" i="26"/>
  <c r="AK67" i="26" s="1"/>
  <c r="AQ67" i="26" s="1"/>
  <c r="AF68" i="26"/>
  <c r="AK68" i="26" s="1"/>
  <c r="AQ68" i="26" s="1"/>
  <c r="AF69" i="26"/>
  <c r="AK69" i="26" s="1"/>
  <c r="AQ69" i="26" s="1"/>
  <c r="AF70" i="26"/>
  <c r="AK70" i="26" s="1"/>
  <c r="AQ70" i="26" s="1"/>
  <c r="AF71" i="26"/>
  <c r="AK71" i="26" s="1"/>
  <c r="AQ71" i="26" s="1"/>
  <c r="AF138" i="26"/>
  <c r="AK138" i="26" s="1"/>
  <c r="AQ138" i="26" s="1"/>
  <c r="AF139" i="26"/>
  <c r="AK139" i="26" s="1"/>
  <c r="AQ139" i="26" s="1"/>
  <c r="AF140" i="26"/>
  <c r="AK140" i="26" s="1"/>
  <c r="AQ140" i="26" s="1"/>
  <c r="AF141" i="26"/>
  <c r="AK141" i="26" s="1"/>
  <c r="AQ141" i="26" s="1"/>
  <c r="AF142" i="26"/>
  <c r="AK142" i="26" s="1"/>
  <c r="AQ142" i="26" s="1"/>
  <c r="AF143" i="26"/>
  <c r="AK143" i="26" s="1"/>
  <c r="AQ143" i="26" s="1"/>
  <c r="AF144" i="26"/>
  <c r="AK144" i="26" s="1"/>
  <c r="AQ144" i="26" s="1"/>
  <c r="AF145" i="26"/>
  <c r="AK145" i="26" s="1"/>
  <c r="AQ145" i="26" s="1"/>
  <c r="AF146" i="26"/>
  <c r="AK146" i="26" s="1"/>
  <c r="AQ146" i="26" s="1"/>
  <c r="AF147" i="26"/>
  <c r="AK147" i="26" s="1"/>
  <c r="AQ147" i="26" s="1"/>
  <c r="AF148" i="26"/>
  <c r="AK148" i="26" s="1"/>
  <c r="AQ148" i="26" s="1"/>
  <c r="AF149" i="26"/>
  <c r="AK149" i="26" s="1"/>
  <c r="AQ149" i="26" s="1"/>
  <c r="AF150" i="26"/>
  <c r="AK150" i="26" s="1"/>
  <c r="AQ150" i="26" s="1"/>
  <c r="AF151" i="26"/>
  <c r="AK151" i="26" s="1"/>
  <c r="AQ151" i="26" s="1"/>
  <c r="AF152" i="26"/>
  <c r="AK152" i="26" s="1"/>
  <c r="AQ152" i="26" s="1"/>
  <c r="AF153" i="26"/>
  <c r="AK153" i="26" s="1"/>
  <c r="AQ153" i="26" s="1"/>
  <c r="AF154" i="26"/>
  <c r="AK154" i="26" s="1"/>
  <c r="AQ154" i="26" s="1"/>
  <c r="AF155" i="26"/>
  <c r="AK155" i="26" s="1"/>
  <c r="AQ155" i="26" s="1"/>
  <c r="AF156" i="26"/>
  <c r="AK156" i="26" s="1"/>
  <c r="AQ156" i="26" s="1"/>
  <c r="AF157" i="26"/>
  <c r="AK157" i="26" s="1"/>
  <c r="AQ157" i="26" s="1"/>
  <c r="AF158" i="26"/>
  <c r="AK158" i="26" s="1"/>
  <c r="AQ158" i="26" s="1"/>
  <c r="AF159" i="26"/>
  <c r="AK159" i="26" s="1"/>
  <c r="AQ159" i="26" s="1"/>
  <c r="AF215" i="26"/>
  <c r="AK215" i="26" s="1"/>
  <c r="AQ215" i="26" s="1"/>
  <c r="AF160" i="26"/>
  <c r="AK160" i="26" s="1"/>
  <c r="AQ160" i="26" s="1"/>
  <c r="AF161" i="26"/>
  <c r="AK161" i="26" s="1"/>
  <c r="AQ161" i="26" s="1"/>
  <c r="AF162" i="26"/>
  <c r="AK162" i="26" s="1"/>
  <c r="AQ162" i="26" s="1"/>
  <c r="AF163" i="26"/>
  <c r="AK163" i="26" s="1"/>
  <c r="AQ163" i="26" s="1"/>
  <c r="AF164" i="26"/>
  <c r="AK164" i="26" s="1"/>
  <c r="AQ164" i="26" s="1"/>
  <c r="AF165" i="26"/>
  <c r="AK165" i="26" s="1"/>
  <c r="AQ165" i="26" s="1"/>
  <c r="AF166" i="26"/>
  <c r="AK166" i="26" s="1"/>
  <c r="AQ166" i="26" s="1"/>
  <c r="AF167" i="26"/>
  <c r="AK167" i="26" s="1"/>
  <c r="AQ167" i="26" s="1"/>
  <c r="AF168" i="26"/>
  <c r="AK168" i="26" s="1"/>
  <c r="AQ168" i="26" s="1"/>
  <c r="AF169" i="26"/>
  <c r="AK169" i="26" s="1"/>
  <c r="AQ169" i="26" s="1"/>
  <c r="AF216" i="26"/>
  <c r="AK216" i="26" s="1"/>
  <c r="AQ216" i="26" s="1"/>
  <c r="AF170" i="26"/>
  <c r="AK170" i="26" s="1"/>
  <c r="AQ170" i="26" s="1"/>
  <c r="AF171" i="26"/>
  <c r="AK171" i="26" s="1"/>
  <c r="AQ171" i="26" s="1"/>
  <c r="AF172" i="26"/>
  <c r="AK172" i="26" s="1"/>
  <c r="AQ172" i="26" s="1"/>
  <c r="AF173" i="26"/>
  <c r="AK173" i="26" s="1"/>
  <c r="AQ173" i="26" s="1"/>
  <c r="AF174" i="26"/>
  <c r="AK174" i="26" s="1"/>
  <c r="AQ174" i="26" s="1"/>
  <c r="AF175" i="26"/>
  <c r="AK175" i="26" s="1"/>
  <c r="AQ175" i="26" s="1"/>
  <c r="AF176" i="26"/>
  <c r="AK176" i="26" s="1"/>
  <c r="AQ176" i="26" s="1"/>
  <c r="AF177" i="26"/>
  <c r="AK177" i="26" s="1"/>
  <c r="AQ177" i="26" s="1"/>
  <c r="AF178" i="26"/>
  <c r="AK178" i="26" s="1"/>
  <c r="AQ178" i="26" s="1"/>
  <c r="AF179" i="26"/>
  <c r="AK179" i="26" s="1"/>
  <c r="AQ179" i="26" s="1"/>
  <c r="AF180" i="26"/>
  <c r="AK180" i="26" s="1"/>
  <c r="AQ180" i="26" s="1"/>
  <c r="AF181" i="26"/>
  <c r="AK181" i="26" s="1"/>
  <c r="AQ181" i="26" s="1"/>
  <c r="AF182" i="26"/>
  <c r="AK182" i="26" s="1"/>
  <c r="AQ182" i="26" s="1"/>
  <c r="AF183" i="26"/>
  <c r="AK183" i="26" s="1"/>
  <c r="AQ183" i="26" s="1"/>
  <c r="AF184" i="26"/>
  <c r="AK184" i="26" s="1"/>
  <c r="AQ184" i="26" s="1"/>
  <c r="AF185" i="26"/>
  <c r="AK185" i="26" s="1"/>
  <c r="AQ185" i="26" s="1"/>
  <c r="AF186" i="26"/>
  <c r="AK186" i="26" s="1"/>
  <c r="AQ186" i="26" s="1"/>
  <c r="AF187" i="26"/>
  <c r="AK187" i="26" s="1"/>
  <c r="AQ187" i="26" s="1"/>
  <c r="AF188" i="26"/>
  <c r="AK188" i="26" s="1"/>
  <c r="AQ188" i="26" s="1"/>
  <c r="AF189" i="26"/>
  <c r="AK189" i="26" s="1"/>
  <c r="AQ189" i="26" s="1"/>
  <c r="AF190" i="26"/>
  <c r="AK190" i="26" s="1"/>
  <c r="AQ190" i="26" s="1"/>
  <c r="AF191" i="26"/>
  <c r="AK191" i="26" s="1"/>
  <c r="AQ191" i="26" s="1"/>
  <c r="AF192" i="26"/>
  <c r="AK192" i="26" s="1"/>
  <c r="AQ192" i="26" s="1"/>
  <c r="AF193" i="26"/>
  <c r="AK193" i="26" s="1"/>
  <c r="AQ193" i="26" s="1"/>
  <c r="AF194" i="26"/>
  <c r="AK194" i="26" s="1"/>
  <c r="AQ194" i="26" s="1"/>
  <c r="AF195" i="26"/>
  <c r="AK195" i="26" s="1"/>
  <c r="AQ195" i="26" s="1"/>
  <c r="AF196" i="26"/>
  <c r="AK196" i="26" s="1"/>
  <c r="AQ196" i="26" s="1"/>
  <c r="AF197" i="26"/>
  <c r="AK197" i="26" s="1"/>
  <c r="AQ197" i="26" s="1"/>
  <c r="AF198" i="26"/>
  <c r="AK198" i="26" s="1"/>
  <c r="AQ198" i="26" s="1"/>
  <c r="AF199" i="26"/>
  <c r="AK199" i="26" s="1"/>
  <c r="AQ199" i="26" s="1"/>
  <c r="AF200" i="26"/>
  <c r="AK200" i="26" s="1"/>
  <c r="AQ200" i="26" s="1"/>
  <c r="AF201" i="26"/>
  <c r="AK201" i="26" s="1"/>
  <c r="AQ201" i="26" s="1"/>
  <c r="AF202" i="26"/>
  <c r="AK202" i="26" s="1"/>
  <c r="AQ202" i="26" s="1"/>
  <c r="AF203" i="26"/>
  <c r="AK203" i="26" s="1"/>
  <c r="AQ203" i="26" s="1"/>
  <c r="AF204" i="26"/>
  <c r="AK204" i="26" s="1"/>
  <c r="AQ204" i="26" s="1"/>
  <c r="AF205" i="26"/>
  <c r="AK205" i="26" s="1"/>
  <c r="AQ205" i="26" s="1"/>
  <c r="AF206" i="26"/>
  <c r="AK206" i="26" s="1"/>
  <c r="AQ206" i="26" s="1"/>
  <c r="AF207" i="26"/>
  <c r="AK207" i="26" s="1"/>
  <c r="AQ207" i="26" s="1"/>
  <c r="AF208" i="26"/>
  <c r="AK208" i="26" s="1"/>
  <c r="AQ208" i="26" s="1"/>
  <c r="AF209" i="26"/>
  <c r="AK209" i="26" s="1"/>
  <c r="AQ209" i="26" s="1"/>
  <c r="AF210" i="26"/>
  <c r="AK210" i="26" s="1"/>
  <c r="AQ210" i="26" s="1"/>
  <c r="AF211" i="26"/>
  <c r="AK211" i="26" s="1"/>
  <c r="AQ211" i="26" s="1"/>
  <c r="AF212" i="26"/>
  <c r="AK212" i="26" s="1"/>
  <c r="AQ212" i="26" s="1"/>
  <c r="AF217" i="26"/>
  <c r="AK217" i="26" s="1"/>
  <c r="AQ217" i="26" s="1"/>
  <c r="B27" i="26" a="1"/>
  <c r="B27" i="26" s="1"/>
  <c r="B44" i="26" a="1"/>
  <c r="B44" i="26" s="1"/>
  <c r="B91" i="26" a="1"/>
  <c r="B91" i="26" s="1"/>
  <c r="B56" i="26" a="1"/>
  <c r="B56" i="26" s="1"/>
  <c r="B213" i="26" a="1"/>
  <c r="B213" i="26" s="1"/>
  <c r="B92" i="26" a="1"/>
  <c r="B92" i="26" s="1"/>
  <c r="B31" i="26" a="1"/>
  <c r="B31" i="26" s="1"/>
  <c r="B94" i="26" a="1"/>
  <c r="B94" i="26" s="1"/>
  <c r="B95" i="26" a="1"/>
  <c r="B95" i="26" s="1"/>
  <c r="B59" i="26" a="1"/>
  <c r="B59" i="26" s="1"/>
  <c r="B47" i="26" a="1"/>
  <c r="B47" i="26" s="1"/>
  <c r="B60" i="26" a="1"/>
  <c r="B60" i="26" s="1"/>
  <c r="B96" i="26" a="1"/>
  <c r="B96" i="26" s="1"/>
  <c r="B97" i="26" a="1"/>
  <c r="B97" i="26" s="1"/>
  <c r="B98" i="26" a="1"/>
  <c r="B98" i="26" s="1"/>
  <c r="B99" i="26" a="1"/>
  <c r="B99" i="26" s="1"/>
  <c r="B100" i="26" a="1"/>
  <c r="B100" i="26" s="1"/>
  <c r="B101" i="26" a="1"/>
  <c r="B101" i="26" s="1"/>
  <c r="B102" i="26" a="1"/>
  <c r="B102" i="26" s="1"/>
  <c r="B103" i="26" a="1"/>
  <c r="B103" i="26" s="1"/>
  <c r="B104" i="26" a="1"/>
  <c r="B104" i="26" s="1"/>
  <c r="B105" i="26" a="1"/>
  <c r="B105" i="26" s="1"/>
  <c r="B106" i="26" a="1"/>
  <c r="B106" i="26" s="1"/>
  <c r="B107" i="26" a="1"/>
  <c r="B107" i="26" s="1"/>
  <c r="B108" i="26" a="1"/>
  <c r="B108" i="26" s="1"/>
  <c r="B109" i="26" a="1"/>
  <c r="B109" i="26" s="1"/>
  <c r="B16" i="26" a="1"/>
  <c r="B16" i="26" s="1"/>
  <c r="B110" i="26" a="1"/>
  <c r="B110" i="26" s="1"/>
  <c r="B15" i="26" a="1"/>
  <c r="B15" i="26" s="1"/>
  <c r="B111" i="26" a="1"/>
  <c r="B111" i="26" s="1"/>
  <c r="B112" i="26" a="1"/>
  <c r="B112" i="26" s="1"/>
  <c r="B113" i="26" a="1"/>
  <c r="B113" i="26" s="1"/>
  <c r="B114" i="26" a="1"/>
  <c r="B114" i="26" s="1"/>
  <c r="B115" i="26" a="1"/>
  <c r="B115" i="26" s="1"/>
  <c r="B116" i="26" a="1"/>
  <c r="B116" i="26" s="1"/>
  <c r="B117" i="26" a="1"/>
  <c r="B117" i="26" s="1"/>
  <c r="B118" i="26" a="1"/>
  <c r="B118" i="26" s="1"/>
  <c r="B119" i="26" a="1"/>
  <c r="B119" i="26" s="1"/>
  <c r="B120" i="26" a="1"/>
  <c r="B120" i="26" s="1"/>
  <c r="B121" i="26" a="1"/>
  <c r="B121" i="26" s="1"/>
  <c r="B64" i="26" a="1"/>
  <c r="B64" i="26" s="1"/>
  <c r="B66" i="26" a="1"/>
  <c r="B66" i="26" s="1"/>
  <c r="B122" i="26" a="1"/>
  <c r="B122" i="26" s="1"/>
  <c r="B123" i="26" a="1"/>
  <c r="B123" i="26" s="1"/>
  <c r="B124" i="26" a="1"/>
  <c r="B124" i="26" s="1"/>
  <c r="B125" i="26" a="1"/>
  <c r="B125" i="26" s="1"/>
  <c r="B126" i="26" a="1"/>
  <c r="B126" i="26" s="1"/>
  <c r="B127" i="26" a="1"/>
  <c r="B127" i="26" s="1"/>
  <c r="B128" i="26" a="1"/>
  <c r="B128" i="26" s="1"/>
  <c r="B129" i="26" a="1"/>
  <c r="B129" i="26" s="1"/>
  <c r="B130" i="26" a="1"/>
  <c r="B130" i="26" s="1"/>
  <c r="B131" i="26" a="1"/>
  <c r="B131" i="26" s="1"/>
  <c r="B132" i="26" a="1"/>
  <c r="B132" i="26" s="1"/>
  <c r="B133" i="26" a="1"/>
  <c r="B133" i="26" s="1"/>
  <c r="B134" i="26" a="1"/>
  <c r="B134" i="26" s="1"/>
  <c r="B214" i="26" a="1"/>
  <c r="B214" i="26" s="1"/>
  <c r="B135" i="26" a="1"/>
  <c r="B135" i="26" s="1"/>
  <c r="B136" i="26" a="1"/>
  <c r="B136" i="26" s="1"/>
  <c r="B137" i="26" a="1"/>
  <c r="B137" i="26" s="1"/>
  <c r="B9" i="26" a="1"/>
  <c r="B9" i="26" s="1"/>
  <c r="B11" i="26" a="1"/>
  <c r="B11" i="26" s="1"/>
  <c r="B12" i="26" a="1"/>
  <c r="B12" i="26" s="1"/>
  <c r="B14" i="26" a="1"/>
  <c r="B14" i="26" s="1"/>
  <c r="B17" i="26" a="1"/>
  <c r="B17" i="26" s="1"/>
  <c r="B20" i="26" a="1"/>
  <c r="B20" i="26" s="1"/>
  <c r="B25" i="26" a="1"/>
  <c r="B25" i="26" s="1"/>
  <c r="B29" i="26" a="1"/>
  <c r="B29" i="26" s="1"/>
  <c r="B36" i="26" a="1"/>
  <c r="B36" i="26" s="1"/>
  <c r="B39" i="26" a="1"/>
  <c r="B39" i="26" s="1"/>
  <c r="B34" i="26" a="1"/>
  <c r="B34" i="26" s="1"/>
  <c r="B40" i="26" a="1"/>
  <c r="B40" i="26" s="1"/>
  <c r="B41" i="26" a="1"/>
  <c r="B41" i="26" s="1"/>
  <c r="B32" i="26" a="1"/>
  <c r="B32" i="26" s="1"/>
  <c r="B28" i="26" a="1"/>
  <c r="B28" i="26" s="1"/>
  <c r="B10" i="26" a="1"/>
  <c r="B10" i="26" s="1"/>
  <c r="B35" i="26" a="1"/>
  <c r="B35" i="26" s="1"/>
  <c r="B45" i="26" a="1"/>
  <c r="B45" i="26" s="1"/>
  <c r="B46" i="26" a="1"/>
  <c r="B46" i="26" s="1"/>
  <c r="B48" i="26" a="1"/>
  <c r="B48" i="26" s="1"/>
  <c r="B49" i="26" a="1"/>
  <c r="B49" i="26" s="1"/>
  <c r="B50" i="26" a="1"/>
  <c r="B50" i="26" s="1"/>
  <c r="B51" i="26" a="1"/>
  <c r="B51" i="26" s="1"/>
  <c r="B52" i="26" a="1"/>
  <c r="B52" i="26" s="1"/>
  <c r="B53" i="26" a="1"/>
  <c r="B53" i="26" s="1"/>
  <c r="B55" i="26" a="1"/>
  <c r="B55" i="26" s="1"/>
  <c r="B57" i="26" a="1"/>
  <c r="B57" i="26" s="1"/>
  <c r="B58" i="26" a="1"/>
  <c r="B58" i="26" s="1"/>
  <c r="B63" i="26" a="1"/>
  <c r="B63" i="26" s="1"/>
  <c r="B65" i="26" a="1"/>
  <c r="B65" i="26" s="1"/>
  <c r="B67" i="26" a="1"/>
  <c r="B67" i="26" s="1"/>
  <c r="B68" i="26" a="1"/>
  <c r="B68" i="26" s="1"/>
  <c r="B69" i="26" a="1"/>
  <c r="B69" i="26" s="1"/>
  <c r="B70" i="26" a="1"/>
  <c r="B70" i="26" s="1"/>
  <c r="B71" i="26" a="1"/>
  <c r="B71" i="26" s="1"/>
  <c r="B138" i="26" a="1"/>
  <c r="B138" i="26" s="1"/>
  <c r="B139" i="26" a="1"/>
  <c r="B139" i="26" s="1"/>
  <c r="B140" i="26" a="1"/>
  <c r="B140" i="26" s="1"/>
  <c r="B141" i="26" a="1"/>
  <c r="B141" i="26" s="1"/>
  <c r="B142" i="26" a="1"/>
  <c r="B142" i="26" s="1"/>
  <c r="B143" i="26" a="1"/>
  <c r="B143" i="26" s="1"/>
  <c r="B144" i="26" a="1"/>
  <c r="B144" i="26" s="1"/>
  <c r="B145" i="26" a="1"/>
  <c r="B145" i="26" s="1"/>
  <c r="B146" i="26" a="1"/>
  <c r="B146" i="26" s="1"/>
  <c r="B147" i="26" a="1"/>
  <c r="B147" i="26" s="1"/>
  <c r="B148" i="26" a="1"/>
  <c r="B148" i="26" s="1"/>
  <c r="B149" i="26" a="1"/>
  <c r="B149" i="26" s="1"/>
  <c r="B150" i="26" a="1"/>
  <c r="B150" i="26" s="1"/>
  <c r="B151" i="26" a="1"/>
  <c r="B151" i="26" s="1"/>
  <c r="B152" i="26" a="1"/>
  <c r="B152" i="26" s="1"/>
  <c r="B153" i="26" a="1"/>
  <c r="B153" i="26" s="1"/>
  <c r="B154" i="26" a="1"/>
  <c r="B154" i="26" s="1"/>
  <c r="B155" i="26" a="1"/>
  <c r="B155" i="26" s="1"/>
  <c r="B156" i="26" a="1"/>
  <c r="B156" i="26" s="1"/>
  <c r="B157" i="26" a="1"/>
  <c r="B157" i="26" s="1"/>
  <c r="B158" i="26" a="1"/>
  <c r="B158" i="26" s="1"/>
  <c r="B159" i="26" a="1"/>
  <c r="B159" i="26" s="1"/>
  <c r="B215" i="26" a="1"/>
  <c r="B215" i="26" s="1"/>
  <c r="B160" i="26" a="1"/>
  <c r="B160" i="26" s="1"/>
  <c r="B161" i="26" a="1"/>
  <c r="B161" i="26" s="1"/>
  <c r="B162" i="26" a="1"/>
  <c r="B162" i="26" s="1"/>
  <c r="B163" i="26" a="1"/>
  <c r="B163" i="26" s="1"/>
  <c r="B164" i="26" a="1"/>
  <c r="B164" i="26" s="1"/>
  <c r="B165" i="26" a="1"/>
  <c r="B165" i="26" s="1"/>
  <c r="B166" i="26" a="1"/>
  <c r="B166" i="26" s="1"/>
  <c r="B167" i="26" a="1"/>
  <c r="B167" i="26" s="1"/>
  <c r="B168" i="26" a="1"/>
  <c r="B168" i="26" s="1"/>
  <c r="B169" i="26" a="1"/>
  <c r="B169" i="26" s="1"/>
  <c r="B216" i="26" a="1"/>
  <c r="B216" i="26" s="1"/>
  <c r="B170" i="26" a="1"/>
  <c r="B170" i="26" s="1"/>
  <c r="B171" i="26" a="1"/>
  <c r="B171" i="26" s="1"/>
  <c r="B172" i="26" a="1"/>
  <c r="B172" i="26" s="1"/>
  <c r="B173" i="26" a="1"/>
  <c r="B173" i="26" s="1"/>
  <c r="B174" i="26" a="1"/>
  <c r="B174" i="26" s="1"/>
  <c r="B175" i="26" a="1"/>
  <c r="B175" i="26" s="1"/>
  <c r="B176" i="26" a="1"/>
  <c r="B176" i="26" s="1"/>
  <c r="B177" i="26" a="1"/>
  <c r="B177" i="26" s="1"/>
  <c r="B178" i="26" a="1"/>
  <c r="B178" i="26" s="1"/>
  <c r="B179" i="26" a="1"/>
  <c r="B179" i="26" s="1"/>
  <c r="B180" i="26" a="1"/>
  <c r="B180" i="26" s="1"/>
  <c r="B181" i="26" a="1"/>
  <c r="B181" i="26" s="1"/>
  <c r="B182" i="26" a="1"/>
  <c r="B182" i="26" s="1"/>
  <c r="B183" i="26" a="1"/>
  <c r="B183" i="26" s="1"/>
  <c r="B184" i="26" a="1"/>
  <c r="B184" i="26" s="1"/>
  <c r="B185" i="26" a="1"/>
  <c r="B185" i="26" s="1"/>
  <c r="B186" i="26" a="1"/>
  <c r="B186" i="26" s="1"/>
  <c r="B187" i="26" a="1"/>
  <c r="B187" i="26" s="1"/>
  <c r="B188" i="26" a="1"/>
  <c r="B188" i="26" s="1"/>
  <c r="B189" i="26" a="1"/>
  <c r="B189" i="26" s="1"/>
  <c r="B190" i="26" a="1"/>
  <c r="B190" i="26" s="1"/>
  <c r="B191" i="26" a="1"/>
  <c r="B191" i="26" s="1"/>
  <c r="B192" i="26" a="1"/>
  <c r="B192" i="26" s="1"/>
  <c r="B193" i="26" a="1"/>
  <c r="B193" i="26" s="1"/>
  <c r="B194" i="26" a="1"/>
  <c r="B194" i="26" s="1"/>
  <c r="B195" i="26" a="1"/>
  <c r="B195" i="26" s="1"/>
  <c r="B196" i="26" a="1"/>
  <c r="B196" i="26" s="1"/>
  <c r="B197" i="26" a="1"/>
  <c r="B197" i="26" s="1"/>
  <c r="B198" i="26" a="1"/>
  <c r="B198" i="26" s="1"/>
  <c r="B199" i="26" a="1"/>
  <c r="B199" i="26" s="1"/>
  <c r="B200" i="26" a="1"/>
  <c r="B200" i="26" s="1"/>
  <c r="B201" i="26" a="1"/>
  <c r="B201" i="26" s="1"/>
  <c r="B202" i="26" a="1"/>
  <c r="B202" i="26" s="1"/>
  <c r="B203" i="26" a="1"/>
  <c r="B203" i="26" s="1"/>
  <c r="B204" i="26" a="1"/>
  <c r="B204" i="26" s="1"/>
  <c r="B205" i="26" a="1"/>
  <c r="B205" i="26" s="1"/>
  <c r="B206" i="26" a="1"/>
  <c r="B206" i="26" s="1"/>
  <c r="B207" i="26" a="1"/>
  <c r="B207" i="26" s="1"/>
  <c r="B208" i="26" a="1"/>
  <c r="B208" i="26" s="1"/>
  <c r="B209" i="26" a="1"/>
  <c r="B209" i="26" s="1"/>
  <c r="B210" i="26" a="1"/>
  <c r="B210" i="26" s="1"/>
  <c r="B211" i="26" a="1"/>
  <c r="B211" i="26" s="1"/>
  <c r="B212" i="26" a="1"/>
  <c r="B212" i="26" s="1"/>
  <c r="B217" i="26" a="1"/>
  <c r="B217" i="26" s="1"/>
  <c r="D27" i="26"/>
  <c r="D44" i="26"/>
  <c r="D91" i="26"/>
  <c r="D56" i="26"/>
  <c r="D61" i="26"/>
  <c r="D213" i="26"/>
  <c r="D92" i="26"/>
  <c r="D93" i="26"/>
  <c r="D31" i="26"/>
  <c r="D94" i="26"/>
  <c r="D95" i="26"/>
  <c r="D59" i="26"/>
  <c r="D47" i="26"/>
  <c r="D60" i="26"/>
  <c r="D96" i="26"/>
  <c r="D97" i="26"/>
  <c r="D98" i="26"/>
  <c r="D99" i="26"/>
  <c r="D100" i="26"/>
  <c r="D101" i="26"/>
  <c r="D102" i="26"/>
  <c r="D103" i="26"/>
  <c r="D104" i="26"/>
  <c r="D105" i="26"/>
  <c r="D106" i="26"/>
  <c r="D107" i="26"/>
  <c r="D108" i="26"/>
  <c r="D109" i="26"/>
  <c r="D16" i="26"/>
  <c r="D110" i="26"/>
  <c r="D15" i="26"/>
  <c r="D111" i="26"/>
  <c r="D112" i="26"/>
  <c r="D113" i="26"/>
  <c r="D114" i="26"/>
  <c r="D115" i="26"/>
  <c r="D116" i="26"/>
  <c r="D117" i="26"/>
  <c r="D118" i="26"/>
  <c r="D119" i="26"/>
  <c r="D120" i="26"/>
  <c r="D121" i="26"/>
  <c r="D64" i="26"/>
  <c r="D66" i="26"/>
  <c r="D122" i="26"/>
  <c r="D123" i="26"/>
  <c r="D124" i="26"/>
  <c r="D125" i="26"/>
  <c r="D126" i="26"/>
  <c r="D127" i="26"/>
  <c r="D128" i="26"/>
  <c r="D129" i="26"/>
  <c r="D130" i="26"/>
  <c r="D131" i="26"/>
  <c r="D132" i="26"/>
  <c r="D133" i="26"/>
  <c r="D134" i="26"/>
  <c r="D214" i="26"/>
  <c r="D135" i="26"/>
  <c r="D136" i="26"/>
  <c r="D137" i="26"/>
  <c r="D9" i="26"/>
  <c r="D11" i="26"/>
  <c r="D12" i="26"/>
  <c r="D14" i="26"/>
  <c r="D17" i="26"/>
  <c r="D20" i="26"/>
  <c r="D25" i="26"/>
  <c r="D29" i="26"/>
  <c r="D36" i="26"/>
  <c r="D39" i="26"/>
  <c r="D34" i="26"/>
  <c r="D40" i="26"/>
  <c r="D41" i="26"/>
  <c r="D32" i="26"/>
  <c r="D28" i="26"/>
  <c r="D10" i="26"/>
  <c r="D35" i="26"/>
  <c r="D45" i="26"/>
  <c r="D46" i="26"/>
  <c r="D48" i="26"/>
  <c r="D49" i="26"/>
  <c r="D50" i="26"/>
  <c r="D51" i="26"/>
  <c r="D52" i="26"/>
  <c r="D53" i="26"/>
  <c r="D55" i="26"/>
  <c r="D57" i="26"/>
  <c r="D58" i="26"/>
  <c r="D63" i="26"/>
  <c r="D65" i="26"/>
  <c r="D67" i="26"/>
  <c r="D68" i="26"/>
  <c r="D69" i="26"/>
  <c r="D70" i="26"/>
  <c r="D71" i="26"/>
  <c r="D138" i="26"/>
  <c r="D139" i="26"/>
  <c r="D140" i="26"/>
  <c r="D141" i="26"/>
  <c r="D142" i="26"/>
  <c r="D143" i="26"/>
  <c r="D144" i="26"/>
  <c r="D145" i="26"/>
  <c r="D146" i="26"/>
  <c r="D147" i="26"/>
  <c r="D148" i="26"/>
  <c r="D149" i="26"/>
  <c r="D150" i="26"/>
  <c r="D151" i="26"/>
  <c r="D152" i="26"/>
  <c r="D153" i="26"/>
  <c r="D154" i="26"/>
  <c r="D155" i="26"/>
  <c r="D156" i="26"/>
  <c r="D157" i="26"/>
  <c r="D158" i="26"/>
  <c r="D159" i="26"/>
  <c r="D215" i="26"/>
  <c r="D160" i="26"/>
  <c r="D161" i="26"/>
  <c r="D162" i="26"/>
  <c r="D163" i="26"/>
  <c r="D164" i="26"/>
  <c r="D165" i="26"/>
  <c r="D166" i="26"/>
  <c r="D167" i="26"/>
  <c r="D168" i="26"/>
  <c r="D169" i="26"/>
  <c r="D216"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7" i="26"/>
  <c r="E27" i="26"/>
  <c r="E44" i="26"/>
  <c r="E91" i="26"/>
  <c r="E56" i="26"/>
  <c r="E61" i="26"/>
  <c r="E213" i="26"/>
  <c r="E92" i="26"/>
  <c r="E93" i="26"/>
  <c r="E31" i="26"/>
  <c r="E94" i="26"/>
  <c r="E95" i="26"/>
  <c r="E59" i="26"/>
  <c r="E47" i="26"/>
  <c r="E60" i="26"/>
  <c r="E96" i="26"/>
  <c r="E97" i="26"/>
  <c r="E98" i="26"/>
  <c r="E99" i="26"/>
  <c r="E100" i="26"/>
  <c r="E101" i="26"/>
  <c r="E102" i="26"/>
  <c r="E103" i="26"/>
  <c r="E104" i="26"/>
  <c r="E105" i="26"/>
  <c r="E106" i="26"/>
  <c r="E107" i="26"/>
  <c r="E108" i="26"/>
  <c r="E109" i="26"/>
  <c r="E16" i="26"/>
  <c r="E110" i="26"/>
  <c r="E15" i="26"/>
  <c r="E111" i="26"/>
  <c r="E112" i="26"/>
  <c r="E113" i="26"/>
  <c r="E114" i="26"/>
  <c r="E115" i="26"/>
  <c r="E116" i="26"/>
  <c r="E117" i="26"/>
  <c r="E118" i="26"/>
  <c r="E119" i="26"/>
  <c r="E120" i="26"/>
  <c r="E121" i="26"/>
  <c r="E64" i="26"/>
  <c r="E66" i="26"/>
  <c r="E122" i="26"/>
  <c r="E123" i="26"/>
  <c r="E124" i="26"/>
  <c r="E125" i="26"/>
  <c r="E126" i="26"/>
  <c r="E127" i="26"/>
  <c r="E128" i="26"/>
  <c r="E129" i="26"/>
  <c r="E130" i="26"/>
  <c r="E131" i="26"/>
  <c r="E132" i="26"/>
  <c r="E133" i="26"/>
  <c r="E134" i="26"/>
  <c r="E214" i="26"/>
  <c r="E135" i="26"/>
  <c r="E136" i="26"/>
  <c r="E137" i="26"/>
  <c r="E9" i="26"/>
  <c r="E11" i="26"/>
  <c r="E12" i="26"/>
  <c r="E14" i="26"/>
  <c r="E17" i="26"/>
  <c r="E20" i="26"/>
  <c r="E25" i="26"/>
  <c r="E29" i="26"/>
  <c r="E36" i="26"/>
  <c r="E39" i="26"/>
  <c r="E34" i="26"/>
  <c r="E40" i="26"/>
  <c r="E41" i="26"/>
  <c r="E32" i="26"/>
  <c r="E28" i="26"/>
  <c r="E10" i="26"/>
  <c r="E35" i="26"/>
  <c r="E45" i="26"/>
  <c r="E46" i="26"/>
  <c r="E48" i="26"/>
  <c r="E49" i="26"/>
  <c r="E50" i="26"/>
  <c r="E51" i="26"/>
  <c r="E52" i="26"/>
  <c r="E53" i="26"/>
  <c r="E55" i="26"/>
  <c r="E57" i="26"/>
  <c r="E58" i="26"/>
  <c r="E63" i="26"/>
  <c r="E65" i="26"/>
  <c r="E67" i="26"/>
  <c r="E68" i="26"/>
  <c r="E69" i="26"/>
  <c r="E70" i="26"/>
  <c r="E71" i="26"/>
  <c r="E138" i="26"/>
  <c r="E139" i="26"/>
  <c r="E140" i="26"/>
  <c r="E141" i="26"/>
  <c r="E142" i="26"/>
  <c r="E143" i="26"/>
  <c r="E144" i="26"/>
  <c r="E145" i="26"/>
  <c r="E146" i="26"/>
  <c r="E147" i="26"/>
  <c r="E148" i="26"/>
  <c r="E149" i="26"/>
  <c r="E150" i="26"/>
  <c r="E151" i="26"/>
  <c r="E152" i="26"/>
  <c r="E153" i="26"/>
  <c r="E154" i="26"/>
  <c r="E155" i="26"/>
  <c r="E156" i="26"/>
  <c r="E157" i="26"/>
  <c r="E158" i="26"/>
  <c r="E159" i="26"/>
  <c r="E215" i="26"/>
  <c r="E160" i="26"/>
  <c r="E161" i="26"/>
  <c r="E162" i="26"/>
  <c r="E163" i="26"/>
  <c r="E164" i="26"/>
  <c r="E165" i="26"/>
  <c r="E166" i="26"/>
  <c r="E167" i="26"/>
  <c r="E168" i="26"/>
  <c r="E169" i="26"/>
  <c r="E216"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7" i="26"/>
  <c r="B177" i="28" a="1"/>
  <c r="B177" i="28" s="1"/>
  <c r="B178" i="28" a="1"/>
  <c r="B178" i="28" s="1"/>
  <c r="B179" i="28" a="1"/>
  <c r="B179" i="28" s="1"/>
  <c r="B180" i="28" a="1"/>
  <c r="B180" i="28" s="1"/>
  <c r="B181" i="28" a="1"/>
  <c r="B181" i="28" s="1"/>
  <c r="B182" i="28" a="1"/>
  <c r="B182" i="28" s="1"/>
  <c r="B183" i="28" a="1"/>
  <c r="B183" i="28" s="1"/>
  <c r="B184" i="28" a="1"/>
  <c r="B184" i="28" s="1"/>
  <c r="B185" i="28" a="1"/>
  <c r="B185" i="28" s="1"/>
  <c r="B186" i="28" a="1"/>
  <c r="B186" i="28" s="1"/>
  <c r="B187" i="28" a="1"/>
  <c r="B187" i="28" s="1"/>
  <c r="B188" i="28" a="1"/>
  <c r="B188" i="28" s="1"/>
  <c r="B189" i="28" a="1"/>
  <c r="B189" i="28" s="1"/>
  <c r="B190" i="28" a="1"/>
  <c r="B190" i="28" s="1"/>
  <c r="B191" i="28" a="1"/>
  <c r="B191" i="28" s="1"/>
  <c r="B192" i="28" a="1"/>
  <c r="B192" i="28" s="1"/>
  <c r="B193" i="28" a="1"/>
  <c r="B193" i="28" s="1"/>
  <c r="B194" i="28" a="1"/>
  <c r="B194" i="28" s="1"/>
  <c r="B195" i="28" a="1"/>
  <c r="B195" i="28" s="1"/>
  <c r="B196" i="28" a="1"/>
  <c r="B196" i="28" s="1"/>
  <c r="B197" i="28" a="1"/>
  <c r="B197" i="28" s="1"/>
  <c r="B198" i="28" a="1"/>
  <c r="B198" i="28" s="1"/>
  <c r="B199" i="28" a="1"/>
  <c r="B199" i="28" s="1"/>
  <c r="B200" i="28" a="1"/>
  <c r="B200" i="28" s="1"/>
  <c r="B201" i="28" a="1"/>
  <c r="B201" i="28" s="1"/>
  <c r="B202" i="28" a="1"/>
  <c r="B202" i="28" s="1"/>
  <c r="B203" i="28" a="1"/>
  <c r="B203" i="28" s="1"/>
  <c r="B204" i="28" a="1"/>
  <c r="B204" i="28" s="1"/>
  <c r="B205" i="28" a="1"/>
  <c r="B205" i="28" s="1"/>
  <c r="B206" i="28" a="1"/>
  <c r="B206" i="28" s="1"/>
  <c r="B207" i="28" a="1"/>
  <c r="B207" i="28" s="1"/>
  <c r="B208" i="28" a="1"/>
  <c r="B208" i="28" s="1"/>
  <c r="B209" i="28" a="1"/>
  <c r="B209" i="28" s="1"/>
  <c r="B210" i="28" a="1"/>
  <c r="B210" i="28" s="1"/>
  <c r="B211" i="28" a="1"/>
  <c r="B211" i="28" s="1"/>
  <c r="B212" i="28" a="1"/>
  <c r="B212" i="28" s="1"/>
  <c r="B213" i="28" a="1"/>
  <c r="B213" i="28" s="1"/>
  <c r="B214" i="28" a="1"/>
  <c r="B214" i="28" s="1"/>
  <c r="B215" i="28" a="1"/>
  <c r="B215" i="28" s="1"/>
  <c r="B216" i="28" a="1"/>
  <c r="B216" i="28" s="1"/>
  <c r="B217" i="28" a="1"/>
  <c r="B217" i="28" s="1"/>
  <c r="B218" i="28" a="1"/>
  <c r="B218" i="28" s="1"/>
  <c r="B219" i="28" a="1"/>
  <c r="B219" i="28" s="1"/>
  <c r="B220" i="28" a="1"/>
  <c r="B220" i="28" s="1"/>
  <c r="B221" i="28" a="1"/>
  <c r="B221" i="28" s="1"/>
  <c r="B222" i="28" a="1"/>
  <c r="B222" i="28" s="1"/>
  <c r="B223" i="28" a="1"/>
  <c r="B223" i="28" s="1"/>
  <c r="B224" i="28" a="1"/>
  <c r="B224" i="28" s="1"/>
  <c r="B225" i="28" a="1"/>
  <c r="B225" i="28" s="1"/>
  <c r="B226" i="28" a="1"/>
  <c r="B226" i="28" s="1"/>
  <c r="B227" i="28" a="1"/>
  <c r="B227" i="28" s="1"/>
  <c r="B228" i="28" a="1"/>
  <c r="B228" i="28" s="1"/>
  <c r="B229" i="28" a="1"/>
  <c r="B229" i="28" s="1"/>
  <c r="B230" i="28" a="1"/>
  <c r="B230" i="28" s="1"/>
  <c r="B231" i="28" a="1"/>
  <c r="B231" i="28" s="1"/>
  <c r="B232" i="28" a="1"/>
  <c r="B232" i="28" s="1"/>
  <c r="B233" i="28" a="1"/>
  <c r="B233" i="28" s="1"/>
  <c r="B234" i="28" a="1"/>
  <c r="B234" i="28" s="1"/>
  <c r="B235" i="28" a="1"/>
  <c r="B235" i="28" s="1"/>
  <c r="B236" i="28" a="1"/>
  <c r="B236" i="28" s="1"/>
  <c r="B237" i="28" a="1"/>
  <c r="B237" i="28" s="1"/>
  <c r="B238" i="28" a="1"/>
  <c r="B238" i="28" s="1"/>
  <c r="B239" i="28" a="1"/>
  <c r="B239" i="28" s="1"/>
  <c r="B240" i="28" a="1"/>
  <c r="B240" i="28" s="1"/>
  <c r="B241" i="28" a="1"/>
  <c r="B241" i="28" s="1"/>
  <c r="B242" i="28" a="1"/>
  <c r="B242" i="28" s="1"/>
  <c r="B253" i="28" a="1"/>
  <c r="B253" i="28" s="1"/>
  <c r="B254" i="28" a="1"/>
  <c r="B254" i="28" s="1"/>
  <c r="B255" i="28" a="1"/>
  <c r="B255" i="28" s="1"/>
  <c r="B256" i="28" a="1"/>
  <c r="B256" i="28" s="1"/>
  <c r="B257" i="28" a="1"/>
  <c r="B257" i="28" s="1"/>
  <c r="B258" i="28" a="1"/>
  <c r="B258" i="28" s="1"/>
  <c r="B259" i="28" a="1"/>
  <c r="B259" i="28" s="1"/>
  <c r="B260" i="28" a="1"/>
  <c r="B260" i="28" s="1"/>
  <c r="B261" i="28" a="1"/>
  <c r="B261" i="28" s="1"/>
  <c r="D177" i="28"/>
  <c r="D178" i="28"/>
  <c r="D179" i="28"/>
  <c r="D180" i="28"/>
  <c r="D181" i="28"/>
  <c r="D182" i="28"/>
  <c r="D183" i="28"/>
  <c r="D184" i="28"/>
  <c r="D185" i="28"/>
  <c r="D186" i="28"/>
  <c r="D187" i="28"/>
  <c r="D188" i="28"/>
  <c r="D189" i="28"/>
  <c r="D190" i="28"/>
  <c r="D191" i="28"/>
  <c r="D192" i="28"/>
  <c r="D193" i="28"/>
  <c r="D194" i="28"/>
  <c r="D195" i="28"/>
  <c r="D196" i="28"/>
  <c r="D197" i="28"/>
  <c r="D198" i="28"/>
  <c r="D199" i="28"/>
  <c r="D200" i="28"/>
  <c r="D201" i="28"/>
  <c r="D202" i="28"/>
  <c r="D203" i="28"/>
  <c r="D204" i="28"/>
  <c r="D205" i="28"/>
  <c r="D206" i="28"/>
  <c r="D207" i="28"/>
  <c r="D208" i="28"/>
  <c r="D209" i="28"/>
  <c r="D210" i="28"/>
  <c r="D211" i="28"/>
  <c r="D212" i="28"/>
  <c r="D213" i="28"/>
  <c r="D214" i="28"/>
  <c r="D215" i="28"/>
  <c r="D216" i="28"/>
  <c r="D217" i="28"/>
  <c r="D218" i="28"/>
  <c r="D219" i="28"/>
  <c r="D220" i="28"/>
  <c r="D221" i="28"/>
  <c r="D222" i="28"/>
  <c r="D223" i="28"/>
  <c r="D224" i="28"/>
  <c r="D225" i="28"/>
  <c r="D226" i="28"/>
  <c r="D227" i="28"/>
  <c r="D228" i="28"/>
  <c r="D229" i="28"/>
  <c r="D230" i="28"/>
  <c r="D231" i="28"/>
  <c r="D232" i="28"/>
  <c r="D233" i="28"/>
  <c r="D234" i="28"/>
  <c r="D235" i="28"/>
  <c r="D236" i="28"/>
  <c r="D237" i="28"/>
  <c r="D238" i="28"/>
  <c r="D239" i="28"/>
  <c r="D240" i="28"/>
  <c r="D241" i="28"/>
  <c r="D242" i="28"/>
  <c r="D253" i="28"/>
  <c r="D254" i="28"/>
  <c r="D255" i="28"/>
  <c r="D256" i="28"/>
  <c r="D257" i="28"/>
  <c r="D258" i="28"/>
  <c r="D259" i="28"/>
  <c r="D260" i="28"/>
  <c r="D261" i="28"/>
  <c r="E177" i="28"/>
  <c r="E178" i="28"/>
  <c r="E179" i="28"/>
  <c r="E180" i="28"/>
  <c r="E181" i="28"/>
  <c r="E182" i="28"/>
  <c r="E183" i="28"/>
  <c r="E184" i="28"/>
  <c r="E185" i="28"/>
  <c r="E186" i="28"/>
  <c r="E187" i="28"/>
  <c r="E188" i="28"/>
  <c r="E189" i="28"/>
  <c r="E190" i="28"/>
  <c r="E191" i="28"/>
  <c r="E192" i="28"/>
  <c r="E193" i="28"/>
  <c r="E194" i="28"/>
  <c r="E195" i="28"/>
  <c r="E196" i="28"/>
  <c r="E197" i="28"/>
  <c r="E198" i="28"/>
  <c r="E199" i="28"/>
  <c r="E200" i="28"/>
  <c r="E201" i="28"/>
  <c r="E202" i="28"/>
  <c r="E203" i="28"/>
  <c r="E204" i="28"/>
  <c r="E205" i="28"/>
  <c r="E206" i="28"/>
  <c r="E207" i="28"/>
  <c r="E208" i="28"/>
  <c r="E209" i="28"/>
  <c r="E210" i="28"/>
  <c r="E211" i="28"/>
  <c r="E212" i="28"/>
  <c r="E213" i="28"/>
  <c r="E214" i="28"/>
  <c r="E215" i="28"/>
  <c r="E216" i="28"/>
  <c r="E217" i="28"/>
  <c r="E218" i="28"/>
  <c r="E219" i="28"/>
  <c r="E220" i="28"/>
  <c r="E221" i="28"/>
  <c r="E222" i="28"/>
  <c r="E223" i="28"/>
  <c r="E224" i="28"/>
  <c r="E225" i="28"/>
  <c r="E226" i="28"/>
  <c r="E227" i="28"/>
  <c r="E228" i="28"/>
  <c r="E229" i="28"/>
  <c r="E230" i="28"/>
  <c r="E231" i="28"/>
  <c r="E232" i="28"/>
  <c r="E233" i="28"/>
  <c r="E234" i="28"/>
  <c r="E235" i="28"/>
  <c r="E236" i="28"/>
  <c r="E237" i="28"/>
  <c r="E238" i="28"/>
  <c r="E239" i="28"/>
  <c r="E240" i="28"/>
  <c r="E241" i="28"/>
  <c r="E242" i="28"/>
  <c r="E253" i="28"/>
  <c r="E254" i="28"/>
  <c r="E255" i="28"/>
  <c r="E256" i="28"/>
  <c r="E257" i="28"/>
  <c r="E258" i="28"/>
  <c r="E259" i="28"/>
  <c r="E260" i="28"/>
  <c r="E261" i="28"/>
  <c r="G177" i="28"/>
  <c r="G178" i="28"/>
  <c r="G179" i="28"/>
  <c r="G180" i="28"/>
  <c r="G181" i="28"/>
  <c r="G182" i="28"/>
  <c r="G183" i="28"/>
  <c r="G184" i="28"/>
  <c r="G185" i="28"/>
  <c r="G186" i="28"/>
  <c r="G187" i="28"/>
  <c r="G188" i="28"/>
  <c r="G189" i="28"/>
  <c r="G190" i="28"/>
  <c r="G191" i="28"/>
  <c r="G192" i="28"/>
  <c r="G193" i="28"/>
  <c r="G194" i="28"/>
  <c r="G195" i="28"/>
  <c r="G196" i="28"/>
  <c r="G197" i="28"/>
  <c r="G198" i="28"/>
  <c r="G199" i="28"/>
  <c r="G200" i="28"/>
  <c r="G201" i="28"/>
  <c r="G202" i="28"/>
  <c r="G203" i="28"/>
  <c r="G204" i="28"/>
  <c r="G205" i="28"/>
  <c r="G206" i="28"/>
  <c r="G207" i="28"/>
  <c r="G208" i="28"/>
  <c r="G209" i="28"/>
  <c r="G210" i="28"/>
  <c r="G211" i="28"/>
  <c r="G212" i="28"/>
  <c r="G213" i="28"/>
  <c r="G214" i="28"/>
  <c r="G215" i="28"/>
  <c r="G216" i="28"/>
  <c r="G217" i="28"/>
  <c r="G218" i="28"/>
  <c r="G219" i="28"/>
  <c r="G220" i="28"/>
  <c r="G221" i="28"/>
  <c r="G222" i="28"/>
  <c r="G223" i="28"/>
  <c r="G224" i="28"/>
  <c r="G225" i="28"/>
  <c r="G226" i="28"/>
  <c r="G227" i="28"/>
  <c r="G228" i="28"/>
  <c r="G229" i="28"/>
  <c r="G230" i="28"/>
  <c r="G231" i="28"/>
  <c r="G232" i="28"/>
  <c r="G233" i="28"/>
  <c r="G234" i="28"/>
  <c r="G235" i="28"/>
  <c r="G236" i="28"/>
  <c r="G237" i="28"/>
  <c r="G238" i="28"/>
  <c r="G239" i="28"/>
  <c r="G240" i="28"/>
  <c r="G241" i="28"/>
  <c r="G242" i="28"/>
  <c r="G253" i="28"/>
  <c r="G254" i="28"/>
  <c r="G255" i="28"/>
  <c r="G256" i="28"/>
  <c r="G257" i="28"/>
  <c r="G258" i="28"/>
  <c r="G259" i="28"/>
  <c r="G260" i="28"/>
  <c r="G261" i="28"/>
  <c r="B44" i="28" a="1"/>
  <c r="B44" i="28" s="1"/>
  <c r="B45" i="28" a="1"/>
  <c r="B45" i="28" s="1"/>
  <c r="B46" i="28" a="1"/>
  <c r="B46" i="28" s="1"/>
  <c r="B47" i="28" a="1"/>
  <c r="B47" i="28" s="1"/>
  <c r="B49" i="28" a="1"/>
  <c r="B49" i="28" s="1"/>
  <c r="B50" i="28" a="1"/>
  <c r="B50" i="28" s="1"/>
  <c r="B51" i="28" a="1"/>
  <c r="B51" i="28" s="1"/>
  <c r="B52" i="28" a="1"/>
  <c r="B52" i="28" s="1"/>
  <c r="B53" i="28" a="1"/>
  <c r="B53" i="28" s="1"/>
  <c r="B54" i="28" a="1"/>
  <c r="B54" i="28" s="1"/>
  <c r="B55" i="28" a="1"/>
  <c r="B55" i="28" s="1"/>
  <c r="B56" i="28" a="1"/>
  <c r="B56" i="28" s="1"/>
  <c r="B57" i="28" a="1"/>
  <c r="B57" i="28" s="1"/>
  <c r="B58" i="28" a="1"/>
  <c r="B58" i="28" s="1"/>
  <c r="B59" i="28" a="1"/>
  <c r="B59" i="28" s="1"/>
  <c r="B60" i="28" a="1"/>
  <c r="B60" i="28" s="1"/>
  <c r="B61" i="28" a="1"/>
  <c r="B61" i="28" s="1"/>
  <c r="B62" i="28" a="1"/>
  <c r="B62" i="28" s="1"/>
  <c r="B63" i="28" a="1"/>
  <c r="B63" i="28" s="1"/>
  <c r="B64" i="28" a="1"/>
  <c r="B64" i="28" s="1"/>
  <c r="B65" i="28" a="1"/>
  <c r="B65" i="28" s="1"/>
  <c r="B66" i="28" a="1"/>
  <c r="B66" i="28" s="1"/>
  <c r="B67" i="28" a="1"/>
  <c r="B67" i="28" s="1"/>
  <c r="B68" i="28" a="1"/>
  <c r="B68" i="28" s="1"/>
  <c r="B69" i="28" a="1"/>
  <c r="B69" i="28" s="1"/>
  <c r="B70" i="28" a="1"/>
  <c r="B70" i="28" s="1"/>
  <c r="B71" i="28" a="1"/>
  <c r="B71" i="28" s="1"/>
  <c r="B72" i="28" a="1"/>
  <c r="B72" i="28" s="1"/>
  <c r="B73" i="28" a="1"/>
  <c r="B73" i="28" s="1"/>
  <c r="B74" i="28" a="1"/>
  <c r="B74" i="28" s="1"/>
  <c r="B75" i="28" a="1"/>
  <c r="B75" i="28" s="1"/>
  <c r="B76" i="28" a="1"/>
  <c r="B76" i="28" s="1"/>
  <c r="B77" i="28" a="1"/>
  <c r="B77" i="28" s="1"/>
  <c r="B78" i="28" a="1"/>
  <c r="B78" i="28" s="1"/>
  <c r="B79" i="28" a="1"/>
  <c r="B79" i="28" s="1"/>
  <c r="B80" i="28" a="1"/>
  <c r="B80" i="28" s="1"/>
  <c r="B81" i="28" a="1"/>
  <c r="B81" i="28" s="1"/>
  <c r="B82" i="28" a="1"/>
  <c r="B82" i="28" s="1"/>
  <c r="B83" i="28" a="1"/>
  <c r="B83" i="28" s="1"/>
  <c r="B84" i="28" a="1"/>
  <c r="B84" i="28" s="1"/>
  <c r="B85" i="28" a="1"/>
  <c r="B85" i="28" s="1"/>
  <c r="B86" i="28" a="1"/>
  <c r="B86" i="28" s="1"/>
  <c r="B87" i="28" a="1"/>
  <c r="B87" i="28" s="1"/>
  <c r="B88" i="28" a="1"/>
  <c r="B88" i="28" s="1"/>
  <c r="B89" i="28" a="1"/>
  <c r="B89" i="28" s="1"/>
  <c r="B90" i="28" a="1"/>
  <c r="B90" i="28" s="1"/>
  <c r="B91" i="28" a="1"/>
  <c r="B91" i="28" s="1"/>
  <c r="B92" i="28" a="1"/>
  <c r="B92" i="28" s="1"/>
  <c r="B93" i="28" a="1"/>
  <c r="B93" i="28" s="1"/>
  <c r="B94" i="28" a="1"/>
  <c r="B94" i="28" s="1"/>
  <c r="B95" i="28" a="1"/>
  <c r="B95" i="28" s="1"/>
  <c r="B96" i="28" a="1"/>
  <c r="B96" i="28" s="1"/>
  <c r="B97" i="28" a="1"/>
  <c r="B97" i="28" s="1"/>
  <c r="B98" i="28" a="1"/>
  <c r="B98" i="28" s="1"/>
  <c r="B99" i="28" a="1"/>
  <c r="B99" i="28" s="1"/>
  <c r="B100" i="28" a="1"/>
  <c r="B100" i="28" s="1"/>
  <c r="B101" i="28" a="1"/>
  <c r="B101" i="28" s="1"/>
  <c r="B102" i="28" a="1"/>
  <c r="B102" i="28" s="1"/>
  <c r="B103" i="28" a="1"/>
  <c r="B103" i="28" s="1"/>
  <c r="B104" i="28" a="1"/>
  <c r="B104" i="28" s="1"/>
  <c r="B105" i="28" a="1"/>
  <c r="B105" i="28" s="1"/>
  <c r="B106" i="28" a="1"/>
  <c r="B106" i="28" s="1"/>
  <c r="B107" i="28" a="1"/>
  <c r="B107" i="28" s="1"/>
  <c r="B108" i="28" a="1"/>
  <c r="B108" i="28" s="1"/>
  <c r="B109" i="28" a="1"/>
  <c r="B109" i="28" s="1"/>
  <c r="B110" i="28" a="1"/>
  <c r="B110" i="28" s="1"/>
  <c r="B111" i="28" a="1"/>
  <c r="B111" i="28" s="1"/>
  <c r="B112" i="28" a="1"/>
  <c r="B112" i="28" s="1"/>
  <c r="B113" i="28" a="1"/>
  <c r="B113" i="28" s="1"/>
  <c r="B114" i="28" a="1"/>
  <c r="B114" i="28" s="1"/>
  <c r="B115" i="28" a="1"/>
  <c r="B115" i="28" s="1"/>
  <c r="B116" i="28" a="1"/>
  <c r="B116" i="28" s="1"/>
  <c r="B117" i="28" a="1"/>
  <c r="B117" i="28" s="1"/>
  <c r="B118" i="28" a="1"/>
  <c r="B118" i="28" s="1"/>
  <c r="B119" i="28" a="1"/>
  <c r="B119" i="28" s="1"/>
  <c r="B120" i="28" a="1"/>
  <c r="B120" i="28" s="1"/>
  <c r="B121" i="28" a="1"/>
  <c r="B121" i="28" s="1"/>
  <c r="B122" i="28" a="1"/>
  <c r="B122" i="28" s="1"/>
  <c r="B123" i="28" a="1"/>
  <c r="B123" i="28" s="1"/>
  <c r="B124" i="28" a="1"/>
  <c r="B124" i="28" s="1"/>
  <c r="B125" i="28" a="1"/>
  <c r="B125" i="28" s="1"/>
  <c r="B126" i="28" a="1"/>
  <c r="B126" i="28" s="1"/>
  <c r="B127" i="28" a="1"/>
  <c r="B127" i="28" s="1"/>
  <c r="B128" i="28" a="1"/>
  <c r="B128" i="28" s="1"/>
  <c r="B129" i="28" a="1"/>
  <c r="B129" i="28" s="1"/>
  <c r="B130" i="28" a="1"/>
  <c r="B130" i="28" s="1"/>
  <c r="B131" i="28" a="1"/>
  <c r="B131" i="28" s="1"/>
  <c r="B132" i="28" a="1"/>
  <c r="B132" i="28" s="1"/>
  <c r="B133" i="28" a="1"/>
  <c r="B133" i="28" s="1"/>
  <c r="B134" i="28" a="1"/>
  <c r="B134" i="28" s="1"/>
  <c r="B135" i="28" a="1"/>
  <c r="B135" i="28" s="1"/>
  <c r="B136" i="28" a="1"/>
  <c r="B136" i="28" s="1"/>
  <c r="B137" i="28" a="1"/>
  <c r="B137" i="28" s="1"/>
  <c r="B138" i="28" a="1"/>
  <c r="B138" i="28" s="1"/>
  <c r="B139" i="28" a="1"/>
  <c r="B139" i="28" s="1"/>
  <c r="B140" i="28" a="1"/>
  <c r="B140" i="28" s="1"/>
  <c r="B141" i="28" a="1"/>
  <c r="B141" i="28" s="1"/>
  <c r="B142" i="28" a="1"/>
  <c r="B142" i="28" s="1"/>
  <c r="B143" i="28" a="1"/>
  <c r="B143" i="28" s="1"/>
  <c r="B144" i="28" a="1"/>
  <c r="B144" i="28" s="1"/>
  <c r="B145" i="28" a="1"/>
  <c r="B145" i="28" s="1"/>
  <c r="B146" i="28" a="1"/>
  <c r="B146" i="28" s="1"/>
  <c r="B147" i="28" a="1"/>
  <c r="B147" i="28" s="1"/>
  <c r="B148" i="28" a="1"/>
  <c r="B148" i="28" s="1"/>
  <c r="B149" i="28" a="1"/>
  <c r="B149" i="28" s="1"/>
  <c r="B150" i="28" a="1"/>
  <c r="B150" i="28" s="1"/>
  <c r="B151" i="28" a="1"/>
  <c r="B151" i="28" s="1"/>
  <c r="B152" i="28" a="1"/>
  <c r="B152" i="28" s="1"/>
  <c r="B153" i="28" a="1"/>
  <c r="B153" i="28" s="1"/>
  <c r="B154" i="28" a="1"/>
  <c r="B154" i="28" s="1"/>
  <c r="B155" i="28" a="1"/>
  <c r="B155" i="28" s="1"/>
  <c r="B156" i="28" a="1"/>
  <c r="B156" i="28" s="1"/>
  <c r="B157" i="28" a="1"/>
  <c r="B157" i="28" s="1"/>
  <c r="B158" i="28" a="1"/>
  <c r="B158" i="28" s="1"/>
  <c r="B159" i="28" a="1"/>
  <c r="B159" i="28" s="1"/>
  <c r="B160" i="28" a="1"/>
  <c r="B160" i="28" s="1"/>
  <c r="B161" i="28" a="1"/>
  <c r="B161" i="28" s="1"/>
  <c r="B162" i="28" a="1"/>
  <c r="B162" i="28" s="1"/>
  <c r="B163" i="28" a="1"/>
  <c r="B163" i="28" s="1"/>
  <c r="B164" i="28" a="1"/>
  <c r="B164" i="28" s="1"/>
  <c r="B165" i="28" a="1"/>
  <c r="B165" i="28" s="1"/>
  <c r="B166" i="28" a="1"/>
  <c r="B166" i="28" s="1"/>
  <c r="B167" i="28" a="1"/>
  <c r="B167" i="28" s="1"/>
  <c r="B168" i="28" a="1"/>
  <c r="B168" i="28" s="1"/>
  <c r="B169" i="28" a="1"/>
  <c r="B169" i="28" s="1"/>
  <c r="B170" i="28" a="1"/>
  <c r="B170" i="28" s="1"/>
  <c r="B171" i="28" a="1"/>
  <c r="B171" i="28" s="1"/>
  <c r="B172" i="28" a="1"/>
  <c r="B172" i="28" s="1"/>
  <c r="B173" i="28" a="1"/>
  <c r="B173" i="28" s="1"/>
  <c r="B174" i="28" a="1"/>
  <c r="B174" i="28" s="1"/>
  <c r="B175" i="28" a="1"/>
  <c r="B175" i="28" s="1"/>
  <c r="B176" i="28" a="1"/>
  <c r="B176" i="28" s="1"/>
  <c r="D44" i="28"/>
  <c r="D45" i="28"/>
  <c r="D46" i="28"/>
  <c r="D47" i="28"/>
  <c r="D48" i="28"/>
  <c r="D49" i="28"/>
  <c r="D50" i="28"/>
  <c r="D51" i="28"/>
  <c r="D52" i="28"/>
  <c r="D53" i="28"/>
  <c r="D54" i="28"/>
  <c r="D55" i="28"/>
  <c r="D56" i="28"/>
  <c r="D57" i="28"/>
  <c r="D58" i="28"/>
  <c r="D59" i="28"/>
  <c r="D60" i="28"/>
  <c r="D61" i="28"/>
  <c r="D62" i="28"/>
  <c r="D63" i="28"/>
  <c r="D64" i="28"/>
  <c r="D65" i="28"/>
  <c r="D66" i="28"/>
  <c r="D67" i="28"/>
  <c r="D68" i="28"/>
  <c r="D69" i="28"/>
  <c r="D70" i="28"/>
  <c r="D71" i="28"/>
  <c r="D72" i="28"/>
  <c r="D73" i="28"/>
  <c r="D74" i="28"/>
  <c r="D75" i="28"/>
  <c r="D76" i="28"/>
  <c r="D77" i="28"/>
  <c r="D78" i="28"/>
  <c r="D79" i="28"/>
  <c r="D80" i="28"/>
  <c r="D81" i="28"/>
  <c r="D82" i="28"/>
  <c r="D83" i="28"/>
  <c r="D84" i="28"/>
  <c r="D85" i="28"/>
  <c r="D86" i="28"/>
  <c r="D87" i="28"/>
  <c r="D88" i="28"/>
  <c r="D89" i="28"/>
  <c r="D90" i="28"/>
  <c r="D91" i="28"/>
  <c r="D92" i="28"/>
  <c r="D93" i="28"/>
  <c r="D94" i="28"/>
  <c r="D95" i="28"/>
  <c r="D96" i="28"/>
  <c r="D97" i="28"/>
  <c r="D98" i="28"/>
  <c r="D99" i="28"/>
  <c r="D100" i="28"/>
  <c r="D101" i="28"/>
  <c r="D102" i="28"/>
  <c r="D103" i="28"/>
  <c r="D104" i="28"/>
  <c r="D105" i="28"/>
  <c r="D106" i="28"/>
  <c r="D107" i="28"/>
  <c r="D108" i="28"/>
  <c r="D109" i="28"/>
  <c r="D110" i="28"/>
  <c r="D111" i="28"/>
  <c r="D112" i="28"/>
  <c r="D113" i="28"/>
  <c r="D114" i="28"/>
  <c r="D115" i="28"/>
  <c r="D116" i="28"/>
  <c r="D117" i="28"/>
  <c r="D118" i="28"/>
  <c r="D119" i="28"/>
  <c r="D120" i="28"/>
  <c r="D121" i="28"/>
  <c r="D122" i="28"/>
  <c r="D123" i="28"/>
  <c r="D124" i="28"/>
  <c r="D125" i="28"/>
  <c r="D126" i="28"/>
  <c r="D127" i="28"/>
  <c r="D128" i="28"/>
  <c r="D129" i="28"/>
  <c r="D130" i="28"/>
  <c r="D131" i="28"/>
  <c r="D132" i="28"/>
  <c r="D133" i="28"/>
  <c r="D134" i="28"/>
  <c r="D135" i="28"/>
  <c r="D136" i="28"/>
  <c r="D137" i="28"/>
  <c r="D138" i="28"/>
  <c r="D139" i="28"/>
  <c r="D140" i="28"/>
  <c r="D141" i="28"/>
  <c r="D142" i="28"/>
  <c r="D143" i="28"/>
  <c r="D144" i="28"/>
  <c r="D145" i="28"/>
  <c r="D146" i="28"/>
  <c r="D147" i="28"/>
  <c r="D148" i="28"/>
  <c r="D149" i="28"/>
  <c r="D150" i="28"/>
  <c r="D151" i="28"/>
  <c r="D152" i="28"/>
  <c r="D153" i="28"/>
  <c r="D154" i="28"/>
  <c r="D155" i="28"/>
  <c r="D156" i="28"/>
  <c r="D157" i="28"/>
  <c r="D158" i="28"/>
  <c r="D159" i="28"/>
  <c r="D160" i="28"/>
  <c r="D161" i="28"/>
  <c r="D162" i="28"/>
  <c r="D163" i="28"/>
  <c r="D164" i="28"/>
  <c r="D165" i="28"/>
  <c r="D166" i="28"/>
  <c r="D167" i="28"/>
  <c r="D168" i="28"/>
  <c r="D169" i="28"/>
  <c r="D170" i="28"/>
  <c r="D171" i="28"/>
  <c r="D172" i="28"/>
  <c r="D173" i="28"/>
  <c r="D174" i="28"/>
  <c r="D175" i="28"/>
  <c r="D176"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E69" i="28"/>
  <c r="E70" i="28"/>
  <c r="E71" i="28"/>
  <c r="E72" i="28"/>
  <c r="E73" i="28"/>
  <c r="E74" i="28"/>
  <c r="E75" i="28"/>
  <c r="E76" i="28"/>
  <c r="E77" i="28"/>
  <c r="E78" i="28"/>
  <c r="E79" i="28"/>
  <c r="E80" i="28"/>
  <c r="E81" i="28"/>
  <c r="E82" i="28"/>
  <c r="E83" i="28"/>
  <c r="E84" i="28"/>
  <c r="E85" i="28"/>
  <c r="E86" i="28"/>
  <c r="E87" i="28"/>
  <c r="E88" i="28"/>
  <c r="E89" i="28"/>
  <c r="E90" i="28"/>
  <c r="E91" i="28"/>
  <c r="E92" i="28"/>
  <c r="E93" i="28"/>
  <c r="E94" i="28"/>
  <c r="E95" i="28"/>
  <c r="E96" i="28"/>
  <c r="E97" i="28"/>
  <c r="E98" i="28"/>
  <c r="E99" i="28"/>
  <c r="E100" i="28"/>
  <c r="E101" i="28"/>
  <c r="E102" i="28"/>
  <c r="E103" i="28"/>
  <c r="E104" i="28"/>
  <c r="E105" i="28"/>
  <c r="E106" i="28"/>
  <c r="E107" i="28"/>
  <c r="E108" i="28"/>
  <c r="E109" i="28"/>
  <c r="E110" i="28"/>
  <c r="E111" i="28"/>
  <c r="E112" i="28"/>
  <c r="E113" i="28"/>
  <c r="E114" i="28"/>
  <c r="E115" i="28"/>
  <c r="E116" i="28"/>
  <c r="E117" i="28"/>
  <c r="E118" i="28"/>
  <c r="E119" i="28"/>
  <c r="E120" i="28"/>
  <c r="E121" i="28"/>
  <c r="E122" i="28"/>
  <c r="E123" i="28"/>
  <c r="E124" i="28"/>
  <c r="E125" i="28"/>
  <c r="E126" i="28"/>
  <c r="E127" i="28"/>
  <c r="E128" i="28"/>
  <c r="E129" i="28"/>
  <c r="E130" i="28"/>
  <c r="E131" i="28"/>
  <c r="E132" i="28"/>
  <c r="E133" i="28"/>
  <c r="E134" i="28"/>
  <c r="E135" i="28"/>
  <c r="E136" i="28"/>
  <c r="E137" i="28"/>
  <c r="E138" i="28"/>
  <c r="E139" i="28"/>
  <c r="E140" i="28"/>
  <c r="E141" i="28"/>
  <c r="E142" i="28"/>
  <c r="E143" i="28"/>
  <c r="E144" i="28"/>
  <c r="E145" i="28"/>
  <c r="E146" i="28"/>
  <c r="E147" i="28"/>
  <c r="E148" i="28"/>
  <c r="E149" i="28"/>
  <c r="E150" i="28"/>
  <c r="E151" i="28"/>
  <c r="E152" i="28"/>
  <c r="E153" i="28"/>
  <c r="E154" i="28"/>
  <c r="E155" i="28"/>
  <c r="E156" i="28"/>
  <c r="E157" i="28"/>
  <c r="E158" i="28"/>
  <c r="E159" i="28"/>
  <c r="E160" i="28"/>
  <c r="E161" i="28"/>
  <c r="E162" i="28"/>
  <c r="E163" i="28"/>
  <c r="E164" i="28"/>
  <c r="E165" i="28"/>
  <c r="E166" i="28"/>
  <c r="E167" i="28"/>
  <c r="E168" i="28"/>
  <c r="E169" i="28"/>
  <c r="E170" i="28"/>
  <c r="E171" i="28"/>
  <c r="E172" i="28"/>
  <c r="E173" i="28"/>
  <c r="E174" i="28"/>
  <c r="E175" i="28"/>
  <c r="E176" i="28"/>
  <c r="G44" i="28"/>
  <c r="G45" i="28"/>
  <c r="G46" i="28"/>
  <c r="G47" i="28"/>
  <c r="G49" i="28"/>
  <c r="G50" i="28"/>
  <c r="G51" i="28"/>
  <c r="G52" i="28"/>
  <c r="G53" i="28"/>
  <c r="G54" i="28"/>
  <c r="G55" i="28"/>
  <c r="G56" i="28"/>
  <c r="G57" i="28"/>
  <c r="G58" i="28"/>
  <c r="G59" i="28"/>
  <c r="G60" i="28"/>
  <c r="G61" i="28"/>
  <c r="G62" i="28"/>
  <c r="G63" i="28"/>
  <c r="G64" i="28"/>
  <c r="G65" i="28"/>
  <c r="G66" i="28"/>
  <c r="G67" i="28"/>
  <c r="G68" i="28"/>
  <c r="G69" i="28"/>
  <c r="G70" i="28"/>
  <c r="G71" i="28"/>
  <c r="G72" i="28"/>
  <c r="G73" i="28"/>
  <c r="G74" i="28"/>
  <c r="G75" i="28"/>
  <c r="G76" i="28"/>
  <c r="G77" i="28"/>
  <c r="G78" i="28"/>
  <c r="G79" i="28"/>
  <c r="G80" i="28"/>
  <c r="G82" i="28"/>
  <c r="G83" i="28"/>
  <c r="G84" i="28"/>
  <c r="G85" i="28"/>
  <c r="G86" i="28"/>
  <c r="G87" i="28"/>
  <c r="G89" i="28"/>
  <c r="G90" i="28"/>
  <c r="G91" i="28"/>
  <c r="G92" i="28"/>
  <c r="G93" i="28"/>
  <c r="G94" i="28"/>
  <c r="G95" i="28"/>
  <c r="G96" i="28"/>
  <c r="G97" i="28"/>
  <c r="G98" i="28"/>
  <c r="G99" i="28"/>
  <c r="G100" i="28"/>
  <c r="G101" i="28"/>
  <c r="G102" i="28"/>
  <c r="G103" i="28"/>
  <c r="G104" i="28"/>
  <c r="G105" i="28"/>
  <c r="G106" i="28"/>
  <c r="G107" i="28"/>
  <c r="G108" i="28"/>
  <c r="G109" i="28"/>
  <c r="G110" i="28"/>
  <c r="G111" i="28"/>
  <c r="G112" i="28"/>
  <c r="G113" i="28"/>
  <c r="G114" i="28"/>
  <c r="G115" i="28"/>
  <c r="G116" i="28"/>
  <c r="G117" i="28"/>
  <c r="G118" i="28"/>
  <c r="G119" i="28"/>
  <c r="G120" i="28"/>
  <c r="G121" i="28"/>
  <c r="G122" i="28"/>
  <c r="G123" i="28"/>
  <c r="G124" i="28"/>
  <c r="G125" i="28"/>
  <c r="G126" i="28"/>
  <c r="G127" i="28"/>
  <c r="G128" i="28"/>
  <c r="G129" i="28"/>
  <c r="G130" i="28"/>
  <c r="G131" i="28"/>
  <c r="G132" i="28"/>
  <c r="G133" i="28"/>
  <c r="G134" i="28"/>
  <c r="G135" i="28"/>
  <c r="G136" i="28"/>
  <c r="G137" i="28"/>
  <c r="G138" i="28"/>
  <c r="G139" i="28"/>
  <c r="G140" i="28"/>
  <c r="G141" i="28"/>
  <c r="G142" i="28"/>
  <c r="G143" i="28"/>
  <c r="G144" i="28"/>
  <c r="G145" i="28"/>
  <c r="G146" i="28"/>
  <c r="G147" i="28"/>
  <c r="G148" i="28"/>
  <c r="G149" i="28"/>
  <c r="G150" i="28"/>
  <c r="G151" i="28"/>
  <c r="G152" i="28"/>
  <c r="G153" i="28"/>
  <c r="G154" i="28"/>
  <c r="G155" i="28"/>
  <c r="G156" i="28"/>
  <c r="G157" i="28"/>
  <c r="G158" i="28"/>
  <c r="G159" i="28"/>
  <c r="G160" i="28"/>
  <c r="G161" i="28"/>
  <c r="G162" i="28"/>
  <c r="G163" i="28"/>
  <c r="G164" i="28"/>
  <c r="G165" i="28"/>
  <c r="G166" i="28"/>
  <c r="G167" i="28"/>
  <c r="G168" i="28"/>
  <c r="G169" i="28"/>
  <c r="G170" i="28"/>
  <c r="G171" i="28"/>
  <c r="G172" i="28"/>
  <c r="G173" i="28"/>
  <c r="G174" i="28"/>
  <c r="G175" i="28"/>
  <c r="G176" i="28"/>
  <c r="BS29" i="29"/>
  <c r="BU29" i="29" s="1"/>
  <c r="BV29" i="29" s="1"/>
  <c r="BS20" i="29"/>
  <c r="BU20" i="29" s="1"/>
  <c r="BV20" i="29" s="1"/>
  <c r="BS38" i="29"/>
  <c r="BU38" i="29" s="1"/>
  <c r="BV38" i="29" s="1"/>
  <c r="BS31" i="29"/>
  <c r="BS39" i="29"/>
  <c r="BU39" i="29" s="1"/>
  <c r="BV39" i="29" s="1"/>
  <c r="BS28" i="29"/>
  <c r="BU28" i="29" s="1"/>
  <c r="BV28" i="29" s="1"/>
  <c r="BS11" i="29"/>
  <c r="BU11" i="29" s="1"/>
  <c r="BV11" i="29" s="1"/>
  <c r="BS13" i="29"/>
  <c r="BU13" i="29" s="1"/>
  <c r="BV13" i="29" s="1"/>
  <c r="BS24" i="29"/>
  <c r="BU24" i="29" s="1"/>
  <c r="BV24" i="29" s="1"/>
  <c r="BS27" i="29"/>
  <c r="BU27" i="29" s="1"/>
  <c r="BV27" i="29" s="1"/>
  <c r="BS19" i="29"/>
  <c r="BS21" i="29"/>
  <c r="BU21" i="29" s="1"/>
  <c r="BV21" i="29" s="1"/>
  <c r="BS17" i="29"/>
  <c r="BU17" i="29" s="1"/>
  <c r="BV17" i="29" s="1"/>
  <c r="BS22" i="29"/>
  <c r="BU22" i="29" s="1"/>
  <c r="BV22" i="29" s="1"/>
  <c r="BS12" i="29"/>
  <c r="BU12" i="29" s="1"/>
  <c r="BV12" i="29" s="1"/>
  <c r="BS9" i="29"/>
  <c r="BU9" i="29" s="1"/>
  <c r="BV9" i="29" s="1"/>
  <c r="BS14" i="29"/>
  <c r="BU14" i="29" s="1"/>
  <c r="BV14" i="29" s="1"/>
  <c r="BS30" i="29"/>
  <c r="BU30" i="29" s="1"/>
  <c r="BV30" i="29" s="1"/>
  <c r="BS26" i="29"/>
  <c r="BU26" i="29" s="1"/>
  <c r="BV26" i="29" s="1"/>
  <c r="BS25" i="29"/>
  <c r="BU25" i="29" s="1"/>
  <c r="BV25" i="29" s="1"/>
  <c r="BS34" i="29"/>
  <c r="BU34" i="29" s="1"/>
  <c r="BV34" i="29" s="1"/>
  <c r="BS35" i="29"/>
  <c r="BU35" i="29" s="1"/>
  <c r="BV35" i="29" s="1"/>
  <c r="BS15" i="29"/>
  <c r="BU15" i="29" s="1"/>
  <c r="BV15" i="29" s="1"/>
  <c r="BS23" i="29"/>
  <c r="BU23" i="29" s="1"/>
  <c r="BV23" i="29" s="1"/>
  <c r="BS18" i="29"/>
  <c r="BU18" i="29" s="1"/>
  <c r="BV18" i="29" s="1"/>
  <c r="BS32" i="29"/>
  <c r="BU32" i="29" s="1"/>
  <c r="BV32" i="29" s="1"/>
  <c r="BS33" i="29"/>
  <c r="BU33" i="29" s="1"/>
  <c r="BV33" i="29" s="1"/>
  <c r="BS36" i="29"/>
  <c r="BU36" i="29" s="1"/>
  <c r="BV36" i="29" s="1"/>
  <c r="BS37" i="29"/>
  <c r="BU37" i="29" s="1"/>
  <c r="BV37" i="29" s="1"/>
  <c r="BS10" i="29"/>
  <c r="BU10" i="29" s="1"/>
  <c r="BV10" i="29" s="1"/>
  <c r="BS16" i="29"/>
  <c r="BU16" i="29" s="1"/>
  <c r="BV16" i="29" s="1"/>
  <c r="BS103" i="29"/>
  <c r="BU103" i="29" s="1"/>
  <c r="BV103" i="29" s="1"/>
  <c r="BS104" i="29"/>
  <c r="BU104" i="29" s="1"/>
  <c r="BV104" i="29" s="1"/>
  <c r="BS105" i="29"/>
  <c r="BU105" i="29" s="1"/>
  <c r="BV105" i="29" s="1"/>
  <c r="BS106" i="29"/>
  <c r="BU106" i="29" s="1"/>
  <c r="BV106" i="29" s="1"/>
  <c r="BS107" i="29"/>
  <c r="BU107" i="29" s="1"/>
  <c r="BV107" i="29" s="1"/>
  <c r="BS108" i="29"/>
  <c r="BU108" i="29" s="1"/>
  <c r="BV108" i="29" s="1"/>
  <c r="BS109" i="29"/>
  <c r="BU109" i="29" s="1"/>
  <c r="BV109" i="29" s="1"/>
  <c r="BS110" i="29"/>
  <c r="BU110" i="29" s="1"/>
  <c r="BV110" i="29" s="1"/>
  <c r="BS111" i="29"/>
  <c r="BU111" i="29" s="1"/>
  <c r="BV111" i="29" s="1"/>
  <c r="BS112" i="29"/>
  <c r="BU112" i="29" s="1"/>
  <c r="BV112" i="29" s="1"/>
  <c r="BT29" i="29"/>
  <c r="BT20" i="29"/>
  <c r="BT38" i="29"/>
  <c r="BT31" i="29"/>
  <c r="BT39" i="29"/>
  <c r="BT28" i="29"/>
  <c r="BT11" i="29"/>
  <c r="BT13" i="29"/>
  <c r="BT24" i="29"/>
  <c r="BT27" i="29"/>
  <c r="BT19" i="29"/>
  <c r="BT21" i="29"/>
  <c r="BT17" i="29"/>
  <c r="BT22" i="29"/>
  <c r="BT12" i="29"/>
  <c r="BT9" i="29"/>
  <c r="BT14" i="29"/>
  <c r="BT30" i="29"/>
  <c r="BT26" i="29"/>
  <c r="BT25" i="29"/>
  <c r="BT34" i="29"/>
  <c r="BT35" i="29"/>
  <c r="BT15" i="29"/>
  <c r="BT23" i="29"/>
  <c r="BT18" i="29"/>
  <c r="BT32" i="29"/>
  <c r="BT33" i="29"/>
  <c r="BT36" i="29"/>
  <c r="BT37" i="29"/>
  <c r="BT10" i="29"/>
  <c r="BT16" i="29"/>
  <c r="BT103" i="29"/>
  <c r="BT46" i="29"/>
  <c r="BT73" i="29"/>
  <c r="BT55" i="29"/>
  <c r="BT61" i="29"/>
  <c r="BT56" i="29"/>
  <c r="BT85" i="29"/>
  <c r="BT64" i="29"/>
  <c r="BT50" i="29"/>
  <c r="BT71" i="29"/>
  <c r="BT98" i="29"/>
  <c r="BT89" i="29"/>
  <c r="BT96" i="29"/>
  <c r="BT86" i="29"/>
  <c r="BT51" i="29"/>
  <c r="BT52" i="29"/>
  <c r="BT97" i="29"/>
  <c r="BT53" i="29"/>
  <c r="BT100" i="29"/>
  <c r="BT54" i="29"/>
  <c r="BT58" i="29"/>
  <c r="BT87" i="29"/>
  <c r="BT74" i="29"/>
  <c r="BT66" i="29"/>
  <c r="BT81" i="29"/>
  <c r="BT99" i="29"/>
  <c r="BT67" i="29"/>
  <c r="BT72" i="29"/>
  <c r="BT60" i="29"/>
  <c r="BT92" i="29"/>
  <c r="BT91" i="29"/>
  <c r="BT84" i="29"/>
  <c r="BT94" i="29"/>
  <c r="BT70" i="29"/>
  <c r="BT59" i="29"/>
  <c r="BT63" i="29"/>
  <c r="BT43" i="29"/>
  <c r="BT44" i="29"/>
  <c r="BT76" i="29"/>
  <c r="BT93" i="29"/>
  <c r="BT82" i="29"/>
  <c r="BT45" i="29"/>
  <c r="BT88" i="29"/>
  <c r="BT69" i="29"/>
  <c r="BT101" i="29"/>
  <c r="BT65" i="29"/>
  <c r="BT90" i="29"/>
  <c r="BT48" i="29"/>
  <c r="BT49" i="29"/>
  <c r="BT102" i="29"/>
  <c r="BT75" i="29"/>
  <c r="BT77" i="29"/>
  <c r="BT40" i="29"/>
  <c r="BT41" i="29"/>
  <c r="BT42" i="29"/>
  <c r="BT80" i="29"/>
  <c r="BT78" i="29"/>
  <c r="BT68" i="29"/>
  <c r="BT83" i="29"/>
  <c r="BT79" i="29"/>
  <c r="BT62" i="29"/>
  <c r="BT47" i="29"/>
  <c r="BT95" i="29"/>
  <c r="BT104" i="29"/>
  <c r="BT105" i="29"/>
  <c r="BT106" i="29"/>
  <c r="BT57" i="29"/>
  <c r="BT107" i="29"/>
  <c r="BT108" i="29"/>
  <c r="BT109" i="29"/>
  <c r="BT110" i="29"/>
  <c r="BT111" i="29"/>
  <c r="BT112" i="29"/>
  <c r="BQ29" i="29"/>
  <c r="BQ20" i="29"/>
  <c r="BQ38" i="29"/>
  <c r="BQ31" i="29"/>
  <c r="BQ39" i="29"/>
  <c r="BQ28" i="29"/>
  <c r="BQ11" i="29"/>
  <c r="BQ13" i="29"/>
  <c r="BQ24" i="29"/>
  <c r="BQ27" i="29"/>
  <c r="BQ19" i="29"/>
  <c r="BQ21" i="29"/>
  <c r="BQ17" i="29"/>
  <c r="BQ22" i="29"/>
  <c r="BQ12" i="29"/>
  <c r="BQ9" i="29"/>
  <c r="BQ14" i="29"/>
  <c r="BQ30" i="29"/>
  <c r="BQ26" i="29"/>
  <c r="BQ25" i="29"/>
  <c r="BQ34" i="29"/>
  <c r="BQ35" i="29"/>
  <c r="BQ15" i="29"/>
  <c r="BQ23" i="29"/>
  <c r="BQ18" i="29"/>
  <c r="BQ32" i="29"/>
  <c r="BQ33" i="29"/>
  <c r="BQ36" i="29"/>
  <c r="BQ37" i="29"/>
  <c r="BQ10" i="29"/>
  <c r="BQ16" i="29"/>
  <c r="BQ103" i="29"/>
  <c r="BQ40" i="29"/>
  <c r="BQ41" i="29"/>
  <c r="BQ42" i="29"/>
  <c r="BQ43" i="29"/>
  <c r="BQ44" i="29"/>
  <c r="BQ45" i="29"/>
  <c r="BQ46" i="29"/>
  <c r="BQ47" i="29"/>
  <c r="BQ48" i="29"/>
  <c r="BQ49" i="29"/>
  <c r="BQ50" i="29"/>
  <c r="BQ51" i="29"/>
  <c r="BQ52" i="29"/>
  <c r="BQ53" i="29"/>
  <c r="BQ54" i="29"/>
  <c r="BQ55" i="29"/>
  <c r="BQ56" i="29"/>
  <c r="BQ57" i="29"/>
  <c r="BQ58" i="29"/>
  <c r="BQ59" i="29"/>
  <c r="BQ60" i="29"/>
  <c r="BQ61" i="29"/>
  <c r="BQ62" i="29"/>
  <c r="BQ63" i="29"/>
  <c r="BQ64" i="29"/>
  <c r="BQ65" i="29"/>
  <c r="BQ66" i="29"/>
  <c r="BQ67" i="29"/>
  <c r="BQ68" i="29"/>
  <c r="BQ69" i="29"/>
  <c r="BQ70" i="29"/>
  <c r="BQ71" i="29"/>
  <c r="BQ72" i="29"/>
  <c r="BQ73" i="29"/>
  <c r="BQ74" i="29"/>
  <c r="BQ75" i="29"/>
  <c r="BQ76" i="29"/>
  <c r="BQ77" i="29"/>
  <c r="BQ78" i="29"/>
  <c r="BQ79" i="29"/>
  <c r="BQ80" i="29"/>
  <c r="BQ81" i="29"/>
  <c r="BQ82" i="29"/>
  <c r="BQ83" i="29"/>
  <c r="BQ84" i="29"/>
  <c r="BQ85" i="29"/>
  <c r="BQ86" i="29"/>
  <c r="BQ87" i="29"/>
  <c r="BQ88" i="29"/>
  <c r="BQ89" i="29"/>
  <c r="BQ90" i="29"/>
  <c r="BQ91" i="29"/>
  <c r="BQ92" i="29"/>
  <c r="BQ93" i="29"/>
  <c r="BQ94" i="29"/>
  <c r="BQ95" i="29"/>
  <c r="BQ96" i="29"/>
  <c r="BQ97" i="29"/>
  <c r="BQ98" i="29"/>
  <c r="BQ99" i="29"/>
  <c r="BQ100" i="29"/>
  <c r="BQ101" i="29"/>
  <c r="BQ104" i="29"/>
  <c r="BQ105" i="29"/>
  <c r="BQ106" i="29"/>
  <c r="BQ102" i="29"/>
  <c r="BQ107" i="29"/>
  <c r="BQ108" i="29"/>
  <c r="BQ109" i="29"/>
  <c r="BQ110" i="29"/>
  <c r="BQ111" i="29"/>
  <c r="BQ112" i="29"/>
  <c r="BP29" i="29"/>
  <c r="BP20" i="29"/>
  <c r="BP38" i="29"/>
  <c r="BP31" i="29"/>
  <c r="BR31" i="29" s="1"/>
  <c r="BP39" i="29"/>
  <c r="BP28" i="29"/>
  <c r="BR28" i="29" s="1"/>
  <c r="BP11" i="29"/>
  <c r="BP13" i="29"/>
  <c r="BR13" i="29" s="1"/>
  <c r="BP24" i="29"/>
  <c r="BR24" i="29" s="1"/>
  <c r="BP27" i="29"/>
  <c r="BR27" i="29" s="1"/>
  <c r="BP19" i="29"/>
  <c r="BR19" i="29" s="1"/>
  <c r="BP21" i="29"/>
  <c r="BP17" i="29"/>
  <c r="BR17" i="29" s="1"/>
  <c r="BP22" i="29"/>
  <c r="BP12" i="29"/>
  <c r="BP9" i="29"/>
  <c r="BP14" i="29"/>
  <c r="BP30" i="29"/>
  <c r="BR30" i="29" s="1"/>
  <c r="BP26" i="29"/>
  <c r="BP25" i="29"/>
  <c r="BR25" i="29" s="1"/>
  <c r="BP34" i="29"/>
  <c r="BR34" i="29" s="1"/>
  <c r="BP35" i="29"/>
  <c r="BR35" i="29" s="1"/>
  <c r="BP15" i="29"/>
  <c r="BR15" i="29" s="1"/>
  <c r="BP23" i="29"/>
  <c r="BR23" i="29" s="1"/>
  <c r="BP18" i="29"/>
  <c r="BR18" i="29" s="1"/>
  <c r="BP32" i="29"/>
  <c r="BP33" i="29"/>
  <c r="BR33" i="29" s="1"/>
  <c r="BP36" i="29"/>
  <c r="BP37" i="29"/>
  <c r="BP10" i="29"/>
  <c r="BP16" i="29"/>
  <c r="BP103" i="29"/>
  <c r="BR103" i="29" s="1"/>
  <c r="BP40" i="29"/>
  <c r="BP41" i="29"/>
  <c r="BR41" i="29" s="1"/>
  <c r="BP42" i="29"/>
  <c r="BR42" i="29" s="1"/>
  <c r="BP43" i="29"/>
  <c r="BR43" i="29" s="1"/>
  <c r="BP44" i="29"/>
  <c r="BR44" i="29" s="1"/>
  <c r="BP45" i="29"/>
  <c r="BR45" i="29" s="1"/>
  <c r="BP46" i="29"/>
  <c r="BR46" i="29" s="1"/>
  <c r="BP47" i="29"/>
  <c r="BP48" i="29"/>
  <c r="BR48" i="29" s="1"/>
  <c r="BP49" i="29"/>
  <c r="BP50" i="29"/>
  <c r="BP51" i="29"/>
  <c r="BP52" i="29"/>
  <c r="BP53" i="29"/>
  <c r="BR53" i="29" s="1"/>
  <c r="BP54" i="29"/>
  <c r="BP55" i="29"/>
  <c r="BR55" i="29" s="1"/>
  <c r="BP56" i="29"/>
  <c r="BR56" i="29" s="1"/>
  <c r="BP57" i="29"/>
  <c r="BR57" i="29" s="1"/>
  <c r="BP58" i="29"/>
  <c r="BR58" i="29" s="1"/>
  <c r="BP59" i="29"/>
  <c r="BR59" i="29" s="1"/>
  <c r="BP60" i="29"/>
  <c r="BR60" i="29" s="1"/>
  <c r="BP61" i="29"/>
  <c r="BP62" i="29"/>
  <c r="BR62" i="29" s="1"/>
  <c r="BP63" i="29"/>
  <c r="BP64" i="29"/>
  <c r="BP65" i="29"/>
  <c r="BP66" i="29"/>
  <c r="BP67" i="29"/>
  <c r="BR67" i="29" s="1"/>
  <c r="BP68" i="29"/>
  <c r="BP69" i="29"/>
  <c r="BR69" i="29" s="1"/>
  <c r="BP70" i="29"/>
  <c r="BR70" i="29" s="1"/>
  <c r="BP71" i="29"/>
  <c r="BR71" i="29" s="1"/>
  <c r="BP72" i="29"/>
  <c r="BR72" i="29" s="1"/>
  <c r="BP73" i="29"/>
  <c r="BR73" i="29" s="1"/>
  <c r="BP74" i="29"/>
  <c r="BR74" i="29" s="1"/>
  <c r="BP75" i="29"/>
  <c r="BP76" i="29"/>
  <c r="BR76" i="29" s="1"/>
  <c r="BP77" i="29"/>
  <c r="BP78" i="29"/>
  <c r="BP79" i="29"/>
  <c r="BP80" i="29"/>
  <c r="BP81" i="29"/>
  <c r="BR81" i="29" s="1"/>
  <c r="BP82" i="29"/>
  <c r="BP83" i="29"/>
  <c r="BR83" i="29" s="1"/>
  <c r="BP84" i="29"/>
  <c r="BR84" i="29" s="1"/>
  <c r="BP85" i="29"/>
  <c r="BR85" i="29" s="1"/>
  <c r="BP86" i="29"/>
  <c r="BR86" i="29" s="1"/>
  <c r="BP87" i="29"/>
  <c r="BR87" i="29" s="1"/>
  <c r="BP88" i="29"/>
  <c r="BR88" i="29" s="1"/>
  <c r="BP89" i="29"/>
  <c r="BP90" i="29"/>
  <c r="BR90" i="29" s="1"/>
  <c r="BP91" i="29"/>
  <c r="BP92" i="29"/>
  <c r="BP93" i="29"/>
  <c r="BP94" i="29"/>
  <c r="BP95" i="29"/>
  <c r="BR95" i="29" s="1"/>
  <c r="BP96" i="29"/>
  <c r="BP97" i="29"/>
  <c r="BR97" i="29" s="1"/>
  <c r="BP98" i="29"/>
  <c r="BR98" i="29" s="1"/>
  <c r="BP99" i="29"/>
  <c r="BR99" i="29" s="1"/>
  <c r="BP100" i="29"/>
  <c r="BR100" i="29" s="1"/>
  <c r="BP101" i="29"/>
  <c r="BR101" i="29" s="1"/>
  <c r="BP104" i="29"/>
  <c r="BR104" i="29" s="1"/>
  <c r="BP105" i="29"/>
  <c r="BP106" i="29"/>
  <c r="BR106" i="29" s="1"/>
  <c r="BP102" i="29"/>
  <c r="BP107" i="29"/>
  <c r="BP108" i="29"/>
  <c r="BP109" i="29"/>
  <c r="BP110" i="29"/>
  <c r="BR110" i="29" s="1"/>
  <c r="BP111" i="29"/>
  <c r="BP112" i="29"/>
  <c r="BR112" i="29" s="1"/>
  <c r="AU102" i="29"/>
  <c r="AU41" i="29"/>
  <c r="AU42" i="29"/>
  <c r="AU43" i="29"/>
  <c r="AU44" i="29"/>
  <c r="AU45" i="29"/>
  <c r="AU46" i="29"/>
  <c r="AU47" i="29"/>
  <c r="AU48" i="29"/>
  <c r="AU49" i="29"/>
  <c r="AU50" i="29"/>
  <c r="AU51" i="29"/>
  <c r="AU52" i="29"/>
  <c r="AU53" i="29"/>
  <c r="AU54" i="29"/>
  <c r="AU55" i="29"/>
  <c r="AU56" i="29"/>
  <c r="AU57" i="29"/>
  <c r="AU58" i="29"/>
  <c r="AU59" i="29"/>
  <c r="AU60" i="29"/>
  <c r="AU61" i="29"/>
  <c r="AU62" i="29"/>
  <c r="AU63" i="29"/>
  <c r="AU64" i="29"/>
  <c r="AU65" i="29"/>
  <c r="AU66" i="29"/>
  <c r="AU67" i="29"/>
  <c r="AU68" i="29"/>
  <c r="AU69" i="29"/>
  <c r="AU70" i="29"/>
  <c r="AU71" i="29"/>
  <c r="AU72" i="29"/>
  <c r="AU73" i="29"/>
  <c r="AU74" i="29"/>
  <c r="AU75" i="29"/>
  <c r="AU76" i="29"/>
  <c r="AU77" i="29"/>
  <c r="AU78" i="29"/>
  <c r="AU79" i="29"/>
  <c r="AU80" i="29"/>
  <c r="AU81" i="29"/>
  <c r="AU82" i="29"/>
  <c r="AU83" i="29"/>
  <c r="AU84" i="29"/>
  <c r="AU85" i="29"/>
  <c r="AU86" i="29"/>
  <c r="AU87" i="29"/>
  <c r="AU88" i="29"/>
  <c r="AU89" i="29"/>
  <c r="AU90" i="29"/>
  <c r="AU91" i="29"/>
  <c r="AU92" i="29"/>
  <c r="AU93" i="29"/>
  <c r="AU94" i="29"/>
  <c r="AU95" i="29"/>
  <c r="AU96" i="29"/>
  <c r="AU97" i="29"/>
  <c r="AU98" i="29"/>
  <c r="AU99" i="29"/>
  <c r="AU100" i="29"/>
  <c r="AU101" i="29"/>
  <c r="AU40" i="29"/>
  <c r="B90" i="26" a="1"/>
  <c r="B90" i="26" s="1"/>
  <c r="B89" i="26" a="1"/>
  <c r="B89" i="26" s="1"/>
  <c r="B88" i="26" a="1"/>
  <c r="B88" i="26" s="1"/>
  <c r="B87" i="26" a="1"/>
  <c r="B87" i="26" s="1"/>
  <c r="B86" i="26" a="1"/>
  <c r="B86" i="26" s="1"/>
  <c r="B85" i="26" a="1"/>
  <c r="B85" i="26" s="1"/>
  <c r="B38" i="26" a="1"/>
  <c r="B38" i="26" s="1"/>
  <c r="B54" i="26" a="1"/>
  <c r="B54" i="26" s="1"/>
  <c r="B43" i="26" a="1"/>
  <c r="B43" i="26" s="1"/>
  <c r="B37" i="26" a="1"/>
  <c r="B37" i="26" s="1"/>
  <c r="B84" i="26" a="1"/>
  <c r="B84" i="26" s="1"/>
  <c r="B83" i="26" a="1"/>
  <c r="B83" i="26" s="1"/>
  <c r="B82" i="26" a="1"/>
  <c r="B82" i="26" s="1"/>
  <c r="B13" i="26" a="1"/>
  <c r="B13" i="26" s="1"/>
  <c r="B81" i="26" a="1"/>
  <c r="B81" i="26" s="1"/>
  <c r="B80" i="26" a="1"/>
  <c r="B80" i="26" s="1"/>
  <c r="B23" i="26" a="1"/>
  <c r="B23" i="26" s="1"/>
  <c r="B22" i="26" a="1"/>
  <c r="B22" i="26" s="1"/>
  <c r="B21" i="26" a="1"/>
  <c r="B21" i="26" s="1"/>
  <c r="B79" i="26" a="1"/>
  <c r="B79" i="26" s="1"/>
  <c r="B26" i="26" a="1"/>
  <c r="B26" i="26" s="1"/>
  <c r="B33" i="26" a="1"/>
  <c r="B33" i="26" s="1"/>
  <c r="B78" i="26" a="1"/>
  <c r="B78" i="26" s="1"/>
  <c r="B77" i="26" a="1"/>
  <c r="B77" i="26" s="1"/>
  <c r="B76" i="26" a="1"/>
  <c r="B76" i="26" s="1"/>
  <c r="B75" i="26" a="1"/>
  <c r="B75" i="26" s="1"/>
  <c r="B74" i="26" a="1"/>
  <c r="B74" i="26" s="1"/>
  <c r="B73" i="26" a="1"/>
  <c r="B73" i="26" s="1"/>
  <c r="B72" i="26" a="1"/>
  <c r="B72" i="26" s="1"/>
  <c r="B42" i="26" a="1"/>
  <c r="B42" i="26" s="1"/>
  <c r="B19" i="26" a="1"/>
  <c r="B19" i="26" s="1"/>
  <c r="B62" i="26" a="1"/>
  <c r="B62" i="26" s="1"/>
  <c r="B30" i="26" a="1"/>
  <c r="B30" i="26" s="1"/>
  <c r="B24" i="26" a="1"/>
  <c r="B24" i="26" s="1"/>
  <c r="J3" i="26" a="1"/>
  <c r="J3" i="26" s="1"/>
  <c r="J225" i="26"/>
  <c r="D18" i="26"/>
  <c r="E18" i="26"/>
  <c r="D24" i="26"/>
  <c r="E24" i="26"/>
  <c r="D30" i="26"/>
  <c r="E30" i="26"/>
  <c r="D62" i="26"/>
  <c r="E62" i="26"/>
  <c r="D19" i="26"/>
  <c r="E19" i="26"/>
  <c r="D42" i="26"/>
  <c r="E42" i="26"/>
  <c r="D72" i="26"/>
  <c r="E72" i="26"/>
  <c r="D73" i="26"/>
  <c r="E73" i="26"/>
  <c r="D74" i="26"/>
  <c r="E74" i="26"/>
  <c r="D75" i="26"/>
  <c r="E75" i="26"/>
  <c r="D76" i="26"/>
  <c r="E76" i="26"/>
  <c r="D77" i="26"/>
  <c r="E77" i="26"/>
  <c r="D78" i="26"/>
  <c r="E78" i="26"/>
  <c r="D33" i="26"/>
  <c r="E33" i="26"/>
  <c r="D26" i="26"/>
  <c r="E26" i="26"/>
  <c r="D79" i="26"/>
  <c r="E79" i="26"/>
  <c r="D21" i="26"/>
  <c r="E21" i="26"/>
  <c r="D22" i="26"/>
  <c r="E22" i="26"/>
  <c r="D23" i="26"/>
  <c r="E23" i="26"/>
  <c r="D80" i="26"/>
  <c r="E80" i="26"/>
  <c r="D81" i="26"/>
  <c r="E81" i="26"/>
  <c r="D13" i="26"/>
  <c r="E13" i="26"/>
  <c r="D82" i="26"/>
  <c r="E82" i="26"/>
  <c r="D83" i="26"/>
  <c r="E83" i="26"/>
  <c r="D84" i="26"/>
  <c r="E84" i="26"/>
  <c r="D37" i="26"/>
  <c r="E37" i="26"/>
  <c r="D43" i="26"/>
  <c r="E43" i="26"/>
  <c r="D54" i="26"/>
  <c r="E54" i="26"/>
  <c r="D38" i="26"/>
  <c r="E38" i="26"/>
  <c r="D85" i="26"/>
  <c r="E85" i="26"/>
  <c r="D86" i="26"/>
  <c r="E86" i="26"/>
  <c r="D87" i="26"/>
  <c r="E87" i="26"/>
  <c r="D88" i="26"/>
  <c r="E88" i="26"/>
  <c r="D89" i="26"/>
  <c r="E89" i="26"/>
  <c r="D90" i="26"/>
  <c r="E90" i="26"/>
  <c r="H2" i="26"/>
  <c r="B5" i="26"/>
  <c r="B27" i="27" a="1"/>
  <c r="B27" i="27" s="1"/>
  <c r="B36" i="27" a="1"/>
  <c r="B36" i="27" s="1"/>
  <c r="B73" i="27" a="1"/>
  <c r="B73" i="27" s="1"/>
  <c r="B84" i="27" a="1"/>
  <c r="B84" i="27" s="1"/>
  <c r="B94" i="27" a="1"/>
  <c r="B94" i="27" s="1"/>
  <c r="B88" i="27" a="1"/>
  <c r="B88" i="27" s="1"/>
  <c r="B92" i="27" a="1"/>
  <c r="B92" i="27" s="1"/>
  <c r="B93" i="27" a="1"/>
  <c r="B93" i="27" s="1"/>
  <c r="B25" i="27" a="1"/>
  <c r="B25" i="27" s="1"/>
  <c r="B69" i="27" a="1"/>
  <c r="B69" i="27" s="1"/>
  <c r="B15" i="27" a="1"/>
  <c r="B15" i="27" s="1"/>
  <c r="B87" i="27" a="1"/>
  <c r="B87" i="27" s="1"/>
  <c r="B74" i="27" a="1"/>
  <c r="B74" i="27" s="1"/>
  <c r="B68" i="27" a="1"/>
  <c r="B68" i="27" s="1"/>
  <c r="B60" i="27" a="1"/>
  <c r="B60" i="27" s="1"/>
  <c r="B55" i="27" a="1"/>
  <c r="B55" i="27" s="1"/>
  <c r="B12" i="27" a="1"/>
  <c r="B12" i="27" s="1"/>
  <c r="B61" i="27" a="1"/>
  <c r="B61" i="27" s="1"/>
  <c r="B33" i="27" a="1"/>
  <c r="B33" i="27" s="1"/>
  <c r="B130" i="27" a="1"/>
  <c r="B130" i="27" s="1"/>
  <c r="B125" i="27" a="1"/>
  <c r="B125" i="27" s="1"/>
  <c r="B10" i="27" a="1"/>
  <c r="B10" i="27" s="1"/>
  <c r="B13" i="27" a="1"/>
  <c r="B13" i="27" s="1"/>
  <c r="B96" i="27" a="1"/>
  <c r="B96" i="27" s="1"/>
  <c r="B20" i="27" a="1"/>
  <c r="B20" i="27" s="1"/>
  <c r="B52" i="27" a="1"/>
  <c r="B52" i="27" s="1"/>
  <c r="B124" i="27" a="1"/>
  <c r="B124" i="27" s="1"/>
  <c r="B37" i="27" a="1"/>
  <c r="B37" i="27" s="1"/>
  <c r="B128" i="27" a="1"/>
  <c r="B128" i="27" s="1"/>
  <c r="B115" i="27" a="1"/>
  <c r="B115" i="27" s="1"/>
  <c r="B114" i="27" a="1"/>
  <c r="B114" i="27" s="1"/>
  <c r="B101" i="27" a="1"/>
  <c r="B101" i="27" s="1"/>
  <c r="B40" i="27" a="1"/>
  <c r="B40" i="27" s="1"/>
  <c r="B14" i="27" a="1"/>
  <c r="B14" i="27" s="1"/>
  <c r="J3" i="27" a="1"/>
  <c r="J3" i="27" s="1"/>
  <c r="C86" i="27" s="1"/>
  <c r="J139" i="27"/>
  <c r="D9" i="27"/>
  <c r="E9" i="27"/>
  <c r="D14" i="27"/>
  <c r="E14" i="27"/>
  <c r="G14" i="27"/>
  <c r="D40" i="27"/>
  <c r="E40" i="27"/>
  <c r="D101" i="27"/>
  <c r="E101" i="27"/>
  <c r="D114" i="27"/>
  <c r="E114" i="27"/>
  <c r="D115" i="27"/>
  <c r="E115" i="27"/>
  <c r="G115" i="27"/>
  <c r="D128" i="27"/>
  <c r="E128" i="27"/>
  <c r="D37" i="27"/>
  <c r="E37" i="27"/>
  <c r="D124" i="27"/>
  <c r="E124" i="27"/>
  <c r="G124" i="27"/>
  <c r="D52" i="27"/>
  <c r="E52" i="27"/>
  <c r="D20" i="27"/>
  <c r="E20" i="27"/>
  <c r="D96" i="27"/>
  <c r="E96" i="27"/>
  <c r="D13" i="27"/>
  <c r="E13" i="27"/>
  <c r="G13" i="27"/>
  <c r="D10" i="27"/>
  <c r="E10" i="27"/>
  <c r="G10" i="27"/>
  <c r="D125" i="27"/>
  <c r="E125" i="27"/>
  <c r="D130" i="27"/>
  <c r="E130" i="27"/>
  <c r="D33" i="27"/>
  <c r="E33" i="27"/>
  <c r="D61" i="27"/>
  <c r="E61" i="27"/>
  <c r="D12" i="27"/>
  <c r="E12" i="27"/>
  <c r="D55" i="27"/>
  <c r="E55" i="27"/>
  <c r="D60" i="27"/>
  <c r="E60" i="27"/>
  <c r="D68" i="27"/>
  <c r="E68" i="27"/>
  <c r="G68" i="27"/>
  <c r="D74" i="27"/>
  <c r="E74" i="27"/>
  <c r="D87" i="27"/>
  <c r="E87" i="27"/>
  <c r="D15" i="27"/>
  <c r="E15" i="27"/>
  <c r="G15" i="27"/>
  <c r="D69" i="27"/>
  <c r="E69" i="27"/>
  <c r="D25" i="27"/>
  <c r="E25" i="27"/>
  <c r="D93" i="27"/>
  <c r="E93" i="27"/>
  <c r="D92" i="27"/>
  <c r="E92" i="27"/>
  <c r="G92" i="27"/>
  <c r="D88" i="27"/>
  <c r="E88" i="27"/>
  <c r="G88" i="27"/>
  <c r="D94" i="27"/>
  <c r="E94" i="27"/>
  <c r="D84" i="27"/>
  <c r="E84" i="27"/>
  <c r="D73" i="27"/>
  <c r="E73" i="27"/>
  <c r="D36" i="27"/>
  <c r="E36" i="27"/>
  <c r="G36" i="27"/>
  <c r="D27" i="27"/>
  <c r="E27" i="27"/>
  <c r="H2" i="27"/>
  <c r="B43" i="28" a="1"/>
  <c r="B43" i="28" s="1"/>
  <c r="B42" i="28" a="1"/>
  <c r="B42" i="28" s="1"/>
  <c r="B41" i="28" a="1"/>
  <c r="B41" i="28" s="1"/>
  <c r="B40" i="28" a="1"/>
  <c r="B40" i="28" s="1"/>
  <c r="B39" i="28" a="1"/>
  <c r="B39" i="28" s="1"/>
  <c r="B38" i="28" a="1"/>
  <c r="B38" i="28" s="1"/>
  <c r="B37" i="28" a="1"/>
  <c r="B37" i="28" s="1"/>
  <c r="B36" i="28" a="1"/>
  <c r="B36" i="28" s="1"/>
  <c r="B35" i="28" a="1"/>
  <c r="B35" i="28" s="1"/>
  <c r="B34" i="28" a="1"/>
  <c r="B34" i="28" s="1"/>
  <c r="B33" i="28" a="1"/>
  <c r="B33" i="28" s="1"/>
  <c r="B32" i="28" a="1"/>
  <c r="B32" i="28" s="1"/>
  <c r="B31" i="28" a="1"/>
  <c r="B31" i="28" s="1"/>
  <c r="B30" i="28" a="1"/>
  <c r="B30" i="28" s="1"/>
  <c r="B29" i="28" a="1"/>
  <c r="B29" i="28" s="1"/>
  <c r="B28" i="28" a="1"/>
  <c r="B28" i="28" s="1"/>
  <c r="B27" i="28" a="1"/>
  <c r="B27" i="28" s="1"/>
  <c r="B26" i="28" a="1"/>
  <c r="B26" i="28" s="1"/>
  <c r="B25" i="28" a="1"/>
  <c r="B25" i="28" s="1"/>
  <c r="B24" i="28" a="1"/>
  <c r="B24" i="28" s="1"/>
  <c r="B23" i="28" a="1"/>
  <c r="B23" i="28" s="1"/>
  <c r="B22" i="28" a="1"/>
  <c r="B22" i="28" s="1"/>
  <c r="B21" i="28" a="1"/>
  <c r="B21" i="28" s="1"/>
  <c r="B20" i="28" a="1"/>
  <c r="B20" i="28" s="1"/>
  <c r="B19" i="28" a="1"/>
  <c r="B19" i="28" s="1"/>
  <c r="B18" i="28" a="1"/>
  <c r="B18" i="28" s="1"/>
  <c r="B17" i="28" a="1"/>
  <c r="B17" i="28" s="1"/>
  <c r="B16" i="28" a="1"/>
  <c r="B16" i="28" s="1"/>
  <c r="B15" i="28" a="1"/>
  <c r="B15" i="28" s="1"/>
  <c r="B14" i="28" a="1"/>
  <c r="B14" i="28" s="1"/>
  <c r="B13" i="28" a="1"/>
  <c r="B13" i="28" s="1"/>
  <c r="B12" i="28" a="1"/>
  <c r="B12" i="28" s="1"/>
  <c r="B11" i="28" a="1"/>
  <c r="B11" i="28" s="1"/>
  <c r="B10" i="28" a="1"/>
  <c r="B10" i="28" s="1"/>
  <c r="J3" i="28" a="1"/>
  <c r="J3" i="28" s="1"/>
  <c r="C111" i="28" s="1"/>
  <c r="J267" i="28"/>
  <c r="D9" i="28"/>
  <c r="B5" i="28"/>
  <c r="E9" i="28"/>
  <c r="D10" i="28"/>
  <c r="E10" i="28"/>
  <c r="G10" i="28"/>
  <c r="D11" i="28"/>
  <c r="E11" i="28"/>
  <c r="D12" i="28"/>
  <c r="E12" i="28"/>
  <c r="G12" i="28"/>
  <c r="D13" i="28"/>
  <c r="E13" i="28"/>
  <c r="D14" i="28"/>
  <c r="E14" i="28"/>
  <c r="G14" i="28"/>
  <c r="D15" i="28"/>
  <c r="E15" i="28"/>
  <c r="D16" i="28"/>
  <c r="E16" i="28"/>
  <c r="D17" i="28"/>
  <c r="E17" i="28"/>
  <c r="G17" i="28"/>
  <c r="D18" i="28"/>
  <c r="E18" i="28"/>
  <c r="D19" i="28"/>
  <c r="E19" i="28"/>
  <c r="D20" i="28"/>
  <c r="E20" i="28"/>
  <c r="D21" i="28"/>
  <c r="E21" i="28"/>
  <c r="G21" i="28"/>
  <c r="D22" i="28"/>
  <c r="E22" i="28"/>
  <c r="G22" i="28"/>
  <c r="D23" i="28"/>
  <c r="E23" i="28"/>
  <c r="D24" i="28"/>
  <c r="E24" i="28"/>
  <c r="D25" i="28"/>
  <c r="E25" i="28"/>
  <c r="D26" i="28"/>
  <c r="E26" i="28"/>
  <c r="D27" i="28"/>
  <c r="E27" i="28"/>
  <c r="D28" i="28"/>
  <c r="E28" i="28"/>
  <c r="G28" i="28"/>
  <c r="D29" i="28"/>
  <c r="E29" i="28"/>
  <c r="D30" i="28"/>
  <c r="E30" i="28"/>
  <c r="G30" i="28"/>
  <c r="D31" i="28"/>
  <c r="E31" i="28"/>
  <c r="D32" i="28"/>
  <c r="E32" i="28"/>
  <c r="G32" i="28"/>
  <c r="D33" i="28"/>
  <c r="E33" i="28"/>
  <c r="G33" i="28"/>
  <c r="D34" i="28"/>
  <c r="E34" i="28"/>
  <c r="D35" i="28"/>
  <c r="E35" i="28"/>
  <c r="D36" i="28"/>
  <c r="E36" i="28"/>
  <c r="D37" i="28"/>
  <c r="E37" i="28"/>
  <c r="G37" i="28"/>
  <c r="D38" i="28"/>
  <c r="E38" i="28"/>
  <c r="G38" i="28"/>
  <c r="D39" i="28"/>
  <c r="E39" i="28"/>
  <c r="D40" i="28"/>
  <c r="E40" i="28"/>
  <c r="D41" i="28"/>
  <c r="E41" i="28"/>
  <c r="D42" i="28"/>
  <c r="E42" i="28"/>
  <c r="G42" i="28"/>
  <c r="D43" i="28"/>
  <c r="E43" i="28"/>
  <c r="H2" i="28"/>
  <c r="B93" i="26" a="1"/>
  <c r="B93" i="26" s="1"/>
  <c r="G39" i="26"/>
  <c r="G93" i="27"/>
  <c r="G32" i="26"/>
  <c r="G28" i="26"/>
  <c r="G12" i="27"/>
  <c r="G88" i="26"/>
  <c r="G96" i="27"/>
  <c r="G15" i="26"/>
  <c r="G88" i="28"/>
  <c r="G48" i="26"/>
  <c r="G77" i="27"/>
  <c r="G80" i="26"/>
  <c r="G121" i="27"/>
  <c r="G54" i="26"/>
  <c r="G59" i="26"/>
  <c r="G60" i="26"/>
  <c r="G48" i="28"/>
  <c r="G95" i="27"/>
  <c r="G58" i="26"/>
  <c r="G78" i="27"/>
  <c r="G81" i="26"/>
  <c r="G61" i="27"/>
  <c r="G81" i="28"/>
  <c r="G101" i="27"/>
  <c r="G24" i="26"/>
  <c r="G26" i="28"/>
  <c r="G50" i="27"/>
  <c r="G37" i="27"/>
  <c r="G44" i="27"/>
  <c r="G23" i="26"/>
  <c r="G105" i="27"/>
  <c r="G84" i="27"/>
  <c r="G19" i="27"/>
  <c r="G69" i="27"/>
  <c r="G106" i="27"/>
  <c r="G33" i="27"/>
  <c r="G30" i="27"/>
  <c r="G116" i="27"/>
  <c r="G43" i="27"/>
  <c r="G86" i="27"/>
  <c r="B5" i="27"/>
  <c r="G29" i="26"/>
  <c r="G30" i="26"/>
  <c r="G41" i="26"/>
  <c r="G60" i="27"/>
  <c r="G26" i="26"/>
  <c r="G37" i="26"/>
  <c r="G87" i="27"/>
  <c r="G55" i="27"/>
  <c r="G130" i="27"/>
  <c r="G18" i="26"/>
  <c r="G52" i="27"/>
  <c r="G13" i="26"/>
  <c r="G40" i="26"/>
  <c r="G19" i="26"/>
  <c r="G34" i="28"/>
  <c r="G18" i="28"/>
  <c r="G73" i="27"/>
  <c r="G114" i="27"/>
  <c r="G20" i="26"/>
  <c r="G25" i="26"/>
  <c r="G31" i="26"/>
  <c r="G42" i="26"/>
  <c r="G29" i="28"/>
  <c r="G25" i="28"/>
  <c r="G13" i="28"/>
  <c r="G21" i="26"/>
  <c r="G10" i="26"/>
  <c r="G43" i="26"/>
  <c r="G20" i="28"/>
  <c r="G35" i="26"/>
  <c r="G36" i="26"/>
  <c r="G16" i="26"/>
  <c r="G38" i="26"/>
  <c r="G40" i="28"/>
  <c r="G36" i="28"/>
  <c r="G24" i="28"/>
  <c r="G16" i="28"/>
  <c r="G11" i="26"/>
  <c r="G27" i="27"/>
  <c r="G94" i="27"/>
  <c r="G25" i="27"/>
  <c r="G74" i="27"/>
  <c r="G125" i="27"/>
  <c r="G20" i="27"/>
  <c r="G128" i="27"/>
  <c r="G40" i="27"/>
  <c r="G14" i="26"/>
  <c r="G41" i="28"/>
  <c r="G34" i="26"/>
  <c r="G22" i="26"/>
  <c r="G27" i="26"/>
  <c r="G17" i="26"/>
  <c r="G33" i="26"/>
  <c r="G12" i="26"/>
  <c r="G43" i="28"/>
  <c r="G39" i="28"/>
  <c r="G35" i="28"/>
  <c r="G31" i="28"/>
  <c r="G27" i="28"/>
  <c r="G23" i="28"/>
  <c r="G19" i="28"/>
  <c r="G15" i="28"/>
  <c r="G11" i="28"/>
  <c r="BU19" i="29"/>
  <c r="BV19" i="29" s="1"/>
  <c r="BU31" i="29"/>
  <c r="BV31" i="29" s="1"/>
  <c r="B48" i="28" a="1"/>
  <c r="B48" i="28" s="1"/>
  <c r="B61" i="26" a="1"/>
  <c r="B61" i="26" s="1"/>
  <c r="K6" i="29"/>
  <c r="B5" i="29"/>
  <c r="AP4" i="29"/>
  <c r="AO4" i="29"/>
  <c r="AN4" i="29"/>
  <c r="AM4" i="29"/>
  <c r="AL4" i="29"/>
  <c r="AK4" i="29"/>
  <c r="AJ4" i="29"/>
  <c r="AI4" i="29"/>
  <c r="AH4" i="29"/>
  <c r="AG4" i="29"/>
  <c r="AE4" i="29"/>
  <c r="AD4" i="29"/>
  <c r="AC4" i="29"/>
  <c r="AB4" i="29"/>
  <c r="AA4" i="29"/>
  <c r="Z4" i="29"/>
  <c r="Y4" i="29"/>
  <c r="X4" i="29"/>
  <c r="W4" i="29"/>
  <c r="V4" i="29"/>
  <c r="U4" i="29"/>
  <c r="T4" i="29"/>
  <c r="AP3" i="29"/>
  <c r="AO3" i="29"/>
  <c r="AN3" i="29"/>
  <c r="AM3" i="29"/>
  <c r="AL3" i="29"/>
  <c r="AK3" i="29"/>
  <c r="AJ3" i="29"/>
  <c r="AI3" i="29"/>
  <c r="AH3" i="29"/>
  <c r="AG3" i="29"/>
  <c r="AE3" i="29"/>
  <c r="AD3" i="29"/>
  <c r="AC3" i="29"/>
  <c r="AB3" i="29"/>
  <c r="AA3" i="29"/>
  <c r="Z3" i="29"/>
  <c r="Y3" i="29"/>
  <c r="X3" i="29"/>
  <c r="W3" i="29"/>
  <c r="V3" i="29"/>
  <c r="U3" i="29"/>
  <c r="T3" i="29"/>
  <c r="J3" i="29" a="1"/>
  <c r="J3" i="29" s="1"/>
  <c r="H2" i="29"/>
  <c r="A5" i="29"/>
  <c r="K11" i="22" a="1"/>
  <c r="K11" i="22"/>
  <c r="B5" i="5"/>
  <c r="B4" i="5"/>
  <c r="B8" i="5"/>
  <c r="B6" i="5"/>
  <c r="B7" i="5"/>
  <c r="B9" i="5"/>
  <c r="B10" i="5"/>
  <c r="B11" i="5"/>
  <c r="B12" i="5"/>
  <c r="AV10" i="26"/>
  <c r="BQ113" i="29"/>
  <c r="AF4" i="29"/>
  <c r="AF3" i="29"/>
  <c r="BS42" i="29"/>
  <c r="BU42" i="29" s="1"/>
  <c r="BV42" i="29" s="1"/>
  <c r="BS43" i="29"/>
  <c r="BU43" i="29" s="1"/>
  <c r="BV43" i="29" s="1"/>
  <c r="BS44" i="29"/>
  <c r="BU44" i="29" s="1"/>
  <c r="BV44" i="29" s="1"/>
  <c r="BS45" i="29"/>
  <c r="BU45" i="29" s="1"/>
  <c r="BV45" i="29" s="1"/>
  <c r="BS46" i="29"/>
  <c r="BU46" i="29" s="1"/>
  <c r="BV46" i="29" s="1"/>
  <c r="BS47" i="29"/>
  <c r="BU47" i="29" s="1"/>
  <c r="BV47" i="29" s="1"/>
  <c r="BS48" i="29"/>
  <c r="BU48" i="29" s="1"/>
  <c r="BV48" i="29" s="1"/>
  <c r="BS49" i="29"/>
  <c r="BU49" i="29" s="1"/>
  <c r="BV49" i="29" s="1"/>
  <c r="BS50" i="29"/>
  <c r="BU50" i="29" s="1"/>
  <c r="BV50" i="29" s="1"/>
  <c r="BS51" i="29"/>
  <c r="BU51" i="29" s="1"/>
  <c r="BV51" i="29" s="1"/>
  <c r="BS52" i="29"/>
  <c r="BU52" i="29" s="1"/>
  <c r="BV52" i="29" s="1"/>
  <c r="BS53" i="29"/>
  <c r="BU53" i="29" s="1"/>
  <c r="BV53" i="29" s="1"/>
  <c r="BS54" i="29"/>
  <c r="BU54" i="29" s="1"/>
  <c r="BV54" i="29" s="1"/>
  <c r="BS55" i="29"/>
  <c r="BU55" i="29" s="1"/>
  <c r="BV55" i="29" s="1"/>
  <c r="BS56" i="29"/>
  <c r="BU56" i="29" s="1"/>
  <c r="BV56" i="29" s="1"/>
  <c r="BS57" i="29"/>
  <c r="BU57" i="29" s="1"/>
  <c r="BV57" i="29" s="1"/>
  <c r="BS58" i="29"/>
  <c r="BU58" i="29" s="1"/>
  <c r="BV58" i="29" s="1"/>
  <c r="BS59" i="29"/>
  <c r="BU59" i="29" s="1"/>
  <c r="BV59" i="29" s="1"/>
  <c r="BS60" i="29"/>
  <c r="BU60" i="29" s="1"/>
  <c r="BV60" i="29" s="1"/>
  <c r="BS40" i="29"/>
  <c r="BU40" i="29" s="1"/>
  <c r="BV40" i="29" s="1"/>
  <c r="BS61" i="29"/>
  <c r="BU61" i="29" s="1"/>
  <c r="BV61" i="29" s="1"/>
  <c r="BS62" i="29"/>
  <c r="BU62" i="29" s="1"/>
  <c r="BV62" i="29" s="1"/>
  <c r="BS63" i="29"/>
  <c r="BU63" i="29" s="1"/>
  <c r="BV63" i="29" s="1"/>
  <c r="BS64" i="29"/>
  <c r="BU64" i="29" s="1"/>
  <c r="BV64" i="29" s="1"/>
  <c r="BS65" i="29"/>
  <c r="BU65" i="29" s="1"/>
  <c r="BV65" i="29" s="1"/>
  <c r="BS66" i="29"/>
  <c r="BU66" i="29" s="1"/>
  <c r="BV66" i="29" s="1"/>
  <c r="BS67" i="29"/>
  <c r="BU67" i="29" s="1"/>
  <c r="BV67" i="29" s="1"/>
  <c r="BS68" i="29"/>
  <c r="BU68" i="29" s="1"/>
  <c r="BV68" i="29" s="1"/>
  <c r="BS69" i="29"/>
  <c r="BU69" i="29" s="1"/>
  <c r="BV69" i="29" s="1"/>
  <c r="BS70" i="29"/>
  <c r="BU70" i="29" s="1"/>
  <c r="BV70" i="29" s="1"/>
  <c r="BS71" i="29"/>
  <c r="BU71" i="29" s="1"/>
  <c r="BV71" i="29" s="1"/>
  <c r="BS72" i="29"/>
  <c r="BU72" i="29" s="1"/>
  <c r="BV72" i="29" s="1"/>
  <c r="BS73" i="29"/>
  <c r="BU73" i="29" s="1"/>
  <c r="BV73" i="29" s="1"/>
  <c r="BS74" i="29"/>
  <c r="BU74" i="29" s="1"/>
  <c r="BV74" i="29" s="1"/>
  <c r="BS75" i="29"/>
  <c r="BU75" i="29" s="1"/>
  <c r="BV75" i="29" s="1"/>
  <c r="BS76" i="29"/>
  <c r="BU76" i="29" s="1"/>
  <c r="BV76" i="29" s="1"/>
  <c r="BS77" i="29"/>
  <c r="BU77" i="29" s="1"/>
  <c r="BV77" i="29" s="1"/>
  <c r="BS78" i="29"/>
  <c r="BU78" i="29" s="1"/>
  <c r="BV78" i="29" s="1"/>
  <c r="BS79" i="29"/>
  <c r="BU79" i="29" s="1"/>
  <c r="BV79" i="29" s="1"/>
  <c r="BS80" i="29"/>
  <c r="BU80" i="29" s="1"/>
  <c r="BV80" i="29" s="1"/>
  <c r="BS81" i="29"/>
  <c r="BU81" i="29" s="1"/>
  <c r="BV81" i="29" s="1"/>
  <c r="BS82" i="29"/>
  <c r="BU82" i="29" s="1"/>
  <c r="BV82" i="29" s="1"/>
  <c r="BS83" i="29"/>
  <c r="BU83" i="29" s="1"/>
  <c r="BV83" i="29" s="1"/>
  <c r="BS84" i="29"/>
  <c r="BU84" i="29" s="1"/>
  <c r="BV84" i="29" s="1"/>
  <c r="BS85" i="29"/>
  <c r="BU85" i="29" s="1"/>
  <c r="BV85" i="29" s="1"/>
  <c r="BS86" i="29"/>
  <c r="BU86" i="29" s="1"/>
  <c r="BV86" i="29" s="1"/>
  <c r="BS87" i="29"/>
  <c r="BU87" i="29" s="1"/>
  <c r="BV87" i="29" s="1"/>
  <c r="BS88" i="29"/>
  <c r="BU88" i="29" s="1"/>
  <c r="BV88" i="29" s="1"/>
  <c r="BS89" i="29"/>
  <c r="BU89" i="29" s="1"/>
  <c r="BV89" i="29" s="1"/>
  <c r="BS90" i="29"/>
  <c r="BU90" i="29" s="1"/>
  <c r="BV90" i="29" s="1"/>
  <c r="BS91" i="29"/>
  <c r="BU91" i="29" s="1"/>
  <c r="BV91" i="29" s="1"/>
  <c r="BS92" i="29"/>
  <c r="BU92" i="29" s="1"/>
  <c r="BV92" i="29" s="1"/>
  <c r="BS102" i="29"/>
  <c r="BU102" i="29" s="1"/>
  <c r="BV102" i="29" s="1"/>
  <c r="BS93" i="29"/>
  <c r="BU93" i="29" s="1"/>
  <c r="BV93" i="29" s="1"/>
  <c r="BS94" i="29"/>
  <c r="BU94" i="29" s="1"/>
  <c r="BV94" i="29" s="1"/>
  <c r="BS95" i="29"/>
  <c r="BU95" i="29" s="1"/>
  <c r="BV95" i="29" s="1"/>
  <c r="BS96" i="29"/>
  <c r="BU96" i="29" s="1"/>
  <c r="BV96" i="29" s="1"/>
  <c r="BS97" i="29"/>
  <c r="BU97" i="29" s="1"/>
  <c r="BV97" i="29" s="1"/>
  <c r="BS98" i="29"/>
  <c r="BU98" i="29" s="1"/>
  <c r="BV98" i="29" s="1"/>
  <c r="BS41" i="29"/>
  <c r="BU41" i="29" s="1"/>
  <c r="BV41" i="29" s="1"/>
  <c r="BS99" i="29"/>
  <c r="BU99" i="29" s="1"/>
  <c r="BV99" i="29" s="1"/>
  <c r="BS100" i="29"/>
  <c r="BU100" i="29" s="1"/>
  <c r="BV100" i="29" s="1"/>
  <c r="BS101" i="29"/>
  <c r="BU101" i="29" s="1"/>
  <c r="BV101" i="29" s="1"/>
  <c r="C86" i="31"/>
  <c r="E86" i="31"/>
  <c r="E89" i="31"/>
  <c r="G79" i="31"/>
  <c r="F86" i="31"/>
  <c r="D85" i="31"/>
  <c r="G81" i="31"/>
  <c r="B82" i="31"/>
  <c r="D80" i="31"/>
  <c r="G87" i="31"/>
  <c r="E46" i="31"/>
  <c r="E79" i="31"/>
  <c r="D79" i="31"/>
  <c r="G86" i="31"/>
  <c r="E85" i="31"/>
  <c r="C47" i="31"/>
  <c r="G46" i="31"/>
  <c r="C45" i="31"/>
  <c r="E80" i="31"/>
  <c r="D87" i="31"/>
  <c r="F81" i="31"/>
  <c r="G47" i="31"/>
  <c r="G89" i="31"/>
  <c r="D46" i="31"/>
  <c r="C81" i="31"/>
  <c r="C89" i="31"/>
  <c r="C84" i="31"/>
  <c r="F87" i="31"/>
  <c r="B79" i="31"/>
  <c r="E45" i="31"/>
  <c r="E84" i="31"/>
  <c r="F80" i="31"/>
  <c r="G82" i="31"/>
  <c r="F85" i="31"/>
  <c r="F82" i="31"/>
  <c r="D89" i="31"/>
  <c r="B81" i="31"/>
  <c r="D86" i="31"/>
  <c r="C87" i="31"/>
  <c r="B89" i="31"/>
  <c r="G85" i="31"/>
  <c r="E47" i="31"/>
  <c r="D82" i="31"/>
  <c r="B84" i="31"/>
  <c r="B87" i="31"/>
  <c r="D47" i="31"/>
  <c r="C80" i="31"/>
  <c r="G45" i="31"/>
  <c r="F79" i="31"/>
  <c r="C46" i="31"/>
  <c r="B85" i="31"/>
  <c r="F46" i="31"/>
  <c r="E82" i="31"/>
  <c r="G80" i="31"/>
  <c r="D81" i="31"/>
  <c r="F45" i="31"/>
  <c r="F89" i="31"/>
  <c r="F47" i="31"/>
  <c r="E81" i="31"/>
  <c r="D84" i="31"/>
  <c r="F84" i="31"/>
  <c r="C79" i="31"/>
  <c r="C82" i="31"/>
  <c r="C85" i="31"/>
  <c r="E87" i="31"/>
  <c r="B80" i="31"/>
  <c r="G84" i="31"/>
  <c r="D45" i="31"/>
  <c r="B86" i="31"/>
  <c r="K222" i="26" a="1"/>
  <c r="K264" i="28" a="1"/>
  <c r="K136" i="27" a="1"/>
  <c r="BG46" i="30" l="1"/>
  <c r="BG85" i="30"/>
  <c r="BG98" i="30"/>
  <c r="BG60" i="30"/>
  <c r="BG35" i="30"/>
  <c r="BG44" i="30"/>
  <c r="BG28" i="30"/>
  <c r="BG84" i="30"/>
  <c r="BG91" i="30"/>
  <c r="BG23" i="30"/>
  <c r="BG25" i="30"/>
  <c r="BG72" i="30"/>
  <c r="BG146" i="30"/>
  <c r="BG70" i="30"/>
  <c r="BG102" i="30"/>
  <c r="BG51" i="30"/>
  <c r="BG61" i="30"/>
  <c r="BG95" i="30"/>
  <c r="BG68" i="30"/>
  <c r="BG144" i="30"/>
  <c r="BG71" i="30"/>
  <c r="BG80" i="30"/>
  <c r="BG119" i="30"/>
  <c r="BG115" i="30"/>
  <c r="BG110" i="30"/>
  <c r="BG87" i="30"/>
  <c r="BG142" i="30"/>
  <c r="BG136" i="30"/>
  <c r="BG132" i="30"/>
  <c r="BG42" i="30"/>
  <c r="BG94" i="30"/>
  <c r="BG86" i="30"/>
  <c r="BG104" i="30"/>
  <c r="BG48" i="30"/>
  <c r="BG77" i="30"/>
  <c r="BG65" i="30"/>
  <c r="BG29" i="30"/>
  <c r="BG19" i="30"/>
  <c r="BG34" i="30"/>
  <c r="BG75" i="30"/>
  <c r="BG30" i="30"/>
  <c r="BG81" i="30"/>
  <c r="BG101" i="30"/>
  <c r="BG39" i="30"/>
  <c r="BG124" i="30"/>
  <c r="BG117" i="30"/>
  <c r="BG114" i="30"/>
  <c r="BG108" i="30"/>
  <c r="BG54" i="30"/>
  <c r="BG140" i="30"/>
  <c r="BG134" i="30"/>
  <c r="BG40" i="30"/>
  <c r="BG63" i="30"/>
  <c r="BG113" i="30"/>
  <c r="BG97" i="30"/>
  <c r="BG64" i="30"/>
  <c r="BG33" i="30"/>
  <c r="BG32" i="30"/>
  <c r="BG41" i="30"/>
  <c r="BG55" i="30"/>
  <c r="BG31" i="30"/>
  <c r="BG74" i="30"/>
  <c r="BG147" i="30"/>
  <c r="BG50" i="30"/>
  <c r="BG79" i="30"/>
  <c r="BG69" i="30"/>
  <c r="BG47" i="30"/>
  <c r="BG120" i="30"/>
  <c r="BG116" i="30"/>
  <c r="BG107" i="30"/>
  <c r="BG88" i="30"/>
  <c r="BG143" i="30"/>
  <c r="BG139" i="30"/>
  <c r="BG133" i="30"/>
  <c r="BG66" i="30"/>
  <c r="BG62" i="30"/>
  <c r="BG38" i="30"/>
  <c r="BG105" i="30"/>
  <c r="BG76" i="30"/>
  <c r="BG145" i="30"/>
  <c r="BG78" i="30"/>
  <c r="BG111" i="30"/>
  <c r="BG129" i="30"/>
  <c r="BG53" i="30"/>
  <c r="BG137" i="30"/>
  <c r="BG128" i="30"/>
  <c r="BG126" i="30"/>
  <c r="BG43" i="30"/>
  <c r="BG89" i="30"/>
  <c r="BG90" i="30"/>
  <c r="BG36" i="30"/>
  <c r="BG125" i="30"/>
  <c r="BG52" i="30"/>
  <c r="BG92" i="30"/>
  <c r="BG82" i="30"/>
  <c r="BG59" i="30"/>
  <c r="BG121" i="30"/>
  <c r="BG109" i="30"/>
  <c r="BG122" i="30"/>
  <c r="BG67" i="30"/>
  <c r="BG138" i="30"/>
  <c r="BG131" i="30"/>
  <c r="BG49" i="30"/>
  <c r="BG130" i="30"/>
  <c r="BG56" i="30"/>
  <c r="BG83" i="30"/>
  <c r="BG57" i="30"/>
  <c r="BG73" i="30"/>
  <c r="BG45" i="30"/>
  <c r="BG93" i="30"/>
  <c r="BG118" i="30"/>
  <c r="BG123" i="30"/>
  <c r="BG106" i="30"/>
  <c r="BG99" i="30"/>
  <c r="BG141" i="30"/>
  <c r="BG135" i="30"/>
  <c r="BG100" i="30"/>
  <c r="BG127" i="30"/>
  <c r="BG112" i="30"/>
  <c r="BG96" i="30"/>
  <c r="BG58" i="30"/>
  <c r="C24" i="30"/>
  <c r="C22" i="30"/>
  <c r="C37" i="30"/>
  <c r="C26" i="30"/>
  <c r="C35" i="30"/>
  <c r="C21" i="30"/>
  <c r="G29" i="30"/>
  <c r="F97" i="30"/>
  <c r="G111" i="30"/>
  <c r="F115" i="30"/>
  <c r="G112" i="30"/>
  <c r="F93" i="30"/>
  <c r="G28" i="30"/>
  <c r="G63" i="30"/>
  <c r="G145" i="30"/>
  <c r="G118" i="30"/>
  <c r="G114" i="30"/>
  <c r="G126" i="30"/>
  <c r="G68" i="30"/>
  <c r="G137" i="30"/>
  <c r="G80" i="30"/>
  <c r="G42" i="30"/>
  <c r="G113" i="30"/>
  <c r="G107" i="30"/>
  <c r="G19" i="30"/>
  <c r="G89" i="30"/>
  <c r="G9" i="28"/>
  <c r="BR105" i="29"/>
  <c r="BR89" i="29"/>
  <c r="BR75" i="29"/>
  <c r="BR61" i="29"/>
  <c r="BR47" i="29"/>
  <c r="BR32" i="29"/>
  <c r="BR21" i="29"/>
  <c r="BR11" i="29"/>
  <c r="BR111" i="29"/>
  <c r="BR96" i="29"/>
  <c r="BR82" i="29"/>
  <c r="BR68" i="29"/>
  <c r="BR54" i="29"/>
  <c r="BR40" i="29"/>
  <c r="BR26" i="29"/>
  <c r="BR39" i="29"/>
  <c r="BR109" i="29"/>
  <c r="BR94" i="29"/>
  <c r="BR80" i="29"/>
  <c r="BR38" i="29"/>
  <c r="BR66" i="29"/>
  <c r="BR52" i="29"/>
  <c r="BR14" i="29"/>
  <c r="BR108" i="29"/>
  <c r="BR93" i="29"/>
  <c r="BR79" i="29"/>
  <c r="BR65" i="29"/>
  <c r="BR51" i="29"/>
  <c r="BR10" i="29"/>
  <c r="BR9" i="29"/>
  <c r="BR20" i="29"/>
  <c r="BR107" i="29"/>
  <c r="BR92" i="29"/>
  <c r="BR78" i="29"/>
  <c r="BR64" i="29"/>
  <c r="BR50" i="29"/>
  <c r="BR37" i="29"/>
  <c r="BR12" i="29"/>
  <c r="BR29" i="29"/>
  <c r="BR102" i="29"/>
  <c r="BR91" i="29"/>
  <c r="BR77" i="29"/>
  <c r="BR63" i="29"/>
  <c r="BR49" i="29"/>
  <c r="BR36" i="29"/>
  <c r="BR22" i="29"/>
  <c r="BR16" i="29"/>
  <c r="G48" i="30"/>
  <c r="G55" i="30"/>
  <c r="G47" i="30"/>
  <c r="G31" i="30"/>
  <c r="G144" i="30"/>
  <c r="G40" i="30"/>
  <c r="G61" i="30"/>
  <c r="G25" i="30"/>
  <c r="G136" i="30"/>
  <c r="G32" i="30"/>
  <c r="G131" i="30"/>
  <c r="G95" i="30"/>
  <c r="G120" i="30"/>
  <c r="G67" i="30"/>
  <c r="G132" i="30"/>
  <c r="G9" i="27"/>
  <c r="G127" i="30"/>
  <c r="G116" i="30"/>
  <c r="G138" i="30"/>
  <c r="G121" i="30"/>
  <c r="G93" i="30"/>
  <c r="G98" i="30"/>
  <c r="G128" i="30"/>
  <c r="G87" i="30"/>
  <c r="G101" i="30"/>
  <c r="G82" i="30"/>
  <c r="G106" i="30"/>
  <c r="G141" i="30"/>
  <c r="G123" i="30"/>
  <c r="G146" i="30"/>
  <c r="G70" i="30"/>
  <c r="G83" i="30"/>
  <c r="G102" i="30"/>
  <c r="G56" i="30"/>
  <c r="G94" i="30"/>
  <c r="G86" i="30"/>
  <c r="G91" i="30"/>
  <c r="G90" i="30"/>
  <c r="G73" i="30"/>
  <c r="G66" i="30"/>
  <c r="G117" i="30"/>
  <c r="G43" i="30"/>
  <c r="G30" i="30"/>
  <c r="G88" i="30"/>
  <c r="G50" i="30"/>
  <c r="G139" i="30"/>
  <c r="G44" i="30"/>
  <c r="G108" i="30"/>
  <c r="G142" i="30"/>
  <c r="G76" i="30"/>
  <c r="G134" i="30"/>
  <c r="G81" i="30"/>
  <c r="G135" i="30"/>
  <c r="G75" i="30"/>
  <c r="G62" i="30"/>
  <c r="G110" i="30"/>
  <c r="G119" i="30"/>
  <c r="G85" i="30"/>
  <c r="G36" i="30"/>
  <c r="G124" i="30"/>
  <c r="G60" i="30"/>
  <c r="G72" i="30"/>
  <c r="G74" i="30"/>
  <c r="G77" i="30"/>
  <c r="G97" i="30"/>
  <c r="G57" i="30"/>
  <c r="G122" i="30"/>
  <c r="G71" i="30"/>
  <c r="G59" i="30"/>
  <c r="G133" i="30"/>
  <c r="G52" i="30"/>
  <c r="G33" i="30"/>
  <c r="G41" i="30"/>
  <c r="G147" i="30"/>
  <c r="G38" i="30"/>
  <c r="G104" i="30"/>
  <c r="G78" i="30"/>
  <c r="G58" i="30"/>
  <c r="G49" i="30"/>
  <c r="G64" i="30"/>
  <c r="G92" i="30"/>
  <c r="G69" i="30"/>
  <c r="G109" i="30"/>
  <c r="G115" i="30"/>
  <c r="G143" i="30"/>
  <c r="G140" i="30"/>
  <c r="G65" i="30"/>
  <c r="G53" i="30"/>
  <c r="G96" i="30"/>
  <c r="G34" i="30"/>
  <c r="G45" i="30"/>
  <c r="G84" i="30"/>
  <c r="G51" i="30"/>
  <c r="G99" i="30"/>
  <c r="G54" i="30"/>
  <c r="G129" i="30"/>
  <c r="B15" i="30"/>
  <c r="G9" i="26"/>
  <c r="AZ110" i="30"/>
  <c r="AZ55" i="30"/>
  <c r="AZ36" i="30"/>
  <c r="Z14" i="38" s="1"/>
  <c r="AZ139" i="30"/>
  <c r="AZ119" i="30"/>
  <c r="AZ111" i="30"/>
  <c r="AZ46" i="30"/>
  <c r="Z23" i="38" s="1"/>
  <c r="AZ28" i="30"/>
  <c r="AZ41" i="30"/>
  <c r="AZ94" i="30"/>
  <c r="AZ83" i="30"/>
  <c r="Z60" i="38" s="1"/>
  <c r="AZ76" i="30"/>
  <c r="AZ138" i="30"/>
  <c r="AZ118" i="30"/>
  <c r="AZ43" i="30"/>
  <c r="AZ49" i="30"/>
  <c r="AZ44" i="30"/>
  <c r="AZ145" i="30"/>
  <c r="AZ140" i="30"/>
  <c r="Z118" i="38" s="1"/>
  <c r="AZ112" i="30"/>
  <c r="AZ104" i="30"/>
  <c r="Z81" i="38" s="1"/>
  <c r="AZ91" i="30"/>
  <c r="Z68" i="38" s="1"/>
  <c r="AZ137" i="30"/>
  <c r="AZ117" i="30"/>
  <c r="AZ98" i="30"/>
  <c r="Z75" i="38" s="1"/>
  <c r="AZ90" i="30"/>
  <c r="AZ75" i="30"/>
  <c r="AZ82" i="30"/>
  <c r="AZ78" i="30"/>
  <c r="AZ57" i="30"/>
  <c r="AZ136" i="30"/>
  <c r="AZ116" i="30"/>
  <c r="AZ93" i="30"/>
  <c r="AZ74" i="30"/>
  <c r="AZ59" i="30"/>
  <c r="AZ106" i="30"/>
  <c r="Z83" i="38" s="1"/>
  <c r="AZ30" i="30"/>
  <c r="AZ99" i="30"/>
  <c r="Z76" i="38" s="1"/>
  <c r="AZ135" i="30"/>
  <c r="AZ115" i="30"/>
  <c r="Z92" i="38" s="1"/>
  <c r="AZ72" i="30"/>
  <c r="AZ89" i="30"/>
  <c r="AZ73" i="30"/>
  <c r="AZ126" i="30"/>
  <c r="AZ107" i="30"/>
  <c r="AZ124" i="30"/>
  <c r="AZ38" i="30"/>
  <c r="AZ23" i="30"/>
  <c r="AZ134" i="30"/>
  <c r="AZ114" i="30"/>
  <c r="Z91" i="38" s="1"/>
  <c r="AZ113" i="30"/>
  <c r="AZ71" i="30"/>
  <c r="AZ54" i="30"/>
  <c r="Z31" i="38" s="1"/>
  <c r="AZ61" i="30"/>
  <c r="AZ48" i="30"/>
  <c r="AZ56" i="30"/>
  <c r="AZ103" i="30"/>
  <c r="Z80" i="38" s="1"/>
  <c r="AZ130" i="30"/>
  <c r="AZ144" i="30"/>
  <c r="AZ64" i="30"/>
  <c r="AZ53" i="30"/>
  <c r="Z30" i="38" s="1"/>
  <c r="AZ95" i="30"/>
  <c r="AZ33" i="30"/>
  <c r="AZ25" i="30"/>
  <c r="AZ81" i="30"/>
  <c r="AZ146" i="30"/>
  <c r="AZ122" i="30"/>
  <c r="Z99" i="38" s="1"/>
  <c r="AZ132" i="30"/>
  <c r="AZ101" i="30"/>
  <c r="AZ58" i="30"/>
  <c r="AZ31" i="30"/>
  <c r="Z13" i="38" s="1"/>
  <c r="AZ29" i="30"/>
  <c r="AZ79" i="30"/>
  <c r="AZ131" i="30"/>
  <c r="AZ129" i="30"/>
  <c r="AZ67" i="30"/>
  <c r="AZ108" i="30"/>
  <c r="Z85" i="38" s="1"/>
  <c r="AZ66" i="30"/>
  <c r="AZ63" i="30"/>
  <c r="AZ62" i="30"/>
  <c r="AZ50" i="30"/>
  <c r="AZ70" i="30"/>
  <c r="AZ143" i="30"/>
  <c r="AZ125" i="30"/>
  <c r="AZ88" i="30"/>
  <c r="AZ60" i="30"/>
  <c r="AZ65" i="30"/>
  <c r="AZ52" i="30"/>
  <c r="AZ51" i="30"/>
  <c r="AZ105" i="30"/>
  <c r="Z82" i="38" s="1"/>
  <c r="AZ142" i="30"/>
  <c r="AZ121" i="30"/>
  <c r="AZ96" i="30"/>
  <c r="AZ92" i="30"/>
  <c r="AZ87" i="30"/>
  <c r="AZ68" i="30"/>
  <c r="AZ147" i="30"/>
  <c r="AZ47" i="30"/>
  <c r="AZ45" i="30"/>
  <c r="AZ39" i="30"/>
  <c r="AZ34" i="30"/>
  <c r="Z12" i="38" s="1"/>
  <c r="C48" i="31"/>
  <c r="H45" i="31"/>
  <c r="H46" i="31"/>
  <c r="E48" i="31"/>
  <c r="F48" i="31"/>
  <c r="D48" i="31"/>
  <c r="G48" i="31"/>
  <c r="H47" i="31"/>
  <c r="AZ120" i="30"/>
  <c r="Z97" i="38" s="1"/>
  <c r="AZ40" i="30"/>
  <c r="AZ42" i="30"/>
  <c r="AZ141" i="30"/>
  <c r="Z119" i="38" s="1"/>
  <c r="AZ86" i="30"/>
  <c r="AZ100" i="30"/>
  <c r="Z77" i="38" s="1"/>
  <c r="AZ69" i="30"/>
  <c r="AZ80" i="30"/>
  <c r="Z57" i="38" s="1"/>
  <c r="AZ77" i="30"/>
  <c r="AZ133" i="30"/>
  <c r="Z111" i="38" s="1"/>
  <c r="AZ84" i="30"/>
  <c r="Z61" i="38" s="1"/>
  <c r="AZ97" i="30"/>
  <c r="AZ127" i="30"/>
  <c r="AZ85" i="30"/>
  <c r="Z62" i="38" s="1"/>
  <c r="AZ123" i="30"/>
  <c r="Z100" i="38" s="1"/>
  <c r="AZ128" i="30"/>
  <c r="Z106" i="38" s="1"/>
  <c r="BV114" i="29"/>
  <c r="AZ102" i="30"/>
  <c r="Z79" i="38" s="1"/>
  <c r="C121" i="27"/>
  <c r="C80" i="27"/>
  <c r="C104" i="27"/>
  <c r="C67" i="27"/>
  <c r="C19" i="27"/>
  <c r="C74" i="27"/>
  <c r="C12" i="27"/>
  <c r="C108" i="27"/>
  <c r="C9" i="27"/>
  <c r="C54" i="27"/>
  <c r="C96" i="27"/>
  <c r="C21" i="27"/>
  <c r="C139" i="30"/>
  <c r="C141" i="30"/>
  <c r="C126" i="30"/>
  <c r="C51" i="30"/>
  <c r="C85" i="30"/>
  <c r="C114" i="30"/>
  <c r="C127" i="30"/>
  <c r="AZ32" i="30"/>
  <c r="C112" i="30"/>
  <c r="AZ109" i="30"/>
  <c r="Z86" i="38" s="1"/>
  <c r="C151" i="26"/>
  <c r="C105" i="26"/>
  <c r="C115" i="26"/>
  <c r="C173" i="26"/>
  <c r="C77" i="26"/>
  <c r="C210" i="26"/>
  <c r="C68" i="26"/>
  <c r="C192" i="28"/>
  <c r="C218" i="28"/>
  <c r="C234" i="28"/>
  <c r="C55" i="28"/>
  <c r="C141" i="28"/>
  <c r="C72" i="28"/>
  <c r="C37" i="28"/>
  <c r="C244" i="28"/>
  <c r="C227" i="28"/>
  <c r="C140" i="28"/>
  <c r="C40" i="28"/>
  <c r="C169" i="28"/>
  <c r="C120" i="28"/>
  <c r="C99" i="28"/>
  <c r="C12" i="28"/>
  <c r="C153" i="28"/>
  <c r="C24" i="28"/>
  <c r="C223" i="28"/>
  <c r="C214" i="28"/>
  <c r="AF3" i="28"/>
  <c r="C94" i="26"/>
  <c r="C106" i="26"/>
  <c r="C12" i="26"/>
  <c r="C86" i="26"/>
  <c r="C47" i="28"/>
  <c r="C209" i="28"/>
  <c r="C194" i="26"/>
  <c r="C137" i="26"/>
  <c r="C116" i="27"/>
  <c r="C26" i="27"/>
  <c r="C54" i="26"/>
  <c r="C95" i="28"/>
  <c r="C221" i="28"/>
  <c r="C146" i="26"/>
  <c r="C116" i="26"/>
  <c r="C11" i="27"/>
  <c r="C81" i="26"/>
  <c r="C133" i="26"/>
  <c r="C106" i="30"/>
  <c r="C66" i="26"/>
  <c r="C177" i="26"/>
  <c r="C93" i="30"/>
  <c r="C189" i="26"/>
  <c r="C88" i="27"/>
  <c r="C67" i="28"/>
  <c r="C62" i="28"/>
  <c r="C28" i="26"/>
  <c r="C56" i="27"/>
  <c r="C87" i="27"/>
  <c r="C92" i="28"/>
  <c r="C215" i="28"/>
  <c r="C61" i="26"/>
  <c r="C34" i="27"/>
  <c r="C99" i="30"/>
  <c r="K264" i="28"/>
  <c r="K222" i="26"/>
  <c r="K136" i="27"/>
  <c r="AQ10" i="26"/>
  <c r="AK3" i="26"/>
  <c r="AK4" i="26"/>
  <c r="AQ3" i="28"/>
  <c r="AQ4" i="28"/>
  <c r="C31" i="28"/>
  <c r="C9" i="28"/>
  <c r="C125" i="27"/>
  <c r="C115" i="27"/>
  <c r="C13" i="26"/>
  <c r="C82" i="26"/>
  <c r="C91" i="28"/>
  <c r="C152" i="28"/>
  <c r="C52" i="28"/>
  <c r="C107" i="28"/>
  <c r="C135" i="28"/>
  <c r="C132" i="28"/>
  <c r="C53" i="28"/>
  <c r="C204" i="28"/>
  <c r="C256" i="28"/>
  <c r="C200" i="28"/>
  <c r="C239" i="28"/>
  <c r="C59" i="26"/>
  <c r="C182" i="26"/>
  <c r="C48" i="26"/>
  <c r="C111" i="26"/>
  <c r="C155" i="26"/>
  <c r="C119" i="26"/>
  <c r="C163" i="26"/>
  <c r="C139" i="26"/>
  <c r="C127" i="27"/>
  <c r="C30" i="27"/>
  <c r="C71" i="27"/>
  <c r="C105" i="27"/>
  <c r="C126" i="26"/>
  <c r="C60" i="26"/>
  <c r="C197" i="26"/>
  <c r="C140" i="26"/>
  <c r="C10" i="26"/>
  <c r="C129" i="26"/>
  <c r="C99" i="26"/>
  <c r="C201" i="26"/>
  <c r="C167" i="26"/>
  <c r="C145" i="26"/>
  <c r="C52" i="26"/>
  <c r="C127" i="26"/>
  <c r="C200" i="26"/>
  <c r="C174" i="26"/>
  <c r="C154" i="26"/>
  <c r="C57" i="26"/>
  <c r="C131" i="26"/>
  <c r="C100" i="26"/>
  <c r="C202" i="26"/>
  <c r="C179" i="26"/>
  <c r="C158" i="26"/>
  <c r="C70" i="26"/>
  <c r="C36" i="26"/>
  <c r="C125" i="26"/>
  <c r="C30" i="26"/>
  <c r="C72" i="26"/>
  <c r="C73" i="26"/>
  <c r="C138" i="26"/>
  <c r="C9" i="26"/>
  <c r="C91" i="26"/>
  <c r="C186" i="26"/>
  <c r="C165" i="26"/>
  <c r="C141" i="26"/>
  <c r="C17" i="26"/>
  <c r="C15" i="26"/>
  <c r="C93" i="26"/>
  <c r="C191" i="26"/>
  <c r="C169" i="26"/>
  <c r="C148" i="26"/>
  <c r="C49" i="26"/>
  <c r="C136" i="26"/>
  <c r="C42" i="26"/>
  <c r="C75" i="26"/>
  <c r="C76" i="26"/>
  <c r="C150" i="26"/>
  <c r="C41" i="26"/>
  <c r="C96" i="26"/>
  <c r="C198" i="26"/>
  <c r="C176" i="26"/>
  <c r="C153" i="26"/>
  <c r="C35" i="26"/>
  <c r="C64" i="26"/>
  <c r="C101" i="26"/>
  <c r="C203" i="26"/>
  <c r="C180" i="26"/>
  <c r="C215" i="26"/>
  <c r="C69" i="26"/>
  <c r="C34" i="26"/>
  <c r="C74" i="26"/>
  <c r="C78" i="26"/>
  <c r="C33" i="26"/>
  <c r="C47" i="26"/>
  <c r="C196" i="26"/>
  <c r="C162" i="26"/>
  <c r="C11" i="26"/>
  <c r="C16" i="26"/>
  <c r="C97" i="26"/>
  <c r="C199" i="26"/>
  <c r="C166" i="26"/>
  <c r="C65" i="26"/>
  <c r="C25" i="26"/>
  <c r="C122" i="26"/>
  <c r="C104" i="26"/>
  <c r="C206" i="26"/>
  <c r="C181" i="26"/>
  <c r="C160" i="26"/>
  <c r="C83" i="26"/>
  <c r="C84" i="26"/>
  <c r="C38" i="26"/>
  <c r="C59" i="27"/>
  <c r="C48" i="27"/>
  <c r="C45" i="27"/>
  <c r="C65" i="27"/>
  <c r="C85" i="27"/>
  <c r="C110" i="27"/>
  <c r="C78" i="27"/>
  <c r="C44" i="27"/>
  <c r="C62" i="27"/>
  <c r="C118" i="27"/>
  <c r="C107" i="27"/>
  <c r="C53" i="27"/>
  <c r="C43" i="27"/>
  <c r="C100" i="27"/>
  <c r="C90" i="27"/>
  <c r="C61" i="27"/>
  <c r="C93" i="27"/>
  <c r="C20" i="27"/>
  <c r="C102" i="27"/>
  <c r="C32" i="27"/>
  <c r="C24" i="27"/>
  <c r="C112" i="27"/>
  <c r="C63" i="27"/>
  <c r="C72" i="27"/>
  <c r="C77" i="27"/>
  <c r="C66" i="27"/>
  <c r="C25" i="27"/>
  <c r="C94" i="27"/>
  <c r="C10" i="27"/>
  <c r="C75" i="27"/>
  <c r="C47" i="27"/>
  <c r="C129" i="27"/>
  <c r="C120" i="27"/>
  <c r="C91" i="27"/>
  <c r="C58" i="27"/>
  <c r="C22" i="27"/>
  <c r="C95" i="27"/>
  <c r="C73" i="27"/>
  <c r="C36" i="27"/>
  <c r="C33" i="27"/>
  <c r="C35" i="27"/>
  <c r="C46" i="27"/>
  <c r="C81" i="27"/>
  <c r="C97" i="27"/>
  <c r="C122" i="27"/>
  <c r="C16" i="27"/>
  <c r="C82" i="27"/>
  <c r="C52" i="27"/>
  <c r="C60" i="27"/>
  <c r="C92" i="27"/>
  <c r="C41" i="28"/>
  <c r="C25" i="28"/>
  <c r="C27" i="27"/>
  <c r="C40" i="27"/>
  <c r="C90" i="26"/>
  <c r="C79" i="26"/>
  <c r="C115" i="28"/>
  <c r="C176" i="28"/>
  <c r="C58" i="28"/>
  <c r="C131" i="28"/>
  <c r="C159" i="28"/>
  <c r="C156" i="28"/>
  <c r="C77" i="28"/>
  <c r="C232" i="28"/>
  <c r="C207" i="28"/>
  <c r="C224" i="28"/>
  <c r="C189" i="28"/>
  <c r="C193" i="26"/>
  <c r="C50" i="26"/>
  <c r="C134" i="26"/>
  <c r="C178" i="26"/>
  <c r="C63" i="26"/>
  <c r="C56" i="26"/>
  <c r="C55" i="26"/>
  <c r="C117" i="26"/>
  <c r="C251" i="28"/>
  <c r="C64" i="27"/>
  <c r="C39" i="27"/>
  <c r="C17" i="27"/>
  <c r="C23" i="27"/>
  <c r="AK3" i="28"/>
  <c r="C28" i="28"/>
  <c r="C124" i="27"/>
  <c r="C23" i="26"/>
  <c r="C103" i="28"/>
  <c r="C164" i="28"/>
  <c r="C46" i="28"/>
  <c r="C119" i="28"/>
  <c r="C147" i="28"/>
  <c r="C144" i="28"/>
  <c r="C65" i="28"/>
  <c r="C216" i="28"/>
  <c r="C195" i="28"/>
  <c r="C212" i="28"/>
  <c r="C177" i="28"/>
  <c r="C205" i="26"/>
  <c r="C170" i="26"/>
  <c r="C29" i="26"/>
  <c r="C190" i="26"/>
  <c r="C143" i="26"/>
  <c r="C109" i="26"/>
  <c r="C152" i="26"/>
  <c r="C53" i="26"/>
  <c r="C27" i="26"/>
  <c r="C51" i="27"/>
  <c r="C83" i="27"/>
  <c r="C31" i="27"/>
  <c r="C28" i="27"/>
  <c r="C246" i="28"/>
  <c r="C38" i="28"/>
  <c r="C13" i="28"/>
  <c r="C84" i="27"/>
  <c r="C15" i="27"/>
  <c r="C87" i="26"/>
  <c r="C62" i="26"/>
  <c r="C163" i="28"/>
  <c r="C86" i="28"/>
  <c r="C106" i="28"/>
  <c r="C143" i="28"/>
  <c r="C112" i="28"/>
  <c r="C168" i="28"/>
  <c r="C125" i="28"/>
  <c r="C254" i="28"/>
  <c r="C219" i="28"/>
  <c r="C228" i="28"/>
  <c r="C201" i="28"/>
  <c r="C207" i="26"/>
  <c r="C216" i="26"/>
  <c r="C39" i="26"/>
  <c r="C112" i="26"/>
  <c r="C156" i="26"/>
  <c r="C121" i="26"/>
  <c r="C212" i="26"/>
  <c r="C32" i="26"/>
  <c r="C107" i="26"/>
  <c r="C252" i="28"/>
  <c r="C38" i="27"/>
  <c r="C113" i="27"/>
  <c r="C18" i="27"/>
  <c r="C117" i="27"/>
  <c r="AK4" i="28"/>
  <c r="C32" i="28"/>
  <c r="C10" i="28"/>
  <c r="C69" i="27"/>
  <c r="C68" i="27"/>
  <c r="C37" i="26"/>
  <c r="C18" i="26"/>
  <c r="C78" i="28"/>
  <c r="C175" i="28"/>
  <c r="C88" i="28"/>
  <c r="C118" i="28"/>
  <c r="C167" i="28"/>
  <c r="C124" i="28"/>
  <c r="C61" i="28"/>
  <c r="C137" i="28"/>
  <c r="C193" i="28"/>
  <c r="C196" i="28"/>
  <c r="C240" i="28"/>
  <c r="C241" i="28"/>
  <c r="C195" i="26"/>
  <c r="C159" i="26"/>
  <c r="C135" i="26"/>
  <c r="C102" i="26"/>
  <c r="C144" i="26"/>
  <c r="C110" i="26"/>
  <c r="C188" i="26"/>
  <c r="C128" i="26"/>
  <c r="C44" i="26"/>
  <c r="C111" i="27"/>
  <c r="C76" i="27"/>
  <c r="C50" i="27"/>
  <c r="C126" i="27"/>
  <c r="AF4" i="28"/>
  <c r="C245" i="28"/>
  <c r="C247" i="28"/>
  <c r="C229" i="28"/>
  <c r="C187" i="28"/>
  <c r="C188" i="28"/>
  <c r="C184" i="28"/>
  <c r="C182" i="28"/>
  <c r="C180" i="28"/>
  <c r="C113" i="28"/>
  <c r="C121" i="28"/>
  <c r="C108" i="28"/>
  <c r="C100" i="28"/>
  <c r="C51" i="28"/>
  <c r="C83" i="28"/>
  <c r="C94" i="28"/>
  <c r="C93" i="28"/>
  <c r="C128" i="28"/>
  <c r="C151" i="28"/>
  <c r="C138" i="28"/>
  <c r="C15" i="28"/>
  <c r="C16" i="28"/>
  <c r="C17" i="28"/>
  <c r="C249" i="28"/>
  <c r="C54" i="28"/>
  <c r="C225" i="28"/>
  <c r="C260" i="28"/>
  <c r="C259" i="28"/>
  <c r="C257" i="28"/>
  <c r="C253" i="28"/>
  <c r="C101" i="28"/>
  <c r="C109" i="28"/>
  <c r="C96" i="28"/>
  <c r="C76" i="28"/>
  <c r="C134" i="28"/>
  <c r="C71" i="28"/>
  <c r="C82" i="28"/>
  <c r="C81" i="28"/>
  <c r="C116" i="28"/>
  <c r="C139" i="28"/>
  <c r="C126" i="28"/>
  <c r="C18" i="28"/>
  <c r="C19" i="28"/>
  <c r="C20" i="28"/>
  <c r="C250" i="28"/>
  <c r="C213" i="28"/>
  <c r="C238" i="28"/>
  <c r="C237" i="28"/>
  <c r="C235" i="28"/>
  <c r="C233" i="28"/>
  <c r="C231" i="28"/>
  <c r="C89" i="28"/>
  <c r="C97" i="28"/>
  <c r="C84" i="28"/>
  <c r="C171" i="28"/>
  <c r="C110" i="28"/>
  <c r="C59" i="28"/>
  <c r="C70" i="28"/>
  <c r="C69" i="28"/>
  <c r="C104" i="28"/>
  <c r="C127" i="28"/>
  <c r="C114" i="28"/>
  <c r="C21" i="28"/>
  <c r="C22" i="28"/>
  <c r="C23" i="28"/>
  <c r="C226" i="28"/>
  <c r="C261" i="28"/>
  <c r="C186" i="28"/>
  <c r="C185" i="28"/>
  <c r="C183" i="28"/>
  <c r="C181" i="28"/>
  <c r="C179" i="28"/>
  <c r="C170" i="28"/>
  <c r="C49" i="28"/>
  <c r="C172" i="28"/>
  <c r="C123" i="28"/>
  <c r="C155" i="28"/>
  <c r="C166" i="28"/>
  <c r="C165" i="28"/>
  <c r="C122" i="28"/>
  <c r="C56" i="28"/>
  <c r="C79" i="28"/>
  <c r="C66" i="28"/>
  <c r="C33" i="28"/>
  <c r="C34" i="28"/>
  <c r="C35" i="28"/>
  <c r="C26" i="28"/>
  <c r="C39" i="28"/>
  <c r="C55" i="27"/>
  <c r="C130" i="27"/>
  <c r="C21" i="26"/>
  <c r="C85" i="26"/>
  <c r="C102" i="28"/>
  <c r="C146" i="28"/>
  <c r="C57" i="28"/>
  <c r="C142" i="28"/>
  <c r="C98" i="28"/>
  <c r="C148" i="28"/>
  <c r="C85" i="28"/>
  <c r="C217" i="28"/>
  <c r="C220" i="28"/>
  <c r="C210" i="28"/>
  <c r="C242" i="28"/>
  <c r="C171" i="26"/>
  <c r="C214" i="26"/>
  <c r="C114" i="26"/>
  <c r="C168" i="26"/>
  <c r="C20" i="26"/>
  <c r="C211" i="26"/>
  <c r="C58" i="26"/>
  <c r="C108" i="26"/>
  <c r="C243" i="28"/>
  <c r="C49" i="27"/>
  <c r="C29" i="27"/>
  <c r="C98" i="27"/>
  <c r="C79" i="27"/>
  <c r="C14" i="28"/>
  <c r="C36" i="28"/>
  <c r="C37" i="27"/>
  <c r="C13" i="27"/>
  <c r="C19" i="26"/>
  <c r="C43" i="26"/>
  <c r="C150" i="28"/>
  <c r="C44" i="28"/>
  <c r="C105" i="28"/>
  <c r="C154" i="28"/>
  <c r="C63" i="28"/>
  <c r="C160" i="28"/>
  <c r="C133" i="28"/>
  <c r="C173" i="28"/>
  <c r="C255" i="28"/>
  <c r="C236" i="28"/>
  <c r="C222" i="28"/>
  <c r="C190" i="28"/>
  <c r="C149" i="26"/>
  <c r="C123" i="26"/>
  <c r="C95" i="26"/>
  <c r="C157" i="26"/>
  <c r="C132" i="26"/>
  <c r="C187" i="26"/>
  <c r="C14" i="26"/>
  <c r="C120" i="26"/>
  <c r="C172" i="26"/>
  <c r="C123" i="27"/>
  <c r="C109" i="27"/>
  <c r="C119" i="27"/>
  <c r="C131" i="27"/>
  <c r="C42" i="28"/>
  <c r="C80" i="26"/>
  <c r="C90" i="28"/>
  <c r="C45" i="28"/>
  <c r="C74" i="28"/>
  <c r="C73" i="28"/>
  <c r="C205" i="28"/>
  <c r="C198" i="28"/>
  <c r="C183" i="26"/>
  <c r="C124" i="26"/>
  <c r="C45" i="26"/>
  <c r="C118" i="26"/>
  <c r="C248" i="28"/>
  <c r="C184" i="26"/>
  <c r="C11" i="28"/>
  <c r="C30" i="28"/>
  <c r="C114" i="27"/>
  <c r="C128" i="27"/>
  <c r="C24" i="26"/>
  <c r="C22" i="26"/>
  <c r="C162" i="28"/>
  <c r="C68" i="28"/>
  <c r="C117" i="28"/>
  <c r="C158" i="28"/>
  <c r="C75" i="28"/>
  <c r="C48" i="28"/>
  <c r="C145" i="28"/>
  <c r="C191" i="28"/>
  <c r="C194" i="28"/>
  <c r="C258" i="28"/>
  <c r="C199" i="28"/>
  <c r="C178" i="28"/>
  <c r="C71" i="26"/>
  <c r="C113" i="26"/>
  <c r="C204" i="26"/>
  <c r="C67" i="26"/>
  <c r="C92" i="26"/>
  <c r="C175" i="26"/>
  <c r="C130" i="26"/>
  <c r="C209" i="26"/>
  <c r="C161" i="26"/>
  <c r="C42" i="27"/>
  <c r="C41" i="27"/>
  <c r="C106" i="27"/>
  <c r="C103" i="27"/>
  <c r="AF3" i="26"/>
  <c r="C29" i="28"/>
  <c r="C88" i="26"/>
  <c r="C50" i="28"/>
  <c r="C130" i="28"/>
  <c r="C136" i="28"/>
  <c r="C149" i="28"/>
  <c r="C208" i="28"/>
  <c r="C230" i="28"/>
  <c r="C147" i="26"/>
  <c r="C31" i="26"/>
  <c r="C213" i="26"/>
  <c r="C142" i="26"/>
  <c r="C208" i="26"/>
  <c r="C161" i="28"/>
  <c r="C43" i="28"/>
  <c r="C27" i="28"/>
  <c r="C14" i="27"/>
  <c r="C101" i="27"/>
  <c r="C89" i="26"/>
  <c r="C26" i="26"/>
  <c r="C174" i="28"/>
  <c r="C80" i="28"/>
  <c r="C129" i="28"/>
  <c r="C64" i="28"/>
  <c r="C87" i="28"/>
  <c r="C60" i="28"/>
  <c r="C157" i="28"/>
  <c r="C203" i="28"/>
  <c r="C206" i="28"/>
  <c r="C197" i="28"/>
  <c r="C211" i="28"/>
  <c r="C202" i="28"/>
  <c r="C51" i="26"/>
  <c r="C103" i="26"/>
  <c r="C192" i="26"/>
  <c r="C46" i="26"/>
  <c r="C217" i="26"/>
  <c r="C164" i="26"/>
  <c r="C98" i="26"/>
  <c r="C185" i="26"/>
  <c r="C40" i="26"/>
  <c r="C57" i="27"/>
  <c r="C99" i="27"/>
  <c r="C70" i="27"/>
  <c r="C89" i="27"/>
  <c r="AF4" i="26"/>
  <c r="C49" i="30"/>
  <c r="C69" i="30"/>
  <c r="C129" i="30"/>
  <c r="C45" i="30"/>
  <c r="C32" i="30"/>
  <c r="C64" i="30"/>
  <c r="C61" i="30"/>
  <c r="C31" i="30"/>
  <c r="C50" i="30"/>
  <c r="C136" i="30"/>
  <c r="C71" i="30"/>
  <c r="C118" i="30"/>
  <c r="C146" i="30"/>
  <c r="C62" i="30"/>
  <c r="C38" i="30"/>
  <c r="C40" i="30"/>
  <c r="C95" i="30"/>
  <c r="C128" i="30"/>
  <c r="C135" i="30"/>
  <c r="C145" i="30"/>
  <c r="C86" i="30"/>
  <c r="C59" i="30"/>
  <c r="C56" i="30"/>
  <c r="C109" i="30"/>
  <c r="C130" i="30"/>
  <c r="C79" i="30"/>
  <c r="C94" i="30"/>
  <c r="C75" i="30"/>
  <c r="C147" i="30"/>
  <c r="C29" i="30"/>
  <c r="C144" i="30"/>
  <c r="C41" i="30"/>
  <c r="C73" i="30"/>
  <c r="C82" i="30"/>
  <c r="C28" i="30"/>
  <c r="C132" i="30"/>
  <c r="C115" i="30"/>
  <c r="C65" i="30"/>
  <c r="C138" i="30"/>
  <c r="C119" i="30"/>
  <c r="C121" i="30"/>
  <c r="C104" i="30"/>
  <c r="C67" i="30"/>
  <c r="C25" i="30"/>
  <c r="C48" i="30"/>
  <c r="C19" i="30"/>
  <c r="C30" i="30"/>
  <c r="C120" i="30"/>
  <c r="C123" i="30"/>
  <c r="C76" i="30"/>
  <c r="C102" i="30"/>
  <c r="C63" i="30"/>
  <c r="C70" i="30"/>
  <c r="C80" i="30"/>
  <c r="C116" i="30"/>
  <c r="C137" i="30"/>
  <c r="C23" i="30"/>
  <c r="C57" i="30"/>
  <c r="C44" i="30"/>
  <c r="C96" i="30"/>
  <c r="C68" i="30"/>
  <c r="C53" i="30"/>
  <c r="C77" i="30"/>
  <c r="C42" i="30"/>
  <c r="C105" i="30"/>
  <c r="C142" i="30"/>
  <c r="C55" i="30"/>
  <c r="C54" i="30"/>
  <c r="C117" i="30"/>
  <c r="C84" i="30"/>
  <c r="C46" i="30"/>
  <c r="C140" i="30"/>
  <c r="C107" i="30"/>
  <c r="C66" i="30"/>
  <c r="C122" i="30"/>
  <c r="C36" i="30"/>
  <c r="C113" i="30"/>
  <c r="C108" i="30"/>
  <c r="C101" i="30"/>
  <c r="C87" i="30"/>
  <c r="C47" i="30"/>
  <c r="C91" i="30"/>
  <c r="C134" i="30"/>
  <c r="C74" i="30"/>
  <c r="C124" i="30"/>
  <c r="C98" i="30"/>
  <c r="C58" i="30"/>
  <c r="C34" i="30"/>
  <c r="C97" i="30"/>
  <c r="C72" i="30"/>
  <c r="C89" i="30"/>
  <c r="C133" i="30"/>
  <c r="C78" i="30"/>
  <c r="C111" i="30"/>
  <c r="C83" i="30"/>
  <c r="C52" i="30"/>
  <c r="C60" i="30"/>
  <c r="C131" i="30"/>
  <c r="C110" i="30"/>
  <c r="C90" i="30"/>
  <c r="C143" i="30"/>
  <c r="C43" i="30"/>
  <c r="C100" i="30"/>
  <c r="C92" i="30"/>
  <c r="C88" i="30"/>
  <c r="C39" i="30"/>
  <c r="C125" i="30"/>
  <c r="C81" i="30"/>
  <c r="C33" i="30"/>
  <c r="Z32" i="38" l="1"/>
  <c r="Z11" i="38"/>
  <c r="Z49" i="38"/>
  <c r="Z19" i="38"/>
  <c r="Z25" i="38"/>
  <c r="Z53" i="38"/>
  <c r="Z18" i="38"/>
  <c r="Z103" i="38"/>
  <c r="Z40" i="38"/>
  <c r="Z37" i="38"/>
  <c r="Z51" i="38"/>
  <c r="Z34" i="38"/>
  <c r="Z35" i="38"/>
  <c r="Z59" i="38"/>
  <c r="Z8" i="38"/>
  <c r="Z122" i="38"/>
  <c r="Z58" i="38"/>
  <c r="Z9" i="38"/>
  <c r="Z65" i="38"/>
  <c r="Z6" i="38"/>
  <c r="BF68" i="30"/>
  <c r="Z48" i="38"/>
  <c r="BF70" i="30"/>
  <c r="Z56" i="38"/>
  <c r="BF132" i="30"/>
  <c r="Z110" i="38"/>
  <c r="BF61" i="30"/>
  <c r="Z46" i="38"/>
  <c r="BF76" i="30"/>
  <c r="Z28" i="38"/>
  <c r="BF87" i="30"/>
  <c r="Z124" i="38"/>
  <c r="BF135" i="30"/>
  <c r="Z113" i="38"/>
  <c r="BF92" i="30"/>
  <c r="Z36" i="38"/>
  <c r="BF62" i="30"/>
  <c r="Z20" i="38"/>
  <c r="BF146" i="30"/>
  <c r="Z78" i="38"/>
  <c r="BF71" i="30"/>
  <c r="Z63" i="38"/>
  <c r="BF117" i="30"/>
  <c r="Z94" i="38"/>
  <c r="BF94" i="30"/>
  <c r="Z71" i="38"/>
  <c r="BF63" i="30"/>
  <c r="Z43" i="38"/>
  <c r="BF81" i="30"/>
  <c r="Z41" i="38"/>
  <c r="BF30" i="30"/>
  <c r="Z52" i="38"/>
  <c r="BF121" i="30"/>
  <c r="Z98" i="38"/>
  <c r="BF66" i="30"/>
  <c r="Z104" i="38"/>
  <c r="BF25" i="30"/>
  <c r="Z5" i="38"/>
  <c r="BF113" i="30"/>
  <c r="Z90" i="38"/>
  <c r="BF142" i="30"/>
  <c r="Z120" i="38"/>
  <c r="BF134" i="30"/>
  <c r="Z112" i="38"/>
  <c r="BF59" i="30"/>
  <c r="Z123" i="38"/>
  <c r="BF137" i="30"/>
  <c r="Z115" i="38"/>
  <c r="BF67" i="30"/>
  <c r="Z44" i="38"/>
  <c r="BF95" i="30"/>
  <c r="Z45" i="38"/>
  <c r="BF23" i="30"/>
  <c r="Z4" i="38"/>
  <c r="BF74" i="30"/>
  <c r="Z69" i="38"/>
  <c r="BF112" i="30"/>
  <c r="Z89" i="38"/>
  <c r="BF111" i="30"/>
  <c r="Z88" i="38"/>
  <c r="BF93" i="30"/>
  <c r="Z70" i="38"/>
  <c r="Z105" i="38"/>
  <c r="BF51" i="30"/>
  <c r="Z54" i="38"/>
  <c r="BF129" i="30"/>
  <c r="Z107" i="38"/>
  <c r="BF38" i="30"/>
  <c r="Z21" i="38"/>
  <c r="BF131" i="30"/>
  <c r="Z109" i="38"/>
  <c r="BF64" i="30"/>
  <c r="Z47" i="38"/>
  <c r="BF124" i="30"/>
  <c r="Z101" i="38"/>
  <c r="BF116" i="30"/>
  <c r="Z93" i="38"/>
  <c r="BF145" i="30"/>
  <c r="Z74" i="38"/>
  <c r="BF119" i="30"/>
  <c r="Z96" i="38"/>
  <c r="BF65" i="30"/>
  <c r="Z39" i="38"/>
  <c r="BF79" i="30"/>
  <c r="Z64" i="38"/>
  <c r="BF144" i="30"/>
  <c r="Z66" i="38"/>
  <c r="BF107" i="30"/>
  <c r="Z84" i="38"/>
  <c r="BF136" i="30"/>
  <c r="Z114" i="38"/>
  <c r="BF139" i="30"/>
  <c r="Z117" i="38"/>
  <c r="BF126" i="30"/>
  <c r="Z29" i="38"/>
  <c r="BF49" i="30"/>
  <c r="Z17" i="38"/>
  <c r="BF130" i="30"/>
  <c r="Z108" i="38"/>
  <c r="BF45" i="30"/>
  <c r="Z15" i="38"/>
  <c r="BF88" i="30"/>
  <c r="Z125" i="38"/>
  <c r="BF73" i="30"/>
  <c r="Z67" i="38"/>
  <c r="BF78" i="30"/>
  <c r="Z55" i="38"/>
  <c r="BF43" i="30"/>
  <c r="Z42" i="38"/>
  <c r="BF36" i="30"/>
  <c r="Z10" i="38"/>
  <c r="BF39" i="30"/>
  <c r="Z16" i="38"/>
  <c r="BF29" i="30"/>
  <c r="Z7" i="38"/>
  <c r="BF47" i="30"/>
  <c r="Z24" i="38"/>
  <c r="BF125" i="30"/>
  <c r="Z102" i="38"/>
  <c r="BF58" i="30"/>
  <c r="Z50" i="38"/>
  <c r="BF56" i="30"/>
  <c r="Z27" i="38"/>
  <c r="BF89" i="30"/>
  <c r="Z33" i="38"/>
  <c r="BF82" i="30"/>
  <c r="Z38" i="38"/>
  <c r="BF118" i="30"/>
  <c r="Z95" i="38"/>
  <c r="BF147" i="30"/>
  <c r="Z22" i="38"/>
  <c r="BF143" i="30"/>
  <c r="Z121" i="38"/>
  <c r="BF48" i="30"/>
  <c r="Z26" i="38"/>
  <c r="BF72" i="30"/>
  <c r="Z73" i="38"/>
  <c r="BF75" i="30"/>
  <c r="Z72" i="38"/>
  <c r="BF138" i="30"/>
  <c r="Z116" i="38"/>
  <c r="BF110" i="30"/>
  <c r="Z87" i="38"/>
  <c r="BF41" i="30"/>
  <c r="BF33" i="30"/>
  <c r="BF46" i="30"/>
  <c r="BF44" i="30"/>
  <c r="BF28" i="30"/>
  <c r="BF98" i="30"/>
  <c r="BF103" i="30"/>
  <c r="BF60" i="30"/>
  <c r="BF35" i="30"/>
  <c r="BF31" i="30"/>
  <c r="BF55" i="30"/>
  <c r="BF115" i="30"/>
  <c r="BF106" i="30"/>
  <c r="BF90" i="30"/>
  <c r="BF140" i="30"/>
  <c r="BF105" i="30"/>
  <c r="BF122" i="30"/>
  <c r="BF50" i="30"/>
  <c r="BF96" i="30"/>
  <c r="BF52" i="30"/>
  <c r="BF101" i="30"/>
  <c r="BF53" i="30"/>
  <c r="BF114" i="30"/>
  <c r="BF99" i="30"/>
  <c r="BF57" i="30"/>
  <c r="BF91" i="30"/>
  <c r="BF104" i="30"/>
  <c r="BF83" i="30"/>
  <c r="BF54" i="30"/>
  <c r="BF108" i="30"/>
  <c r="BF34" i="30"/>
  <c r="BF32" i="30"/>
  <c r="BF84" i="30"/>
  <c r="BF85" i="30"/>
  <c r="B144" i="30" a="1"/>
  <c r="B144" i="30" s="1"/>
  <c r="BF69" i="30"/>
  <c r="BF77" i="30"/>
  <c r="BF100" i="30"/>
  <c r="BF141" i="30"/>
  <c r="BF40" i="30"/>
  <c r="BF109" i="30"/>
  <c r="BF102" i="30"/>
  <c r="BF86" i="30"/>
  <c r="BF127" i="30"/>
  <c r="BF42" i="30"/>
  <c r="BF128" i="30"/>
  <c r="BF133" i="30"/>
  <c r="BF80" i="30"/>
  <c r="BF120" i="30"/>
  <c r="BF123" i="30"/>
  <c r="BF97" i="30"/>
  <c r="H48" i="31"/>
  <c r="AQ3" i="26"/>
  <c r="AQ4" i="26"/>
  <c r="B146" i="30" l="1" a="1"/>
  <c r="B146" i="30" s="1"/>
  <c r="B98" i="30" a="1"/>
  <c r="B98" i="30" s="1"/>
  <c r="B46" i="30" a="1"/>
  <c r="B46" i="30" s="1"/>
  <c r="B55" i="30" a="1"/>
  <c r="B55" i="30" s="1"/>
  <c r="B69" i="30" a="1"/>
  <c r="B69" i="30" s="1"/>
  <c r="B34" i="30" a="1"/>
  <c r="B34" i="30" s="1"/>
  <c r="B67" i="30" a="1"/>
  <c r="B67" i="30" s="1"/>
  <c r="B53" i="30" a="1"/>
  <c r="B53" i="30" s="1"/>
  <c r="B137" i="30" a="1"/>
  <c r="B137" i="30" s="1"/>
  <c r="B116" i="30" a="1"/>
  <c r="B116" i="30" s="1"/>
  <c r="B97" i="30" a="1"/>
  <c r="B97" i="30" s="1"/>
  <c r="B140" i="30" a="1"/>
  <c r="B140" i="30" s="1"/>
  <c r="B50" i="30" a="1"/>
  <c r="B50" i="30" s="1"/>
  <c r="B51" i="30" a="1"/>
  <c r="B51" i="30" s="1"/>
  <c r="B92" i="30" a="1"/>
  <c r="B92" i="30" s="1"/>
  <c r="B90" i="30" a="1"/>
  <c r="B90" i="30" s="1"/>
  <c r="B62" i="30" a="1"/>
  <c r="B62" i="30" s="1"/>
  <c r="B59" i="30" a="1"/>
  <c r="B59" i="30" s="1"/>
  <c r="B139" i="30" a="1"/>
  <c r="B139" i="30" s="1"/>
  <c r="B68" i="30" a="1"/>
  <c r="B68" i="30" s="1"/>
  <c r="B100" i="30" a="1"/>
  <c r="B100" i="30" s="1"/>
  <c r="B23" i="30" a="1"/>
  <c r="B23" i="30" s="1"/>
  <c r="B49" i="30" a="1"/>
  <c r="B49" i="30" s="1"/>
  <c r="B115" i="30" a="1"/>
  <c r="B115" i="30" s="1"/>
  <c r="B118" i="30" a="1"/>
  <c r="B118" i="30" s="1"/>
  <c r="B82" i="30" a="1"/>
  <c r="B82" i="30" s="1"/>
  <c r="B36" i="30" a="1"/>
  <c r="B36" i="30" s="1"/>
  <c r="B52" i="30" a="1"/>
  <c r="B52" i="30" s="1"/>
  <c r="B126" i="30" a="1"/>
  <c r="B126" i="30" s="1"/>
  <c r="B107" i="30" a="1"/>
  <c r="B107" i="30" s="1"/>
  <c r="B124" i="30" a="1"/>
  <c r="B124" i="30" s="1"/>
  <c r="B28" i="30" a="1"/>
  <c r="B28" i="30" s="1"/>
  <c r="B77" i="30" a="1"/>
  <c r="B77" i="30" s="1"/>
  <c r="B71" i="30" a="1"/>
  <c r="B71" i="30" s="1"/>
  <c r="B106" i="30" a="1"/>
  <c r="B106" i="30" s="1"/>
  <c r="B113" i="30" a="1"/>
  <c r="B113" i="30" s="1"/>
  <c r="B109" i="30" a="1"/>
  <c r="B109" i="30" s="1"/>
  <c r="B119" i="30" a="1"/>
  <c r="B119" i="30" s="1"/>
  <c r="B133" i="30" a="1"/>
  <c r="B133" i="30" s="1"/>
  <c r="B117" i="30" a="1"/>
  <c r="B117" i="30" s="1"/>
  <c r="B147" i="30" a="1"/>
  <c r="B147" i="30" s="1"/>
  <c r="B88" i="30" a="1"/>
  <c r="B88" i="30" s="1"/>
  <c r="B44" i="30" a="1"/>
  <c r="B44" i="30" s="1"/>
  <c r="B48" i="30" a="1"/>
  <c r="B48" i="30" s="1"/>
  <c r="B73" i="30" a="1"/>
  <c r="B73" i="30" s="1"/>
  <c r="B85" i="30" a="1"/>
  <c r="B85" i="30" s="1"/>
  <c r="B31" i="30" a="1"/>
  <c r="B31" i="30" s="1"/>
  <c r="B43" i="30" a="1"/>
  <c r="B43" i="30" s="1"/>
  <c r="B94" i="30" a="1"/>
  <c r="B94" i="30" s="1"/>
  <c r="B89" i="30" a="1"/>
  <c r="B89" i="30" s="1"/>
  <c r="B128" i="30" a="1"/>
  <c r="B128" i="30" s="1"/>
  <c r="B134" i="30" a="1"/>
  <c r="B134" i="30" s="1"/>
  <c r="B108" i="30" a="1"/>
  <c r="B108" i="30" s="1"/>
  <c r="B75" i="30" a="1"/>
  <c r="B75" i="30" s="1"/>
  <c r="B39" i="30" a="1"/>
  <c r="B39" i="30" s="1"/>
  <c r="B114" i="30" a="1"/>
  <c r="B114" i="30" s="1"/>
  <c r="B30" i="30" a="1"/>
  <c r="B30" i="30" s="1"/>
  <c r="B76" i="30" a="1"/>
  <c r="B76" i="30" s="1"/>
  <c r="B74" i="30" a="1"/>
  <c r="B74" i="30" s="1"/>
  <c r="B80" i="30" a="1"/>
  <c r="B80" i="30" s="1"/>
  <c r="B58" i="30" a="1"/>
  <c r="B58" i="30" s="1"/>
  <c r="B111" i="30" a="1"/>
  <c r="B111" i="30" s="1"/>
  <c r="B130" i="30" a="1"/>
  <c r="B130" i="30" s="1"/>
  <c r="B132" i="30" a="1"/>
  <c r="B132" i="30" s="1"/>
  <c r="B105" i="30" a="1"/>
  <c r="B105" i="30" s="1"/>
  <c r="B56" i="30" a="1"/>
  <c r="B56" i="30" s="1"/>
  <c r="B120" i="30" a="1"/>
  <c r="B120" i="30" s="1"/>
  <c r="B84" i="30" a="1"/>
  <c r="B84" i="30" s="1"/>
  <c r="B136" i="30" a="1"/>
  <c r="B136" i="30" s="1"/>
  <c r="B66" i="30" a="1"/>
  <c r="B66" i="30" s="1"/>
  <c r="B25" i="30" a="1"/>
  <c r="B25" i="30" s="1"/>
  <c r="B64" i="30" a="1"/>
  <c r="B64" i="30" s="1"/>
  <c r="B38" i="30" a="1"/>
  <c r="B38" i="30" s="1"/>
  <c r="B79" i="30" a="1"/>
  <c r="B79" i="30" s="1"/>
  <c r="B123" i="30" a="1"/>
  <c r="B123" i="30" s="1"/>
  <c r="B78" i="30" a="1"/>
  <c r="B78" i="30" s="1"/>
  <c r="B138" i="30" a="1"/>
  <c r="B138" i="30" s="1"/>
  <c r="B131" i="30" a="1"/>
  <c r="B131" i="30" s="1"/>
  <c r="B32" i="30" a="1"/>
  <c r="B32" i="30" s="1"/>
  <c r="B143" i="30" a="1"/>
  <c r="B143" i="30" s="1"/>
  <c r="B81" i="30" a="1"/>
  <c r="B81" i="30" s="1"/>
  <c r="B41" i="30" a="1"/>
  <c r="B41" i="30" s="1"/>
  <c r="B135" i="30" a="1"/>
  <c r="B135" i="30" s="1"/>
  <c r="B57" i="30" a="1"/>
  <c r="B57" i="30" s="1"/>
  <c r="B60" i="30" a="1"/>
  <c r="B60" i="30" s="1"/>
  <c r="B122" i="30" a="1"/>
  <c r="B122" i="30" s="1"/>
  <c r="B91" i="30" a="1"/>
  <c r="B91" i="30" s="1"/>
  <c r="B101" i="30" a="1"/>
  <c r="B101" i="30" s="1"/>
  <c r="B127" i="30" a="1"/>
  <c r="B127" i="30" s="1"/>
  <c r="B83" i="30" a="1"/>
  <c r="B83" i="30" s="1"/>
  <c r="B54" i="30" a="1"/>
  <c r="B54" i="30" s="1"/>
  <c r="B45" i="30" a="1"/>
  <c r="B45" i="30" s="1"/>
  <c r="B65" i="30" a="1"/>
  <c r="B65" i="30" s="1"/>
  <c r="B63" i="30" a="1"/>
  <c r="B63" i="30" s="1"/>
  <c r="B29" i="30" a="1"/>
  <c r="B29" i="30" s="1"/>
  <c r="B19" i="30" a="1"/>
  <c r="B19" i="30" s="1"/>
  <c r="B61" i="30" a="1"/>
  <c r="B61" i="30" s="1"/>
  <c r="B33" i="30" a="1"/>
  <c r="B33" i="30" s="1"/>
  <c r="B40" i="30" a="1"/>
  <c r="B40" i="30" s="1"/>
  <c r="B141" i="30" a="1"/>
  <c r="B141" i="30" s="1"/>
  <c r="B47" i="30" a="1"/>
  <c r="B47" i="30" s="1"/>
  <c r="B96" i="30" a="1"/>
  <c r="B96" i="30" s="1"/>
  <c r="B72" i="30" a="1"/>
  <c r="B72" i="30" s="1"/>
  <c r="B112" i="30" a="1"/>
  <c r="B112" i="30" s="1"/>
  <c r="B129" i="30" a="1"/>
  <c r="B129" i="30" s="1"/>
  <c r="B93" i="30" a="1"/>
  <c r="B93" i="30" s="1"/>
  <c r="B104" i="30" a="1"/>
  <c r="B104" i="30" s="1"/>
  <c r="B87" i="30" a="1"/>
  <c r="B87" i="30" s="1"/>
  <c r="B142" i="30" a="1"/>
  <c r="B142" i="30" s="1"/>
  <c r="B99" i="30" a="1"/>
  <c r="B99" i="30" s="1"/>
  <c r="B86" i="30" a="1"/>
  <c r="B86" i="30" s="1"/>
  <c r="B102" i="30" a="1"/>
  <c r="B102" i="30" s="1"/>
  <c r="B121" i="30" a="1"/>
  <c r="B121" i="30" s="1"/>
  <c r="B95" i="30" a="1"/>
  <c r="B95" i="30" s="1"/>
  <c r="B42" i="30" a="1"/>
  <c r="B42" i="30" s="1"/>
  <c r="B145" i="30" a="1"/>
  <c r="B145" i="30" s="1"/>
  <c r="B110" i="30" a="1"/>
  <c r="B110" i="30" s="1"/>
  <c r="B125" i="30" a="1"/>
  <c r="B125" i="30" s="1"/>
  <c r="B70" i="30" a="1"/>
  <c r="B70" i="30" s="1"/>
  <c r="K16" i="30" l="1"/>
  <c r="A15" i="30"/>
  <c r="A5" i="27"/>
  <c r="A5" i="28"/>
  <c r="K6" i="28"/>
  <c r="K6" i="27"/>
  <c r="K6" i="26"/>
  <c r="A5" i="26"/>
  <c r="AZ19" i="30" l="1"/>
  <c r="AZ14" i="30" l="1"/>
  <c r="AZ13" i="30"/>
  <c r="AZ11" i="30" s="1"/>
  <c r="Z3" i="38"/>
  <c r="BF19" i="30"/>
  <c r="BF14" i="30" l="1"/>
  <c r="BF13" i="30"/>
  <c r="B18" i="26" a="1"/>
  <c r="B18" i="26" s="1"/>
  <c r="B9" i="28" a="1"/>
  <c r="B9" i="28" s="1"/>
  <c r="B9" i="27" a="1"/>
  <c r="B9" i="2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Vinicius Pereira de Oliveira</author>
    <author>Geovane Andrade Melo Luz</author>
  </authors>
  <commentList>
    <comment ref="M18" authorId="0" shapeId="0" xr:uid="{AF9297D1-C319-4149-AD51-3EF86BD9061F}">
      <text>
        <r>
          <rPr>
            <sz val="9"/>
            <color indexed="81"/>
            <rFont val="Segoe UI"/>
            <family val="2"/>
          </rPr>
          <t>Número</t>
        </r>
      </text>
    </comment>
    <comment ref="V18" authorId="0" shapeId="0" xr:uid="{D63BBCFB-86EB-4A99-A919-3AE9ED968622}">
      <text>
        <r>
          <rPr>
            <sz val="9"/>
            <color indexed="81"/>
            <rFont val="Segoe UI"/>
            <family val="2"/>
          </rPr>
          <t>Número</t>
        </r>
      </text>
    </comment>
    <comment ref="V41" authorId="1" shapeId="0" xr:uid="{F80602E3-6DE4-4D93-95A7-495CA07FD320}">
      <text>
        <r>
          <rPr>
            <b/>
            <sz val="9"/>
            <color indexed="81"/>
            <rFont val="Segoe UI"/>
            <family val="2"/>
          </rPr>
          <t>Geovane Andrade Melo Luz:</t>
        </r>
        <r>
          <rPr>
            <sz val="9"/>
            <color indexed="81"/>
            <rFont val="Segoe UI"/>
            <family val="2"/>
          </rPr>
          <t xml:space="preserve">
Já é geração</t>
        </r>
      </text>
    </comment>
    <comment ref="V70" authorId="1" shapeId="0" xr:uid="{0ED4BAB6-038D-441E-9EF0-D99921727AA0}">
      <text>
        <r>
          <rPr>
            <b/>
            <sz val="9"/>
            <color indexed="81"/>
            <rFont val="Segoe UI"/>
            <family val="2"/>
          </rPr>
          <t>Geovane Andrade Melo Luz:</t>
        </r>
        <r>
          <rPr>
            <sz val="9"/>
            <color indexed="81"/>
            <rFont val="Segoe UI"/>
            <family val="2"/>
          </rPr>
          <t xml:space="preserve">
Já é geração</t>
        </r>
      </text>
    </comment>
    <comment ref="V102" authorId="1" shapeId="0" xr:uid="{25FE6B8B-C658-43DC-801D-5C770D4C5C62}">
      <text>
        <r>
          <rPr>
            <b/>
            <sz val="9"/>
            <color indexed="81"/>
            <rFont val="Segoe UI"/>
            <family val="2"/>
          </rPr>
          <t>Geovane Andrade Melo Luz:</t>
        </r>
        <r>
          <rPr>
            <sz val="9"/>
            <color indexed="81"/>
            <rFont val="Segoe UI"/>
            <family val="2"/>
          </rPr>
          <t xml:space="preserve">
Já é geração</t>
        </r>
      </text>
    </comment>
    <comment ref="V146" authorId="1" shapeId="0" xr:uid="{D7C4B0A9-676F-4187-9D0A-7A75173AF8D1}">
      <text>
        <r>
          <rPr>
            <b/>
            <sz val="9"/>
            <color indexed="81"/>
            <rFont val="Segoe UI"/>
            <family val="2"/>
          </rPr>
          <t>Geovane Andrade Melo Luz:</t>
        </r>
        <r>
          <rPr>
            <sz val="9"/>
            <color indexed="81"/>
            <rFont val="Segoe UI"/>
            <family val="2"/>
          </rPr>
          <t xml:space="preserve">
Já é geração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Vinicius Pereira de Oliveira</author>
    <author>Geovane Andrade Melo Luz</author>
  </authors>
  <commentList>
    <comment ref="E2" authorId="0" shapeId="0" xr:uid="{E88A7926-4F40-4684-B700-CD5FCF8BDD31}">
      <text>
        <r>
          <rPr>
            <sz val="9"/>
            <color indexed="81"/>
            <rFont val="Segoe UI"/>
            <family val="2"/>
          </rPr>
          <t>Número</t>
        </r>
      </text>
    </comment>
    <comment ref="E25" authorId="1" shapeId="0" xr:uid="{B57B4E5C-A085-4D24-9C83-EC8461168CBE}">
      <text>
        <r>
          <rPr>
            <b/>
            <sz val="9"/>
            <color indexed="81"/>
            <rFont val="Segoe UI"/>
            <family val="2"/>
          </rPr>
          <t>Geovane Andrade Melo Luz:</t>
        </r>
        <r>
          <rPr>
            <sz val="9"/>
            <color indexed="81"/>
            <rFont val="Segoe UI"/>
            <family val="2"/>
          </rPr>
          <t xml:space="preserve">
Já é geração</t>
        </r>
      </text>
    </comment>
    <comment ref="E56" authorId="1" shapeId="0" xr:uid="{6A1B2349-0673-4576-B7E1-47CF4B1846A2}">
      <text>
        <r>
          <rPr>
            <b/>
            <sz val="9"/>
            <color indexed="81"/>
            <rFont val="Segoe UI"/>
            <family val="2"/>
          </rPr>
          <t>Geovane Andrade Melo Luz:</t>
        </r>
        <r>
          <rPr>
            <sz val="9"/>
            <color indexed="81"/>
            <rFont val="Segoe UI"/>
            <family val="2"/>
          </rPr>
          <t xml:space="preserve">
Já é geração</t>
        </r>
      </text>
    </comment>
    <comment ref="E78" authorId="1" shapeId="0" xr:uid="{D427D7AF-60C7-4310-B8A5-FFF6771BA859}">
      <text>
        <r>
          <rPr>
            <b/>
            <sz val="9"/>
            <color indexed="81"/>
            <rFont val="Segoe UI"/>
            <family val="2"/>
          </rPr>
          <t>Geovane Andrade Melo Luz:</t>
        </r>
        <r>
          <rPr>
            <sz val="9"/>
            <color indexed="81"/>
            <rFont val="Segoe UI"/>
            <family val="2"/>
          </rPr>
          <t xml:space="preserve">
Já é geração</t>
        </r>
      </text>
    </comment>
    <comment ref="E79" authorId="1" shapeId="0" xr:uid="{21934969-25E0-4F98-99E9-74EFC2F11BDE}">
      <text>
        <r>
          <rPr>
            <b/>
            <sz val="9"/>
            <color indexed="81"/>
            <rFont val="Segoe UI"/>
            <family val="2"/>
          </rPr>
          <t>Geovane Andrade Melo Luz:</t>
        </r>
        <r>
          <rPr>
            <sz val="9"/>
            <color indexed="81"/>
            <rFont val="Segoe UI"/>
            <family val="2"/>
          </rPr>
          <t xml:space="preserve">
Já é geração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Vinicius Pereira de Oliveira</author>
  </authors>
  <commentList>
    <comment ref="M8" authorId="0" shapeId="0" xr:uid="{B892129C-83E0-4826-A0F9-C2DE51E8D9CB}">
      <text>
        <r>
          <rPr>
            <sz val="9"/>
            <color indexed="81"/>
            <rFont val="Segoe UI"/>
            <family val="2"/>
          </rPr>
          <t>Número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Vinicius Pereira de Oliveira</author>
  </authors>
  <commentList>
    <comment ref="M8" authorId="0" shapeId="0" xr:uid="{78F38D42-DC1C-40D0-81B8-F761A708CE42}">
      <text>
        <r>
          <rPr>
            <sz val="9"/>
            <color indexed="81"/>
            <rFont val="Segoe UI"/>
            <family val="2"/>
          </rPr>
          <t>Número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Vinicius Pereira de Oliveira</author>
  </authors>
  <commentList>
    <comment ref="M8" authorId="0" shapeId="0" xr:uid="{380862B5-E823-4C4D-893C-3E18BC670D77}">
      <text>
        <r>
          <rPr>
            <sz val="9"/>
            <color indexed="81"/>
            <rFont val="Segoe UI"/>
            <family val="2"/>
          </rPr>
          <t>Número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Vinicius Pereira de Oliveira</author>
  </authors>
  <commentList>
    <comment ref="M8" authorId="0" shapeId="0" xr:uid="{D14C2B97-DA4E-42DD-8324-5D56C81578E8}">
      <text>
        <r>
          <rPr>
            <sz val="9"/>
            <color indexed="81"/>
            <rFont val="Segoe UI"/>
            <family val="2"/>
          </rPr>
          <t>Número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tc={77195E4E-0C5C-4B08-B8D0-97ACA6573507}</author>
  </authors>
  <commentList>
    <comment ref="E3" authorId="0" shapeId="0" xr:uid="{77195E4E-0C5C-4B08-B8D0-97ACA6573507}">
      <text>
        <t>[Comentário encadeado]
Sua versão do Excel permite que você leia este comentário encadeado, no entanto, as edições serão removidas se o arquivo for aberto em uma versão mais recente do Excel. Saiba mais: https://go.microsoft.com/fwlink/?linkid=870924
Comentário:
    MPP - Melhoria de Pequeno Porte
RPP - Reforço de Pequeno Porte
MGP - Melhoria de Grande Porte
RGP - Reforço de Grande Porte
Ampliação - Leilões de Transmissão</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_tDePara" description="Conexão com a consulta '_tDePara' na pasta de trabalho." type="5" refreshedVersion="0" background="1">
    <dbPr connection="Provider=Microsoft.Mashup.OleDb.1;Data Source=$Workbook$;Location=_tDePara;Extended Properties=&quot;&quot;" command="SELECT * FROM [_tDePara]"/>
  </connection>
  <connection id="2" xr16:uid="{00000000-0015-0000-FFFF-FFFF01000000}" keepAlive="1" name="Consulta - Capex_PE2024_28" description="Conexão com a consulta 'Capex_PE2024_28' na pasta de trabalho." type="5" refreshedVersion="8" saveData="1">
    <dbPr connection="Provider=Microsoft.Mashup.OleDb.1;Data Source=$Workbook$;Location=Capex_PE2024_28;Extended Properties=&quot;&quot;" command="SELECT * FROM [Capex_PE2024_28]"/>
  </connection>
  <connection id="3" xr16:uid="{00000000-0015-0000-FFFF-FFFF02000000}" keepAlive="1" name="Consulta - Importacao" description="Conexão com a consulta 'Importacao' na pasta de trabalho." type="5" refreshedVersion="0" background="1">
    <dbPr connection="Provider=Microsoft.Mashup.OleDb.1;Data Source=$Workbook$;Location=Importacao;Extended Properties=&quot;&quot;" command="SELECT * FROM [Importacao]"/>
  </connection>
  <connection id="4" xr16:uid="{00000000-0015-0000-FFFF-FFFF03000000}" keepAlive="1" name="Consulta - SubstituirTexto" description="Conexão com a consulta 'SubstituirTexto' na pasta de trabalho." type="5" refreshedVersion="0" background="1">
    <dbPr connection="Provider=Microsoft.Mashup.OleDb.1;Data Source=$Workbook$;Location=SubstituirTexto;Extended Properties=&quot;&quot;" command="SELECT * FROM [SubstituirTexto]"/>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<sst xmlns="http://schemas.openxmlformats.org/spreadsheetml/2006/main" count="181249" uniqueCount="41617">
  <si>
    <t>Instruções de preenchimento</t>
  </si>
  <si>
    <t>1. Indicar nas células em amarelo da coluna D se a área utiliza ou não o campo na planilha de Capex</t>
  </si>
  <si>
    <t>2. Campos em branco serão entendidos como não utilizados</t>
  </si>
  <si>
    <t>3. Campos em azul já preenchidos pela EDE</t>
  </si>
  <si>
    <t>4. Os campos seguem a mesma sequência da planilha original, em caso de dúvida o campo original está na guia "MODELO" deste arquivo</t>
  </si>
  <si>
    <t>Coluna</t>
  </si>
  <si>
    <t>Descrição do Campo</t>
  </si>
  <si>
    <t>Área utiliza Projeção? (Sim/Não)</t>
  </si>
  <si>
    <t>Analise Estrategia</t>
  </si>
  <si>
    <t>Suporte EDE</t>
  </si>
  <si>
    <t>Check</t>
  </si>
  <si>
    <t>Arquivo</t>
  </si>
  <si>
    <t>Origem</t>
  </si>
  <si>
    <t>VP</t>
  </si>
  <si>
    <t>Necessário</t>
  </si>
  <si>
    <t>Responsável</t>
  </si>
  <si>
    <t>Conferido</t>
  </si>
  <si>
    <t>Id PDNG</t>
  </si>
  <si>
    <r>
      <t>N°</t>
    </r>
    <r>
      <rPr>
        <b/>
        <sz val="6.3"/>
        <rFont val="Calibri"/>
        <family val="2"/>
      </rPr>
      <t xml:space="preserve"> </t>
    </r>
    <r>
      <rPr>
        <b/>
        <sz val="9"/>
        <rFont val="Calibri"/>
        <family val="2"/>
      </rPr>
      <t>PDNG</t>
    </r>
  </si>
  <si>
    <t>Empresa</t>
  </si>
  <si>
    <t>Corporativo ou SPE</t>
  </si>
  <si>
    <t>Segmento</t>
  </si>
  <si>
    <t>Descrição da ação</t>
  </si>
  <si>
    <t>CATEGORIZAÇÃO DO INVESTIMENTO</t>
  </si>
  <si>
    <t>Especificação PDNG</t>
  </si>
  <si>
    <t>Código SAP</t>
  </si>
  <si>
    <t>Necessário quando existente</t>
  </si>
  <si>
    <t>Instalação</t>
  </si>
  <si>
    <t>Necessário quando puder especificar</t>
  </si>
  <si>
    <t>Investimento Novo</t>
  </si>
  <si>
    <t>Número da ação 
 ou
 Nome Projeto</t>
  </si>
  <si>
    <t>Fonte de geração</t>
  </si>
  <si>
    <t>Período e prazo de execução do projeto (Projetos de Geração)</t>
  </si>
  <si>
    <t>Especificar receita</t>
  </si>
  <si>
    <t>Data de início da operação comercial</t>
  </si>
  <si>
    <t>Necessário para novos investimentos</t>
  </si>
  <si>
    <t>Fonte de recurso</t>
  </si>
  <si>
    <t>MW (Projetos de Geração)</t>
  </si>
  <si>
    <t>Investimento Contratado</t>
  </si>
  <si>
    <t>Evidência</t>
  </si>
  <si>
    <t>Status financeiro do investimento</t>
  </si>
  <si>
    <t>Descrição detalhada do investimento
 (escopo)</t>
  </si>
  <si>
    <t>Área responsável</t>
  </si>
  <si>
    <t>Categorização CISE</t>
  </si>
  <si>
    <t xml:space="preserve">Destinação investimento </t>
  </si>
  <si>
    <t>PROJEÇÃO</t>
  </si>
  <si>
    <t>jan/24</t>
  </si>
  <si>
    <t>fev/24</t>
  </si>
  <si>
    <t>mar/24</t>
  </si>
  <si>
    <t>abr/24</t>
  </si>
  <si>
    <t>mai/24</t>
  </si>
  <si>
    <t>jun/24</t>
  </si>
  <si>
    <t>jul/24</t>
  </si>
  <si>
    <t>ago/24</t>
  </si>
  <si>
    <t>set/24</t>
  </si>
  <si>
    <t>out/24</t>
  </si>
  <si>
    <t>nov/24</t>
  </si>
  <si>
    <t>dez/24</t>
  </si>
  <si>
    <t>2024</t>
  </si>
  <si>
    <t>2025</t>
  </si>
  <si>
    <t>2026</t>
  </si>
  <si>
    <t>2027</t>
  </si>
  <si>
    <t>2028</t>
  </si>
  <si>
    <t>2024-2028</t>
  </si>
  <si>
    <t>2029</t>
  </si>
  <si>
    <t>Necessário quando existir estimativa</t>
  </si>
  <si>
    <t>2030</t>
  </si>
  <si>
    <t>2031</t>
  </si>
  <si>
    <t>2032</t>
  </si>
  <si>
    <t>2033</t>
  </si>
  <si>
    <t>2024-2033</t>
  </si>
  <si>
    <t>DEMAIS INFORMAÇÕES PARA TRANSMISSÃO</t>
  </si>
  <si>
    <t>Receita_jan/24</t>
  </si>
  <si>
    <t>Receita_fev/24</t>
  </si>
  <si>
    <t>Receita_mar/24</t>
  </si>
  <si>
    <t>Receita_abr/24</t>
  </si>
  <si>
    <t>Receita_mai/24</t>
  </si>
  <si>
    <t>Receita_jun/24</t>
  </si>
  <si>
    <t>Receita_jul/24</t>
  </si>
  <si>
    <t>Receita_ago/24</t>
  </si>
  <si>
    <t>Receita_set/24</t>
  </si>
  <si>
    <t>Receita_out/24</t>
  </si>
  <si>
    <t>Receita_nov/24</t>
  </si>
  <si>
    <t>Receita_dez/24</t>
  </si>
  <si>
    <t>Receita_2024</t>
  </si>
  <si>
    <t>Receita_2025</t>
  </si>
  <si>
    <t>Receita_2026</t>
  </si>
  <si>
    <t>Receita_2027</t>
  </si>
  <si>
    <t>Receita_2028</t>
  </si>
  <si>
    <t>Receita_2024-2028</t>
  </si>
  <si>
    <t>Receita_2029</t>
  </si>
  <si>
    <t>Receita_2030</t>
  </si>
  <si>
    <t>Receita_2031</t>
  </si>
  <si>
    <t>Receita_2032</t>
  </si>
  <si>
    <t>Receita_2033</t>
  </si>
  <si>
    <t>Receita_2024-2033</t>
  </si>
  <si>
    <t>Obrigacao_Regulatoria</t>
  </si>
  <si>
    <t>Num_SGPMR</t>
  </si>
  <si>
    <t>Estado atual da contratação do investimento</t>
  </si>
  <si>
    <t>Autorização REA referente</t>
  </si>
  <si>
    <t>Contrato de Concessão</t>
  </si>
  <si>
    <t>Fim da Concessão</t>
  </si>
  <si>
    <t>Data de Início da Obra</t>
  </si>
  <si>
    <t>Conclusão da Obra</t>
  </si>
  <si>
    <t>Investimento 2020 (R$ mil)</t>
  </si>
  <si>
    <t>Investimento 2021 (R$ mil)</t>
  </si>
  <si>
    <t>Investimento 2022 (R$ mil)</t>
  </si>
  <si>
    <t>Data Base do Investimento</t>
  </si>
  <si>
    <t>Data de início da Operação Comercial4</t>
  </si>
  <si>
    <t>Taxa Interna de Retorno (TIR)</t>
  </si>
  <si>
    <t>Investimento Aneel (R$ mil)</t>
  </si>
  <si>
    <t>RAP REA           (R$ mil)</t>
  </si>
  <si>
    <t>Data base</t>
  </si>
  <si>
    <t>Vida Útil/Vigência da RAP (anos)</t>
  </si>
  <si>
    <t>O&amp;M</t>
  </si>
  <si>
    <t>Prazo para Entrada (meses)</t>
  </si>
  <si>
    <t>Data Publicação REA</t>
  </si>
  <si>
    <t>Data de Entrada em Operação Aneel</t>
  </si>
  <si>
    <t>WACC</t>
  </si>
  <si>
    <t>Investimento Contratado_ANEEL</t>
  </si>
  <si>
    <t>Id</t>
  </si>
  <si>
    <t>Descrição</t>
  </si>
  <si>
    <t>Status</t>
  </si>
  <si>
    <t>Solicitar às áreas a indicação de quais colunas utilizam para sanear a quantidade de informação necessária</t>
  </si>
  <si>
    <t>Em andamento
Email 28/05, recebido até 05/06 VEE, COO, OORC, VID</t>
  </si>
  <si>
    <t>Acertar com Jairo planilhas acessórias para SAP no caso dos R&amp;M de pp</t>
  </si>
  <si>
    <t>Para Transmissão, alinhar:
COO: usava [Categorização CISE] + [Destinação do investimento] para R&amp;M
VEE: usava [Categorização CISE] + [Descrição detalhada do investimento (escopo)]</t>
  </si>
  <si>
    <t>Solução da planilha excel para recebimento e consolidação dos dados:
A. A logica de consolidação continua e mesma?
B. quais campos devem ter seu conteúdo limitado a uma lista.
C. Atualizar guia de intruções de preenchimento
D. Bloquear a inclusão de novas colunas?</t>
  </si>
  <si>
    <t>Estudar colunas que serão utilizadas para o PE 2025 e fazer proposição para as áreas do modelo final (se possível junto com as demais melhorias a seguir).
1. Proposta fechada com EDEP + EDEI + FRPCA
2. Proposta fechada com as áreas de projeção FRPP (Planejamento) + Regulação (receita de T) + VED SPEs
3. Proposta fechada com áreas finais</t>
  </si>
  <si>
    <t>Dashboard
1. Saída de dadose visualização
2. Comparação com ciclo anterior
3. Verificação de duplicidades</t>
  </si>
  <si>
    <t>Categorias CISE + Analise interna
1. Serão revistas?
2. A ideia de uma pré classificação interna será mantida?</t>
  </si>
  <si>
    <t>As projeções do PE 2024 serão limitadoras ou só comparadoras?</t>
  </si>
  <si>
    <t>Rótulos de Linha</t>
  </si>
  <si>
    <t>Soma de 2026</t>
  </si>
  <si>
    <t>Soma de 2026-2030</t>
  </si>
  <si>
    <t>CGT Eletrosul</t>
  </si>
  <si>
    <t>Total Geral</t>
  </si>
  <si>
    <t>ID</t>
  </si>
  <si>
    <t>Gupo</t>
  </si>
  <si>
    <t>Projeto</t>
  </si>
  <si>
    <t>Usina</t>
  </si>
  <si>
    <t>2029-2030</t>
  </si>
  <si>
    <t>Gerencia</t>
  </si>
  <si>
    <t>Status da contratação</t>
  </si>
  <si>
    <t>Gestão do Projeto</t>
  </si>
  <si>
    <t>Acompanhamento</t>
  </si>
  <si>
    <t>COO.NO26.001</t>
  </si>
  <si>
    <t>Grupo 4</t>
  </si>
  <si>
    <t>Sistemas de Monitoramento para Transformadores</t>
  </si>
  <si>
    <t>Diversas UHE</t>
  </si>
  <si>
    <t>Não</t>
  </si>
  <si>
    <t>COO.NO26.007</t>
  </si>
  <si>
    <t>Grupo 2</t>
  </si>
  <si>
    <t>Unidade de filtração hidraulica do Regulador de velocidade com elemento absoluto e sistema monitoramento</t>
  </si>
  <si>
    <t>UHE BALBINA</t>
  </si>
  <si>
    <t>AGMGNO</t>
  </si>
  <si>
    <t>COO.NO26.015</t>
  </si>
  <si>
    <t>Aquisição de um Gerador Diesel de Emergência</t>
  </si>
  <si>
    <t>UHE Balbina</t>
  </si>
  <si>
    <t>OOGBA.N</t>
  </si>
  <si>
    <t>Cleomar</t>
  </si>
  <si>
    <t>Geovane</t>
  </si>
  <si>
    <t>COO.NO26.053</t>
  </si>
  <si>
    <t>Grupo 5</t>
  </si>
  <si>
    <t>Modernização RVT UHE Balbina</t>
  </si>
  <si>
    <t>OOPM.N</t>
  </si>
  <si>
    <t>COO.NO26.054</t>
  </si>
  <si>
    <t>SPCS balbina</t>
  </si>
  <si>
    <t>COO.NO26.055</t>
  </si>
  <si>
    <t>MODERNIZAÇÃO DO SISTEMA DE AR DE REGULAÇÃO UHE BALBINA</t>
  </si>
  <si>
    <t>COO.NO26.056</t>
  </si>
  <si>
    <t>Grupo 3</t>
  </si>
  <si>
    <t>MODERNIZAÇÃO DO SISTEMA RESFR. MANCAL COMBINADO UHE BALBINA</t>
  </si>
  <si>
    <t>COO.NO26.061</t>
  </si>
  <si>
    <t>MODERNIZAÇÃO DO SIST INJEÇÃO DE ÓLEO MANCAL ESCORA UHE BALBINA</t>
  </si>
  <si>
    <t>COO.NO26.062</t>
  </si>
  <si>
    <t>MODERNIZAÇÃO DO SISTEMA DE AR DE SERVIÇO UHE BALBINA</t>
  </si>
  <si>
    <t>COO.NO26.063</t>
  </si>
  <si>
    <t>MODERNIZACAO DO SISTEMA DRENAGEM TAMPA DA TURBINA UHE BALBINA</t>
  </si>
  <si>
    <t>COO.NO26.067</t>
  </si>
  <si>
    <t>MODERNIZAÇÃO DO SISTEMA RESFR. MANCAL GERADOR UHE BALBINA</t>
  </si>
  <si>
    <t>COO.NO26.070</t>
  </si>
  <si>
    <t>Instalar comando e controle sistema de drenagem e esgotamento da UHE Balbina</t>
  </si>
  <si>
    <t>COO.NO26.074</t>
  </si>
  <si>
    <t>Implatação de rede aérea de alimentação na UHE Balbina</t>
  </si>
  <si>
    <t>COO.NO26.075</t>
  </si>
  <si>
    <t>Grupo 1</t>
  </si>
  <si>
    <t>Modernização Comportas Tomada D'agua UHE BALBINA</t>
  </si>
  <si>
    <t>COO.NO26.077</t>
  </si>
  <si>
    <t>Modernização Comportas Vertedouro UHE BALBINA</t>
  </si>
  <si>
    <t>COO.NO26.078</t>
  </si>
  <si>
    <t>Modernização do Serviço Auxiliar 125 VCC UHE Balbina</t>
  </si>
  <si>
    <t>COO.NO26.080</t>
  </si>
  <si>
    <t>Modernização do Serviço Auxiliar 13,8 KVCA UHE Balbina</t>
  </si>
  <si>
    <t>COO.NO26.081</t>
  </si>
  <si>
    <t>Modernização dos Centros de Carga Miscelânea 380 VCA UHE Balbina</t>
  </si>
  <si>
    <t>COO.NO26.082</t>
  </si>
  <si>
    <t>Modernização Ponte Rolante UHE BALBINA</t>
  </si>
  <si>
    <t>COO.NO26.085</t>
  </si>
  <si>
    <t>Modernização Pórtico UHE BALBINA</t>
  </si>
  <si>
    <t>COO.NO26.086</t>
  </si>
  <si>
    <t>MODERNIZACAO SISTEMA DE CLORO BARRILHA UHE BALBINA</t>
  </si>
  <si>
    <t>COO.NO26.089</t>
  </si>
  <si>
    <t>Atualização dos Servidores do SPCS</t>
  </si>
  <si>
    <t>COO.NO26.090</t>
  </si>
  <si>
    <t>MODERNIZAÇÃO DOS ANÉIS COLETORES COM INSTALAÇÃO DE SISTEMA DE LIMPEZA AUTOMÁTICA UHE BALBINA</t>
  </si>
  <si>
    <t>COO.NO26.041</t>
  </si>
  <si>
    <t>Sistema de Ventilação e exaustão das  galerias da UHE Balbina.</t>
  </si>
  <si>
    <t>COO.NO26.045</t>
  </si>
  <si>
    <t>Superação equipamentos vão da UG 03 da UHCN</t>
  </si>
  <si>
    <t xml:space="preserve">UHE Coaracy Nunes </t>
  </si>
  <si>
    <t>AGCGNO</t>
  </si>
  <si>
    <t>COO.NO26.069</t>
  </si>
  <si>
    <t>Modernização Sistema de Proteção CNUGH-01 / CNUGH-02</t>
  </si>
  <si>
    <t>COO.NO26.071</t>
  </si>
  <si>
    <t>Modernização Ponte rolante da UHCN</t>
  </si>
  <si>
    <t>COO.NO26.084</t>
  </si>
  <si>
    <t>Modernização do Painel de comando dos GDE's</t>
  </si>
  <si>
    <t>COO.NO26.104</t>
  </si>
  <si>
    <t>Aquisição de novo GDE de 400KVA</t>
  </si>
  <si>
    <t>COO.NO26.118</t>
  </si>
  <si>
    <t>Modernização Sistema de Supervisão da UHCN</t>
  </si>
  <si>
    <t>COO.NO26.029</t>
  </si>
  <si>
    <t>Sobressalentes Estrategicos UHCN</t>
  </si>
  <si>
    <t>OOGCN.N</t>
  </si>
  <si>
    <t>COO.NO26.059</t>
  </si>
  <si>
    <t>Revitalização do Vertedouro da UHCN</t>
  </si>
  <si>
    <t>COO.NO26.028</t>
  </si>
  <si>
    <t xml:space="preserve">Modernização da instrumentação da UHE Curuá-Una CUUGH01, 02 e 03 </t>
  </si>
  <si>
    <t>UHE Curuá Una</t>
  </si>
  <si>
    <t>COO.NO26.043</t>
  </si>
  <si>
    <t>Modernização da subestação 138kV da UHE.</t>
  </si>
  <si>
    <t>COO.NO26.017</t>
  </si>
  <si>
    <t>Substituição de transformador para a UHE Curuá-Una - UGH02 e reserva</t>
  </si>
  <si>
    <t>Marcio</t>
  </si>
  <si>
    <t>COO.NO26.018</t>
  </si>
  <si>
    <t>MODERNIZAÇÃO DO RTVX DAS UGHs 01,02 e 03</t>
  </si>
  <si>
    <t>COO.NO26.073</t>
  </si>
  <si>
    <t>Modernização das turbinas hidráulicas da UHE Curuá-Una UGH01.02 e 03</t>
  </si>
  <si>
    <t>COO.NO26.076</t>
  </si>
  <si>
    <t xml:space="preserve">Modernização do serviço auxiliar da usina, com substituição de cubículos e gavetas do circuito CA </t>
  </si>
  <si>
    <t>COO.NO26.091</t>
  </si>
  <si>
    <t>Modernização do geradores elétricos da UHE Curuá-Uma-UGH01, 02 e 03</t>
  </si>
  <si>
    <t>COO.NO26.097</t>
  </si>
  <si>
    <t>Modernização da Ponte Rolante e Porticos da Casa de Força e Vertedouro</t>
  </si>
  <si>
    <t>COO.NO26.107</t>
  </si>
  <si>
    <t>Modernização do disjuntor da LT CUTA-LI5-01 da UHE Curuá-Una</t>
  </si>
  <si>
    <t>OOGCU.N</t>
  </si>
  <si>
    <t>COO.NO26.123</t>
  </si>
  <si>
    <t>Estação de tratamento de agua de serviço para minimizar a contaminação ferro bactéria</t>
  </si>
  <si>
    <t>COO.NO26.079</t>
  </si>
  <si>
    <t>Instalação de câmeras interna e externa a casa de força</t>
  </si>
  <si>
    <t>COO.NO26.083</t>
  </si>
  <si>
    <t>Substituição de cadeias de isoladores da linha CUTA</t>
  </si>
  <si>
    <t>ATMTLN</t>
  </si>
  <si>
    <t>COO.NO26.098</t>
  </si>
  <si>
    <t>Substituição dos cabos para-raios da LT CUTA-LI5-01 da UHE Curuá-Una</t>
  </si>
  <si>
    <t>COO.NO26.122</t>
  </si>
  <si>
    <t>Modernização do conjunto de TCs da LT CUTA-LI5-01 da UHE Curuá-Una</t>
  </si>
  <si>
    <t>COO.NO26.003</t>
  </si>
  <si>
    <t>SISTEMA DE ALIMENTAÇÃO -48VCC</t>
  </si>
  <si>
    <t>OOPT.N</t>
  </si>
  <si>
    <t>COO.NO26.101</t>
  </si>
  <si>
    <t>OPGW CURUÁ-UNA/TAPAJÓS</t>
  </si>
  <si>
    <t>COO.NO26.031</t>
  </si>
  <si>
    <t>Modernização do cubículo de  6,9kV para a UHE Curuá-Una</t>
  </si>
  <si>
    <t>COO.NO26.039</t>
  </si>
  <si>
    <t>Modernização dos mancais de guia da Turbina CUUGH01, 02 e 03</t>
  </si>
  <si>
    <t>COO.NO26.040</t>
  </si>
  <si>
    <t>Modernizaçãosistema de resfriamento das uidades geradoras da UHE Curuá-Una</t>
  </si>
  <si>
    <t>COO.NO26.042</t>
  </si>
  <si>
    <t>Aquisição das bombas do sistema de regulação de velocidade da UHE Curuá-Una UGH01,02,03</t>
  </si>
  <si>
    <t>COO.NO26.050</t>
  </si>
  <si>
    <t>Implantação da mesa de comando da sala de controle da UHE Curuá-Una</t>
  </si>
  <si>
    <t>COO.NO26.014</t>
  </si>
  <si>
    <t>Modernização RVT UHE Samuel</t>
  </si>
  <si>
    <t>UHE Samuel</t>
  </si>
  <si>
    <t>COO.NO26.060</t>
  </si>
  <si>
    <t>Aquisição de transformador elevador 13,8/230 kV, 59 MVA para a UHE Samuel</t>
  </si>
  <si>
    <t>OOGSA.N</t>
  </si>
  <si>
    <t>COO.NO26.092</t>
  </si>
  <si>
    <t>Aquisição Pára Raios 230KV</t>
  </si>
  <si>
    <t>COO.NO26.093</t>
  </si>
  <si>
    <t>Aquisição TPC 230KV</t>
  </si>
  <si>
    <t>COO.NO26.108</t>
  </si>
  <si>
    <t>Integração de Sistemas ao Supervisório</t>
  </si>
  <si>
    <t>COO.NO26.109</t>
  </si>
  <si>
    <t>Modernização Comportas de Emergência UHE SAMUEL</t>
  </si>
  <si>
    <t>COO.NO26.110</t>
  </si>
  <si>
    <t>Modernização Comportas Vertedouro UHE SAMUEL</t>
  </si>
  <si>
    <t>COO.NO26.111</t>
  </si>
  <si>
    <t>Modernização do Serviço Auxiliar 125 VCC UHE SAMUEL</t>
  </si>
  <si>
    <t>COO.NO26.112</t>
  </si>
  <si>
    <t>Modernização do Serviço Auxiliar 13,8 KVCA UHE SAMUEL</t>
  </si>
  <si>
    <t>COO.NO26.113</t>
  </si>
  <si>
    <t>Modernização dos Centros de Carga Miscelânea 380 VCA UHE SAMUEL</t>
  </si>
  <si>
    <t>COO.NO26.114</t>
  </si>
  <si>
    <t>Modernização Pontes Rolantes UHE SAMUEL</t>
  </si>
  <si>
    <t>COO.NO26.115</t>
  </si>
  <si>
    <t>Modernização Pórtico UHE SAMUEL</t>
  </si>
  <si>
    <t>COO.NO26.116</t>
  </si>
  <si>
    <t>Modernização RDPs UHE Samuel</t>
  </si>
  <si>
    <t>COO.NO26.117</t>
  </si>
  <si>
    <t>Modernização Sistema Anti-Incêndio UHE SAMUEL</t>
  </si>
  <si>
    <t>COO.NO26.119</t>
  </si>
  <si>
    <t>Revitalização de Painéis Elétricos</t>
  </si>
  <si>
    <t>COO.NO26.120</t>
  </si>
  <si>
    <t>Substituição Transformador Regulador 01 13,8 KVCA UHE SAMUEL</t>
  </si>
  <si>
    <t>COO.NO26.121</t>
  </si>
  <si>
    <t>Substituição Transformador Serviço Auxiliar 01 13,8/0,38 KVCA UHE SAMUEL</t>
  </si>
  <si>
    <t>COO.NO26.035</t>
  </si>
  <si>
    <t>Aquisição de banco de baterias 125VCC</t>
  </si>
  <si>
    <t>COO.NO26.037</t>
  </si>
  <si>
    <t>Aquisição Disjuntor 230KV</t>
  </si>
  <si>
    <t>COO.NO26.002</t>
  </si>
  <si>
    <t>Monitoramento de buchas de transformador</t>
  </si>
  <si>
    <t>ATMTSN</t>
  </si>
  <si>
    <t>COO.NO26.005</t>
  </si>
  <si>
    <t>Modernização SPCS+ UHE Tucuruí</t>
  </si>
  <si>
    <t>UHE Tucuruí</t>
  </si>
  <si>
    <t>AGVA</t>
  </si>
  <si>
    <t>Murilo</t>
  </si>
  <si>
    <t>COO.NO26.008</t>
  </si>
  <si>
    <t>Substituição Transformador 550kV UHE Tucuruí (5 trafo)</t>
  </si>
  <si>
    <t>Denis Oliveira</t>
  </si>
  <si>
    <t>COO.NO26.006</t>
  </si>
  <si>
    <t>Substituição GIS UHE Tucuruí</t>
  </si>
  <si>
    <t>Daniel Branquinho</t>
  </si>
  <si>
    <t>COO.NO26.009</t>
  </si>
  <si>
    <t>Modernização do pórtico tomada d'água da UHE Tucuruí</t>
  </si>
  <si>
    <t>Marcio Maia</t>
  </si>
  <si>
    <t>COO.NO26.010</t>
  </si>
  <si>
    <t>Curva CAV - UHE Tucuruí e UHE Samuel</t>
  </si>
  <si>
    <t>OO LAGF</t>
  </si>
  <si>
    <t>COO.NO26.016</t>
  </si>
  <si>
    <t>Revitalização de transformador para a  UHE Tucurui</t>
  </si>
  <si>
    <t>Frederico</t>
  </si>
  <si>
    <t>COO.NO26.032</t>
  </si>
  <si>
    <t>Modernização do sistema de resfriamento dos mancais da CFI da UHE Tucuruí</t>
  </si>
  <si>
    <t>COO.NO26.022</t>
  </si>
  <si>
    <t>Aquisição de 02 (duas) válvulas de isolamento motorizadas de 10” para aplicação no sistema de injeção de ar de rebaixamento da Central AN 01 - UGH 02</t>
  </si>
  <si>
    <t>OOGTM.N</t>
  </si>
  <si>
    <t>COO.NO26.036</t>
  </si>
  <si>
    <t>REDE MPLS ELETRONORTE</t>
  </si>
  <si>
    <t>UHE TUCURUÍ</t>
  </si>
  <si>
    <t>COO.NO26.020</t>
  </si>
  <si>
    <t>Modernização das estruturas metálicas da UHE Tucuruí</t>
  </si>
  <si>
    <t>COO.NO26.066</t>
  </si>
  <si>
    <t>Aquisição de Sistema de Incendio  UHE Tucuruí - CF  I e CF II</t>
  </si>
  <si>
    <t>OOGT.N</t>
  </si>
  <si>
    <t>COO.NO26.011</t>
  </si>
  <si>
    <t>Recuperação de cavitação e trincas nas UGHs da CF1 e CF2</t>
  </si>
  <si>
    <t>COO.NO26.012</t>
  </si>
  <si>
    <t>Modernização de 02 Transformadores elevadores de 69kV (UGHs 24 e 25) da UHE Tucuruí</t>
  </si>
  <si>
    <t>COO.NO26.013</t>
  </si>
  <si>
    <t>Modernização do sistema de resfriamento da UHE Tucuruí - Projeto Siri</t>
  </si>
  <si>
    <t>Camila</t>
  </si>
  <si>
    <t>COO.NO26.019</t>
  </si>
  <si>
    <t>Modernização dos Stop Logs da UHE Tucuruí</t>
  </si>
  <si>
    <t>Denis Robson</t>
  </si>
  <si>
    <t>COO.NO26.064</t>
  </si>
  <si>
    <t>Modernização de 01 transformador monofásico 13,8kV (trafo limitador) CF2 da UHE Tucuruí</t>
  </si>
  <si>
    <t>COO.NO26.072</t>
  </si>
  <si>
    <t>Modernização do sistema de resfriamento em circuito fechado dos equipamentos da UHE Tucuruí</t>
  </si>
  <si>
    <t>COO.NO26.088</t>
  </si>
  <si>
    <t>Aquisição e instalação de tubulação de Sistema de de drenagem de poços - CF I</t>
  </si>
  <si>
    <t>COO.NO26.099</t>
  </si>
  <si>
    <t>Revitalização ETE</t>
  </si>
  <si>
    <t>COO.NO26.100</t>
  </si>
  <si>
    <t>RevitalizaçãoSistema de Água Tratada</t>
  </si>
  <si>
    <t>COO.NO26.105</t>
  </si>
  <si>
    <t>sistema de ventilação e exaustão CF1, CF2, vertedouro e tomada agua</t>
  </si>
  <si>
    <t>COO.NO26.106</t>
  </si>
  <si>
    <t>sistema de drenagem tampa turbina CF1, UG01,02,03,04,05,06,07,08,09,10,11 e 12</t>
  </si>
  <si>
    <t>COO.NO26.004</t>
  </si>
  <si>
    <t>Aquisição das rodas das comportas de emergência da UHE Tucuruí</t>
  </si>
  <si>
    <t>COO.NO26.021</t>
  </si>
  <si>
    <t>Modernização Pórtico UHE Tucuruí</t>
  </si>
  <si>
    <t>COO.NO26.034</t>
  </si>
  <si>
    <t>Aquisição de conjunto completo da junta de vedação do eixo (UGH18): parte fixa e móvel</t>
  </si>
  <si>
    <t>COO.NO26.038</t>
  </si>
  <si>
    <t>Reserva Imobilizada para UHE Tucuruí (Sistema Gerador)</t>
  </si>
  <si>
    <t>OOGTE.N</t>
  </si>
  <si>
    <t>COO.NO26.023</t>
  </si>
  <si>
    <t>Implantação do sistema de injeção química para combate ao mexilhão dourado na UHE Tucuruí</t>
  </si>
  <si>
    <t>COO.NO26.044</t>
  </si>
  <si>
    <t>Reserva imobilizada para UHE Tucuruí (GIS)</t>
  </si>
  <si>
    <t>COO.NO26.046</t>
  </si>
  <si>
    <t>Reserva imobilizada para UHE Tucuruí (Transformador)</t>
  </si>
  <si>
    <t>COO.NO26.024</t>
  </si>
  <si>
    <t xml:space="preserve">Aquisição de compressores para aplicação no sistema de ar de rebaixamento </t>
  </si>
  <si>
    <t>COO.NO26.058</t>
  </si>
  <si>
    <t>Aquisição de 2 jogos de SotpLogs</t>
  </si>
  <si>
    <t>COO.NO26.065</t>
  </si>
  <si>
    <t>Aquisição de peças sobressalentes do mecanismo distribuidor das UGHs da CF2</t>
  </si>
  <si>
    <t>Gilton</t>
  </si>
  <si>
    <t>COO.NO26.087</t>
  </si>
  <si>
    <t>Modernização do sistema de iluminação da UHE Tucuruí</t>
  </si>
  <si>
    <t>COO.NO26.095</t>
  </si>
  <si>
    <t>Aquisição de servomotor do distribuir da UHE Tucuruí</t>
  </si>
  <si>
    <t>COO.NO26.096</t>
  </si>
  <si>
    <t>Aquisição de motobombas para o sistema de circulação de óleo dos mancais MGT, MGG e ME - Casa de Força 01</t>
  </si>
  <si>
    <t>COO.NO26.102</t>
  </si>
  <si>
    <t>sistema de refrigeração predial edificio comando, Supervisão e ULCPS</t>
  </si>
  <si>
    <t>COO.NO26.103</t>
  </si>
  <si>
    <t>Aquisição de bombas vertical, tipo parafuso, para o sistema de circulação de óleo do Regulador de Velocidade - UGHs Casa de Força 01</t>
  </si>
  <si>
    <t>COO.NO26.025</t>
  </si>
  <si>
    <t>Modernização do sistema auto-limpante de água industrial da UHE Tucuruí</t>
  </si>
  <si>
    <t>COO.NO26.026</t>
  </si>
  <si>
    <t>Aquisição de um Gerador Diesel de Emergência para a CFII da UHE Tucuruí</t>
  </si>
  <si>
    <t>COO.NO26.033</t>
  </si>
  <si>
    <t>Recuperação da comporta 17 do Vertedouro da UHE Tucuruí</t>
  </si>
  <si>
    <t>COO.NO26.027</t>
  </si>
  <si>
    <t xml:space="preserve">Sistema SPCI água nebulizada tanques diesel GDE 01, 02,03,04.05,06 e 07 </t>
  </si>
  <si>
    <t>COO.NO26.030</t>
  </si>
  <si>
    <t xml:space="preserve">Modernização de transformadores 13,8/440V para alimentação Vertedouro e serviço auxiliar da UHE Tucuruí </t>
  </si>
  <si>
    <t>COO.NO26.047</t>
  </si>
  <si>
    <t>Modernização da GIS TUUGH-19 da UHE Tucuruí</t>
  </si>
  <si>
    <t>COO.NO26.048</t>
  </si>
  <si>
    <t>Modernização do Barramento Blindado (13,8kV) UG19 da UHE Tucuruí</t>
  </si>
  <si>
    <t>COO.NO26.049</t>
  </si>
  <si>
    <t>Modernização dos disjuntores MERLIN GERIN para a UHE Tucuruí</t>
  </si>
  <si>
    <t>COO.NO26.051</t>
  </si>
  <si>
    <t>SWITCHES DE TO</t>
  </si>
  <si>
    <t>COO.NO26.094</t>
  </si>
  <si>
    <t>Modernização do sistema de drenagem e esgotamento da UHE Tucuruí</t>
  </si>
  <si>
    <t>COO.NO26.057</t>
  </si>
  <si>
    <t>Aquisição de para-raios para a UHE Tucuruí</t>
  </si>
  <si>
    <t>COO.NO26.068</t>
  </si>
  <si>
    <t>Aquisição de DCP para UHE Tucuruí</t>
  </si>
  <si>
    <t>COO.NO26.052</t>
  </si>
  <si>
    <t>Substituição das capas isolantes dos geradores da casa de força 2 da UHE Tucuruí</t>
  </si>
  <si>
    <t>Empresa_G_COO_xxxx</t>
  </si>
  <si>
    <t xml:space="preserve">Investimentos PE 2025 </t>
  </si>
  <si>
    <t>PREENCHER</t>
  </si>
  <si>
    <t>Dados Automáticos</t>
  </si>
  <si>
    <t>Informar o Departamento do responsável pela informação</t>
  </si>
  <si>
    <r>
      <rPr>
        <b/>
        <sz val="8"/>
        <color rgb="FFFF0000"/>
        <rFont val="Calibri"/>
        <family val="2"/>
        <scheme val="minor"/>
      </rPr>
      <t xml:space="preserve">OBRIGATÓRIA:
</t>
    </r>
    <r>
      <rPr>
        <b/>
        <sz val="8"/>
        <rFont val="Calibri"/>
        <family val="2"/>
        <scheme val="minor"/>
      </rPr>
      <t>1.</t>
    </r>
    <r>
      <rPr>
        <b/>
        <sz val="8"/>
        <color rgb="FFFF0000"/>
        <rFont val="Calibri"/>
        <family val="2"/>
        <scheme val="minor"/>
      </rPr>
      <t xml:space="preserve"> </t>
    </r>
    <r>
      <rPr>
        <b/>
        <sz val="8"/>
        <color theme="1"/>
        <rFont val="Calibri"/>
        <family val="2"/>
        <scheme val="minor"/>
      </rPr>
      <t xml:space="preserve"> Indicar o número do coletor PEP ou OI. 
2. NÃO informar PEP que não esteja aberto no SAP.
3. TRANSMISSÃO:  informação deve ser considerada uma linha para cada código SGPMR (nesse caso, repetir o PEP).</t>
    </r>
  </si>
  <si>
    <t>De 2026 à 2030</t>
  </si>
  <si>
    <t>COO</t>
  </si>
  <si>
    <t>Tubtotal 2026</t>
  </si>
  <si>
    <t>Responsável Preenchimento</t>
  </si>
  <si>
    <t>Lucas Martins</t>
  </si>
  <si>
    <t>Total 2026</t>
  </si>
  <si>
    <t xml:space="preserve">Linhas preenchidas = </t>
  </si>
  <si>
    <t>NÃO PREENCHER - AUTOMÁTICO + EDEP + EDEI</t>
  </si>
  <si>
    <t>Dados SAP</t>
  </si>
  <si>
    <t>COMPLEMENTO</t>
  </si>
  <si>
    <t>Investimentos R$ mil - nominal</t>
  </si>
  <si>
    <t>Id PE</t>
  </si>
  <si>
    <t>Categoria Cise</t>
  </si>
  <si>
    <t>Subcategoria CISE</t>
  </si>
  <si>
    <t>Coletor de Custo</t>
  </si>
  <si>
    <t>Cód Projeto VED</t>
  </si>
  <si>
    <t>Cód SGPMR</t>
  </si>
  <si>
    <t>Número da LO</t>
  </si>
  <si>
    <t>ID real</t>
  </si>
  <si>
    <t>Descrição do projeto</t>
  </si>
  <si>
    <t>ID real3</t>
  </si>
  <si>
    <t>Categoria Cise2</t>
  </si>
  <si>
    <t>Subcategoria CISE3</t>
  </si>
  <si>
    <t>Coletor de Custo (Carga)</t>
  </si>
  <si>
    <t>PEP SIGEP</t>
  </si>
  <si>
    <t>PEP especifico</t>
  </si>
  <si>
    <t>RC</t>
  </si>
  <si>
    <t>Valor RC</t>
  </si>
  <si>
    <t>Contrato</t>
  </si>
  <si>
    <t>Valor Contrato</t>
  </si>
  <si>
    <t>Pedido</t>
  </si>
  <si>
    <t>Valor Pedido</t>
  </si>
  <si>
    <t>Objeto</t>
  </si>
  <si>
    <t>Contratada</t>
  </si>
  <si>
    <t>Especificação</t>
  </si>
  <si>
    <t>Local da Instalação</t>
  </si>
  <si>
    <t>jan/26</t>
  </si>
  <si>
    <t>fev/26</t>
  </si>
  <si>
    <t>mar/26</t>
  </si>
  <si>
    <t>abr/26</t>
  </si>
  <si>
    <t>mai/26</t>
  </si>
  <si>
    <t>jun/26</t>
  </si>
  <si>
    <t>jul/26</t>
  </si>
  <si>
    <t>ago/26</t>
  </si>
  <si>
    <t>set/26</t>
  </si>
  <si>
    <t>out/26</t>
  </si>
  <si>
    <t>nov/26</t>
  </si>
  <si>
    <t>dez/26</t>
  </si>
  <si>
    <t>2026-2030</t>
  </si>
  <si>
    <t>2034</t>
  </si>
  <si>
    <t>2035</t>
  </si>
  <si>
    <t>2026-2035</t>
  </si>
  <si>
    <t>sequencial</t>
  </si>
  <si>
    <t>ID real2</t>
  </si>
  <si>
    <t>GRUPO</t>
  </si>
  <si>
    <t>Órgão Responsável</t>
  </si>
  <si>
    <t>PE de Origem</t>
  </si>
  <si>
    <t>ID de demanda candidata</t>
  </si>
  <si>
    <t>ID Financeiro</t>
  </si>
  <si>
    <t>ID real22</t>
  </si>
  <si>
    <t>Status Contratação</t>
  </si>
  <si>
    <t>De_Para</t>
  </si>
  <si>
    <t>Status CISE</t>
  </si>
  <si>
    <t>Valor original 2026</t>
  </si>
  <si>
    <t>Observações</t>
  </si>
  <si>
    <t>ID real222</t>
  </si>
  <si>
    <t>Líder</t>
  </si>
  <si>
    <t>Descrição do Projeto2</t>
  </si>
  <si>
    <t>Corporativo</t>
  </si>
  <si>
    <t>Eletronorte</t>
  </si>
  <si>
    <t>Geração</t>
  </si>
  <si>
    <t>Modernização</t>
  </si>
  <si>
    <t>NGHI.0066</t>
  </si>
  <si>
    <t>13592/2022</t>
  </si>
  <si>
    <t>SPCS +</t>
  </si>
  <si>
    <t>VOITH HYDRO</t>
  </si>
  <si>
    <t>Modernização SPCS, TR, RV, Servomotores, Distribuidor, Instrumentação e Auxiliareas CC e CA da UHE Tucuruí</t>
  </si>
  <si>
    <t>ENOR.00500.313</t>
  </si>
  <si>
    <t>COO0613</t>
  </si>
  <si>
    <t>Contratado</t>
  </si>
  <si>
    <t>(PE) Requisitado e Contratado e com ID Financeira</t>
  </si>
  <si>
    <t>Curva reduzida em 83%</t>
  </si>
  <si>
    <t>Murilo Mascarenhas Menezes</t>
  </si>
  <si>
    <t>Suporte técnico a projetos de modernização e reforços da geração.</t>
  </si>
  <si>
    <t>ENERGIA CONSULT ENGENHARIA CONSULTE</t>
  </si>
  <si>
    <t>CABO ELÉTRICO 0,75KV 2X2,</t>
  </si>
  <si>
    <t>ALPHA MARKTEC MATERIAIS ELETRICOS L</t>
  </si>
  <si>
    <t>SUP.TECNICO SPCS</t>
  </si>
  <si>
    <t>NGHI.0099</t>
  </si>
  <si>
    <t>TRANSFORMADOR FORÇA</t>
  </si>
  <si>
    <t>SIEMENS ENERGY BRASIL LTDA</t>
  </si>
  <si>
    <t>Substituição devido superação da corrente de curto circuito</t>
  </si>
  <si>
    <t>ENOR.00304</t>
  </si>
  <si>
    <t>COO0601</t>
  </si>
  <si>
    <t>Ajustado conforme contrato</t>
  </si>
  <si>
    <t>Denis De Oliveira Neto</t>
  </si>
  <si>
    <t>SUP.TECNICO Trafos TUC</t>
  </si>
  <si>
    <t>NGHI.0086</t>
  </si>
  <si>
    <t>Substituição de 4 módulos da subestação blindada SF6 550 kV da CF1.</t>
  </si>
  <si>
    <t>HITACHI ENERGY BRASIL LTDA</t>
  </si>
  <si>
    <t>ENOR.00303</t>
  </si>
  <si>
    <t>COO0596</t>
  </si>
  <si>
    <t>Não alterado</t>
  </si>
  <si>
    <t>Daniel Branquinho Ferreira</t>
  </si>
  <si>
    <t>SUP.TECNICO TUC.GIS</t>
  </si>
  <si>
    <t>NGHI.0086.01.00001.004</t>
  </si>
  <si>
    <t>Recebimento e armazenamento de material</t>
  </si>
  <si>
    <t>A. A. Moura</t>
  </si>
  <si>
    <t>NGHI.0147</t>
  </si>
  <si>
    <t>Substituição dos comandos eletrônicos, de potencia e hidráulico dos reguladores de velocidade e tensão da UHE Samuel</t>
  </si>
  <si>
    <t>ENOR.00501.011</t>
  </si>
  <si>
    <t>COO0708</t>
  </si>
  <si>
    <t>Em negociação</t>
  </si>
  <si>
    <t>(PE) Requisitado e com ID Financeira</t>
  </si>
  <si>
    <t>Em Contratação</t>
  </si>
  <si>
    <t>RD 2026 a 2028</t>
  </si>
  <si>
    <t>Klenio Dias Timoteo</t>
  </si>
  <si>
    <t>NGHI.0143</t>
  </si>
  <si>
    <t>Substituição das capas do enrolamento do gerador</t>
  </si>
  <si>
    <t>INSIGHT ENERGIA SERVICOS</t>
  </si>
  <si>
    <t>Serviço de alteração das capas isolantes dos geradores da casa de força 2</t>
  </si>
  <si>
    <t>ENOR.00003.001</t>
  </si>
  <si>
    <t>COO0719</t>
  </si>
  <si>
    <t>Nova Demanda</t>
  </si>
  <si>
    <t>RD 2027 a 2029</t>
  </si>
  <si>
    <t>Albert Ferraz Botelho Da Silva</t>
  </si>
  <si>
    <t>Não emitido</t>
  </si>
  <si>
    <t>Fornecimento de dois jogos de SptoLogs, um para a CF I e outro para a CF 2.</t>
  </si>
  <si>
    <t>ENOR.00027</t>
  </si>
  <si>
    <t>COO0628</t>
  </si>
  <si>
    <t>Não iniciado</t>
  </si>
  <si>
    <t>(PE) Não Requisitado e com ID Financeira</t>
  </si>
  <si>
    <t>RC não emitida</t>
  </si>
  <si>
    <t>Avaliar projeto, pois não houve responsavel pelo projeto. Passar para o Fred</t>
  </si>
  <si>
    <t>Cavitação</t>
  </si>
  <si>
    <t>Contratação de empresa especializada para manutenção e reforço operacional sistema de turbina recuperação de cavitação/trincas</t>
  </si>
  <si>
    <t>ENOR.00124</t>
  </si>
  <si>
    <t>COO0685</t>
  </si>
  <si>
    <t>Gilton Carlos De Andrade Furtado</t>
  </si>
  <si>
    <t>NGHI.0141</t>
  </si>
  <si>
    <t>Modernização dos pórticos de Jusante e montante da UHE Tucuruí</t>
  </si>
  <si>
    <t>ENOR.00301.001</t>
  </si>
  <si>
    <t>COO0559</t>
  </si>
  <si>
    <t>RC aprovada</t>
  </si>
  <si>
    <t>RD 2026  a 2029</t>
  </si>
  <si>
    <t>Frederico Rodolfo Parente Doerner</t>
  </si>
  <si>
    <t xml:space="preserve">Aquisição de 2 (dois) transformadores elevadores trifásicos 69/13,8 kV – 28,75 MVA para casa de força I </t>
  </si>
  <si>
    <t>ENOR.00102</t>
  </si>
  <si>
    <t>COO0615</t>
  </si>
  <si>
    <t>023/87-17</t>
  </si>
  <si>
    <t>NGHI.0143.10.00001.001</t>
  </si>
  <si>
    <t>Implantação de Grupo Gerador cabinado</t>
  </si>
  <si>
    <t>ENOR.00129.001</t>
  </si>
  <si>
    <t>RD 2026 a 2027</t>
  </si>
  <si>
    <t>Milton Pereira Menezes</t>
  </si>
  <si>
    <t>Reparo em 3 transformadores elevadores da UHE Tucuruí.</t>
  </si>
  <si>
    <t>Revitalização dos transforamadores atualmente em operação na UHE Tucuruí</t>
  </si>
  <si>
    <t>ENOR.00100</t>
  </si>
  <si>
    <t>COO0662</t>
  </si>
  <si>
    <t>Reduzido em 2026</t>
  </si>
  <si>
    <t>NGHI.0077</t>
  </si>
  <si>
    <t>Aquisição e montagem de pórtico para tomada d’água da CF1 e vertedouro.</t>
  </si>
  <si>
    <t>BARDELLA SA INDUSTRIAS MECANICAS EM</t>
  </si>
  <si>
    <t>AQUISICAO DE PORTICO PARA TOMADA D'AGUA PARA A CASA DE FORCA</t>
  </si>
  <si>
    <t>ENOR.00111.001</t>
  </si>
  <si>
    <t>COO0599</t>
  </si>
  <si>
    <t>Reajuste</t>
  </si>
  <si>
    <t>Substituição técnica de trafos 500/69 kV no pátio da UHE Tucuruí.</t>
  </si>
  <si>
    <t>MEGATRANZ TRANSPORTES</t>
  </si>
  <si>
    <t>Revitalização dos stop logs das Casas de Força 01 e 02 da UHE Tucuruí.</t>
  </si>
  <si>
    <t>OPEMACS SERVICOS TECNICOS LTDA</t>
  </si>
  <si>
    <t>Contratação de Serviço de Revitalização dos Stop Logs das Casas de Força 01 e 02 da UHE Tucuruí.</t>
  </si>
  <si>
    <t>ENOR.00027.001</t>
  </si>
  <si>
    <t>RD 2026 e 2mi para 20278</t>
  </si>
  <si>
    <t>0484/2016</t>
  </si>
  <si>
    <t>COMPORTA VERTEDOURO VT-01,02,03,04,05,06,07,08, 09,10</t>
  </si>
  <si>
    <t>ENOR.00094</t>
  </si>
  <si>
    <t>RD 2027-2028</t>
  </si>
  <si>
    <t>Naim Damasceno Campos</t>
  </si>
  <si>
    <t>13777/2022</t>
  </si>
  <si>
    <t>Substituição de transformador para a UHE Curuá-Una</t>
  </si>
  <si>
    <t>ENOR.00046</t>
  </si>
  <si>
    <t>COO0554</t>
  </si>
  <si>
    <t>PE sem cód ID Financeira</t>
  </si>
  <si>
    <t>Telecom</t>
  </si>
  <si>
    <t>NSTC.0040</t>
  </si>
  <si>
    <t>NSTC.0044</t>
  </si>
  <si>
    <t>Implantação de Alimentação -48VCC</t>
  </si>
  <si>
    <t>ENOR.00202.001</t>
  </si>
  <si>
    <t>COO1080</t>
  </si>
  <si>
    <t>TR em elaboração</t>
  </si>
  <si>
    <t>João André Peixoto De Souza</t>
  </si>
  <si>
    <t>Substituição de Turbinas para ganho de potencia na Geração</t>
  </si>
  <si>
    <t>ENOR.00043</t>
  </si>
  <si>
    <t>Avaliar continuidade do projeto</t>
  </si>
  <si>
    <t>Modernização de cubiculos CA e CC</t>
  </si>
  <si>
    <t>ENOR.00031.001</t>
  </si>
  <si>
    <t>RD 2027 a 2028</t>
  </si>
  <si>
    <t>NGHI.0154</t>
  </si>
  <si>
    <t>TOPOCART TOPOGRAFIA ENGENHARIA</t>
  </si>
  <si>
    <t>Atualização das curvas Cota x Área x Volume do reservatório</t>
  </si>
  <si>
    <t>ENOR.00307</t>
  </si>
  <si>
    <t>Carlos Henrique Oliveira da Rocha</t>
  </si>
  <si>
    <t>Monitoramento da água de resfriamento para 4 UGs da UHE Tucuruí. (SIRI)</t>
  </si>
  <si>
    <t>VALETEL COMERCIO E SERVICOS LTDA</t>
  </si>
  <si>
    <t>Contratação de empresa especializada para montagem, instalação e comissionamento de sistema de monitoramento da água de resfriamento e gerenciamento inteligente para 4 unidades geradoras da UHE Tucuruí.</t>
  </si>
  <si>
    <t>ENOR.00097.001</t>
  </si>
  <si>
    <t>COO0550</t>
  </si>
  <si>
    <t>Robinson Percy Holder</t>
  </si>
  <si>
    <t xml:space="preserve">Sobressalentes Estrategicos _CNUGH-01, 02, 03  Banco de Transformadores CNTF5-01 Pocos de Drenagem </t>
  </si>
  <si>
    <t>ENOR.00093.005</t>
  </si>
  <si>
    <t>RD 2025 1,8 2028</t>
  </si>
  <si>
    <t>Substituição de equipamentos com fim de vida util</t>
  </si>
  <si>
    <t>ENOR.00037</t>
  </si>
  <si>
    <t>COO0583</t>
  </si>
  <si>
    <t>Modernização dos sistemas RTVAX POWER na UHE Curuá‑Una.</t>
  </si>
  <si>
    <t>REIVAX AUTOMAÇÃO E CONTROLE LTDA</t>
  </si>
  <si>
    <t>Modernização dos sistemas de Regulação de Tensão e Velocidade, com automatismos RTVAX POWER</t>
  </si>
  <si>
    <t>ENOR.00044</t>
  </si>
  <si>
    <t>COO0589</t>
  </si>
  <si>
    <t>Requisitado e Contratado mas sem ID Financeira</t>
  </si>
  <si>
    <t xml:space="preserve">13,8kV (trafo limitador) CF2 da UHE Tucuruí 13,8kV (trafo limitador) CF2 da UHE Tucuruí/ Transformador regulador CF1 para alimentação do serviço auxiliar </t>
  </si>
  <si>
    <t>ENOR.00107.001</t>
  </si>
  <si>
    <t>RD 2027 o 2029</t>
  </si>
  <si>
    <t>Cancelado</t>
  </si>
  <si>
    <t>Substituição das rodas das comportas de emergência</t>
  </si>
  <si>
    <t>ENOR.00126.001</t>
  </si>
  <si>
    <t>COO0726</t>
  </si>
  <si>
    <t>Projeto cancelado devido ausencia de responsavel</t>
  </si>
  <si>
    <t xml:space="preserve">Implantação de monitoramento on-line </t>
  </si>
  <si>
    <t>ENOR.00033.001</t>
  </si>
  <si>
    <t>RD 2027</t>
  </si>
  <si>
    <t>Airton Rego Bentes</t>
  </si>
  <si>
    <t>UG1_PR_SE_SAMUEL</t>
  </si>
  <si>
    <t>ENOR.00063.001</t>
  </si>
  <si>
    <t>Geovane Andrade Melo Luz</t>
  </si>
  <si>
    <t>UG1_TPC_SE_SAMUEL</t>
  </si>
  <si>
    <t>ENOR.00065.001</t>
  </si>
  <si>
    <t>Necessidade de peças sobressalentes para uso na manutenção do distribuidor.</t>
  </si>
  <si>
    <t>ENOR.00127.001</t>
  </si>
  <si>
    <t>COO0747</t>
  </si>
  <si>
    <t>Cancelar processo, pois não foi reconhecido pela equipe</t>
  </si>
  <si>
    <t>NGHI.0143.60.00001.005</t>
  </si>
  <si>
    <t>Revitalização da pintura das partes metálicas da UHE Tucuruí.</t>
  </si>
  <si>
    <t>Contratação de serviço para Revitalização de Estruturas Metálicas das partes metálicas da UHE Tucuruí. (Termo aditivo previsto VT)</t>
  </si>
  <si>
    <t>ENOR.00026.001</t>
  </si>
  <si>
    <t>COO0626</t>
  </si>
  <si>
    <t>NGHI.0075</t>
  </si>
  <si>
    <t>Sistema de proteção contra incêndio da UHE Tucuruí - Casa de Força I e II</t>
  </si>
  <si>
    <t xml:space="preserve"> </t>
  </si>
  <si>
    <t>ENOR.00001</t>
  </si>
  <si>
    <t>COO0701</t>
  </si>
  <si>
    <t>RD 2027 a 2029.
Não emitido (SPCI + CO2 CF II)</t>
  </si>
  <si>
    <t>Romulo Cesar Pereira</t>
  </si>
  <si>
    <t>MODERNIZAÇÃO SISTEMA ANTI-INCÊNDIO</t>
  </si>
  <si>
    <t>SERGON SERVICOS LTDA</t>
  </si>
  <si>
    <t>Implantação de SPCI por água nebulizada nos GDE's da UHE Tucuruí</t>
  </si>
  <si>
    <t>ENOR.00009</t>
  </si>
  <si>
    <t>RD 2026 e 2027</t>
  </si>
  <si>
    <t>Instalação de sistema de resfriamento em cirtuito fechado para o transformador, Regulador de tensão e Velocidade.</t>
  </si>
  <si>
    <t>ENOR.00106.001</t>
  </si>
  <si>
    <t>Cancelar. Solução técnica inviável.</t>
  </si>
  <si>
    <t>Aquisição de Transformadores de 13,8/440V para alimentação Vertedouro e Serviço auxiliar</t>
  </si>
  <si>
    <t>ENOR.00105</t>
  </si>
  <si>
    <t>COO0677</t>
  </si>
  <si>
    <t>Conjunto de motobombas, trocadores de calor, válvulas, instrumenção etc., para os sistemas do MGG, MGT e ME.</t>
  </si>
  <si>
    <t>ENOR.00123.001</t>
  </si>
  <si>
    <t>COO0675</t>
  </si>
  <si>
    <t>Modernização de isoladores e para-raios da Linha CUTALI5-01</t>
  </si>
  <si>
    <t>ENOR.00034.001</t>
  </si>
  <si>
    <t>Jimmison Levi Monteiro De Oliveira</t>
  </si>
  <si>
    <t>Modernização do disjuntor 6,9kV</t>
  </si>
  <si>
    <t>ENOR.00036</t>
  </si>
  <si>
    <t>COO0564</t>
  </si>
  <si>
    <t>PROJETO E INSTALAÇÃO TUBULAÇÃO</t>
  </si>
  <si>
    <t>V MARQUES DA SILVA LTDA</t>
  </si>
  <si>
    <t>Sistema de tubulação para interligação de tubos para drenagem da agua os poços 11/12</t>
  </si>
  <si>
    <t>ENOR.00002.001</t>
  </si>
  <si>
    <t>Será antecipado para 2026</t>
  </si>
  <si>
    <t xml:space="preserve">Alteração de projeto mancal tipo bucha para mancal tipo segmento </t>
  </si>
  <si>
    <t>ENOR.00030</t>
  </si>
  <si>
    <t>COO0588</t>
  </si>
  <si>
    <t>Modernização do geradores elétricos da UHE Curuá-Una</t>
  </si>
  <si>
    <t>ENOR.00045</t>
  </si>
  <si>
    <t>Avaliar escopo do serviço</t>
  </si>
  <si>
    <t>UG1_DJ_SE_SAMUEL</t>
  </si>
  <si>
    <t>ENOR.00064.001</t>
  </si>
  <si>
    <t>ENOR.00109.001</t>
  </si>
  <si>
    <t>COO0580</t>
  </si>
  <si>
    <t>NGHI.0146</t>
  </si>
  <si>
    <t>istema automático de dosagem de hipoclorito para água de resfriamento.</t>
  </si>
  <si>
    <t>INNOVATIVE WATER CARE IND E COM DE</t>
  </si>
  <si>
    <t>Fornecimento de sistema de injeção automático e controle analítico on-line para dosagem de hipoclorito de cálcio 65% em tabletes de lenta dissolução, com fornecimento de materiais, equipamentos e mão de obra para tratamento da água de resfriamento da UHE Tucuruí, nas Casas de Força I, II e Auxiliares em sistemas de dosagem independentes</t>
  </si>
  <si>
    <t>ENOR.00096.001</t>
  </si>
  <si>
    <t>COO0549</t>
  </si>
  <si>
    <t>NSTC.0038</t>
  </si>
  <si>
    <t>Ver contrato telecon</t>
  </si>
  <si>
    <t>Implantação de Roteadores de TO para ampliação e melhoria dos Sistemas de Telecomunicações dos Centros de Operação e CGRT da Eletronorte</t>
  </si>
  <si>
    <t>ENOR.00203.001</t>
  </si>
  <si>
    <t>COO1085</t>
  </si>
  <si>
    <t>NGHI.0023</t>
  </si>
  <si>
    <t>Fornecimento e instalação de filtros autolimpantes na OGH.</t>
  </si>
  <si>
    <t>HYDAC TECNOLOGIA LTDA</t>
  </si>
  <si>
    <t>Fornecimento, retirada de equipamento em operação, adequação, instalação e comissionamento de filtros autolimpantes multielementos com sistema Flushing e Backflushing, totalmente automático, com corpo construído em chapas de Aço Carbono ASTM A285-C e elementos em inox 304, 316 ou superior, no âmbito da Superintendência de Produção da Geração Hidráulica – OGH.</t>
  </si>
  <si>
    <t>ENOR.00095.001</t>
  </si>
  <si>
    <t>COO0548</t>
  </si>
  <si>
    <t>Substituição de três (3) Para-Raios associados à Unidades Geradoras 1 e 2 referente as Fases A, B e V da linha TUTCLT7-01.</t>
  </si>
  <si>
    <t>ENOR.00302.001</t>
  </si>
  <si>
    <t>COO0648</t>
  </si>
  <si>
    <t>NGHI.0143.19.00002.001</t>
  </si>
  <si>
    <t>SERVIÇOS POLOS GERADORES 350MVA</t>
  </si>
  <si>
    <t>GE ENERGIAS</t>
  </si>
  <si>
    <t>Aquisição Sobressalentes Estrategicos sistema Gerador (sensores, barras, cunhas, travas, reisolação polos, molas, porta escova, calço e capas isolantes)</t>
  </si>
  <si>
    <t>ENOR.00119.001</t>
  </si>
  <si>
    <t>COO0659</t>
  </si>
  <si>
    <t>Movimentação e montagem da parte ativa do trafo elevador 378 MVA. (TUTF7-10)</t>
  </si>
  <si>
    <t>Aquisição Sobressalentes Estrategicos sistema transformador</t>
  </si>
  <si>
    <t>Contrato concluido. Fatura foi paga no contrato 4500073938. Precisa encerrar o contrato e ver com ajustar o faturamento; NF 32528</t>
  </si>
  <si>
    <t>Fornecimento de equipmanetos para manuseio de gás SF6.</t>
  </si>
  <si>
    <t>ELECTRISA SOLUCOES EM ENERGIA LTDA</t>
  </si>
  <si>
    <t>Aquisição Sobressalentes Estrategicos sistema Subestação Blindada a Gas</t>
  </si>
  <si>
    <t>RD 2027 e 2028</t>
  </si>
  <si>
    <t>AQUISIÇÃO DE VALVULA</t>
  </si>
  <si>
    <t>RTS INDUSTRIA E COMERCIO DE VALVULA</t>
  </si>
  <si>
    <t>Alteração no sistema de acionamento de manual para motorizado - Celebrado o contratopara fornecimento de 08 válvula - Fornecedor: RTS Indústria e Comércio de Válvulas Ltda</t>
  </si>
  <si>
    <t>ENOR.00004.001</t>
  </si>
  <si>
    <t>COO0727</t>
  </si>
  <si>
    <t>Aquisição de compressores em atendimento à Tucuruí.</t>
  </si>
  <si>
    <t>SAUER DO BRASIL INDUSTRIA COMERCIO</t>
  </si>
  <si>
    <t>Instalação de novos equipamentos nas centrais s - Processo está na fase de contratação.</t>
  </si>
  <si>
    <t>ENOR.00005</t>
  </si>
  <si>
    <t>Modernização Sistema de Proteção - CNUGH-01/ CNUGH-02</t>
  </si>
  <si>
    <t>ENOR.00088</t>
  </si>
  <si>
    <t>GRUPO MOTOR GERADOR</t>
  </si>
  <si>
    <t>DISTRIBUIDORA CUMMINS MINAS LTDA</t>
  </si>
  <si>
    <t>ENOR.00099.001</t>
  </si>
  <si>
    <t>COO0558</t>
  </si>
  <si>
    <t>Modernização Painel GDE</t>
  </si>
  <si>
    <t>ENOR.00092.001</t>
  </si>
  <si>
    <t>Embutir</t>
  </si>
  <si>
    <t>Aquisição de um conjunto de servomotores (4) do distribuidor da CF2</t>
  </si>
  <si>
    <t>ENOR.00108.001</t>
  </si>
  <si>
    <t>COO0567</t>
  </si>
  <si>
    <t>Necessidade de equipamentos sobressalentes</t>
  </si>
  <si>
    <t>ENOR.00007.001</t>
  </si>
  <si>
    <t>UG01, UG02, UG03, UG04, UG05_ROTROFIT REGULADOR DE VELOCidade _Unidade de filtração hidraulica do Regulador de velocidade com elemento absoluto e sistema monitoramento</t>
  </si>
  <si>
    <t>ENOR.00012.005</t>
  </si>
  <si>
    <t>Substituição do disjuntor e seccionadora do Vão da 3ª unidade de Coaracy Nunes devido superação de curto Circtuito</t>
  </si>
  <si>
    <t>ENOR.00308.001</t>
  </si>
  <si>
    <t>ENOR.00042</t>
  </si>
  <si>
    <t>COO0670</t>
  </si>
  <si>
    <t>NGHI.0091</t>
  </si>
  <si>
    <t>Fornecimento e instalação do painel inferior da comporta do vertedouro 17.</t>
  </si>
  <si>
    <t>Contratação de empresa para de fabricação, fornecimento e instalação do painel inferior, acrescido dos serviços de recuperação da soleira inferior,da Comporta de Segmento no 17 do Vertedouro da UHE Tucuruí.</t>
  </si>
  <si>
    <t>ENOR.00025</t>
  </si>
  <si>
    <t>COO0597</t>
  </si>
  <si>
    <t>Revitalização ETA</t>
  </si>
  <si>
    <t>ENOR.00067.001</t>
  </si>
  <si>
    <t>ENOR.00068.001</t>
  </si>
  <si>
    <t>sistema de refrigeração predial edificio comando</t>
  </si>
  <si>
    <t>ENOR.00024</t>
  </si>
  <si>
    <t>ENOR.00010.001</t>
  </si>
  <si>
    <t>NGHI.0070</t>
  </si>
  <si>
    <t>Projeto e instalação de sistema de monitoramento de bucha online.</t>
  </si>
  <si>
    <t>TREETECH TECNOLOGIA</t>
  </si>
  <si>
    <t>Garantir o monitoramento da capactancia de bucha dos transformadores</t>
  </si>
  <si>
    <t>ENOR.00306</t>
  </si>
  <si>
    <t>COO0551</t>
  </si>
  <si>
    <t>Francisco Figueiredo Silva Neto</t>
  </si>
  <si>
    <t>ENOR.00023</t>
  </si>
  <si>
    <t>Aquisição de Grupo Diesel de 400KVA</t>
  </si>
  <si>
    <t>ENOR.00091.001</t>
  </si>
  <si>
    <t>Modernização de equipamentos de içamento</t>
  </si>
  <si>
    <t>ENOR.00035.001</t>
  </si>
  <si>
    <t>Aquisição de equipamentos de proteção e limitadores  de valores dos surtos de tensão transitórios</t>
  </si>
  <si>
    <t>ENOR.00115.001</t>
  </si>
  <si>
    <t>sistema de drenagem tampa turbina CF1 - modernização UG01,02,03,04,05,06,07,08,09,10,11 e 12</t>
  </si>
  <si>
    <t>ENOR.00022</t>
  </si>
  <si>
    <t>NGHI.0143.62.00001.001</t>
  </si>
  <si>
    <t>Necessidade de equipamentos sobressalente para substituição nas UGHs da CF2</t>
  </si>
  <si>
    <t>ENOR.00021.001</t>
  </si>
  <si>
    <t>Melhoria no sistema de exaustão e ventilação das galerias da UHE Balbina.</t>
  </si>
  <si>
    <t>ENOR.00085</t>
  </si>
  <si>
    <t>Confirmado execução (Cleomar)</t>
  </si>
  <si>
    <t>Substituição de banco de baterias UHE Samuel</t>
  </si>
  <si>
    <t>ENOR.00066.001</t>
  </si>
  <si>
    <t>NGHI.0141.02.00001.001</t>
  </si>
  <si>
    <t>ATERRAMENTO CUTA</t>
  </si>
  <si>
    <t>ECOLIMP SERVIÇOS DE MAO DE OBRA</t>
  </si>
  <si>
    <t>Substituição do cabo para raios da linha de CUTA-LI5-01</t>
  </si>
  <si>
    <t>ENOR.00048.001</t>
  </si>
  <si>
    <t>COO0743</t>
  </si>
  <si>
    <t>NGHI.0087</t>
  </si>
  <si>
    <t>Recuperação do barramento blindado 13,8 kV da UG‑19 da UHE Tucuruí.</t>
  </si>
  <si>
    <t>POWERBUS EQUIPAMENTOS ELETRICOS</t>
  </si>
  <si>
    <t>Recuperação do BARRAMENTO BLINDADO DE FASES ISOLADAS 13.8kV, da unidade geradora 19 (TUUGH-19) da UHE Tucuruí/PA.</t>
  </si>
  <si>
    <t>ENOR.00101.001</t>
  </si>
  <si>
    <t>COO0585</t>
  </si>
  <si>
    <t>TL.9006</t>
  </si>
  <si>
    <t>Implantação de Cabo OPGW entre UHE CURUÁ-UNA e SE TAPAJÓS</t>
  </si>
  <si>
    <t>ENOR.00201.001</t>
  </si>
  <si>
    <t>COO0696</t>
  </si>
  <si>
    <t>A definir</t>
  </si>
  <si>
    <t>NGHI.0157</t>
  </si>
  <si>
    <t>Sistemas de Monitoramento para Transformadores (Liga - AGVA - Sistema de monitoramento)</t>
  </si>
  <si>
    <t>UG01_MODERNIZAÇÃO RV ELETRONICO /RV HIDRAULICO  (TRANSFORMADOR DE EXECITAÇÃO E ARMARIO COM PONTE DE TIRISTORES) incluindo rele de sobre frequencia de saida do Bay)</t>
  </si>
  <si>
    <t>ENOR.00011.011</t>
  </si>
  <si>
    <t>UG01, UG02, UG04, UG05 e VERTEDOURO_ modernização do SPCS balbina</t>
  </si>
  <si>
    <t>ENOR.00013.006</t>
  </si>
  <si>
    <t>MODERNIZAÇÃO DO SISTEMA DE AR DE REGULAÇÃO - COMPRESSORES AO-AP-AQ - UHE BALBINA</t>
  </si>
  <si>
    <t>ENOR.00074.001</t>
  </si>
  <si>
    <t>MODERNIZAÇÃO DO SISTEMA RESFR. MANCAL COMBINADO - UGH 01,02,03,04,05</t>
  </si>
  <si>
    <t>ENOR.00075</t>
  </si>
  <si>
    <t>MODERNIZAÇÃO DO SISTEMA DE AR DE SERVIÇO - COMPRESSORES 03 E 04 - UHE BALBINA</t>
  </si>
  <si>
    <t>ENOR.00073.001</t>
  </si>
  <si>
    <t>MODERNIZAÇÃO DO SIST INJEÇÃO DE ÓLEO MANCAL ESCORA - UGH 01,02,03,04,05</t>
  </si>
  <si>
    <t>ENOR.00077</t>
  </si>
  <si>
    <t>MODERNIZAÇÃO DO SISTEMA RESFR. MANCAL GERADOR - UGH 01,02, 03, 04,05</t>
  </si>
  <si>
    <t>ENOR.00076</t>
  </si>
  <si>
    <t>MODERNIZACAO DO SISTEMA DRENAGEM TAMPA DA TURBINA - UGH 01, 02,03,04,05</t>
  </si>
  <si>
    <t>ENOR.00078</t>
  </si>
  <si>
    <t>Instalar comando e controle sistema de drenagem e esgotamento - MOTOBOMBA DE DRENAGEM BDR-001,002,003,004</t>
  </si>
  <si>
    <t>ENOR.00029.003</t>
  </si>
  <si>
    <t>COO0562</t>
  </si>
  <si>
    <t>Implantação do circuito de alimentação de energia da Sala de Contigência da UHE Balbina</t>
  </si>
  <si>
    <t>ENOR.00028.001</t>
  </si>
  <si>
    <t>COO0574</t>
  </si>
  <si>
    <t>MODERNIZACAO SISTEMA DE CLORO BARRILHA A UHE BALBINA</t>
  </si>
  <si>
    <t>ENOR.00079.001</t>
  </si>
  <si>
    <t>Modernização Comportas Vertedouro 01 , 02, 03, 04 UHE BALBINA</t>
  </si>
  <si>
    <t>ENOR.00081.001</t>
  </si>
  <si>
    <t>Modernização Comportas Tomada D'agua UHE BALBINA - UHG 01,02,03,04,05</t>
  </si>
  <si>
    <t>ENOR.00082.005</t>
  </si>
  <si>
    <t>Modernização Pórtico Montante, Jusante 01 e 02 UHE BALBINA</t>
  </si>
  <si>
    <t>ENOR.00083.002</t>
  </si>
  <si>
    <t>Modernização Ponte Rolante 02 UHE BALBINA</t>
  </si>
  <si>
    <t>ENOR.00084.001</t>
  </si>
  <si>
    <t>UG01_MODERNIZAÇÃO CGCU1,2,3,4,5, CGCA1,2,CCE001,002, CCG EMERCENCIA, CGCV</t>
  </si>
  <si>
    <t>ENOR.00085.005</t>
  </si>
  <si>
    <t xml:space="preserve">AUXTA_MODERNIZAÇÃO CGCTA, SISTEMA DE ALIMENTAÇÃO - BARRA 1-2 DISJUNTOR 2-01/0-02/2-03 DIJUNTOR DE BARRAS </t>
  </si>
  <si>
    <t>ENOR.00086.001</t>
  </si>
  <si>
    <t>SISTEMA DE ALIMENTAÇÃO 13,8 KV  DISJUNTOR BADJ2-11 / UG01_MODERNIZAÇÃO BACCI-U1/ UG02_MODERNIZAÇÃO BACCI-U2/ UG03_MODERNIZAÇÃO BACCI-U3/ UG04_MODERNIZAÇÃO BACCI-U4/UG05_MODERNIZAÇÃO BACCI-U5</t>
  </si>
  <si>
    <t>ENOR.00087.001</t>
  </si>
  <si>
    <t>ENOR.00069.001</t>
  </si>
  <si>
    <t>MODERNIZAÇÃO DOS ANÉIS COLETORES COM INSTALAÇÃO DE SISTEMA DE LIMPEZA AUTOMÁTICA DA UGH-01,02,03,04,05</t>
  </si>
  <si>
    <t>ENOR.00080.001</t>
  </si>
  <si>
    <t>Modernização_ Ponte rolante CF</t>
  </si>
  <si>
    <t>ENOR.00090.001</t>
  </si>
  <si>
    <t>Modernização Sistema de Supervisão - UCC01 UCC02</t>
  </si>
  <si>
    <t>ENOR.00089.001</t>
  </si>
  <si>
    <t>Implantação de mesa para facilitação do comando das UGHs</t>
  </si>
  <si>
    <t>ENOR.00041.001</t>
  </si>
  <si>
    <t>COO0697</t>
  </si>
  <si>
    <t>RD 2026</t>
  </si>
  <si>
    <t>Aquisição de bomba em atendimento à UHE Curuá-Una.</t>
  </si>
  <si>
    <t>Aquisição de MB para o sistema de Regulação de Velocidade</t>
  </si>
  <si>
    <t>ENOR.00038</t>
  </si>
  <si>
    <t>COO0600</t>
  </si>
  <si>
    <t>Substituição do conjunto de TC's da linha de CUTA-LI5-01 no terminal da SE Tapajós</t>
  </si>
  <si>
    <t>ENOR.00049.001</t>
  </si>
  <si>
    <t>COO0744</t>
  </si>
  <si>
    <t>Substituição do disjuntor da linha de CUTA-LI5-01 no terminal da SE Tapajós</t>
  </si>
  <si>
    <t>ENOR.00072.001</t>
  </si>
  <si>
    <t>COO0745</t>
  </si>
  <si>
    <t>Implantação de sistema de combate a agentes nocivos aos sistema de resfriamento</t>
  </si>
  <si>
    <t>ENOR.00032.001</t>
  </si>
  <si>
    <t>UG01_MODERNIZAÇÃO CCU1</t>
  </si>
  <si>
    <t>ENOR.00050.001</t>
  </si>
  <si>
    <t>UG01_MODERNIZAÇÃO CUBÍCULO DO DAG 1</t>
  </si>
  <si>
    <t>ENOR.00051.001</t>
  </si>
  <si>
    <t>AUXCF_SUBSTITUIÇÃO SUTR201</t>
  </si>
  <si>
    <t>ENOR.00052.001</t>
  </si>
  <si>
    <t>AUXCF_SUBSTITUIÇÃO SUTF201</t>
  </si>
  <si>
    <t>ENOR.00053.001</t>
  </si>
  <si>
    <t>UG01_MODERNIZAÇÃO CCCU1</t>
  </si>
  <si>
    <t>ENOR.00054.001</t>
  </si>
  <si>
    <t>UG01_MODERNIZAÇÃO COMPORTA DE EMERGÊNCIA</t>
  </si>
  <si>
    <t>ENOR.00055.001</t>
  </si>
  <si>
    <t>AUXVT_MODERNIZAÇÃO COMPORTA VERTEDOURO 01</t>
  </si>
  <si>
    <t>ENOR.00056.002</t>
  </si>
  <si>
    <t>AUXCF_MODERNIZAÇÃO PÓRTICO JUSANTE</t>
  </si>
  <si>
    <t>ENOR.00057.001</t>
  </si>
  <si>
    <t>AUXCF_MODERNIZAÇÃO PONTE ROLANTE Nº1</t>
  </si>
  <si>
    <t>ENOR.00058.001</t>
  </si>
  <si>
    <t>AUXCF_MODERNIZAÇÃO SISTEMA ANTI-INCÊNDIO CO2</t>
  </si>
  <si>
    <t>ENOR.00059.001</t>
  </si>
  <si>
    <t>MODERNIZAÇÃO RDP UG1</t>
  </si>
  <si>
    <t>ENOR.00060.001</t>
  </si>
  <si>
    <t>COO0563</t>
  </si>
  <si>
    <t>UG1_FRENAGEM E LEVANTAMENTO</t>
  </si>
  <si>
    <t>ENOR.00061.001</t>
  </si>
  <si>
    <t>Integração do Sistema de Drenagem da Casa de Força</t>
  </si>
  <si>
    <t>ENOR.00062.004</t>
  </si>
  <si>
    <t>NGHI.0083</t>
  </si>
  <si>
    <t>Peças e serviços para revitalização da subestação SF6 TUUGH‑19.</t>
  </si>
  <si>
    <t>GRID SOLUTIONS TRANSMISSAO DE ENERG</t>
  </si>
  <si>
    <t>Fornecimento de peças "Equipamentos o Materiais" e serviços de inspeção,montagem e comissionamento "Serviços" para revitalização da subestaçãoisolada a gás SF6 tuugh-19 da UHE Tucuruí.</t>
  </si>
  <si>
    <t>ENOR.00104.001</t>
  </si>
  <si>
    <t>COO0630</t>
  </si>
  <si>
    <t>Fornecimento de disjuntores para substituição dos disjuntores fora de linha de fabricação MERLIN GERIN, modelo NT 12H1, número de série 424289.</t>
  </si>
  <si>
    <t>ENOR.00112.001</t>
  </si>
  <si>
    <t>COO0606</t>
  </si>
  <si>
    <t>NSTC.0037</t>
  </si>
  <si>
    <t>Implantação de Switches de TO para ampliação e melhoria dos Sistemas de Telecomunicações dos Centros de Operação e CGRT da Eletronorte</t>
  </si>
  <si>
    <t>ENOR.00204.001</t>
  </si>
  <si>
    <t>COO1089</t>
  </si>
  <si>
    <t>NGHI.0028</t>
  </si>
  <si>
    <t>Fornecimento e comissionamento de bombas verticais da drenagem da UHE Tucuruí.</t>
  </si>
  <si>
    <t>IMBIL IND E MAN DE BOMBAS ITA LTDA</t>
  </si>
  <si>
    <t>Fornecimento, adequação, instalação e comissionamento de bombasverticais do sistema de drenagem e esgotamento da UHE Tucuruí no âmbitoda Superintendência de Produção da Geração Hidráulica – OGH, comfornecimento de materiais, equipamentos e mão de obra especializada.</t>
  </si>
  <si>
    <t>ENOR.00113.001</t>
  </si>
  <si>
    <t>COO0619</t>
  </si>
  <si>
    <t>Contrato zerado</t>
  </si>
  <si>
    <t>2026 geral</t>
  </si>
  <si>
    <t>2026 Carga não</t>
  </si>
  <si>
    <t>SAP 04/02/2026</t>
  </si>
  <si>
    <t>Reserva imobilizada para UHE Tucuruí</t>
  </si>
  <si>
    <t>Coletor de Custo4</t>
  </si>
  <si>
    <t>Contrato/Pedido/RC</t>
  </si>
  <si>
    <t>4500080379/4500083678/4600002316</t>
  </si>
  <si>
    <t>4500078421/3400004035</t>
  </si>
  <si>
    <t>4500080069/4500083678</t>
  </si>
  <si>
    <t>Contrato criado via CSC</t>
  </si>
  <si>
    <t>4500073938/4500078421</t>
  </si>
  <si>
    <t>4500071331-Aditivo</t>
  </si>
  <si>
    <t>Doc.compras</t>
  </si>
  <si>
    <t>Nome Fornecedor</t>
  </si>
  <si>
    <t>Curva ajustada SPCS</t>
  </si>
  <si>
    <t>Demana candidata geração</t>
  </si>
  <si>
    <t>sem segurança de barragem</t>
  </si>
  <si>
    <t>Valor proposto via demanda candidata</t>
  </si>
  <si>
    <t>Detalhamento</t>
  </si>
  <si>
    <t>Valor 2026</t>
  </si>
  <si>
    <t>%</t>
  </si>
  <si>
    <t>Contratado/reajuste</t>
  </si>
  <si>
    <t>Sem requisição</t>
  </si>
  <si>
    <t>Total</t>
  </si>
  <si>
    <t>Valor reduzido</t>
  </si>
  <si>
    <t>1 rodada de redução</t>
  </si>
  <si>
    <t>2 rodada de redução</t>
  </si>
  <si>
    <t>Meta de redução 35%</t>
  </si>
  <si>
    <t>Redução SPCS+</t>
  </si>
  <si>
    <t>Grandes projetos</t>
  </si>
  <si>
    <t>Wandre Matos De Medeiros</t>
  </si>
  <si>
    <t>Gilton Carlos De Andrade</t>
  </si>
  <si>
    <t>Fernanda Baracho Dourado Madureira</t>
  </si>
  <si>
    <t>Romulo Cesar Pereira e cordenadores das demais usinas</t>
  </si>
  <si>
    <t>Carlos Henrique Oliveira Da Rocha</t>
  </si>
  <si>
    <t>PEP</t>
  </si>
  <si>
    <t>PA|UHE TUCURUÍ|SISTEMA DE RESFRIAMENTO</t>
  </si>
  <si>
    <t>UHTU- MODERNIZAÇÃO DE SISTEMAS DA USINA</t>
  </si>
  <si>
    <t>GERHID|RVA|MONIT.BUCHA</t>
  </si>
  <si>
    <t>UHTU|Aquisição Pórtico de Tomada D’agua</t>
  </si>
  <si>
    <t>UHTU | REFORMA GIS SF6</t>
  </si>
  <si>
    <t>UHE TUCURUI - Substituição de 4 Módulos</t>
  </si>
  <si>
    <t>OO|MODERN|UHTU|UGH-19 Barramento 13,8kv</t>
  </si>
  <si>
    <t>OO#SEG#G#UHTU# Revit. comporta VT17</t>
  </si>
  <si>
    <t>UHTU|TRANSFORMADOR ELEVADOR CF1</t>
  </si>
  <si>
    <t>OOM Modern. G PP 2025</t>
  </si>
  <si>
    <t>OOG Modern. G PP 2025</t>
  </si>
  <si>
    <t>OO#MAN#G#UHTU#Sistem Injeção hipoclorito</t>
  </si>
  <si>
    <t>OO#MOD#G#UHSM#Regulador Velocidad Tensão</t>
  </si>
  <si>
    <t>PA#RO#CURVA CAV UHE TUCURUI E UHE SAMUEL</t>
  </si>
  <si>
    <t>Soma de 2027</t>
  </si>
  <si>
    <t>Soma de 2028</t>
  </si>
  <si>
    <t>Soma de 2029</t>
  </si>
  <si>
    <t>#N/D</t>
  </si>
  <si>
    <t>(Vários itens)</t>
  </si>
  <si>
    <t>Contagem de ID</t>
  </si>
  <si>
    <t>Soma de 2029-2030</t>
  </si>
  <si>
    <t>Soma de 2030</t>
  </si>
  <si>
    <t>Status por VP</t>
  </si>
  <si>
    <t>VEE</t>
  </si>
  <si>
    <t>Descrição da Instalação</t>
  </si>
  <si>
    <t>Descrição Resumida</t>
  </si>
  <si>
    <t>Risco</t>
  </si>
  <si>
    <t>2025-2029</t>
  </si>
  <si>
    <t>Chesf</t>
  </si>
  <si>
    <t>UHE Luiz Gonzaga</t>
  </si>
  <si>
    <t>Modernização Completa da UHE Luiz Gonzaga</t>
  </si>
  <si>
    <t>Moderado</t>
  </si>
  <si>
    <t>Crítico</t>
  </si>
  <si>
    <t>UHE Sobradinho</t>
  </si>
  <si>
    <t>Modernização Completa da UHE Sobradinho</t>
  </si>
  <si>
    <t>UHE Paulo Afonto IV</t>
  </si>
  <si>
    <t>Modernização Completa da UHE Paulo Afonso IV</t>
  </si>
  <si>
    <t>Eletrobras</t>
  </si>
  <si>
    <t>UHE Porto Colômbia</t>
  </si>
  <si>
    <t>Modernização Completa da UHE Porto Colômbia</t>
  </si>
  <si>
    <t>Substituição Transformador 550kV UHE Tucuruí</t>
  </si>
  <si>
    <t>Reforma Geradores 01,03,05,07,09 da UHE Tucurui</t>
  </si>
  <si>
    <t>UHE Xingó</t>
  </si>
  <si>
    <t>Modernização do sistema de proteção, controle e supervisão (SPCS) da UHE Xingó - CCX2</t>
  </si>
  <si>
    <t>Modernização dos Equipamentos de Elevação de diversas usinas da Chesf</t>
  </si>
  <si>
    <t>-</t>
  </si>
  <si>
    <t>Aquisição de 02 conjuntos de comportas de manutenção para a UHE Tucuruí</t>
  </si>
  <si>
    <t>UHE São Domingos</t>
  </si>
  <si>
    <t>Modernização da turbina Kaplan da UG02 da UHE São Domingos</t>
  </si>
  <si>
    <t>Revitalização de transformador para a UHE Tucurui</t>
  </si>
  <si>
    <t>Sequencial</t>
  </si>
  <si>
    <t>Descrição Detalhada do Projeto</t>
  </si>
  <si>
    <t>Melhoria Pequeno Porte</t>
  </si>
  <si>
    <t>Melhoria</t>
  </si>
  <si>
    <t>SGHI00010600003001</t>
  </si>
  <si>
    <t>Implantação de Linhas de Vida na PCH Barra do Rio Chapéu</t>
  </si>
  <si>
    <t>Melhoria no Sistema de Proteção Contra Quedas (SPQ) - Linha de Vida da PCH Barra do Rio Chapéu, proporcionando maior segurança em trabalhos  desenvolvidos em altura ou com risco de queda</t>
  </si>
  <si>
    <t>PCH Barra do Rio Chapéu</t>
  </si>
  <si>
    <t> </t>
  </si>
  <si>
    <t>OOMGS</t>
  </si>
  <si>
    <t>ESUL.00004.001</t>
  </si>
  <si>
    <t>COO1337</t>
  </si>
  <si>
    <t>Em contratação</t>
  </si>
  <si>
    <t>Matheus Ferreira Inácio</t>
  </si>
  <si>
    <t>SGHI00010500001001</t>
  </si>
  <si>
    <t>Implantação de Linhas de Vida na PCH João Borges</t>
  </si>
  <si>
    <t>Melhoria no Sistema de Proteção Contra Quedas (SPQ) - Linha de Vida da PCH João Borges, proporcionando maior segurança em trabalhos  desenvolvidos em altura ou com risco de queda</t>
  </si>
  <si>
    <t>PCH João Borges</t>
  </si>
  <si>
    <t>ESUL.00004.002</t>
  </si>
  <si>
    <t>COO1338</t>
  </si>
  <si>
    <t>SGHI00010400001001</t>
  </si>
  <si>
    <t>Implantação de Linhas de Vida na UHE Passo São João</t>
  </si>
  <si>
    <t>Melhoria no Sistema de Proteção Contra Quedas (SPQ) - Linha de Vida da UHE Passo São João, proporcionando maior segurança em trabalhos  desenvolvidos em altura ou com risco de queda</t>
  </si>
  <si>
    <t>UHE Passo São João</t>
  </si>
  <si>
    <t>ESUL.00004.003</t>
  </si>
  <si>
    <t>COO1339</t>
  </si>
  <si>
    <t>SGHI00010200005001</t>
  </si>
  <si>
    <t>Implantação de Linhas de Vida na UHE São Domingos</t>
  </si>
  <si>
    <t>Melhoria no Sistema de Proteção Contra Quedas (SPQ) - Linha de Vida da UHE São Domingos, proporcionando maior segurança em trabalhos  desenvolvidos em altura ou com risco de queda</t>
  </si>
  <si>
    <t>ESUL.00004.004</t>
  </si>
  <si>
    <t>COO1340</t>
  </si>
  <si>
    <t>SGHI00010500003006</t>
  </si>
  <si>
    <t>Implantação de plataforma de acesso à caixa espiral na PCH João Borges - UG01</t>
  </si>
  <si>
    <t>Melhoria no Sistema de Proteção Contra Quedas (SPQ) - Plataforma UG01 da PCH João Borges, proporcionando maior segurança em trabalhos  desenvolvidos em altura ou com risco de queda</t>
  </si>
  <si>
    <t>ESUL.00004.005</t>
  </si>
  <si>
    <t>COO1341</t>
  </si>
  <si>
    <t>SGHI00010500003005</t>
  </si>
  <si>
    <t>Implantação de plataforma de acesso à caixa espiral na PCH João Borges - UG02</t>
  </si>
  <si>
    <t>Melhoria no Sistema de Proteção Contra Quedas (SPQ) - Plataforma UG02 da PCH João Borges, proporcionando maior segurança em trabalhos  desenvolvidos em altura ou com risco de queda</t>
  </si>
  <si>
    <t>ESUL.00004.006</t>
  </si>
  <si>
    <t>Implantação de plataforma de acesso à caixa espiral na PCH João Borges - UG03</t>
  </si>
  <si>
    <t>Melhoria no Sistema de Proteção Contra Quedas (SPQ) - Plataforma UG03 da PCH João Borges, proporcionando maior segurança em trabalhos  desenvolvidos em altura ou com risco de queda</t>
  </si>
  <si>
    <t>ESUL.00004.007</t>
  </si>
  <si>
    <t>SGHI00010500003007</t>
  </si>
  <si>
    <t>Implantação de plataforma de acesso à caixa espiral na PCH Barra do Rio Chapéu - UG02</t>
  </si>
  <si>
    <t>Melhoria no Sistema de Proteção Contra Quedas (SPQ) - Plataforma UG02 da PCH Barra do Rio Chapéu, proporcionando maior segurança em trabalhos  desenvolvidos em altura ou com risco de queda</t>
  </si>
  <si>
    <t>ESUL.00004.008</t>
  </si>
  <si>
    <t>SGHI00010600004001</t>
  </si>
  <si>
    <t>Substituição do rotor Kaplan da unidade geradora 02 da UHE São Domingos</t>
  </si>
  <si>
    <t>ESUL.00009.001</t>
  </si>
  <si>
    <t>COO1326</t>
  </si>
  <si>
    <t>Cleyzer Marcondes Bastos</t>
  </si>
  <si>
    <t>SGHI00030100001001</t>
  </si>
  <si>
    <t>Instalação e Comissionamento do regulador de tensão e velociade da UHE Passo São João</t>
  </si>
  <si>
    <t>Necessidade de modernizar e implantar uma nova plataforma Serviços de instalação e comissionamento Aquisição de Notebook de Processo</t>
  </si>
  <si>
    <t>ESUL.00010.001</t>
  </si>
  <si>
    <t>COO1322</t>
  </si>
  <si>
    <t>Thiago Minatto Machado</t>
  </si>
  <si>
    <t>SGHI00060100001001</t>
  </si>
  <si>
    <t>Modernização do regulador de tensão da UHE Passo São João - UG01</t>
  </si>
  <si>
    <t>Necessidade de modernizar e implantar uma nova plataforma Substituição da parte de controle do RT</t>
  </si>
  <si>
    <t>ESUL.00010.002</t>
  </si>
  <si>
    <t>SGHI00060100001002</t>
  </si>
  <si>
    <t>Modernização do regulador de velocidade da UHE Passo São João - UG01</t>
  </si>
  <si>
    <t>Necessidade de modernizar e implantar uma nova plataforma Substituição da parte de controle do RV</t>
  </si>
  <si>
    <t>ESUL.00010.003</t>
  </si>
  <si>
    <t>SGHI00060100001003</t>
  </si>
  <si>
    <t>Modernização do painel da unidade hidráulica do RV da UHE Passo São João - UG01</t>
  </si>
  <si>
    <t>Necessidade de modernizar e implantar uma nova plataforma Substituição da parte de controle do PUH</t>
  </si>
  <si>
    <t>ESUL.00010.004</t>
  </si>
  <si>
    <t>SGHI00060100001004</t>
  </si>
  <si>
    <t>Modernização do regulador de tensão da UHE Passo São João - UG02</t>
  </si>
  <si>
    <t>ESUL.00010.005</t>
  </si>
  <si>
    <t>SGHI00060100001005</t>
  </si>
  <si>
    <t>Modernização do regulador de velocidade da UHE Passo São João - UG02</t>
  </si>
  <si>
    <t>ESUL.00010.006</t>
  </si>
  <si>
    <t>SGHI00060100001006</t>
  </si>
  <si>
    <t>Modernização do painel da unidade hidráulica do RV da UHE Passo São João - UG02</t>
  </si>
  <si>
    <t>ESUL.00010.007</t>
  </si>
  <si>
    <t>SGHI00060100001007</t>
  </si>
  <si>
    <t>Instalação e Comissionamento do regulador de tensão e velociade da UHE São Domingos</t>
  </si>
  <si>
    <t>ESUL.00010.008</t>
  </si>
  <si>
    <t>COO1323</t>
  </si>
  <si>
    <t>SGHI00060200002001</t>
  </si>
  <si>
    <t>Modernização do regulador de tensão da UHE São Domingos - UG01</t>
  </si>
  <si>
    <t>ESUL.00010.009</t>
  </si>
  <si>
    <t>SGHI00060200002002</t>
  </si>
  <si>
    <t>Modernização do regulador de velocidade da UHE São Domingos - UG01</t>
  </si>
  <si>
    <t>ESUL.00010.010</t>
  </si>
  <si>
    <t>SGHI00060200002003</t>
  </si>
  <si>
    <t>Modernização do painel da unidade hidráulica do RV da UHE São Domingos - UG01</t>
  </si>
  <si>
    <t>ESUL.00010.011</t>
  </si>
  <si>
    <t>SGHI00060200002004</t>
  </si>
  <si>
    <t>Modernização do regulador de tensão da UHE São Domingos - UG02</t>
  </si>
  <si>
    <t>ESUL.00010.012</t>
  </si>
  <si>
    <t>SGHI00060200002005</t>
  </si>
  <si>
    <t>Modernização do regulador de velocidade da UHE São Domingos - UG02</t>
  </si>
  <si>
    <t>ESUL.00010.013</t>
  </si>
  <si>
    <t>SGHI00060200002006</t>
  </si>
  <si>
    <t>Modernização do painel da unidade hidráulica do RV da UHE São Domingos - UG02</t>
  </si>
  <si>
    <t>ESUL.00010.014</t>
  </si>
  <si>
    <t>SGHI00060200002007</t>
  </si>
  <si>
    <t>Implantação do sistema de monitoramento online de vibração da EOL Cerro Chato 1 - AEG01</t>
  </si>
  <si>
    <t>Instalação do sistema de monitoramento de vibrações online para os Parques Eólicos Cerro Chato e Entorno 2</t>
  </si>
  <si>
    <t>Cerro Chato 1</t>
  </si>
  <si>
    <t>ESUL.00012.001</t>
  </si>
  <si>
    <t>COO1327</t>
  </si>
  <si>
    <t>Liziane Castegnaro</t>
  </si>
  <si>
    <t>SGEO00010100002001</t>
  </si>
  <si>
    <t>Implantação do sistema de monitoramento online de vibração da EOL Cerro Chato 1 - AEG02</t>
  </si>
  <si>
    <t>ESUL.00012.002</t>
  </si>
  <si>
    <t>SGEO00010100003001</t>
  </si>
  <si>
    <t>Implantação do sistema de monitoramento online de vibração da EOL Cerro Chato 1 - AEG03</t>
  </si>
  <si>
    <t>ESUL.00012.003</t>
  </si>
  <si>
    <t>SGEO00010100004001</t>
  </si>
  <si>
    <t>Implantação do sistema de monitoramento online de vibração da EOL Cerro Chato 1 - AEG04</t>
  </si>
  <si>
    <t>ESUL.00012.004</t>
  </si>
  <si>
    <t>SGEO00010100005001</t>
  </si>
  <si>
    <t>Implantação do sistema de monitoramento online de vibração da EOL Cerro Chato 1 - AEG05</t>
  </si>
  <si>
    <t>ESUL.00012.005</t>
  </si>
  <si>
    <t>SGEO00010100006001</t>
  </si>
  <si>
    <t>Implantação do sistema de monitoramento online de vibração da EOL Cerro Chato 1 - AEG06</t>
  </si>
  <si>
    <t>ESUL.00012.006</t>
  </si>
  <si>
    <t>SGEO00010100007001</t>
  </si>
  <si>
    <t>Implantação do sistema de monitoramento online de vibração da EOL Cerro Chato 1 - AEG07</t>
  </si>
  <si>
    <t>ESUL.00012.007</t>
  </si>
  <si>
    <t>SGEO00010100008001</t>
  </si>
  <si>
    <t>Implantação do sistema de monitoramento online de vibração da EOL Cerro Chato 1 - AEG08</t>
  </si>
  <si>
    <t>ESUL.00012.008</t>
  </si>
  <si>
    <t>SGEO00010100009001</t>
  </si>
  <si>
    <t>Implantação do sistema de monitoramento online de vibração da EOL Cerro Chato 1 - AEG09</t>
  </si>
  <si>
    <t>ESUL.00012.009</t>
  </si>
  <si>
    <t>SGEO00010100010001</t>
  </si>
  <si>
    <t>Implantação do sistema de monitoramento online de vibração da EOL Cerro Chato 1 - AEG10</t>
  </si>
  <si>
    <t>ESUL.00012.010</t>
  </si>
  <si>
    <t>SGEO00010100011001</t>
  </si>
  <si>
    <t>Implantação do sistema de monitoramento online de vibração da EOL Cerro Chato 1 - AEG11</t>
  </si>
  <si>
    <t>ESUL.00012.011</t>
  </si>
  <si>
    <t>SGEO00010100012001</t>
  </si>
  <si>
    <t>Implantação do sistema de monitoramento online de vibração da EOL Cerro Chato 1 - AEG12</t>
  </si>
  <si>
    <t>ESUL.00012.012</t>
  </si>
  <si>
    <t>SGEO00010100013001</t>
  </si>
  <si>
    <t>Implantação do sistema de monitoramento online de vibração da EOL Cerro Chato 1 - AEG13</t>
  </si>
  <si>
    <t>ESUL.00012.013</t>
  </si>
  <si>
    <t>SGEO00010100014001</t>
  </si>
  <si>
    <t>Implantação do sistema de monitoramento online de vibração da EOL Cerro Chato 1 - AEG14</t>
  </si>
  <si>
    <t>ESUL.00012.014</t>
  </si>
  <si>
    <t>SGEO00010100015001</t>
  </si>
  <si>
    <t>Implantação do sistema de monitoramento online de vibração da EOL Cerro Chato 1 - AEG15</t>
  </si>
  <si>
    <t>ESUL.00012.015</t>
  </si>
  <si>
    <t>SGEO00010100016001</t>
  </si>
  <si>
    <t>Implantação do sistema de monitoramento online de vibração da EOL Cerro Chato 2 - AEG01</t>
  </si>
  <si>
    <t>Cerro Chato 2</t>
  </si>
  <si>
    <t>ESUL.00012.016</t>
  </si>
  <si>
    <t>COO1328</t>
  </si>
  <si>
    <t>SGEO00010200002001</t>
  </si>
  <si>
    <t>Implantação do sistema de monitoramento online de vibração da EOL Cerro Chato 2 - AEG02</t>
  </si>
  <si>
    <t>ESUL.00012.017</t>
  </si>
  <si>
    <t>SGEO00010200003001</t>
  </si>
  <si>
    <t>Implantação do sistema de monitoramento online de vibração da EOL Cerro Chato 2 - AEG03</t>
  </si>
  <si>
    <t>ESUL.00012.018</t>
  </si>
  <si>
    <t>SGEO00010200004001</t>
  </si>
  <si>
    <t>Implantação do sistema de monitoramento online de vibração da EOL Cerro Chato 2 - AEG04</t>
  </si>
  <si>
    <t>ESUL.00012.019</t>
  </si>
  <si>
    <t>SGEO00010200005001</t>
  </si>
  <si>
    <t>Implantação do sistema de monitoramento online de vibração da EOL Cerro Chato 2 - AEG05</t>
  </si>
  <si>
    <t>ESUL.00012.020</t>
  </si>
  <si>
    <t>SGEO00010200006001</t>
  </si>
  <si>
    <t>Implantação do sistema de monitoramento online de vibração da EOL Cerro Chato 2 - AEG06</t>
  </si>
  <si>
    <t>ESUL.00012.021</t>
  </si>
  <si>
    <t>SGEO00010200007001</t>
  </si>
  <si>
    <t>Implantação do sistema de monitoramento online de vibração da EOL Cerro Chato 2 - AEG07</t>
  </si>
  <si>
    <t>ESUL.00012.022</t>
  </si>
  <si>
    <t>SGEO00010200008001</t>
  </si>
  <si>
    <t>Implantação do sistema de monitoramento online de vibração da EOL Cerro Chato 2 - AEG08</t>
  </si>
  <si>
    <t>ESUL.00012.023</t>
  </si>
  <si>
    <t>SGEO00010200009001</t>
  </si>
  <si>
    <t>Implantação do sistema de monitoramento online de vibração da EOL Cerro Chato 2 - AEG09</t>
  </si>
  <si>
    <t>ESUL.00012.024</t>
  </si>
  <si>
    <t>SGEO00010200010001</t>
  </si>
  <si>
    <t>Implantação do sistema de monitoramento online de vibração da EOL Cerro Chato 2 - AEG10</t>
  </si>
  <si>
    <t>ESUL.00012.025</t>
  </si>
  <si>
    <t>SGEO00010200011001</t>
  </si>
  <si>
    <t>Implantação do sistema de monitoramento online de vibração da EOL Cerro Chato 2 - AEG11</t>
  </si>
  <si>
    <t>ESUL.00012.026</t>
  </si>
  <si>
    <t>SGEO00010200012001</t>
  </si>
  <si>
    <t>Implantação do sistema de monitoramento online de vibração da EOL Cerro Chato 2 - AEG12</t>
  </si>
  <si>
    <t>ESUL.00012.027</t>
  </si>
  <si>
    <t>SGEO00010200013001</t>
  </si>
  <si>
    <t>Implantação do sistema de monitoramento online de vibração da EOL Cerro Chato 2 - AEG13</t>
  </si>
  <si>
    <t>ESUL.00012.028</t>
  </si>
  <si>
    <t>SGEO00010200014001</t>
  </si>
  <si>
    <t>Implantação do sistema de monitoramento online de vibração da EOL Cerro Chato 2 - AEG14</t>
  </si>
  <si>
    <t>ESUL.00012.029</t>
  </si>
  <si>
    <t>SGEO00010200015001</t>
  </si>
  <si>
    <t>Implantação do sistema de monitoramento online de vibração da EOL Cerro Chato 2 - AEG15</t>
  </si>
  <si>
    <t>ESUL.00012.030</t>
  </si>
  <si>
    <t>SGEO00010200016001</t>
  </si>
  <si>
    <t>Implantação do sistema de monitoramento online de vibração da EOL Cerro Chato 3 - AEG01</t>
  </si>
  <si>
    <t>Cerro Chato 3</t>
  </si>
  <si>
    <t>ESUL.00012.031</t>
  </si>
  <si>
    <t>COO1329</t>
  </si>
  <si>
    <t>SGEO00010300002001</t>
  </si>
  <si>
    <t>Implantação do sistema de monitoramento online de vibração da EOL Cerro Chato 3 - AEG02</t>
  </si>
  <si>
    <t>ESUL.00012.032</t>
  </si>
  <si>
    <t>SGEO00010300003001</t>
  </si>
  <si>
    <t>Implantação do sistema de monitoramento online de vibração da EOL Cerro Chato 3 - AEG03</t>
  </si>
  <si>
    <t>ESUL.00012.033</t>
  </si>
  <si>
    <t>SGEO00010300004001</t>
  </si>
  <si>
    <t>Implantação do sistema de monitoramento online de vibração da EOL Cerro Chato 3 - AEG04</t>
  </si>
  <si>
    <t>ESUL.00012.034</t>
  </si>
  <si>
    <t>SGEO00010300005001</t>
  </si>
  <si>
    <t>Implantação do sistema de monitoramento online de vibração da EOL Cerro Chato 3 - AEG05</t>
  </si>
  <si>
    <t>ESUL.00012.035</t>
  </si>
  <si>
    <t>SGEO00010300006001</t>
  </si>
  <si>
    <t>Implantação do sistema de monitoramento online de vibração da EOL Cerro Chato 3 - AEG06</t>
  </si>
  <si>
    <t>ESUL.00012.036</t>
  </si>
  <si>
    <t>SGEO00010300007001</t>
  </si>
  <si>
    <t>Implantação do sistema de monitoramento online de vibração da EOL Cerro Chato 3 - AEG07</t>
  </si>
  <si>
    <t>ESUL.00012.037</t>
  </si>
  <si>
    <t>SGEO00010300008001</t>
  </si>
  <si>
    <t>Implantação do sistema de monitoramento online de vibração da EOL Cerro Chato 3 - AEG08</t>
  </si>
  <si>
    <t>ESUL.00012.038</t>
  </si>
  <si>
    <t>SGEO00010300009001</t>
  </si>
  <si>
    <t>Implantação do sistema de monitoramento online de vibração da EOL Cerro Chato 3 - AEG09</t>
  </si>
  <si>
    <t>ESUL.00012.039</t>
  </si>
  <si>
    <t>SGEO00010300010001</t>
  </si>
  <si>
    <t>Implantação do sistema de monitoramento online de vibração da EOL Cerro Chato 3 - AEG10</t>
  </si>
  <si>
    <t>ESUL.00012.040</t>
  </si>
  <si>
    <t>SGEO00010300011001</t>
  </si>
  <si>
    <t>Implantação do sistema de monitoramento online de vibração da EOL Cerro Chato 3 - AEG11</t>
  </si>
  <si>
    <t>ESUL.00012.041</t>
  </si>
  <si>
    <t>SGEO00010300012001</t>
  </si>
  <si>
    <t>Implantação do sistema de monitoramento online de vibração da EOL Cerro Chato 3 - AEG12</t>
  </si>
  <si>
    <t>ESUL.00012.042</t>
  </si>
  <si>
    <t>SGEO00010300013001</t>
  </si>
  <si>
    <t>Implantação do sistema de monitoramento online de vibração da EOL Cerro Chato 3 - AEG13</t>
  </si>
  <si>
    <t>ESUL.00012.043</t>
  </si>
  <si>
    <t>SGEO00010300014001</t>
  </si>
  <si>
    <t>Implantação do sistema de monitoramento online de vibração da EOL Cerro Chato 3 - AEG14</t>
  </si>
  <si>
    <t>ESUL.00012.044</t>
  </si>
  <si>
    <t>SGEO00010300015001</t>
  </si>
  <si>
    <t>Implantação do sistema de monitoramento online de vibração da EOL Cerro Chato 3 - AEG15</t>
  </si>
  <si>
    <t>ESUL.00012.045</t>
  </si>
  <si>
    <t>SGEO00010300016001</t>
  </si>
  <si>
    <t>Implantação do sistema de monitoramento online de vibração da EOL Coxilha Seca - AEG01</t>
  </si>
  <si>
    <t>Coxilha Seca</t>
  </si>
  <si>
    <t>ESUL.00012.046</t>
  </si>
  <si>
    <t>COO1330</t>
  </si>
  <si>
    <t>SGEO00010600002001</t>
  </si>
  <si>
    <t>Implantação do sistema de monitoramento online de vibração da EOL Coxilha Seca - AEG02</t>
  </si>
  <si>
    <t>ESUL.00012.047</t>
  </si>
  <si>
    <t>SGEO00010600003001</t>
  </si>
  <si>
    <t>Implantação do sistema de monitoramento online de vibração da EOL Coxilha Seca - AEG03</t>
  </si>
  <si>
    <t>ESUL.00012.048</t>
  </si>
  <si>
    <t>SGEO00010600004001</t>
  </si>
  <si>
    <t>Implantação do sistema de monitoramento online de vibração da EOL Coxilha Seca - AEG04</t>
  </si>
  <si>
    <t>ESUL.00012.049</t>
  </si>
  <si>
    <t>SGEO00010600005001</t>
  </si>
  <si>
    <t>Implantação do sistema de monitoramento online de vibração da EOL Coxilha Seca - AEG05</t>
  </si>
  <si>
    <t>ESUL.00012.050</t>
  </si>
  <si>
    <t>SGEO00010600006001</t>
  </si>
  <si>
    <t>Implantação do sistema de monitoramento online de vibração da EOL Coxilha Seca - AEG06</t>
  </si>
  <si>
    <t>ESUL.00012.051</t>
  </si>
  <si>
    <t>SGEO00010600007001</t>
  </si>
  <si>
    <t>Implantação do sistema de monitoramento online de vibração da EOL Coxilha Seca - AEG07</t>
  </si>
  <si>
    <t>ESUL.00012.052</t>
  </si>
  <si>
    <t>SGEO00010600008001</t>
  </si>
  <si>
    <t>Implantação do sistema de monitoramento online de vibração da EOL Coxilha Seca - AEG08</t>
  </si>
  <si>
    <t>ESUL.00012.053</t>
  </si>
  <si>
    <t>SGEO00010600009001</t>
  </si>
  <si>
    <t>Implantação do sistema de monitoramento online de vibração da EOL Coxilha Seca - AEG09</t>
  </si>
  <si>
    <t>ESUL.00012.054</t>
  </si>
  <si>
    <t>SGEO00010600010001</t>
  </si>
  <si>
    <t>Implantação do sistema de monitoramento online de vibração da EOL Coxilha Seca - AEG10</t>
  </si>
  <si>
    <t>ESUL.00012.055</t>
  </si>
  <si>
    <t>SGEO00010600011001</t>
  </si>
  <si>
    <t>Implantação do sistema de monitoramento online de vibração da EOL Coxilha Seca - AEG11</t>
  </si>
  <si>
    <t>ESUL.00012.056</t>
  </si>
  <si>
    <t>SGEO00010600012001</t>
  </si>
  <si>
    <t>Implantação do sistema de monitoramento online de vibração da EOL Coxilha Seca - AEG12</t>
  </si>
  <si>
    <t>ESUL.00012.057</t>
  </si>
  <si>
    <t>SGEO00010600013001</t>
  </si>
  <si>
    <t>Implantação do sistema de monitoramento online de vibração da EOL Coxilha Seca - AEG13</t>
  </si>
  <si>
    <t>ESUL.00012.058</t>
  </si>
  <si>
    <t>SGEO00010600014001</t>
  </si>
  <si>
    <t>Implantação do sistema de monitoramento online de vibração da EOL Coxilha Seca - AEG14</t>
  </si>
  <si>
    <t>ESUL.00012.059</t>
  </si>
  <si>
    <t>SGEO00010600015001</t>
  </si>
  <si>
    <t>Implantação do sistema de monitoramento online de vibração da EOL Coxilha Seca - AEG15</t>
  </si>
  <si>
    <t>ESUL.00012.060</t>
  </si>
  <si>
    <t>SGEO00010600016001</t>
  </si>
  <si>
    <t>Implantação do sistema de monitoramento online de vibração da EOL Galpões - AEG01</t>
  </si>
  <si>
    <t>Galpões</t>
  </si>
  <si>
    <t>ESUL.00012.061</t>
  </si>
  <si>
    <t>COO1334</t>
  </si>
  <si>
    <t>SGEO00010400002001</t>
  </si>
  <si>
    <t>Implantação do sistema de monitoramento online de vibração da EOL Galpões - AEG02</t>
  </si>
  <si>
    <t>ESUL.00012.062</t>
  </si>
  <si>
    <t>SGEO00010400003001</t>
  </si>
  <si>
    <t>Implantação do sistema de monitoramento online de vibração da EOL Galpões - AEG03</t>
  </si>
  <si>
    <t>ESUL.00012.063</t>
  </si>
  <si>
    <t>SGEO00010400004001</t>
  </si>
  <si>
    <t>Implantação do sistema de monitoramento online de vibração da EOL Galpões - AEG04</t>
  </si>
  <si>
    <t>ESUL.00012.064</t>
  </si>
  <si>
    <t>SGEO00010400005001</t>
  </si>
  <si>
    <t>Implantação do sistema de monitoramento online de vibração da EOL Capão do Inglês - AEG01</t>
  </si>
  <si>
    <t>Capão do Inglês</t>
  </si>
  <si>
    <t>ESUL.00012.065</t>
  </si>
  <si>
    <t>COO1335</t>
  </si>
  <si>
    <t>SGEO00010500002001</t>
  </si>
  <si>
    <t>Implantação do sistema de monitoramento online de vibração da EOL Capão do Inglês - AEG02</t>
  </si>
  <si>
    <t>ESUL.00012.066</t>
  </si>
  <si>
    <t>SGEO00010500003001</t>
  </si>
  <si>
    <t>Implantação do sistema de monitoramento online de vibração da EOL Capão do Inglês - AEG03</t>
  </si>
  <si>
    <t>ESUL.00012.067</t>
  </si>
  <si>
    <t>SGEO00010500004001</t>
  </si>
  <si>
    <t>Implantação do sistema de monitoramento online de vibração da EOL Capão do Inglês - AEG04</t>
  </si>
  <si>
    <t>ESUL.00012.068</t>
  </si>
  <si>
    <t>SGEO00010500005001</t>
  </si>
  <si>
    <t>Implantação do sistema de monitoramento online de vibração da EOL Capão do Inglês - AEG05</t>
  </si>
  <si>
    <t>ESUL.00012.069</t>
  </si>
  <si>
    <t>SGEO00010500006001</t>
  </si>
  <si>
    <t>Modernização do sistema de supervisão SCADA da EOL Entorno 2 - Perfil 485055</t>
  </si>
  <si>
    <t>Modernização do sistema de supervisão SCADA da EOL Entorno 2</t>
  </si>
  <si>
    <t>SE Cerro Chato</t>
  </si>
  <si>
    <t>ESUL.00013.001</t>
  </si>
  <si>
    <t>COO1346</t>
  </si>
  <si>
    <t>Breno Torres Meyer</t>
  </si>
  <si>
    <t>SGEO00010800001001</t>
  </si>
  <si>
    <t>Modernização do sistema de supervisão SCADA da EOL Entorno 2 - Perfil 375015</t>
  </si>
  <si>
    <t>ESUL.00013.002</t>
  </si>
  <si>
    <t>COO1347</t>
  </si>
  <si>
    <t>SGEO00010800001002</t>
  </si>
  <si>
    <t>Modernização do sistema de supervisão SCADA da EOL Entorno 2 - Perfil 535021</t>
  </si>
  <si>
    <t>ESUL.00013.003</t>
  </si>
  <si>
    <t>COO1348</t>
  </si>
  <si>
    <t>SGEO00010800001003</t>
  </si>
  <si>
    <t>Implantação do sistema de monitoramento online de vibração da EOL Coxilha Negra 4 - AEG01</t>
  </si>
  <si>
    <t>Instalação do sistema de monitoramento de vibrações online para os Parques Eólicos Coxilha Negra 2, 3 e 4</t>
  </si>
  <si>
    <t>Coxilha Negra 4</t>
  </si>
  <si>
    <t>ESUL.00014.001</t>
  </si>
  <si>
    <t>COO1331</t>
  </si>
  <si>
    <t>SGEO00040400002001</t>
  </si>
  <si>
    <t>Implantação do sistema de monitoramento online de vibração da EOL Coxilha Negra 4 - AEG02</t>
  </si>
  <si>
    <t>ESUL.00014.002</t>
  </si>
  <si>
    <t>SGEO00040400003001</t>
  </si>
  <si>
    <t>Implantação do sistema de monitoramento online de vibração da EOL Coxilha Negra 4 - AEG03</t>
  </si>
  <si>
    <t>ESUL.00014.003</t>
  </si>
  <si>
    <t>SGEO00040400004001</t>
  </si>
  <si>
    <t>Implantação do sistema de monitoramento online de vibração da EOL Coxilha Negra 4 - AEG04</t>
  </si>
  <si>
    <t>ESUL.00014.004</t>
  </si>
  <si>
    <t>SGEO00040400005001</t>
  </si>
  <si>
    <t>Implantação do sistema de monitoramento online de vibração da EOL Coxilha Negra 4 - AEG05</t>
  </si>
  <si>
    <t>ESUL.00014.005</t>
  </si>
  <si>
    <t>SGEO00040400006001</t>
  </si>
  <si>
    <t>Implantação do sistema de monitoramento online de vibração da EOL Coxilha Negra 4 - AEG06</t>
  </si>
  <si>
    <t>ESUL.00014.006</t>
  </si>
  <si>
    <t>SGEO00040400007001</t>
  </si>
  <si>
    <t>Implantação do sistema de monitoramento online de vibração da EOL Coxilha Negra 4 - AEG07</t>
  </si>
  <si>
    <t>ESUL.00014.007</t>
  </si>
  <si>
    <t>SGEO00040400008001</t>
  </si>
  <si>
    <t>Implantação do sistema de monitoramento online de vibração da EOL Coxilha Negra 4 - AEG08</t>
  </si>
  <si>
    <t>ESUL.00014.008</t>
  </si>
  <si>
    <t>SGEO00040400009001</t>
  </si>
  <si>
    <t>Implantação do sistema de monitoramento online de vibração da EOL Coxilha Negra 4 - AEG09</t>
  </si>
  <si>
    <t>ESUL.00014.009</t>
  </si>
  <si>
    <t>SGEO00040400010001</t>
  </si>
  <si>
    <t>Implantação do sistema de monitoramento online de vibração da EOL Coxilha Negra 4 - AEG10</t>
  </si>
  <si>
    <t>ESUL.00014.010</t>
  </si>
  <si>
    <t>SGEO00040400011001</t>
  </si>
  <si>
    <t>Implantação do sistema de monitoramento online de vibração da EOL Coxilha Negra 4 - AEG11</t>
  </si>
  <si>
    <t>ESUL.00014.011</t>
  </si>
  <si>
    <t>SGEO00040400012001</t>
  </si>
  <si>
    <t>Implantação do sistema de monitoramento online de vibração da EOL Coxilha Negra 4 - AEG12</t>
  </si>
  <si>
    <t>ESUL.00014.012</t>
  </si>
  <si>
    <t>SGEO00040400013001</t>
  </si>
  <si>
    <t>Implantação do sistema de monitoramento online de vibração da EOL Coxilha Negra 4 - AEG13</t>
  </si>
  <si>
    <t>ESUL.00014.013</t>
  </si>
  <si>
    <t>SGEO00040400014001</t>
  </si>
  <si>
    <t>Implantação do sistema de monitoramento online de vibração da EOL Coxilha Negra 4 - AEG14</t>
  </si>
  <si>
    <t>ESUL.00014.014</t>
  </si>
  <si>
    <t>SGEO00040400015001</t>
  </si>
  <si>
    <t>Implantação do sistema de monitoramento online de vibração da EOL Coxilha Negra 4 - AEG15</t>
  </si>
  <si>
    <t>ESUL.00014.015</t>
  </si>
  <si>
    <t>SGEO00040400016001</t>
  </si>
  <si>
    <t>Implantação do sistema de monitoramento online de vibração da EOL Coxilha Negra 4 - AEG16</t>
  </si>
  <si>
    <t>ESUL.00014.016</t>
  </si>
  <si>
    <t>SGEO00040400017001</t>
  </si>
  <si>
    <t>Implantação do sistema de monitoramento online de vibração da EOL Coxilha Negra 4 - AEG17</t>
  </si>
  <si>
    <t>ESUL.00014.017</t>
  </si>
  <si>
    <t>SGEO00040400018001</t>
  </si>
  <si>
    <t>Implantação do sistema de monitoramento online de vibração da EOL Coxilha Negra 4 - AEG18</t>
  </si>
  <si>
    <t>ESUL.00014.018</t>
  </si>
  <si>
    <t>SGEO00040400019001</t>
  </si>
  <si>
    <t>Implantação do sistema de monitoramento online de vibração da EOL Coxilha Negra 4 - AEG19</t>
  </si>
  <si>
    <t>ESUL.00014.019</t>
  </si>
  <si>
    <t>SGEO00040400020001</t>
  </si>
  <si>
    <t>Implantação do sistema de monitoramento online de vibração da EOL Coxilha Negra 4 - AEG20</t>
  </si>
  <si>
    <t>ESUL.00014.020</t>
  </si>
  <si>
    <t>SGEO00040400021001</t>
  </si>
  <si>
    <t>Implantação do sistema de monitoramento online de vibração da EOL Coxilha Negra 4 - AEG21</t>
  </si>
  <si>
    <t>ESUL.00014.021</t>
  </si>
  <si>
    <t>SGEO00040400022001</t>
  </si>
  <si>
    <t>Implantação do sistema de monitoramento online de vibração da EOL Coxilha Negra 4 - AEG22</t>
  </si>
  <si>
    <t>ESUL.00014.022</t>
  </si>
  <si>
    <t>SGEO00040400023001</t>
  </si>
  <si>
    <t>Implantação do sistema de monitoramento online de vibração da EOL Coxilha Negra 4 - AEG23</t>
  </si>
  <si>
    <t>ESUL.00014.023</t>
  </si>
  <si>
    <t>SGEO00040400024001</t>
  </si>
  <si>
    <t>Implantação do sistema de monitoramento online de vibração da EOL Coxilha Negra 2 - AEG01</t>
  </si>
  <si>
    <t>Coxilha Negra 2</t>
  </si>
  <si>
    <t>ESUL.00014.024</t>
  </si>
  <si>
    <t>COO1332</t>
  </si>
  <si>
    <t>SGEO00040200002001</t>
  </si>
  <si>
    <t>Implantação do sistema de monitoramento online de vibração da EOL Coxilha Negra 2 - AEG02</t>
  </si>
  <si>
    <t>ESUL.00014.025</t>
  </si>
  <si>
    <t>SGEO00040200003001</t>
  </si>
  <si>
    <t>Implantação do sistema de monitoramento online de vibração da EOL Coxilha Negra 2 - AEG03</t>
  </si>
  <si>
    <t>ESUL.00014.026</t>
  </si>
  <si>
    <t>SGEO00040200004001</t>
  </si>
  <si>
    <t>Implantação do sistema de monitoramento online de vibração da EOL Coxilha Negra 2 - AEG04</t>
  </si>
  <si>
    <t>ESUL.00014.027</t>
  </si>
  <si>
    <t>SGEO00040200005001</t>
  </si>
  <si>
    <t>Implantação do sistema de monitoramento online de vibração da EOL Coxilha Negra 2 - AEG05</t>
  </si>
  <si>
    <t>ESUL.00014.028</t>
  </si>
  <si>
    <t>SGEO00040200006001</t>
  </si>
  <si>
    <t>Implantação do sistema de monitoramento online de vibração da EOL Coxilha Negra 2 - AEG06</t>
  </si>
  <si>
    <t>ESUL.00014.029</t>
  </si>
  <si>
    <t>SGEO00040200007001</t>
  </si>
  <si>
    <t>Implantação do sistema de monitoramento online de vibração da EOL Coxilha Negra 2 - AEG07</t>
  </si>
  <si>
    <t>ESUL.00014.030</t>
  </si>
  <si>
    <t>SGEO00040200008001</t>
  </si>
  <si>
    <t>Implantação do sistema de monitoramento online de vibração da EOL Coxilha Negra 2 - AEG08</t>
  </si>
  <si>
    <t>ESUL.00014.031</t>
  </si>
  <si>
    <t>SGEO00040200009001</t>
  </si>
  <si>
    <t>Implantação do sistema de monitoramento online de vibração da EOL Coxilha Negra 2 - AEG09</t>
  </si>
  <si>
    <t>ESUL.00014.032</t>
  </si>
  <si>
    <t>SGEO00040200010001</t>
  </si>
  <si>
    <t>Implantação do sistema de monitoramento online de vibração da EOL Coxilha Negra 2 - AEG10</t>
  </si>
  <si>
    <t>ESUL.00014.033</t>
  </si>
  <si>
    <t>SGEO00040200011001</t>
  </si>
  <si>
    <t>Implantação do sistema de monitoramento online de vibração da EOL Coxilha Negra 2 - AEG11</t>
  </si>
  <si>
    <t>ESUL.00014.034</t>
  </si>
  <si>
    <t>SGEO00040200012001</t>
  </si>
  <si>
    <t>Implantação do sistema de monitoramento online de vibração da EOL Coxilha Negra 2 - AEG12</t>
  </si>
  <si>
    <t>ESUL.00014.035</t>
  </si>
  <si>
    <t>SGEO00040200013001</t>
  </si>
  <si>
    <t>Implantação do sistema de monitoramento online de vibração da EOL Coxilha Negra 2 - AEG13</t>
  </si>
  <si>
    <t>ESUL.00014.036</t>
  </si>
  <si>
    <t>SGEO00040200014001</t>
  </si>
  <si>
    <t>Implantação do sistema de monitoramento online de vibração da EOL Coxilha Negra 2 - AEG14</t>
  </si>
  <si>
    <t>ESUL.00014.037</t>
  </si>
  <si>
    <t>SGEO00040200015001</t>
  </si>
  <si>
    <t>Implantação do sistema de monitoramento online de vibração da EOL Coxilha Negra 2 - AEG15</t>
  </si>
  <si>
    <t>ESUL.00014.038</t>
  </si>
  <si>
    <t>SGEO00040200016001</t>
  </si>
  <si>
    <t>Implantação do sistema de monitoramento online de vibração da EOL Coxilha Negra 2 - AEG16</t>
  </si>
  <si>
    <t>ESUL.00014.039</t>
  </si>
  <si>
    <t>SGEO00040200017001</t>
  </si>
  <si>
    <t>Implantação do sistema de monitoramento online de vibração da EOL Coxilha Negra 2 - AEG17</t>
  </si>
  <si>
    <t>ESUL.00014.040</t>
  </si>
  <si>
    <t>SGEO00040200018001</t>
  </si>
  <si>
    <t>Implantação do sistema de monitoramento online de vibração da EOL Coxilha Negra 2 - AEG18</t>
  </si>
  <si>
    <t>ESUL.00014.041</t>
  </si>
  <si>
    <t>SGEO00040200019001</t>
  </si>
  <si>
    <t>Implantação do sistema de monitoramento online de vibração da EOL Coxilha Negra 2 - AEG19</t>
  </si>
  <si>
    <t>ESUL.00014.042</t>
  </si>
  <si>
    <t>SGEO00040200020001</t>
  </si>
  <si>
    <t>Implantação do sistema de monitoramento online de vibração da EOL Coxilha Negra 2 - AEG20</t>
  </si>
  <si>
    <t>ESUL.00014.043</t>
  </si>
  <si>
    <t>SGEO00040200021001</t>
  </si>
  <si>
    <t>Implantação do sistema de monitoramento online de vibração da EOL Coxilha Negra 2 - AEG21</t>
  </si>
  <si>
    <t>ESUL.00014.044</t>
  </si>
  <si>
    <t>SGEO00040200022001</t>
  </si>
  <si>
    <t>Implantação do sistema de monitoramento online de vibração da EOL Coxilha Negra 2 - AEG22</t>
  </si>
  <si>
    <t>ESUL.00014.045</t>
  </si>
  <si>
    <t>SGEO00040200023001</t>
  </si>
  <si>
    <t>Implantação do sistema de monitoramento online de vibração da EOL Coxilha Negra 2 - AEG23</t>
  </si>
  <si>
    <t>ESUL.00014.046</t>
  </si>
  <si>
    <t>SGEO00040200024001</t>
  </si>
  <si>
    <t>Implantação do sistema de monitoramento online de vibração da EOL Coxilha Negra 2 - AEG24</t>
  </si>
  <si>
    <t>ESUL.00014.047</t>
  </si>
  <si>
    <t>SGEO00040200025001</t>
  </si>
  <si>
    <t>Implantação do sistema de monitoramento online de vibração da EOL Coxilha Negra 3 - AEG01</t>
  </si>
  <si>
    <t>Coxilha Negra 3</t>
  </si>
  <si>
    <t>ESUL.00014.048</t>
  </si>
  <si>
    <t>COO1333</t>
  </si>
  <si>
    <t>SGEO00040300002001</t>
  </si>
  <si>
    <t>Implantação do sistema de monitoramento online de vibração da EOL Coxilha Negra 3 - AEG02</t>
  </si>
  <si>
    <t>ESUL.00014.049</t>
  </si>
  <si>
    <t>SGEO00040300003001</t>
  </si>
  <si>
    <t>Implantação do sistema de monitoramento online de vibração da EOL Coxilha Negra 3 - AEG03</t>
  </si>
  <si>
    <t>ESUL.00014.050</t>
  </si>
  <si>
    <t>SGEO00040300004001</t>
  </si>
  <si>
    <t>Implantação do sistema de monitoramento online de vibração da EOL Coxilha Negra 3 - AEG04</t>
  </si>
  <si>
    <t>ESUL.00014.051</t>
  </si>
  <si>
    <t>SGEO00040300005001</t>
  </si>
  <si>
    <t>Implantação do sistema de monitoramento online de vibração da EOL Coxilha Negra 3 - AEG05</t>
  </si>
  <si>
    <t>ESUL.00014.052</t>
  </si>
  <si>
    <t>SGEO00040300006001</t>
  </si>
  <si>
    <t>Implantação do sistema de monitoramento online de vibração da EOL Coxilha Negra 3 - AEG06</t>
  </si>
  <si>
    <t>ESUL.00014.053</t>
  </si>
  <si>
    <t>SGEO00040300007001</t>
  </si>
  <si>
    <t>Implantação do sistema de monitoramento online de vibração da EOL Coxilha Negra 3 - AEG07</t>
  </si>
  <si>
    <t>ESUL.00014.054</t>
  </si>
  <si>
    <t>SGEO00040300008001</t>
  </si>
  <si>
    <t>Implantação do sistema de monitoramento online de vibração da EOL Coxilha Negra 3 - AEG08</t>
  </si>
  <si>
    <t>ESUL.00014.055</t>
  </si>
  <si>
    <t>SGEO00040300009001</t>
  </si>
  <si>
    <t>Implantação do sistema de monitoramento online de vibração da EOL Coxilha Negra 3 - AEG09</t>
  </si>
  <si>
    <t>ESUL.00014.056</t>
  </si>
  <si>
    <t>SGEO00040300010001</t>
  </si>
  <si>
    <t>Implantação do sistema de monitoramento online de vibração da EOL Coxilha Negra 3 - AEG10</t>
  </si>
  <si>
    <t>ESUL.00014.057</t>
  </si>
  <si>
    <t>SGEO00040300011001</t>
  </si>
  <si>
    <t>Implantação do sistema de monitoramento online de vibração da EOL Coxilha Negra 3 - AEG11</t>
  </si>
  <si>
    <t>ESUL.00014.058</t>
  </si>
  <si>
    <t>SGEO00040300012001</t>
  </si>
  <si>
    <t>Implantação do sistema de monitoramento online de vibração da EOL Coxilha Negra 3 - AEG12</t>
  </si>
  <si>
    <t>ESUL.00014.059</t>
  </si>
  <si>
    <t>SGEO00040300013001</t>
  </si>
  <si>
    <t>Implantação do sistema de monitoramento online de vibração da EOL Coxilha Negra 3 - AEG13</t>
  </si>
  <si>
    <t>ESUL.00014.060</t>
  </si>
  <si>
    <t>SGEO00040300014001</t>
  </si>
  <si>
    <t>Implantação do sistema de monitoramento online de vibração da EOL Coxilha Negra 3 - AEG14</t>
  </si>
  <si>
    <t>ESUL.00014.061</t>
  </si>
  <si>
    <t>SGEO00040300015001</t>
  </si>
  <si>
    <t>Implantação do sistema de monitoramento online de vibração da EOL Coxilha Negra 3 - AEG15</t>
  </si>
  <si>
    <t>ESUL.00014.062</t>
  </si>
  <si>
    <t>SGEO00040300016001</t>
  </si>
  <si>
    <t>Implantação do sistema de monitoramento online de vibração da EOL Coxilha Negra 3 - AEG16</t>
  </si>
  <si>
    <t>ESUL.00014.063</t>
  </si>
  <si>
    <t>SGEO00040300017001</t>
  </si>
  <si>
    <t>Implantação do sistema de monitoramento online de vibração da EOL Coxilha Negra 3 - AEG17</t>
  </si>
  <si>
    <t>ESUL.00014.064</t>
  </si>
  <si>
    <t>SGEO00040300018001</t>
  </si>
  <si>
    <t>Implantação do sistema de monitoramento online de vibração da EOL Coxilha Negra 3 - AEG18</t>
  </si>
  <si>
    <t>ESUL.00014.065</t>
  </si>
  <si>
    <t>SGEO00040300019001</t>
  </si>
  <si>
    <t>Implantação do sistema de monitoramento online de vibração da EOL Coxilha Negra 3 - AEG19</t>
  </si>
  <si>
    <t>ESUL.00014.066</t>
  </si>
  <si>
    <t>SGEO00040300020001</t>
  </si>
  <si>
    <t>Implantação do sistema de monitoramento online de vibração da EOL Coxilha Negra 3 - AEG20</t>
  </si>
  <si>
    <t>ESUL.00014.067</t>
  </si>
  <si>
    <t>SGEO00040300021001</t>
  </si>
  <si>
    <t>Implantação do sistema de monitoramento online de vibração da EOL Coxilha Negra 3 - AEG21</t>
  </si>
  <si>
    <t>ESUL.00014.068</t>
  </si>
  <si>
    <t>SGEO00040300022001</t>
  </si>
  <si>
    <t>Implantação do sistema de monitoramento online de vibração da EOL Coxilha Negra 3 - AEG22</t>
  </si>
  <si>
    <t>ESUL.00014.069</t>
  </si>
  <si>
    <t>SGEO00040300023001</t>
  </si>
  <si>
    <t>Implantação do sistema de monitoramento online de vibração da EOL Coxilha Negra 3 - AEG23</t>
  </si>
  <si>
    <t>ESUL.00014.070</t>
  </si>
  <si>
    <t>SGEO00040300024001</t>
  </si>
  <si>
    <t>Implantação do sistema de monitoramento online de vibração da EOL Coxilha Negra 3 - AEG24</t>
  </si>
  <si>
    <t>ESUL.00014.071</t>
  </si>
  <si>
    <t>SGEO00040300025001</t>
  </si>
  <si>
    <t>Implantação do sistema de monitoramento online de vibração da EOL Coxilha Negra 3 - AEG25</t>
  </si>
  <si>
    <t>ESUL.00014.072</t>
  </si>
  <si>
    <t>SGEO00040300026001</t>
  </si>
  <si>
    <t>Aquisição das CPUs para a unidade de aquisição e controle do vertedouro (UACVT) na UHE Passo São João</t>
  </si>
  <si>
    <t>Aquisição de CPUs para as unidade de aquisição e controle do vertedouro (UACVT), última versão, para elevar a quantidade de sobressalentes disponíveis de 1 unidade para 3 unidades do modelo da CPU instalada (10 uni), que está com fabricação descontinuada</t>
  </si>
  <si>
    <t>OOGRS</t>
  </si>
  <si>
    <t>2026 (Nova Demanda)</t>
  </si>
  <si>
    <t>ESUL.00048.001</t>
  </si>
  <si>
    <t>Nova demanda</t>
  </si>
  <si>
    <t>Lucas da Silva Reis</t>
  </si>
  <si>
    <t>Substituição das CPUs da UACVT, upgrade de firmware nas CPUs antigas, instalação e configuração dos softwares com apoio de empresa especializada e fornecimento de notebook com softwares licenciados na UHE Passo São João</t>
  </si>
  <si>
    <t>Serviço de instalação das CPUs das unidade de aquisição e controle do vertedouro (UACVT), última versão, e compatibilização dos projetos com a novas CPUs e softwares Realização de upgrade nos softwares de manipulação das CPUs antigas e firmware, padronizando os softwares e sistema operacional Fornecimento de notebook com softwares licenciados</t>
  </si>
  <si>
    <t>ESUL.00048.002</t>
  </si>
  <si>
    <t>Aquisição das CPUs da unidade de aquisição e controle do vertedouro (UACVT) na UHE São Domingos</t>
  </si>
  <si>
    <t>Aquisição de CPUs para as unidade de aquisição e controle do vertedouro (QUACVRT), última versão, para elevar a quantidade de sobressalentes disponíveis de 1 unidade para 3 unidades da CPU instalada, total de 10, que está com fabricação descontinuada</t>
  </si>
  <si>
    <t>ESUL.00049.001</t>
  </si>
  <si>
    <t>Substituição das CPUs da QUACVRT, upgrade de firmware nas CPUs antigas, instalação e configuração dos softwares com apoio de empresa especializada e fornecimento de notebook com softwares licenciados na UHE São Domingos</t>
  </si>
  <si>
    <t>Serviço de instalação das CPUs das unidade de aquisição e controle do vertedouro (QUACVRT), última versão, e compatibilização dos projetos com a novas CPUs e softwares Realização de upgrade nos softwares de manipulação das CPUs antigas e firmware, padronizando os softwares e sistema operacional Fornecimento de notebook com softwares licenciados</t>
  </si>
  <si>
    <t>ESUL.00049.002</t>
  </si>
  <si>
    <t>Aquisição de trocador de calor 1 da unidade hidráulica de lubrificação dos mancais da UG1 na UHE São Domingos</t>
  </si>
  <si>
    <t xml:space="preserve">Aquisição  do trocador de calor para a unidade hidráulica de lubrificação dos mancais </t>
  </si>
  <si>
    <t>ESUL.00050.001</t>
  </si>
  <si>
    <t>Substituição do trocador de calor 1 da unidade hidráulica de lubrificação dos mancais da UG1 na UHE São Domingos</t>
  </si>
  <si>
    <t>Contratação de serviço de empresa especializada para substituição do trocador de calor São necessárias modificações nas tubulações e conexões, levando em conta que o trocador ficará instalado ao lado do tanque sem pressão</t>
  </si>
  <si>
    <t>ESUL.00050.002</t>
  </si>
  <si>
    <t>Aquisição de trocador de calor 2 da unidade hidráulica de lubrificação dos mancais da UG1 na UHE São Domingos</t>
  </si>
  <si>
    <t>ESUL.00050.003</t>
  </si>
  <si>
    <t>Substituição do trocador de calor 2 da unidade hidráulica de lubrificação dos mancais da UG1 na UHE São Domingos</t>
  </si>
  <si>
    <t>ESUL.00050.004</t>
  </si>
  <si>
    <t>Aquisição de trocador de calor 1 da unidade hidráulica de lubrificação dos mancais da UG2 na UHE São Domingos</t>
  </si>
  <si>
    <t>ESUL.00050.005</t>
  </si>
  <si>
    <t>Substituição do trocador de calor 1 da unidade hidráulica de lubrificação dos mancais da UG2 na UHE São Domingos</t>
  </si>
  <si>
    <t>ESUL.00050.006</t>
  </si>
  <si>
    <t>Aquisição de trocador de calor 2 da unidade hidráulica de lubrificação dos mancais da UG2 na UHE São Domingos</t>
  </si>
  <si>
    <t>ESUL.00050.007</t>
  </si>
  <si>
    <t>Substituição do trocador de calor 2 da unidade hidráulica de lubrificação dos mancais da UG2 na UHE São Domingos</t>
  </si>
  <si>
    <t>ESUL.00050.008</t>
  </si>
  <si>
    <t>Aquisição de motor sobressalente para o sistema de água de resfriamento das UGs na UHE Passo São João</t>
  </si>
  <si>
    <t>Aquisição de equipamento sobressalente</t>
  </si>
  <si>
    <t>ESUL.00051.001</t>
  </si>
  <si>
    <t>Aquisição de bomba sobressalente para o sistema de água de resfriamento das UGs na UHE Passo São João</t>
  </si>
  <si>
    <t>ESUL.00051.002</t>
  </si>
  <si>
    <t>Aquisição de bomba sobressalente para o sistema de lubrificação dos mancais na UHE Passo São João</t>
  </si>
  <si>
    <t>ESUL.00051.003</t>
  </si>
  <si>
    <t>Aquisição de motobomba sobressalente  para o sistema de drenagem da casa de força na UHE Passo São João</t>
  </si>
  <si>
    <t>ESUL.00051.004</t>
  </si>
  <si>
    <t>Aquisição da Unidade de Supervisão e Controle Automático (USCA) sobressalente para o gerador de emergência na UHE Passo São João</t>
  </si>
  <si>
    <t>ESUL.00051.005</t>
  </si>
  <si>
    <t>Aquisição de bombas reservas para a motobomba do distribuidor da unidade hidráulica do regulador de velocidade na UHE Passo São João</t>
  </si>
  <si>
    <t>ESUL.00051.006</t>
  </si>
  <si>
    <t>Aquisição de bombas reservas para a motobomba  kaplan da unidade hidráulica do regulador de velocidade</t>
  </si>
  <si>
    <t>ESUL.00051.007</t>
  </si>
  <si>
    <t>Aquisição de um registrador digital de pertubações (RDP) sobressalente na UHE Passo São João</t>
  </si>
  <si>
    <t>ESUL.00051.008</t>
  </si>
  <si>
    <t>Aquisição das CPUs sobressalentes para as unidades de aquisição e controle (UAC) na UHE Passo São João</t>
  </si>
  <si>
    <t>ESUL.00051.009</t>
  </si>
  <si>
    <t>Aquisição de motobomba sobressalente  para o sistema de drenagem da casa de força na UHE São Domingos</t>
  </si>
  <si>
    <t>UHE Passo São Domingos</t>
  </si>
  <si>
    <t>ESUL.00052.001</t>
  </si>
  <si>
    <t>Aquisição de USCA sobressalente para o gerador de emergência na UHE São Domingos</t>
  </si>
  <si>
    <t>ESUL.00052.002</t>
  </si>
  <si>
    <t>Relé de proteção do gerador sobressalente da UG na PCH João Borges</t>
  </si>
  <si>
    <t>ESUL.00053.001</t>
  </si>
  <si>
    <t xml:space="preserve">Aquisição de motobomba sobressalente  para o sistema de drenagem da casa de força </t>
  </si>
  <si>
    <t>ESUL.00053.002</t>
  </si>
  <si>
    <t>Aquisição de motobomba sobressalente  para o sistema de esgotamento da casa de força</t>
  </si>
  <si>
    <t>ESUL.00053.003</t>
  </si>
  <si>
    <t>Aquisição de bombas sobressalente para a unidade hidráulica do regulador de velocidade</t>
  </si>
  <si>
    <t>ESUL.00053.004</t>
  </si>
  <si>
    <t>Aquisição de motor sobressalente para a unidade hidráulica do regulador de velocidade</t>
  </si>
  <si>
    <t>ESUL.00053.005</t>
  </si>
  <si>
    <t>Aquisição de bombas sobressalente para a unidade hidráulica de lubrificação dos mancais</t>
  </si>
  <si>
    <t>ESUL.00053.006</t>
  </si>
  <si>
    <t>Aquisição de motor sobressalente para a unidade hidráulicade lubrificação dos mancais</t>
  </si>
  <si>
    <t>ESUL.00053.007</t>
  </si>
  <si>
    <t>Aquisição de CPU sobresalente para a unidade de aquisição e controle das UGs</t>
  </si>
  <si>
    <t>ESUL.00054.001</t>
  </si>
  <si>
    <t>ESUL.00054.002</t>
  </si>
  <si>
    <t>ESUL.00054.003</t>
  </si>
  <si>
    <t>ESUL.00054.004</t>
  </si>
  <si>
    <t>ESUL.00054.005</t>
  </si>
  <si>
    <t>Aquisição dos painéis de comando e força, além de instrumentação do sistemas de drenagem e esgotamento na PCH João Borges</t>
  </si>
  <si>
    <t>Aquisição e instalação de novos painéis de comando para o sistema de drenagem e esgotamento</t>
  </si>
  <si>
    <t>ESUL.00060.001</t>
  </si>
  <si>
    <t>Serviço de instalação e testes dos novos painéis de comando e força, e também instrumentação do sistemas de drenagem e esgotamento na PCH João Borges</t>
  </si>
  <si>
    <t>ESUL.00060.002</t>
  </si>
  <si>
    <t>Aquisição de relé de proteção sobressalente para UHE Passo São João</t>
  </si>
  <si>
    <t>ESUL.00061.001</t>
  </si>
  <si>
    <t>Contratação de serviço de engenharia para elaboração da aplicação (projeto) para a nova versão do relé com base na aplicação dos relés em operação na UHE Passo São João</t>
  </si>
  <si>
    <t xml:space="preserve">Compatibilização do projeto atual embarcado no relé de proteção com o novo relé Upgrade do software </t>
  </si>
  <si>
    <t>ESUL.00061.002</t>
  </si>
  <si>
    <t>Aquisição de relé de proteção sobressalente UHE São Domingos</t>
  </si>
  <si>
    <t>ESUL.00062.001</t>
  </si>
  <si>
    <t>Contratação de serviço de engenharia para elaboração da aplicação (projeto) para a nova versão do relé com base na aplicação dos relés em operação na UHE São Domingos</t>
  </si>
  <si>
    <t>ESUL.00062.002</t>
  </si>
  <si>
    <t>Modernização do Sistema de Detecção e Alarme de Incêndio das Unidades Geradores UG1 - UHSD</t>
  </si>
  <si>
    <t xml:space="preserve">Efetuar a substituição geral do sistema de detecção e alarme do Sistema Anti-incêndio dos geradores das unidades UG1 e UG2 da Usina Hidrelétrica São Domingos </t>
  </si>
  <si>
    <t>ESUL.00081.001</t>
  </si>
  <si>
    <t>Pietro Leonardo Heinsch Griotti</t>
  </si>
  <si>
    <t>Modernização do Sistema de Detecção e Alarme de Incêndio das Unidades Geradores UG2 - UHSD</t>
  </si>
  <si>
    <t>ESUL.00081.002</t>
  </si>
  <si>
    <t>Aquisição de 6 cubículos de 34,5 kV para acomodação de pára-raios</t>
  </si>
  <si>
    <t>Construção de cubículo com para-raios ECSE-01</t>
  </si>
  <si>
    <t>ESUL.00045.001</t>
  </si>
  <si>
    <t>Construção de cubículo com para-raios ECSE-02</t>
  </si>
  <si>
    <t>ESUL.00045.002</t>
  </si>
  <si>
    <t>Construção de cubículo com para-raios ECSE-06</t>
  </si>
  <si>
    <t>ESUL.00045.003</t>
  </si>
  <si>
    <t>Construção de cubículo com para-raios ECSE-10</t>
  </si>
  <si>
    <t>ESUL.00045.004</t>
  </si>
  <si>
    <t>Construção de cubículo com para-raios ECSE-14</t>
  </si>
  <si>
    <t>ESUL.00045.005</t>
  </si>
  <si>
    <t>Construção de cubículo com para-raios ECIN-01</t>
  </si>
  <si>
    <t>ESUL.00084.001</t>
  </si>
  <si>
    <t>Aquisição de 2 carregadores de baterias para UHJB</t>
  </si>
  <si>
    <t>ESUL.00047.001</t>
  </si>
  <si>
    <t>Diogo César Coelho</t>
  </si>
  <si>
    <t>ESUL.00047.002</t>
  </si>
  <si>
    <t>Substituição das baterias da UHPJ</t>
  </si>
  <si>
    <t>Bateria 1 - CFR - 125 Vcc</t>
  </si>
  <si>
    <t>ESUL.00082.001</t>
  </si>
  <si>
    <t>Bateria 2 - CFR - 125 Vcc</t>
  </si>
  <si>
    <t>ESUL.00082.002</t>
  </si>
  <si>
    <t>Bateria 1 - CFR - 48 Vcc</t>
  </si>
  <si>
    <t>ESUL.00082.003</t>
  </si>
  <si>
    <t>Bateria 2 - CFR - 48 Vcc</t>
  </si>
  <si>
    <t>ESUL.00082.004</t>
  </si>
  <si>
    <t>Bateria 1 - VRT - 125 Vcc</t>
  </si>
  <si>
    <t>ESUL.00082.005</t>
  </si>
  <si>
    <t>Substituição das baterias da UHSD</t>
  </si>
  <si>
    <t>ESUL.00085.001</t>
  </si>
  <si>
    <t>ESUL.00085.002</t>
  </si>
  <si>
    <t>ESUL.00085.003</t>
  </si>
  <si>
    <t>ESUL.00085.004</t>
  </si>
  <si>
    <t>ESUL.00085.005</t>
  </si>
  <si>
    <t>Substituição das baterias da UHJB</t>
  </si>
  <si>
    <t>ESUL.00086.001</t>
  </si>
  <si>
    <t>ESUL.00086.002</t>
  </si>
  <si>
    <t>Substituição das baterias da UHBC</t>
  </si>
  <si>
    <t>ESUL.00087.001</t>
  </si>
  <si>
    <t>ESUL.00087.002</t>
  </si>
  <si>
    <t>Substituição de todas as baterias do MegaWattSolar</t>
  </si>
  <si>
    <t>Aquisição de baterias para substituição do Megawattsolar</t>
  </si>
  <si>
    <t>UFV MegaWatt Solar</t>
  </si>
  <si>
    <t>ESUL.00083.001</t>
  </si>
  <si>
    <t>ESUL.00083.002</t>
  </si>
  <si>
    <t>Segurança de Barragem</t>
  </si>
  <si>
    <t>Projeto 13 - Domus - Automação de instrumentação</t>
  </si>
  <si>
    <t>Automatização de instrumentos de monitoramento da barragem</t>
  </si>
  <si>
    <t>OOMBS</t>
  </si>
  <si>
    <t>ESUL.00076.001</t>
  </si>
  <si>
    <t>Nathan André Oliveira Socha</t>
  </si>
  <si>
    <t>Gestão interna do projeto</t>
  </si>
  <si>
    <t>ESUL.00076.002</t>
  </si>
  <si>
    <t>UHJB - Automatização Instrumentos SB</t>
  </si>
  <si>
    <t>Automatização Instrumentos SB</t>
  </si>
  <si>
    <t>Solução para melhoria do MV-06</t>
  </si>
  <si>
    <t>Solução para melhoria do MV-06 UHSD</t>
  </si>
  <si>
    <t>ESUL.00078</t>
  </si>
  <si>
    <t>Eólicas - Automatização Instrumentos</t>
  </si>
  <si>
    <t>Automatização Instrumentos</t>
  </si>
  <si>
    <t>PECN - Coxilha Negra 2</t>
  </si>
  <si>
    <t>PECN - Coxilha Negra 3</t>
  </si>
  <si>
    <t>PECN - Coxilha Negra 4</t>
  </si>
  <si>
    <t>CAPEX 2024 - Sistema de sinalização de massa Sirenes UHPJ</t>
  </si>
  <si>
    <t>Instalação de sirenes de evacuação de área ZAS - PAE</t>
  </si>
  <si>
    <t>ESUL.00071.001</t>
  </si>
  <si>
    <t>COO1325</t>
  </si>
  <si>
    <t>CAPEX 2024 - Sistema de sinalização de massa Sirenes UHBC</t>
  </si>
  <si>
    <t>ESUL.00070.001</t>
  </si>
  <si>
    <t>COO1324</t>
  </si>
  <si>
    <t>CAPEX 2025 - Instrumentos PZs Elétricos Fundação CCR</t>
  </si>
  <si>
    <t>Instalação Instrumentos Elétricos na Barragem</t>
  </si>
  <si>
    <t>ESUL.00073</t>
  </si>
  <si>
    <t>COO1351</t>
  </si>
  <si>
    <t>Sistema de monitoramento de Vibrações</t>
  </si>
  <si>
    <t>Análise preditiva da condição do ativo</t>
  </si>
  <si>
    <t>2026 (novo)</t>
  </si>
  <si>
    <t>ESUL.00092</t>
  </si>
  <si>
    <t>Substituição de Retificador (Carregador de Baterias) - 48 Vcc - SACC48 - RET1 na SE CCH Capacidade do novo equipamento:</t>
  </si>
  <si>
    <t>Equipamento apresenta elevada taxa de falhas e baixo número de sobressalentes Fabricante não fornece sobressalentes, somente retrofit do sistema</t>
  </si>
  <si>
    <t>OOMIS</t>
  </si>
  <si>
    <t>ESUL.00089.001</t>
  </si>
  <si>
    <t>Doris Kühlkamp de Barros</t>
  </si>
  <si>
    <t>Substituição de Retificador (Carregador de Baterias) - 125 Vcc - SACC125 - RET1 na SE CCH Capacidade do novo equipamento:</t>
  </si>
  <si>
    <t>ESUL.00089.002</t>
  </si>
  <si>
    <t>Substituição de Retificador (Carregador de Baterias) - 125 Vcc - SACC125 - RET2 na SE CCH Capacidade do novo equipamento:</t>
  </si>
  <si>
    <t>ESUL.00089.003</t>
  </si>
  <si>
    <t>Equipamento com degradação de desempenho, baixa confiabilidade e sem sobressalente</t>
  </si>
  <si>
    <t>ESUL.00089.004</t>
  </si>
  <si>
    <t>ESUL.00089.005</t>
  </si>
  <si>
    <t>Aquisição de motobomba submersa sobressalente para o sistema de drenagem do vertedouro</t>
  </si>
  <si>
    <t>Necessidade de aquisição de motobomba sobressalente devido a importância do equipamento para as instalações</t>
  </si>
  <si>
    <t>ESUL.00090.001</t>
  </si>
  <si>
    <t>Aquisição das CPUs sobressalentes para as unidades de aquisição e controle (UAC) na UHE São Domingos</t>
  </si>
  <si>
    <t>Necessidade de aquisição de CPU sobressalente devido a importância do equipamento para as instalações</t>
  </si>
  <si>
    <t>ESUL.00091.001</t>
  </si>
  <si>
    <t>Substituição de Disjuntor tripolar 34,5kV, DJ212, referente ao TR 138/34KV TR1 na SE  ITR</t>
  </si>
  <si>
    <t>Substituição de Disjuntor tripolar 34,5kV, DJ212, referente ao TR 138/34KV TR1 na SE  ITR. Associado à obra são esperadas substituições/adaptações de fundações, suportes, cabos de controle/potência, barramento, conectores e conexão de aterramento.</t>
  </si>
  <si>
    <t>SE Itararé</t>
  </si>
  <si>
    <t>ESUL.00088.001</t>
  </si>
  <si>
    <t>Transmissão</t>
  </si>
  <si>
    <t>Reforço Grande Porte</t>
  </si>
  <si>
    <t>GeraçãoModernização</t>
  </si>
  <si>
    <t>SPCS – Sistema de Proteção Controle e Supervisão</t>
  </si>
  <si>
    <t>OOPE.N</t>
  </si>
  <si>
    <t>Requisitado e Contratado</t>
  </si>
  <si>
    <t>OORV</t>
  </si>
  <si>
    <t>Requisitado</t>
  </si>
  <si>
    <t>NGHI.0139</t>
  </si>
  <si>
    <t>Auscultação e Gestão de Segurança de Barragens</t>
  </si>
  <si>
    <t>Investimentos em Segurança de Barragens condicionantes a Licença de Operação das UHE's</t>
  </si>
  <si>
    <t>UHE Tucuruí, UHE Samuel, UHE Balbina, UHE Coaracy Nunes, UHE Curua Una</t>
  </si>
  <si>
    <t>OOMB.N</t>
  </si>
  <si>
    <t>ENOR.00400.024</t>
  </si>
  <si>
    <t>Não Requisitado</t>
  </si>
  <si>
    <t>OOMG.N</t>
  </si>
  <si>
    <t>Curva CAV - UHE Tucuruí</t>
  </si>
  <si>
    <t>OOOH.N</t>
  </si>
  <si>
    <t>Curva CAV - UHE Samuel</t>
  </si>
  <si>
    <t>Aquisição de para-raios e DCP de linha para a UHE Tucuruí</t>
  </si>
  <si>
    <t>COO0647</t>
  </si>
  <si>
    <t>ENOR.00047.001</t>
  </si>
  <si>
    <t>Modernização de equipamentos de linha UHE Tucuruí</t>
  </si>
  <si>
    <t>OOMS.N</t>
  </si>
  <si>
    <t>Tem SGPMR cadastrado</t>
  </si>
  <si>
    <t>Melhoria de pequeno porte</t>
  </si>
  <si>
    <t>FGHI.0103</t>
  </si>
  <si>
    <t>Modernização do Sistema de Controle da UHE Simplicio</t>
  </si>
  <si>
    <t>UHE Simplício</t>
  </si>
  <si>
    <t>OOMG.F</t>
  </si>
  <si>
    <t>COO1969</t>
  </si>
  <si>
    <t>Rodrigo Pinto Da Silva</t>
  </si>
  <si>
    <t>Modernização pequeno porte</t>
  </si>
  <si>
    <t>FGHI.0011</t>
  </si>
  <si>
    <t>UHE Manso - Modernização dos módulos das UAC de controle das Unidades Geradoras</t>
  </si>
  <si>
    <t>Aquisição de módulos da UAC para atualização do SSC das unidades geradoras. Equipamentos existentes sem reposição-UHE Manso</t>
  </si>
  <si>
    <t>UHE Manso</t>
  </si>
  <si>
    <t>OOGG.F</t>
  </si>
  <si>
    <t>ELET.00016</t>
  </si>
  <si>
    <t>Wilson Wagner Barbosa</t>
  </si>
  <si>
    <t>Modernização dos Módulos das UAC de Controle das Unidades Geradoras da UHE Manso</t>
  </si>
  <si>
    <t>COO1976</t>
  </si>
  <si>
    <t>FGHI.0098</t>
  </si>
  <si>
    <t>Modernização do sistema de resfriamento dos geradores da UHE Marimbondo</t>
  </si>
  <si>
    <t>UHE Marimbondo</t>
  </si>
  <si>
    <t>COO1979</t>
  </si>
  <si>
    <t>Alan Paulo Rodrigues Dos Santos</t>
  </si>
  <si>
    <t>UHE Manso - Modernização dos relés de sincronismo para as Unidades Geradoras</t>
  </si>
  <si>
    <t>Aquisição de relés para individualização do sincronismo das Unidades Geradoras para aumentar a confiabilidade operacional. Atualmente, a UHE Manso tem apenas um sincronizador automático, compartilhado para todas as UGs e para a LIMSNO</t>
  </si>
  <si>
    <t>ELET.00018</t>
  </si>
  <si>
    <t>Modernização dos Relés de Sincronismo para as Unidades Geradoras da UHE Manso</t>
  </si>
  <si>
    <t>COO1980</t>
  </si>
  <si>
    <t>Modernização de grande porte</t>
  </si>
  <si>
    <t>FGHI.0156</t>
  </si>
  <si>
    <t>Adequação as Normas da Segurança do Trabalho</t>
  </si>
  <si>
    <t>Implantação de Linhas de Vida na PCH Anta</t>
  </si>
  <si>
    <t>Divisão O&amp;M Simplício / Anta</t>
  </si>
  <si>
    <t>OOGSI.F</t>
  </si>
  <si>
    <t>TR/Projeto básico</t>
  </si>
  <si>
    <t>Geovane Abraão Benfica</t>
  </si>
  <si>
    <t>Implantação de Linhas de Vida na UHE Simplício</t>
  </si>
  <si>
    <t>Implantação de sistema de injeção química na UHE Simplicio</t>
  </si>
  <si>
    <t>COO2021</t>
  </si>
  <si>
    <t>FGHI.0134</t>
  </si>
  <si>
    <t>Modernização do sistema de proteção, controle e supervisão, Regulador de Tensão e Velocidade da UHE Itumbiara</t>
  </si>
  <si>
    <t>UHE Itumbiara</t>
  </si>
  <si>
    <t>COO2037</t>
  </si>
  <si>
    <t>Ricardo Da Rocha Manhaes</t>
  </si>
  <si>
    <t>UHE Manso - Modernização dos pórticos e pontes rolantes</t>
  </si>
  <si>
    <t>ELET.00015</t>
  </si>
  <si>
    <t>Aquisição de dois conjuntos de servomotores para as Unidades 01 e 02 da UHE Simplício</t>
  </si>
  <si>
    <t>COO2041</t>
  </si>
  <si>
    <t>Novo</t>
  </si>
  <si>
    <t>Modernização do controle dos Reguladores de tensão da UHE Corumbá</t>
  </si>
  <si>
    <t>UHE Corumbá</t>
  </si>
  <si>
    <t>COO2045</t>
  </si>
  <si>
    <t>Renato Filippe Caldeira Lessa</t>
  </si>
  <si>
    <t>Modernização do controle dos reguladores de velocidade da UHE Corumbá</t>
  </si>
  <si>
    <t>COO2046</t>
  </si>
  <si>
    <t>Modernização do controle dos reguladores de tensão da UHE Manso</t>
  </si>
  <si>
    <t>COO2047</t>
  </si>
  <si>
    <t>FGHI.0075</t>
  </si>
  <si>
    <t>Modernização do sistema digital de supervisão e controle da UHE Mascarenhas de Moraes</t>
  </si>
  <si>
    <t>UHE Mascarenhas de Moraes</t>
  </si>
  <si>
    <t>COO2048</t>
  </si>
  <si>
    <t>Modernização do sistema de proteção contra incêndio da UHE Simplicio</t>
  </si>
  <si>
    <t>COO2050</t>
  </si>
  <si>
    <t>FGHI.0165</t>
  </si>
  <si>
    <t>Modernização do sistema de drenagem e Esvaziamento da casa de Força da UHE Marimbondo</t>
  </si>
  <si>
    <t>Divisão O&amp;M Marimb. P. Colom.</t>
  </si>
  <si>
    <t>OOGM.F</t>
  </si>
  <si>
    <t>Rodrigo Ferreira Moreno</t>
  </si>
  <si>
    <t>FGHI.0164</t>
  </si>
  <si>
    <t>UHE Manso - Modernização do sistema de monitoramento de temperatura dos mancais</t>
  </si>
  <si>
    <t>Modernização do sistema de monitoramento de temperatura dos mancais  das UG's da UHE Manso. Modernização do sistema que se encontra obsoleto e com equipamentos descontinuados, sem peças de reposição.</t>
  </si>
  <si>
    <t>ELET.00021</t>
  </si>
  <si>
    <t>UHE Manso - Sistema de retro lavagem dos filtros separadores de sedimento</t>
  </si>
  <si>
    <t>Modernização do sistema de retro lavagem dos filtros separadores de sedimento da UHE MANSO. Componentes em final de vida útil, obsoletos e  com desgaste oriundo  de ferro bactérias</t>
  </si>
  <si>
    <t>ELET.00013</t>
  </si>
  <si>
    <t>Modernização dos filtros separadores de sedimento da UHE Manso</t>
  </si>
  <si>
    <t>COO2059</t>
  </si>
  <si>
    <t>FGHI.0137</t>
  </si>
  <si>
    <t>Modernização dos estatores das UGs 07 e 08 da UHE Furnas</t>
  </si>
  <si>
    <t>UHE Furnas</t>
  </si>
  <si>
    <t>COO2067</t>
  </si>
  <si>
    <t>FGHI.0161</t>
  </si>
  <si>
    <t>UHE Itumbiara - Modernização dos fan coils dos TADs da Central de condicionamento de ar</t>
  </si>
  <si>
    <t>Modernização dos fan coils dos TADs da Central de condicionamento de ar da Usina devido obsolescência dos equipamentos-UHE Itumbiara</t>
  </si>
  <si>
    <t>ELET.00010</t>
  </si>
  <si>
    <t>Juarez Evangelista reis</t>
  </si>
  <si>
    <t>UHE Itumbiara - Modernização do Sistema de Destilação de água tratada</t>
  </si>
  <si>
    <t>Modernização dos equipamentos para destilação de água visando manutenção em bancos de baterias-UHE Itumbiara</t>
  </si>
  <si>
    <t>ELET.00011</t>
  </si>
  <si>
    <t xml:space="preserve">UHE Itumbiara - Modernização do sistema de drenagem e esvaziamento da </t>
  </si>
  <si>
    <t>Modernização ou substituição de todas as bombas de drenagem e esvaziamento da casa de força da usina, da UHE Itumbiara, equipamentos com alta taxa de falha, baixa eficiência, dificuldade de encontrar peças de reposição, fim da vida útil.</t>
  </si>
  <si>
    <t>ELET.00001</t>
  </si>
  <si>
    <t>UHE Itumbiara - Substituição das vedações das comportas do vertedouro e stop logs</t>
  </si>
  <si>
    <t>Substituição das vedações das comportas do vertedouro devido ao tempo de vida útil das borrachas de vedação (vazamentos de água nas comportas) e pintura das comportas</t>
  </si>
  <si>
    <t>ELET.00006</t>
  </si>
  <si>
    <t>UHE Manso - Substituição dos compressores de ar de regulação</t>
  </si>
  <si>
    <t>Substituição dos compressores de ar de regulação da UHE Manso. Compressores em final de vida útil, obsoletos e dificuldades de aquisição de peças reposição.</t>
  </si>
  <si>
    <t>ELET.00017</t>
  </si>
  <si>
    <t>Modernização dos compressores de ar de regulação da UHE Manso</t>
  </si>
  <si>
    <t>COO2099</t>
  </si>
  <si>
    <t>Modernização do controle dos Reguladores da UHE Luiz Carlos Barreto de Carvalho</t>
  </si>
  <si>
    <t>UHE Luiz Carlos Barreto de Carvalho</t>
  </si>
  <si>
    <t>COO2101</t>
  </si>
  <si>
    <t>UHE Manso - Modernização do sistema de resfriamento dos Geradores</t>
  </si>
  <si>
    <t>Substituição dos radiadores de ar do gerador Usina de Manso  em  final de  vida útil. Cada unidade geradora utiliza 6 radiadores. A UHE Manso tem 4 unidades geradoras.</t>
  </si>
  <si>
    <t>ELET.00029</t>
  </si>
  <si>
    <t>Modernização do sistema de resfriamento dos Geradores da UHE Manso</t>
  </si>
  <si>
    <t>COO2104</t>
  </si>
  <si>
    <t>UHE Itumbiara - Modernização dos trocadores de calor do mancal guia turbina UG's</t>
  </si>
  <si>
    <t>Substituição dos trocadores de calor dos mancais em fim de vida útil, desgaste excessivo das paredes internas devido abrasividade da água, passagem de óleo para a água-UHE Itumbiara</t>
  </si>
  <si>
    <t>ELET.00008</t>
  </si>
  <si>
    <t>UHE Itumbiara - Modernização dos trocadores de calor do regulador de velocidade das UG's</t>
  </si>
  <si>
    <t>Substituição dos trocadores de calor dos reguladores de velocidade em fim de vida útil, desgaste excessivo das paredes internas devido abrasividade da água, passagem de óleo para a água-UHE Itumbiara</t>
  </si>
  <si>
    <t>ELET.00009</t>
  </si>
  <si>
    <t>UHE Manso - Modernização dos servomotores do aro de regulação das Turbinas</t>
  </si>
  <si>
    <t>Modernização dos servomotores do Aro de Regulação das Turbinas da Usina de Manso, substituindo 02 servomotores que apresentam elevado desgaste das partes metálicas com tendencia crescente de vazamento de óleo.</t>
  </si>
  <si>
    <t>ELET.00026</t>
  </si>
  <si>
    <t>UHE Manso - Modernização do sistema SMARTRUNK</t>
  </si>
  <si>
    <t>Modernização do sistema SMARTRUNK da UHE Manso. Sistema obsoleto, com funcionamento parcial</t>
  </si>
  <si>
    <t>ELET.00028</t>
  </si>
  <si>
    <t>UHE Manso - Modernização do Sistema de resfriamento dos mancais das UG's</t>
  </si>
  <si>
    <t>Substituição dos trocadores de calor dos mancais em fim de vida útil, desgaste excessivo das paredes internas devido abrasividade da água, passagem de óleo para a água-UHE Manso</t>
  </si>
  <si>
    <t>ELET.00030</t>
  </si>
  <si>
    <t>UHE Manso - Modernização do sistema dos bicos de injeção da caixa de vedação</t>
  </si>
  <si>
    <t>Modernização do sistema dos bicos de injeção da caixa de vedação, por um sistema que permita a limpeza sem ocorrer desligamento de Unidades Geradoras-UHE Manso. Bicos de injeção da caixa de vedação em fim de vida útil, em virtude da ação de ferrobactérias</t>
  </si>
  <si>
    <t>ELET.00031</t>
  </si>
  <si>
    <t>UHE Manso - Extratores de Vapor das Unidades Geradoras</t>
  </si>
  <si>
    <t>Modernização do sistema de Extratores de Vapor das Unidades Geradoras-UHE Manso. Componentes em final de vida útil, obsoletos e dificuldades de aquisição de peças reposição.</t>
  </si>
  <si>
    <t>ELET.00032</t>
  </si>
  <si>
    <t>UHE Manso - Modernização do sistema de indicação de posição das comportas de serviço</t>
  </si>
  <si>
    <t>Modernização do sistema de indicação de posição das comportas de serviço da UHE Manso, que se encontra obsoleto e com equipamentos descontinuados, sem peças de reposição.</t>
  </si>
  <si>
    <t>ELET.00033</t>
  </si>
  <si>
    <t>UHE Manso - Modernização do sistema de drenagem e esvaziamento</t>
  </si>
  <si>
    <t>Fabricante do sistema existente descontinuado (ESCO). Dificuldades de encontrar empresas que trabalham com essa marca-UHE Manso</t>
  </si>
  <si>
    <t>ELET.00034</t>
  </si>
  <si>
    <t>FGHI.0157</t>
  </si>
  <si>
    <t>UHE Batalha - Modernização do sistema de iluminação</t>
  </si>
  <si>
    <t>Modernização da iluminação externa, vias, subestação área externa da UHE Batalha. Sistema obsoleto e com componentes em fim de vida útil.</t>
  </si>
  <si>
    <t>UHE Batalha</t>
  </si>
  <si>
    <t>ELET.00035</t>
  </si>
  <si>
    <t>Vitor Barbosa Pereira</t>
  </si>
  <si>
    <t>UHE Batalha - Modernização do Sistema de Destilação de água tratada</t>
  </si>
  <si>
    <t>Modernização dos equipamentos para destilação de água visando manutenção em bancos de baterias-UHE Batalha</t>
  </si>
  <si>
    <t>ELET.00038</t>
  </si>
  <si>
    <t>UHE Batalha - Modernização do Pórtico da Tomada Dágua</t>
  </si>
  <si>
    <t>Substituição completa do painél incluindo controle e operação-UHE Batalha</t>
  </si>
  <si>
    <t>ELET.00039</t>
  </si>
  <si>
    <t>UHE Batalha - Melhoria na ponte rolante da casa de força</t>
  </si>
  <si>
    <t>Melhoria na ponte rolante da casa de força com implementação de controle remoto individual-UHE Batalha</t>
  </si>
  <si>
    <t>ELET.00040</t>
  </si>
  <si>
    <t>UHE Batalha - Modernização do sistema SMARTRUNK</t>
  </si>
  <si>
    <t>Modernização do sistema de comunicação-UHE Batalha. Sistema atual está obsoleto com necessidade de modernização</t>
  </si>
  <si>
    <t>ELET.00041</t>
  </si>
  <si>
    <t>FGHI.0158</t>
  </si>
  <si>
    <t>UHE Corumbá - Disjuntores do serviço auxiliar 13,8kV</t>
  </si>
  <si>
    <t>Substituição dos disjuntores do serviço auxiliar 13,8kV (DG1, DG2 e DG3 e DL)-UHE Corumbá. Disjuntores já está obsoleto com necessidade de segurança operacional</t>
  </si>
  <si>
    <t>UHE Corumba</t>
  </si>
  <si>
    <t>ELET.00042</t>
  </si>
  <si>
    <t>UHE Corumbá - Modernização das pontes rolantes da casa de força</t>
  </si>
  <si>
    <t>Melhoria nas pontes rolantes da casa de força com implementação de controle remoto individual -UHE Corumbá</t>
  </si>
  <si>
    <t>ELET.00043</t>
  </si>
  <si>
    <t>UHE Corumbá - Sistema de Registro de Perturbações</t>
  </si>
  <si>
    <t>Aquisição de Sistema de Registro de Perturbações para as Unidades Geradoras de Corumbá, visando substituir as atuais em final de vida útil</t>
  </si>
  <si>
    <t>ELET.00046</t>
  </si>
  <si>
    <t>UHE Corumbá - Modernização do Sistema de Proteção de Combate à incêndio-SPCI da Casa de Força</t>
  </si>
  <si>
    <t>Modernização de toda a instalação do SPCI incluindo novo painel, sistema de detecção, layout e laudo do corpo de bombeiros-UHE Corumbá</t>
  </si>
  <si>
    <t>ELET.00047</t>
  </si>
  <si>
    <t>UHE Corumbá - Modernização dos controles das Comportas do Vertedouro</t>
  </si>
  <si>
    <t>Subtituição de 2 paineis incluindo novos controles interligando com o sistema SAGE-UHE Corumbá</t>
  </si>
  <si>
    <t>ELET.00048</t>
  </si>
  <si>
    <t>UHE Corumbá - Modernização do Sistema de Destilação de água tratada</t>
  </si>
  <si>
    <t>Modernização dos equipamentos para destilação de água visando manutenção em bancos de baterias-UHE Corumbá</t>
  </si>
  <si>
    <t>ELET.00049</t>
  </si>
  <si>
    <t>UHE Corumbá - Alimentação do serviço auxiliar da Usina pelo terciário AT01 (CNT)</t>
  </si>
  <si>
    <t>Alimentação externa através do terciário do AT01 (CNT) para alimentar o serviço auxiliar da usina deixando a estação com mais uma redundância de segurança em caso de falta de alimentação pelo gerador diesel da central-UHE Corumbá</t>
  </si>
  <si>
    <t>ELET.00050</t>
  </si>
  <si>
    <t>UHE Corumbá - Modernização da instrumentação de supervisão dos mancais das Unidades Geradoras</t>
  </si>
  <si>
    <t>Implementação de nova instrumetação incluindo pressostatos, fluxômetros, termômetros, sensores etc-UHE Corumbá</t>
  </si>
  <si>
    <t>ELET.00051</t>
  </si>
  <si>
    <t>FGHI.0167</t>
  </si>
  <si>
    <t>Obra- Implantação de caixa separadora água-óleo atendentendo aos requisitos ambientais da UHE Porto Colombia</t>
  </si>
  <si>
    <t>Desenvolvimento do projeto básico  e contratação  da execução  da obra</t>
  </si>
  <si>
    <t>ELET.00084.001</t>
  </si>
  <si>
    <t>Obra - Substituição do Telhado da casa de Força da UHE Porto Colômbia</t>
  </si>
  <si>
    <t>Contratação dos serviços de susbtituição da cobertura do telahado da casa de força</t>
  </si>
  <si>
    <t>ELET.00086.001</t>
  </si>
  <si>
    <t>FGHI.0160</t>
  </si>
  <si>
    <t xml:space="preserve">Modern. SDTT UG07 e 08 da UHE Furnas </t>
  </si>
  <si>
    <t>Sistema obsoleto e com componentes em fim de vida útil. Adequação do sistema de drenagem.</t>
  </si>
  <si>
    <t>Divisão O&amp;M de Furnas</t>
  </si>
  <si>
    <t>ELET.00148.001</t>
  </si>
  <si>
    <t>Luis Junio Leonel Mendes</t>
  </si>
  <si>
    <t>Modern. Sist. Resf. MC UG07 UHE Furnas</t>
  </si>
  <si>
    <t>Sistema obsoleto e com componentes em fim de vida útil.</t>
  </si>
  <si>
    <t>ELET.00151.001</t>
  </si>
  <si>
    <t xml:space="preserve">Mod. palhetas da UG07 da UHE Furnas </t>
  </si>
  <si>
    <t>ELET.00153.001</t>
  </si>
  <si>
    <t xml:space="preserve">Mod. palhetas da UG08 da UHE Furnas </t>
  </si>
  <si>
    <t>ELET.00153.002</t>
  </si>
  <si>
    <t>Segurança de barragem</t>
  </si>
  <si>
    <t>FGHI.0143</t>
  </si>
  <si>
    <t>Obra - Reforço /melgoria no conduto forçado - UHE Simplício</t>
  </si>
  <si>
    <t>Injeção de Poliuretano nos condutos forçados das UG02 e UG03</t>
  </si>
  <si>
    <t>ELET.00157.001</t>
  </si>
  <si>
    <t>Obra - Modernização e adequação das instalações para atendimento aos requisitos da Segurança de Barragem</t>
  </si>
  <si>
    <t>Construção de escadas e acessos aos equipamentos de Instrumentação dos Diques co complexo Simplício/Anta</t>
  </si>
  <si>
    <t>ELET.00158.001</t>
  </si>
  <si>
    <t>Obra - Adequação as Normas da Segurança do Trabalho</t>
  </si>
  <si>
    <t>Implantação de guard-rail nas vias da área industrial</t>
  </si>
  <si>
    <t>ELET.00162.001</t>
  </si>
  <si>
    <t>FGHI.0159</t>
  </si>
  <si>
    <t>Obra - Pavimentação da área industrial</t>
  </si>
  <si>
    <t>Pavimentação das vias internas da área industrial - acesso ao VME / VMD</t>
  </si>
  <si>
    <t>Divisão O&amp;M Funil</t>
  </si>
  <si>
    <t>OOGFU.F</t>
  </si>
  <si>
    <t>ELET.00163.001</t>
  </si>
  <si>
    <t>Renderson Clayton dos Santos Lopes</t>
  </si>
  <si>
    <t>FGHI.0155</t>
  </si>
  <si>
    <t>UHE Serra da Mesa - Atividade PSSBI-Serviços de mapeamento geológico</t>
  </si>
  <si>
    <t>Mapeamento geológio-geotécnico, projeto e orçamento, bate-choco, ancoragens e instalação de tela metálica para escavações em rocha. (Atividades PSSBI USSM-014.2019, USSM-009.2022 e USSM-006.2023)</t>
  </si>
  <si>
    <t>UHE Serra da Mesa</t>
  </si>
  <si>
    <t>N/A</t>
  </si>
  <si>
    <t>Fabiano Henrique de Paula</t>
  </si>
  <si>
    <t>Modernização do sistema anti-incêndio da casa de máquinas da usina de Furna</t>
  </si>
  <si>
    <t>Substituição de equipamentos por obsolescência</t>
  </si>
  <si>
    <t>UHE Manso - Obra - Pavimentação de vias internas da área industrial</t>
  </si>
  <si>
    <t>Pavimentação das vias internas da área industrial - acesso a Barragem / Antena de comunicação</t>
  </si>
  <si>
    <t>UHE Itumbiara - Implantação de um sistema de proteção contra incêndio na planta de H2 verde</t>
  </si>
  <si>
    <t>H2 verde - SPCI da UHE Itumbiara.  Implantação de um Sistema de Proteção contra Incêndio-SPCI, que é uma exigência legal do Corpo de Bombeiros para a emissão da Licença de Operação da Planta de Hidrogênio existente</t>
  </si>
  <si>
    <t>NOVO</t>
  </si>
  <si>
    <t>UHE Colíder - Modernização do sistema de monitoramento de descargas parciais</t>
  </si>
  <si>
    <t>UHE Colíder</t>
  </si>
  <si>
    <t>A planejar</t>
  </si>
  <si>
    <t>Automação de Instrumentação de Auscultação Civil de Segurança de Barrages - UHE Funil</t>
  </si>
  <si>
    <t>UHE Funil</t>
  </si>
  <si>
    <t>OOMB.F</t>
  </si>
  <si>
    <t>Ravy Delatorre Costa</t>
  </si>
  <si>
    <t>UHE Serra da Mesa - Atividade PSSBI-Serviços de substituição de peças fixas e materias</t>
  </si>
  <si>
    <t>Mapeamento de substituição das grelhas e vigas de sustentação, talhas e fornecimento de materiais. (Atividades PSSBI USSM-008.2023 e USSM-009.2023)</t>
  </si>
  <si>
    <t>UHE Colíder - Modernização  - Enrolamento estator</t>
  </si>
  <si>
    <t>UHE Colíder - Modernização do pórtico rolante de montante</t>
  </si>
  <si>
    <t xml:space="preserve">Melhoria das canaletas de drenagem e pista de acesso a Subestação da UHE Batalha.  </t>
  </si>
  <si>
    <t>Segurança de Barragens/Mitigação de risco regulatório</t>
  </si>
  <si>
    <t>Marco Aurelio Lima Cupertino</t>
  </si>
  <si>
    <t>UHE Colíder - Aquisição de sobressalentes críticos (reguladores de velocidade, SDSC, Serv Auxiliares, etc)</t>
  </si>
  <si>
    <t>UHE Manso - Obra - Adequação civil das estruturas e acessos da casa de força</t>
  </si>
  <si>
    <t>Modernização de telhado e fachadas, impermeabilização de lajes, pintura interna e externa da casa de força</t>
  </si>
  <si>
    <t>FGHI.0142</t>
  </si>
  <si>
    <t xml:space="preserve"> Serviços de monitoramento sismológico.</t>
  </si>
  <si>
    <t>Prestação de serviços de monitoramento sismológico de usinas hidrelétricas e seus reservatórios da Eletrobras Operação Sudeste.  Projeto DOMUS</t>
  </si>
  <si>
    <t>Diversas</t>
  </si>
  <si>
    <t>Ricardo Moreira Vilhena</t>
  </si>
  <si>
    <t>Revisão Periódica de Segurança de Barragem  - UHE Luiz Carlos Barreto de Carvalho</t>
  </si>
  <si>
    <t>Contratação da Revisão de Segurança de Barragem da UHE Luiz Carlos Barreto de Carvalho, serviços de engenharia e Análise de Risco</t>
  </si>
  <si>
    <t>Revisão Periódica de Segurança de Barragem  - UHE Manso</t>
  </si>
  <si>
    <t>Contratação da Revisão de Segurança de Barragem da UHE Manso, serviços de engenharia e Análise de Risco</t>
  </si>
  <si>
    <t>Ricardo Moreira Soares</t>
  </si>
  <si>
    <t>Revisão Periódica de Segurança de Barragem  - UHE Batalha</t>
  </si>
  <si>
    <t>Contratação da Revisão de Segurança de Barragem da UHE Batalha, serviços de engenharia e Análise de Risco</t>
  </si>
  <si>
    <t>Revisão Periódica de Segurança de Barragem  - UHE Simplício</t>
  </si>
  <si>
    <t>Contratação da Revisão de Segurança de Barragem da UHE Simplício, serviços de engenharia e Análise de Risco</t>
  </si>
  <si>
    <t>Substitução da rede de abastecimento da água tratada UHE Marimbondo</t>
  </si>
  <si>
    <t>FGHI.0163</t>
  </si>
  <si>
    <t>Retrofit do sistema de controle da comporta de adução da UG04 / UG 05 / UG 06</t>
  </si>
  <si>
    <t>Possível indisponibilidade prolongada do ativo de geração e perda de receita por inexistência de sobressalentes. Equipamentos com fabricação descontinuada.</t>
  </si>
  <si>
    <t>Divisão O&amp;M LCB Carvalho</t>
  </si>
  <si>
    <t>César Coelho Vieira</t>
  </si>
  <si>
    <t>UHE Colíder - Aquisição de trafo de excitação sobressalente</t>
  </si>
  <si>
    <t>Contratação de empresa para atividades de manutenção do PAE</t>
  </si>
  <si>
    <t>Instalação de placas de sinalização de RF e PE, realização de exercícios simulados e atividades de comunicação/divulgação para a população</t>
  </si>
  <si>
    <t>Cristiano Neves Simão e LF Alves</t>
  </si>
  <si>
    <t>UHE Colíder - Aquisição e instalação de sistema de ventilação nos trafos de excitação</t>
  </si>
  <si>
    <t>UHE Luiz Carlos Barreto</t>
  </si>
  <si>
    <t>UHE Manso - Modernização/ampliação do sistema de CITV</t>
  </si>
  <si>
    <t>Modernização comportas do vertedouro - VME e VME</t>
  </si>
  <si>
    <t>Moderização de 03 comportas em cada um dos vertedouro</t>
  </si>
  <si>
    <t>FGHI.0166</t>
  </si>
  <si>
    <t>Modernização do sistema de esvaziamento e drenagem da casa de força da UHE Mascarenhas de Moraes</t>
  </si>
  <si>
    <t>Construção de caixa SAO</t>
  </si>
  <si>
    <t>Divisão O&amp;M Marechal M.  Moraes</t>
  </si>
  <si>
    <t>Gustavo Moreira Granzoto</t>
  </si>
  <si>
    <t>Modernização das comportas ensecadeiras tomada dágua e canal de fuga</t>
  </si>
  <si>
    <t>Modernização das comportas das 03 UGs + Válvula difusora</t>
  </si>
  <si>
    <t>FGHI.0144</t>
  </si>
  <si>
    <t>UHE Batalha - Obra - Construção de Estruturas para contenção de taludes</t>
  </si>
  <si>
    <t>Construção de estruturas de contenção no talude da margem esquerda junto a Subestação e margem direita (proximo ao canal de fuga) da UHE Batalha</t>
  </si>
  <si>
    <t>UHE Colíder - Obra - Pavimentação e drenagem superficial</t>
  </si>
  <si>
    <t>Pavimantação da crista da barragem</t>
  </si>
  <si>
    <t>FGHI.0152</t>
  </si>
  <si>
    <t>Obra - Pavimantação asfáltica das bermas da barragem de terra - MD e ME</t>
  </si>
  <si>
    <t>Atendimento ao Relatório de Inspeção de Segurança de barragem</t>
  </si>
  <si>
    <t>Instalação de CITV na UHE Marimbondo</t>
  </si>
  <si>
    <t>Sobressalentes UAC - ALTUS - UHE Jaguari</t>
  </si>
  <si>
    <t>FGHI.0151</t>
  </si>
  <si>
    <t>UHE Manso - Obra - Cercamento da área industrial</t>
  </si>
  <si>
    <t>Cercamento das divisas de propriedade em atendimento ao Relatório de Inspeção de Segurança Regular - RISR</t>
  </si>
  <si>
    <t>UHE Batalha - Obra - Implantação de escadas e acessos aos instrumentos de Segurnça de Barragem</t>
  </si>
  <si>
    <t>Implantação de escadas e passarelas metálicas para acesso aos instrumentos de segurança de barragem junto ao vertedouro e demais estruturas de concreto</t>
  </si>
  <si>
    <t>Modernização das comportas de manutenção do canal de Fuga</t>
  </si>
  <si>
    <t>Modernização de 16 comportas de manutenção do canal de fuga</t>
  </si>
  <si>
    <t xml:space="preserve"> Modernização dos CLPs das UAsC de supervisão e controle das Comportas Segmento do Vertedouro - PCH Anta</t>
  </si>
  <si>
    <t>Modernização de sistema supervisão e controle de O&amp;M</t>
  </si>
  <si>
    <t>Modernização dos CLPs das UACs de supervisão e controle das Unidades Geradoras - PCH Anta</t>
  </si>
  <si>
    <t>Modernização do Sistema de Registro de Perturbações</t>
  </si>
  <si>
    <t>Substituição das bombas das unidades hidráulicas</t>
  </si>
  <si>
    <t>Substituição das dos equipamentos das 03 UGs</t>
  </si>
  <si>
    <t>Instalação de sistema de comunicação local - UHE Funil</t>
  </si>
  <si>
    <t>Implantação de sistema de comunicação e busca na árae industrial</t>
  </si>
  <si>
    <t>FGHI.0162</t>
  </si>
  <si>
    <t>Implantação de linha de vida - UHE Jaguari</t>
  </si>
  <si>
    <t>Atendimento as Normas da Segurança do Trabalho</t>
  </si>
  <si>
    <t>Modernização dos CLPs das UACs de supervisão e controle das Comportas de Emergência - PCH Anta</t>
  </si>
  <si>
    <t>Instalação de CITV  - UHE Jaguari</t>
  </si>
  <si>
    <t>Isnatalação de sistema de vigilância e monitoramento</t>
  </si>
  <si>
    <t>Modernização/Retrofit de tubulação na Casa de Força da UHE Marimbondo</t>
  </si>
  <si>
    <t>Substituição de parte das tubulações (galeria de drenagem) do sistema de ar de serviço (UC 385) por obsolescência - material e serviço</t>
  </si>
  <si>
    <t xml:space="preserve"> Modernização do CLP da UAC de supervisão e controle do Serviço Auxiliar - PCH Anta</t>
  </si>
  <si>
    <t xml:space="preserve">Modernização do CLP da UAC de supervisão e controle da Subestação - PCH Anta </t>
  </si>
  <si>
    <t>Obra- UHE Marimbondo - Vegetação de proteção da barragem de terra</t>
  </si>
  <si>
    <t xml:space="preserve">Recuperação da vegetação de cobertura conforme Relatório de Inspeção de Segurança Barragem </t>
  </si>
  <si>
    <t>Implantação de Sistema de Tratamento de Água - UHE Jaguari</t>
  </si>
  <si>
    <t>Implantação de ETA completa para atendimento das demandas da usina</t>
  </si>
  <si>
    <t>UHE Colíder - Obra - Cercamento da área industrial</t>
  </si>
  <si>
    <t>Construção de alambrados na área industrial</t>
  </si>
  <si>
    <t>Substituição da UPS da Sala de Controle - PCH Anta</t>
  </si>
  <si>
    <t>Modernização da Ponte Rolante - UHE Simplício</t>
  </si>
  <si>
    <t>Modernização dos equipamentos de içamento da usina</t>
  </si>
  <si>
    <t>Modernização do Pórtico Rolante do Tubo de Sucção - UHE Simplício</t>
  </si>
  <si>
    <t>Modernização do Pórtico Rolante da Tomada d`Água - UHE Simplício</t>
  </si>
  <si>
    <t>Instalação de CITV no VME</t>
  </si>
  <si>
    <t xml:space="preserve">Ampliação da cobertura de monitoramento da vigilância - UHE Simplício - </t>
  </si>
  <si>
    <t>Modernização de sistema de comunicação</t>
  </si>
  <si>
    <t>PCH Anta - Ampliação da cobertura de monitoramento da vigilância</t>
  </si>
  <si>
    <t>PCH Anta - Ampliação da cobertura de monitoramento das manobras da operação</t>
  </si>
  <si>
    <t>FGHI.0148</t>
  </si>
  <si>
    <t>UHE Itumbiara - Obra - Vegetação de proteção da barragem de terra</t>
  </si>
  <si>
    <t>Obra - Estabilização de taludes na área industrial</t>
  </si>
  <si>
    <t>Estabilização de taludes na via de acesso ao VME</t>
  </si>
  <si>
    <t>Automatização de Instrumentos  UHE Itumbiara.</t>
  </si>
  <si>
    <t>Automatização de Instrumentos de Monitoramento de Barragens – UHE Itumbiara.</t>
  </si>
  <si>
    <t>UHE Colíder - Obra -Reparos gerais para atendimento a recomendações de ISR</t>
  </si>
  <si>
    <t>Atendimentos dos requisitos da Segurança de Barragem - instalação e moderização de equipamentos diversos</t>
  </si>
  <si>
    <t>Implantar o projeto de construção das escadas metálicas e guardas-corpo nos acessos aos instrumentos de auscultação civil.</t>
  </si>
  <si>
    <t>FGHI.0147</t>
  </si>
  <si>
    <t>Obra- Estabilização de taludes na área industrial</t>
  </si>
  <si>
    <t>Instalação de tela no talude rochoso próxima a Casa de Força para contenção de blocos de rocha</t>
  </si>
  <si>
    <t>Instalação de nova instrumentação de auscultação nas galerias de drenagem das estruturas de concreto da UHE Corumbá.</t>
  </si>
  <si>
    <t>Instalação de novos piezômetros nas galerias de drenagem das estruturas de concreto da UHE Corumbá, conforme Nota técnica ja elaborada.</t>
  </si>
  <si>
    <t>Modernização dos tranformadores elevadores da UHE Funil</t>
  </si>
  <si>
    <t>Modernização de 04 transformadores</t>
  </si>
  <si>
    <t>Reforma das comportas de manutenção (STOP LOG)</t>
  </si>
  <si>
    <t>UHE Colíder - Obra - Instrumentação das estruturas civis</t>
  </si>
  <si>
    <t>FGHI.0128</t>
  </si>
  <si>
    <t>Melhoria e modernização dos terminais de leitura das células de carga instaladas na cortina atirantada da UHE Simplício</t>
  </si>
  <si>
    <t>Projeto e execução de modernização e melhoria dos terminais de leitura das referidas células de carga, conforme projeto contratado, com instalação de dataloggers, substituição do cabeamento e redirecionamento de rede para minimizar a geração de ruídos e perda de sinal, proporcionando maior confiabilidade nas leituras executadas.</t>
  </si>
  <si>
    <t>Modernização das válvulas dos Sistemas de Drenagem Parcial e Total das Unidades Geradoras</t>
  </si>
  <si>
    <t>Modernização do CLPs das UACs de supervisão e controle das Unidade Geradoras</t>
  </si>
  <si>
    <t>Substituição de parte das tubulações (galeria de drenagem) do sistema de água de alimentação (água de serviço - UC 365) por obsolescência - material e serviço</t>
  </si>
  <si>
    <t xml:space="preserve">Licença do Sistema de Gestão de Emergência – SYSDAM ALERT </t>
  </si>
  <si>
    <t xml:space="preserve"> Concessão da licença do Sistema de Gestão de Emergência – SYSDAM ALERT de 13 empredimentos da Operação Sudeste (PAE)</t>
  </si>
  <si>
    <t>UHE Corumbá - Substituição das vedações das comportas do vertedouro</t>
  </si>
  <si>
    <t>Substituição das vedações das comportas do vertedouro da UHE Corumbá devido ao tempo de vida útil das borrachas de vedação. Vazamentos de água nas comportas.</t>
  </si>
  <si>
    <t>UHE Itumbiara - Modernização dos compressores de ar de serviço</t>
  </si>
  <si>
    <t>Substituição dos compressores de ar de serviço da UHE Itumbiara. Compressores em final de vida útil, obsoletos e dificuldades de aquisição de peças reposição.</t>
  </si>
  <si>
    <t>Modernização dos indicadores digitais de instrumentação das UGs</t>
  </si>
  <si>
    <t>Modernização das 06 Unidades geradoras</t>
  </si>
  <si>
    <t>Ampliação e melhoria do sistema de drenagem profunda do pátio de manobras anexo à Casa de Força/Área de Montagem da UHE Itumbiara.</t>
  </si>
  <si>
    <t>UHE Colíder - Moderização do sistema de drenagem da galeria (bombeamento e tubulações)</t>
  </si>
  <si>
    <t>UHE Colíder - Modernização/ampliação do sistema de comunicação (rádio, telefonia)</t>
  </si>
  <si>
    <t>Obra - Adequação de instalações diversas</t>
  </si>
  <si>
    <t>Instalação de guard-rail em trechos das vias da área industrial</t>
  </si>
  <si>
    <t>Retrofit parcial das UAC's 1 e 2, com fornecimento de sobrerssalentes</t>
  </si>
  <si>
    <t>Modernização do sistema de ar de serviço da UHE Porto Colombia</t>
  </si>
  <si>
    <t>Aquisição de Retificadores - UHE Jaguari</t>
  </si>
  <si>
    <t>Atendimento de demandas de O&amp;M</t>
  </si>
  <si>
    <t>Modernização/Retrifit de compressores</t>
  </si>
  <si>
    <t>Substituição dos compressores (UC 385) da central de ar de regulação dos tanques de ar dos reguladores de velocidade da UHMR - obsolescência</t>
  </si>
  <si>
    <t>Revisão Periódica de Segurança de Barragem  - UHE Corumbá</t>
  </si>
  <si>
    <t>Contratação da Revisão de Segurança de Barragem da UHE Corumbá, serviços de engenharia e análise de risco</t>
  </si>
  <si>
    <t>Revisão Periódica de Segurança de Barragem  - UHE Serra da Mesa</t>
  </si>
  <si>
    <t>Contratação da Revisão de Segurança de Barragem da UHE Serra da Mesa, serviços de engenharia e Análise de Risco</t>
  </si>
  <si>
    <t>Revisão Periódica de Segurança de Barragem  - UHE Porto Colômbia</t>
  </si>
  <si>
    <t>Contratação da Revisão de Segurança de Barragem da UHE Porto Colômbia, serviços de engenharia e Análise de Risco</t>
  </si>
  <si>
    <t>Revisão Periódica de Segurança de Barragem  - UHE Funil</t>
  </si>
  <si>
    <t>Contratação da Revisão de Segurança de Barragem da UHE Funil, serviços de engenharia e Análise de Risco</t>
  </si>
  <si>
    <t>Revisão Periódica de Segurança de Barragem  - UHE Marimbondo</t>
  </si>
  <si>
    <t>Contratação da Revisão de Segurança de Barragem da UHE Marimbondo, serviços de engenharia e Análise de Risco</t>
  </si>
  <si>
    <t>Revisão Periódica de Segurança de Barragem  - UHE Itumbiara</t>
  </si>
  <si>
    <t>Contratação da Revisão de Segurança de Barragem da UHE Itumbiara, serviços de engenharia e Análise de risco</t>
  </si>
  <si>
    <t>Retrofit do sistema de controle da comporta de adução da UG01 / UG 02 / UG 03</t>
  </si>
  <si>
    <t xml:space="preserve">Retrofit do Sistema SPCI das UGs </t>
  </si>
  <si>
    <t>Modernização das 08 Unidades geradoras</t>
  </si>
  <si>
    <t>FGHI.0076</t>
  </si>
  <si>
    <t>Automatização de Instrumentos de Monitoramento de Barragens – UHE Batalha.</t>
  </si>
  <si>
    <t>Execução da Automatização de Instrumentos de Monitoramento de Barragens – UHE Batalha.</t>
  </si>
  <si>
    <t>Modernização da Linha de 13.8 K - Alimentação do VME.</t>
  </si>
  <si>
    <t>Modernização dos Sistema de partida dos motores dos ventiladores do Sistema de Ventilação da Casa de Força</t>
  </si>
  <si>
    <t>UHE Batalha - Sistema de Registro de Perturbações</t>
  </si>
  <si>
    <t>Aquisição de Sistema de Registro de Perturbações para instalação nas unidades geradoras de Batalha, que não possuem tal dispositivo.</t>
  </si>
  <si>
    <t>UHE Corumbá - Sistema de alimentação de emergência</t>
  </si>
  <si>
    <t>Substituição dos painéis de controle dos GMG's da usina e subestação da UHE Corumbá. Modernização do sistema que se encontra obsoleto e com equipamentos descontinuados, sem peças de reposição.</t>
  </si>
  <si>
    <t>UHE Manso - Obra - Construção de rampas de barcos</t>
  </si>
  <si>
    <t>Construção de rampas de acesso ao reservatório - Jusante / Montante</t>
  </si>
  <si>
    <t>Implantação da Sinalização Náutica - Reservatório</t>
  </si>
  <si>
    <t>Atendimento de requisitos da NORMAN -17 da Marinha do Brasil</t>
  </si>
  <si>
    <t>FGHI.0150</t>
  </si>
  <si>
    <t>Implantação da Sinalização Náutica - Reservatório - UHE Marimbondo</t>
  </si>
  <si>
    <t>FGHI.0154</t>
  </si>
  <si>
    <t>Implantação da Sinalização Náutica - Reservatório - Porto Colômbia</t>
  </si>
  <si>
    <t>FGHI.0146</t>
  </si>
  <si>
    <t>Implantação da Sinalização Náutica - Reservatório -  UHE Funil</t>
  </si>
  <si>
    <t>FGHI.0149</t>
  </si>
  <si>
    <t>Implantação da Sinalização Náutica - Reservatório -  UHE Jaguari</t>
  </si>
  <si>
    <t>Implantação da Sinalização Náutica - Reservatório - PCH Anta</t>
  </si>
  <si>
    <t>UHE Itumbiara - Implantação da Sinalização Náutica - Reservatório</t>
  </si>
  <si>
    <t>FGHI.0145</t>
  </si>
  <si>
    <t>UHE Corumbá - Implantação da Sinalização Náutica - Reservatório</t>
  </si>
  <si>
    <t>UHE Batalha - Implantação da Sinalização Náutica - Reservatório</t>
  </si>
  <si>
    <t>UHE Serra da Mesa - Implantação da Sinalização Náutica - Reservatório</t>
  </si>
  <si>
    <t>UHE Manso - Implantação da Sinalização Náutica - Reservatório</t>
  </si>
  <si>
    <t>UHE Colíder - Implantação da Sinalização Náutica - Reservatório</t>
  </si>
  <si>
    <t>UHE Colíder - Modernização do sistema de indicação de abertura das comportas do vertedouro</t>
  </si>
  <si>
    <t>Modernização dos sistema de medição de niveis do reservatorio e canal de fuga do UHE Porto Colômbia</t>
  </si>
  <si>
    <t>Modernização dos sistema de medição de niveis do reservatorio e canal de fuga do UHE Marimbondo</t>
  </si>
  <si>
    <t>Elaboração da especificação para contratação do serviço em 2025 Instalação de Piezometros e Medidores de vazão para atendimentos a recomendação de consultres no ambito da Revisão Periódica de Segurança de Barragens, em 2026</t>
  </si>
  <si>
    <t>Modernização do CLP da UAC de supervisão e controle da unidade hidráulica das Comportas de Emergência</t>
  </si>
  <si>
    <t xml:space="preserve">Modernização do CLP da UAC de supervisão e controle do Serviço Auxiliar </t>
  </si>
  <si>
    <t>Modernização do CLP da UAC de supervisão e controle da Subestação</t>
  </si>
  <si>
    <t>Modernização do sistema de iluminação da UHE Marimbondo</t>
  </si>
  <si>
    <t>Contratação de empresa para elaboração dos estudos de ruptura em cascata</t>
  </si>
  <si>
    <t>Elaboração dos estudos de ruptura em cascata da Bacia do Rio Paraná, englobando toda a cascata do Rio Grande e do Rio Paranaíba</t>
  </si>
  <si>
    <t>Trocadores de calor para os RV's</t>
  </si>
  <si>
    <t>Projeto de implantação de sistema de drenagem superficial à jusante da Barragem da UHE Corumbá</t>
  </si>
  <si>
    <t>Contratação de Projeto para levantamento topográfico e elaboração de projeto, quantitativos e orçamentação para execução de sistema de drenagem na região de jusante da Barragem da UHE Corumbá</t>
  </si>
  <si>
    <t>UHE Batalha - Melhoria estrutura civil casa força</t>
  </si>
  <si>
    <t>Instalação de acesso as estruturas civis da UHE Batalha (cobertura da casa de força, calha do vertedouro e equipamentos de instrumentação) Falta de acesso a estruturas dificultando manutenções das instalações prediais</t>
  </si>
  <si>
    <t>Aquisição de dispositivo para avaliação da calibração  de inclinômetro - UHE Serra da Mesa</t>
  </si>
  <si>
    <t>Aquisição de equipamento para avaliar a calibração de fábrica do inclinômetro</t>
  </si>
  <si>
    <t>Modernização dos CLPs das UACs de supervisão e controle das Comportas de Emergência</t>
  </si>
  <si>
    <t>DIVERSOS</t>
  </si>
  <si>
    <t>DIVERSOS - Modernização do sistema de monitoramento por câmera das usinas da Operação Sudeste</t>
  </si>
  <si>
    <t>Manutenção no sistema visando melhoria da confiabilidade</t>
  </si>
  <si>
    <t>DIVERSAS</t>
  </si>
  <si>
    <t>UHE Itumbiara - Construção de caixa separadora água e óleo</t>
  </si>
  <si>
    <t>Construção de caixa separadora - esgotamento da usina-UHE Itumbiara</t>
  </si>
  <si>
    <t>Contratação de empresa para elaboração de projeto e executar a instalação dos novos piezômetros nas galerias de drenagem das estruturas de concreto da UHE Porto Marimbondo.</t>
  </si>
  <si>
    <t>Instalação de novos piezômetros nas galerias de drenagem das estruturas de concreto da UHE Marimbondo.</t>
  </si>
  <si>
    <t>Contratação de empresa para elaboração de projeto e executar a instalação dos novos piezômetros nas galerias de drenagem das estruturas de concreto da UHE Porto Colômbia.</t>
  </si>
  <si>
    <t>Instalação de novos piezômetros nas galerias de drenagem das estruturas de concreto da UHE Porto Colombia.</t>
  </si>
  <si>
    <t>FGSM.0015</t>
  </si>
  <si>
    <t>Licença e implantação do Sistema de Gestão de Emergências SYSDAM ALERT, em conformidade com o Plano de Ação de Emergência (PAE) da UHE Jaguari</t>
  </si>
  <si>
    <t>UHE Jaguari</t>
  </si>
  <si>
    <t>Substituição de 04 tanques acumuladores do sistema de ar contra cavitação e instabilidade hidráulica.</t>
  </si>
  <si>
    <t>Perda de eficiência do sistema de ar contra cavitação e instabilidade com resultante deterioração acentuada da turbina do gerador por processo cavitacional com necessidade de longas paradas para recuperação.</t>
  </si>
  <si>
    <t>Ampliação da cobertura de monitoramento das manobras da operação - UHE Simplício</t>
  </si>
  <si>
    <t>Substituição dos compressores ARCAV-05 e ARCAV-06  do sistema de ar contra cavitação e instabilidade hidráulica.</t>
  </si>
  <si>
    <t>Modernização dos Sistemas de partida das bombas dos poços de Drenagem e Esvaziamento.</t>
  </si>
  <si>
    <t>Automatização de Instrumentos  UHE  Serra da Mesa</t>
  </si>
  <si>
    <t>Automatização de Instrumentos de Instrumentação de Auscultação Civil de Segurança de Barrages - UHE Serra da Mesa</t>
  </si>
  <si>
    <t>Sim</t>
  </si>
  <si>
    <r>
      <rPr>
        <b/>
        <sz val="8"/>
        <color rgb="FFFF0000"/>
        <rFont val="Calibri"/>
        <family val="2"/>
        <scheme val="minor"/>
      </rPr>
      <t xml:space="preserve">OBRIGATÓRIA:
</t>
    </r>
    <r>
      <rPr>
        <b/>
        <sz val="8"/>
        <rFont val="Calibri"/>
        <family val="2"/>
        <scheme val="minor"/>
      </rPr>
      <t>1.</t>
    </r>
    <r>
      <rPr>
        <b/>
        <sz val="8"/>
        <color rgb="FFFF0000"/>
        <rFont val="Calibri"/>
        <family val="2"/>
        <scheme val="minor"/>
      </rPr>
      <t xml:space="preserve"> </t>
    </r>
    <r>
      <rPr>
        <b/>
        <sz val="8"/>
        <color theme="1"/>
        <rFont val="Calibri"/>
        <family val="2"/>
        <scheme val="minor"/>
      </rPr>
      <t xml:space="preserve"> Indicar o número do coletor PEP ou OI. 
2. NÃO informar PEP que não esteja aberto no SAP.
3. TRANSMISSÃO:  informação deve ser considerada uma
linha para cada código SGPMR (nesse caso, repetir o PEP).</t>
    </r>
  </si>
  <si>
    <t>OOMI.C</t>
  </si>
  <si>
    <t>CAMPOS EXTRAS INFRAESTRUTURA</t>
  </si>
  <si>
    <t>Demanda Candidata 2025</t>
  </si>
  <si>
    <t>PE 2025-2029</t>
  </si>
  <si>
    <t>Dados Complementares - Análise Investimentos TI</t>
  </si>
  <si>
    <t>Descrição do Projeto / Descrição da Ação</t>
  </si>
  <si>
    <t>Código Projeto OOIV</t>
  </si>
  <si>
    <t>Centro Financeiro</t>
  </si>
  <si>
    <t>Item Financeiro</t>
  </si>
  <si>
    <t>Pacote</t>
  </si>
  <si>
    <t>Subpacote</t>
  </si>
  <si>
    <t>Ativos</t>
  </si>
  <si>
    <t>Técnico</t>
  </si>
  <si>
    <t>Estratégico</t>
  </si>
  <si>
    <t>Área de Aplicação da Demanda</t>
  </si>
  <si>
    <t>ID EV</t>
  </si>
  <si>
    <t>Nome do Projeto/Contratação</t>
  </si>
  <si>
    <t>Meta Associada</t>
  </si>
  <si>
    <t>Contratação</t>
  </si>
  <si>
    <t>Número do Pedido</t>
  </si>
  <si>
    <t>Prioridade</t>
  </si>
  <si>
    <t>Observação</t>
  </si>
  <si>
    <t>Orçado 2026 (PE25-29)</t>
  </si>
  <si>
    <t>Orçado 2026 (PE26-30)</t>
  </si>
  <si>
    <t>Dif</t>
  </si>
  <si>
    <t>Orçado 26/30 (PE25-29)</t>
  </si>
  <si>
    <t>Orçado 26/30 (PE26-30)</t>
  </si>
  <si>
    <t>Dif2</t>
  </si>
  <si>
    <t>Dif2 %</t>
  </si>
  <si>
    <t>Capex Orcamentário_PE2026_2030_COO (Consolidada).xlsx</t>
  </si>
  <si>
    <t>COO_161</t>
  </si>
  <si>
    <t>MH.6002</t>
  </si>
  <si>
    <t>Substituição de bancos de baterias para diversas usinas da Chesf</t>
  </si>
  <si>
    <t>Eletromecânica</t>
  </si>
  <si>
    <t>Diversos</t>
  </si>
  <si>
    <t>OOMG.C</t>
  </si>
  <si>
    <t>CHSF.00001</t>
  </si>
  <si>
    <t>Substituição de bancos de baterias para as UHE's Sobradinho, Boa Esperança e Paulo Afonso II</t>
  </si>
  <si>
    <t>Fabio Duarte de Menezes</t>
  </si>
  <si>
    <t>COO_175</t>
  </si>
  <si>
    <t>Implantação de sistema de monitoramento das unidades geradoras de diversas usinas da Chesf</t>
  </si>
  <si>
    <t>CHSF.00002</t>
  </si>
  <si>
    <t>Leonardo Marques Camelo de Almeida</t>
  </si>
  <si>
    <t>COO_152</t>
  </si>
  <si>
    <t>Implantação de sistema de monitoramento de vibração das usinas eólicas da Chesf</t>
  </si>
  <si>
    <t>CHSF.00003</t>
  </si>
  <si>
    <t>Implantação de sistema de monitoramento de vibração de todas as usinas eólicas da Chesf</t>
  </si>
  <si>
    <t>André Emanoel Poroca Lins</t>
  </si>
  <si>
    <t>COO_160</t>
  </si>
  <si>
    <t>Modernização do sistema de iluminação de diversas usinas da Chesf</t>
  </si>
  <si>
    <t>CHSF.00004</t>
  </si>
  <si>
    <t>COO_153</t>
  </si>
  <si>
    <t>Aquisição de equipamentos para composição de reserva técnica de diversas usinas da Chesf</t>
  </si>
  <si>
    <t>CHSF.00005</t>
  </si>
  <si>
    <t>Fernando Xavier da Silva</t>
  </si>
  <si>
    <t>COO_162</t>
  </si>
  <si>
    <t>Substituição de computadores para o sistema digital da UHE Boa Esperança</t>
  </si>
  <si>
    <t>UHE Boa Esperança</t>
  </si>
  <si>
    <t>CHSF.00006</t>
  </si>
  <si>
    <t>Rubem Danilo Rezende Soares</t>
  </si>
  <si>
    <t>COO_168</t>
  </si>
  <si>
    <t>Substituição de relés de temperatura e sobrecorrente da UHE Boa Esperança</t>
  </si>
  <si>
    <t>CHSF.00007</t>
  </si>
  <si>
    <t>COO_176</t>
  </si>
  <si>
    <t>Substituição dos trocadores de calor do mancal combinado da UHE Boa Esperança</t>
  </si>
  <si>
    <t>CHSF.00008</t>
  </si>
  <si>
    <t>Joaquim Jorge Franca da Silva</t>
  </si>
  <si>
    <t>COO_158</t>
  </si>
  <si>
    <t>Modernização do sistema de detecção e alarme de incêndio da UHE Boa Esperança</t>
  </si>
  <si>
    <t>CHSF.00009</t>
  </si>
  <si>
    <t>COO_170</t>
  </si>
  <si>
    <t>Modernização dos elevadores da casa de força da UHE Xingó</t>
  </si>
  <si>
    <t>CHSF.00010</t>
  </si>
  <si>
    <t>COO_156</t>
  </si>
  <si>
    <t>Substituição/Implantação de exaustores paras as UHEs Paulo Afonso I e Xingó</t>
  </si>
  <si>
    <t>CHSF.00011</t>
  </si>
  <si>
    <t>COO_147</t>
  </si>
  <si>
    <t>Modernização dos painéis de controle dos geradores da UHE Paulo Afonso I</t>
  </si>
  <si>
    <t>UHE Paulo Afonso I</t>
  </si>
  <si>
    <t>CHSF.00012</t>
  </si>
  <si>
    <t>Hormisdas Cavalcanti Franco</t>
  </si>
  <si>
    <t>COO_157</t>
  </si>
  <si>
    <t>Substituição de compressores do RV para a UHE Paulo Afonso I</t>
  </si>
  <si>
    <t>CHSF.00013</t>
  </si>
  <si>
    <t>Arthur Guilherme Félix de Andrade Lira</t>
  </si>
  <si>
    <t>COO_159</t>
  </si>
  <si>
    <t>Substituição do rotor e anéis de desgaste da turbina da 01G5 da UHE Paulo Afonso II</t>
  </si>
  <si>
    <t>UHE Paulo Afonso II</t>
  </si>
  <si>
    <t>CHSF.00014</t>
  </si>
  <si>
    <t>Winter Sousa Freire</t>
  </si>
  <si>
    <t>COO_169</t>
  </si>
  <si>
    <t>Substituição do rotor e anéis de desgaste da turbina da 01G4 da UHE Paulo Afonso II</t>
  </si>
  <si>
    <t>CHSF.00015</t>
  </si>
  <si>
    <t>COO_154</t>
  </si>
  <si>
    <t>Instalação de elevador cremalheira no extravasor da UHE Sobradinho</t>
  </si>
  <si>
    <t>CHSF.00016</t>
  </si>
  <si>
    <t>Marcelo Rosa Nogueira</t>
  </si>
  <si>
    <t>COO_165</t>
  </si>
  <si>
    <t>Implantação de sistema de resfriamento do regulador de velocidade na PCH Pedra</t>
  </si>
  <si>
    <t>PCH Pedra</t>
  </si>
  <si>
    <t>CHSF.00017</t>
  </si>
  <si>
    <t>Jorge Evangelista Guedes Filho</t>
  </si>
  <si>
    <t>COO_164</t>
  </si>
  <si>
    <t>Modernização da automação e controle do sistema de drenagem da UHE Luiz Gonzaga</t>
  </si>
  <si>
    <t>CHSF.00018</t>
  </si>
  <si>
    <t>Luis Gustavo Medeiros Rolim</t>
  </si>
  <si>
    <t>COO_155</t>
  </si>
  <si>
    <t>Substituição dos transformadores reguladores de tensão trifásicos 10 MVA 16/13,8 kV (incluindo adequação civil das suas bases) da UHE Luiz Gonzaga</t>
  </si>
  <si>
    <t>CHSF.00019</t>
  </si>
  <si>
    <t>Retirado do escopo da modernização VEE</t>
  </si>
  <si>
    <t>COO_151</t>
  </si>
  <si>
    <t>Substituição do grupo gerador de emergência do sistema do vertedouro da UHE Luiz Gonzaga</t>
  </si>
  <si>
    <t>CHSF.00020</t>
  </si>
  <si>
    <t>Frederico Guilherme Gondim Pimentel</t>
  </si>
  <si>
    <t>COO_146</t>
  </si>
  <si>
    <t>Modernização do sistema de ventilação da UHE Luiz Gonzaga</t>
  </si>
  <si>
    <t>CHSF.00021</t>
  </si>
  <si>
    <t>COO_163</t>
  </si>
  <si>
    <t>Modernização do sistema de acionamento das coberturas metálicas (tampas) da casa de força da UHE Luiz Gonzaga</t>
  </si>
  <si>
    <t>CHSF.00022</t>
  </si>
  <si>
    <t>COO_149</t>
  </si>
  <si>
    <t>Modernização do sistema de proteção contra incêndio dos transformadores elevadores e reguladores da UHE Luiz Gonzaga</t>
  </si>
  <si>
    <t>CHSF.00023</t>
  </si>
  <si>
    <t>COO_171</t>
  </si>
  <si>
    <t>Construção civil de edificação para apoio operacional, incluindo a reforma dos banheiros, na UHE Luiz Gonzaga</t>
  </si>
  <si>
    <t>Civil - Geração</t>
  </si>
  <si>
    <t>OOMB.C</t>
  </si>
  <si>
    <t>CHSF.00024</t>
  </si>
  <si>
    <t>Patrícia Neves Silva</t>
  </si>
  <si>
    <t>COO_172</t>
  </si>
  <si>
    <t>Modernização dos sistemas de tratamento de água e de esgoto da UHE Luiz Gonzaga</t>
  </si>
  <si>
    <t>CHSF.00025</t>
  </si>
  <si>
    <t>COO_166</t>
  </si>
  <si>
    <t>Implantação de estruturas de proteção de acesso das barragens das UHEs Luiz Gonzaga e Sobradinho e da PCH Funil</t>
  </si>
  <si>
    <t>CHSF.00026</t>
  </si>
  <si>
    <t>COO_167</t>
  </si>
  <si>
    <t>Substituição da cobertura da casa de força da UHE Apolônio Sales</t>
  </si>
  <si>
    <t>UHE Apolônio Sales</t>
  </si>
  <si>
    <t>CHSF.00027</t>
  </si>
  <si>
    <t>COO_173</t>
  </si>
  <si>
    <t>Implantação do sistema de drenagem da cobertura (abóboda) da casa de força da UHE Paulo Afonso III</t>
  </si>
  <si>
    <t>UHE Paulo Afonso III</t>
  </si>
  <si>
    <t>CHSF.00028</t>
  </si>
  <si>
    <t>COO_174</t>
  </si>
  <si>
    <t>Reforço estrutural das bases dos aerogeradores da EOL Casa Nova A</t>
  </si>
  <si>
    <t>UEE Casa Nova A</t>
  </si>
  <si>
    <t>CHSF.00029</t>
  </si>
  <si>
    <t>COO_148</t>
  </si>
  <si>
    <t>Substituição de 02 servomotores do regulador de velocidades da UHE Boa Esperança</t>
  </si>
  <si>
    <t>CHSF.00030</t>
  </si>
  <si>
    <t>COO_150</t>
  </si>
  <si>
    <t>Substituição da tubulação de água da galeria de registros da UHE Sobradinho</t>
  </si>
  <si>
    <t>CHSF.00031</t>
  </si>
  <si>
    <t>Leonardo Pinheiro de Souza</t>
  </si>
  <si>
    <t>COO_178</t>
  </si>
  <si>
    <t>Instalação de 01 compressor adicional e modernização do painel de supervisão e controle do QA1, para o sistema de ar comprimido de uso geral da UHE Xingó</t>
  </si>
  <si>
    <t>COO0122</t>
  </si>
  <si>
    <t>Fabio Gualberto Chagas Santos</t>
  </si>
  <si>
    <t>COO_179</t>
  </si>
  <si>
    <t>Substituição dos equipamentos do sistema de exaustão da UHE Xingó</t>
  </si>
  <si>
    <t>COO0209</t>
  </si>
  <si>
    <t>COO_180</t>
  </si>
  <si>
    <t>Aquisição do Caminho Rolamento do Pórtico Móvel da UHE Sobradinho</t>
  </si>
  <si>
    <t>COO0087</t>
  </si>
  <si>
    <t>COO_181</t>
  </si>
  <si>
    <t>Aquisição de 02 retificadores para a PCH Funil</t>
  </si>
  <si>
    <t>PCH Funil</t>
  </si>
  <si>
    <t>COO0090</t>
  </si>
  <si>
    <t>COO_182</t>
  </si>
  <si>
    <t>Aquisição de 02 retificadores para a PCH Pedra</t>
  </si>
  <si>
    <t>COO0091</t>
  </si>
  <si>
    <t>COO_183</t>
  </si>
  <si>
    <t>Aquisição da Interface Homem-Máquina do sistema supervisório da PCH Pedra</t>
  </si>
  <si>
    <t>COO0097</t>
  </si>
  <si>
    <t>COO_184</t>
  </si>
  <si>
    <t>Aquisição de resfriadores de ar dos geradores para reserva técnica de usinas da Chesf</t>
  </si>
  <si>
    <t>COO0098</t>
  </si>
  <si>
    <t>Aquisição de resfriadores de ar dos geradores para diversas usinas da Chesf</t>
  </si>
  <si>
    <t>Rogerio Adriano da Fonseca Santiago</t>
  </si>
  <si>
    <t>COO_185</t>
  </si>
  <si>
    <t>Aquisição de sistema de filtragem de óleo dos reguladores de velocidade de diversas usinas da Chesf</t>
  </si>
  <si>
    <t>COO0099</t>
  </si>
  <si>
    <t>COO_186</t>
  </si>
  <si>
    <t>Aquisição de válvulas do sistema de água industrial da UHE Luiz Gonzaga</t>
  </si>
  <si>
    <t>COO0100</t>
  </si>
  <si>
    <t>COO_187</t>
  </si>
  <si>
    <t>Expansão da rede de fibra óptica do EOL Pindaí</t>
  </si>
  <si>
    <t>COO0101</t>
  </si>
  <si>
    <t>COO_188</t>
  </si>
  <si>
    <t>Implantação dos sistemas de drenagem das plataformas da EOL GPEXPAN</t>
  </si>
  <si>
    <t>COO0103</t>
  </si>
  <si>
    <t>COO_189</t>
  </si>
  <si>
    <t>Implantação dos sistemas de drenagem das plataformas da EOL Casa Nova A</t>
  </si>
  <si>
    <t>COO0104</t>
  </si>
  <si>
    <t>COO_190</t>
  </si>
  <si>
    <t>Implantação de elevadores na UHE Boa Esperança e PCH Funil</t>
  </si>
  <si>
    <t>COO0110</t>
  </si>
  <si>
    <t>COO_191</t>
  </si>
  <si>
    <t>Substituição do sistema de grades de retenção na tomada d'água das UHE Paulo Afonso I e III</t>
  </si>
  <si>
    <t>COO0111</t>
  </si>
  <si>
    <t>COO_192</t>
  </si>
  <si>
    <t>Substituição das bombas do sistema de drenagem e esgotamento de diversas usinas da Chesf</t>
  </si>
  <si>
    <t>COO0112</t>
  </si>
  <si>
    <t>COO_193</t>
  </si>
  <si>
    <t>Substituição de um Gerador Diesel de Emergência para a UHE Apolônio Sales</t>
  </si>
  <si>
    <t>COO0115</t>
  </si>
  <si>
    <t>COO_194</t>
  </si>
  <si>
    <t>Implantação do sistema de rebaixamento da UHE Xingó</t>
  </si>
  <si>
    <t>COO0116</t>
  </si>
  <si>
    <t>COO_195</t>
  </si>
  <si>
    <t>Aquisição de transformadores elevadores para diversas usinas Chesf</t>
  </si>
  <si>
    <t>COO0118</t>
  </si>
  <si>
    <t>Natasha Benjamim Barbosa</t>
  </si>
  <si>
    <t>COO_196</t>
  </si>
  <si>
    <t>UH.6015</t>
  </si>
  <si>
    <t>Implantação de 06 Postos Hidrométricos de Calha de Rio</t>
  </si>
  <si>
    <t>Automação</t>
  </si>
  <si>
    <t>OOPM.C</t>
  </si>
  <si>
    <t>COO0119</t>
  </si>
  <si>
    <t>Joenildo Cesar Bezerra Ferreira</t>
  </si>
  <si>
    <t>COO_197</t>
  </si>
  <si>
    <t>Implantação de sistema indicador de posição das comportas do vertedouro da UHE Xingó</t>
  </si>
  <si>
    <t>COO0120</t>
  </si>
  <si>
    <t>COO_198</t>
  </si>
  <si>
    <t>Implantação de sistema indicador de posição das comporta do vertedouro da PCH Pedra</t>
  </si>
  <si>
    <t>COO0121</t>
  </si>
  <si>
    <t>COO_199</t>
  </si>
  <si>
    <t>Substituição do sistema de vedação do distribuidor da UHE Xingó</t>
  </si>
  <si>
    <t>COO0124</t>
  </si>
  <si>
    <t>COO_200</t>
  </si>
  <si>
    <t>Implantação de sistemas de limpa-grade na tomada d'água das UHE Paulo Afonso I e II</t>
  </si>
  <si>
    <t>COO0125</t>
  </si>
  <si>
    <t>Implantação de sistemas de limpa-grade na tomada d'água das UHE Paulo Afonso I e III</t>
  </si>
  <si>
    <t>COO_201</t>
  </si>
  <si>
    <t>Implantação de operação teleassistida da UHE Boa Esperança</t>
  </si>
  <si>
    <t>COO0126</t>
  </si>
  <si>
    <t>COO_202</t>
  </si>
  <si>
    <t>Modernização do sistema de detecção de inundação de diversas usinas da Chesf</t>
  </si>
  <si>
    <t>COO0129</t>
  </si>
  <si>
    <t>Monnik Cassia de Oliveira</t>
  </si>
  <si>
    <t>COO_203</t>
  </si>
  <si>
    <t>Implantação de sistema de detecção de umidade no air housing (gerador) de diversas usinas da Chesf</t>
  </si>
  <si>
    <t>COO0130</t>
  </si>
  <si>
    <t>COO_204</t>
  </si>
  <si>
    <t>Implantação do sistema de fechamento de emergência das comportas da UHE Paulo Afonso I</t>
  </si>
  <si>
    <t>COO0131</t>
  </si>
  <si>
    <t>Luciano Teixeira Alves</t>
  </si>
  <si>
    <t>COO_205</t>
  </si>
  <si>
    <t>Implantação de sistema de injeção química na UHE Boa Esperança</t>
  </si>
  <si>
    <t>COO0132</t>
  </si>
  <si>
    <t>COO_206</t>
  </si>
  <si>
    <t>Implantação de sistema de separação água/óleo dos poços de drenagem da UHE.</t>
  </si>
  <si>
    <t>COO0133</t>
  </si>
  <si>
    <t>Elerson Carlos da Silva</t>
  </si>
  <si>
    <t>COO_207</t>
  </si>
  <si>
    <t>Modernização da estação de tratamento de água (ETA) da PCH Pedra</t>
  </si>
  <si>
    <t>COO0138</t>
  </si>
  <si>
    <t>COO_208</t>
  </si>
  <si>
    <t>Modernização da estação de tratamento de água (ETA) da UHE Xingó</t>
  </si>
  <si>
    <t>COO0139</t>
  </si>
  <si>
    <t>COO_209</t>
  </si>
  <si>
    <t>Modernização do sistema de iluminação das UHE Paulo Afonso I, II, III e UHE Apolônio Sales</t>
  </si>
  <si>
    <t>COO0140</t>
  </si>
  <si>
    <t>COO_210</t>
  </si>
  <si>
    <t>Modernização de Postos de diversas usinas da Chesf</t>
  </si>
  <si>
    <t>COO0145</t>
  </si>
  <si>
    <t>COO_211</t>
  </si>
  <si>
    <t>COO0150</t>
  </si>
  <si>
    <t>COO_212</t>
  </si>
  <si>
    <t>Modernização do sistema de frenagem da UHE Boa esperança</t>
  </si>
  <si>
    <t>COO0152</t>
  </si>
  <si>
    <t>COO_213</t>
  </si>
  <si>
    <t>Modernização do sistema de alimentação do Vertedouro e Tomada d'água da UHE Xingó</t>
  </si>
  <si>
    <t>COO0155</t>
  </si>
  <si>
    <t>COO_214</t>
  </si>
  <si>
    <t>Modernização dos reguladores de velocidade das usinas Paulo Afonso I, II e III</t>
  </si>
  <si>
    <t>COO0156</t>
  </si>
  <si>
    <t>Rodrigo Ferreira de Melo Silva</t>
  </si>
  <si>
    <t>COO_215</t>
  </si>
  <si>
    <t>Modernização do sistema de proteção contra incêndio dos geradores de diversas usinas da Chesf</t>
  </si>
  <si>
    <t>COO0157</t>
  </si>
  <si>
    <t>COO_216</t>
  </si>
  <si>
    <t>Modernização de vertedouros das diversas usinas da Chesf</t>
  </si>
  <si>
    <t>COO0158</t>
  </si>
  <si>
    <t>COO_217</t>
  </si>
  <si>
    <t>UH.6011</t>
  </si>
  <si>
    <t>Modernização eletromecânica da PCH Funil</t>
  </si>
  <si>
    <t>COO0159</t>
  </si>
  <si>
    <t>COO_218</t>
  </si>
  <si>
    <t>Modernização da UHE Paulo Afonso III</t>
  </si>
  <si>
    <t>COO0160</t>
  </si>
  <si>
    <t>Rogerio Jose Aureliano da Rocha</t>
  </si>
  <si>
    <t>COO_219</t>
  </si>
  <si>
    <t>Modernização Postos Calhas de Rio (Grupo 2)</t>
  </si>
  <si>
    <t>COO0162</t>
  </si>
  <si>
    <t>COO_220</t>
  </si>
  <si>
    <t>Aquisição das válvulas de by-bass da caixa espiral e tubo de Sucção da UHE Xingó</t>
  </si>
  <si>
    <t>COO0164</t>
  </si>
  <si>
    <t>COO_221</t>
  </si>
  <si>
    <t>HSED.0005</t>
  </si>
  <si>
    <t>Adequação às NRs das instalações das usinas da Chesf - Projeto Previnir+</t>
  </si>
  <si>
    <t>Requisitos legais</t>
  </si>
  <si>
    <t>GRPSC</t>
  </si>
  <si>
    <t>COO0167</t>
  </si>
  <si>
    <t>Tiago de Medeiros Balensifer</t>
  </si>
  <si>
    <t>COO_222</t>
  </si>
  <si>
    <t>Modernização dos reguladores de tensão das diversas usinas da Chesf</t>
  </si>
  <si>
    <t>COO0171</t>
  </si>
  <si>
    <t>Bernardo Vitor Brito Barros</t>
  </si>
  <si>
    <t>COO_223</t>
  </si>
  <si>
    <t>Modernização do sistema de drenagem dos taludes da EOL Pindaí</t>
  </si>
  <si>
    <t>COO0172</t>
  </si>
  <si>
    <t>COO_224</t>
  </si>
  <si>
    <t>MS.6002</t>
  </si>
  <si>
    <t>Modernização dos equipamentos de SE da UHE.</t>
  </si>
  <si>
    <t>Subestação</t>
  </si>
  <si>
    <t>OOMS.C</t>
  </si>
  <si>
    <t>COO0174</t>
  </si>
  <si>
    <t>Modernização dos equipamentos de SE da UHE.
- Subsituição de 4 seccionadores na SE UBE (2026 - 2027) - R$ 1.812.677,77
- Contigência 2026 - R$ 362.976,24 (Baseado nos 7 primeiros meses de 2025);
- Subsituição de 4 seccionadores na SE UAS Aditivo GE (provável) - R$ 1.812.677,77</t>
  </si>
  <si>
    <t>Charlles de Souza Marinho</t>
  </si>
  <si>
    <t>COO_225</t>
  </si>
  <si>
    <t>Modernização das unidades hidráulicas das comporta da PCH Pedra</t>
  </si>
  <si>
    <t>COO0176</t>
  </si>
  <si>
    <t>COO_226</t>
  </si>
  <si>
    <t>Modernização de 02 transformadores do serviço auxiliar da UHE Boa Esperança</t>
  </si>
  <si>
    <t>COO0179</t>
  </si>
  <si>
    <t>COO_227</t>
  </si>
  <si>
    <t>Modernização do sistema de esgotamento da UHE Paulo Afonso III</t>
  </si>
  <si>
    <t>COO0180</t>
  </si>
  <si>
    <t>COO_228</t>
  </si>
  <si>
    <t>Modernização do sistema de ventilação e exaustão da UHE Paulo Afonso II</t>
  </si>
  <si>
    <t>COO0182</t>
  </si>
  <si>
    <t>COO_229</t>
  </si>
  <si>
    <t>Modernização dos motofreios das comportas tomada d'água da UHE Boa Esperança</t>
  </si>
  <si>
    <t>COO0187</t>
  </si>
  <si>
    <t>COO_230</t>
  </si>
  <si>
    <t>Modernização dos motores das comportas das PCH Pedra</t>
  </si>
  <si>
    <t>COO0188</t>
  </si>
  <si>
    <t>COO_231</t>
  </si>
  <si>
    <t>Modernização do sistema de drenagem da PCH Funil</t>
  </si>
  <si>
    <t>COO0191</t>
  </si>
  <si>
    <t>COO_232</t>
  </si>
  <si>
    <t>Modernização do sistema de enchimento do adutor da PCH Funil</t>
  </si>
  <si>
    <t>COO0192</t>
  </si>
  <si>
    <t>COO_233</t>
  </si>
  <si>
    <t>Modernização das barras estatóricas das UG08 e UG09 da UHE Paulo Afonso II</t>
  </si>
  <si>
    <t>COO0195</t>
  </si>
  <si>
    <t>COO_234</t>
  </si>
  <si>
    <t>Implantação do sistema de injeção química para combate ao mexilhão dourado na UHE Luiz Gonzaga</t>
  </si>
  <si>
    <t>COO0203</t>
  </si>
  <si>
    <t>COO_235</t>
  </si>
  <si>
    <t>Modernização de 02 transformadores reguladores para UHE Sobradinho</t>
  </si>
  <si>
    <t>COO0205</t>
  </si>
  <si>
    <t>COO_236</t>
  </si>
  <si>
    <t>Modernização do sistema de controle AUX1 e AUX2 da UHE Boa Esperança</t>
  </si>
  <si>
    <t>COO0206</t>
  </si>
  <si>
    <t>COO_237</t>
  </si>
  <si>
    <t>Modernização do sistema de ventilação da UHE Xingó</t>
  </si>
  <si>
    <t>COO0210</t>
  </si>
  <si>
    <t>COO_238</t>
  </si>
  <si>
    <t>Adequação da cobertura das instalações do Complexo Paulo Afonso</t>
  </si>
  <si>
    <t>COO0212</t>
  </si>
  <si>
    <t>COO_239</t>
  </si>
  <si>
    <t>Modernização do sistema de ventilação da UHE  Boa Esperança</t>
  </si>
  <si>
    <t>COO0225</t>
  </si>
  <si>
    <t>COO_243</t>
  </si>
  <si>
    <t>Substituição de painéis da UA das unidades geradoras 7, 8 e 9 da UHE Paulo Afonso II</t>
  </si>
  <si>
    <t>COO0190</t>
  </si>
  <si>
    <t>COO_177</t>
  </si>
  <si>
    <t>MH.6001</t>
  </si>
  <si>
    <t>Melhorias dos diques e barragens da USQ</t>
  </si>
  <si>
    <t>Civil - Segurança de barragem</t>
  </si>
  <si>
    <t>UHE Paulo Afonso IV</t>
  </si>
  <si>
    <t>COO0136</t>
  </si>
  <si>
    <t>COO_240</t>
  </si>
  <si>
    <t>Melhoria das Instalações de UXG- Melhoria no acesso e  drenagem dos diques 3 e 4</t>
  </si>
  <si>
    <t>COO0123</t>
  </si>
  <si>
    <t>COO_241</t>
  </si>
  <si>
    <t>Melhoria das Instalações de UXG-Sistema de iluminação nos túneis 1, 2, 3 e 4.</t>
  </si>
  <si>
    <t>COO0127</t>
  </si>
  <si>
    <t>COO_242</t>
  </si>
  <si>
    <t>Implantação Sistema de Auscultação  de barragens em diversas usinas</t>
  </si>
  <si>
    <t>ver observações</t>
  </si>
  <si>
    <t>Agrupamento dos projetos COO0215, COO0217, COO0218, COO0220, COO0222, COO0223 e COO0224 do PE 2025-2029</t>
  </si>
  <si>
    <t>COO_244</t>
  </si>
  <si>
    <t>Melhorias e Adequações na barragem da UHE Luiz Gonzaga</t>
  </si>
  <si>
    <t>COO0137</t>
  </si>
  <si>
    <t>COO_245</t>
  </si>
  <si>
    <t>Sinalização Náutica para diversas usinas</t>
  </si>
  <si>
    <t>COO0216</t>
  </si>
  <si>
    <t>COO_246</t>
  </si>
  <si>
    <t>Proteção das encostas laterais a Barragem de UFL e UPE</t>
  </si>
  <si>
    <t>COO0219</t>
  </si>
  <si>
    <t>COO_247</t>
  </si>
  <si>
    <t>HGHI.0012</t>
  </si>
  <si>
    <t>Projeto Domus - Automatização de instrumentação das Usinas Paulo Afonso I, II e III</t>
  </si>
  <si>
    <t>Holding</t>
  </si>
  <si>
    <t>COO_344</t>
  </si>
  <si>
    <t>HGHI.0006</t>
  </si>
  <si>
    <t>SEGREGAÇÃO DE REDES - USINAS</t>
  </si>
  <si>
    <t>OOPT.C</t>
  </si>
  <si>
    <t>COO0095</t>
  </si>
  <si>
    <t>Aquisição de Switches Industriais para segregação das redes em Usinas</t>
  </si>
  <si>
    <t>COO_347</t>
  </si>
  <si>
    <t>HSTC.0003</t>
  </si>
  <si>
    <t>MUX SDH - FASE 3 -USINAS</t>
  </si>
  <si>
    <t>COO0166</t>
  </si>
  <si>
    <t>Aquisição de MUX SDH para Usinas</t>
  </si>
  <si>
    <t>COO_369</t>
  </si>
  <si>
    <t>Substituição de retificadores da UHE Xingó</t>
  </si>
  <si>
    <t>OOGXI.C</t>
  </si>
  <si>
    <t>Aquisição de retificadores para aplicação na casa de força e vertedouro da UHE Xingó</t>
  </si>
  <si>
    <t>Data de Emissão</t>
  </si>
  <si>
    <t>Data de Validade</t>
  </si>
  <si>
    <t>Status da Licença</t>
  </si>
  <si>
    <t>LO Nº 2811/2023</t>
  </si>
  <si>
    <t>LO válida</t>
  </si>
  <si>
    <t>RLIO nº 2473/2024</t>
  </si>
  <si>
    <t>CGH Cachoeira Branca</t>
  </si>
  <si>
    <t>LO nº 991/2010 - 1ª Renovação</t>
  </si>
  <si>
    <t>UTE Candiota III</t>
  </si>
  <si>
    <t>LO nº 245/2019</t>
  </si>
  <si>
    <t>LO Nº 1685/2024</t>
  </si>
  <si>
    <t>Parque Eólico Coxilha Negra</t>
  </si>
  <si>
    <t>LO n° 1128/2023</t>
  </si>
  <si>
    <t>LO nº 2478/2023</t>
  </si>
  <si>
    <t>LO nº 2269/2023</t>
  </si>
  <si>
    <t>UEE Capão do Inglês , UEE Cerro Chato 1 , UEE Cerro Chato 2 , UEE Cerro Chato 3 , UEE Coxilha Seca , UEE Galpões</t>
  </si>
  <si>
    <t>LO - Nº 03.00074.2025</t>
  </si>
  <si>
    <t>CRESP</t>
  </si>
  <si>
    <t>LO N° 1641/2025</t>
  </si>
  <si>
    <t>UHE LUIZ GONZAGA</t>
  </si>
  <si>
    <t>1633/2023</t>
  </si>
  <si>
    <t>UHE CUREMAS</t>
  </si>
  <si>
    <t>406/2004 - 1° Renovação</t>
  </si>
  <si>
    <t>UHE SOBRADINHO</t>
  </si>
  <si>
    <t>509/2005</t>
  </si>
  <si>
    <t>UHE APOLONIO SALES , UHE Paulo Afonso I , UHE Paulo Afonso II , UHE Paulo Afonso III , UHE Paulo Afonso IV</t>
  </si>
  <si>
    <t>Portaria 27.402/2022</t>
  </si>
  <si>
    <t>UHE PEDRA</t>
  </si>
  <si>
    <t>147/2001</t>
  </si>
  <si>
    <t>UHE XINGO</t>
  </si>
  <si>
    <t>Portaria nº 18.876</t>
  </si>
  <si>
    <t>LO Solicitada renovação no prazo</t>
  </si>
  <si>
    <t>UEE TAMANDUÁ MIRIM 2</t>
  </si>
  <si>
    <t>Portaria nº 18.071</t>
  </si>
  <si>
    <t>UEE ANGICAL 2</t>
  </si>
  <si>
    <t>PORTARIA 15.278/2017</t>
  </si>
  <si>
    <t>UEE CASA NOVA III</t>
  </si>
  <si>
    <t>PORTARIA 21.786/2020</t>
  </si>
  <si>
    <t>CASA NOVA A</t>
  </si>
  <si>
    <t>Portaria nº 17.723</t>
  </si>
  <si>
    <t>COQUEIRINHO 2</t>
  </si>
  <si>
    <t>Portaria nº 18.601</t>
  </si>
  <si>
    <t>UEE ACAUÃ</t>
  </si>
  <si>
    <t>Portaria nº 18.873</t>
  </si>
  <si>
    <t>PAPAGAIO</t>
  </si>
  <si>
    <t>Portaria nº 19.580</t>
  </si>
  <si>
    <t>UEE ARAPAPÁ</t>
  </si>
  <si>
    <t>Portaria nº 19.581</t>
  </si>
  <si>
    <t>UEE TEIU 2</t>
  </si>
  <si>
    <t>Portaria nº 19.914</t>
  </si>
  <si>
    <t>UEE CAITITU 2</t>
  </si>
  <si>
    <t>Portaria 25.820</t>
  </si>
  <si>
    <t>Planta Piloto Eólico Solar Casa Nova I A</t>
  </si>
  <si>
    <t>PORTARIA 15.279/2017</t>
  </si>
  <si>
    <t>UEE CASA NOVA II</t>
  </si>
  <si>
    <t>RESOLUÇÃO CEPRAM 2861</t>
  </si>
  <si>
    <t>FUNIL</t>
  </si>
  <si>
    <t>Portaria nº 20.085</t>
  </si>
  <si>
    <t>UEE CORRUPIÃO 3</t>
  </si>
  <si>
    <t>Portaria nº 20.107</t>
  </si>
  <si>
    <t>UEE CARCARÁ</t>
  </si>
  <si>
    <t>Portaria nº 19.927</t>
  </si>
  <si>
    <t>UEE CAITITU 3</t>
  </si>
  <si>
    <t>319/2013</t>
  </si>
  <si>
    <t>UHE BOA ESPERANÇA</t>
  </si>
  <si>
    <t>342/99-15</t>
  </si>
  <si>
    <t>UTE Aparecida</t>
  </si>
  <si>
    <t>UHE CURUÁ-UNA</t>
  </si>
  <si>
    <t>624/13-04</t>
  </si>
  <si>
    <t>UTE ANORI</t>
  </si>
  <si>
    <t>554/13-04</t>
  </si>
  <si>
    <t>UTE CAAPIRANGA</t>
  </si>
  <si>
    <t>544/13-04</t>
  </si>
  <si>
    <t>UTE ANAMÃ</t>
  </si>
  <si>
    <t>UHE SAMUEL</t>
  </si>
  <si>
    <t>031/17-02</t>
  </si>
  <si>
    <t>UTE MAUÁ 3</t>
  </si>
  <si>
    <t>368/13-03</t>
  </si>
  <si>
    <t>UTE CODAJÁS</t>
  </si>
  <si>
    <t>043/95-15</t>
  </si>
  <si>
    <t>UTE RIO NEGRO</t>
  </si>
  <si>
    <t>UHE COARACY NUNES</t>
  </si>
  <si>
    <t>Operação Sudeste</t>
  </si>
  <si>
    <t>LO 1305-2015 1ª Renovação</t>
  </si>
  <si>
    <t>LO 1392-2017</t>
  </si>
  <si>
    <t>LO 1074-2012 (Retificação)</t>
  </si>
  <si>
    <t>AHE Simplício - Queda Única</t>
  </si>
  <si>
    <t>LO REN 613-2007</t>
  </si>
  <si>
    <t>LO 1079-2012  - 1ª Renovação 1ª Retificação</t>
  </si>
  <si>
    <t>LO Nº IN003988</t>
  </si>
  <si>
    <t>UTE Santa Cruz</t>
  </si>
  <si>
    <t>LO nº 1687/2024</t>
  </si>
  <si>
    <t>LO FE002662</t>
  </si>
  <si>
    <t>UTE Campos</t>
  </si>
  <si>
    <t>LO 088/2003 - 1a. RENOVAÇÃO</t>
  </si>
  <si>
    <t>LO 1036/2011</t>
  </si>
  <si>
    <t>Licença de Funcionamento 1051-2016</t>
  </si>
  <si>
    <t>LO 318804/2019</t>
  </si>
  <si>
    <t>APM Manso</t>
  </si>
  <si>
    <t>SPE</t>
  </si>
  <si>
    <t>LO N° 1044/2011 - 1° Renovação - 3° Retificação</t>
  </si>
  <si>
    <t>UHE Santo Antônio</t>
  </si>
  <si>
    <t>LO Nº 1272/2014 - 2ª Renovação</t>
  </si>
  <si>
    <t>UHE Teles Pires</t>
  </si>
  <si>
    <t>LO nº001-SUPRAM CM</t>
  </si>
  <si>
    <t>UHE Retiro Baixo</t>
  </si>
  <si>
    <t>2016-102112/TEC/RLO-0228</t>
  </si>
  <si>
    <t>LO nº 291647</t>
  </si>
  <si>
    <t>LT 230kV Areia - Guarapuava Oeste C1 (SE Guarapuava Oeste até a torre VOO18R) , LT 230kV Guarapuava Oeste - Irati Norte C1 (SE Guarapuava Oeste até á torre VOO18R)</t>
  </si>
  <si>
    <t>LAO Nº 7517/2022</t>
  </si>
  <si>
    <t>LT 230kV Joinville - Vega do Sul C1 , LT 230kV Joinville - Vega do Sul C2</t>
  </si>
  <si>
    <t>RLO n° 134/2022</t>
  </si>
  <si>
    <t>LT 138kV Água Clara - São Domingos C1</t>
  </si>
  <si>
    <t>LO nº 111/2022</t>
  </si>
  <si>
    <t>SE Coletora Itararé</t>
  </si>
  <si>
    <t>273616-R1</t>
  </si>
  <si>
    <t>SE Ivaiporã , SE Ivaiporã</t>
  </si>
  <si>
    <t>LAO N. 2494/2024</t>
  </si>
  <si>
    <t>SE Biguaçu</t>
  </si>
  <si>
    <t>LO nº 1229/2019</t>
  </si>
  <si>
    <t>SE Joinville Norte</t>
  </si>
  <si>
    <t>LO n° 2370/2020</t>
  </si>
  <si>
    <t>LT Jorge Lacerda B - Palhoça C1 (em CD comJLA-JLB C2 até a torre 7130TO002) , LT 230kV Jorge Lacerda A - Jorge Lacerda B C2 (em CD com torre 7130TO002 JLB-PAL C1)</t>
  </si>
  <si>
    <t>LO n° 5256/2020</t>
  </si>
  <si>
    <t>LT 525kV Biguaçu - Abdon Batista C1 , LT 525kV Abdon Batista - Campos Novos C1 , LT 525kV Biguaçu - Blumenau C1</t>
  </si>
  <si>
    <t>1699/2024</t>
  </si>
  <si>
    <t>LT 230 kV Biguaçu - Palhoça , LT 230kV Biguaçu - Desterro , SE Desterro</t>
  </si>
  <si>
    <t>LO n° 7984/2022</t>
  </si>
  <si>
    <t>LT 230kV Curitiba - Joinville Norte C1 (SE Joinville Norte até a torre 7050TO005R) , LT 230kV Joinville - Joinville Norte C1 (SE Joinville Norte até a torre 7050TO005R)</t>
  </si>
  <si>
    <t>LO n° 11/2023</t>
  </si>
  <si>
    <t>LT 230kV Blumenau - Joinville Norte C1 (SE Joinv. Norte até a torre 7110TO157)</t>
  </si>
  <si>
    <t>LO nº 298211</t>
  </si>
  <si>
    <t>LT 230kV Irati Norte - Ponta Grossa (SE Ponta Grossa até a torre V0344R) , LT 230kV Ponta Grossa Norte- Ponta Grossa  C1 (SE Ponta Grossa até a torre V0344R)</t>
  </si>
  <si>
    <t>LO nº 2165/2018</t>
  </si>
  <si>
    <t>LT 525kV Itá - Campos Novos</t>
  </si>
  <si>
    <t>LO nº 839/2024</t>
  </si>
  <si>
    <t>LT 69kV Barra do Rio Chapéu - Braço do Norte</t>
  </si>
  <si>
    <t>7547/2024</t>
  </si>
  <si>
    <t>SE Itajaí</t>
  </si>
  <si>
    <t>LO nº 303226-R1</t>
  </si>
  <si>
    <t>LT 230kV Guarapuava Oeste - Irati Norte C1 (SE Irati Norte até a torre V0240R) , LT 230kV Irati Norte - Ponta Grossa (SE Irati Norte até a torre V0240R)</t>
  </si>
  <si>
    <t>LO nº 836/2009</t>
  </si>
  <si>
    <t>LT 525kV Campos Novos - Nova Santa Rita</t>
  </si>
  <si>
    <t>LO n° 00911/2024</t>
  </si>
  <si>
    <t>LT 525kV Guaíba 3 - Nova Santa Rita C1 (SE Nova Santa Rita até a Torre V0076R) , LT 525 kV Povo Novo - Marmeleiro2 , LT 525kV Guaíba 3 - Povo Novo C1 (Torre 8580TO075 até a SE Povo Novo) , SE Marmeleiro 2 , SE Povo Novo , SE Santa Vitória do Palmar 2 , LT 525 kV Marmeleiro2 - Santa Vitória do Palmar2 C1</t>
  </si>
  <si>
    <t>LO nº 1223/2014</t>
  </si>
  <si>
    <t>LT 525kV Itá - Nova Santa Rita C2 , LT 525kV Itá - Salto Santiago  C2</t>
  </si>
  <si>
    <t>LOER nº 3200/2024</t>
  </si>
  <si>
    <t>LT 230kV Santo Ângelo - Maçambará C2</t>
  </si>
  <si>
    <t>LO Nº 199/2002 - 3ª Renovação - 1ª Retificação</t>
  </si>
  <si>
    <t>LT 525kV Itá - Caxias</t>
  </si>
  <si>
    <t>LO nº 1609/2021</t>
  </si>
  <si>
    <t>LT 230KV Foz do Chapecó - Pinhalzinho2 C2</t>
  </si>
  <si>
    <t>LO nº 1428/2018 - 1ª RETIFICAÇÃO</t>
  </si>
  <si>
    <t>LT 230KV Foz do Chapecó - Pinhalzinho2 C1 , SE Pinhalzinho 2</t>
  </si>
  <si>
    <t>LO nº 1225/2014 - 1ª Retificação</t>
  </si>
  <si>
    <t>LT Itajaí - Camboriú Morro do Boi (ITJ-CMB) , LT Itajaí - Itajaí Fazenda (ITJ-IFA) , LT Joinville - Joinville GM (JOI-JGM) , LT 230 kV Biguaçu - Gaspar 2 C1 , LT 230kV Biguaçu - Jorge Lacerda B, C1 , LT 230kV Blumenau - Gaspar2 C1 , LT 230kV Blumenau - Gaspar2 C2 , LT 230kV Blumenau - Joinville C1 , LT 230kV Blumenau - Joinville Norte C1 , LT 230kV Gaspar2 - Palhoça C1 , LT 230kV Jorge Lacerda B - Palhoça C1 , LT 230kV Jorge Lacerda B - Siderópolis C1 , LT 230kV Jorge Lacerda B - Siderópolis C2 , LT 230kV Jorge Lacerda B - UT Jorge Lacerda C1 , LT 230kV Jorge Lacerda B - UT Jorge Lacerda C2 , LT Araquari Hyosung - Joinville SC (AHG-JSC) , LT Biguaçu - Itajaí Fazenda (BIG-IFA) , LT Biguaçu - Tijucas (BIG-TJS) , LT Blumenau - Gaspar (BLU-GPR) , LT Blumenau - Ilhota (BLU-ITA) , LT Camboriú Morro do Boi - Tijucas (CMB-TJS) , LT Florianópolis - Palhoça 1 (FLO-PAL-1) , LT Florianópolis - Palhoça 2 (FLO-PAL-2) , LT Ilhota - Araquari Hyosung (ITA-AHG) , LT Ilhota - Gaspar (ITA-GPR) , LT Ilhota - Itajaí 1 (ITA-ITJ-1) , LT Ilhota - Itajaí 1 (ITA-ITJ-2) , LT Ilhota - Piçarras (ITA-PCS) , LT Imbituba - Palhoça Pinheira (IBA-PPA) , LT Joinville - Joinville Santa Catarina (JOI-JSC) , LT Joinville GM - Joinville SC (JGM-JSC) , LT Joinville Santa Catarina - Piçarras (JSC-PCS) , LT Jorge Lacerda A - Imbituba (JLA-IBA) , LT Jorge Lacerda A - Palhoça (JLA-PAL) , LT Palhoça - Palhoça Pinheira (PAL-PPA) , SE Blumenau , SE Florianópolis , SE Ilhota , SE Joinville , SE Jorge Lacerda A , SE Jorge Lacerda B , SE Palhoça , SE Siderópolis</t>
  </si>
  <si>
    <t>LO N° 1281/2014 - 1° RENOVAÇÃO</t>
  </si>
  <si>
    <t>LT 230kV Candiota - Presidente Médici C1 , LT 525kV Candiota - CO Melo C1 , SE Candiota</t>
  </si>
  <si>
    <t>LO nº 00674/2024</t>
  </si>
  <si>
    <t>LT 230 kV Camaquã3 - Nova Santa Rita , LT 230 kV Camaquã3 - Povo Novo , LT 230 kV Povo Novo - Quinta , SE Camaquã 3</t>
  </si>
  <si>
    <t>LO nº 2372/2023</t>
  </si>
  <si>
    <t>LT 230kV Biguaçu - Gaspar2 C1 (SE Gaspar 2 até a torre 7430TO422R) , LT 230kV Blumenau - Gaspar2 C1 (SE Gaspar 2 até a torre 7440TO422R)</t>
  </si>
  <si>
    <t>LO n° 1664/2023</t>
  </si>
  <si>
    <t>LT 230kV Londrina - Sarandi C1 (SE Sarandi até a torre 7340TO048) , LT 230kV Maringá - Sarandi C2 (SE Sarandi até a torre 7340TO047)</t>
  </si>
  <si>
    <t>LO n° 2167/2024</t>
  </si>
  <si>
    <t>LT Ramal GRA3 230 kV (trecho da LT GRA3 - CIAG – a partir da TO 0006 até SE GRA3 , Trecho da LT 230kV Vila Maria – Nova Prata 2 C2 (torres 0303R – 299R – Pórtico) , Trecho da LT 525kV Ytá – Nova Santa Rita C1 (torres 0668 até o Pórtico SE nova Santa Rita) , LT 230 kV Atlântida 2 - Gravataí 3 (em CD com ATL-OSO3 até TO 0084 ) , LT 230 kV Atlântida 2 - Osório 2 (em Circuito Duplo (CD) com ATL-GRA3) , LT 230 kV Caxias - Caxias 5 , LT 230 kV Garibaldi 1 – Vinhedos C1 (em CD com MCL-VIN entre as TO0058R e 0067R , LT 230 kV Monte Claro – Vinhedos C1 (em CD com GAR-VIN entre as TO0058R e 0067R) , LT 230kV Presidente Médici - Santa Cruz C1 , LT Ramal GRA3 230 kV (trecho da LTGRA2-GRA3 – a partir da TO 0030 até SE GRA3) , SE Atlântida 2 , SE Caxias , SE Caxias 6 , SE Cerro Chato , SE Foz do Chapecó , SE Gravataí 3 , SE Ijuí 2 , SE Lajeado Grande , SE Missões , SE Nova Petrópolis 2 , SE Nova Santa Rita , SE Santo Ângelo , SE Tapera 2 , Trecho da LT 230kV Caxias 5 – Lajeado Grande  (torres 0135/0136/0004R até o Pórtico SE Caxias 5 – em CD a partir da TO 0004R com trecho da FAR-CAX5 C1) , Trecho da LT 230kV Farroupilha – Caxias 5  (torres 0006/0005/0004R até o Pórtico SE Caxias 55 – em CD a partir da TO 0004R com trecho da LGR-CAX5 C1) , Trecho da LT 230kV Monte Claro - Nova Prata 2 C2 (torres 0025R – 0001R -  Pórtico SE Nova Prata 2– em CD com trecho da NPR2-VMT C2" , Trecho da LT 230kV Nova Prata 2 – Vila Maria C2 (torres  0025R – 0001R - Pórtico SE Nova Prata 2 – em CD com trecho da MLC-NPR2 C2) , Trecho da LT 230kV Passo Fundo – Vila Maria C1 – (torres 0301R – 0302R – Pórtico) , Trecho da LT 230kV Passo Fundo – Vila Maria C2 (torres 0303R – 0302R – Pórtico) , Trecho da LT 230kV Vila Maria – Nova Prata 2 C1 (torres 300R – 299R – Pórtico) , Trecho da LT 525kV  Gravataí – Nova Santa Rita C1 (torres 0005 até o Pórtico SE nova Santa Rita</t>
  </si>
  <si>
    <t>LO nº 956/2010 - 1º Renovação</t>
  </si>
  <si>
    <t>LT 230kV Foz do Chapecó - Guarita C1 , LT 230kV Foz do Chapecó - Xanxerê C1 , LT 230kV Foz do Chapecó - Xanxerê C2</t>
  </si>
  <si>
    <t>LO n° 1350/2016</t>
  </si>
  <si>
    <t>LT 138kV Ivinhema2 - Nova Andradina C1 (SE Nova Andradina até a torre 6380TO001R) , LT 138kV Nova Andradina - Porto Primavera C1 (SE Nova Andradina até a torre 6380TO001R)</t>
  </si>
  <si>
    <t>LO n° 7487/2016</t>
  </si>
  <si>
    <t>LT 230kV Londrina - Londrina Copel C2 (SE Londrina até a torre 7330TO068R) , LT 230kV Londrina - Sarandi C1 (SE Londrina até a torre 7330TO068R)</t>
  </si>
  <si>
    <t>LO nº 36352/2019</t>
  </si>
  <si>
    <t>LT 525kV Cascavel Oeste - Ivaiporã C1 , LT 525kV Ivaiporã - Salto Santiago C2</t>
  </si>
  <si>
    <t>LO n° 235/2019</t>
  </si>
  <si>
    <t>SE Ivinhema 2</t>
  </si>
  <si>
    <t>LO nº 807/2008 - 1ª Renovação</t>
  </si>
  <si>
    <t>LT 230 kV Biguaçu - Gaspar 2 (SEBIG até TO250) , LT 230 kV Biguaçu - Jorge Lacerda B (SEBIG até TO248) , LT Biguaçu - Florianópolis C1 (BIG-FLO) até Torre 011R , LT Biguaçu - Florianópolis C2 (BIG-FLO) até Torre 011R , LT Biguaçu - Itajaí Fazenda (BIG-IFA) até Torre 011R , LT Biguaçu - Tijucas (BIG-TJS) até Torre 011R</t>
  </si>
  <si>
    <t>LO nº 1259/2014</t>
  </si>
  <si>
    <t>LT 230kV Areia - Salto Osório C1 , LT 230kV Areia - Salto Osório C2 , LT 230kV Passo Fundo - Xanxerê C1 , LT 230kV Passo Fundo - Xanxerê C2 , LT 230kV Pato Branco - Xanxerê C1 , LT 230kV Salto Osório - Pato Branco C1 , LT 230kV Salto Osório - Xanxerê C1 , LT 525kV Areia - Campos Novos C1 , LT 525kV Areia - UH Gov. Bento Munhoz C1 , LT 525kV Areia - UH Gov. Bento Munhoz C2 , LT 525kV Areia -Segredo C1 , LT 525kV Salto Santiago - Itá C1 , LT 525kV Salto Santiago -Segredo C1 , LT 69kV Salto Osório - Salto Santiago C1 , SE Areia , SE Campos Novos , SE Itá , SE Machadinho , SE Passo Fundo , SE Salto Osório , SE Salto Santiago , SE Xanxerê</t>
  </si>
  <si>
    <t>1672/2025</t>
  </si>
  <si>
    <t>LT 138kV Campo Grande - Mimoso C2 , LT 138kV Campo Grande - Mimoso C3 , LT 138kV Campo Grande - Mimoso C4 , LT 138kV Jupiá - Mimoso C2 , LT 138kV Jupiá - Mimoso C3 , LT 138kV Jupiá - Mimoso C4 , SE Campo Grande , SE Mimoso</t>
  </si>
  <si>
    <t>LO Nº 7247/2021</t>
  </si>
  <si>
    <t>LT 230kV Blumenau - Itajaí C1 , LT 230kV Blumenau - Itajaí C2</t>
  </si>
  <si>
    <t>2024.0205154975.EXP.LON</t>
  </si>
  <si>
    <t>SE RIO LARGO II</t>
  </si>
  <si>
    <t>05.21.03.001110-6</t>
  </si>
  <si>
    <t>ANGELIM - TACAIMBO, 230 KV, C1 , ANGELIM - TACAIMBO, 230 KV, C2 , SE TACAIMBO</t>
  </si>
  <si>
    <t>001/2023 - SUDEMA - PREF ICO</t>
  </si>
  <si>
    <t>SE ICO</t>
  </si>
  <si>
    <t>216/2024</t>
  </si>
  <si>
    <t>SE CAUIPE</t>
  </si>
  <si>
    <t>05.21.03.000715-4</t>
  </si>
  <si>
    <t>SE JOAIRAM</t>
  </si>
  <si>
    <t>05.21.03.000721-5</t>
  </si>
  <si>
    <t>ANGELIM - RECIFE II, 230 KV, C2</t>
  </si>
  <si>
    <t>05.21.03.000720-8</t>
  </si>
  <si>
    <t>SE RECIFE II</t>
  </si>
  <si>
    <t>159/2023</t>
  </si>
  <si>
    <t>SE IBIAPINA II</t>
  </si>
  <si>
    <t>86/2000 2 Renovação</t>
  </si>
  <si>
    <t>JARDIM - CAMACARI IV, 500 KV, C1 , SE CAMAÇARI II , SE CAMAÇARI IV , SE JARDIM</t>
  </si>
  <si>
    <t>2019-133717/TEC/RLO-0110</t>
  </si>
  <si>
    <t>SE NATAL III</t>
  </si>
  <si>
    <t>2019-147623/TEC/RLO-0994</t>
  </si>
  <si>
    <t>SE SE TOUROS</t>
  </si>
  <si>
    <t>05.21.02.000535-1</t>
  </si>
  <si>
    <t>RIBEIRAO - RECIFE II, 230 KV, C1</t>
  </si>
  <si>
    <t>231/2022</t>
  </si>
  <si>
    <t>LIBRA - LIBRA, 230 KV, C1</t>
  </si>
  <si>
    <t>2021-170427/TEC/RLO-1155</t>
  </si>
  <si>
    <t>SANTANA DO MATOS II - ACU II, 138 KV, C1</t>
  </si>
  <si>
    <t>2021-172420/TEC/RLS-0417</t>
  </si>
  <si>
    <t>SE EXTREMOZ II</t>
  </si>
  <si>
    <t>05.21.03.000728-4</t>
  </si>
  <si>
    <t>SE MIRUEIRA , SE MIRUEIRA II , RECIFE II - MIRUEIRA, 230 KV, C1</t>
  </si>
  <si>
    <t>128/2020</t>
  </si>
  <si>
    <t>CAUIPE - FORTALEZA II, 230 KV, C1 (04S3)</t>
  </si>
  <si>
    <t>211/2020</t>
  </si>
  <si>
    <t>FORTALEZA II - DELMIRO GOUVEIA, 230 KV, C1 , FORTALEZA II - DELMIRO GOUVEIA, 230 KV, C2</t>
  </si>
  <si>
    <t>2019-131292/TEC/LO-0015</t>
  </si>
  <si>
    <t>SE SANTA CRUZ II</t>
  </si>
  <si>
    <t>05.22.08.003640-8</t>
  </si>
  <si>
    <t>JOAIRAM - BONGI, 230 KV, C1 , JOAIRAM - BONGI, 230 KV, C2 , JOAIRAM - BONGI, 230 KV, C3</t>
  </si>
  <si>
    <t>2020-152885/TEC/RLO-0783</t>
  </si>
  <si>
    <t>PARAISO - LAGOA NOVA II, 230 KV, C1</t>
  </si>
  <si>
    <t>2017-109093/TEC/LO-0103</t>
  </si>
  <si>
    <t>SE MOSSORO II</t>
  </si>
  <si>
    <t>2021-171155/TEC/RLO-1187</t>
  </si>
  <si>
    <t>JOAO CAMARA III - CEARA MIRIM II, 500 KV, C1</t>
  </si>
  <si>
    <t>2018-125166/TEC/RLO-0890</t>
  </si>
  <si>
    <t>PARAISO - NATAL II, 230 KV, C1 , PARAISO - NATAL II, 230 KV, C2</t>
  </si>
  <si>
    <t>2020-156494/TEC/LO-0256</t>
  </si>
  <si>
    <t>MOSSORO II - ACU II, 230 kV, C2 , PARAISO - ACU C3</t>
  </si>
  <si>
    <t>107/2025</t>
  </si>
  <si>
    <t>XINGO - JARDIM, 500 KV, C1</t>
  </si>
  <si>
    <t>075/2024</t>
  </si>
  <si>
    <t>SE SOBRAL II</t>
  </si>
  <si>
    <t>1395/2017-2ª Retificação</t>
  </si>
  <si>
    <t>SE FORTALEZA I , SE FORTALEZA II , FORTALEZA II - CAUIPE, 230 KV, C1 (04S1) , FORTALEZA II - FORTALEZA, 230 KV, C1 , FORTALEZA II - FORTALEZA, 230 KV, C2 , FORTALEZA II - FORTALEZA, 230 KV, C3 , FORTALEZA II - MARACANAU II, 230 KV, C1 , MARACANAU II - CAUIPE, 230 KV, C1 , SE PECEM II , PECEM II - FORTALEZA II, 500 KV, C1 , PRESIDENTE DUTRA - TERESINA II, 500 KV, C1 , PRESIDENTE DUTRA - TERESINA II, 500 KV, C2 , SE SOBRAL III , SOBRAL III - PECEM II, 500 KV, C1 , SE TERESINA II , TERESINA II - SOBRAL III, 500 KV, C1 , SE TIANGUA II , Teresina II/Tianguá II, 500 kV , Tianguá II/ Sobral III 500kV</t>
  </si>
  <si>
    <t>004/2024</t>
  </si>
  <si>
    <t>SE QUIXADA</t>
  </si>
  <si>
    <t>03.22.08.003742-5</t>
  </si>
  <si>
    <t>RECIFE II - JOAIRAM, 230 KV, C1 , RECIFE II - JOAIRAM, 230 KV, C2 , RECIFE II - JOAIRAM, 230 KV, C3</t>
  </si>
  <si>
    <t>371/2024</t>
  </si>
  <si>
    <t>SE MILAGRES</t>
  </si>
  <si>
    <t>2059/2022</t>
  </si>
  <si>
    <t>SE PILOES II</t>
  </si>
  <si>
    <t>2021-165038/TEC/RLO-0718</t>
  </si>
  <si>
    <t>MOSSORO II - MOSSORO IV, 230 KV, C1</t>
  </si>
  <si>
    <t>1400/2017</t>
  </si>
  <si>
    <t>IBIAPINA II - PIRIPIRI, 230 KV, C1 , BOA ESPERANCA - TERESINA, 230 KV, C1 , BOA ESPERANCA - TERESINA, 230 KV, C2 , SAO JOAO PIAUI - BOA ESPERANCA, 500 KV, C1 , BOA ESPERANCA , BOA ESPERANÇA II , LT 230 kV BOA ESPERANÇA - BOA ESPERANÇA II</t>
  </si>
  <si>
    <t>Nº PI-RLO.05655-7/2023</t>
  </si>
  <si>
    <t>SE PICOS , SAO JOAO PIAUI - PICOS, 230 KV, C1</t>
  </si>
  <si>
    <t>2024.10.02-0001</t>
  </si>
  <si>
    <t>SE ACARAU II</t>
  </si>
  <si>
    <t>LO PD063/2023</t>
  </si>
  <si>
    <t>SE PICI II</t>
  </si>
  <si>
    <t>0034/2024</t>
  </si>
  <si>
    <t>SE COTEMINAS</t>
  </si>
  <si>
    <t>563/2022</t>
  </si>
  <si>
    <t>GOIANINHA - SANTA RITA II, 230 KV, C1 , SE SANTA RITA II , SANTA RITA II - MUSSURE II, 230 KV, C1</t>
  </si>
  <si>
    <t>001/2024</t>
  </si>
  <si>
    <t>SE TAUA II</t>
  </si>
  <si>
    <t>D000007/24</t>
  </si>
  <si>
    <t>TERESINA - PIRIPIRI, 230 KV, C1 , SE PIRIPIRI , SE TERESINA I</t>
  </si>
  <si>
    <t>110/2025</t>
  </si>
  <si>
    <t>QUIXADA - FORTALEZA II, 500 KV, C1</t>
  </si>
  <si>
    <t>05.25.04.002618-1</t>
  </si>
  <si>
    <t>SE BONGI , BONGI - ACONORTE, 230 KV, C1</t>
  </si>
  <si>
    <t>05.25.04.002557-3</t>
  </si>
  <si>
    <t>SE JABOATAO II , JABOATAO II - PIRAPAMA II, 230 KV, C1 , RECIFE II - JABOATAO II, 230 KV, C1</t>
  </si>
  <si>
    <t>05.25.04.002616-7</t>
  </si>
  <si>
    <t>SE PIRAPAMA II , RECIFE II - PIRAPAMA II, 230 KV, C1 , RECIFE II - PIRAPAMA II, 230 KV, C2</t>
  </si>
  <si>
    <t>D000005/25</t>
  </si>
  <si>
    <t>SE ELISEU MARTINS</t>
  </si>
  <si>
    <t>2025.20051644986.EXP.LON</t>
  </si>
  <si>
    <t>RIO LARGO II - BRASKEM, 230 KV, C1</t>
  </si>
  <si>
    <t>2025.21051645675.EXP.LON</t>
  </si>
  <si>
    <t>MESSIAS - RIO LARGO II, 230 KV, C1 , MESSIAS - RIO LARGO II, 230 KV, C2 , MESSIAS - RIO LARGO II, 230 KV, C3</t>
  </si>
  <si>
    <t>2024-206611/TEC/RLO-1036</t>
  </si>
  <si>
    <t>CEARA MIRIM II - JOAO CAMARA II, 230 KV, C1</t>
  </si>
  <si>
    <t>1066/2012</t>
  </si>
  <si>
    <t>SE BOM NOME , BOM NOME - MILAGRES, 230 KV, C1 , BOM NOME - MILAGRES, 230 KV, C2 , BOM NOME - MILAGRES, 230 KV, C3 , FLORESTA II - BOM NOME, 230 KV, C1 , LUIZ GONZAGA - MILAGRES, 500 KV, C1 , PAULO AFONSO III - BOM NOME, 230 KV, C3 , PAULO AFONSO III - FLORESTA II, 230 KV, C1 , TACARATU - BOM NOME, 230 KV, C1 , TACARATU - PAULO AFONSO III, 230 KV, C1</t>
  </si>
  <si>
    <t>1601/2021</t>
  </si>
  <si>
    <t>PAU FERRO - SANTA RITA II, 230 KV, C1</t>
  </si>
  <si>
    <t>Nº PI-RLO.03324-0/2023</t>
  </si>
  <si>
    <t>SAO JOAO PIAUI - ELISEU MARTINS, 230 KV, C1</t>
  </si>
  <si>
    <t>269/2002</t>
  </si>
  <si>
    <t>TERESINA II - TERESINA, 230 KV, C1 , TERESINA II - TERESINA, 230 KV, C2</t>
  </si>
  <si>
    <t>198 10249008</t>
  </si>
  <si>
    <t>SE TERESINA III</t>
  </si>
  <si>
    <t>TERESINA II - TERESINA III, 230 KV, C1 , TERESINA II - TERESINA III, 230 KV, C2</t>
  </si>
  <si>
    <t>2022.27051273353.EXP.LON</t>
  </si>
  <si>
    <t>SE MACEIO II , MESSIAS - MACEIO II, 230 KV, C1</t>
  </si>
  <si>
    <t>2024.17121595268.EXP.LON</t>
  </si>
  <si>
    <t>SE ARAPIRACA III , SECC RIO LARGO II - PENEDO, 230 KV, C1 NA SE ARAPIRACA III</t>
  </si>
  <si>
    <t>2025.27011605033.EXP.LON</t>
  </si>
  <si>
    <t>PAULO AFONSO III - ZEBU II, 230 KV, C1 , PAULO AFONSO III - ZEBU II, 230 KV, C2 , SE ZEBU II</t>
  </si>
  <si>
    <t>36/2025</t>
  </si>
  <si>
    <t>SE ITABAIANA , ITABAIANA - JARDIM, 230 KV, C1 , ITABAIANA - JARDIM, 230 KV, C2</t>
  </si>
  <si>
    <t>05.23.03.001586-3</t>
  </si>
  <si>
    <t>RECIFE II - MIRUEIRA, 230 KV, C2 , RECIFE II - MIRUEIRA, 230 KV, C3</t>
  </si>
  <si>
    <t>2020-155269-TEC-RLO-1174</t>
  </si>
  <si>
    <t>SE MOSSORO IV</t>
  </si>
  <si>
    <t>2024-208253/TEC/RLO-1103</t>
  </si>
  <si>
    <t>SANTA CRUZ II - CURRAIS NOVOS II, 138 KV, C1</t>
  </si>
  <si>
    <t>2019-131229/TEC/RLO-0026</t>
  </si>
  <si>
    <t>EXTREMOZ II - CEARA MIRIM II, 230 KV, C1 , CEARA MIRIM II - EXTREMOZ II, 230 KV, C2</t>
  </si>
  <si>
    <t>2024-212548/TEC/RLO-1296</t>
  </si>
  <si>
    <t>SE JOAO CAMARA III</t>
  </si>
  <si>
    <t>404/2020</t>
  </si>
  <si>
    <t>MILAGRES - QUIXADA, 500 KV, C1</t>
  </si>
  <si>
    <t>530/2019</t>
  </si>
  <si>
    <t>SE QUIXERE</t>
  </si>
  <si>
    <t>216/2020</t>
  </si>
  <si>
    <t>BANABUIU - RUSSAS II, 230 KV, C1</t>
  </si>
  <si>
    <t>80/2020</t>
  </si>
  <si>
    <t>RUSSAS II - BANABUIU, 230 KV, C2</t>
  </si>
  <si>
    <t>63/2025-DICOP</t>
  </si>
  <si>
    <t>SE BANABUIU</t>
  </si>
  <si>
    <t>1464/2018</t>
  </si>
  <si>
    <t>SE FLORESTA</t>
  </si>
  <si>
    <t>013/2025</t>
  </si>
  <si>
    <t>SE RUSSAS II</t>
  </si>
  <si>
    <t>027/2023</t>
  </si>
  <si>
    <t>SE AQUIRAZ II</t>
  </si>
  <si>
    <t>1476/2019ª Renovação - 1ª Retificação</t>
  </si>
  <si>
    <t>CAMPINA GRANDE II - GOIANINHA, 230 KV, C1 , CAMPINA GRANDE II - PARAISO, 230 KV, C1 (04V1) , CAMPINA GRANDE II - PARAISO, 230 KV, C2 (04V2) , CAMPINA GRANDE II - PILOES II, 138 KV, C1 (03L2); , CAMPINA GRANDE II - SANTACRUZ II, 138 KV, C1 (03L1); , MILAGRES - COREMAS, 230 KV, C1 (04M6) , MILAGRES - COREMAS, 230 KV, C2 (04M5) , SE MUSSURE II , PARAISO - SANTA CRUZ II, 138 KV, C1 , PILOES II - PARAISO, 138 KV, C1 , QUIXERE - MOSSORO II, 230 KV, C1 (04L1) , RUSSAS II - QUIXERE, 230 KV, C1 (04C2) , SE COREMAS , TACAIMBO - CAMPINA GRANDE II, 230 KV, C1 (04C1) , TACAIMBO - CAMPINA GRANDE II, 230 KV, C2 (04C2) , Goianinha - João Pessoa II, 230 kV (04N3) , Goianinha - João Pessoa II 230 kV (04N2) , João Pessoa II - Mussuré II, 230 kV (04F1) , João Pessoa II - Santa Rita II , 230 kV (04J1) , João Pessoa II - Mussuré II , 230 kV (04F2) , JOAO PESSOA II - SANTA RITA II, 230 kV, C2 (04F4)</t>
  </si>
  <si>
    <t>523/2020</t>
  </si>
  <si>
    <t>AQUIRAZ II - BANABUIU, 230 KV, C1 , AQUIRAZ II - BANABUIU, 230 KV, C2 , AQUIRAZ II - BANABUIU, 230 KV, C3 , BANABUIU - FORTALEZA, 230 KV, C1 , BANABUIU - FORTALEZA, 230 KV, C2</t>
  </si>
  <si>
    <t>1328/2016</t>
  </si>
  <si>
    <t>ANGELIM II - PAU FERRO, 500 KV, C1 , RECIFE II - PAU FERRO, 500 KV, C1</t>
  </si>
  <si>
    <t>2025-242782/TEC/LO-0111</t>
  </si>
  <si>
    <t>SE AÇU II</t>
  </si>
  <si>
    <t>058/1999</t>
  </si>
  <si>
    <t>MESSIAS - SUAPE II, 500 KV, C1 , SUAPE II - RECIFE II, 500 KV, C1</t>
  </si>
  <si>
    <t>SE Abaiara</t>
  </si>
  <si>
    <t>212/2024</t>
  </si>
  <si>
    <t>SOCORRO - FAFEN, 230 KV, C1</t>
  </si>
  <si>
    <t>05.24.02.001202-2</t>
  </si>
  <si>
    <t>SECC MIRUEIRA - GOIANINHA, 230 KV, C1 NA SE PAU FERRO , LT 230 kV Pau Ferro / Goianinha</t>
  </si>
  <si>
    <t>060/1999</t>
  </si>
  <si>
    <t>SE CAMPINA GRANDE II , CAMPINA GRANDE II - COTEMINAS, 230 KV, C1 , CAMPINA GRANDE III - EXTREMOZ II 230 KV, C2 , CAMPINA GRANDE III - EXTREMOZ II, 230 KV, C1 , CAMPINA GRANDE III - NATAL III 230 KV, C1 , SE NATAL II , NATAL III - NATAL II, 230 KV, C1 , NATAL III - NATAL II, 230 KV, C2 , PAU FERRO - CAMPINA GRANDE II, 230 KV, C1 , PAU FERRO - CAMPINA GRANDE II, 230 KV, C2 , PAU FERRO - COTEMINAS, 230 KV, C1 , NATAL III - EXTREMOZ II, C1, 230 kV , NATAL III - EXTREMOZ II, C2, 230 kV</t>
  </si>
  <si>
    <t>05.24.09.007564-4</t>
  </si>
  <si>
    <t>SECC MIRUEIRA - GOIANINHA, 230 KV, C1 NA SE PAU FERRO , LT 230 kV Mirueira - Pau Ferro C1 , LT 230 kV Mirueira - Pau Ferro C2</t>
  </si>
  <si>
    <t>05.23.09.007829-7</t>
  </si>
  <si>
    <t>SE GOIANINHA , RECIFE II - GOIANINHA, 230 KV, C1 , RECIFE II - GOIANINHA, 230 KV, C2</t>
  </si>
  <si>
    <t>05.20.09.002646-4</t>
  </si>
  <si>
    <t>JABOATAO - RECIFE II, 69 KV, C1</t>
  </si>
  <si>
    <t>394/2004</t>
  </si>
  <si>
    <t>SE PAU FERRO , RECIFE II - PAU FERRO, 230 KV, C1 , RECIFE II - PAU FERRO, 230 KV, C2</t>
  </si>
  <si>
    <t>1375/2017</t>
  </si>
  <si>
    <t>SOCORRO - PENEDO, 230 KV, C1</t>
  </si>
  <si>
    <t>03.23.10.008906-6</t>
  </si>
  <si>
    <t>ANGELIM - TACAIMBO, 230 KV, C3</t>
  </si>
  <si>
    <t>03.23.10.008686-7</t>
  </si>
  <si>
    <t>SECCIONAMENTO ANGELIM - RECIFE II, 230 KV, CD NA SE RIBEIRÃO</t>
  </si>
  <si>
    <t>343/2024 - DICOP</t>
  </si>
  <si>
    <t>SE DELMIRO GOUVEIA</t>
  </si>
  <si>
    <t>1331/2016</t>
  </si>
  <si>
    <t>ABAIXADORA - ZEBU, 69 KV, C1 , SE CATU , SE CICERO DANTAS , SE ITABAIANINHA , ITABAIANINHA - CATU, 230 KV, C1 , SE ITAPARICA , ABAIXADORA - MULUNGU, 69 KV, C1 , USINA I - PAULO AFONSO III, 230 KV, C1 , SE LUIZ GONZAGA , LUIZ GONZAGA - OLINDINA, 500 KV, C1 , SE OLINDINA , PAULO AFONSO III - CICERO DANTAS, 230 KV, C1 , PAULO AFONSO III - CICERO DANTAS, 230 KV, C2 , PAULO AFONSO III - ITABAIANA, 230 KV, C2 , PAULO AFONSO III - ITABAIANA, 230 KV, C3 , PAULO AFONSO IV - LUIZ GONZAGA, 500 KV, C1 , PAULO AFONSO IV - OLINDINA, 500 KV, C2 , SE USINA APOLONIO SALES , USINA I - PAULO AFONSO III, 230 KV, C2 , USINA II - PAULO AFONSO III 230 KV, C1 , USINA II - PAULO AFONSO III 230 KV, C3 , USINA II - PAULO AFONSO III 230 KV, C4 , USINA II - PAULO AFONSO III 230 KV, C5 , USINA II - ZEBU, 138 KV, C1 , USINA III - PAULO AFONSO III, 230 KV, C1 , USINA III - PAULO AFONSO III, 230 KV, C2 , USINA III - PAULO AFONSO III, 230 KV, C3 , USINA III - PAULO AFONSO III, 230 KV, C4 , USINA IV - PAULO AFONSO IV, 500 KV, C1 , USINA IV - PAULO AFONSO IV, 500 KV, C2 , USINA IV - PAULO AFONSO IV, 500 KV, C3 , USINA IV - PAULO AFONSO IV, 500 KV, C4 , USINA IV - PAULO AFONSO IV, 500 KV, C5 , USINA IV - PAULO AFONSO IV, 500 KV, C6 , SE USINA LUIZ GONZAGA , SE USINA PAULO AFONSO I , SE USINA PAULO AFONSO II , SE USINA PAULO AFONSO III , SE USINA PAULO AFONSO IV , VILA ZEBU - ITAPARICA, 69 KV, C1 , ZEBU - MOXOTO, 69 KV, C1 , USINA II - PAULO AFONSO III 230 KV, C2 , P. Afonso III-Itabaiana , USINA LUIZ GONZAGA - LUIZ GONZAGA, 500 KV C1 , USINA LUIZ GONZAGA - LUIZ GONZAGA, 500 KV, C2 , USINA LUIZ GONZAGA - LUIZ GONZAGA, 500 KV, C3</t>
  </si>
  <si>
    <t>2018-125908/TEC/LO-0227</t>
  </si>
  <si>
    <t>SE PARAISO</t>
  </si>
  <si>
    <t>1406/2017</t>
  </si>
  <si>
    <t>FUTURA - SOBRADINHO, 500 KV, C1 , IBIAPINA II - SOBRAL II, 230 KV, C1 , JUAZEIRO III - FUTURA, 500 KV, C1 , JUAZEIRO III - LUIZ GONZAGA, 500 KV, C1 , LUIZ GONZAGA - SOBRADINHO, 500 KV, C1 , SE SAO JOAO DO PIAUI , SE SOBRADINHO , SOBRADINHO - JUAZEIRO III, 500 KV, C1 , SOBRADINHO - LUIZ GONZAGA, 500 KV, C2 , SOBRADINHO - SAO JOAO PIAUI, 500 KV, C1</t>
  </si>
  <si>
    <t>35/2025</t>
  </si>
  <si>
    <t>SOBRAL II - CAUIPE, 230 KV, C1</t>
  </si>
  <si>
    <t>03.21.11.004744-1</t>
  </si>
  <si>
    <t>SECC BOM NOME - PAULO AFONSO, 230 KV, C1 , SE TACARATU</t>
  </si>
  <si>
    <t>05.24.02.001072-1</t>
  </si>
  <si>
    <t>PIRAPAMA II - SUAPE II, 230 KV, C1 , PIRAPAMA II - SUAPE II, 230 KV, C2 , SE SUAPE II , SUAPE II - SUAPE III, 230 KV, C1 , SUAPE II - SUAPE III, 230 KV, C2 , SE SUAPE III</t>
  </si>
  <si>
    <t>05.23.05.004201-6</t>
  </si>
  <si>
    <t>ANGELIM II - RECIFE II, 500 KV, C2</t>
  </si>
  <si>
    <t>32-3/2025</t>
  </si>
  <si>
    <t>JARDIM - NOSSA SENHORA SOCORRO, 230 KV, C1 , SE NOSSA SENHORA DO SOCORRO</t>
  </si>
  <si>
    <t>183/2024</t>
  </si>
  <si>
    <t>ITABAIANA - ITABAIANINHA, 230 KV, C1</t>
  </si>
  <si>
    <t>05.21.07.002811-9</t>
  </si>
  <si>
    <t>PIRAPAMA II - RECIFE II, 69 KV, C1</t>
  </si>
  <si>
    <t>213/2024</t>
  </si>
  <si>
    <t>JARDIM - CIA. VALE DO RIO DOCE, 230 KV, C1</t>
  </si>
  <si>
    <t>05.21.04.001630-6</t>
  </si>
  <si>
    <t>ANGELIM - RIBEIRAO, 230 KV, C1 , SE RIBEIRAO</t>
  </si>
  <si>
    <t>085/2024</t>
  </si>
  <si>
    <t>SOBRAL III - SOBRAL II, 230 KV, C1 , SOBRAL III - SOBRAL II, 230 KV, C2</t>
  </si>
  <si>
    <t>1309/2015</t>
  </si>
  <si>
    <t>CEARA MIRIM II - CAMPINA GRANDE III 500 KV, C1</t>
  </si>
  <si>
    <t>2016-097335/TEC/LO-0050</t>
  </si>
  <si>
    <t>TOUROS - CEARA MIRIM II, 230 KV, C1</t>
  </si>
  <si>
    <t>2018-119177/TEC/LO-0124</t>
  </si>
  <si>
    <t>SE CEARA MIRIM II</t>
  </si>
  <si>
    <t>1235/2014</t>
  </si>
  <si>
    <t>PICOS - TAUA II, 230 KV, C1</t>
  </si>
  <si>
    <t>2018-125495/TEC/RLO-0990</t>
  </si>
  <si>
    <t>SE LAGOA NOVA II</t>
  </si>
  <si>
    <t>524/2017</t>
  </si>
  <si>
    <t>ICO - BANABUIU, 230 KV, C1 , MILAGRES - BANABUIU, 230 KV, C1 , MILAGRES - BANABUIU, 230 KV, C2 , MILAGRES - ICO, 230 KV, C1</t>
  </si>
  <si>
    <t>LO 2016-105096/TEC/RLO-0608</t>
  </si>
  <si>
    <t>2023.15091433765.EXP.LOR</t>
  </si>
  <si>
    <t>SE PENEDO</t>
  </si>
  <si>
    <t>2023.0591428152.EXP.LOR</t>
  </si>
  <si>
    <t>USINA APOLONIO SALES - PAULO AFONSO III, 230 KV, C1 , USINA APOLONIO SALES - PAULO AFONSO III, 230 KV, C2</t>
  </si>
  <si>
    <t>2019-145167/TEC/LO-0316</t>
  </si>
  <si>
    <t>SE SANTANA DOS MATOS II</t>
  </si>
  <si>
    <t>2023.15091433870.EXP.LOR</t>
  </si>
  <si>
    <t>SE MACEIO</t>
  </si>
  <si>
    <t>2023.05091428257.EXP.LOR</t>
  </si>
  <si>
    <t>PAULO AFONSO IV - PAULO AFONSO III, 230 KV, C1 , PAULO AFONSO IV - PAULO AFONSO III, 230 KV, C2</t>
  </si>
  <si>
    <t>2023.25091437046.EXP.LOR</t>
  </si>
  <si>
    <t>MESSIAS - MACEIO, 230 KV, C1 , MESSIAS - MACEIO, 230 KV, C2</t>
  </si>
  <si>
    <t>1.238/2014 - 2ª Retificação</t>
  </si>
  <si>
    <t>SE ANGELIM , ANGELIM - MESSIAS, 230 KV, C1 , ANGELIM - MESSIAS, 230 KV, C2 , ANGELIM - MESSIAS, 230 KV, C3 , SE ANGELIM II , GARANHUNS II - ANGELIM II, 500 KV, C1 (05L5) , GARANHUNS II - ANGELIM, 230 KV, C1 , GARANHUNS II - ANGELIM, 230 KV, C2 , LUIZ GONZAGA - GARANHUNS II, 500 KV, C1 (05Z1) , SE MESSIAS , SE PAULO AFONSO III , PAULO AFONSO III - ANGELIM, 230 KV, C1 , PAULO AFONSO III - GARANHUNS II, 230 KV, C1 , PAULO AFONSO III - GARANHUNS II, 230 KV, C2 , PAULO AFONSO III - GARANHUNS II, 230 KV, C3 , PAULO AFONSO III - SANTANA II C1, 230 KV (04L1) , SE PAULO AFONSO IV , PAULO AFONSO IV - ANGELIM II, 500 KV, C1 (05L6) , PAULO AFONSO IV - XINGO, 500 KV, C1 , SANTANA II  - ANGELIM C1, 230 KV (04Z9) , USINA XINGO - XINGO, 500 KV, C1 , USINA XINGO - XINGO, 500 KV, C2 , USINA XINGO - XINGO, 500 KV, C3 , USINA XINGO - XINGO, 500 KV, C4 , USINA XINGO - XINGO, 500 KV, C5 , USINA XINGO - XINGO, 500 KV, C6 , XINGO - MESSIAS, 500 KV, C1 , SE XINGO 500 KV , SE XINGO 69 KV , SE ZEBU</t>
  </si>
  <si>
    <t>1693/2024</t>
  </si>
  <si>
    <t>SE CAMPINA GRANDE III</t>
  </si>
  <si>
    <t>2019-136655/TEC/LS-0249</t>
  </si>
  <si>
    <t>SECC MOSSORO II - ACU II, 230 KV, C2 NA SE ACU III</t>
  </si>
  <si>
    <t>329/2003</t>
  </si>
  <si>
    <t>BANABUIU - MOSSORO II, 230 KV, C1 , BANABUIU - MOSSORO II, 230 KV, C2</t>
  </si>
  <si>
    <t>463/2020</t>
  </si>
  <si>
    <t>FORTALEZA II - PICI II, 230 KV, C1 , FORTALEZA II - PICI II, 230 KV, C2</t>
  </si>
  <si>
    <t>391/2021</t>
  </si>
  <si>
    <t>MILAGRES - TAUA II, 230 KV, C1</t>
  </si>
  <si>
    <t>1196257/2021</t>
  </si>
  <si>
    <t>SAO LUIS II - SAO LUIS III, 230 KV, C2</t>
  </si>
  <si>
    <t>87/2019</t>
  </si>
  <si>
    <t>AQUIRAZ II - FORTALEZA, 230 KV, C2 , AQUIRAZ II - FORTALEZA, 230 KV, C3 , AQUIRAZ II - FORTALEZA, 230 KV, C1</t>
  </si>
  <si>
    <t>115/2021</t>
  </si>
  <si>
    <t>ACARAU II - SOBRAL III, 230 KV, C2</t>
  </si>
  <si>
    <t>2015-092659/TEC-RLO-0859</t>
  </si>
  <si>
    <t>MOSSORO II - ACU II, 230 KV, C1</t>
  </si>
  <si>
    <t>03.20.06.001.902-7</t>
  </si>
  <si>
    <t>SECC PAU FERRO - COTEMINAS na SE LAGOA DO CARRO</t>
  </si>
  <si>
    <t>1111/2020</t>
  </si>
  <si>
    <t>CAMPINA GRANDE II - CAMPINA GRANDE III, 230 KV, C1 , CAMPINA GRANDE II - CAMPINA GRANDE III, 230 KV, C2 , CAMPINA GRANDE III - CAMPINA GRANDE II, 230 KV, C3</t>
  </si>
  <si>
    <t>2023.19091435248.EXP.LOR</t>
  </si>
  <si>
    <t>RIO LARGO II - PENEDO, 230 KV, C1</t>
  </si>
  <si>
    <t>2013-063478/TEC/LO-0426</t>
  </si>
  <si>
    <t>SE JOAO CAMARA II</t>
  </si>
  <si>
    <t>2019-136653/TEC/LSIO-0004</t>
  </si>
  <si>
    <t>SECC MOSSORO II - ACU II, 230 KV, C1 NA SE ACU III</t>
  </si>
  <si>
    <t>D000099/17</t>
  </si>
  <si>
    <t>2012-057024/TEC/RLO-0730</t>
  </si>
  <si>
    <t>PARAISO - ACU II, 230 KV, C2</t>
  </si>
  <si>
    <t>2016-103071/TEC/RLO-0313</t>
  </si>
  <si>
    <t>LO INATIVA - Solicitada renovação fora do prazo</t>
  </si>
  <si>
    <t>CURRAIS NOVOS II - SANTANA DO MATOS II, 138 KV, C1</t>
  </si>
  <si>
    <t>2008-019349/TEC/RLO-0483</t>
  </si>
  <si>
    <t>SE CURRAIS NOVOS II</t>
  </si>
  <si>
    <t>1019314/2024</t>
  </si>
  <si>
    <t>SE Imperatriz</t>
  </si>
  <si>
    <t>13896/2023</t>
  </si>
  <si>
    <t>LT 230 kV Marabá / Carajás - C1 , SE Carajás , SE Integradora , SE Marabá</t>
  </si>
  <si>
    <t>494/13 - 02</t>
  </si>
  <si>
    <t>LT 230 kV Jorge Teixeira / Lechuga - C3 , LT 230 kV Jorge Teixeira / Lechuga - CD</t>
  </si>
  <si>
    <t>126/15-03</t>
  </si>
  <si>
    <t>SE Lechuga</t>
  </si>
  <si>
    <t>1014616/2024</t>
  </si>
  <si>
    <t>SE São Luís II</t>
  </si>
  <si>
    <t>323711/2021</t>
  </si>
  <si>
    <t>SE Lucas do Rio Verde</t>
  </si>
  <si>
    <t>157489/2023</t>
  </si>
  <si>
    <t>SE Ariquemes</t>
  </si>
  <si>
    <t>1030160/2024</t>
  </si>
  <si>
    <t>LT 500 kV Presidente Dutra / Boa Esperança - C1</t>
  </si>
  <si>
    <t>1030005/2024</t>
  </si>
  <si>
    <t>LT 230 kV Imperatriz / Porto Franco</t>
  </si>
  <si>
    <t>1019403/2024</t>
  </si>
  <si>
    <t>SE Coelho Neto</t>
  </si>
  <si>
    <t>14377/2023</t>
  </si>
  <si>
    <t>LT 138 kV Curuá-Una / Tapajós</t>
  </si>
  <si>
    <t>0133/2021 (2 Renovação)</t>
  </si>
  <si>
    <t>LT 230 kV Boa Vista / Santa Elena (Venezuela) - C1 , SE Boa Vista</t>
  </si>
  <si>
    <t>1019233/2024</t>
  </si>
  <si>
    <t>SE Miranda II</t>
  </si>
  <si>
    <t>1114732/2024</t>
  </si>
  <si>
    <t>LT 230 kV São Luís II / Miranda / Peritoró / Coelho Neto / Teresina - C1</t>
  </si>
  <si>
    <t>328643/2023</t>
  </si>
  <si>
    <t>LT 230 KV Coxipó / Jauru - C1 e C2 (CD)</t>
  </si>
  <si>
    <t>1590/2020</t>
  </si>
  <si>
    <t>Seccionamento da LT Miranda II/São Luís II - C1  e C2 até SE Bacabeira</t>
  </si>
  <si>
    <t>332969/2024</t>
  </si>
  <si>
    <t>LT 230 kV Barra do Peixe / Rondonópolis - C1 , SE Barra do Peixe</t>
  </si>
  <si>
    <t>333070/2024</t>
  </si>
  <si>
    <t>LT 230 kV Coxipó / Nobres / Nova Mutum / Sorriso / Sinop- C1 , SE Coxipó , SE Nobres , SE Nova Mutum , SE Sinop , SE Sorriso</t>
  </si>
  <si>
    <t>1050/2011 - 2ª Renovação</t>
  </si>
  <si>
    <t>LT 230 kV Ribeiro Gonçalves / Balsas , SE Balsas , SE Ribeiro Gonçalves</t>
  </si>
  <si>
    <t>329123/2023</t>
  </si>
  <si>
    <t>SE Jaurú</t>
  </si>
  <si>
    <t>332971/2024</t>
  </si>
  <si>
    <t>LT 138 kV Couto Magalhães / Rondonópolis - C1 , LT 230 kV Couto Magalhães / Rondonópolis , SE Couto Magalhães</t>
  </si>
  <si>
    <t>156585/2022</t>
  </si>
  <si>
    <t>SE Vilhena</t>
  </si>
  <si>
    <t>322247/2020</t>
  </si>
  <si>
    <t>LT 230 kV Barra do Peixe / Rondonópolis - C2 , SE Rondonópolis</t>
  </si>
  <si>
    <t>1053/2011</t>
  </si>
  <si>
    <t>Estações Conversoras CA/CC/CA, tipo back to back, 400MW , LT 230 kV Coletora Porto Velho / Porto Velho - C1 e C2 , SE Coletora Porto Velho</t>
  </si>
  <si>
    <t>1150/2013</t>
  </si>
  <si>
    <t>Eletrodo de Terra associado à Estação Retificadora 01 CC/CA/500/±600kV, instalado na SE Coletora PV , Linha do Eletrodo associada à Est. Retificadora 01 CA/CC, 500/±600kV, na SE Coletora PV</t>
  </si>
  <si>
    <t>1151/2013</t>
  </si>
  <si>
    <t>Eletrodo de Terra associada à Estação Inversora 01 CC/CA/600/±500kV, instalado na SE Araraquara 2 , Linha do Eletrodo associado à Estação Inversora 01 CC /CA 600/±500 Kv</t>
  </si>
  <si>
    <t>322661/2020</t>
  </si>
  <si>
    <t>LT 138 kV Rondonópolis / Coxipó , LT 230 kV Rondonópolis / Coxipó C1 , LT 230 kV Rondonópolis / Coxipó C2</t>
  </si>
  <si>
    <t>0265/02</t>
  </si>
  <si>
    <t>LT 500 kV Tucuruí / Marabá / Imperatriz / Presidente Dutra / São Luís - C1 e C2</t>
  </si>
  <si>
    <t>1132/2013</t>
  </si>
  <si>
    <t>Estação Retificadora nº 01 CC/CA, 500/±600 kV, instalada na SE Coletora Porto Velho</t>
  </si>
  <si>
    <t>1338/2016</t>
  </si>
  <si>
    <t>LT 230 kV Jaurú / Porto Velho - C3</t>
  </si>
  <si>
    <t>1131/2013</t>
  </si>
  <si>
    <t>Estação Inversora nº 01 CC/CA, 600/±500 kV, instalada na SE Coletora Araraquara 2</t>
  </si>
  <si>
    <t>152861/2021</t>
  </si>
  <si>
    <t>SE Jaru</t>
  </si>
  <si>
    <t>9172/2015</t>
  </si>
  <si>
    <t>LT 138 kV Tucuruí / Cametá , SE Cametá , SE Tucuruí Vila</t>
  </si>
  <si>
    <t>150069/2020</t>
  </si>
  <si>
    <t>LT 230kV Porto Velho / Vilhena C1 , SE Porto Velho , SE Samuel</t>
  </si>
  <si>
    <t>14829/2024</t>
  </si>
  <si>
    <t>LT 230 kV Vila do Conde / Guamá - C1 , LT 500/230 kV Tucuruí / Vila do Conde - C1 , SE Guamá , SE Tucuruí , SE Vila do Conde , LT 230 kV Vila do Conde / Guamá - C2</t>
  </si>
  <si>
    <t>1122/2013</t>
  </si>
  <si>
    <t>LT 230 kV Porto Velho / Abunã / Rio Branco - C2</t>
  </si>
  <si>
    <t>342/2003</t>
  </si>
  <si>
    <t>LT 500 kV Imperatriz / Colinas / Miracema - C1 , SE Colinas , SE Miracema</t>
  </si>
  <si>
    <t>10111/16</t>
  </si>
  <si>
    <t>LT 230 kV Guamá / Utinga - C1 e C2 , LT 230 kV Santa Maria / Castanhal - C2 , LT 230 kV Utinga / Castanhal -C1 , LT 230 kV Utinga / Miramar-C1 e C2 , SE Miramar , SE Santa Maria , SE Utinga</t>
  </si>
  <si>
    <t>11043/2018</t>
  </si>
  <si>
    <t>LT 230 kV Tucuruí / Altamira / Transamazônica / Ruropolis - C1 , SE Altamira , SE Rurópolis , SE Transamazônica</t>
  </si>
  <si>
    <t>1080/2012</t>
  </si>
  <si>
    <t>LT 230 kV Porto Velho / Abunã / Rio Branco - C1 , SE Abunã , SE Rio Branco</t>
  </si>
  <si>
    <t>152322/2021</t>
  </si>
  <si>
    <t>SE Ji-Paraná</t>
  </si>
  <si>
    <t>152863/2021</t>
  </si>
  <si>
    <t>SE Pimenta Bueno</t>
  </si>
  <si>
    <t>514/2022</t>
  </si>
  <si>
    <t>SE Vitoria</t>
  </si>
  <si>
    <t>93/2000 Renovação</t>
  </si>
  <si>
    <t>LT 750 kV Itaberá - Ivaiporã 3</t>
  </si>
  <si>
    <t>019/2022</t>
  </si>
  <si>
    <t>SE Bandeirantes</t>
  </si>
  <si>
    <t>299/2020</t>
  </si>
  <si>
    <t>SE Barro Alto</t>
  </si>
  <si>
    <t>90/2023</t>
  </si>
  <si>
    <t>SE Viana</t>
  </si>
  <si>
    <t>003/2021</t>
  </si>
  <si>
    <t>SE Adrianópolis</t>
  </si>
  <si>
    <t>LT 345 kV Marimbondo - Porto Colômbia</t>
  </si>
  <si>
    <t>LT 500 kV Marimbondo - Água Vermelha</t>
  </si>
  <si>
    <t>LT 345 kV Itumbiara - Porto Colômbia</t>
  </si>
  <si>
    <t>40/2013</t>
  </si>
  <si>
    <t>LT 138 kV Batalha - Paracatu</t>
  </si>
  <si>
    <t>30/2022</t>
  </si>
  <si>
    <t>SE Niquelândia</t>
  </si>
  <si>
    <t>90/2021</t>
  </si>
  <si>
    <t>LT 230 kV Xavantes - Pirineus C2 , SE Pirineus</t>
  </si>
  <si>
    <t>LO Nº 153/2023</t>
  </si>
  <si>
    <t>LT 230 kV Barro Alto - Niquelândia</t>
  </si>
  <si>
    <t>CA IN0020996</t>
  </si>
  <si>
    <t>LT 138 kV Alcântara - Adrianópolis I</t>
  </si>
  <si>
    <t>CA IN002986</t>
  </si>
  <si>
    <t>LT 345 kV Macaé - Campos 2</t>
  </si>
  <si>
    <t>CA IN002995</t>
  </si>
  <si>
    <t>LT 138 kV Campos (Usina) - Campos (Subestação) 1</t>
  </si>
  <si>
    <t>CA IN002993</t>
  </si>
  <si>
    <t>LT 138 kV Santa Cruz - Palmares II</t>
  </si>
  <si>
    <t>CA IN002992</t>
  </si>
  <si>
    <t>LT 138 kV Campos (Usina) - Campos (Subestação) 2</t>
  </si>
  <si>
    <t>CA IN002991</t>
  </si>
  <si>
    <t>LT 345 kV Macaé - Campos 1</t>
  </si>
  <si>
    <t>CA IN002988</t>
  </si>
  <si>
    <t>LT 138 kV Imbariê - São José 1</t>
  </si>
  <si>
    <t>CA IN002987</t>
  </si>
  <si>
    <t>LT 138 kV Imbariê - São José 2</t>
  </si>
  <si>
    <t>CA IN0020991</t>
  </si>
  <si>
    <t>LT 138 kV Alcântara - Imbariê - Adrianópolis</t>
  </si>
  <si>
    <t>CA IN0020978</t>
  </si>
  <si>
    <t>LT 138 kV Adrianópolis - CEPEL 2</t>
  </si>
  <si>
    <t>296-2005</t>
  </si>
  <si>
    <t>SE COMPERJ (GASLUB)</t>
  </si>
  <si>
    <t>CA IN003313</t>
  </si>
  <si>
    <t>LT 138 kV Jacarepaguá - Palmares</t>
  </si>
  <si>
    <t>SE Foz do  Iguaçu 50 HZ , SE Foz do  Iguaçu 60 HZ</t>
  </si>
  <si>
    <t>1656/2023</t>
  </si>
  <si>
    <t>LT 138 kV Campos - Cachoeiro do Itapemirim Circuito 1 , LT 138 kV Campos - Cachoeiro do Itapemirim Circuito 2 , LT 138 kV Campos - Iriri , LT 138 kV Campos - Rochão Leão , LT 138 kV Iriri - Rocha Leão , LT 138 kV Rocha Leão - Magé 1 , LT 138 kV Rocha Leão - Magé 2 , LT 345 kV Adrianópolis - Venda das Pedras , LT 345 kV Campos - Viana , LT 345 kV Campos - Vitória , LT 345 kV Viana - Vitória , LT 500 kV Adrianópolis - São José , SE Angra dos Reis</t>
  </si>
  <si>
    <t>1657/2023</t>
  </si>
  <si>
    <t>LT 600 kV Foz do Iguaçu - Ibiuna 1 - Bipolo 1 (Polo 1 e 2) , LT 600 kV Foz do Iguaçu - Ibiuna 1 - Bipolo 2 (Polo  3 e 4) , LT 750 kV Itaberá - Ivaiporã 1 , LT 750 kV Itaberá - Ivaiporã 2</t>
  </si>
  <si>
    <t>170/2001</t>
  </si>
  <si>
    <t>LT 750 kV Foz do Iguaçu - Ivaiporã 3</t>
  </si>
  <si>
    <t>863/2018</t>
  </si>
  <si>
    <t>SE Rio Verde</t>
  </si>
  <si>
    <t>SE Brasilia Sul</t>
  </si>
  <si>
    <t>174/2021 - IBRAM/PRESI</t>
  </si>
  <si>
    <t>SE Brasilia Geral</t>
  </si>
  <si>
    <t>1666/2024</t>
  </si>
  <si>
    <t>LT 138 kV Angra (Furnas) - Angra (Enel)</t>
  </si>
  <si>
    <t>LO Nº 1116/2012 - 1ª Renovação</t>
  </si>
  <si>
    <t>LT 138 kV Anta - Simplício , LT 138 kV Simplício - Rocha Leão</t>
  </si>
  <si>
    <t>238/2002 - 2ª RENOVAÇÃO</t>
  </si>
  <si>
    <t>SE Samambaia</t>
  </si>
  <si>
    <t>1669/2024</t>
  </si>
  <si>
    <t>LT 138 kV Cachoeira Paulista  - Volta Redonda 1 , LT 138 kV Cachoeira Paulista  - Volta Redonda 2 , LT 345 kV Adrianópolis  - Itutinga 1 , LT 345 kV Adrianópolis  - Itutinga 2 , LT 345 kV Campinas  - Poços de Caldas , LT 345 kV Furnas  - Pimenta , LT 345 kV Furnas - Estreito , LT 345 kV Furnas - Poços de Caldas 1 , LT 345 kV Furnas - Poços de Caldas 2 , LT 345 kV Guarulhos - Poços de Caldas 1 , LT 345 kV Guarulhos - Poços de Caldas 2 , LT 345 kV Luiz Carlos Barreto  - Estreito 1 , LT 345 kV Luiz Carlos Barreto  - Estreito 2 , LT 345 kV Mogi das Cruzes - Poços de Caldas (Mogi das Cruzes - Atibaia -Poços de Caldas) , LT 345 kV Porto Colômbia - Volta Grande , LT 500 kV Adrianópolis - Cachoeira Paulista 1 (Adrianópolis - Terminal Rio - Cachoeira Paulista 1) , LT 500 kV Adrianópolis - Resende (Adrianópolis - Terminal Rio - Resende) , LT 500 kV Araraquara - Marimbondo C1 (Araraquara - Marimbondo 2 - Marimbondo C1) , LT 500 kV Araraquara - Marimbondo C2 (Araraquara - Marimbondo 2 - Marimbondo C2) , LT 500 kV Araraquara - Poços de Caldas , LT 500 kV Cachoeira Paulista - Itajubá , LT 500 kV Cachoeira Paulista - Resende , LT 500 kV Poços de Caldas - Itajubá , LT 138kV Funil - Cachoeira Paulista , LT 138kV Funil - Volta Redonda</t>
  </si>
  <si>
    <t>1705/2024</t>
  </si>
  <si>
    <t>LT 345kV Itumbiara - Brasília Sul (Itumbiara - Corumbá - Brasília Sul)</t>
  </si>
  <si>
    <t>1349-2016</t>
  </si>
  <si>
    <t>LT 500 kV Araraquara - Marimbondo - Seccionamento na SE Marimbondo II (Guaraciaba Transmissora)</t>
  </si>
  <si>
    <t>CA IN003314</t>
  </si>
  <si>
    <t>LT 138 kV Jacarepaguá - ZIN</t>
  </si>
  <si>
    <t>CA IN002990</t>
  </si>
  <si>
    <t>LT 138 kV Palmares - Mato Alto</t>
  </si>
  <si>
    <t>CA IN003316</t>
  </si>
  <si>
    <t>LT 138 kV Muriqui - Brisamar</t>
  </si>
  <si>
    <t>LO 1002</t>
  </si>
  <si>
    <t>SE São José</t>
  </si>
  <si>
    <t>IN051678</t>
  </si>
  <si>
    <t>SE Baixada Fluminense</t>
  </si>
  <si>
    <t>325307/2021</t>
  </si>
  <si>
    <t>LT 230 kV Manso - Nobres</t>
  </si>
  <si>
    <t>CA IN016320</t>
  </si>
  <si>
    <t>LT 138 kV Zona Oeste - ZIN I</t>
  </si>
  <si>
    <t>CA IN003311</t>
  </si>
  <si>
    <t>LT 345 kV Adrianópolis  - Jacarepaguá 1 , LT 345 kV Adrianópolis  - Jacarepaguá 2 (Adrianópolis  - Nova Iguaçu - Jacarepaguá)</t>
  </si>
  <si>
    <t>CA IN003309</t>
  </si>
  <si>
    <t>LT 138 kV Muriqui - Angra</t>
  </si>
  <si>
    <t>CA IN003208</t>
  </si>
  <si>
    <t>LT 138 kV Santa Cruz - Brisamar I</t>
  </si>
  <si>
    <t>CA IN003315</t>
  </si>
  <si>
    <t>LT 138 kV Jacuacanga - Brisamar</t>
  </si>
  <si>
    <t>1403/2017</t>
  </si>
  <si>
    <t>LT 230 kV Serra da Mesa - Niquelândia</t>
  </si>
  <si>
    <t>CA IN0020992</t>
  </si>
  <si>
    <t>LT 138 kV Alcântara - Adrianópolis III</t>
  </si>
  <si>
    <t>434/2005</t>
  </si>
  <si>
    <t>LT 345 kV Ouro Preto 2 - Vitoria (Vitória - Padre Fialho - Barro Branco - Ouro Preto)</t>
  </si>
  <si>
    <t>140/2001 REN</t>
  </si>
  <si>
    <t>LT 750 kV Itaberá - Tijuco Preto 3</t>
  </si>
  <si>
    <t>CA IN003456</t>
  </si>
  <si>
    <t>LT 138 kV Santa Cruz - ZIN 2 (antiga Santa Cruz - ZIN - Ari Franco)</t>
  </si>
  <si>
    <t>IN050637</t>
  </si>
  <si>
    <t>LT 138 kV Adrianópolis - Magé 1 , LT 138 kV Adrianópolis - Magé 2</t>
  </si>
  <si>
    <t>LO CA IN 0020979</t>
  </si>
  <si>
    <t>LT 138 kV Adrianópolis - CEPEL 1</t>
  </si>
  <si>
    <t>CA IN016321</t>
  </si>
  <si>
    <t>LT 138 kV Santa Cruz - Palmares I</t>
  </si>
  <si>
    <t>312/2003 - 2ª Renovação</t>
  </si>
  <si>
    <t>LT 500 kV Bateias - Ibiúna</t>
  </si>
  <si>
    <t>IN052795</t>
  </si>
  <si>
    <t>LT 345 kV Macaé - Campos 3 , SE Campos , SE Macaé</t>
  </si>
  <si>
    <t>CA IN016322</t>
  </si>
  <si>
    <t>LT 138 kV Santa Cruz - ZIN 1 (antiga Santa Cruz - ZIN - Comos)</t>
  </si>
  <si>
    <t>CA IN0020980</t>
  </si>
  <si>
    <t>LT 138 kV Alcântara - Adrianópolis II</t>
  </si>
  <si>
    <t>CA IN020047</t>
  </si>
  <si>
    <t>LT 138 kV Jacarepaguá I - Mato Alto</t>
  </si>
  <si>
    <t>IN050654</t>
  </si>
  <si>
    <t>LT 138 kV São José - Magé I , LT 138 kV São José - Magé II</t>
  </si>
  <si>
    <t>LT 345 kV Tijuco Preto - Itapeti -Nordeste - Trecho Itapeti -Nordeste</t>
  </si>
  <si>
    <t>341-2003</t>
  </si>
  <si>
    <t>SE Gurupi , LT 500 KV Norte - Sul 1</t>
  </si>
  <si>
    <t>LO 159/2001 2° renovação</t>
  </si>
  <si>
    <t>ETEL Araçoiaba da Serra</t>
  </si>
  <si>
    <t>IN051682</t>
  </si>
  <si>
    <t>SE Resende</t>
  </si>
  <si>
    <t>182/2001</t>
  </si>
  <si>
    <t>LT 500 kV Serra da Mesa - Samambaia I</t>
  </si>
  <si>
    <t>30/98</t>
  </si>
  <si>
    <t>LT 500 kV Serra da Mesa - Samambaia II</t>
  </si>
  <si>
    <t>LMO 001707</t>
  </si>
  <si>
    <t>LT 138 kV Zona Oeste - ZIN II (Santa Cruz - Jacarepaguá I - Torre 02 À SE Zona Oeste)</t>
  </si>
  <si>
    <t>1011/2011 - 1° Retificação</t>
  </si>
  <si>
    <t>LT 500 kV Angra - Rio 2 (Angra Loop São José - Grajaú) , SE Zona Oeste</t>
  </si>
  <si>
    <t>82/2018</t>
  </si>
  <si>
    <t>LT 230 kV Mascarenhas - Linhares , SE Linhares</t>
  </si>
  <si>
    <t>LT 345 kV Tijuco Preto - Itapeti -Nordeste - Trecho Tijuco Preto - Itapeti</t>
  </si>
  <si>
    <t>SE Tijuco Preto</t>
  </si>
  <si>
    <t>389/2004</t>
  </si>
  <si>
    <t>LT 500 kV Cachoeira Paulista - Adrianopolis 3</t>
  </si>
  <si>
    <t>088/2003 - 1a. RENOVAÇÃO</t>
  </si>
  <si>
    <t>SE Serra da Mesa</t>
  </si>
  <si>
    <t>015/2014 SUPRAM CM</t>
  </si>
  <si>
    <t>SE Barro Branco</t>
  </si>
  <si>
    <t>Código</t>
  </si>
  <si>
    <t>Corporativo ou SPE?</t>
  </si>
  <si>
    <t>Categoria do Investimento</t>
  </si>
  <si>
    <t>Descrição detalhada do emprendimento
 (escopo)</t>
  </si>
  <si>
    <t>Tipo de Equipamento
(Equip. principal)</t>
  </si>
  <si>
    <t>T2023-201</t>
  </si>
  <si>
    <t>RGP</t>
  </si>
  <si>
    <t>CGT ELETROSUL</t>
  </si>
  <si>
    <t>Reforço na SE Anastácio: Instalação do 2º reator de barra de 27 Mvar em 230 Kv</t>
  </si>
  <si>
    <t>T2023-104</t>
  </si>
  <si>
    <t>ELETRONORTE</t>
  </si>
  <si>
    <t>Reforço na SE Sorriso: Instalação do 4º TF 230/69/13,8 kV, 1 x 60 MVA trifásico</t>
  </si>
  <si>
    <t>T2023-142</t>
  </si>
  <si>
    <t>Reforço SE Joinville: substituição TF1 138/69 kV - 50 MVA por TF de 138/69 kV – 66 MVA</t>
  </si>
  <si>
    <t>T2023-160</t>
  </si>
  <si>
    <t>CHESF</t>
  </si>
  <si>
    <t>Reforço na SE Açu II: Substituição do TR4 230/69 kV - 39 MVA para 100 MVA</t>
  </si>
  <si>
    <t>T2023-159</t>
  </si>
  <si>
    <t>Reforço na SE Bom Jesus da Lapa: Substituição do TR2 230/69 kV - 33 MVA para 100 MVA</t>
  </si>
  <si>
    <t>T2023-161</t>
  </si>
  <si>
    <t>Reforço na SE Irecê: Substituição do TR2 e TR3 230/69 kV - 33 MVA por dois TRs de 100 MVA</t>
  </si>
  <si>
    <t>T2023-181</t>
  </si>
  <si>
    <t>Reforço na SE Olindina: Instalação do 3º banco de reatores de barra de 3 x 50 Mvar em 500 kV</t>
  </si>
  <si>
    <t>T2023-167</t>
  </si>
  <si>
    <t>FURNAS</t>
  </si>
  <si>
    <t>Reforço na SE Resende: Instalação do 1º RTB 500 kV - (3+1)x66,66 Mvar</t>
  </si>
  <si>
    <t>T2023-167-A</t>
  </si>
  <si>
    <t>Instalação da fase reserva para o 1º RTB 500 kV - (3+1)x66,66 Mvar, na SE Resende.</t>
  </si>
  <si>
    <t>T2023-149</t>
  </si>
  <si>
    <t>Reforço na SE Jorge Lacerda A: substituição do TF9 - 138/69 kV - 50 MVA existente, por TF de 60 MVA</t>
  </si>
  <si>
    <t>T2023-134</t>
  </si>
  <si>
    <t>Reforço na SE Presidente Dutra: substituição do TR1 500/230 kV, (3+1)x100 MVA, por (3+1)x150 MVA.</t>
  </si>
  <si>
    <t>T2023-114</t>
  </si>
  <si>
    <t>Reforço na SE Pimenta Bueno: Instalação do 3° Autotransformador 230/138 kV, 55 MVA.</t>
  </si>
  <si>
    <t>T2023-109</t>
  </si>
  <si>
    <t>Reforço na SE Bom Nome: Instalação do 4º TF 230/138 kV - 100 MVA</t>
  </si>
  <si>
    <t>T2023-003</t>
  </si>
  <si>
    <t>MGP</t>
  </si>
  <si>
    <t>Melhoria na SE Campos Novos: substituição do reator monofásico, RE1, 525 kV, 3x33,333 Mvar</t>
  </si>
  <si>
    <t>T2023-005</t>
  </si>
  <si>
    <t>Melhoria na SE Campos Novos: substituição do reator monofásico, RE2, 525 kV, 3x33,333 Mvar</t>
  </si>
  <si>
    <t>T2023-004</t>
  </si>
  <si>
    <t>Melhoria na SE Campos Novos: substituição do reator monofásico, 525 kV, 33,333 Mvar, Fase Reserva 1</t>
  </si>
  <si>
    <t>T2023-030</t>
  </si>
  <si>
    <t>Melhoria na SE Blumenau: substituição da Fase C do TF6, 525/230 kV, 224 MVA</t>
  </si>
  <si>
    <t>T2023-031</t>
  </si>
  <si>
    <t>Melhoria na SE Curitiba: substituição da Fase A do RE1, 525 kV, 50 Mvar</t>
  </si>
  <si>
    <t>T2023-033</t>
  </si>
  <si>
    <t>Melhoria na SE Dourados: substituição do autotransformador trifásico, TF1, 230/138 kV, 75 MVA</t>
  </si>
  <si>
    <t>T2023-034</t>
  </si>
  <si>
    <t>Melhoria na SE Dourados: substituição do autotransformador trifásico TF3, 230/138 kV, 75 MVA</t>
  </si>
  <si>
    <t>T2023-035</t>
  </si>
  <si>
    <t>Melhoria na SE Dourados: substituição do autotransformador trifásico, TF4, 230/138 kV, 75 MVA</t>
  </si>
  <si>
    <t>T2023-012</t>
  </si>
  <si>
    <t>Melhoria na SE Gravataí: Substituição do autotransformador monofásico TF3, 525/230 kV, 3x224 MVA</t>
  </si>
  <si>
    <t>T2023-006</t>
  </si>
  <si>
    <t>Melhoria na SE Itá: substituição do reator monofásico, RE1, 525 kV, 3x50 Mvar</t>
  </si>
  <si>
    <t>T2023-007</t>
  </si>
  <si>
    <t>Melhoria na SE Itá: substituição do reator monofásico, RTR1, 525 kV, 50 Mvar, Fase Reserva 1</t>
  </si>
  <si>
    <t>T2023-029</t>
  </si>
  <si>
    <t>Melhoria na SE Londrina: substituição de banco de autotransformadores, TF3, 525/230 kV, 3x224 MVA</t>
  </si>
  <si>
    <t>T2023-013</t>
  </si>
  <si>
    <t>Melhoria na SE Passo Fundo: substituição do autotransformador monofásico TF3, 230/138 kV, 3x28 MVA</t>
  </si>
  <si>
    <t>T2023-014</t>
  </si>
  <si>
    <t>Melhoria na SE Passo Fundo: substituição do autotransformador, 230/138 kV, 28 MVA, Fase Reserva</t>
  </si>
  <si>
    <t>T2023-032</t>
  </si>
  <si>
    <t>Melhoria na SE Santo Ângelo: substituição do banco de reatores monofásicos, RE1, 525 kV, 3x50 Mvar</t>
  </si>
  <si>
    <t>T2022-042</t>
  </si>
  <si>
    <t>Melhoria SE P. Dutra - substituição do reator RT1, 500 kV, 3x50 MVAR</t>
  </si>
  <si>
    <t>T2022-036</t>
  </si>
  <si>
    <t>Melhoria na SE P. Dutra - substituição de reator RT6, 500 kV, 3x33,33 MVAr</t>
  </si>
  <si>
    <t>T2023-136</t>
  </si>
  <si>
    <t>Reforço na SE Marabá: substituição do TR1 500/230 kV, 3x100 MVA, por 3x150 MVA.</t>
  </si>
  <si>
    <t>T2024-096</t>
  </si>
  <si>
    <t>Melhoria na SE Adrianópolis: Substituição do banco de transformadores TR2A 345/138 kV, 3x75 MVA</t>
  </si>
  <si>
    <t>T2023-162</t>
  </si>
  <si>
    <t>Reforço na SE Itabaiana: Substituição do 1º e 2º TR 230/69 kV - 100 MVA para 150 MVA</t>
  </si>
  <si>
    <t>T2023-074</t>
  </si>
  <si>
    <t xml:space="preserve">Melhoria na SE Couto Magalhaes: substituição do transformador 138/13.8kV - 15MVA - NÚMERO 1  </t>
  </si>
  <si>
    <t>T2023-075</t>
  </si>
  <si>
    <t>Melhoria na SE Coxipó: substituição do Reator 230kV 30MVAr número 1 da SE Coxipó - CXRE6-01</t>
  </si>
  <si>
    <t>T2023-076</t>
  </si>
  <si>
    <t>Melhoria na SE Coxipó: substituição do Reator 230kV 30MVAr número 2 da SE Coxipó - CXRE6-02.</t>
  </si>
  <si>
    <t>T2022-010</t>
  </si>
  <si>
    <t xml:space="preserve">Melhoria na C. Paulista - substituição do transformador monofásico TR57, 500/138 kV, 3x83,33 MVA </t>
  </si>
  <si>
    <t>T2022-011</t>
  </si>
  <si>
    <t>Melhoria na SE C. Paulista - susbtituição do transformador monofásico TR59, 500/138 kV, 3x83,33 MVA</t>
  </si>
  <si>
    <t>T2022-012</t>
  </si>
  <si>
    <t>Melhoria na SE C. Paulista - substituição do transformador reserva TRR1, 500/138 kV, 1x83,33 MVA</t>
  </si>
  <si>
    <t>T2022-013</t>
  </si>
  <si>
    <t>Melhoria na SE Campinas - substituição do transformador monofásico TR51, 500/345 kV, 3x186,66 MVA</t>
  </si>
  <si>
    <t>T2023-072</t>
  </si>
  <si>
    <t>Melhoria na SE São Luís I: substituição do transformador de força Nº 03 230/69kV DE 100MVA.</t>
  </si>
  <si>
    <t>T2023-073</t>
  </si>
  <si>
    <t>Melhoria na SE São Luís II: substituição dos autotransformadores de força Nº 01 500/230kV de 200MVA.</t>
  </si>
  <si>
    <t>T2023-068</t>
  </si>
  <si>
    <t xml:space="preserve">Melhoria na SE Vila do Conde: substituição banco de autotransformador de força - VCAT7 02 </t>
  </si>
  <si>
    <t>T2023-069</t>
  </si>
  <si>
    <t>Melhoria na SE Vila do Conde: substituição do banco de autotransformador de potência - VCAT7 01.</t>
  </si>
  <si>
    <t>T2023-070</t>
  </si>
  <si>
    <t>Melhoria na SE Marabá: substituição do reator - MBRE7 04 SUB MARABA somente as Fases A e V.</t>
  </si>
  <si>
    <t>T2022-103</t>
  </si>
  <si>
    <t>Melhoria na SE C. Paulista-Substituição de reator monofásico reserva RTR2.</t>
  </si>
  <si>
    <t>T2023-028</t>
  </si>
  <si>
    <t>Melhoria na SE Campo Grande: substituição de Banco de Capacitores, BC1, 138 kV, 30 Mvar</t>
  </si>
  <si>
    <t>T2024-012</t>
  </si>
  <si>
    <t>Melhoria na SE Caxias do Sul 5: Substituição de Banco de Capacitores BC1, 13,8 kV, 3,6 Mvar</t>
  </si>
  <si>
    <t>T2024-013</t>
  </si>
  <si>
    <t>Melhoria na SE Caxias do Sul 5: Substituição de Banco de Capacitores BC2, 13,8 kV, 3,6 Mvar</t>
  </si>
  <si>
    <t>T2024-014</t>
  </si>
  <si>
    <t>Melhoria na SE Caxias do Sul 5: Substituição de Banco de Capacitores BC3, 13,8 kV, 3,6 Mvar</t>
  </si>
  <si>
    <t>T2024-015</t>
  </si>
  <si>
    <t>Melhoria na SE Caxias do Sul 5: Substituição de Banco de Capacitores BC4, 13,8 kV, 3,6 Mvar</t>
  </si>
  <si>
    <t>T2021-113</t>
  </si>
  <si>
    <t>Melhoria na SE Gravataí - substituição do autotransformador monofásico reserva, 525/230 kV , 224 MVA</t>
  </si>
  <si>
    <t>T2021-099</t>
  </si>
  <si>
    <t>Melhoria na SE Gravataí – substituição das fases A e C do TF1 525/230 kV 224 MVA cada.</t>
  </si>
  <si>
    <t>T2022-069</t>
  </si>
  <si>
    <t>Reforço na SE Gravataí - Instalação de banco de reatores de barra 525 kV, (3+1R)x50 Mvar e conexões</t>
  </si>
  <si>
    <t>T2023-002</t>
  </si>
  <si>
    <t>Melhoria na SE Gravatai: substituição do reator monofásico, RE2, 525 kV, 3x50 Mvar, Fases A e C</t>
  </si>
  <si>
    <t>T2024-005</t>
  </si>
  <si>
    <t>SE GRAVATAÍ 3: Instalação do 2º Transformador 230/69 kV, 3x 55 MVA, na SE Gravataí 3.</t>
  </si>
  <si>
    <t>T2023-190</t>
  </si>
  <si>
    <t xml:space="preserve">Reforço na SE Vitória: Substituição do ATR1 345/138 kV por novo banco (3+1)x133,33MVA. </t>
  </si>
  <si>
    <t>T2023-169</t>
  </si>
  <si>
    <t>Reforço na SE Ibiúna: Instalação do 1º RTB 345 kV - 3x44 Mvar</t>
  </si>
  <si>
    <t>T2023-169-A</t>
  </si>
  <si>
    <t>Instalação da fase reserva para o 1º RTB 345 kV - (3+1)x44 Mvar, na SE Ibiúna.</t>
  </si>
  <si>
    <t>T2023-171</t>
  </si>
  <si>
    <t>Reforço na SE Ibiúna: Instalação do 2º RTB 345 kV - 3x44 Mvar</t>
  </si>
  <si>
    <t>T2023-171-A</t>
  </si>
  <si>
    <t>Instalação da fase reserva para o 2º RTB 345 kV - (3+1)x44 Mvar, na SE Ibiúna</t>
  </si>
  <si>
    <t>T2024-001</t>
  </si>
  <si>
    <t>SE Guarulhos: Instalação do primeiro banco de reatores de barras em 345 kV</t>
  </si>
  <si>
    <t>T2024-002</t>
  </si>
  <si>
    <t>SE Guarulhos: Instalação de uma fase reserva para o RT1, 345 kV, 44MVar</t>
  </si>
  <si>
    <t>T2024-003</t>
  </si>
  <si>
    <t>SE Guarulhos: Instalação do segundo banco de reatores de barras, 345 kV, 3x44MVar</t>
  </si>
  <si>
    <t>T2024-004</t>
  </si>
  <si>
    <t>SE Guarulhos: Instalação de uma fase reserva para o RT2, 345 kV, 44MVar</t>
  </si>
  <si>
    <t>T2024-122</t>
  </si>
  <si>
    <t>Reforço na SE Campinas: Substituição do banco de autotransformadores TR1, de 345/138 kV</t>
  </si>
  <si>
    <t>T2024-123</t>
  </si>
  <si>
    <t>Reforço na SE Campinas: Substituição do autotransformador reserva 345/138 kV, de 50MVA para 100 MVA</t>
  </si>
  <si>
    <t>T2024-133</t>
  </si>
  <si>
    <t>Reforço na SE Campinas: Substituição do banco de autotransformadores TR2, de 345/138 kV</t>
  </si>
  <si>
    <t>T2024-134</t>
  </si>
  <si>
    <t>Reforço na SE Campinas: Substituição do banco de autotransformadores TR3, de 345/138 kV</t>
  </si>
  <si>
    <t>T2024-135</t>
  </si>
  <si>
    <t>Reforço na SE Campinas: Substituição do banco de autotransformadores TR4, de 345/138 kV</t>
  </si>
  <si>
    <t>T2024-078</t>
  </si>
  <si>
    <t>Melhoria na SE Ivaipora Fur: Substituição de trafo potencia AT01 FASES A e C</t>
  </si>
  <si>
    <t>T2024-081</t>
  </si>
  <si>
    <t>Melhoria na SE MARIMBONDO 500 kV: Substituição de trafo potencia AT09 500/345KV FASE A, B e C</t>
  </si>
  <si>
    <t>T2024-087</t>
  </si>
  <si>
    <t>Melhoria na SE TIJUCO PRETO: Substituição de trafo potencia TRRG 03 - FASES A, B e C</t>
  </si>
  <si>
    <t>T2024-098</t>
  </si>
  <si>
    <t>Melhoria na SE Tijuco Preto: Substituição do banco de autotransformadores TR3 750/500 kV, 3x550 MVA</t>
  </si>
  <si>
    <t>T2023-131</t>
  </si>
  <si>
    <t>Reforço - Seccionamento da LT P.Afonso III-Floresta II C1 na SE Tacaratu.</t>
  </si>
  <si>
    <t>T2022-041</t>
  </si>
  <si>
    <t>Melhoria na SE Imperatriz - substituição do reator monofásico RTR6 , 500 kV , 1x45,33 MVAr</t>
  </si>
  <si>
    <t>T2022-040</t>
  </si>
  <si>
    <t>Melhoria na SE Imperatriz - substituição do reator RT6 , 500 kV , 3x45,33 MVAr</t>
  </si>
  <si>
    <t>T2023-067</t>
  </si>
  <si>
    <t>Melhoria na SE Rondonópolis: Substituição do banco de capacitores 13,8 kV, número 2.</t>
  </si>
  <si>
    <t>T2023-065</t>
  </si>
  <si>
    <t>Melhoria na SE Rondonópolis: Substituição do banco de capacitores 13,8 kV, número 1.</t>
  </si>
  <si>
    <t>T2023-066</t>
  </si>
  <si>
    <t>Melhoria na SE Rondonópolis: Substituição do banco de capacitores 13,8 kV, número 3.</t>
  </si>
  <si>
    <t>T2020-012</t>
  </si>
  <si>
    <t>SE Jacaracanga: substituição do transformador trifásico TR2 230/69 kV - 100 MVA (melhoria)</t>
  </si>
  <si>
    <t>T2021-026</t>
  </si>
  <si>
    <t>SE Angelim II 500 kV - instalação do 2º banco de reatores de barra 500 kV</t>
  </si>
  <si>
    <t>T2021-028</t>
  </si>
  <si>
    <t>SE Olindina - instalação do segundo banco de reator de barra 500kV</t>
  </si>
  <si>
    <t>T2023-129</t>
  </si>
  <si>
    <t>Reforço - Seccionamento da LT P.Afonso III-Bom Nome C3 na SE Floresta II.</t>
  </si>
  <si>
    <t>T2023-128</t>
  </si>
  <si>
    <t>Reforço - Seccionamento da LT Banabuiú-Milagres C2 na SE Icó.</t>
  </si>
  <si>
    <t>T2023-137</t>
  </si>
  <si>
    <t>Reforço na SE Marabá: substituição do TF3 230/69 kV, 33 MVA, por nova unidade de 100 MVA.</t>
  </si>
  <si>
    <t>T2019-074</t>
  </si>
  <si>
    <t>Seccionamento da LT 500 kV Sobradinho - Luiz Gonzaga C2 na SE Juazeiro III</t>
  </si>
  <si>
    <t>T2020-010</t>
  </si>
  <si>
    <t>SE Jacaracanga: substituição do transformador trifásico TR1 230/69 kV - 100 MVA (melhoria)</t>
  </si>
  <si>
    <t>T2020-016</t>
  </si>
  <si>
    <t>SE Matatu: substituição do transformador trifásico TR3 230/69 kV - 100 MVA (melhoria)</t>
  </si>
  <si>
    <t>T2022-028</t>
  </si>
  <si>
    <t>SE Campina Grande III - instalação de banco de reatores de barra 500kV - 3x50Mvar</t>
  </si>
  <si>
    <t>T2024-006</t>
  </si>
  <si>
    <t>SE MOSSORÓ IV: Instalação do 2º Transformador de 230/69 kV</t>
  </si>
  <si>
    <t>T2019-090</t>
  </si>
  <si>
    <t>Seccionamento da LT 500 kV Luiz Gonzaga - Milagres C1 na SE Milagres II</t>
  </si>
  <si>
    <t>T2023-011</t>
  </si>
  <si>
    <t>Melhoria na SE Gravataí: substituição do autotransformador monofásico,TF2, 525/230 kV, 3x224 MVA</t>
  </si>
  <si>
    <t>T2022-112</t>
  </si>
  <si>
    <t>Seccionamento da LT 345 kV Venda das Pedras – Macaé C1 na SE Lagos</t>
  </si>
  <si>
    <t>T2023-202</t>
  </si>
  <si>
    <t>Reforço na SE Dourados: Substituição do Reator de Barra 1 de 27 Mvar por 1x50Mvar, 230 kV</t>
  </si>
  <si>
    <t>T2022-001</t>
  </si>
  <si>
    <t>Melhoria na SE Vitória - substituição da fase A do transformador monofásico TR4, 345/138 kV, 75 MVA.</t>
  </si>
  <si>
    <t>T2022-113</t>
  </si>
  <si>
    <t>Seccionamento da LT 230 kV OLINDINA – CATU C1 na SE ALAGOINHAS II</t>
  </si>
  <si>
    <t>T2023-130</t>
  </si>
  <si>
    <t xml:space="preserve">Reforço - Seccionamento da LT P.Afonso III-Bom Nome C2 na SE Tacaratu. </t>
  </si>
  <si>
    <t>T2023-187</t>
  </si>
  <si>
    <t>SE 138/13,8 kV Angra - Transformação 138/13,8 kV - 15 MVA.</t>
  </si>
  <si>
    <t>T2023-154</t>
  </si>
  <si>
    <t>SE Imperatriz- Substituição BC1 500 kV, 390MVAr, da LT Imperatriz-PDutra, por outro de 543MVAr.</t>
  </si>
  <si>
    <t>T2023-153</t>
  </si>
  <si>
    <t>SE P. Dutra- Substituição do BC1 500 kV, 390MVAr, da LT Imperatriz-PDutra, por outro de 543MVAr.</t>
  </si>
  <si>
    <t>T2023-010</t>
  </si>
  <si>
    <t>Melhoria na SE Palhoça: substituição do banco de capacitores, BC1, 230 kV, 50 Mvar</t>
  </si>
  <si>
    <t>T2023-008</t>
  </si>
  <si>
    <t>Melhoria na SE Gravataí 2: substituição do banco de capacitores, BC4, 230 kV, 100 Mvar</t>
  </si>
  <si>
    <t>T2023-009</t>
  </si>
  <si>
    <t>Melhoria na SE Gravataí 2: substituição do banco de capacitores, BC5, 230 kV, 100 Mvar</t>
  </si>
  <si>
    <t>T2023-138</t>
  </si>
  <si>
    <t>Reforço SE Jorge Lacerda A: substituição TF5 230/138 kV - 79 MVA por TF de 230/138 kV – 120 MVA</t>
  </si>
  <si>
    <t>T2023-145</t>
  </si>
  <si>
    <t>Reforço na SE Jorge Lacerda A: substituição do TF7 230/138 kV - 79 MVA, por TR de 120 MVA</t>
  </si>
  <si>
    <t>T2023-148</t>
  </si>
  <si>
    <t>Reforço na SE Jorge Lacerda A: substituição do TF8 138/69 kV - 25 MVA existente, por TF de 60 MVA</t>
  </si>
  <si>
    <t>T2022-008</t>
  </si>
  <si>
    <t>Melhoria na SE Campos - substituição da fase A e B do reator monofásico RT5, 345 kV, 2x20 MVAr</t>
  </si>
  <si>
    <t>T2023-166-A</t>
  </si>
  <si>
    <t>Instalação da fase reserva para o 2º RTB 765 kV - (3+1)x66,66 Mvar, na SE Ivaiporã</t>
  </si>
  <si>
    <t>T2023-166</t>
  </si>
  <si>
    <t>Reforço na SE Ivaiporã: Instalação do 2º RTB 765 kV - 3x110 Mvar</t>
  </si>
  <si>
    <t>T2023-168-A</t>
  </si>
  <si>
    <t>Instalação da fase reserva para o 1º RTB 500 kV - (3+1)x66,66 Mvar, na SE Baixada Fluminense</t>
  </si>
  <si>
    <t>T2023-168</t>
  </si>
  <si>
    <t>Reforço na SE Baixada Fluminense: Instalação do 1º RTB 500 kV - (3+1)x66,66 Mvar</t>
  </si>
  <si>
    <t>T2024-011</t>
  </si>
  <si>
    <t>Reforço na SE Camaçari IV: Instalação do 1º Banco de Reatores de Barra em 500 kV</t>
  </si>
  <si>
    <t>T2024-090</t>
  </si>
  <si>
    <t>Melhoria na SE BANDEIRANTES: Substituição de reator REATOR DE LINHA - RTBDSB1 FASES A, B e C</t>
  </si>
  <si>
    <t>T2024-093</t>
  </si>
  <si>
    <t>Melhoria na SE BANDEIRANTES: Substituição de trafo potencia AT87V - AUTOTRAFO RESERVA</t>
  </si>
  <si>
    <t>T2024-103</t>
  </si>
  <si>
    <t xml:space="preserve">Reforço na SE Coremas: Instalação do 4º TR 230/69 kV </t>
  </si>
  <si>
    <t>T2024-030</t>
  </si>
  <si>
    <t>Melhoria na SE Pirapama II: Substituição do Transformador Trifásico TR1, 230/69/13,8 kV, 100 MVA</t>
  </si>
  <si>
    <t>T2024-034</t>
  </si>
  <si>
    <t>Reforço na SE Zebu: Instalação do 4º TF 230/69</t>
  </si>
  <si>
    <t>T2024-076</t>
  </si>
  <si>
    <t>Melhoria na SE BANDEIRANTES 345 Kv: Substituição do banco capacitor</t>
  </si>
  <si>
    <t>T2024-032</t>
  </si>
  <si>
    <t>Melhoria na SE Campina Grande II: Substituição do Transformador Trifásico TR4 230/69 kV, 100 MVA</t>
  </si>
  <si>
    <t>T2024-031</t>
  </si>
  <si>
    <t>Melhoria na SE Campina Grande II: Substituição do Transformador Trifásico TR3 230/69 kV, 100 MVA</t>
  </si>
  <si>
    <t>T2024-029</t>
  </si>
  <si>
    <t>Melhoria na SE São João do Piauí: Substituição do Banco de Autotransformadores 500/230 kV, 3x100 MVA</t>
  </si>
  <si>
    <t>T2024-028</t>
  </si>
  <si>
    <t>Melhoria na SE São João do Piauí: Substituição de 1 Autotransformador 500/230 kV, 100 MVA</t>
  </si>
  <si>
    <t>T2024-077</t>
  </si>
  <si>
    <t>Melhoria na SE P. COLOMBIA 138 Kv: Substituição do transformador TR5MVA</t>
  </si>
  <si>
    <t>T2024-082</t>
  </si>
  <si>
    <t>Melhoria na SE Ivaipora Fur: Substituição de trafo potencia TRRG09V</t>
  </si>
  <si>
    <t>T2024-086</t>
  </si>
  <si>
    <t>Melhoria na SE IVAIPORA FUR: Substituição de reator RT1C FASE A, B e C</t>
  </si>
  <si>
    <t>T2024-092</t>
  </si>
  <si>
    <t>Melhoria na SE RIO VERDE FUR: Substituição de trafo potencia AT76V - AUTOTRAFO RESERVA</t>
  </si>
  <si>
    <t>T2024-101</t>
  </si>
  <si>
    <t>Melhoria na SE Barro Alto: Substituição do banco de transformadores TR1 230/69 kV, 3x16,67 MVA</t>
  </si>
  <si>
    <t>T2024-091</t>
  </si>
  <si>
    <t>Melhoria na SE IVAIPORA FUR: Substituição de trafo potencia AT129V - AUTOTRAFO RESERVA</t>
  </si>
  <si>
    <t>T2024-100</t>
  </si>
  <si>
    <t>Melhoria na SE Rio Verde Furnas: Substituição do banco de autotransformadores TR1 230/138 kV</t>
  </si>
  <si>
    <t>T2024-079</t>
  </si>
  <si>
    <t>Melhoria na SE Ivaipora Fur: Substituição de reator RT1A FASES A, B e C</t>
  </si>
  <si>
    <t>T2024-083</t>
  </si>
  <si>
    <t>Melhoria na SE IVAIPORA FUR: Substituição de reator RT1B FASE A, B e C</t>
  </si>
  <si>
    <t>T2024-097</t>
  </si>
  <si>
    <t>Melhoria na SE Marimbondo: Substituição do transformador reserva TRR1 500/345 kV, 62,33 Mvar</t>
  </si>
  <si>
    <t>T2024-102</t>
  </si>
  <si>
    <t>Melhoria na SE Brasília Sul: Substituição da fase C do autotransformador TR4, 345/138 kV, 50 MVA</t>
  </si>
  <si>
    <t>T2024-069</t>
  </si>
  <si>
    <t>Melhoria na SE Rondonópolis: Substituição do Reator de Linha RT1 230 kV, 30Mvar</t>
  </si>
  <si>
    <t>T2024-085</t>
  </si>
  <si>
    <t>Melhoria na SE TIJUCO PRETO: Substituição de reator RTIATP2 FASES B e C</t>
  </si>
  <si>
    <t>T2024-089</t>
  </si>
  <si>
    <t>Melhoria na SE TIJUCO PRETO: Substituição de reator RT02 FASE A, B e C</t>
  </si>
  <si>
    <t>T2024-080</t>
  </si>
  <si>
    <t>Melhoria na SE Tijuco Preto: Substituição do banco de capacitor BC07 345 kV</t>
  </si>
  <si>
    <t>T2024-095</t>
  </si>
  <si>
    <t>Melhoria na SE Itaberá: Substituição do banco de reatores de linha RIV1 765 kV, 3x109,67 Mvar</t>
  </si>
  <si>
    <t>T2024-075</t>
  </si>
  <si>
    <t>Melhoria na SE TIJUCO PRETO: Substituição de banco de capacitor BC03</t>
  </si>
  <si>
    <t>T2024-088</t>
  </si>
  <si>
    <t>Melhoria na SE TIJUCO PRETO: Substituição de reator RT01 FASES A, B e C</t>
  </si>
  <si>
    <t>T2024-071</t>
  </si>
  <si>
    <t>Melhoria na SE São Luis I: Substituição do Transformador Trifásico TF4, 230/69 kV, 100 MVA</t>
  </si>
  <si>
    <t>T2024-074</t>
  </si>
  <si>
    <t>Melhoria na SE Presidente Dutra: Substituição do Reator Reserva RTR1, 525 kV, 50 Mvar</t>
  </si>
  <si>
    <t>T2024-070</t>
  </si>
  <si>
    <t>Melhoria na SE Imperatriz: Substituição do Transformador Trifásico TF4, 230/69/13,8 kV, 100 MVA</t>
  </si>
  <si>
    <t>T2024-073</t>
  </si>
  <si>
    <t>Melhoria na SE Presidente Dutra: Substituição do Banco de Reatores RT2, 525 kV, 150 Mvar</t>
  </si>
  <si>
    <t>T2024-072</t>
  </si>
  <si>
    <t>Melhoria na SE Presidente Dutra: Substituição do Banco de Reatores RT3, 525 kV, 150 Mvar</t>
  </si>
  <si>
    <t>T2024-127</t>
  </si>
  <si>
    <t>Reforço na SE Rondonópolis: substituição do transformador RPAT6-02 230/138/13,8 kV</t>
  </si>
  <si>
    <t>T2024-119</t>
  </si>
  <si>
    <t>Reforço na SE Rondonópolis: substituição do transformador RPAT6-01 230/138/13,8 kV</t>
  </si>
  <si>
    <t>T2022-047</t>
  </si>
  <si>
    <t>Melhoria na SE Araraquara FUR - Substituição do reator RTPC, 500 kV, 3x24,4667 MVAr</t>
  </si>
  <si>
    <t>T2015-048</t>
  </si>
  <si>
    <t>LT 138kV ANGRA/ANGRA (AMPLA) - Reconstrução do circuito simples, substituindo cabo 397MCM por 954MCM</t>
  </si>
  <si>
    <t>T2022-059</t>
  </si>
  <si>
    <t>Melhoria-SE Ivaiporã-Substituição da compensação série LT765kV Ivaiporã-Itaberá C2.</t>
  </si>
  <si>
    <t>T2021-102</t>
  </si>
  <si>
    <t>Melhoria na SE Assis - substituição do transformador monofásico reserva - TFR1, 440/230 kV, 112 MVA</t>
  </si>
  <si>
    <t>T2021-046</t>
  </si>
  <si>
    <t>SE Itaberá - Instalação 3° reator de barra 765kV, (3+1)x110 MVAr e um IB.</t>
  </si>
  <si>
    <t>T2021-052</t>
  </si>
  <si>
    <t>SE Adrianópolis - instalação do 1º banco de reatores de barra em 500 kV,  (3+1) x 45,3 Mvar</t>
  </si>
  <si>
    <t>T2022-099</t>
  </si>
  <si>
    <t>SE Camaçari IV - Instalação do 1° Capacitor em Derivação 230 kV, 1 x 100 Mvar trifásico</t>
  </si>
  <si>
    <t>T2022-032</t>
  </si>
  <si>
    <t>SE Bongi - Instalação do 5ª transformador  e substituição de três transformadores</t>
  </si>
  <si>
    <t>T2022-104</t>
  </si>
  <si>
    <t>Melhoria na SE Araraquara Furnas-Substituição de reator monofásico reserva RTR1, 500kV,27MVAr.</t>
  </si>
  <si>
    <t>T2017-068</t>
  </si>
  <si>
    <t>SE ANGRA - remanejamento de vãos 500 kV</t>
  </si>
  <si>
    <t>T2021-065</t>
  </si>
  <si>
    <t>SE Poções II - Instalação do 3° transformador 230/138 kV, 100 MVA.</t>
  </si>
  <si>
    <t>T2019-029</t>
  </si>
  <si>
    <t>SE São João do Piauí - Instalação do segundo autotransformador 500/230 kV, 300 MVA e conexões.</t>
  </si>
  <si>
    <t>T2021-072</t>
  </si>
  <si>
    <t>Seccionamento da LT 138kV Rondonópolis-Couto Magalhães na SE Petrovina</t>
  </si>
  <si>
    <t>T2022-061</t>
  </si>
  <si>
    <t>Melhoria-SE Itaberá-Substituição da compensação série da LT 765kV Itaberá-Tijuco Preto C1.</t>
  </si>
  <si>
    <t>T2022-117</t>
  </si>
  <si>
    <t>Melhoria na SE Ivaiporã - Substituição de Banco de Capacitor Série da LT para F. do Iguaçu C1.</t>
  </si>
  <si>
    <t>T2022-003</t>
  </si>
  <si>
    <t>Melhoria na SE Poços de Caldas - substituição do transformador reserva, 345/138 kV, 1x50 MVA</t>
  </si>
  <si>
    <t>T2022-063</t>
  </si>
  <si>
    <t>Melhoria-SE Itaberá-Substituição da compensação série da LT 765kV Itaberá-Tijuco Preto C3.</t>
  </si>
  <si>
    <t>T2020-031</t>
  </si>
  <si>
    <t>SE Porto Velho: Instalação de 2 reatores de barra 500 kV, (6 + 1R) x 50 Mvar e módulos de conexão</t>
  </si>
  <si>
    <t>T2021-053</t>
  </si>
  <si>
    <t>SE Campinas - instalação do 1º reator de barra 500 kV e remanejamento de um reator de linha.</t>
  </si>
  <si>
    <t>T2020-014</t>
  </si>
  <si>
    <t>SE Jardim: substituição do transformador trifásico TR2 230/69 kV - 100 MVA (melhoria)</t>
  </si>
  <si>
    <t>T2021-075</t>
  </si>
  <si>
    <t>SE Poços de Caldas - substituição do transformador 500/345 kV</t>
  </si>
  <si>
    <t>T2022-049</t>
  </si>
  <si>
    <t>Melhoria na SE Araraquara FUR - Substituição do reator, RMR2, 500 kV, 3x24,4667 MVAr</t>
  </si>
  <si>
    <t>T2022-066</t>
  </si>
  <si>
    <t>Reforço na SE Viana - instalação do 1º banco de reatores de barra (3+1)x20 Mvar, 345 kV</t>
  </si>
  <si>
    <t>T2022-058</t>
  </si>
  <si>
    <t>Melhoria-SE Ivaiporã-Substituição da compensação série LT765kV Ivaiporã-Itaberá C1.</t>
  </si>
  <si>
    <t>T2020-015</t>
  </si>
  <si>
    <t>SE Vila do Conde-Substituição de 4 bancos de capacitores 230 kV, 111 MVAr cada. (Melhoria)</t>
  </si>
  <si>
    <t>T2021-106</t>
  </si>
  <si>
    <t>Melhoria na SE Blumenau - substituição do banco de capacitores BC1, 230 kV, 125 MVAr</t>
  </si>
  <si>
    <t>T2022-005</t>
  </si>
  <si>
    <t>Melhorias na SE Poços de Caldas - substituição do transformador monofásico TR2, 345/138 kV, 3x50 MVA</t>
  </si>
  <si>
    <t>T2021-101</t>
  </si>
  <si>
    <t>Melhoria na SE Assis - substituição do transformador monofásico TF1 - 440/230 kV, 336 MA</t>
  </si>
  <si>
    <t>T2022-045</t>
  </si>
  <si>
    <t>Melhoria SE Marabá - substituição do reator RT1, 500 kV, 3x50 MVAR</t>
  </si>
  <si>
    <t>T2022-007</t>
  </si>
  <si>
    <t>Melhoria na SE Ivaiporã - substituição da fase A do reator monofásico RIA2, 750 kV, 1x110 MVAr</t>
  </si>
  <si>
    <t>T2022-060</t>
  </si>
  <si>
    <t>Melhoria-SE Ivaiporã-Substituição da compensação série LT765kV Ivaiporã-Itaberá C3.</t>
  </si>
  <si>
    <t>T2022-119</t>
  </si>
  <si>
    <t>Melhoria na SE Ivaiporã - Substituição de Banco de Capacitor Série da LT para F. do Iguaçu C3.</t>
  </si>
  <si>
    <t>T2021-108</t>
  </si>
  <si>
    <t>Melhoria na SE Blumenau - substituição do autotransformador monofásico TF5, Fases A, B e C, 672 MVA</t>
  </si>
  <si>
    <t>T2022-009</t>
  </si>
  <si>
    <t>Melhoria na SE Bras. Sul - substituição do transformador monofásico TR6, 345/230 kV, 3x75 MVA</t>
  </si>
  <si>
    <t>T2019-073</t>
  </si>
  <si>
    <t>Secc. LT 500 kV Angelim II - Recife II na SE Suape II.</t>
  </si>
  <si>
    <t>T2019-032</t>
  </si>
  <si>
    <t>SE Milagres - Instalação do quarto transformador 230/69 kV, 100 MVA e conexões</t>
  </si>
  <si>
    <t>T2021-103</t>
  </si>
  <si>
    <t>Melhoria na SE Areia - substituição do autotransformador monofásico, TF2, 525/230 kV, 672 MVA</t>
  </si>
  <si>
    <t>T2022-002</t>
  </si>
  <si>
    <t>Melhoria na SE Bras. Sul - revitalização do transformador monofásico TR1, 345/138 kV, 3x50 MVA</t>
  </si>
  <si>
    <t>T2022-105</t>
  </si>
  <si>
    <t>Melhoria na SE Ivaiporã - Substituição de reator monofásico reserva RTR1, 750 kV, 110MVAr.</t>
  </si>
  <si>
    <t>T2022-048</t>
  </si>
  <si>
    <t>Melhoria na SE Araraquara FUR - Substituição do reator RMR1, 500 kV, 3x24,4667 MVAr</t>
  </si>
  <si>
    <t>T2019-021</t>
  </si>
  <si>
    <t>Melhorias Furnas - SE Adrianópolis - Substituição Reator, AT53, AT1B, AT2A e AT2B</t>
  </si>
  <si>
    <t>T2019-072</t>
  </si>
  <si>
    <t>Instalação do 1° Banco de Reatores de Barra 500 kV - 3X50 MVA na SE Sobral III</t>
  </si>
  <si>
    <t>T2022-065</t>
  </si>
  <si>
    <t>Reforço na SE Teresina II - Instalação do 2º banco de reatores de barra 500 kV (3+1)x66,6 Mvar</t>
  </si>
  <si>
    <t>T2022-004</t>
  </si>
  <si>
    <t>Melhoria na SE Poços de Caldas - substituição da fase C do transformador TR1, 345/138 kV, 1x50 MVA</t>
  </si>
  <si>
    <t>T2019-066</t>
  </si>
  <si>
    <t>Seccionamento na SE Iriri da LT 138 kV Rocha Leão – Campos C1</t>
  </si>
  <si>
    <t>T2022-050</t>
  </si>
  <si>
    <t>Melhoria na SE Araraquara FUR - Substituição do reator, RTCA, 500 kV, 3x24,4667 MVAr</t>
  </si>
  <si>
    <t>T2022-062</t>
  </si>
  <si>
    <t>Melhoria-SE Itaberá-Substituição da compensação série da LT 765kV Itaberá-Tijuco Preto C2.</t>
  </si>
  <si>
    <t>T2017-073</t>
  </si>
  <si>
    <t>SE Campos - adequação do setor de 138 kV</t>
  </si>
  <si>
    <t>T2020-007</t>
  </si>
  <si>
    <t>SE Guamá - Substituição de transformador de potência TR1 230/69 kV- (3+1)x50 MVA (Melhoria)</t>
  </si>
  <si>
    <t>T2022-070</t>
  </si>
  <si>
    <t>Reforço na SE Vitória - Instalação do 1º banco de reatores de barra 345 kV, (3+1)x20 Mvar</t>
  </si>
  <si>
    <t>T2022-118</t>
  </si>
  <si>
    <t>Melhoria na SE Ivaiporã - Substituição de Banco de Capacitor Série da LT para F. do Iguaçu C2.</t>
  </si>
  <si>
    <t>T2022-006</t>
  </si>
  <si>
    <t>Melhoria na SE Ivaiporã - substituição da fase B e C do reator monofásico RIA1, 750 kV, 2x110 MVAr</t>
  </si>
  <si>
    <t>T2021-100</t>
  </si>
  <si>
    <t>Melhoria na SE Farroupilha - substituição do transformador trifásico - TF2 - 230/69 kV - 88 MVA</t>
  </si>
  <si>
    <t>T2021-107</t>
  </si>
  <si>
    <t>Melhoria na SE Blumenau - substituição do banco de capacitores BC2, 230 kV, 125 MVAr</t>
  </si>
  <si>
    <t>T2022-134</t>
  </si>
  <si>
    <t>SE USI CAMPOS - substituição do AT03 de 67 MVA pelo TR03 de 73 MVA</t>
  </si>
  <si>
    <t>T2021-111</t>
  </si>
  <si>
    <t>Melhoria na SE Curitiba - substituição do autotransformador monofásico reserva 525/230 kV, 224 MVA</t>
  </si>
  <si>
    <t>T2022-035</t>
  </si>
  <si>
    <t>Melhoria na SE P. Dutra - substituição do reator RT5, 500 kV, 3x33,33 MVAr</t>
  </si>
  <si>
    <t>T2022-039</t>
  </si>
  <si>
    <t>Melhoria na SE Imperatriz - substituição do reator RT2, 500 kV , 3x50 MVAr</t>
  </si>
  <si>
    <t>T2022-043</t>
  </si>
  <si>
    <t>Melhoria na SE São Luis II - substituição do reator RT3, 500 kV, 3x45,33 MVAR</t>
  </si>
  <si>
    <t>T2022-055</t>
  </si>
  <si>
    <t>Melhoria na SE Marabá - Substituir o banco de capacitores série MBCL7-01, BC1 500 kV, 3x116 MVAr</t>
  </si>
  <si>
    <t>T2022-064</t>
  </si>
  <si>
    <t>Melhoria-SE Itabera-Substituição das fases A e B do banco de reatores RT1 765kV.</t>
  </si>
  <si>
    <t>T2022-083</t>
  </si>
  <si>
    <t>Melhoria na SE Recife II - substituição do reator RT2, 500 kV, 100 Mvar</t>
  </si>
  <si>
    <t>T2022-101</t>
  </si>
  <si>
    <t>SE São João do Piauí - Instalação do terceiro autotransformador 500/230 kV, 3X100 MVA e conexões.</t>
  </si>
  <si>
    <t>T2022-133</t>
  </si>
  <si>
    <t>SE USI CAMPOS - substituição do AT01 de 20 MVA pelo TR01 de 73 MVA</t>
  </si>
  <si>
    <t>T2023-054</t>
  </si>
  <si>
    <t>Melhoria na SE Maceió: Substituição do transformador 04T3 da SE MCO.</t>
  </si>
  <si>
    <t>T2023-056</t>
  </si>
  <si>
    <t>Melhoria na SE Angelim II: Substituição de 3 Reatores monofásicos, 3x50 MVAr, posição 05E3</t>
  </si>
  <si>
    <t>T2023-057</t>
  </si>
  <si>
    <t>Melhoria na SE Angelim II: Substituição de 3 Reatores monofásicos, 3x50 MVAr, posição 05E2</t>
  </si>
  <si>
    <t>T2023-059</t>
  </si>
  <si>
    <t>Melhoria na SE Olindina II: Substituição de 3 Reatores monofásicos, 3x50 MVAr, posição 05E1</t>
  </si>
  <si>
    <t>T2023-071</t>
  </si>
  <si>
    <t>Melhoria na SE Transamazônica: substituição do reator 230 kV 30 MVAr - TMRE6.01</t>
  </si>
  <si>
    <t>T2023-110</t>
  </si>
  <si>
    <t>Reforço na SE Bom Jesus da Lapa: substituição do TR3 230/69 kV</t>
  </si>
  <si>
    <t>T2023-113</t>
  </si>
  <si>
    <t>Reforço na SE S. João do Piauí: substituição do TR4 230/69 kV 33 MVA por 100 MVA</t>
  </si>
  <si>
    <t>T2023-107</t>
  </si>
  <si>
    <t>Reforço na SE Boa Esperança: substituição do banco ATR1 500/230 kV</t>
  </si>
  <si>
    <t>T2023-108</t>
  </si>
  <si>
    <t>Reforço na SE Boa Esprança: substituição da fase reserva do ATR1 500/230 kV</t>
  </si>
  <si>
    <t>T2023-112</t>
  </si>
  <si>
    <t>Reforço na SE S. João do Piauí: substituição do TR3 230/69 kV 33 MVA por 100 MVA</t>
  </si>
  <si>
    <t>T2022-044</t>
  </si>
  <si>
    <t>Melhoria na SE São Luís II - substituição do reator reserva RTR1, 500 kV, 1x45,33 MVAR</t>
  </si>
  <si>
    <t>T2023-080</t>
  </si>
  <si>
    <t>Reforço na SE Barreiras: instalação do TR3, 230/138 kV, de 100 MVA.</t>
  </si>
  <si>
    <t>T2022-081</t>
  </si>
  <si>
    <t xml:space="preserve">Melhoria na SE Camacari II - substituição do reator reserva RTR1, 500 kV, 33,3 Mvar </t>
  </si>
  <si>
    <t>T2023-052</t>
  </si>
  <si>
    <t>Melhoria na SE Fortaleza: Substituição do transformador 04T4 da SE FTZ</t>
  </si>
  <si>
    <t>T2022-086</t>
  </si>
  <si>
    <t>Melhoria na U.Sobradinho 500 kV - subsituição do reator shunt reserva RTR1, 500 kV, 33,3 Mvar</t>
  </si>
  <si>
    <t>T2021-110</t>
  </si>
  <si>
    <t>Melhoria na SE Curitiba - substituição do reator monofásico reserva RER1, 525 kV, 50 MVAr</t>
  </si>
  <si>
    <t>T2022-034</t>
  </si>
  <si>
    <t>Melhoria na SE P. Dutra - substituição do reator RT4, 500 kV, 3x50 MVAr</t>
  </si>
  <si>
    <t>T2021-109</t>
  </si>
  <si>
    <t>Melhoria na SE Curitiba - substituição do reator monofásico RE2, 525 kV, 150 MVAr, Fases A, B e C</t>
  </si>
  <si>
    <t>T2021-112</t>
  </si>
  <si>
    <t>Melhoria na SE Curitiba - substituição do autotransformador monofásico TF2, 525/230 kV , 672 MVA</t>
  </si>
  <si>
    <t>T2021-098</t>
  </si>
  <si>
    <t>Melhoria na SE Curitiba – substituição das fases B e C do TF1 525/230 kV 224 MVA cada.</t>
  </si>
  <si>
    <t>T2022-080</t>
  </si>
  <si>
    <t>Melhoria na SE Camacari II - substituição de reator RT1, 500 kV, 100 Mvar</t>
  </si>
  <si>
    <t>T2022-084</t>
  </si>
  <si>
    <t>Melhoria na SE Recife II - substituição do reator reserva RTR1, 500 kV, 33,3 Mvar</t>
  </si>
  <si>
    <t>T2022-102</t>
  </si>
  <si>
    <t>SE Imperatriz - Substituição do Banco de Capacitores Série.</t>
  </si>
  <si>
    <t>T2023-051</t>
  </si>
  <si>
    <t>Melhoria na SE Fortaleza: Substituição do transformador 04T2 da SE FTZ.</t>
  </si>
  <si>
    <t>T2023-055</t>
  </si>
  <si>
    <t>Melhoria na SE Angelim II: Substituição de Reator monofásico, 50 MVAr, posição operacional 05ER</t>
  </si>
  <si>
    <t>T2023-058</t>
  </si>
  <si>
    <t>Melhoria na SE Olindina II: Substituição de um Reator monofásico, 50 MVAr, posição operacional 05ER</t>
  </si>
  <si>
    <t>T2019-030</t>
  </si>
  <si>
    <t>SE Morro do Chapéu II - Instalação do segundo transformador 230/69 kV, 150 MVA e conexões.</t>
  </si>
  <si>
    <t>T2020-041</t>
  </si>
  <si>
    <t>SE Boa Esperança (Melhorias)-Substituição de reatores monofásicos</t>
  </si>
  <si>
    <t>T2019-031</t>
  </si>
  <si>
    <t>SE Icó - Instalação do terceiro transformador, 230/69 kV, 100 MVA e conexões.</t>
  </si>
  <si>
    <t>T2019-068</t>
  </si>
  <si>
    <t>SE Eunápolis - instalação do primeiro banco de capacitores em derivação trifásico 230 kV - 20 MVar</t>
  </si>
  <si>
    <t>T2019-067</t>
  </si>
  <si>
    <t>3° BANCO DE AUTORANSFORMADOR 500/230-13,8 kV, 3x200 MVA e conexões, na SE Messias.</t>
  </si>
  <si>
    <t>T2016-048</t>
  </si>
  <si>
    <t>LT 230 kV PIRIPIRI / SOBRAL - recapacitação da capacidade de curta duração de 595 A para 630 A.</t>
  </si>
  <si>
    <t>T2016-062</t>
  </si>
  <si>
    <t>SE Fortaleza - instalação do quinto transformador 230/69 kV</t>
  </si>
  <si>
    <t>T2016-088</t>
  </si>
  <si>
    <t>SE Camaçari II - Seccionamento longitudinal das barras de 230 kV e adequações associadas.</t>
  </si>
  <si>
    <t>T2016-087</t>
  </si>
  <si>
    <t>SE Recife II - Seccionamento longitudinal das barras de 230 kV e adequações associadas.</t>
  </si>
  <si>
    <t>T2020-030</t>
  </si>
  <si>
    <t>LT Cascavel Oeste - Guaíra: alteração da tensão operativa de 230kV para 500kV.</t>
  </si>
  <si>
    <t>T2020-024</t>
  </si>
  <si>
    <t>Seccionamento da LT 230kV Londrina ESUL-Maringá na SE Sarandi</t>
  </si>
  <si>
    <t>T2019-005</t>
  </si>
  <si>
    <t>SE Itumbiara - Instalação dos módulos de conexão 345 e 230 kV para o 4º TR 345/230 kV – 225 MVA</t>
  </si>
  <si>
    <t>T2019-004</t>
  </si>
  <si>
    <t>SE Itumbiara - Instalar dois novos disjuntores nos vãos do TR 53 e da LT para Marimbondo</t>
  </si>
  <si>
    <t>T2019-007</t>
  </si>
  <si>
    <t>SE Itumbiara - Substituição dos autotransformadores AT50, AT53, AT01, AT02 e AT-Reserva</t>
  </si>
  <si>
    <t>T2019-065</t>
  </si>
  <si>
    <t>SE Barreiro 1: Adequação da entrada de linha para a SE Pimenta (345KV - BDDD.)</t>
  </si>
  <si>
    <t>T2014-061</t>
  </si>
  <si>
    <t>Instalação na SE Aquiraz II do 4º Transformador Trifásico e do 2º Transformador de Aterramento</t>
  </si>
  <si>
    <t>T2020-063</t>
  </si>
  <si>
    <t>Instalação do 2º ATF 500/138-13,8 kV, 3 x 300 MVA, na SE Zona Oeste</t>
  </si>
  <si>
    <t>T2021-002</t>
  </si>
  <si>
    <t>Recapacitação LT 230kV Blumenau - Joinville Norte</t>
  </si>
  <si>
    <t>T2021-004</t>
  </si>
  <si>
    <t>Recapacitação LT 230 kV Blumenau - Joinville</t>
  </si>
  <si>
    <t>T2021-007</t>
  </si>
  <si>
    <t>Melhoria-SE S. J. do Piauí-Substituição do reator monofásico reserva 500kV,33,3Mvar.</t>
  </si>
  <si>
    <t>T2020-008</t>
  </si>
  <si>
    <t>SE Governador Mangabeira: substituição do transformador trifásico TR1 230/69 kV - 100 MVA (melhoria)</t>
  </si>
  <si>
    <t>T2020-009</t>
  </si>
  <si>
    <t>SE Guamá - Substituição de transformador de potência TR2 230/69 kV- 3x50 MVA (Melhoria)</t>
  </si>
  <si>
    <t>T2020-011</t>
  </si>
  <si>
    <t>SE Utinga - Substituição de transformador de potência TF1 230/69 kV- 3x50 MVA (Melhoria)</t>
  </si>
  <si>
    <t>T2020-013</t>
  </si>
  <si>
    <t>SE Utinga - Substituição de transformador de potência TF2 230/69 kV- 3x50 MVA (Melhoria)</t>
  </si>
  <si>
    <t>T2020-017</t>
  </si>
  <si>
    <t>SE Vila do Conde-Substituição de bancos de reatores 500 kV, (3+1)x55 MVAr (Melhoria)</t>
  </si>
  <si>
    <t>T2020-019</t>
  </si>
  <si>
    <t>SE Colinas - Substituição de compensação série fixa BC2 500 kV, 161 MVA (Melhoria)</t>
  </si>
  <si>
    <t>T2021-016</t>
  </si>
  <si>
    <t>SE Imperatriz-Substituição do reator RT1 500 kV, 3x50 MVAr, e RTR5 500 kV, 50 MVAr (Melhoria)</t>
  </si>
  <si>
    <t>T2021-017</t>
  </si>
  <si>
    <t>SE Imperatriz-Substituição da compensação série BC2 500kV, 451 Mvar. (Melhoria)</t>
  </si>
  <si>
    <t>T2021-018</t>
  </si>
  <si>
    <t>SE Imperatriz-Substituição do reator RT3 500 kV, 3x33,3 MVAr, e RTR4 500 kV, 33,3 MVAr (Melhoria)</t>
  </si>
  <si>
    <t>T2021-019</t>
  </si>
  <si>
    <t>SE Marabá- Substituição da compensação série BC2 500kV,283 Mvar. (Melhoria)</t>
  </si>
  <si>
    <t>T2021-020</t>
  </si>
  <si>
    <t>SE Marabá-Substituição dos reator 500kV RT3,3x45,33Mvar. (Melhoria)</t>
  </si>
  <si>
    <t>T2021-021</t>
  </si>
  <si>
    <t>SE Marabá -Substituição dos reatores 500kV RTR2, 45,33Mvar, e RT2,3x45,33Mvar. (Melhoria)</t>
  </si>
  <si>
    <t>T2021-022</t>
  </si>
  <si>
    <t>SE Rondonópolis-Substituição do BC1 230 kV, 30 MVAr. (Melhoria)</t>
  </si>
  <si>
    <t>T2021-023</t>
  </si>
  <si>
    <t>SE Pres. Dutra-Substituição dos reatores 500 kV RTR1, 50 Mvar, e RTR1, 33,3Mvar (Melhoria)</t>
  </si>
  <si>
    <t>T2021-024</t>
  </si>
  <si>
    <t>SE Pres. Dutra-Substituição da compensação série BC2 500 kV, 454 Mvar. (Melhoria)</t>
  </si>
  <si>
    <t>T2021-025</t>
  </si>
  <si>
    <t>SE P.DUTRA-Substituição de um Banco de Reatores RT7 500 kV - 136 Mvar. (Melhoria)</t>
  </si>
  <si>
    <t>T2020-022</t>
  </si>
  <si>
    <t>SE Miranda II - Instalação do TR3 230/69 kV, 100MVA.</t>
  </si>
  <si>
    <t>T2021-031</t>
  </si>
  <si>
    <t>SE Vilhena - instalação de um reator de barra 230kV</t>
  </si>
  <si>
    <t>T2021-051</t>
  </si>
  <si>
    <t>SE Vilhena - instalação de um reator de barra 230kV.</t>
  </si>
  <si>
    <t>T2021-050</t>
  </si>
  <si>
    <t>Melhoria na SE Mascarenhas de Moraes - substituição dos dois transformadores 138/13,8 kV - 30 MVA</t>
  </si>
  <si>
    <t>T2021-079</t>
  </si>
  <si>
    <t>SE Rio Verde - instalação de um banco de capacitores de 80 Mvar, 138 kV.</t>
  </si>
  <si>
    <t>T2021-080</t>
  </si>
  <si>
    <t>Instalação do 1º reator de barra 230kV na SE Anastácio</t>
  </si>
  <si>
    <t>T2021-104</t>
  </si>
  <si>
    <t>Melhoria na SE Blumenau - substituição do transformador trifásico TF3, 230/138 kV , 150 MVA</t>
  </si>
  <si>
    <t>T2021-105</t>
  </si>
  <si>
    <t>Melhoria na SE Blumenau - substituição do transformador trifásico TR4, 230/138 kV, 150 MVA</t>
  </si>
  <si>
    <t>T2020-071</t>
  </si>
  <si>
    <t>SE Marabá: Substituição TF2 230/69 kV, 33MVA, por unidade de 100 MVA.</t>
  </si>
  <si>
    <t>T2022-053</t>
  </si>
  <si>
    <t>Revitalização da SE Ibiúna - revitalização da fase C (7197231)</t>
  </si>
  <si>
    <t>T2022-054</t>
  </si>
  <si>
    <t>SE IBIUNA: Revitalização da Unidade atualmente na Reserva  (7197232)</t>
  </si>
  <si>
    <t>T2023-077</t>
  </si>
  <si>
    <t>Melhoria na SE Rio Branco I: substituição do reator de derivação trifásico 230 kV/ RBRE6-02 - 20MVAr</t>
  </si>
  <si>
    <t>T2021-078</t>
  </si>
  <si>
    <t>SE Bandeirantes - instalação de fase reserva para o AT05</t>
  </si>
  <si>
    <t>T2023-103</t>
  </si>
  <si>
    <t>Melhoria na SE Vila do Conde: substituição da fase reserva do VCAT7 01</t>
  </si>
  <si>
    <t>T2024-191</t>
  </si>
  <si>
    <t>Reforço na SE Arapiraca III: Instalação do 3º Transformador de Potência Trifásico de 230/69 kV</t>
  </si>
  <si>
    <t>T2024-192</t>
  </si>
  <si>
    <t>Reforço na SE Teixeira de Freitas II: Instalação do 3º AT Monofásico de 230/138 kV - 3 x 33,33 MVA</t>
  </si>
  <si>
    <t>T2024-190</t>
  </si>
  <si>
    <t>Melhoria na SE Ivaiporã: Substituição de trafo potencia TRRG01</t>
  </si>
  <si>
    <t>T2024-151</t>
  </si>
  <si>
    <t xml:space="preserve">Reforço na SE Imperatriz: Instalação do 4º TR230/69 kV - 100 MVA e conexões </t>
  </si>
  <si>
    <t>T2024-152</t>
  </si>
  <si>
    <t>Reforço na SE Ji-Paraná: Substituição do TR1 230/69 kV de 60 MVA por 100 MVA</t>
  </si>
  <si>
    <t>T2024-153</t>
  </si>
  <si>
    <t xml:space="preserve">Reforço na SE Ji-Paraná: Instalação do 3º TF 230/138/13,8 kV </t>
  </si>
  <si>
    <t>T2024-156</t>
  </si>
  <si>
    <t>Reforço na SE Presidente Dutra: Fase reserva  reator de barra 50 MVar - 550 kV</t>
  </si>
  <si>
    <t>T2024-157</t>
  </si>
  <si>
    <t>Reforço na SE Vilhena: 3° TF 230/69/13,8 kV</t>
  </si>
  <si>
    <t>T2024-215</t>
  </si>
  <si>
    <t>Reforço na SE Ji-Paraná: Substituição do TR2 230/69 kV de 60 MVA por 100 MVA</t>
  </si>
  <si>
    <t>T2024-154</t>
  </si>
  <si>
    <t>Reforço na SE Nobres: Instalação do 3º TF 230/138/13,8 kV</t>
  </si>
  <si>
    <t>T2024-155</t>
  </si>
  <si>
    <t>Reforço na SE Porto Franco: 4º TR 230/69/13,8 kV - 100 MVA e conexões</t>
  </si>
  <si>
    <t>T2024-228</t>
  </si>
  <si>
    <t>Reforço na SE Porto Velho: Instalação do 5º TF 230/69 kV – 1 x 150 MVA e Conexoes</t>
  </si>
  <si>
    <t>T2024-230</t>
  </si>
  <si>
    <t>Reforço na SE IBICOARA: Instalação do 3° ATF 230/138 kV, 1 x 100 MVA 3? e conexões</t>
  </si>
  <si>
    <t>T2024-237</t>
  </si>
  <si>
    <t>Reforço: Seccionamento da LT 230kV Bom Nome-PauloAfonso III C3 na SE Zebu III</t>
  </si>
  <si>
    <t>T2024-238</t>
  </si>
  <si>
    <t>Reforço: Seccionamento da LT 230kV Floresta II-PauloAfonso III C2 na SE Zebu III.</t>
  </si>
  <si>
    <t>T2024-225</t>
  </si>
  <si>
    <t>Reforço na SE São José: Substituição do TR11 pelo TF 500/138kV, 3 x 300 MVA</t>
  </si>
  <si>
    <t>T2024-226</t>
  </si>
  <si>
    <t>Reforço na SE São José: Substituição do TR12 pelo TF 500/138kV, 3 x 300 MVA</t>
  </si>
  <si>
    <t>T2024-227</t>
  </si>
  <si>
    <t>Reforço na SE São José: Substituição da Fase Reserva para o TR11 e TR12 - TF 500/138kV, 1 x 300 MVA</t>
  </si>
  <si>
    <t>T2025-001</t>
  </si>
  <si>
    <t>Reforço: Recondutoramento LT 230 kVSAPEAÇU - SANTO ANTONIO DE JESUS C-1.</t>
  </si>
  <si>
    <t>T2025-002</t>
  </si>
  <si>
    <t>Reforço: Recondutoramento LT 230 kVSAPEAÇU - SANTO ANTONIO DE JESUS C-2.</t>
  </si>
  <si>
    <t>T2025-004</t>
  </si>
  <si>
    <t>Reforço SE Rondonopolis: Instalação do 3º ATF 230/138 kV – 150 MVA (5° unidade da subestação).</t>
  </si>
  <si>
    <t>T2025-005</t>
  </si>
  <si>
    <t>Reforço SE Sinop: Instalação do 4º ATF 230/138 kV – 150 MVA.</t>
  </si>
  <si>
    <t>T2025-006</t>
  </si>
  <si>
    <t>Reforço SE Nova Mutum: Instalação do 4º ATF 230/69 kV – 75 MVA.</t>
  </si>
  <si>
    <t>T2025-007</t>
  </si>
  <si>
    <t>Reforço SE Nova Mutum: Substituição TF1 230/69 kV.</t>
  </si>
  <si>
    <t>T2024-242</t>
  </si>
  <si>
    <t>Reforço: Recondutoramento LT 230 kV ITAPEBI /EUNAPOLIS C-1 BA.</t>
  </si>
  <si>
    <t>T2024-243</t>
  </si>
  <si>
    <t xml:space="preserve">Reforço: Recondutoramento LT 230 kV ITAPEBI /EUNAPOLIS C2 BA </t>
  </si>
  <si>
    <t>T2025-018</t>
  </si>
  <si>
    <t>ELETROBRAS</t>
  </si>
  <si>
    <t>Melhoria na SE Foz do Iguaçu: revitalização do transformador conversor 57844</t>
  </si>
  <si>
    <t>T2025-019</t>
  </si>
  <si>
    <t>Melhoria na SE Foz do Iguaçu: revitalização do transformador conversor 7197219</t>
  </si>
  <si>
    <t>T2025-020</t>
  </si>
  <si>
    <t>Melhoria na SE Ibiuna: revitalização do transformador conversor 57855</t>
  </si>
  <si>
    <t>T2025-021</t>
  </si>
  <si>
    <t>Melhoria na SE Ibiuna: revitalização do transformador conversor 7197222</t>
  </si>
  <si>
    <t>T2025-022</t>
  </si>
  <si>
    <t>Melhoria na SE Ibiuna: revitalização do transformador conversor 7476860</t>
  </si>
  <si>
    <t>T2025-023</t>
  </si>
  <si>
    <t>Melhoria na SE Ibiuna: revitalização do transformador conversor 7197223</t>
  </si>
  <si>
    <t>T2025-024</t>
  </si>
  <si>
    <t>Melhoria na SE Ibiuna: revitalização do transformador conversor 7197226</t>
  </si>
  <si>
    <t>T2025-025</t>
  </si>
  <si>
    <t>Melhoria na SE Ibiuna: revitalização do transformador conversor 58778</t>
  </si>
  <si>
    <t>T2025-032</t>
  </si>
  <si>
    <t>Reforço na SE Poços de Caldas: Instalação do 2° ATF 500/345 kV, 3 x 200 MVA.</t>
  </si>
  <si>
    <t>T2025-036</t>
  </si>
  <si>
    <t>Reforço na SE 230/69 kV Mirueira: Substituição do transformador 04TR3 (100 MVA)</t>
  </si>
  <si>
    <t>T2025-037</t>
  </si>
  <si>
    <t>Reforço na SE 230/69 kV Mirueira: Substituição do transformador 04TR4 (100 MVA)</t>
  </si>
  <si>
    <t>T2025-041</t>
  </si>
  <si>
    <t>Reforço na SE Sorriso: Substituição do TF 230/69 kV, T-01, 1 x 30 MVA por uma 1 x 100 MVA</t>
  </si>
  <si>
    <t>T2025-042</t>
  </si>
  <si>
    <t>Reforço na SE Sorriso: instalação do 5° TF 230/69 kV, 1 x 100 MVA</t>
  </si>
  <si>
    <t>T2025-045</t>
  </si>
  <si>
    <t>Reforço na SE Jacarepaguá: Instalação do 1º reator de barra trifásico - 30 Mvar/138 kV</t>
  </si>
  <si>
    <t>T2025-047</t>
  </si>
  <si>
    <t>Reforço na SE Mirueira II: Instalação do 3° TF 230/69 kV, 1 x 150 MVA</t>
  </si>
  <si>
    <t>T2025-050</t>
  </si>
  <si>
    <t>Reforço na SE Lucas do Rio Verde: instalação do 3° ATF 230/138 kV, 3 x 25 MVA</t>
  </si>
  <si>
    <t>T2025-052</t>
  </si>
  <si>
    <t>Reforço na SE Siderópolis: instalação do 4º TF 230/69 kV – 150 MVA</t>
  </si>
  <si>
    <t>T2024-187</t>
  </si>
  <si>
    <t>Melhoria na SE Tijuco Preto: Substituição de reator RESERVA 1 - RTIATP1/2/3</t>
  </si>
  <si>
    <t>TAP.2025.274</t>
  </si>
  <si>
    <t>MPP</t>
  </si>
  <si>
    <t>Substituição do Disjuntor (11T5) 13,8 kV, arranjo BS, associado ao TR5, na SE ACU II</t>
  </si>
  <si>
    <t>Disjuntor</t>
  </si>
  <si>
    <t>Substituição do Para-raios (71T5.A) 13,8 kV, arranjo BS, associado ao TR5, na SE ACU II</t>
  </si>
  <si>
    <t>Para-raio</t>
  </si>
  <si>
    <t>Substituição do Transformador de Corrente TC (91T521.A) 13.8 kV, arranjo BS, associado ao TR5, na SE ACU II</t>
  </si>
  <si>
    <t>Transformador de Corrente</t>
  </si>
  <si>
    <t>Substituição da Seccionadora (31T5-5) 13,8 kV, arranjo BS, associado ao  TR5, na SE ACU II</t>
  </si>
  <si>
    <t>Seccionadora</t>
  </si>
  <si>
    <t>Substituição do Transformador de Corrente TC (91T523.C) 13,8kV, arranjo BS, associado ao TR5, na SE ACU II</t>
  </si>
  <si>
    <t>Substituição da Seccionadora (31T5-4) 13,8kV, arranjo BS, associado ao  TR5, na SE ACU II</t>
  </si>
  <si>
    <t>Substituição do Transformador de Corrente TC (91T522.B) 13,8kV, arranjo BS, associado ao TR5, na SE ACU II</t>
  </si>
  <si>
    <t>Substituição do Para-raios (71T5.C) 13,8 kV, arranjo BS, associado ao TR5, na SE ACU II</t>
  </si>
  <si>
    <t>Substituição do Para-raios (71T5.B) 13,8 kV, arranjo BS, associado ao TR5, na SE ACU II</t>
  </si>
  <si>
    <t>TAP.2023.068</t>
  </si>
  <si>
    <t>Substituição do Disjuntor (14T4) 230 kV, arranjo BD5, associado ao TR4, na SE ACU II</t>
  </si>
  <si>
    <t>Substituição da Seccionadora (31T4-4) 13,8kV, arranjo BS, associado ao TR4, na SE ACU II</t>
  </si>
  <si>
    <t>Substituição do Disjuntor (11T4) 13,8k V, arranjo BS, associado ao TR4, na SE ACU II</t>
  </si>
  <si>
    <t>Substituição do Para-raios (71T4.B) 13,8kV, fase B, arranjo BS, associado ao TR4, na SE ACU II</t>
  </si>
  <si>
    <t>Substituição do Para-raios (71T4.C) 13,8kV, fase C, arranjo BS, associado ao TR4, na SE ACU II</t>
  </si>
  <si>
    <t>Substituição da Seccionadora (31T4-5) 13,8kV, arranjo BS, associado ao TR4 , na SE ACU II</t>
  </si>
  <si>
    <t>Substituição do Transformador de Corrente TC (91T421.A) 13,8kV, fase A, arranjo BS, associado ao TR4, na SE ACU II</t>
  </si>
  <si>
    <t>Substituição do Transformador de Corrente TC (91T422.B  13,8kV, fase B, arranjo BS, associado ao TR4, na SE ACU II</t>
  </si>
  <si>
    <t>Substituição do Transformador de Corrente TC (91T423.C) 13,8kV, fase C, arranjo BS, associado ao TR4, na SE ACU II</t>
  </si>
  <si>
    <t>Substituição do Para-raios (71T4.A ) 13,8 kV, fase A, arranjo BS, associado ao TR4, na SE ACU II</t>
  </si>
  <si>
    <t>Substituição do SPCS 230V, associado ao TR4, na SE ACU II</t>
  </si>
  <si>
    <t>Proteção e Controle</t>
  </si>
  <si>
    <t>Substituição do SPCS (04T5) 230kV, associado ao TR5, na SE ACU II</t>
  </si>
  <si>
    <t>Substituição do SPCS 69kV, associado ao TR4, na SE ACU II</t>
  </si>
  <si>
    <t>Substituição do SPCS (04T5)  69kV, associado ao TR5, na SE ACU II</t>
  </si>
  <si>
    <t>Substituição do Transformador Trifásico TR5 (04T5 ) 230/69/13,8kV, 39 MVA, na SE ACU II.</t>
  </si>
  <si>
    <t>Transformador de Potência</t>
  </si>
  <si>
    <t>TAP.2025.210</t>
  </si>
  <si>
    <t>Substituição do Reator de Linha Trifásico RT1 (AQRE601) 230kV, 20 MVAr, na SE ARIQUEMES</t>
  </si>
  <si>
    <t>Reator de Linha</t>
  </si>
  <si>
    <t>Substituição do SPCS AQSPR00 13,8kV, associado ao RT1, na SE ARIQUEMES</t>
  </si>
  <si>
    <t>TAP.2025.211</t>
  </si>
  <si>
    <t>Substituição do Transformador Trifásico TR1 (AQTF601) 230/69kV, 60 MVA, na SE ARIQUEMES</t>
  </si>
  <si>
    <t>Substituição do SPCS QPC1-6AY 230KV, associado ao TR1, na SE ARIQUEMES</t>
  </si>
  <si>
    <t>Substituição do SPCS QPC2-6AY 230KV, associado ao TR1, na SE ARIQUEMES</t>
  </si>
  <si>
    <t>Substituição do SPCS QPC-4AX 230KV, associado ao TR1, na SE ARIQUEMES</t>
  </si>
  <si>
    <t>Substituição do Para-raios AQPR6-01 230kV, fase A, arranjo BD4, associado ao TR1, na SE ARIQUEMES</t>
  </si>
  <si>
    <t>Substituição do Para-raios AQPR6-01 230kV, fase B, arranjo BD4, associado ao TR1, na SE ARIQUEMES</t>
  </si>
  <si>
    <t>Substituição do Para-Raio AQPR6-01 230kV, fase V, arranjo BD4, associado ao TR1, na SE ARIQUEMES</t>
  </si>
  <si>
    <t>Substituição do Para-Raio AQPR4-01 69kV, fase A, arranjo BPT, associado ao TR1, na SE ARIQUEMES</t>
  </si>
  <si>
    <t>Substituição do Para-Raio AQPR4-01 69kV, fase B, arranjo BPT, associado ao TR1, na SE ARIQUEMES</t>
  </si>
  <si>
    <t>Substituição do Para-Raio AQPR4-01 69kV, fase V, arranjo BPT, associado ao TR1, na SE ARIQUEMES</t>
  </si>
  <si>
    <t>TAP.2025.212</t>
  </si>
  <si>
    <t>Substituição do Transformador Trifásico TR2 (AQTF602) 230/69kV, 60 MVA, na SE ARIQUEMES</t>
  </si>
  <si>
    <t>Substituição do SPCS QPC1-6BY 230kV, associado ao TR2, na SE ARIQUEMES</t>
  </si>
  <si>
    <t>Substituição do SPCS  QPC2-6BY 230kV, associado ao TR2, na SE ARIQUEMES</t>
  </si>
  <si>
    <t>Substituição do SPCS QPC-4CX 230KV, associado a EL JARU, na SE ARIQUEMES</t>
  </si>
  <si>
    <t>Substituição do Para-Raio AQPR601 230kV, fase A, arranjo BD4, associado ao TR2, na SE ARIQUEMES</t>
  </si>
  <si>
    <t>Substituição do Para-Raio AQPR601 230kV, fase B, arranjo BD4, associado ao TR2, na SE ARIQUEMES</t>
  </si>
  <si>
    <t>Substituição do Para-Raio AQPR601 230kV, fase V, arranjo BD4, associado ao TR2, na SE ARIQUEMES</t>
  </si>
  <si>
    <t>Substituição do Para-Raio AQPR401 69kV, fase A, arranjo BPT, associado ao TR2, na SE ARIQUEMES</t>
  </si>
  <si>
    <t>Substituição do Para-Raio AQPR401 69kV, fase B, arranjo BPT, associado ao TR2, na SE ARIQUEMES</t>
  </si>
  <si>
    <t>Substituição do Para-Raio AQPR401 69kV, fase V, arranjo BPT, associado ao TR2, na SE ARIQUEMES</t>
  </si>
  <si>
    <t>Substituição da Seccionadora AQSB605 230kV, arranjo BD4, associado ao TR2, na SE ARIQUEMES</t>
  </si>
  <si>
    <t>Substituição da Seccionadora AQSB606 230kV, arranjo BD4, associado ao TR2, na SE ARIQUEMES</t>
  </si>
  <si>
    <t>Substituição da Seccionadora AQSY603 230kV, arranjo BD4, associado ao TR2, na SE ARIQUEMES</t>
  </si>
  <si>
    <t>Substituição da Seccionadora AQSD410 69kV, arranjo BPT, associado ao TR2, na SE ARIQUEMES</t>
  </si>
  <si>
    <t>Substituição da Seccionadora AQSY404 69kV, arranjo BPT, associado ao TR2, na SE ARIQUEMES</t>
  </si>
  <si>
    <t>Substituição do Transformador de Corrente AQTC401 69kV, fase A, arranjo BPT, associado ao TR2, na SE ARIQUEMES</t>
  </si>
  <si>
    <t>Substituição do Transformador de Corrente AQTC401 69kV, fase B, arranjo BPT, associado ao TR2, na SE ARIQUEMES</t>
  </si>
  <si>
    <t>Substituição do Transformador de Corrente AQTC401 69kV, fase V, arranjo BPT, associado ao TR2, na SE ARIQUEMES</t>
  </si>
  <si>
    <t>TAP.2025.346</t>
  </si>
  <si>
    <t>Substituição de Reator de Linha Monofásico RT1 (05E1-A) 500kV, 33,3MVAr, fase A, arranjo DJM, associado a EL de S.J Piauí, na SE B.ESPERANCA.</t>
  </si>
  <si>
    <t>Substituição do Reator de Linha de Neutro (09E1.N) 13,8kV, 0,23MVAr, associado à EL de S.J PIiauí, na SE B.ESPERANCA.</t>
  </si>
  <si>
    <t>Outros Equipamentos</t>
  </si>
  <si>
    <t>TAP.2023.060</t>
  </si>
  <si>
    <t>Substituição da Seccionadora (34T2-6) 230 kV, arranjo BPT, associado ao TR2, na SE B.JESUS LAPA</t>
  </si>
  <si>
    <t>Substituição do Para-raio (71T2.A) 13,8 kV, arranjo BS, associado ao TR2, na SE B.JESUS LAPA</t>
  </si>
  <si>
    <t>Substituição do Disjuntor (11T2 ) 13,8 kV, arranjo BS, associado ao TR2, na SE B.JESUS LAPA</t>
  </si>
  <si>
    <t>TAP.2025.268</t>
  </si>
  <si>
    <t>Substituição do Reator Limitador de Corrente RT2 (01E2-L.A) 13,8 kV. 1,66MVAr, fase A, arranjo BS na SE B.JESUS LAPA</t>
  </si>
  <si>
    <t>Reator Limitador de Corrente</t>
  </si>
  <si>
    <t>Substituição do Reator Limitador de Corrente RT2 (01E2-L.C) 13,8 kV, 1,66MVAr, fase C, arranjo BS na SE B.JESUS LAPA</t>
  </si>
  <si>
    <t>Substituição do Para-raio (71T2.C) 13,8 kV, arranjo BS, associado ao TR2, na SE B.JESUS LAPA</t>
  </si>
  <si>
    <t>Substituição da Seccionadora (32T2-5) 69kV, arranjo BPT, associado ao TR2, na SE B.JESUS LAPA</t>
  </si>
  <si>
    <t>Substituição do Reator Limitador de Corrente RT2 (01E2-L.B) 13,8 kV, 1,66MVAr, fase B, arranjo BS na SE B.JESUS LAPA</t>
  </si>
  <si>
    <t>Reator de Barra</t>
  </si>
  <si>
    <t>Substituição do Para-raio (71T2.B) 13,8 kV, arranjo BS, associado ao TR2, na SE B.JESUS LAPA</t>
  </si>
  <si>
    <t>Substituição da Seccionadora (31T2-5) 13,8 kV, arranjo BS, associado ao TR2, na SE B.JESUS LAPA</t>
  </si>
  <si>
    <t>Substituição da Seccionadora (32T2-6) 69 kV, arranjo BPT, associado ao TR2, na SE B.JESUS LAPA</t>
  </si>
  <si>
    <t>Substituição da Seccionadora (32T2-4) 69 kV, arranjo BPT, associado ao TR2, na SE B.JESUS LAPA</t>
  </si>
  <si>
    <t>Substituição do Disjuntor (12T2) 69 kV, arranjo BPT, associado ao TR2, na SE B.JESUS LAPA</t>
  </si>
  <si>
    <t>Substituição do Reator de Linha Monofásico RTR1 (04ER) 230 kV, 5MVAr, arranjo BPT, na SE B.JESUS LAPA</t>
  </si>
  <si>
    <t>TAP.2025.259</t>
  </si>
  <si>
    <t>Substituição do Reator de Barra Trifásico RT3 (04E3) 230 kV, 3,33MVAr, na SE B.JESUS LAPA</t>
  </si>
  <si>
    <t>Substituição do SPCS 230kV, associado ao RT3, na  na SE B.JESUS LAPA</t>
  </si>
  <si>
    <t>TAP.2023.131</t>
  </si>
  <si>
    <t>Substituição do Transformador Regulador de Potência TREG1 (02R1) 69/69 kV,  40MVAr, na SE BANABUIU</t>
  </si>
  <si>
    <t>Substituição do Transformador Trifásico TR1 (04T1) 230/69kV, 33MVA, na SE BANABUIU</t>
  </si>
  <si>
    <t>TAP.2025.251</t>
  </si>
  <si>
    <t>Substituição do Reator de Linha Monofásico RT1 (04E1.C) 230 kV, 3,33MVAr, fase C, na SE BANABUIU</t>
  </si>
  <si>
    <t>TAP.2025.263</t>
  </si>
  <si>
    <t>Substituição do Reator de Barra Monofásico RTR1 (04ER) 230 kV, 3,33MVAr, na SE BANABUIU</t>
  </si>
  <si>
    <t>Substituição do SPCS 230kV, associado ao TR1, na SE BANABUIU</t>
  </si>
  <si>
    <t>Substituição do SPCS 69kV,  associado ao TR1, na SE BANABUIU</t>
  </si>
  <si>
    <t>TAP.2025.200</t>
  </si>
  <si>
    <t>Substituição do Transformador Monofásico TR2 (AT02-A) 345/230kV, 75MVA, fase A, na SE BANDEIRANTES.</t>
  </si>
  <si>
    <t>Substituição do Transformador Monofásico TR2 (AT02-B) 345/230kV, 75MVA, fase B, na SE BANDEIRANTES.</t>
  </si>
  <si>
    <t>Substituição do Transformador Monofásico TR2 (AT02-C) 345/230kV, 75MVA, fase C, na SE BANDEIRANTES.</t>
  </si>
  <si>
    <t>Substituição do Disjuntor DJ2332, 13,8kV, arranjo BS, associado á IB, na SE BANDEIRANTES.</t>
  </si>
  <si>
    <t>Substituição da Seccionadora SC821, 345kV, arranjo BD5, associado ao TR2, na SE BANDEIRANTES.</t>
  </si>
  <si>
    <t>Substituição da Seccionadora SC823, 345kV, arranjo BD5, associado ao TR2, na SE BANDEIRANTES.</t>
  </si>
  <si>
    <t>Substituição da Seccionadora SC825, 345kV, arranjo BD5, associado ao TR2, na SE BANDEIRANTES.</t>
  </si>
  <si>
    <t>Substituição da Seccionadora SC827, 345kV, arranjo BD5, associado ao TR2, na SE BANDEIRANTES.</t>
  </si>
  <si>
    <t>Substituição da Seccionadora SC829 345kV, arranjo BD5, associado ao TR2, na SE BANDEIRANTES.</t>
  </si>
  <si>
    <t>TAP.2025.201</t>
  </si>
  <si>
    <t>Substituição do Reator de Linha Monofásico RTR1 (RT8V1), 345kV, 20 MVAr, na SE BANDEIRANTES.</t>
  </si>
  <si>
    <t>TAP.2023.082</t>
  </si>
  <si>
    <t>Substituição do Para-raio 345kV, fase A, arranjo BD5, associado ao BC1, na SE BANDEIRANTES</t>
  </si>
  <si>
    <t>Substituição do Para-raio 345kV, fase B, arranjo BD5, associado ao BC1, na SE BANDEIRANTES</t>
  </si>
  <si>
    <t>Substituição do Para-raio 345kV, fase C, arranjo BD5, associado ao BC1, na SE BANDEIRANTES</t>
  </si>
  <si>
    <t>Substituição da Seccionadora SC880T 345kV, arranjo BD5, associado ao BC1, na SE BANDEIRANTES</t>
  </si>
  <si>
    <t>Substituição da Seccionadora SC881C 345kV, arranjo BD5, associado ao BC1, na SE BANDEIRANTES</t>
  </si>
  <si>
    <t>Substituição da Seccionadora SC883C 345kV, arranjo BD5, associado ao BC1, na SE BANDEIRANTES</t>
  </si>
  <si>
    <t>Substituição da Seccionadora SC885C 345kV, arranjo BD5, associado ao BC1, na SE BANDEIRANTES</t>
  </si>
  <si>
    <t>Substituição da CLP - PLC2 AT02 SAT  AUTOMATION de supervisão de Chaveamento associado ao Transformador Reserva TRR2 na SE BANDEIRANTES.</t>
  </si>
  <si>
    <t>TAP.2025.383</t>
  </si>
  <si>
    <t>Substituição do Transformador Monofásico TR1 (BPAT601) 230/138/13,8 kV, 16,67 MVA, fase A, na SE BARRA PEIXE</t>
  </si>
  <si>
    <t>Substituição do Transformador Monofásico TR1 (BPAT601) 230/138/13,8 kV, 16,67 MVA, fase B, na SE BARRA PEIXE</t>
  </si>
  <si>
    <t>Substituição do Barramento Flexivel (BPBR00) 230kV, associado ao TR1, na SE BARRA PEIXE</t>
  </si>
  <si>
    <t>Barramento</t>
  </si>
  <si>
    <t>Substituição do Cubiculo (BPCB203) 13,8kV, associado ao TR1, na SE BARRA PEIXE</t>
  </si>
  <si>
    <t>Cubículo</t>
  </si>
  <si>
    <t>Substituição do Disjuntor (BPDJ205) 13,8kV, arranjo BS, associado ao TR1, na SE BARRA PEIXE</t>
  </si>
  <si>
    <t>Substituição do Para-Raio (BPPR201) 13,8kV, fase A, arranjo BS, associado ao TR1, na SE BARRA PEIXE</t>
  </si>
  <si>
    <t>Substituição do Para-Raio (BPPR201) 13,8kV, fase B, arranjo BS, associado ao TR1, na SE BARRA PEIXE</t>
  </si>
  <si>
    <t>TAP.2025.213</t>
  </si>
  <si>
    <t>Substituição do Transformador Trifásico Reserva TRR1 (BPATR601) 230/138kV, 50 MVA, na SE BARRA PEIXE</t>
  </si>
  <si>
    <t>Substituição do Para-Raio BPPR201 13,8kV, fase R, arranjo BS, associado ao TRR1, na SE BARRA PEIXE</t>
  </si>
  <si>
    <t>Substituição do Para-Raio BPPR501 138kV, fase R, arranjo BPT, associado ao TRR1, na SE BARRA PEIXE</t>
  </si>
  <si>
    <t>Substituição do Para-Raio BPPR601 230kV, fase R, arranjo BD4, associado ao TRR1, na SE BARRA PEIXE</t>
  </si>
  <si>
    <t>TAP.2025.215</t>
  </si>
  <si>
    <t>Substituição do Reator de Linha Trifásico RT1 (BPRE601) 230kV, 20 MVAr, arranjo BD4, na SE BARRA PEIXE</t>
  </si>
  <si>
    <t>Substituição do Transformador Trifásico TR3 (BPAT6-03) 230/138kV, 50 MVA, na SE BARRA PEIXE</t>
  </si>
  <si>
    <t>Substituição do SPCS BPSPRAT 13,8KV, associado ao TR3, na SE BARRA PEIXE</t>
  </si>
  <si>
    <t>Substituição do SPCS  BPSPRRE 230KV, associado ao RT1, na SE BARRA PEIXE</t>
  </si>
  <si>
    <t>Substituição do SPCS  BPSPRLI 230KV, associado a Entrada de Linha Rio Verde, na SE BARRA PEIXE</t>
  </si>
  <si>
    <t>Substituição do SPCS BPSPRLI 230KV, associado a Entrada de Linha Rio verde C2, na SE BARRA PEIXE</t>
  </si>
  <si>
    <t>Substituição do Para-Raio (BPPR201) 13,8kV, fase V, arranjo BS, associado ao TR1, na SE BARRA PEIXE</t>
  </si>
  <si>
    <t>Substituição do Sistema de Medição (BPAT601 - BPSME01) 230 kV, associado ao TR1, na SE BARRA PEIXE</t>
  </si>
  <si>
    <t>Substituição do SPCS (BPSPRAT) 230 kV, associado ao TR1, na SE BARRA PEIXE</t>
  </si>
  <si>
    <t>Substituição do Transformador de Corrente (BPTC201-A) 13,8V, fase A, arranjo BS, associado ao TR1, na SE BARRA PEIXE</t>
  </si>
  <si>
    <t>Substituição do Transformador de Corrente (BPTC201-B) 13,8V, fase B, arranjo BS, associado ao TR1, na SE BARRA PEIXE</t>
  </si>
  <si>
    <t>Substituição do Transformador de Corrente (BPTC201-V) 13,8V, fase V, arranjo BS, associado ao TR1, na SE BARRA PEIXE</t>
  </si>
  <si>
    <t>Substituição da Transformador de Potencial (BPTP201-A) 13,8KV, fase A, arranjo BS, associado ao TR1, na SE BARRA PEIXE</t>
  </si>
  <si>
    <t>Transformador de Potencial</t>
  </si>
  <si>
    <t>Substituição da Transformador de Potencial (BPTP201-B) 13,8KV, fase B, arranjo BS, associado ao TR1, na SE BARRA PEIXE</t>
  </si>
  <si>
    <t>Substituição da Transformador de Potencial (BPTP201-V) 13,8KV, fase V, arranjo BS, associado ao TR1, na SE BARRA PEIXE</t>
  </si>
  <si>
    <t>Substituição do Sistema de Medição (BPAT601 - BPSME01) 138KV, associado ao TR1, na SE BARRA PEIXE</t>
  </si>
  <si>
    <t>Substituição do SPCS (BPSPRAT) 138kV, associado ao TR1, na SE BARRA PEIXE</t>
  </si>
  <si>
    <t>TAP.2025.207</t>
  </si>
  <si>
    <t>Substituição dos sistemas de proteção da LT 500 kV IBIUNA /BATEIAS C-1 SP/PR e proteção de falha do disjuntor DJ52-103, na SE BATEIAS</t>
  </si>
  <si>
    <t>Substituição do registrador de perturbações digital com localizador de faltas por ondas viajantes (TW)  da  LT 500 kV IBIUNA /BATEIAS C-1 SP/PR, na SE BATEIAS</t>
  </si>
  <si>
    <t>Substituição dos sistemas de proteção do Reator de Linha 500 kV, 165 Mvar, associado ao RTL3, na SE BATEIAS</t>
  </si>
  <si>
    <t>Substituição do registrador de perturbações digital 500 kV 165 Mvar, associado ao RTL3, na SE BATEIAS</t>
  </si>
  <si>
    <t>Substituição dos sistemas de proteção da LT 500 kV IBIUNA /BATEIAS C-2 SP/PR  e proteção de falha do disjutor DJ52-106, na SE BATEIAS</t>
  </si>
  <si>
    <t>Substituição do registrador de perturbações digital com localizador de faltas por ondas viajantes (TW)  da  LT 500 kV IBIUNA /BATEIAS C-2 SP/PR, na SE BATEIAS</t>
  </si>
  <si>
    <t>Substituição dos sistemas de proteção do Reator de Linha 500 kV 165 Mvar, associado ao RTL4, na SE BATEIAS</t>
  </si>
  <si>
    <t>Substituição do registrador de perturbações digital do  RTL 500 kV 165 Mvar, associado ao RTL4, na SE BATEIAS</t>
  </si>
  <si>
    <t>Substituição dos sistemas de proteção de falha de disjutor do DJ52-118, 500 kV, na SE BATEIAS</t>
  </si>
  <si>
    <t>Substituição do sistema de teleproteção primário digital da LT 500 kV IBIUNA /BATEIAS C1, na SE BATEIAS</t>
  </si>
  <si>
    <t>Substituição do sistema de teleproteção alternado OPLAT, incluindo as bobinas de bloqueio, da LT 500 kV IBIUNA /BATEIAS C1, na SE BATEIAS</t>
  </si>
  <si>
    <t>Substituição do sistema de teleproteção primário digital da LT 500 kV IBIUNA /BATEIAS C2, na SE BATEIAS</t>
  </si>
  <si>
    <t>Substituição do sistema de teleproteção alternado OPLAT, incluindo as bobinas de bloqueio, da LT 500 kV IBIUNA /BATEIAS C2, na SE BATEIAS</t>
  </si>
  <si>
    <t>TAP.2025.310</t>
  </si>
  <si>
    <t>Substituição do Reator de Barra Monofásico RT1 (RE1-A) 525kV 50MVAr. fase A, na SE BLUMENAU.</t>
  </si>
  <si>
    <t>Substituição do Reator de Barra Monofásico RT1 (RE1-B) 525kV 50MVAr. fase B, na SE BLUMENAU.</t>
  </si>
  <si>
    <t>Substituição do Reator de Barra Monofásico RT1 (RE1-C) 525kV 50MVAr. fase C, na SE BLUMENAU.</t>
  </si>
  <si>
    <t>Substituição do Reator de Barra Monofásico (RE-R) 525kV 50MVAr. fase Reserva, na SE BLUMENAU.</t>
  </si>
  <si>
    <t>TAP.2023.110</t>
  </si>
  <si>
    <t>Substituição do Transformador Monofásico TR6 (TF6) 525/230/13,8kV, 224MVA, fase A, na SE BLUMENAU</t>
  </si>
  <si>
    <t>Substituição do Transformador Monofásico TR6 (TF6) 525/230/13,8kV, 224MVA, fase B, na SE BLUMENAU</t>
  </si>
  <si>
    <t>Substituição do Transformador de Corrente TC 500kV, fase B, arranjo DJM, associado ao TR6, na SE BLUMENAU</t>
  </si>
  <si>
    <t>Substituição do Transformador de Corrente TC 500kV, fase C, arranjo DJM, associado ao TR6, na SE BLUMENAU</t>
  </si>
  <si>
    <t>Substituição do Para-raios 525kV, arranjo DJM, associado ao RT1, na SE BLUMENAU.</t>
  </si>
  <si>
    <t>TAP.2025.216</t>
  </si>
  <si>
    <t>Substituição do Banco de Capacitor Derivação BC1 (BVBC201) 13,8kV, 3,6 MVAr, arranjo BS, na SE BOA VISTA</t>
  </si>
  <si>
    <t>Banco de Capacitor</t>
  </si>
  <si>
    <t>Substituição do Transformador de Corrente de Neutro BVTC201 13,8kV, arranjo BS, associado ao BC1, na SE BOA VISTA</t>
  </si>
  <si>
    <t>Substituição do Transformador de Corrente BVTC201 13,8kV, fase A, arranjo BS, associado ao BC1, na SE BOA VISTA</t>
  </si>
  <si>
    <t>Substituição do Transformador de Corrente BVTC201 13,8kV, fase B, arranjo BS, associado ao BC1, na SE BOA VISTA</t>
  </si>
  <si>
    <t>Substituição do Transformador de Corrente BVTC201 13,8kV, fase V, arranjo BS, associado ao BC1, na SE BOA VISTA</t>
  </si>
  <si>
    <t>Substituição do SPCS BVSPRBC 13,8kV, associado ao BC1, na SE BOA VISTA</t>
  </si>
  <si>
    <t>TAP.2025.217</t>
  </si>
  <si>
    <t>Substituição do Banco de Capacitor Derivação BC2 (BVBC202) 13,8kV, 3,6 MVAr, arranjo BS, na SE BOA VISTA</t>
  </si>
  <si>
    <t>Substituição do Transformador de Corrente de Neutro BVTC201 13,8kV, arranjo BS, associado ao BC2, na SE BOA VISTA</t>
  </si>
  <si>
    <t>TAP.2025.218</t>
  </si>
  <si>
    <t>Substituição do Banco de Capacitor Derivação BC3 (BVBC203) 13,8kV, 3,6 MVAr, arranjo BS, na SE BOA VISTA</t>
  </si>
  <si>
    <t>Substituição do Transformador de Corrente de Neutro BVTC201 13,8kV, arranjo BS, associado ao BC3, na SE BOA VISTA</t>
  </si>
  <si>
    <t>TAP.2025.219</t>
  </si>
  <si>
    <t>Substituição do Banco de Capacitor Derivação BC4 (BVBC204) 13,8kV, 3,6 MVAr, arranjo BS, na SE BOA VISTA</t>
  </si>
  <si>
    <t>Substituição do Transformador de Corrente de Neutro BVTC201 13,8kV, arranjo BS, associado ao BC4, na SE BOA VISTA</t>
  </si>
  <si>
    <t>Substituição do Transformador de Corrente BVTC201 13,8kV, fase A, arranjo BS, associado ao BC4, na SE BOA VISTA</t>
  </si>
  <si>
    <t>Substituição do Transformador de Corrente BVTC201 13,8kV, fase B, arranjo BS, associado ao BC4, na SE BOA VISTA</t>
  </si>
  <si>
    <t>Substituição do Transformador de Corrente BVTC201 13,8kV, fase V, arranjo BS, associado ao BC4, na SE BOA VISTA</t>
  </si>
  <si>
    <t>Substituição do SPCS BVSPRBC 13,8kV, associado ao BC4, na SE BOA VISTA</t>
  </si>
  <si>
    <t>TAP.2025.220</t>
  </si>
  <si>
    <t>Substituição do Banco de Capacitor Derivação BC5 (BVBC205) 13,8kV, 3,6 MVAr, arranjo BS, na SE BOA VISTA</t>
  </si>
  <si>
    <t>Substituição do Transformador de Corrente de Neutro BVTC201 13,8kV, arranjo BS, associado ao BC5, na SE BOA VISTA</t>
  </si>
  <si>
    <t>TAP.2025.221</t>
  </si>
  <si>
    <t>Substituição do Banco de Capacitor Derivação BC6 (BVBC206) 13,8kV, 3,6 MVAr, arranjo BS, na SE BOA VISTA</t>
  </si>
  <si>
    <t>Substituição do Transformador de Corrente de Neutro BVTC201 13,8kV, arranjo BS, associado ao BC6, na SE BOA VISTA</t>
  </si>
  <si>
    <t>Substituição do Transformador de Corrente BVTC201 13,8kV, fase A, arranjo BS, associado ao BC6, na SE BOA VISTA</t>
  </si>
  <si>
    <t>Substituição do Transformador de Corrente BVTC201 13,8kV, fase B, arranjo BS, associado ao BC6, na SE BOA VISTA</t>
  </si>
  <si>
    <t>Substituição do Transformador de Corrente BVTC201 13,8kV, fase V, arranjo BS, associado ao BC6, na SE BOA VISTA</t>
  </si>
  <si>
    <t>Substituição do SPCS BVSPRBC 13,8kV, associado ao BC6, na SE BOA VISTA</t>
  </si>
  <si>
    <t>TAP.2025.222</t>
  </si>
  <si>
    <t>Substituição do Banco de Capacitor Derivação BC7 (BVBC207) 13,8kV, 3,6 MVAr, arranjo BS, na SE BOA VISTA</t>
  </si>
  <si>
    <t>Substituição do Transformador de Corrente de Neutro BVTC201 13,8kV, arranjo BS, associado ao BC7, na SE BOA VISTA</t>
  </si>
  <si>
    <t>TAP.2025.223</t>
  </si>
  <si>
    <t>Substituição do Banco de Capacitor Derivação BC8 (BVBC208) 13,8kV, 3,6 MVAr, arranjo BS, na SE BOA VISTA</t>
  </si>
  <si>
    <t>Substituição do Transformador de Corrente de Neutro BVTC201 13,8kV, arranjo BS, associado ao BC8, na SE BOA VISTA</t>
  </si>
  <si>
    <t>TAP.2025.224</t>
  </si>
  <si>
    <t>Substituição do Banco de Capacitor Derivação BC9 (BVBC209) 13,8kV, 3,6 MVAr, arranjo BS, na SE BOA VISTA</t>
  </si>
  <si>
    <t>Substituição do Transformador de Corrente de Neutro  BVTC201 13,8kV, arranjo BS, associado ao BC9, na SE BOA VISTA</t>
  </si>
  <si>
    <t>Substituição do Transformador de Corrente BVTC201 13,8kV, fase A, arranjo BS, associado ao BC9, na SE BOA VISTA</t>
  </si>
  <si>
    <t>Substituição do Transformador de Corrente BVTC201 13,8kV, fase B, arranjo BS, associado ao BC9, na SE BOA VISTA</t>
  </si>
  <si>
    <t>Substituição do Transformador de Corrente BVTC201 13,8kV, fase V, arranjo BS, associado ao BC9, na SE BOA VISTA</t>
  </si>
  <si>
    <t>Substituição do SPCS BVSPRBC 13,8kV, associado ao BC9, na SE BOA VISTA</t>
  </si>
  <si>
    <t>TAP.2025.225</t>
  </si>
  <si>
    <t>Substituição do Banco de Capacitor Derivação BC10 (BVBC210) 13,8kV, 3,6 MVAr, arranjo BS, na SE BOA VISTA</t>
  </si>
  <si>
    <t>Substituição do Transformador de Corrente de Neutro BVTC201 13,8kV, arranjo BS, associado ao BC10, na SE BOA VISTA</t>
  </si>
  <si>
    <t>TAP.2025.276</t>
  </si>
  <si>
    <t>Substituição do Transformador Trifásico TR7 (04T7)  230/13,8kV, 40MVA, na SE BONGI</t>
  </si>
  <si>
    <t>Substituição do Para-raios (71T7-1.B) 13,8 kV, fase B, arranjo BS, associado ao TR7, na SE BONGI</t>
  </si>
  <si>
    <t>Substituição da Seccionadora (31T7-6) 13,8 kV, arranjo BS, associado ao TR7, na SE BONGI</t>
  </si>
  <si>
    <t>Substituição do Para-raios (71T7-2.C) 13,8 kV, fase C, arranjo BS, associado ao TR7, na SE BONGI</t>
  </si>
  <si>
    <t>Substituição do Disjuntor (14T7) 230 kV, arranjo BPT, associado ao TR7, na SE BONGI</t>
  </si>
  <si>
    <t>Substituição do Transformador de Corrente TC (91T7-2.A) 13,8 kV, fase A, arranjo BS, associado ao TR7, na SE BONGI</t>
  </si>
  <si>
    <t>Substituição do Para-raios (71T7-2.A) 13,8 kV, fase A, arranjo BS, associado ao TR7, na SE BONGI</t>
  </si>
  <si>
    <t>Substituição do Disjuntor (11T7) 13,8 kV, arranjo BS, associado ao TR7, na SE BONGI</t>
  </si>
  <si>
    <t>Substituição da Seccionadora (31T7-4) 13,8 kV, arranjo BS, associado ao TR7, na SE BONGI</t>
  </si>
  <si>
    <t>Substituição da Seccionadora (31T7-8) 13,8 kV, arranjo BS, associado ao TR7, na SE BONGI</t>
  </si>
  <si>
    <t>Substituição da Seccionadora (31T7-5) 13,8 kV, arranjo BS, associado ao TR7, na SE BONGI</t>
  </si>
  <si>
    <t>Substituição do Transformador de Corrente TC (91T7-2.C) 13,8 kV, fase C, arranjo BS, associado ao TR7, na SE BONGI</t>
  </si>
  <si>
    <t>Substituição do Para-raios (71T7-1.A) 13,8 kV, fase A, arranjo BS, associado ao TR7, na SE BONGI</t>
  </si>
  <si>
    <t>Substituição do Para-raios (71T7-2.B) 13,8 kV, fase B, arranjo BS, associado ao TR7, na SE BONGI</t>
  </si>
  <si>
    <t>Substituição do Para-raios (71T7-1.C ) 13,8 kV, fase C, arranjo BS, associado ao TR7, na SE BONGI</t>
  </si>
  <si>
    <t>Substituição do Transformador de Corrente TC (91T7-2.B) 13,8 kV, fase B, arranjo BS, associado ao TR7, na SE BONGI</t>
  </si>
  <si>
    <t>TAP.2025.275</t>
  </si>
  <si>
    <t>Substituição do Transformador  Trifásico TR6 (04T6) 230/13,8kV, 40MVA, na SE BONGI</t>
  </si>
  <si>
    <t>Substituição da Seccionadora (31T6-5) 13,8 kV, arranjo BS, associado ao TR6, na SE BONGI</t>
  </si>
  <si>
    <t>Substituição do Para-raios (71T6-1.C ) 13,8 kV fase C, arranjo BS, associado ao TR6, na SE BONGI</t>
  </si>
  <si>
    <t>Substituição da Seccionadora ( 31T6-4 ) 13,8 kV, arranjo BS, associado ao TR6, na SE BONGI</t>
  </si>
  <si>
    <t>Substituição do Transformador de Corrente TC (91T6-2.B) 13,8 kV, fase B, arranjo BS, associado ao TR6, na SE BONGI</t>
  </si>
  <si>
    <t>Substituição do Transformador de Corrente TC (91T6-2.C) 13,8 kV, fase C, arranjo BS, associado ao TR6, na SE BONGI</t>
  </si>
  <si>
    <t>Substituição do Para-raios (71T6-1.A) 13,8 kV fase A, arranjo BS, associado ao TR6, na SE BONGI</t>
  </si>
  <si>
    <t>Substituição do Para-raios (71T6-2.C) 13,8 kV, fase C, arranjo BS, associado ao TR6, na SE BONGI</t>
  </si>
  <si>
    <t>Substituição do Disjuntor (11T6) 13,8 kV, arranjo BS, associado ao TR6, na SE BONGI</t>
  </si>
  <si>
    <t>Substituição do Para-raios (71T6-2.A) 13,8 kV fase A, arranjo BS, associado ao TR6, na SE BONGI</t>
  </si>
  <si>
    <t>Substituição da Seccionadora (31T6-6 ) 13,8 kV, arranjo BS, associado ao TR6, na SE BONGI</t>
  </si>
  <si>
    <t>Substituição do Reator Limitador de Corrente Monofásico  (01E2-L.C ) 13,8 kV, 2 MVAr, fase C, associado ao TR6, na SE BONGI</t>
  </si>
  <si>
    <t>Substituição do Transformador de Corrente TC (91T6-2.A) 13,8 kV fase A, arranjo BS, associado ao TR6, na SE BONGI</t>
  </si>
  <si>
    <t>Substituição da Seccionadora (31T6-8) 13,8 kV, fase B, arranjo BS, associado ao TR6, na SE BONGI</t>
  </si>
  <si>
    <t>Substituição do Para-raios (71T6-2.B) 13,8 kV, fase Barranjo BS, associado ao TR6, na SE BONGI</t>
  </si>
  <si>
    <t>Substituição do Reator Limitador de Corrente (01E2-L.A) 13,8 kV, 2 MVAr, fase A, associado ao TR6, na SE BONGI</t>
  </si>
  <si>
    <t>Substituição do Para-raios (71T6-1.B) 13,8 kV, fase Barranjo BS, associado ao TR6, na SE BONGI</t>
  </si>
  <si>
    <t>Substituição do Disjuntor (14T6) 230 kV, arranjo BPT, associado ao TR6, na SE BONGI</t>
  </si>
  <si>
    <t>Substituição do Reator Limitador de Corrente Monofásico  (01E2-L.B) 13,8 kV, 2 MVAr, fase B, associado ao TR6, na SE BONGI</t>
  </si>
  <si>
    <t>Substituição do SPCS 230kV, associado ao TR6, na SE BONGI</t>
  </si>
  <si>
    <t>Substituição do SPCS 230kV, associado ao TR7, na SE BONGI</t>
  </si>
  <si>
    <t>Substituição do SPCS 13,8kV, associado ao TR6, na SE BONGI</t>
  </si>
  <si>
    <t>Substituição do SPCS 13,8kV,  associado ao TR7, na SE BONGI</t>
  </si>
  <si>
    <t>TAP.2025.304</t>
  </si>
  <si>
    <t>Substituição do Transformador Monofásico TRR2 (AT87V1) 345/230kV, 75 MVA, fase Reserva, na SE BRAS. SUL.</t>
  </si>
  <si>
    <t>Substituição do Para-raios 230kV, fase A, arranjo BD5, associado ao TR3, na SE BRAS.SUL.</t>
  </si>
  <si>
    <t>Substituição do Para-raios 230kV, fase B, arranjo BD5, associado ao TR3, na SE BRAS.SUL.</t>
  </si>
  <si>
    <t>Substituição do Para-raios 230kV, fase C, arranjo BD5, associado ao TR3, na SE BRAS.SUL.</t>
  </si>
  <si>
    <t>Substituição da Seccionadora SC731, 230kV, arranjo BD5, associado ao TR3, na SE BRAS. SUL.</t>
  </si>
  <si>
    <t>Substituição da Seccionadora SC733, 230kV, arranjo BD5, associado ao TR3, na SE BRAS. SUL</t>
  </si>
  <si>
    <t>Substituição da Seccionadora SC735, 230kV, arranjo BD5, associado ao TR3, na SE BRAS. SUL.</t>
  </si>
  <si>
    <t>Substituição da Seccionadora SC737, 230kV, arranjo BD5, associado ao TR3, na SE BRAS. SUL.</t>
  </si>
  <si>
    <t>Substituição da Seccionadora SC739, 230kV, arranjo BD5, associado ao TR3, na SE BRAS. SUL.</t>
  </si>
  <si>
    <t>Substituição do Transformador de Corrente TC lado SC737, 230kV, fase A, arranjo BD5, associado ao TR3, na SE BRAS. SUL</t>
  </si>
  <si>
    <t>Substituição do Transformador de Corrente TC lado SC737, 230kV, fase B, arranjo BD5, associado ao TR3, na SE BRAS. SUL.</t>
  </si>
  <si>
    <t>Substituição do Transformador de Corrente TC lado SC737, 230kV, fase C, arranjo BD5, associado ao TR3, na SE BRAS. SUL.</t>
  </si>
  <si>
    <t>Substituição do Para-raios 345kV, fase A,  arranjo BD5, associado ao TR3, na SE BRAS.SUL.</t>
  </si>
  <si>
    <t>Substituição do Para-raios 345kV, fase B,  arranjo BD5, associado ao TR3, na SE BRAS.SUL.</t>
  </si>
  <si>
    <t>Substituição do Para-raios 345kV, fase C, arranjo BD5, associado ao TR3, na SE BRAS.SUL.</t>
  </si>
  <si>
    <t>Substituição da Seccionadora SC835, 345kV, arranjo BD5, associado ao TR3, na SE BRAS. SUL.</t>
  </si>
  <si>
    <t>Substituição da Seccionadora SC837, 345kV, arranjo BD5, associado ao TR3, na SE BRAS. SUL.</t>
  </si>
  <si>
    <t>Substituição da Seccionadora SC839, 345kV, arranjo BD5, associado ao TR3, na SE BRAS. SUL.</t>
  </si>
  <si>
    <t>Substituição do Transformador de Corrente TC lado SC837, 345kV, fase A, arranjo BD5, associado ao TR3, na SE BRAS. SUL</t>
  </si>
  <si>
    <t>Substituição do Transformador de Corrente TC lado SC837, 345kV, fase B, arranjo BD5, associado ao TR3, na SE BRAS. SUL.</t>
  </si>
  <si>
    <t>Substituição do Transformador de Corrente TC lado SC837, 345kV, fase C, arranjo BD5, associado ao TR3, na SE BRAS. SUL.</t>
  </si>
  <si>
    <t>Substituição do Transformador Monofásico TR3 (AT03-A) 345/230kV, 75MVA, fase A, na SE BRAS. SUL</t>
  </si>
  <si>
    <t>Substituição do Transformador Monofásico TR3 (AT03-B) 345/230kV, 75MVA, fase B, na SE BRAS. SUL.</t>
  </si>
  <si>
    <t>Substituição do Transformador Monofásico TR3 (AT03-C) 345/230kV, 75MVA, fase C, na SE BRAS. SUL.</t>
  </si>
  <si>
    <t>Substituição do Para-raios Terciário 13,8kV, fase A, arranjo BS, associado ao TR3, na SE BRAS. SUL.</t>
  </si>
  <si>
    <t>Substituição do Para-raios Terciário 13,8kV, fase B,  arranjo BS, associado ao TR3, na SE BRAS. SUL.</t>
  </si>
  <si>
    <t>Substituição do Para-raios Terciário 13,8kV, fase C,  arranjo BS, associado ao TR3, na SE BRAS. SUL.</t>
  </si>
  <si>
    <t>Substituição do Transformador de Aterramento TFAT - Terciário 13.8/0,12KV, 25MVA, fase A, arranjo BS, na SE BRAS. SUL.</t>
  </si>
  <si>
    <t>Transformador de Aterramento</t>
  </si>
  <si>
    <t>Substituição do Transformador de Aterramento TFAT - Terciário 13.8/0,12KV, 25MVA, fase B, arranjo BS, na SE BRAS. SUL.</t>
  </si>
  <si>
    <t>Substituição do Transformador de Aterramento TFAT - Terciário 13.8/0,12KV, 25MVA, fase C, arranjo BS, na SE BRAS. SUL.</t>
  </si>
  <si>
    <t>Substituição da UAC21 - SINOCON de supervisão de 138kV, associado ao TR1, na SE BRAS. SUL</t>
  </si>
  <si>
    <t>Substituição da UAC22 - SINOCON de supervisão de 345kV, associado ao TR1 na SE BRAS. SUL.</t>
  </si>
  <si>
    <t>Substituição da UAC03 - SINOCON de supervisão de 230kV, associado ao TR3 na SE BRAS. SUL.</t>
  </si>
  <si>
    <t>Substituição da UAC04 - SINOCON de supervisão de 345kV, associado ao TR3 na SE BRAS. SUL.</t>
  </si>
  <si>
    <t>TAP.2024.170</t>
  </si>
  <si>
    <t>Substituição do Reator  de Barra Monofásico RT1 (09E2-C) 26 kV, 100 MVAr, fase C na SE C.GRANDE II</t>
  </si>
  <si>
    <t>TAP.2025.252</t>
  </si>
  <si>
    <t>Substituição do Reator de Barra Trifásico RT1 (04E1) 230 kV, 10 MVAr, na SE C.GRANDE II.</t>
  </si>
  <si>
    <t>TAP.2025.284</t>
  </si>
  <si>
    <t>Substituição do Transformador Monofásico TR2 (05T2.A) 500/230kV, 200MVA, fase A, na SE CAMACARI II.</t>
  </si>
  <si>
    <t>Substituição do Transformador Monofásico TR2 (05T2.B) 500/230kV, 200MVA, fase B, na SE CAMACARI II.</t>
  </si>
  <si>
    <t>Substituição do Transformador Monofásico TR2 (05T2.C) 500/230kV, 200MVA, fase C, na SE CAMACARI II.</t>
  </si>
  <si>
    <t>Substituição da Seccionadora (34T2-7)  500kV, arranjo BD6, associado ao TR2, na SE CAMACARI II.</t>
  </si>
  <si>
    <t>TAP.2025.318</t>
  </si>
  <si>
    <t>Substituição do Transformador Trifásico TR8 (02T8) 69/13,8kV, 5MVA, na SE CAMACARI II.</t>
  </si>
  <si>
    <t>TAP.2024.029</t>
  </si>
  <si>
    <t>Substituição do Transformador Monofásico TR7 (04T7) 230/13,8 kV, 100MVA, fase A, na SE CAMACARI II</t>
  </si>
  <si>
    <t>Substituição do Transformador  Monofásico TR7 (04T7) 230/13,8 kV, 100MVA, fase C, na SE CAMACARI II</t>
  </si>
  <si>
    <t>Substituição do Transformador  Monofásico TRR1 (04TR) 230/13,8kV, 100MVA, fase reserva, na SE CAMACARI II</t>
  </si>
  <si>
    <t>Substituição do SPCS 500kV, associado ao TR2, na SE CAMACARI II.</t>
  </si>
  <si>
    <t>Substituição do SPCS 230kV, associado ao TR2, na SE CAMACARI II.</t>
  </si>
  <si>
    <t>TAP.2023.040</t>
  </si>
  <si>
    <t>Substituição da Seccionadora com lâmina de terra SC9127/SC9120T 500 kV, arranjo AN, associada à EL ARARAQUARA FURNAS C1, na SE CAMPINAS.</t>
  </si>
  <si>
    <t>Substituição da Seccionadora SC9205 500 kV, arranjo AN, associada à EL ARARAQUARA FURNAS C1, na SE CAMPINAS.</t>
  </si>
  <si>
    <t>Substituição da Seccionadora SC9207 500 kV, arranjo AN, associada à EL ARARAQUARA FURNAS C1, na SE CAMPINAS.</t>
  </si>
  <si>
    <t>Substituição da Seccionadora SC9215 500 kV, arranjo AN, associada à EL FERNÃO DIAS C1, na SE CAMPINAS.</t>
  </si>
  <si>
    <t>Substituição da Seccionadora SC9217 500 kV, arranjo AN, associada à EL FERNÃO DIAS C1, na SE CAMPINAS.</t>
  </si>
  <si>
    <t>Substituição da Seccionadora com lâmina de terra SC9317/SC9310T 500 kV, arranjo AN, associada à EL FERNÃO DIAS C1, na SE CAMPINAS.</t>
  </si>
  <si>
    <t>Substituição do Disjuntor DJ9208 500kV, arranjo AN, associado à EL ARARAQUARA FURNAS C1, na SE CAMPINAS</t>
  </si>
  <si>
    <t>Substituição do Disjuntor DJ9218 500kV, arranjo AN, associado  à EL FERNÃO DIAS C1, na SE CAMPINAS</t>
  </si>
  <si>
    <t>Substituição do Transformador de Corrente TC DJ9208 500 kV, fase A, arranjo AN, associado à EL ARARAQUARA FURNAS C1, na SE CAMPINAS</t>
  </si>
  <si>
    <t>Substituição do Transformador de Corrente TC DJ9208 500 kV, fase B, arranjo AN, associado à EL ARARAQUARA FURNAS C1, na SE CAMPINAS</t>
  </si>
  <si>
    <t>Substituição do Transformador de Corrente TC DJ9208 500 kV, fase C, arranjo AN, associado à EL ARARAQUARA FURNAS C1, na SE CAMPINAS</t>
  </si>
  <si>
    <t>Substituição do Transformador de Corrente TC DJ9218 500 kV, Fase A, arranjo AN, associado  à EL FERNÃO DIAS C1, na SE CAMPINAS</t>
  </si>
  <si>
    <t>Substituição do Transformador do Corrente TC DJ9218 500 kV, Fase B, arranjo AN, associado  à EL FERNÃO DIAS C1, na SE CAMPINAS</t>
  </si>
  <si>
    <t>Substituição do Transformador de Corrente TC DJ9218 500 kV, Fase C, arranjo AN,  associado  à EL FERNÃO DIAS C1, na SE CAMPINAS</t>
  </si>
  <si>
    <t>Substituição do sistema de proteção principal, lado de baixa 345 kV, associados ao AT51, na SE CAMPINAS.</t>
  </si>
  <si>
    <t>Substituição do sistema de controle e supervisão 500 kV, módulo de alta, associado ao AT51 na SE CAMPINAS.</t>
  </si>
  <si>
    <t>Substituição do sistema de controle e supervisão 345 kV, módulo de baixa, associado ao AT51, na SE CAMPINAS.</t>
  </si>
  <si>
    <t>Substituição do registrador digital de perturbações 500/345 kV, associados ao AT51, na SE CAMPINAS.</t>
  </si>
  <si>
    <t>Substituição do sistema de proteção principal, lado de alta 500 kV, associados ao AT51, na SE CAMPINAS.</t>
  </si>
  <si>
    <t>TAP.2025.202</t>
  </si>
  <si>
    <t>Substituição do Reator de Linha Monofásico RT6 (RT06-A), 345kV, 20MVAr, fase A, na SE CAMPOS.</t>
  </si>
  <si>
    <t>Substituição do Reator de Linha Monofásico RT6 (RT06-B), 345kV, 20MVAr, fase B, na SE CAMPOS.</t>
  </si>
  <si>
    <t>Substituição do Reator de Linha Monofásico  RT6 (RT06-C), 345kV, 20MVAr, fase C, na SE CAMPOS.</t>
  </si>
  <si>
    <t>Substituição do Reator de Linha Monofásico  RTR1, 345kV, 20MVAr, fase reserva, na SE CAMPOS.</t>
  </si>
  <si>
    <t>Substituição do Disjuntor DJ8732, 345kV, arranjo AN, associado à EL MACAÉ MERCHAN C2, na SE CAMPOS.</t>
  </si>
  <si>
    <t>Substituição da Seccionadora SC8731, 345kV, arranjo AN, associado à EL MACAÉ MERCHAN C2, na SE CAMPOS.</t>
  </si>
  <si>
    <t>Substituição da Seccionadora SC8733, 345kV, arranjo AN, associado à EL MACAÉ MERCHAN C2, na SE CAMPOS.</t>
  </si>
  <si>
    <t>Substituição de Transformador de Corrente TC 345KV DJ8732 LTCMMH2 345kV, fase C, arranjo AN, associado à EL MACAÉ MERCHAN C2, na SE CAMPOS.</t>
  </si>
  <si>
    <t>Substituição da Seccionadora SC880R, 345kV, arranjo AN, associado ao RT6, na SE CAMPOS.</t>
  </si>
  <si>
    <t>Substituição da Seccionadora SC8121 345kV, arranjo AN, associado à EL MACAÉ RIO NOVO DO SUL C1, na SE CAMPOS.</t>
  </si>
  <si>
    <t>Substituição da Seccionadora SC8123 345kV, arranjo AN, associada à EL RIO NOVO DO SUL C1, na SE CAMPOS.</t>
  </si>
  <si>
    <t>Substituição de Transformador de Corrente TC 345KV DJ8122 LTCMSRNS1, fase A, arranjo AN, associado à EL RIO NOVO DO SUL C1, na SE CAMPOS.</t>
  </si>
  <si>
    <t>Substituição de Transformador de Corrente TC 345KV DJ8122 LTCMSRNS1, fase B, arranjo AN, associado à EL RIO NOVO DO SUL C1, na SE CAMPOS.</t>
  </si>
  <si>
    <t>Substituição de Transformador de Corrente TC 345KV DJ8122 LTCMSRNS1, fase C, arranjo AN, associado à EL RIO NOVO DO SUL C1, na SE CAMPOS.</t>
  </si>
  <si>
    <t>Substituição dos sistemas de proteção do RTL 345 kV, 60 MVAr, associado ao RT6 e da proteção de falha do disjuntor DJ882R na SE CAMPOS.</t>
  </si>
  <si>
    <t>Substituição da UAC06 - SINOCON de supervisão 345 kV,  associado ao RT6, na SE CAMPOS.</t>
  </si>
  <si>
    <t>TAP.2025.226</t>
  </si>
  <si>
    <t>Substituição do Banco de Capacitor Derivação BC1 (CJBC601) 230kV, 30 MVAr, arranjo BD4, na SE CARAJAS</t>
  </si>
  <si>
    <t>Substituição do SPCS CJSPRBC 230kV, associado ao BC1, na SE CARAJAS</t>
  </si>
  <si>
    <t>Substituição do Para-Raio CJPR601 230kV, arranjo BD4, associado ao BC1, na SE CARAJAS</t>
  </si>
  <si>
    <t>TAP.2025.332</t>
  </si>
  <si>
    <t>Substituição do Reator de Linha Monofásico RT2 (CORE7-02) 500kV, 55MVAr, fase A, na SE COLINAS.</t>
  </si>
  <si>
    <t>Substituição da Seccionadora COSR702 500kV, arranjo DJM, associado ao RT2 na SE COLINAS</t>
  </si>
  <si>
    <t>TAP.2025.319</t>
  </si>
  <si>
    <t>Substituição do Transformador Trifásico TR2 (04T2 ) 230/69 kV, 100 MVA, na SE COTEGIPE</t>
  </si>
  <si>
    <t>TAP.2025.227</t>
  </si>
  <si>
    <t>Substituição do Reator de Linha Trifásico RT2 (CXRE502) 138kV, 5 MVAr, na SE COXIPO</t>
  </si>
  <si>
    <t>Substituição do Para-Raio CXRE502 138kV, fase A, arranjo BD5, associado ao RT2, na SE COXIPO</t>
  </si>
  <si>
    <t>Substituição do Para-Raio CXRE502 138kV, fase B, arranjo BD5, associado ao RT2, na SE COXIPO</t>
  </si>
  <si>
    <t>Substituição do Para-Raio CXRE502 138kV, fase V, arranjo BD5, associado ao RT2, na SE COXIPO</t>
  </si>
  <si>
    <t>Substituição da Seccionadora CXRE502 138kV, arranjo BD5, associada ao RT2, na SE COXIPO</t>
  </si>
  <si>
    <t>Substituição do Transformador de Corrente CXRE502 138kV , fase A, arranjo BD5, associado ao RT2, na SE COXIPO</t>
  </si>
  <si>
    <t>Substituição do Transformador de Corrente CXRE502 138kV , fase B, arranjo BD5, associado ao RT2, na SE COXIPO</t>
  </si>
  <si>
    <t>Substituição do Transformador de Corrente CXRE502 138kV , fase V, arranjo BD5, associado ao RT2, na SE COXIPO</t>
  </si>
  <si>
    <t>TAP.2025.312</t>
  </si>
  <si>
    <t>Substituição do Reator de Barra Monofásico RT1 (Shunt RE1) 525kV, 50MVAr, Fase B, na SE CURITIBA.</t>
  </si>
  <si>
    <t>Substituição do Reator de Barra Monofásico RT1 (Shunt RE1) 525kV, 50MVAr, Fase C, na SE CURITIBA.</t>
  </si>
  <si>
    <t>Substituição do para-raios 525kV, fase A, arranjo DJM, associado ao RT1, na SE CURITIBA.</t>
  </si>
  <si>
    <t>TAP.2024.091</t>
  </si>
  <si>
    <t>Substituição de Transformador de Corrente 94T4-A, 230kV, arranjo BD5, associado ao TR4, na SE DELM. GOUVEIA</t>
  </si>
  <si>
    <t>Substituição de Transformador de Corrente 94T4-C, 230kV, arranjo BD5, associado ao TR4, na SE DELM. GOUVEIA</t>
  </si>
  <si>
    <t>Substituição de Transformador de Corrente 94T4-B, 230kV, arranjo BD5, associado ao TR4, na SE DELM. GOUVEIA</t>
  </si>
  <si>
    <t>TAP.2023.012</t>
  </si>
  <si>
    <t>Substituição do sistema de supervisão, controle contra falha de disjuntor do módulo de conexão do reator RE1 de 230 kV (DJ722) na SE DOURADOS</t>
  </si>
  <si>
    <t>TAP.2023.112</t>
  </si>
  <si>
    <t>Substituição do sistema de supervisão, controle contra falha de disjuntor do módulo de conexão do TR3 230kV (DJ752) na SE DOURADOS</t>
  </si>
  <si>
    <t>Substituição do sistema de supervisão, controle contra falha de disjuntor do módulo de conexão do TR4 230kV (DJ772) na SE DOURADOS</t>
  </si>
  <si>
    <t>TAP.2025.205</t>
  </si>
  <si>
    <t>Substituição da Seccionadora SC12221 750kV, arranjo DJM, associado a Interligação de Barras do TR2, na SE F.IGUACU 60HZ.</t>
  </si>
  <si>
    <t>Substituição da Seccionadora SC12223 750kV, arranjo DJM, associado a Interligação de Barras do TR2, na SE F.IGUACU 60HZ.</t>
  </si>
  <si>
    <t>Substituição de Transformador de Corrente TC (DJ12224), 750kV, fase A, arranjo DJM, associado a Interligação de Barras do TR2, na SE F.IGUACU 60HZ.</t>
  </si>
  <si>
    <t>Substituição de Transformador de Corrente TC (DJ12224), 750kV, fase B, arranjo DJM, associado a Interligação de Barras do TR2, na SE F.IGUACU 60HZ.</t>
  </si>
  <si>
    <t>Substituição de Transformador de Corrente TC (DJ12224), 750kV, fase C, arranjo DJM, associado a Interligação de Barras do TR2, na SE F.IGUACU 60HZ.</t>
  </si>
  <si>
    <t>Substituição da Seccionadora SC5267 69kV, arranjo BS, associado ao TR2, na SE F.IGUACU 60HZ.</t>
  </si>
  <si>
    <t>Substituição do Transformador Trifásico do Serviço Auxiliar TR (TSA2) 69/13,8 kV, 3MVA, na SE F.IGUACU 60HZ.</t>
  </si>
  <si>
    <t>Substituição do Transformador de Potencial TP (AT02-5) 69kV, fase A, arranjo BS, associado ao TR2, na SE F.IGUACU 60HZ.</t>
  </si>
  <si>
    <t>Substituição do Transformador de Potencial TP (AT02-5) 69kV, fase B, arranjo BS, associado ao TR2, na SE F.IGUACU 60HZ.</t>
  </si>
  <si>
    <t>Substituição do Transformador de Potencial TP (AT02-5) 69kV, fase C, arranjo BS, associado ao TR2, na SE F.IGUACU 60HZ.</t>
  </si>
  <si>
    <t>Substituição do Disjuntor DJ12264 750kV,arranjo DJM, associado ao TR2, na SE F.IGUACU 60HZ.</t>
  </si>
  <si>
    <t>Substituição da Seccionadora com lamina de terra (SC12261/SC12120T) 750kV,arranjo DJM, associado ao TR2, na SE F.IGUACU 60HZ.</t>
  </si>
  <si>
    <t>Substituição da Seccionadora SC12263 750kV,arranjo DJM, associado ao TR2, na SE F.IGUACU 60HZ.</t>
  </si>
  <si>
    <t>Substituição da Seccionadora SC12265 750kV,arranjo DJM, associado ao TR2, na SE F.IGUACU 60HZ.</t>
  </si>
  <si>
    <t>Substituição de Transformador de Corrente TC (DJ12264), 750kV, fase A, arranjo DJM, associado ao TR2, na SE F.IGUACU 60HZ.</t>
  </si>
  <si>
    <t>Substituição de Transformador de Corrente TC (DJ12264), 750kV, fase B, arranjo DJM, associado ao TR2, na SE F.IGUACU 60HZ.</t>
  </si>
  <si>
    <t>Substituição de Transformador de Corrente TC (DJ12264), 750kV, fase C, arranjo DJM, associado ao TR2, na SE F.IGUACU 60HZ.</t>
  </si>
  <si>
    <t>Substituição do Transformador Monofásico TR2 (AT02) 750/500 kV, 550MVA, fase A, na SE F.IGUACU 60HZ.</t>
  </si>
  <si>
    <t>Substituição do Transformador Monofásico  TR2 (AT02) 750/500 kV, 550MVA, fase B, na SE F.IGUACU 60HZ.</t>
  </si>
  <si>
    <t>Substituição do Transformador Monofásico  TR2 (AT02) 750/500 kV, 550MVA, fase C, na SE F.IGUACU 60HZ.</t>
  </si>
  <si>
    <t>Substituição do Transformador Monofásico TRR5 (AT912V) 750/500kV, 550MVA, fase Reserva, na SE F.IGUACU 60HZ.</t>
  </si>
  <si>
    <t>Substituição do para-raios PR AT912V-9 750kV, arranjo DJM, associado ao TRR5, na SE F.IGUACU 60HZ.</t>
  </si>
  <si>
    <t>Substituição da KXD.1 de supervisão de Sala de Relês Elevadora 750 KV, na SE F.IGUACU 60HZ.</t>
  </si>
  <si>
    <t>Substituição da KXE.1 de supervisão de Sala de Relês Elevadora 750 KV, na SE F.IGUACU 60HZ.</t>
  </si>
  <si>
    <t>TAP.2024.003</t>
  </si>
  <si>
    <t>Substituição do Reator de Linha Monofásico RT4 (04E4.A) 230 kV, 3,33MVAr, fase A, na SE FORTALEZA</t>
  </si>
  <si>
    <t>Substituição do Reator de Linha Monofásico RT4 (04E4.B) 230 kV, 3,33MVAr, fase B, na SE FORTALEZA</t>
  </si>
  <si>
    <t>Substituição do Reator de Linha Monofásico RT4 (04E4.C) 230 kV, 3,33MVAr, fase C, na SE FORTALEZA</t>
  </si>
  <si>
    <t>Substituição do Reator de Linha Monofásico RT3 (04E3.A) 230 kV, 3,33MVAr, fase A, na SE FORTALEZA</t>
  </si>
  <si>
    <t>Substituição do Reator de Linha Monofásico RT3 (04E3.B) 230 kV, 3,33MVAr, fase B, na SE FORTALEZA</t>
  </si>
  <si>
    <t>Substituição do Reator de Linha Monofásico RT3 (04E3.C) 230 kV, 3,33MVAr, fase C, na SE FORTALEZA</t>
  </si>
  <si>
    <t>Substituição da Seccionadora (34X3-7R) 230 kV, arranjo BPT, associada ao RT3, na SE FORTALEZA</t>
  </si>
  <si>
    <t>TAP.2025.256</t>
  </si>
  <si>
    <t>Substituição do Reator de Linha Monofásico RT2 (04E2.A) 230 kV, 3,33MVAr, fase A, na SE FORTALEZA</t>
  </si>
  <si>
    <t>Substituição da Seccionadora (34X2-7R) 230 kV, arranjo BPT, associado ao RT2, na SE FORTALEZA</t>
  </si>
  <si>
    <t>Substituição do Reator de Linha Monofásico RT2 (04E2.B) 230 kV, 3,33MVAr, fase B, na SE FORTALEZA.</t>
  </si>
  <si>
    <t>Substituição do Reator de Linha Monofásico RT2 (04E2.C) 230 kV, 3,33MVAr, fase C, arranjo BPT, na SE FORTALEZA</t>
  </si>
  <si>
    <t>TAP.2025.253</t>
  </si>
  <si>
    <t>Substituição do Reator de Barra Trifásico RT1 (04E1) 230 kV, 10 MVAr, na SE GOIANINHA</t>
  </si>
  <si>
    <t>TAP.2024.093</t>
  </si>
  <si>
    <t>Substituição de Transformador de Corrente 94T2-A, 230kV, arranjo BPT, associado ao TR2, na SE GOIANINHA.</t>
  </si>
  <si>
    <t>Substituição de Transformador de Corrente 94T2-B, 230kV, arranjo BPT, associado ao TR2, na SE GOIANINHA.</t>
  </si>
  <si>
    <t>Substituição de Transformador de Corrente 94T2-C, 230kV, arranjo BPT, associado ao TR2, na SE GOIANINHA.</t>
  </si>
  <si>
    <t>Substituição do Banco de Capacitor de Série BC1A (BSINBC1A) 500kV, 127,5MVAr, fase A, arranjo DJM, na SE IBIUNA</t>
  </si>
  <si>
    <t>Substituição do para-raios PR24F30C 500kV, fase A, arranjo DJM, associado à EL BATEIAS C-1, na SE IBIUNA</t>
  </si>
  <si>
    <t>Substituição do para-raios PR24F30C 500kV, fase B, arranjo DJM,  associado à EL BATEIAS C-1, na SE IBIUNA</t>
  </si>
  <si>
    <t>Substituição para-raios PR24F30C 500kV, fase C, arranjo DJM,  associado à EL BATEIAS C-1, na SE IBIUNA</t>
  </si>
  <si>
    <t>Substituição da Seccionadora SC24F19 500kV, arranjo DJM,  associada à EL BATEIAS C1, na SE IBIUNA</t>
  </si>
  <si>
    <t>Substituição da Seccionadora SC24F4 500kV, arranjo DJM,  associado à EL BATEIAS C1, na SE IBIUNA</t>
  </si>
  <si>
    <t>Substituição da Seccionadora SC24F5 500kV, arranjo DJM, associado à EL BATEIAS C1, na SE IBIUNA</t>
  </si>
  <si>
    <t>Substituição do Banco de Capacitor de Série BC2A (BSINBC2A) 500kV,  127,5MVAr, fase A, arranjo DJM, na SE IBIUNA</t>
  </si>
  <si>
    <t>Substituição do Para-raios PR22F30C 500kV, fase A, arranjo DJM,  associado à EL BATEIAS C-2, na SE IBIUNA</t>
  </si>
  <si>
    <t>Substituição do Para-raios PR22F30C 500kV, fase B, arranjo DJM associado à EL BATEIAS C-2, na SE IBIUNA</t>
  </si>
  <si>
    <t>Substituição do Para-raios PR22F30C 500kV, fase C, arranjo DJM,  associado à EL BATEIAS C-2, na SE IBIUNA</t>
  </si>
  <si>
    <t>Substituição da Seccionadora SC22F19 500kV, arranjo DJM,  associada à EL BATEIAS C2, na SE IBIUNA</t>
  </si>
  <si>
    <t>Substituição da Seccionadora SC22F4 500kV, arranjo DJM,  associado à EL BATEIAS C2 na SE IBIUNA</t>
  </si>
  <si>
    <t>Substituição da Seccionadora SC22F5 500kV, arranjo DJM,  associado à EL BATEIAS C2, na SE IBIUNA</t>
  </si>
  <si>
    <t>Substituição dos sistemas de proteção da LT 500 kV IBIUNA /BATEIAS C-1 SP/PR , na SE IBIUNA</t>
  </si>
  <si>
    <t>Substituição do registrador de perturbações digital com localizador de faltas por ondas viajantes (TW)  da  LT 500 kV IBIUNA /BATEIAS C-1 SP/PR , na SE IBIUNA</t>
  </si>
  <si>
    <t>Substituição dos sistemas de proteção do RTL 500 kV 105 Mvar IBIUNA RTINBC1 SP, na SE IBIUNA</t>
  </si>
  <si>
    <t>Substituição do registrador de perturbações digital do  RTL 500 kV 105 Mvar IBIUNA RTINBC1 SP, na SE IBIUNA</t>
  </si>
  <si>
    <t>Substituição dos sistemas de proteção do CR 500 kV 382 MVAr IBIUNA BC1A SP (BSINBC1A) , na SE IBIUNA</t>
  </si>
  <si>
    <t>Substituição do registrador de perturbações digital do  RTL CR 500 kV 382 MVAr IBIUNA BC1A SP  (BSINBC1A)  na SE IBIUNA</t>
  </si>
  <si>
    <t>Substituição dos sistemas de proteção do CR 500 kV 382 MVAr IBIUNA BC1B SP (BSINBC1B) , na SE IBIUNA</t>
  </si>
  <si>
    <t>Substituição do registrador de perturbações digital do  RTL CR 500 kV 382 MVAr IBIUNA BC1B SP  (BSINBC1B), na SE IBIUNA</t>
  </si>
  <si>
    <t>Substituição dos sistemas de proteção de falha de disjutor do DJ24F2, na SE IBIUNA</t>
  </si>
  <si>
    <t>Substituição dos sistemas de proteção da LT 500 kV IBIUNA /BATEIAS C-2 SP/PR , na SE IBIUNA</t>
  </si>
  <si>
    <t>Substituição do registrador de perturbações digital com localizador de faltas por ondas viajantes (TW)  da  LT 500 kV IBIUNA /BATEIAS C-2 SP/PR , na SE IBIUNA</t>
  </si>
  <si>
    <t>Substituição dos sistemas de proteção do RTL 500 kV 105 Mvar IBIUNA RTINBC2 SP, na SE IBIUNA</t>
  </si>
  <si>
    <t>Substituição do registrador de perturbações digital do  RTL 500 kV 105 Mvar IBIUNA RTINBC2 SP, na SE IBIUNA</t>
  </si>
  <si>
    <t>Substituição dos sistemas de proteção do CR 500 kV 382 MVAr IBIUNA BC2A SP (BSINBC2A), na SE IBIUNA</t>
  </si>
  <si>
    <t>Substituição do registrador de perturbações digital do  RTL CR 500 kV 382 MVAr IBIUNA BC2A SP  (BSINBC2A), na SE IBIUNA</t>
  </si>
  <si>
    <t>Substituição dos sistemas de proteção do CR 500 kV 382 MVAr IBIUNA BC2B SP (BSINBC2B), na SE IBIUNA</t>
  </si>
  <si>
    <t>Substituição do registrador de perturbações digital do  RTL CR 500 kV 382 MVAr IBIUNA BC2B SP  (BSINBC2B), na SE IBIUNA</t>
  </si>
  <si>
    <t>Substituição dos sistemas de proteção de falha de disjutor do DJ22F2, na SE IBIUNA</t>
  </si>
  <si>
    <t>Substituição do sistema de teleproteção primário digital da LT 500 kV IBIUNA /BATEIAS C1, na SE IBIUNA</t>
  </si>
  <si>
    <t>Substituição do sistema de teleproteção alternado OPLAT, incluindo as bobinas de bloqueio, da LT 500 kV IBIUNA /BATEIAS C1, na SE IBIUNA</t>
  </si>
  <si>
    <t>Substituição do sistema de teleproteção primário digital da LT 500 kV IBIUNA /BATEIAS C2, na SE IBIUNA</t>
  </si>
  <si>
    <t>Substituição do sistema de teleproteção alternado OPLAT, incluindo as bobinas de bloqueio, da LT 500 kV IBIUNA /BATEIAS C2, na SE IBIUNA</t>
  </si>
  <si>
    <t>Substituição do Banco de Capacitor de Série BC1A (BSINBC1A) 500kV,  127,5MVAr, fase B, arranjo DJM, na SE IBIUNA</t>
  </si>
  <si>
    <t>Substituição do Banco de Capacitor de Série BC1A (BSINBC1A) 500kV,  127,5MVAr, fase C, arranjo DJM, na SE IBIUNA</t>
  </si>
  <si>
    <t>Substituição do Banco de Capacitor de Série BC2A (BSINBC2A) 500kV,  127,5MVAr, fase B, arranjo DJM, na SE IBIUNA</t>
  </si>
  <si>
    <t>Substituição do Banco de Capacitor de Série BC2A (BSINBC2A) 500kV, 127,5MVAr, fase C, arranjo DJM, na SE IBIUNA</t>
  </si>
  <si>
    <t>TAP.2025.228</t>
  </si>
  <si>
    <t>Substituição do Reator de Linha Monofásico RT4 (IZRE7-04) 500kV, 50 MVAr, fase A, na SE IMPERATRIZ</t>
  </si>
  <si>
    <t>Substituição do Reator de Linha Monofásico RT4 (IZRE7-04) 500kV, 50 MVAr, fase B, na SE IMPERATRIZ</t>
  </si>
  <si>
    <t>Substituição do Reator de Linha Monofásico RT4 (IZRE7-04) 500kV, 50 MVAr, fase V, na SE IMPERATRIZ</t>
  </si>
  <si>
    <t>Substituição do Para-Raio IZPR7-01 500kV, fase A, arranjo DJM, associado ao RT4, na SE IMPERATRIZ</t>
  </si>
  <si>
    <t>Substituição do Para-Raio IZPR7-01 500kV, fase B, arranjo DJM, associado ao RT4, na SE IMPERATRIZ</t>
  </si>
  <si>
    <t>Substituição do Para-Raio IZPR7-01 500kV, fase V, arranjo DJM, associado ao RT4, na SE IMPERATRIZ</t>
  </si>
  <si>
    <t>Substituição da Seccionadora IZSR7-04 500kV, arranjo DJM, associado ao RT4, na SE IMPERATRIZ</t>
  </si>
  <si>
    <t>TAP.2025.335</t>
  </si>
  <si>
    <t>Substituição do Reator de Barra Monofásico RT14 (IZRE7-14-A) 500kV, 60MVAr, fase A, na SE IMPERATRIZ.</t>
  </si>
  <si>
    <t>Substituição do Reator de Barra Monofásico RT14 (IZRE7-14-B) 500kV, 60MVAr, fase B, na SE IMPERATRIZ.</t>
  </si>
  <si>
    <t>Substituição do Reator de Barra Monofásico RT14 (IZRE7-14-V) 500kV, 60MVAr, fase V, na SE IMPERATRIZ.</t>
  </si>
  <si>
    <t>Substituição do Reator de Barra Monofásico RTR14 (IZRE7-14-R) 500kV, 60MVAr, fase R, na SE IMPERATRIZ.</t>
  </si>
  <si>
    <t>Substituição do Para-raio (IZPR7-01-A) 500kV, fase A, arranjo DJM, associado ao RT14 na SE IMPERATRIZ.</t>
  </si>
  <si>
    <t>Substituição do Para-raio (IZPR7-01-B) 500kV, fase B, arranjo DJM, associado ao RT14 na SE IMPERATRIZ.</t>
  </si>
  <si>
    <t>Substituição do Para-raio (IZPR7-01-C) 500kV, fase C arranjo DJM, associado ao RT14 na SE IMPERATRIZ.</t>
  </si>
  <si>
    <t>Substituição da Seccionadora (IZSR2-01) 13,8kV, arranjo BS, associado ao RT14 na SE IMPERATRIZ.</t>
  </si>
  <si>
    <t>Substituição do SPCS (IZSPRRE) 500kV, associado ao RT14 na SE IMPERATRIZ.</t>
  </si>
  <si>
    <t>Substituição do SPCS (IZSPRDJ) 500kV, associado ao RT14 na SE IMPERATRIZ.</t>
  </si>
  <si>
    <t>TAP.2025.333</t>
  </si>
  <si>
    <t>Substituição do Reator de Barra Monofásico RT11 ( IZRE711-A) 500kV, 55MVAr, fase A, na SE IMPERATRIZ.</t>
  </si>
  <si>
    <t>Substituição do Reator de Barra Monofásico RT11 ( IZRE711-B) 500kV, 55MVAr, fase B, na SE IMPERATRIZ.</t>
  </si>
  <si>
    <t>Substituição do Reator de Barra Monofásico RT11 ( IZRE711-V) 500kV, 55MVAr, fase V, na SE IMPERATRIZ.</t>
  </si>
  <si>
    <t>Substituição do SPCS (IZSPRRE) 500kV, associado ao RT11, na SE IMPERATRIZ.</t>
  </si>
  <si>
    <t>Substituição do Para-Raios (IZPR701-A) 500kV, fase A, arranjo DJM, associado ao RT11, na SE IMPERATRIZ.</t>
  </si>
  <si>
    <t>Substituição da Seccionadora (IZSD736) 500kV, arranjo BS, associado ao RT11, na SE IMPERATRIZ.</t>
  </si>
  <si>
    <t>Substituição do SPCS (IZSPRDJ) 500kV, associado ao RT11, na SE IMPERATRIZ.</t>
  </si>
  <si>
    <t>TAP.2024.078</t>
  </si>
  <si>
    <t>Substituição do SPCS (IZSPRRE) 500kV, associado ao RT12, na SE IMPERATRIZ.</t>
  </si>
  <si>
    <t>Substituição do Para-Raios (IZPR701-B) 500kV, fase B, arranjo DJM, associado ao RT12, na SE IMPERATRIZ.</t>
  </si>
  <si>
    <t>Substituição do Para-Raios (IZPR701-V) 500kV, fase V, arranjo DJM, associado ao RT12, na SE IMPERATRIZ.</t>
  </si>
  <si>
    <t>Substituição da Seccionadora (IZSR712) 500kV, arranjo DJM, associado ao RT12, na SE IMPERATRIZ.</t>
  </si>
  <si>
    <t>TAP.2023.130</t>
  </si>
  <si>
    <t>Substituição de Seccionadora com lâmina de Terra IZCA7-05 500 kV, arranjo DJM, associada à EL MARABA C1, na SE IMPERATRIZ</t>
  </si>
  <si>
    <t>TAP.2023.070</t>
  </si>
  <si>
    <t>Substituição do Disjuntor (11T2) 13,8 kV, arranjo BS, associado ao TR2, na SE IRECE</t>
  </si>
  <si>
    <t>Substituição do Reator Limitador de Corrente Monofásico  RLCC (01E2-L.B) 13,8kV, 0,66MVAr, fase B, na SE IRECE.</t>
  </si>
  <si>
    <t>Substituição do Reator Limitador de Corrente Monofásico RLCC  (01E2-L.C) 13.8 kV, 0,66MVAr, fase C, na SE IRECE.</t>
  </si>
  <si>
    <t>Substituição do Para-raio (71T2.A) 13,8 kV, arranjo BS, associado ao TR2, na SE IRECE</t>
  </si>
  <si>
    <t>Substituição do Reator Limitador de Corrente Monofásico RLCC (01E2-L.A) 13,8kV, 0,66MVAr, fase A, na SE IRECE</t>
  </si>
  <si>
    <t>Substituição do Para-raio (71T2.C) 13,8 kV, arranjo BS, associado ao TR2, na SE IRECE</t>
  </si>
  <si>
    <t>Substituição do Para-raio (71T2.B) 13,8 kV, arranjo B5, associado ao TR2, na SE IRECE</t>
  </si>
  <si>
    <t>TAP.2025.264</t>
  </si>
  <si>
    <t>Substituição do Reator de Linha Trifásico RTR1 (04ER) 230 kV, 5MVAr, na SE IRECE</t>
  </si>
  <si>
    <t>TAP.2025.340</t>
  </si>
  <si>
    <t>Substituição do Para-raio (76T7.A) 6,9kV, arranjo BS, associado ao TR7, na SE IRECE.</t>
  </si>
  <si>
    <t>Substituição do Para-raio (71T8.B) 13,8kV, arranjo BS, associado ao TR7, na SE IRECE.</t>
  </si>
  <si>
    <t>Substituição da Seccionadora (31T9-8) 13,8kV, arranjo BS, associado ao TR7, na SE IRECE.</t>
  </si>
  <si>
    <t>Substituição do Para-raio (71T7.B) 13,8kV, arranjo BS, associado ao TR7, na SE IRECE.</t>
  </si>
  <si>
    <t>Substituição do Para-raio (71T7.A) 13,8kV, arranjo BS, associado ao TR7, na SE IRECE.</t>
  </si>
  <si>
    <t>Substituição do Para-raio (74T7.A) 230kV, arranjo BD5, associado ao TR7, na SE IRECE</t>
  </si>
  <si>
    <t>Substituição do Para-raio (76T7.B) 6,9kV, arranjo BS, associado ao TR7, na SE IRECE.</t>
  </si>
  <si>
    <t>Substituição do Para-raio (76T7.C) 6,9 kV, arranjo BS, associado ao TR7, na SE IRECE.</t>
  </si>
  <si>
    <t>Substituição do Para-raio (74T7.B ) 230kV, arranjo BD5, associado ao TR7, na SE IRECE.</t>
  </si>
  <si>
    <t>Substituição do Para-raio (71T7.C ) 13,8kV, arranjo BS, associado ao TR7, na SE IRECE.</t>
  </si>
  <si>
    <t>TAP.2025.250</t>
  </si>
  <si>
    <t>Substituição do Transformador Regulador de Potência TREG2 (02R2) 69/69kV, 40 MVA, na IRECE</t>
  </si>
  <si>
    <t>Transformador Regulador</t>
  </si>
  <si>
    <t>Substituição do Transformador Trifásico TR7 (04T7) 230/13,8/6,9kV, 40 MVA, na SE IRECE.</t>
  </si>
  <si>
    <t>TAP.2023.071</t>
  </si>
  <si>
    <t>Substituição do sistema de supervisão, controle e proteção (principal e alternada) associado ao módulo de conexão do reator RT1 (RE1- DJ1072) na SE ITA</t>
  </si>
  <si>
    <t>Substituição do sistema de supervisão, controle do módulo de entrada de linha NSR C1(DJ 1062) na SE ITA</t>
  </si>
  <si>
    <t>Substituição do sistema de supervisão, controle do módulo de entrada de linha Machadinho (DJ 1112) na SE ITA</t>
  </si>
  <si>
    <t>TAP.2025.271</t>
  </si>
  <si>
    <t>Substituição do Transformador de Corrente TC (92T2-B) 69 kV, arranjo BPT, fase B, associado ao TR2, na SE ITABAIANINHA</t>
  </si>
  <si>
    <t>Substituição do Transformador de Corrente TC (92T2.A) 69 kV, arranjo BPT, fase A, associado ao TR2 , na SE ITABAIANINHA</t>
  </si>
  <si>
    <t>Substituição do SPCS 230kV, associado ao TR2, na SE ITABAIANINHA</t>
  </si>
  <si>
    <t>Substituição do SPCS 69 kV, associado ao TR2, na SE ITABAIANINHA</t>
  </si>
  <si>
    <t>Substituição do Transformador TR2 (04T2) 230/69/13,8 kV, 39MVA, na SE ITABAIANINHA</t>
  </si>
  <si>
    <t>TAP.2025.203</t>
  </si>
  <si>
    <t>Substituição do Reator de Linha Monofásico  RTEBIM 500kV, 37MVAr, fase B, na SE ITUMBIARA.</t>
  </si>
  <si>
    <t>Substituição do Reator de Linha Monofásico  RTEBIM 500kV, 37MVAr, fase C, na SE ITUMBIARA.</t>
  </si>
  <si>
    <t>TAP.2025.204</t>
  </si>
  <si>
    <t>Substituição do Transformador Monofásico TR49 (AT49) 500/345kV, 186,7MVA, fase A, na SE ITUMBIARA.</t>
  </si>
  <si>
    <t>Substituição do Transformador Monofásico TR49 (AT49) 500/345kV, 186,7MVA, fase B, na SE ITUMBIARA.</t>
  </si>
  <si>
    <t>Substituição do Transformador Monofásico TR49 (AT49) 500/345kV, 186,7MVA, fase C, na SE ITUMBIARA.</t>
  </si>
  <si>
    <t>Substituição da Seccionadora SC851 345kV, arranjo BD5, associado ao TR49, na SE ITUMBIARA.</t>
  </si>
  <si>
    <t>Substituição da Seccionadora SC853 345kV, arranjo BD5, associado ao TR49, na SE ITUMBIARA.</t>
  </si>
  <si>
    <t>Substituição da Seccionadora SC855 345kV, arranjo BD5, associado ao TR49, na SE ITUMBIARA.</t>
  </si>
  <si>
    <t>Substituição da Seccionadora SC857 345kV, arranjo BD5, associado ao TR49, na SE ITUMBIARA.</t>
  </si>
  <si>
    <t>Substituição da Seccionadora SC859 345kV, arranjo BD5, associado ao TR49, na SE ITUMBIARA.</t>
  </si>
  <si>
    <t>TAP.2025.248</t>
  </si>
  <si>
    <t>Substituição da Seccionadora SC7341 230kV, arranjo BD5, associado à EL RIO VERDE FUR C2, na SE ITUMBIARA</t>
  </si>
  <si>
    <t>Substituição da Seccionadora SC7343 230kV, arranjo BD5, associado à EL RIO VERDE FUR C2, na SE ITUMBIARA</t>
  </si>
  <si>
    <t>Substituição da Seccionadora SC7345 230kV, arranjo BD5, associado à EL RIO VERDE FUR C2, na SE ITUMBIARA</t>
  </si>
  <si>
    <t>Substituição da Seccionadora SC7347 230kV, arranjo BD5, associado à EL RIO VERDE FUR C2, na SE ITUMBIARA</t>
  </si>
  <si>
    <t>Substituição da Seccionadora SC7349 230kV, arranjo BD5, associado à EL RIO VERDE FUR C2, na SE ITUMBIARA</t>
  </si>
  <si>
    <t>Substituição do Transformador de Corrente TC LTIMRV2 230kV, fase A, arranjo BD5, associado à EL RIO VERDE FUR C2, na SE ITUMBIARA</t>
  </si>
  <si>
    <t>Substituição do Transformador de Corrente TC LTIMRV2 230kV, fase B, arranjo BD5,associado à EL RIO VERDE FUR C2, na SE ITUMBIARA</t>
  </si>
  <si>
    <t>Substituição do Transformador de Corrente TC LTIMRV2 230kV, fase C, arranjo BD5, associado à EL RIO VERDE FUR C2, na SE ITUMBIARA</t>
  </si>
  <si>
    <t>TAP.2025.209</t>
  </si>
  <si>
    <t>Substituição do Banco de Capacitor Série BC1 (BSIMRV1 - A) 230kV, 11,3MVAr, fase A arranjo BD5, na SE ITUMBIARA.</t>
  </si>
  <si>
    <t>Substituição da Seccionadora SC7321 230kV, arranjo BD5, associado à EL RIO VERDE FUR C1, na SE ITUMBIARA.</t>
  </si>
  <si>
    <t>Substituição da Seccionadora SC7323 230kV, arranjo BD5, associado à EL RIO VERDE FUR C1, na SE ITUMBIARA.</t>
  </si>
  <si>
    <t>Substituição da Seccionadora SC7325 230kV, arranjo BD5, associado à EL RIO VERDE FUR C1, na SE ITUMBIARA.</t>
  </si>
  <si>
    <t>Substituição da Seccionadora SC7327 230kV, arranjo BD5, associado à EL RIO VERDE FUR C1, na SE ITUMBIARA.</t>
  </si>
  <si>
    <t>Substituição da Seccionadora SC7329 230kV, arranjo BD5, associado à EL RIO VERDE FUR C1, na SE ITUMBIARA.</t>
  </si>
  <si>
    <t>Substituição do Transformador de Corrente TC LTIMRV1  230kV, fase B, arranjo BD5, associado à EL RIO VERDE FUR C1, na SE ITUMBIARA.</t>
  </si>
  <si>
    <t>Substituição do Transformador de Corrente TC LTIMRV1 230kV, fase C, arranjo BD5, associado à EL RIO VERDE FUR C1, na SE ITUMBIARA.</t>
  </si>
  <si>
    <t>Substituição do Transformador de Potencial DCP LTIMRV1 230kV, fase A, arranjo BD5, associado à EL RIO VERDE FUR C1, na SE ITUMBIARA.</t>
  </si>
  <si>
    <t>Substituição do Transformador de Potencial  DCP LTIMRV1 230kV, fase C, arranjo BD5, associado à EL RIO VERDE FUR C1, na SE ITUMBIARA.</t>
  </si>
  <si>
    <t>Substituição do Banco de Capacitor Série BC2 (BSIMRV2 - A) 230kV, 61MVAr, fase A, arranjo BD5, na SE ITUMBIARA</t>
  </si>
  <si>
    <t>Substituição do Para-raios (PR LTIMRV2 UHITB) 230kV, fase A, arranjo BD5, associado à associado à EL RIO VERDE FUR C2, na SE ITUMBIARA</t>
  </si>
  <si>
    <t>Substituição do Para-raios (PR LTIMRV2 UHITB) 230kV, fase B, arranjo BD5, associado à EL RIO VERDE FUR C2, na SE ITUMBIARA</t>
  </si>
  <si>
    <t>Substituição do Para-raios (PR LTIMRV2 UHITB) 230kV, fase C, arranjo BD5, associado à EL RIO VERDE FUR C2, na SE ITUMBIARA</t>
  </si>
  <si>
    <t>TAP.2025.501</t>
  </si>
  <si>
    <t>Substituição do Transformador de Potencial TP LTIMCL 345kV, fase A, arranjo BD5, associado à EL PORTO COLOMBIA C1, na  SE ITUMBIARA.</t>
  </si>
  <si>
    <t>Substituição do Transformador de Potencial TP LTIMCL 345kV, fase B, arranjo BD5, associado à EL PORTO COLOMBIA C1, na  SE ITUMBIARA.</t>
  </si>
  <si>
    <t>Substituição do Transformador de Potencial TP LTIMCL 345kV, fase C, arranjo BD5, associado à EL PORTO COLOMBIA C1, na  SE ITUMBIARA.</t>
  </si>
  <si>
    <t>Substituição dos sistemas de proteção (BSIMRV1) do CR 230 kV 33,9 Mvar, associado ao BC1 na SE ITUMBIARA.</t>
  </si>
  <si>
    <t>Substituição do registrador de perturbações digital  (BSIMRV1) do CR 230 kV 33,9 Mvar, associado ao BC1 na SE ITUMBIARA.</t>
  </si>
  <si>
    <t>Substituição dos sistemas de proteção  (BSIMRV2) do CR 230 kV 183 Mvar, associado BC2, na SE ITUMBIARA</t>
  </si>
  <si>
    <t>Substituição do registrador de perturbações digital (BSIMRV2) do CR 230 kV 183 Mvarr, associado BC2, na SE ITUMBIARA</t>
  </si>
  <si>
    <t>Substituição da UAC19 SINOCON 345kV de supervisão de Banco de transformadores, associado ao TR49, na SE ITUMBIARA.</t>
  </si>
  <si>
    <t>Substituição da UAC20 SINOCON 500KV de supervisão de Banco de transformadores, associado ao TR49, na SE ITUMBIARA.</t>
  </si>
  <si>
    <t>Substituição da MACH2 de supervisão de Banco de Capacitores Série 230kV, associado a EL RIO VERDE C1, na SE ITUMBIARA.</t>
  </si>
  <si>
    <t>Substituição da DEAL de supervisão de Banco de Capacitores Séria (BSIMRV2) 230KV, associado à RIO VERDE FUR C2, na SE ITUMBIARA</t>
  </si>
  <si>
    <t>Substituição do Banco de Capacitor Série BC1 (BSIMRV1 - B) 230kV, 11,3MVAr, fase B arranjo BD5, na SE ITUMBIARA.</t>
  </si>
  <si>
    <t>Substituição do Banco de Capacitor Série BC1 (BSIMRV1 - C) 230kV, 11,3MVAr, fase C, arranjo BD5, na SE ITUMBIARA.</t>
  </si>
  <si>
    <t>Substituição do Banco de Capacitor Série BC2 (BSIMRV2 - B) 230kV, 61MVAr, fase B, arranjo BD5, na SE ITUMBIARA</t>
  </si>
  <si>
    <t>Substituição do Banco de Capacitor Série BC2 (BSIMRV2 - C) 230kV, 61MVAr, fase C, arranjo BD5, na SE ITUMBIARA</t>
  </si>
  <si>
    <t>Substituição do Reator de Linha Monofásico RTR4 500kV, 37MVAr, fase reserva, na SE ITUMBIARA.</t>
  </si>
  <si>
    <t>TAP.2025.313</t>
  </si>
  <si>
    <t>Substituição do Transformador Trifásico TR10 (TF10) 230/69kV, 83MVA, na SE J.LACERDA-A.</t>
  </si>
  <si>
    <t>TAP.2025.354</t>
  </si>
  <si>
    <t>Substituição do Transformador Monofásico AT2B 345/138kV, 75MVA, fase C, na SE JACAREPAGUA.</t>
  </si>
  <si>
    <t>Substituição do Transformador Monofásico TRR2 345/138kV, 75MVA, na SE JACAREPAGUA</t>
  </si>
  <si>
    <t>TAP.2025.307</t>
  </si>
  <si>
    <t>Substituição do SPCS (JPSPRPR) 230kV, associado ao RT1, na SE JI-PARANA.</t>
  </si>
  <si>
    <t>TAP.2025.306</t>
  </si>
  <si>
    <t>Substituição da Banco de Capacitor Derivação BC2 (JPBC6-02) 230KV, 18,5MVAR, arranjo BD3, na SE JI-PARANA.</t>
  </si>
  <si>
    <t>TAP.2025.305</t>
  </si>
  <si>
    <t>Substituição da Banco de Capacitor Derivação BC1 (JPBC6-01) 230KV, 18,5MVAR, arranjo BD3, na SE JI-PARANA.</t>
  </si>
  <si>
    <t>Substituição da Transformador de Potencial (JPTP2-01 - A) 230 KV, fase A, arranjo BD3, associado ao BC1, na SE JI-PARANA.</t>
  </si>
  <si>
    <t>Substituição da Transformador de Potencial (JPTP2-01 - B) 230 KV, fase B, arranjo BD3, associado ao BC1, na SE JI-PARANA.</t>
  </si>
  <si>
    <t>Substituição da Transformador de Potencial (JPTP2-01 - C) 230 KV, fase C, arranjo BD3, associado ao BC1, na SE JI-PARANA.</t>
  </si>
  <si>
    <t>Substituição da Reator de Linha Trifásico RT1 (JPRE6-01) 230kV, 20 MVAR, na SE JI-PARANA.</t>
  </si>
  <si>
    <t>Substituição da Para-Raios (JPPR6-01-A) 230kV, fase A, arranjo BD4, associado ao RT1, na SE JI-PARANA</t>
  </si>
  <si>
    <t>Substituição da Para-Raios (JPPR6-01-B) 230kV, fase B, arranjo BD4, associado ao RT1, na SE JI-PARANA.</t>
  </si>
  <si>
    <t>Substituição da Para-Raios (JPPR6-01-C) 230kV, fase C, arranjo BD4, associado ao RT1, na SE JI-PARANA.</t>
  </si>
  <si>
    <t>Substituição da Seccionadora (JPSR6-01) 230kV, arranjo BD4, associada ao RT1, na SE JI-PARANA.</t>
  </si>
  <si>
    <t>TAP.2023.132</t>
  </si>
  <si>
    <t>Substituição das proteções Principal, Alternada e Falha de Disjuntor, referentes a LT 230 kV Curitiba - Joinville Norte C-1, incluindo painéis e cabos de controle e potência associados, na SE JOINVILLE NORTE</t>
  </si>
  <si>
    <t>Substituição do sistema de controle e supervisão (com unidade redundante) da LT 230 kV Curitiba - Joinville Norte C-1, incluindo painéis e cabos de controle e potência associados, na SE JOINVILLE NORTE</t>
  </si>
  <si>
    <t>TAP.2025.389</t>
  </si>
  <si>
    <t>Substituição do transformador trifásico TR2 (TF2) 138/69/13,2 KV, 33MVA na SE JOINVILLE</t>
  </si>
  <si>
    <t>TAP.2023.002</t>
  </si>
  <si>
    <t>Substituição da proteção principal contra falha de disjuntor (DJ 862) 230 kV,  associado ao TR3, na SE LONDRINA ESU</t>
  </si>
  <si>
    <t>Substituição da proteção principal contra falha de disjuntor (DJ 1052) 500 kV,  associado ao TR3, na SE LONDRINA ESU</t>
  </si>
  <si>
    <t>Substituição dos sistemas de supervisão e controle 230 kV, associado ao TR3, na SE LONDRINA ESU</t>
  </si>
  <si>
    <t>Substituição dos painéis de distribuição de 48 Vcc, na SE LONDRINA ESU</t>
  </si>
  <si>
    <t>Serviços Auxiliares</t>
  </si>
  <si>
    <t>Substituição dos painéis de distribuição de 125 Vcc, na SE LONDRINA ESU</t>
  </si>
  <si>
    <t>Substituição da UAC que supervisiona os serviços auxiliares, na SE LONDRINA ESU</t>
  </si>
  <si>
    <t>Substituição dos sistemas de supervisão e controle da IB 230 kV incluindo a proteção Falha de Disjuntor,  na SE LONDRINA ESU</t>
  </si>
  <si>
    <t>Substituição do sistema de supervisão e controle 500 kV, associado ao TR3, na SE LONDRINA ESU</t>
  </si>
  <si>
    <t>TAP.2025.386</t>
  </si>
  <si>
    <t>Substituição da seccionadora (MBSB6-21) 230kV, arranjo BD4, associado ao TF3, na SE MARABA</t>
  </si>
  <si>
    <t>TAP.2025.229</t>
  </si>
  <si>
    <t>Substituição do Transformador Trifásico MBAT2-01 13,8/13,8kV, 41,8MVA, arranjo BS, associado ao Compensador Síncrono CS1, na SE MARABA</t>
  </si>
  <si>
    <t>Substituição do Transformador de Corrente CS201-MC13-AT201-MBTC201 13,8kV, fase A, arranjo BS, associado ao Compensador Síncrono CS1, na SE MARABA</t>
  </si>
  <si>
    <t>Substituição do Transformador de Corrente CS201-MC13-AT201-MBTC201 13,8kV, fase B, arranjo BS, associado ao Compensador Síncrono CS1, na SE MARABA</t>
  </si>
  <si>
    <t>Substituição do Transformador de Corrente CS201-MC13-AT201-MBTC201 13,8kV, fase V, arranjo BS, associado ao Compensador Síncrono CS1, na SE MARABA</t>
  </si>
  <si>
    <t>Substituição do Transformador de Corrente CS201-MC13-AT201-MBTC202 13,8kV, fase A, arranjo BS, associado ao Compensador Síncrono CS1, na SE MARABA</t>
  </si>
  <si>
    <t>Substituição do Transformador de Corrente CS201-MC13-AT201-MBTC202 13,8kV, fase B, arranjo BS, associado ao Compensador Síncrono CS1, na SE MARABA</t>
  </si>
  <si>
    <t>Substituição do Transformador de Corrente CS201-MC13-AT201-MBTC202 13,8kV, fase V, arranjo BS, associado ao Compensador Síncrono CS1, na SE MARABA</t>
  </si>
  <si>
    <t>Substituição do Transformador de Corrente CS201-MC13-AT201-MBTC203 13,8kV, fase A, arranjo BS, associado ao Compensador Síncrono CS1, na SE MARABA</t>
  </si>
  <si>
    <t>Substituição do Transformador de Corrente CS201-MC13-AT201-MBTC203 13,8kV, fase B, arranjo BS, associado ao Compensador Síncrono CS1, na SE MARABA</t>
  </si>
  <si>
    <t>Substituição do Transformador de Corrente CS201-MC13-AT201-MBTC203 13,8kV, fase V, arranjo BS, associado ao Compensador Síncrono CS1, na SE MARABA</t>
  </si>
  <si>
    <t>TAP.2025.230</t>
  </si>
  <si>
    <t>Substituição do Transformador Monofásico MBTF2-01 13,8/0,44 kV, 0,79 MVA, fase A, arranjo BS, associado ao Compensador Síncrono CS1, na SE MARABA</t>
  </si>
  <si>
    <t>Substituição do Transformador Monofásico MBTF2-01 13,8/0,44 kV, 0,79 MVA, fase B, arranjo BS, associado ao Compensador Síncrono CS1, na SE MARABA</t>
  </si>
  <si>
    <t>Substituição do Transformador Monofásico MBTF2-01 13,8/0,44 kV, 0,79 MVA, fase V, arranjo BS, associado ao Compensador Síncrono CS1, na SE MARABA</t>
  </si>
  <si>
    <t>Substituição do Reator Limitador de Corrente Monofásico MBRL202 13,8kV, fase A, associado ao Compensador Síncrono CS1, na SE MARABA</t>
  </si>
  <si>
    <t>Substituição do Reator Limitador de Corrente Monofásico MBRL202 13,8kV, fase B, associado ao Compensador Síncrono CS1, na SE MARABA</t>
  </si>
  <si>
    <t>Substituição do Reator Limitador de Corrente Monofásico MBRL202 13,8kV, fase V, associado ao Compensador Síncrono CS1, na SE MARABA</t>
  </si>
  <si>
    <t>Substituição do Transformador de Corrente CS201-MC13-TF201-MBTC201 13,8kV, fase A, arranjo BS, associado ao Compensador Síncrono CS1, na SE MARABA</t>
  </si>
  <si>
    <t>Substituição do Transformador de Corrente CS201-MC13-TF201-MBTC201 13,8kV, fase B, arranjo BS, associado ao Compensador Síncrono CS1, na SE MARABA</t>
  </si>
  <si>
    <t>Substituição do Transformador de Corrente CS201-MC13-TF201-MBTC201 13,8kV, fase V, arranjo BS, associado ao Compensador SíncronoCS1, na SE MARABA</t>
  </si>
  <si>
    <t>Substituição do Transformador de Corrente CS201-MC13-TF201-MBTC202 13,8kV, fase A, arranjo BS, associado ao Compensador Síncrono CS1, na SE MARABA</t>
  </si>
  <si>
    <t>Substituição do Transformador de Corrente CS201-MC13-TF201-MBTC202 13,8kV, fase B, arranjo BS, associado ao Compensador Síncrono CS1, na SE MARABA</t>
  </si>
  <si>
    <t>Substituição do Transformador de Corrente CS201-MC13-TF201-MBTC202 13,8kV, fase V, arranjo BS, associado ao Compensador Síncrono CS1, na SE MARABA</t>
  </si>
  <si>
    <t>TAP.2025.231</t>
  </si>
  <si>
    <t>Substituição do Transformador de Potencial MBTP2-01 230kV, fase A, arranjo BD5, associado ao TF1, na SE MARABA</t>
  </si>
  <si>
    <t>Substituição do Transformador de Potencial MBTP2-01 230kV, fase B, arranjo BD5, associado ao TF1, na SE MARABA</t>
  </si>
  <si>
    <t>Substituição do Transformador de Potencial MBTP2-01 230kV, fase V, arranjo BD5, associado ao TF1, na SE MARABA</t>
  </si>
  <si>
    <t>Substituição da Seccionadora MBSB6-03 230KV, arranjo BD5, associado ao TF1, na SE MARABA</t>
  </si>
  <si>
    <t>Substituição da Seccionadora MBSB6-04 230KV, arranjo BD5, associado ao TF1, na SE MARABA</t>
  </si>
  <si>
    <t>Substituição da Seccionadora MBSD6-03 230KV, arranjo BD5, associado ao TF1, na SE MARABA</t>
  </si>
  <si>
    <t>Substituição da Seccionadora MBSD6-04 230KV, arranjo BD5, associado ao TF1, na SE MARABA</t>
  </si>
  <si>
    <t>Substituição da Seccionadora com lamina de terra (MBSY6-02/MBCA6-04) 230KV, arranjo BD5, associado ao TF1, na SE MARABA</t>
  </si>
  <si>
    <t>Substituição do SPCS MBSPRTF 230KV, associado ao TF1, na SE MARABA</t>
  </si>
  <si>
    <t>Substituição do Transformador de Corrente CS201-MC230-MBTC601 230KV, fase A, arranjo BD5, associado ao TF1, na SE MARABA</t>
  </si>
  <si>
    <t>Substituição do Transformador de Corrente CS201-MC230-MBTC601 230KV, fase B, arranjo BD5, associado ao TF1, na SE MARABA</t>
  </si>
  <si>
    <t>Substituição do Transformador de Corrente CS201-MC230-MBTC601 230KV, fase V, arranjo BD5, associado ao TF1, na SE MARABA</t>
  </si>
  <si>
    <t>Substituição da seccionadora (MBSB6-22) 230kV, arranjo BD4, associado ao TF3, na SE MARABA</t>
  </si>
  <si>
    <t>Substituição da seccionadora (MBSD6-23) 230kV, arranjo BD4, associado ao TF3, na SE MARABA</t>
  </si>
  <si>
    <t>Substituição da seccionadora (MBSD6-24) 230kV, arranjo BD4, associado ao TF3, na SE MARABA</t>
  </si>
  <si>
    <t>Substituição da seccionadora (MBSY6-11) 230kV, arranjo BD4, associado ao TF3, na SE MARABA</t>
  </si>
  <si>
    <t>TAP.2025.325</t>
  </si>
  <si>
    <t>Substituição de Para-Raios 500kV, fase A, arranjo DJM, associado à EL IMPERATRIZ C1, na SE MARABA.</t>
  </si>
  <si>
    <t>Substituição de Para-Raios 500kV, fase B, arranjo DJM, associado à EL IMPERATRIZ C1, na SE MARABA.</t>
  </si>
  <si>
    <t>Substituição de Para-Raios 500kV, fase C, arranjo DJM, associado à EL IMPERATRIZ C1, na SE MARABA.</t>
  </si>
  <si>
    <t>Substituição de Transformador de Potencial Capacitivo 500kV, fase A, arranjo DJM, associado à EL IMPERATRIZ C1, na SE MARABA.</t>
  </si>
  <si>
    <t>Substituição de Transformador de Potencial Capacitivo 500kV, fase B, arranjo DJM, associado à EL IMPERATRIZ C1, na SE MARABA.</t>
  </si>
  <si>
    <t>Substituição de Transformador de Potencial Capacitivo 500 kV, fase C, arranjo DJM, associado à EL IMPERATRIZ C1, na SE MARABA.</t>
  </si>
  <si>
    <t>Substituição do Disjuntor (MBDJ6-11) 230kV, arranjo BD4, associado ao TF3, na SE MARABA</t>
  </si>
  <si>
    <t>Substituição do Transformador de corrente TF603-MC230-MBTC601 230kV, fase A, arranjo BD4, associado ao TF3 , na SE MARABA</t>
  </si>
  <si>
    <t>Substituição do Transformador de corrente TF603-MC230-MBTC601 230kV, fase B, arranjo BD4, associado ao TF3 , na SE MARABA</t>
  </si>
  <si>
    <t>Substituição do Transformador de corrente TF603-MC230-MBTC601 230kV, fase C, arranjo BD4, associado ao TF3 , na SE MARABA</t>
  </si>
  <si>
    <t>Substituição do Para-raios ( MBTF6-03-A) 230kV, fase A, arranjo BD4, associado ao TF3 , na SE MARABA</t>
  </si>
  <si>
    <t>Substituição do Para-raios ( MBTF6-03-B) 230kV, fase B, arranjo BD4, associado ao TF3 , na SE MARABA</t>
  </si>
  <si>
    <t>Substituição do Para-raios ( MBTF6-03-C) 230kV, fase C, arranjo BD4, associado ao TF3 , na SE MARABA</t>
  </si>
  <si>
    <t>Substituição dos painéis de SPCS ( MBTF6-03) 230kV, associado ao TF3, na SE MARABA</t>
  </si>
  <si>
    <t>Substituição da seccionadora (MBSD4-09) 69kV, arranjo BPT, associado ao TF3, na SE MARABA</t>
  </si>
  <si>
    <t>Substituição da seccionadora (MBSD4-10) 69kV, arranjo BPT, associado ao TF3, na SE MARABA</t>
  </si>
  <si>
    <t>Substituição da seccionadora (MBSY4-04) 69kV, arranjo BPT, associado ao TF3, na SE MARABA</t>
  </si>
  <si>
    <t>Substituição do Transformador de correnteTF603-MC69-MBTC401 69kV, fase A, arranjo BPT, associado ao TF3 , na SE MARABA</t>
  </si>
  <si>
    <t>Substituição do Transformador de corrente TF603-MC69-MBTC401 69kV, fase B, arranjo BPT, associado ao TF3 , na SE MARABA</t>
  </si>
  <si>
    <t>Substituição do Transformador de corrente TF603-MC69-MBTC401 69kV, fase C, arranjo BPT, associado ao TF3 , na SE MARABA</t>
  </si>
  <si>
    <t>Substituição do Para-raios (MBTF6-03-A) 69kV, fase A, arranjo BPT, associado ao TF3, na SE MARABA</t>
  </si>
  <si>
    <t>Substituição do Para-raios (MBTF6-03-B) 69kV, fase B, arranjo BPT, associado ao TF3, na SE MARABA</t>
  </si>
  <si>
    <t>Substituição do Para-raios (MBTF6-03-C) 69kV, fase C, arranjo BPT, associado ao TF3, na SE MARABA</t>
  </si>
  <si>
    <t>Substituição dos painéis de SPCS ( MBTF6-03) 69kV,  associado ao TF3, na SE MARABA</t>
  </si>
  <si>
    <t>TAP.2025.278</t>
  </si>
  <si>
    <t>Substituição do Transformador Trifásico Reserva TRR1 (04TR) 230/13,8/13,8 kV, 40MVA,  na SE MATATU</t>
  </si>
  <si>
    <t>TAP.2025.336</t>
  </si>
  <si>
    <t>Substituição do Transformador Trifásico TF1 (MCTF5-01) 138/13,8kV, 2MVA, na SE MIRACEMA.</t>
  </si>
  <si>
    <t>Substituição do Transformador de Corrente (MCTC501) 138kV, fase A, associado ao TF1 138/13,8kV na SE MIRACEMA.</t>
  </si>
  <si>
    <t>Substituição do Transformador de Corrente (MCTC501) 138kV, fase B, associado ao TF1 138/13,8kV na SE MIRACEMA.</t>
  </si>
  <si>
    <t>Substituição do Transformador de Corrente (MCTC501) 138kV, fase V, associado ao TF1 138/13,8kV na SE MIRACEMA.</t>
  </si>
  <si>
    <t>TAP.2025.337</t>
  </si>
  <si>
    <t>Substituição do Reator de Barra Trifásico RT1 ( MRRE6-01) 230kV, 10 MVAr,  na SE MIRANDA II.</t>
  </si>
  <si>
    <t>Substituição do SPCS (MRSPRRE) 230kV, associado ao RT1, na SE MIRANDA II.</t>
  </si>
  <si>
    <t>Substituição do Para-raios (MRPR601) 230kV, fase A, arranjo BD4, associado ao RT1, na SE MIRANDA II.</t>
  </si>
  <si>
    <t>Substituição do Para-raios (MRPR601) 230kV, fase B, arranjo BD4, associado ao RT1, na SE MIRANDA II.</t>
  </si>
  <si>
    <t>Substituição do Para-raios (MRPR601) 230kV, fase V, arranjo BD4, associado ao RT1, na SE MIRANDA II</t>
  </si>
  <si>
    <t>Substituição do SPCS (MRSPRDJ) 230kV, associado ao RT1, na SE MIRANDA II</t>
  </si>
  <si>
    <t>TAP.2025.338</t>
  </si>
  <si>
    <t>Substituição do Reator de Barra Trifásico RT2  (MRRE6-02) 230kV, 10MVAr, na SE MIRANDA II.</t>
  </si>
  <si>
    <t>Substituição do SPCS (MRSPRRE) 230kV, associado ao RT2, na SE MIRANDA II.</t>
  </si>
  <si>
    <t>Substituição do SPCS (MRSPRDJ) 230kV, associado ao RT2, na SE MIRANDA II.</t>
  </si>
  <si>
    <t>TAP.2025.369</t>
  </si>
  <si>
    <t>Subsituição de Transformador Trifásico TR1 (04T1) 230/69 kV, 100 MVA, arranjo BPT, na SE MUSSURE II</t>
  </si>
  <si>
    <t>TAP.2025.370</t>
  </si>
  <si>
    <t>Substituição de Transformador Trifásico TR3 (04T3) 230/69 kV, 100 MVA, arranjo BPT, na SE MUSSURE II</t>
  </si>
  <si>
    <t>TAP.2025.384</t>
  </si>
  <si>
    <t>Substituição de Reator de Linha Monofásico RT2 (04E2) 230 kV, 3,3MVAr, fase A, na SE NATAL II.</t>
  </si>
  <si>
    <t>Substituição de Reator de Linha Monofásico RT2 (04E2) 230 kV, 3,3MVAr, fase B, na SE NATAL II.</t>
  </si>
  <si>
    <t>Substituição de Reator de Linha Monofásico RT2 (04E2) 230 kV, 3,3MVAr, fase C, na SE NATAL II.</t>
  </si>
  <si>
    <t>Substituição do SPCS 230kV, associado ao RT2, na SE NATAL II</t>
  </si>
  <si>
    <t>TAP.2024.094</t>
  </si>
  <si>
    <t>Substituição de Transformador de Corrente 94N1-A, 230kV, arranjo BPT, na SE NATAL II.</t>
  </si>
  <si>
    <t>Substituição de Transformador de Corrente 94N1-B, 230kV, arranjo BPT, na SE NATAL II.</t>
  </si>
  <si>
    <t>Substituição de Transformador de Corrente 94N1-C, 230kV, arranjo BPT, na SE NATAL II.</t>
  </si>
  <si>
    <t>TAP.2025.267</t>
  </si>
  <si>
    <t>Substituição do Transformador Trifásico TR1 (04T1) 230/13,8 kV, 40MVA na SE OLINDINA</t>
  </si>
  <si>
    <t>Substituição do Disjuntor (14T1-A) 230 kV, arranjo BS, associado ao TR1, na SE OLINDINA</t>
  </si>
  <si>
    <t>Substituição do Transformador de Corrente TC (91T1.B) 13,8 kV, arranjo BS, associado ao TR1, na SE OLINDINA</t>
  </si>
  <si>
    <t>Substituição do Para-raio (71T1.A ) 13,8 kV, fase A, arranjo BS, associado ao TR1, na SE OLINDINA</t>
  </si>
  <si>
    <t>Substituição do Para-raio (71T1.B ) 13,8 kV, fase B, arranjo BS, associado ao TR1, na SE OLINDINA</t>
  </si>
  <si>
    <t>Substituição do Para-raio (71T1.C ) 13,8 kV, fase C, arranjo BS, associado ao TR1, na SE OLINDINA</t>
  </si>
  <si>
    <t>Substituição do Transformador de Corrente TC (91T1.C) 13,8 kV, arranjo BS, associado ao TR1, na SE OLINDINA</t>
  </si>
  <si>
    <t>Substituição do SPCS 230kV, associado ao TR1 na SE OLINDINA</t>
  </si>
  <si>
    <t>Substituição do SPCS 13,8kV, associado ao TR1 na SE OLINDINA</t>
  </si>
  <si>
    <t>TAP.2025.287</t>
  </si>
  <si>
    <t>Substituição do Transformador Monofásico TRR1 (05TR.M) 500/230kV, 200MVA, fase Reserva, na SE P.AFONSO IV.</t>
  </si>
  <si>
    <t>Substituição do Transformador Monofásico TR8 (05T8.A) 500/230kV, 200MVA, fase A, na SE P.AFONSO IV.</t>
  </si>
  <si>
    <t>Substituição do Transformador Monofásico TR8 (05T8.B) 500/230kV, 200MVA, fase B, na SE P.AFONSO IV.</t>
  </si>
  <si>
    <t>Substituição do Transformador Monofásico TR8 (05T8.C) 500/230kV, 200MVA, fase C, na SE P.AFONSO IV.</t>
  </si>
  <si>
    <t>Substituição da Seccionadora (35T8-7A) 500kV, arranjo DJM, associado à IB, na SE P.AFONSO IV.</t>
  </si>
  <si>
    <t>Substituição da Seccionadora (35T8-7B) 500kV, arranjo DJM, associado a IB, na SE P.AFONSO IV.</t>
  </si>
  <si>
    <t>Substituição do SPCS 500kV, associado ao TR8, na SE P.AFONSO IV.</t>
  </si>
  <si>
    <t>Substituição do SPCS 230kV, associado ao TR8, na SE P.AFONSO IV.</t>
  </si>
  <si>
    <t>TAP.2025.232</t>
  </si>
  <si>
    <t>Substituição do Reator de Linha Monofásico RT8 (PDRE7-08) 500kV, 50 MVAr, fase A, na SE P.DUTRA</t>
  </si>
  <si>
    <t>Substituição do Reator de Linha Monofásico RT8 (PDRE7-08) 500kV, 50 MVAr, fase B, na SE P.DUTRA</t>
  </si>
  <si>
    <t>Substituição do Reator de Linha Monofásico RT8 (PDRE7-08) 500kV, 50 MVAr, fase V, na SE P.DUTRA</t>
  </si>
  <si>
    <t>Substituição do Reator de Linha Monofásico RTR1 (PDRE7-08) 500kV, 50 MVAr, fase R, na SE P.DUTRA</t>
  </si>
  <si>
    <t>Substituição da Seccionadora PDSD725 500kV, arranjo DJM, associado à EL TERESINA II , na SE P.DUTRA</t>
  </si>
  <si>
    <t>Substituição da Seccionadora PDSD726 500kV, arranjo DJM, associado à EL TERESINA II, na SE P.DUTRA</t>
  </si>
  <si>
    <t>Substituição da Seccionadora com lamina de terra (PDSL706/PDCA715) 500kV, arranjo DJM, associado à EL TERESINA II, na SE P.DUTRA</t>
  </si>
  <si>
    <t>Substituição da Seccionadora PDSR708 500kV, arranjo DJM, associado ao RT8, na SE P.DUTRA</t>
  </si>
  <si>
    <t>TAP.2025.233</t>
  </si>
  <si>
    <t>Substituição do Reator de Barra Monofásico RT9 (PDRE7-09-A) 500kV, 60 MVAr, fase A, na SE P.DUTRA</t>
  </si>
  <si>
    <t>Substituição do Reator de Barra Monofásico RT9 (PDRE7-09-B) 500kV, 60 MVAr, fase B, na SE P.DUTRA</t>
  </si>
  <si>
    <t>Substituição do Para-Raio PDPR7-01 500kV, fase A, arranjo DJM, associado ao RT9, na SE P.DUTRA</t>
  </si>
  <si>
    <t>Substituição do Para-Raio PDPR7-01 500kV, fase B, arranjo DJM, associado ao RT9, na SE P.DUTRA</t>
  </si>
  <si>
    <t>Substituição do Para-Raio PDPR7-01 500kV, fase V, arranjo DJM, associado ao RT9, na SE P.DUTRA</t>
  </si>
  <si>
    <t>Substituição da Disjuntor PDDJ7-13 500kV, arranjo DJM, associado ao RT9, na SE P.DUTRA</t>
  </si>
  <si>
    <t>Substituição da Seccionadora PDSD7-24 500kV, arranjo DJM, associado ao RT9, na SE P.DUTRA</t>
  </si>
  <si>
    <t>Substituição do Reator de Barra Monofásico RT9 (PDRE7-09 -V) 500KV, 60 MVAr, fase V, na SE P.DUTRA</t>
  </si>
  <si>
    <t>Substituição do Reator de Barra Monofásico RTR1 (PDRE7-09 -R) 500KV, 60 MVAr, fase Reserva, na SE P.DUTRA</t>
  </si>
  <si>
    <t>TAP.2025.339</t>
  </si>
  <si>
    <t>Substituição do Transformador Trifásico TF1 (PRTF6-01) 230/69kV, 100MVA, na SE PERITORO.</t>
  </si>
  <si>
    <t>Substituição do Para-raio (PRPR201) 13,8kV, fase A, arranjo BS, associado ao TF1, na SE PERITORO.</t>
  </si>
  <si>
    <t>Substituição do Para-raio (PRPR201) 13,8kV, fase B, arranjo BS, associado ao TF1, na SE PERITORO.</t>
  </si>
  <si>
    <t>Substituição do Para-raio (PRPR201) 13,8kV, fase V, arranjo BS, associado ao TF1, na SE PERITOR.</t>
  </si>
  <si>
    <t>Substituição da Seccionadora (PRSD206 ) 13,8kV, arranjo BS, associado ao TF1, na SE PERITORO.</t>
  </si>
  <si>
    <t>Substituição da Seccionadora (PRSD207 ) 13,8kV, arranjo BS, associado ao TF1, na SE PERITORO.</t>
  </si>
  <si>
    <t>Substituição do SPCS (PRSPRTF) 230kV, associado ao TF1, na SE PERITORO.</t>
  </si>
  <si>
    <t>Substituição da Seccionadora (PRST201) 13,8kV, arranjo BS, associado ao TF1, na SE PERITORO.</t>
  </si>
  <si>
    <t>Substituição do Transformador de Corrente (PRTC201) 13,8kV, fase A, arranjo BS, associado ao TF1, na SE PERITORO.</t>
  </si>
  <si>
    <t>Substituição do Transformador de Corrente (PRTC201) 13,8kV, fase B, arranjo BS, associado ao TF1, na SE PERITORO.</t>
  </si>
  <si>
    <t>Substituição do Transformador de Corrente (PRTC201) 13,8kV, fase V, arranjo BS, associado ao TF1, na SE PERITORO.</t>
  </si>
  <si>
    <t>Substituição do Para-raio (PRPR401) 69kV, fase A, arranjo BPT, associado ao TF1, na SE PERITORO.</t>
  </si>
  <si>
    <t>Substituição do Para-raio (PRPR401) 69kV, fase B, arranjo BPT, associado ao TF1, na SE PERITORO</t>
  </si>
  <si>
    <t>Substituição do Para-raio (PRPR401) 69kV, fase V, arranjo BPT, associado ao TF1, na SE PERITORO.</t>
  </si>
  <si>
    <t>Substituição da Seccionadora (PRSB401) 69kV, arranjo BPT, associado ao TF1, na SE PERITORO.</t>
  </si>
  <si>
    <t>Substituição da Seccionadora (PRSD401) 69kV, arranjo BPT, associado ao TF1, na SE PERITORO.</t>
  </si>
  <si>
    <t>Substituição da Seccionadora (PRSD402) 69kV, arranjo BPT, associado ao TF1, na SE PERITORO.</t>
  </si>
  <si>
    <t>Substituição da Seccionadora (PRSB603) 230kV, arranjo BD5, associado ao TF1, na SE PERITORO.</t>
  </si>
  <si>
    <t>Substituição da Seccionadora (PRSB604) 230kV, arranjo BD5, associado ao TF1, na SE PERITORO.</t>
  </si>
  <si>
    <t>Substituição da Seccionadora (PRSD603) 230kV, arranjo BD5, associado ao TF1, na SE PERITORO.</t>
  </si>
  <si>
    <t>Substituição da Seccionadora (PRSD604) 230kV, arranjo BD5, associado ao TF1, na SE PERITORO.</t>
  </si>
  <si>
    <t>Substituição da Seccionadora (PRSY602) 230kV, arranjo BD5, associado ao TF1, na SE PERITORO</t>
  </si>
  <si>
    <t>Substituição do Transformador de Corrente (PRTC601) 230kV, fase B, arranjo BD5, associado ao TF1, na SE PERITORO.</t>
  </si>
  <si>
    <t>Substituição do Transformador de Corrente (PRTC601) 230kV, fase V, arranjo BD5, associado ao TF1, na SE PERITORO</t>
  </si>
  <si>
    <t>TAP.2025.352</t>
  </si>
  <si>
    <t>Substituição do SPCS 230kV, associado ao TR2, na SE PICOS.</t>
  </si>
  <si>
    <t>Substituição do SPCS 69kV, associado ao TR2, na SE PICOS.</t>
  </si>
  <si>
    <t>Substituição do Transformador Trifásico TR2 (04T2) 230/69/13,8 kV, 39MVA, na SE PICOS.</t>
  </si>
  <si>
    <t>TAP.2025.349</t>
  </si>
  <si>
    <t>Substituição do Reator de Barra Trifásico RT1 (01E1) 13,8kV, 5MVAr, na SE PIRIPIRI.</t>
  </si>
  <si>
    <t>TAP.2025.350</t>
  </si>
  <si>
    <t>Substituição do Reator Limitador de Corrente Monofásico RTS1 (01E2-L.A) 13,8kV, 1,666MVAr, fase A, na SE PIRIPIRI.</t>
  </si>
  <si>
    <t>Substituição do Reator Limitador de Corrente Monofásico RTS1 (01E2-L.B) 13,8kV, 1,666MVAr, fase B, na SE PIRIPIRI.</t>
  </si>
  <si>
    <t>Substituição do Reator Limitador de Corrente Monofásico RTS1 (01E2-L.C) 13,8kV, 1,666MVAr, fase C, na SE PIRIPIRI.</t>
  </si>
  <si>
    <t>Substituição da Seccionadora (31E1-4) 13,8kV, arranjo BS, associado ao RT1, na SE PIRIPIRI.</t>
  </si>
  <si>
    <t>Substituição  do Transformador de Corrente TC 91E1.C 13,8kV, fase C, arranjo BS, associado ao RT1, na SE PIRIPIRI</t>
  </si>
  <si>
    <t>Substituição  do Transformador de Corrente TC 91E1.B 13,8kV, fase B, arranjo BS, associado ao RT1, na SE PIRIPIRI</t>
  </si>
  <si>
    <t>Substituição  do Transformador de Corrente TC 91E1.A 13,8kV, fase A, arranjo BS, associado ao RT1, na SE PIRIPIRI</t>
  </si>
  <si>
    <t>TAP.2025.234</t>
  </si>
  <si>
    <t>Substituição do Transformador Trifásico TF1 (PFTF601) 230/69 kV, 33 MVA, na SE PORTO FRANCO</t>
  </si>
  <si>
    <t>Substituição do SPCS (PFSPRTF)  230kV, associado ao TF1, na SE PORTO FRANCO</t>
  </si>
  <si>
    <t>Substituição do SPCS PFSPRDJ 69kV, associado ao TF1, na SE PORTO FRANCO</t>
  </si>
  <si>
    <t>TAP.2025.235</t>
  </si>
  <si>
    <t>Substituição do Transformador Trifásico TF2 (PFTF602) 230/69kV, 33MVA, na SE PORTO FRANCO</t>
  </si>
  <si>
    <t>Substituição do SPCS PFSPRDJ 230kV, associado ao TF2, na SE PORTO FRANCO</t>
  </si>
  <si>
    <t>TAP.2025.285</t>
  </si>
  <si>
    <t>Substituição do Transformador Monofásico TR2 (05T2.A) 500/230kV, 200MVA, fase A, na SE RECIFE II.</t>
  </si>
  <si>
    <t>Substituição do Transformador Monofásico TR2 (05T2.B) 500/230kV, 200MVA, fase B, na SE RECIFE II.</t>
  </si>
  <si>
    <t>Substituição do Transformador Monofásico TR2 (05T2.C) 500/230kV, 200MVA, fase C, na SE RECIFE II.</t>
  </si>
  <si>
    <t>Substituição da Seccionadora (34T2-7 ) 230kV, arranjo BD5, associado ao TR2, na SE RECIFE II.</t>
  </si>
  <si>
    <t>TAP.2025.249</t>
  </si>
  <si>
    <t>Substituição do Banco de Capacitor Derivação BC1 (BSRVBP1) 230kV, 37,2MVAr, arranjo BD5, na SE RIO VERDE FUR</t>
  </si>
  <si>
    <t>TAP.2025.247</t>
  </si>
  <si>
    <t>Substituição do Banco de Capacitor Derivação BC3 (BSIMRV1) 230kV, 33,9MVAr, arranjo BD5, na SE RIO VERDE FUR</t>
  </si>
  <si>
    <t>Substituição da Seccionadora SC7321 230kV, arranjo BD5, associado à EL RIO VERDE FUR C1, na SE RIO VERDE FUR</t>
  </si>
  <si>
    <t>Substituição da Seccionadora SC7323 230kV, arranjo BD5, associado à EL RIO VERDE FUR C1, na SE RIO VERDE FUR</t>
  </si>
  <si>
    <t>Substituição da Seccionadora SC7325 230kV, arranjo BD5, associado à EL RIO VERDE FUR C1, na SE RIO VERDE FUR</t>
  </si>
  <si>
    <t>Substituição da Seccionadora SC7327 230kV, arranjo BD5, associado à EL RIO VERDE FUR C1, na SE RIO VERDE FUR</t>
  </si>
  <si>
    <t>Substituição da Seccionadora SC7329 230kV, arranjo BD5, associado à EL ITUMBIARA/RIO VERDE FUR C1, na SE RIO VERDE FUR</t>
  </si>
  <si>
    <t>Substituição do Transformador de Corrente TC LTIMRV1 230kV, fase A, arranjo BD5, associado à EL ITUMBIARA/RIO VERDE FUR C1, na SE RIO VERDE FUR</t>
  </si>
  <si>
    <t>Substituição do Transformador de Corrente  TC LTIMRV1 230kV, fase B, arranjo BD5, associado à EL ITUMBIARA/RIO VERDE FUR C1, na SE RIO VERDE FUR</t>
  </si>
  <si>
    <t>Substituição do Transformador de Corrente  TC LTIMRV1 230kV, fase C, arranjo BD5, associado à EL ITUMBIARA/RIO VERDE FUR C1, na SE RIO VERDE FUR</t>
  </si>
  <si>
    <t>Substituição da Seccionadora com lâmina de terra SC7079/SC7770T 230kV, arranjo BD5, associado à EL BARRA PEIXE C1, na SE RIO VERDE FUR</t>
  </si>
  <si>
    <t>Substituição do para-raios (PR LIRVBP1) 230kV, fase A, arranjo BD5, associado à EL BARRA PEIXE C1, na SE RIO VERDE FUR</t>
  </si>
  <si>
    <t>Substituição do para-raios (PR LIRVBP1) 230kV, fase B, arranjo BD5, associado à EL BARRA PEIXE C1, na SE RIO VERDE FUR</t>
  </si>
  <si>
    <t>Substituição do para-raios (PR LIRVBP1) 230kV, fase C, arranjo BD5, associado à EL BARRA PEIXE C1, na SE RIO VERDE FUR</t>
  </si>
  <si>
    <t>Substituição da Seccionadora SC7771 230kV, arranjo BD5, associado à EL BARRA PEIXE C1, na SE RIO VERDE FUR</t>
  </si>
  <si>
    <t>Substituição da Seccionadora SC7773 230kV, arranjo BD5, associado à EL BARRA PEIXE C1, na SE RIO VERDE FUR</t>
  </si>
  <si>
    <t>Substituição da Seccionadora SC7775 230kV, arranjo BD5, associado à EL BARRA PEIXE C1, na SE RIO VERDE FUR</t>
  </si>
  <si>
    <t>Substituição da Seccionadora SC7777 230kV, arranjo BD5, associado à EL BARRA PEIXE C1, na SE RIO VERDE FUR</t>
  </si>
  <si>
    <t>Substituição da Seccionadora SC7779 230kV, arranjo BD5, associado à EL BARRA PEIXE C1, na SE RIO VERDE FUR</t>
  </si>
  <si>
    <t>Substituição de Transformador de Corrente TC LIRVBP1 230kV, fase A, arranjo BD5, associado à EL BARRA PEIXE C1, na SE RIO VERDE FUR</t>
  </si>
  <si>
    <t>Substituição de Transformador de Corrente TC LIRVBP1 230kV, fase B, arranjo BD5, associado à EL BARRA PEIXE C1, na SE RIO VERDE FUR</t>
  </si>
  <si>
    <t>Substituição de Transformador de Corrente TC LIRVBP1 230kV, fase C, arranjo BD5, associado à EL BARRA PEIXE C1, na SE RIO VERDE FUR</t>
  </si>
  <si>
    <t>Substituição do Transformador de Potencial DCP LIRVBP1 230kV, fase A, arranjo BD5, associado à EL BARRA PEIXE C1, na SE RIO VERDE FUR</t>
  </si>
  <si>
    <t>Substituição do Transformador de Potencial DCP LIRVBP1 230kV, fase B, arranjo BD5, associado à EL BARRA PEIXE C1, na SE RIO VERDE FUR</t>
  </si>
  <si>
    <t>TAP.2025.351</t>
  </si>
  <si>
    <t>Substituição do Reator de Barra Trifásico RT4 138kV, 15MVA, na SE RIO VERDE FUR.</t>
  </si>
  <si>
    <t>Substituição do Transformador de Corrente 138kV, fase A, arranjo BD3, associado ao RT4, na SE RIO VERDE FUR.</t>
  </si>
  <si>
    <t>Substituição do Transformador de Corrente 138kV, fase B, arranjo BD3, associado ao RT4, na SE RIO VERDE FUR.</t>
  </si>
  <si>
    <t>Substituição do Transformador de Corrente 138kV, fase C, arranjo BD3, associado ao RT4, na SE RIO VERDE FUR.</t>
  </si>
  <si>
    <t>Substituição dos sistemas de proteção (BSIMRV1) do CR 230 kV, 34 Mvar, associado ao BC3, na SE RIO VERDE FUR</t>
  </si>
  <si>
    <t>Substituição do registrador de perturbações digital  (BSIMRV1) do CR 230 kV 34 Mvar, associado ao BC3, na SE RIO VERDE FUR</t>
  </si>
  <si>
    <t>Substituição dos sistemas de proteção  (BSRVBP1) do CR 230 kV 37,2 Mvar,  associado ao BC1, na SE RIO VERDE FUR</t>
  </si>
  <si>
    <t>Substituição do registrador de perturbações digital (BSRVBP1) do CR 230 kV 37,2 Mvar, associado ao BC1, na SE RIO VERDE FUR</t>
  </si>
  <si>
    <t>Substituição da MACH 1 / MACH 2 de supervisão de Banco Capacitores Série, associado à EL ITUMBIARA - RIO VERDE  C1 - 230KV, na SE RIO VERDE FUR</t>
  </si>
  <si>
    <t>TAP.2025.236</t>
  </si>
  <si>
    <t>Substituição do Reator de Linha Trifásico RT2 (RPRE602) 230kV, 30 MVAr, na SE RONDONOPOLIS</t>
  </si>
  <si>
    <t>Substituição da Seccionadora RPSR602 230kV, arranjo BD5, associada ao RT2, na SE RONDONOPOLIS</t>
  </si>
  <si>
    <t>Substituição do Transformador de Corrente RPTC601 230kV, fase A, arranjo BD5, associado ao RT2, na SE RONDONOPOLIS</t>
  </si>
  <si>
    <t>Substituição do Transformador de Corrente RPTC601 230kV, fase B, arranjo BD5, associado ao RT2, na SE RONDONOPOLIS</t>
  </si>
  <si>
    <t>Substituição do Transformador de Corrente RPTC601 230kV, fase V, arranjo BD5, associado ao RT2, na SE RONDONOPOLIS</t>
  </si>
  <si>
    <t>Substituição do SPCS 230kV,  associado ao RT2, na SE RONDONOPOLIS</t>
  </si>
  <si>
    <t>TAP.2025.237</t>
  </si>
  <si>
    <t>Substituição do Reator de Barra Trifásico RT3 (RPRE603) 230kV, 30 MVAr, na SE RONDONOPOLIS</t>
  </si>
  <si>
    <t>Substituição do SPCS 230kV,  associado ao RT3, na SE RONDONOPOLIS</t>
  </si>
  <si>
    <t>TAP.2025.366</t>
  </si>
  <si>
    <t>Substituição do Reator de Linha Trifásico RT4 (RPRE604) 230kV, 20MVAr, na SE RONDONOPOLIS.</t>
  </si>
  <si>
    <t>Substituição da Seccionadora RPSR603 230kV, arranjo BD5, associada ao RT4, na SE RONDONOPOLIS.</t>
  </si>
  <si>
    <t>Substituição do SPCS 230kV, associado ao RT4, na SE RONDONOPOLIS.</t>
  </si>
  <si>
    <t>TAP.2025.314</t>
  </si>
  <si>
    <t>Substituição do Transformador Trifásico TR7 (TF7) 230/69kV, 33,3MVA, na SE S. OSORIO.</t>
  </si>
  <si>
    <t>Substituição da seccionadora CS421 69kV, arranjo BS, associado ao TR7, na SE S. OSORIO.</t>
  </si>
  <si>
    <t>Substituição da seccionadora CS801 230kV, arranjo BPT, associado ao TR7, na SE S. OSORIO.</t>
  </si>
  <si>
    <t>Substituição da seccionadora CS803 230kV, arranjo BPT, associado ao TR7, na SE S. OSORIO.</t>
  </si>
  <si>
    <t>Substituição da seccionadora CS805 230kV, arranjo BPT, associado ao TR7, na SE S. OSORIO.</t>
  </si>
  <si>
    <t>Substituição da seccionadora CS807 230kV, arranjo BPT, associado ao TR7, na SE S. OSORIO.</t>
  </si>
  <si>
    <t>Substituição da seccionadora CS809 230kV, arranjo BPT, associado ao TR7, na SE S. OSORIO.</t>
  </si>
  <si>
    <t>Substituição do Disjuntor DJ802 230kV, arranjo BPT, associado ao TR7, na SE S. OSORIO.</t>
  </si>
  <si>
    <t>TAP.2025.280</t>
  </si>
  <si>
    <t>Substituição do Reator de Linha Monofásico RT1 (05E1.A) 500kV, 33,3MVAr, fase A, na SE S.JOAO PIAUI.</t>
  </si>
  <si>
    <t>Substituição do Reator de Linha Monofásico RT1 (05E1.B) 500kV, 33,3MVAr, fase B, na SE S.JOAO PIAUI.</t>
  </si>
  <si>
    <t>Substituição do Reator de Linha Monofásico RT1 (05E1.C) 500kV, 33,3MVAr, fase C, na SE S.JOAO PIAUI.</t>
  </si>
  <si>
    <t>Substituição do Reator de Aterramento RTN1 (02E1.N) 69kV, 0,23MVAr, na SE S.JOAO PIAUI.</t>
  </si>
  <si>
    <t>TAP.2025.371</t>
  </si>
  <si>
    <t>Substituição do SPCS 230kV, associado ao TR3 na SE S.JOAO PIAUI.</t>
  </si>
  <si>
    <t>TAP.2025.372</t>
  </si>
  <si>
    <t>Substituição do SPCS 230kV, associado ao TR4, na SE S.JOAO PIAUI</t>
  </si>
  <si>
    <t>Substituição do SPCS 500kV,  associado ao Reator RT1 (05E1) na SE S.JOAO PIAUI.</t>
  </si>
  <si>
    <t>TAP.2025.373</t>
  </si>
  <si>
    <t>Substituição do Reator de Aterramento RTN2 (02E2.N) 69kV, 0,23MVAr, na SE S.JOAO PIAUI.</t>
  </si>
  <si>
    <t>Reator de Aterramento</t>
  </si>
  <si>
    <t>Substituição do SPCS 69kV, associado ao TR3, na SE S.JOAO PIAUI.</t>
  </si>
  <si>
    <t>Substituição do SPCS 69kV, associado ao TR4,  na SE S.JOAO PIAUI</t>
  </si>
  <si>
    <t>TAP.2025.374</t>
  </si>
  <si>
    <t>Substituição  do Transformador Trifásico TR5 (02T5) 69/13,8 kV, 1MVA, na SE S.JOAO PIAUI</t>
  </si>
  <si>
    <t>TAP.2025.315</t>
  </si>
  <si>
    <t>Substituição do Transformador Trifásico TR4 (TF4)  69/13,8kV, 15MVA na SE S.SANTIAGO.</t>
  </si>
  <si>
    <t>TAP.2023.133</t>
  </si>
  <si>
    <t>Substituição do Transformador Monofásico TR3 500/345kV, 350MVA, fase B, na SE SAMAMBAIA.</t>
  </si>
  <si>
    <t>Substituição do Transformador Monofásico TR8 500/345kV, 350MVA, fase C, na SE SAMAMBAIA.</t>
  </si>
  <si>
    <t>TAP.2023.134</t>
  </si>
  <si>
    <t>Substituição do Transformador Monofásico TR2 500/345kV, 350MVA, fase A, na SE SAMAMBAIA.</t>
  </si>
  <si>
    <t>TAP.2025.390</t>
  </si>
  <si>
    <t>Substituição do Disjuntor DJ652 138kV, arranjo BD5, associado ao TR12, na SE SANTA CRUZ</t>
  </si>
  <si>
    <t>Substituição do Para-raios PR652-A 138kV, fase A, arranjo BD5, associado ao TR12, na SE SANTA CRUZ</t>
  </si>
  <si>
    <t>Substituição do Para-raios PR652-B 138kV, fase B, arranjo BD5, associado ao TR12, na SE SANTA CRUZ</t>
  </si>
  <si>
    <t>Substituição do Para-raios PR652-C 138kV, fase C, arranjo BD5, associado ao TR12, na SE SANTA CRUZ</t>
  </si>
  <si>
    <t>Substituição da Seccionadora SC651 138kV, arranjo BD5, associado ao TR12, na SE SANTA CRUZ</t>
  </si>
  <si>
    <t>Substituição da Seccionadora SC653 138kV, arranjo BD5, associado ao TR12, na SE SANTA CRUZ</t>
  </si>
  <si>
    <t>Substituição da Seccionadora SC655 138kV, arranjo BD5, associado ao TR12, na SE SANTA CRUZ</t>
  </si>
  <si>
    <t>Substituição da Seccionadora SC657 138kV, arranjo BD5, associado ao TR12, na SE SANTA CRUZ</t>
  </si>
  <si>
    <t>Substituição da Seccionadora SC659 138kV, arranjo BD5, associado ao TR12, na SE SANTA CRUZ</t>
  </si>
  <si>
    <t>Substituição do Transformador de Corrente TC652-A 138kV, fase A, arranjo BD5, associado ao TR12, na SE SANTA CRUZ</t>
  </si>
  <si>
    <t>Substituição do Transformador de Corrente TC652-B 138kV, fase B, arranjo BD5, associado ao TR12, na SE SANTA CRUZ</t>
  </si>
  <si>
    <t>Substituição do Transformador de Corrente TC652-C 138kV, fase C, arranjo BD5, associado ao TR12, na SE SANTA CRUZ</t>
  </si>
  <si>
    <t>Substituição do Transformador trifásico TR12 138/34,5kV,  1x30MVA, na SE SANTA CRUZ</t>
  </si>
  <si>
    <t>TAP.2025.391</t>
  </si>
  <si>
    <t>Substituição do Disjuntor DJ662 138kV, arranjo BD5, associado ao TR34, na SE SANTA CRUZ</t>
  </si>
  <si>
    <t>Substituição do Para-raios PR662-A 138kV, fase A, arranjo BD5, associado ao TR34, na SE SANTA CRUZ</t>
  </si>
  <si>
    <t>Substituição do Para-raios PR662-B 138kV, fase B, arranjo BD5, associado ao TR34, na SE SANTA CRUZ</t>
  </si>
  <si>
    <t>Substituição do Para-raios PR662-C 138kV, fase C, arranjo BD5, associado ao TR34, na SE SANTA CRUZ</t>
  </si>
  <si>
    <t>Substituição da Seccionadora SC661 138kV, arranjo BD5, associado ao TR34, na SE SANTA CRUZ</t>
  </si>
  <si>
    <t>Substituição da Seccionadora SC663 138kV, arranjo BD5, associado ao TR34, na SE SANTA CRUZ</t>
  </si>
  <si>
    <t>Substituição da Seccionadora SC665 138kV, arranjo BD5, associado ao TR34, na SE SANTA CRUZ</t>
  </si>
  <si>
    <t>Substituição da Seccionadora SC667 138kV, arranjo BD5, associado ao TR34, na SE SANTA CRUZ</t>
  </si>
  <si>
    <t>Substituição da Seccionadora SC669 138kV, arranjo BD5, associado ao TR34, na SE SANTA CRUZ</t>
  </si>
  <si>
    <t>Substituição do Transformador de Corrente TC667-A 138kV, fase A, arranjo BD5, associado ao TR34, na SE SANTA CRUZ</t>
  </si>
  <si>
    <t>Substituição do Transformador de Corrente TC667-B 138kV, fase B, arranjo BD5, associado ao TR34, na SE SANTA CRUZ</t>
  </si>
  <si>
    <t>Substituição do Transformador de Corrente TC667-C 138kV, fase C, arranjo BD5, associado ao TR34, na SE SANTA CRUZ</t>
  </si>
  <si>
    <t>Substituição do Transformador trifásico TR34 138/34,5kV,  1x30MVA, na SE SANTA CRUZ</t>
  </si>
  <si>
    <t>TAP.2025.357</t>
  </si>
  <si>
    <t>Substituição do Banco de Capacitor Derivação BC2 138kV, 100Mvar, arranjo BD5, na SE SÃO JOSÉ.</t>
  </si>
  <si>
    <t>TAP.2025.356</t>
  </si>
  <si>
    <t>Substituição da Seccionadora SC655C 138kV, arranjo BD5, associado aos BC1e BC2, na SE SÃO JOSÉ.</t>
  </si>
  <si>
    <t>Substituição do Banco de Capacitor Derivação BC1 138kV, 150Mvar, arranjo BD5, na SE SÃO JOSÉ.</t>
  </si>
  <si>
    <t>Substituição da Seccionadora SC675C 138kV, arranjo BD5, associado aos BC1e BC2, na SE SÃO JOSÉ.</t>
  </si>
  <si>
    <t>Substituição do Disjuntor DJ658C 138kV, arranjo BD5, associado aos BC1e BC2, na SE SÃO JOSÉ.</t>
  </si>
  <si>
    <t>Substituição do Para-raio PR650T01 138kV, fase A, arranjo BD5, associado aos BC1e BC2,  na SE SÃO JOSÉ.</t>
  </si>
  <si>
    <t>Substituição do Para-raio PR650T01 138kV, fase B, arranjo BD5, associado aos BC1e BC2,  na SE SÃO JOSÉ.</t>
  </si>
  <si>
    <t>Substituição do Para-raio PR650T01 138kV, fase C, arranjo BD5, associado aos BC1e BC2,  na SE SÃO JOSÉ.</t>
  </si>
  <si>
    <t>Substituição do Para-raio PR650T02 138kV, fase A, arranjo BD5, associado aos BC1e BC2, na SE SÃO JOSÉ.</t>
  </si>
  <si>
    <t>Substituição do Para-raio PR650T02 138kV, fase B, arranjo BD5, associado aos BC1e BC2, na SE SÃO JOSÉ.</t>
  </si>
  <si>
    <t>Substituição do Para-raio PR650T02 138kV, fase C, arranjo BD5, associado aos BC1e BC2, na SE SÃO JOSÉ.</t>
  </si>
  <si>
    <t>Substituição da Seccionadora SC651C 138kV, arranjo BD5, associada aos BC1e BC2, na SE SÃO JOSÉ.</t>
  </si>
  <si>
    <t>Substituição da Seccionadora SC653C 138kV, arranjo BD5, associada aos BC1e BC2, na SE SÃO JOSÉ.</t>
  </si>
  <si>
    <t>Substituição da Seccionadora com lamina de terra (SC657C/SC650T) 138kV, arranjo BD5, associada aos BC1e BC2, na SE SÃO JOSÉ</t>
  </si>
  <si>
    <t>Substituição do Transformador de Potencial DCPBR6A2 138kV, fase A, arranjo BD5, associado ao Barramento BRRM05, na SE SÃO JOSÉ.</t>
  </si>
  <si>
    <t>Substituição do Transformador de Potencial DCPBR6A2 138kV, fase B, arranjo BD5, associado ao Barramento BRRM05, na SE SÃO JOSÉ</t>
  </si>
  <si>
    <t>Substituição do Transformador de Potencial DCPBR6A2 138kV, fase C, arranjo BD5, associado ao Barramento BRRM05, na SE SÃO JOSÉ.</t>
  </si>
  <si>
    <t>Substituição do Transformador de Potencial TPBR6B2 138kV, fase A, arranjo BD5, associado ao Barramento BRRM07, na SE SÃO JOSÉ.</t>
  </si>
  <si>
    <t>Substituição do Transformador de Potencial TPBR6B2 138kV, fase B, arranjo BD5, associado ao Barramento BRRM07, na SE SÃO JOSÉ.</t>
  </si>
  <si>
    <t>Substituição do Transformador de Potencial TPBR6B2 138kV, fase C, arranjo BD5, associado ao Barramento BRRM07, na SE SÃO JOSÉ.</t>
  </si>
  <si>
    <t>TAP.2025.358</t>
  </si>
  <si>
    <t>Substituição do Banco de Capacitor Derivação BC3 138kV, 150Mvar, arranjo BD5, na SE SÃO JOSÉ</t>
  </si>
  <si>
    <t>Substituição da Seccionadora SC665C 138kV, arranjo BD5, associada aos BC3 e BC4, na SE SÃO JOSÉ</t>
  </si>
  <si>
    <t>Substituição do Disjuntor DJ668C 138kV, arranjo BD5, associado aos BC3 e BC4, na SE SÃO JOSÉ</t>
  </si>
  <si>
    <t>Substituição do Para-raio PR660T01 138kV, fase A, arranjo BD5, associado aos BC3 e BC4,, na SE SÃO JOSÉ</t>
  </si>
  <si>
    <t>Substituição do Para-raio PR660T01 138kV, fase B, arranjo BD5, associado aos BC3 e BC4, na SE SÃO JOSÉ</t>
  </si>
  <si>
    <t>Substituição do Para-raio PR660T01 138kV, fase C, arranjo BD5, associado aos BC3 e BC4, na SE SÃO JOSÉ</t>
  </si>
  <si>
    <t>Substituição do Para-raio PR660T02 138kV, fase A, arranjo BD5, associado aos BC3 e BC4, na SE SÃO JOSÉ</t>
  </si>
  <si>
    <t>Substituição do Para-raio PR660T02 138kV, fase B, arranjo BD5, associado aos BC3 e BC4, na SE SÃO JOSÉ</t>
  </si>
  <si>
    <t>Substituição do Para-raio PR660T02 138kV, fase C, arranjo BD5, associado aos BC3 e BC4,na SE SÃO JOSÉ</t>
  </si>
  <si>
    <t>Substituição da Seccionadora com lamina de terra (SC661C/SC660T) 138kV, arranjo BD5, associada aos BC3 e BC4,na SE SÃO JOSÉ</t>
  </si>
  <si>
    <t>Substituição da Seccionadora SC663C 138kV, arranjo BD5, associada aos BC3 e BC4, na SE SÃO JOSÉ</t>
  </si>
  <si>
    <t>Substituição da Seccionadora SC667C 138kV, arranjo BD5, associada aos BC3 e BC4, na SE SÃO JOSÉ</t>
  </si>
  <si>
    <t>TAP.2025.359</t>
  </si>
  <si>
    <t>Substituição do Banco de Capacitor Derivação BC4 138kV, 100Mvar, arranjo BD5, na SE SÃO JOSÉ.</t>
  </si>
  <si>
    <t>Substituição da Seccionadora SC685C 138kV, arranjo BD5, associada aos BC3 e BC4,, na SE SÃO JOSÉ</t>
  </si>
  <si>
    <t>Substituição do sistema de proteção e controle 138 kV, 150 Mvar, associado ao BC1, na SE SAO JOSE</t>
  </si>
  <si>
    <t>Substituição do registrador de perturbações digital 138kV, 150Mvar, associado ao BC1, na SE SAO JOSE.</t>
  </si>
  <si>
    <t>Substituição do sistema de proteção 138kV, 150Mvar, associado ao BC2, na SE SAO JOSE.</t>
  </si>
  <si>
    <t>Substituição do registrador de perturbações digital 138kV, 150Mvar, associado aos BC1 e BC2, na SE SAO JOSE.</t>
  </si>
  <si>
    <t>Substituição do sistema de proteção 138 kV, 150 Mvar, associado ao BC3, na SE SAO JOSE</t>
  </si>
  <si>
    <t>Substituição do registrador de perturbações digital 138 kV, 150 Mvar, associado ao BC3, na SE SAO JOSE</t>
  </si>
  <si>
    <t>Substituição dos sistemas de proteção 138 kV, 150 Mvar, associado ao BC4, na SE SAO JOSE</t>
  </si>
  <si>
    <t>Substituição do registrador de perturbações digital 138 kV, 150 Mvar, associado ao BC4, na SE SAO JOSE</t>
  </si>
  <si>
    <t>Substituição da UAC23 138kV de supervisão dos BC1(150Mvar) e BC2  (100Mvar), na SE SAO JOSE.</t>
  </si>
  <si>
    <t>Substituição da UAC24 138 kV de supervisão dos BC3 (150 Mvar) e BC4  (100 Mvar), na SE SAO JOSE</t>
  </si>
  <si>
    <t>TAP.2025.342</t>
  </si>
  <si>
    <t>Substituição do Transformador Trifásico TR1 (LITF6-01) 230/69kV, 100MVA, na SE SAO LUIS I.</t>
  </si>
  <si>
    <t>Substituição do SPCS (LISPRTF) 230kV,  associado ao TR1, na SE SAO LUIS I.</t>
  </si>
  <si>
    <t>Substituição do SPCS (LISPRDJ) 69kV,  associado ao TR1, na SE SAO LUIS I</t>
  </si>
  <si>
    <t>TAP.2025.239</t>
  </si>
  <si>
    <t>Substituição do Reator de Linha Trifásico RT2 (SPRE602) 230kV, 20 MVAr,  na SE SINOP</t>
  </si>
  <si>
    <t>Substituição da Seccionadora SPSR602 230kV, arranjo BD4, associado ao RT2, na SE SINOP</t>
  </si>
  <si>
    <t>Substituição do SPCS SPSR602 230kV, associado ao RT2, na SE SINOP</t>
  </si>
  <si>
    <t>TAP.2024.508</t>
  </si>
  <si>
    <t>Substituição do Reator de Linha Monofásico RT2 (04E2.B) 230 kV, 3,33MVAr, fase B, na SE SOBRAL II</t>
  </si>
  <si>
    <t>Substituição do Reator de Linha Monofásico RT2 (04E2.C) 230 kV, 3,33MVAr, fase C, na SE SOBRAL II</t>
  </si>
  <si>
    <t>TAP.2025.254</t>
  </si>
  <si>
    <t>Substituição do Reator de Linha Monofásico RT1 (04E1.B) 230 kV, 3,33MVAr, fase B, na SE SOBRAL II</t>
  </si>
  <si>
    <t>Substituição do Reator de Linha Monofásico RT1 (04E1.C) 230 kV, 3,33MVAr, fase C, na SE SOBRAL II</t>
  </si>
  <si>
    <t>Substituição do Reator de Linha Monofásico RT2 (04E2-A) 230 kV 3,33MVAr, fase A, na SE SOBRAL II</t>
  </si>
  <si>
    <t>Substituição do Reator de Linha Monofásico RT1 (04E1.A) 230 kV, 3,33MVAr, fase A, na SE SOBRAL II</t>
  </si>
  <si>
    <t>TAP.2025.240</t>
  </si>
  <si>
    <t>Substituição do Banco de Capacitor Derivação BC1 (SSBC201) 13,8kV, 3,6 MVAr, arranjo BS, na SE SORRISO</t>
  </si>
  <si>
    <t>Substituição do Para-Raio SSPR201 13,8kV, fase A, arranjo BS , associado ao BC1, na SE SORRISO</t>
  </si>
  <si>
    <t>Substituição do Para-Raio SSPR201 13,8kV, fase B, arranjo BS, associado BC1, na SE SORRISO</t>
  </si>
  <si>
    <t>Substituição do Para-Raio SSPR201 13,8kV, fase V, arranjo BS, associado BC1, na SE SORRISO</t>
  </si>
  <si>
    <t>Substituição da Seccionadora SSCA201 13,8kV, arranjo BS, associado ao BC1, na SE SORRISO</t>
  </si>
  <si>
    <t>Substituição da Seccionadora SSSC201 13,8kV, arranjo BS, associado ao BC1, na SE SORRISO</t>
  </si>
  <si>
    <t>Substituição da Seccionadora SSSC202 13,8kV, arranjo BS, associado ao BC1, na SE SORRISO</t>
  </si>
  <si>
    <t>Substituição do Transformador de Corrente SSTC201 13,8kV, fase A, arranjo BS, associado ao BC1, na SE SORRISO</t>
  </si>
  <si>
    <t>Substituição do Transformador de Corrente SSTC201 13,8kV, fase B, arranjo BS, associado ao BC1, na SE SORRISO</t>
  </si>
  <si>
    <t>Substituição do Transformador de Corrente SSTC201 13,8kV, fase V, arranjo BS, associado ao BC1, na SE SORRISO</t>
  </si>
  <si>
    <t>TAP.2025.241</t>
  </si>
  <si>
    <t>Substituição do Banco de Capacitor Derivação BC2 (SSBC202) 13,8kV, 3,6 MVAr, arranjo BS, na SE SORRISO</t>
  </si>
  <si>
    <t>Substituição do Para-Raio SSPR202 13,8kV, fase A, arranjo BS, associado ao BC2, na SE SORRISO</t>
  </si>
  <si>
    <t>Substituição do Para-Raio SSPR202 13,8kV, fase B, arranjo BS, associado ao BC2, na SE SORRISO</t>
  </si>
  <si>
    <t>Substituição do Para-Raio SSPR202 13,8kV, fase V, arranjo BS, associado ao BC2, na SE SORRISO</t>
  </si>
  <si>
    <t>Substituição da Seccionadora SSCA202 13,8kV, arranjo BS, associado ao BC2, na SE SORRISO</t>
  </si>
  <si>
    <t>Substituição da Seccionadora SSSC203 13,8kV, arranjo BS, associado ao BC2, na SE SORRISO</t>
  </si>
  <si>
    <t>Substituição da Seccionadora SSSC204 13,8kV, arranjo BS, associado ao BC2, na SE SORRISO</t>
  </si>
  <si>
    <t>Substituição do SPCS (SSSPRBC)13,8kV, associado aos BC1 e BC2, na SE SORRISO</t>
  </si>
  <si>
    <t>TAP.2025.345</t>
  </si>
  <si>
    <t>Substituição do Transformador Trifásico TR1 (TJTF6-01) 230/69kV, 30MVA, na SE TAPE DE JIRAU.</t>
  </si>
  <si>
    <t>Substituição do SPCS (TJSPRTF) 230kV, associado ao TR1 na SE TAPE DE JIRAU.</t>
  </si>
  <si>
    <t>TAP.2025.255</t>
  </si>
  <si>
    <t>Substituição do Reator de Linha Monofásico RTR1 (04ER.M) 230 kV, 3.33MVAr, fase reserva, na SE TERESINA</t>
  </si>
  <si>
    <t>TAP.2025.258</t>
  </si>
  <si>
    <t>Substituição do Reator de Linha Monofásico RT2 (04E2-A) 230 kV, 3.33MVAr, fase A, na SE TERESINA</t>
  </si>
  <si>
    <t>Substituição do Reator de Linha Monofásico RT1 (04E1-A) 230 kV, 3.33MVAr, fase A, na SE TERESINA</t>
  </si>
  <si>
    <t>Substituição do Reator de Linha Monofásico RT2 (04E2.B) 230 kV, 3,33MVAr, fase B, na SE TERESINA</t>
  </si>
  <si>
    <t>Substituição do Reator de Linha Monofásico RT1 (04E1.B) 230 kV, 3,33MVAr, fase B, na SE TERESINA</t>
  </si>
  <si>
    <t>Substituição do Reator de Linha Monofásico RT1 (04E1.C) 230 kV, 3,33MVAr, fase C, na SE TERESINA</t>
  </si>
  <si>
    <t>TAP.2025.375</t>
  </si>
  <si>
    <t>Subsituição  de Transformador Trifásico TR4 (04T4) 230/69 kV, 100 MVA, arranjo BD5, na SE TERESINA</t>
  </si>
  <si>
    <t>Subsituição de seccionadora (32T4-5) 69 kV, arranjo BPT, associado ao TR4, na SE TERESINA</t>
  </si>
  <si>
    <t>Subsituição de seccionadora (32T4-4) 69 kV, arranjo BPT, associado ao TR4, na SE TERESINA</t>
  </si>
  <si>
    <t>TAP.2025.361</t>
  </si>
  <si>
    <t>Substituição do Transformador de Corrente TC DJ844C 345kV, fase B, arranjo DJM, associado ao BC4, na SE TIJUCO PRETO</t>
  </si>
  <si>
    <t>Substituição do Transformador de Corrente TC DJ844C 345kV, fase C, arranjo DJM, associado ao BC4, na SE TIJUCO PRETO</t>
  </si>
  <si>
    <t>Substituição do Disjuntor DJ8554 345kV, arranjo DJM, associado ao BC4, na SE TIJUCO PRETO</t>
  </si>
  <si>
    <t>Substituição da Seccionadora SC8551 345kV, arranjo DJM, associada ao BC4, na SE TIJUCO PRETO</t>
  </si>
  <si>
    <t>Substituição da Seccionadora SC8553 345kV, arranjo DJM, associada ao BC4, na SE TIJUCO PRETO</t>
  </si>
  <si>
    <t>Substituição da Seccionadora SC8555 345kV, arranjo DJM, associada ao BC4, na SE TIJUCO PRETO</t>
  </si>
  <si>
    <t>Substituição da Seccionadora SC8531 345kV, arranjo DJM, associada à IB8534, na SE TIJUCO PRETO</t>
  </si>
  <si>
    <t>Substituição da Seccionadora SC8533 345kV, arranjo DJM, associada à IB8534, na SE TIJUCO PRETO</t>
  </si>
  <si>
    <t>TAP.2025.362</t>
  </si>
  <si>
    <t>Substituição do Banco de Capacitor Derivação BC5 345kV, 200Mvar, arranjo DJM, na SE TIJUCO PRETO</t>
  </si>
  <si>
    <t>Substituição da Seccionadora com lamina de terra (SC857C/SC850T) 345kV, arranjo DJM, associado ao BC5, na SE TIJUCO PRETO</t>
  </si>
  <si>
    <t>Substituição do Transformador de Corrente TC DJ854C 345kV, fase A, arranjo DJM, associado ao BC5, na SE TIJUCO PRETO</t>
  </si>
  <si>
    <t>Substituição do Transformador de Corrente TC DJ854C 345kV, fase B, arranjo DJM, associado ao BC5, na SE TIJUCO PRETO</t>
  </si>
  <si>
    <t>Substituição do Transformador de Corrente TC DJ854C 345kV, fase C, arranjo DJM, associado ao BC5, na SE TIJUCO PRETO</t>
  </si>
  <si>
    <t>TAP.2025.360</t>
  </si>
  <si>
    <t>Substituição do Banco de Capacitor Derivação BC2 345kV, 200Mvar, arranjo DJM, na SE TIJUCO PRETO</t>
  </si>
  <si>
    <t>TAP.2025.363</t>
  </si>
  <si>
    <t>Substituição do Banco de Capacitor Derivação BC6 345kV, 200Mvar, arranjo DJM, na SE TIJUCO PRETO</t>
  </si>
  <si>
    <t>Substituição da Seccionadora com lamina de terra (SC867C/SC860T) 345kV, arranjo DJM, associado ao BC6, na SE TIJUCO PRETO</t>
  </si>
  <si>
    <t>TAP.2025.364</t>
  </si>
  <si>
    <t>Substituição do Banco de Capacitor Derivação BC9 345kV, 200Mvar, arranjo DJM, na SE TIJUCO PRETO</t>
  </si>
  <si>
    <t>Substituição do Banco de Capacitor Derivação BC4 345kV, 200Mvar, arranjo DJM, na SE TIJUCO PRETO</t>
  </si>
  <si>
    <t>Substituição da Seccionadora com lamina de terra (SC897C/SC890T) 345kV, arranjo DJM, associado ao BC9, na SE TIJUCO PRETO</t>
  </si>
  <si>
    <t>TAP.2025.365</t>
  </si>
  <si>
    <t>Substituição do Banco de Capacitor Derivação BC10 345kV, 200Mvar, arranjo DJM, na SE TIJUCO PRETO.</t>
  </si>
  <si>
    <t>Substituição da Seccionadora com lamina de terra (SC807C/SC800T) 345kV, arranjo DJM, associado ao BC10, na SE TIJUCO PRETO.</t>
  </si>
  <si>
    <t>Substituição do Transformador de Corrente TC DJ804C 345kV, fase A, arranjo DJM, associado ao BC10, na SE TIJUCO PRETO.</t>
  </si>
  <si>
    <t>Substituição do Transformador de Corrente TC DJ804C 345kV, fase B, arranjo DJM, associado ao BC10, na SE TIJUCO PRETO</t>
  </si>
  <si>
    <t>Substituição do Transformador de Corrente TC DJ804C 345kV, fase C, arranjo DJM, associado ao BC10, na SE TIJUCO PRETO.</t>
  </si>
  <si>
    <t>Substituição da Seccionadora com lamina de terra (SC847C/SC840T) 345kV, arranjo DJM, associado ao BC4, na SE TIJUCO PRETO</t>
  </si>
  <si>
    <t>Substituição do Transformador de Corrente TC DJ844C 345kV, fase A, arranjo DJM, associado ao BC4, na SE TIJUCO PRETO</t>
  </si>
  <si>
    <t>Substituição dos sistemas de proteção 345 kV, associado ao BC2, na SE TIJUCO PRETO</t>
  </si>
  <si>
    <t>Substituição do registrador de perturbações digital 345 kV, associado ao BC2, na SE TIJUCO PRETO</t>
  </si>
  <si>
    <t>Substituição dos sistemas de proteção 345 kV, associado ao BC4, na SE TIJUCO PRETO</t>
  </si>
  <si>
    <t>Substituição do registrador de perturbações digital 345 kV, associado ao BC4, na SE TIJUCO PRETO</t>
  </si>
  <si>
    <t>Substituição dos sistemas de proteção  345 kV, associado ao BC5, na SE TIJUCO PRETO</t>
  </si>
  <si>
    <t>Substituição do registrador de perturbações digital 345 kV, associado ao BC5, na SE TIJUCO PRETO</t>
  </si>
  <si>
    <t>Substituição dos sistemas de proteção 345 kV, associado ao BC6, na SE TIJUCO PRETO</t>
  </si>
  <si>
    <t>Substituição do registrador de perturbações digital  345 kV,  associado ao BC6, na SE TIJUCO PRETO</t>
  </si>
  <si>
    <t>Substituição dos sistemas de proteção 345 kV, associado ao BC9, na SE TIJUCO PRETO</t>
  </si>
  <si>
    <t>Substituição do registrador de perturbações digital 345 kV, associado ao BC9, na SE TIJUCO PRETO</t>
  </si>
  <si>
    <t>Substituição dos sistemas de proteção 345kV, associado ao BC10, na SE TIJUCO PRETO.</t>
  </si>
  <si>
    <t>Substituição do registrador de perturbações digital 345kV, associado ao BC10, na SE TIJUCO PRETO.</t>
  </si>
  <si>
    <t>Substituição dos sistemas de proteção das barras BR8C1, BR8C2, BR8C3 e BR8C4 e da proteção dos disjuntores DJ824C, DJ834C, DJ844C, DJ854C, DJ864C, DJ874C, DJ884C, DJ894C e DJ804C na SE TIJUCO PRETO</t>
  </si>
  <si>
    <t>Substituição da UAC18 de supervisão 345KV, associado ao BC2 e BC3, na SE TIJUCO PRETO</t>
  </si>
  <si>
    <t>Substituição da UAC19 de supervisão 345KV, associado ao vão dos BC2 e BC3, na SE TIJUCO PRETO</t>
  </si>
  <si>
    <t>Substituição da UAC20 de supervisão 345KV, associado aos BC4 e BC5, na SE TIJUCO PRETO</t>
  </si>
  <si>
    <t>Substituição da UAC21 de supervisão 345kV, associado aos BC4 e BC5, na SE TIJUCO PRETO</t>
  </si>
  <si>
    <t>Substituição da UAC22 de supervisão  345KV, associado aos BC6, BC7 e BC8, na SE TIJUCO PRETO</t>
  </si>
  <si>
    <t>Substituição da UAC23 de supervisão  345KV,  associado aos BC6, BC7 e BC8, na SE TIJUCO PRETO</t>
  </si>
  <si>
    <t>Substituição da UAC24 de supervisão 345kV, associado ao vão dos BC9 e BC10, na SE TIJUCO PRETO.</t>
  </si>
  <si>
    <t>Substituição da UAC25 de supervisão 345kV, associado ao vão dos BC9 e BC10, na SE TIJUCO PRETO</t>
  </si>
  <si>
    <t>TAP.2025.344</t>
  </si>
  <si>
    <t>Substituição do Transformador Trifásico TR2 (TVTF4-02) 69/13,8KV, 10MVA, na SE TUCURUI VILA.</t>
  </si>
  <si>
    <t>Substituição do SPCS (TVSPRTF) 69KV, associado ao TR2, na SE TUCURUI VILA.</t>
  </si>
  <si>
    <t>Substituição de Para-Raios (TVPR401) 69KV, fase A, arranjo BS, associado ao TR2, na SE TUCURUI VILA.</t>
  </si>
  <si>
    <t>Substituição de Para-Raios (TVPR401) 69KV, fase B, arranjo BS, associado ao TR2, na SE TUCURUI VILA</t>
  </si>
  <si>
    <t>Substituição de Para-Raios (TVPR401) 69KV, fase V, arranjo BS, associado ao TR2, na SE TUCURUI VILA.</t>
  </si>
  <si>
    <t>Substituição da Seccionadora (TVST402 ) 69KV, arranjo BS, associado ao TR2, na SE TUCURUI VILA</t>
  </si>
  <si>
    <t>TAP.2025.343</t>
  </si>
  <si>
    <t>Substituição de Banco de Capacitor Derivação BC1 (TVBC2-02) 13,8kV, 3MVAr, arranjo BS, na SE TUCURUI VILA.</t>
  </si>
  <si>
    <t>Substituição da Seccionadora (TVCA2-02) 13,8kV, arranjo BS associado ao BC1, na SE TUCURUI VILA</t>
  </si>
  <si>
    <t>Substituição da Seccionadora (TVSC2-02) 13,8kV, arranjo BS, associado ao BC1, na SE TUCURUI VILA.</t>
  </si>
  <si>
    <t>Substituição da Seccionadora (TVSC2-12) 13,8kV, arranjo BS, associado ao BC1, na SE TUCURUI VILA.</t>
  </si>
  <si>
    <t>Substituição da Transformador de Corrente (TVTC2-01) 13,8kV, fase B, arranjo BS, associado ao BC1, na SE TUCURUI VILA.</t>
  </si>
  <si>
    <t>Substituição do SPCS (TVSPR01) 13,8kV, associado ao BC1, na SE TUCURUI VILA</t>
  </si>
  <si>
    <t>TAP.2025.286</t>
  </si>
  <si>
    <t>Substituição do Transformador Monofásico TRR1 (05TR) 500/230kV, 100MVA, na SE U.SOBRADINHO.</t>
  </si>
  <si>
    <t>Substituição do Transformador Monofásico TR4 (05T4.A) 500/230kV, 100MVA, fase A, na SE U.SOBRADINHO.</t>
  </si>
  <si>
    <t>Substituição do Transformador Monofásico TR4 (05T4.B) 500/230kV, 100MVA, fase B, na SE U.SOBRADINHO.</t>
  </si>
  <si>
    <t>Substituição do Transformador Monofásico TR4 (05T4.C) 500/230kV, 100MVA, fase C, na SE U.SOBRADINHO.</t>
  </si>
  <si>
    <t>Substituição da Seccionadora (35T4-7A) 500kV, arranjo DJM, associado ao TR4, na SE U.SOBRADINHO.</t>
  </si>
  <si>
    <t>Substituição da Seccionadora (34T4-1A) 230kV, arranjo BD5, associado ao TR4, na SE U.SOBRADINHO.</t>
  </si>
  <si>
    <t>Substituição do Disjuntor (11T4 ) 13,8kV, arranjo BS, associado ao TR4, na SE U.SOBRADINHO.</t>
  </si>
  <si>
    <t>Substituição da Seccionadora (34T4-5B) 230kV, arranjo BD5, associada ao TR4, na SE U.SOBRADINHO.</t>
  </si>
  <si>
    <t>Substituição da Seccionadora (34T4-2B) 230kV, arranjo BD5, associada ao TR4, na SE U.SOBRADINHO.</t>
  </si>
  <si>
    <t>Substituição do Disjuntor (14T4-A ) 230kV, arranjo BD5, associado ao TR4, na SE U.SOBRADINHO.</t>
  </si>
  <si>
    <t>Substituição do Disjuntor (14T4-B ) 230kV, arranjo BD5, associado ao TR4, na SE U.SOBRADINHO.</t>
  </si>
  <si>
    <t>Substituição da Seccionadora (34T4-5A) 230kV, arranjo BD5, associada ao TR4, na SE U.SOBRADINHO.</t>
  </si>
  <si>
    <t>Substituição da Seccionadora (34T4-2A) 230kV, arranjo BD5, associada ao TR4, na SE U.SOBRADINHO.</t>
  </si>
  <si>
    <t>Substituição da Seccionadora (34T4-1B) 230kV, arranjo BD5, associado ao TR4, na SE U.SOBRADINHO.</t>
  </si>
  <si>
    <t>Substituição da Seccionadora (34T4-7C) 230kV, arranjo BD5, associado ao TR4, na SE U.SOBRADINHO.</t>
  </si>
  <si>
    <t>Substituição da Seccionadora (34T4-7A) 230kV, arranjo BD5, associado ao TR4, na SE U.SOBRADINHO.</t>
  </si>
  <si>
    <t>TAP.2025.283</t>
  </si>
  <si>
    <t>Substituição do Reator de Linha Monofásico RT5 (05E5.A) 500kV, 33,3MVAr, fase A, na SE U.SOBRADINHO.</t>
  </si>
  <si>
    <t>Substituição do Reator de Linha Monofásico RT5 (05E5.B) 500kV, 33,3MVAr, fase B, na SE U.SOBRADINHO.</t>
  </si>
  <si>
    <t>Substituição do Reator de Linha Monofásico RT5 (05E5.C) 500kV, 33,3MVAr, fase C, na SE U.SOBRADINHO.</t>
  </si>
  <si>
    <t>Substituição do Reator de Aterramento RTN5 (02E5.N) 69kV, 0,23MVAr, na SE U.SOBRADINHO.</t>
  </si>
  <si>
    <t>TAP.2025.282</t>
  </si>
  <si>
    <t>Substituição do Reator de Linha Monofásico RT4 (05E4.A ) 500kV, 33,3MVAr, fase A, na SE U.SOBRADINHO.</t>
  </si>
  <si>
    <t>Substituição do Reator de Linha Monofásico RT4 (05E4.B ) 500kV, 33,3MVAr, fase B, na SE U.SOBRADINHO.</t>
  </si>
  <si>
    <t>Substituição do Reator de Linha Monofásico RT4 (05E4.C ) 500kV, 33,3MVAr, fase C, na SE U.SOBRADINHO.</t>
  </si>
  <si>
    <t>Substituição do Reator de Aterramento RTN4 (02E4.N) 69kV, 0,23MVAr, na SE U.SOBRADINHO.</t>
  </si>
  <si>
    <t>TAP.2025.281</t>
  </si>
  <si>
    <t>Substituição do Reator de Aterramento RTN3 (02E3.N) 69kV, 0,35MVAr, na SE U.SOBRADINHO.</t>
  </si>
  <si>
    <t>Substituição do SPCS 500 kV, associado ao RT3 na SE U.SOBRADINHO.</t>
  </si>
  <si>
    <t>Substituição do SPCS 500Kv, associado ao RT4 na SE U.SOBRADINHO.</t>
  </si>
  <si>
    <t>Substituição do SPCS 500kV, associado ao RT5, na SE U.SOBRADINHO.</t>
  </si>
  <si>
    <t>Substituição do SPCS 500Kv, associado ao TR4, na SE U.SOBRADINHO.</t>
  </si>
  <si>
    <t>Substituição do SPCS 230kV, associado ao TR4, na SE U.SOBRADINHO.</t>
  </si>
  <si>
    <t>Substituição do Reator de Linha Monofásico RT3 (05E3.A) 500kV, 50MVA, fase A, na SE U.SOBRADINHO.</t>
  </si>
  <si>
    <t>Substituição do Reator de Linha Monofásico RT3 (05E3.B) 500kV, 50MVA, fase B, na SE U.SOBRADINHO.</t>
  </si>
  <si>
    <t>Substituição do Reator de Linha Monofásico RT3 (05E3.C) 500kV, 50MVA, fase C, na SE U.SOBRADINHO.</t>
  </si>
  <si>
    <t>TAP.2025.347</t>
  </si>
  <si>
    <t>Substituição do Transformador Trifásico TR6 (04T6) 230/69/13,8kV, 33,34MVA na SE UB.ESPERANCA.</t>
  </si>
  <si>
    <t>TAP.2025.348</t>
  </si>
  <si>
    <t>Substituição do Transformador Trifásico TR7 (02T7) 69/13,8kV, 5MVA, na SE UB.ESPERANCA.</t>
  </si>
  <si>
    <t>Substituição de Para-raios (72T7.A) 69kV, fase A arranjo BS, associado ao TR7, na SE UB.ESPERANCA.</t>
  </si>
  <si>
    <t>Substituição de Para-raios (71T7) 13,8kV, arranjo BS, associado ao TR7, na SE UB.ESPERANCA.</t>
  </si>
  <si>
    <t>Substituição de Para-raios (72T7.B) 69kV, fase B, arranjo BS, associado ao TR7, na SE UB.ESPERANCA.</t>
  </si>
  <si>
    <t>Substituição de Para-raios (72T7.C) 69kV, fase C, arranjo BS, associado ao TR7, na SE UB.ESPERANCA.</t>
  </si>
  <si>
    <t>TAP.2025.242</t>
  </si>
  <si>
    <t>Substituição do Transformador Trifásico VCAT201 13,8/13,8kV, 41,8MVA, associado ao CS1, na SE VILA DO CONDE</t>
  </si>
  <si>
    <t>Substituição do Disjuntor VCDJ2-04 13,8kV, arranjo BS, associado ao  CS1, na SE VILA DO CONDE</t>
  </si>
  <si>
    <t>Substituição do Disjuntor VCDJ2-05 13,8kV, arranjo BS, associado ao  CS1, na SE VILA DO CONDE</t>
  </si>
  <si>
    <t>Substituição do Transformador de Corrente CS201-MC13-AT201-VCTC201 13,8kV, fase A, arranjo BS, associado ao  CS1, na SE VILA DO CONDE</t>
  </si>
  <si>
    <t>Substituição do Transformador de Corrente CS201-MC13-AT201-VCTC201 13,8kV, fase B, arranjo BS, associado ao CS1, na SE VILA DO CONDE</t>
  </si>
  <si>
    <t>Substituição do Transformador de Corrente CS201-MC13-AT201-VCTC201 13,8kV, fase V, arranjo BS, associado ao CS1, na SE VILA DO CONDE</t>
  </si>
  <si>
    <t>Substituição do Transformador de Corrente CS201-MC13-AT201-VCTC202 13,8kV, fase A, arranjo BS, associado ao CS1, na SE VILA DO CONDE</t>
  </si>
  <si>
    <t>Substituição do Transformador de Corrente CS201-MC13-AT201-VCTC202 13,8kV, fase B, arranjo BS, associado ao CS1, na SE VILA DO CONDE</t>
  </si>
  <si>
    <t>Substituição do Transformador de Corrente CS201-MC13-AT201-VCTC202 13,8kV, fase V, arranjo BS, associado ao CS1, na SE VILA DO CONDE</t>
  </si>
  <si>
    <t>Substituição do Transformador de Corrente CS201-MC13-AT201-VCTC203 13,8kV, fase A, arranjo BS, associado ao CS1, na SE VILA DO CONDE</t>
  </si>
  <si>
    <t>Substituição do Transformador de Corrente CS201-MC13-AT201-VCTC203 13,8kV, fase B, arranjo BS, associado ao CS1, na SE VILA DO CONDE</t>
  </si>
  <si>
    <t>Substituição do Transformador de Corrente CS201-MC13-AT201-VCTC203 13,8kV, fase V, arranjo BS, associado ao CS1, na SE VILA DO CONDE</t>
  </si>
  <si>
    <t>TAP.2025.244</t>
  </si>
  <si>
    <t>Substituição do SPCS VCSPRTF 230kV, associado ao TF1, na SE VILA DO CONDE</t>
  </si>
  <si>
    <t>Substituição do Seccionadora VCCA6-14 230kV, arranjo DJM, associada ao TF1, na SE VILA DO CONDE</t>
  </si>
  <si>
    <t>Substituição do Seccionadora VCST6-04 230kV, arranjo DJM, associada ao TF1, na SE VILA DO CONDE</t>
  </si>
  <si>
    <t>Substituição do Disjuntor VCDJ6-25 230kV, arranjo DJM, associado ao TF1, na SE VILA DO CONDE</t>
  </si>
  <si>
    <t>Substituição do Seccionadora VCSD6-49 230kV, arranjo DJM, associada ao TF1, na SE VILA DO CONDE</t>
  </si>
  <si>
    <t>Substituição do Seccionadora VCSD6-50  230kV, arranjo DJM, associada ao TF1, na SE VILA DO CONDE</t>
  </si>
  <si>
    <t>Substituição do Transformador de Corrente CS201-MC230-VCTC601 230kV, fase A, arranjo DJM, associado ao TF1, na SE VILA DO CONDE</t>
  </si>
  <si>
    <t>Substituição do Transformador de Corrente CS201-MC230-VCTC601 230kV, fase B, arranjo DJM, associado ao TF1, na SE VILA DO CONDE</t>
  </si>
  <si>
    <t>Substituição do Transformador de Corrente CS201-MC230-VCTC601 230kV, fase V, arranjo DJM, associado ao TF1, na SE VILA DO CONDE</t>
  </si>
  <si>
    <t>TAP.2025.243</t>
  </si>
  <si>
    <t>Substituição do Transformador Trifásico VCTF201 13,8/0,44kV, 0,4MVA, associado ao CS1, na SE VILA DO CONDE</t>
  </si>
  <si>
    <t>Substituição do Disjuntor VCDJ203 13,8kV, arranjo BS, associado ao TF201, na SE VILA DO CONDE</t>
  </si>
  <si>
    <t>Substituição do Reator Limitador de Corrente Monofásico VCRL202 13,8kV, 0,69 MVAr, fase A, associado ao TF201, na SE VILA DO CONDE</t>
  </si>
  <si>
    <t>Substituição do Reator Limitador de Corrente Monofásico VCRL202 13,8kV, 0,69 MVAr, fase B, associado ao TF201, na SE VILA DO CONDE</t>
  </si>
  <si>
    <t>Substituição do Reator Limitador de Corrente Monofásico VCRL202 13,8kV, 0,69 MVAr, fase V, associado ao TF201, na SE VILA DO CONDE</t>
  </si>
  <si>
    <t>Substituição do Transformador de Corrente CS201-MC13-TF201-VCTC201 13,8kV, fase A, arranjo BS, associado ao TF201, na SE VILA DO CONDE</t>
  </si>
  <si>
    <t>Substituição do Transformador de Corrente CS201-MC13-TF201-VCTC201 13,8kV, fase B, arranjo BS, associado ao TF201, na SE VILA DO CONDE</t>
  </si>
  <si>
    <t>Substituição do Transformador de Corrente CS201-MC13-TF201-VCTC201 13,8kV, fase V, arranjo BS, associado ao TF201, na SE VILA DO CONDE</t>
  </si>
  <si>
    <t>Substituição do Transformador de Corrente CS201-MC13-TF201-VCTC202 13,8kV, fase A, arranjo BS, associado ao TF201, na SE VILA DO CONDE</t>
  </si>
  <si>
    <t>Substituição do Transformador de Corrente CS201-MC13-TF201-VCTC202 13,8kV, fase B, arranjo BS, associado ao TF201, na SE VILA DO CONDE</t>
  </si>
  <si>
    <t>Substituição do Transformador de Corrente CS201-MC13-TF201-VCTC202 13,8kV, fase V, arranjo BS, associado ao TF201, na SE VILA DO CONDE</t>
  </si>
  <si>
    <t>TAP.2025.245</t>
  </si>
  <si>
    <t>Substituição do SPCS VCSPRTF 230kV, associado ao TF2, na SE VILA DO CONDE</t>
  </si>
  <si>
    <t>Substituição do Disjuntor VCDJ6-28 230kV, arranjo DJM, associado ao TF2, na SE VILA DO CONDE</t>
  </si>
  <si>
    <t>Substituição do Transformador de Corrente CS202-MC230-VCTC601 230kV, fase A, arranjo DJM, associado ao TF2, na SE VILA DO CONDE</t>
  </si>
  <si>
    <t>Substituição do Transformador de Corrente CS202-MC230-VCTC601 230kV, fase B, arranjo DJM, associado ao TF2, na SE VILA DO CONDE</t>
  </si>
  <si>
    <t>Substituição do Transformador de Corrente CS202-MC230-VCTC601 230kV, fase V, arranjo DJM, associado ao TF2, na SE VILA DO CONDE</t>
  </si>
  <si>
    <t>TAP.2025.367</t>
  </si>
  <si>
    <t>Substituição do Disjuntor VCDJ2-12 13,8kV, arranjo BS, associado ao  CS2, na SE VILA DO CONDE.</t>
  </si>
  <si>
    <t>Substituição do Seccionadora VCSS2-02 13,8kV, arranjo BS, associado ao CS2, na SE VILA DO CONDE.</t>
  </si>
  <si>
    <t>Substituição do Transformador VCTF2-06 B 13,8/0,514kV, 0,79MVA,  associado ao CS2, na SE VILA DO CONDE.</t>
  </si>
  <si>
    <t>Substituição do Transformador  VCTF2-06 V 13,8/0,514kV, 0,79MVA, associado ao CS2, na SE VILA DO CONDE.</t>
  </si>
  <si>
    <t>TAP.2025.246</t>
  </si>
  <si>
    <t>Substituição do Banco de Capacitor Derivação BC3 (VNBC603) 230kV, 116MVAr,  arranjo BD4, na SE VILHENA</t>
  </si>
  <si>
    <t>Substituição do SPCS VNSPR01 230kV, associado ao BC3, na SE VILHENA</t>
  </si>
  <si>
    <t>TAP.2025.316</t>
  </si>
  <si>
    <t>Substituição do Banco de Capacitor Derivação BC1 230kV, 100MVAr, arranjo BPT, na SE XANXERE ESU.</t>
  </si>
  <si>
    <t>Substituição do Reator Limitador de Corrente Monofásico RLC1-A 230kV, 0,12MVAr, fase A, na SE XANXERÊ.</t>
  </si>
  <si>
    <t>Substituição do Reator Limitador de Corrente Monofásico RLC1-B 230kV, 0,12MVAr, fase B, na SE XANXERÊ.</t>
  </si>
  <si>
    <t>Substituição do Reator Limitador de Corrente Monofásico RLC1-C 230kV, 0,12MVAr, fase C, na SE XANXERÊ.</t>
  </si>
  <si>
    <t>TAP.2025.387</t>
  </si>
  <si>
    <t>Substituição do sistema de controle e supervisão (com unidade redundante) da LT 230kV Passo Fundo - Xanxerê C1, e dos cabos de controle e potência associados, na SE XANXERE ESU.</t>
  </si>
  <si>
    <t>Substituição do sistema de controle e supervisão (com unidade redundante) da LT 230kV Passo Fundo - Xanxerê C2, e dos cabos de controle e potência associados, na SE XANXERE ESU.</t>
  </si>
  <si>
    <t>TAP.2024.135 - 057/2001</t>
  </si>
  <si>
    <t>AREIA</t>
  </si>
  <si>
    <t>TAP.2025.322 - 057/2001</t>
  </si>
  <si>
    <t>ATLANTIDA 2</t>
  </si>
  <si>
    <t>TAP.2023.007 - 062/2001</t>
  </si>
  <si>
    <t>B. FLUMINENSE</t>
  </si>
  <si>
    <t>TAP.2023.060 - 061/2001</t>
  </si>
  <si>
    <t>B.JESUS LAPA</t>
  </si>
  <si>
    <t>TAP.2023.086 - 062/2001</t>
  </si>
  <si>
    <t>BANDEIRANTES</t>
  </si>
  <si>
    <t>TAP.2025.378 - 061/2001</t>
  </si>
  <si>
    <t>BARREIRAS</t>
  </si>
  <si>
    <t>TAP.2023.087 - 062/2001</t>
  </si>
  <si>
    <t>BARRO ALTO</t>
  </si>
  <si>
    <t>TAP.2023.110 - 057/2001</t>
  </si>
  <si>
    <t>BLUMENAU</t>
  </si>
  <si>
    <t>TAP.2024.097 - 061/2001</t>
  </si>
  <si>
    <t>BONGI</t>
  </si>
  <si>
    <t>TAP.2025.394 - 061/2001</t>
  </si>
  <si>
    <t>TAP.2025.395 - 061/2001</t>
  </si>
  <si>
    <t>TAP.2023.027 - 058/2001</t>
  </si>
  <si>
    <t>C. MAGALHAES</t>
  </si>
  <si>
    <t>TAP.2023.040 - 062/2001</t>
  </si>
  <si>
    <t>CAMPINAS</t>
  </si>
  <si>
    <t>TAP.2023.001 - 062/2001</t>
  </si>
  <si>
    <t>TAP.2025.379 - 061/2001</t>
  </si>
  <si>
    <t>CATU</t>
  </si>
  <si>
    <t>TAP.2025.404 - 058/2001</t>
  </si>
  <si>
    <t>CAXIAS II</t>
  </si>
  <si>
    <t>TAP.2024.067 - 057/2001</t>
  </si>
  <si>
    <t>CAXIAS SUL 5</t>
  </si>
  <si>
    <t>TAP.2025.397 - 058/2001</t>
  </si>
  <si>
    <t>COELHO NETO</t>
  </si>
  <si>
    <t>TAP.2025.398 - 058/2001</t>
  </si>
  <si>
    <t>TAP.2023.012 - 057/2001</t>
  </si>
  <si>
    <t>DOURADOS</t>
  </si>
  <si>
    <t>TAP.2023.112 - 057/2001</t>
  </si>
  <si>
    <t>TAP.2025.380 - 061/2001</t>
  </si>
  <si>
    <t>EUNAPOLIS</t>
  </si>
  <si>
    <t>TAP.2024.166 - 061/2001</t>
  </si>
  <si>
    <t>TAP.2025.408 - 062/2001</t>
  </si>
  <si>
    <t>GUARULHOS</t>
  </si>
  <si>
    <t>TAP.2023.006 - 062/2001</t>
  </si>
  <si>
    <t>TAP.2024.171 - 061/2001</t>
  </si>
  <si>
    <t>IBICOARA</t>
  </si>
  <si>
    <t>TAP.2023.004 - 062/2001</t>
  </si>
  <si>
    <t>IBIUNA</t>
  </si>
  <si>
    <t>TAP.2024.165 - 061/2001</t>
  </si>
  <si>
    <t>IMPERATRIZ</t>
  </si>
  <si>
    <t>TAP.2025.341 - 061/2001</t>
  </si>
  <si>
    <t>IRECE</t>
  </si>
  <si>
    <t>TAP.2023.070 - 061/2001</t>
  </si>
  <si>
    <t>TAP.2023.077 - 061/2001</t>
  </si>
  <si>
    <t>ITABAIANA</t>
  </si>
  <si>
    <t>TAP.2024.015 - 062/2001</t>
  </si>
  <si>
    <t>IVAIPORA FUR</t>
  </si>
  <si>
    <t>TAP.2023.046 - 062/2001</t>
  </si>
  <si>
    <t>TAP.2023.073 - 058/2001</t>
  </si>
  <si>
    <t>JI-PARANA</t>
  </si>
  <si>
    <t>TAP.2023.002 - 057/2001</t>
  </si>
  <si>
    <t>LONDRINA ESU</t>
  </si>
  <si>
    <t>TAP.2024.098 - 061/2001</t>
  </si>
  <si>
    <t>LT 500 kV MILAGRES II /MILAGRES CE</t>
  </si>
  <si>
    <t>TAP.2025.019 - 061/2001</t>
  </si>
  <si>
    <t>MIRUEIRA</t>
  </si>
  <si>
    <t>TAP.2025.020 - 061/2001</t>
  </si>
  <si>
    <t>TAP.2025.011 - 061/2001</t>
  </si>
  <si>
    <t>TAP.2025.405 - 062/2001</t>
  </si>
  <si>
    <t>NIQUELANDIA</t>
  </si>
  <si>
    <t>TAP.2024.009 - 061/2001</t>
  </si>
  <si>
    <t>PIRAPAMA II</t>
  </si>
  <si>
    <t>TAP.2025.013 - 062/2001</t>
  </si>
  <si>
    <t>POCOS CALDAS</t>
  </si>
  <si>
    <t>TAP.2023.003 - 058/2001</t>
  </si>
  <si>
    <t>PORTO FRANCO</t>
  </si>
  <si>
    <t>TAP.2023.005 - 062/2001</t>
  </si>
  <si>
    <t>RESENDE</t>
  </si>
  <si>
    <t>TAP.2025.003 - 058/2001</t>
  </si>
  <si>
    <t>RONDONOPOLIS</t>
  </si>
  <si>
    <t>TAP.2025.381 - 061/2001</t>
  </si>
  <si>
    <t>SANTA CRUZ II</t>
  </si>
  <si>
    <t>TAP.2024.026 - 062/2001</t>
  </si>
  <si>
    <t>SAO JOSE</t>
  </si>
  <si>
    <t>TAP.2024.178 - 061/2001</t>
  </si>
  <si>
    <t>SAO LUIS I</t>
  </si>
  <si>
    <t>TAP.2024.057 - 061/2001</t>
  </si>
  <si>
    <t>SAO LUIS II</t>
  </si>
  <si>
    <t>TAP.2023.026 - 061/2001</t>
  </si>
  <si>
    <t>TAP.2025.021 - 061/2001</t>
  </si>
  <si>
    <t>SAPEACU</t>
  </si>
  <si>
    <t>TAP.2023.011 - 057/2001</t>
  </si>
  <si>
    <t>SIDEROPOL.ESU</t>
  </si>
  <si>
    <t>TAP.2025.029 - 058/2001</t>
  </si>
  <si>
    <t>SORRISO</t>
  </si>
  <si>
    <t>TAP.2025.382 - 061/2001</t>
  </si>
  <si>
    <t>TACAIMBO</t>
  </si>
  <si>
    <t>TAP.2025.400 - 061/2001</t>
  </si>
  <si>
    <t>TEIX. FREITAS II</t>
  </si>
  <si>
    <t>TAP.2025.401 - 058/2001</t>
  </si>
  <si>
    <t>VARZEA GRANDE</t>
  </si>
  <si>
    <t>TAP.2023.016 - 062/2001</t>
  </si>
  <si>
    <t>VITORIA</t>
  </si>
  <si>
    <t>TAP.2025.403 - 061/2001</t>
  </si>
  <si>
    <t>ZEBU II</t>
  </si>
  <si>
    <t>NPR0006 - 058/2001</t>
  </si>
  <si>
    <t>Substituição de RDP (Atendimento aos procedimento de Rede)</t>
  </si>
  <si>
    <t>NPR0001 - 058/2001</t>
  </si>
  <si>
    <t>Instalação do Reator de neutro e equipamento Complementares</t>
  </si>
  <si>
    <t>NPR0005 - 058/2001</t>
  </si>
  <si>
    <t>Instalação de SPCS 500 kV no Sistema Maranhão</t>
  </si>
  <si>
    <t>NPR0002 - 058/2001</t>
  </si>
  <si>
    <t>Instalação de secionador  de 500 kV no Sistema Maranhão</t>
  </si>
  <si>
    <t>NPR0003 - 058/2001</t>
  </si>
  <si>
    <t>Instalação de secionador  de 69 kV no Sistema Maranhão</t>
  </si>
  <si>
    <t>NPR0004 - 058/2001</t>
  </si>
  <si>
    <t>Instalação de Para-raios de 500KV no Sistema Maranhão</t>
  </si>
  <si>
    <t>NPR0007 - 058/2001</t>
  </si>
  <si>
    <t>Instalação de Grupo Gerador Diesel</t>
  </si>
  <si>
    <t>NPR0008 - 012/2009</t>
  </si>
  <si>
    <t>Operação BTB Stand Alone com UHE Jirau</t>
  </si>
  <si>
    <t>NPR0009 - 012/2009</t>
  </si>
  <si>
    <t>Operação Conjunta do BTB com UHE Jirau e UHE Santo Antonio</t>
  </si>
  <si>
    <t>NPR0010 - 012/2009</t>
  </si>
  <si>
    <t>Operação Paralela do BTB com o TF13</t>
  </si>
  <si>
    <t>NPR0011 - 012/2009</t>
  </si>
  <si>
    <t>Configuração Y na SE Coletora Porto Velho</t>
  </si>
  <si>
    <t>NPR0012 - 012/2009</t>
  </si>
  <si>
    <t>Automatismo do Modo Isolado do BTB</t>
  </si>
  <si>
    <t>NPR0013 - 058/2001</t>
  </si>
  <si>
    <t>Adequação do Serviço auxiliar 13,8kV para atendimento ao procedimento de rede</t>
  </si>
  <si>
    <t>CP00084 - 061/2001</t>
  </si>
  <si>
    <t>Adequação NBR 13.231</t>
  </si>
  <si>
    <t>CP00085 - 061/2001</t>
  </si>
  <si>
    <t>Implantação da 2ª fonte de SAUX</t>
  </si>
  <si>
    <t>CP00086 - 061/2001</t>
  </si>
  <si>
    <t>PDIG Reforço</t>
  </si>
  <si>
    <t>CP00089 - 061/2001</t>
  </si>
  <si>
    <t>RDP Reforço</t>
  </si>
  <si>
    <t>CP00087 - 061/2001</t>
  </si>
  <si>
    <t>Projeto de instalação do bay de 69 kV no 02T5 SE SJI</t>
  </si>
  <si>
    <t>CP00088 - 061/2001</t>
  </si>
  <si>
    <t>Implantação Chaves Secionadoras monopolares para Automatização de Transferência do Reator Reserva</t>
  </si>
  <si>
    <t>CP00090 - 061/2001</t>
  </si>
  <si>
    <t>Substituição de Reator de Aterramento</t>
  </si>
  <si>
    <t>CP00090 - 020/2010</t>
  </si>
  <si>
    <t>CP00090 - 019/2010</t>
  </si>
  <si>
    <t>CP00091 - 061/2001</t>
  </si>
  <si>
    <t>RDPs Compensadores - Adequação aos PR do ONS [Reforço]</t>
  </si>
  <si>
    <t>CP00092 - 061/2001</t>
  </si>
  <si>
    <t>RDPs Transformadores e Reatores - Adequação aos PR do ONS [Reforço]</t>
  </si>
  <si>
    <t>CP00098 - 061/2001</t>
  </si>
  <si>
    <t>PDIG LOTE 3D</t>
  </si>
  <si>
    <t>CP00099 - 061/2001</t>
  </si>
  <si>
    <t>PDIG LOTE 5</t>
  </si>
  <si>
    <t>CP00094 - 061/2001</t>
  </si>
  <si>
    <t>SEP SNB E CFO</t>
  </si>
  <si>
    <t>CP00095 - 019/2010</t>
  </si>
  <si>
    <t>REESTRUTURAÇÃO DA REDE DE PROCESSO</t>
  </si>
  <si>
    <t>CP00101 - 061/2001</t>
  </si>
  <si>
    <t>CABOS OPGW LOTE 2 - REFORÇO</t>
  </si>
  <si>
    <t>CP00102 - 061/2001</t>
  </si>
  <si>
    <t>NOVOS SDH FASE 2 - REFORÇO</t>
  </si>
  <si>
    <t>CP00100 - 061/2001</t>
  </si>
  <si>
    <t>NOVOS SDH FASE 4 - REFORÇO</t>
  </si>
  <si>
    <t>CP00096 - 061/2001</t>
  </si>
  <si>
    <t>PDIG LOTE 3C</t>
  </si>
  <si>
    <t>CP00097 - 061/2001</t>
  </si>
  <si>
    <t>PDIG LOTE 3B</t>
  </si>
  <si>
    <t>CP00097 - 008/2005</t>
  </si>
  <si>
    <t>CP00093 - 061/2001</t>
  </si>
  <si>
    <t>PDIG LOTE 3A</t>
  </si>
  <si>
    <t>CP00100 - 004/2010</t>
  </si>
  <si>
    <t>CP00103 - 061/2001</t>
  </si>
  <si>
    <t>CABOS OPGW LOTE 3 - REFORÇO</t>
  </si>
  <si>
    <t>CP00103 - 007/2005</t>
  </si>
  <si>
    <t>SP00039 - 007/2014</t>
  </si>
  <si>
    <t xml:space="preserve">SE DIVERSAS -  Proteção diferencial de barras Unidade de Bay Principal e Alternada - SE's CPFL </t>
  </si>
  <si>
    <t>SP00039 - 004/2008</t>
  </si>
  <si>
    <t>SP00039 - 057/2001</t>
  </si>
  <si>
    <t>SP00040 - 057/2001</t>
  </si>
  <si>
    <t xml:space="preserve">SE CAMPOS NOVOS - Substituição de Equipamentos </t>
  </si>
  <si>
    <t>SP00041 - 057/2001</t>
  </si>
  <si>
    <t xml:space="preserve">SE Biguaçu - Substituição de Equipamentos </t>
  </si>
  <si>
    <t>FP00092 - 062/2001</t>
  </si>
  <si>
    <t>SE Adrianopolis - RPP 2025</t>
  </si>
  <si>
    <t>FP00094 - 062/2001</t>
  </si>
  <si>
    <t>SE Rocha Leão - RPP 2025</t>
  </si>
  <si>
    <t>FP00095 - 062/2001</t>
  </si>
  <si>
    <t>SE BRASÍLIA SUL</t>
  </si>
  <si>
    <t>FP00096 - 062/2001</t>
  </si>
  <si>
    <t>SE Angra - RPP 2025</t>
  </si>
  <si>
    <t>FP00097 - 062/2001</t>
  </si>
  <si>
    <t>SE Angra - MPP 2025</t>
  </si>
  <si>
    <t>FP00093 - 062/2001</t>
  </si>
  <si>
    <t>SEP 345kV AD-RN - RPP 2025</t>
  </si>
  <si>
    <t>FP00098 - 062/2001</t>
  </si>
  <si>
    <t>SE Santa Cruz - SAUX RPP 2025</t>
  </si>
  <si>
    <t>FP00099 - 062/2001</t>
  </si>
  <si>
    <t>SE Guarulhos - RPP 2025</t>
  </si>
  <si>
    <t>FP00101 - 062/2001</t>
  </si>
  <si>
    <t>Instalação de OPGW - SP/MG - RPP 2025</t>
  </si>
  <si>
    <t>FP00100 - 062/2001</t>
  </si>
  <si>
    <t>Instalação de OPGW - RJ/ES - RPP 2025</t>
  </si>
  <si>
    <t>FP00005A - 062/2001</t>
  </si>
  <si>
    <t>SE São José - Substituição de diversos equipamentos por superação do 138kV - complemento</t>
  </si>
  <si>
    <t>FP00026 - 062/2001</t>
  </si>
  <si>
    <t>Gurupi - Teleassistência (Complementação)</t>
  </si>
  <si>
    <t>TAP.2025.414 - 058/2001</t>
  </si>
  <si>
    <t>ABUNÃ</t>
  </si>
  <si>
    <t>TAP.2025.415 - 058/2001</t>
  </si>
  <si>
    <t>RIO BRANCO 1</t>
  </si>
  <si>
    <t>Agente</t>
  </si>
  <si>
    <t>Região</t>
  </si>
  <si>
    <t>Tipo Equipamento</t>
  </si>
  <si>
    <t>kV</t>
  </si>
  <si>
    <t>Revitalização Necessária</t>
  </si>
  <si>
    <t>Função Transmissão</t>
  </si>
  <si>
    <t>Situação da Análise</t>
  </si>
  <si>
    <t>Número SGPMR</t>
  </si>
  <si>
    <t>Status da Obra</t>
  </si>
  <si>
    <t>Código Identificação</t>
  </si>
  <si>
    <t>Razão Principal Superação</t>
  </si>
  <si>
    <t>Data de Entrada em Operação</t>
  </si>
  <si>
    <t>LT LUIZ GONZAGA / OLINDINA (05S4) - 500</t>
  </si>
  <si>
    <t>NORTE/NORDESTE</t>
  </si>
  <si>
    <t/>
  </si>
  <si>
    <t>Substituição de 2 Cabos Para-raios do vão - (05S4). Novos cabos: Dotterel e EHS 3/8". Capacidade do novo equipamento: Novos cabos: Dotterel e EHS 3/8".</t>
  </si>
  <si>
    <t>LT 500 kV OLINDINA /US. L.GONZAGA C-1 BA/PE</t>
  </si>
  <si>
    <t>Concluída</t>
  </si>
  <si>
    <t>0000430/2016</t>
  </si>
  <si>
    <t>Em Andamento</t>
  </si>
  <si>
    <t>05S4</t>
  </si>
  <si>
    <t>Corrente de Curto-Circuito simétrica</t>
  </si>
  <si>
    <t>MOXOTO</t>
  </si>
  <si>
    <t>13,8</t>
  </si>
  <si>
    <t>Superação das secionadoras: - 31Y3-4 - 31Y3-5</t>
  </si>
  <si>
    <t>Não Informada</t>
  </si>
  <si>
    <t>0000111/2011</t>
  </si>
  <si>
    <t>Não Iniciada</t>
  </si>
  <si>
    <t>Corrente Nominal</t>
  </si>
  <si>
    <t>LT 500 kV ANGRA FUR /NOVA IGUACU C-1 RJ - 500</t>
  </si>
  <si>
    <t>SUDESTE/CENTRO-OESTE</t>
  </si>
  <si>
    <t>Substituição de um cabo 3/8’’ EAR por um CAA COCHIN saindo de Angra até a estrutura T.00042, totalizando 17,20 km de extensão, e entre as estruturas T.00171 (a 75 km de Angra) e T.00243, totalizando 28,32 km de extensão.</t>
  </si>
  <si>
    <t>0005026/2018</t>
  </si>
  <si>
    <t>LT 500 kV Angra - Nova Iguaçu</t>
  </si>
  <si>
    <t>LT 500 kV NOVA IGUACU /SAO JOSE C-1 RJ - 500</t>
  </si>
  <si>
    <t>Acréscimo de um cabo COCHIN entre a saída de São José e a estrutura T.2112 (19,69 km), de dois cabos COCHIN entre as estruturas T.2112 e T.2105 (2 x 3,02 km) e de um cabo COCHIN entre as estruturas T.2105 e T.2102 (0,5 km), totalizando 26,23 km de extensão..</t>
  </si>
  <si>
    <t>0005047/2018</t>
  </si>
  <si>
    <t>LT 500 kV São José - Nova Iguaçu</t>
  </si>
  <si>
    <t>LT 500 kV ZONA OESTE /NOVA IGUACU C-1 RJ - 500</t>
  </si>
  <si>
    <t>Substituição de um cabo 3/8’’ EAR por um CAA COCHIN entre as estruturas T.016 (a 4,16 km de Angra) e T.0233, totalizando 19,57 km de extensão.</t>
  </si>
  <si>
    <t>0005049/2018</t>
  </si>
  <si>
    <t>LT 500 kV Zona Oeste - Nova Iguaçu</t>
  </si>
  <si>
    <t>LT 500 kV NOVA IGUACU /GRAJAU C-1 RJ - 500</t>
  </si>
  <si>
    <t>Substituição de um cabo 3/8’’ EAR por um CAA COCHIN saindo de Grajaú até a estrutura T.3028, totalizando 42,58 km de extensão, e por dois cabos CAA COCHIN entre as estruturas T.3028 e T.3021, totalizando 2 x 2,94 km de extensão..</t>
  </si>
  <si>
    <t>0005050/2018</t>
  </si>
  <si>
    <t>LT 500 kV Grajaú - Nova Iguaçu</t>
  </si>
  <si>
    <t>LT 500 kV ADRIANOPOLIS /SAO JOSE C-1 RJ - 500</t>
  </si>
  <si>
    <t>Substituição de um cabo 3/8’’ EAR por um CAA COCHIN entre as estruturas T.0016 (a 7,17 km de Adrianópolis) e T.3021, totalizando 2,13 km de extensão, substituição de um cabo OPGW3 por um CAA COCHIN entre as estruturas T.0020 (a 8,72 km de Adrianópolis) e T.3021, totalizando 0,58 km de extensão, e adição de um cabo 3/8’’ EAR a partir da SE Adrianópolis até a T.0020, totalizando 8,72 km de extensão.</t>
  </si>
  <si>
    <t>0005051/2018</t>
  </si>
  <si>
    <t>LT 500 kV Adrianópolis - São José</t>
  </si>
  <si>
    <t>LT 345 kV ADRIANOPOLIS /JACAREPAGUA C-2 RJ - 345</t>
  </si>
  <si>
    <t>Substituição de um cabo 3/8’’ EAR por um cabo CAA DOTTEREL em uma extensão de 23,4 km, no trecho entre a SE Jacarepaguá e a torre 38.</t>
  </si>
  <si>
    <t>0005054/2018</t>
  </si>
  <si>
    <t>LT 345 kV Jacarepaguá – Nova Iguaçu</t>
  </si>
  <si>
    <t>Substituição de um cabo 3/8’’ EAR por um cabo CAA DOTTEREL em uma extensão de 14,7 km, no trecho entre a SE Adrianópolis e a torre 38.</t>
  </si>
  <si>
    <t>0005055/2018</t>
  </si>
  <si>
    <t>LT 345 kV Adrianópolis – Nova Iguaçu</t>
  </si>
  <si>
    <t>LT 500 kV CAMPINAS/FERNÃO DIAS SP - 500</t>
  </si>
  <si>
    <t>Substituição de dois cabos 3/8’’ EAR por dois cabos CAA DOTTEREL em um trecho de LT de 13 km a partir do ponto de seccionamento em direção a Campinas totalizando 26 km.</t>
  </si>
  <si>
    <t>0005056/2018</t>
  </si>
  <si>
    <t>LT 500 kV Campinas – Fernão Dias</t>
  </si>
  <si>
    <t>LT 500 kV CACHOEIRA PAULISTA /FERNAO DIAS SP - 500</t>
  </si>
  <si>
    <t>Substituição de dois cabos 3/8’’ EAR por dois cabos CAA DOTTEREL em um trecho de LT de 13 km a partir do ponto de seccionamento em direção a Cachoeira Paulista totalizando 26 km.</t>
  </si>
  <si>
    <t>0005057/2018</t>
  </si>
  <si>
    <t>LT 500 kV Cachoeira Paulista – Fernão Dias</t>
  </si>
  <si>
    <t>SUB C.GRANDE II - 230</t>
  </si>
  <si>
    <t>Subtituição de 1 secionadora com chave de terra do vão EL COTEMINAS (34C3-5).</t>
  </si>
  <si>
    <t>0000110/2013</t>
  </si>
  <si>
    <t>34C3-5</t>
  </si>
  <si>
    <t>LT 345 kV CAMPOS /RIO NOVO DO SUL C-1 RJ/ES - 345</t>
  </si>
  <si>
    <t>Substituição dos 2 (dois) cabos para-raios tipo aço 3/8" por cabo CAA Dotterel, em 10 km sequenciais na LT 345 kV Campos – Rio Novo do Sul C1,  a partir de 1,35 km da SE Rio Novo do Sul, no ponto de seccionamento da antiga LT 345 kV Campos – Vitória para a entrada da SE Rio Novo do Sul.</t>
  </si>
  <si>
    <t>LT 345 kV CAMPOS /RIO NOVO DO SUL C-1 RJ/ES</t>
  </si>
  <si>
    <t>0005099/2018</t>
  </si>
  <si>
    <t>LT 345 kV Campos - Rio Novo do Sul C1</t>
  </si>
  <si>
    <t>ANGELIM</t>
  </si>
  <si>
    <t>230</t>
  </si>
  <si>
    <t>Substituição de 1 Disjuntor do vão 04L1 - Paulo Afonso C1 (DJ 14L1) ._x000D_
Capacidade do novo equipamento: Capacidade nominal de curto-circuito (kA): &gt; 40 kA, Capacidade nominal de corrente (A): , Outras: .</t>
  </si>
  <si>
    <t>LT  230 kV ANGELIM      /P.AFONSO   C-1 PE/PB</t>
  </si>
  <si>
    <t>0001188/2017</t>
  </si>
  <si>
    <t>DJ 14L1</t>
  </si>
  <si>
    <t>Substituição de 1 Disjuntor do vão 04M4 - Tacaimbó C1 (DJ 14M4) ._x000D_
Capacidade do novo equipamento: Capacidade nominal de curto-circuito (kA): &gt; 40 kA, Capacidade nominal de corrente (A): , Outras: .</t>
  </si>
  <si>
    <t>LT 230 kV ANGELIM /TACAIMBO C-1 PE</t>
  </si>
  <si>
    <t>0001189/2017</t>
  </si>
  <si>
    <t>DJ 14M4</t>
  </si>
  <si>
    <t>Substituição de 1 Disjuntor do vão 04M5 - Tacaimbó C2 (DJ 14M5) ._x000D_
Capacidade do novo equipamento: Capacidade nominal de curto-circuito (kA): &gt; 40 kA, Capacidade nominal de corrente (A): , Outras: .</t>
  </si>
  <si>
    <t>LT 230 kV ANGELIM /TACAIMBO C-2 PE</t>
  </si>
  <si>
    <t>0001190/2017</t>
  </si>
  <si>
    <t>DJ 14M5</t>
  </si>
  <si>
    <t>Substituição de 1 Disjuntor do vão 04M7 - Messias C1 (DJ 14M7) ._x000D_
Capacidade do novo equipamento: Capacidade nominal de curto-circuito (kA): &gt; 40 kA, Capacidade nominal de corrente (A): , Outras: .</t>
  </si>
  <si>
    <t>LT 230 kV ANGELIM /MESSIAS C-1 PE/AL</t>
  </si>
  <si>
    <t>0001191/2017</t>
  </si>
  <si>
    <t>DJ 14M7</t>
  </si>
  <si>
    <t>Substituição de 1 Disjuntor do vão 04M8 - Messias C2 (DJ 14M8) ._x000D_
Capacidade do novo equipamento: Capacidade nominal de curto-circuito (kA): &gt; 40 kA, Capacidade nominal de corrente (A): , Outras: .</t>
  </si>
  <si>
    <t>LT 230 kV ANGELIM /MESSIAS C-2 PE/AL</t>
  </si>
  <si>
    <t>0001192/2017</t>
  </si>
  <si>
    <t>DJ 14M8</t>
  </si>
  <si>
    <t>Substituição de 1 Disjuntor do vão 04M9 - Messias C3 (DJ 14M9) ._x000D_
Capacidade do novo equipamento: Capacidade nominal de curto-circuito (kA): &gt; 40 kA, Capacidade nominal de corrente (A): , Outras: .</t>
  </si>
  <si>
    <t>LT 230 kV ANGELIM /MESSIAS C-3 PE/AL</t>
  </si>
  <si>
    <t>0001193/2017</t>
  </si>
  <si>
    <t>DJ 14M9</t>
  </si>
  <si>
    <t>Substituição de 1 Disjuntor do vão 04N4 - Garanhuns II C2 (DJ 14N4) ._x000D_
Capacidade do novo equipamento: Capacidade nominal de curto-circuito (kA): &gt; 40 kA, Capacidade nominal de corrente (A): , Outras: .</t>
  </si>
  <si>
    <t>LT 230 kV ANGELIM / GARANHUNS II C-2 PE</t>
  </si>
  <si>
    <t>0001194/2017</t>
  </si>
  <si>
    <t>DJ 14N4</t>
  </si>
  <si>
    <t>Miranda II - 230</t>
  </si>
  <si>
    <t>Revitalização necessária: substituição dos TCs da LT para Peritoró e São Luís II. Justificativa: superação da corrente nominal (fator limitante ativo) após a entrada em operação das UTEs Nova Olindina e Tocantinópolis. Origem: PAR e ONS RE 2.1/xxx/2009 Relatório de análise de superação de equipamentos 2010-2012.</t>
  </si>
  <si>
    <t>0000224/2009</t>
  </si>
  <si>
    <t>Substituição de  Secccionadoras do vão 04L1 - Paulo Afonso C1 (34L1-1, 34L1-2 ,34L1-4, 34L1-5, 34L1-6) ._x000D_
Capacidade do novo equipamento: Capacidade nominal de curto-circuito (kA): &gt; 40 kA, Capacidade nominal de corrente (A): , Outras: .</t>
  </si>
  <si>
    <t>LT Paulo Afonso C1</t>
  </si>
  <si>
    <t>0001278/2017</t>
  </si>
  <si>
    <t>34L1-1, 34L1-2 ,34L1-4, 34L1-5, 34L1-6</t>
  </si>
  <si>
    <t>Substituição de  Secccionadoras do vão 04M4 - Tacaimbó C1 (34M4-4, 34M4-5) ._x000D_
Capacidade do novo equipamento: Capacidade nominal de curto-circuito (kA): &gt; 40 kA, Capacidade nominal de corrente (A): , Outras: .</t>
  </si>
  <si>
    <t>0001281/2017</t>
  </si>
  <si>
    <t>34M4-4, 34M4-5</t>
  </si>
  <si>
    <t>Substituição de 5 Secccionadoras do vão 04M7 - Messias C1 (34M7-1, 34M7-2, 34M7-4, 34M7-5, 34M7-6) ._x000D_
Capacidade do novo equipamento: Capacidade nominal de curto-circuito (kA): &gt; 40 kA, Capacidade nominal de corrente (A): , Outras: .</t>
  </si>
  <si>
    <t>0001283/2017</t>
  </si>
  <si>
    <t>34M7-1, 34M7-2, 34M7-4, 34M7-5, 34M7-6</t>
  </si>
  <si>
    <t>Substituição de 2 Secccionadoras do vão 04M5 - Tacaimbó C2 (34M5-4, 34M5-5) ._x000D_
Capacidade do novo equipamento: Capacidade nominal de curto-circuito (kA): &gt; 40 kA, Capacidade nominal de corrente (A): , Outras: .</t>
  </si>
  <si>
    <t>0001284/2017</t>
  </si>
  <si>
    <t>34M5-4, 34M5-5</t>
  </si>
  <si>
    <t>Substituição de 4 Secccionadoras do vão 04M8 - Messias C2 (34M8-1, 34M8-2, 34M8-4, 34M8-5) ._x000D_
Capacidade do novo equipamento: Capacidade nominal de curto-circuito (kA): &gt; 40 kA, Capacidade nominal de corrente (A): , Outras: .</t>
  </si>
  <si>
    <t>0001287/2017</t>
  </si>
  <si>
    <t>34M8-1, 34M8-2, 34M8-4, 34M8-5</t>
  </si>
  <si>
    <t>Substituição de 5 Secccionadoras do vão 04M9 - Messias C3 (34M9-1, 34M9-2, 34M9-4, 34M9-5, 34M9-6) ._x000D_
Capacidade do novo equipamento: Capacidade nominal de curto-circuito (kA): &gt; 40 kA, Capacidade nominal de corrente (A): , Outras: .</t>
  </si>
  <si>
    <t>0001288/2017</t>
  </si>
  <si>
    <t>34M9-1, 34M9-2, 34M9-4, 34M9-5, 34M9-6</t>
  </si>
  <si>
    <t>Substituição de 5 Secccionadoras do vão 04N4 - Garanhuns II C2 (34N4-1, 34N4-2, 34N4-4, 34N4-5, 34N4-6) ._x000D_
Capacidade do novo equipamento: Capacidade nominal de curto-circuito (kA): &gt; 40 kA, Capacidade nominal de corrente (A): , Outras: .</t>
  </si>
  <si>
    <t>0001291/2017</t>
  </si>
  <si>
    <t>34N4-1, 34N4-2, 34N4-4, 34N4-5, 34N4-6</t>
  </si>
  <si>
    <t>PORTO VELHO</t>
  </si>
  <si>
    <t>Substituição dos trechos de barramento existentes. Serão necessários 4 cabos Dahlia 556,5 CA (sem alma de aço) e trocar os conectores, espaçadores e  lançamento de cabos e conectores paralelos para refazer as conexões existentes das descidas de cabos. Capacidade do novo equipamento: Corrente nominal de 3.160 A.</t>
  </si>
  <si>
    <t>0000006/2015</t>
  </si>
  <si>
    <t>SUB P.AFONSO III - 230</t>
  </si>
  <si>
    <t>Substituição de 6 Secccionadoras do vão 04M2 - Usina Apolônio Sales C2 (34M2-1, 34M2-2, 34M2-3, 34M2-4, 34M2-5, 34M2-6) ._x000D_
Capacidade do novo equipamento: Capacidade nominal de curto-circuito (kA): &gt; 40 kA, Capacidade nominal de corrente (A): , Outras: .</t>
  </si>
  <si>
    <t>LT 230 kV U. A. SALES /P.AFONSO III C-2 BA</t>
  </si>
  <si>
    <t>0001293/2017</t>
  </si>
  <si>
    <t>34M2-1, 34M2-2, 34M2-3, 34M2-4, 34M2-5, 34M2-6</t>
  </si>
  <si>
    <t>TIJUCO PRETO</t>
  </si>
  <si>
    <t>345</t>
  </si>
  <si>
    <t>Substituição de 1 Disjuntor do vão AT06 (DJ8464)._x000D_
Capacidade do novo equipamento: Capacidade nominal de curto-circuito (kA): 63 kA.</t>
  </si>
  <si>
    <t>TR 765/345 kV TIJUCO PRETO TR6 SP</t>
  </si>
  <si>
    <t>0002048/2020</t>
  </si>
  <si>
    <t>DJ8464</t>
  </si>
  <si>
    <t>Substituição de 1 Disjuntor do vão AT07 (DJ8474)._x000D_
Capacidade do novo equipamento: Capacidade nominal de curto-circuito (kA): 63 kA.</t>
  </si>
  <si>
    <t>TR 765/345 kV TIJUCO PRETO TR7 SP</t>
  </si>
  <si>
    <t>0002053/2020</t>
  </si>
  <si>
    <t>DJ8474</t>
  </si>
  <si>
    <t>Substituição de 1 Disjuntor do vão MC 345 kV BC 345 kV 200 MVAr TIJUCO PRETO BC2 SP MC2 (DJ8564)._x000D_
Capacidade do novo equipamento: Capacidade nominal de curto-circuito (kA): 63 kA.</t>
  </si>
  <si>
    <t>BC 345 kV 200 Mvar TIJUCO PRETO BC2 SP</t>
  </si>
  <si>
    <t>0002054/2020</t>
  </si>
  <si>
    <t>DJ8564</t>
  </si>
  <si>
    <t>Substituição de 1 Disjuntor do vão MC 345 kV BC 345 kV 200 MVAr TIJUCO PRETO BC4 SP MC1 (DJ8554)._x000D_
Capacidade do novo equipamento: Capacidade nominal de curto-circuito (kA): 63 kA.</t>
  </si>
  <si>
    <t>BC 345 kV 200 Mvar TIJUCO PRETO BC4 SP</t>
  </si>
  <si>
    <t>0002055/2020</t>
  </si>
  <si>
    <t>DJ8554</t>
  </si>
  <si>
    <t>Substituição de 1 Disjuntor do vão MC 345 kV BC 345 kV 200 Mvar TIJUCO PRETO BC10 SP MC2 (DJ8524)._x000D_
Capacidade do novo equipamento: Capacidade nominal de curto-circuito (kA): 63 kA.</t>
  </si>
  <si>
    <t>BC 345 kV 200 Mvar TIJUCO PRETO BC10 SP</t>
  </si>
  <si>
    <t>0002056/2020</t>
  </si>
  <si>
    <t>DJ8524</t>
  </si>
  <si>
    <t>BANABUIU</t>
  </si>
  <si>
    <t>69</t>
  </si>
  <si>
    <t>Substituição de 1 Disjuntor do vão LT Juatama C2 (12J4) ._x000D_
Capacidade do novo equipamento: Capacidade nominal de curto-circuito (kA): &gt; 11,9 kA</t>
  </si>
  <si>
    <t>LT Juatama C2</t>
  </si>
  <si>
    <t>0004356/2017</t>
  </si>
  <si>
    <t>12J4</t>
  </si>
  <si>
    <t>Substituição de 1 Secionadora com Chave de Terra do vão BC03 (SC837C/SC830T)_x000D_
Capacidade do novo equipamento: Capacidade nominal de curto-circuito (kA): 63 kA.</t>
  </si>
  <si>
    <t>BC 345 kV 200 Mvar TIJUCO PRETO BC3 SP</t>
  </si>
  <si>
    <t>0002443/2020</t>
  </si>
  <si>
    <t>SC837C/SC830T</t>
  </si>
  <si>
    <t>Substituição de 1 Secionadora com Chave de Terra do vão BC06 ( SC867C/SC860T)_x000D_
Capacidade do novo equipamento: Capacidade nominal de curto-circuito (kA): 63 kA.</t>
  </si>
  <si>
    <t>BC 345 kV 200 Mvar TIJUCO PRETO BC6 SP</t>
  </si>
  <si>
    <t>0002454/2020</t>
  </si>
  <si>
    <t>SC867C/SC860T</t>
  </si>
  <si>
    <t>Substituição de 1 Secionadora sem Chave de Terra do vão LIIDTP2 (SC8741)_x000D_
Capacidade do novo equipamento: Capacidade nominal de curto-circuito (kA): 63 kA.</t>
  </si>
  <si>
    <t>LI Itapeti - Tijuco Preto C2</t>
  </si>
  <si>
    <t>0002456/2020</t>
  </si>
  <si>
    <t>SC8741</t>
  </si>
  <si>
    <t>Substituição de 1 Secionadora sem Chave de Terra do vão LIIDTP2 (SC8743)_x000D_
Capacidade do novo equipamento: Capacidade nominal de curto-circuito (kA): 63 kA.</t>
  </si>
  <si>
    <t>0002460/2020</t>
  </si>
  <si>
    <t>SC8743</t>
  </si>
  <si>
    <t>Substituição de 1 Secionadora sem Chave de Terra do vão LIIDTP2 (SC8843)_x000D_
Capacidade do novo equipamento: Capacidade nominal de curto-circuito (kA): 63 kA</t>
  </si>
  <si>
    <t>0002462/2020</t>
  </si>
  <si>
    <t>SC8843</t>
  </si>
  <si>
    <t>Substituição de 1 Secionadora com Chave de Terra do vão LIIDTP2 (SC8847/SC8840T)_x000D_
Capacidade do novo equipamento: Capacidade nominal de curto-circuito (kA): 63 kA.</t>
  </si>
  <si>
    <t>0002466/2020</t>
  </si>
  <si>
    <t>SC8847/SC8840T</t>
  </si>
  <si>
    <t>13,5</t>
  </si>
  <si>
    <t>Substituição de 1 Seccionadora do vão Barra (K0-Q5) ._x000D_
Capacidade do novo equipamento: Capacidade nominal de curto-circuito (kA): &gt; 40 kA.</t>
  </si>
  <si>
    <t>MG FUNIL 13,5 kV</t>
  </si>
  <si>
    <t>0004390/2017</t>
  </si>
  <si>
    <t>K0-Q5</t>
  </si>
  <si>
    <t>Substituição de 1 Secionadora sem Chave de Terra do vão LIIDTP4 (SC8881)_x000D_
Capacidade do novo equipamento: Capacidade nominal de curto-circuito (kA): 63 kA</t>
  </si>
  <si>
    <t>LI Itapeti - Tijuco Preto C4</t>
  </si>
  <si>
    <t>0002470/2020</t>
  </si>
  <si>
    <t>SC8881</t>
  </si>
  <si>
    <t>Substituição de 1 Secionadora sem Chave de Terra do vão LIIDTP4 (SC8883)_x000D_
Capacidade do novo equipamento: Capacidade nominal de curto-circuito (kA): 63 kA</t>
  </si>
  <si>
    <t>0002473/2020</t>
  </si>
  <si>
    <t>SC8883</t>
  </si>
  <si>
    <t>Substituição de 1 Secionadora com Chave de Terra do vão LIIDTP4 (SC8887/SC8880T)_x000D_
Capacidade do novo equipamento: Capacidade nominal de curto-circuito (kA): 63 kA.</t>
  </si>
  <si>
    <t>0002476/2020</t>
  </si>
  <si>
    <t>SC8887/SC8880T</t>
  </si>
  <si>
    <t>Substituição de 1 Secionadora sem Chave de Terra do vão LIBXTP1 (SC8711)_x000D_
Capacidade do novo equipamento: Capacidade nominal de curto-circuito (kA): 63 kA</t>
  </si>
  <si>
    <t>LI Baixada - Tijuco Preto C1</t>
  </si>
  <si>
    <t>0002479/2020</t>
  </si>
  <si>
    <t>SC8711</t>
  </si>
  <si>
    <t>Substituição de 1 Secionadora sem Chave de Terra do vão LIBXTP1 (SC8713)_x000D_
Capacidade do novo equipamento: Capacidade nominal de curto-circuito (kA): 63 kA</t>
  </si>
  <si>
    <t>0002483/2020</t>
  </si>
  <si>
    <t>SC8713</t>
  </si>
  <si>
    <t>Substituição de 1 Secionadora sem Chave de Terra do vão LIBXTP1 (SC8811)_x000D_
Capacidade do novo equipamento: Capacidade nominal de curto-circuito (kA): 63 kA</t>
  </si>
  <si>
    <t>0002486/2020</t>
  </si>
  <si>
    <t>SC8811</t>
  </si>
  <si>
    <t>Substituição de 1 Secionadora sem Chave de Terra do vão LIBXTP1 (SC8813)_x000D_
Capacidade do novo equipamento: Capacidade nominal de curto-circuito (kA): 63 kA</t>
  </si>
  <si>
    <t>0002490/2020</t>
  </si>
  <si>
    <t>SC8813</t>
  </si>
  <si>
    <t>Substituição de 1 Secionadora com Chave de Terra do vão LIBXTP1 (SC8817/SC8810T)_x000D_
Capacidade do novo equipamento: Capacidade nominal de curto-circuito (kA): 63 kA.</t>
  </si>
  <si>
    <t>0002494/2020</t>
  </si>
  <si>
    <t>SC8817/SC8810T</t>
  </si>
  <si>
    <t>Substituição de 1 Secionadora sem Chave de Terra do vão AT05 (SC8453)_x000D_
Capacidade do novo equipamento: Capacidade nominal de curto-circuito (kA): 63 kA</t>
  </si>
  <si>
    <t>TR 765/345 kV TIJUCO PRETO TR5 SP</t>
  </si>
  <si>
    <t>0002496/2020</t>
  </si>
  <si>
    <t>SC8453</t>
  </si>
  <si>
    <t>MATATU</t>
  </si>
  <si>
    <t>Substituição de 3 Transformadores de Corrente do vão da LT Amaralina 02V3 (92V3-1)._x000D_
Capacidade do novo equipamento: Capacidade nominal de curto-circuito (kA): &gt; 24 kA.</t>
  </si>
  <si>
    <t>LT Amaralina 02V3</t>
  </si>
  <si>
    <t>0004638/2017</t>
  </si>
  <si>
    <t>92V3-1</t>
  </si>
  <si>
    <t>Substituição de 1 Secionadora sem Chave de Terra do vão AT05 (SC8455)_x000D_
Capacidade do novo equipamento: Capacidade nominal de curto-circuito (kA): 63 kA</t>
  </si>
  <si>
    <t>0002498/2020</t>
  </si>
  <si>
    <t>SC8455</t>
  </si>
  <si>
    <t>Substituição de 1 Secionadora sem Chave de Terra do vão AT07 (SC8471)_x000D_
Capacidade do novo equipamento: Capacidade nominal de curto-circuito (kA): 63 kA</t>
  </si>
  <si>
    <t>0002501/2020</t>
  </si>
  <si>
    <t>SC8471</t>
  </si>
  <si>
    <t>Substituição de 1 Barramento (BR7A / BR7B), com capacidade nominal de corrente de 723 A e de 940 A em emergência.
Capacidade do novo equipamento: Capacidade nominal de corrente (A): 2500.</t>
  </si>
  <si>
    <t>MG BARRO ALTO / CCO-2001-062 - RB</t>
  </si>
  <si>
    <t>0002620/2020</t>
  </si>
  <si>
    <t>BR7A / BR7B</t>
  </si>
  <si>
    <t>Substituição de 1 Secionadora sem Chave de Terra do vão AT07 (SC8473)_x000D_
Capacidade do novo equipamento: Capacidade nominal de curto-circuito (kA): 63 kA</t>
  </si>
  <si>
    <t>0002636/2020</t>
  </si>
  <si>
    <t>SC8473</t>
  </si>
  <si>
    <t>Substituição de 1 Secionadora sem Chave de Terra do vão AT07 (SC8475)_x000D_
Capacidade do novo equipamento: Capacidade nominal de curto-circuito (kA): 63 kA</t>
  </si>
  <si>
    <t>0002638/2020</t>
  </si>
  <si>
    <t>SC8475</t>
  </si>
  <si>
    <t>Substituição de 1 Secionadora sem Chave de Terra do vão BC 345 kV 200 MVAr T. PRETO BC2 SP MC2 (SC8561)_x000D_
Capacidade do novo equipamento: Capacidade nominal de curto-circuito (kA): 63 kA</t>
  </si>
  <si>
    <t>0002647/2020</t>
  </si>
  <si>
    <t>SC8561</t>
  </si>
  <si>
    <t>Substituição de 1 Secionadora sem Chave de Terra do vão IB 345 kV MG 750 kV TIJUCO PRETO MG1 SP IB1 (SC8541)_x000D_
Capacidade do novo equipamento: Capacidade nominal de curto-circuito (kA): 63 kA</t>
  </si>
  <si>
    <t>MG TIJUCO PRETO / CCO-2001-062 - RB</t>
  </si>
  <si>
    <t>0002655/2020</t>
  </si>
  <si>
    <t>SC8541</t>
  </si>
  <si>
    <t>Substituição de 1 Secionadora sem Chave de Terra do vão IB 345 kV MG 750 kV TIJUCO PRETO MG1 SP IB1 (SC8543)_x000D_
Capacidade do novo equipamento: Capacidade nominal de curto-circuito (kA): 63 kA</t>
  </si>
  <si>
    <t>0002658/2020</t>
  </si>
  <si>
    <t>SC8543</t>
  </si>
  <si>
    <t>Substituição de 1 Secionadora sem Chave de Terra do vão BC 345 kV 200 MVAr TIJUCO PRETO BC2 SP MC2 (SC8563)_x000D_
Capacidade do novo equipamento: Capacidade nominal de curto-circuito (kA): 63 kA</t>
  </si>
  <si>
    <t>0002661/2020</t>
  </si>
  <si>
    <t>SC8563</t>
  </si>
  <si>
    <t>Substituição de 1 Secionadora sem Chave de Terra do vão BC 345 kV 200 MVAr TIJUCO PRETO BC2 SP MC2 (SC8565)_x000D_
Capacidade do novo equipamento: Capacidade nominal de curto-circuito (kA): 63 kA</t>
  </si>
  <si>
    <t>0002666/2020</t>
  </si>
  <si>
    <t>SC8565</t>
  </si>
  <si>
    <t>Substituição de 1 Secionadora sem Chave de Terra do vão BC 345 kV 200 MVAr TIJUCO PRETO BC2 SP MC2 (SC8521)_x000D_
Capacidade do novo equipamento: Capacidade nominal de curto-circuito (kA): 63 kA</t>
  </si>
  <si>
    <t>0002671/2020</t>
  </si>
  <si>
    <t>SC8521</t>
  </si>
  <si>
    <t>Substituição de 1 Secionadora sem Chave de Terra do vão BC 345 kV 200 MVAr TIJUCO PRETO BC2 SP MC2 (SC8523)_x000D_
Capacidade do novo equipamento: Capacidade nominal de curto-circuito (kA): 63 kA</t>
  </si>
  <si>
    <t>0002675/2020</t>
  </si>
  <si>
    <t>SC8523</t>
  </si>
  <si>
    <t>Substituição de 1 Secionadora sem Chave de Terra do vão BC 345 kV 200 MVAr TIJUCO PRETO BC2 SP MC2 (SC8525)_x000D_
Capacidade do novo equipamento: Capacidade nominal de curto-circuito (kA): 63 kA</t>
  </si>
  <si>
    <t>0002678/2020</t>
  </si>
  <si>
    <t>SC8525</t>
  </si>
  <si>
    <t>Substituição de 2 Transformadores de Corrente do vão AT06 (TC associado ao DJ8464 - Fases B e C)._x000D_
Capacidade do novo equipamento: Capacidade nominal de curto-circuito (kA): 63 kA.</t>
  </si>
  <si>
    <t>0002767/2020</t>
  </si>
  <si>
    <t>TC associado ao DJ8464 - Fases B e C</t>
  </si>
  <si>
    <t>Substituição de 3 Transformadores de Corrente do vão AT07 (TC associado ao DJ8474)._x000D_
Capacidade do novo equipamento: Capacidade nominal de curto-circuito (kA): 63 kA.</t>
  </si>
  <si>
    <t>0002770/2020</t>
  </si>
  <si>
    <t>TC associado ao DJ8474</t>
  </si>
  <si>
    <t>Substituição de 3 Transformadores de Corrente do vão IB 345 kV MG 750 kV TIJUCO PRETO MG1 SP IB1 (TC associado ao DJ8544)._x000D_
Capacidade do novo equipamento: Capacidade nominal de curto-circuito (kA): 63 kA.</t>
  </si>
  <si>
    <t>MG TIJUCO PRETO / CCO-2001-059 - RB</t>
  </si>
  <si>
    <t>0002788/2020</t>
  </si>
  <si>
    <t>TC associado ao DJ8544</t>
  </si>
  <si>
    <t>Substituição de 3 Transformadores de Corrente do vão MC 345 kV BC 345 kV 200 MVAr TIJUCO PRETO BC2 SP MC2 (TC associado ao DJ8564)._x000D_
Capacidade do novo equipamento: Capacidade nominal de curto-circuito (kA): 63 kA.</t>
  </si>
  <si>
    <t>0002794/2020</t>
  </si>
  <si>
    <t>TC associado ao DJ8564</t>
  </si>
  <si>
    <t>Substituição de 3 Transformadores de Corrente do vão MC 345 kV BC 345 kV 200 Mvar TIJUCO PRETO BC10 SP MC2 (TC associado ao DJ8524)._x000D_
Capacidade do novo equipamento: Capacidade nominal de curto-circuito (kA): 63 kA.</t>
  </si>
  <si>
    <t>0002801/2020</t>
  </si>
  <si>
    <t>TC associado ao DJ8524</t>
  </si>
  <si>
    <t>SUB ARARAQUARA FUR - 500</t>
  </si>
  <si>
    <t>Substituição de 1 Disjuntor do vão LTARPC (DJ9516)._x000D_
Capacidade do novo equipamento: Capacidade nominal de curto-circuito (kA): 50 kA.</t>
  </si>
  <si>
    <t>LT Araraquara - Poços de Caldas</t>
  </si>
  <si>
    <t>0008215/2019</t>
  </si>
  <si>
    <t>DJ9516</t>
  </si>
  <si>
    <t>Substituição de 1 Disjuntor do vão LTARPC (DJ9316)._x000D_
Capacidade do novo equipamento: Capacidade nominal de curto-circuito (kA): 50 kA.</t>
  </si>
  <si>
    <t>0008220/2019</t>
  </si>
  <si>
    <t>DJ9316</t>
  </si>
  <si>
    <t>Substituição de 1 Disjuntor do vão LTARCA (DJ9526)._x000D_
Capacidade do novo equipamento: Capacidade nominal de curto-circuito (kA): 50 kA.</t>
  </si>
  <si>
    <t>LT Araraquara - Campinas</t>
  </si>
  <si>
    <t>0008225/2019</t>
  </si>
  <si>
    <t>DJ9526</t>
  </si>
  <si>
    <t>Substituição de 1 Disjuntor do vão LTARCA (DJ9326)._x000D_
Capacidade do novo equipamento: Capacidade nominal de curto-circuito (kA): 50 kA.</t>
  </si>
  <si>
    <t>0008231/2019</t>
  </si>
  <si>
    <t>DJ9326</t>
  </si>
  <si>
    <t>SAMAMBAIA</t>
  </si>
  <si>
    <t>500</t>
  </si>
  <si>
    <t>Substituição de 3 Transformadores de Corrente do vão IB - DJ9128 (TC associado ao DJ9128)._x000D_
Capacidade do novo equipamento: Capacidade nominal de curto-circuito (kA): 50 kA.</t>
  </si>
  <si>
    <t>MG SAMAMBAIA / CCO-2001-062 - RB</t>
  </si>
  <si>
    <t>0003041/2020</t>
  </si>
  <si>
    <t>TC associado ao DJ9128</t>
  </si>
  <si>
    <t>S.DA MESA</t>
  </si>
  <si>
    <t>Substituição de 3 Transformadores de Corrente do vão IB - DJ9522 (TC associado ao DJ9522 )._x000D_
Capacidade do novo equipamento: Capacidade nominal de curto-circuito (kA): 50 kA.</t>
  </si>
  <si>
    <t>MG S.DA MESA / CCO-2001-062 - RB</t>
  </si>
  <si>
    <t>0003060/2020</t>
  </si>
  <si>
    <t>TC associado ao DJ9522</t>
  </si>
  <si>
    <t>ADRIANOPOLIS</t>
  </si>
  <si>
    <t>Substituição de 1 Secionadora com Chave de Terra do vão LTADSJ (SC9617/9610T)._x000D_
Capacidade do novo equipamento: Capacidade nominal de curto-circuito (kA): 50 kA.</t>
  </si>
  <si>
    <t>LT 500 kV ADRIANOPOLIS /SAO JOSE C-1 RJ</t>
  </si>
  <si>
    <t>0008349/2019</t>
  </si>
  <si>
    <t>Substituição da SC9617/9610T</t>
  </si>
  <si>
    <t>SUB CAMPINAS - 138</t>
  </si>
  <si>
    <t>Substituição de 1 Transformador de Corrente do vão EL 138 kV CAMPINAS LT 138 kV TANQUINHO /CAMPINAS C-2 SP (HU310549)._x000D_
Capacidade do novo equipamento: Capacidade nominal de curto-circuito (kA): no mínimo 50 kA.</t>
  </si>
  <si>
    <t>LT 138 kV TANQUINHO /CAMPINAS C-2 SP</t>
  </si>
  <si>
    <t>0003182/2020</t>
  </si>
  <si>
    <t>HU310549</t>
  </si>
  <si>
    <t>Substituição de 1 Transformador de Corrente do vão EL 138 kV CAMPINAS LT 138 kV TANQUINHO /CAMPINAS C-2 SP (HU310551)._x000D_
Capacidade do novo equipamento: Capacidade nominal de curto-circuito (kA): no mínimo 50 kA.</t>
  </si>
  <si>
    <t>0003199/2020</t>
  </si>
  <si>
    <t>HU310551</t>
  </si>
  <si>
    <t>Substituição de 1 Transformador de Corrente do vão EL 138 kV CAMPINAS LT 138 kV TANQUINHO /CAMPINAS C-2 SP (HU310550)._x000D_
Capacidade do novo equipamento: Capacidade nominal de curto-circuito (kA): no mínimo 50 kA.</t>
  </si>
  <si>
    <t>0003203/2020</t>
  </si>
  <si>
    <t>HU310550</t>
  </si>
  <si>
    <t>Substituição de 1 Secionadora com Chave de Terra do vão LTADGR (SC9627/9620T)._x000D_
Capacidade do novo equipamento: Capacidade nominal de curto-circuito (kA): 50 kA.</t>
  </si>
  <si>
    <t>LT 500 kV ADRIANOPOLIS /GRAJAU C-1 RJ</t>
  </si>
  <si>
    <t>0008358/2019</t>
  </si>
  <si>
    <t>Substituição da SC9627/9620T</t>
  </si>
  <si>
    <t>Substituição de 1 Secionadora sem Chave de Terra do vão LT 138 kV TANQUINHO /CAMPINAS C-1 SP (SC6515)_x000D_
Capacidade do novo equipamento: Capacidade nominal de curto-circuito (kA): no mínimo 50 kA.</t>
  </si>
  <si>
    <t>LT 138 kV TANQUINHO /CAMPINAS C-1 SP</t>
  </si>
  <si>
    <t>0003213/2020</t>
  </si>
  <si>
    <t>SC6515</t>
  </si>
  <si>
    <t>Substituição de 1 Secionadora sem Chave de Terra do vão LT 138 kV TANQUINHO /CAMPINAS C-1 SP (SC6517)_x000D_
Capacidade do novo equipamento: Capacidade nominal de curto-circuito (kA): no mínimo 50 kA.</t>
  </si>
  <si>
    <t>0003215/2020</t>
  </si>
  <si>
    <t>SC6517</t>
  </si>
  <si>
    <t>Substituição de 1 Secionadora com Chave de Terra do vão LT 138 kV TANQUINHO /CAMPINAS C-1 SP (SC6519/SC6510T)_x000D_
Capacidade do novo equipamento: Capacidade nominal de curto-circuito (kA): no mínimo 50 kA.</t>
  </si>
  <si>
    <t>0003218/2020</t>
  </si>
  <si>
    <t>SC6519/SC6510T</t>
  </si>
  <si>
    <t>Substituição de 1 Secionadora sem Chave de Terra do vão LT 138 kV TANQUINHO /CAMPINAS C-2 SP (SC6525)_x000D_
Capacidade do novo equipamento: Capacidade nominal de curto-circuito (kA): no mínimo 50 kA.</t>
  </si>
  <si>
    <t>0003226/2020</t>
  </si>
  <si>
    <t>SC6525</t>
  </si>
  <si>
    <t>Substituição de 1 Secionadora sem Chave de Terra do vão LT 138 kV TANQUINHO /CAMPINAS C-2 SP (SC6527)_x000D_
Capacidade do novo equipamento: Capacidade nominal de curto-circuito (kA): no mínimo 50 kA.</t>
  </si>
  <si>
    <t>0003229/2020</t>
  </si>
  <si>
    <t>SC6527</t>
  </si>
  <si>
    <t>Substituição de 1 Secionadora com Chave de Terra do vão LT 138 kV TANQUINHO /CAMPINAS C-2 SP (SC6529/SC6520T)_x000D_
Capacidade do novo equipamento: Capacidade nominal de curto-circuito (kA): no mínimo 50 kA.</t>
  </si>
  <si>
    <t>0003232/2020</t>
  </si>
  <si>
    <t>SC6529/SC6520T</t>
  </si>
  <si>
    <t>PERITORO</t>
  </si>
  <si>
    <t>Substituição de 1 Disjuntor do vão Trafo 2 (PRDJ2-02)._x000D_
Capacidade do novo equipamento: Capacidade nominal de curto-circuito (kA): no mínimo 31,5 kA.</t>
  </si>
  <si>
    <t>TR 230/69 kV PERITORO TF2 MA</t>
  </si>
  <si>
    <t>0003235/2020</t>
  </si>
  <si>
    <t>PRDJ2-02</t>
  </si>
  <si>
    <t>USI US.COA.NUNES - 13,2</t>
  </si>
  <si>
    <t>Substituição de 1 Disjuntor do vão Vão da 3ª unidade (CNDJ2-06)._x000D_
Capacidade do novo equipamento: Capacidade nominal de curto-circuito (kA): 40 kA.</t>
  </si>
  <si>
    <t>Função Geração</t>
  </si>
  <si>
    <t>0003264/2020</t>
  </si>
  <si>
    <t>Substituição de 1 Secionadora sem Chave de Terra do vão Vão da 3ª unidade (CNSD2-10)_x000D_
Capacidade do novo equipamento: Capacidade nominal de curto-circuito (kA): no mínimo 31,5 kA</t>
  </si>
  <si>
    <t>0003265/2020</t>
  </si>
  <si>
    <t>Substituição de 1 Transformador de Corrente do vão Trafo 1 (TC 13,8kV)._x000D_
Capacidade do novo equipamento: Capacidade nominal de curto-circuito (kA): no mínimo 31,5 kA.</t>
  </si>
  <si>
    <t>TR 230/69 kV PERITORO TF1 MA</t>
  </si>
  <si>
    <t>0003272/2020</t>
  </si>
  <si>
    <t>TC 13,8kV</t>
  </si>
  <si>
    <t>Substituição de 1 Secionadora sem Chave de Terra do vão MCLI-LI4-01 - Maracanã-1 - Vão By (LISD4-22)._x000D_
Capacidade do novo equipamento: Capacidade nominal de curto-circuito: 40 kA e Capacidade nominal de corrente: 2000 A.</t>
  </si>
  <si>
    <t>SEM FUNÇÃO DE TRANSMISSÃO ASSOCIADA</t>
  </si>
  <si>
    <t>0007495/2020</t>
  </si>
  <si>
    <t>LISD4-22</t>
  </si>
  <si>
    <t>Substituição de 1 Seccionadora sem Chave de Terra do vão MCLI-LI4-01 - Maracanã-1 - Vão By (LISD4-21)._x000D_
Capacidade do novo equipamento: Capacidade nominal de curto-circuito: 40 kA e Capacidade nominal de corrente: 2000 A.</t>
  </si>
  <si>
    <t>0007497/2020</t>
  </si>
  <si>
    <t>LISD4-21</t>
  </si>
  <si>
    <t>Substituição de 1 Secionadora sem Chave de Terra e 1 Secionadora com Chave de Terra do vão Maracanã-1-Vão By (LISY4-10;LICA4-08)._x000D_
Capacidade do novo equipamento: Capacidade nominal de curto-circuito: 40 kA e Capacidade nominal de corrente: 2000 A.</t>
  </si>
  <si>
    <t>0007498/2020</t>
  </si>
  <si>
    <t>LISY4-10;LICA4-08</t>
  </si>
  <si>
    <t>Substituição de 1 Seccionadora sem Chave de Terra do vão FQLI-LI4-02 - Forquilha-2 - Vão Cy (LISD4-18)._x000D_
Capacidade do novo equipamento: Capacidade nominal de curto-circuito: 40 kA e Capacidade nominal de corrente: 2000 A.</t>
  </si>
  <si>
    <t>0007499/2020</t>
  </si>
  <si>
    <t>LISD4-18</t>
  </si>
  <si>
    <t>Substituição de 1 Seccionadora sem Chave de Terra do vão FQLI-LI4-02 - Forquilha-2 - Vão Cy (LISD4-17)._x000D_
Capacidade do novo equipamento: Capacidade nominal de curto-circuito: 40 kA e Capacidade nominal de corrente: 2000 A.</t>
  </si>
  <si>
    <t>0007500/2020</t>
  </si>
  <si>
    <t>LISD4-17</t>
  </si>
  <si>
    <t>Substituição de 1 Secionadora sem Chave de Terra e 1 Secionadora com Chave de Terra do vão Forquilha-2 Vão Cy (LISY4-08;LICA4-07)._x000D_
Capacidade do novo equipamento: Capacidade nominal de curto-circuito: 40 kA e Capacidade nominal de corrente: 2000 A.</t>
  </si>
  <si>
    <t>0007502/2020</t>
  </si>
  <si>
    <t>LISY4-08;LICA4-07</t>
  </si>
  <si>
    <t>Substituição de 3 Secionadoras sem Chave de Terra e 1 Secionadora com Chave de Terra do vão Forq.1 Dy (LISD416;LISD415;LISY407;LICA406)._x000D_
Capacidade do novo equipamento: Capacidade nominal de curto-circuito: 40 kA e Capacidade nominal de corrente: 2000 A.</t>
  </si>
  <si>
    <t>0007503/2020</t>
  </si>
  <si>
    <t>LISD416;LISD415;LISY407;LICA406</t>
  </si>
  <si>
    <t>CAMPOS</t>
  </si>
  <si>
    <t>138</t>
  </si>
  <si>
    <t>Substituição de 3 Transformadores de Corrente do vão LIPUCM ._x000D_
Capacidade do novo equipamento: Capacidade nominal de curto-circuito (kA): 40 kA, Capacidade nominal de corrente (A): 2000 A.</t>
  </si>
  <si>
    <t>LI Porto do Açu - Campos</t>
  </si>
  <si>
    <t>0008593/2019</t>
  </si>
  <si>
    <t>li</t>
  </si>
  <si>
    <t>Substituição de 2 Secccionadoras sem Chave de Terra do vão São Francisco-1 - Vão Ey (LISD410;LISD409)._x000D_
Capacidade do novo equipamento: Capacidade nominal de curto-circuito: 40 kA e Capacidade nominal de corrente: 2000 A.</t>
  </si>
  <si>
    <t>0007504/2020</t>
  </si>
  <si>
    <t>LISD410;LISD409</t>
  </si>
  <si>
    <t>Substituição de 1 Secionadora sem Chave de Terra e 1 Secionadora com Chave de Terra do vão São Francisco-1 - Vão Ey (LISY405; LICA405)._x000D_
Capacidade do novo equipamento: Capacidade nominal de curto-circuito: 40 kA e Capacidade nominal de corrente: 2000 A.</t>
  </si>
  <si>
    <t>0007505/2020</t>
  </si>
  <si>
    <t>LISY405; LICA405</t>
  </si>
  <si>
    <t>Substituição de 3 Secionadoras sem Chave de Terra e 1 Secionadora com Chave de Terra do vão Centro1 Fy (LISD408;LISD407;LISY404;LICA404)._x000D_
Capacidade do novo equipamento: Capacidade nominal de curto-circuito: 40 kA e Capacidade nominal de corrente: 2000 A.</t>
  </si>
  <si>
    <t>0007507/2020</t>
  </si>
  <si>
    <t>LISD408;LISD407;LISY404;LICA404</t>
  </si>
  <si>
    <t>Substituição de 1 Secionadora com Chave de Terra do vão Vila Palmeira-1 - Vão Gx (LICA4-03)._x000D_
Capacidade do novo equipamento: Capacidade nominal de curto-circuito: 40 kA e Capacidade nominal de corrente: 2000 A.</t>
  </si>
  <si>
    <t>0007508/2020</t>
  </si>
  <si>
    <t>LICA4-03</t>
  </si>
  <si>
    <t>Substituição de 1 Secionadora com Chave de Terra do vão RNLI-LI4-01 - Renacença - 1 - Vão Gy (LICA4-09)._x000D_
Capacidade do novo equipamento: Capacidade nominal de curto-circuito: 40 kA e Capacidade nominal de corrente: 2000 A.</t>
  </si>
  <si>
    <t>0007509/2020</t>
  </si>
  <si>
    <t>LICA4-09</t>
  </si>
  <si>
    <t>Substituição de 3 Secionadoras sem Chave de Terra e 1 Secionadora com Chave de Terra do vão Itaqui-1 Iy (LISD402;LISD401;LISY401;LICA401)._x000D_
Capacidade do novo equipamento: Capacidade nominal de curto-circuito: 40 kA e Capacidade nominal de corrente: 2000 A.</t>
  </si>
  <si>
    <t>0007510/2020</t>
  </si>
  <si>
    <t>LISD402;LISD401;LISY401;LICA401</t>
  </si>
  <si>
    <t>Substituição de 3 Secionadoras sem Chave de Terra do vão LITF6-01 - Vão Fx (LISD426;LISD425;LISY412)._x000D_
Capacidade do novo equipamento: Capacidade nominal de curto-circuito: 40 kA e Capacidade nominal de corrente: 2000 A.</t>
  </si>
  <si>
    <t>TR 230/69 kV SAO LUIS I TF1 MA</t>
  </si>
  <si>
    <t>0007512/2020</t>
  </si>
  <si>
    <t>LISD426;LISD425;LISY412</t>
  </si>
  <si>
    <t>Substituição de 2 Secccionadoras sem Chave de Terra do vão LITF6-03 - Vão Bx (LISD4-20; LISY4-09)._x000D_
Capacidade do novo equipamento: Capacidade nominal de curto-circuito: 40 kA e Capacidade nominal de corrente: 2000 A.</t>
  </si>
  <si>
    <t>TR 230/69 kV SAO LUIS I TF3 MA</t>
  </si>
  <si>
    <t>0007513/2020</t>
  </si>
  <si>
    <t>LISD4-20; LISY4-09</t>
  </si>
  <si>
    <t>Substituição de 1 Seccionadora sem Chave de Terra do vão LITF6-03 - Trafo 3 - Vão Bx (LISD4-19)._x000D_
Capacidade do novo equipamento: Capacidade nominal de curto-circuito: 40 kA e Capacidade nominal de corrente: 2000 A.</t>
  </si>
  <si>
    <t>0007514/2020</t>
  </si>
  <si>
    <t>LISD4-19</t>
  </si>
  <si>
    <t>Substituição de 1 Seccionadora sem Chave de Terra do vão LITA4-01 - TA1 - Vão Cx (LIST4-01)._x000D_
Capacidade do novo equipamento: Capacidade nominal de curto-circuito: 40 kA e Capacidade nominal de corrente: 2000 A.</t>
  </si>
  <si>
    <t>0007515/2020</t>
  </si>
  <si>
    <t>LIST4-01</t>
  </si>
  <si>
    <t>Substituição de 1 Seccionadora sem Chave de Terra do vão LITF4-05 - Tf. Serv. Aux. - Vão Hy (LISD4-03)._x000D_
Capacidade do novo equipamento: Capacidade nominal de curto-circuito: 40 kA e Capacidade nominal de corrente: 2000 A.</t>
  </si>
  <si>
    <t>0007516/2020</t>
  </si>
  <si>
    <t>LISD4-03</t>
  </si>
  <si>
    <t>Substituição de 2 Secccionadoras sem Chave de Terra do vão IB - 01 - Vão Ix-Iy (LISD429;LISD430)._x000D_
Capacidade do novo equipamento: Capacidade nominal de curto-circuito: 40 kA e Capacidade nominal de corrente: 2000 A.</t>
  </si>
  <si>
    <t>0007518/2020</t>
  </si>
  <si>
    <t>LISD429;LISD430</t>
  </si>
  <si>
    <t>Substituição de 2 Secccionadoras sem Chave de Terra do vão IB - 02 - Vão Dx-Dy (LISD4-11; LISD4-12)._x000D_
Capacidade do novo equipamento: Capacidade nominal de curto-circuito: 40 kA e Capacidade nominal de corrente: 2000 A.</t>
  </si>
  <si>
    <t>0007519/2020</t>
  </si>
  <si>
    <t>LISD4-11; LISD4-12</t>
  </si>
  <si>
    <t>Substituição de 2 Secccionadoras sem Chave de Terra do vão Transf. Barra - Vão Dy-Ey (LISD428;LISD427)._x000D_
Capacidade do novo equipamento: Capacidade nominal de curto-circuito: 40 kA e Capacidade nominal de corrente: 2000 A.</t>
  </si>
  <si>
    <t>0007520/2020</t>
  </si>
  <si>
    <t>LISD428;LISD427</t>
  </si>
  <si>
    <t>Substituição de 3 Transformadores de Corrente do vão MCLI-LI4-02 - Maracanã-2 - Vão Ay._x000D_
Capacidade do novo equipamento: Capacidade nominal de curto-circuito: 40 kA e Capacidade nominal de corrente: 2000 A.</t>
  </si>
  <si>
    <t>0007526/2020</t>
  </si>
  <si>
    <t>MCLI-LI4-02 - Maracanã-2 - Vão Ay</t>
  </si>
  <si>
    <t>Saturação</t>
  </si>
  <si>
    <t>Substituição de 3 Transformadores de Corrente do vão FQLI-LI4-02 - Forquilha-2 - Vão Cy._x000D_
Capacidade do novo equipamento: Capacidade nominal de curto-circuito: 40 kA e Capacidade nominal de corrente: 2000 A.</t>
  </si>
  <si>
    <t>0007527/2020</t>
  </si>
  <si>
    <t>FQLI-LI4-02 - Forquilha-2 - Vão Cy</t>
  </si>
  <si>
    <t>Substituição de 3 Transformadores de Corrente do vão FQLI-LI4-01 - Forquilha-1 - Vão Dy._x000D_
Capacidade do novo equipamento: Capacidade nominal de curto-circuito: 40 kA e Capacidade nominal de corrente: 2000 A.</t>
  </si>
  <si>
    <t>0007528/2020</t>
  </si>
  <si>
    <t>FQLI-LI4-01 - Forquilha-1 - Vão Dy</t>
  </si>
  <si>
    <t>Substituição de 3 Transformadores de Corrente do vão SFLI-LI4-01 - São Francisco-1 - Vão Ey._x000D_
Capacidade do novo equipamento: Capacidade nominal de curto-circuito: 40 kA e Capacidade nominal de corrente: 2000 A.</t>
  </si>
  <si>
    <t>0007530/2020</t>
  </si>
  <si>
    <t>SFLI-LI4-01 - São Francisco-1 - Vão Ey</t>
  </si>
  <si>
    <t>Substituição de 3 Transformadores de Corrente do vão CTLI-LI4-01 -  Centro C1 - Vão Fy._x000D_
Capacidade do novo equipamento: Capacidade nominal de curto-circuito: 40 kA e Capacidade nominal de corrente: 2000 A.</t>
  </si>
  <si>
    <t>0007531/2020</t>
  </si>
  <si>
    <t>CTLI-LI4-01 -  Centro C1 - Vão Fy</t>
  </si>
  <si>
    <t>Substituição de 3 Transformadores de Corrente do vão VPLI-LI4-01 - Vila Palmeira-1 - Vão Gx._x000D_
Capacidade do novo equipamento: Capacidade nominal de curto-circuito: 40 kA e Capacidade nominal de corrente: 2000 A.</t>
  </si>
  <si>
    <t>0007533/2020</t>
  </si>
  <si>
    <t>VPLI-LI4-01 - Vila Palmeira-1 - Vão Gx</t>
  </si>
  <si>
    <t>Substituição de 3 Transformadores de Corrente do vão RNLI-LI4-01 - Renacença - 1 - Vão Gy._x000D_
Capacidade do novo equipamento: Capacidade nominal de curto-circuito: 40 kA e Capacidade nominal de corrente: 2000 A.</t>
  </si>
  <si>
    <t>0007534/2020</t>
  </si>
  <si>
    <t>RNLI-LI4-01 - Renacença - 1 - Vão Gy</t>
  </si>
  <si>
    <t>Substituição de 3 Transformadores de Corrente do vão ITLI-LI4-01 - Itaqui-1 - Vão Iy._x000D_
Capacidade do novo equipamento: Capacidade nominal de curto-circuito: 40 kA e Capacidade nominal de corrente: 2000 A.</t>
  </si>
  <si>
    <t>0007535/2020</t>
  </si>
  <si>
    <t>ITLI-LI4-01 - Itaqui-1 - Vão Iy</t>
  </si>
  <si>
    <t>Substituição de 3 Transformadores de Corrente do vão LITF6-01 - Trafo 1 - Vão Fx._x000D_
Capacidade do novo equipamento: Capacidade nominal de curto-circuito: 40 kA e Capacidade nominal de corrente: 2000 A.</t>
  </si>
  <si>
    <t>0007536/2020</t>
  </si>
  <si>
    <t>LITF6-01 - Trafo 1 - Vão Fx</t>
  </si>
  <si>
    <t>Substituição de 3 Transformadores de Corrente do vão LITF6-02 - Trafo 2 - Vão Ex._x000D_
Capacidade do novo equipamento: Capacidade nominal de curto-circuito: 40 kA e Capacidade nominal de corrente: 2000 A.</t>
  </si>
  <si>
    <t>0007537/2020</t>
  </si>
  <si>
    <t>LITF6-02 - Trafo 2 - Vão Ex</t>
  </si>
  <si>
    <t>Substituição de 3 Transformadores de Corrente do vão LITF6-04 - Trafo 4 - Vão Ax._x000D_
Capacidade do novo equipamento: Capacidade nominal de curto-circuito: 40 kA e Capacidade nominal de corrente: 2000 A.</t>
  </si>
  <si>
    <t>0007538/2020</t>
  </si>
  <si>
    <t>LITF6-04 - Trafo 4 - Vão Ax</t>
  </si>
  <si>
    <t>Substituição de 3 Transformadores de Corrente do vão LITF4-05 - Tf. Serv. Aux. - Vão Hy._x000D_
Capacidade do novo equipamento: Capacidade nominal de curto-circuito: 40 kA e Capacidade nominal de corrente: 2000 A.</t>
  </si>
  <si>
    <t>0007540/2020</t>
  </si>
  <si>
    <t>LITF4-05 - Tf. Serv. Aux. - Vão Hy</t>
  </si>
  <si>
    <t>Substituição de 3 Transformadores de Corrente do vão LITA4-03 - TA3 - Vão Hx._x000D_
Capacidade do novo equipamento: Capacidade nominal de curto-circuito: 40 kA e Capacidade nominal de corrente: 2000 A.</t>
  </si>
  <si>
    <t>0007541/2020</t>
  </si>
  <si>
    <t>LITA4-03 - TA3 - Vão Hx</t>
  </si>
  <si>
    <t>Substituição de 1 Disjuntor do vão LIBXTP1 (DJ8714) ._x000D_
Capacidade do novo equipamento: Capacidade nominal de curto-circuito (kA): 63 kA.</t>
  </si>
  <si>
    <t>LT Baixada - Tijuco Preto 1</t>
  </si>
  <si>
    <t>0007552/2020</t>
  </si>
  <si>
    <t>DJ8714</t>
  </si>
  <si>
    <t>Substituição de 1 Disjuntor do vão LIBXTP1 (DJ8814) ._x000D_
Capacidade do novo equipamento: Capacidade nominal de curto-circuito (kA): 63 kA.</t>
  </si>
  <si>
    <t>0007553/2020</t>
  </si>
  <si>
    <t>DJ8814</t>
  </si>
  <si>
    <t>Instalação de proteção de barras.</t>
  </si>
  <si>
    <t>0000315/2008</t>
  </si>
  <si>
    <t>Adrianópolis - 345</t>
  </si>
  <si>
    <t>Substituição de RDP</t>
  </si>
  <si>
    <t>0000555/2012</t>
  </si>
  <si>
    <t>0000554/2012</t>
  </si>
  <si>
    <t>Substituição de SECCIONADORA 500 kV IZSD7-07 FASE A</t>
  </si>
  <si>
    <t>LT-MBIZLT701</t>
  </si>
  <si>
    <t>0006858/2016</t>
  </si>
  <si>
    <t>Substituição de SECCIONADORA 500 kV IZSD7-07 FASE B</t>
  </si>
  <si>
    <t>0006859/2016</t>
  </si>
  <si>
    <t>Substituição de SECCIONADORA 500 kV IZSD7-07 FASE V</t>
  </si>
  <si>
    <t>0006860/2016</t>
  </si>
  <si>
    <t>P.DUTRA</t>
  </si>
  <si>
    <t>MELHORIA NAS CHAVES SECCIONADORAS PDSC7-01 E PDSC7-02 COM INSTALAÇÃO DE MECANISMO DE FIM DE CURSO MECÂNICO.</t>
  </si>
  <si>
    <t>CR 500 kV 390 Mvar P.DUTRA BC1 MA</t>
  </si>
  <si>
    <t>0000109/2018</t>
  </si>
  <si>
    <t>MACEIO</t>
  </si>
  <si>
    <t>Instalação de proteção diferencial de barras.</t>
  </si>
  <si>
    <t>0000748/2009</t>
  </si>
  <si>
    <t>Instalação de Registrador Digital de Perturbações - RDP Para atender a função TR 230/69 kV P.DUTRA TF1 MA.
Aumento da observabilidade pela inclusão de entradas analógicas para atendimento aos requisitos do Procedimento de Rede e disponibilização do protocolo IEC61850.</t>
  </si>
  <si>
    <t>MG P.DUTRA / CCO-2001-058 - RB</t>
  </si>
  <si>
    <t>0000236/2019</t>
  </si>
  <si>
    <t>Instalação de Registrador Digital de Perturbações - RDP</t>
  </si>
  <si>
    <t>0000238/2019</t>
  </si>
  <si>
    <t>0000237/2019</t>
  </si>
  <si>
    <t>0000240/2019</t>
  </si>
  <si>
    <t>0000239/2019</t>
  </si>
  <si>
    <t>0000241/2019</t>
  </si>
  <si>
    <t>0000242/2019</t>
  </si>
  <si>
    <t>0000245/2019</t>
  </si>
  <si>
    <t>0000244/2019</t>
  </si>
  <si>
    <t>Instalação de Registrador Digital de Perturbações - RDP para monitoramento do equipamento RT 500 kV 148 Mvar P.DUTRA 11 MA.</t>
  </si>
  <si>
    <t>LT 500 kV TERESINA II / P.DUTRA C -2 PI/MA</t>
  </si>
  <si>
    <t>0000243/2019</t>
  </si>
  <si>
    <t>MG IMPERATRIZ / CCO-2001-058 - RBF</t>
  </si>
  <si>
    <t>0000249/2019</t>
  </si>
  <si>
    <t>0000250/2019</t>
  </si>
  <si>
    <t>MG IMPERATRIZ / CCO-2001-058 - RB</t>
  </si>
  <si>
    <t>0000251/2019</t>
  </si>
  <si>
    <t>0000253/2019</t>
  </si>
  <si>
    <t>0000255/2019</t>
  </si>
  <si>
    <t>0000256/2019</t>
  </si>
  <si>
    <t>0000254/2019</t>
  </si>
  <si>
    <t>0000257/2019</t>
  </si>
  <si>
    <t>SUBSTITUIÇÃO DO TC DO DISJUNTOR PDDJ7-02 FASE V Nº DE SÉRIE SP 17936</t>
  </si>
  <si>
    <t>0000258/2019</t>
  </si>
  <si>
    <t>ABUNA</t>
  </si>
  <si>
    <t>MG ABUNA / CCO-2001-058 - RB</t>
  </si>
  <si>
    <t>0000283/2019</t>
  </si>
  <si>
    <t>MARIMBONDO</t>
  </si>
  <si>
    <t xml:space="preserve">Instalação do controle dos seguintes vãos:  500KV [ VÃO UG01 (DJ - 9012); VÃO UG02 (DJ - 9242); VÃO UG03 (DJ - 9132 e 9032); VÃO UG04 (DJ - 9462); VÃO UG05 (DJ - 9352); VÃO UG05 (DJ - 9352); VÃO UG06 (DJ - 9062); VÃO UG07 (DJ - 9572 e 9072);VÃO UG08 (DJ - 9682); VÃO UG09 (DJ - 9022); VÃO LIMRIMAR1 (DJ - 9042); VÃO LIMRIMAR2 (DJ - 9052); VÃO LI MRAV(DJ - 9082)]; </t>
  </si>
  <si>
    <t>Supervisão e Controle</t>
  </si>
  <si>
    <t>0000209/2018</t>
  </si>
  <si>
    <t>Instalação do controle dos seguintes vãos: 345KV [ VÃO LTMRCL (DJ - 8522) ] e UAC de Serviços auxiliares.</t>
  </si>
  <si>
    <t>0000210/2018</t>
  </si>
  <si>
    <t>Substituição de Registrador Digital de Perturbações - RDP do equipamento RT 230 kV 30 Mvar ABUNA 4 RO.</t>
  </si>
  <si>
    <t>0000289/2019</t>
  </si>
  <si>
    <t>ARIQUEMES</t>
  </si>
  <si>
    <t>Substituição de Registrador Digital de Perturbações - RDP do equipamento TR 230 / 69 kV ARIQUEMES TF1 RO.</t>
  </si>
  <si>
    <t>MG ARIQUEMES / CCO-2001-058 - RB</t>
  </si>
  <si>
    <t>0000294/2019</t>
  </si>
  <si>
    <t>Substituição de Registrador Digital de Perturbações - RDP do equipamento TR 230 / 69 kV ARIQUEMES TF2 RO.</t>
  </si>
  <si>
    <t>0000295/2019</t>
  </si>
  <si>
    <t>Instalação de Registrador Digital de Perturbações - RDP para atender a função RT 230 kV 20 Mvar ARIQUEMES 1 RO.</t>
  </si>
  <si>
    <t>0000296/2019</t>
  </si>
  <si>
    <t>BARRA PEIXE</t>
  </si>
  <si>
    <t>MG BARRA PEIXE / CCO-2001-058 - RB</t>
  </si>
  <si>
    <t>0000302/2019</t>
  </si>
  <si>
    <t>0000304/2019</t>
  </si>
  <si>
    <t>CARAJAS</t>
  </si>
  <si>
    <t>Substituição de Registrador Digital de Perturbações - RDP do equipamento BC 230 kV 30 Mvar CARAJAS 1 PA.</t>
  </si>
  <si>
    <t>MG CARAJAS / CCO-2001-058 - RB</t>
  </si>
  <si>
    <t>0000305/2019</t>
  </si>
  <si>
    <t>MG COELHO NETO / CCO-2001-058 - RB</t>
  </si>
  <si>
    <t>0000307/2019</t>
  </si>
  <si>
    <t>Substituição de Registrador Digital de Perturbações - RDP do equipamento TR 230 / 69 kV COELHO NETO TF2 MA.</t>
  </si>
  <si>
    <t>0000308/2019</t>
  </si>
  <si>
    <t>0000311/2019</t>
  </si>
  <si>
    <t>COLINAS</t>
  </si>
  <si>
    <t>Instalação de Registrador Digital de Perturbações - RDP Para atender a função RT 500 kV 137 Mvar COLINAS 4 TO.</t>
  </si>
  <si>
    <t>MG COLINAS / CCO-2001-058 - RB</t>
  </si>
  <si>
    <t>0000312/2019</t>
  </si>
  <si>
    <t>COXIPO</t>
  </si>
  <si>
    <t>MG COXIPO / CCO-2001-058 - RB</t>
  </si>
  <si>
    <t>0000322/2019</t>
  </si>
  <si>
    <t>0000323/2019</t>
  </si>
  <si>
    <t>JARU</t>
  </si>
  <si>
    <t>Instalação de Registrador Digital de Perturbações - RDP para atender a função TR 230/69 kV JARU 1 RO.</t>
  </si>
  <si>
    <t>MG JARU / CCO-2001-058 - RB</t>
  </si>
  <si>
    <t>0000327/2019</t>
  </si>
  <si>
    <t>SE JAURU</t>
  </si>
  <si>
    <t>Substituição de Registrador Digital de Perturbações - RDP do equipamento TR 230 / 138 kV JAURU 1 MT.</t>
  </si>
  <si>
    <t>MG JAURU / CCO-2001-058 - RB</t>
  </si>
  <si>
    <t>0000330/2019</t>
  </si>
  <si>
    <t>JAURU</t>
  </si>
  <si>
    <t>Instalar Registrador Digital de Perturbação - RDP para monitoramento do equipamento RT 230 kV 30 Mvar JAURU 3 MT.</t>
  </si>
  <si>
    <t>LT 230 kV JAURU / VARZ.GRANDE 2 C 1 MT</t>
  </si>
  <si>
    <t>0000331/2019</t>
  </si>
  <si>
    <t>Instalação de Registrador Digital de Perturbações - RDP para monitoramento do equipamento RT 230 kV 30 Mvar JAURU 4 MT.</t>
  </si>
  <si>
    <t>LT 230 kV JAURU / VARZ.GRANDE 2 C 2 MT</t>
  </si>
  <si>
    <t>0000332/2019</t>
  </si>
  <si>
    <t>MG JI-PARANA / CCO-2001-058 - RB</t>
  </si>
  <si>
    <t>0000333/2019</t>
  </si>
  <si>
    <t>0000335/2019</t>
  </si>
  <si>
    <t>0000336/2019</t>
  </si>
  <si>
    <t>0000338/2019</t>
  </si>
  <si>
    <t>L.D.RIO VERDE</t>
  </si>
  <si>
    <t>Instalação de Registrador Digital de Perturbações - RDP para atender a função TR 230/138 kV L.D.Rio Verde ATR1 MT.</t>
  </si>
  <si>
    <t>MG L.D.RIO VERDE / CCO-2001-058 - RB</t>
  </si>
  <si>
    <t>0000343/2019</t>
  </si>
  <si>
    <t>0000340/2019</t>
  </si>
  <si>
    <t>MARABA</t>
  </si>
  <si>
    <t>Substituição de Registrador Digital de Perturbações - RDP do equipamento TR 500 / 230 kV MARABA 2 PA.</t>
  </si>
  <si>
    <t>MG MARABA / CCO-2001-058 - RB</t>
  </si>
  <si>
    <t>0000345/2019</t>
  </si>
  <si>
    <t>0000344/2019</t>
  </si>
  <si>
    <t>0000346/2019</t>
  </si>
  <si>
    <t>0000348/2019</t>
  </si>
  <si>
    <t>0000347/2019</t>
  </si>
  <si>
    <t>0000352/2019</t>
  </si>
  <si>
    <t>0000350/2019</t>
  </si>
  <si>
    <t>0000351/2019</t>
  </si>
  <si>
    <t>0000353/2019</t>
  </si>
  <si>
    <t>MIRACEMA</t>
  </si>
  <si>
    <t>Instalação de Registrador Digital de Perturbações - RDP para atender a função TR 500 / 138 kV MIRACEMA TF1 TO.</t>
  </si>
  <si>
    <t>MG MIRACEMA / CCO-2001-058 - RB</t>
  </si>
  <si>
    <t>0000354/2019</t>
  </si>
  <si>
    <t>NOVA MUTUM</t>
  </si>
  <si>
    <t>MG NOVA MUTUM / CCO-2001-058 - RB</t>
  </si>
  <si>
    <t>0000360/2019</t>
  </si>
  <si>
    <t>Instalação de Registrador Digital de Perturbações - RDP para atender a função TR 230 / 69 kV PERITORO TF1 MA.</t>
  </si>
  <si>
    <t>MG PERITORO / CCO-2001-058 - RB</t>
  </si>
  <si>
    <t>0000361/2019</t>
  </si>
  <si>
    <t>Instalação de Registrador Digital de Perturbações - RDP Para atender a função TR 230 / 138 kV PORTO FRANCO 1 MA.
Aumento da observabilidade pela inclusão de entradas analógicas para atendimento aos requisitos do Procedimento de Rede e disponibilização do protocolo IEC61850.</t>
  </si>
  <si>
    <t>MG PORTO FRANCO / CCO-2001-058 - RB</t>
  </si>
  <si>
    <t>0000371/2019</t>
  </si>
  <si>
    <t>Instalação de Registrador Digital de Perturbações - RDP Para atender a função TR 230 / 69 kV PORTO VELHO TF3 RO</t>
  </si>
  <si>
    <t>MG PORTO VELHO / CCO-2001-058 - RB</t>
  </si>
  <si>
    <t>0000377/2019</t>
  </si>
  <si>
    <t>Instalação de Registrador Digital de Perturbações - RDP Para atender a função TR 230 / 69 kV PORTO FRANCO TF1 MA.
Aumento da observabilidade pela inclusão de entradas analógicas para atendimento aos requisitos do Procedimento de Rede e disponibilização do protocolo IEC61850.</t>
  </si>
  <si>
    <t>0000373/2019</t>
  </si>
  <si>
    <t>Instalação de Registrador Digital de Perturbações - RDP Para atender a função TR 230 / 69 kV PORTO FRANCO TF2 MA.
Aumento da observabilidade pela inclusão de entradas analógicas para atendimento aos requisitos do Procedimento de Rede e disponibilização do protocolo IEC61850.</t>
  </si>
  <si>
    <t>0000374/2019</t>
  </si>
  <si>
    <t>RIO BRANCO I</t>
  </si>
  <si>
    <t>Instalação de Registrador Digital de Perturbações - RDP para atender a função TR 230/138 RIO BRANCO I ATR1 AC.</t>
  </si>
  <si>
    <t>MG RIO BRANCO I / CCO-2001-058 - RB</t>
  </si>
  <si>
    <t>0000382/2019</t>
  </si>
  <si>
    <t>MG RONDONOPOLIS / CCO-2001-058 - RB</t>
  </si>
  <si>
    <t>0000386/2019</t>
  </si>
  <si>
    <t>0000387/2019</t>
  </si>
  <si>
    <t>0000390/2019</t>
  </si>
  <si>
    <t>0000392/2019</t>
  </si>
  <si>
    <t>Instalação de Registrador Digital de Perturbações - RDP para atender a função RT 230 kV 30 Mvar RONDONOPOLIS 1 MT.</t>
  </si>
  <si>
    <t>0000391/2019</t>
  </si>
  <si>
    <t>SANTA MARIA</t>
  </si>
  <si>
    <t>MG SANTA MARIA / CCO-2001-058 - RB</t>
  </si>
  <si>
    <t>0000398/2019</t>
  </si>
  <si>
    <t>Instalação de Registrador Digital de Perturbações - RDP Para atender a função TR 230/69 kV SAO LUIS I TF3 MA</t>
  </si>
  <si>
    <t>MG SAO LUIS I / CCO-2001-058 - RB</t>
  </si>
  <si>
    <t>0000404/2019</t>
  </si>
  <si>
    <t>Instalação de Registrador Digital de Perturbações - RDP Para atender a função TR 230/69 kV SAO LUIS I TF1 MA</t>
  </si>
  <si>
    <t>0000402/2019</t>
  </si>
  <si>
    <t>Instalação de Registrador Digital de Perturbações - RDP Para atender a função TR 230/69 kV SAO LUIS I TF4 MA.</t>
  </si>
  <si>
    <t>0000405/2019</t>
  </si>
  <si>
    <t>Instalação de Registrador Digital de Perturbações - RDP Para atender a função TR 500/230 kV SAO LUIS II 1 MA.</t>
  </si>
  <si>
    <t>MG SAO LUIS II / CCO-2001-058 - RB</t>
  </si>
  <si>
    <t>0000408/2019</t>
  </si>
  <si>
    <t>Instalação de Registrador Digital de Perturbações - RDP Para atender a função TR 500 / 230 kV SAO LUIS II 2 MA.</t>
  </si>
  <si>
    <t>0000409/2019</t>
  </si>
  <si>
    <t>0000415/2019</t>
  </si>
  <si>
    <t>0000413/2019</t>
  </si>
  <si>
    <t>0000414/2019</t>
  </si>
  <si>
    <t>0000416/2019</t>
  </si>
  <si>
    <t>SINOP</t>
  </si>
  <si>
    <t>MG SINOP / CCO-2001-058 - RB</t>
  </si>
  <si>
    <t>0000418/2019</t>
  </si>
  <si>
    <t>0000420/2019</t>
  </si>
  <si>
    <t>0000422/2019</t>
  </si>
  <si>
    <t>0000421/2019</t>
  </si>
  <si>
    <t>MG SORRISO / CCO-2001-058 - RB</t>
  </si>
  <si>
    <t>0000424/2019</t>
  </si>
  <si>
    <t>0000423/2019</t>
  </si>
  <si>
    <t>VILA DO CONDE</t>
  </si>
  <si>
    <t>MG VILA DO CONDE / CCO-2001-058 - RB</t>
  </si>
  <si>
    <t>0000435/2019</t>
  </si>
  <si>
    <t>0000436/2019</t>
  </si>
  <si>
    <t>SUBSTITUIÇÃO DE TRANSFORMADOR DE CORRENTE 500 KV</t>
  </si>
  <si>
    <t>0000444/2019</t>
  </si>
  <si>
    <t>C.GRANDE II</t>
  </si>
  <si>
    <t>2 Disjuntores n° 11E1 e 11E2</t>
  </si>
  <si>
    <t>0000168/2008</t>
  </si>
  <si>
    <t>SUB CAMPINAS - 345</t>
  </si>
  <si>
    <t>Substituição de PARA-RAIOS PARARAIOS LTCAGA STCA FASE A</t>
  </si>
  <si>
    <t>LTCAGA</t>
  </si>
  <si>
    <t>0003876/2016</t>
  </si>
  <si>
    <t>Substituição de PARA-RAIOS PARARAIOS LTCAGA STCA FASE B</t>
  </si>
  <si>
    <t>0003877/2016</t>
  </si>
  <si>
    <t>Substituição de PARA-RAIOS PARARAIOS LTCAGA STCA FASE C</t>
  </si>
  <si>
    <t>0003878/2016</t>
  </si>
  <si>
    <t>Autotransformador AT01 500/230/13.8 kV : Sistema de Proteção, Supervisão e circuitos secundários de corrente, potencial e controle.</t>
  </si>
  <si>
    <t>0018995/2015</t>
  </si>
  <si>
    <t>JACAREPAGUA</t>
  </si>
  <si>
    <t>Serviços auxiliares de corrente alternada (CA) da subestação. Modernização para automatismo do grupo Motor-Gerador.</t>
  </si>
  <si>
    <t>MG JACAREPAGUA / CCO-2001-062 - RB</t>
  </si>
  <si>
    <t>0019063/2015</t>
  </si>
  <si>
    <t>Substituição da proteção e controle de reator</t>
  </si>
  <si>
    <t>RTL 500 kV 136 MVAr COLINAS RT1 TO</t>
  </si>
  <si>
    <t>0000790/2019</t>
  </si>
  <si>
    <t>RTL 500 kV 136 MVAr COLINAS RT2 TO</t>
  </si>
  <si>
    <t>0000791/2019</t>
  </si>
  <si>
    <t>RTL 500 kV 136 MVAr MIRACEMA RT1 TO</t>
  </si>
  <si>
    <t>0000793/2019</t>
  </si>
  <si>
    <t>RTL 500 kV 136 Mvar MIRACEMA RT2 TO</t>
  </si>
  <si>
    <t>0000794/2019</t>
  </si>
  <si>
    <t>RT 500 kV 136 Mvar MIRACEMA RT3 TO</t>
  </si>
  <si>
    <t>0000795/2019</t>
  </si>
  <si>
    <t>RTL 500 kV 136 Mvar IMPERATRIZ RT4 MA</t>
  </si>
  <si>
    <t>0000796/2019</t>
  </si>
  <si>
    <t>Substituição da proteção e controle diferencial de barras da cadeia principal da barra IZBR7-02, contemplando uma unidade central com capacidade de no mínimo oito vãos e seis unidades de bay (bays unit). Instalação da proteção e controle diferencial de barras da cadeia alternada da barra IZBR7-02, contemplando uma unidade central com capacidade de no mínimo oito vãos e seis unidades de bay (bays unit).</t>
  </si>
  <si>
    <t>IZBR7-02</t>
  </si>
  <si>
    <t>0000802/2019</t>
  </si>
  <si>
    <t xml:space="preserve">Substituição da proteção e controle diferencial de barras da cadeia principal da barra IZBR7-01, contemplando uma unidade central com capacidade de no mínimo sete vãos e oito unidades de bay (bays unit). Instalação da proteção e controle diferencial de barras da cadeia alternada da barra IZBR7-01, contemplando uma unidade central com capacidade de no mínimo sete vãos e oito unidades de bay (bays unit). </t>
  </si>
  <si>
    <t>IZBR7-01</t>
  </si>
  <si>
    <t>0000801/2019</t>
  </si>
  <si>
    <t>Substituição da proteção e controle diferencial de barras da cadeia principal da barra MCBR7-01, contemplando uma unidade central com capacidade de no mínimo dez vãos e quatro unidades de bay (bays unit). Instalação da proteção e controle diferencial de barras da cadeia alternada da barra MCBR7-01, contemplando uma unidade central com capacidade de no mínimo dez vãos e quatro unidades de bay (bays unit).</t>
  </si>
  <si>
    <t>MCBR7-01</t>
  </si>
  <si>
    <t>0000803/2019</t>
  </si>
  <si>
    <t>Autotransformadores AT2A 345/138/13,8 kV- Sistema de Proteção, Supervisão e circuitos secundários de corrente, potencial e controle.</t>
  </si>
  <si>
    <t>MG ADRIANOPOLIS / CCO-2001-062 - RB</t>
  </si>
  <si>
    <t>0019005/2015</t>
  </si>
  <si>
    <t xml:space="preserve">Substituição da proteção e controle diferencial de barras da cadeia principal da barra MCBR7-02, contemplando uma unidade central com capacidade de no mínimo dez vãos e duas unidades de bay (bays unit). Instalação da proteção e controle diferencial de barras da cadeia alternada da barra MCBR7-02, contemplando uma unidade central com capacidade de no mínimo dez vãos e duas unidades de bay (bays unit). </t>
  </si>
  <si>
    <t>MCBR7-02</t>
  </si>
  <si>
    <t>0000804/2019</t>
  </si>
  <si>
    <t>Substituição da proteção e controle diferencial de barras</t>
  </si>
  <si>
    <t>MBBR7-01</t>
  </si>
  <si>
    <t>0000805/2019</t>
  </si>
  <si>
    <t>MBBR7-02</t>
  </si>
  <si>
    <t>0000806/2019</t>
  </si>
  <si>
    <t>SUB P.DUTRA - 500</t>
  </si>
  <si>
    <t>PDBR7-01</t>
  </si>
  <si>
    <t>0000807/2019</t>
  </si>
  <si>
    <t>LDBR7-01</t>
  </si>
  <si>
    <t>0000809/2019</t>
  </si>
  <si>
    <t>LDBR7-02</t>
  </si>
  <si>
    <t>0000810/2019</t>
  </si>
  <si>
    <t>PDBR7-02</t>
  </si>
  <si>
    <t>0000808/2019</t>
  </si>
  <si>
    <t>TUCURUI</t>
  </si>
  <si>
    <t>TCBR7-01</t>
  </si>
  <si>
    <t>0000811/2019</t>
  </si>
  <si>
    <t>TCBR7-03</t>
  </si>
  <si>
    <t>0000813/2019</t>
  </si>
  <si>
    <t>TCBR7-02</t>
  </si>
  <si>
    <t>0000812/2019</t>
  </si>
  <si>
    <t>TCBR7-04</t>
  </si>
  <si>
    <t>0000814/2019</t>
  </si>
  <si>
    <t>Substituição da proteção e controle de linha de transmissão</t>
  </si>
  <si>
    <t>LT 500 kV MARABA /TUCURUI C-1 PA</t>
  </si>
  <si>
    <t>0000815/2019</t>
  </si>
  <si>
    <t>LT 500 kV IMPERATRIZ /P.DUTRA C-1 MA</t>
  </si>
  <si>
    <t>0000816/2019</t>
  </si>
  <si>
    <t>LT 500 kV IMPERATRIZ /P.DUTRA C-2 MA</t>
  </si>
  <si>
    <t>0000818/2019</t>
  </si>
  <si>
    <t>0000817/2019</t>
  </si>
  <si>
    <t>LT 500 kV MARABA /TUCURUI C-2 PA</t>
  </si>
  <si>
    <t>0000819/2019</t>
  </si>
  <si>
    <t>0000820/2019</t>
  </si>
  <si>
    <t>RT 500 kV 136 Mvar SAO LUIS II RT3 MA</t>
  </si>
  <si>
    <t>0000821/2019</t>
  </si>
  <si>
    <t xml:space="preserve">RTL 500 kV 136 MVAr MARABA RT4 PA </t>
  </si>
  <si>
    <t>0000824/2019</t>
  </si>
  <si>
    <t>RTB 500 kV 150 MVAr P.DUTRA RT1 MA</t>
  </si>
  <si>
    <t>0000825/2019</t>
  </si>
  <si>
    <t>RTL 500 kV 136 MVAr P.DUTRA RT2 MA</t>
  </si>
  <si>
    <t>0000826/2019</t>
  </si>
  <si>
    <t>RTL 500 kV 136 MVAr P.DUTRA RT3 MA</t>
  </si>
  <si>
    <t>0000827/2019</t>
  </si>
  <si>
    <t>RTB 500 kV 163 MVAr P.DUTRA RT9 MA</t>
  </si>
  <si>
    <t>0000828/2019</t>
  </si>
  <si>
    <t>RTB 500 kV 136 Mvar IMPERATRIZ RT6 MA</t>
  </si>
  <si>
    <t>0000830/2019</t>
  </si>
  <si>
    <t>Reator RTSMSB1 da LT 500 kV  Samambaia - Serra da Mesa C1: Sistema de Proteção, Supervisão e circuitos secundários de corrente, potencial e controle.</t>
  </si>
  <si>
    <t>0019036/2015</t>
  </si>
  <si>
    <t>RTL 500 kV 136 Mvar IMPERATRIZ RT12 MA</t>
  </si>
  <si>
    <t>0000831/2019</t>
  </si>
  <si>
    <t>RTB 500 kV 165 Mvar IMPERATRIZ RT14 MA</t>
  </si>
  <si>
    <t>0000833/2019</t>
  </si>
  <si>
    <t>Substituição de SECIONADOR SC811</t>
  </si>
  <si>
    <t>CT AT01</t>
  </si>
  <si>
    <t>0004040/2016</t>
  </si>
  <si>
    <t>Substituição de SECIONADOR SC8781</t>
  </si>
  <si>
    <t>0004041/2016</t>
  </si>
  <si>
    <t>RTB 500 kV 165 Mvar IMPERATRIZ RT11 MA</t>
  </si>
  <si>
    <t>0000832/2019</t>
  </si>
  <si>
    <t>Substituição de SECIONADOR SC8783</t>
  </si>
  <si>
    <t>0004042/2016</t>
  </si>
  <si>
    <t>Substituição da proteção e controle de autotransformador</t>
  </si>
  <si>
    <t>TR 500/230 kV IMPERATRIZ TR2 MA</t>
  </si>
  <si>
    <t>0000839/2019</t>
  </si>
  <si>
    <t>TR 500/230 kV SAO LUIS II TR1 MA</t>
  </si>
  <si>
    <t>0000840/2019</t>
  </si>
  <si>
    <t>TR 500/230 kV SAO LUIS II TR2 MA</t>
  </si>
  <si>
    <t>0000841/2019</t>
  </si>
  <si>
    <t>SUBSTITUIÇÃO DE UMA BUCHA CONDENSIVA DE 230KV EM UM AUTOTRANSFORMADOR MONOFÁSICO, FABRICAÇÃO BBC, CÓDIGO OPERACIONAL PDAT7-01 FASE A.</t>
  </si>
  <si>
    <t>TR 500/230 kV P.DUTRA TR1 MA</t>
  </si>
  <si>
    <t>0000770/2018</t>
  </si>
  <si>
    <t>SUBSTITUIÇÃO DE UMA BUCHA CONDENSIVA DE 230KV EM UM AUTOTRANSFORMADOR MONOFÁSICO, FABRICAÇÃO BBC, CÓDIGO OPERACIONAL PDAT7-01 FASE B.</t>
  </si>
  <si>
    <t>0000772/2018</t>
  </si>
  <si>
    <t>SUBSTITUIÇÃO DE UMA BUCHA CONDENSIVA DE 230KV EM UM AUTOTRANSFORMADOR MONOFÁSICO, FABRICAÇÃO BBC, CÓDIGO OPERACIONAL PDAT7-01 FASE V.</t>
  </si>
  <si>
    <t>0000775/2018</t>
  </si>
  <si>
    <t>0000873/2019</t>
  </si>
  <si>
    <t>RTL 500 kV 136 MVAr MARABA RT1 PA</t>
  </si>
  <si>
    <t>0000874/2019</t>
  </si>
  <si>
    <t>RTL 500 kV 136 MVAr MARABA RT2 PA</t>
  </si>
  <si>
    <t>0000875/2019</t>
  </si>
  <si>
    <t>RTL 500 kV 136 MVAr MARABA RT3 PA</t>
  </si>
  <si>
    <t>0000876/2019</t>
  </si>
  <si>
    <t>0000877/2019</t>
  </si>
  <si>
    <t>RTL 500 kV 150 MVAr P.DUTRA RT4 MA</t>
  </si>
  <si>
    <t>0000878/2019</t>
  </si>
  <si>
    <t>RTL 500 kV 136 MVAr P.DUTRA RT7 MA</t>
  </si>
  <si>
    <t>0000879/2019</t>
  </si>
  <si>
    <t>Substituição da proteção e controle de reator.</t>
  </si>
  <si>
    <t>RTL 500 kV 150 Mvar IMPERATRIZ RT2 MA</t>
  </si>
  <si>
    <t>0000880/2019</t>
  </si>
  <si>
    <t>RTL 500 kV 150 Mvar IMPERATRIZ RT1 MA</t>
  </si>
  <si>
    <t>0000881/2019</t>
  </si>
  <si>
    <t>RTL 500 kV 100 Mvar IMPERATRIZ RT3 MA</t>
  </si>
  <si>
    <t>0000882/2019</t>
  </si>
  <si>
    <t>Instalação de Registrador Digital de Perturbações - RDP para atender a função TR 230/69 kV RIO BRANCO I TF2 AC.</t>
  </si>
  <si>
    <t>TR 230/69 kV RIO BRANCO I TF2 AC</t>
  </si>
  <si>
    <t>0000891/2019</t>
  </si>
  <si>
    <t>LT 500 kV GURUPI /MIRACEMA C-1 TO</t>
  </si>
  <si>
    <t>0000897/2019</t>
  </si>
  <si>
    <t>LT 500 kV COLINAS /MIRACEMA C-1 TO</t>
  </si>
  <si>
    <t>0000899/2019</t>
  </si>
  <si>
    <t>0000898/2019</t>
  </si>
  <si>
    <t>LT 500 kV IMPERATRIZ /MARABA C-1 MA/PA</t>
  </si>
  <si>
    <t>0000902/2019</t>
  </si>
  <si>
    <t>LT 500 kV IMPERATRIZ /COLINAS C-1 MA/TO</t>
  </si>
  <si>
    <t>0000900/2019</t>
  </si>
  <si>
    <t>0000901/2019</t>
  </si>
  <si>
    <t>0000904/2019</t>
  </si>
  <si>
    <t>LT 500 kV IMPERATRIZ /MARABA C-2 MA/PA</t>
  </si>
  <si>
    <t>0000903/2019</t>
  </si>
  <si>
    <t>Autotransformadores AT1B 345/138/13,8 kV- Sistema de Proteção, Supervisão e circuitos secundários de corrente, potencial e controle.</t>
  </si>
  <si>
    <t>0019004/2015</t>
  </si>
  <si>
    <t>0000905/2019</t>
  </si>
  <si>
    <t>0000906/2019</t>
  </si>
  <si>
    <t>LT 500 kV MIRANDA II /P.DUTRA C-2 MA</t>
  </si>
  <si>
    <t>0000907/2019</t>
  </si>
  <si>
    <t>LT 500 kV SAO LUIS II /MIRANDA II C-1 MA</t>
  </si>
  <si>
    <t>0000912/2019</t>
  </si>
  <si>
    <t>LT 500 kV P.DUTRA /S.ANTON LOPES C-1 MA</t>
  </si>
  <si>
    <t>0000908/2019</t>
  </si>
  <si>
    <t>LT 500 kV SAO LUIS II /MIRANDA II C-2 MA</t>
  </si>
  <si>
    <t>0000913/2019</t>
  </si>
  <si>
    <t>Substituição da proteção e controle de transformador</t>
  </si>
  <si>
    <t>TR 500/138 kV MIRACEMA TF1 TO</t>
  </si>
  <si>
    <t>0000914/2019</t>
  </si>
  <si>
    <t>Substituição de Registrador Digital de Perturbações - RDP</t>
  </si>
  <si>
    <t>RT 230 kV 20 Mvar RIO BRANCO I RT2 AC</t>
  </si>
  <si>
    <t>0000917/2019</t>
  </si>
  <si>
    <t>SUBSTITUIÇÃO DE UMA BUCHA CONDENSIVA DE 500KV EM UM AUTOTRANSFORMADOR MONOFÁSICO, FABRICAÇÃO BBC, CÓDIGO OPERACIONAL PDAT7-01 FASE RESERVA.</t>
  </si>
  <si>
    <t>TRR 500/230 kV P.DUTRA TRR1 MA</t>
  </si>
  <si>
    <t>0000856/2018</t>
  </si>
  <si>
    <t>SUBSTITUIÇÃO DE UMA BUCHA CONDENSIVA DE 230KV EM UM AUTOTRANSFORMADOR MONOFÁSICO, FABRICAÇÃO BBC, CÓDIGO OPERACIONAL PDAT7-01 FASE RESERVA.</t>
  </si>
  <si>
    <t>0000859/2018</t>
  </si>
  <si>
    <t>SUBSTITUIÇÃO DE UMA BUCHA CONDENSIVA DE 500KV EM UM AUTOTRANSFORMADOR MONOFÁSICO, FABRICAÇÃO BBC, CÓDIGO OPERACIONAL LDAT7-02 FASE V.</t>
  </si>
  <si>
    <t>0000893/2018</t>
  </si>
  <si>
    <t>Desativação por fim de vida útil do banco AT02 345/138 kV.</t>
  </si>
  <si>
    <t>BANCO DE AUTOTRANSFORMADORES</t>
  </si>
  <si>
    <t>0013707/2016</t>
  </si>
  <si>
    <t>Substituição de TRAFO DE POTENCIA AT04 FASE A</t>
  </si>
  <si>
    <t>0013708/2016</t>
  </si>
  <si>
    <t>BRAS. SUL</t>
  </si>
  <si>
    <t xml:space="preserve">  Revitalização completa de duas unidades (números de série: 45972 e 45973), retiradas do banco AT02 da mesma subestação, e de um transformador (número de série: 46599), retirado da subestação Campinas. As três unidades serão instaladas no banco AT01. (verificar GEQ.O.I.080.2020)</t>
  </si>
  <si>
    <t>TR 345/138 kV BRAS. SUL TR1 DF</t>
  </si>
  <si>
    <t>0000986/2019</t>
  </si>
  <si>
    <t>0000987/2019</t>
  </si>
  <si>
    <t>0000989/2019</t>
  </si>
  <si>
    <t>REVITALIZAÇÃO DE UM REATOR DERIVAÇÃO MONOFÁSICO, CÓDIGO OPERACIONAL PDRE7-08 FASE A, CONTEMPLANDO: PINTURA COMPLETA, SUBSTITUIÇÃO DE TODAS AS VEDAÇÕES, SUBSTITUIÇÃO DA MEMBRANA DO SISTEMA DE SELAGEM, SUBSTITUIÇÃO DE INSTRUMENTOS FÍSICOS E VÁLVULAS.</t>
  </si>
  <si>
    <t>LT 500 kV TERESINA II /P.DUTRA C-1 PI/MA</t>
  </si>
  <si>
    <t>0000940/2018</t>
  </si>
  <si>
    <t>REVITALIZAÇÃO DE UM REATOR DERIVAÇÃO MONOFÁSICO, CÓDIGO OPERACIONAL PDRE7-08 FASE V, CONTEMPLANDO: PINTURA COMPLETA, SUBSTITUIÇÃO DE TODAS AS VEDAÇÕES, SUBSTITUIÇÃO DA MEMBRANA DO SISTEMA DE SELAGEM, SUBSTITUIÇÃO DE INSTRUMENTOS FÍSICOS E VÁLVULAS.</t>
  </si>
  <si>
    <t>0000942/2018</t>
  </si>
  <si>
    <t>REVITALIZAÇÃO DE UM REATOR DERIVAÇÃO MONOFÁSICO, CÓDIGO OPERACIONAL PDRE7-08 FASE B, CONTEMPLANDO: PINTURA COMPLETA, SUBSTITUIÇÃO DE TODAS AS VEDAÇÕES, SUBSTITUIÇÃO DA MEMBRANA DO SISTEMA DE SELAGEM, SUBSTITUIÇÃO DE INSTRUMENTOS FÍSICOS E VÁLVULAS.</t>
  </si>
  <si>
    <t>0000941/2018</t>
  </si>
  <si>
    <t>REVITALIZAÇÃO DE UM TRANSFORMADOR TRIFÁSICO, CÓDIGO OPERACIONAL CHTF6-01, CONTEMPLANDO: PINTURA COMPLETA, SUBSTITUIÇÃO DE TODAS AS VEDAÇÕES, SUBSTITUIÇÃO DA MEMBRANA DO SISTEMA DE SELAGEM, SUBSTITUIÇÃO DE UM RELÉ DE GÁS, SUBSTITUIÇÃO DE UM INDICADOR DE NÍVEL DE ÓLEO ISOLANTE, SUBSTITUIÇÃO DE UMA VÁLVULA DE ALÍVIIO DE PRESSÃO, SUBSTITUIÇÃO DAS VÁLVULAS ISOLADORAS DOS RADIADORES, SUBSTITUIÇÃO DO PAINEL DE COMANDO DA VENTILAÇÃO FORÇADA.</t>
  </si>
  <si>
    <t>TR 230/69 kV COELHO NETO TF1 MA</t>
  </si>
  <si>
    <t>0000944/2018</t>
  </si>
  <si>
    <t>ITABERA</t>
  </si>
  <si>
    <t>765</t>
  </si>
  <si>
    <t>Substituição da Fase B (2R8618-5)</t>
  </si>
  <si>
    <t>RT 765 kV 329 Mvar ITABERA RT1 SP</t>
  </si>
  <si>
    <t>0000998/2019</t>
  </si>
  <si>
    <t>SUBSTITUIÇÃO DE UMA BUCHA CONDENSIVA DE 230KV FASE A DO TRANSFORMADOR TRIFÁSICO DE CÓDIGO OPERACIONAL IZTF6-04.</t>
  </si>
  <si>
    <t>TR 230/69 kV IMPERATRIZ TF4 MA</t>
  </si>
  <si>
    <t>0000952/2018</t>
  </si>
  <si>
    <t>SUBSTITUIÇÃO DE UMA BUCHA CONDENSIVA DE 230KV FASE V DO TRANSFORMADOR TRIFÁSICO DE CÓDIGO OPERACIONAL IZTF6-04.</t>
  </si>
  <si>
    <t>0000956/2018</t>
  </si>
  <si>
    <t>SUB IVAIPORA - 765</t>
  </si>
  <si>
    <t>SUL/MS</t>
  </si>
  <si>
    <t>Substituição da Fase B (58558)</t>
  </si>
  <si>
    <t xml:space="preserve">RTL 750 kV 329 MVAr IVAIPORA RIA1 PR </t>
  </si>
  <si>
    <t>0001002/2019</t>
  </si>
  <si>
    <t>Substituição da Fase C (58557)</t>
  </si>
  <si>
    <t>RTL 750 kV 329 MVAr IVAIPORA RIA1 PR</t>
  </si>
  <si>
    <t>0001003/2019</t>
  </si>
  <si>
    <t>SUBSTITUIÇÃO DE UMA BUCHA CONDENSIVA DE 230KV FASE B DO TRANSFORMADOR TRIFÁSICO DE CÓDIGO OPERACIONAL IZTF6-04.</t>
  </si>
  <si>
    <t>0000954/2018</t>
  </si>
  <si>
    <t>SUBSTITUIÇÃO DOS PARA-RAIOS FASES A , B E V DA LINHA TCMB-LT7-01</t>
  </si>
  <si>
    <t>0013808/2016</t>
  </si>
  <si>
    <t>SUBSTITUIÇÃO DE 3 TRANSFORMADORES DE POTENCIAL CAPACITIVO FASES A, B e V DA LINHA TCMB-LT7-01</t>
  </si>
  <si>
    <t>0013809/2016</t>
  </si>
  <si>
    <t>Substituição do REATOR 500 kV MBRE7-01 FA.</t>
  </si>
  <si>
    <t>CR-MBRE7-01</t>
  </si>
  <si>
    <t>0000966/2018</t>
  </si>
  <si>
    <t>SUBSTITUIÇÃO DE 2 BOBINAS DE BLOQUEIO FASES B e V DA LINHA TCMB-LT7-01</t>
  </si>
  <si>
    <t>0013810/2016</t>
  </si>
  <si>
    <t>SUBSTITUIÇÃO DE 3 PARA-RAIOS-FASESA A , B e V DO MBRE7-01 - REATOR DE LINHA TCMB-LT7-01</t>
  </si>
  <si>
    <t>0013811/2016</t>
  </si>
  <si>
    <t>SUBSTITUIÇÃO DA SECCIONADORA 500 kV MBSD7-01 QUE FAZ PARTE DA EL DA TCMB-LT7-01</t>
  </si>
  <si>
    <t>0013813/2016</t>
  </si>
  <si>
    <t>SUBSTITUIÇÃO DA CHAVE SECCIONADORA IZCA7-08 DA LINHA IZPD-LT7-01</t>
  </si>
  <si>
    <t>0013821/2016</t>
  </si>
  <si>
    <t>SUBSTITUIÇÃO DE 3 PARA-RAIOS 500 kV 7PRRE DA LINHA IPDZ-LT7-01 LIGADO AO IZRE7-02</t>
  </si>
  <si>
    <t>0013823/2016</t>
  </si>
  <si>
    <t>SUBSTITUIÇÃO DE 3 BOBINAS DE BLOQUEIO FASES A, B , V  7BBZ DA LINHA PDBE-LT7-01</t>
  </si>
  <si>
    <t>LT 500 kV P.DUTRA /B. ESPERANCA C-1 MA/PI</t>
  </si>
  <si>
    <t>0013826/2016</t>
  </si>
  <si>
    <t>SUBSTITUIÇÃO DE 3 TRANSFORMADORES DE CORRENTE FASES A , B , V 7TCRE DO PDRE7-05 DA LT PDBE-LT7-01</t>
  </si>
  <si>
    <t>RTR 500 kV 33.3 MVAr P.DUTRA RTR5 MA</t>
  </si>
  <si>
    <t>0013827/2016</t>
  </si>
  <si>
    <t>SUBSTITUIÇÃO DE 3 PARA-RAIOS 500 kV  FASES A, B , V  7PRRE DO REATOR PDRE7-05 LADO ALTA DA LINHA PDBE-LT7-01</t>
  </si>
  <si>
    <t>0013828/2016</t>
  </si>
  <si>
    <t>SUBSTITUIÇÃO DE 3 PARA-RAIOS FASES A , B , V DO PDRE7-05 LIGADO A PDBE-LT7-01 LADO DE BAIXA   7PRRE</t>
  </si>
  <si>
    <t>0013829/2016</t>
  </si>
  <si>
    <t>SUBSTITUIÇÃO DE 3 PARA-RAIOS 500 kV  FASES A, B, V 7PRRE LADO ALTA DO PDRE7-06</t>
  </si>
  <si>
    <t>RTR 500 kV 60 Mvar P.DUTRA RTR6 MA</t>
  </si>
  <si>
    <t>0013834/2016</t>
  </si>
  <si>
    <t>SUBSTITUIÇÃO DE 3 TRANSFORMADORES DE CORRENTE FASES A, B , V 7TCCRE  DO PDRE7-06 DA LINHA PDBE-LET7-01</t>
  </si>
  <si>
    <t>0013833/2016</t>
  </si>
  <si>
    <t>SUBSTITUIÇÃO DE 3 PAR-RAIOS FASES A, B , V DO REATOR PDRE7-06 LADO BAIXA TENSÃO</t>
  </si>
  <si>
    <t>0013835/2016</t>
  </si>
  <si>
    <t>SUBSTITUIÇÃO DE 3 TRANSFORMADORES DE CORRENTE 500 kV  VÃO CY 7TC1Y, FASES A, B,V  DO MODULO CONEXÃO DE BARRAS DE 500 KV.</t>
  </si>
  <si>
    <t>0013837/2016</t>
  </si>
  <si>
    <t>SUBSTITUIÇÃO DE 3 TRANSFORMADORES DE CORRENTE 500 kV  VÃO CY 7TC2Y, FASES A, B,V  DO MODULO CONEXÃO DE BARRAS DE 500 KV.</t>
  </si>
  <si>
    <t>0013838/2016</t>
  </si>
  <si>
    <t>SUBSTITUIÇÃO DE 3 PARA-RAIOS 500 kV FASES A, B, V DA PDIZ-LT7-01 VÃO CZ</t>
  </si>
  <si>
    <t>FT LT 500 kV IMPERATRIZ /P.DUTRA C-1 MA</t>
  </si>
  <si>
    <t>0013840/2016</t>
  </si>
  <si>
    <t>SUBSTITUIÇÃO DE 3 BOBINAS DE BLOQUEIO FASES A, B, V   VÃO CZ 7BBX DA IZPD-LT7-01</t>
  </si>
  <si>
    <t>0013841/2016</t>
  </si>
  <si>
    <t xml:space="preserve">SUBSTITUIÇÃO DE 3 TRANSFORMADORES DE POTENCIAL 500 kV, 7TPX, VÃO CZ </t>
  </si>
  <si>
    <t>0013860/2016</t>
  </si>
  <si>
    <t>SUBSTITUIÇÃO DE 3 TRANSFORMADORES DE CORRENTE 500 kV FASES A,B,V ; 7TCRE  DO PDRE7-04, VÃO CZ</t>
  </si>
  <si>
    <t>0013862/2016</t>
  </si>
  <si>
    <t>SUBSTITUIÇÃO DE 3 TRANSFORMADORES DE CORRENTE 500 kV FASES A, B ,V  ; 7TCX ; VÃO CZ DA IZPD-LT7-01</t>
  </si>
  <si>
    <t>0013863/2016</t>
  </si>
  <si>
    <t>USI U.SOBRADINHO - 500</t>
  </si>
  <si>
    <t>Substituição do reator shunt  de 500 kV 05E6 R (reserva) da SE SOB.</t>
  </si>
  <si>
    <t>RTR 500 kV 33.33 MVAR US. L.SOBRADINHO RTR6 BA</t>
  </si>
  <si>
    <t>0001064/2019</t>
  </si>
  <si>
    <t>0001065/2019</t>
  </si>
  <si>
    <t>TR 500/230 kV MARABA TR1 PA</t>
  </si>
  <si>
    <t>0001066/2019</t>
  </si>
  <si>
    <t>TR 500/230 kV IMPERATRIZ TR1 MA</t>
  </si>
  <si>
    <t>0001067/2019</t>
  </si>
  <si>
    <t>Substituição de TRANSFORMADOR DE POTÊNCIA 69 kV TCTF4-02</t>
  </si>
  <si>
    <t>TR 69/13,8 kV TUCURUI VILA TR2 PA</t>
  </si>
  <si>
    <t>0001052/2018</t>
  </si>
  <si>
    <t>0019042/2015</t>
  </si>
  <si>
    <t>0019066/2015</t>
  </si>
  <si>
    <t>Autotransformador AT04 230/138/13.8 kV : Sistema de Proteção, Supervisão e circuitos secundários de corrente, potencial e controle.</t>
  </si>
  <si>
    <t>0018997/2015</t>
  </si>
  <si>
    <t>Substituição do Para-Raios 7PRRE - Fase A</t>
  </si>
  <si>
    <t>RTR  500 kV  50 MVAr P.DUTRA        RTR4 MA</t>
  </si>
  <si>
    <t>0014107/2016</t>
  </si>
  <si>
    <t>Substituição do Para-Raios 7PRRE - Fase B</t>
  </si>
  <si>
    <t>0014108/2016</t>
  </si>
  <si>
    <t>Substituição do Para-Raios 7PRRE - Fase V</t>
  </si>
  <si>
    <t>0014109/2016</t>
  </si>
  <si>
    <t>Substituição completa do banco de capacitores série BSIATP1 de 1242 Mvar, localizado na saída de linha da LT 765kV Itaberá - Tijuco Preto C1, por outro de características similares.</t>
  </si>
  <si>
    <t>LT 765 kV ITABERA /TIJUCO PRETO C-1 SP</t>
  </si>
  <si>
    <t>0001369/2019</t>
  </si>
  <si>
    <t>Substituição completa do banco de capacitores série BSIATP2 de 1242 Mvar, localizado na saída de linha da LT 765kV Itaberá - Tijuco Preto C2, por outro de características similares.</t>
  </si>
  <si>
    <t>LT 765 kV ITABERA /TIJUCO PRETO C-2 SP</t>
  </si>
  <si>
    <t>0001368/2019</t>
  </si>
  <si>
    <t>SUB IVAIPORA FUR - 765</t>
  </si>
  <si>
    <t>Substituição completa do banco de capacitores série BSIAIV2 de 1056 Mvar, localizado na saída de linha da LT 765kV Ivaiporã - Itaberá C2, por outro de características similares.</t>
  </si>
  <si>
    <t>LT 765 kV Itaberá - Ivaiporã C2</t>
  </si>
  <si>
    <t>0001371/2019</t>
  </si>
  <si>
    <t>Substituição completa do banco de capacitores série BSIAIV1 de 1056 Mvar, localizado na saída de linha da LT 765kV Itaberá - Ivaiporã C1, por outro de características similares.</t>
  </si>
  <si>
    <t>LT 765kV Itaberá - Ivaiporã C1</t>
  </si>
  <si>
    <t>0001373/2019</t>
  </si>
  <si>
    <t>Substituição completa do banco de capacitores série BSIFIV2 de 1017 Mvar, localizado na saída de linha da LT 765kV Ivaiporã - Foz do Iguaçu C2, por outro de características similares.</t>
  </si>
  <si>
    <t>LT 765 kV Ivaiporã - Foz do Iguaçu C2</t>
  </si>
  <si>
    <t>0001375/2019</t>
  </si>
  <si>
    <t>Substituição completa do banco de capacitores série BSIFIV1 de 1017 Mvar, localizado na saída de linha da LT 765kV Ivaiporã - Foz do Iguaçu C1, por outro de características similares.</t>
  </si>
  <si>
    <t>LT 765 kV Ivaiporã - Foz do Iguaçu C1</t>
  </si>
  <si>
    <t>0001376/2019</t>
  </si>
  <si>
    <t>20</t>
  </si>
  <si>
    <t xml:space="preserve">MODERNIZAÇÃO DO SISTEMA DE REGULAÇÃO DE TENSÃO, CONTROLE DE PARTIDA E CONTROLE CONJUNTO DE TENSÃO </t>
  </si>
  <si>
    <t>CS 330/-220 Mvar IBIUNA CS3 SP</t>
  </si>
  <si>
    <t>0001502/2019</t>
  </si>
  <si>
    <t>CS 330/-220 Mvar IBIUNA CS4 SP</t>
  </si>
  <si>
    <t>0001503/2019</t>
  </si>
  <si>
    <t xml:space="preserve">SUB POCOS CALDAS - </t>
  </si>
  <si>
    <t>SUBSTITUIÇÃO DO GRUPO GERADOR DE EMERGÊNCIA</t>
  </si>
  <si>
    <t>MG 500 kV POCOS CALDAS MG1 MG</t>
  </si>
  <si>
    <t>0001520/2019</t>
  </si>
  <si>
    <t>TERESINA II</t>
  </si>
  <si>
    <t>SUBSTITUIÇÃO DO REGULADOR DE TENSÃO DO CS 01K1</t>
  </si>
  <si>
    <t>FT CS 150/-105 MVAr TERESINA II CS1 PI</t>
  </si>
  <si>
    <t>0001526/2019</t>
  </si>
  <si>
    <t>SUBSTITUIÇÃO DO PAINEL DE COMANDO E CONTROLE DO CS 01K1</t>
  </si>
  <si>
    <t>0001527/2019</t>
  </si>
  <si>
    <t>SUBSTITUIÇÃO DO PAINEL DE PROTEÇÃO DO TRANSFORMADOR TR 04T3</t>
  </si>
  <si>
    <t>0001530/2019</t>
  </si>
  <si>
    <t>SUBSTITUIÇÃO DAS PONTES RETIFICADORAS DO CS 01K1</t>
  </si>
  <si>
    <t>0001529/2019</t>
  </si>
  <si>
    <t>SUBSTITUIÇÃO DO PAINEL DE PROTEÇÃO DO CS 01K1</t>
  </si>
  <si>
    <t>0001528/2019</t>
  </si>
  <si>
    <t>Substituição do REATOR 500 kV MBRE7-03 Fase Reserva(FR).</t>
  </si>
  <si>
    <t>0001614/2018</t>
  </si>
  <si>
    <t>Substituição de DISJUNTOR DJ218</t>
  </si>
  <si>
    <t>MIG 13,8 kV BARRA A - CA1</t>
  </si>
  <si>
    <t>0011057/2016</t>
  </si>
  <si>
    <t>Substituição de DISJUNTOR DJ2118</t>
  </si>
  <si>
    <t>MIG 13,8 kV BARRA A - CA2</t>
  </si>
  <si>
    <t>0011058/2016</t>
  </si>
  <si>
    <t>Substituição de DISJUNTOR DJ2128</t>
  </si>
  <si>
    <t>MIG 13,8 kV BARRA A - CA3</t>
  </si>
  <si>
    <t>0011059/2016</t>
  </si>
  <si>
    <t>Substituição de DISJUNTOR DJ2138</t>
  </si>
  <si>
    <t>MIG 13,8 kV BARRA A - CA4</t>
  </si>
  <si>
    <t>0011060/2016</t>
  </si>
  <si>
    <t>BOM NOME</t>
  </si>
  <si>
    <t>SUBSTITUIÇÃO DO SISTEMA DE PROTEÇÃO DE 01 VÃO DE TRANSFERÊNCIA 12D1 SE BNO 69KV.</t>
  </si>
  <si>
    <t>DJ 12D1 SE BNO</t>
  </si>
  <si>
    <t>0001868/2018</t>
  </si>
  <si>
    <t>Substituição de DISJUNTOR DJ2018</t>
  </si>
  <si>
    <t>MIG 13,8 kV BARRA A - CA5</t>
  </si>
  <si>
    <t>0011061/2016</t>
  </si>
  <si>
    <t>Substituição de SECIONADOR SC2117</t>
  </si>
  <si>
    <t>MIG 13,8 kV BARRA A - TSA1</t>
  </si>
  <si>
    <t>0011062/2016</t>
  </si>
  <si>
    <t>Substituição de SECIONADOR SC2127</t>
  </si>
  <si>
    <t>MIG 13,8 kV BARRA A - TSA3</t>
  </si>
  <si>
    <t>0011063/2016</t>
  </si>
  <si>
    <t>Substituição de SECIONADOR SC2227</t>
  </si>
  <si>
    <t>MIG 13,8 kV BARRA A - TSA4</t>
  </si>
  <si>
    <t>0011064/2016</t>
  </si>
  <si>
    <t>Substituição de SECIONADOR SC2137</t>
  </si>
  <si>
    <t>MIG 13,8 kV BARRA A - TSA5</t>
  </si>
  <si>
    <t>0011065/2016</t>
  </si>
  <si>
    <t>Substituição de DISJUNTOR DJ228</t>
  </si>
  <si>
    <t>MIG 13,8 kV BARRA B - CB1</t>
  </si>
  <si>
    <t>0011066/2016</t>
  </si>
  <si>
    <t>Substituição de DISJUNTOR DJ2218</t>
  </si>
  <si>
    <t>MIG 13,8 kV BARRA B - CB2</t>
  </si>
  <si>
    <t>0011067/2016</t>
  </si>
  <si>
    <t>Substituição de DISJUNTOR DJ2228</t>
  </si>
  <si>
    <t>MIG 13,8 kV BARRA B - CB3</t>
  </si>
  <si>
    <t>0011068/2016</t>
  </si>
  <si>
    <t>Substituição de DISJUNTOR DJ2238</t>
  </si>
  <si>
    <t>MIG 13,8 kV BARRA B - CB4</t>
  </si>
  <si>
    <t>0011069/2016</t>
  </si>
  <si>
    <t>SUB DELM. GOUVEIA - 69</t>
  </si>
  <si>
    <t>SUBSTITUIÇÃO DO SISTEMA DE PROTEÇÃO DE 01 VÃO DE TRANSFERÊNCIA 12D1 SE DMG 69KV.</t>
  </si>
  <si>
    <t>DJ 12D1 SE DMG</t>
  </si>
  <si>
    <t>0001876/2018</t>
  </si>
  <si>
    <t>Substituição de DISJUNTOR DJ2038</t>
  </si>
  <si>
    <t>MIG 13,8 kV BARRA B - CB5</t>
  </si>
  <si>
    <t>0011070/2016</t>
  </si>
  <si>
    <t>Substituição de DISJUNTOR DJ2028</t>
  </si>
  <si>
    <t>MIG 13,8 kV BARRA B - CB7</t>
  </si>
  <si>
    <t>0011071/2016</t>
  </si>
  <si>
    <t>Substituição de SECIONADOR SC2217</t>
  </si>
  <si>
    <t>MIG 13,8 kV BARRA B - TSA2</t>
  </si>
  <si>
    <t>0011072/2016</t>
  </si>
  <si>
    <t>Substituição de SECIONADOR SC2237</t>
  </si>
  <si>
    <t>MIG 13,8 kV BARRA B - TSA6</t>
  </si>
  <si>
    <t>0011073/2016</t>
  </si>
  <si>
    <t>Autotransformador AT02 500/230/13.8 kV : Sistema de Proteção, Supervisão e circuitos secundários de corrente, potencial e controle.</t>
  </si>
  <si>
    <t>0018996/2015</t>
  </si>
  <si>
    <t>Substituição do Registrador Digital de Perturbação, que monitora os equipamentos AT02.</t>
  </si>
  <si>
    <t>TR 500/230 kV S.DA MESA TR2 GO</t>
  </si>
  <si>
    <t>0002067/2019</t>
  </si>
  <si>
    <t>Substituição dos Registradores Digitais de Perturbação, que monitora o equipamento RTSMSB2.</t>
  </si>
  <si>
    <t>RT 500 kV 136 Mvar SAMAMBAIA 2 DF</t>
  </si>
  <si>
    <t>0002101/2019</t>
  </si>
  <si>
    <t>Substituição dos Registradores Digitais de Perturbação, que monitora o equipamento RTSMSB1.</t>
  </si>
  <si>
    <t xml:space="preserve"> RT 500 kV 73P6 Mvar SAMAMBAIA 1 DF</t>
  </si>
  <si>
    <t>0002102/2019</t>
  </si>
  <si>
    <t>ARAPIRACA III</t>
  </si>
  <si>
    <t>Substituição de 125km de cabo para-raio por cabo OPGW para atendimento a SE ARAPIRACA da LT 230KV ARAPIRACA III / RIO LARGO II</t>
  </si>
  <si>
    <t>LT 230 kV ARAPIRACA III/RIO LARGO II C-1 AL</t>
  </si>
  <si>
    <t>0002068/2018</t>
  </si>
  <si>
    <t>CAMACARI II</t>
  </si>
  <si>
    <t>Substituição de  24km de cabo para-raio  por cabo OPGW da LT 230KV CAMAÇARI / COTEGIPE</t>
  </si>
  <si>
    <t>LT 230 kV CAMACARI II /COTEGIPE C-1 BA</t>
  </si>
  <si>
    <t>0002070/2018</t>
  </si>
  <si>
    <t>Implantação de Registrador Digital de Perturbação com a finalidade de monitoração do BS 500 kV 382 Mvar IBIUNA 1A SP no terminal da subestação de Ibiúna.</t>
  </si>
  <si>
    <t>BS 500 kV 382 Mvar IBIUNA 1A SP</t>
  </si>
  <si>
    <t>0002159/2019</t>
  </si>
  <si>
    <t>Implantação de Registrador Digital de Perturbação com a finalidade de monitoração do BS 500 kV 382 Mvar IBIUNA 2A SP no terminal da subestação de Ibiúna.</t>
  </si>
  <si>
    <t>BS 500 kV 382 Mvar IBIUNA 2A SP</t>
  </si>
  <si>
    <t>0002163/2019</t>
  </si>
  <si>
    <t>Implantação de Registrador Digital de Perturbação com a finalidade de monitoração do BS 500 kV 382 Mvar IBIUNA 2B SP no terminal da subestação de Ibiúna.</t>
  </si>
  <si>
    <t>BS 500 kV 382 Mvar IBIUNA 2B SP</t>
  </si>
  <si>
    <t>0002165/2019</t>
  </si>
  <si>
    <t>Implantação de Registrador Digital de Perturbação com a finalidade de monitoração do BS 500 kV 382 Mvar IBIUNA 1B SP no terminal da subestação de Ibiúna.</t>
  </si>
  <si>
    <t>BS 500 kV 382 Mvar IBIUNA 1B SP</t>
  </si>
  <si>
    <t>0002161/2019</t>
  </si>
  <si>
    <t>INSTALAÇÃO E MONTAGEM DO RACK DE GÁS HIDROGÊNIO USADO NA REPRESSURIZAÇÃO DO COMPENSADOR SINCRONO Nº02.</t>
  </si>
  <si>
    <t>CS 100/-70 + 100/-70 Mvar P.DUTRA CS1CS2 MA</t>
  </si>
  <si>
    <t>0002117/2018</t>
  </si>
  <si>
    <t>SUB S.DA MESA - 500</t>
  </si>
  <si>
    <t>Modernização da proteção associada ao disjuntor central da LT Serra da Mesa – Serra da Mesa 2 na SE Serra da Mesa, com vistas a aumentar a segurança intrínseca dessa subestação.</t>
  </si>
  <si>
    <t>Outros</t>
  </si>
  <si>
    <t>0002168/2019</t>
  </si>
  <si>
    <t>SUBSTITUIÇÃO DO SISTEMA DE ATERRAMENTO DO EIXO DO COMPENSADOR SINCRONO Nº02.</t>
  </si>
  <si>
    <t>0002126/2018</t>
  </si>
  <si>
    <t>INSTALAÇÃO E MONTAGEM DO RACK DE GÁS HIDROGÊNIO USADO NA REPRESSURIZAÇÃO DO COMPENSADOR SINCRONO Nº01.</t>
  </si>
  <si>
    <t>0002136/2018</t>
  </si>
  <si>
    <t>SUBSTITUIÇÃO DO PÁRA-RAIOS DA FASE 'B'</t>
  </si>
  <si>
    <t>0002154/2018</t>
  </si>
  <si>
    <t>RT 500 kV 136 Mvar S.DA MESA SB2 GO</t>
  </si>
  <si>
    <t>0002218/2019</t>
  </si>
  <si>
    <t>Substituição dos Registradores Digitais de Perturbação, que monitora o equipamento RTSMGU1.</t>
  </si>
  <si>
    <t>RT 500 kV 136 Mvar S.DA MESA GU1 GO</t>
  </si>
  <si>
    <t>0002214/2019</t>
  </si>
  <si>
    <t>SUBSTITUIR TCs (FASES A, B e V) DE 230KV DO DJ604-TC601</t>
  </si>
  <si>
    <t>0002183/2018</t>
  </si>
  <si>
    <t>?SUBSTITUIR TRANSFORMADORES DE CORRENTE DO CUBÍCULO DE 13,8KV</t>
  </si>
  <si>
    <t>TR 230/138 kV PORTO FRANCO TR1 MA</t>
  </si>
  <si>
    <t>0002188/2018</t>
  </si>
  <si>
    <t>SUBSTITUIR TCs 230KV (FASES A, B e V) DO DJ606-TC601</t>
  </si>
  <si>
    <t>0002189/2018</t>
  </si>
  <si>
    <t>?SUBSTITUIR TCs 230 (FASES A, B e V) DO DISJUNTOR LDDJ6-08</t>
  </si>
  <si>
    <t>0002192/2018</t>
  </si>
  <si>
    <t>SUBSTITUIR TCs 230 (FASES A, B e V) DO DISJUNTOR LDDJ6-10</t>
  </si>
  <si>
    <t>0002194/2018</t>
  </si>
  <si>
    <t>??SUBSTITUIR TCs 230 (FASES A, B e V) DO BAY DA LINHA LDMR-LT601</t>
  </si>
  <si>
    <t>LT 230 kV SAO LUIS II /MIRANDA II C-1 MA</t>
  </si>
  <si>
    <t>0002202/2018</t>
  </si>
  <si>
    <t>??SUBSTITUIR TCs 230 (FASES A, B e V) DO BAY DA LINHA LDLI-LT601</t>
  </si>
  <si>
    <t>LT 230 kV SAO LUIS II /SAO LUIS I C-1 MA</t>
  </si>
  <si>
    <t>0002205/2018</t>
  </si>
  <si>
    <t>?SUBSTITUIR TCs 230 (FASES A, B e V) DO BAY DA LINHA LDLI-LT602</t>
  </si>
  <si>
    <t>LT 230 kV SAO LUIS II /SAO LUIS I C-2 MA</t>
  </si>
  <si>
    <t>0002212/2018</t>
  </si>
  <si>
    <t>SUBSTITUIR TCs 230 KV (FASES A, B e V) DO BAY DO LDAT7-03</t>
  </si>
  <si>
    <t>TR 500/230 kV SAO LUIS II TR3 MA</t>
  </si>
  <si>
    <t>0002215/2018</t>
  </si>
  <si>
    <t>SUBSTITUIÇÃO DE UM TRANSFORMADOR DE CORRENTE DE 500 KV, FASE A DA MRLD-LT7-01, ASSOCIADO AO LDDJ7-01.</t>
  </si>
  <si>
    <t>LT 500 kV MIRANDA II / SAO LUIS II C 1 MA</t>
  </si>
  <si>
    <t>0002304/2018</t>
  </si>
  <si>
    <t>Reator RTSMSB2 da LT 500 kV  Samambaia - Serra da Mesa C2: Sistema de Proteção, Supervisão e circuitos secundários de corrente, potencial e controle.</t>
  </si>
  <si>
    <t>0019043/2015</t>
  </si>
  <si>
    <t>MOGI CRUZES</t>
  </si>
  <si>
    <t>LI 230 kV Mogi (CTEEP)- Mogi : Sistema de Proteção, Supervisão e circuitos secundários de corrente, potencial e controle.</t>
  </si>
  <si>
    <t>MG MOGI CRUZES / CCO-2001-062 - RB</t>
  </si>
  <si>
    <t>0019024/2015</t>
  </si>
  <si>
    <t>0019037/2015</t>
  </si>
  <si>
    <t>RT 230 kV 30 Mvar RONDONOPOLIS RT3 MT</t>
  </si>
  <si>
    <t>0002649/2019</t>
  </si>
  <si>
    <t>Instalação de Registrador Digital de Perturbações - RDP para atender a função RT 500 136 Mvar MIRACEMA 1 TO.</t>
  </si>
  <si>
    <t>RT 500 kV 136 Mvar MIRACEMA 1 TO</t>
  </si>
  <si>
    <t>0002651/2019</t>
  </si>
  <si>
    <t>Instalação de Registrador Digital de Perturbações - RDP para atender a função RT 500 136 Mvar MIRACEMA 2 TO.</t>
  </si>
  <si>
    <t>RT 500 kV 136 Mvar MIRACEMA 2 TO</t>
  </si>
  <si>
    <t>0002652/2019</t>
  </si>
  <si>
    <t>0002653/2019</t>
  </si>
  <si>
    <t>SUB RIO BRANCO I - 230</t>
  </si>
  <si>
    <t xml:space="preserve">BC  230 kV 18P5 Mvar RIO BRANCO I 1 AC  </t>
  </si>
  <si>
    <t>0002654/2019</t>
  </si>
  <si>
    <t>SUBSTITUIÇÃO DO DISJUNTOR PDDJ7-17</t>
  </si>
  <si>
    <t>LT 500 kV TERESINA II /P.DUTRA C-3 PI/MA</t>
  </si>
  <si>
    <t>0002677/2019</t>
  </si>
  <si>
    <t>SUBSTITUIÇÃO DO DISJUNTOR PDDJ7-06</t>
  </si>
  <si>
    <t>0002678/2019</t>
  </si>
  <si>
    <t>SUBSTITUIÇÃO DO DISJUNTOR PDDJ2-02 FRENAGEM</t>
  </si>
  <si>
    <t>0002679/2019</t>
  </si>
  <si>
    <t>SUBSTITUIÇÃO DO DISJUNTOR PDDJ2-03 PARTIDA</t>
  </si>
  <si>
    <t>0002681/2019</t>
  </si>
  <si>
    <t>SUBSTITUIÇÃO DO DISJUNTOR PDDJ2-04 NEUTRO</t>
  </si>
  <si>
    <t>0002682/2019</t>
  </si>
  <si>
    <t>SUBSTITUIÇÃO DO DISJUNTOR PDDJ2-05 EXCITAÇÃO</t>
  </si>
  <si>
    <t>0002683/2019</t>
  </si>
  <si>
    <t>COTEGIPE</t>
  </si>
  <si>
    <t>Construção de muro de contenção de talude do Patio de 69 kV. (Volume de muro a ser construído: 660 m³).</t>
  </si>
  <si>
    <t>FT MG 230 kV COTEGIPE MG1 BA</t>
  </si>
  <si>
    <t>0002653/2018</t>
  </si>
  <si>
    <t>Construção de muro no entorno da subestação. (Muro composto por mourões e placas em concreto pré-moldado no total de 1075 m;_x000D_
Muro em Alvenaria de Concreto no total de 216 m.)</t>
  </si>
  <si>
    <t>0002652/2018</t>
  </si>
  <si>
    <t>SUBSTITUIÇÃO DO DISJUNTOR PDDJ2-06 SERVIÇO AUXILIAR</t>
  </si>
  <si>
    <t>0002690/2019</t>
  </si>
  <si>
    <t>REVITALIZAÇÃO DOS PÓLOS (VEDAÇÕES, CONTATOS, CÂMARAS, COLUNAS ETC) DAS FASES 'A', 'B' E 'V' DO DISJUNTOR LDDB6-01</t>
  </si>
  <si>
    <t>0002692/2019</t>
  </si>
  <si>
    <t>REVITALIZAÇÃO DOS PÓLOS (VEDAÇÕES, CONTATOS, CÂMARAS, COLUNAS ETC) DAS FASES 'A', 'B' E 'V' DO DISJUNTOR LDDB6-02</t>
  </si>
  <si>
    <t>0002696/2019</t>
  </si>
  <si>
    <t>REVITALIZAÇÃO DOS PÓLOS (VEDAÇÕES, CONTATOS, CÂMARAS, COLUNAS ETC) DAS FASES 'A', 'B' E 'V' DO DISJUNTOR LDDJ6-04</t>
  </si>
  <si>
    <t>0002698/2019</t>
  </si>
  <si>
    <t>REVITALIZAÇÃO DOS PÓLOS (VEDAÇÕES, CONTATOS, CÂMARAS, COLUNAS ETC) DAS FASES 'A', 'B' E 'V' DO DISJUNTOR LDDJ6-06</t>
  </si>
  <si>
    <t>0002759/2019</t>
  </si>
  <si>
    <t>REVITALIZAÇÃO DOS PÓLOS (VEDAÇÕES, CONTATOS, CÂMARAS, COLUNAS ETC) DAS FASES 'A', 'B' E 'V' DO DISJUNTOR LDDJ6-08</t>
  </si>
  <si>
    <t>0002760/2019</t>
  </si>
  <si>
    <t>REVITALIZAÇÃO DOS PÓLOS (VEDAÇÕES, CONTATOS, CÂMARAS, COLUNAS ETC) DAS FASES 'A', 'B' E 'V' DO DISJUNTOR LDDJ6-10</t>
  </si>
  <si>
    <t>0002761/2019</t>
  </si>
  <si>
    <t>REVITALIZAÇÃO DOS PÓLOS (VEDAÇÕES, CONTATOS, CÂMARAS, COLUNAS ETC) DAS FASES 'A', 'B' E 'V' DO DISJUNTOR LDDJ6-19</t>
  </si>
  <si>
    <t>LT 230 kV SAO LUIS II /MIRANDA C-1 MA</t>
  </si>
  <si>
    <t>0002762/2019</t>
  </si>
  <si>
    <t>REVITALIZAÇÃO DOS PÓLOS (VEDAÇÕES, CONTATOS, CÂMARAS, COLUNAS ETC) DAS FASES 'A', 'B' E 'V' DO DISJUNTOR LDDJ6-16</t>
  </si>
  <si>
    <t>0002763/2019</t>
  </si>
  <si>
    <t>SUBSTITUIÇÃO DE TRANSFORMADOR DE CORRENTE DE FABRICAÇÃO BBC NÚMERO DE SÉRIE SP18011. TRANSFORMADOR DE CORRENTE DO REATOR NR 07 DA SEPD (PDRE7-07) FASE B, ASSOCIADO À LINHA IZPDLT7-02.</t>
  </si>
  <si>
    <t>0002764/2019</t>
  </si>
  <si>
    <t>REVITALIZAÇÃO DOS PÓLOS (VEDAÇÕES, CONTATOS, CÂMARAS, COLUNAS ETC) DAS FASES 'A', 'B' E 'V' DO DISJUNTOR LDDJ6-18</t>
  </si>
  <si>
    <t>0002765/2019</t>
  </si>
  <si>
    <t>REVITALIZAÇÃO DOS PÓLOS (VEDAÇÕES, CONTATOS, CÂMARAS, COLUNAS ETC) DAS FASES 'A', 'B' E 'V' DO DISJUNTOR LDDJ6-03</t>
  </si>
  <si>
    <t>BC 230 kV 61,1 + 50,8 Mvar SAO LUIS II BC2 BC1 MA</t>
  </si>
  <si>
    <t>0002766/2019</t>
  </si>
  <si>
    <t xml:space="preserve"> Substituição/Revitalização dos cubículos de 13,8 kV e transformadores de serviço auxiliar e seus comandos e proteção</t>
  </si>
  <si>
    <t>0002855/2018</t>
  </si>
  <si>
    <t>?SUBSTITUIR A CHAVE SECCIONADORA DE 230KV LDSB6-38</t>
  </si>
  <si>
    <t>0002901/2018</t>
  </si>
  <si>
    <t>??SUBSTITUIR A CHAVE SECCIONADORA DE 230KV - LDSD6-28</t>
  </si>
  <si>
    <t>0002904/2018</t>
  </si>
  <si>
    <t>??SUBSTITUIR A CHAVE SECCIONADORA DE 230KV - LDSB6-06</t>
  </si>
  <si>
    <t>0002905/2018</t>
  </si>
  <si>
    <t>Substituição da bucha de 500KV da fase A do autotransformador PDAT7-01</t>
  </si>
  <si>
    <t>0002940/2018</t>
  </si>
  <si>
    <t>Substituição da bucha de 500 da fase B do autotransformador PDAT7-01.</t>
  </si>
  <si>
    <t>0002941/2018</t>
  </si>
  <si>
    <t>Substituição de SECCIONADORA 500 kV IZSD7-10 FASE A</t>
  </si>
  <si>
    <t>MG-IZMG-07</t>
  </si>
  <si>
    <t>0006139/2016</t>
  </si>
  <si>
    <t>Substituição de SECCIONADORA 500 kV IZSD7-10 FASE B</t>
  </si>
  <si>
    <t>0006140/2016</t>
  </si>
  <si>
    <t>Substituição de SECCIONADORA 500 kV IZSD7-10 FASE V</t>
  </si>
  <si>
    <t>0006141/2016</t>
  </si>
  <si>
    <t>LT Foz do Iguaçu - Ibiúna C4 - 600</t>
  </si>
  <si>
    <t>Substituição de cabo contrapeso.</t>
  </si>
  <si>
    <t>FT LT 600 kV F.IGUACU 50HZ / IBIUNA C-4 PR/SP</t>
  </si>
  <si>
    <t>0003117/2018</t>
  </si>
  <si>
    <t>LT Foz do Iguaçu - Ibiúna C3 - 600</t>
  </si>
  <si>
    <t>FT LT 600 kV F.IGUACU 50HZ / IBIUNA C-3 PR/SP</t>
  </si>
  <si>
    <t>0003116/2018</t>
  </si>
  <si>
    <t>LT Araraquara - Poços de Caldas - 500</t>
  </si>
  <si>
    <t>Substituição de espaçadores-amortecedores ao longo do trecho da linha, iniciando na torre 01 até  a torre 255, totalizando 1671 espaçadores-amortecedores.</t>
  </si>
  <si>
    <t>LT 500 kV ARARAQUARA FUR / POCOS CALDAS C 1 SP/MG</t>
  </si>
  <si>
    <t>0003202/2019</t>
  </si>
  <si>
    <t>LT Araraquara - Campinas - 500</t>
  </si>
  <si>
    <t>Substituição de espaçadores-amortecedores ao longo do trecho da linha, iniciando na torre 01 até  a torre 202, totalizando 2649 espaçadores-amortecedores.</t>
  </si>
  <si>
    <t>LT 500 kV ARARAQUARA FUR / CAMPINAS C 1 SP</t>
  </si>
  <si>
    <t>0003201/2019</t>
  </si>
  <si>
    <t>Substituição de TRANSFORMADOR CORRENTE 500 kV FASE A</t>
  </si>
  <si>
    <t>CR-IZPDLT701</t>
  </si>
  <si>
    <t>0006386/2016</t>
  </si>
  <si>
    <t>BOBINA DE BLOQUEIO 500 kV FASE A</t>
  </si>
  <si>
    <t>LT-IZPDLT701</t>
  </si>
  <si>
    <t>0006387/2016</t>
  </si>
  <si>
    <t>BOBINA DE BLOQUEIO 500 kV FASE B</t>
  </si>
  <si>
    <t>0006388/2016</t>
  </si>
  <si>
    <t>BOBINA DE BLOQUEIO 500 kV FASE V</t>
  </si>
  <si>
    <t>0006389/2016</t>
  </si>
  <si>
    <t>PÁRA-RAIOS 500 kV FASE A</t>
  </si>
  <si>
    <t>0006391/2016</t>
  </si>
  <si>
    <t>PÁRA-RAIOS 500 kV FASE B</t>
  </si>
  <si>
    <t>0006392/2016</t>
  </si>
  <si>
    <t>PÁRA-RAIOS 500 kV FASE V</t>
  </si>
  <si>
    <t>0006393/2016</t>
  </si>
  <si>
    <t>Substituição de TRANSFORMADOR CORRENTE 500 kV FASE B</t>
  </si>
  <si>
    <t>0006395/2016</t>
  </si>
  <si>
    <t>SECCIONADORA 500 kV IZSD7-08 FASE A</t>
  </si>
  <si>
    <t>0006396/2016</t>
  </si>
  <si>
    <t>SECCIONADORA 500 kV IZSD7-08 FASE B</t>
  </si>
  <si>
    <t>0006397/2016</t>
  </si>
  <si>
    <t>SECCIONADORA 500 kV IZSD7-08 FASE V</t>
  </si>
  <si>
    <t>0006398/2016</t>
  </si>
  <si>
    <t>SECCIONADORA 500 kV IZSD7-09 FASE A</t>
  </si>
  <si>
    <t>0006400/2016</t>
  </si>
  <si>
    <t>SECCIONADORA 500 kV IZSD7-09 FASE B</t>
  </si>
  <si>
    <t>0006401/2016</t>
  </si>
  <si>
    <t>SECCIONADORA 500 kV IZSD7-09 FASE V</t>
  </si>
  <si>
    <t>0006402/2016</t>
  </si>
  <si>
    <t>SECCIONADORA 500 kV IZSL7-02</t>
  </si>
  <si>
    <t>0006403/2016</t>
  </si>
  <si>
    <t>SECCIONADORA 500 kV IZSR7-02 FASE A</t>
  </si>
  <si>
    <t>0006405/2016</t>
  </si>
  <si>
    <t>SECCIONADORA 500 kV IZSR7-02 FASE B</t>
  </si>
  <si>
    <t>0006406/2016</t>
  </si>
  <si>
    <t>SECCIONADORA 500 kV IZSR7-02 FASE V</t>
  </si>
  <si>
    <t>0006407/2016</t>
  </si>
  <si>
    <t>Substituição de TRANSFORMADOR CORRENTE 500 kV FASE V</t>
  </si>
  <si>
    <t>0006414/2016</t>
  </si>
  <si>
    <t>Substituição de PARA-RAIOS PARARAIOS LADO 500 KV TR01 FASE A</t>
  </si>
  <si>
    <t>0012426/2016</t>
  </si>
  <si>
    <t>Substituição de PARA-RAIOS PARARAIOS LADO 500 KV TR01 FASE C</t>
  </si>
  <si>
    <t>0012427/2016</t>
  </si>
  <si>
    <t>Modernização da teleproteção da LT 138 kV Ilha dos Pombos - São José.</t>
  </si>
  <si>
    <t>LT 138 kV SAO JOSE ILHA POMBOS C1</t>
  </si>
  <si>
    <t>0003317/2018</t>
  </si>
  <si>
    <t>Modernização da teleproteção da LT 138 kV Triagem - São José C2</t>
  </si>
  <si>
    <t>LT 138 kV TRIAGEM / SAO JOSE C-2 RJ</t>
  </si>
  <si>
    <t>0003319/2018</t>
  </si>
  <si>
    <t>Modernização da teleproteção da LT 138 kV Triagem - São José C-1 RJ</t>
  </si>
  <si>
    <t>LT 138 kV TRIAGEM / SAO JOSE C-1 RJ</t>
  </si>
  <si>
    <t>0003318/2018</t>
  </si>
  <si>
    <t>Modernização da teleproteção da LT 138 kV Cordovil - São José C1</t>
  </si>
  <si>
    <t>LT 138 kV CORDOVIL / SAO JOSE C-1 RJ</t>
  </si>
  <si>
    <t>0003320/2018</t>
  </si>
  <si>
    <t>Modernização da teleproteção da LT 138 kV Cordovil - São José C2.</t>
  </si>
  <si>
    <t>LT 138 kV CORDOVIL / SAO JOSE C-2 RJ</t>
  </si>
  <si>
    <t>0003322/2018</t>
  </si>
  <si>
    <t>Modernização da teleproteção da LT 138 kV Magé - São José C1</t>
  </si>
  <si>
    <t>LT 138 kV SAO JOSE / MAGE C-1 RJ</t>
  </si>
  <si>
    <t>0003325/2018</t>
  </si>
  <si>
    <t>Modernização da teleproteção da LT 138 kV Magé - São José C2</t>
  </si>
  <si>
    <t>LT 138 kV SAO JOSE / MAGE C-2 RJ</t>
  </si>
  <si>
    <t>0003328/2018</t>
  </si>
  <si>
    <t>Modernização da teleproteção da LT 138 kV Imbariê - São José C2</t>
  </si>
  <si>
    <t>LT 138 kV IMBARIE / SAO JOSE C-2 RJ</t>
  </si>
  <si>
    <t>0003333/2018</t>
  </si>
  <si>
    <t>Substituição de PARA-RAIOS PARARAIOS 1 BR8A2 FASE A</t>
  </si>
  <si>
    <t>BARRA BR8A2</t>
  </si>
  <si>
    <t>0012444/2016</t>
  </si>
  <si>
    <t>Substituição de PARA-RAIOS PARARAIOS 1 BR8A2 FASE B</t>
  </si>
  <si>
    <t>0012445/2016</t>
  </si>
  <si>
    <t>Substituição de PARA-RAIOS PARARAIOS 1 BR8A2 FASE C</t>
  </si>
  <si>
    <t>0012446/2016</t>
  </si>
  <si>
    <t>Substituição de PARA-RAIOS PARARAIOS 2 BR8A2 FASE A</t>
  </si>
  <si>
    <t>0012447/2016</t>
  </si>
  <si>
    <t>Modernização da teleproteção da LT 138 kV Imbariê - São José C1.</t>
  </si>
  <si>
    <t>LT 138 kV IMBARIE / SAO JOSE C-1 RJ</t>
  </si>
  <si>
    <t>0003331/2018</t>
  </si>
  <si>
    <t>Substituição de PARA-RAIOS PARARAIOS 2 BR8A2 FASE B</t>
  </si>
  <si>
    <t>0012448/2016</t>
  </si>
  <si>
    <t>Substituição de PARA-RAIOS PARARAIOS 2 BR8A2 FASE C</t>
  </si>
  <si>
    <t>0012449/2016</t>
  </si>
  <si>
    <t>Substituição de PARA-RAIOS PARARAIOS 1 BR8B2 FASE A</t>
  </si>
  <si>
    <t>BARRA BR8B2</t>
  </si>
  <si>
    <t>0012450/2016</t>
  </si>
  <si>
    <t>Substituição de PARA-RAIOS PARARAIOS 1 BR8B2 FASE B</t>
  </si>
  <si>
    <t>0012451/2016</t>
  </si>
  <si>
    <t>Substituição de PARA-RAIOS PARARAIOS 1 BR8B2 FASE C</t>
  </si>
  <si>
    <t>0012452/2016</t>
  </si>
  <si>
    <t>Substituição de PARA-RAIOS PARARAIOS 2 BR8B2 FASE A</t>
  </si>
  <si>
    <t>0012453/2016</t>
  </si>
  <si>
    <t>Substituição de PARA-RAIOS PARARAIOS 2 BR8B2 FASE B</t>
  </si>
  <si>
    <t>0012454/2016</t>
  </si>
  <si>
    <t>Substituição de PARA-RAIOS PARARAIOS 2 BR8B2 FASE C</t>
  </si>
  <si>
    <t>0012455/2016</t>
  </si>
  <si>
    <t>Substituição de DISJUNTOR DJ8454</t>
  </si>
  <si>
    <t>CT 345 kV AT05</t>
  </si>
  <si>
    <t>0012456/2016</t>
  </si>
  <si>
    <t>Substituição de SECIONADOR SC12941</t>
  </si>
  <si>
    <t>CT 765 kV AT04</t>
  </si>
  <si>
    <t>0012457/2016</t>
  </si>
  <si>
    <t>Substituição de SECIONADOR SC12943</t>
  </si>
  <si>
    <t>0012458/2016</t>
  </si>
  <si>
    <t>Substituição de SECIONADOR SC12947</t>
  </si>
  <si>
    <t>0012459/2016</t>
  </si>
  <si>
    <t>Substituição de SECIONADOR c/lt SC12140T</t>
  </si>
  <si>
    <t>0012460/2016</t>
  </si>
  <si>
    <t>Substituição de DISJUNTOR DJ12954</t>
  </si>
  <si>
    <t>CT 765 kV AT05</t>
  </si>
  <si>
    <t>0012461/2016</t>
  </si>
  <si>
    <t>Substituição de DISJUNTOR DJ12964</t>
  </si>
  <si>
    <t>CT 765 kV AT06</t>
  </si>
  <si>
    <t>0012462/2016</t>
  </si>
  <si>
    <t>Substituição de SECIONADOR SC12841</t>
  </si>
  <si>
    <t>IB 765 kV  (ITABERÁC2/AT04)</t>
  </si>
  <si>
    <t>0012471/2016</t>
  </si>
  <si>
    <t>Substituição de SECIONADOR SC12843</t>
  </si>
  <si>
    <t>0012472/2016</t>
  </si>
  <si>
    <t>Substituição de DISJUNTOR DJ12854</t>
  </si>
  <si>
    <t>IB 765 kV  (ITABERÁC3/AT05)</t>
  </si>
  <si>
    <t>0012473/2016</t>
  </si>
  <si>
    <t>Substituição de PARA-RAIOS PARARAIOS LIBXTP1 STTP FASE A</t>
  </si>
  <si>
    <t>LIBXTP1 345 KV</t>
  </si>
  <si>
    <t>0012474/2016</t>
  </si>
  <si>
    <t>Substituição de PARA-RAIOS PARARAIOS LIBXTP1 STTP FASE B</t>
  </si>
  <si>
    <t>0012475/2016</t>
  </si>
  <si>
    <t>Substituição de PARA-RAIOS PARARAIOS LIBXTP1 STTP FASE C</t>
  </si>
  <si>
    <t>0012476/2016</t>
  </si>
  <si>
    <t>Substituição de PARA-RAIOS PARARAIOS LIIDTP1 STTP FASE B</t>
  </si>
  <si>
    <t>LIIDTP1 345 KV</t>
  </si>
  <si>
    <t>0012477/2016</t>
  </si>
  <si>
    <t>Substituição de PARA-RAIOS PARARAIOS LIIDTP1 STTP FASE C</t>
  </si>
  <si>
    <t>0012478/2016</t>
  </si>
  <si>
    <t>Substituição de PARA-RAIOS PARARAIOS LIIDTP2 STTP FASE A</t>
  </si>
  <si>
    <t>LIIDTP2 345 KV</t>
  </si>
  <si>
    <t>0012482/2016</t>
  </si>
  <si>
    <t>Substituição de PARA-RAIOS PARARAIOS LIIDTP2 STTP FASE B</t>
  </si>
  <si>
    <t>0012483/2016</t>
  </si>
  <si>
    <t>Substituição de PARA-RAIOS PARARAIOS LIIDTP2 STTP FASE C</t>
  </si>
  <si>
    <t>0012484/2016</t>
  </si>
  <si>
    <t>Substituição de PARA-RAIOS PARARAIOS LITLTP2 STTP FASE B</t>
  </si>
  <si>
    <t>LITLTP2</t>
  </si>
  <si>
    <t>0012488/2016</t>
  </si>
  <si>
    <t>Substituição de PARA-RAIOS PARARAIOS LITLTP2 STTP FASE C</t>
  </si>
  <si>
    <t>0012489/2016</t>
  </si>
  <si>
    <t>Substituição de PARA-RAIOS PARARAIOS LITPID4 STTP FASE A</t>
  </si>
  <si>
    <t>LITPID4 345 KV</t>
  </si>
  <si>
    <t>0012496/2016</t>
  </si>
  <si>
    <t>Substituição de PARA-RAIOS PARARAIOS LITPID4 STTP FASE B</t>
  </si>
  <si>
    <t>0012497/2016</t>
  </si>
  <si>
    <t>Substituição de PARA-RAIOS PARARAIOS LITPID4 STTP FASE C</t>
  </si>
  <si>
    <t>0012498/2016</t>
  </si>
  <si>
    <t>Substituição de PÁRA-RAIOS 69 KV IZRE7-02 PR401 FASE N</t>
  </si>
  <si>
    <t>0006500/2016</t>
  </si>
  <si>
    <t>Substituição de PARA-RAIOS CS01 - fase A</t>
  </si>
  <si>
    <t>0012510/2016</t>
  </si>
  <si>
    <t>Substituição de PARA-RAIOS CS01 - fase B</t>
  </si>
  <si>
    <t>0012511/2016</t>
  </si>
  <si>
    <t>Restauração de reator de derivação, fase A, que compõe o banco CORE7-01</t>
  </si>
  <si>
    <t>0003435/2019</t>
  </si>
  <si>
    <t>Substituição de PÁRA-RAIOS 500 kV FASE A</t>
  </si>
  <si>
    <t>0006507/2016</t>
  </si>
  <si>
    <t>Substituição de PARA-RAIOS PARARAIOS LADO 20 KV AT05 FASE C</t>
  </si>
  <si>
    <t>0012514/2016</t>
  </si>
  <si>
    <t>Substituição e automação do grupo gerador de emergência</t>
  </si>
  <si>
    <t>MG 500 kV SAO JOSE MG1 RJ</t>
  </si>
  <si>
    <t>0003436/2019</t>
  </si>
  <si>
    <t>Substituição do Centro de Cargas de Emergência 2 - CCEM-2</t>
  </si>
  <si>
    <t>0003438/2019</t>
  </si>
  <si>
    <t>Substituição de PÁRA-RAIOS 500 kV FASE B</t>
  </si>
  <si>
    <t>0006509/2016</t>
  </si>
  <si>
    <t>Substituição de PARA-RAIOS CS01 - fase C</t>
  </si>
  <si>
    <t>0012516/2016</t>
  </si>
  <si>
    <t>Substituição do Centro de Cargas Normais 1 - CCN-1</t>
  </si>
  <si>
    <t>0003439/2019</t>
  </si>
  <si>
    <t>Substituição do Centro de Cargas de Emergência 1 - CCEM-1</t>
  </si>
  <si>
    <t>0003437/2019</t>
  </si>
  <si>
    <t>Substituição do Centro de Cargas Normais 2 - CCN-2</t>
  </si>
  <si>
    <t>0003440/2019</t>
  </si>
  <si>
    <t>Restauração de reator de derivação, fase B, que compõe o banco CORE7-01</t>
  </si>
  <si>
    <t>0003445/2019</t>
  </si>
  <si>
    <t>Substituição do Painel QIECC</t>
  </si>
  <si>
    <t>0003444/2019</t>
  </si>
  <si>
    <t>Substituição do Painel QDCC</t>
  </si>
  <si>
    <t>0003442/2019</t>
  </si>
  <si>
    <t>Restauração de reator de neutro, que compõe o banco CORE7-01</t>
  </si>
  <si>
    <t>0003450/2019</t>
  </si>
  <si>
    <t>Restauração de reator de derivação, fase V, que compõe o banco CORE7-01</t>
  </si>
  <si>
    <t>0003448/2019</t>
  </si>
  <si>
    <t>Restauração de reator de derivação, fase A, que compõe o banco CORE7-02</t>
  </si>
  <si>
    <t>0003454/2019</t>
  </si>
  <si>
    <t>Substituição de PÁRA-RAIOS 500 kV FASE V</t>
  </si>
  <si>
    <t>0006525/2016</t>
  </si>
  <si>
    <t>Restauração de reator de derivação, fase B, que compõe o banco CORE7-02</t>
  </si>
  <si>
    <t>0003458/2019</t>
  </si>
  <si>
    <t xml:space="preserve">SUB IVAIPORA - </t>
  </si>
  <si>
    <t>Substituição do Painel QDCC-1</t>
  </si>
  <si>
    <t>MG 750 kV IVAIPORA MG1 PR</t>
  </si>
  <si>
    <t>0003461/2019</t>
  </si>
  <si>
    <t>Substituição do Painel QDCC-2</t>
  </si>
  <si>
    <t>0003463/2019</t>
  </si>
  <si>
    <t>Restauração de reator de derivação, fase V, que compõe o banco CORE7-02</t>
  </si>
  <si>
    <t>0003462/2019</t>
  </si>
  <si>
    <t>Instalação de 01 transformador de aterramento</t>
  </si>
  <si>
    <t>MG 750 kV TIJUCO PRETO MG1 SP</t>
  </si>
  <si>
    <t>0003473/2019</t>
  </si>
  <si>
    <t>Instalação de 01 cubículo blindado, classe 15 kV</t>
  </si>
  <si>
    <t>0003471/2019</t>
  </si>
  <si>
    <t>Restauração de reator de neutro, que compõe o banco CORE7-02</t>
  </si>
  <si>
    <t>0003468/2019</t>
  </si>
  <si>
    <t>Instalação de 01 resistor de aterramento</t>
  </si>
  <si>
    <t>0003474/2019</t>
  </si>
  <si>
    <t>"Restauração de 01 (um) reator reserva quente comum aos bancos CORE7-01 e CORE7-02_x000D_
"</t>
  </si>
  <si>
    <t>RTR 500 kV 45.45 MVAr COLINAS RTR1 TO</t>
  </si>
  <si>
    <t>0003480/2019</t>
  </si>
  <si>
    <t>Substituição de transformador de potencial capacitivo, fase V, instalado na saída de linha da SE Miracema, vão MCDP7-DX</t>
  </si>
  <si>
    <t>0003489/2019</t>
  </si>
  <si>
    <t>Revitalização e restauração do disjuntor com três polos,  CODJ7-09, VÃO CZ SE COLINAS</t>
  </si>
  <si>
    <t>0003521/2019</t>
  </si>
  <si>
    <t xml:space="preserve">Revitalização e restauração de um Disjuntor com três polos, CODJ7-07, VÃO CX SE COLINAS  </t>
  </si>
  <si>
    <t>0003527/2019</t>
  </si>
  <si>
    <t xml:space="preserve">SUBSTITUIÇÃO MOTOR 25 HP 14 PÓLOS SISTEMA DE REFRIGERAÇÃO </t>
  </si>
  <si>
    <t>MBCS2 02</t>
  </si>
  <si>
    <t>0003501/2018</t>
  </si>
  <si>
    <t xml:space="preserve">SUBSTITUIÇÃO  de 2 MOTORES 25 HP 14 PÓLOS SISTEMA DE REFRIGERAÇÃO </t>
  </si>
  <si>
    <t>VCCS2 02</t>
  </si>
  <si>
    <t>0003498/2018</t>
  </si>
  <si>
    <t>SUBSTITUIÇÃO DAS BUCHAS DE 230 KV</t>
  </si>
  <si>
    <t>VCTF6 01</t>
  </si>
  <si>
    <t>0003533/2018</t>
  </si>
  <si>
    <t>VCTF6 02</t>
  </si>
  <si>
    <t>0003534/2018</t>
  </si>
  <si>
    <t>SUBSTITUIÇÃO COMPLETA (PÓLOS, ARMÁRIO DE COMANDO E SPCS) DO DISJUNTOR LDDJ7-07</t>
  </si>
  <si>
    <t>0003648/2019</t>
  </si>
  <si>
    <t>SUBSTITUIÇÃO DO TC DE 230KV DO BAY DO DISJUNTOR LDDJ6-04 (FASE 'A')</t>
  </si>
  <si>
    <t>0003714/2019</t>
  </si>
  <si>
    <t>Revitalização e restauração de um Disjuntor, MCDJ7-08, VÃO CY SE MIRACEMA</t>
  </si>
  <si>
    <t>0003733/2019</t>
  </si>
  <si>
    <t>"Revitalização e restauração de um Disjuntor, MCDJ7-07, VÃO CX SE MIRACEMA"</t>
  </si>
  <si>
    <t>0003739/2019</t>
  </si>
  <si>
    <t>Substituição do Secioonador SC9013.</t>
  </si>
  <si>
    <t>UG1</t>
  </si>
  <si>
    <t>0003756/2018</t>
  </si>
  <si>
    <t xml:space="preserve">SUBSTITUIÇÃO DO TRANSFORMADOR DE CORRENTE 500KV DA FASE A DO REATOR IZRE7-06 </t>
  </si>
  <si>
    <t>RT 500 kV 136 Mvar IMPERATRIZ RT6 MA</t>
  </si>
  <si>
    <t>0003805/2019</t>
  </si>
  <si>
    <t>?SUBSTITUIÇÃO DO BANCO DE BATERIAS 125VCC 600AH - BANCO BATERIAS 125 VCC Nº 03 - SALA DE COMANDO</t>
  </si>
  <si>
    <t>0003786/2018</t>
  </si>
  <si>
    <t>?SUBSTITUIÇÃO DO BANCO DE BATERIAS 125VCC 600AH - BANCO BATERIAS 125 VCC Nº 04 - SALA DE COMANDO</t>
  </si>
  <si>
    <t>0003787/2018</t>
  </si>
  <si>
    <t>Substituição do Secionador SC9037/9030T.</t>
  </si>
  <si>
    <t>LT 500 kV MARIMBONDO /ARARAQUARA C-1 MG/SP</t>
  </si>
  <si>
    <t>0003816/2018</t>
  </si>
  <si>
    <t>Substituição do Secionador SC9057/9050T.</t>
  </si>
  <si>
    <t>LT 500 kV MARIMBONDO /ARARAQUARA C-2 MG/SP</t>
  </si>
  <si>
    <t>0003838/2018</t>
  </si>
  <si>
    <t xml:space="preserve">Substituição da secionadora SC870R. (N87989B)  </t>
  </si>
  <si>
    <t xml:space="preserve">MC 345 kV RTL 345 kV 60 MVAr CAMPOS RT5 RJ </t>
  </si>
  <si>
    <t>0003870/2019</t>
  </si>
  <si>
    <t xml:space="preserve">Substituição do disjuntor DJ9104. (N. série - C-10780-03)                               </t>
  </si>
  <si>
    <t>TR 500/345 kV POCOS CALDAS TR51 MG</t>
  </si>
  <si>
    <t>0003871/2019</t>
  </si>
  <si>
    <t>Substituição do TC12916 - FASE B. (N. Série - 472693) com capacidade de 3000 A/40,0 kA por um de 4000 A/50 kA</t>
  </si>
  <si>
    <t>EL 750 kV IVAIPORA LT 750 kV ITABERA /IVAIPORA C-1 SP/PR</t>
  </si>
  <si>
    <t>0003876/2019</t>
  </si>
  <si>
    <t>Substituição do TC12916 - FASE C.  (N. Série - 472696) com capacidade de 3000 A/40,0 kA por um de 4000 A/50 kA</t>
  </si>
  <si>
    <t>0003874/2019</t>
  </si>
  <si>
    <t>Substituição do TC12926 - FASE C. (N. Série - 7176028) com capacidade de 3000 A/45,0 kA por um de 4000 A/50 kA</t>
  </si>
  <si>
    <t>EL 750 kV IVAIPORA LT 750 kV ITABERA /IVAIPORA C-2 SP/PR</t>
  </si>
  <si>
    <t>0003878/2019</t>
  </si>
  <si>
    <t>Substituição da secionadora SC12923.</t>
  </si>
  <si>
    <t xml:space="preserve">EL 750 kV IVAIPORA LT 750 kV ITABERA /IVAIPORA C-2 SP/PR </t>
  </si>
  <si>
    <t>0003890/2019</t>
  </si>
  <si>
    <t>Substituição do TC12926 - FASE B. (N. Série - 7176031) com capacidade de 3000 A/45,0 kA por um de 4000 A/50 kA</t>
  </si>
  <si>
    <t>0003891/2019</t>
  </si>
  <si>
    <t>Substituição do TC12916 - FASE A. (N.Série - 472695) com capacidade de 3000 A/40,0 kA por um de 4000 A/50 kA</t>
  </si>
  <si>
    <t>0003888/2019</t>
  </si>
  <si>
    <t>Substituição do disjuntor DJ12916 (N. série - 11226R009) com capacidade de 3150 A/40,0 kA por um de 4000 A/50 kA</t>
  </si>
  <si>
    <t>0004019/2019</t>
  </si>
  <si>
    <t>Substituição de seccionador SC12927 (nº serie: 01042, cod. mat.: 10196925), por outro seccionador com lâmina de terra.</t>
  </si>
  <si>
    <t>CR 750 kV 528 Mvar IVAIPORA BC3B PR</t>
  </si>
  <si>
    <t>0004073/2019</t>
  </si>
  <si>
    <t>Substituição de SECIONADOR SC12929 c/LT SC12920T</t>
  </si>
  <si>
    <t>CR 750 kV 528 Mvar IVAIPORA BC3A PR</t>
  </si>
  <si>
    <t>0004074/2019</t>
  </si>
  <si>
    <t>Substituição de SECIONADOR SC12919 c/LT SC12910T</t>
  </si>
  <si>
    <t>CR 750 kV 528 Mvar IVAIPORA BC1A PR</t>
  </si>
  <si>
    <t>0004078/2019</t>
  </si>
  <si>
    <t>Substituição de seccionador SC12925 (nº serie: 01025, cod. mat.: 10196926), por outro seccionador com lâmina de terra.</t>
  </si>
  <si>
    <t>0004076/2019</t>
  </si>
  <si>
    <t>Substituição de seccionador SC12915 (nº serie: 1866, cod. mat.: 10196018), por outro seccionador com lâmina de terra.</t>
  </si>
  <si>
    <t>CR 750 kV 528 Mvar IVAIPORA BC5A PR</t>
  </si>
  <si>
    <t>0004080/2019</t>
  </si>
  <si>
    <t>Substituição de SECIONADOR SC12629 c/LT SC12620T</t>
  </si>
  <si>
    <t>CR 750 kV 508 Mvar IVAIPORA BC4A PR</t>
  </si>
  <si>
    <t>0004086/2019</t>
  </si>
  <si>
    <t>Substituição de seccionador SC12627 (nº serie: 1446 M, cod. mat.: 10196020), por outro seccionador com lâmina de terra.</t>
  </si>
  <si>
    <t>CR 750 kV 508 Mvar IVAIPORA BC4B PR</t>
  </si>
  <si>
    <t>0004084/2019</t>
  </si>
  <si>
    <t>Substituição de seccionador SC12625 (nº serie: 1447, cod. mat.: 10196021), por outro seccionador com lâmina de terra.</t>
  </si>
  <si>
    <t>0004083/2019</t>
  </si>
  <si>
    <t>Substituição de seccionador SC12727 (nº serie: 01045, cod. mat.: 10196911), por outro seccionador com lâmina de terra.</t>
  </si>
  <si>
    <t>CR 765 kV 621 Mvar ITABERA BC2A SP</t>
  </si>
  <si>
    <t>0004094/2019</t>
  </si>
  <si>
    <t>SUB POCOS CALDAS - 138</t>
  </si>
  <si>
    <t>Modernização da proteção e supervisão da LT 138kV DME - Poços de Caldas C2.</t>
  </si>
  <si>
    <t>LT 138 kV DME - POCOS DE CALDAS C-2</t>
  </si>
  <si>
    <t>0004073/2018</t>
  </si>
  <si>
    <t>Modernização da proteção e supervisão da LT 138kV DME - Poços de Caldas C1.</t>
  </si>
  <si>
    <t>LT 138 kV DME - POCOS DE CALDAS C-1</t>
  </si>
  <si>
    <t>0004071/2018</t>
  </si>
  <si>
    <t>Substituição de SECIONADOR SC12619 c/LT SC12610T</t>
  </si>
  <si>
    <t>CR 750 kV 508 Mvar IVAIPORA BC2A PR</t>
  </si>
  <si>
    <t>0004091/2019</t>
  </si>
  <si>
    <t>Substituição de PARA-RAIOS 765 kV Fase A</t>
  </si>
  <si>
    <t>CR 750 kV 621 Mvar ITABERA BC1A SP</t>
  </si>
  <si>
    <t>0004101/2019</t>
  </si>
  <si>
    <t>Substituição de seccionador SC12725 (nº serie: 01044, cod. mat.: 10196910), por outro seccionador com lâmina de terra.</t>
  </si>
  <si>
    <t>0004098/2019</t>
  </si>
  <si>
    <t>Substituição de PARA-RAIOS 765 kV Fase C</t>
  </si>
  <si>
    <t>0004106/2019</t>
  </si>
  <si>
    <t>Modernização da proteção, controle e supervisão da LT 138 kV Ilha dos Pombos - São José.</t>
  </si>
  <si>
    <t>LT 138 kV ILHA DOS POMBOS - SAO JOSE</t>
  </si>
  <si>
    <t>0004082/2018</t>
  </si>
  <si>
    <t>Substituição de PARA-RAIOS 765 kV Fase B</t>
  </si>
  <si>
    <t>0004104/2019</t>
  </si>
  <si>
    <t>Modernização da proteção, controle e supervisão da LT 138kV Cascadura - São José C1.</t>
  </si>
  <si>
    <t>LT 138 kV CASCADURA - SAO JOSE C-1</t>
  </si>
  <si>
    <t>0004084/2018</t>
  </si>
  <si>
    <t>Modernização da proteção, controle e supervisão da LT 138kV Cascadura - São José C2.</t>
  </si>
  <si>
    <t>LT 138 kV CASCADURA - SAO JOSE C-2</t>
  </si>
  <si>
    <t>0004086/2018</t>
  </si>
  <si>
    <t>0004108/2019</t>
  </si>
  <si>
    <t>Modernização da proteção, controle e supervisão da LT 138kV Triagem - São José C1.</t>
  </si>
  <si>
    <t>LT 138 kV TRIAGEM - SAO JOSE C-1</t>
  </si>
  <si>
    <t>0004087/2018</t>
  </si>
  <si>
    <t>Modernização da proteção, controle e supervisão da LT 138kV Triagem - São José C2.</t>
  </si>
  <si>
    <t>LT 138 kV TRIAGEM - SAO JOSE C2</t>
  </si>
  <si>
    <t>0004089/2018</t>
  </si>
  <si>
    <t>0004110/2019</t>
  </si>
  <si>
    <t>0004111/2019</t>
  </si>
  <si>
    <t>Modernização da proteção, controle e supervisão da LT 138kV Cordovil - São José C1.</t>
  </si>
  <si>
    <t>LT 138 kV CORDOVIL - SAO JOSE C1</t>
  </si>
  <si>
    <t>0004091/2018</t>
  </si>
  <si>
    <t>Modernização da proteção, controle e supervisão da LT 138kV Cordovil - São José C2.</t>
  </si>
  <si>
    <t>LT 138 kV CORDOVIL - SAO JOSE C-2</t>
  </si>
  <si>
    <t>0004093/2018</t>
  </si>
  <si>
    <t>Modernização da proteção, controle e supervisão da LT 138kV Magé - São José C2.</t>
  </si>
  <si>
    <t>LT 138 kV MAGE - SAO JOSE C-2</t>
  </si>
  <si>
    <t>0004101/2018</t>
  </si>
  <si>
    <t>Modernização da proteção, controle e supervisão da LT 139kV Imbariê - São José C1 (terminal São José).</t>
  </si>
  <si>
    <t>LT 138 kV IMBARIE - SAO JOSE C-1</t>
  </si>
  <si>
    <t>0004103/2018</t>
  </si>
  <si>
    <t>SUBSTITUIÇÃO DOS TRANSFORMADORES DE CORRENTE 230KV FASES A, B, V DO TRANSFORMADOR IZTF6-02</t>
  </si>
  <si>
    <t>CS 100/-70 Mvar IMPERATRIZ CS3 + TF2 MA</t>
  </si>
  <si>
    <t>0004122/2019</t>
  </si>
  <si>
    <t>Modernização da proteção, controle e supervisão da LT 138kV Imbariê - São José C2 (terminal São José).</t>
  </si>
  <si>
    <t>LT 138 kV IMBARIE - SAO JOSE C-2</t>
  </si>
  <si>
    <t>0004105/2018</t>
  </si>
  <si>
    <t>SUBSTITUIÇÃO DO TRANSFORMADOR DE CORRENTE 500KV DA FASE A DO REATOR IZRE7-03</t>
  </si>
  <si>
    <t>0004139/2019</t>
  </si>
  <si>
    <t>SUBSTITUIÇÃO DO TRANSFORMADOR DE CORRENTE 500KV DA FASE A DO DISJUNTOR IZDJ7-05</t>
  </si>
  <si>
    <t>0004157/2019</t>
  </si>
  <si>
    <t>SUBSTITUIÇÃO DAS BUCHAS DE 13.8 KV</t>
  </si>
  <si>
    <t>TR 230/13,8 kV MARABA TF1 PA</t>
  </si>
  <si>
    <t>0004161/2019</t>
  </si>
  <si>
    <t>Substitu~ição de 3 Para-raios na entrada de linha da LT 345kV Marimbondo - Porto Colômbia.</t>
  </si>
  <si>
    <t>LT 345 kV MARIMBONDO /P. COLOMBIA C-1 MG</t>
  </si>
  <si>
    <t>0004155/2018</t>
  </si>
  <si>
    <t>Substituição de REATOR 500 kV IZRE7-06 (FASES A, B, V e R)
Melhoria com Reforço de Pequeno Porte associado (SGPMR nº 0009786/2021)</t>
  </si>
  <si>
    <t>RTR 500 kV 45.45 MVAr IMPERATRIZ RTR6 MA</t>
  </si>
  <si>
    <t>0004197/2018</t>
  </si>
  <si>
    <t>Modernização nos serviços auxiliares.</t>
  </si>
  <si>
    <t>MODULO GERAL (FT MG 345 kV BANDEIRANTES MG1 GO)</t>
  </si>
  <si>
    <t>0004358/2018</t>
  </si>
  <si>
    <t>SUB BRAS. SUL - 13,8</t>
  </si>
  <si>
    <t>MODULO GERAL (FT MG 345 kV BRAS.SUL MG1 DF</t>
  </si>
  <si>
    <t>0004360/2018</t>
  </si>
  <si>
    <t>SUB F.IGUACU 60HZ - 13,8</t>
  </si>
  <si>
    <t>Modernização nos serviços auxiliares de Média Tensão.</t>
  </si>
  <si>
    <t>MODULO GERAL (FT MG 500 kV F.IGUACU 60HZ MG1 PR)</t>
  </si>
  <si>
    <t>0004363/2018</t>
  </si>
  <si>
    <t>Substituição de REATOR 500 kV LDRE7-03 (FASES A, B, V e R).
Melhoria com Reforço de Pequeno Porte associado (SGPMR nº 0009788/2021)</t>
  </si>
  <si>
    <t>LDRE7-03</t>
  </si>
  <si>
    <t>0004442/2018</t>
  </si>
  <si>
    <t>Substituição de REATOR 500 kV PDRE7-01 (FASES A, B e V).
Melhoria com Reforço de Pequeno Porte associado (SGPMR nº 0009787/2021)</t>
  </si>
  <si>
    <t>PDRE7-01</t>
  </si>
  <si>
    <t>0004458/2018</t>
  </si>
  <si>
    <t>FORTALEZA</t>
  </si>
  <si>
    <t>Substituição de 01 (um) Transformador trifásico 230 kV, potência 100 MVA, posição operacional 04T2, da subestação FTZ.</t>
  </si>
  <si>
    <t>TR 230/69/13,8 kV FORTALEZA TR2 CE</t>
  </si>
  <si>
    <t>0004508/2018</t>
  </si>
  <si>
    <t>Substituição do transformador 04T3 da SE MTT e suas conexões.</t>
  </si>
  <si>
    <t>FT TR 230/69 kV MATATU TR3 BA</t>
  </si>
  <si>
    <t>0004515/2018</t>
  </si>
  <si>
    <t>Substituição de 01 (um) Transformador trifásico 230 kV, potência 100 MVA, posição operacional 04T3, da subestação MCO.</t>
  </si>
  <si>
    <t>TR 230/69 kV MACEIO TR3 AL</t>
  </si>
  <si>
    <t>0004520/2018</t>
  </si>
  <si>
    <t>Substituição de 01 (um) Transformador trifásico 230 kV, potência 100 MVA, posição operacional 04T4, da subestação FTZ.</t>
  </si>
  <si>
    <t>TR 230/69/13,8 kV FORTALEZA TR4 CE</t>
  </si>
  <si>
    <t>0004525/2018</t>
  </si>
  <si>
    <t>JARDIM</t>
  </si>
  <si>
    <t>Substituição do transformador 04T2 da SE JDM e suas conexões.</t>
  </si>
  <si>
    <t>FT TR 230/69 kV JARDIM TR2 SE</t>
  </si>
  <si>
    <t>0004528/2018</t>
  </si>
  <si>
    <t>JACARACANGA</t>
  </si>
  <si>
    <t>Substituição do transformador 04T2 da SE JCR e suas conexões.</t>
  </si>
  <si>
    <t>FT TR 230/69 kV JACARACANGA TR2 BA</t>
  </si>
  <si>
    <t>0004529/2018</t>
  </si>
  <si>
    <t>RECIFE II</t>
  </si>
  <si>
    <t>Substituição dos três reatores 05E2 A/B/C da SE RCD e suas conexões.</t>
  </si>
  <si>
    <t>RT 500 kV 100 Mvar RECIFE II RT2 PE</t>
  </si>
  <si>
    <t>0004547/2018</t>
  </si>
  <si>
    <t>Substituição do reator reserva 05E2 R da SE RCD.</t>
  </si>
  <si>
    <t>RTR 500 kV 33.3 MVAr RECIFE II RTR1 PE</t>
  </si>
  <si>
    <t>0004548/2018</t>
  </si>
  <si>
    <t>Substituição dos dois reatores 05E1 A/B da SE CMDe suas conexões.</t>
  </si>
  <si>
    <t>RT 500 kV 100 Mvar CAMACARI II RT1 BA</t>
  </si>
  <si>
    <t>0004549/2018</t>
  </si>
  <si>
    <t>Substituição do reator reserva 05E1 R da SE CMD.</t>
  </si>
  <si>
    <t>RTR 500 kV 33.3 MVAr CAMACARI II RTR1 BA</t>
  </si>
  <si>
    <t>0004550/2018</t>
  </si>
  <si>
    <t>SUBSTITUIÇÃO DA CHAVE SECCIONADORA PRINCIPAL DE 13.8 KV DO COMPENSADOR SÍNCRONO VCCS2-01</t>
  </si>
  <si>
    <t>VCCS2-01</t>
  </si>
  <si>
    <t>0004822/2018</t>
  </si>
  <si>
    <t>SUBSTITUIÇÃO DOS DISJUNTORES DE 13.8 KV VCDJ2-01 DO COMPENSADOR SÍNCRONO VCCS2-01</t>
  </si>
  <si>
    <t>0004831/2018</t>
  </si>
  <si>
    <t xml:space="preserve"> MODERNIZAÇÃO DOS SISTEMAS DE PORTA ESCÔVAS / ESCOVAS COM ESTIBO E LIMITADOR E MICROSWITCHES, SISTEMA MDC DE ASPIRAÇÃO DE PÓ COM SISTEMA DE MONITORAMENTOEM TEMPO REAL (I-BRUSH) DO COMPENSADOR SÍNCRONO MBCS2-01</t>
  </si>
  <si>
    <t>CS 150/-90 Mvar VILA DO CONDE CS1 PA</t>
  </si>
  <si>
    <t>0004835/2018</t>
  </si>
  <si>
    <t>SUBSTITUIÇÃO DOS DISJUNTORES DE 13.8 KV VCDJ2-03 DO COMPENSADOR SÍNCRONO VCCS2-01</t>
  </si>
  <si>
    <t>0004837/2018</t>
  </si>
  <si>
    <t>SUBSTITUIÇÃO DE 01 CONJUNTO DE MOTOBOMBAS DO SISTEMA DE ÁGUA DE RESFRIAMENTO DO COMPENSADOR SÍNCRONO MBCS2-01</t>
  </si>
  <si>
    <t>CS 150/-90 Mvar MARABA CS1 PA</t>
  </si>
  <si>
    <t>0004836/2018</t>
  </si>
  <si>
    <t>SUBSTITUIR PONTA DE EIXO COM ANEL COLETOR DO COMPENSADOR SÍNCRONO MBCS2-01</t>
  </si>
  <si>
    <t>0004841/2018</t>
  </si>
  <si>
    <t>SUBSTITUIÇÃO DOS DISJUNTORES DE 13.8 KV VCDJ2-04 DO COMPENSADOR SÍNCRONO VCCS2-01</t>
  </si>
  <si>
    <t>0004840/2018</t>
  </si>
  <si>
    <t>SUBSTITUIR PONTA DE EIXO COM ANEL COLETOR DO COMPENSADOR SÍNCRONO VCCS2-01</t>
  </si>
  <si>
    <t>0004844/2018</t>
  </si>
  <si>
    <t>SUBSTITUIÇÃO DOS DISJUNTORES DE 13.8 KV VCDJ2-05 DO COMPENSADOR SÍNCRONO VCCS2-01</t>
  </si>
  <si>
    <t>0004842/2018</t>
  </si>
  <si>
    <t>SUBSTITUIR PONTA DE EIXO COM ANEL COLETOR DO COMPENSADOR SÍNCRONO VCCS2-02</t>
  </si>
  <si>
    <t>CS 150/-90 Mvar VILA DO CONDE CS2 PA</t>
  </si>
  <si>
    <t>0004848/2018</t>
  </si>
  <si>
    <t>SUBSTITUIR ANÉIS DE ESTANQUEIDADE DO COMPENSADOR SÍNCRONO VCCS2-01</t>
  </si>
  <si>
    <t>0004855/2018</t>
  </si>
  <si>
    <t>SUBSTITUIÇÃO DOS DISJUNTORES DE 13.8 KV VCDJ2-07 DO COMPENSADOR SÍNCRONO VCCS2-01</t>
  </si>
  <si>
    <t>0004853/2018</t>
  </si>
  <si>
    <t>SUBSTITUIÇÃO DOS DISJUNTORES DE 13.8 KV VCDJ2-10 DO COMPENSADOR SÍNCRONO VCCS2-02</t>
  </si>
  <si>
    <t xml:space="preserve"> VCCS2-02</t>
  </si>
  <si>
    <t>0004852/2018</t>
  </si>
  <si>
    <t>SUBSTITUIÇÃO DE 2,0 VÁLVULA DE RETENÇÃO DO SISTEMA DE ÁGUA DE RESFRIAMENTO DO COMPENSADOR SÍNCRONO MBCS2-01</t>
  </si>
  <si>
    <t>0004846/2018</t>
  </si>
  <si>
    <t>SUBSTITUIR ANÉIS DE ESTANQUEIDADE DO COMPENSADOR SÍNCRONO  VCCS2-02</t>
  </si>
  <si>
    <t>0004857/2018</t>
  </si>
  <si>
    <t>SUBSTITUIÇÃO DE 03 CONJUNTOS DE PÁS DE ALUMINIO DOS AEROVENTILADORES DO SISTEMA DE ÁGUA DE RESFRIAMENTO DO COMPENSADOR SÍNCRONO MBCS2-01</t>
  </si>
  <si>
    <t>0004856/2018</t>
  </si>
  <si>
    <t>0004860/2018</t>
  </si>
  <si>
    <t>SUBSTITUIR 1,0 CONJUNTO DE SELAGENS MECÂNICAS DO COMPENSADOR SÍNCRONO VCCS2-01</t>
  </si>
  <si>
    <t>0004861/2018</t>
  </si>
  <si>
    <t>SUBSTITUIÇÃO DOS DISJUNTORES DE 13.8 KV VCDJ2-11 DO COMPENSADOR SÍNCRONO VCCS2-02</t>
  </si>
  <si>
    <t>0004859/2018</t>
  </si>
  <si>
    <t>SUBSTITUIÇÃO DOS RADIADORES (ÁGUA/AR) DO SISTEMA DE ÁGUA DE RESFRIAMENTO DO COMPENSADOR SÍNCRONO MBCS2-01</t>
  </si>
  <si>
    <t>0004865/2018</t>
  </si>
  <si>
    <t>SUBSTITUIR 1,0 CONJUNTO DE SELAGENS MECÂNICAS DO COMPENSADOR SÍNCRONO  VCCS2-02</t>
  </si>
  <si>
    <t>0004867/2018</t>
  </si>
  <si>
    <t>LT 230 kV VILA DO CONDE/GUAMA C-2 PA</t>
  </si>
  <si>
    <t>0004872/2018</t>
  </si>
  <si>
    <t>SUBSTITUIÇÃO DOS DISJUNTORES DE 13.8 KV VCDJ2-13 DO COMPENSADOR SÍNCRONO VCCS2-02</t>
  </si>
  <si>
    <t>0004871/2018</t>
  </si>
  <si>
    <t>SUBSTITUIÇÃO DE 03 CONJUNTOS DE PÁS DE ALUMINIO EXTRUDADO DOS AEROVENTILADORES DO SISTEMA DE ÁGUA DE RESFRIAMENTO</t>
  </si>
  <si>
    <t>0004870/2018</t>
  </si>
  <si>
    <t>SUBSTITUIÇÃO DOS RADIADORES (ÁGUA/AR) DO SISTEMA DE ÁGUA DE RESFRIAMENTO DO COMPENSADOR SÍNCRONO VCCS2-01.</t>
  </si>
  <si>
    <t>0004874/2018</t>
  </si>
  <si>
    <t>SUBSTITUIÇÃO DE 01 CONJUNTO DE MOTOBOMBAS DO SISTEMA DE ÁGUA DE RESFRIAMENTO DO COMPENSADOR SÍNCRONO VCCS2-02</t>
  </si>
  <si>
    <t>0004875/2018</t>
  </si>
  <si>
    <t>SUBSTITUIÇÃO DE 6,0 (SEIS) CAIXAS METÁLICAS DE AR DO SISTEMA DE ÁGUA DE RESFRIAMENTO DO COMPENSADOR SÍNCRONO MBCS2-01</t>
  </si>
  <si>
    <t>0004876/2018</t>
  </si>
  <si>
    <t>SUBSTITUIÇÃO DE 2 VÁLVULA DE RETENÇÃO DO SISTEMA DE ÁGUA DE RESFRIAMENTO DO COMPENSADOR SÍNCRONO VCCS2-02</t>
  </si>
  <si>
    <t>0004878/2018</t>
  </si>
  <si>
    <t>SUBSTITUIÇÃO DE 03 CONJUNTOS DE PÁS DE ALUMINIO DOS  AEROVENTILADORES DO SISTEMA DE ÁGUA DE RESFRIAMENTO DO COMPENSADOR SÍNCRONO VCCS2-02</t>
  </si>
  <si>
    <t>0004881/2018</t>
  </si>
  <si>
    <t>SUBSTITUIÇÃO DAS VÁVULAS REGULADORAS DOS SISTEMAS DE ÓLEO DE LUBRIFICAÇÃO / LEVANTAMENTO E ESTANQUEIDADE DO COMPENSADOR SÍNCRONO VCCS2-01.</t>
  </si>
  <si>
    <t>0004886/2018</t>
  </si>
  <si>
    <t>SUBSTITUIÇÃO DO DISJUNTOR DE 13,8 KV - MBDJ2-01  DO COMPENSADOR SÍNCRONO MBCS2-01</t>
  </si>
  <si>
    <t>0004884/2018</t>
  </si>
  <si>
    <t>SUBSTITUIÇÃO DOS RADIADORES (ÁGUA/AR) DO SISTEMA DE ÁGUA DE RESFRIAMENTO DO COMPENSADOR SÍNCRONO VCCS2-02</t>
  </si>
  <si>
    <t>0004882/2018</t>
  </si>
  <si>
    <t xml:space="preserve"> MODERNIZAÇÃO DOS SISTEMAS DE PORTA ESCÔVAS / ESCOVAS COM ESTIBO E LIMITADOR E MICROSWITCHES, SISTEMA MDC DE ASPIRAÇÃO DE PÓ COM SISTEMA DE MONITORAMENTOEM TEMPO REAL (I-BRUSH) DO COMPENSADOR SÍNCRONO VCCS2-02</t>
  </si>
  <si>
    <t>0004889/2018</t>
  </si>
  <si>
    <t>SUBSTITUIÇÃO DA CHAVE SECCIONADORA PRINCIPAL DE 13.8 KV DO COMPENSADOR SÍNCRONO MBCS2-01</t>
  </si>
  <si>
    <t>0004895/2018</t>
  </si>
  <si>
    <t>SUBSTITUIÇÃO DA CHAVE SECCIONADORA PRINCIPAL DE 13.8 KV DO COMPENSADOR SÍNCRONO VCCS2-02</t>
  </si>
  <si>
    <t>0004896/2018</t>
  </si>
  <si>
    <t>SUBSTITUIÇÃO MOTOR 25 HP 14 PÓLOS SISTEMA DE REFRIGERAÇÃO DO COMPENSADOR SÍNCRONO MBCS2-01</t>
  </si>
  <si>
    <t>0004893/2018</t>
  </si>
  <si>
    <t>SUBSTITUIÇÃO DOS DISJUNTORES DE 13.8 KV MBDJ2-07 DO COMPENSADOR SÍNCRONO MBCS2-01</t>
  </si>
  <si>
    <t>0004892/2018</t>
  </si>
  <si>
    <t xml:space="preserve"> MODERNIZAÇÃO DOS SISTEMAS DE PORTA ESCOVAS / ESCOVAS COM ESTIBO E LIMITADOR E MICROSWITCHES, SISTEMA MDC DE ASPIRAÇÃO DE PÓ COM SISTEMA DE MONITORAMENTOEM TEMPO REAL (I-BRUSH) DO COMPENSADOR SÍNCRONO VCCS2-01</t>
  </si>
  <si>
    <t>0004891/2018</t>
  </si>
  <si>
    <t>SUBSTITUIÇÃO DOS DISJUNTORES DE 13.8 KV MBDJ2-04 DO COMPENSADOR SÍNCRONO MBCS2-01</t>
  </si>
  <si>
    <t>0004899/2018</t>
  </si>
  <si>
    <t>SUBSTITUIÇÃO DOS DISJUNTORES DE 13.8 KV MBDJ2-03 DO COMPENSADOR SÍNCRONO MBCS2-01</t>
  </si>
  <si>
    <t>0004897/2018</t>
  </si>
  <si>
    <t>SUBSTITUIÇÃO DOS DISJUNTORES DE 13.8 KV VCDJ2-08 DO COMPENSADOR SÍNCRONO VCCS2-02</t>
  </si>
  <si>
    <t>0004900/2018</t>
  </si>
  <si>
    <t>SUBSTITUIR 1,0 CONJUNTO DE SELAGENS MECÂNICAS DO COMPENSADOR SÍNCRONO MBCS2-01</t>
  </si>
  <si>
    <t>0004906/2018</t>
  </si>
  <si>
    <t>SUBSTITUIÇÃO DOS DISJUNTORES DE 13.8 KV MBDJ2-05 DO COMPENSADOR SÍNCRONO MBCS2-01</t>
  </si>
  <si>
    <t>0004903/2018</t>
  </si>
  <si>
    <t>SUBSTITUIÇÃO DOS DISJUNTORES DE 13.8 KV VCDJ2-09 DO COMPENSADOR SÍNCRONO VCCS2-02</t>
  </si>
  <si>
    <t>0004904/2018</t>
  </si>
  <si>
    <t>SUBSTITUIR ANÉIS DE ESTANQUEIDADE DO COMPENSADOR SÍNCRONO MBCS2-01</t>
  </si>
  <si>
    <t>0004898/2018</t>
  </si>
  <si>
    <t>0004908/2018</t>
  </si>
  <si>
    <t xml:space="preserve"> SUBSTITUIÇÃO DOS DISJUNTORES DE 13.8 KV MBDJ2-01 DO COMPENSADOR SÍNCRONO MBCS2-01</t>
  </si>
  <si>
    <t>0004907/2018</t>
  </si>
  <si>
    <t>0004910/2018</t>
  </si>
  <si>
    <t>0004909/2018</t>
  </si>
  <si>
    <t>LT 500 kV US. L.GONZAGA /GARANHUNS II PE - 500</t>
  </si>
  <si>
    <t>Substituição do conjunto de cadeias de isoladores de mesma classe de tensão nas 171 estruturas listadas no campo observação.</t>
  </si>
  <si>
    <t>FT LT 500 kV US. L.GONZAGA /GARANHUNS II C-2 PE</t>
  </si>
  <si>
    <t>0004940/2018</t>
  </si>
  <si>
    <t>LT 230 kV P.AFONSO III /GARANHUNS II AL/PE - 230</t>
  </si>
  <si>
    <t>Substituição do conjunto de cadeias de isoladores de mesma classe de tensão nas 65 estruturas listadas no campo observação.</t>
  </si>
  <si>
    <t>FT LT 230 kV P.AFONSO III /GARANHUNS II C-4 AL/PE</t>
  </si>
  <si>
    <t>0004949/2018</t>
  </si>
  <si>
    <t>SUBSTITUIÇÃO DO SISTEMA DE PROTEÇÃO DO TRAFO 04T6 230/138kV SE FNL</t>
  </si>
  <si>
    <t>FT TR 230/138 kV FUNIL TR6 BA</t>
  </si>
  <si>
    <t>0004948/2018</t>
  </si>
  <si>
    <t>SUBSTITUIÇÃO DO SISTEMA DE PROTEÇÃO DO TRAFO 04T2 230/138kV SE FNL</t>
  </si>
  <si>
    <t>FT TR 230/138 kV FUNIL TR2 BA</t>
  </si>
  <si>
    <t>0004947/2018</t>
  </si>
  <si>
    <t>SUBSTITUIÇÃO DO SISTEMA DE PROTEÇÃO DO TRAFO 04T1 230/138kV SE FNL</t>
  </si>
  <si>
    <t>FT TR 230/138 kV FUNIL TR1 BA</t>
  </si>
  <si>
    <t>0004946/2018</t>
  </si>
  <si>
    <t>SUBSTITUIÇÃO DO SISTEMA DE PROTEÇÃO DE 01 TERMINAL DE LT 03J2 D. MEIRA (COELBA) 138KV</t>
  </si>
  <si>
    <t>LT 03J2 SE FNL</t>
  </si>
  <si>
    <t>0004957/2018</t>
  </si>
  <si>
    <t>SUBSTITUIÇÃO DO SISTEMA DE PROTEÇÃO DO TRAFO 03T7 138/115kV SE FNL</t>
  </si>
  <si>
    <t>TR 138/115 kV FUNIL TR7 (03T7) BA</t>
  </si>
  <si>
    <t>0004952/2018</t>
  </si>
  <si>
    <t>SUBSTITUIÇÃO DO SISTEMA DE PROTEÇÃO DE 01 TERMINAL DE LT 03J4 ITABUNA II (COELBA) 138KV</t>
  </si>
  <si>
    <t>LT 03J4 SE FNL</t>
  </si>
  <si>
    <t>0004960/2018</t>
  </si>
  <si>
    <t>SUBSTITUIÇÃO DO SISTEMA DE PROTEÇÃO DE 01 TERMINAL DE LT 03J3 ITABUNA I (COELBA) 138KV</t>
  </si>
  <si>
    <t>LT 03J3 SE FNL</t>
  </si>
  <si>
    <t>0004958/2018</t>
  </si>
  <si>
    <t>SUBSTITUIÇÃO DO SISTEMA DE PROTEÇÃO DE 01 TERMINAL DE LT 03J1 UPE/IPIAÚ (COELBA) 138KV</t>
  </si>
  <si>
    <t>LT 03J1 SE FNL</t>
  </si>
  <si>
    <t>0004956/2018</t>
  </si>
  <si>
    <t>SUBSTITUIÇÃO DO SISTEMA DE PROTEÇÃO DE 01 TERMINAL DE LT 03P2 V. CONQUISTA/ POÇÕES/IPIAÚ (COELBA) 138KV</t>
  </si>
  <si>
    <t>LT 03P2 SE FNL</t>
  </si>
  <si>
    <t>0004961/2018</t>
  </si>
  <si>
    <t>Modernização de da proteção, controle e supervisão da LT 500 kV Samambaia - Serra da Mesa C1 na SE Samambaia</t>
  </si>
  <si>
    <t>LT 500 kV Samambaia - Serra da Mesa C1</t>
  </si>
  <si>
    <t>0005043/2018</t>
  </si>
  <si>
    <t>Modernização de da proteção, controle e supervisão da LT 500 kV Samambaia - Serra da Mesa C2 na SE Samambaia</t>
  </si>
  <si>
    <t>LT 500 kV Samambaia-Serra da Mesa C2</t>
  </si>
  <si>
    <t>0005044/2018</t>
  </si>
  <si>
    <t>LT 500 kV S.DA MESA /SAMAMBAIA C-1 GO/DF</t>
  </si>
  <si>
    <t>0005045/2018</t>
  </si>
  <si>
    <t>Modernização de da proteção, controle e supervisão da LT 500 kV Samambaia - Serra da Mesa C2 na SE Serra da Mesa</t>
  </si>
  <si>
    <t>LT 500 kV S.DA MESA /SAMAMBAIA C-2 GO/DF</t>
  </si>
  <si>
    <t>0005046/2018</t>
  </si>
  <si>
    <t>Modernização da proteção, controle e supervisão da LT 138 kV Magé - São José C1</t>
  </si>
  <si>
    <t>LT 138 kV Magé - São José C1</t>
  </si>
  <si>
    <t>0005059/2018</t>
  </si>
  <si>
    <t>Substituição do Sistema de Proteção e dispositivos auxiliares de 01 terminal de LT 02J6.</t>
  </si>
  <si>
    <t>LT 02J6</t>
  </si>
  <si>
    <t>0000480/2017</t>
  </si>
  <si>
    <t>Substituição do Sistema de Proteção e dispositivos auxiliares de 01 terminal de LT 02J7.</t>
  </si>
  <si>
    <t>LT 02J7</t>
  </si>
  <si>
    <t>0000481/2017</t>
  </si>
  <si>
    <t>Substituição do Sistema de Proteção e dispositivos auxiliares de 01 terminal de LT 02N2.</t>
  </si>
  <si>
    <t>LT 02N2</t>
  </si>
  <si>
    <t>0000485/2017</t>
  </si>
  <si>
    <t>Substituição do Sistema de Proteção e dispositivos auxiliares do Trafo Aterramento 69kV 02A1.</t>
  </si>
  <si>
    <t>TT 02A1</t>
  </si>
  <si>
    <t>0000491/2017</t>
  </si>
  <si>
    <t>Substituição do Sistema de Proteção e dispositivos auxiliares do Trafo Aterramento 69kV 02A2.</t>
  </si>
  <si>
    <t>TT 02A2</t>
  </si>
  <si>
    <t>0000492/2017</t>
  </si>
  <si>
    <t>SUB DELM. GOUVEIA - 230</t>
  </si>
  <si>
    <t>Substituição do Sistema de Proteção e dispositivos auxiliares do Trafo 04T1 230/69kV.</t>
  </si>
  <si>
    <t>FT TR 230/69 kV DELM. GOUVEIA TR1 CE</t>
  </si>
  <si>
    <t>0000494/2017</t>
  </si>
  <si>
    <t>Substituição do Sistema de Proteção e dispositivos auxiliares do Trafo 04T2 230/69kV.</t>
  </si>
  <si>
    <t>FT TR 230/69 kV DELM. GOUVEIA TR2 CE</t>
  </si>
  <si>
    <t>0000495/2017</t>
  </si>
  <si>
    <t>Substituição do Sistema de Proteção e dispositivos auxiliares do Trafo 04T3 230/69kV.</t>
  </si>
  <si>
    <t>FT TR 230/69 kV DELM. GOUVEIA TR3 CE</t>
  </si>
  <si>
    <t>0000496/2017</t>
  </si>
  <si>
    <t>Substituição do Sistema de Proteção e dispositivos auxiliares do Trafo 04T4 230/69kV.</t>
  </si>
  <si>
    <t>FT TR 230/69 kV DELM. GOUVEIA TR4 CE</t>
  </si>
  <si>
    <t>0000497/2017</t>
  </si>
  <si>
    <t>Substituição do Sistema de Proteção e dispositivos auxiliares de 01 terminal de LT 02V1.</t>
  </si>
  <si>
    <t>LT 02V1</t>
  </si>
  <si>
    <t>0000538/2017</t>
  </si>
  <si>
    <t>Substituição do Sistema de Proteção e dispositivos auxiliares de 01 terminal de LT 02V3.</t>
  </si>
  <si>
    <t>LT 02V3</t>
  </si>
  <si>
    <t>0000539/2017</t>
  </si>
  <si>
    <t>Substituição do Sistema de Proteção e dispositivos auxiliares do Trafo Aterramento 02A1.</t>
  </si>
  <si>
    <t>0000540/2017</t>
  </si>
  <si>
    <t>Substituição do Sistema de Proteção e dispositivos auxiliares do Trafo 02T3 69/13,8kV.</t>
  </si>
  <si>
    <t>FT MG 230 kV BOM NOME MG1 PE</t>
  </si>
  <si>
    <t>0000541/2017</t>
  </si>
  <si>
    <t>SUB B.JESUS LAPA - 69</t>
  </si>
  <si>
    <t>Substituição do Sistema de Proteção e dispositivos auxiliares de 01 terminal de LT 02C2.</t>
  </si>
  <si>
    <t>LT 02C2</t>
  </si>
  <si>
    <t>0000561/2017</t>
  </si>
  <si>
    <t>Substituição do Sistema de Proteção e dispositivos auxiliares de 01 terminal de LT 02M3.</t>
  </si>
  <si>
    <t>LT 02M3</t>
  </si>
  <si>
    <t>0000564/2017</t>
  </si>
  <si>
    <t>Itumbiara - 500</t>
  </si>
  <si>
    <t>Grupo Transformador Elevador e Unidade Geradora 04 -TRUG04 : Revitalização do Sistema de Proteção, Supervisão e Controle acrescidos do reforço de blindagem nos circuitos secundários de corrente, potencial e controle.</t>
  </si>
  <si>
    <t>Unidade Geradora 4</t>
  </si>
  <si>
    <t>0001419/2014</t>
  </si>
  <si>
    <t>Grupo Transformador Elevador e Unidade Geradora 01 -TRUG01 : Revitalização do Sistema de Proteção, Supervisão e Controle acrescidos do reforço de blindagem nos circuitos secundários de corrente, potencial e controle.</t>
  </si>
  <si>
    <t>Unidade Geradora 1</t>
  </si>
  <si>
    <t>0001413/2014</t>
  </si>
  <si>
    <t>Grupo Transformador Elevador e Unidade Geradora 03 -TRUG03 : Revitalização do Sistema de Proteção, Supervisão e Controle acrescidos do reforço de blindagem nos circuitos secundários de corrente, potencial e controle.</t>
  </si>
  <si>
    <t>Unidade Geradora 3</t>
  </si>
  <si>
    <t>0001424/2014</t>
  </si>
  <si>
    <t>SE da UTE Campos - 69</t>
  </si>
  <si>
    <t xml:space="preserve"> Substituição de 3 disjuntores (DJ538 5838 5848) e 8 seccionadoras (SC5835/SC5830T 5831 5833 5815/5810T 5825/5820T 5845/5840T 5841 5843)</t>
  </si>
  <si>
    <t>0001390/2014</t>
  </si>
  <si>
    <t>Grupo Transformador Elevador e Unidade Geradora 02 -TRUG02 : Revitalização do Sistema de Proteção, Supervisão e Controle acrescidos do reforço de blindagem nos circuitos secundários de corrente, potencial e controle.</t>
  </si>
  <si>
    <t>Unidade Geradora 2</t>
  </si>
  <si>
    <t>0001321/2014</t>
  </si>
  <si>
    <t>Grupo Transformador Elevador e Unidade Geradora 05 -TRUG05 : Revitalização do Sistema de Proteção, Supervisão e Controle acrescidos do reforço de blindagem nos circuitos secundários de corrente, potencial e controle.</t>
  </si>
  <si>
    <t>Unidade Geradora 5</t>
  </si>
  <si>
    <t>0001412/2014</t>
  </si>
  <si>
    <t>Aquisição de  um Sub-Quadro de distribuição de corrente continua 125 VCC, com  duas barras, e demais cabos</t>
  </si>
  <si>
    <t>0000287/2014</t>
  </si>
  <si>
    <t>Adrianópolis - 138</t>
  </si>
  <si>
    <t>Substituição de 9 disjuntores (DJ606 626 6316 6326 6336 6346 6356 636 e 6366) 25 seccionadoras s/LT (SC6351 6355 6365 621 623 625 635 631 633 6361 6335 6331 6341 6345 601 603 605 607 6321 6325 6311 6315 641 643 645) 6 seccionadoras c/LT (SC6310T/SC6313 6320T/6323 6330T/6333 6340T/6343 6350T/6353 6360T/6363) e 30 TC (Magé 1 e 2 Alcântara Alcântara 1 2 e 3 AT1B AT2A e amarre)</t>
  </si>
  <si>
    <t>0000692/2014</t>
  </si>
  <si>
    <t>Substituição das seguintes seccionadoras: SC921, SC9315, SC9317, SC9325, SC9327 e SC9440T/9447.</t>
  </si>
  <si>
    <t>0001391/2014</t>
  </si>
  <si>
    <t>Grupo Transformador Elevador e Unidade Geradora 06 -TRUG06 : Revitalização do Sistema de Proteção, Supervisão e Controle acrescidos do reforço de blindagem nos circuitos secundários de corrente, potencial e controle.</t>
  </si>
  <si>
    <t>Unidade Geradora 6</t>
  </si>
  <si>
    <t>0001426/2014</t>
  </si>
  <si>
    <t>Substituição de 2 disjuntores (DJ12728 12848) e 5 seccionadoras (SC12853 12933 12719 12729 12739/12730T).</t>
  </si>
  <si>
    <t>0001421/2014</t>
  </si>
  <si>
    <t>Substituição do sistema de proteção e controle do terminal RCD da LT 04M3-RCD/AGL 230kV, composto de: 02 Painéis de proteção; 02 Relés Digitais (PP e PA); 01 Unidade de Controle; 01 Registrador de Perturbação (RDP).</t>
  </si>
  <si>
    <t>LT 230 kV RECIFE II / ANGELIM C-2 PE</t>
  </si>
  <si>
    <t>0000434/2020</t>
  </si>
  <si>
    <t>LT 500 kV OLINDINA /US. L.GONZAGA BA/PE - 500</t>
  </si>
  <si>
    <t>Substituição de 69 esferas de sinalização aérea.</t>
  </si>
  <si>
    <t>FT LT 500 kV OLINDINA /US. L.GONZAGA C-1 BA/PE</t>
  </si>
  <si>
    <t>0000454/2016</t>
  </si>
  <si>
    <t>Substituição do TCS DJ8764 - Fase C.</t>
  </si>
  <si>
    <t>IB 345 kV MG 750 kV TIJUCO PRETO MG1 SP IB7</t>
  </si>
  <si>
    <t>0000736/2020</t>
  </si>
  <si>
    <t>Substituição do TCS DJ8764 - Fase B.</t>
  </si>
  <si>
    <t>0000737/2020</t>
  </si>
  <si>
    <t>Substituição do TCS DJ8734 - Fase B.</t>
  </si>
  <si>
    <t>IB 345 kV MG 750 kV TIJUCO PRETO MG1 SP IB9</t>
  </si>
  <si>
    <t>0000741/2020</t>
  </si>
  <si>
    <t>ARARAQUARA FUR</t>
  </si>
  <si>
    <t>Substituição do REATOR LTARACAM fase B (nº de série: 51401).</t>
  </si>
  <si>
    <t>LT 500 kV ARARAQUARA /CAMPINAS C-1 SP</t>
  </si>
  <si>
    <t>0001151/2020</t>
  </si>
  <si>
    <t>Substituição do REATOR LTARACAM fase A (nº de série: 51400).</t>
  </si>
  <si>
    <t>0001150/2020</t>
  </si>
  <si>
    <t>Substituição do REATOR LTARAPCA1 fase A (nº de série: 51397).</t>
  </si>
  <si>
    <t>LT 500 kV ARARAQUARA /POCOS CALDAS C-1 SP/MG</t>
  </si>
  <si>
    <t>0001155/2020</t>
  </si>
  <si>
    <t>Substituição do REATOR LTARAPCA1 fase B (nº de série: 51399).</t>
  </si>
  <si>
    <t>0001152/2020</t>
  </si>
  <si>
    <t>Substituição do REATOR LTARACAM fase C (nº de série: 51403).</t>
  </si>
  <si>
    <t>0001156/2020</t>
  </si>
  <si>
    <t>Substituição do REATOR LTARAPCA1 fase C (nº de série: 51404).</t>
  </si>
  <si>
    <t>0001157/2020</t>
  </si>
  <si>
    <t>Substituição do REATOR LTARAMAR2 fase A (nº de série: 51402).</t>
  </si>
  <si>
    <t>0001159/2020</t>
  </si>
  <si>
    <t>Substituição do REATOR LTARAMAR2 fase B (nº de série: 51398).</t>
  </si>
  <si>
    <t>0001161/2020</t>
  </si>
  <si>
    <t>Substituição do REATOR RTMRAR2 FASE C fase C (nº de série: 51396).</t>
  </si>
  <si>
    <t>0001162/2020</t>
  </si>
  <si>
    <t>Substituição do REATOR LTARAMAR1 fase C (nº de série: 6506178).</t>
  </si>
  <si>
    <t>0001166/2020</t>
  </si>
  <si>
    <t>Substituição do REATOR RTMRARV - Reserva (nº de série: 51395).</t>
  </si>
  <si>
    <t>0001164/2020</t>
  </si>
  <si>
    <t>Substituição do REATOR LTARAMAR1 fase B (nº de série: 6506177).</t>
  </si>
  <si>
    <t>0001167/2020</t>
  </si>
  <si>
    <t>Substituição do REATOR LTARAMAR1 fase A (nº de série: 6506176).</t>
  </si>
  <si>
    <t>0001168/2020</t>
  </si>
  <si>
    <t>C. PAULISTA</t>
  </si>
  <si>
    <t>Substituição do TR TRANS AT57 fase A (nº de série: 500789).</t>
  </si>
  <si>
    <t>TR 500/138 kV C. PAULISTA TR57 SP</t>
  </si>
  <si>
    <t>0001179/2020</t>
  </si>
  <si>
    <t>Substituição do TR TRANS AT57 fase C (nº de série: 500791).</t>
  </si>
  <si>
    <t>0001176/2020</t>
  </si>
  <si>
    <t>SUB C. PAULISTA - 500</t>
  </si>
  <si>
    <t>Substituição do REATOR RT01 fase A (nº de série: 6397061).</t>
  </si>
  <si>
    <t>RT 500 kV 136 Mvar C. PAULISTA RT1 SP</t>
  </si>
  <si>
    <t>0001185/2020</t>
  </si>
  <si>
    <t>Substituição do TR TRANS AT57 fase B (nº de série: 500790).</t>
  </si>
  <si>
    <t>0001182/2020</t>
  </si>
  <si>
    <t>Substituição do REATOR RT01 fase B (nº de série: 6397059).</t>
  </si>
  <si>
    <t>0001187/2020</t>
  </si>
  <si>
    <t>Substituição do REATOR RT01 - Reserva (nº de série: 56293).</t>
  </si>
  <si>
    <t>0001188/2020</t>
  </si>
  <si>
    <t>Substituição do TR TRANS - Reserva AT57/AT59 (nº de série: 46492).</t>
  </si>
  <si>
    <t>TRR 525/138 kV C. PAULISTA TRR1 SP</t>
  </si>
  <si>
    <t>0001191/2020</t>
  </si>
  <si>
    <t>Substituição do TR TRANS AT59 fase A (nº de série: 46493).</t>
  </si>
  <si>
    <t>TR 500/138 kV C. PAULISTA TR59 SP</t>
  </si>
  <si>
    <t>0001192/2020</t>
  </si>
  <si>
    <t>Substituição do TR TRANS AT59 fase C (nº de série: 46495).</t>
  </si>
  <si>
    <t>0001197/2020</t>
  </si>
  <si>
    <t>Substituição do TR TRANS AT59 fase B (nº de série: 46494).</t>
  </si>
  <si>
    <t>0001195/2020</t>
  </si>
  <si>
    <t>Substituição do TR TRANS AT51 fase A (nº de série: K547272).</t>
  </si>
  <si>
    <t>TR 500/345 kV CAMPINAS TR51 SP</t>
  </si>
  <si>
    <t>0001203/2020</t>
  </si>
  <si>
    <t>Substituição do TR TRANS AT51 fase C (nº de série: K547271).</t>
  </si>
  <si>
    <t>0001199/2020</t>
  </si>
  <si>
    <t>Substituição do TR TRANS AT51 fase B (nº de série: K547273).</t>
  </si>
  <si>
    <t>0001205/2020</t>
  </si>
  <si>
    <t>ITUMBIARA</t>
  </si>
  <si>
    <t>Substituição do TR GER - Reserva (nº de série: 500553).</t>
  </si>
  <si>
    <t>MG ITUMBIARA / CCO-2001-062 - RB</t>
  </si>
  <si>
    <t>0001229/2020</t>
  </si>
  <si>
    <t>Substituição do TR GER TRUG05 fase B (nº de série: 500558).</t>
  </si>
  <si>
    <t>0001231/2020</t>
  </si>
  <si>
    <t>Substituição do TR GER TRUG04 fase B (nº de série: 500556).</t>
  </si>
  <si>
    <t>0001230/2020</t>
  </si>
  <si>
    <t>Substituição do TR GER TRUG06 fase C (nº de série: 500564).</t>
  </si>
  <si>
    <t>0001233/2020</t>
  </si>
  <si>
    <t>Substituição do TR GER TRUG01 fase B (nº de série: 500547).</t>
  </si>
  <si>
    <t>0001236/2020</t>
  </si>
  <si>
    <t>Substituição do TR GER TRUG01 fase C (nº de série: 500548).</t>
  </si>
  <si>
    <t>0001238/2020</t>
  </si>
  <si>
    <t>Substituição do TR GER TRUG03 fase C (nº de série: 500550).</t>
  </si>
  <si>
    <t>0001239/2020</t>
  </si>
  <si>
    <t>RIB.GONCALVES</t>
  </si>
  <si>
    <t>SUBSTITUIÇÃO DOS RELÉS AUXILIARES DO DISJUNTOR RGDJ6-03.</t>
  </si>
  <si>
    <t>TR 500/230 kV RIB.GONCALVES TR1 PI</t>
  </si>
  <si>
    <t>0006273/2020</t>
  </si>
  <si>
    <t>MIRANDA II</t>
  </si>
  <si>
    <t>SUBSTITUIR O TRANSFORMADOR DE CORRENTE FASE A (MRTF6-02)</t>
  </si>
  <si>
    <t>TR 230/69 kV MIRANDA II TF2 MA</t>
  </si>
  <si>
    <t>0006276/2020</t>
  </si>
  <si>
    <t>SUBSTITUIÇÃO DOS RELÉS AUXILIARES DO DISJUNTOR RGDJ6-02.</t>
  </si>
  <si>
    <t>TR 230/69 kV RIB.GONCALVES TF1 PI</t>
  </si>
  <si>
    <t>0006278/2020</t>
  </si>
  <si>
    <t>SUBSTITUIÇÃO DOS RELÉS AUXILIARES DO DISJUNTOR RGDJ6-01.</t>
  </si>
  <si>
    <t>LT 230 kV BALSAS /RIB.GONCALVES C-1 MA/PI</t>
  </si>
  <si>
    <t>0006281/2020</t>
  </si>
  <si>
    <t>SUBSTITUIÇÃO DO SISTEMA DE PROTEÇÃO CONTRA INCÊNDIO DO PÁTIO DE 500kV - ETAPA 1</t>
  </si>
  <si>
    <t>MG 500 kV TUCURUI MG1 PA</t>
  </si>
  <si>
    <t>0006292/2020</t>
  </si>
  <si>
    <t>SUB RIB.GONCALVES - 500</t>
  </si>
  <si>
    <t>SUBSTITUIÇÃO DOS RELÉS AUXILIARES DO DISJUNTOR RGDB4-01.</t>
  </si>
  <si>
    <t>MG 500 kV RIB.GONCALVES MG3 PI IB1</t>
  </si>
  <si>
    <t>0006290/2020</t>
  </si>
  <si>
    <t>US. TUCURUI</t>
  </si>
  <si>
    <t>SUBSTITUIÇÃO DE TP 69 KV - TCTU-LT4-01</t>
  </si>
  <si>
    <t>EL 69 kV TUCURUI LT 69 kV US. TUCURUI /TUCURUI C-1 PA</t>
  </si>
  <si>
    <t>0006305/2020</t>
  </si>
  <si>
    <t>BALSAS</t>
  </si>
  <si>
    <t>SUBSTITUIÇÃO DOS RELÉS AUXILIARES DO DISJUNTOR BSDB6-01.</t>
  </si>
  <si>
    <t>MG BALSAS / CCO-2009-001 - RB</t>
  </si>
  <si>
    <t>0006309/2020</t>
  </si>
  <si>
    <t>SUBSTITUIÇÃO DOS RELÉS AUXILIARES DO DISJUNTOR BSDJ6-03.</t>
  </si>
  <si>
    <t>TR 230/69 kV BALSAS TR1 MA</t>
  </si>
  <si>
    <t>0006326/2020</t>
  </si>
  <si>
    <t>SUBSTITUIÇÃO DOS RELÉS AUXILIARES DO DISJUNTOR BSDJ6-02.</t>
  </si>
  <si>
    <t>0006327/2020</t>
  </si>
  <si>
    <t>SUBSTITUIÇÃO DOS RELÉS AUXILIARES DO DISJUNTOR BSDJ6-01.</t>
  </si>
  <si>
    <t>0006329/2020</t>
  </si>
  <si>
    <t>SUBSTITUIÇÃO DOS RELÉS AUXILIARES DO DISJUNTOR BSDJ4-06.</t>
  </si>
  <si>
    <t>FT TR 230/69 kV BALSAS TR2 MA</t>
  </si>
  <si>
    <t>0006331/2020</t>
  </si>
  <si>
    <t>SUBSTITUIÇÃO DOS RELÉS AUXILIARES DO DISJUNTOR BSDB4-01.</t>
  </si>
  <si>
    <t>0006330/2020</t>
  </si>
  <si>
    <t>INSTALAÇÃO de Sistema de Detecção e combate a Incêndio</t>
  </si>
  <si>
    <t>0006348/2020</t>
  </si>
  <si>
    <t>Substituição de 01  (um) pára-raio de 230 KV, Fase V, do BAY TRANSFORMADOR DE 230/69/13.8 KV - JRTF6-01.</t>
  </si>
  <si>
    <t>TR 230/69 kV JARU TR1 RO</t>
  </si>
  <si>
    <t>0006351/2020</t>
  </si>
  <si>
    <t>Modernização do CFTV da SE Marabá</t>
  </si>
  <si>
    <t>MG 500 kV MARABA MG1 PA</t>
  </si>
  <si>
    <t>0006349/2020</t>
  </si>
  <si>
    <t>SUBSTITUIÇÃO DO DISJUNTOR TRIPOLAR DE 69 KV - TCDB4-01</t>
  </si>
  <si>
    <t>MG TUCURUI / CCO-2001-058 - RB</t>
  </si>
  <si>
    <t>0006355/2020</t>
  </si>
  <si>
    <t>Substituição do Quadro de Comando e Controle de Motores do Compensador Síncrono</t>
  </si>
  <si>
    <t>0006356/2020</t>
  </si>
  <si>
    <t>Substituição buchas 230 kV MBTF6-01</t>
  </si>
  <si>
    <t>0006359/2020</t>
  </si>
  <si>
    <t>Substituição bucha 230kV VCTF6-02</t>
  </si>
  <si>
    <t>TR 500/230 kV VILA DO CONDE TR1 PA</t>
  </si>
  <si>
    <t>0006361/2020</t>
  </si>
  <si>
    <t xml:space="preserve">SUSBTITUIÇÃO DOS TRANSFORMADORES DE CORRENTE DE 230 KV - VCTC6 LY2, FA, FB e FV do VCDJ6 02 </t>
  </si>
  <si>
    <t>BC 230 kV 111 Mvar VILA DO CONDE BC1 PA</t>
  </si>
  <si>
    <t>0006363/2020</t>
  </si>
  <si>
    <t>GRAJAU</t>
  </si>
  <si>
    <t>CS 200/-150 Mvar GRAJAU CS1 RJ</t>
  </si>
  <si>
    <t>0001497/2020</t>
  </si>
  <si>
    <t>CS 200/-150 Mvar GRAJAU CS2 RJ</t>
  </si>
  <si>
    <t>0001498/2020</t>
  </si>
  <si>
    <t>SUBSTITUIÇÃO DE DISJUNTOR TRIPOLAR 69 KV -  TCDJ4-09</t>
  </si>
  <si>
    <t>EL 69 kV TUCURUI LT 69 kV US. TUCURUI /TUCURUI C-2 PA</t>
  </si>
  <si>
    <t>0006377/2020</t>
  </si>
  <si>
    <t>SUBSTITUIÇÃO DOS RELÉS AUXILIARES DO DISJUNTOR BSDJ4-01.</t>
  </si>
  <si>
    <t>0006380/2020</t>
  </si>
  <si>
    <t>SUBSTITUIÇÃO DAS VEDAÇÕES DO SISTEMA HIDRÁULICO, REVITALIZAÇÃO DA PINTURA, SUBSTITUIÇÃO DE VEDAÇÕES DAS CÂMARAS DE EXTINÇÃO DO DISJUNTOR PFDJ6-01</t>
  </si>
  <si>
    <t>LT 230 kV IMPERATRIZ /PORTO FRANCO C-1 MA</t>
  </si>
  <si>
    <t>0006398/2020</t>
  </si>
  <si>
    <t>SUBSTITUIÇÃO DO PARA-RAIO DA LINHA PDMRLT7-02 F.V</t>
  </si>
  <si>
    <t>FT LT 500 kV MIRANDA II /P.DUTRA C-2 MA</t>
  </si>
  <si>
    <t>0006399/2020</t>
  </si>
  <si>
    <t>SUBSTITUIÇÃO DOS PÊNDULOS DA ESTRUTURA 608.</t>
  </si>
  <si>
    <t>LT 500 kV MIRANDA II /SAO LUIS II C-1 MA</t>
  </si>
  <si>
    <t>0006401/2020</t>
  </si>
  <si>
    <t>Substituição de 01  (um) pára-raio de 230 KV, Fase B, do BAY TRANSFORMADOR DE 230/69/13.8 KV - JRTF6-01.</t>
  </si>
  <si>
    <t>0006406/2020</t>
  </si>
  <si>
    <t>SUBSTITUIÇÃO DO PARA-RAIO DA LINHA PDMRLT7-02 F.B</t>
  </si>
  <si>
    <t>0006414/2020</t>
  </si>
  <si>
    <t>Substituição de 01  (um) pára-raio de 230 KV, Fase A, do BAY TRANSFORMADOR DE 230/69/13.8 KV - JRTF6-01.</t>
  </si>
  <si>
    <t>0006423/2020</t>
  </si>
  <si>
    <t>SUBSTITUIÇÃO DE UMA BUCHA CONDENSIVA DE 69KV EM UM TRANSFORMADOR TRIFÁSICO, CÓDIGO OPERACIONAL PDTF6-01 - FASE V.</t>
  </si>
  <si>
    <t>TR 230/69 kV P.DUTRA TF1 MA</t>
  </si>
  <si>
    <t>0006458/2020</t>
  </si>
  <si>
    <t>SUBSTITUIÇÃO DE UMA BUCHA CONDENSIVA DE 69KV EM UM TRANSFORMADOR TRIFÁSICO, CÓDIGO OPERACIONAL PDTF6-01 - FASE B.</t>
  </si>
  <si>
    <t>0006462/2020</t>
  </si>
  <si>
    <t>SUBSTITUIÇÃO DE UMA BUCHA CONDENSIVA DE 69KV EM UM TRANSFORMADOR TRIFÁSICO, CÓDIGO OPERACIONAL PDTF6-01 - FASE A.</t>
  </si>
  <si>
    <t>0006467/2020</t>
  </si>
  <si>
    <t>SUBSTITUIÇÃO DE UMA BUCHA CONDENSIVA DE 230KV EM UM TRANSFORMADOR MONOFÁSICO,  CÓDIGO OPERACIONAL IZTF6-02 FASE V.</t>
  </si>
  <si>
    <t>0006471/2020</t>
  </si>
  <si>
    <t>SUBSTITUIÇÃO DE UMA BUCHA CONDENSIVA DE 230KV EM UM TRANSFORMADOR MONOFÁSICO,  CÓDIGO OPERACIONAL IZTF6-02 FASE B.</t>
  </si>
  <si>
    <t>0006473/2020</t>
  </si>
  <si>
    <t>SUBSTITUIÇÃO DE UMA BUCHA CONDENSIVA DE 230KV EM UM TRANSFORMADOR MONOFÁSICO,  CÓDIGO OPERACIONAL IZTF6-02 FASE A.</t>
  </si>
  <si>
    <t>0006477/2020</t>
  </si>
  <si>
    <t>SUBSTITUIÇÃO DE UMA BUCHA CONDENSIVA DE 230KV EM UM TRANSFORMADOR MONOFÁSICO,  CÓDIGO OPERACIONAL IZTF6-01 FASE RESERVA.</t>
  </si>
  <si>
    <t>CS 2x(100/-70) Mvar IMPERATRIZ CS1 CS2 TF1 MA</t>
  </si>
  <si>
    <t>0006478/2020</t>
  </si>
  <si>
    <t>SUBSTITUIÇÃO DE UMA BUCHA CONDENSIVA DE 230KV EM UM TRANSFORMADOR MONOFÁSICO,  CÓDIGO OPERACIONAL IZTF6-01 FASE B.</t>
  </si>
  <si>
    <t>0006485/2020</t>
  </si>
  <si>
    <t>SUBSTITUIÇÃO DE UMA BUCHA CONDENSIVA DE 230KV EM UM TRANSFORMADOR MONOFÁSICO,  CÓDIGO OPERACIONAL IZTF6-01 FASE V.</t>
  </si>
  <si>
    <t>0006482/2020</t>
  </si>
  <si>
    <t>SUBSTITUIÇÃO DE UMA BUCHA CONDENSIVA DE 230KV EM UM TRANSFORMADOR MONOFÁSICO,  CÓDIGO OPERACIONAL IZTF6-01 FASE A.</t>
  </si>
  <si>
    <t>0006487/2020</t>
  </si>
  <si>
    <t>SUBSTITUIÇÃO DE UMA BUCHA CONDENSIVA DE 230KV EM UM TRANSFORMADOR MONOFÁSICO,  CÓDIGO OPERACIONAL PDTF6-03 FASE RESERVA.</t>
  </si>
  <si>
    <t>0006494/2020</t>
  </si>
  <si>
    <t>IMPLEMENTAÇÃO NO IZAT7-01 FASE V DE UM DISPOSITIVO E TUBULAÇÃO PARA COLETA DE ÓLEO DO COMUTADOR COM EQUIPAMENTO ENERGIZADO.</t>
  </si>
  <si>
    <t>0006498/2020</t>
  </si>
  <si>
    <t>SUBSTITUIÇÃO DE UMA BUCHA CONDENSIVA DE 230KV EM UM TRANSFORMADOR MONOFÁSICO,  CÓDIGO OPERACIONAL PDTF6-03 FASE V.</t>
  </si>
  <si>
    <t>0006496/2020</t>
  </si>
  <si>
    <t>SUBSTITUIÇÃO DE UMA BUCHA CONDENSIVA DE 230KV EM UM TRANSFORMADOR MONOFÁSICO,  CÓDIGO OPERACIONAL PDTF6-03 FASE B.</t>
  </si>
  <si>
    <t>0006500/2020</t>
  </si>
  <si>
    <t>Instalação da proteção e controle diferencial de barras da cadeia alternada da barra MBBR7-01, contemplando uma unidade central com capacidade de no mínimo oito vãos e quatro unidades de bay (bays unit).</t>
  </si>
  <si>
    <t>MG MARABA</t>
  </si>
  <si>
    <t>0001600/2020</t>
  </si>
  <si>
    <t>Instalação da proteção e controle diferencial de barras da cadeia alternada da barra MBBR7-02, contemplando uma unidade central com capacidade de no mínimo sete vãos e cinco unidades de bay (bays unit).</t>
  </si>
  <si>
    <t>0001601/2020</t>
  </si>
  <si>
    <t>SUBSTITUIÇÃO DE UMA BUCHA CONDENSIVA DE 230KV EM UM TRANSFORMADOR MONOFÁSICO,  CÓDIGO OPERACIONAL PDTF6-03 FASE A.</t>
  </si>
  <si>
    <t>0006508/2020</t>
  </si>
  <si>
    <t>Instalação da proteção e controle diferencial de barras da cadeia alternada da barra PDBR7-01, contemplando uma unidade central com capacidade de no mínimo seis vãos e oito unidades de bay (bays unit).</t>
  </si>
  <si>
    <t>MG P.DUTRA</t>
  </si>
  <si>
    <t>0001602/2020</t>
  </si>
  <si>
    <t>Instalação da proteção e controle diferencial de barras da cadeia alternada da barra PDBR7-02, contemplando uma unidade central com capacidade de no mínimo seis vãos e seis unidades de bay (bays unit).</t>
  </si>
  <si>
    <t>0001603/2020</t>
  </si>
  <si>
    <t>Instalação da proteção e controle diferencial de barras da cadeia alternada da barra LDBR7-01, contemplando uma unidade central com capacidade de no mínimo sete vãos e cinco unidades de bay (bays unit).</t>
  </si>
  <si>
    <t>MG SAO LUIS II</t>
  </si>
  <si>
    <t>0001604/2020</t>
  </si>
  <si>
    <t>SUBSTITUIÇÃO DE ISOLADORES COM CORROSÃO</t>
  </si>
  <si>
    <t>FT LT 230 kV SAO LUIS II /SAO LUIS III C-1 MA</t>
  </si>
  <si>
    <t>0006506/2020</t>
  </si>
  <si>
    <t>Instalação da proteção e controle diferencial de barras da cadeia alternada da barra LDBR7-02, contemplando uma unidade central com capacidade de no mínimo seis vãos e quatro unidades de bay (bays unit).</t>
  </si>
  <si>
    <t>0001605/2020</t>
  </si>
  <si>
    <t>Instalação da proteção e controle diferencial de barras da cadeia alternada da barra TCBR7-01, contemplando uma unidade central com capacidade de no mínimo treze vãos e seis unidades de bay (bays unit).</t>
  </si>
  <si>
    <t>MG TUCURUI</t>
  </si>
  <si>
    <t>0001606/2020</t>
  </si>
  <si>
    <t>Instalação da proteção e controle diferencial de barras da cadeia alternada da barra TCBR7-02, contemplando uma unidade central com capacidade de no mínimo treze vãos e cinco unidades de bay (bays unit).</t>
  </si>
  <si>
    <t>0001607/2020</t>
  </si>
  <si>
    <t>Instalação da proteção e controle diferencial de barras da cadeia alternada da barra TCBR7-03, contemplando cinco unidades de bay (bays unit).</t>
  </si>
  <si>
    <t>0001608/2020</t>
  </si>
  <si>
    <t>Instalação da proteção e controle diferencial de barras da cadeia alternada da barra TCBR7-04, contemplando duas unidades de bay (bays unit).</t>
  </si>
  <si>
    <t>0001609/2020</t>
  </si>
  <si>
    <t>SUBSTITUIÇÃO DE UMA BUCHA DE NEUTRO EM UM REATOR DERIVAÇÃO MONOFÁSICO, CÓDIGO OPERACIONAL IZRE7-11 FASE V.</t>
  </si>
  <si>
    <t>RT 500 kV 136 Mvar IMPERATRIZ RT11 MA</t>
  </si>
  <si>
    <t>0006517/2020</t>
  </si>
  <si>
    <t>SUBSTITUIÇÃO DOS ISOLADORES DE ANCORAGEM DE AUXILIARES</t>
  </si>
  <si>
    <t>0006516/2020</t>
  </si>
  <si>
    <t xml:space="preserve">SUBSTITUIÇÃO DE UMA BUCHA DE NEUTRO EM UM REATOR DERIVAÇÃO MONOFÁSICO, CÓDIGO OPERACIONAL IZRE7-11 FASE A._x000D_
</t>
  </si>
  <si>
    <t>0006524/2020</t>
  </si>
  <si>
    <t>SUBSTITUIÇÃO DOS ISOLADORES DE ANCORAGEM DO BAY</t>
  </si>
  <si>
    <t>0006520/2020</t>
  </si>
  <si>
    <t>SUBSTITUIÇÃO DOS ISOLADORES DE ANCORAGEM</t>
  </si>
  <si>
    <t>0006525/2020</t>
  </si>
  <si>
    <t>SUBSTITUIÇÃO DE UMA BUCHA DE NEUTRO EM UM REATOR DERIVAÇÃO MONOFÁSICO, CÓDIGO OPERACIONAL IZRE7-12 FASE RESERVA.</t>
  </si>
  <si>
    <t>0006526/2020</t>
  </si>
  <si>
    <t>SUBSTITUIÇÃO DE UMA BUCHA DE NEUTRO EM UM REATOR DERIVAÇÃO MONOFÁSICO, CÓDIGO OPERACIONAL IZRE7-12 FASE V.</t>
  </si>
  <si>
    <t>0006527/2020</t>
  </si>
  <si>
    <t>SUBSTITUIÇÃO DE UMA BUCHA DE NEUTRO EM UM REATOR DERIVAÇÃO MONOFÁSICO, CÓDIGO OPERACIONAL IZRE7-12 FASE B.</t>
  </si>
  <si>
    <t>0006528/2020</t>
  </si>
  <si>
    <t>SUBSTITUIÇÃO DOS ISOLADORES DE ANCORAGEM DAS TORRES</t>
  </si>
  <si>
    <t>0006529/2020</t>
  </si>
  <si>
    <t>FT LT 500 kV SAO LUIS II /MIRANDA II C-2 MA</t>
  </si>
  <si>
    <t>0006530/2020</t>
  </si>
  <si>
    <t>FT LT 500 kV SAO LUIS II /MIRANDA II C-1 MA</t>
  </si>
  <si>
    <t>0006531/2020</t>
  </si>
  <si>
    <t>0006532/2020</t>
  </si>
  <si>
    <t>SUBSTITUIÇÃO DOS CABOS PARA RAIOS DA LINHA</t>
  </si>
  <si>
    <t>0006534/2020</t>
  </si>
  <si>
    <t>REVITALIZAÇÃO DO ACIONAMENTO DAS CHAVES SECCIONADORAS PDSD7-11.</t>
  </si>
  <si>
    <t>FT LT 500 kV MIRANDA II /P.DUTRA C-1 MA</t>
  </si>
  <si>
    <t>0006535/2020</t>
  </si>
  <si>
    <t>REVITALIZAÇÃO DO ACIONAMENTO DAS CHAVES SECCIONADORAS PDSD7-10.</t>
  </si>
  <si>
    <t>0006536/2020</t>
  </si>
  <si>
    <t xml:space="preserve">Substituição de buchas 230kV - MBTF6-03  </t>
  </si>
  <si>
    <t>TR 230/69 kV MARABA TF3 PA</t>
  </si>
  <si>
    <t>0006538/2020</t>
  </si>
  <si>
    <t>REVITALIZAÇÃO DO ACIONAMENTO DAS CHAVES SECCIONADORAS PDSD7-09</t>
  </si>
  <si>
    <t>0006537/2020</t>
  </si>
  <si>
    <t>REVITALIZAÇÃO DO ACIONAMENTO DAS CHAVES SECCIONADORAS PDSR7-01.</t>
  </si>
  <si>
    <t>0006541/2020</t>
  </si>
  <si>
    <t>SUBSTITUIÇÃO DE UMA BUCHA CONDENSIVA DE 500KV EM UM REATOR DERIVAÇÃO MONOFÁSICO, CÓDIGO OPERACIONAL IZRE7-12 FASE RESERVA.</t>
  </si>
  <si>
    <t>0006542/2020</t>
  </si>
  <si>
    <t>SUBSTITUIÇÃO DE UMA BUCHA CONDENSIVA DE 500KV EM UM REATOR DERIVAÇÃO MONOFÁSICO, CÓDIGO OPERACIONAL IZRE7-12 FASE V.</t>
  </si>
  <si>
    <t>0006543/2020</t>
  </si>
  <si>
    <t>SUBSTITUIÇÃO DE UMA BUCHA CONDENSIVA DE 500KV EM UM REATOR DERIVAÇÃO MONOFÁSICO, CÓDIGO OPERACIONAL IZRE7-12 FASE B.</t>
  </si>
  <si>
    <t>0006545/2020</t>
  </si>
  <si>
    <t>REVITALIZAÇÃO DO ACIONAMENTO DAS CHAVES SECCIONADORAS PDSD7-08</t>
  </si>
  <si>
    <t>0006544/2020</t>
  </si>
  <si>
    <t>REVITALIZAÇÃO DO ACIONAMENTO DAS CHAVES SECCIONADORAS PDSD7-06.</t>
  </si>
  <si>
    <t>0006547/2020</t>
  </si>
  <si>
    <t>REVITALIZAÇÃO DO ACIONAMENTO DAS CHAVES SECCIONADORAS PDSD7-07.</t>
  </si>
  <si>
    <t>0006549/2020</t>
  </si>
  <si>
    <t>"SUBSTITUIÇÃO DE VEDAÇÕES DO TANQUE PRINCIPAL E RADIADORES DA FASE B QUE SÃO DE BORRACHA DO TIPO NITRÍLICA POR VEDAÇÕES DE FLÚOR-SILICONE"""</t>
  </si>
  <si>
    <t>RT 500 kV 136 Mvar MIRANDA II RT71 MA</t>
  </si>
  <si>
    <t>0006559/2020</t>
  </si>
  <si>
    <t>"SUBSTITUIÇÃO DE VEDAÇÕES DO TANQUE PRINCIPAL E RADIADORES DA FASE A QUE SÃO DE BORRACHA DO TIPO NITRÍLICA POR VEDAÇÕES DE FLÚOR-SILICONE"""</t>
  </si>
  <si>
    <t>0006561/2020</t>
  </si>
  <si>
    <t>Substituição de um (01) disjuntor 230kV JRDJ6-03, associado ao bay do transformador JRTF6-01 da Subestação de Jarú.</t>
  </si>
  <si>
    <t>0006599/2020</t>
  </si>
  <si>
    <t>PIMENTA BUENO</t>
  </si>
  <si>
    <t>Substituição de 02  (dois) transformadores de potencial capacitivo de 230 KV,  da Linha de Transmissão JPPB-LT601.</t>
  </si>
  <si>
    <t>EL 230 kV PIMENTA BUENO LT 230 kV JI-PARANA /PIMENTA BUENO C-1 RO</t>
  </si>
  <si>
    <t>0006605/2020</t>
  </si>
  <si>
    <t>Substituição de 01  (um) transformador de potencial capacitivo de 230 KV, Fase B, do barramento flexível PBBR6-02.</t>
  </si>
  <si>
    <t>MG PIMENTA BUENO / CCO-2001-058 - RB</t>
  </si>
  <si>
    <t>0006607/2020</t>
  </si>
  <si>
    <t>Substituição de 01  (um) transformador de potencial capacitivo de 230 KV, Fase A, do barramento flexível PBBR6-02.</t>
  </si>
  <si>
    <t>0006608/2020</t>
  </si>
  <si>
    <t>SUBSTITUIÇÃO DO PARA-RAIO DA LINHA PDMRLT7-02 F.A</t>
  </si>
  <si>
    <t>0006645/2020</t>
  </si>
  <si>
    <t>SUBSTITUIÇÃO DO PARA-RAIO DA LINHA PDSOLT7-01 F.B</t>
  </si>
  <si>
    <t>0006654/2020</t>
  </si>
  <si>
    <t>SUBSTITUIÇÃO DO PARA-RAIO DA LINHA PDSOLT7-01 F.V</t>
  </si>
  <si>
    <t>0006651/2020</t>
  </si>
  <si>
    <t>SUBSTITUIÇÃO DE PARA-RAIOS DA LINHA PDSOLT7-01 F.A</t>
  </si>
  <si>
    <t>0006656/2020</t>
  </si>
  <si>
    <t>TPC - 01 UNIDADE PARA O BARRAMENTO I de 230 KV DA SEPV - FASE B.</t>
  </si>
  <si>
    <t>MG 230 kV PORTO VELHO MG1 RO</t>
  </si>
  <si>
    <t>0006681/2020</t>
  </si>
  <si>
    <t>Substituição de DISJUNTOR 500 kV MBDJ7-02</t>
  </si>
  <si>
    <t>MG-MBMG-07</t>
  </si>
  <si>
    <t>0008289/2016</t>
  </si>
  <si>
    <t>TPC - 01 UNIDADE PARA O BARRAMENTO I de 230 KV DA SEPV - FASE A.</t>
  </si>
  <si>
    <t>0006688/2020</t>
  </si>
  <si>
    <t>Substituição de 03  (três) divisor capacitivo de potencial de 230 KV, Fases A,B e V, da Linha de Transmissão JRJP-LT601.</t>
  </si>
  <si>
    <t>EL 230 kV JI-PARANA LT 230 kV JARU /JI-PARANA C-1 RO</t>
  </si>
  <si>
    <t>0006691/2020</t>
  </si>
  <si>
    <t>Substituição de TRANSFORMADOR DE CORRENTE 500 kV MBTC72B-DJ-MBDJ702</t>
  </si>
  <si>
    <t>0008305/2016</t>
  </si>
  <si>
    <t>SUBSTITUIÇÃO DO TPC -01 UNIDADES PARA A LINHA CTPVLI6-01 - Fase V (extremidade SEPV).</t>
  </si>
  <si>
    <t>LT 230 kV COLETORA PORTO VELHO /PORTO VELHO C-1 RO</t>
  </si>
  <si>
    <t>0006702/2020</t>
  </si>
  <si>
    <t>Substituição de TRANSFORMADOR DE CORRENTE 500 kV MBTC72V-DJ-MBDJ702</t>
  </si>
  <si>
    <t>0008307/2016</t>
  </si>
  <si>
    <t>Substituição de 02  (dois) transformadores de potencial de 230 KV, Fase A e B, do barramento flexível JPBR6-01.</t>
  </si>
  <si>
    <t>0006714/2020</t>
  </si>
  <si>
    <t>SUBSTITUIÇÃO DO TPC -01 UNIDADES PARA A LINHA CTPVLI6-01 - Fase B (extremidade SEPV).</t>
  </si>
  <si>
    <t>0006718/2020</t>
  </si>
  <si>
    <t>SUBSTITUIÇÃO DO DISJUNTOR PDDJ7-13</t>
  </si>
  <si>
    <t>RT 500 kV 163 Mvar P.DUTRA RT9 MA</t>
  </si>
  <si>
    <t>0006730/2020</t>
  </si>
  <si>
    <t>SUBSTITUIÇÃO DO PARA-RAIO DO PDRE7-03 RESERVA</t>
  </si>
  <si>
    <t>RTR 500 kV 50 MVAr P.DUTRA RTR3 MA</t>
  </si>
  <si>
    <t>0006778/2020</t>
  </si>
  <si>
    <t>Substituição das cadeias Principal e Alternada da Proteção e Controle da LT Marabá - Carajás 230kV (MBCJ-LT6-01 vão 6CX)</t>
  </si>
  <si>
    <t>LT 230 kV MARABA /CARAJAS - EL 230 kV MARABA LT 230 kV MARABA /CARAJAS</t>
  </si>
  <si>
    <t>0006798/2020</t>
  </si>
  <si>
    <t>DISJUNTOR 500 kV MBDJ7-01</t>
  </si>
  <si>
    <t>LT-TCMBLT701</t>
  </si>
  <si>
    <t>0008370/2016</t>
  </si>
  <si>
    <t>SECCIONADORA 500 kV MBSD7-02</t>
  </si>
  <si>
    <t>0008371/2016</t>
  </si>
  <si>
    <t>0006792/2020</t>
  </si>
  <si>
    <t>SECCIONADORA 500 kV MBSD7-03</t>
  </si>
  <si>
    <t>0008372/2016</t>
  </si>
  <si>
    <t>SECCIONADORA 500 kV MBSL7-01</t>
  </si>
  <si>
    <t>0008373/2016</t>
  </si>
  <si>
    <t>SECCIONADORA 500 kV MBSR7-01</t>
  </si>
  <si>
    <t>0008374/2016</t>
  </si>
  <si>
    <t>SECCIONADORA DE ATERRAMENTO 500 kV MBCA7-03</t>
  </si>
  <si>
    <t>0008375/2016</t>
  </si>
  <si>
    <t>TRANSFORMADOR DE CORRENTE 500 kV MBTC7FB-DJ-MBDJ701</t>
  </si>
  <si>
    <t>0008378/2016</t>
  </si>
  <si>
    <t>TRANSFORMADOR DE CORRENTE 500 kV MBTC7FB-RE-MBRE701</t>
  </si>
  <si>
    <t>0008379/2016</t>
  </si>
  <si>
    <t>TRANSFORMADOR DE CORRENTE 500 kV MBTC7FV-DJ-MBDJ701</t>
  </si>
  <si>
    <t>0008380/2016</t>
  </si>
  <si>
    <t>TRANSFORMADOR DE CORRENTE 500 kV MBTC7FV-RE-MBRE701</t>
  </si>
  <si>
    <t>0008381/2016</t>
  </si>
  <si>
    <t>SUBSTITUIÇÃO DO PARA-RAIO DO PDRE7-03 F.A</t>
  </si>
  <si>
    <t>0006814/2020</t>
  </si>
  <si>
    <t>SUBSTITUIÇÃO DO PARA-RAIO DO PDRE7-02 F.B</t>
  </si>
  <si>
    <t>RTR 500 kV 45.3 MVAr P.DUTRA RTR2 MA</t>
  </si>
  <si>
    <t>0006824/2020</t>
  </si>
  <si>
    <t>SUBSTITUIÇÃO DO PARA-RAIO DO PDRE7-02 F.V</t>
  </si>
  <si>
    <t>0006820/2020</t>
  </si>
  <si>
    <t>0006828/2020</t>
  </si>
  <si>
    <t>Substituição das cadeias Principal e Alternada da Proteção, Comando, Controle e Supervisão da LT Marabá - Distrito Industrial 230kV (MBMC-LT6-01 - vão 6BX)</t>
  </si>
  <si>
    <t>LT Marabá - Distrito industrial 230kV - MBMC-LT6-01</t>
  </si>
  <si>
    <t>0006829/2020</t>
  </si>
  <si>
    <t>COMPENSAÇÃO SÉRIE FÍXA 500 kV N.01 MBCL7-01</t>
  </si>
  <si>
    <t>CR-MBCL7-01</t>
  </si>
  <si>
    <t>0008395/2016</t>
  </si>
  <si>
    <t>SUBSTITUIÇÃO DO PARA-RAIO DO PDRE7-01 F.V</t>
  </si>
  <si>
    <t>RT 500 kV 150 Mvar P.DUTRA RT1 MA</t>
  </si>
  <si>
    <t>0006838/2020</t>
  </si>
  <si>
    <t>REATOR 500 kV MBRE7-01 FB</t>
  </si>
  <si>
    <t>0008397/2016</t>
  </si>
  <si>
    <t>SUBSTITUIÇÃO DO PARA-RAIO DO PDRE7-02 F.A</t>
  </si>
  <si>
    <t>0006832/2020</t>
  </si>
  <si>
    <t>REATOR 500 kV MBRE7-01 FV</t>
  </si>
  <si>
    <t>0008398/2016</t>
  </si>
  <si>
    <t>SUBSTITUIÇÃO DO TPC -01 UNIDADES PARA A LINHA CTPVLI6-01 - Fase A (extremidade SEPV).</t>
  </si>
  <si>
    <t>0006834/2020</t>
  </si>
  <si>
    <t>SUBSTITUIÇÃO DO PARA-RAIO DO PDRE7-01 F.B</t>
  </si>
  <si>
    <t>0006842/2020</t>
  </si>
  <si>
    <t>TPC - 01 UNIDADE PARA O BARRAMENTO I de 230 KV DA SEPV - FASE V.</t>
  </si>
  <si>
    <t>0006843/2020</t>
  </si>
  <si>
    <t>SUBSTITUIÇÃO DO PARA-RAIO DO PDRE7-01 F.A</t>
  </si>
  <si>
    <t>0006845/2020</t>
  </si>
  <si>
    <t>Substituição de SECCIONADORA 500 kV MBSD7-04</t>
  </si>
  <si>
    <t>0008406/2016</t>
  </si>
  <si>
    <t>SUBSTITUIÇÃO DO PARA-RAIO DO PDAT7-01 F.V</t>
  </si>
  <si>
    <t>0006852/2020</t>
  </si>
  <si>
    <t>Substituição de 03  (três) pára-raios de 230 KV, Fase A, B e V do BAY TRANSFORMADOR DE 230/69/13.8 KV - JRTF6-02.</t>
  </si>
  <si>
    <t>TR 230/69 kV JARU TR2 RO</t>
  </si>
  <si>
    <t>0006851/2020</t>
  </si>
  <si>
    <t>Substituição das cadeias Principal e Alternada da Proteção, Controle e Supervisão do MBTF6-01- 230kV - vãos 6FY</t>
  </si>
  <si>
    <t>0006858/2020</t>
  </si>
  <si>
    <t>Substituição das cadeias Principal e Alternada da Proteção, Comando, Controle e Supervisão do MBTF6-03 - 230kV e 69kV - vãos 6AY e 4CX</t>
  </si>
  <si>
    <t>0006860/2020</t>
  </si>
  <si>
    <t>Substituição das cadeias Principal e Alternada da Proteção, Comando, Controle e Supervisão da LT Marabá - Nova Jacundá C1 69kV (MBNJ-LT4-01) vão AY</t>
  </si>
  <si>
    <t>EL 69 kV LT  MARABA NOVA JACUNDÁ 1</t>
  </si>
  <si>
    <t>0006861/2020</t>
  </si>
  <si>
    <t>SUBSTITUIÇÃO DO PARA-RAIO DO PDAT7-01 F.B</t>
  </si>
  <si>
    <t>0006862/2020</t>
  </si>
  <si>
    <t>SUBSTITUIÇÃO DO PARA-RAIO DO PDAT7-01 F.A</t>
  </si>
  <si>
    <t>0006863/2020</t>
  </si>
  <si>
    <t>SUBSTITUIÇÃO DE PARA-RAIO 01 DA LINHA PDTSLI7-01 F.V</t>
  </si>
  <si>
    <t>FT LT 500 kV TERESINA II /P.DUTRA C-1 PI/MA</t>
  </si>
  <si>
    <t>0006864/2020</t>
  </si>
  <si>
    <t>SUBSGTITUIÇÃO DO PARA-RAIO 01 DA LINHA PDTSLI7-01 F.B</t>
  </si>
  <si>
    <t>0006865/2020</t>
  </si>
  <si>
    <t>SUBSTITUIÇÃO DO PARA-RAIO 02 DA IZPDLT7-02 F.V</t>
  </si>
  <si>
    <t>FT LT 500 kV IMPERATRIZ /P.DUTRA C-2 MA</t>
  </si>
  <si>
    <t>0006867/2020</t>
  </si>
  <si>
    <t>SUBSTITUIÇÃO DO PARA-RAIO 01 DA LINHA PDTSLI7-01 F.A</t>
  </si>
  <si>
    <t>0006866/2020</t>
  </si>
  <si>
    <t>SUBSTITUIÇÃO DO PARA-RAIO 02 DA IZPDLT7-02 F.B</t>
  </si>
  <si>
    <t>0006870/2020</t>
  </si>
  <si>
    <t>0006868/2020</t>
  </si>
  <si>
    <t>SUBSTITUIÇÃO DO PARA-RAIO 02 DA IZPDLT7-01 F.V</t>
  </si>
  <si>
    <t>0006877/2020</t>
  </si>
  <si>
    <t>SUBSTITUIÇÃO DO PARA-RAIO 02 DA LINHA IZPDLT7-01 F.B</t>
  </si>
  <si>
    <t>0006879/2020</t>
  </si>
  <si>
    <t>SUBSTITUIÇÃO DE ISOLADORES DO BAY</t>
  </si>
  <si>
    <t>FT LT 230 kV SAO LUIS II /SAO LUIS I C-2 MA</t>
  </si>
  <si>
    <t>0006881/2020</t>
  </si>
  <si>
    <t>SUBSTITUIÇÃO DO PARA-RAIO 02 DA LINHA IZPDLT7-01 F.A</t>
  </si>
  <si>
    <t>0006882/2020</t>
  </si>
  <si>
    <t>REVITALIZAÇÃO DO ACIONAMENTO DAS CHAVES SECCIONADORAS PDSD7-02.</t>
  </si>
  <si>
    <t>FT MG 500 kV P.DUTRA MG1 MA</t>
  </si>
  <si>
    <t>0006886/2020</t>
  </si>
  <si>
    <t>SUBSTITUIÇÃO DO PARA-RAIO 01 DA LINHA IZPDLT7-01 F.B</t>
  </si>
  <si>
    <t>0006887/2020</t>
  </si>
  <si>
    <t>SUBSTITUIÇÃO DO PARA-RAIO 01 DA IZPDLT7-01 F.V</t>
  </si>
  <si>
    <t>0006884/2020</t>
  </si>
  <si>
    <t>SUBSTITUIÇÃO DOS ISOLADORES DO BAY</t>
  </si>
  <si>
    <t>FT LT 230 kV SAO LUIS II /SAO LUIS I C-1 MA</t>
  </si>
  <si>
    <t>0006890/2020</t>
  </si>
  <si>
    <t>SUBSTITUIÇÃO DO PARA-RAIO 01 DA LINHA IZPDLT7-01 F.A</t>
  </si>
  <si>
    <t>0006889/2020</t>
  </si>
  <si>
    <t>REVITALIZAÇÃO DO ACIONAMENTO DAS CHAVES SECCIONADORAS PDSR7-02.</t>
  </si>
  <si>
    <t>0006891/2020</t>
  </si>
  <si>
    <t>PFSY6-03 - REALIZAÇÃO DE REVITALIZAÇÃO NA CAIXA DE MOLA E MECANISMO DE COMANDO DA HASTE PRINCIPAL DA SECCIONADORA LORENZETTI COM A SUBSTITUIÇÃO DE BUCHAS, LIMPEZA, LUBRIFICAÇÃO, PINTURA, SUBSTITUIÇÃO DE MOLAS E AJUSTES.</t>
  </si>
  <si>
    <t>TR 230/69 kV PORTO FRANCO TF2 MA</t>
  </si>
  <si>
    <t>0006896/2020</t>
  </si>
  <si>
    <t>PFSB6-05 - REALIZAÇÃO DE REVITALIZAÇÃO NA CAIXA DE MOLA E MECANISMO DE COMANDO DA HASTE PRINCIPAL DA SECCIONADORA LORENZETTI COM A SUBSTITUIÇÃO DE BUCHAS, LIMPEZA, LUBRIFICAÇÃO, PINTURA, SUBSTITUIÇÃO DE MOLAS E AJUSTES.</t>
  </si>
  <si>
    <t>0006904/2020</t>
  </si>
  <si>
    <t>SUBSTITUIÇÃO DA TUBULAÇÃO E CONEXÕES DO SISTEMA HIDRÁULICO DO DISJUNTOR LDDJ7-10</t>
  </si>
  <si>
    <t>0006909/2020</t>
  </si>
  <si>
    <t>REVITALIZAÇÃO DO ACIONAMENTO DAS CHAVES SECCIONADORAS PDSD7-01.</t>
  </si>
  <si>
    <t>FT RTB 500 kV 150 MVAr P.DUTRA RT1 MA</t>
  </si>
  <si>
    <t>0006961/2020</t>
  </si>
  <si>
    <t>Substituição das cadeias Principal e Alternada da Proteção e Controle da LT Marabá - Nova Jacundá C2 69kV (MBNJ-LT4-02) vão DX</t>
  </si>
  <si>
    <t>EL 69 kV LT MARABA NOVA JACUNDÁ 2</t>
  </si>
  <si>
    <t>0006973/2020</t>
  </si>
  <si>
    <t>Substituição das cadeias Principal e Alternada da Proteção, Comando,  Controle e Supervisão da LT Marabá - Rondon C1 69kV (MBRN-LT4-01) vão BY</t>
  </si>
  <si>
    <t>EL 69 kV LT MARABA RONDON DO PARÁ C1</t>
  </si>
  <si>
    <t>0006980/2020</t>
  </si>
  <si>
    <t>Substituição das cadeias Principal e Alternada da Proteção e Controle de Barras 69kV -(MBBR4-01)</t>
  </si>
  <si>
    <t>IB 69 kV MARABA MG1 PA IB1</t>
  </si>
  <si>
    <t>0006985/2020</t>
  </si>
  <si>
    <t>Substituição das cadeias Principal e Alternada da Proteção e Controle do Paralelismo dos Bancos de Autotransformadores de 500kV - MBAT7-01 e MBAT7-02</t>
  </si>
  <si>
    <t xml:space="preserve"> TR 500/230 kV MARABA TR1 PA - TR 500/230 kV MARABA TR2 PA</t>
  </si>
  <si>
    <t>0006993/2020</t>
  </si>
  <si>
    <t>VILHENA</t>
  </si>
  <si>
    <t>Instalação de parafusos lubrificadores na parte ativa da seccionadora VNSR6-01</t>
  </si>
  <si>
    <t>EL 230 kV VILHENA LT 230 kV PIMENTA BUENO /VILHENA C-1 RO</t>
  </si>
  <si>
    <t>0007022/2020</t>
  </si>
  <si>
    <t>LT 230 kV CAUIPE /FORTALEZA II CE - 230</t>
  </si>
  <si>
    <t>Substituição da estrutura metálica autoportante: 205/1 e componentes associados. Altura = 33 m e Carregamento/Esforço = 3980 DAN.</t>
  </si>
  <si>
    <t>FT LT 230 kV CAUIPE /FORTALEZA II C-3 CE</t>
  </si>
  <si>
    <t>0002167/2020</t>
  </si>
  <si>
    <t>Substituição de PARA-RAIOS LOCALIZAÇÃO AT RESERVA 500/345/13.8 KV</t>
  </si>
  <si>
    <t>AUTOTRANSFORMADORES RESERVA</t>
  </si>
  <si>
    <t>0002197/2016</t>
  </si>
  <si>
    <t>0002201/2016</t>
  </si>
  <si>
    <t>Substituição de PARA-RAIOS LOCALIZAÇÃO AT1B</t>
  </si>
  <si>
    <t>0002202/2016</t>
  </si>
  <si>
    <t>0002203/2016</t>
  </si>
  <si>
    <t>0002204/2016</t>
  </si>
  <si>
    <t>Substituição de SECIONADOR SC8103C</t>
  </si>
  <si>
    <t>BC10</t>
  </si>
  <si>
    <t>0002206/2016</t>
  </si>
  <si>
    <t>LT 230 kV QUIXERE /MOSSORO II CE/RN - 230</t>
  </si>
  <si>
    <t>Substituição da estrutura metálica autoportante: 030/2 e componentes associados. Altura = 21 m e Carregamento/Esforço = 3700 DAN.</t>
  </si>
  <si>
    <t>FT LT 230 kV QUIXERE /MOSSORO II C-1 CE/RN</t>
  </si>
  <si>
    <t>0002190/2020</t>
  </si>
  <si>
    <t>Substituição da estrutura metálica autoportante: 027/3 e componentes associados. Altura = 21 m e Carregamento/Esforço = 3700 DAN.</t>
  </si>
  <si>
    <t>0002188/2020</t>
  </si>
  <si>
    <t>Substituição da estrutura metálica autoportante: 045/2 e componentes associados. Altura = 21 m e Carregamento/Esforço = 3700 DAN.</t>
  </si>
  <si>
    <t>0002192/2020</t>
  </si>
  <si>
    <t>Substituição da estrutura metálica autoportante: 050/3 e componentes associados. Altura = 21 m e Carregamento/Esforço = 3700 DAN.</t>
  </si>
  <si>
    <t>0002194/2020</t>
  </si>
  <si>
    <t>Substituição de SECIONADOR SC861</t>
  </si>
  <si>
    <t>CT AT2B</t>
  </si>
  <si>
    <t>0002217/2016</t>
  </si>
  <si>
    <t>Substituição da estrutura metálica autoportante: 054/3 e componentes associados. Altura = 21 m e Carregamento/Esforço = 3700 DAN.</t>
  </si>
  <si>
    <t>0002204/2020</t>
  </si>
  <si>
    <t>Substituição de SECIONADOR SC863</t>
  </si>
  <si>
    <t>0002218/2016</t>
  </si>
  <si>
    <t>Substituição de SECIONADOR SC865</t>
  </si>
  <si>
    <t>0002219/2016</t>
  </si>
  <si>
    <t>Substituição de SECIONADOR SC867</t>
  </si>
  <si>
    <t>0002220/2016</t>
  </si>
  <si>
    <t>LT 230 kV RUSSAS II /QUIXERE CE - 230</t>
  </si>
  <si>
    <t>Substituição da estrutura metálica autoportante: 005/5 e componentes associados. Altura = 21 m e Carregamento/Esforço = 3700 DAN.</t>
  </si>
  <si>
    <t>FT LT 230 kV RUSSAS II /QUIXERE C-1 CE</t>
  </si>
  <si>
    <t>0002210/2020</t>
  </si>
  <si>
    <t>Substituição de SECIONADOR SC869</t>
  </si>
  <si>
    <t>0002222/2016</t>
  </si>
  <si>
    <t>Substituição da estrutura metálica autoportante: 004/3 e componentes associados. Altura = 21 m e Carregamento/Esforço = 3700 DAN.</t>
  </si>
  <si>
    <t>0002206/2020</t>
  </si>
  <si>
    <t>Substituição da estrutura metálica autoportante: 018/2 e componentes associados. Altura = 21 m e Carregamento/Esforço = 3700 DAN.</t>
  </si>
  <si>
    <t>0002214/2020</t>
  </si>
  <si>
    <t>LT 230 kV CAUIPE /SOBRAL II CE - 230</t>
  </si>
  <si>
    <t>Substituição da estrutura metálica autoportante: 004/2 e componentes associados. Altura = 45 m e Carregamento/Esforço = 3980 DAN.</t>
  </si>
  <si>
    <t>FT LT 230 kV CAUIPE /SOBRAL II C-1 CE</t>
  </si>
  <si>
    <t>0002216/2020</t>
  </si>
  <si>
    <t>Substituição de SECIONADOR SC6391</t>
  </si>
  <si>
    <t>EL Adrianópolis - Cepel C1</t>
  </si>
  <si>
    <t>0002230/2016</t>
  </si>
  <si>
    <t>Substituição da estrutura metálica autoportante: 009/2 e componentes associados. Altura = 45 m e Carregamento/Esforço = 3980 DAN.</t>
  </si>
  <si>
    <t>0002218/2020</t>
  </si>
  <si>
    <t>LT 230 kV C.GRANDE II /PARAISO PB/RN - 230</t>
  </si>
  <si>
    <t>Substituição da estrutura metálica autoportante: 036/1 e componentes associados. Altura = 38,9 m e Carregamento/Esforço = 3990 DAN.</t>
  </si>
  <si>
    <t>FT LT 230 kV C.GRANDE II /PARAISO C-2 PB/RN</t>
  </si>
  <si>
    <t>0002220/2020</t>
  </si>
  <si>
    <t>LT 138 kV C.GRANDE II /SANTA CRUZ II PB/RN - 138</t>
  </si>
  <si>
    <t>Substituição da estrutura metálica autoportante: 169 e componentes associados. Altura = 31,5 m e Carregamento/Esforço = 3700 DAN.</t>
  </si>
  <si>
    <t>LT 138 kV C.GRANDE II /SANTA CRUZ II C-1 PB/RN</t>
  </si>
  <si>
    <t>0002226/2020</t>
  </si>
  <si>
    <t>Substituição da estrutura metálica autoportante: 12 e componentes associados. Altura = 34,5 m e Carregamento/Esforço = 3700 DAN.</t>
  </si>
  <si>
    <t>0002224/2020</t>
  </si>
  <si>
    <t>LT 230 kV GOIANINHA /SANTA RITA II PE/PB - 230</t>
  </si>
  <si>
    <t>Substituição da estrutura metálica autoportante: 042/1 e componentes associados. Altura = 38,8 m e Carregamento/Esforço = 5000 DAN.</t>
  </si>
  <si>
    <t>FT LT 230 kV GOIANINHA /SANTA RITA II C-1 PE/PB</t>
  </si>
  <si>
    <t>0002259/2020</t>
  </si>
  <si>
    <t>LT 230 kV TACAIMBO /C.GRANDE II PE/PB - 230</t>
  </si>
  <si>
    <t>Substituição da estrutura metálica autoportante: 351 e componentes associados. Altura = 31,5 m e Carregamento/Esforço = 3700 DAN.</t>
  </si>
  <si>
    <t>FT LT 230 kV TACAIMBO /C.GRANDE II C-2 PE/PB</t>
  </si>
  <si>
    <t>0002260/2020</t>
  </si>
  <si>
    <t>Substituição da estrutura metálica autoportante: 386 e componentes associados. Altura = 31,5 m e Carregamento/Esforço = 3700 DAN.</t>
  </si>
  <si>
    <t>FT LT 230 kV TACAIMBO /C.GRANDE II C-1 PE/PB</t>
  </si>
  <si>
    <t>0002261/2020</t>
  </si>
  <si>
    <t>Substituição da estrutura metálica autoportante: 464 e componentes associados. Altura = 38,8 m e Carregamento/Esforço = 4043 DAN.</t>
  </si>
  <si>
    <t>0002264/2020</t>
  </si>
  <si>
    <t>Substituição da estrutura metálica autoportante: 389 e componentes associados. Altura = 31,5 m e Carregamento/Esforço = 3700 DAN.</t>
  </si>
  <si>
    <t>0002263/2020</t>
  </si>
  <si>
    <t>Substituição de TRAFO CORRENTE CA/CC TC1 2701 TERCIARIO AT53 FASE A</t>
  </si>
  <si>
    <t>0002272/2016</t>
  </si>
  <si>
    <t>Substituição de TRAFO CORRENTE CA/CC TC1 2701 TERCIARIO AT53 FASE B</t>
  </si>
  <si>
    <t>0002280/2016</t>
  </si>
  <si>
    <t>Substituição de TRAFO CORRENTE CA/CC TC1 2701 TERCIARIO AT53 FASE C</t>
  </si>
  <si>
    <t>0002282/2016</t>
  </si>
  <si>
    <t>Substituição de TRAFO CORRENTE CA/CC TC2 2701 TERCIARIO AT53 FASE A</t>
  </si>
  <si>
    <t>0002290/2016</t>
  </si>
  <si>
    <t>Substituição de TRAFO CORRENTE CA/CC TC2 2701 TERCIARIO AT53 FASE B</t>
  </si>
  <si>
    <t>0002294/2016</t>
  </si>
  <si>
    <t>Substituição de TRAFO CORRENTE CA/CC TC2 2701 TERCIARIO AT53 FASE C</t>
  </si>
  <si>
    <t>0002298/2016</t>
  </si>
  <si>
    <t>Substituição de SECIONADOR SC6371</t>
  </si>
  <si>
    <t>0002314/2016</t>
  </si>
  <si>
    <t>Substituição de TRAFO CORRENTE CA/CC TC AT1B 345KV FASE A</t>
  </si>
  <si>
    <t>0002322/2016</t>
  </si>
  <si>
    <t>Substituição de TRAFO CORRENTE CA/CC TC AT1B 345KV FASE B</t>
  </si>
  <si>
    <t>0002323/2016</t>
  </si>
  <si>
    <t>Substituição de TRAFO CORRENTE CA/CC TC AT1B 345KV FASE C</t>
  </si>
  <si>
    <t>0002324/2016</t>
  </si>
  <si>
    <t>Instalação de TP para Proteção de Controle da LT 69 kV São Luis I - São Francisco C1 (SFLI-LI4-01).</t>
  </si>
  <si>
    <t>EL 69 kV SAO LUIS I DIST4</t>
  </si>
  <si>
    <t>0007489/2020</t>
  </si>
  <si>
    <t>Substituição da Cadeia Principal de Proteção e Instalação da Cadeia Complementar de Proteção e Controle da LT 69 kV São Luis I - São Francisco C1 (SFLI-LI4-01).</t>
  </si>
  <si>
    <t>0007490/2020</t>
  </si>
  <si>
    <t>Instalação de TP para Proteção de Controle da LT 69 kV São Luis I - Forquilha C1 (FQLI-LI4-01).</t>
  </si>
  <si>
    <t>EL 69 kV SAO LUIS I DIST3</t>
  </si>
  <si>
    <t>0007491/2020</t>
  </si>
  <si>
    <t>Substituição da Cadeia Principal de Proteção e Instalação da Cadeia Complementar de Proteção e Controle da LT 69 kV São Luis I - Forquilha C1 (FQLI-LI4-01).</t>
  </si>
  <si>
    <t>EL 13,8 kV SAO LUIS I DIST3</t>
  </si>
  <si>
    <t>0007492/2020</t>
  </si>
  <si>
    <t>Instalação de TP para Proteção de Controle da LT 69 kV São Luis I - Forquilha C2 (FQLI-LI4-02).</t>
  </si>
  <si>
    <t>EL 69 kV SAO LUIS I DIST2</t>
  </si>
  <si>
    <t>0007493/2020</t>
  </si>
  <si>
    <t>Substituição da Cadeia Principal de Proteção e Instalação da Cadeia Complementar de Proteção e Controle da LT 69 kV São Luis I - Forquilha C2 (FQLI-LI4-02).</t>
  </si>
  <si>
    <t>EL 13,8 kV SAO LUIS I DIST2</t>
  </si>
  <si>
    <t>0007494/2020</t>
  </si>
  <si>
    <t>Instalação de TP para Proteção de Controle da LT 69 kV São Luis I - Maracanã C1 (MCLI-LI4-01).</t>
  </si>
  <si>
    <t>EL 69 kV SAO LUIS I DIST1</t>
  </si>
  <si>
    <t>0007496/2020</t>
  </si>
  <si>
    <t>Substituição da Cadeia Principal de Proteção e Instalação da Cadeia Complementar de Proteção e Controle da LT 69 kV São Luis I - Maracanã C1 (MCLI-LI4-01).</t>
  </si>
  <si>
    <t>0007501/2020</t>
  </si>
  <si>
    <t>Instalação de TP para Proteção de Controle da LT 69 kV São Luis I - Itaqui C1 (ITLI-LI4-01).</t>
  </si>
  <si>
    <t>EL 69 kV SAO LUIS I  DIST8</t>
  </si>
  <si>
    <t>0007517/2020</t>
  </si>
  <si>
    <t>Substituição da Cadeia Principal de Proteção e Instalação da Cadeia Complementar de Proteção e Controle da LT 69 kV São Luis I - Itaqui C1 (ITLI-LI4-01).</t>
  </si>
  <si>
    <t>0007521/2020</t>
  </si>
  <si>
    <t>Instalação de TP para Proteção de Controle da LT 69 kV São Luis I - Renascença C1 (RNLI-LI4-01).</t>
  </si>
  <si>
    <t>EL 69 kV SAO LUIS I DIST7</t>
  </si>
  <si>
    <t>0007522/2020</t>
  </si>
  <si>
    <t>Substituição da Cadeia Principal de Proteção e Instalação da Cadeia Complementar de Proteção e Controle da LT 69 kV São Luis I - Renascença C1 (RNLI-LI4-01).</t>
  </si>
  <si>
    <t>0007523/2020</t>
  </si>
  <si>
    <t>Instalação de TP para Proteção de Controle da LT 69 kV São Luis I - Vila Palmeira C1 (VPLI-LI4-01).</t>
  </si>
  <si>
    <t>EL 69 kV SAO LUIS I DIST6</t>
  </si>
  <si>
    <t>0007524/2020</t>
  </si>
  <si>
    <t>Substituição da Cadeia Principal de Proteção e Instalação da Cadeia Complementar de Proteção e Controle da LT 69 kV São Luis I - Vila Palmeira C1 (VPLI-LI4-01).</t>
  </si>
  <si>
    <t>0007525/2020</t>
  </si>
  <si>
    <t>Instalação de TP para Proteção de Controle da LT 69 kV São Luis I - Centro C1 (CTLI-LI4-01).</t>
  </si>
  <si>
    <t xml:space="preserve"> EL 69 kV SAO LUIS I DIST5</t>
  </si>
  <si>
    <t>0007529/2020</t>
  </si>
  <si>
    <t>Substituição da Cadeia Principal de Proteção e Instalação da Cadeia Complementar de Proteção e Controle da LT 69 kV São Luis I - Centro C1 (CTLI-LI4-01).</t>
  </si>
  <si>
    <t>EL 69 kV SAO LUIS I DIST5</t>
  </si>
  <si>
    <t>0007532/2020</t>
  </si>
  <si>
    <t>Substituição do Registrador Digital de Perturbação (RDP) referente à LT 05V7 (JARDIM/CAMACARI IV C-1).</t>
  </si>
  <si>
    <t>FT LT 500 kV JARDIM /CAMACARI IV C-1 SE/BA</t>
  </si>
  <si>
    <t>0007562/2020</t>
  </si>
  <si>
    <t>Substituição do Registrador Digital de Perturbação (RDP) referente à CT 230kV do 05T6.</t>
  </si>
  <si>
    <t>TR 500/230 kV JARDIM SE TR6 SE</t>
  </si>
  <si>
    <t>0007563/2020</t>
  </si>
  <si>
    <t>Substituição do Registrador Digital de Perturbação (RDP) referente à CT 500kV do 05T6.</t>
  </si>
  <si>
    <t>0007564/2020</t>
  </si>
  <si>
    <t>SUB JARDIM SE - 500</t>
  </si>
  <si>
    <t>Adequação da EL 05V7 da SE Jardim, com a instalação de: 01 DJ, 01 CS S/LT (incluindo respectivos suportes e fundações, conexões de alta tensão, cabos de controle e potência) e sistema de proteção associado (2 painéis para a UA e remanejamento das proteções da LT), além de cabos de proteção e controle..</t>
  </si>
  <si>
    <t>0002706/2020</t>
  </si>
  <si>
    <t>Substituição de 04 fundação em concreto armado da estrutura metálica autoportante: 207/1 e componentes associados. Altura da torre = 31,2 m ; Carregamento/Esforço da torre = 3980 DAN; Volume de concreto = 11,84m³.</t>
  </si>
  <si>
    <t>0002737/2020</t>
  </si>
  <si>
    <t>LT 230 kV FORTALEZA II /PICI II CE - 230</t>
  </si>
  <si>
    <t>Substituição de 01 fundação em concreto armado da estrutura de concreto retangular: 008/4 e componentes associados. Altura da torre = 31,85 m ; Carregamento/Esforço da torre = 3700 DAN; Volume de concreto = 10,56m³.</t>
  </si>
  <si>
    <t>FT LT 230 kV FORTALEZA II /PICI II C-1 CE</t>
  </si>
  <si>
    <t>0002739/2020</t>
  </si>
  <si>
    <t>Substituição de 04 fundação em concreto armado da estrutura metálica autoportante: 022/1 e componentes associados. Altura da torre = 44,8 m ; Carregamento/Esforço da torre = 4209 DAN; Volume de concreto = 4,00m³.</t>
  </si>
  <si>
    <t>0002741/2020</t>
  </si>
  <si>
    <t>Substituição de 04 fundação em concreto armado da estrutura metálica autoportante: 037/2 e componentes associados. Altura da torre = 31,5 m ; Carregamento/Esforço da torre = 5000 DAN; Volume de concreto = 14,49m³.</t>
  </si>
  <si>
    <t>0002742/2020</t>
  </si>
  <si>
    <t>Substituição de 01 fundação em concreto armado da estrutura de concreto duplo T: 353 e componentes associados. Altura da torre = 23,5 m ; Carregamento/Esforço da torre = 2400 DAN; Volume de concreto = 4,5m³.</t>
  </si>
  <si>
    <t>0002746/2020</t>
  </si>
  <si>
    <t>Substituição de 04 fundação em concreto armado da estrutura metálica autoportante: 090/1 e componentes associados. Altura da torre = 32,1 m ; Carregamento/Esforço da torre = 5000 DAN; Volume de concreto = 14,49m³.</t>
  </si>
  <si>
    <t>0002744/2020</t>
  </si>
  <si>
    <t>LT 230 kV SANTA RITA II /MUSSURE II PB - 230</t>
  </si>
  <si>
    <t>Substituição de 01 fundação em concreto armado da estrutura metálica autoportante: 050/3 e componentes associados. Altura da torre = 39 m ; Carregamento/Esforço da torre = 3700 DAN; Volume de concreto = 10,12m³.</t>
  </si>
  <si>
    <t>FT LT 230 kV SANTA RITA II /MUSSURE II C-1 PB</t>
  </si>
  <si>
    <t>0002749/2020</t>
  </si>
  <si>
    <t>Substituição de 9 vigas da Subestação Fortaleza I.</t>
  </si>
  <si>
    <t>MG 230 kV FORTALEZA MG1 CE</t>
  </si>
  <si>
    <t>0002751/2020</t>
  </si>
  <si>
    <t>LT 500 kV ANGELIM II /PAU FERRO PE - 500</t>
  </si>
  <si>
    <t>Substituir 252 cadeias isoladores mesma classe tensão-tipo-material-composição das 34 est 000/1;000/2;000/3;001/1;002/1;002/2;002/3;003/1;003/2;003/3;003/4;004/2;005/1;005/2;005/3;005/4;006/1;006/3;007/1;008/1;008/2;009/1;009/2;011/1;011/2;012/1;012/2;013/1;014/1;015/1;016/1;018/1;022/1;022/2 Est</t>
  </si>
  <si>
    <t>FT LT 500 kV ANGELIM II /PAU FERRO C-1 PE</t>
  </si>
  <si>
    <t>0004187/2020</t>
  </si>
  <si>
    <t>Substituir 161 cadeias isoladores mesma classe tensão-tipo-material-composição das 34 est 023/1;024/1;024/2;025/1;025/2;026/1;027/1;027/2;028/1;028/2;028/3;029/1;030/1;030/2;035/2;036/1;036/2;037/1;038/1;039/2;039/3;040/1;041/1;041/2;042/1;043/2;043/3;044/1;044/2;046/1;047/1;050/2;051/1;051/2 Est</t>
  </si>
  <si>
    <t>0004217/2020</t>
  </si>
  <si>
    <t>Substituir 163 cadeias isoladores mesma classe tensão-tipo-material-composição das 34 est 052/1;052/3;053/1;053/2;054/1;054/2;055/2;056/1;056/2;057/1;057/3;057/4;058/1;060/2;061/1;061/2;061/3;062/1;063/2;064/2;064/3;065/1;066/2;066/3;067/1;067/2;067/3;072/2;073/2;073/3;074/1;074/2;074/3;075/1 Est</t>
  </si>
  <si>
    <t>0004221/2020</t>
  </si>
  <si>
    <t>LT 500 kV ANGELIM II /RECIFE II PE - 500</t>
  </si>
  <si>
    <t>Substituir 136 cadeias isoladores mesma classe tensão-tipo-material-composição das 34 est 033/1;034/1;034/2;035/1;035/2;036/1;036/2;037/1;037/2;037/3;038/1;039/1;039/2;040/1;040/2;040/3;041/1;041/2;042/1;042/2;043/1;043/2;043/3;044/1;044/2;045/1;045/2;046/1;046/2;050/3;050/4;051/1;052/1;054/3 Est</t>
  </si>
  <si>
    <t>FT LT 500 kV ANGELIM II /RECIFE II C-2 PE</t>
  </si>
  <si>
    <t>0004232/2020</t>
  </si>
  <si>
    <t>Substituir 154 cadeias isoladores mesma classe tensão-tipo-material-composição das 34 est 001/3;002/1;002/2;003/1;003/2;004/2;005/1;005/2;006/3;007/1;007/2;008/2;011/1;013/1;022/2;023/1;023/2;024/1;024/2;025/1;025/2;026/1;027/1;027/2;028/1;028/2;029/1;029/2;029/3;030/1;030/2;031/2;032/1;032/2 Est</t>
  </si>
  <si>
    <t>0004230/2020</t>
  </si>
  <si>
    <t>LT XINGÓ - MESSIAS (05V4) - 500</t>
  </si>
  <si>
    <t>Substituir 148 cadeias isoladores mesma classe tensão-tipo-material-composição das 34 est 090/1;090/2;091/1;092/1;092/2;093/2;094/2;095/2;096/1;096/2;097/1;097/2;098/1;098/2;099/1;100/1;100/2;101/1;101/2;102/1;102/2;104/1;104/2;105/1;105/2;106/1;107/1;107/2;108/1;108/2;109/1;112/1;113/1;115/2 Est</t>
  </si>
  <si>
    <t>LT 500 kV USINA XINGO /MESSIAS C-1 AL</t>
  </si>
  <si>
    <t>0004241/2020</t>
  </si>
  <si>
    <t>Substituir 152 cadeias de isoladores de mesma classe tensão-tipo-material-composição das 29 est 055/1;055/2;057/2;058/1;058/2;059/1;059/2;059/3;060/1;061/2;062/1;062/2;063/1;064/1;064/2;064/3;065/1;065/2;066/1;067/1;067/2;067/3;068/2;069/1;069/2;070/1;073/1;073/2;074/1 Est</t>
  </si>
  <si>
    <t>0004235/2020</t>
  </si>
  <si>
    <t>Substituir 140 cadeias isoladores mesma classe tensão-tipo-material-composição das 34 est 116/2;117/1;117/2;118/1;119/2;120/1;120/2;121/1;121/2;122/1;122/2;123/1;123/2;124/1;124/2;125/1;125/2;126/1;127/2;128/1;129/2;130/2;131/1;131/2;132/1;132/2;133/1;133/2;134/2;135/1;135/2;136/1;136/2;137/1 Est</t>
  </si>
  <si>
    <t>0004244/2020</t>
  </si>
  <si>
    <t>Substituir 144 cadeias isoladores mesma classe tensão-tipo-material-composição das 34 est 137/2;138/1;139/1;140/1;140/2;141/1;142/1;142/2;143/1;143/2;144/1;146/1;146/2;147/1;147/2;150/1;150/2;151/1;153/1;155/2;156/2;157/1;158/1;158/2;159/1;160/1;161/1;161/3;162/2;163/1;163/2;164/1;165/1;165/2 Est</t>
  </si>
  <si>
    <t>0004245/2020</t>
  </si>
  <si>
    <t>Substituir 140 cadeias isoladores mesma classe tensão-tipo-material-composição das 34 est 167/2;167/3;168/1;168/2;170/1;170/2;171/1;171/2;172/1;172/2;173/1;173/2;174/1;175/1;175/2;177/1;177/2;178/1;178/2;178/3;179/1;179/2;179/3;180/1;181/2;182/1;182/2;183/1;183/2;184/1;184/2;184/3;186/1;187/1 Est</t>
  </si>
  <si>
    <t>0004246/2020</t>
  </si>
  <si>
    <t>Instalação do controle no vão da LT 345 Bandeirantes - Samambaia c2</t>
  </si>
  <si>
    <t>LT 345 kV BANDEIRANTES /SAMAMBAIA C-2 GO/DF</t>
  </si>
  <si>
    <t>0004255/2020</t>
  </si>
  <si>
    <t>LT 500 kV US. L.GONZAGA /JUAZEIRO III PE/BA - 500</t>
  </si>
  <si>
    <t>Substituição de 136 fundações em concreto armado das estruturas metálicas estaiadas tipo "V":5/2;6/2;7/2;8/1;8/2;10/2;10/3;11/1;16/1;17/1;18/1;20/1;23/2;34/1;36/2;39/1;39/2;40/1;46/2;51/1;51/2;52/1;57/2;64/2;65/1;66/2;67/1;86/1;92/1;92/2;93/1;93/2;100/1;100/2 (34 estruturas). Total = 81,6 m³.</t>
  </si>
  <si>
    <t>FT LT 500 kV US. L.GONZAGA /JUAZEIRO III C-1 PE/BA</t>
  </si>
  <si>
    <t>0002876/2020</t>
  </si>
  <si>
    <t>LT 500 kV MESSIAS /SUAPE II AL/PE - 500</t>
  </si>
  <si>
    <t>Substituir 140 cadeias isoladores mesma classe tensão-tipo-material-composição das 35 est 121/3;122/1;122/2;123/1;123/2;123/3;124/1;124/2;125/1;125/2;125/3;126/1;126/2;127/1;127/2;128/1;129/1;129/2;129/3;130/1;130/2;131/1;131/2;132/1;132/2;133/1;133/2;134/1;134/2;134/3;135/1;135/2;136/1;137/1;137/2</t>
  </si>
  <si>
    <t>FT LT 500 kV MESSIAS /SUAPE II C-1 AL/PE</t>
  </si>
  <si>
    <t>0004265/2020</t>
  </si>
  <si>
    <t>LT 500 kV JUAZEIRO III /U.SOBRADINHO BA - 500</t>
  </si>
  <si>
    <t>Substituição de 84 fundações em concreto armado das estruturas metálicas estaiadas tipo "V": 1/2; 4/1; 5/1; 5/2; 6/1; 6/2; 10/2; 11/1; 12/1; 12/2; 13/1; 17/1; 20/2; 25/1; 26/1; 26/2; 29/2; 30/1; 30/2; 32/1; 32/2 (21 estruturas). Total = 50,4 m³.</t>
  </si>
  <si>
    <t>FT LT 500 kV JUAZEIRO III /U.SOBRADINHO C-1 BA</t>
  </si>
  <si>
    <t>0002879/2020</t>
  </si>
  <si>
    <t>Instalação do controle no vão de Amarre de 345kV</t>
  </si>
  <si>
    <t>MG BANDEIRANTES / CCO-2001-062 - RB</t>
  </si>
  <si>
    <t>0004277/2020</t>
  </si>
  <si>
    <t>Instalação do controle no vão da LI 230 Xavantes - Bandeirantes c1</t>
  </si>
  <si>
    <t>LI 230 KV XAVANTES / BANDEIRANTES C-1</t>
  </si>
  <si>
    <t>0004292/2020</t>
  </si>
  <si>
    <t>Instalação do controle no vão da LI 230 Xavantes - Bandeirantes c2</t>
  </si>
  <si>
    <t>LI 230 KV XAVANTES / BANDEIRANTES C-2</t>
  </si>
  <si>
    <t>0004293/2020</t>
  </si>
  <si>
    <t>Instalação do controle no vão da LI 230 Anhanguera - Bandeirantes c1</t>
  </si>
  <si>
    <t>LT 230 kV ANHANGUERA /BANDEIRANTES C-1 GO</t>
  </si>
  <si>
    <t>0004294/2020</t>
  </si>
  <si>
    <t>Instalação do controle no vão de Amarre de 230kV</t>
  </si>
  <si>
    <t>0004296/2020</t>
  </si>
  <si>
    <t>Instalação do controle no vão da LI 230 Anhanguera - Bandeirantes c2</t>
  </si>
  <si>
    <t>LT 230 kV ANHANGUERA /BANDEIRANTES C-2 GO</t>
  </si>
  <si>
    <t>0004295/2020</t>
  </si>
  <si>
    <t>Substituir 212 cadeias isoladores mesma classe tensão-tipo-material-composição das 35 est 095/1;096/1;096/2;096/3;097/1;097/2;098/1;098/2;098/3;098/4;099/1;099/2;100/1;100/2;100/3;100/4;101/1;101/2;101/3;102/1;102/2;103/1;103/2;103/3;104/1;104/2;105/1;105/2;106/1;106/2;107/1;107/2;107/3;108/1;108/2</t>
  </si>
  <si>
    <t>0004306/2020</t>
  </si>
  <si>
    <t>Ampliação do sistema registrador de perturbação, instalando modulo TW  de oscilógrafia digital(RDP)</t>
  </si>
  <si>
    <t>LT 230 kV SAMUEL /ARIQUEMES C-3 RO</t>
  </si>
  <si>
    <t>0002931/2020</t>
  </si>
  <si>
    <t>SAMUEL</t>
  </si>
  <si>
    <t>0002956/2020</t>
  </si>
  <si>
    <t>LT  500 kV ANGRA FUR / NOVA IGUACU C 1  RJ           - 500</t>
  </si>
  <si>
    <t>troca de 485 cadeias de isoladores</t>
  </si>
  <si>
    <t>LT 500 kV ANGRA FUR / NOVA IGUACU C 1 RJ</t>
  </si>
  <si>
    <t>0004366/2020</t>
  </si>
  <si>
    <t>LT 230 kV SAMUEL /PORTO VELHO C-3 RO</t>
  </si>
  <si>
    <t>0002984/2020</t>
  </si>
  <si>
    <t>troca de  amortecedores em  100 vãos</t>
  </si>
  <si>
    <t>0004367/2020</t>
  </si>
  <si>
    <t>0002992/2020</t>
  </si>
  <si>
    <t>Instalação da proteção e controle diferencial de barras da cadeia alternada das barras JPBR6-01 e JPBR6-02, contemplando uma unidade central com capacidade de no mínimo nove vãos e seis unidades de bay (bays unit).</t>
  </si>
  <si>
    <t>0003017/2020</t>
  </si>
  <si>
    <t>Instalar sistema de oscilografia digital(RDP)</t>
  </si>
  <si>
    <t>LT 230 kV JARU /JI-PARANA C-1 RO</t>
  </si>
  <si>
    <t>0003032/2020</t>
  </si>
  <si>
    <t>LT 230 kV SAMUEL /PORTO VELHO C-2 RO</t>
  </si>
  <si>
    <t>0003034/2020</t>
  </si>
  <si>
    <t>LT 230 kV SAMUEL /ARIQUEMES C-1 RO</t>
  </si>
  <si>
    <t>0003045/2020</t>
  </si>
  <si>
    <t>LT 230 kV SAMUEL /PORTO VELHO C-1 RO</t>
  </si>
  <si>
    <t>0003040/2020</t>
  </si>
  <si>
    <t>LT 230 kV PIMENTA BUENO/VILHENA C-3 RO</t>
  </si>
  <si>
    <t>0003047/2020</t>
  </si>
  <si>
    <t>0003052/2020</t>
  </si>
  <si>
    <t>Adequação da CT 500 kV 05T6 da SE Jardim, contemplando a instalação de: 01 disjuntor, 02 chaves-seccionadoras sem lâmina de terra, 03 TCs e 03 TPs (incluindo respectivos suportes e fundações, conexões de alta tensão, cabos de controle e potência).</t>
  </si>
  <si>
    <t>0003056/2020</t>
  </si>
  <si>
    <t>LT 230 kV JI-PARANA /PIMENTA BUENO C-3 RO</t>
  </si>
  <si>
    <t>0003059/2020</t>
  </si>
  <si>
    <t>Instalar sistema de oscilografia digital(RDP).</t>
  </si>
  <si>
    <t>0003067/2020</t>
  </si>
  <si>
    <t>LT 345 kV ADRIANÓPOLIS - ITUTINGA CIRC 2 - 345</t>
  </si>
  <si>
    <t>Instalação de 03 e substituição de 03 esferas de sinalização</t>
  </si>
  <si>
    <t xml:space="preserve">LT  345 kV ADRIANOPOLIS / ITUTINGA C 2  RJ/MG       </t>
  </si>
  <si>
    <t>0004466/2020</t>
  </si>
  <si>
    <t>Substituição do sistema de proteção e controle (composto por proteção principal, proteção alternada e UC) e instalação de 2 painéis e cabos de controle para atender a adequação do novo vão de 500 kV do TR 500/230 kV (05T6).</t>
  </si>
  <si>
    <t>0003108/2020</t>
  </si>
  <si>
    <t>Substituição do sistema de controle (UC), lado 230kV do 05T6, para atender a adequação do novo vão de 500/230 kV do TR, com a instalação de 1 painel e cabos de controle.</t>
  </si>
  <si>
    <t>0003115/2020</t>
  </si>
  <si>
    <t>0003121/2020</t>
  </si>
  <si>
    <t>LI 500 kV GURUPI - MIRACEMA CIRC 1 - 500</t>
  </si>
  <si>
    <t>Substituição de  5 esferas de sinalização</t>
  </si>
  <si>
    <t xml:space="preserve">LT  500 kV GURUPI / MIRACEMA C 1  TO          </t>
  </si>
  <si>
    <t>0004491/2020</t>
  </si>
  <si>
    <t>LT 230 kV ARIQUEMES /JI-PARANA C-3 RO</t>
  </si>
  <si>
    <t>0003124/2020</t>
  </si>
  <si>
    <t>0003132/2020</t>
  </si>
  <si>
    <t>LT 500 kV SERRA DA MESA - GURUPI CIRC 1 - 500</t>
  </si>
  <si>
    <t>Substituição de  13 esferas de sinalização</t>
  </si>
  <si>
    <t xml:space="preserve">LT  500 kV S.DA MESA / GURUPI C 1  GO/TO       </t>
  </si>
  <si>
    <t>0004504/2020</t>
  </si>
  <si>
    <t>LT 500 kV SERRA DA MESA - SAMAMBAIA CIRC 1 - 500</t>
  </si>
  <si>
    <t xml:space="preserve">LT  500 kV S.DA MESA / SAMAMBAIA C 1  GO/DF       </t>
  </si>
  <si>
    <t>0004506/2020</t>
  </si>
  <si>
    <t>Substituição de 29 cadeias de isoladores completas ao longo da LT.</t>
  </si>
  <si>
    <t>0004505/2020</t>
  </si>
  <si>
    <t>LT 500 kV SERRA DA MESA - SAMAMBAIA CIRC 2 - 500</t>
  </si>
  <si>
    <t xml:space="preserve">LT  500 kV S.DA MESA / SAMAMBAIAC 2  GO/DF       </t>
  </si>
  <si>
    <t>0004508/2020</t>
  </si>
  <si>
    <t>EL 230 kLT 230 kV SAMUEL /PORTO VELHO C-1 RO</t>
  </si>
  <si>
    <t>0003138/2020</t>
  </si>
  <si>
    <t>Substituição de 16 cadeias de isoladores completas ao longo da LT.</t>
  </si>
  <si>
    <t>0004507/2020</t>
  </si>
  <si>
    <t>LT 230 kV ARIQUEMES /JARU C-1 RO</t>
  </si>
  <si>
    <t>0003137/2020</t>
  </si>
  <si>
    <t>Substituição de 20 cadeias de isoladores completas ao longo da LT.</t>
  </si>
  <si>
    <t xml:space="preserve">LT  500 kV S.DA MESA / SAMAMBAIA C 2  GO/DF       </t>
  </si>
  <si>
    <t>0004509/2020</t>
  </si>
  <si>
    <t>0003141/2020</t>
  </si>
  <si>
    <t>LT 345 kV CORUMBÁ - BRASÍLIA SUL - 345</t>
  </si>
  <si>
    <t>Substituição de  16 esferas de sinalização</t>
  </si>
  <si>
    <t xml:space="preserve">LT  345 kV CORUMBA/ BRAS. SUL C 1  GO/DF       </t>
  </si>
  <si>
    <t>0004510/2020</t>
  </si>
  <si>
    <t>Substituição de 23 cadeias de isoladores completas ao longo da LT.</t>
  </si>
  <si>
    <t xml:space="preserve">LT  345 kV CORUMBA  / BRAS. SUL  C 1  GO/DF       </t>
  </si>
  <si>
    <t>0004513/2020</t>
  </si>
  <si>
    <t>0003148/2020</t>
  </si>
  <si>
    <t>0003153/2020</t>
  </si>
  <si>
    <t>LT 345 kV BANDEIRANTES - SAMAMBAIA CIRC 1 - 345</t>
  </si>
  <si>
    <t>Substituição de  17 esferas de sinalização</t>
  </si>
  <si>
    <t xml:space="preserve">LT  345 kV BANDEIRANTES / SAMAMBAIA C 1  GO/DF       </t>
  </si>
  <si>
    <t>0004523/2020</t>
  </si>
  <si>
    <t>Instalação das proteções e controle diferencial para as barras nº 01 (CJBR7-01) e nº 2 (CJBR702) - Cadeia Alternada, contemplando uma unidade central com capacidade de, no mínimo, trezes vãos e, no mínimo, sete unidades de bay (bays unit).</t>
  </si>
  <si>
    <t>0003155/2020</t>
  </si>
  <si>
    <t>Instalação de uma unidade de bay da Proteção e Controle Diferencial de Barras no Vão de Interligação de Barras de 230 kV da SE Abunã (ANDB6-01). (Vão CX).</t>
  </si>
  <si>
    <t>MG 230 kV ABUNA MG1 RO</t>
  </si>
  <si>
    <t>0003156/2020</t>
  </si>
  <si>
    <t>LT 345 kV BANDEIRANTES - SAMAMBAIA CIRC 2 - 345</t>
  </si>
  <si>
    <t>Substituição de  7 esferas de sinalização</t>
  </si>
  <si>
    <t xml:space="preserve">LT  345 kV BANDEIRANTES / SAMAMBAIAC 2  GO/DF       </t>
  </si>
  <si>
    <t>0004526/2020</t>
  </si>
  <si>
    <t>LT 500 kV São José – Nova Iguaçu - 500</t>
  </si>
  <si>
    <t>Substituição de cabo OPGW degradado por cabo OPGW novo. Trecho de 15 km da torre 2125 até o pórtico da SE São José.</t>
  </si>
  <si>
    <t>LT 500 kV SÃO JOSÉ / NOVA IGUAÇU</t>
  </si>
  <si>
    <t>0004531/2020</t>
  </si>
  <si>
    <t>LT 345 kV Adrianópolis – Jacarepaguá Circ 2 - 345</t>
  </si>
  <si>
    <t>Substituição de cabo para-raios 3/8” EHS degradado por cabo OPGW. Trecho de 3 km da torre 83 até o pórtico da SE Jacarepaguá.</t>
  </si>
  <si>
    <t xml:space="preserve">LT  345 kV ADRIANOPOLIS / JACAREPAGUA C 2  RJ          </t>
  </si>
  <si>
    <t>0004535/2020</t>
  </si>
  <si>
    <t xml:space="preserve">Substituição da proteção e controle diferencial de barras  da cadeia principal das barras (MRBR6-01 e MRBR6-02), contemplando uma unidade central com capacidade de processamento de no mínimo 18 vãos e quinze unidades de bay (bays unit). </t>
  </si>
  <si>
    <t>MG MIRANDA II / CCO-2001-058 - RB</t>
  </si>
  <si>
    <t>0003162/2020</t>
  </si>
  <si>
    <t>LT 345 kV Adrianópolis – Jacarepaguá Circ 1 - 345</t>
  </si>
  <si>
    <t>Instalação de cabo OPGW novo. Trecho de 300 m referente à passagem pela torre 85, interligando as torres 3077 da LT 500 kV ADRIANÓPOLIS - GRAJAÚ com a torre 83 da LT 345 kV ADRIANÓPOLIS - JACAREPAGUÁ 2 .</t>
  </si>
  <si>
    <t xml:space="preserve">LT  345 kV ADRIANOPOLIS / JACAREPAGUA C 1  RJ          </t>
  </si>
  <si>
    <t>0004540/2020</t>
  </si>
  <si>
    <t>LT 500 kV Grajaú – Nova Iguaçu - 500</t>
  </si>
  <si>
    <t>Substituição de cabo para-raios 3/8” EHS degradado por cabo OPGW. Trecho 19 km da torre 3077 até o pórtico da SE Grajaú.</t>
  </si>
  <si>
    <t>LT 500 kV GRAJAU / NOVA IGUACU C 1 RJ</t>
  </si>
  <si>
    <t>0004543/2020</t>
  </si>
  <si>
    <t>LT 500 kV Adrianópolis – Grajaú - 500</t>
  </si>
  <si>
    <t>Substituição de cabo OPGW degradado por cabo OPGW novo. Trecho de 9 km da torre 3077 até a torre 3092.</t>
  </si>
  <si>
    <t xml:space="preserve">LT  500 kV ADRIANOPOLIS / GRAJAU C 1  RJ          </t>
  </si>
  <si>
    <t>0004542/2020</t>
  </si>
  <si>
    <t>NOBRES</t>
  </si>
  <si>
    <t>Instalação da Proteção e Controle Diferencial de Barras de 230 kV da SE Nobres - Cadeia Alternada - constituída de uma unidade central com, no mínimo, oito vãos e seis unidades de bay.</t>
  </si>
  <si>
    <t>MG 230 kV NOBRES MG2 MT</t>
  </si>
  <si>
    <t>0003172/2020</t>
  </si>
  <si>
    <t>LT 500 kV Zona Oeste – Nova Iguaçu - 500</t>
  </si>
  <si>
    <t>Substituição de cabo OPGW degradado por cabo OPGW novo. Trecho de 3 km da torre 215 até a torre 224.</t>
  </si>
  <si>
    <t>LT 500 kV NOVA IGUACU / ZONA OESTE C 1 RJ</t>
  </si>
  <si>
    <t>0004544/2020</t>
  </si>
  <si>
    <t>LT Itumbiara - Rio Verde 1 - 230</t>
  </si>
  <si>
    <t>Substituição de cadeias de isoladores de porcela escura por de vidro ao longo da LT (totalizando 255 cadeias).</t>
  </si>
  <si>
    <t xml:space="preserve">LT  230 kV ITUMBIARA / RIO VERDE FUR C 1  MG/GO       </t>
  </si>
  <si>
    <t>0004548/2020</t>
  </si>
  <si>
    <t>LT  Rio Verde - Cachoeira Celg 2 - 138</t>
  </si>
  <si>
    <t>Substituição de cadeias de isoladores de porcelana escura por de vidro ao longo da LT (totalizando 106 cadeias).</t>
  </si>
  <si>
    <t xml:space="preserve">LT  138 kV RIO VERDE  / CACHOEIRA DOURADA C2 GO       </t>
  </si>
  <si>
    <t>0004551/2020</t>
  </si>
  <si>
    <t>Instalação da Proteção e Controle Diferencial de Barras de 230kV da SE Jauru - Cadeia Alternada - constituída de uma unidade central com 13 vãos e 7 unidades de bay.</t>
  </si>
  <si>
    <t>MG 230 kV JAURU MG1 MT</t>
  </si>
  <si>
    <t>0003201/2020</t>
  </si>
  <si>
    <t>Instalação de TC de Barras para monitoramento das Correntes do Vão de Interligação de Barras nº 01 de 230 kV - (ANDB6-01). (Vão CX).</t>
  </si>
  <si>
    <t>0003207/2020</t>
  </si>
  <si>
    <t>Instalação de TC de Barras para monitoramento das Correntes do Vão de Interligação de Barras nº 01 de 230 kV - (RBDB6-01). (Vão AY).</t>
  </si>
  <si>
    <t>MG 230 kV RIO BRANCO 1 MG1 AC</t>
  </si>
  <si>
    <t>0003212/2020</t>
  </si>
  <si>
    <t>MACAE MERCHAN</t>
  </si>
  <si>
    <t>Troca da rede de dados operativa</t>
  </si>
  <si>
    <t>MG MACAE MERCHAN / CCO-2001-062 - RB</t>
  </si>
  <si>
    <t>0004599/2020</t>
  </si>
  <si>
    <t>Troca do sistema de monitoramento da LI MHVP (RDP4)</t>
  </si>
  <si>
    <t>LT 345 kV MACAE MERCHAN/VENDA PEDRAS C-1 RJ</t>
  </si>
  <si>
    <t>0004602/2020</t>
  </si>
  <si>
    <t>Substituição do sistema de sincronismo  de tempo da subestação Macaé, instalado em  2001.</t>
  </si>
  <si>
    <t>0004600/2020</t>
  </si>
  <si>
    <t>Troca da proteção BF DJ8112</t>
  </si>
  <si>
    <t>LT 345 kV CAMPOS /MACAE MERCHAN C-1 RJ</t>
  </si>
  <si>
    <t>0004606/2020</t>
  </si>
  <si>
    <t>Troca da proteção da linha</t>
  </si>
  <si>
    <t>0004604/2020</t>
  </si>
  <si>
    <t>Troca do sistema de monitoramento da LT CMMH1 (RDP)</t>
  </si>
  <si>
    <t>0004608/2020</t>
  </si>
  <si>
    <t>Substituição do sistema de controle e supervisão da linha 345 kV Campos-Macaé circuito 1, na subestação Campos, instalado em 2001.</t>
  </si>
  <si>
    <t>0004607/2020</t>
  </si>
  <si>
    <t>LT 345 kV CAMPOS /MACAE MERCHAN C-2 RJ</t>
  </si>
  <si>
    <t>0004609/2020</t>
  </si>
  <si>
    <t>Troca do sistema de monitoramento da LT CMMH2 (RDP)</t>
  </si>
  <si>
    <t>0004613/2020</t>
  </si>
  <si>
    <t>Troca da proteção BF DJ8732</t>
  </si>
  <si>
    <t>0004611/2020</t>
  </si>
  <si>
    <t>Substituição do sistema de controle e supervisão da linha 345 kV Campos-Macaé circuito 2, na subestação Campos, instalado em 2001.</t>
  </si>
  <si>
    <t>0004612/2020</t>
  </si>
  <si>
    <t>Troca do sistema de monitoramento da LT CMMH3 (RDP)</t>
  </si>
  <si>
    <t>LT 345 kV CAMPOS /MACAE MERCHAN C-3 RJ</t>
  </si>
  <si>
    <t>0004615/2020</t>
  </si>
  <si>
    <t>IRIRI</t>
  </si>
  <si>
    <t>Instalação de um equipamento de sincronismo em substituição aos equipamentos TS3100 e XLi responsáveis pelo fornecimento de sinais tempo e frequencia para sistemas de telecomunicações, proteção, controle e supervisão atendendo os submódulos 2.7, 11.8 e 12.2 do procedimentos de rede do ONS.</t>
  </si>
  <si>
    <t>MG 138 kV IRIRI MG1 RJ</t>
  </si>
  <si>
    <t>0004658/2020</t>
  </si>
  <si>
    <t>LT 500 kV JARDIM /CAMACARI IV SE/BA - 500</t>
  </si>
  <si>
    <t>Substituir 161 cadeias de isoladores de mesma classe tensão-tipo-material-composição das 34 est 001/1;001/2;002/1;002/2;003/1;003/2;004/1;004/2;005/1;005/2;006/1;006/2;007/1;007/2;007/3;008/1;009/1;009/2;010/1;010/2;011/1;011/2;012/1;012/2;013/1;013/2;014/1;014/2;015/1;016/1;016/2;017/1;017/2;017/3</t>
  </si>
  <si>
    <t>0003359/2020</t>
  </si>
  <si>
    <t>PDIZLT701</t>
  </si>
  <si>
    <t>0009599/2016</t>
  </si>
  <si>
    <t>0009600/2016</t>
  </si>
  <si>
    <t>0009601/2016</t>
  </si>
  <si>
    <t>SECCIONADORA 500 kV PDSD7-13</t>
  </si>
  <si>
    <t>0009603/2016</t>
  </si>
  <si>
    <t>SECCIONADORA 500 kV PDSD7-14</t>
  </si>
  <si>
    <t>0009604/2016</t>
  </si>
  <si>
    <t>SECCIONADORA 500 kV PDSL7-03</t>
  </si>
  <si>
    <t>0009605/2016</t>
  </si>
  <si>
    <t>SECCIONADORA 500 kV PDSR7-03</t>
  </si>
  <si>
    <t>0009606/2016</t>
  </si>
  <si>
    <t>SECCIONADORA DE ATERRAMENTO 500 kV PDCA7-09</t>
  </si>
  <si>
    <t>0009607/2016</t>
  </si>
  <si>
    <t>SECCIONADORA 500 kV PDSD7-12</t>
  </si>
  <si>
    <t>PDMG-07</t>
  </si>
  <si>
    <t>0009611/2016</t>
  </si>
  <si>
    <t>LT P. AFONSO IV - OLINDINA (05S5) - 500</t>
  </si>
  <si>
    <t>Substituir 70 cadeias de isoladores de mesma classe tensão-tipo-material-composição das 15 est 205/2;206/1;206/3;207/2;208/1;208/2;209/1;209/2;210/1;210/2;211/1;211/2;212/1;212/3;213/1</t>
  </si>
  <si>
    <t>LT 500 kV P. AFONSO IV /OLINDINA C-1 BA</t>
  </si>
  <si>
    <t>0003391/2020</t>
  </si>
  <si>
    <t>SECCIONADORA 500 kV PDSD7-15</t>
  </si>
  <si>
    <t>PDBELI701</t>
  </si>
  <si>
    <t>0009628/2016</t>
  </si>
  <si>
    <t>SECCIONADORA 500 kV PDSD7-16</t>
  </si>
  <si>
    <t>0009629/2016</t>
  </si>
  <si>
    <t>SECCIONADORA 500 kV PDSL7-04</t>
  </si>
  <si>
    <t>0009630/2016</t>
  </si>
  <si>
    <t>SECCIONADORA 500 kV PDSR7-04</t>
  </si>
  <si>
    <t>0009631/2016</t>
  </si>
  <si>
    <t>SECCIONADORA 500 kV PDSR7-06</t>
  </si>
  <si>
    <t>0009632/2016</t>
  </si>
  <si>
    <t>SECCIONADORA DE ATERRAMENTO 500 kV PDCA7-12</t>
  </si>
  <si>
    <t>0009633/2016</t>
  </si>
  <si>
    <t>TRANSFORMADOR CORRENTE 500 kV FV</t>
  </si>
  <si>
    <t>0009634/2016</t>
  </si>
  <si>
    <t>SECCIONADORA 500 kV PDSD7-17</t>
  </si>
  <si>
    <t>0009636/2016</t>
  </si>
  <si>
    <t>LT 230 kV C.GRANDE III /C.GRANDE II PB - 230</t>
  </si>
  <si>
    <t>Substituir 177 cadeias de isoladores de mesma classe tensão-tipo-material-composição das 27 est 001/1;001/1D;001/2;001/2D;001/3D;002/1;002/1D;002/2;003/1;003/1D;003/2;003/2D;003/3;004/1;004/1D;004/2;004/2D;004/3;005/1;005/1D;005/2;005/2D;005/3D;006/1;006/2;CGD;CGT</t>
  </si>
  <si>
    <t>FT LT 230 kV C.GRANDE III /C.GRANDE II C-3 PB</t>
  </si>
  <si>
    <t>0003515/2020</t>
  </si>
  <si>
    <t>FT LT 230 kV C.GRANDE III /C.GRANDE II C-2 PB</t>
  </si>
  <si>
    <t>0003511/2020</t>
  </si>
  <si>
    <t>LT 230 kV C.GRANDE III /EXTREMOZ II PB/RN - 230</t>
  </si>
  <si>
    <t>Substituir 15 cadeias de isoladores de mesma classe tensão-tipo-material-composição das 4 est. 158/2;159/1;163/1;177/2</t>
  </si>
  <si>
    <t>FT LT 230 kV C.GRANDE III /EXTREMOZ II C-1 PB/RN</t>
  </si>
  <si>
    <t>0003528/2020</t>
  </si>
  <si>
    <t>LT SOBRADINHO - S.J.PIAUÍ (05C5) - 500</t>
  </si>
  <si>
    <t>Substituir 212 cadeias de isoladores de mesma classe tensão-tipo-material-composição das 41 est 01/1;01/2;04/2;13/2;14/1;14/2;15/1;16/2;17/2;18/1;18/2;19/1;19/2;20/1;20/2;21/1;22/1;22/2;23/1;23/2;26/1;30/1;31/1;36/2;43/2;44/1;44/2;48/2;50/1;50/2;51/1;52/1;52/2;53/1;54/1;54/2;56/1;59/2;60/1;60/2;61/1</t>
  </si>
  <si>
    <t>LT 500 kV U.SOBRADINHO /S.JOAO PIAUI C-1 BA/PI</t>
  </si>
  <si>
    <t>0003535/2020</t>
  </si>
  <si>
    <t>LT  500 kV US. L.GONZAGA/U.SOBRADINHO  PE/BA - 500</t>
  </si>
  <si>
    <t>Substituir 184 cadeias de isoladores de mesma classe tensão-tipo-material-composição das 34 est 001/3;003/1;004/1;005/1;011/1;011/2;012/1;012/2;018/1;018/2;019/1;020/1;020/2;033/1;036/2;037/1;037/2;038/1;039/1;039/2;040/1;041/1;041/2;042/1;042/2;043/1;044/2;045/1;064/1;064/2;067/2;072/1;072/2;073/1</t>
  </si>
  <si>
    <t>FT LT 500 kV US. L.GONZAGA /U.SOBRADINHO C-2 PE/BA</t>
  </si>
  <si>
    <t>0003536/2020</t>
  </si>
  <si>
    <t>Substituir 152 cadeias de isoladores de mesma classe tensão-tipo-material-composição das 35 est 01/3;02/1;05/1;05/2;06/1;06/3;010/1;010/2;011/1;012/1;012/2;013/1;014/2;016/1;016/2;017/1;017/2;018/1;020/2;023/1;025/1;026/2;027/2;029/2;030/2;032/1;032/2;033/1;033/2;034/1;034/2;035/1;035/2;035/3;038/2</t>
  </si>
  <si>
    <t>0003542/2020</t>
  </si>
  <si>
    <t>Substituir 148 cadeias de isoladores de mesma classe tensão-tipo-material-composição das 34 est 185/2;186/1;189/2;190/1;199/1;203/1;210/1;214/2;215/2;217/1;217/2;218/1;218/2;222/2;225/1;225/2;226/1;226/2;227/1;227/2;228/1;228/2;229/1;229/2;230/1;230/2;231/1;231/2;232/1;232/2;233/1;233/2;234/1;234/2</t>
  </si>
  <si>
    <t>0003541/2020</t>
  </si>
  <si>
    <t>LT OLINDINA - CAMAÇARI II (05L5) - 500</t>
  </si>
  <si>
    <t>Substituir 148 cadeias de isoladores de mesma classe tensão-tipo-material-composição das 35 est 14/2;15/2;52/1;52/2;53/1;053/2;054/1;054/2;055/1;055/2;055/3;056/1;056/2;057/1;057/2;058/1;058/2;059/1;059/2;060/1;060/2;061/1;061/2;061/3;062/1;062/2;063/1;063/2;064/1;064/2;065/1;065/2;066/1;066/2;066/3</t>
  </si>
  <si>
    <t>LT 500 kV OLINDINA /CAMACARI II C-2 BA</t>
  </si>
  <si>
    <t>0003666/2020</t>
  </si>
  <si>
    <t>Substituir 44 cadeias de isoladores de mesma classe tensão-tipo-material-composição das 7 est 067/1;067/2;067/3;068/1;068/2;068/3;069/1</t>
  </si>
  <si>
    <t>0003667/2020</t>
  </si>
  <si>
    <t>LT FORTALEZA II - CAUÍPE (04S1) - 230</t>
  </si>
  <si>
    <t xml:space="preserve">Substituir 153 cadeias isoladores mesma classe tensão-tipo-material-composição das 31 est 001/1D;001/2D;001/3D;002/1D;002/2D;003/1D;003/2D;003/3D;004/1D;005/1D;005/2D;006/1D;006/2D;007/1D;007/2D;008/1D;008/2D;009/1D;009/2D;009/3D;010/1D;170/1;170/2;171/1;171/2;172/1;172/2;173/1;173/2;174/1;174/2 </t>
  </si>
  <si>
    <t>LT 230 kV CAUIPE /FORTALEZA II C-3 CE</t>
  </si>
  <si>
    <t>0003668/2020</t>
  </si>
  <si>
    <t xml:space="preserve">Substituir 141 cadeias isoladores mesma classe tensão-tipo-material-composição das 35 est 174/3;175/1;175/2;176/1;176/2;177/1;177/2;178/1;178/2;179/1;179/2;180/1;180/2;180/3;181/1;182/1;182/2;183/1;183/2;184/1;184/2;184/3;185/1;185/2;186/1;186/2;187/1;187/2;187/3;188/1;188/2;189/1;189/2;190/1;190/2 </t>
  </si>
  <si>
    <t>0003669/2020</t>
  </si>
  <si>
    <t>LT FORTALEZA II - D. GOUVEIA (04F5) - 230</t>
  </si>
  <si>
    <t xml:space="preserve">Substituir 291 cadeias isoladores mesma classe tensão-tipo-material-composição das 35 est 001/1;001/2;001/3;001/4;001/5;001/6;002/1;002/2;002/3;002/4;002/5;002/6;003/1;003/2;003/3;003/4;003/5;003/6;003/7;004/1;004/2;004/3;004/4;004/5;004/6;004/7;005/1;005/2;005/3;005/4;005/5;005/6;006/1;006/2;006/3 </t>
  </si>
  <si>
    <t>LT 230 kV DELM. GOUVEIA/FORTALEZA II C-1 CE</t>
  </si>
  <si>
    <t>0003671/2020</t>
  </si>
  <si>
    <t>LT FORTALEZA II - D. GOUVEIA (04F4) - 230</t>
  </si>
  <si>
    <t>LT 230 kV DELM. GOUVEIA/FORTALEZA II C-2 CE</t>
  </si>
  <si>
    <t>0003672/2020</t>
  </si>
  <si>
    <t>LT SOBRAL II - CAUÍPE (04S2) - 230</t>
  </si>
  <si>
    <t xml:space="preserve">Substituir 186 cadeias isoladores mesma classe tensão-tipo-material-composição das 34 est 007/3;008/1;008/1D;008/2;008/2D;008/3;009/1;009/1D;009/2;009/2D;009/3D;010/1;010/1D;010/2;011/1;011/2;012/1;012/2;013/1;013/2;013/3;014/1;014/2;015/1;015/2;016/1;016/2;016/3;017/1;017/2;018/1;018/2;019/1;019/2 </t>
  </si>
  <si>
    <t>LT 230 kV CAUIPE /SOBRAL II C-1 CE</t>
  </si>
  <si>
    <t>0003675/2020</t>
  </si>
  <si>
    <t xml:space="preserve">Substituir 204 cadeias de isoladores de mesma classe tensão-tipo-material-composição das 32 est 1/1;1/1D;001/2;001/2D;001/3;001/3D;001/4;001/5;002/1;002/1D;002/2;002/2D;003/1;003/1D;003/2D;003/3D;004/1;004/1D;004/2;005/1;005/1D;005/2;005/2D;006/1;006/1D;006/2;006/2D;006/3;007/1;007/1D;007/2;007/2D </t>
  </si>
  <si>
    <t>0003674/2020</t>
  </si>
  <si>
    <t xml:space="preserve">Substituir 129 cadeias isoladores mesma classe tensão-tipo-material-composição das 35 est 020/1;020/2;021/1;021/2;021/3;022/1;023/1;023/2;024/1;024/2;024/3;025/1;025/2;026/1;026/2;027/1;027/2;028/1;028/2;029/1;029/2;029/3;030/1;030/2;031/1;031/2;031/3;032/1;032/2;032/3;033/1;033/2;034/1;034/2;035/1 </t>
  </si>
  <si>
    <t>0003676/2020</t>
  </si>
  <si>
    <t xml:space="preserve">Substituir 165 cadeias isoladores mesma classe tensão-tipo-material-composição das 35 est 035/2;035/3;036/1;036/2;037/1;037/2;038/1;038/2;039/1;039/2;039/3;040/1;040/2;041/1;041/2;042/1;042/2;043/1;043/2;043/3;044/1;044/2;044/3;045/1;045/2;046/1;046/2;047/1;047/2;047/3;048/1;048/2;048/3;049/1;049/2 </t>
  </si>
  <si>
    <t>0003677/2020</t>
  </si>
  <si>
    <t xml:space="preserve">Substituir 177 cadeias isoladores mesma classe tensão-tipo-material-composição das 35 est 049/3;050/1;050/2;051/1;051/2;052/1;052/2;052/3;053/1;053/2;053/3;054/1;054/2;055/1;055/2;056/1;056/2;057/1;057/2;058/1;058/2;058/3;059/1;059/2;060/1;060/2;060/3;061/1;061/2;062/1;062/2;062/3;063/1;063/2;064/1 </t>
  </si>
  <si>
    <t>0003678/2020</t>
  </si>
  <si>
    <t xml:space="preserve">Substituir 129 cadeias isoladores mesma classe tensão-tipo-material-composição das 35 est 064/2;064/3;065/1;065/2;065/3;066/1;066/2;067/1;067/2;067/3;068/1;068/2;068/3;069/1;069/2;069/3;070/1;070/2;071/1;071/2;072/1;072/2;072/3;073/1;073/2;074/1;074/2;074/3;075/1;075/2;075/3;076/1;076/2;076/3;077/1 </t>
  </si>
  <si>
    <t>0003679/2020</t>
  </si>
  <si>
    <t>REATOR 500 kV PDRE7-05 FASE A</t>
  </si>
  <si>
    <t>0010005/2016</t>
  </si>
  <si>
    <t>REATOR 500 kV PDRE7-05 FASE B</t>
  </si>
  <si>
    <t>0010006/2016</t>
  </si>
  <si>
    <t>REATOR 500 kV PDRE7-05 FASE V</t>
  </si>
  <si>
    <t>0010007/2016</t>
  </si>
  <si>
    <t>REATOR 500 kV PDRE7-06 FASE A</t>
  </si>
  <si>
    <t>0010008/2016</t>
  </si>
  <si>
    <t>REATOR 500 kV PDRE7-06 FASE B</t>
  </si>
  <si>
    <t>0010009/2016</t>
  </si>
  <si>
    <t>REATOR 500 kV PDRE7-06 FASE V</t>
  </si>
  <si>
    <t>0010011/2016</t>
  </si>
  <si>
    <t>REATOR 500 kV PDRE7-04 FASE A</t>
  </si>
  <si>
    <t>0010016/2016</t>
  </si>
  <si>
    <t>REATOR 500 kV PDRE7-04 FASE B</t>
  </si>
  <si>
    <t>0010017/2016</t>
  </si>
  <si>
    <t>REATOR 500 kV PDRE7-04 FASE V</t>
  </si>
  <si>
    <t>0010019/2016</t>
  </si>
  <si>
    <t>Substituir 230 cadeias isoladores mesma classe tensão-tipo-material-composição das 35 est 001/1;001/2;001/3;002/3;003/1;003/2;004/1;004/2;005/1;005/2;006/1;006/2;006/3;008/1;008/2;008/3;009/1;009/3;010/1;010/2;010/3;011/1;011/2;012/1;012/2;013/1;013/2;014/1;014/2;015/1;015/2;015/3;018/1;018/2;020/1</t>
  </si>
  <si>
    <t>0005543/2020</t>
  </si>
  <si>
    <t>Substituir 230 cadeias isoladores mesma classe tensão-tipo-material-composição das 35 est 020/2;021/1;021/2;022/1;022/2;023/2;024/1;024/2;025/1;026/3;027/2;028/1;028/2;029/2;030/3;032/1;032/2;032/3;033/2;033/3;034/1;034/2;035/1;035/3;036/1;036/2;036/3;037/1;038/2;038/3;039/1;039/3;040/3;041/2;041/3</t>
  </si>
  <si>
    <t>0005566/2020</t>
  </si>
  <si>
    <t>Substituir 140 cadeias isoladores mesma classe tensão-tipo-material-composição das 35 est 041/4;042/1;042/2;042/3;043/2;044/1;044/2;044/3;045/2;046/1;046/2;047/1;047/2;047/3;048/2;048/3;048/4;049/1;049/2;049/3;050/2;050/3;051/1;051/3;052/1;052/2;053/1;053/2;053/3;054/3;055/1;055/2;055/3;056/1;056/2</t>
  </si>
  <si>
    <t>0005569/2020</t>
  </si>
  <si>
    <t>LT L. GONZAGA - OLINDINA (05S4) - 500</t>
  </si>
  <si>
    <t>Substituir 326 cadeias isoladores mesma classe tensão-tipo-material-composição das 35 est 001/2;003/1;006/3;020/1;024/2;025/1;026/1;026/2;027/1;027/3;028/1;028/2;029/1;029/3;030/2;031/1;031/2;032/1;032/2;032/3;033/1;033/2;034/1;034/2;034/3;035/1;035/2;036/1;036/2;036/3;037/1;037/2;037/3;037/4;037/5</t>
  </si>
  <si>
    <t>0005575/2020</t>
  </si>
  <si>
    <t>Substituir 158 cadeias isoladores mesma classe tensão-tipo-material-composição das 35 est 038/2;038/3;038/4;039/1;039/2;039/3;040/1;040/2;040/3;040/4;041/1;041/2;041/3;042/1;042/2;042/3;042/4;043/1;043/2;043/3;044/1;044/2;044/3;044/4;045/1;045/2;045/3;046/1;046/2;046/3;046/4;047/1;047/2;047/3;048/1</t>
  </si>
  <si>
    <t>0005599/2020</t>
  </si>
  <si>
    <t>Substituir 158 cadeias isoladores mesma classe tensão-tipo-material-composição das 35 est 059/3;060/1;060/2;060/3;061/1;061/2;061/3;061/4;062/1;062/2;062/3;063/1;063/2;063/3;063/4;064/1;064/2;064/3;065/1;065/2;065/3;065/4;066/1;066/2;066/3;067/1;067/2;067/3;068/1;068/2;068/3;068/4;069/1;069/2;069/3</t>
  </si>
  <si>
    <t>0005603/2020</t>
  </si>
  <si>
    <t>Substituir 158 cadeias isoladores mesma classe tensão-tipo-material-composição das 35 est 048/2;048/3;049/1;049/2;049/3;050/1;050/2;050/3;050/4;051/1;051/3;052/1;052/2;052/3;053/1;053/2;053/3;054/1;054/2;054/3;054/4;055/1;055/2;055/3;056/1;056/2;056/3;056/4;057/1;057/2;058/1;058/2;058/3;059/1;059/2</t>
  </si>
  <si>
    <t>0005602/2020</t>
  </si>
  <si>
    <t>Substituir 140 cadeias isoladores mesma classe tensão-tipo-material-composição das 35 est 016/1;016/2;017/1;017/2;018/1;018/2;019/1;019/2;020/1;020/2;021/1;021/2;022/1;022/2;022/3;023/1;023/2;024/1;024/2;025/1;025/2;026/1;026/2;026/3;027/1;027/2;028/1;028/2;029/1;029/2;030/1;030/2;031/1;031/2;032/1</t>
  </si>
  <si>
    <t>0005620/2020</t>
  </si>
  <si>
    <t>Substituir 200 cadeias isoladores mesma classe tensão-tipo-material-composição das 35 est 001/1;001/2;001/3;001/4;002/1;002/2;002/3;003/1;003/2;004/1;004/2;005/1;005/2;006/1;006/2;007/1;007/2;007/3;008/1;008/2;009/1;009/2;010/1;010/2;011/1;011/2;012/1;012/2;013/1;013/2;014/1;014/2;014/3;015/1;015/2</t>
  </si>
  <si>
    <t>0005617/2020</t>
  </si>
  <si>
    <t>Substituir 140 cadeias isoladores mesma classe tensão-tipo-material-composição das 35 est 032/2;032/3;033/1;033/2;034/1;034/2;035/1;035/2;036/1;036/2;036/3;037/1;037/2;038/1;038/2;039/1;039/2;040/1;040/2;040/3;041/1;041/2;042/1;042/2;043/1;043/2;044/1;044/2;045/1;045/2;045/3;046/1;046/2;047/1;047/2</t>
  </si>
  <si>
    <t>0005623/2020</t>
  </si>
  <si>
    <t>LT MILAGRES - QUIXADÁ (05V3) - 500</t>
  </si>
  <si>
    <t>Substituir 267 cadeias de isoladores de mesma classe tensão-tipo-material-composição das 34 est 123/1;123/2;123/3;124/1;125/1;125/2;126/1;126/2;127/1;127/2;128/1;128/2;129/1;129/2;130/1;130/2;131/1;131/2;132/1;137/1;137/2;138/1;138/2;141/1;141/2;142/1;142/2;143/1;143/2;143/3;146/2;147/1;147/2;148/1</t>
  </si>
  <si>
    <t>LT 500 kV MILAGRES /QUIXADA C-1 CE</t>
  </si>
  <si>
    <t>0005624/2020</t>
  </si>
  <si>
    <t>LT 500 kV TIANGUA II /SOBRAL III CE - 500</t>
  </si>
  <si>
    <t>Substituir 205 cadeias de isoladores de mesma classe tensão-tipo-material-composição das 33 est 303/2;305/2;306/2;317/2;318/2;319/1;319/2;320/1;320/2;321/1;321/2;322/1;322/2;323/1;323/2;324/1;324/2;325/1;325/2;326/1;326/2;327/1;327/2;328/1;328/2;329/1;329/2;329/3;330/1;330/2;330/3;331/1;331/2</t>
  </si>
  <si>
    <t>FT LT 500 kV TIANGUA II /SOBRAL III C-1 CE</t>
  </si>
  <si>
    <t>0005628/2020</t>
  </si>
  <si>
    <t>AMPLIAÇÃO DO SISTEMA REGISTRADOR DE PERTURBAÇÃO, RDP, DA LINHA DE TRANSMISSÃO PARA DO TIPO ONDAS VIAJANTES DA EL 500 kV SAO LUIS II LT 500 kV SAO LUIS II /MIRANDA II C-2 MA.</t>
  </si>
  <si>
    <t>0005834/2020</t>
  </si>
  <si>
    <t>AMPLIAÇÃO DO SISTEMA REGISTRADOR DE PERTURBAÇÃO, RDP, DA LINHA DE TRANSMISSÃO PARA DO TIPO ONDAS VIAJANTES DA EL 500 kV SAO LUIS II LT 500 kV SAO LUIS II /MIRANDA II C-1 MA.</t>
  </si>
  <si>
    <t>0005835/2020</t>
  </si>
  <si>
    <t>AMPLIAÇÃO DO SISTEMA REGISTRADOR DE PERTURBAÇÃO, RDP, DA LINHA DE TRANSMISSÃO PARA DO TIPO ONDAS VIAJANTES DA EL 500 kV P.DUTRA LT 500 kV IMPERATRIZ /P.DUTRA C-2 MA.</t>
  </si>
  <si>
    <t>0005836/2020</t>
  </si>
  <si>
    <t>AMPLIAÇÃO DO SISTEMA REGISTRADOR DE PERTURBAÇÃO, RDP, DA LINHA DE TRANSMISSÃO PARA DO TIPO ONDAS VIAJANTES DA EL 500 kV P.DUTRA LT 500 kV IMPERATRIZ /P.DUTRA C-1 MA.</t>
  </si>
  <si>
    <t>0005837/2020</t>
  </si>
  <si>
    <t>AMPLIAÇÃO DO SISTEMA REGISTRADOR DE PERTURBAÇÃO, RDP, DA LINHA DE TRANSMISSÃO PDSO-LT701 PARA DO TIPO ONDAS VIAJANTES DA EL 500 kV P.DUTRA LT 500 kV MIRANDA II /P.DUTRA C-1 MA.</t>
  </si>
  <si>
    <t>LT 500 kV MIRANDA II /P.DUTRA C-1 MA</t>
  </si>
  <si>
    <t>0005838/2020</t>
  </si>
  <si>
    <t>AMPLIAÇÃO DO SISTEMA REGISTRADOR DE PERTURBAÇÃO, RDP, DA LINHA DE TRANSMISSÃO PARA DO TIPO ONDAS VIAJANTES DA EL 500 kV P.DUTRA LT 500 kV MIRANDA II /P.DUTRA C-2 MA.</t>
  </si>
  <si>
    <t>0005839/2020</t>
  </si>
  <si>
    <t>AMPLIAÇÃO DO SISTEMA REGISTRADOR DE PERTURBAÇÃO, RDP, DA LINHA DE TRANSMISSÃO PARA DO TIPO ONDAS VIAJANTES DA EL 500 kV IMPERATRIZ LT 500 kV IMPERATRIZ /COLINAS C-1 MA/TO.</t>
  </si>
  <si>
    <t>0005840/2020</t>
  </si>
  <si>
    <t>AMPLIAÇÃO DO SISTEMA REGISTRADOR DE PERTURBAÇÃO, RDP, DA LINHA DE TRANSMISSÃO PARA DO TIPO ONDAS VIAJANTES DA EL 500 kV IMPERATRIZ LT 500 kV IMPERATRIZ /MARABA C-2 MA/PA.</t>
  </si>
  <si>
    <t>0005841/2020</t>
  </si>
  <si>
    <t>AMPLIAÇÃO DO SISTEMA REGISTRADOR DE PERTURBAÇÃO, RDP, DA LINHA DE TRANSMISSÃO PARA DO TIPO ONDAS VIAJANTES DA EL 500 kV IMPERATRIZ LT 500 kV IMPERATRIZ /MARABA C-1 MA/PA.</t>
  </si>
  <si>
    <t>0005842/2020</t>
  </si>
  <si>
    <t>AMPLIAÇÃO DO SISTEMA REGISTRADOR DE PERTURBAÇÃO, RDP, DA LINHA DE TRANSMISSÃO PARA DO TIPO ONDAS VIAJANTES DA EL 500 kV IMPERATRIZ LT 500 kV IMPERATRIZ /P.DUTRA C-2 MA.</t>
  </si>
  <si>
    <t>0005843/2020</t>
  </si>
  <si>
    <t>0005845/2020</t>
  </si>
  <si>
    <t>AMPLIAÇÃO DO SISTEMA REGISTRADOR DE PERTURBAÇÃO, RDP, DA LINHA DE TRANSMISSÃO PARA DO TIPO ONDAS VIAJANTES DA EL 500 kV IMPERATRIZ LT 500 kV IMPERATRIZ /P.DUTRA C-1 MA.</t>
  </si>
  <si>
    <t>0005844/2020</t>
  </si>
  <si>
    <t>0005846/2020</t>
  </si>
  <si>
    <t>LT 500 kV MIRANDA II /P.DUTRA MA - 500</t>
  </si>
  <si>
    <t>AMPLIAÇÃO DO SISTEMA REGISTRADOR DE PERTURBAÇÃO, RDP, DA LINHA DE TRANSMISSÃO PARA DO TIPO ONDAS VIAJANTES DA LT 500 kV MIRANDA II /P.DUTRA C-2 MA</t>
  </si>
  <si>
    <t>LT 500 kV MIRANDA II /P.DUTRA MA</t>
  </si>
  <si>
    <t>0005848/2020</t>
  </si>
  <si>
    <t>AMPLIAÇÃO DO SISTEMA REGISTRADOR DE PERTURBAÇÃO, RDP, DA LINHA DE TRANSMISSÃO PARA DO TIPO ONDAS VIAJANTES DA LT 500 kV MIRANDA II /P.DUTRA C-1 MA</t>
  </si>
  <si>
    <t>0005847/2020</t>
  </si>
  <si>
    <t>Substituição do Sistema de Proteção, Comando, Controle e Supervisão - SPCS do Serviço Auxiliar da SE Carajás - Cadeias Principal e Alternada</t>
  </si>
  <si>
    <t>0005849/2020</t>
  </si>
  <si>
    <t>INTEGRADORA</t>
  </si>
  <si>
    <t>Substituição da Unidade de Supervisão e Comando do Automatismo do Grupo Gerador Diesel (Quadro Completo)</t>
  </si>
  <si>
    <t>MG INTEGRADORA / CCO-2001-058 - RB</t>
  </si>
  <si>
    <t>0005852/2020</t>
  </si>
  <si>
    <t>SUBSTITUIÇÃO DO SISTEMA DE PROTEÇÃO E AUTOMAÇÃO (UPC) - TCTU-LT4-01.</t>
  </si>
  <si>
    <t>0005854/2020</t>
  </si>
  <si>
    <t>Substituição da Unidade de Comando, Controle e Supervisão De Linha de Transmissão</t>
  </si>
  <si>
    <t>LT 230 kV CARAJAS /INTEGRADORA C-3 PA</t>
  </si>
  <si>
    <t>0005855/2020</t>
  </si>
  <si>
    <t>LT 230 kV CARAJAS /INTEGRADORA C-2 PA</t>
  </si>
  <si>
    <t>0005856/2020</t>
  </si>
  <si>
    <t>Substituição da Proteção, Comando, Controle e Supervisão - SPCS da LT 230 kV Carajás - Integradora C1 (CJIG-LT6-01).</t>
  </si>
  <si>
    <t>LT 230 kV CARAJAS /INTEGRADORA C-1 PA</t>
  </si>
  <si>
    <t>0005857/2020</t>
  </si>
  <si>
    <t>Substituição da Proteção, Comando, Controle e Supervisão do Bay de Interligação de Barras (IB 230 kV MG 230 kV CARAJAS MG1 PA IB1) (CJDB6-01)</t>
  </si>
  <si>
    <t>0005860/2020</t>
  </si>
  <si>
    <t>Substituição do Quadro e Equipamentos de Supervisão e Comando do Automatismo do Grupo Diesel Gerador- GDG -01 380/220 V - 115 kVA</t>
  </si>
  <si>
    <t>0005858/2020</t>
  </si>
  <si>
    <t>Substituição da Proteção, Comando, Controle e Supervisão - SPCS de Banco de Capacitor (CJBC6-01).</t>
  </si>
  <si>
    <t>BC 230 kV 30 Mvar CARAJAS BC1 PA</t>
  </si>
  <si>
    <t>0005861/2020</t>
  </si>
  <si>
    <t>SUB CARAJAS - 230</t>
  </si>
  <si>
    <t>Substituição da Proteção, Comando, Controle e Supervisão - SPCS da LT 230 kV Carajás - Integradora C3 (CJIG-LT6-03).</t>
  </si>
  <si>
    <t>0005862/2020</t>
  </si>
  <si>
    <t>Substituição da Proteção, Comando, Controle e Supervisão - SPCS da LT 230 kV Carajás - Integradora C2 (CJIG-LT6-02).</t>
  </si>
  <si>
    <t>0005863/2020</t>
  </si>
  <si>
    <t>0005864/2020</t>
  </si>
  <si>
    <t>Substituição da Proteção, Comando, Controle e Supervisão do Serviço Auxiliar - Principal e Alternada</t>
  </si>
  <si>
    <t>0005865/2020</t>
  </si>
  <si>
    <t>Substituição dos IEDs conectados no SICAM de 500kV</t>
  </si>
  <si>
    <t>0005920/2020</t>
  </si>
  <si>
    <t>SUBSTITUIÇÃO PÁRA-RAIOS 69 KV - TCTU-LT4-01</t>
  </si>
  <si>
    <t>0005932/2020</t>
  </si>
  <si>
    <t>Substituição do Disjuntor MBDJ6-06.</t>
  </si>
  <si>
    <t>LT 230 kV MARABA /CARAJAS</t>
  </si>
  <si>
    <t>0006000/2020</t>
  </si>
  <si>
    <t>Substituição do Disjuntor MBDJ7-06.</t>
  </si>
  <si>
    <t>0006010/2020</t>
  </si>
  <si>
    <t xml:space="preserve">SUB CARAJAS - </t>
  </si>
  <si>
    <t>Substituição de painéis QSACA e QSACC, Cubículos de disjuntores de 13,8kV, Retificadores do serviço auxiliar da SE Carajás</t>
  </si>
  <si>
    <t>MG 230 kV CARAJAS MG1 PA</t>
  </si>
  <si>
    <t>0006018/2020</t>
  </si>
  <si>
    <t>Substituição de bucha 230kV do transformador VCTF6-01.</t>
  </si>
  <si>
    <t>0006022/2020</t>
  </si>
  <si>
    <t>SUBSTITUIÇÃO DO DISJUNTOR TRIPOLAR 69 KV - TCDJ4-07</t>
  </si>
  <si>
    <t>0006082/2020</t>
  </si>
  <si>
    <t>Substituição do disjuntor 500 KV - TCDJ7-03</t>
  </si>
  <si>
    <t>RTB 500 kV 50 Mvar TUCURUI RT1 PA</t>
  </si>
  <si>
    <t>0006096/2020</t>
  </si>
  <si>
    <t>Substituição do disjuntor TCDJ7-08</t>
  </si>
  <si>
    <t>0006120/2020</t>
  </si>
  <si>
    <t>Substituição do disjuntor TCDJ7-05</t>
  </si>
  <si>
    <t>0006160/2020</t>
  </si>
  <si>
    <t>Substituição do disjuntor TCDJ7-12</t>
  </si>
  <si>
    <t>0006194/2020</t>
  </si>
  <si>
    <t>SUBSTITUIR O TRANSFORMADOR DE CORRENTE FASE V</t>
  </si>
  <si>
    <t>0006252/2020</t>
  </si>
  <si>
    <t>SUBSTITUIÇÃO DOS RELÉS AUXILIARES DO DISJUNTOR 15D2.</t>
  </si>
  <si>
    <t>0006266/2020</t>
  </si>
  <si>
    <t>SUBSTITUIÇÃO DOS RELÉS AUXILIARES DO DISJUNTOR 15T2.</t>
  </si>
  <si>
    <t>0006261/2020</t>
  </si>
  <si>
    <t>SUBSTITUIR O TRANSFORMADOR DE CORRENTE FASE B (MRTF6-02)</t>
  </si>
  <si>
    <t>0006271/2020</t>
  </si>
  <si>
    <t>SUBSTITUIÇÃO DOS RELÉS AUXILIARES DO DISJUNTOR RGDB6-01.</t>
  </si>
  <si>
    <t>FT MG 500 kV RIB.GONCALVES MG3 PI</t>
  </si>
  <si>
    <t>0006270/2020</t>
  </si>
  <si>
    <t>ARARAQUARA 2</t>
  </si>
  <si>
    <t>Instalação de sistemas de monitoramento on-line de gases dissolvido no óleo, no transformador TF2Y FASE C da subestação Araraquara II, em Araraquara - SP.</t>
  </si>
  <si>
    <t>POLO 2 CC SE ARARAQUARA 2 CV2 SP</t>
  </si>
  <si>
    <t>0007118/2019</t>
  </si>
  <si>
    <t>Instalação cabo OPGW</t>
  </si>
  <si>
    <t>0007120/2019</t>
  </si>
  <si>
    <t>Instalação de sistemas de monitoramento on-line de gases dissolvido no óleo, no transformador TF2Y FASE B da subestação Araraquara II, em Araraquara - SP.</t>
  </si>
  <si>
    <t>0007114/2019</t>
  </si>
  <si>
    <t>C.PORTO VELHO</t>
  </si>
  <si>
    <t>Instalação de sistema de monitoramento de temperatura de óleo e enrolamento digital, no transformador CTTF-05-FASE A da subestação Coletora, em Porto Velho RO.</t>
  </si>
  <si>
    <t>POLO 2 500 kV C.PORTO VELHO CV5 RO</t>
  </si>
  <si>
    <t>0007122/2019</t>
  </si>
  <si>
    <t>CASTANHAL</t>
  </si>
  <si>
    <t>Ampliação e modernização da rede de cabos ópticos da Eletronorte</t>
  </si>
  <si>
    <t>FT LT 230 kV CASTANHAL /SANTA MARIA C-2 PA</t>
  </si>
  <si>
    <t>0007135/2019</t>
  </si>
  <si>
    <t>Instalação de sistema de monitoramento de temperatura de óleo e enrolamento digital, no transformador CTTF-05-FASE V da subestação Coletora, em Porto Velho RO.</t>
  </si>
  <si>
    <t>0007133/2019</t>
  </si>
  <si>
    <t>Instalação de sistema de monitoramento de temperatura de óleo e enrolamento digital, no transformador CTTF-06-FASE B da subestação Coletora, em Porto Velho RO.</t>
  </si>
  <si>
    <t>POLO 1 500 kV C.PORTO VELHO CV6 RO</t>
  </si>
  <si>
    <t>0007139/2019</t>
  </si>
  <si>
    <t>Instalação de sistemas de sistema de monitoramento de temperatura de óleo e enrolamento digital, no transformador CTTF-05-FASE B da subestação Coletora, em Porto Velho RO.</t>
  </si>
  <si>
    <t>0007129/2019</t>
  </si>
  <si>
    <t>Instalação de sistema de monitoramento de temperatura de óleo e enrolamento digital, no transformador CTTF-06-FASE V da subestação Coletora, em Porto Velho RO.</t>
  </si>
  <si>
    <t>0007145/2019</t>
  </si>
  <si>
    <t>Instalação de sistema de monitoramento de temperatura de óleo e enrolamento digital, no transformador CTTF-06-FASE A da subestação Coletora, em Porto Velho RO.</t>
  </si>
  <si>
    <t>0007137/2019</t>
  </si>
  <si>
    <t>Instalação de sistema de monitoramento de temperatura de óleo e enrolamento digital, no transformador CTTF-11 da subestação Coletora, em Porto Velho RO.</t>
  </si>
  <si>
    <t>CV 37,8 KV BTB PORTO VELHO POLO 2</t>
  </si>
  <si>
    <t>0007165/2019</t>
  </si>
  <si>
    <t>Instalação de sistemas de sistema de monitoramento de temperatura de óleo e enrolamento digital, no transformador CTTF-08  da subestação Coletora, em Porto Velho RO.</t>
  </si>
  <si>
    <t>CV 37,8 KV BTB PORTO VELHO POLO 1</t>
  </si>
  <si>
    <t>0007151/2019</t>
  </si>
  <si>
    <t>SUBSTITUIÇÃO DO SISTEMA DE PROTEÇÃO DO TERMINAL AGL DA LT 04M3 AGL/RCD 230KV</t>
  </si>
  <si>
    <t>FT LT 230 kV ANGELIM /RECIFE II C-2 PE</t>
  </si>
  <si>
    <t>0007167/2019</t>
  </si>
  <si>
    <t>Instalação de sistema de monitoramento de temperatura de óleo e enrolamento digital, no transformador CTTF-10 da subestação Coletora, em Porto Velho RO.</t>
  </si>
  <si>
    <t>0007161/2019</t>
  </si>
  <si>
    <t>LT 230 kV TUCURUI /ALTAMIRA C-1 PA</t>
  </si>
  <si>
    <t>0007168/2019</t>
  </si>
  <si>
    <t>Instalação de sistema de monitoramento de temperatura de óleo e enrolamento digital, no transformador CTTF-12 da subestação Coletora, em Porto Velho RO.</t>
  </si>
  <si>
    <t>MG C.PORTO VELHO / CCO-2009-012 - RB</t>
  </si>
  <si>
    <t>0007170/2019</t>
  </si>
  <si>
    <t>0007163/2019</t>
  </si>
  <si>
    <t>Instalação de sistema de monitoramento de temperatura de óleo e enrolamento digital, no transformador CTTF-07 da subestação Coletora, em Porto Velho RO.</t>
  </si>
  <si>
    <t>MG C.PORTO VELHO / CCO-2009-010 - RB</t>
  </si>
  <si>
    <t>0007149/2019</t>
  </si>
  <si>
    <t>Instalação de sistema de monitoramento de temperatura de óleo e enrolamento digital, no transformador CTTF-09 da subestação Coletora, em Porto Velho RO.</t>
  </si>
  <si>
    <t>0007157/2019</t>
  </si>
  <si>
    <t>LT 500 kV TUCURUI /VILA DO CONDE C-1 PA</t>
  </si>
  <si>
    <t>0007178/2019</t>
  </si>
  <si>
    <t>BOA VISTA</t>
  </si>
  <si>
    <t>SUBSTITUIÇÃO DE QUADROS , SUBQUADROS E DO SISTEMA DE PROTEÇÃO,  MEDIÇÃO, CONTROLE E SUPERVISÃO DOS SERVIÇO AUXILIAR 125 VCC DA SE BOA VISTA</t>
  </si>
  <si>
    <t>MG BOA VISTA / CCO-2001-058 - RB</t>
  </si>
  <si>
    <t>0007186/2019</t>
  </si>
  <si>
    <t>SUBSTITUIÇÃO DE QUADROS , SUBQUADROS E DO SISTEMA PROTEÇÃO,  MEDIÇÃO, CONTROLE E SUPERVISÃO DOS SERVIÇO AUXILIAR 380 VAC DA SE BOA VISTA</t>
  </si>
  <si>
    <t>0007179/2019</t>
  </si>
  <si>
    <t>Instalação de sistema de monitoramento de temperatura de óleo e enrolamento digital, no transformador TF1Y FASE B da subestação Araraquara II, em Araraquara - SP.</t>
  </si>
  <si>
    <t>POLO 1 CC SE ARARAQUARA 2 CV1 SP</t>
  </si>
  <si>
    <t>0007187/2019</t>
  </si>
  <si>
    <t>Instalação de sistema de monitoramento de temperatura de óleo e enrolamento digital, no transformador TF1D FASE A da subestação Araraquara II, em Araraquara - SP.</t>
  </si>
  <si>
    <t>0007173/2019</t>
  </si>
  <si>
    <t>Instalação de sistema de monitoramento de temperatura de óleo e enrolamento digital, no transformador TF1D FASE B da subestação Araraquara II, em Araraqiara - SP.</t>
  </si>
  <si>
    <t>0007176/2019</t>
  </si>
  <si>
    <t>Instalação de sistema de monitoramento de temperatura de óleo e enrolamento digital, no transformador TF1D FASE C da subestação Araraquara II, em Araraquara - SP.</t>
  </si>
  <si>
    <t>0007184/2019</t>
  </si>
  <si>
    <t>0007182/2019</t>
  </si>
  <si>
    <t>Instalação de sistema de monitoramento de temperatura de óleo e enrolamento digital, no transformador TF2D FASE A da subestação Araraquara II, em Araraquara - SP.</t>
  </si>
  <si>
    <t>0007196/2019</t>
  </si>
  <si>
    <t>Instalação de sistema de monitoramento de temperatura de óleo e enrolamento digital, no transformador TF2D FASE B da subestação Araraquara II, em Araraquara - SP.</t>
  </si>
  <si>
    <t>0007201/2019</t>
  </si>
  <si>
    <t>SUBSTITUIÇÃO DO SISTEMA DE PROTEÇÃO DO TRAFO 04T3 230/69kV SE AGL</t>
  </si>
  <si>
    <t>FT TR 230/69 kV ANGELIM TR3 PE</t>
  </si>
  <si>
    <t>0007198/2019</t>
  </si>
  <si>
    <t>Instalação de sistema de monitoramento de temperatura de óleo e enrolamento digital, no transformador TF1Y FASE A da subestação Araraquara II, em Araraquara - SP.</t>
  </si>
  <si>
    <t>0007193/2019</t>
  </si>
  <si>
    <t>Instalaçãode sistema de monitoramento de temperatura de óleo e enrolamento digital, no transformador TF2D FASE C  da subestação Araraquara II, em Araraquara - SP.</t>
  </si>
  <si>
    <t>0007206/2019</t>
  </si>
  <si>
    <t>Instalação de sistema de monitoramento de temperatura de óleo e enrolamento digital, no transformador TF1Y FASE C da subestação Araraquara II, em Araraquara - SP.</t>
  </si>
  <si>
    <t>0007190/2019</t>
  </si>
  <si>
    <t>SUBSTITUIÇÃO DO SISTEMA DE PROTEÇÃO DO TRAFO 04T5 230/69kV SE AGL</t>
  </si>
  <si>
    <t>FT TR 230/69 kV ANGELIM TR5 PE</t>
  </si>
  <si>
    <t>0007203/2019</t>
  </si>
  <si>
    <t>Instalação de sistema de monitoramento de temperatura de óleo e enrolamento digital, no transformador TF2Y FASE A da subestação Araraquara II, em Araraquara - SP.</t>
  </si>
  <si>
    <t>0007209/2019</t>
  </si>
  <si>
    <t>SUBSTITUIÇÃO DO SISTEMA DE PROTEÇÃO DO TRAFO 04T6 230/69kV SE AGL</t>
  </si>
  <si>
    <t>FT TR 230/69 kV ANGELIM TR6 PE</t>
  </si>
  <si>
    <t>0007208/2019</t>
  </si>
  <si>
    <t>SUBSTITUIÇÃO DO SISTEMA DE PROTEÇÃO DO TERMINAL TAC DA LT 04M4 TAC/AGL 230KV</t>
  </si>
  <si>
    <t>FT LT 230 kV ANGELIM /TACAIMBO C-1 PE</t>
  </si>
  <si>
    <t>0007224/2019</t>
  </si>
  <si>
    <t>Instalação de sistema de monitoramento de temperatura de óleo e enrolamento digital, no transformador TF2Y FASE B da subestação Araraquara II, em Araraquara - SP.</t>
  </si>
  <si>
    <t>0007213/2019</t>
  </si>
  <si>
    <t>Instalação de sistema de monitoramento de temperatura de óleo e enrolamento digital, no transformador TF2Y FASE C da subestação Araraquara II, em Araraquara - SP.</t>
  </si>
  <si>
    <t>0007214/2019</t>
  </si>
  <si>
    <t>SUBSTITUIÇÃO DO SISTEMA DE PROTEÇÃO DO TERMINAL TAC DA LT 04M5 TAC/AGL 230KV</t>
  </si>
  <si>
    <t>FT LT 230 kV ANGELIM /TACAIMBO C-2 PE</t>
  </si>
  <si>
    <t>0007228/2019</t>
  </si>
  <si>
    <t>MESSIAS</t>
  </si>
  <si>
    <t>SUBSTITUIÇÃO DO SISTEMA DE PROTEÇÃO DO TERMINAL MSI DA LT 04M7 MSI/AGL 230KV</t>
  </si>
  <si>
    <t>FT LT 230 kV ANGELIM /MESSIAS C-1 PE/AL</t>
  </si>
  <si>
    <t>0007279/2019</t>
  </si>
  <si>
    <t>RIBEIRAO</t>
  </si>
  <si>
    <t>SUBSTITUIÇÃO DO SISTEMA DE PROTEÇÃO DO TERMINAL RIB DA LT 04S1 RIB/AGL 230KV</t>
  </si>
  <si>
    <t>FT LT 230 kV ANGELIM /RIBEIRAO C-2 PE</t>
  </si>
  <si>
    <t>0007305/2019</t>
  </si>
  <si>
    <t>SUBSTITUIÇÃO DO SISTEMA DE PROTEÇÃO DO TERMINAL MSI DA LT 04M9 MSI/AGL 230KV</t>
  </si>
  <si>
    <t>FT LT 230 kV ANGELIM /MESSIAS C-3 PE/AL</t>
  </si>
  <si>
    <t>0007293/2019</t>
  </si>
  <si>
    <t>SUBSTITUIÇÃO DO SISTEMA DE PROTEÇÃO DO TERMINAL MSI DA LT 04M8 MSI/AGL 230KV</t>
  </si>
  <si>
    <t>FT LT 230 kV ANGELIM /MESSIAS C-2 PE/AL</t>
  </si>
  <si>
    <t>0007286/2019</t>
  </si>
  <si>
    <t>Implantação de Barra de Transferência e Painéis de Plugue no setor de 345kV e 138kV da SE Campinas.</t>
  </si>
  <si>
    <t>MG CAMPINAS / CCO-2001-062 - RB</t>
  </si>
  <si>
    <t>0007320/2019</t>
  </si>
  <si>
    <t>Substituição de equipamentos</t>
  </si>
  <si>
    <t>0007459/2019</t>
  </si>
  <si>
    <t>Painéis de Distribuição do serviço auxiliar de 220VCA.</t>
  </si>
  <si>
    <t>0007455/2019</t>
  </si>
  <si>
    <t>SUBSTITUIÇÃO DO SISTEMA DE PROTEÇÃO DO TRAFO 04T4 230/69kV.</t>
  </si>
  <si>
    <t>FT TR 230/69 kV C.GRANDE II TR4 PB</t>
  </si>
  <si>
    <t>0007457/2019</t>
  </si>
  <si>
    <t>SUBSTITUIÇÃO DO SISTEMA DE PROTEÇÃO DO TRAFO 04T3 230/69kV.</t>
  </si>
  <si>
    <t>FT TR 230/69 kV C.GRANDE II TR3 PB</t>
  </si>
  <si>
    <t>0007462/2019</t>
  </si>
  <si>
    <t>TUCURUI VILA</t>
  </si>
  <si>
    <t>Substituição de painéis de 125Vcc com vida útil esgotada</t>
  </si>
  <si>
    <t>MG 69 kV TUCURUI VILA MG1 PA</t>
  </si>
  <si>
    <t>0007473/2019</t>
  </si>
  <si>
    <t xml:space="preserve">SUB TUCURUÍ-VILA - </t>
  </si>
  <si>
    <t xml:space="preserve">MG 69 kV TUCURUI VILA MG1 PA </t>
  </si>
  <si>
    <t>0007471/2019</t>
  </si>
  <si>
    <t>SUB C.GRANDE II - 69</t>
  </si>
  <si>
    <t>SUBSTITUIÇÃO DO SISTEMA DE PROTEÇÃO DE 01 TERMINAL DE LT 02J1  CGD/CATOLÉ 69KV.</t>
  </si>
  <si>
    <t>LT 69 kV C.GRANDE II / CATOLE 02J1</t>
  </si>
  <si>
    <t>0007486/2019</t>
  </si>
  <si>
    <t>SUBSTITUIÇÃO DO SISTEMA DE PROTEÇÃO DE 01 TERMINAL DE LT 02J4  CGD/BVT 69KV.</t>
  </si>
  <si>
    <t>LT 69 kV C.GRANDE II / BVT 02J4</t>
  </si>
  <si>
    <t>0007507/2019</t>
  </si>
  <si>
    <t>SUBSTITUIÇÃO DO SISTEMA DE PROTEÇÃO DE 01 TERMINAL DE LT 02J2  CGD/AEROCLUBE 69KV.</t>
  </si>
  <si>
    <t>LT 69 kV C.GRANDE II / AEROCLUBE 02J2</t>
  </si>
  <si>
    <t>0007496/2019</t>
  </si>
  <si>
    <t>Substituição do conjunto de cadeias de isoladores de mesma classe de tensão, tipo, material e composição das estr: 000/1;001/1;001/2;001/3;001/3A;001/3B;002/1;002/2;002/3;002/4;003/1;003/2;004/1;004/2;004/3;005/1;005/2;006/1;006/2;007/1;007/2;007/3;008/1;008/2;009/1;009/2;010/1;010/2;010/3 = 29 Estr</t>
  </si>
  <si>
    <t>FT LT 230 kV C.GRANDE II /PARAISO C-1 PB/RN</t>
  </si>
  <si>
    <t>0007502/2019</t>
  </si>
  <si>
    <t>SUBSTITUIÇÃO DO SISTEMA DE PROTEÇÃO DE 01 TERMINAL DE LT 02J3  CGD/BORBOREMA 69KV.</t>
  </si>
  <si>
    <t>LT 69 kV C.GRANDE II / BORBOREMA 02J3</t>
  </si>
  <si>
    <t>0007499/2019</t>
  </si>
  <si>
    <t>SUBSTITUIÇÃO DO SISTEMA DE PROTEÇÃO DE 01 TERMINAL DE LT 02J7  CGD/AROEIRAS 69KV.</t>
  </si>
  <si>
    <t>LT 69 kV C.GRANDE II / AROEIRAS 02J7</t>
  </si>
  <si>
    <t>0007532/2019</t>
  </si>
  <si>
    <t>SUBSTITUIÇÃO DO SISTEMA DE PROTEÇÃO DE 01 TERMINAL DE LT 02J6  CGD/BOQUEIRÃO 69KV.</t>
  </si>
  <si>
    <t>LT 69 kV C.GRANDE II / BOQUEIRAO 02J6</t>
  </si>
  <si>
    <t>0007522/2019</t>
  </si>
  <si>
    <t>SUBSTITUIÇÃO DO SISTEMA DE PROTEÇÃO DE 01 TERMINAL DE LT 02J5  CGD/EMBRATEX 69KV.</t>
  </si>
  <si>
    <t>LT 69 kV C.GRANDE II / EMBRATEX 02J5</t>
  </si>
  <si>
    <t>0007513/2019</t>
  </si>
  <si>
    <t>SUBSTITUIÇÃO DO SISTEMA DE PROTEÇÃO DE 01 TERMINAL DE LT 02N1  CGD/BOA VISTA 69KV.</t>
  </si>
  <si>
    <t>LT 69 kV C.GRANDE II / BOA VISTA 02N1</t>
  </si>
  <si>
    <t>0007538/2019</t>
  </si>
  <si>
    <t>SUBSTITUIÇÃO DO SISTEMA DE PROTEÇÃO DE 01 TERMINAL DE LT 02N2  CGD/POCINHOS 69KV.</t>
  </si>
  <si>
    <t>LT 69 kV C.GRANDE II / POCINHOS 02N2</t>
  </si>
  <si>
    <t>0007547/2019</t>
  </si>
  <si>
    <t>SUBSTITUIÇÃO DO SISTEMA DE PROTEÇÃO E DISPOSITIVOS AUXILIARES DO TRAFO DE ATERRAMENTO 02A1 CGD 69KV</t>
  </si>
  <si>
    <t xml:space="preserve">TT 69kV C. GRANDE II 02A1 </t>
  </si>
  <si>
    <t>0007575/2019</t>
  </si>
  <si>
    <t>SUBSTITUIÇÃO DO SISTEMA DE PROTEÇÃO E DISPOSITIVOS AUXILIARES DO BANCO DE CAPACITORES 02H2 CGD 69KV</t>
  </si>
  <si>
    <t>BC 69kV C. GRANDE II 02H2</t>
  </si>
  <si>
    <t>0007588/2019</t>
  </si>
  <si>
    <t>0007585/2019</t>
  </si>
  <si>
    <t>SUBSTITUIÇÃO DO SISTEMA DE PROTEÇÃO DE 01 VÃO DE TRANSFERÊNCIA 12D1 SE CGD 69KV</t>
  </si>
  <si>
    <t>FT MG 230 kV C.GRANDE II MG1 PB</t>
  </si>
  <si>
    <t>0007570/2019</t>
  </si>
  <si>
    <t>SUBSTITUIÇÃO DO SISTEMA DE PROTEÇÃO E DISPOSITIVOS AUXILIARES DO BANCO DE CAPACITORES 02H1 CGD 69KV</t>
  </si>
  <si>
    <t>BC 69kV C. GRANDE II 02H1</t>
  </si>
  <si>
    <t>0007580/2019</t>
  </si>
  <si>
    <t>SUBSTITUIÇÃO DO SISTEMA DE PROTEÇÃO DO TRAFO 02T7 69/13,8kV.</t>
  </si>
  <si>
    <t>TR 69/13,8 kV C. GRANDE II PB</t>
  </si>
  <si>
    <t>0007591/2019</t>
  </si>
  <si>
    <t>Substituição do conjunto de cadeias de isoladores de mesma classe de tensão, tipo, material e composição das estr: 005/2D;005/1D;004/2D;004/1D;003/2D;003/1D;002/2D;002/1D;001/3D;001/2D;001/1D;007/1;007/2;008/1;008/2;008/3;009/1;009/2;010/1;010/2;011/1;011/2;012/1;012/2;013/1;013/2;014/1 = 27 Estr</t>
  </si>
  <si>
    <t>0007643/2019</t>
  </si>
  <si>
    <t>COREMAS</t>
  </si>
  <si>
    <t>SUBSTITUIÇÃO DO SISTEMA DE PROTEÇÃO DO TRAFO 04T1 230/69kV.</t>
  </si>
  <si>
    <t>FT TR 230/69 kV COREMAS TR1 PB</t>
  </si>
  <si>
    <t>0007629/2019</t>
  </si>
  <si>
    <t>Substituição do conjunto de cadeias de isoladores de mesma classe de tensão, tipo, material e composição das estr: 014/2;015/1;015/2;016/1;016/2;017/1;017/2;017/3;018/1;018/2;019/1;019/2;020/1;020/2;020/3;021/1;021/2;022/1;022/2;022/3;023/1;023/2;024/1;025/1;025/2;026/1;026/2;027/1;027/2; = 29 Estr</t>
  </si>
  <si>
    <t>0007648/2019</t>
  </si>
  <si>
    <t>Substituição do conjunto de cadeias de isoladores de mesma classe de tensão, tipo, material e composição das estr: 041/3;042/1;042/2;043/1;043/2;044/1;044/2;045/1;045/2;046/1;046/2;047/1;047/2;048/1;048/2;049/1;049/2;050/1;050/2;051/1;051/2;052/1;052/2;053/1;053/2;054/1;054/2;055/1;056/1; = 29 Estr</t>
  </si>
  <si>
    <t>0007661/2019</t>
  </si>
  <si>
    <t>Substituição do conjunto de cadeias de isoladores de mesma classe de tensão, tipo, material e composição das estr: 028/1;028/2;028/3;028/4;029/1;030/1;030/2;031/1;031/2;031/3;032/1;032/2;033/1;033/2;034/1;034/2;035/1;035/2;036/1;036/2;037/1;037/2;038/1;039/1;039/2;040/1;040/2;041/1;041/2; = 29 Estr</t>
  </si>
  <si>
    <t>0007653/2019</t>
  </si>
  <si>
    <t>SUBSTITUIÇÃO DO SISTEMA DE PROTEÇÃO DO TRAFO 04T2 230/69kV.</t>
  </si>
  <si>
    <t>FT TR 230/69 kV COREMAS TR2 PB</t>
  </si>
  <si>
    <t>0007672/2019</t>
  </si>
  <si>
    <t>Substituição do conjunto de cadeias de isoladores de mesma classe de tensão, tipo, material e composição das estr: 071/2;072/1;072/2;073/1;073/2;074/1;074/2;075/1;075/2;076/1;077/1;077/2;078/1;078/2;079/1;079/2;080/1;081/1;081/2;082/1;082/2;083/1;083/2;084/1;085/1;085/2;086/1;086/2;087/1; = 29 Estr</t>
  </si>
  <si>
    <t>0007682/2019</t>
  </si>
  <si>
    <t>Substituição do conjunto de cadeias de isoladores de mesma classe de tensão, tipo, material e composição das estr: 056/2;056/3;057/1;058/1;058/2;059/1;059/2;060/1;060/2;061/1;062/1;062/2;063/1;063/2;064/1;065/1;065/2;065/3;066/1;066/2;067/1;068/1;068/2;068/3;069/1;069/2;070/1;070/2;071/1; = 29 Estr</t>
  </si>
  <si>
    <t>0007667/2019</t>
  </si>
  <si>
    <t>SUBSTITUIÇÃO DO SISTEMA DE PROTEÇÃO DE 01 TERMINAL DE LT 02J2  CMA/POMBAL 69KV.</t>
  </si>
  <si>
    <t>LT 69 kV COREMAS / POMBAL 02J2</t>
  </si>
  <si>
    <t>0007680/2019</t>
  </si>
  <si>
    <t>Substituição do conjunto de cadeias de isoladores de mesma classe de tensão, tipo, material e composição das estr: 087/2;088/1;089/1;089/2;090/1;090/2;091/1;091/2;092/1;092/2;093/1;093/2;094/1;094/2;095/1;096/1;096/2;096/3;097/1;098/1;098/2;099/1;099/2;100/1;100/2 = 25 Estr</t>
  </si>
  <si>
    <t>0007686/2019</t>
  </si>
  <si>
    <t>SUBSTITUIÇÃO DO SISTEMA DE PROTEÇÃO DE 01 TERMINAL DE LT 02J1  CMA/POMBAL 69KV.</t>
  </si>
  <si>
    <t>LT 69 kV COREMAS / POMBAL 02J1</t>
  </si>
  <si>
    <t>0007678/2019</t>
  </si>
  <si>
    <t>SUBSTITUIÇÃO DO SISTEMA DE PROTEÇÃO DE 01 TERMINAL DE LT 02J3 CMA/MALTA 69KV.</t>
  </si>
  <si>
    <t>LT 69 kV COREMAS / MALTA 02J3</t>
  </si>
  <si>
    <t>0007687/2019</t>
  </si>
  <si>
    <t>SUBSTITUIÇÃO DO SISTEMA DE PROTEÇÃO DE 01 TERMINAL DE LT 02J9  CMA/DVS 69KV.</t>
  </si>
  <si>
    <t>LT 69 kV COREMAS / DVS 02J9</t>
  </si>
  <si>
    <t>0007697/2019</t>
  </si>
  <si>
    <t>SUBSTITUIÇÃO DO SISTEMA DE PROTEÇÃO DE 01 TERMINAL DE LT 02J5  CMA/CRM 69KV.</t>
  </si>
  <si>
    <t>LT 69 kV COREMAS / CRM 02J5</t>
  </si>
  <si>
    <t>0007691/2019</t>
  </si>
  <si>
    <t>LT 230 kV C.GRANDE III /NATAL III PB/RN - 230</t>
  </si>
  <si>
    <t>Substituição do conjunto de cadeias de isoladores de mesma classe de tensão, tipo, material e composição das estr: 023/2; 024/1; 025/1; 025/2; 026/1; 026/2; 027/1; 027/2; 028/1; 028/2; 028/3; 028/4; 029/1; 030/1; 030/2; 031/1; 031/2; 031/3; 032/1; 032/2; 033/1; 033/2; 034/1; 034/2; 035/1 = 25 Estr</t>
  </si>
  <si>
    <t>FT LT 230 kV C.GRANDE III /NATAL III C-1 PB/RN</t>
  </si>
  <si>
    <t>0007696/2019</t>
  </si>
  <si>
    <t>Substituição do conjunto de cadeias de isoladores de mesma classe de tensão, tipo, material e composição das estr: 012/2; 013/1; 013/2; 014/1; 014/2; 015/1; 015/2; 016/1; 016/2; 017/1; 017/2; 017/3; 018/1; 018/2; 019/1; 019/2; 020/1; 020/2; 020/3; 021/1; 021/2; 022/1; 022/2; 022/3; 023/1 = 25 Estr</t>
  </si>
  <si>
    <t>0007694/2019</t>
  </si>
  <si>
    <t>SUBSTITUIÇÃO DO SISTEMA DE PROTEÇÃO DE 01 TERMINAL DE LT 02J4 CMA/MALTA 69KV.</t>
  </si>
  <si>
    <t>LT 69 kV COREMAS / MALTA 02J4</t>
  </si>
  <si>
    <t>0007689/2019</t>
  </si>
  <si>
    <t>SUBSTITUIÇÃO DO SISTEMA DE PROTEÇÃO DE 01 VÃO DE TRANSFERÊNCIA 12D1 SE CMA 69KV</t>
  </si>
  <si>
    <t>FT MG 230 kV COREMAS MG1 PB</t>
  </si>
  <si>
    <t>0007699/2019</t>
  </si>
  <si>
    <t>Substituição do conjunto de cadeias de isoladores de mesma classe de tensão, tipo, material e composição das estr: 005/2D;005/1D; 004/2D; 004/1D; 003/2D; 003/1D; 002/2D; 002/1D; 001/3D; 001/2D; 001/1D; 007/1; 007/2; 008/1; 008/2; 008/3; 009/1; 009/2; 010/1; 010/2; 011/1; 011/2; 012/1 = 23 Estr</t>
  </si>
  <si>
    <t>0007690/2019</t>
  </si>
  <si>
    <t>Substituição do conjunto de cadeias de isoladores de mesma classe de tensão, tipo, material e composição das estr: 035/2; 036/1; 036/2; 037/1; 037/2; 038/1; 039/1; 039/2; 040/1; 040/2; 041/1; 041/2; 041/3; 042/1; 042/2; 043/1; 043/2; 044/1; 044/2; 045/1; 045/2; 046/1; 046/2; 047/1; 047/2 = 25 Estr</t>
  </si>
  <si>
    <t>0007698/2019</t>
  </si>
  <si>
    <t>SUBSTITUIÇÃO DO SISTEMA DE PROTEÇÃO DE 01 TERMINAL DE LT 02J6  CMA/PIANCO 69KV.</t>
  </si>
  <si>
    <t>LT 69 kV COREMAS / PIANCO 02J6</t>
  </si>
  <si>
    <t>0007693/2019</t>
  </si>
  <si>
    <t>SUBSTITUIÇÃO DO SISTEMA DE PROTEÇÃO DE 01 TERMINAL DE LT 02J8  CMA/SÃO GONCALO 69KV.</t>
  </si>
  <si>
    <t>LT 69 kV COREMAS / SÃO GONCALO 02J8</t>
  </si>
  <si>
    <t>0007695/2019</t>
  </si>
  <si>
    <t>Substituição do conjunto de cadeias de isoladores de mesma classe de tensão, tipo, material e composição das estr: 048/1; 048/2; 049/1; 049/2; 050/1; 050/2; 051/1; 051/2; 052/1; 052/2; 053/1; 053/2; 054/1; 054/2; 055/1; 056/1; 056/2; 056/3; 057/1; 058/1; 058/2; 059/1; 059/2; 060/1; 060/2 = 25 Estr</t>
  </si>
  <si>
    <t>0007700/2019</t>
  </si>
  <si>
    <t>SUBSTITUIÇÃO DO SISTEMA DE PROTEÇÃO E DISPOSITIVOS AUXILIARES DO TRAFO DE ATERRAMENTO 02A1 CMA 69KV</t>
  </si>
  <si>
    <t xml:space="preserve">TT 69kV COREMAS 02A1 </t>
  </si>
  <si>
    <t>0007702/2019</t>
  </si>
  <si>
    <t>SUBSTITUIÇÃO DO SISTEMA DE PROTEÇÃO DO TRAFO 03T9 138/69kV.</t>
  </si>
  <si>
    <t>0007710/2019</t>
  </si>
  <si>
    <t>Substituição do conjunto de cadeias de isoladores de mesma classe de tensão, tipo, material e composição das estr: 061/1; 062/1; 062/2; 063/1; 063/2; 064/1; 065/1; 065/2; 065/3; 066/1; 066/2; 067/1; 068/1; 068/2; 068/3; 069/1; 069/2; 070/1; 070/2; 071/1; 071/2; 072/1; 072/2; 073/1; 073/2 = 25 Estr</t>
  </si>
  <si>
    <t>0007708/2019</t>
  </si>
  <si>
    <t>Substituição do conjunto de cadeias de isoladores de mesma classe de tensão, tipo, material e composição das estr: 074/1; 074/2; 075/1; 075/2; 076/1; 077/1; 077/2; 078/1; 078/2; 079/1; 079/2; 080/1; 081/1; 081/2; 082/1; 082/2; 083/1; 083/2; 084/1; 085/1; 085/2; 086/1; 086/2; 087/1; 087/2 = 25 Estr</t>
  </si>
  <si>
    <t>0007713/2019</t>
  </si>
  <si>
    <t>LT 230 kV PAU FERRO /C.GRANDE II PE/PB - 230</t>
  </si>
  <si>
    <t>Substituição do conjunto de cadeias de isoladores de mesma classe de tensão, tipo, material e composição das estr: 065/1; 065/2; 066/1; 067/1; 068/1; 068/2; 069/1; 069/2; 070/1; 071/1; 071/2; 072/1; 072/2; 073/1; 073/2; 074/1; 074/2; 075/1; 075/2; 075/3; 076/1; 076/2; 077/1; 077/2; 078/1 = 25 Estr</t>
  </si>
  <si>
    <t>FT LT 230 kV PAU FERRO /C.GRANDE II C-2 PE/PB</t>
  </si>
  <si>
    <t>0007718/2019</t>
  </si>
  <si>
    <t>Substituição do conjunto de cadeias de isoladores de mesma classe de tensão, tipo, material e composição das estr: 088/1; 089/1; 089/2; 090/1; 090/2; 091/1; 091/2; 092/1; 092/2; 093/1; 093/2; 094/1; 094/2; 095/1; 096/1; 096/2; 096/3; 097/1; 098/1; 098/2; 099/1; 099/2; 100/1; 100/2 = 24 Estr</t>
  </si>
  <si>
    <t>0007714/2019</t>
  </si>
  <si>
    <t>Substituição do conjunto de cadeias de isoladores de mesma classe de tensão, tipo, material e composição das estr: 078/2; 079/1; 079/2; 079/3; 080/1; 081/1; 082/1; 083/1; 083/2; 083/3; 084/1; 084/2; 085/1; 085/2; 086/1; 086/2; 087/1; 087/2; 088/1; 088/2; 089/1; 089/2; 090/1; 090/2; 091/1 = 25 Estr</t>
  </si>
  <si>
    <t>0007720/2019</t>
  </si>
  <si>
    <t>SUBSTITUIÇÃO DO SISTEMA DE PROTEÇÃO DE 01 VÃO DE TRANSFERÊNCIA 13D1 SE FNL 138KV</t>
  </si>
  <si>
    <t>FT MG 230 kV FUNIL MG1 BA</t>
  </si>
  <si>
    <t>0007715/2019</t>
  </si>
  <si>
    <t>Substituição do conjunto de cadeias de isoladores de mesma classe de tensão, tipo, material e composição das estr: 051/1; 052/1; 052/2; 053/1; 053/2; 053/3; 054/1; 055/1; 055/2; 056/1; 056/2; 057/1; 057/2; 058/1; 059/1; 059/2; 060/1; 060/2; 061/1; 061/2; 062/1; 063/1; 063/2; 063/3; 064/1 = 25 Estr</t>
  </si>
  <si>
    <t>0007716/2019</t>
  </si>
  <si>
    <t>Substituição do conjunto de cadeias de isoladores de mesma classe de tensão, tipo, material e composição das estr: 091/2; 092/1; 093/1; 093/2; 094/1; 094/2; 094/3; 095/1; 095/2; 096/1; 096/2; 097/1; 097/2; 098/1; 098/2; 098/3; 099/1; 099/2; 100/1; 100/2; 101/1; 101/2; 102/1; 102/2; 103/1 = 25 Estr</t>
  </si>
  <si>
    <t>0007721/2019</t>
  </si>
  <si>
    <t>LT 230 kV COTEMINAS /PAU FERRO PB/PE - 230</t>
  </si>
  <si>
    <t>LT 230 kV LAGOA DO CARRO / COTEMINAS C F9 PE/PB</t>
  </si>
  <si>
    <t>0007729/2019</t>
  </si>
  <si>
    <t>Substituição do conjunto de cadeias de isoladores de mesma classe de tensão, tipo, material e composição das estr: 104/1; 104/2; 105/1; 106/1; 106/2; 107/1; 108/1; 108/2; 109/1; 109/2; 110/1; 110/2; 111/1; 111/2; 112/1; 112/2; 113/1; 113/2; 114/1; 115/1; 115/2; 116/1; 116/2; 117/1; 117/2 = 25 Estr</t>
  </si>
  <si>
    <t>0007722/2019</t>
  </si>
  <si>
    <t>0007728/2019</t>
  </si>
  <si>
    <t>Substituição do conjunto de cadeias de isoladores de mesma classe de tensão, tipo, material e composição das estr: 117/3; 118/1; 118/2; 119/1; 119/2; 120/1; 120/2; 120/3; 121/1; 121/2; 122/1; 122/2; 122/3; 123/1; 123/2; 123/3; 124/1; 124/2; 124/3; 124/4; 125/1;125/2;126/1;126/2;126/3;127/1 = 26 Estr</t>
  </si>
  <si>
    <t>0007725/2019</t>
  </si>
  <si>
    <t>Substituição do conjunto de cadeias de isoladores de mesma classe de tensão, tipo, material e composição das estr: 117/3; 118/1; 118/2; 119/1; 119/2; 120/1; 120/2; 120/3; 121/1; 121/2; 122/1; 122/2; 122/3; 123/1; 123/2; 123/3; 124/1; 124/2; 124/3; 124/4; 124/5; 124/6 = 22 Estr</t>
  </si>
  <si>
    <t>0007736/2019</t>
  </si>
  <si>
    <t>SUBSTITUIÇÃO  DO SISTEMA DE PROTEÇÃO DO TRANSFORMADOR 04T3</t>
  </si>
  <si>
    <t>FT TR 230/13,8 kV TERESINA II TRR2 PI</t>
  </si>
  <si>
    <t>0007740/2019</t>
  </si>
  <si>
    <t>0007732/2019</t>
  </si>
  <si>
    <t>0007730/2019</t>
  </si>
  <si>
    <t>0007735/2019</t>
  </si>
  <si>
    <t>Substituição do conjunto de cadeias de isoladores de mesma classe de tensão, tipo, material e composição das estr: 488; 489; 490; 491; 492; 493; 494; 495; 496; 497; 498; 499; 500; 501; 502; 503; 504; 505; 506; 507; 508; 509; 510; 511; 512; 513; 514; 515; 516; 517; 518; 519; 520; 521; 522 = 35 Estr</t>
  </si>
  <si>
    <t>0007756/2019</t>
  </si>
  <si>
    <t>SUBSTITUIÇÃO DO SISTEMA DE PROTEÇÃO DO DISJUNTOR DE TRANSFERÊNCIA DE BARRAS 14D1</t>
  </si>
  <si>
    <t>FT MG 500 kV TERESINA II MG1 PI</t>
  </si>
  <si>
    <t>0007744/2019</t>
  </si>
  <si>
    <t>Substituição do conjunto de cadeias de isoladores de mesma classe de tensão, tipo, material e composição das estr: 523; 524; 525; 526; 527; 528; 529; 530; 531; 532; 533; 534; 535; 536; 537; 538; 539; 540; 541; 542; 543; 544; 545; 546; 547; 548; 549; 550; 551; 552; 553; 554; 555; 556; 557 = 35 Estr</t>
  </si>
  <si>
    <t>0007758/2019</t>
  </si>
  <si>
    <t>Substituição do conjunto de cadeias de isoladores de mesma classe de tensão, tipo, material e composição das estr: 383; 384; 385; 386; 387; 388; 389; 390; 391; 392 ;393; 394; 395; 396; 397; 398; 399; 400; 401; 402; 403; 404; 405; 406; 407; 408; 409; 410; 411; 412; 413; 414; 415; 416; 417 = 35 Estr</t>
  </si>
  <si>
    <t>0007749/2019</t>
  </si>
  <si>
    <t>Substituição do conjunto de cadeias de isoladores de mesma classe de tensão, tipo, material e composição das estr: 348; 349; 350; 351; 352; 353; 354; 355; 356; 357; 358; 359; 360; 361; 362; 363; 364; 365; 366; 367; 368; 369; 370; 371; 372; 373; 374; 375; 376; 377; 378; 379; 380; 381; 382 = 35 Estr</t>
  </si>
  <si>
    <t>0007746/2019</t>
  </si>
  <si>
    <t>Substituição do conjunto de cadeias de isoladores de mesma classe de tensão, tipo, material e composição das estr: 418; 419; 420; 421; 422; 423; 424; 425; 426; 427; 428; 429; 430; 431; 432; 433; 434; 435; 436; 437; 438; 439; 440; 441; 442; 443 ;444; 445; 446; 447; 448; 449; 450; 451; 452 = 35 Estr</t>
  </si>
  <si>
    <t>0007750/2019</t>
  </si>
  <si>
    <t>Substituição do conjunto de cadeias de isoladores de mesma classe de tensão, tipo, material e composição das estr: 453; 454; 455; 456; 457; 458; 459; 460; 461; 462; 463; 464; 465; 466; 467; 468; 469; 470; 471; 472; 473; 474; 475; 476; 477; 478; 479; 480; 481; 482; 483; 484; 485; 486; 487 = 35 Estr</t>
  </si>
  <si>
    <t>0007753/2019</t>
  </si>
  <si>
    <t>Substituição do conjunto de cadeias de isoladores de mesma classe de tensão, tipo, material e composição das estr: 558; 559; 560; 561; 562; 563; 564; 565; 566; 567; 568; 569; 570; 571; 572; 573; 574; 575 ;576; 577; 578; 579; 580 ;581; 582 ;583; 584; 585; 586; 587; 588; 589; 590; 591; 592 = 35 Estr</t>
  </si>
  <si>
    <t>0007760/2019</t>
  </si>
  <si>
    <t>0007766/2019</t>
  </si>
  <si>
    <t>Substituição do conjunto de cadeias de isoladores de mesma classe de tensão, tipo, material e composição das estr: 593; 594; 595; 596; 597; 598; 599; 599A; 600; 606; 607 = 11 Estr.</t>
  </si>
  <si>
    <t>0007762/2019</t>
  </si>
  <si>
    <t>0007771/2019</t>
  </si>
  <si>
    <t>0007772/2019</t>
  </si>
  <si>
    <t>0007768/2019</t>
  </si>
  <si>
    <t xml:space="preserve">SUBSTITUIÇÃO DO SISTEMA DE PROTEÇÃO E DO CONTROLADOR LÓGICO PROGRAMÁVEL DO TRAFO 05T1 </t>
  </si>
  <si>
    <t>FT TR 500/230 kV TERESINA II TR1 PI</t>
  </si>
  <si>
    <t>0007769/2019</t>
  </si>
  <si>
    <t>SUBSTITUIÇÃO  DO SISTEMA DE PROTEÇÃO E DO CONTROLADOR LÓGICO PROGRAMÁVEL DO TRAFO 05T2</t>
  </si>
  <si>
    <t>FT TR 500/230 kV TERESINA II TR2 PI</t>
  </si>
  <si>
    <t>0007773/2019</t>
  </si>
  <si>
    <t>SUBSTITUIÇÃO DO SISTEMA DE PROTEÇÃO DE 01 TERMINAL DE LT 05V9</t>
  </si>
  <si>
    <t>LT 500 KV TERESINA II / TIANGUA II C-1 PI/CE</t>
  </si>
  <si>
    <t>0007785/2019</t>
  </si>
  <si>
    <t>0007778/2019</t>
  </si>
  <si>
    <t>SUBSTITUIÇÃO DO SISTEMA DE PROTEÇÃO DO TERMINAL MCO DA LT 04S6 MCO/MSI 230KV</t>
  </si>
  <si>
    <t>0007788/2019</t>
  </si>
  <si>
    <t>SUBSTITUIÇÃO DO SISTEMA DE PROTEÇÃO E CONTROLE DO DISJUNTOR DE TRANSFERÊNCIA 14D1  230KV</t>
  </si>
  <si>
    <t>FT MG 230 kV MACEIO MG1 AL</t>
  </si>
  <si>
    <t>0007793/2019</t>
  </si>
  <si>
    <t>SUBSTITUIÇÃO DO SISTEMA DE PROTEÇÃO DO TERMINAL MCO DA LT 04S7 MCO/MSI 230KV</t>
  </si>
  <si>
    <t>0007790/2019</t>
  </si>
  <si>
    <t>Substituição do conjunto de cadeias de isoladores de mesma classe de tensão, tipo, material e composição das estr: 558; 559; 560; 561; 562; 563; 564; 565; 566; 567; 568; 569; 570; 571; 572; 573; 574; 575; 576; 577; 578; 579; 580; 581; 582; 583; 584; 585; 586; 587; 588; 589; 590; 591; 592 = 35 Estr</t>
  </si>
  <si>
    <t>0007804/2019</t>
  </si>
  <si>
    <t>Substituição do conjunto de cadeias de isoladores de mesma classe de tensão, tipo, material e composição das estr: 593; 594; 595; 596; 597; 598; 599; 600; 601; 602; 603; 604; 604A; 605; 606; 607 = 16 Estr</t>
  </si>
  <si>
    <t>0007805/2019</t>
  </si>
  <si>
    <t>0007803/2019</t>
  </si>
  <si>
    <t>MILAGRES</t>
  </si>
  <si>
    <t xml:space="preserve">Substituição de 120km cabo pararaio por cabo OPGW para atendimento a SE COREMAS  </t>
  </si>
  <si>
    <t>FT LT 230 kV MILAGRES /TAUA II C-1 CE</t>
  </si>
  <si>
    <t>0007879/2019</t>
  </si>
  <si>
    <t>Revitalização para serviços de tratamento e pintura anticorrosiva nos Vasos de Pressão do disjuntor CODJ7-16 instalados na Subestação de Colinas  associado a função Reatores 500KV CORE7-04</t>
  </si>
  <si>
    <t>RT 500 kV 136 Mvar COLINAS RT4 TO</t>
  </si>
  <si>
    <t>0008032/2019</t>
  </si>
  <si>
    <t>Revitalização do sistema de Excitação do Compensador Síncrono 01-PDCS2-01 com substituição de componentes da ponte de Tiristores  da máquina 01 - associado a função COMPENSADOR SÍNCRONO PDCS2-01</t>
  </si>
  <si>
    <t>0008038/2019</t>
  </si>
  <si>
    <t>Revitalização do sistema de Excitação do Compensador Síncrono 02 - PDCS2-02 com substituição de componentes da ponte de Tiristores  da máquina 02 - associado a função COMPENSADOR SÍNCRONO PDCS2-02</t>
  </si>
  <si>
    <t>0008046/2019</t>
  </si>
  <si>
    <t>SUBSTITUIÇÃO DE 14 CADEIAS DE ISOLADORES DE VIDRO POR ISOLADORES POLIMERICOS</t>
  </si>
  <si>
    <t>0008075/2019</t>
  </si>
  <si>
    <t>SUBSTITUIÇÃO DE 47 CADEIAS DE ISOLADORES DE VIDRO POR ISOLADORES POLIMERICOS</t>
  </si>
  <si>
    <t>0008146/2019</t>
  </si>
  <si>
    <t>SUBSTITUIÇÃO DE 58 CADEIAS DE ISOLADORES DE VIDRO POR ISOLADORES POLIMERICOS</t>
  </si>
  <si>
    <t>LT 230 kV CARAJAS /MARABA C-1 PA</t>
  </si>
  <si>
    <t>0008250/2019</t>
  </si>
  <si>
    <t>Aquisição de Transformador de Potencial Capacitivo de 230 KV, Fase A.</t>
  </si>
  <si>
    <t>FT LT 230 kV SAMUEL /PORTO VELHO C-2 RO</t>
  </si>
  <si>
    <t>0008251/2019</t>
  </si>
  <si>
    <t>ALTAMIRA</t>
  </si>
  <si>
    <t>SUBSTITUIÇÃO DE 28 CADEIAS DE ISOLADORES DE VIDRO POR ISOLADORES POLIMERICOS</t>
  </si>
  <si>
    <t>LT 230 kV ALTAMIRA /TRANSAMAZONIC C-1 PA</t>
  </si>
  <si>
    <t>0008264/2019</t>
  </si>
  <si>
    <t>Revitalização geral com substituição de componentes do mecanismo de acionamento de abertura e fechamento de 01(um) Disjuntor de 230KV -(TCDJ6-04)  - associado a função LINHA DE TRANSMISSÃO TCAT-LT6-01</t>
  </si>
  <si>
    <t>0008267/2019</t>
  </si>
  <si>
    <t>RUROPOLIS</t>
  </si>
  <si>
    <t>LT 230 kV RUROPOLIS /TRANSAMAZONIC C-1 PA</t>
  </si>
  <si>
    <t>0008273/2019</t>
  </si>
  <si>
    <t>Aquisição de Transformador de Potencial Capacitivo de 230 KV, fase B</t>
  </si>
  <si>
    <t>0008282/2019</t>
  </si>
  <si>
    <t>Aquisição de CHAVE SECCIONADORA 69 kV</t>
  </si>
  <si>
    <t>FT TR 230/69 kV VILHENA TR1 RO</t>
  </si>
  <si>
    <t>0008277/2019</t>
  </si>
  <si>
    <t>0008287/2019</t>
  </si>
  <si>
    <t>Aquisição de Transformador de Potencial Capacitivo de 230 KV, Fase V.</t>
  </si>
  <si>
    <t>0008291/2019</t>
  </si>
  <si>
    <t>0008304/2019</t>
  </si>
  <si>
    <t>TR 230/69 kV VILHENA TR2 RO</t>
  </si>
  <si>
    <t>0008313/2019</t>
  </si>
  <si>
    <t>Aquisição de CHAVE SECCIONADORA 69KV -  Fases A, B e C</t>
  </si>
  <si>
    <t>0008317/2019</t>
  </si>
  <si>
    <t>Aquisição de CHAVE SECCIONADORA 69KV - Fases A, B e C</t>
  </si>
  <si>
    <t>0008330/2019</t>
  </si>
  <si>
    <t xml:space="preserve">Substituição do Sistema de  Registrador Digital de Perturbações - RDP </t>
  </si>
  <si>
    <t>MG SAMUEL / CCO-2001-058 - RB</t>
  </si>
  <si>
    <t>0008362/2019</t>
  </si>
  <si>
    <t>Substituição de 01 (um) Bobina de Bloqueio, Posição Operacional 64M6, SUB ANGELIM</t>
  </si>
  <si>
    <t>FT LT 230 kV ANGELIM /TACAIMBO C-3 PE</t>
  </si>
  <si>
    <t>0008402/2019</t>
  </si>
  <si>
    <t>Substituição de 01 (um) Bobina de Bloqueio, Posição Operacional 64M8, SUB ANGELIM</t>
  </si>
  <si>
    <t>0008405/2019</t>
  </si>
  <si>
    <t>Substituição de 01 (um) Bobina de Bloqueio, Posição Operacional 64S1, SUB ANGELIM</t>
  </si>
  <si>
    <t>FT LT 230 kV ANGELIM /RIBEIRAO C-1 PE</t>
  </si>
  <si>
    <t>0008406/2019</t>
  </si>
  <si>
    <t>Substituição de 01 (um) Bobina de Bloqueio, Posição Operacional 64S2, SUB ANGELIM</t>
  </si>
  <si>
    <t>FT LT 230 kV ANGELIM /RECIFE II C-1 PE</t>
  </si>
  <si>
    <t>0008410/2019</t>
  </si>
  <si>
    <t>Substituição de 01 (um) Bobina de Bloqueio, Posição Operacional 64M7, SUB ANGELIM</t>
  </si>
  <si>
    <t>0008416/2019</t>
  </si>
  <si>
    <t>Substituição de 01 (um) Bobina de Bloqueio, Posição Operacional 64L1, SUB ANGELIM</t>
  </si>
  <si>
    <t>FT LT 230 kV P.AFONSO III /ANGELIM C-1 AL/PE</t>
  </si>
  <si>
    <t>0008417/2019</t>
  </si>
  <si>
    <t>Substituição de 85,5 km de cabo de fibra ótica da CJIG-LT6-02 e 03 circuito duplo.</t>
  </si>
  <si>
    <t>CJIG-LT6-02 e 03</t>
  </si>
  <si>
    <t>0008431/2019</t>
  </si>
  <si>
    <t>"Realizar o desvio das LTs CJIG-LT6-02 e 03, compreendendo  4 km"</t>
  </si>
  <si>
    <t>0008432/2019</t>
  </si>
  <si>
    <t>SUBSTITUIÇÃO DOS TRANSFORMADORES DE CORRENTE DE 230 KV  - FA, FB e FV.</t>
  </si>
  <si>
    <t>TR 230/69 kV MARABA TF2 PA</t>
  </si>
  <si>
    <t>0008530/2019</t>
  </si>
  <si>
    <t>GUAMA</t>
  </si>
  <si>
    <t>SUSBTITUIÇÃO DOS TRANSFORMADORES DE CORRENTE DE 230 KV  - FA, FB e FV.</t>
  </si>
  <si>
    <t>LT 230 kV GUAMA /UTINGA C-1 PA</t>
  </si>
  <si>
    <t>0008564/2019</t>
  </si>
  <si>
    <t>UTINGA</t>
  </si>
  <si>
    <t>SUBSTITUIÇÃO DO DISJUNTOR UGDJ6 18 DE FABRICAÇÃO ABB TIPO LTB 245 (UGBC6 03)</t>
  </si>
  <si>
    <t>BC 230 kV 55 Mvar UTINGA BC3 PA</t>
  </si>
  <si>
    <t>0008589/2019</t>
  </si>
  <si>
    <t>SUBSTITUIÇÃO DO DISJUNTOR UGDJ6 19 DE FABRICAÇÃO ABB TIPO LTB 245 (UGBC6 04)</t>
  </si>
  <si>
    <t>BC 230 kV 55 Mvar UTINGA BC4 PA</t>
  </si>
  <si>
    <t>0008592/2019</t>
  </si>
  <si>
    <t>LT 230 kV GUAMA /UTINGA C-2 PA</t>
  </si>
  <si>
    <t>0008598/2019</t>
  </si>
  <si>
    <t xml:space="preserve">SUSBTITUIÇÃO DOS TRANSFORMADORES DE CORRENTE DE 230 KV - VCTC6 KX,  FA, FB e FV do VCDJ6 04 (VCBC6 03)_x000D_
</t>
  </si>
  <si>
    <t>BC 230 kV 111 Mvar VILA DO CONDE BC3 PA</t>
  </si>
  <si>
    <t>0008603/2019</t>
  </si>
  <si>
    <t>SUBSTITUIÇÃO  DO ROTEADOR NO SISTEMA DE TELECOMUNICAÇÃO E SUPERVISÃO</t>
  </si>
  <si>
    <t>0008604/2019</t>
  </si>
  <si>
    <t>SUBSTITUIÇÃO DOS TRANSFORMADORES DE POTENCIAL DA BARRA I</t>
  </si>
  <si>
    <t>MG ALTAMIRA / CCO-2001-058 - RB</t>
  </si>
  <si>
    <t>0008608/2019</t>
  </si>
  <si>
    <t>SUSBTITUIÇÃO DOS TRANSFORMADORES DE CORRENTE DE 230 KV - VCTC6 LY1,  FA, FB e FV do VCDJ6 01</t>
  </si>
  <si>
    <t>0008607/2019</t>
  </si>
  <si>
    <t>SUSBTITUIÇÃO DOS TRANSFORMADORES DE CORRENTE DE 230 KV  - VCTC 6DY1, FA, FB e FV do VCDJ6 01</t>
  </si>
  <si>
    <t>0008612/2019</t>
  </si>
  <si>
    <t>SUBSTITUIÇÃO DOS TRANSFORMADORES DE POTENCIAL DOS TERMINAIS DA LINHA ATTC LT6 01</t>
  </si>
  <si>
    <t>0008610/2019</t>
  </si>
  <si>
    <t>SUSBTITUIÇÃO DOS TRANSFORMADORES DE CORRENTE DE 230 KV  - VCTC 6DX, FA, FB e FV do VCDJ6 01</t>
  </si>
  <si>
    <t>TR VCTF6-01</t>
  </si>
  <si>
    <t>0008617/2019</t>
  </si>
  <si>
    <t>GMVCLT6 02</t>
  </si>
  <si>
    <t>0008619/2019</t>
  </si>
  <si>
    <t>SUBSTITUIÇÃO DE 06 TRANSFORMADORES DE POTENCIAL DE 13.8 KV.</t>
  </si>
  <si>
    <t>BC 230 kV 111 Mvar VILA DO CONDE BC2 PA</t>
  </si>
  <si>
    <t>0008618/2019</t>
  </si>
  <si>
    <t>Substituição de 01 (uma) bucha condensiva 34,5kV do transformador TVAT4-01 fase A.</t>
  </si>
  <si>
    <t xml:space="preserve">TR TVAT4-01 </t>
  </si>
  <si>
    <t>0008624/2019</t>
  </si>
  <si>
    <t>SUBSTITUIÇÃO DO DISJUNTOR GMDJ6 11 DE FABRICAÇÃO ABB TIPO LTB 245</t>
  </si>
  <si>
    <t>BC 230 kV 55,5 Mvar GUAMA BC1 PA</t>
  </si>
  <si>
    <t>0008625/2019</t>
  </si>
  <si>
    <t>Substituição de 01 (uma) bucha condensiva 34,5kV do transformador TVAT4-01 fase V.</t>
  </si>
  <si>
    <t>0008628/2019</t>
  </si>
  <si>
    <t>SUBSTITUIÇÃO DO DISJUNTOR GMDJ6 12 DE FABRICAÇÃO ABB TIPO LTB 245</t>
  </si>
  <si>
    <t>BC 230 kV 55,5 Mvar GUAMA BC2 PA</t>
  </si>
  <si>
    <t>0008627/2019</t>
  </si>
  <si>
    <t>Substituição de 01 (uma) bucha condensiva 34,5kV do transformador TVAT4-01 fase B.</t>
  </si>
  <si>
    <t>0008626/2019</t>
  </si>
  <si>
    <t>0008630/2019</t>
  </si>
  <si>
    <t>MBTF6-01</t>
  </si>
  <si>
    <t>0008633/2019</t>
  </si>
  <si>
    <t>TRANSAMAZONIC</t>
  </si>
  <si>
    <t>Substituição dos transformadores de potencial indutivo 34,5kV no TMTF6-01</t>
  </si>
  <si>
    <t>TR 230/34,5 kV TRANSAMAZONIC TF1 PA</t>
  </si>
  <si>
    <t>0008641/2019</t>
  </si>
  <si>
    <t>SUBSTITUIÇÃO DO GERADOR DE EMERGÊNCIA  No.1  (380VCA  200 KVA)</t>
  </si>
  <si>
    <t>MG RUROPOLIS / CCO-2001-058 - RB</t>
  </si>
  <si>
    <t>0008639/2019</t>
  </si>
  <si>
    <t>MG GUAMA / CCO-2001-058 - RB</t>
  </si>
  <si>
    <t>0008638/2019</t>
  </si>
  <si>
    <t>Substituição dos transformadores de potencial indutivo 34,5kV no TMTF6-02</t>
  </si>
  <si>
    <t>TR 230/34,5 kV TRANSAMAZONIC TF2 PA</t>
  </si>
  <si>
    <t>0008643/2019</t>
  </si>
  <si>
    <t>INSTALAÇÃO DE INVERSORES DE TENSÃO NO SISTEMA DE ALIMENTAÇÃO CA/CC DO SISTEMA DE TELECOMUNICAÇÕES E SAGE.</t>
  </si>
  <si>
    <t>0004185/2019</t>
  </si>
  <si>
    <t xml:space="preserve">SUBSTITUIÇÃO DA CAIXA DE INTERLIGAÇÃO DOS TRANSFORMADORES DE POTENCIAL CAPACITIVO DAS BARRAS MRBR6-01 </t>
  </si>
  <si>
    <t>0004189/2019</t>
  </si>
  <si>
    <t>MG UTINGA / CCO-2001-058 - RB</t>
  </si>
  <si>
    <t>0004197/2019</t>
  </si>
  <si>
    <t>SUBSTITUIÇÃO DA CAIXA DE INTERLIGAÇÃO DOS TRANSFORMADORES DE POTENCIAL CAPACITIVO</t>
  </si>
  <si>
    <t>LT 230 kV MIRANDA II /PERITORO C-1 MA</t>
  </si>
  <si>
    <t>0004193/2019</t>
  </si>
  <si>
    <t>MIRAMAR</t>
  </si>
  <si>
    <t>MG 230 kV MIRAMAR MG1 PA</t>
  </si>
  <si>
    <t>0004195/2019</t>
  </si>
  <si>
    <t>SUBSTITUIÇÃO DA CAIXA DE INTERLIGAÇÃO DOS TRANSFORMADORES DE CORRENTE</t>
  </si>
  <si>
    <t>TR 230/138 kV MIRANDA II TR1 MA</t>
  </si>
  <si>
    <t>0004198/2019</t>
  </si>
  <si>
    <t>0004199/2019</t>
  </si>
  <si>
    <t>SUB POCOS CALDAS - 13,8</t>
  </si>
  <si>
    <t>Substituição do TC LADO 13.8 KV DO AT02 - TCTTB2 - FASE B, número de série - T81015-01-14.</t>
  </si>
  <si>
    <t xml:space="preserve">MC 13,8 kV TR 345/138 kV POCOS CALDAS TR2 MG </t>
  </si>
  <si>
    <t>0004266/2019</t>
  </si>
  <si>
    <t>Substituição do TC LADO 13.8 KV DO AT02 - TCTTB2 - FASE A, número de série - T81015-01-5.</t>
  </si>
  <si>
    <t>0004265/2019</t>
  </si>
  <si>
    <t>Substituição do TC LADO 13.8 KV DO AT02 - TCTTB2 - FASE C, número de série - T81015-01-15.</t>
  </si>
  <si>
    <t>0004268/2019</t>
  </si>
  <si>
    <t>Substituição do TC de Neutro TCTTB2, número de série - 73680.</t>
  </si>
  <si>
    <t>0004269/2019</t>
  </si>
  <si>
    <t>Substituição do TRAFO ATERRAMENTO AT02 - TRTTB2 - Fase C, número de série - 166645.</t>
  </si>
  <si>
    <t>0004298/2019</t>
  </si>
  <si>
    <t>Substituição do TRAFO ATERRAMENTO AT02 - TRTTB2 - Fase B, número de série - 166646.</t>
  </si>
  <si>
    <t>0004305/2019</t>
  </si>
  <si>
    <t>0004310/2019</t>
  </si>
  <si>
    <t>SUBSTITUIÇÃO DA BUCHA DE 230 KV DA FASE V do VCAT701</t>
  </si>
  <si>
    <t>0004314/2019</t>
  </si>
  <si>
    <t>TR 230/69 kV MIRANDA II TF1 MA</t>
  </si>
  <si>
    <t>0004317/2019</t>
  </si>
  <si>
    <t>SUBSTITUIÇÃO DA BUCHA DE 230 KV DA FASE B</t>
  </si>
  <si>
    <t>TR 500/230 kV VILA DO CONDE TR2 PA</t>
  </si>
  <si>
    <t>0004316/2019</t>
  </si>
  <si>
    <t>RT 230 kV 10 Mvar MIRANDA II RT2 MA</t>
  </si>
  <si>
    <t>0004325/2019</t>
  </si>
  <si>
    <t>Substituição do TRAFO ATERRAMENTO AT02 - TRTTB2 - Fase A, número de série - 166647.</t>
  </si>
  <si>
    <t>0004327/2019</t>
  </si>
  <si>
    <t>Substituição do TC LADO 13.8 KV DO AT01 - TCTTB1 - FASE A, número de série - T81015-02-2.</t>
  </si>
  <si>
    <t xml:space="preserve">MC 13,8 kV TR 345/138 kV POCOS CALDAS TR1 MG </t>
  </si>
  <si>
    <t>0004333/2019</t>
  </si>
  <si>
    <t>LDMR-LT6-01</t>
  </si>
  <si>
    <t>0004339/2019</t>
  </si>
  <si>
    <t>Substituição do TC LADO 13.8 KV DO AT01 - TCTTB1 - FASE B, número de série - T81015-02-5.</t>
  </si>
  <si>
    <t>0004335/2019</t>
  </si>
  <si>
    <t>Substituição do TC LADO 13.8 KV DO AT01 - TCTTB1 - FASE C, número de série - T81015-2-10.</t>
  </si>
  <si>
    <t>0004337/2019</t>
  </si>
  <si>
    <t>Substituição do TC de Neutro TCTTB1, número de série - 65G12529.</t>
  </si>
  <si>
    <t>0004340/2019</t>
  </si>
  <si>
    <t>Substituição do TRAFO ATERRAMENTO AT01 - TRTTB1 - Fase B, número de série - 166641.</t>
  </si>
  <si>
    <t>0004342/2019</t>
  </si>
  <si>
    <t>Substituição do TRAFO ATERRAMENTO AT01 - TRTTB1 - Fase C, número de série - 166642.</t>
  </si>
  <si>
    <t>0004347/2019</t>
  </si>
  <si>
    <t>Substituição do TRAFO ATERRAMENTO AT01 - TRTTB1 - Fase A, número de série - 146498.</t>
  </si>
  <si>
    <t>0004346/2019</t>
  </si>
  <si>
    <t>SUB POCOS CALDAS - 500</t>
  </si>
  <si>
    <t>Substituição do TC9107 - Fase B, número de série K74081-13-2.</t>
  </si>
  <si>
    <t>MC 500 kV TR 500/345 kV POCOS CALDAS TR51 MG</t>
  </si>
  <si>
    <t>0004348/2019</t>
  </si>
  <si>
    <t>Substituição do TC9107 - Fase A, número de série - K74081-07-4.</t>
  </si>
  <si>
    <t>0004351/2019</t>
  </si>
  <si>
    <t>Substituição do TC9107 - Fase C, número de série - K74081-09-3.</t>
  </si>
  <si>
    <t>0004349/2019</t>
  </si>
  <si>
    <t>SUB POCOS CALDAS - 345</t>
  </si>
  <si>
    <t>Substituição do DCPBT51 LADO 345 KV - FASE A, número de série - 730414.</t>
  </si>
  <si>
    <t>MC 345 kV TR 500/345 kV POCOS CALDAS TR51 MG</t>
  </si>
  <si>
    <t>0004353/2019</t>
  </si>
  <si>
    <t>Substituição do TCS DJ8764 - Fase A com capacidade de 3000 A/63,0 kA por um de 4000 A/63 kA</t>
  </si>
  <si>
    <t>0004365/2019</t>
  </si>
  <si>
    <t>Substituição do TCS DJ8734 - Fase A com capacidade de 3000 A/63,0 kA por um de 4000 A/63 kA</t>
  </si>
  <si>
    <t>0004371/2019</t>
  </si>
  <si>
    <t>Substituição do TCS DJ8734 - Fase C com capacidade de 3000 A/63,0 kA por um de 4000 A/63 kA</t>
  </si>
  <si>
    <t>0004412/2019</t>
  </si>
  <si>
    <t>Substituição do TCS DJ8774 - Fase A com capacidade de 3000 A/63,0 kA por um de 4000 A/63 kA</t>
  </si>
  <si>
    <t>IB 345 kV MG 750 kV TIJUCO PRETO MG1 SP IB6</t>
  </si>
  <si>
    <t>0004423/2019</t>
  </si>
  <si>
    <t>Substituição do TCS DJ8774 - Fase B com capacidade de 3000 A/63,0 kA por um de 4000 A/63 kA</t>
  </si>
  <si>
    <t>0004424/2019</t>
  </si>
  <si>
    <t>Substituição do TCS DJ8774 - Fase C com capacidade de 3000 A/63,0 kA por um de 4000 A/63 kA</t>
  </si>
  <si>
    <t>0004428/2019</t>
  </si>
  <si>
    <t>Substituição do TCS DJ8554 - Fase B com capacidade de 3000 A/63,0 kA por um de 4000 A/63 kA</t>
  </si>
  <si>
    <t>MC 345 kV BC 345 kV 200 MVAr TIJUCO PRETO BC4 SP MC1</t>
  </si>
  <si>
    <t>0004447/2019</t>
  </si>
  <si>
    <t>Substituição do TCS DJ8554 - Fase C com capacidade de 3000 A/63,0 kA por um de 4000 A/63 kA</t>
  </si>
  <si>
    <t>0004448/2019</t>
  </si>
  <si>
    <t>Substituição do TCS DJ8554 - Fase A com capacidade de 3000 A/63,0 kA por um de 4000 A/63 kA</t>
  </si>
  <si>
    <t>0004450/2019</t>
  </si>
  <si>
    <t>Substituição do TCS DJ8464 - Fase A com capacidade de 3000 A/63,0 kA por um de 4000 A/63 kA</t>
  </si>
  <si>
    <t>F-S-STTPR-TR06-MC345</t>
  </si>
  <si>
    <t>0004455/2019</t>
  </si>
  <si>
    <t>Substituição do TCS DJ8744 - Fase C com capacidade de 3000 A/63,0 kA por um de 4000 A/63 kA</t>
  </si>
  <si>
    <t>IB 345 kV MG 750 kV TIJUCO PRETO MG1 SP IB8</t>
  </si>
  <si>
    <t>0004462/2019</t>
  </si>
  <si>
    <t>Substituição do TCS DJ8744 - Fase B com capacidade de 3000 A/63,0 kA por um de 4000 A/63 kA</t>
  </si>
  <si>
    <t>0004465/2019</t>
  </si>
  <si>
    <t>Substituição do TCS DJ8744 - Fase A com capacidade de 3000 A/63,0 kA por um de 4000 A/63 kA</t>
  </si>
  <si>
    <t>0004464/2019</t>
  </si>
  <si>
    <t>Substituição do TCS DJ8844 - Fase C com capacidade de 3000 A/63,0 kA por um de 4000 A/63 kA</t>
  </si>
  <si>
    <t>EL 345 kV TIJUCO PRETO LT 345 kV ITAPETI /TIJUCO PRETO C-2 SP</t>
  </si>
  <si>
    <t>0004501/2019</t>
  </si>
  <si>
    <t>Substituição do TCS DJ8844 - Fase B com capacidade de 3000 A/63,0 kA por um de 4000 A/63 kA</t>
  </si>
  <si>
    <t>0004499/2019</t>
  </si>
  <si>
    <t>Substituição do TCS DJ8844 - Fase A com capacidade de 3000 A/63,0 kA por um de 4000 A/63 kA</t>
  </si>
  <si>
    <t>0004497/2019</t>
  </si>
  <si>
    <t>Substituição do TCS DJ8714 - Fase C com capacidade de 3000 A/63,0 kA por um de 4000 A/63 kA</t>
  </si>
  <si>
    <t>IB 345 kV MG 750 kV TIJUCO PRETO MG1 SP IB13</t>
  </si>
  <si>
    <t>0004513/2019</t>
  </si>
  <si>
    <t>Substituição do TCS DJ8714 - Fase B com capacidade de 3000 A/63,0 kA por um de 4000 A/63 kA</t>
  </si>
  <si>
    <t>0004511/2019</t>
  </si>
  <si>
    <t>Substituição do TCS DJ8714 - Fase A com capacidade de 3000 A/63,0 kA por um de 4000 A/63 kA</t>
  </si>
  <si>
    <t>0004507/2019</t>
  </si>
  <si>
    <t>Substituição do TCS DJ8814 - Fase A com capacidade de 3000 A/63,0 kA por um de 4000 A/63 kA</t>
  </si>
  <si>
    <t>EL 345 kV TIJUCO PRETO LT 345 kV B. SANTISTA /TIJUCO PRETO C-1 SP</t>
  </si>
  <si>
    <t>0004518/2019</t>
  </si>
  <si>
    <t>Substituição do TCS DJ8814 - Fase B com capacidade de 3000 A/63,0 kA por um de 4000 A/63 kA</t>
  </si>
  <si>
    <t>0004520/2019</t>
  </si>
  <si>
    <t>Substituição do TCS DJ8814 - Fase C com capacidade de 3000 A/63,0 kA por um de 4000 A/63 kA</t>
  </si>
  <si>
    <t>0004523/2019</t>
  </si>
  <si>
    <t>SUBSTITUIÇÃO COMPLETA (CHAVES DE TRANSFERÊNCIA, RÉGUAS DE BORNES, CANALETAS DE PASSAGEM ETC) DO ARMÁRIO DE TRANSFERÊNCIA DO LDAT7-03</t>
  </si>
  <si>
    <t>0004565/2019</t>
  </si>
  <si>
    <t>SUBSTITUIÇÃO COMPLETA (PÓLOS, ARMÁRIO DE COMANDO E SPCS) DO DISJUNTOR LDDJ6-26</t>
  </si>
  <si>
    <t>0004564/2019</t>
  </si>
  <si>
    <t>SUBSTITUIÇÃO DAS BUCHAS DE 13,8KV DEVIDO FINAL DE VIDA ÚTIL (LDAT7-03)</t>
  </si>
  <si>
    <t>0004566/2019</t>
  </si>
  <si>
    <t>SUBSTITUIÇÃO COMPLETA (PÓLOS, ARMÁRIO DE COMANDO E SPCS) DO DISJUNTOR LDDJ7-09</t>
  </si>
  <si>
    <t>0004567/2019</t>
  </si>
  <si>
    <t>SUBSTITUIÇÃO COMPLETA (PÓLOS, ARMÁRIO DE COMANDO E SPCS) DO DISJUNTOR LDDJ7-10</t>
  </si>
  <si>
    <t>0004569/2019</t>
  </si>
  <si>
    <t>Substituição Dos Rádios VHF´s Fixos e Móveis da SE-COXIPÓ</t>
  </si>
  <si>
    <t>0004616/2019</t>
  </si>
  <si>
    <t>Substituição de 01 (um) Disjuntor, Posição Operacional 12T4, SUB ANGELIM</t>
  </si>
  <si>
    <t>MG ANGELIM / CCO-2001-061 - RB</t>
  </si>
  <si>
    <t>0004664/2019</t>
  </si>
  <si>
    <t>Substituição de 01 (um) Seccionador, Posição Operacional 34BA-1, SUB ANGELIM</t>
  </si>
  <si>
    <t>FT MG 230 kV ANGELIM MG1 PE</t>
  </si>
  <si>
    <t>0004665/2019</t>
  </si>
  <si>
    <t>Substituição de 01 (um) Seccionador, Posição Operacional 34D1-1, SUB ANGELIM</t>
  </si>
  <si>
    <t>0004667/2019</t>
  </si>
  <si>
    <t>Substituição de 01 (um) Seccionador, Posição Operacional 34BP-1, SUB ANGELIM</t>
  </si>
  <si>
    <t>0004666/2019</t>
  </si>
  <si>
    <t>Substituição de 01 (um) Seccionador, Posição Operacional 34D1-2, SUB ANGELIM</t>
  </si>
  <si>
    <t>0004668/2019</t>
  </si>
  <si>
    <t>Substituição de 01 (um) Transformador Corrente, Posição Operacional 94D1, Fase A, SUB ANGELIM</t>
  </si>
  <si>
    <t>0004669/2019</t>
  </si>
  <si>
    <t>Substituição de 01 (um) Transformador Corrente, Posição Operacional 94D1, Fase B, SUB ANGELIM</t>
  </si>
  <si>
    <t>0004670/2019</t>
  </si>
  <si>
    <t>Substituição de 01 (um) Transformador Corrente, Posição Operacional 94D1, Fase C, SUB ANGELIM</t>
  </si>
  <si>
    <t>0004671/2019</t>
  </si>
  <si>
    <t>Substituição de 01 (um) Seccionador, Posição Operacional 34D2-1, SUB ANGELIM</t>
  </si>
  <si>
    <t>0004672/2019</t>
  </si>
  <si>
    <t>Substituição de 01 (um) Seccionador, Posição Operacional 34D2-2, SUB ANGELIM</t>
  </si>
  <si>
    <t>0004673/2019</t>
  </si>
  <si>
    <t>Substituição de 01 (um) Para-Raio, Posição Operacional 74L1, Fase A, SUB ANGELIM</t>
  </si>
  <si>
    <t>0004677/2019</t>
  </si>
  <si>
    <t>Substituição de 01 (um) Para-Raio, Posição Operacional 74L1, Fase C, SUB ANGELIM</t>
  </si>
  <si>
    <t>0004679/2019</t>
  </si>
  <si>
    <t>Substituição de 01 (um) Para-Raio, Posição Operacional 74L1, Fase B, SUB ANGELIM</t>
  </si>
  <si>
    <t>0004678/2019</t>
  </si>
  <si>
    <t>Substituição de 01 (um) Seccionador, Posição Operacional 34M3-4, SUB ANGELIM</t>
  </si>
  <si>
    <t>0004680/2019</t>
  </si>
  <si>
    <t>Substituição de 01 (um) Para-Raio, Posição Operacional 74M4-2, Fase A, SUB ANGELIM</t>
  </si>
  <si>
    <t>0004681/2019</t>
  </si>
  <si>
    <t>Substituição de 01 (um) Para-Raio, Posição Operacional 74M4-2, Fase B, SUB ANGELIM</t>
  </si>
  <si>
    <t>0004682/2019</t>
  </si>
  <si>
    <t>Substituição de 01 (um) Para-Raio, Posição Operacional 74M4-2, Fase C, SUB ANGELIM</t>
  </si>
  <si>
    <t>0004683/2019</t>
  </si>
  <si>
    <t>Substituição de 01 (um) Transformador Corrente, Posição Operacional 94M4, Fase A, SUB ANGELIM</t>
  </si>
  <si>
    <t>0004684/2019</t>
  </si>
  <si>
    <t>Substituição de 01 (um) Transformador Corrente, Posição Operacional 94M4, Fase B, SUB ANGELIM</t>
  </si>
  <si>
    <t>0004685/2019</t>
  </si>
  <si>
    <t>Substituição de 01 (um) Transformador Corrente, Posição Operacional 94M4, Fase C, SUB ANGELIM</t>
  </si>
  <si>
    <t>0004686/2019</t>
  </si>
  <si>
    <t>Substituição de 01 (um) Transformador Corrente, Posição Operacional 94M5, Fase B, SUB ANGELIM</t>
  </si>
  <si>
    <t>0004690/2019</t>
  </si>
  <si>
    <t>Substituição de 01 (um) Transformador Corrente, Posição Operacional 94M5, Fase A, SUB ANGELIM</t>
  </si>
  <si>
    <t>0004689/2019</t>
  </si>
  <si>
    <t>Substituição de 01 (um) Seccionador, Posição Operacional 34M6-1, SUB ANGELIM</t>
  </si>
  <si>
    <t>0004692/2019</t>
  </si>
  <si>
    <t>Substituição de 01 (um) Seccionador, Posição Operacional 34M6-2, SUB ANGELIM</t>
  </si>
  <si>
    <t>0004693/2019</t>
  </si>
  <si>
    <t>Substituição de 01 (um) Transformador Corrente, Posição Operacional 94M5, Fase C, SUB ANGELIM</t>
  </si>
  <si>
    <t>0004691/2019</t>
  </si>
  <si>
    <t>Substituição de 01 (um) Seccionador, Posição Operacional 34M6-6, SUB ANGELIM</t>
  </si>
  <si>
    <t>0004694/2019</t>
  </si>
  <si>
    <t>Substituição de 01 (um) Transformador Corrente, Posição Operacional 94M6, Fase B, SUB ANGELIM</t>
  </si>
  <si>
    <t>0004698/2019</t>
  </si>
  <si>
    <t>Substituição de 01 (um) Transformador Corrente, Posição Operacional 94M6, Fase A, SUB ANGELIM</t>
  </si>
  <si>
    <t>0004697/2019</t>
  </si>
  <si>
    <t>Substituição de 01 (um) Transformador Corrente, Posição Operacional 94M6, Fase C, SUB ANGELIM</t>
  </si>
  <si>
    <t>0004699/2019</t>
  </si>
  <si>
    <t>Substituição de 01 (um) Para-Raio, Posição Operacional 74M7, Fase C, SUB ANGELIM</t>
  </si>
  <si>
    <t>0004702/2019</t>
  </si>
  <si>
    <t>Substituição de 01 (um) Para-Raio, Posição Operacional 74M7, Fase A, SUB ANGELIM</t>
  </si>
  <si>
    <t>0004700/2019</t>
  </si>
  <si>
    <t>Substituição de 01 (um) Para-Raio, Posição Operacional 74M7, Fase B, SUB ANGELIM</t>
  </si>
  <si>
    <t>0004701/2019</t>
  </si>
  <si>
    <t>Substituição do TC LADO 345 KV AT03 - Fase A com capacidade de 1200 A/24,0 kA por um de 4000 A/50 kA</t>
  </si>
  <si>
    <t>TR 345/138 kV CAMPINAS TR3 SP</t>
  </si>
  <si>
    <t>0004793/2019</t>
  </si>
  <si>
    <t>SUBSTITUIÇÃO DO TRANSFORMADOR DE CORRENTE DA FASE 'V' DO DISJUNTOR LDDJ7-05, CÓD. OPERACIONAL DJ705-TC702</t>
  </si>
  <si>
    <t>0004794/2019</t>
  </si>
  <si>
    <t>Substituição do TC LADO 345 KV AT03 - Fase B com capacidade de 1200 A/24,0 kA por um de 4000 A/50 kA</t>
  </si>
  <si>
    <t>0004798/2019</t>
  </si>
  <si>
    <t>Substituição do TC LADO 345 KV AT03 - Fase C com capacidade de 1200 A/24,0 kA por um de 4000 A/50 kA</t>
  </si>
  <si>
    <t>0004801/2019</t>
  </si>
  <si>
    <t>SUBSTITUIÇÃO DO TRANSFORMADOR DE CORRENTE DA FASE 'B' DO DISJUNTOR LDDJ7-05, CÓD. OPERACIONAL DJ705-TC702</t>
  </si>
  <si>
    <t>0004799/2019</t>
  </si>
  <si>
    <t>SUBSTITUIÇÃO DO TRANSFORMADOR DE CORRENTE DA FASE 'A' DO DISJUNTOR LDDJ7-05, CÓD. OPERACIONAL DJ705-TC702</t>
  </si>
  <si>
    <t>0004805/2019</t>
  </si>
  <si>
    <t>SUBSTITUIÇÃO DO PARA-RAIOS 500KV, AT702-PR701, FASE 'A'</t>
  </si>
  <si>
    <t>0004813/2019</t>
  </si>
  <si>
    <t>SUBSTITUIÇÃO DO PÁRA-RAIOS 230KV, BC601-PR601 FASE 'V'</t>
  </si>
  <si>
    <t>0004836/2019</t>
  </si>
  <si>
    <t>SUBSTITUIÇÃO DO PÁRA-RAIOS 230KV, BC601-PR601 FASE 'B'</t>
  </si>
  <si>
    <t>0004823/2019</t>
  </si>
  <si>
    <t>SUBSTITUIÇÃO DO PARA-RAIOS 500KV, AT702-PR701, FASE 'V'</t>
  </si>
  <si>
    <t>0004820/2019</t>
  </si>
  <si>
    <t>SUBSTITUIÇÃO DO TPC 230KV, BC601-DP601 FASE 'A'</t>
  </si>
  <si>
    <t>0004840/2019</t>
  </si>
  <si>
    <t>SUBSTITUIÇÃO DO PARA-RAIOS 500KV, RE703-PR701, FASE 'B'</t>
  </si>
  <si>
    <t>0004843/2019</t>
  </si>
  <si>
    <t>SUBSTITUIÇÃO DO TRANSFORMADOR DE CORRENTE DA FASE 'V' DO DISJUNTOR LDDJ7-04</t>
  </si>
  <si>
    <t>MA-CPLD-LD-LDBC-LI702</t>
  </si>
  <si>
    <t>0004868/2019</t>
  </si>
  <si>
    <t>SUBSTITUIÇÃO DO TRANSFORMADOR DE CORRENTE DA FASE 'V' DO DISJUNTOR LDDJ7-01</t>
  </si>
  <si>
    <t>MA-CPLD-LD-LDBC-LI701</t>
  </si>
  <si>
    <t>0004890/2019</t>
  </si>
  <si>
    <t>SUBSTITUIÇÃO DO TRANSFORMADOR DE CORRENTE DA FASE 'B' DO DISJUNTOR LDDJ7-01</t>
  </si>
  <si>
    <t>0004892/2019</t>
  </si>
  <si>
    <t>Substituição do TC LTGAIN2 STGA - Fase A com capacidade de 4000 A/31,5 kA por um de 4000 A/63 kA</t>
  </si>
  <si>
    <t>LT 345 kV GUARULHOS /IBIUNA C-2 SP</t>
  </si>
  <si>
    <t>0004903/2019</t>
  </si>
  <si>
    <t>Substituição do TC LTGAIN1 STGA - Fase C com capacidade de 4000 A/31,5 kA por um de 4000 A/63 kA</t>
  </si>
  <si>
    <t>LT 345 kV GUARULHOS /IBIUNA C-1 SP</t>
  </si>
  <si>
    <t>0004901/2019</t>
  </si>
  <si>
    <t>Substituição do TC LTGAIN1 STGA - Fase B com capacidade de 4000 A/31,5 kA por um de 4000 A/63 kA</t>
  </si>
  <si>
    <t>0004898/2019</t>
  </si>
  <si>
    <t>Substituição do TC LTGAIN2 STGA - Fase B com capacidade de 4000 A/31,5 kA por um de 4000 A/63 kA</t>
  </si>
  <si>
    <t>0004904/2019</t>
  </si>
  <si>
    <t>Substituição do TC LIGANE STGA - Fase A com capacidade de 2000 A/31,5 kA por um de 4000 A/63 kA</t>
  </si>
  <si>
    <t>LT 345 kV GUARULHOS /NORDESTE C-1 SP</t>
  </si>
  <si>
    <t>0004907/2019</t>
  </si>
  <si>
    <t>Substituição do TC LIGANE STGA - Fase C com capacidade de 2000 A/31,5 kA por um de 4000 A/63 kA</t>
  </si>
  <si>
    <t>0004911/2019</t>
  </si>
  <si>
    <t>Substituição do TC LIGAIN2 STGA - Fase C com capacidade de 4000 A/31,5 kA por um de 4000 A/63 kA</t>
  </si>
  <si>
    <t>0004906/2019</t>
  </si>
  <si>
    <t>Substituição do TC LIGANE STGA - Fase B com capacidade de 2000 A/31,5 kA por um de 4000 A/63 kA</t>
  </si>
  <si>
    <t>0004910/2019</t>
  </si>
  <si>
    <t>SUBSTITUIÇÃO DO TRANSFORMADOR DE CORRENTE DA FASES 'A' DO DISJUNTOR LDDJ7-06, CÓD. OPERACIONAL DJ706-TC701</t>
  </si>
  <si>
    <t>0004931/2019</t>
  </si>
  <si>
    <t>Substituição do TC8120T LTFUIT02 UHFU - Fase A com capacidade de 2000 A/31,5 kA por um de 4000 A/50 kA</t>
  </si>
  <si>
    <t>LT 345 kV FURNAS /ITUTINGA C-2 MG</t>
  </si>
  <si>
    <t>0004955/2019</t>
  </si>
  <si>
    <t>Substituição do TC8120T LTFUIT02 UHFU - Fase B com capacidade de 2000 A/31,5 kA por um de 4000 A/50 kA</t>
  </si>
  <si>
    <t>0004957/2019</t>
  </si>
  <si>
    <t>Substituição do TC DJ806 LADO BR8C - FASE C com capacidade de 2000 A/31,5 kA por um de 4000 A/50 kA</t>
  </si>
  <si>
    <t>IB 345 kV MG 345 kV FURNAS MG1 MG IB1</t>
  </si>
  <si>
    <t>0004973/2019</t>
  </si>
  <si>
    <t>Substituição do TC8120T LTFUIT02 UHFU - Fase C com capacidade de 2000 A/31,5 kA por um de 4000 A/50 kA</t>
  </si>
  <si>
    <t>0004959/2019</t>
  </si>
  <si>
    <t>Substituição do TC DJ806 LADO BR8C - FASE B com capacidade de 2000 A/31,5 kA por um de 4000 A/50 kA</t>
  </si>
  <si>
    <t>0004970/2019</t>
  </si>
  <si>
    <t>Substituição do TC DJ806 LADO BR8C - FASE A com capacidade de 2000 A/31,5 kA por um de 4000 A/50 kA</t>
  </si>
  <si>
    <t>0004969/2019</t>
  </si>
  <si>
    <t>SUBSTITUIÇÃO DO PARA-RAIOS 500KV DO BAY DA LINHA BCLD-LI702, FASE 'V'</t>
  </si>
  <si>
    <t>0004975/2019</t>
  </si>
  <si>
    <t>SUBSTITUIÇÃO DO PARA-RAIOS 500KV, AT701-PR701, FASE 'RESERVA'</t>
  </si>
  <si>
    <t>TRR 500/230 kV SAO LUIS II TRR1 MA</t>
  </si>
  <si>
    <t>0004979/2019</t>
  </si>
  <si>
    <t>SUBSTITUIÇÃO DO PARA-RAIOS 500KV, AT701-PR701, FASE 'V'</t>
  </si>
  <si>
    <t>0004982/2019</t>
  </si>
  <si>
    <t>SUBSTITUIÇÃO DO PARA-RAIOS 500KV, AT701-PR701, FASE 'A'</t>
  </si>
  <si>
    <t>0004985/2019</t>
  </si>
  <si>
    <t>SUBSTITUIÇÃO DO PARA-RAIOS 500KV DO BAY DA LINHA BCLD-LI701, FASE 'B'</t>
  </si>
  <si>
    <t>0004994/2019</t>
  </si>
  <si>
    <t>SUBSTITUIÇÃO DO DISJUNTOR LORENZETTI INEBRASA FA2-245-40 MRDJ6-02</t>
  </si>
  <si>
    <t>0004996/2019</t>
  </si>
  <si>
    <t>SUBSTITUIÇÃO DO PARA-RAIOS 500KV, LDBC-LI701, FASE 'A'</t>
  </si>
  <si>
    <t>0004998/2019</t>
  </si>
  <si>
    <t>SUBSTITUIÇÃO DO TC DE 230KV DO BAY DO DISJUNTOR LDDJ6-04 (FASE 'V')</t>
  </si>
  <si>
    <t>0005002/2019</t>
  </si>
  <si>
    <t>SUBSTITUIÇÃO DO TC DE 230KV DO BAY DO DISJUNTOR LDDJ6-04 (FASE 'B')</t>
  </si>
  <si>
    <t>0005004/2019</t>
  </si>
  <si>
    <t>SUB F.IGUACU 60HZ - 765</t>
  </si>
  <si>
    <t>Substituição da secionadora SC12611 com capacidade de 3500 A/40,0 kA por um de 4000 A/50 kA</t>
  </si>
  <si>
    <t>EL 750 kV F.IGUACU 60HZ LT 750 kV F.IGUACU 60HZ /IVAIPORA C-1 PR</t>
  </si>
  <si>
    <t>0005051/2019</t>
  </si>
  <si>
    <t>Substituição da lâmina de terra SC12220T com capacidade de 3500 A/40,0 kA por um de 4000 A/50 kA</t>
  </si>
  <si>
    <t>EL 750 kV F.IGUACU 60HZ LT 750 kV F.IGUACU 60HZ /IVAIPORA C-2 PR</t>
  </si>
  <si>
    <t>0005054/2019</t>
  </si>
  <si>
    <t>Substituição da secionadora SC12617 com capacidade de 3150 A/40,0 kA por um de 4000 A/50 kA</t>
  </si>
  <si>
    <t>0005053/2019</t>
  </si>
  <si>
    <t>Substituição da lâmina de terra SC12610T com capacidade de 3150 A/40,0 kA por um de 4000 A/50 kA</t>
  </si>
  <si>
    <t>0005050/2019</t>
  </si>
  <si>
    <t>Substituição da lâmina de terra SC12620T com capacidade de 3500 A/40,0 kA por um de 4000 A/50 kA</t>
  </si>
  <si>
    <t>0005055/2019</t>
  </si>
  <si>
    <t>Substituição da secionadora SC12627 com capacidade de 3500 A/40,0 kA por um de 4000 A/50 kA</t>
  </si>
  <si>
    <t>0005059/2019</t>
  </si>
  <si>
    <t>Substituição da secionadora SC12623 com capacidade de 3500 A/40,0 kA por um de 4000 A/50 kA</t>
  </si>
  <si>
    <t>0005058/2019</t>
  </si>
  <si>
    <t>Substituição da secionadora SC12621 com capacidade de 3500 A/40,0 kA por um de 4000 A/50 kA</t>
  </si>
  <si>
    <t>0005057/2019</t>
  </si>
  <si>
    <t>Substituição da lâmina de terra SC12630T com capacidade de 3150 A/40,0 kA por um de 4000 A/50 kA</t>
  </si>
  <si>
    <t>EL 750 kV F.IGUACU 60HZ LT 750 kV F.IGUACU 60HZ /IVAIPORA C-3 PR</t>
  </si>
  <si>
    <t>0005060/2019</t>
  </si>
  <si>
    <t>Substituição da secionadora SC12637 com capacidade de 3150 A/40,0 kA por um de 4000 A/50 kA</t>
  </si>
  <si>
    <t>0005070/2019</t>
  </si>
  <si>
    <t>Substituição da secionadora SC12917.</t>
  </si>
  <si>
    <t>LT 765 kV ITABERA /IVAIPORA C-1 SP/PR</t>
  </si>
  <si>
    <t>0005076/2019</t>
  </si>
  <si>
    <t>Substituição da lâmina de terra SC12910T.</t>
  </si>
  <si>
    <t>0005072/2019</t>
  </si>
  <si>
    <t>SUBSTITUIÇÃO DO DISJUNTOR SIEMENS 3AS2 LIDB6-01</t>
  </si>
  <si>
    <t>0005103/2019</t>
  </si>
  <si>
    <t>SUBSTITUIÇÃO DO DISJUNTOR SIEMENS 3AS2 LIDJ6-05</t>
  </si>
  <si>
    <t>LDLI-LT6-02</t>
  </si>
  <si>
    <t>0005106/2019</t>
  </si>
  <si>
    <t>EL 750 kV IVAIPORA LT 750 kV F.IGUACU 60HZ /IVAIPORA C-2 PR</t>
  </si>
  <si>
    <t>0005107/2019</t>
  </si>
  <si>
    <t>SUBSTITUIÇÃO DO DISJUNTOR SIEMENS 3AS2 LIDJ6-04</t>
  </si>
  <si>
    <t>LDLI-LT6-01</t>
  </si>
  <si>
    <t>0005114/2019</t>
  </si>
  <si>
    <t>Substituição da secionadora SC12711.</t>
  </si>
  <si>
    <t xml:space="preserve">EL 750 kV TIJUCO PRETO LT 750 kV ITABERA /TIJUCO PRETO C-1 SP </t>
  </si>
  <si>
    <t>0005122/2019</t>
  </si>
  <si>
    <t>SUBSTITUIÇÃO DO DISJUNTOR SIEMENS 3AS2 LIDJ6-03</t>
  </si>
  <si>
    <t>TR 230/69 kV SAO LUIS I TF4 MA</t>
  </si>
  <si>
    <t>0005124/2019</t>
  </si>
  <si>
    <t>Substituição da lâmina de terra SC12710T com capacidade de 3500 A/40,0 kA por um de 4000 A/50 kA</t>
  </si>
  <si>
    <t>EL 750 kV TIJUCO PRETO LT 750 kV ITABERA /TIJUCO PRETO C-1 SP</t>
  </si>
  <si>
    <t>0005121/2019</t>
  </si>
  <si>
    <t>Substituição da secionadora SC12713.</t>
  </si>
  <si>
    <t>0005126/2019</t>
  </si>
  <si>
    <t>Substituição da secionadora SC12721.</t>
  </si>
  <si>
    <t xml:space="preserve">EL 750 kV TIJUCO PRETO LT 750 kV ITABERA /TIJUCO PRETO C-2 SP </t>
  </si>
  <si>
    <t>0005133/2019</t>
  </si>
  <si>
    <t>Substituição da lâmina de terra SC12720T.</t>
  </si>
  <si>
    <t>0005132/2019</t>
  </si>
  <si>
    <t>Substituição da lâmina de terra SC12240T.</t>
  </si>
  <si>
    <t>0005131/2019</t>
  </si>
  <si>
    <t>Substituição da secionadora SC12727.</t>
  </si>
  <si>
    <t>0005136/2019</t>
  </si>
  <si>
    <t>Substituição da secionadora SC12723.</t>
  </si>
  <si>
    <t>0005135/2019</t>
  </si>
  <si>
    <t>SUBSTITUIÇÃO DO DISJUNTOR SIEMENS 3AS2 LIDJ6-02</t>
  </si>
  <si>
    <t>0005146/2019</t>
  </si>
  <si>
    <t>0005145/2019</t>
  </si>
  <si>
    <t>SUBSTITUIÇÃO DO DISJUNTOR SIEMENS 3AS2 LIDJ6-01</t>
  </si>
  <si>
    <t>TR 230/69 kV SAO LUIS I TF2 MA</t>
  </si>
  <si>
    <t>0005156/2019</t>
  </si>
  <si>
    <t>LT 230 kV CAMACARI II /COTEGIPE BA - 230</t>
  </si>
  <si>
    <t>Substituição do conjunto de cadeias de isoladores de mesma classe de tensão, tipo, material e composição das estruturas: 1 2 4 5 6 7 8 9 10 11 14 15 16 17 18 19 20 21 22 23 24 25 26 29 31 32 33 34 35 36 37 38 39 40 42 43 44 45 46 47 48 49 50 51 52 53 54 55 56 58 61  (51 estruturas).</t>
  </si>
  <si>
    <t>FT LT 230 kV CAMACARI II /COTEGIPE C-2 BA</t>
  </si>
  <si>
    <t>0005236/2019</t>
  </si>
  <si>
    <t>LT 230 kV NATAL III /NATAL II RN - 230</t>
  </si>
  <si>
    <t>Substituição do conjunto de cadeias de isoladores de mesma classe de tensão, tipo, material e composição das estruturas: 001/1, 001/2, 001/3, 006/2, 007/1, 009/3, 010/1, 011/1, 011/2, 012/1, 012/2 e pórtico da NTD. Totalizando 11 estrutura e 01 pórtico.</t>
  </si>
  <si>
    <t>FT LT 230 kV NATAL III /NATAL II C-1 RN</t>
  </si>
  <si>
    <t>0005251/2019</t>
  </si>
  <si>
    <t>LT 138 kV PARAISO /SANTA CRUZ II RN - 138</t>
  </si>
  <si>
    <t>Substituição do conjunto de cadeias de isoladores de mesma classe de tensão, tipo, material e composição das estruturas: 000531, 000533, 000534, 000536, 000537, 000539, 000541, 000542, 000543, 000544, 000548, 000550, 000551 e Pórtico de STD. Totalizando 13 Estruturas e 01 pórtico.</t>
  </si>
  <si>
    <t>LT - LINHA DE TRANSMISSÃO</t>
  </si>
  <si>
    <t>0005249/2019</t>
  </si>
  <si>
    <t>LT 230 kV EXTREMOZ II /NATAL III RN - 230</t>
  </si>
  <si>
    <t>Substituição do conjunto de cadeias de isoladores de mesma classe de tensão, tipo, material e composição das estruturas: 177/2A e pórtico de NTT.</t>
  </si>
  <si>
    <t>FT LT 230 kV EXTREMOZ II /NATAL III C-1 RN</t>
  </si>
  <si>
    <t>0005250/2019</t>
  </si>
  <si>
    <t>LT 230 kV PARAISO /ACU II RN - 230</t>
  </si>
  <si>
    <t>Substituição do conjunto de cadeias de isoladores de mesma classe de tensão, tipo, material e composição das estruturas:  099/1, 099/2, 100/1, 100/2, 101/1, 101/2, 102/1, 102/2, 103/1, 103/2, 104/1, 104/2, 105/1, 106/1, 106/2, 107/1, 107/2, 107/3, 108/1, 109/1, 109/2,  Totalizando 21 Estruturas.</t>
  </si>
  <si>
    <t>FT LT 230 kV PARAISO /ACU II C-2 RN</t>
  </si>
  <si>
    <t>0005252/2019</t>
  </si>
  <si>
    <t>LT 230 kV PARAISO /NATAL II RN - 230</t>
  </si>
  <si>
    <t>Substituição do conjunto de cadeias de isoladores de mesma classe de tensão;tipo;material e composição das estruturas:  24/1;24/3;26/1;26/2;32/3;39/2;40/2;42/2;42/3;43/1;44/1;45/2;46/1;49/2;50/1;55/3;58/1;59/3;60/2;61/1;62/2;64/2;66/1;68/1;69/1;69/2;71/2;75/3;78/1;87/1;88/3;090/3;091/2. = 33 Torres</t>
  </si>
  <si>
    <t>FT LT 230 kV PARAISO /NATAL II C-1 RN</t>
  </si>
  <si>
    <t>0005266/2019</t>
  </si>
  <si>
    <t>Substituição do conjunto de cadeias de isoladores de mesma classe de tensão;tipo;material e composição das estruturas:  1/1;1/2;1/3;2/1;2/2;2/3;3/1;3/2;3/3;4/1;4/2;5/2;6/1;6/3;8/1;14/2;15/1;15/2;15/3;17/1;18/2;19/1;19/2;19/3;20/1;20/2;20/3;21/1;21/2;21/3;22/1;23/1. = 32 Estruturas</t>
  </si>
  <si>
    <t>0005265/2019</t>
  </si>
  <si>
    <t>Substituição do conjunto de cadeias de isoladores de mesma classe de tensão;tipo;material e composição das estruturas:  1/1;1/3;2/1;2/2;003/1;003/2;003/3;004/1;004/2;005/2;005/3;006/1;012/2;015/1;015/3;016/1;016/3;017/1;018/1;018/2;019/1;019/2;020/2;020/3;021/1;023/1. Totalizando 26 Estruturas</t>
  </si>
  <si>
    <t>FT LT 230 kV PARAISO /NATAL II C-2 RN</t>
  </si>
  <si>
    <t>0005267/2019</t>
  </si>
  <si>
    <t>Substituição do conjunto de cadeias de isoladores de mesma classe de tensão;tipo;material e composição das estruturas:  088/2;089/1;089/2;089/3;090/1;090/2;091/2;092/1;092/2;093/1;093/2;094/1;094/2;094/3;095/1;095/2;095/3;096/1;096/2;096/3;097/1;097/2;097/3;099/1;099/3. Totalizando 25 Estruturas</t>
  </si>
  <si>
    <t>0005269/2019</t>
  </si>
  <si>
    <t>Substituição do conjunto de cadeias de isoladores de mesma classe de tensão;tipo;material e composição das estruturas:  88/2;89/1;89/2;89/3;90/1;90/2;90/3;91/1;91/2;91/3;92/1;92/2;93/1;93/2;94/1;94/2;94/3;95/1;95/2;95/3;96/1;96/2;96/3;97/1;97/2;97/3;98/1;98/2;99/1;99/2;99/3 = 31 Torres</t>
  </si>
  <si>
    <t>0005270/2019</t>
  </si>
  <si>
    <t>Substituição do conjunto de cadeias de isoladores de mesma classe de tensão;tipo;material e composição das estruturas: 466;467;468;469;470;471;472;473;474;476;477;478;479;480;481; 482;484;485;487;488;489;491;492;493;494;495;496;499;503; = 29 Estruturas</t>
  </si>
  <si>
    <t>0005271/2019</t>
  </si>
  <si>
    <t>Substituição do conjunto de cadeias de isoladores de mesma classe de tensão;tipo;material e composição das estruturas: 1/1;1/2;1/3;1/4;2/2;003/1;003/2;003/3;003/4;004/1;004/2;004/3;005/1;005/2;006/1;006/2;007/2;008/1;009/1;009/3;010/1;011/2;012/1;012/2 e pórtico NTD. = 24 estruturas e 01 pórtico.</t>
  </si>
  <si>
    <t>FT LT 230 kV NATAL III /NATAL II C-2 RN</t>
  </si>
  <si>
    <t>0005273/2019</t>
  </si>
  <si>
    <t>Substituição do conjunto de cadeias de isoladores de mesma classe de tensão;tipo;material e composição das estruturas: 82/1;82/2;83/1;84/1;84/2;85/1;85/2;86/1;86/2;87/1;87/2;88/1;88/2;89/1;89/2;90/1;90/2;91/1;91/2;92/1;92/2;93/1;93/2;94/1;94/2;95/1;95/2;96/1;96/2;97/1;97/2;98/1 = 32 Est.</t>
  </si>
  <si>
    <t>0005274/2019</t>
  </si>
  <si>
    <t>Substituição do conjunto de cadeias de isoladores de mesma classe de tensão;tipo;material;composição das estruturas: 100/3;101/1;101/2;102/1;102/2;103/1;106/1;106/2;119/2;120/1;129/2;130/1;134/1;166/2;170/1;171/1;172/1;172/2;173/1;173/2;174/1;174/2;175/1;175/2;176/1;176/2;177/1;177/2. = 28 Torres</t>
  </si>
  <si>
    <t>0005272/2019</t>
  </si>
  <si>
    <t>Troca do sistema de proteção, controle e supervisão</t>
  </si>
  <si>
    <t>0005497/2019</t>
  </si>
  <si>
    <t>SUB MACAE MERCHAN - 345</t>
  </si>
  <si>
    <t>Troca do sistema de controle e supervisão</t>
  </si>
  <si>
    <t xml:space="preserve">EL 345 kV MACAE MERCHAN LT 345 kV CAMPOS /MACAE MERCHAN C-1 RJ </t>
  </si>
  <si>
    <t>0005501/2019</t>
  </si>
  <si>
    <t>0005499/2019</t>
  </si>
  <si>
    <t>Troca da proteção BF DJ8464</t>
  </si>
  <si>
    <t>0005500/2019</t>
  </si>
  <si>
    <t>Troca da proteção BF DJ8574</t>
  </si>
  <si>
    <t>MG 345 kV MACAE MERCHAN MG1 RJ</t>
  </si>
  <si>
    <t>0005505/2019</t>
  </si>
  <si>
    <t xml:space="preserve">EL 345 kV MACAE MERCHAN LT 345 kV CAMPOS /MACAE MERCHAN C-2 RJ </t>
  </si>
  <si>
    <t>0005507/2019</t>
  </si>
  <si>
    <t>Troca do sistema de controle e supervisão (após seccionamentos COMPERJ e SE Lagos)</t>
  </si>
  <si>
    <t xml:space="preserve">EL 345 kV MACAE MERCHAN LT 345 kV ADRIANOPOLIS /MACAE MERCHAN C-1 RJ </t>
  </si>
  <si>
    <t>0005504/2019</t>
  </si>
  <si>
    <t>0005509/2019</t>
  </si>
  <si>
    <t>Troca da proteção BF DJ8474</t>
  </si>
  <si>
    <t>0005508/2019</t>
  </si>
  <si>
    <t>Troca da proteção BF DJ8554</t>
  </si>
  <si>
    <t>0005516/2019</t>
  </si>
  <si>
    <t>Troca da proteção BF DJ8584</t>
  </si>
  <si>
    <t>0005523/2019</t>
  </si>
  <si>
    <t>Troca do controle e supervisão Proteção de barras e Serviço Auxiliar</t>
  </si>
  <si>
    <t>0005528/2019</t>
  </si>
  <si>
    <t>Troca da proteção de barras</t>
  </si>
  <si>
    <t>0005529/2019</t>
  </si>
  <si>
    <t>Substituição do conjunto de cadeias de isoladores de mesma classe de tensão, tipo, material e composição das estr.: 109/3, 110/2, 110/3, 111/1, 111/2, 112/1, 112/2, 113/1, 113/2, 114/1, 114/2, 115/1, 115/2, 116/1, 116/2, 117/1, 117/2, 118/2, 118/3A, 118/4A, 118/5 = 21 Estr.</t>
  </si>
  <si>
    <t>0005534/2019</t>
  </si>
  <si>
    <t>Substituição do conjunto de cadeias de isoladores de mesma classe de tensão, tipo, material e composição das estr.: 100/1, 100/2, 100/3, 101/1, 101/2, 102/1, 102/2, 103/1, 103/2, 103/3, 104/1, 104/2, 105/2, 105/3, 106/1, 106/2, 107/2, 107/3, 108/1, 108/2, 108/3, 109/2 = 22 Estr.</t>
  </si>
  <si>
    <t>0005533/2019</t>
  </si>
  <si>
    <t>Substituição de 01 (um) Transformador Potencial, Posição Operacional 84M7, Fase A, SUB ANGELIM</t>
  </si>
  <si>
    <t>0005685/2019</t>
  </si>
  <si>
    <t>Substituição de 01 (um) Transformador Potencial, Posição Operacional 84M7, Fase B, SUB ANGELIM</t>
  </si>
  <si>
    <t>0005686/2019</t>
  </si>
  <si>
    <t>Substituição de 01 (um) Transformador Potencial, Posição Operacional 84M7, Fase C, SUB ANGELIM</t>
  </si>
  <si>
    <t>0005691/2019</t>
  </si>
  <si>
    <t>Substituição de 01 (um) Para-Raio, Posição Operacional 74M8, Fase B, SUB ANGELIM</t>
  </si>
  <si>
    <t>0005695/2019</t>
  </si>
  <si>
    <t>Substituição de 01 (um) Para-Raio, Posição Operacional 74M8, Fase C, SUB ANGELIM</t>
  </si>
  <si>
    <t>0005696/2019</t>
  </si>
  <si>
    <t>Substituição de 01 (um) Para-Raio, Posição Operacional 74M8, Fase A, SUB ANGELIM</t>
  </si>
  <si>
    <t>0005693/2019</t>
  </si>
  <si>
    <t>Substituição de 01 (um) Transformador Potencial, Posição Operacional 84M8, Fase C, SUB ANGELIM</t>
  </si>
  <si>
    <t>0005700/2019</t>
  </si>
  <si>
    <t>Substituição de 01 (um) Transformador Potencial, Posição Operacional 84M8, Fase A, SUB ANGELIM</t>
  </si>
  <si>
    <t>0005697/2019</t>
  </si>
  <si>
    <t>Substituição de 01 (um) Transformador Potencial, Posição Operacional 84M8, Fase B, SUB ANGELIM</t>
  </si>
  <si>
    <t>0005698/2019</t>
  </si>
  <si>
    <t>Substituição de 01 (um) Para-Raio, Posição Operacional 74N2, Fase B, SUB ANGELIM</t>
  </si>
  <si>
    <t>FT LT 230 kV GARANHUNS II /ANGELIM C-1 PE</t>
  </si>
  <si>
    <t>0005704/2019</t>
  </si>
  <si>
    <t>Substituição de 01 (um) Para-Raio, Posição Operacional 74N2, Fase A, SUB ANGELIM</t>
  </si>
  <si>
    <t>0005703/2019</t>
  </si>
  <si>
    <t>Substituição de 01 (um) Transformador Corrente, Posição Operacional 94N2, Fase B, SUB ANGELIM</t>
  </si>
  <si>
    <t>0005709/2019</t>
  </si>
  <si>
    <t>Substituição de 01 (um) Transformador Corrente, Posição Operacional 94N2, Fase A, SUB ANGELIM</t>
  </si>
  <si>
    <t>0005708/2019</t>
  </si>
  <si>
    <t>Substituição de 01 (um) Para-Raio, Posição Operacional 74N2, Fase C, SUB ANGELIM</t>
  </si>
  <si>
    <t>0005707/2019</t>
  </si>
  <si>
    <t>Substituição de 01 (um) Disjuntor, Posição Operacional 14N2, SUB ANGELIM</t>
  </si>
  <si>
    <t>0005711/2019</t>
  </si>
  <si>
    <t>Substituição de 01 (um) Transformador Corrente, Posição Operacional 94N2, Fase C, SUB ANGELIM</t>
  </si>
  <si>
    <t>0005710/2019</t>
  </si>
  <si>
    <t>Substituição de 01 (um) Seccionador, Posição Operacional 34N2-5, SUB ANGELIM</t>
  </si>
  <si>
    <t>0005715/2019</t>
  </si>
  <si>
    <t>Substituição de 01 (um) Seccionador, Posição Operacional 34N2-4, SUB ANGELIM</t>
  </si>
  <si>
    <t>0005713/2019</t>
  </si>
  <si>
    <t>Substituição de 01 (um) Para-Raio, Posição Operacional 74N4, Fase B, SUB ANGELIM</t>
  </si>
  <si>
    <t>FT LT 230 kV GARANHUNS II /ANGELIM C-3 PE</t>
  </si>
  <si>
    <t>0005718/2019</t>
  </si>
  <si>
    <t>Substituição de 01 (um) Para-Raio, Posição Operacional 74N4, Fase C, SUB ANGELIM</t>
  </si>
  <si>
    <t>0005719/2019</t>
  </si>
  <si>
    <t>Substituição de 01 (um) Seccionador, Posição Operacional 34S1-1, SUB ANGELIM</t>
  </si>
  <si>
    <t>0005721/2019</t>
  </si>
  <si>
    <t>Substituição de 01 (um) Seccionador, Posição Operacional 34S1-2, SUB ANGELIM</t>
  </si>
  <si>
    <t>0005725/2019</t>
  </si>
  <si>
    <t>Substituição de 01 (um) Seccionador, Posição Operacional 34S1-4, SUB ANGELIM</t>
  </si>
  <si>
    <t>0005728/2019</t>
  </si>
  <si>
    <t>Substituição de 01 (um) Seccionador, Posição Operacional 34S1-5, SUB ANGELIM</t>
  </si>
  <si>
    <t>0005731/2019</t>
  </si>
  <si>
    <t>Substituição de 01 (um) Para-Raio, Posição Operacional 74S1, Fase A, SUB ANGELIM</t>
  </si>
  <si>
    <t>0005734/2019</t>
  </si>
  <si>
    <t>Substituição de 01 (um) Transformador Potencial, Posição Operacional 84S1, Fase B, da SUB ANGELIM</t>
  </si>
  <si>
    <t>0005747/2019</t>
  </si>
  <si>
    <t>Substituição de 01 (um) Para-Raio, Posição Operacional 74S1, Fase B, SUB ANGELIM</t>
  </si>
  <si>
    <t>0005738/2019</t>
  </si>
  <si>
    <t>Substituição de 01 (um) Transformador Potencial, Posição Operacional 84S1, Fase A, da SUB ANGELIM</t>
  </si>
  <si>
    <t>0005742/2019</t>
  </si>
  <si>
    <t>Substituição de 01 (um) Para-Raio, Posição Operacional 74S1, Fase C, SUB ANGELIM</t>
  </si>
  <si>
    <t>0005741/2019</t>
  </si>
  <si>
    <t>Substituição de 01 (um) Transformador Potencial, Posição Operacional 84S1, Fase C, da SUB ANGELIM</t>
  </si>
  <si>
    <t>0005750/2019</t>
  </si>
  <si>
    <t>Substituição de 01 (um) Transformador Corrente, Posição Operacional 94S1, Fase A, SUB ANGELIM</t>
  </si>
  <si>
    <t>0005755/2019</t>
  </si>
  <si>
    <t>Substituição de 01 (um) Transformador Corrente, Posição Operacional 94S1, Fase B, SUB ANGELIM</t>
  </si>
  <si>
    <t>0005764/2019</t>
  </si>
  <si>
    <t>Substituição de 01 (um) Transformador Corrente, Posição Operacional 94S1, Fase C, SUB ANGELIM</t>
  </si>
  <si>
    <t>0005767/2019</t>
  </si>
  <si>
    <t>Substituição de 01 (um) Seccionador, Posição Operacional 34S2-4, SUB ANGELIM</t>
  </si>
  <si>
    <t>0005770/2019</t>
  </si>
  <si>
    <t>Substituição de 01 (um) Para-Raio, Posição Operacional 74T3, Fase A, SUB ANGELIM</t>
  </si>
  <si>
    <t>0005776/2019</t>
  </si>
  <si>
    <t>Substituição de 01 (um) Para-Raio, Posição Operacional 74T3, Fase B, SUB ANGELIM</t>
  </si>
  <si>
    <t>0005778/2019</t>
  </si>
  <si>
    <t>Substituição de 01 (um) Seccionador, Posição Operacional 34S2-5, SUB ANGELIM</t>
  </si>
  <si>
    <t>0005774/2019</t>
  </si>
  <si>
    <t>Substituição de 01 (um) Para-Raio, Posição Operacional 74T3, Fase C, SUB ANGELIM</t>
  </si>
  <si>
    <t>0005781/2019</t>
  </si>
  <si>
    <t>Substituição de 01 (um) Seccionador, Posição Operacional 34T5-4, SUB ANGELIM</t>
  </si>
  <si>
    <t>0005786/2019</t>
  </si>
  <si>
    <t>Substituição de 01 (um) Seccionador, Posição Operacional 34T5-5, SUB ANGELIM</t>
  </si>
  <si>
    <t>0005790/2019</t>
  </si>
  <si>
    <t>Substituição de 01 (um) Conjunto de Isoladores de Pedestal associado a EL 04M3 da SUB ANGELIM</t>
  </si>
  <si>
    <t>0005794/2019</t>
  </si>
  <si>
    <t>Substituição de 01 (um) Conjunto de Isoladores de Pedestal associado a EL 04M6 da SUB ANGELIM</t>
  </si>
  <si>
    <t>0005795/2019</t>
  </si>
  <si>
    <t>Substituição de 01 (um) Conjunto de Isoladores de Pedestal associado a EL 04M8 da SUB ANGELIM</t>
  </si>
  <si>
    <t>0005803/2019</t>
  </si>
  <si>
    <t>Substituição de 01 (um) Conjunto de Isoladores de Pedestal associado a EL 04M7 da SUB ANGELIM</t>
  </si>
  <si>
    <t>0005800/2019</t>
  </si>
  <si>
    <t>Substituição de 01 (um) Conjunto de Isoladores de Pedestal associado a EL 04N2 da SUB ANGELIM</t>
  </si>
  <si>
    <t>0005811/2019</t>
  </si>
  <si>
    <t>Substituição de 01 (um) Conjunto de Isoladores de Pedestal associado a EL 04M9 da SUB ANGELIM</t>
  </si>
  <si>
    <t>0005808/2019</t>
  </si>
  <si>
    <t>Substituição de 01 (um) Conjunto de Isoladores de Pedestal associado a EL 04S1 da SUB ANGELIM</t>
  </si>
  <si>
    <t>0005819/2019</t>
  </si>
  <si>
    <t>Substituição de 01 (um) Conjunto de Isoladores de Pedestal associado ao TR 04T5 da SUB ANGELIM</t>
  </si>
  <si>
    <t>0005827/2019</t>
  </si>
  <si>
    <t>Substituição de 01 (um) Conjunto de Isoladores de Pedestal associado a Interligação de Barras da SUB ANGELIM</t>
  </si>
  <si>
    <t>0005829/2019</t>
  </si>
  <si>
    <t>Substituição de 01 (um) Conjunto de Isoladores de Pedestal associado a EL 04S2 da SUB ANGELIM</t>
  </si>
  <si>
    <t>0005824/2019</t>
  </si>
  <si>
    <t>Substituição do conjunto de cadeias de isoladores de mesma classe de tensão, tipo, material e composição das estr: 100/1, 100/2, 100/3, 101/1, 101/2, 102/1, 102/2, 103/1, 103/2, 104/2, 105/2, 105/3, 106/1, 106/2, 107/1, 107/2, 107/3, 108/1, 108/3, 109/1, 109/2, 109/3, 110/2, 111/1, 111/2 = 25 Estr</t>
  </si>
  <si>
    <t>0005926/2019</t>
  </si>
  <si>
    <t>Substituição do conjunto de cadeias de isoladores de mesma classe de tensão, tipo, material e composição das estr: 112/1, 112/2, 113/1, 113/2, 114/1, 114/2, 115/1, 115/2, 116/1, 116/2, 117/2, 118/1, 118/2, 118/3B, 118/5 = 15 Estr</t>
  </si>
  <si>
    <t>0005930/2019</t>
  </si>
  <si>
    <t>LT 138 kV ACU II /SAN.MATOS II RN - 138</t>
  </si>
  <si>
    <t>Substituição do conjunto de cadeias de isoladores de mesma classe de tensão, tipo, material e composição das estr: 021/3, 022/1, 022/2, 022/3, 022/4, 022/5, 023/1, 023/2, 023/3, 024/1, 024/2, 024/3,  024/4, 024/5, 025/1, 025/2, 025/3, 025/4, 026/1, 026/2, 026/3, 026/4, 027/1, 027/2, 027/3 = 25 Estr</t>
  </si>
  <si>
    <t>0005959/2019</t>
  </si>
  <si>
    <t>Substituição do conjunto de cadeias de isoladores de mesma classe de tensão, tipo, material e composição das estr: 035/2, 035/3, 035/4, 036/1, 036/2, 036/3, 036/4, 037/1, 037/2, 037/3, 037/4, 038/1, 038/2, 038/3, 038/4, 039/1, 039/2, 039/3, 039/4, 039/5, 040/1, 040/2, 040/3, 041/1, 041/2 = 25 Estr</t>
  </si>
  <si>
    <t>0005966/2019</t>
  </si>
  <si>
    <t>Substituição do conjunto de cadeias de isoladores de mesma classe de tensão, tipo, material e composição das estr: 015/4, 016/1, 016/2, 016/3, 016/4, 017/1, 017/2, 017/3, 017/4, 018/1, 018/2, 018/3, 018/4, 019/1, 019/2, 019/3, 019/4, 019/5, 020/1, 020/2, 020/3, 020/4, 020/5, 021/1, 021/2 = 25 Estr</t>
  </si>
  <si>
    <t>0005957/2019</t>
  </si>
  <si>
    <t>Substituição do conjunto de cadeias de isoladores de mesma classe de tensão, tipo, material e composição das estr: 027/4, 028/1, 028/2, 028/4, 029/1, 029/2, 029/3, 030/1, 030/2, 030/3, 030/4, 031/1, 031/2, 032/1, 032/2, 032/3, 032/4, 033/1, 033/2, 033/3, 033/4, 034/1, 034/2, 034/2A, 035/1 = 25 Estr</t>
  </si>
  <si>
    <t>0005961/2019</t>
  </si>
  <si>
    <t>Substituição do conjunto de cadeias de isoladores de mesma classe de tensão, tipo, material e composição das estr: 047/3, 047/4, 047/5, 048/1, 048/2, 048/3, 048/4, 049/2, 049/3, 049/4, 050/1, 050/2, 050/3, 050/4, ACD, SMD = 16 Estr</t>
  </si>
  <si>
    <t>0005971/2019</t>
  </si>
  <si>
    <t>Substituição do conjunto de cadeias de isoladores de mesma classe de tensão, tipo, material e composição das estr: 041/3, 041/4, 042/1, 042/2, 042/3, 042/4, 042/4A, 043/2, 043/3, 043/4, 043/5, 043/6, 044/1, 044/2, 044/3, 045/1, 045/2, 045/3, 045/4, 046/1, 046/2, 046/3, 046/4, 047/1, 047/2 = 25 Estr</t>
  </si>
  <si>
    <t>0005969/2019</t>
  </si>
  <si>
    <t>Substituição do conjunto de cadeias de isoladores de mesma classe de tensão,tipo,material e composição das est: 427, 428, 429, 430, 431, 432, 433, 434, 435, 436, 437, 438, 439, 441, 442, 443, 444, 445, 446, 447, 449, 450, 451, 452, 453, 454, 455, 458, 459, 460, 461, 462, 463, 464, 465, 504 = 36 Est.</t>
  </si>
  <si>
    <t>0005982/2019</t>
  </si>
  <si>
    <t>Substituição do TC  LTGAIN1 STGA - Fase A com capacidade de 4000 A/31,5 kA por um de 4000 A/63 kA</t>
  </si>
  <si>
    <t>0005979/2019</t>
  </si>
  <si>
    <t>Substituição do conjunto de cadeias de isoladores de mesma classe de tensão,tipo,material e composição das est: 505, 506, 507, 508, 509, 511, 512, 513, 514, 515, 517, 518, 519, 520, 525, 526, 529, 530, 532, 534, 535, 538, 539, 540, 541, 543, 544, 546, 547, 548, 549, 550, 551, 552, 553, 554 = 36 Est</t>
  </si>
  <si>
    <t>0005993/2019</t>
  </si>
  <si>
    <t>LT 138 kV PILOES /PARAISO PB/RN - 138</t>
  </si>
  <si>
    <t>Substituição do conjunto de cadeias de isoladores de mesma classe de tensão, tipo, material e composição das estr: 493;494;495;496;497;499;500;504;505;506;507;508;509;511;512;513;514;515;516;518;519;520;524;525;526;527;528;529;529A;1/1;1/2;1/3;2/1;2/2;3/1;3/2;4/1;4/2;PRS = 39 Estr.</t>
  </si>
  <si>
    <t>0006025/2019</t>
  </si>
  <si>
    <t>Substituição do conjunto de cadeias de isoladores de mesma classe de tensão, tipo, material e composição das estr: 427;428;430;432;433;434;438;441;442;443;444;445;446;447;449;450;451;452;458;459;461;462;463;464;465;466;468;469;471;474;477;478;479;480;481;482;484;485;486;487;488;489;490;492 = 44 Estr</t>
  </si>
  <si>
    <t>0006020/2019</t>
  </si>
  <si>
    <t>Substituição do conjunto de cadeias de isoladores de mesma classe de tensão, tipo, material e composição das estr: 124/2;125/1;125/2;126/1;126/2;127/1;127/2;128/1;128/2;129/1;129/2;130/1;130/2;131/1;131/2;153/2;166/2;171/2;174/2;175/1;175/2;176/1;177/1 = 23 Estr.</t>
  </si>
  <si>
    <t>0006051/2019</t>
  </si>
  <si>
    <t>Substituição do conjunto de cadeias de isoladores de mesma classe de tensão, tipo, material e composição das estr: 040/2, 041/1, 041/2, 042/1, 042/2, 043/1, 043/2, 044/1, 045/1, 045/2, 046/1, 046/2, 047/1, 047/2, 048/1, 049/1, 049/2, 050/1, 050/2, 051/1, 052/1, 052/2, 053/1, 053/2, 054/1 = 25 Estr</t>
  </si>
  <si>
    <t>0006083/2019</t>
  </si>
  <si>
    <t>Substituição do conjunto de cadeias de isoladores de mesma classe de tensão, tipo, material e composição das estr: 070/1, 070/2, 070/3, 071/1, 071/2, 072/1, 072/2, 073/1, 073/2, 074/1, 074/2, 075/1, 075/2, 076/1, 076/2, 077/1, 077/2, 078/1, 078/2, 079/1, 080/1, 080/2, 081/1, 081/2, 110/1 = 25 Estr</t>
  </si>
  <si>
    <t>0006089/2019</t>
  </si>
  <si>
    <t xml:space="preserve"> LT Adrianópolis Jacarepaguá C1  - 345</t>
  </si>
  <si>
    <t>Tratamento de proteção anticorrosiva, para extensão de vida útil, em fundações do tipo grelha: 16 fundações metálicas (04 torres ao longo da LT) </t>
  </si>
  <si>
    <t xml:space="preserve"> LT 345 kV Adrianópolis - Jacarepaguá C1 </t>
  </si>
  <si>
    <t>0006073/2019</t>
  </si>
  <si>
    <t>Substituição do conjunto de cadeias de isoladores de mesma classe de tensão, tipo, material e composição das estr: 028/1, 028/2, 029/1, 029/2, 030/1, 030/2, 031/1, 031/2, 032/1, 032/2, 033/1, 034/1, 034/2, 035/1, 035/2, 036/1, 036/2, 036/3, 036/4, 037/1, 038/1, 038/2, 039/1, 039/2, 040/1 = 25 Estr</t>
  </si>
  <si>
    <t>0006082/2019</t>
  </si>
  <si>
    <t>LT Adrianópolis Jacarepaguá  C2  - 345</t>
  </si>
  <si>
    <t>LT 345 kV Adrianópolis - Jacarepaguá C2</t>
  </si>
  <si>
    <t>0006076/2019</t>
  </si>
  <si>
    <t>Substituição do conjunto de cadeias de isoladores de mesma classe de tensão, tipo, material e composição das estr: 110/2, 111/1, 111/2, 112/1, 112/2, 113/1, 113/2,114/1, 114/2, 115/1, 115/2, 116/1, 116/2, 117/1, 117/2, 118/1, 118/2, 119/1, 119/2, 120/1, 120/2, 121/1, 121/2, 122/1, 122/2 = 25 Estr</t>
  </si>
  <si>
    <t>0006091/2019</t>
  </si>
  <si>
    <t>Substituição do conjunto de cadeias de isoladores de mesma classe de tensão, tipo, material e composição das estr: 123/1, 124/1, 124/2, 125/1, 125/2, 126/1, 126/2, 127/1, 127/2, 128/1, 128/2, 129/1, 129/2, 130/1, 130/2, 130/3, 131/1, 131/2, 132/1, 132/2, 133/1, 133/2, ACD, PRS = 24 Estr</t>
  </si>
  <si>
    <t>0006093/2019</t>
  </si>
  <si>
    <t xml:space="preserve"> LT 230 kV BARRA PEIXE /RONDONOPOLIS C-1 MT - 230</t>
  </si>
  <si>
    <t>Desenvolver, adquirir e instalar dispositivo de proteção de cadeias de isoladores contra fezes de aves em 538 estruturas.</t>
  </si>
  <si>
    <t>LT 230 kV BARRA PEIXE /RONDONOPOLIS C-1 MT</t>
  </si>
  <si>
    <t>0006160/2019</t>
  </si>
  <si>
    <t>USI M. MORAES - 13,8</t>
  </si>
  <si>
    <t>Substituição da secionadora SC2053.</t>
  </si>
  <si>
    <t>UG-05</t>
  </si>
  <si>
    <t>0006459/2019</t>
  </si>
  <si>
    <t>Substituição da secionadora SC2063.</t>
  </si>
  <si>
    <t>UG-06</t>
  </si>
  <si>
    <t>0006461/2019</t>
  </si>
  <si>
    <t>Substituição da secionadora SC2083.</t>
  </si>
  <si>
    <t>UG-08</t>
  </si>
  <si>
    <t>0006466/2019</t>
  </si>
  <si>
    <t>Substituição da secionadora SC2073.</t>
  </si>
  <si>
    <t>UG-07</t>
  </si>
  <si>
    <t>0006463/2019</t>
  </si>
  <si>
    <t xml:space="preserve">Substituição de 01(um) Disjuntor de 230 kV -GMDJ6 11 - associado a função BANCO DE CAPACITORES GMBC6-01 da Subestação Guamá. </t>
  </si>
  <si>
    <t>0006498/2019</t>
  </si>
  <si>
    <t>LT 500 kV USI XINGO /JARDIM AL/SE - 500</t>
  </si>
  <si>
    <t>Substituição do conjunto de cadeias de isoladores de mesma classe de tensão, tipo, material e composição das estruturas: 132/1 131/2 131/1 130/2 130/1 129/3 129/2 129/1 128/1 127/3 127/2 127/1 126/2 126/1 125/2 125/1 124/2 124/1 123/2 123/1 122/2 122/1 121/2 121/1 120/1 119/3 119/2(27 estruturas)</t>
  </si>
  <si>
    <t>FT LT 500 kV USINA XINGO /JARDIM C-1 AL/SE</t>
  </si>
  <si>
    <t>0006528/2019</t>
  </si>
  <si>
    <t>Substituição do conjunto de cadeias de isoladores de mesma classe de tensão, tipo, material e composição das estruturas: 160/2 160/1 159/2 159/1 158/2 158/1 157/2 157/1 156/2 156/1 155/2 155/1 154/2 154/1 153/2 153/1 152/1 151/2 151/1 150/2 149/3 150/1 149/2 149/1 148/2 148/1 147/2(27 estruturas)</t>
  </si>
  <si>
    <t>0006521/2019</t>
  </si>
  <si>
    <t>Substituição do conjunto de cadeias de isoladores de mesma classe de tensão, tipo, material e composição das estruturas: 147/1 146/2 146/1 145/2 145/1 144/1 143/2 143/1 142/1 141/2 141/1 140/1 139/3 139/2 139/1 138/1 137/2 137/1 136/2 136/1 135/2 135/1 134/1 133/2 133/1 132/3 132/2(27 estruturas)</t>
  </si>
  <si>
    <t>0006525/2019</t>
  </si>
  <si>
    <t xml:space="preserve">Revitalização geral com substituição de componentes do mecanismo de acionamento de abertura e fechamento de 01(um) Disjuntor de 230 kV -GMDJ6 11 - associado a função BANCO DE CAPACITORES GMBC6-01 da Subestação Guamá. </t>
  </si>
  <si>
    <t>0006574/2019</t>
  </si>
  <si>
    <t xml:space="preserve">Revitalização geral com substituição de componentes do mecanismo de acionamento de abertura e fechamento  01(um) Disjuntor de 230 kV ( GMDJ6 12 ) associado a função BANCO DE CAPACITORES GMBC6-02 da Subestação Guamá. </t>
  </si>
  <si>
    <t>0006589/2019</t>
  </si>
  <si>
    <t>0006594/2019</t>
  </si>
  <si>
    <t>Revitalização geral com substituição de componentes do mecanismo de acionamento de abertura e fechamento de 01(um) Disjuntor de 230KV -(UGDJ6-19)  - associado a função BANCO DE CAPACITORES UGBC6-04 da Subestação Utinga</t>
  </si>
  <si>
    <t>0006657/2019</t>
  </si>
  <si>
    <t>Revitalização geral com substituição de componentes do mecanismo de acionamento de abertura e fechamento de 01(um) Disjuntor de 230KV -(UGDJ6-18)  - associado a função BANCO DE CAPACITORES UGBC6-03 da Subestação Utinga</t>
  </si>
  <si>
    <t>0006653/2019</t>
  </si>
  <si>
    <t>Revitalização geral com substituição de componentes do mecanismo de acionamento de abertura e fechamento de 01(um) Disjuntor de 230KV -(MMDJ6-01)  - associado a função TRANSFORMAÇÃO MMTF601.</t>
  </si>
  <si>
    <t>TRANSFORMAÇÃO MMTF601</t>
  </si>
  <si>
    <t>0006661/2019</t>
  </si>
  <si>
    <t>SUBSTITUIÇÃO DO SISTEMA DE PROTEÇÃO DO TERMINAL AGL DA LT 04M4 AGL/TAC 230KV</t>
  </si>
  <si>
    <t>0006666/2019</t>
  </si>
  <si>
    <t>SUBSTITUIÇÃO DO SISTEMA DE PROTEÇÃO DO TERMINAL AGL DA LT 04M5 AGL/TAC 230KV</t>
  </si>
  <si>
    <t>0006674/2019</t>
  </si>
  <si>
    <t>SUBSTITUIÇÃO DO SISTEMA DE PROTEÇÃO DO TERMINAL AGL DA LT 04M8 AGL/MSI 230KV</t>
  </si>
  <si>
    <t>0006687/2019</t>
  </si>
  <si>
    <t>SUBSTITUIÇÃO DO SISTEMA DE PROTEÇÃO DO TERMINAL AGL DA LT 04M7 AGL/MSI 230KV</t>
  </si>
  <si>
    <t>0006685/2019</t>
  </si>
  <si>
    <t>SUBSTITUIÇÃO DO SISTEMA DE PROTEÇÃO DO TERMINAL AGL DA LT 04M6 AGL/TAC 230KV</t>
  </si>
  <si>
    <t>0006682/2019</t>
  </si>
  <si>
    <t>SUBSTITUIÇÃO DO SISTEMA DE PROTEÇÃO DO TERMINAL AGL DA LT 04S1 AGL/RIB 230KV</t>
  </si>
  <si>
    <t>0006695/2019</t>
  </si>
  <si>
    <t>SUBSTITUIÇÃO DO SISTEMA DE PROTEÇÃO DO TERMINAL AGL DA LT 04M9 AGL/MSI 230KV</t>
  </si>
  <si>
    <t>0006691/2019</t>
  </si>
  <si>
    <t>LT 500 kV P. AFONSO IV /OLINDINA BA - 500</t>
  </si>
  <si>
    <t>Substituir 9 cadeias de isoladores de mesma classe tensão-tipo-material-composição das 3 est 206/2;207/1;212/2</t>
  </si>
  <si>
    <t>FT LT 500 kV P. AFONSO IV /OLINDINA C-1 BA</t>
  </si>
  <si>
    <t>0006744/2019</t>
  </si>
  <si>
    <t>Substituição do conjunto de cadeias de isoladores de mesma classe de tensão, tipo, material e composição das estruturas: 241/3 241/4 242/1 242/2 242/3 243/1 243/2 243/3 244/1 244/2 244/3 244/4 245/1 245/2 245/3 246/1 246/2 246/3 247/1 247/2 247/3 247/4 248/1 248/2 248/3 249/1 249/2(27 estruturas)</t>
  </si>
  <si>
    <t>0006742/2019</t>
  </si>
  <si>
    <t>Substituição de bobina de bloqueio</t>
  </si>
  <si>
    <t>0006808/2019</t>
  </si>
  <si>
    <t>0006813/2019</t>
  </si>
  <si>
    <t>0006825/2019</t>
  </si>
  <si>
    <t>0006816/2019</t>
  </si>
  <si>
    <t>0006820/2019</t>
  </si>
  <si>
    <t>Substituição de teleproteção digital</t>
  </si>
  <si>
    <t>0006844/2019</t>
  </si>
  <si>
    <t>LT 500 kV OLINDINA /CAMACARI II BA - 500</t>
  </si>
  <si>
    <t>Substituição do conjunto de cadeias de isoladores de mesma classe de tensão, tipo, material e composição das estruturas: 110/3 111/1 111/2 112/1 112/2 112/3 113/1 113/2 114/1 115/1 115/2 115/3 116/1 116/2 116/3 117/1 117/2 118/1 118/2 118/3 119/1 119/2 120/1 120/2 121/1 122/1 122/2(27 estruturas)</t>
  </si>
  <si>
    <t>FT LT 500 kV OLINDINA /CAMACARI II C-2 BA</t>
  </si>
  <si>
    <t>0006854/2019</t>
  </si>
  <si>
    <t>Substituição do conjunto de cadeias de isoladores de mesma classe de tensão, tipo, material e composição das estruturas: 123/1 123/2 123/3 124/1 124/2 125/1 125/2 125/3 126/1 126/2 127/1 127/2 128/1 128/2 129/1 129/2 130/1 130/2 130/3 131/1 132/1 132/2 133/1 133/2 133/3 134/1 134/2(27 estruturas)</t>
  </si>
  <si>
    <t>0006852/2019</t>
  </si>
  <si>
    <t>Substituição do conjunto de cadeias de isoladores de mesma classe de tensão, tipo, material e composição das estruturas:33/1 33/2 135/1 135/2 136/1 136/2 137/1 137/2 138/1 138/2 139/1 139/2 140/1 140/2 141/1 141/2 142/1 142/2 143/1 143/2 144/1 144/2 145/1 145/2 146/1 146/2 146/3 146/4(28 estruturas)</t>
  </si>
  <si>
    <t>0006850/2019</t>
  </si>
  <si>
    <t>Substituição do conjunto de cadeias de isoladores de mesma classe de tensão, tipo, material e composição das estruturas: 51/1 51/2 51/3 69/2 70/1 70/2 71/1 71/2 72/1 72/2 73/1 73/2 74/1 74/2 75/1 75/2 76/1 76/2 77/1 77/2 78/1 78/2 78/3 79/1 79/2 79/3 80/1 80/2 80/3 81/1 81/2 82/1 82/2(33 estruturas)</t>
  </si>
  <si>
    <t>0006861/2019</t>
  </si>
  <si>
    <t>Substituição do conjunto de cadeias de isoladores de mesma classe de tensão, tipo, material e composição das estruturas: 35/2 35/3 36/1 36/2 37/1 37/2 38/1 38/2 39/1 39/2 39/3 40/1 40/2 41/1 41/2 42/1 43/1 43/2 43/3 44/1 44/2 45/1 45/2 46/1 46/2 47/1 47/2 48/1 48/2 49/1 49/2 50/1 50/2(33 estruturas)</t>
  </si>
  <si>
    <t>0006865/2019</t>
  </si>
  <si>
    <t>Substituição do conjunto de cadeias de isoladores de mesma classe de tensão, tipo, material e composição das estruturas: 98/1 98/2 98/3 99/1 99/2 100/1 100/2 101/1 101/2 102/1 102/2 103/1 103/2 104/1 104/2 105/1 105/2 106/1 106/2 106/3 107/1 107/2 108/1 108/2 109/1 109/2 110/1 110/2(28 estruturas)</t>
  </si>
  <si>
    <t>0006855/2019</t>
  </si>
  <si>
    <t>Substituição do conjunto de cadeias de isoladores de mesma classe de tensão, tipo, material e composição das estruturas: 1 2 3 4 5 6 7 8 9 10 11 12 13 14 15 16 17 18 19 20 21 22 23 24 25 26 27 28 29 30 31 32 33 34 35 36 37 38 39 40 41 42 43 44 45 46 47 48 49 50 51 52 53 54 55 56 57 58(58 estruturas)</t>
  </si>
  <si>
    <t>FT LT 500 kV OLINDINA /CAMACARI II C-1 BA</t>
  </si>
  <si>
    <t>0006878/2019</t>
  </si>
  <si>
    <t>Substituição do conjunto de cadeias de isoladores de mesma classe de tensão tipo material e composição das estruturas: 59 60 61 62 63 64 65 66 67 68 69 70 71 72 73 74 75 76 77 78 79 80 81 82 83 84 85 86 87 88 89 90 91 92 93 94 95 96 97 98 99 100 101 102 104 105 106 107 108 109 110 111(52 estruturas)</t>
  </si>
  <si>
    <t>0006881/2019</t>
  </si>
  <si>
    <t>Substituição do conjunto de cadeias de isoladores de mesma classe de tensão, tipo, material e composição das estruturas: 153 154 155 156 157 158 159 160 161 162 163 219 220 221 222 223 224 225 226 227 228 229 230 231 232 233 234 235 236 237 238 239 240 241 242 243 244 245 246 247 248(41 estruturas)</t>
  </si>
  <si>
    <t>0006886/2019</t>
  </si>
  <si>
    <t>Substituição do conjunto de cadeias de isoladores de mesma classe de tensão, tipo, material e composição das estruturas: 112 113 114 115 116 117 118 119 120 121 122 123 124 125 126 127 128 129 130 131 132 133 134 135 136 137 138 139 140 141 142 143 144 145 146 147 148 149 150 151 152(41 estruturas)</t>
  </si>
  <si>
    <t>0006884/2019</t>
  </si>
  <si>
    <t>Substituição do conjunto de cadeias de isoladores de mesma classe de tensão, tipo, material e composição das estruturas: 249 250 251 252 253 254 255 256 257 258 259 260 261 262 263 264 265 266 267 268 269 270 271 272 273 274 275 276 277 278 279 280 281 282 283 284 285 286 287 288 289(41 estruturas)</t>
  </si>
  <si>
    <t>0006890/2019</t>
  </si>
  <si>
    <t>Substituição do conjunto de cadeias de isoladores de mesma classe de tensão, tipo, material e composição das estruturas: 331 332 333 334 335 336 337 338 339 340 341 342 343 344 345 346 347 348 349 350 351 352 353 354 355 356 357 358 359 360 361 362 363 364 365 366 367 368 369 370 371(41 estruturas)</t>
  </si>
  <si>
    <t>0006898/2019</t>
  </si>
  <si>
    <t>Substituição do conjunto de cadeias de isoladores de mesma classe de tensão, tipo, material e composição das estruturas: 372 373 374 375 376 377 378 379 380 381 382 383 384 385 386 387 388 389 390 391 392 393 394 395 396 397 398 399 400 401 402 403 404 405 406 407 408 409 410 411 412(41 estruturas)</t>
  </si>
  <si>
    <t>0006902/2019</t>
  </si>
  <si>
    <t>Substituição do conjunto de cadeias de isoladores de mesma classe de tensão, tipo, material e composição das estruturas: 290 291 292 293 294 295 296 297 298 299 300 301 302 303 304 305 306 307 308 309 310 311 312 313 314 315 316 317 318 319 320 321 322 323 324 325 326 327 328 329 330(41 estruturas)</t>
  </si>
  <si>
    <t>0006895/2019</t>
  </si>
  <si>
    <t>Substituição do conjunto de cadeias de isoladores de mesma classe de tensão, tipo, material e composição das estruturas: 413 414 415 416 417 418 419 420 421 422 423 424 425 426 427 428 429 430 431 432 433 434 435 436 437 438 (26 estruturas)</t>
  </si>
  <si>
    <t>0006904/2019</t>
  </si>
  <si>
    <t>LT 230 kV ITABAIANINHA /CATU SE/BA - 230</t>
  </si>
  <si>
    <t>Substituir 78 cadeias de isoladores de mesma classe tensão-tipo-material-composição das 26 est 41/2;43/1;44/1;44/2;45/1;45/2;46/1;46/2;46/3;47/1;47/2;48/1;48/2;49/1;49/2;49/3;50/1;50/2;51/1;51/2;51/3;52/1;52/2;53/2;54/1;55/1</t>
  </si>
  <si>
    <t>FT LT 230 kV ITABAIANINHA /CATU C-1 SE/BA</t>
  </si>
  <si>
    <t>0006920/2019</t>
  </si>
  <si>
    <t>Substituir 54 cadeias de isoladores de mesma classe tensão-tipo-material-composição das 18 est 55/2;56/1;56/2;58/2;59/2;60/1;60/2;60/3;61/1;61/2;62/1;62/2;65/1;65/3;66/1;66/2;66/3;69/2</t>
  </si>
  <si>
    <t>0006923/2019</t>
  </si>
  <si>
    <t>Substituir 81 cadeias de isoladores de mesma classe tensão-tipo-material-composição das 27 est 15/1;15/2;16/1;16/2;16/3;17/2;17/3;18/1;18/2;18/3;19/1;20/1;20/2;20/3;21/1;21/2;21/3;22/1;22/2;24/1;24/2;25/1;25/2;26/1;26/2;27/1;27/2</t>
  </si>
  <si>
    <t>0006913/2019</t>
  </si>
  <si>
    <t>Substituir 84 cadeias de isoladores de mesma classe tensão-tipo-material-composição das 28 est 69/3;70/1;70/2;71/1;71/2;71/3;72/1;72/2;72/3;73/1;73/2;73/3;74/1;74/2;74/3;75/1;75/2;76/1;76/2;77/1;78/1;79/1;79/2;79/3;80/3;81/1;81/2;82/1</t>
  </si>
  <si>
    <t>0006926/2019</t>
  </si>
  <si>
    <t>Substituir 72 cadeias de isoladores de mesma classe tensão-tipo-material-composição das 24 est 28/2;29/2;29/3;30/1;30/2;30/3;31/2;31/3;32/1;33/2;34/1;34/2;35/2;36/2;36/3;37/1;37/2;38/1;38/2;38/3;39/2;39/3;40/1;40/2</t>
  </si>
  <si>
    <t>0006914/2019</t>
  </si>
  <si>
    <t>Substituir 72 cadeias de isoladores de mesma classe tensão-tipo-material-composição das 24 est 122/1;122/2;123/1;124/1;124/2;125/1;125/3;126/1;126/2;127/1;127/2;128/1;128/2;128/3;129/2;130/1;130/2;131/1;131/2;132/2;133/1;133/2;134/1;134/2</t>
  </si>
  <si>
    <t>0006950/2019</t>
  </si>
  <si>
    <t>Substituir 72 cadeias de isoladores de mesma classe tensão-tipo-material-composição das 24 est 109/1;110/1;110/2;110/3;111/1;111/2;112/1;112/2;113/1;113/2;114/1;115/1;115/2;115/3;116/1;117/2;118/1;119/1;119/2;120/1;120/2;121/1;121/2;121/3</t>
  </si>
  <si>
    <t>0006944/2019</t>
  </si>
  <si>
    <t>Substituir 75 cadeias de isoladores de mesma classe tensão-tipo-material-composição das 25 est 83/1;83/2;84/1;86/1;87/2;87/3;88/1;88/2;89/1;89/2;90/1;90/2;90/3;91/1;91/2;92/1;93/1;93/2;94/1;94/2;95/1;95/2;95/3;96/1;96/2</t>
  </si>
  <si>
    <t>0006930/2019</t>
  </si>
  <si>
    <t>Substituição do conjunto de cadeias de isoladores de mesma classe de tensão, tipo, material e composição das estruturas: 96/3 97/1 97/2 98/1 98/2 98/3 99/1 99/2 100/1 100/2 100/3 101/1 101/2 101/3 102/1 103/1 103/2 103/3 104/1 105/1 105/2 106/1 106/2 107/1 107/2 108/1 108/2 108/3(28 estruturas)</t>
  </si>
  <si>
    <t>0006938/2019</t>
  </si>
  <si>
    <t>Substituir 69 cadeias de isoladores de mesma classe tensão-tipo-material-composição das 23 est 135/1;136/1;136/2;136/3;137/1;137/2;138/1;138/2;138/3;139/1;139/2;140/1;140/2;140/3;140/5;141/1;141/2;141/3;142/1;142/2;143/1;143/2;144/1</t>
  </si>
  <si>
    <t>0006953/2019</t>
  </si>
  <si>
    <t>0006983/2019</t>
  </si>
  <si>
    <t>0006990/2019</t>
  </si>
  <si>
    <t>Instalação de sistemas de monitoramento on-line de gases dissolvido no óleo, no transformador CTTF-05-FASE A da subestação Coletora, em Porto Velho RO.</t>
  </si>
  <si>
    <t>0007001/2019</t>
  </si>
  <si>
    <t>Instalação de sistemas de monitoramento on-line de gases dissolvido no óleo, no transformador CTTF-05-FASE B da subestação Coletora, em Porto Velho RO.</t>
  </si>
  <si>
    <t>0007005/2019</t>
  </si>
  <si>
    <t>Instalação de sistemas de monitoramento on-line de gases dissolvido no óleo, no transformador CTTF-05-FASE V da subestação Coletora, em Porto Velho RO.</t>
  </si>
  <si>
    <t>0007008/2019</t>
  </si>
  <si>
    <t>0007017/2019</t>
  </si>
  <si>
    <t>Instalação de sistemas de monitoramento on-line de gases dissolvido no óleo, no transformador CTTF-06-FASE A da subestação Coletora, em Porto Velho RO.</t>
  </si>
  <si>
    <t>0007010/2019</t>
  </si>
  <si>
    <t>Instalação de sistemas de monitoramento on-line de gases dissolvido no óleo, no transformador CTTF-06-FASE V da subestação Coletora, em Porto Velho RO.</t>
  </si>
  <si>
    <t>0007019/2019</t>
  </si>
  <si>
    <t>Instalação de sistemas de monitoramento on-line de gases dissolvido no óleo, no transformador CTTF-06-FASE B da subestação Coletora, em Porto Velho RO.</t>
  </si>
  <si>
    <t>0007015/2019</t>
  </si>
  <si>
    <t>0007030/2019</t>
  </si>
  <si>
    <t>Instalação de sistemas de monitoramento on-line de gases dissolvido no óleo, no transformador CTTF-10 da subestação Coletora, em Porto Velho RO.</t>
  </si>
  <si>
    <t>0007060/2019</t>
  </si>
  <si>
    <t>Instalação de sistemas de monitoramento on-line de gases dissolvido no óleo, no transformador CTTF-08  da subestação Coletora, em Porto Velho RO.</t>
  </si>
  <si>
    <t>0007054/2019</t>
  </si>
  <si>
    <t>Instalação de sistemas de monitoramento on-line de gases dissolvido no óleo, no transformador CTTF-09 da subestação Coletora, em Porto Velho RO.</t>
  </si>
  <si>
    <t>0007057/2019</t>
  </si>
  <si>
    <t>Instalação de sistemas de monitoramento on-line de gases dissolvido no óleo, no transformador CTTF-11 da subestação Coletora, em Porto Velho RO.</t>
  </si>
  <si>
    <t>0007064/2019</t>
  </si>
  <si>
    <t>Instalação de sistemas de monitoramento on-line de gases dissolvido no óleo, no transformador TF1Y FASE A da subestação Araraquara II, em Araraquara - SP.</t>
  </si>
  <si>
    <t>0007089/2019</t>
  </si>
  <si>
    <t>Instalação de sistemas de monitoramento on-line de gases dissolvido no óleo, no transformador TF1D FASE A da subestação Araraquara II, em Araraquara - SP.</t>
  </si>
  <si>
    <t>0007075/2019</t>
  </si>
  <si>
    <t>Instalação de sistemas de monitoramento on-line de gases dissolvido no óleo, no transformador TF1D FASE C da subestação Araraquara II, em Araraqiara - SP.</t>
  </si>
  <si>
    <t>0007082/2019</t>
  </si>
  <si>
    <t>Instalação de sistemas de monitoramento on-line de gases dissolvido no óleo, no transformador TF1D FASE B da subestação Araraquara II, em Araraquara - SP.</t>
  </si>
  <si>
    <t>0007079/2019</t>
  </si>
  <si>
    <t>Instalação de sistemas de monitoramento on-line de gases dissolvido no óleo, no transformador TF1Y FASE B da subestação Araraquara II, em Araraquara - SP.</t>
  </si>
  <si>
    <t>0007093/2019</t>
  </si>
  <si>
    <t>Instalação de sistemas de monitoramento on-line de gases dissolvido no óleo, no transformador TF2D FASE A da subestação Araraquara II, em Araraquara - SP.</t>
  </si>
  <si>
    <t>0007100/2019</t>
  </si>
  <si>
    <t>Instalação de sistemas de monitoramento on-line de gases dissolvido no óleo, no transformador TF2D FASE C  da subestação Araraquara II, em Araraquara - SP.</t>
  </si>
  <si>
    <t>0007108/2019</t>
  </si>
  <si>
    <t>Instalação de sistemas de monitoramento on-line de gases dissolvido no óleo, no transformador TF2D FASE B da subestação Araraquara II, em Araraquara - SP.</t>
  </si>
  <si>
    <t>0007103/2019</t>
  </si>
  <si>
    <t>Instalação de sistemas de monitoramento on-line de gases dissolvido no óleo, no transformador TF1Y FASE C da subestação Araraquara II, em Araraqiara - SP.</t>
  </si>
  <si>
    <t>0007095/2019</t>
  </si>
  <si>
    <t>Instalação de sistemas de monitoramento on-line de gases dissolvido no óleo, no transformador TF2Y FASE A da subestação Araraquara II, em Araraquara - SP.</t>
  </si>
  <si>
    <t>0007112/2019</t>
  </si>
  <si>
    <t>NOVA STA RITA</t>
  </si>
  <si>
    <t>Substituição de 3 Transformadores de Corrente do vão TR 525 / 230 kV NOVA STA RITA 2 RS (TCs associados ao DJ762).
Capacidade nominal de curto-circuito do novo equipamento (kA): 63 kA.
Associado à obra são esperadas substituições/adaptações de fundações, suportes, caixa de junção, cabos, barramento, conectores e conexão de aterramento. Funções do TC: proteção e medição.</t>
  </si>
  <si>
    <t>TR 525 / 230 kV NOVA STA RITA 2 RS</t>
  </si>
  <si>
    <t>0000270/2021</t>
  </si>
  <si>
    <t>TC DJ762</t>
  </si>
  <si>
    <t>Substituição de 3 Transformadores de Corrente do vão TR 525 / 230 kV NOVA STA RITA 3 RS (TCs associados ao DJ792).
Capacidade nominal de curto-circuito do novo equipamento (kA): 63 kA.
Associado à obra são esperadas substituições/adaptações de fundações, suportes, caixa de junção, cabos, barramento, conectores e conexão de aterramento. Funções do TC: proteção e medição.</t>
  </si>
  <si>
    <t>TR 525 / 230 kV NOVA STA RITA 3 RS</t>
  </si>
  <si>
    <t>0000271/2021</t>
  </si>
  <si>
    <t>TC DJ792</t>
  </si>
  <si>
    <t>Substituição de 3 Transformadores de Corrente do vão TR 525 / 230 kV NOVA STA RITA 4 RS (TCs associados ao DJ842). Capacidade nominal de curto-circuito do novo equipamento (kA): 63 kA.
Associado à obra são esperadas substituições/adaptações de fundações, suportes, caixa de junção, cabos, barramento, conectores e conexão de aterramento. Funções do TC: proteção e medição.</t>
  </si>
  <si>
    <t>TR 525 / 230 kV NOVA STA RITA 4 RS</t>
  </si>
  <si>
    <t>0000272/2021</t>
  </si>
  <si>
    <t>TC DJ842</t>
  </si>
  <si>
    <t>Desativação do CER 2x(+100/-70) Mvar (Fim de Vida Util). Associado aos módulos: MC 230 kV CE 100/-70 MvAr FORTALEZA CE1 CE CE2, CE 100/-70 Mvar FORTALEZA CE2 CE e CE 100/-70 MvAr FORTALEZA CE1 CE.</t>
  </si>
  <si>
    <t>CE 2X(100/-70) Mvar FORTALEZA CE1+CE2 CE</t>
  </si>
  <si>
    <t>0000249/2021</t>
  </si>
  <si>
    <t>CE1 e CE2</t>
  </si>
  <si>
    <t>Desativação do setor de 69 kV da Camaçari II e dos transformadores T5 e T6 existentes de 230/69 kV - 100/107 MVA (vida útil esgota em 2020). 
Associada a implantação do novo setor de 69 kV, Lote 10 do Leilão Nº 02/2019-ANEEL.</t>
  </si>
  <si>
    <t>MG CAMACARI II / CCO-2001-061 - RB</t>
  </si>
  <si>
    <t>0000251/2021</t>
  </si>
  <si>
    <t>T5 e T6</t>
  </si>
  <si>
    <t>Desativação  pátio de 69 kV, incluindo TR3 230/69 kV, transformador reserva (TRR1) 230/69 kV, EL 69 kV Caxias do Sul 5 - Caxias do Sul 2 C-1, EL 69 kV Caxias do Sul 5 - Caxias do Sul 1 C-1, EL 69 kV Caxias do Sul 5 - Flores da Cunha C-1 e equipamentos referentes ao Módulo Geral de 69 kV (Infraestrutura, barramentos e Interligador de Barras). Associados aos módulos: MG 69 kV CAXIAS DO SUL 5, TR 230/69 kV CAXIAS SUL 5 TR3 RS, MC 230 kV TR 230/69 kV CAXIAS SUL 5 TR3 RS, MC 69 kV TR 230/69 kV CAXIAS SUL 5 TR3 RS, TR 230/69 kV CAXIAS SUL 5 TRR1 RS, LT 69 kV CAXIAS DO SUL 5 / CAXIAS DO SUL 1 C-1 RS, LT 69 kV CAXIAS DO SUL 5 / CAXIAS DO SUL 2 C-1 RS e LT 69 kV CAXIAS DO SUL 5 / FLORES DA CUNHA C-1 RS.</t>
  </si>
  <si>
    <t>MG CAXIAS SUL 5 / CCO-2001-057 - RB</t>
  </si>
  <si>
    <t>0000253/2021</t>
  </si>
  <si>
    <t>setor 69 kV</t>
  </si>
  <si>
    <t>CHARQUEADAS</t>
  </si>
  <si>
    <t>Desativação do pátio de 69 kV, incluindo desativação de TR5 230/69 kV, EL 69 kV Charqueadas - Charqueadas 2 C-1,  EL 69 kV Charqueadas - Guaíba 1 C-1, EL 69 kV Charqueadas - Taquari C-1, EL 69 kV Charqueadas - Triunfo C-1 e equipamentos referentes ao Módulo Geral do pátio de 69 kV (Infraestrutura, barramentos e Interligador de Barras), exceto o setor que atende ao consumidor livre GERDAU. 
Associados aos módulos: TR 230/69 kV CHARQUEADAS TR5 RS, MC 69 kV TR 230/69 kV CHARQUEADAS TR5 RS, MC 230 kV TR 230/69 kV CHARQUEADAS TR5 RS, EL 69 kV CHARQUEADAS LT 69 kV CHARQUEADAS 2 /CHARQUEADAS C-1 RS, EL 69 kV CHARQUEADAS LT 69 kV GUAIBA /CHARQUEADAS C-1 RS, EL 69 kV CHARQUEADAS LT 69 kV TRIUNFO /CHARQUEADAS C-1 RS, EL 69 kV CHARQUEADAS LT 69 kV TAQUARI /CHARQUEADAS C-1 RS e EL 69 kV CHARQUEADAS LT 69 kV SAO JERONIMO /CHARQUEADAS C-1 RS.</t>
  </si>
  <si>
    <t>MG CHARQUEADAS / CCO-2001-057 - RB</t>
  </si>
  <si>
    <t>0000254/2021</t>
  </si>
  <si>
    <t>Substituição de 6 Seccionadoras associadas do vão TR 525 / 230 kV NOVA STA RITA 4 RS (Seccionadoras CS841, CS843, CS845, CS847, CS849 e CS849R). Capacidade nominal de curto-circuito do novo equipamento (kA): 63 kA.
Associado a esta obra são esperadas substituições/adaptações de fundações, suportes, cabos de controle e potência, barramento, conectores e conexão do aterramento.</t>
  </si>
  <si>
    <t>0000287/2021</t>
  </si>
  <si>
    <t>CS841 / CS843 / CS845 / CS847 / CS849 / CS849R</t>
  </si>
  <si>
    <t>Crista da Corrente de Curto-Circuito</t>
  </si>
  <si>
    <t>Substituição de 6 Seccionadoras associadas do vão TR 525 / 230 kV NOVA STA RITA 3 RS (Seccionadoras CS791, CS793, CS795, CS797, CS799 e CS799R). Capacidade nominal de curto-circuito do novo equipamento (kA): 63 kA.
Associado a esta obra são esperadas substituições/adaptações de fundações, suportes, cabos de controle e potência, barramento, conectores e conexão do aterramento.</t>
  </si>
  <si>
    <t>0000289/2021</t>
  </si>
  <si>
    <t>CS791 / CS793 / CS795 / CS797 / CS799 / CS799R</t>
  </si>
  <si>
    <t>C.NOVOS</t>
  </si>
  <si>
    <t>Substituição de 2 Seccionadoras associadas do vão MG CAMPOS NOVOS (Seccionadoras CS751 e CS753).
Capacidade nominal de curto-circuito do novo equipamento (kA): 63 kA.</t>
  </si>
  <si>
    <t>MG C.NOVOS / CCO-2001-057 - RB</t>
  </si>
  <si>
    <t>0000290/2021</t>
  </si>
  <si>
    <t>CS751 / CS753</t>
  </si>
  <si>
    <t>Substituição de 2 Seccionadoras associadas ao vão LT 230 kV SIDEROPOL ESUL / J.LACERDA B C-1 (Seccionadoras CS711 e CS713). Associado a esta obra são esperadas substituições/adaptações de fundações, suportes, cabos de controle e potência, barramento, conectores e conexão do aterramento. Capacidade nominal de curto-circuito (kA): no mínimo 40 kA.</t>
  </si>
  <si>
    <t>LT 230 kV SIDEROPOL ESU / J.LACERDA B C-1 SC</t>
  </si>
  <si>
    <t>0000297/2021</t>
  </si>
  <si>
    <t>CS711 / CS713</t>
  </si>
  <si>
    <t>Substituição de 1 Disjuntor do vão TF2 525/230/13,8 kV (DJ762) da SE Nova Santa Rita. Capacidade nominal de curto-circuito do novo equipamento (kA): 63 kA.
Associado a esta obra são esperadas substituições/adaptações de fundações, suportes, cabos de controle e potência, barramento, conectores e conexão do aterramento.</t>
  </si>
  <si>
    <t>0000333/2021</t>
  </si>
  <si>
    <t>DJ762</t>
  </si>
  <si>
    <t>Substituição de 1 Disjuntor do vão TF3 525/230/13,8 kV (DJ792) da SE Nova Santa Rita. Capacidade nominal de curto-circuito do novo equipamento (kA): 63 kA.
Associado a esta obra são esperadas substituições/adaptações de fundações, suportes, cabos de controle e potência, barramento, conectores e conexão do aterramento.</t>
  </si>
  <si>
    <t>0000335/2021</t>
  </si>
  <si>
    <t>DJ792</t>
  </si>
  <si>
    <t>Substituição de 1 Disjuntor do vão TF4 525/230/13,8 kV (DJ842) da SE Nova Santa Rita. Capacidade nominal de curto-circuito do novo equipamento (kA): 63 kA.
Associado a esta obra são esperadas substituições/adaptações de fundações, suportes, cabos de controle e potência, barramento, conectores e conexão do aterramento.</t>
  </si>
  <si>
    <t>0000336/2021</t>
  </si>
  <si>
    <t>DJ842</t>
  </si>
  <si>
    <t>Substituição de Transformador de Potencial DCP SINC FASE B  AT51 - DCPS 9205 (nº serie: 730407, cod. int.: 10190023)</t>
  </si>
  <si>
    <t>0001092/2021</t>
  </si>
  <si>
    <t>DCP SINC FASE B  AT51 - DCPS 9205</t>
  </si>
  <si>
    <t>Substituição de Disjuntor DJ9308 (nº serie: F10781-04, cod. int.: 10190780)</t>
  </si>
  <si>
    <t>0001083/2021</t>
  </si>
  <si>
    <t>DJ9308</t>
  </si>
  <si>
    <t>Substituição de Transformador de Potencial TP2513 FASES A E B (nº serie: 337635, cod. int.: 10232814)</t>
  </si>
  <si>
    <t>0001050/2021</t>
  </si>
  <si>
    <t>TP2513 FASES A E B</t>
  </si>
  <si>
    <t>Substituição de Disjuntor DJ612 (nº serie: HA-1905433, cod. int.: 10191426)</t>
  </si>
  <si>
    <t>0001038/2021</t>
  </si>
  <si>
    <t>DJ612</t>
  </si>
  <si>
    <t>ANGRA FUR</t>
  </si>
  <si>
    <t>Substituição de Transformador de Potencial BR 6O - TP FASE A (nº serie: P91095, cod. int.: 10187891)</t>
  </si>
  <si>
    <t>MG ANGRA FUR / CCO-2001-062 - RB</t>
  </si>
  <si>
    <t>0000941/2021</t>
  </si>
  <si>
    <t>BR 6O - TP FASE A</t>
  </si>
  <si>
    <t>Substituição de Transformador de Potencial BR 6O - TP FASE B (nº serie: 6194123, cod. int.: 10187917)</t>
  </si>
  <si>
    <t>0000942/2021</t>
  </si>
  <si>
    <t>BR 6O - TP FASE B</t>
  </si>
  <si>
    <t>Substituição de Transformador de Potencial BR 6O - TP FASE C (nº serie: P1045, cod. int.: 10187918)</t>
  </si>
  <si>
    <t>0000943/2021</t>
  </si>
  <si>
    <t>BR 6O - TP FASE C</t>
  </si>
  <si>
    <t>Substituição de Transformador de Potencial BR 6O - TP FASE A (nº serie: 76/53050/30, cod. int.: 10187930)</t>
  </si>
  <si>
    <t>0000944/2021</t>
  </si>
  <si>
    <t>Substituição de Transformador de Potencial BR 6O - TP FASE B (nº serie: 76/53050/31, cod. int.: 10187931)</t>
  </si>
  <si>
    <t>0000945/2021</t>
  </si>
  <si>
    <t>Substituição de Transformador de Potencial BR 6O - TP FASE C (nº serie: 76/53050/32, cod. int.: 10187932)</t>
  </si>
  <si>
    <t>0000947/2021</t>
  </si>
  <si>
    <t>Substituição de Disjuntor DJ9012R (nº serie: 1140-4R-001, cod. int.: 10191528)</t>
  </si>
  <si>
    <t>RT 500 kV 136 Mvar C. PAULISTA 1 SP</t>
  </si>
  <si>
    <t>0001071/2021</t>
  </si>
  <si>
    <t>DJ9012R</t>
  </si>
  <si>
    <t>Substituição de Disjuntor DJ622 (nº serie: HA-1905434, cod. int.: 10191427)</t>
  </si>
  <si>
    <t>0001052/2021</t>
  </si>
  <si>
    <t>DJ622</t>
  </si>
  <si>
    <t>Substituição de Disjuntor DJ8518 (nº serie: A04034, cod. int.: 10191749)</t>
  </si>
  <si>
    <t>CS 60 / -30 Mvar VITORIA CS2 + TR2 2 ES</t>
  </si>
  <si>
    <t>0001244/2021</t>
  </si>
  <si>
    <t>DJ8518</t>
  </si>
  <si>
    <t>Compensador estático</t>
  </si>
  <si>
    <t>10,5</t>
  </si>
  <si>
    <t>Desativação de Compensador Estático CE01.</t>
  </si>
  <si>
    <t>CE 100/-50 Mvar BANDEIRANTES CE1 TRC1 GO</t>
  </si>
  <si>
    <t>0000969/2021</t>
  </si>
  <si>
    <t>CE01</t>
  </si>
  <si>
    <t>Desativação de Compensador Estático CE02.</t>
  </si>
  <si>
    <t>CE 100/-50 Mvar BANDEIRANTES CE2 GO</t>
  </si>
  <si>
    <t>0000977/2021</t>
  </si>
  <si>
    <t>CE02</t>
  </si>
  <si>
    <t>Substituição de Seccionadora SC911 (nº serie: M973, cod. int.: 10195266)</t>
  </si>
  <si>
    <t>0001084/2021</t>
  </si>
  <si>
    <t>SC911</t>
  </si>
  <si>
    <t>Substituição de Seccionadora SC9305 (nº serie: M940, cod. int.: 10195264)</t>
  </si>
  <si>
    <t>0001086/2021</t>
  </si>
  <si>
    <t>SC9305</t>
  </si>
  <si>
    <t>Substituição de Seccionadora SC9307 (nº serie: M974, cod. int.: 10195260)</t>
  </si>
  <si>
    <t>0001088/2021</t>
  </si>
  <si>
    <t>SC9307</t>
  </si>
  <si>
    <t>Substituição de Seccionadora SC611 (nº serie: 222, cod. int.: 10195971)</t>
  </si>
  <si>
    <t>0001039/2021</t>
  </si>
  <si>
    <t>SC611</t>
  </si>
  <si>
    <t>Substituição de Seccionadora SC613 (nº serie: 223, cod. int.: 10195972)</t>
  </si>
  <si>
    <t>0001040/2021</t>
  </si>
  <si>
    <t>SC613</t>
  </si>
  <si>
    <t>Substituição de Seccionadora SC615 (nº serie: 229, cod. int.: 10195973)</t>
  </si>
  <si>
    <t>0001041/2021</t>
  </si>
  <si>
    <t>SC615</t>
  </si>
  <si>
    <t>Substituição de Seccionadora SC617 (nº serie: 228, cod. int.: 10195974)</t>
  </si>
  <si>
    <t>0001042/2021</t>
  </si>
  <si>
    <t>SC617</t>
  </si>
  <si>
    <t>Substituição de Seccionadora SC619 (nº serie: 221, cod. int.: 10195975)</t>
  </si>
  <si>
    <t>0001043/2021</t>
  </si>
  <si>
    <t>SC619</t>
  </si>
  <si>
    <t>Substituição de Seccionadora SC917 (nº serie: 9365/16, cod. int.: 10195414)</t>
  </si>
  <si>
    <t>0001047/2021</t>
  </si>
  <si>
    <t>SC917</t>
  </si>
  <si>
    <t>Substituição de Seccionadora SC9355 (nº serie: 9365/12, cod. int.: 10195410)</t>
  </si>
  <si>
    <t>0001048/2021</t>
  </si>
  <si>
    <t>SC9355</t>
  </si>
  <si>
    <t>Substituição de Seccionadora SC9357 (nº serie: 12514, cod. int.: 10194808)</t>
  </si>
  <si>
    <t>0001049/2021</t>
  </si>
  <si>
    <t>SC9357</t>
  </si>
  <si>
    <t>Substituição de Seccionadora SC621 (nº serie: 226, cod. int.: 10195976)</t>
  </si>
  <si>
    <t>0001054/2021</t>
  </si>
  <si>
    <t>SC621</t>
  </si>
  <si>
    <t>Substituição de Seccionadora SC623 (nº serie: 227, cod. int.: 10195977)</t>
  </si>
  <si>
    <t>0001055/2021</t>
  </si>
  <si>
    <t>SC623</t>
  </si>
  <si>
    <t>Substituição de Seccionadora SC625 (nº serie: 231, cod. int.: 10195978)</t>
  </si>
  <si>
    <t>0001059/2021</t>
  </si>
  <si>
    <t>SC625</t>
  </si>
  <si>
    <t>Substituição de Seccionadora SC627 (nº serie: 230, cod. int.: 10195979)</t>
  </si>
  <si>
    <t>0001060/2021</t>
  </si>
  <si>
    <t>SC627</t>
  </si>
  <si>
    <t>Substituição de Seccionadora SC629 (nº serie: 220, cod. int.: 10195980)</t>
  </si>
  <si>
    <t>0001061/2021</t>
  </si>
  <si>
    <t>SC629</t>
  </si>
  <si>
    <t>Substituição de Seccionadora SC927 (nº serie: 9365/17, cod. int.: 10195415)</t>
  </si>
  <si>
    <t>0001066/2021</t>
  </si>
  <si>
    <t>SC927</t>
  </si>
  <si>
    <t>LT 345 kV Guarulhos - Nordeste</t>
  </si>
  <si>
    <t>Cabo para-raio</t>
  </si>
  <si>
    <t>Substituição de 34,7 km de cabo para-raios 3/8" por OPGW de 14,7 mm, em toda a extensão da linha. 
Substituição de 6,5 km de cabo para-raios 3/8" por cabo tipo DOTTEREL, da SE Guaruhos até a torre T13, e entre a torre 66 e a torre 70 e o trecho remanescente de 3/8" entre as torres T13 e T66  (extensão de 23,2 km)  deverá ser substituido por um novo cabo do tipo 3/8", pois o trecho está danificado por vandalismo.</t>
  </si>
  <si>
    <t>0000347/2021</t>
  </si>
  <si>
    <t>Não se aplica</t>
  </si>
  <si>
    <t>LT 345 kV Mogi das Cruzes - Nordeste</t>
  </si>
  <si>
    <t>Substituição de 25,2 km de cabo para-raios 3/8" por OPGW de 14,7 mm, em toda a extensão da linha. 
Substituição de 3,5 km de cabo para-raios 3/8" por cabo tipo DOTTEREL, da SE Mogi das Cruzes até a torre T113, e entre a torre T70 e a torre T74 e o trecho remanescente de 3/8" entre as torres T74 e T113  (extensão de 16,7 km) deverá ser substituído por um novo cabo do tipo 3/8".</t>
  </si>
  <si>
    <t>LT 345 kV MOGI CRUZES /NORDESTE C-1 SP</t>
  </si>
  <si>
    <t>0000348/2021</t>
  </si>
  <si>
    <t>Substituição de Transformador de Corrente TC DJ9308 FASE A (nº serie: K74081-15-1, cod. int.: 10184440)</t>
  </si>
  <si>
    <t>0001089/2021</t>
  </si>
  <si>
    <t>TC DJ9308 FASE A</t>
  </si>
  <si>
    <t>Substituição de Transformador de Corrente TC DJ9308 FASE B (nº serie: K74081-15-7, cod. int.: 10184441)</t>
  </si>
  <si>
    <t>0001090/2021</t>
  </si>
  <si>
    <t>TC DJ9308 FASE B</t>
  </si>
  <si>
    <t>Substituição de Transformador de Corrente TC DJ9308 FASE C (nº serie: K74081-16-5, cod. int.: 10184442)</t>
  </si>
  <si>
    <t>0001091/2021</t>
  </si>
  <si>
    <t>TC DJ9308 FASE C</t>
  </si>
  <si>
    <t>Substituição de Transformador de Potencial TP2513 FASES B E C (nº serie: 337634, cod. int.: 10232815)</t>
  </si>
  <si>
    <t>0001051/2021</t>
  </si>
  <si>
    <t>TP2513 FASES B E C</t>
  </si>
  <si>
    <t>Substituição de Transformador de Potencial TP2553 FASES A E B (nº serie: 337636, cod. int.: 10232822)</t>
  </si>
  <si>
    <t>0001067/2021</t>
  </si>
  <si>
    <t>TP2553 FASES A E B</t>
  </si>
  <si>
    <t>Substituição de Transformador de Potencial TP2553 FASES B E C (nº serie: 337637, cod. int.: 10232823)</t>
  </si>
  <si>
    <t>0001068/2021</t>
  </si>
  <si>
    <t>TP2553 FASES B E C</t>
  </si>
  <si>
    <t>Substituição de Transformador de Potência TRANSFORMADOR FASE C (nº série: 302358, cod. int: 10182903)</t>
  </si>
  <si>
    <t>TRELV 500/13,8 KV UG04</t>
  </si>
  <si>
    <t>0001207/2021</t>
  </si>
  <si>
    <t>Substituição de Transformador de Potência TRANSFORMADOR FASE A (nº serie: 302229, cod. int: 10182913)</t>
  </si>
  <si>
    <t>0001209/2021</t>
  </si>
  <si>
    <t>Instalação de equipamento de medição de tensão no módulo TR 500/345 kV IBIUNA ATR1 SP, fase A, lado de alta tensão - 500kV.</t>
  </si>
  <si>
    <t>TR 500/345 kV IBIUNA ATR1 SP</t>
  </si>
  <si>
    <t>0001151/2021</t>
  </si>
  <si>
    <t>BPD BUCHA AT AT01A</t>
  </si>
  <si>
    <t>Instalação de equipamento de medição de tensão no módulo TR 500/345 kV IBIUNA ATR1 SP, fase B, lado de alta tensão - 500kV.</t>
  </si>
  <si>
    <t>0001152/2021</t>
  </si>
  <si>
    <t>BPD BUCHA AT AT01B</t>
  </si>
  <si>
    <t>Instalação de equipamento de medição de tensão no módulo TR 500/345 kV IBIUNA ATR1 SP, fase C, lado de alta tensão - 500kV.</t>
  </si>
  <si>
    <t>0001153/2021</t>
  </si>
  <si>
    <t>BPD BUCHA AT AT01C</t>
  </si>
  <si>
    <t>Instalação de equipamento de medição de tensão no módulo TR 500/345 kV IBIUNA ATR1 SP, fase A, lado de baixa tensão - 345kV.</t>
  </si>
  <si>
    <t>0001154/2021</t>
  </si>
  <si>
    <t>BPD BUCHA BT AT01A</t>
  </si>
  <si>
    <t>Instalação de equipamento de medição de tensão no módulo TR 500/345 kV IBIUNA ATR1 SP, fase B, lado de baixa tensão - 345kV.</t>
  </si>
  <si>
    <t>0001156/2021</t>
  </si>
  <si>
    <t>BPD BUCHA BT AT01B</t>
  </si>
  <si>
    <t>Instalação de equipamento de medição de tensão no módulo TR 500/345 kV IBIUNA ATR1 SP, fase C, lado de baixa tensão - 345kV.</t>
  </si>
  <si>
    <t>0001157/2021</t>
  </si>
  <si>
    <t>BPD BUCHA BT AT01C</t>
  </si>
  <si>
    <t>Instalação de equipamento de medição de tensão no módulo TR 500/345 kV IBIUNA ATR2 SP, fase A, lado de alta tensão - 500kV.</t>
  </si>
  <si>
    <t>TR 500/345 kV IBIUNA ATR2 SP</t>
  </si>
  <si>
    <t>0001158/2021</t>
  </si>
  <si>
    <t>BPD BUCHA AT AT02A</t>
  </si>
  <si>
    <t>Instalação de equipamento de medição de tensão no módulo TR 500/345 kV IBIUNA ATR2 SP, fase B, lado de alta tensão - 500kV.</t>
  </si>
  <si>
    <t>0001160/2021</t>
  </si>
  <si>
    <t>BPD BUCHA AT AT02B</t>
  </si>
  <si>
    <t>Instalação de equipamento de medição de tensão no módulo TR 500/345 kV IBIUNA ATR2 SP, fase C, lado de alta tensão - 500kV.</t>
  </si>
  <si>
    <t>0001161/2021</t>
  </si>
  <si>
    <t>BPD BUCHA AT AT02C</t>
  </si>
  <si>
    <t>Instalação de equipamento de medição de tensão no módulo TR 500/345 kV IBIUNA ATR2 SP, fase A, lado de baixa tensão - 345kV.</t>
  </si>
  <si>
    <t>0001163/2021</t>
  </si>
  <si>
    <t>BPD BUCHA BT AT02A</t>
  </si>
  <si>
    <t>Instalação de equipamento de medição de tensão no módulo TR 500/345 kV IBIUNA ATR2 SP, fase B, lado de baixa tensão - 345kV.</t>
  </si>
  <si>
    <t>0001164/2021</t>
  </si>
  <si>
    <t>BPD BUCHA BT AT02B</t>
  </si>
  <si>
    <t>Instalação de equipamento de medição de tensão no módulo TR 500/345 kV IBIUNA ATR2 SP, fase C, lado de baixa tensão - 345kV.</t>
  </si>
  <si>
    <t>0001165/2021</t>
  </si>
  <si>
    <t>BPD BUCHA BT AT02C</t>
  </si>
  <si>
    <t>Instalação de equipamento de medição de tensão no módulo TR 500/345 kV IBIUNA ATR3 SP, fase A, lado de alta tensão - 500kV.</t>
  </si>
  <si>
    <t>TR 500/345 kV IBIUNA ATR3 SP</t>
  </si>
  <si>
    <t>0001167/2021</t>
  </si>
  <si>
    <t>BPD BUCHA AT AT03A</t>
  </si>
  <si>
    <t>Instalação de equipamento de medição de tensão no módulo TR 500/345 kV IBIUNA ATR3 SP, fase B, lado de alta tensão - 500kV.</t>
  </si>
  <si>
    <t>0001168/2021</t>
  </si>
  <si>
    <t>BPD BUCHA AT AT03B</t>
  </si>
  <si>
    <t>Instalação de equipamento de medição de tensão no módulo TR 500/345 kV IBIUNA ATR3 SP, fase C, lado de alta tensão - 500kV.</t>
  </si>
  <si>
    <t>0001169/2021</t>
  </si>
  <si>
    <t>BPD BUCHA AT AT03C</t>
  </si>
  <si>
    <t>Instalação de equipamento de medição de tensão no módulo TR 500/345 kV IBIUNA ATR3 SP, fase A, lado de baixa tensão - 345kV.</t>
  </si>
  <si>
    <t>0001172/2021</t>
  </si>
  <si>
    <t>BPD BUCHA BT AT03A</t>
  </si>
  <si>
    <t>Instalação de equipamento de medição de tensão no módulo TR 500/345 kV IBIUNA ATR3 SP, fase B, lado de baixa tensão - 345kV.</t>
  </si>
  <si>
    <t>0001173/2021</t>
  </si>
  <si>
    <t>BPD BUCHA BT AT03B</t>
  </si>
  <si>
    <t>Instalação de equipamento de medição de tensão no módulo TR 500/345 kV IBIUNA ATR3 SP, fase C, lado de baixa tensão - 345kV.</t>
  </si>
  <si>
    <t>0001175/2021</t>
  </si>
  <si>
    <t>BPD BUCHA BT AT03C</t>
  </si>
  <si>
    <t>MUSSURE II</t>
  </si>
  <si>
    <t>Substituição de 1 (um) Disjuntor 69 kV associado ao vão LT Ilha do Bispo (DJ12J7), base e estrutura de suporte, posição operacional 12J7 da SE MUSSURE II, por outro com capacidade nominal de curto-circuito mínima de 31,5 kA.</t>
  </si>
  <si>
    <t>LT 69 kV MUSSURE II / ILHA DO BISPO PB</t>
  </si>
  <si>
    <t>0000623/2021</t>
  </si>
  <si>
    <t>11340422</t>
  </si>
  <si>
    <t>Substituição de 1 (um) Disjuntor 69 kV associado ao vão LT Cristo (DJ12J2), base e estrutura de suporte, posição operacional 12J2 da SE MUSSURE II, por outro com capacidade nominal de curto-circuito mínima de 31,5 kA.</t>
  </si>
  <si>
    <t>LT 69 kV MUSSURE II / CRISTO PB</t>
  </si>
  <si>
    <t>0000675/2021</t>
  </si>
  <si>
    <t>11340421</t>
  </si>
  <si>
    <t>Substituição de 1 (um) Disjuntor 69 kV associado ao vão Amarre (DJ12D1), base e estrutura de suporte, posição operacional 12D1 (um) da SE MUSSURE II, por outro com capacidade nominal de curto-circuito mínima de 31,5 kA.</t>
  </si>
  <si>
    <t>MG MUSSURE II / CCO-2001-061 - RB</t>
  </si>
  <si>
    <t>0000687/2021</t>
  </si>
  <si>
    <t>11340419</t>
  </si>
  <si>
    <t>ITA</t>
  </si>
  <si>
    <t>525</t>
  </si>
  <si>
    <t>Substituição do painel da proteção Falha de Disjuntor e dos cabos de controle e potência associados (200 m), referente ao Reator 1 (RT1) 525 kV da SE Itá</t>
  </si>
  <si>
    <t>RT 525 kV 150 Mvar ITA RT1 SC</t>
  </si>
  <si>
    <t>0001658/2021</t>
  </si>
  <si>
    <t>PP44A</t>
  </si>
  <si>
    <t>Reator</t>
  </si>
  <si>
    <t>Substituição do reator monofásico, RE1, 525 kV, 33,333 Mvar, Fase A, SE Campos Novos.</t>
  </si>
  <si>
    <t>RT 525 kV 100 Mvar C.NOVOS RT1 SC</t>
  </si>
  <si>
    <t>0001170/2021</t>
  </si>
  <si>
    <t>RE1/A</t>
  </si>
  <si>
    <t>Substituição do reator monofásico, RE1, 525 kV, 33,333 Mvar, Fase B, SE Campos Novos.</t>
  </si>
  <si>
    <t>0001171/2021</t>
  </si>
  <si>
    <t>RE1/B</t>
  </si>
  <si>
    <t>Substituição do painel Falha de Disjuntor e dos cabos de controle e potência associados (200 m), referente à LT 525 kV Itá - Salto Santiago C1</t>
  </si>
  <si>
    <t>LT 500 kV S.SANTIAGO /ITA C-1 PR/SC</t>
  </si>
  <si>
    <t>0001661/2021</t>
  </si>
  <si>
    <t>PP54A</t>
  </si>
  <si>
    <t>Substituir Reator de Linha de 30MVAr, código operacional RPRE6-01, por vida útil esgotada.</t>
  </si>
  <si>
    <t>FT LT 230 kV RIO VERDE FUR /RONDONOPOLIS C-2 GO/MT</t>
  </si>
  <si>
    <t>0000886/2021</t>
  </si>
  <si>
    <t>RPRE6-01</t>
  </si>
  <si>
    <t>Implantação do painel da proteção Falha de Disjuntor do tipo Alternada e dos cabos de controle e potência associados (200 m), referente à LT 525 kV Itá - Salto Santiago C1</t>
  </si>
  <si>
    <t>0001664/2021</t>
  </si>
  <si>
    <t>Capacitor</t>
  </si>
  <si>
    <t>SUBSTITUIÇÃO DO BANCO DE CAPACITORES DE 13.8kV NÚMERO 2 DA SUB RONDONÓPOLIS.</t>
  </si>
  <si>
    <t>BC 13,8 kV 9,6 Mvar RONDONOPOLIS BC2 MT</t>
  </si>
  <si>
    <t>0000888/2021</t>
  </si>
  <si>
    <t>RPBC2-02</t>
  </si>
  <si>
    <t>SUBSTITUIÇÃO DO BANCO DE CAPACITORES 13.8 NÚMERO 1 DA SUB RONDONÓPOLIS.</t>
  </si>
  <si>
    <t>BC 13,8 kV 9,6 Mvar RONDONOPOLIS BC1 MT</t>
  </si>
  <si>
    <t>0000887/2021</t>
  </si>
  <si>
    <t>RPBC2-01</t>
  </si>
  <si>
    <t>Substituição do reator monofásico, RE1, 525 kV, 33,333 Mvar, Fase C, SE Campos Novos.</t>
  </si>
  <si>
    <t>0001174/2021</t>
  </si>
  <si>
    <t>RE1/C</t>
  </si>
  <si>
    <t>SUBSTITUIÇÃO DO BANCO DE CAPACITORES 13.8 NÚMERO 3 DA SUB RONDONÓPOLIS.</t>
  </si>
  <si>
    <t>BC 13,8 kV 9,6 Mvar RONDONOPOLIS BC3 MT</t>
  </si>
  <si>
    <t>0000890/2021</t>
  </si>
  <si>
    <t>RPBC2-03</t>
  </si>
  <si>
    <t>SUBSTITUIÇÃO DO TRANSFORMADOR DE FORÇA Nº 03 230/69kV DE 100MVA DA SUB SÃO LUÍS I POR OUTRO TR 230/69/13,8kV DE MESMA POTÊNCIA</t>
  </si>
  <si>
    <t>0000891/2021</t>
  </si>
  <si>
    <t>LITF6-03</t>
  </si>
  <si>
    <t>SUBSTITUIÇÃO DOS AUTOTRANSFORMADORES DE FORÇA Nº 01 500/230kV DE 200MVA DA SE SÃO LUÍS II, FASES "A", "B" E "V".</t>
  </si>
  <si>
    <t>0000892/2021</t>
  </si>
  <si>
    <t>LDAT7-01 FASES "A", "B" E "V"</t>
  </si>
  <si>
    <t>Implantação do painel da proteção Falha de Disjuntor do tipo Alternada e dos cabos de controle e potência associados (200 m), referente ao Reator 1 (RT1) 525 kV da SE Itá</t>
  </si>
  <si>
    <t>0001659/2021</t>
  </si>
  <si>
    <t>Substituição do reator monofásico, RTR1, 525 kV, 33,333 Mvar, Fase Reserva 1, SE Campos Novos.</t>
  </si>
  <si>
    <t>RTR 525 kV 33.3 MVAr C.NOVOS RTR1 SC</t>
  </si>
  <si>
    <t>0001178/2021</t>
  </si>
  <si>
    <t>RE1R</t>
  </si>
  <si>
    <t>Substituição do reator monofásico, RE2, 525 kV, 33,333 Mvar, Fase A, SE Campos Novos.</t>
  </si>
  <si>
    <t>RT 525 kV 100 Mvar C.NOVOS RT2 SC</t>
  </si>
  <si>
    <t>0001179/2021</t>
  </si>
  <si>
    <t>RE2/A</t>
  </si>
  <si>
    <t>SUBSTITUIÇÃO DO REATOR 230 kV 30 MVAr - TMRE6.01</t>
  </si>
  <si>
    <t>LT 230 kV TRANSAMAZONIC /ALTAMIRA C-1 PA</t>
  </si>
  <si>
    <t>0001614/2021</t>
  </si>
  <si>
    <t>TMRE6-01</t>
  </si>
  <si>
    <t>Substituição do reator monofásico, RE2, 525 kV, 33,333 Mvar, Fase B, SE Campos Novos.</t>
  </si>
  <si>
    <t>0001327/2021</t>
  </si>
  <si>
    <t>RE2/B</t>
  </si>
  <si>
    <t>Substituição do reator monofásico, RE2, 525 kV, 33,333 Mvar, Fase C, SE Campos Novos.</t>
  </si>
  <si>
    <t>0001336/2021</t>
  </si>
  <si>
    <t>RE2/C</t>
  </si>
  <si>
    <t>Substituição do Reator - MBRE7 04 SUB MARABA somente as Fases A e V.</t>
  </si>
  <si>
    <t>0001008/2021</t>
  </si>
  <si>
    <t>MBRE7-04</t>
  </si>
  <si>
    <t>SUBSTITUIÇÃO BANCO DE AUTOTRANSFORMADOR DE FORÇA 500/230 kV 750 MVA -VCAT7 02 FASES: A, B e V.</t>
  </si>
  <si>
    <t>0001010/2021</t>
  </si>
  <si>
    <t>VCAT7-02</t>
  </si>
  <si>
    <t>Substituição do painel Falha de Disjuntor e dos cabos de controle e potência associados (200 m), referente à LT 525 kV Itá - Machadinho.</t>
  </si>
  <si>
    <t>LT 525 kV ITA /MACHADINHO C-1 SC</t>
  </si>
  <si>
    <t>0001666/2021</t>
  </si>
  <si>
    <t>PP64A</t>
  </si>
  <si>
    <t>Implantação do painel da proteção Falha de Disjuntor do tipo Alternada e dos cabos de controle e potência associados (200 m), referente à LT 525 kV Itá - Machadinho C1</t>
  </si>
  <si>
    <t>0001667/2021</t>
  </si>
  <si>
    <t>SUBSTITUIÇÃO DO BANCO DE AUTOTRANSFORMADOR DE POTÊNCIA 01 - 500/230/13,8 kV 750 MVA -VCAT7 01 FASES B, V e R</t>
  </si>
  <si>
    <t>0001012/2021</t>
  </si>
  <si>
    <t>VCAT7-01</t>
  </si>
  <si>
    <t>Substituição do painel Falha de Disjuntor e dos cabos de controle e potência associados (200 m), referente à LT 525 kV Itá - Nova Santa Rita C1.</t>
  </si>
  <si>
    <t>LT 525 kV ITA /NOVA STA RITA C-1 SC/RS</t>
  </si>
  <si>
    <t>0001668/2021</t>
  </si>
  <si>
    <t>PP44B</t>
  </si>
  <si>
    <t>Implantação do painel da proteção Falha de Disjuntor do tipo Alternada e dos cabos de controle e potência associados (200 m), referente à LT 525 kV Itá - Nova Santa Rita C1</t>
  </si>
  <si>
    <t>0001670/2021</t>
  </si>
  <si>
    <t>Substituição do painel Falha de Disjuntor e dos cabos de controle e potência associados (200 m), referente à LT 525 kV Itá - Caxias.</t>
  </si>
  <si>
    <t>LT 500 kV CAXIAS /ITA C-1 RS/SC</t>
  </si>
  <si>
    <t>0001672/2021</t>
  </si>
  <si>
    <t>PP74B</t>
  </si>
  <si>
    <t>Implantação do painel da proteção Falha de Disjuntor do tipo Alternada e dos cabos de controle e potência associados (200 m), referente à LT 525 kV Itá - Caxias</t>
  </si>
  <si>
    <t>0001674/2021</t>
  </si>
  <si>
    <t>Substituição do autotransformador trifásico com comutador sob carga, TF1, 230/138 kV, 75 MVA Nota EPE/ONS: Os novos TRs de 75 MVA da SE Dourados devem ter a mesma impedância (em torno de 9% na base 75 MVA) que o atual TR2 (único TR que não será substituído). Além de evitar desbalanço de fluxo entre as unidades paralelas, a impedância reduzida na SE Dourados, auxilia na redução de fluxo da fronteira mais próxima (SE Dourados 2), postergando assim a possíveis sobrecargas e indicações de reforços já detectados no horizonte de longo prazo.</t>
  </si>
  <si>
    <t>TR 230/138 kV DOURADOS TR1 MS</t>
  </si>
  <si>
    <t>0001340/2021</t>
  </si>
  <si>
    <t>TF1</t>
  </si>
  <si>
    <t>Substituição do autotransformador trifásico com comutador sob carga, TF4, 230/138 kV, 75 MVA Nota EPE/ONS: Os novos TRs de 75 MVA da SE Dourados devem ter a mesma impedância (em torno de 9% na base 75 MVA) que o atual TR2 (único TR que não será substituído). Além de evitar desbalanço de fluxo entre as unidades paralelas, a impedância reduzida na SE Dourados, auxilia na redução de fluxo da fronteira mais próxima (SE Dourados 2), postergando assim a possíveis sobrecargas e indicações de reforços já detectados no horizonte de longo prazo.</t>
  </si>
  <si>
    <t>TR 230/138 kV DOURADOS TR4 MS</t>
  </si>
  <si>
    <t>0001343/2021</t>
  </si>
  <si>
    <t>TF4</t>
  </si>
  <si>
    <t>Substituição do autotransformador trifásico com comutador sob carga, TF3, 230/138 kV, 75 MVA Nota EPE/ONS: Os novos TRs de 75 MVA da SE Dourados devem ter a mesma impedância (em torno de 9% na base 75 MVA) que o atual TR2 (único TR que não será substituído). Além de evitar desbalanço de fluxo entre as unidades paralelas, a impedância reduzida na SE Dourados, auxilia na redução de fluxo da fronteira mais próxima (SE Dourados 2), postergando assim a possíveis sobrecargas e indicações de reforços já detectados no horizonte de longo prazo.</t>
  </si>
  <si>
    <t>TR 230/138 kV DOURADOS TR3 MS</t>
  </si>
  <si>
    <t>0001349/2021</t>
  </si>
  <si>
    <t>TF3</t>
  </si>
  <si>
    <t>Implantação de um módulo de Entrada de Linha em 138kV, arranjo barra principal e transferência, com destino à SE Bonito na SE IRECÊ</t>
  </si>
  <si>
    <t>LT 138 kV Irecê - Bonito</t>
  </si>
  <si>
    <t>0000896/2021</t>
  </si>
  <si>
    <t>Substituição do reator monofásico, RE1, 525 kV, 50 Mvar, Fase A, SE Itá.</t>
  </si>
  <si>
    <t>0001352/2021</t>
  </si>
  <si>
    <t>Substituição do reator monofásico, RE1, 525 kV, 50 Mvar, Fase B, SE Itá.</t>
  </si>
  <si>
    <t>0001357/2021</t>
  </si>
  <si>
    <t>Substituição do reator monofásico, RE1, 525 kV, 50 Mvar, Fase C, SE Itá.</t>
  </si>
  <si>
    <t>0001361/2021</t>
  </si>
  <si>
    <t>Substituição do reator monofásico, RTR1, 525 kV, 50 Mvar, Fase Reserva 1, SE Itá.</t>
  </si>
  <si>
    <t>RTR 525 kV 50 Mvar ITA RTR1 SC</t>
  </si>
  <si>
    <t>0001363/2021</t>
  </si>
  <si>
    <t>GRAVATAI</t>
  </si>
  <si>
    <t>Substituição do autotransformador monofásico com comutador sob carga,TF2, 525/230 kV, 224 MVA, Fase A, SE Gravataí.</t>
  </si>
  <si>
    <t>TR 525/230 kV GRAVATAI TR2 + LT 230 kV GRAV2/GRAV C-2 RS</t>
  </si>
  <si>
    <t>0001368/2021</t>
  </si>
  <si>
    <t>TF2/A</t>
  </si>
  <si>
    <t>Substituição do autotransformador monofásico com comutador sob carga,TF2, 525/230 kV, 224 MVA, Fase B, SE Gravataí.</t>
  </si>
  <si>
    <t>0001372/2021</t>
  </si>
  <si>
    <t>TF2/B</t>
  </si>
  <si>
    <t>Substituição do autotransformador monofásico com comutador sob carga,TF2, 525/230 kV, 224 MVA, Fase C, SE Gravataí.</t>
  </si>
  <si>
    <t>0001377/2021</t>
  </si>
  <si>
    <t>TF2/C</t>
  </si>
  <si>
    <t>Substituição do autotransformador monofásico com comutador sob carga,TF3, 525/230 kV, 224 MVA, Fase A, SE Gravataí.</t>
  </si>
  <si>
    <t>TR 525/230 kV GRAVATAI TR3 + LT 230 kV GRAV2/GRAV C-3 RS</t>
  </si>
  <si>
    <t>0001386/2021</t>
  </si>
  <si>
    <t>TF3/A</t>
  </si>
  <si>
    <t>Substituição do autotransformador monofásico com comutador sob carga,TF3, 525/230 kV, 224 MVA, Fase B, SE Gravataí.</t>
  </si>
  <si>
    <t>0001391/2021</t>
  </si>
  <si>
    <t>TF3/B</t>
  </si>
  <si>
    <t>Substituição do autotransformador monofásico com comutador sob carga,TF3, 525/230 kV, 224 MVA, Fase C, SE Gravataí.</t>
  </si>
  <si>
    <t>0001396/2021</t>
  </si>
  <si>
    <t>TF3/C</t>
  </si>
  <si>
    <t>Substituição da Proteção e Controle da LT 138 kV Porto Franco - Tocantinópolis</t>
  </si>
  <si>
    <t>EL 138 kV PORTO FRANCO DIST1</t>
  </si>
  <si>
    <t>0001013/2021</t>
  </si>
  <si>
    <t>N-S-MAPF-DIT-TTPFLI501-PFSPRLI</t>
  </si>
  <si>
    <t>Desativação do reator monofásico, RE1, 525 kV, 50 Mvar, Fase A, SE Gravataí. Associado a esta obra são esperadas adaptações à base existente, caixa separadora de óleo, parede corta fogo e sistema de proteção contra incêndio.</t>
  </si>
  <si>
    <t>RT 525 kV 150 Mvar GRAVATAI RT1 RS</t>
  </si>
  <si>
    <t>0001400/2021</t>
  </si>
  <si>
    <t>Desativação do reator monofásico, RE1, 525 kV, 50 Mvar, Fase B, SE Gravataí. Associado a esta obra são esperadas adaptações à base existente, caixa separadora de óleo, parede corta fogo e sistema de proteção contra incêndio.</t>
  </si>
  <si>
    <t>0001405/2021</t>
  </si>
  <si>
    <t>Substituição de 1 (um) disjuntor 69 kV, base e estrutura de suporte, posição operacional 12J1 da SE MUSSURE II, por outro com capacidade nominal de curto-circuito mínima de 31,5 kA</t>
  </si>
  <si>
    <t>LT 69 kV MUSSURE II /J. PESSOA (02J1)</t>
  </si>
  <si>
    <t>0001031/2021</t>
  </si>
  <si>
    <t>11340420</t>
  </si>
  <si>
    <t>Desativação do reator monofásico, RE1, 525 kV, 50 Mvar, Fase C, SE Gravataí. Associado a esta obra são esperadas adaptações à base existente, caixa separadora de óleo, parede corta fogo e sistema de proteção contra incêndio.</t>
  </si>
  <si>
    <t>0001409/2021</t>
  </si>
  <si>
    <t>Desativação do reator monofásico, RTR1, 525 kV, 50 Mvar, Fase Reserva 1, SE Gravataí. Associado a esta obra são esperadas adaptações à base existente, caixa separadora de óleo, parede corta fogo e sistema de proteção contra incêndio.</t>
  </si>
  <si>
    <t>RTR 525 kV 50 MVAr GRAVATAI RTR1 RS</t>
  </si>
  <si>
    <t>0001413/2021</t>
  </si>
  <si>
    <t>RE1/R</t>
  </si>
  <si>
    <t>Substituição do reator monofásico, RE2, 525 kV, 50 Mvar, Fase A, SE Gravataí.</t>
  </si>
  <si>
    <t>RT 525 kV 150 Mvar GRAVATAI RT2 RS</t>
  </si>
  <si>
    <t>0001419/2021</t>
  </si>
  <si>
    <t>Substituição do reator monofásico, RE2, 525 kV, 50 Mvar, Fase C, SE Gravataí.</t>
  </si>
  <si>
    <t>0001431/2021</t>
  </si>
  <si>
    <t>GRAVATAI2</t>
  </si>
  <si>
    <t>Substituição do banco de capacitores, BC4, 230 kV, 100 Mvar, SE Gravataí 2.</t>
  </si>
  <si>
    <t>BC 230 kV 95 Mvar GRAVATAI2 BC4 RS</t>
  </si>
  <si>
    <t>0001471/2021</t>
  </si>
  <si>
    <t>BC4</t>
  </si>
  <si>
    <t>Substituição do banco de capacitores, BC5, 230 kV, 100 Mvar, SE Gravataí 2.</t>
  </si>
  <si>
    <t>BC 230 kV 95 Mvar GRAVATAI2 BC5 RS</t>
  </si>
  <si>
    <t>0001473/2021</t>
  </si>
  <si>
    <t>BC5</t>
  </si>
  <si>
    <t>PASSO FUNDO</t>
  </si>
  <si>
    <t>Substituição do autotransformador monofásico com comutador sob carga,TF3, 230/138 kV, 28 MVA, Fase A, SE Passo Fundo.</t>
  </si>
  <si>
    <t>TR 230/138 kV PASSO FUNDO TR3 RS</t>
  </si>
  <si>
    <t>0001442/2021</t>
  </si>
  <si>
    <t>Substituição do autotransformador monofásico com comutador sob carga,TF3, 230/138 kV, 28 MVA, Fase B, SE Passo Fundo.</t>
  </si>
  <si>
    <t>0001450/2021</t>
  </si>
  <si>
    <t>Substituição do autotransformador monofásico com comutador sob carga,TF3, 230/138 kV, 28 MVA, Fase C, SE Passo Fundo.</t>
  </si>
  <si>
    <t>0001454/2021</t>
  </si>
  <si>
    <t>Substituição do autotransformador monofásico com comutador sob carga,TF3R, 230/138 kV, 28 MVA, Fase Reserva, SE Passo Fundo.</t>
  </si>
  <si>
    <t>0001456/2021</t>
  </si>
  <si>
    <t>TF3R</t>
  </si>
  <si>
    <t>Substituição de 3 Seccionadoras associadas da LT 230 kV BLUMENAU /JOINV.NORTE C-1 SC (Seccionadoras CS711, CS713 e CS715). Associado a esta obra são esperadas substituições/adaptações de fundações, suportes, cabos de controle e potência, barramento, conectores e conexão do aterramento. Capacidade nominal de curto-circuito (kA): no mínimo 40 kA.</t>
  </si>
  <si>
    <t>LT 230 kV BLUMENAU /JOINV.NORTE C-1 SC</t>
  </si>
  <si>
    <t>0001682/2021</t>
  </si>
  <si>
    <t>CS711, CS713 e CS715</t>
  </si>
  <si>
    <t>Substituição de 3 Seccionadoras associadas da LT 230 kV BLUMENAU /JOINVILLE C-1 SC (Seccionadoras CS721, CS723 e CS725). Associado a esta obra são esperadas substituições/adaptações de fundações, suportes, cabos de controle e potência, barramento, conectores e conexão do aterramento. Capacidade nominal de curto-circuito (kA): no mínimo 40 kA.</t>
  </si>
  <si>
    <t>LT 230 kV BLUMENAU /JOINVILLE C-1 SC</t>
  </si>
  <si>
    <t>0001683/2021</t>
  </si>
  <si>
    <t>CS721, CS723 e CS725</t>
  </si>
  <si>
    <t>Substituição de 3 Seccionadoras associadas da LT 230 kV BLUMENAU /GASPAR 2 C-2 SC (Seccionadoras CS731, CS733 e CS735). Associado a esta obra são esperadas substituições/adaptações de fundações, suportes, cabos de controle e potência, barramento, conectores e conexão do aterramento. Capacidade nominal de curto-circuito (kA): no mínimo 40 kA.</t>
  </si>
  <si>
    <t>LT 230 kV BLUMENAU / GASPAR 2 C 2 SC</t>
  </si>
  <si>
    <t>0001687/2021</t>
  </si>
  <si>
    <t>CS731, CS733 e CS735</t>
  </si>
  <si>
    <t>Substituição de 3 Seccionadoras associadas da LT 230 kV BLUMENAU /GASPAR 2 C-1 SC (Seccionadoras CS741, CS743 e CS745). Associado a esta obra são esperadas substituições/adaptações de fundações, suportes, cabos de controle e potência, barramento, conectores e conexão do aterramento. Capacidade nominal de curto-circuito (kA): no mínimo 40 kA.</t>
  </si>
  <si>
    <t>LT 230 kV BLUMENAU / GASPAR 2 C 1 SC</t>
  </si>
  <si>
    <t>0001689/2021</t>
  </si>
  <si>
    <t>CS741, CS743 e CS745</t>
  </si>
  <si>
    <t>PALHOCA ESU</t>
  </si>
  <si>
    <t>Substituição do banco de capacitores, BC1, 230 kV, 50 Mvar, SE Palhoça.</t>
  </si>
  <si>
    <t>BC 230 kV 50 Mvar PALHOCA ESU BC1 SC</t>
  </si>
  <si>
    <t>0001474/2021</t>
  </si>
  <si>
    <t>BC1</t>
  </si>
  <si>
    <t>CURITIBA</t>
  </si>
  <si>
    <t>Substituição de 3 Seccionadoras associadas ao vão da LT 230 kV CURITIBA /S.MATEUS SUL C-1 (Seccionadoras CS711, CS713 e CS715). Associado a esta obra são esperadas substituições/adaptações de fundações, suportes, cabos de controle e potência, barramento, conectores e conexão do aterramento. Capacidade nominal de curto-circuito (kA): 63 kA.</t>
  </si>
  <si>
    <t>LT 230 kV CURITIBA /S.MATEUS SUL C-1 PR</t>
  </si>
  <si>
    <t>0001695/2021</t>
  </si>
  <si>
    <t>Substituição de 3 Seccionadoras associadas ao vão da LT 230 kV CURITIBA /JOINVILLE C-1 (Seccionadoras CS721, CS723 e CS725). Associado a esta obra são esperadas substituições/adaptações de fundações, suportes, cabos de controle e potência, barramento, conectores e conexão do aterramento. Capacidade nominal de curto-circuito (kA): 63 kA.</t>
  </si>
  <si>
    <t>LT 230 kV CURITIBA /JOINVILLE C-1 PR/SC</t>
  </si>
  <si>
    <t>0001696/2021</t>
  </si>
  <si>
    <t>Substituição de 2 Seccionadoras associadas ao vão da barramento de transferência 230 kV (Seccionadoras CS743 e CS745). Associado a esta obra são esperadas substituições/adaptações de fundações, suportes, cabos de controle e potência, barramento, conectores e conexão do aterramento. Capacidade nominal de curto-circuito (kA): 63 kA.</t>
  </si>
  <si>
    <t>MG CURITIBA / CCO-2001-057 - RB</t>
  </si>
  <si>
    <t>0001697/2021</t>
  </si>
  <si>
    <t>CS743 e CS745</t>
  </si>
  <si>
    <t>Substituição de 3 Seccionadoras associadas ao vão da LT 230 kV CURITIBA /JOINV.NORTE C-1 (Seccionadoras CS761, CS763 e CS765). Associado a esta obra são esperadas substituições/adaptações de fundações, suportes, cabos de controle e potência, barramento, conectores e conexão do aterramento. Capacidade nominal de curto-circuito (kA): 63 kA.</t>
  </si>
  <si>
    <t>LT 230 kV CURITIBA /JOINV.NORTE C-1 PR/SC</t>
  </si>
  <si>
    <t>0001699/2021</t>
  </si>
  <si>
    <t>CS761, CS763 e CS765</t>
  </si>
  <si>
    <t>Substituição de 2 Seccionadoras associadas ao vão da LT 230 kV LONDRINA ESU /APUCARANA C-1 (Seccionadoras CS771 e CS775). Associado a esta obra são esperadas substituições/adaptações de fundações, suportes, cabos de controle e potência, barramento, conectores e conexão do aterramento. Capacidade nominal de curto-circuito (kA): no mínimo 50 kA.</t>
  </si>
  <si>
    <t>LT 230 kV LONDRINA ESU /APUCARANA C-1 PR</t>
  </si>
  <si>
    <t>0001700/2021</t>
  </si>
  <si>
    <t>CS771 e CS775</t>
  </si>
  <si>
    <t>Substituição de 2 Seccionadoras associadas ao vão da LT 230 kV LONDRINA ESU /LONDRINA COT C-1 (Seccionadoras CS831 e CS835). Associado a esta obra são esperadas substituições/adaptações de fundações, suportes, cabos de controle e potência, barramento, conectores e conexão do aterramento. Capacidade nominal de curto-circuito (kA): no mínimo 50 kA.</t>
  </si>
  <si>
    <t>LT 230 kV LONDRINA ESU /LONDRINA COT C-1 PR</t>
  </si>
  <si>
    <t>0001702/2021</t>
  </si>
  <si>
    <t>CS831 e CS835</t>
  </si>
  <si>
    <t>Instalação de 01 unidade de controle, 02 falhas de disjuntor (principal e alternado), 02 unidades de bay de proteção de barra (principal e alternada) e cabos de controle associados ao módulo de interligação de barras (14D1), na SE Angelim.</t>
  </si>
  <si>
    <t>0001776/2021</t>
  </si>
  <si>
    <t>Instalação de 02 unidades de bay de proteção de barra (principal e alternada) e cabos de controle associados ao módulo de conexão da LT Angelim/Garanhuns II-C5 (04N6), na SE Angelim, para integrar as proteções de barra do tipo adaptativa e distribuída.</t>
  </si>
  <si>
    <t>LT 230 kV GARANHUNS II /ANGELIM C-5 PE</t>
  </si>
  <si>
    <t>0001777/2021</t>
  </si>
  <si>
    <t>Instalação de 02 unidades de bay de proteção de barra (principal e alternada) e cabos de controle associados ao módulo de conexão da LT Angelim/Messias-C1 (04M7), na SE Angelim, para integrar as proteções de barra do tipo adaptativa e distribuída.</t>
  </si>
  <si>
    <t>0001739/2021</t>
  </si>
  <si>
    <t>Instalação de 02 unidades de bay de proteção de barra (principal e alternada) e cabos de controle associados ao módulo de conexão da LT Angelim/Messias-C2 (04M8), na SE Angelim, para integrar as proteções de barra do tipo adaptativa e distribuída.</t>
  </si>
  <si>
    <t>0001742/2021</t>
  </si>
  <si>
    <t>Instalação de 02 unidades de bay de proteção de barra (principal e alternada) e cabos de controle associados ao módulo de conexão da LT Angelim/Messias-C3 (04M9), na SE Angelim, para integrar as proteções de barra do tipo adaptativa e distribuída.</t>
  </si>
  <si>
    <t>0001745/2021</t>
  </si>
  <si>
    <t>Instalação de 02 unidades de bay de proteção de barra (principal e alternada) e cabos de controle associados ao módulo de conexão da LT Angelim/Ribeirão-C2 (04S2), na SE Angelim, para integrar as proteções de barra do tipo adaptativa e distribuída.</t>
  </si>
  <si>
    <t>LT  230 kV ANGELIM      /RIBEIRAO     C-2 PE</t>
  </si>
  <si>
    <t>0001747/2021</t>
  </si>
  <si>
    <t>Instalação de 02 unidades de bay de proteção de barra (principal e alternada) e cabos de controle associados ao módulo de conexão da LT Angelim/Recife II-C1 (04M3), na SE Angelim, para integrar as proteções de barra do tipo adaptativa e distribuída.</t>
  </si>
  <si>
    <t>LT 230 kV ANGELIM /RECIFE II C-1 PE</t>
  </si>
  <si>
    <t>0001748/2021</t>
  </si>
  <si>
    <t>Instalação de 02 unidades de bay de proteção de barra (principal e alternada) e cabos de controle associados ao módulo de conexão da LT Angelim/Ribeirão-C1 (04S1), na SE Angelim, para integrar as proteções de barra do tipo adaptativa e distribuída.</t>
  </si>
  <si>
    <t>LT 230 kV ANGELIM /RIBEIRAO C-1 PE</t>
  </si>
  <si>
    <t>0001750/2021</t>
  </si>
  <si>
    <t>Instalação de 02 unidades de bay de proteção de barra (principal e alternada) e cabos de controle associados ao módulo de conexão da LT Angelim/Tacaimbó-C1 (04M4), na SE Angelim, para integrar as proteções de barra do tipo adaptativa e distribuída.</t>
  </si>
  <si>
    <t>0001753/2021</t>
  </si>
  <si>
    <t>Instalação de 02 unidades de bay de proteção de barra (principal e alternada) e cabos de controle associados ao módulo de conexão da LT Angelim/Tacaimbó-C2 (04M5), na SE Angelim, para integrar as proteções de barra do tipo adaptativa e distribuída.</t>
  </si>
  <si>
    <t>0001754/2021</t>
  </si>
  <si>
    <t>Instalação de 02 unidades de bay de proteção de barra (principal e alternada) e cabos de controle associados ao módulo de conexão da LT Angelim/Tacaimbó-C3 (04M6), na SE Angelim, para integrar as proteções de barra do tipo adaptativa e distribuída.</t>
  </si>
  <si>
    <t>LT 230 kV ANGELIM /TACAIMBO C-3 PE</t>
  </si>
  <si>
    <t>0001756/2021</t>
  </si>
  <si>
    <t>Instalação de 02 unidades de bay de proteção de barra (principal e alternada) e cabos de controle associados ao módulo de conexão da LT P. Afonso III/Angelim-C1 (04L1), na SE Angelim, para integrar as proteções de barra do tipo adaptativa e distribuída.</t>
  </si>
  <si>
    <t>LT 230 kV P.AFONSO III /ANGELIM C-1 AL/PE</t>
  </si>
  <si>
    <t>0001779/2021</t>
  </si>
  <si>
    <t>Instalação de 02 unidades de bay de proteção de barra (principal e alternada) e cabos de controle associados ao módulo de conexão da LT Garanhuns II/Angelim-C1 (04N2), na SE Angelim, para integrar as proteções de barra do tipo adaptativa e distribuída.</t>
  </si>
  <si>
    <t>LT 230 kV GARANHUNS II /ANGELIM C-1 PE</t>
  </si>
  <si>
    <t>0001780/2021</t>
  </si>
  <si>
    <t>Instalação de 02 unidades de bay de proteção de barra (principal e alternada) e cabos de controle associados ao módulo de conexão da LT Garanhuns II/Angelim-C2 (04N4), na SE Angelim, para integrar as proteções de barra do tipo adaptativa e distribuída.</t>
  </si>
  <si>
    <t>LT 230 kV GARANHUNS II /ANGELIM C-2 PE</t>
  </si>
  <si>
    <t>0001782/2021</t>
  </si>
  <si>
    <t>Instalação de 02 unidades centrais de proteção de barras (principal e alternada), do tipo adaptativa e distribuída, com capacidade para atender no mínimo 16 vãos e 03 bastidores de rede SPCS composto por 14 switches Ethernet e componentes associados na SE Angelim.</t>
  </si>
  <si>
    <t>0001789/2021</t>
  </si>
  <si>
    <t>Instalação de 01 unidade de controle, 02 falhas de disjuntor (principal e alternado), 02 unidades de bay de proteção de barra (principal e alternada) e cabos de controle associados ao módulo de interligação de barras (14D2), na SE Angelim.</t>
  </si>
  <si>
    <t>0001778/2021</t>
  </si>
  <si>
    <t>Instalação de 02 unidades de bay de proteção de barra (principal e alternada) e cabos de controle associados ao módulo de conexão do TR 230/69 kV (04T3), na SE Angelim, para integrar as proteções de barra do tipo adaptativa e distribuída.</t>
  </si>
  <si>
    <t>TR 230/69 kV ANGELIM TR3 PE</t>
  </si>
  <si>
    <t>0001781/2021</t>
  </si>
  <si>
    <t>Instalação de 02 unidades de bay de proteção de barra (principal e alternada) e cabos de controle associados ao módulo de conexão do TR 230/69 kV (04T5), na SE Angelim, para integrar as proteções de barra do tipo adaptativa e distribuída.</t>
  </si>
  <si>
    <t>TR 230/69 kV ANGELIM TR5 PE</t>
  </si>
  <si>
    <t>0001783/2021</t>
  </si>
  <si>
    <t>Instalação de 02 unidades de bay de proteção de barra (principal e alternada) e cabos de controle associados ao módulo de conexão do TR 230/69 kV (04T6), na SE Angelim, para integrar as proteções de barra do tipo adaptativa e distribuída.</t>
  </si>
  <si>
    <t>TR 230/69 kV ANGELIM TR6 PE</t>
  </si>
  <si>
    <t>0001785/2021</t>
  </si>
  <si>
    <t>LT 230 kV PALHOCA ESU / GASPAR 2 C-1 SC</t>
  </si>
  <si>
    <t>Itens não elétricos</t>
  </si>
  <si>
    <t>Execução de serviços de estabilização e proteção de talude próximo a torre 192 da LT 230 kV Palhoça - Gaspar 2 C-1.</t>
  </si>
  <si>
    <t>0003602/2021</t>
  </si>
  <si>
    <t>LT 230 PAL/GAS2 C-1</t>
  </si>
  <si>
    <t>LT 230 kV BIGUACU / GASPAR 2 C-1 SC</t>
  </si>
  <si>
    <t>Execução de serviços de estabilização e proteção de talude próximo a torre 349 da LT 230 kV Biguaçu - Gaspar 2 C-1.</t>
  </si>
  <si>
    <t>0003603/2021</t>
  </si>
  <si>
    <t>LT 230 BIG/GAS2 C-1</t>
  </si>
  <si>
    <t>Para-raios</t>
  </si>
  <si>
    <t>Substituição de Para-raio PARA-RAIOS - LITQCA4 STCAM FASE A (nº serie: 45452, cod. int.: 10200192)</t>
  </si>
  <si>
    <t>TR 345/138 kV CAMPINAS TR4 SP</t>
  </si>
  <si>
    <t>0007269/2021</t>
  </si>
  <si>
    <t>PARA-RAIOS - LITQCA4 STCAM FASE A</t>
  </si>
  <si>
    <t>Substituição de Para-raio PARA-RAIOS - LITQCA4 STCAM FASE B (nº serie: 45453, cod. int.: 10200193)</t>
  </si>
  <si>
    <t>0007280/2021</t>
  </si>
  <si>
    <t>PARA-RAIOS - LITQCA4 STCAM FASE B</t>
  </si>
  <si>
    <t>Substituição de Para-raio PARA-RAIOS - LITQCA4 STCAM FASE C (nº serie: 45451, cod. int.: 10200194)</t>
  </si>
  <si>
    <t>0007284/2021</t>
  </si>
  <si>
    <t>PARA-RAIOS - LITQCA4 STCAM FASE C</t>
  </si>
  <si>
    <t>Substituição de Para-raio PR LADO 13.8 KV AT51 FASE A (nº serie: 74/1, cod. int.: 10198785)</t>
  </si>
  <si>
    <t>0007287/2021</t>
  </si>
  <si>
    <t>PR LADO 13.8 KV AT51 FASE A</t>
  </si>
  <si>
    <t>Substituição de Para-raio PR LADO 13.8 KV AT51 FASE B (nº serie: 74/2, cod. int.: 10198786)</t>
  </si>
  <si>
    <t>0007289/2021</t>
  </si>
  <si>
    <t>PR LADO 13.8 KV AT51 FASE B</t>
  </si>
  <si>
    <t>Substituição de Para-raio PR LADO 13.8 KV AT51 FASE C (nº serie: 74/3, cod. int.: 10198787)</t>
  </si>
  <si>
    <t>0007290/2021</t>
  </si>
  <si>
    <t>PR LADO 13.8 KV AT51 FASE C</t>
  </si>
  <si>
    <t>Substituição de Disjuntor DJ508 (nº serie: 1140-PM-002, cod. int.: 10191580)</t>
  </si>
  <si>
    <t>DIT</t>
  </si>
  <si>
    <t>0005449/2023</t>
  </si>
  <si>
    <t>DJ508</t>
  </si>
  <si>
    <t>Substituição de Disjuntor DJ7518 (nº serie: 1140-2R-007, cod. int.: 10191572)</t>
  </si>
  <si>
    <t>LT 230 kV BARRO ALTO /AGUAS LINDAS C-1 GO</t>
  </si>
  <si>
    <t>0005447/2023</t>
  </si>
  <si>
    <t>DJ7518</t>
  </si>
  <si>
    <t>Substituição de Disjuntor DJ7018C (nº serie: 1133-2R-001, cod. int.: 10191604)</t>
  </si>
  <si>
    <t>BC 230 kV 27,7 Mvar BARRO ALTO BC1 GO</t>
  </si>
  <si>
    <t>0005446/2023</t>
  </si>
  <si>
    <t>DJ7018C</t>
  </si>
  <si>
    <t>Substituição de Disjuntor DJ708 (nº serie: 1140-2R-009, cod. int.: 10191570)</t>
  </si>
  <si>
    <t>0005451/2023</t>
  </si>
  <si>
    <t>DJ708</t>
  </si>
  <si>
    <t>Substituição de Transformador de Corrente TC9347 FASE A (nº serie: K74081-03-4, cod. int.: 10184503)</t>
  </si>
  <si>
    <t>LT 500 kV C. PAULISTA /ANGRA C-1 SP/RJ</t>
  </si>
  <si>
    <t>0005540/2023</t>
  </si>
  <si>
    <t>TC9347 FASE A</t>
  </si>
  <si>
    <t>Substituição de Transformador de Corrente TC9347 FASE B (nº serie: K74081-06-4, cod. int.: 10184504)</t>
  </si>
  <si>
    <t>0005541/2023</t>
  </si>
  <si>
    <t>TC9347 FASE B</t>
  </si>
  <si>
    <t>Substituição de Transformador de Corrente TC9347 FASE C (nº serie: K74081-16-3, cod. int.: 10184506)</t>
  </si>
  <si>
    <t>0005543/2023</t>
  </si>
  <si>
    <t>TC9347 FASE C</t>
  </si>
  <si>
    <t>Substituição de Transformador de Corrente TC9325 FASE A (nº serie: K74081-19-3, cod. int.: 10184510)</t>
  </si>
  <si>
    <t>LT 500 kV C. PAULISTA /CAMPINAS C-1 SP</t>
  </si>
  <si>
    <t>0005545/2023</t>
  </si>
  <si>
    <t>TC9325 FASE A</t>
  </si>
  <si>
    <t>Substituição de Transformador de Corrente TC9325 FASE B (nº serie: K74081-17-4, cod. int.: 10184509)</t>
  </si>
  <si>
    <t>0005546/2023</t>
  </si>
  <si>
    <t>TC9325 FASE B</t>
  </si>
  <si>
    <t>Substituição de Transformador de Corrente TC9325 FASE C (nº serie: K74081-17-1, cod. int.: 10184508)</t>
  </si>
  <si>
    <t>0005547/2023</t>
  </si>
  <si>
    <t>TC9325 FASE C</t>
  </si>
  <si>
    <t>Substituição de Transformador de Corrente TC9127 FASE A (nº serie: K74081-19-5, cod. int.: 10184512)</t>
  </si>
  <si>
    <t>LT 500 kV C. PAULISTA /ITAJUBA 3 C-1 SP/MG</t>
  </si>
  <si>
    <t>0005548/2023</t>
  </si>
  <si>
    <t>TC9127 FASE A</t>
  </si>
  <si>
    <t>Substituição de Transformador de Corrente TC9127 FASE B (nº serie: K74081-19-7, cod. int.: 10184531)</t>
  </si>
  <si>
    <t>0005550/2023</t>
  </si>
  <si>
    <t>TC9127 FASE B</t>
  </si>
  <si>
    <t>Substituição de Transformador de Corrente TC9127 FASE C (nº serie: K74081-01-2, cod. int.: 10184530)</t>
  </si>
  <si>
    <t>0005552/2023</t>
  </si>
  <si>
    <t>TC9127 FASE C</t>
  </si>
  <si>
    <t>Substituição de Transformador de Potencial DCP9210T LICHIJ STCH FASE A (nº serie: 730448, cod. int.: 10190005)</t>
  </si>
  <si>
    <t>0005634/2023</t>
  </si>
  <si>
    <t>DCP9210T LICHIJ STCH FASE A</t>
  </si>
  <si>
    <t>Substituição de Transformador de Potencial DCP9210T LICHIJ STCH FASE B (nº serie: 730463, cod. int.: 10190035)</t>
  </si>
  <si>
    <t>0005635/2023</t>
  </si>
  <si>
    <t>DCP9210T LICHIJ STCH FASE B</t>
  </si>
  <si>
    <t>Substituição de Transformador de Potencial DCP9210T LICHIJ STCH FASE C (nº serie: 730461, cod. int.: 10189993)</t>
  </si>
  <si>
    <t>0005636/2023</t>
  </si>
  <si>
    <t>DCP9210T LICHIJ STCH FASE C</t>
  </si>
  <si>
    <t>Substituição de Transformador de Corrente TC9137 FASE A (nº serie: K79341-04-6, cod. int.: 10184536)</t>
  </si>
  <si>
    <t>LT 500 kV C. PAULISTA /RESENDE C-1 SP/RJ</t>
  </si>
  <si>
    <t>0005553/2023</t>
  </si>
  <si>
    <t>TC9137 FASE A</t>
  </si>
  <si>
    <t>Substituição de Transformador de Corrente TC9137 FASE B (nº serie: K79341-04-5, cod. int.: 10184537)</t>
  </si>
  <si>
    <t>0005554/2023</t>
  </si>
  <si>
    <t>TC9137 FASE B</t>
  </si>
  <si>
    <t>Substituição de Transformador de Corrente TC9137 FASE C (nº serie: K79341-04-4, cod. int.: 10184538)</t>
  </si>
  <si>
    <t>0005555/2023</t>
  </si>
  <si>
    <t>TC9137 FASE C</t>
  </si>
  <si>
    <t>Substituição de Transformador de Potencial DCP9430T LTCHRS STCH FASE A (nº serie: 324320, cod. int.: 10190299)</t>
  </si>
  <si>
    <t>0005638/2023</t>
  </si>
  <si>
    <t>DCP9430T LTCHRS STCH FASE A</t>
  </si>
  <si>
    <t>Substituição de Transformador de Potencial DCP9430T LTCHRS STCH FASE B (nº serie: 324319, cod. int.: 10190300)</t>
  </si>
  <si>
    <t>0005639/2023</t>
  </si>
  <si>
    <t>DCP9430T LTCHRS STCH FASE B</t>
  </si>
  <si>
    <t>Substituição de Transformador de Potencial DCP9430T LTCHRS STCH FASE C (nº serie: 324318, cod. int.: 10190301)</t>
  </si>
  <si>
    <t>0005640/2023</t>
  </si>
  <si>
    <t>DCP9430T LTCHRS STCH FASE C</t>
  </si>
  <si>
    <t>Substituição de Seccionadora SC9365 (nº serie: 12513, cod. int.: 10194809)</t>
  </si>
  <si>
    <t>LT 500 kV C. PAULISTA /TAUBATE C-1 SP</t>
  </si>
  <si>
    <t>0005514/2023</t>
  </si>
  <si>
    <t>SC9365</t>
  </si>
  <si>
    <t>Substituição de Seccionadora SC9367 (nº serie: 9365/13, cod. int.: 10195411)</t>
  </si>
  <si>
    <t>0005515/2023</t>
  </si>
  <si>
    <t>SC9367</t>
  </si>
  <si>
    <t>Substituição de Transformador de Potencial DCP9330T LICHTA STCH FASE A (nº serie: K83025-04-3, cod. int.: 10189549)</t>
  </si>
  <si>
    <t>0005641/2023</t>
  </si>
  <si>
    <t>DCP9330T LICHTA STCH FASE A</t>
  </si>
  <si>
    <t>Substituição de Transformador de Potencial DCP9330T LICHTA STCH FASE B (nº serie: K83025-04-2, cod. int.: 10189548)</t>
  </si>
  <si>
    <t>0005642/2023</t>
  </si>
  <si>
    <t>DCP9330T LICHTA STCH FASE B</t>
  </si>
  <si>
    <t>Substituição de Transformador de Potencial DCP9330T LICHTA STCH FASE C (nº serie: K83025-03-3, cod. int.: 10189545)</t>
  </si>
  <si>
    <t>0005643/2023</t>
  </si>
  <si>
    <t>DCP9330T LICHTA STCH FASE C</t>
  </si>
  <si>
    <t>Substituição de Transformador de Potencial DCP9420T LICHPTMR STCH FASE A (nº serie: 730473, cod. int.: 10189992)</t>
  </si>
  <si>
    <t>LT 500 kV TERMINAL RIO /C. PAULISTA C-1 RJ/SP</t>
  </si>
  <si>
    <t>0005644/2023</t>
  </si>
  <si>
    <t>DCP9420T LICHPTMR STCH FASE A</t>
  </si>
  <si>
    <t>Substituição de Transformador de Potencial DCP9420T LICHPTMR STCH FASE C (nº serie: 730464, cod. int.: 10189990)</t>
  </si>
  <si>
    <t>0005645/2023</t>
  </si>
  <si>
    <t>DCP9420T LICHPTMR STCH FASE C</t>
  </si>
  <si>
    <t>Substituição de Seccionadora SC9485 (nº serie: 10672, cod. int.: 10194873)</t>
  </si>
  <si>
    <t>LT 500 kV C. PAULISTA /TIJUCO PRETO C-1 SP</t>
  </si>
  <si>
    <t>0005517/2023</t>
  </si>
  <si>
    <t>SC9485</t>
  </si>
  <si>
    <t>Substituição de Transformador de Corrente TC9485 FASE A (nº serie: K74081-15-5, cod. int.: 10184434)</t>
  </si>
  <si>
    <t>0005557/2023</t>
  </si>
  <si>
    <t>TC9485 FASE A</t>
  </si>
  <si>
    <t>Substituição de Transformador de Corrente TC9485 FASE B (nº serie: K74081-15-3, cod. int.: 10184435)</t>
  </si>
  <si>
    <t>0005559/2023</t>
  </si>
  <si>
    <t>TC9485 FASE B</t>
  </si>
  <si>
    <t>Substituição de Transformador de Corrente TC9485 FASE C (nº serie: K74081-15-8, cod. int.: 10184436)</t>
  </si>
  <si>
    <t>0005561/2023</t>
  </si>
  <si>
    <t>TC9485 FASE C</t>
  </si>
  <si>
    <t>Substituição de Transformador de Potencial DCP9460T LTCHTP1 STCH FASE A (nº serie: 88635501, cod. int.: 10190376)</t>
  </si>
  <si>
    <t>0005646/2023</t>
  </si>
  <si>
    <t>DCP9460T LTCHTP1 STCH FASE A</t>
  </si>
  <si>
    <t>Substituição de Transformador de Potencial DCP9460T LTCHTP1 STCH FASE B (nº serie: 88635502, cod. int.: 10190377)</t>
  </si>
  <si>
    <t>0005647/2023</t>
  </si>
  <si>
    <t>DCP9460T LTCHTP1 STCH FASE B</t>
  </si>
  <si>
    <t>Substituição de Transformador de Potencial DCP9460T LTCHTP1 STCH FASE C (nº serie: 88635504, cod. int.: 10190378)</t>
  </si>
  <si>
    <t>0005649/2023</t>
  </si>
  <si>
    <t>DCP9460T LTCHTP1 STCH FASE C</t>
  </si>
  <si>
    <t>Substituição de Transformador de Corrente TC9225 FASE A (nº serie: K74081-19-4, cod. int.: 10184511)</t>
  </si>
  <si>
    <t>MG C. PAULISTA / CCO-2001-062 - RB</t>
  </si>
  <si>
    <t>0005564/2023</t>
  </si>
  <si>
    <t>TC9225 FASE A</t>
  </si>
  <si>
    <t>Substituição de Transformador de Corrente TC9225 FASE B (nº serie: K74081-19-6, cod. int.: 10184507)</t>
  </si>
  <si>
    <t>0005566/2023</t>
  </si>
  <si>
    <t>TC9225 FASE B</t>
  </si>
  <si>
    <t>Substituição de Transformador de Corrente TC9225 FASE C (nº serie: K74081-15-4, cod. int.: 10184505)</t>
  </si>
  <si>
    <t>0005567/2023</t>
  </si>
  <si>
    <t>TC9225 FASE C</t>
  </si>
  <si>
    <t>Substituição de Seccionadora SC9445 (nº serie: 9365/15, cod. int.: 10195413)</t>
  </si>
  <si>
    <t>0005519/2023</t>
  </si>
  <si>
    <t>SC9445</t>
  </si>
  <si>
    <t>Substituição de Seccionadora SC9447 (nº serie: 9365/18, cod. int.: 10195416)</t>
  </si>
  <si>
    <t>0005520/2023</t>
  </si>
  <si>
    <t>SC9447</t>
  </si>
  <si>
    <t>Substituição de Seccionadora SC9455 (nº serie: 9365/19, cod. int.: 10195417)</t>
  </si>
  <si>
    <t>0005521/2023</t>
  </si>
  <si>
    <t>SC9455</t>
  </si>
  <si>
    <t>Substituição de Seccionadora SC9457 (nº serie: 9365/14, cod. int.: 10195412)</t>
  </si>
  <si>
    <t>0005523/2023</t>
  </si>
  <si>
    <t>SC9457</t>
  </si>
  <si>
    <t>Substituição de Para-raio PARA-RAIOS - LTIATP1 STTPR FASE A (nº serie: 75026404, cod. int.: 10198533)</t>
  </si>
  <si>
    <t>LT 750 kV ITABERA /TIJUCO PRETO C-1 SP</t>
  </si>
  <si>
    <t>0004839/2023</t>
  </si>
  <si>
    <t>PARA-RAIOS - LTIATP1 STTPR FASE A</t>
  </si>
  <si>
    <t>Substituição de Para-raio PARA-RAIOS - LTIATP1 STTPR FASE B (nº serie: 75026405, cod. int.: 10198534)</t>
  </si>
  <si>
    <t>0004841/2023</t>
  </si>
  <si>
    <t>PARA-RAIOS - LTIATP1 STTPR FASE B</t>
  </si>
  <si>
    <t>Substituição de Para-raio PARA-RAIOS - LTIATP1 STTPR FASE C (nº serie: 75026406, cod. int.: 10198535)</t>
  </si>
  <si>
    <t>0004843/2023</t>
  </si>
  <si>
    <t>PARA-RAIOS - LTIATP1 STTPR FASE C</t>
  </si>
  <si>
    <t>Substituição de Para-raio PARA-RAIOS - LTIATP2 STTPR FASE A (nº serie: 75026398, cod. int.: 10198526)</t>
  </si>
  <si>
    <t>LT 750 kV ITABERA /TIJUCO PRETO C-2 SP</t>
  </si>
  <si>
    <t>0004833/2023</t>
  </si>
  <si>
    <t>PARA-RAIOS - LTIATP2 STTPR FASE A</t>
  </si>
  <si>
    <t>Substituição de Para-raio PARA-RAIOS - LTIATP2 STTPR FASE B (nº serie: 75026399, cod. int.: 10198527)</t>
  </si>
  <si>
    <t>EL 750 kV TIJUCO PRETO LT 750 kV ITABERA /TIJUCO PRETO C-2 SP</t>
  </si>
  <si>
    <t>0004835/2023</t>
  </si>
  <si>
    <t>PARA-RAIOS - LTIATP2 STTPR FASE B</t>
  </si>
  <si>
    <t>Substituição de Para-raio PARA-RAIOS - LTIATP2 STTPR FASE C (nº serie: 75026400, cod. int.: 10198528)</t>
  </si>
  <si>
    <t>0004836/2023</t>
  </si>
  <si>
    <t>PARA-RAIOS - LTIATP2 STTPR FASE C</t>
  </si>
  <si>
    <t>Substituição de Transformador de Corrente TCS DJ12724 FASE A (nº serie: 7176012, cod. int.: 10185094)</t>
  </si>
  <si>
    <t>0004907/2023</t>
  </si>
  <si>
    <t>TCS DJ12724 FASE A</t>
  </si>
  <si>
    <t>Substituição de Transformador de Corrente TCS DJ12724 FASE B (nº serie: 7176010, cod. int.: 10185096)</t>
  </si>
  <si>
    <t>0004911/2023</t>
  </si>
  <si>
    <t>TCS DJ12724 FASE B</t>
  </si>
  <si>
    <t>Substituição de Transformador de Corrente TCS DJ12724 FASE C (nº serie: 7176007, cod. int.: 10185091)</t>
  </si>
  <si>
    <t>0004915/2023</t>
  </si>
  <si>
    <t>TCS DJ12724 FASE C</t>
  </si>
  <si>
    <t>SUBSTITUIÇÃO DE REATOR A SECO COM NUCLEO DE AR P/ FILTRO DE 3ª HARMONICA - FASE A</t>
  </si>
  <si>
    <t>CE 55/-20 Mvar SINOP CE1 MT</t>
  </si>
  <si>
    <t>0002982/2021</t>
  </si>
  <si>
    <t>N-S-MTSP-CE101-MC230-SPRL102A</t>
  </si>
  <si>
    <t>SUBSTITUIÇÃO DE REATOR A SECO COM NUCLEO DE AR P/ FILTRO DE 3ª HARMONICA</t>
  </si>
  <si>
    <t>0002983/2021</t>
  </si>
  <si>
    <t>N-S-MTSP-CE101-MC230-SPRL102B</t>
  </si>
  <si>
    <t>0002984/2021</t>
  </si>
  <si>
    <t>N-S-MTSP-CE101-MC230-SPRL102V</t>
  </si>
  <si>
    <t>USINA XINGO</t>
  </si>
  <si>
    <t>Instalação de firewall (hardware específico) na edificação USINA XINGÓ, composto por: 02 Switchs Ethernet Dedicados (Firewalls).</t>
  </si>
  <si>
    <t>MODULO NOVO</t>
  </si>
  <si>
    <t>0003465/2021</t>
  </si>
  <si>
    <t>LT 230 kV CIC. DANTAS /CATU BA</t>
  </si>
  <si>
    <t>Substituir 15 cadeias de isolador em 01 est 080/4-LT 230 kV CIC. DANTAS /CATU C-1 BA-04L2</t>
  </si>
  <si>
    <t>LT 230 kV CIC. DANTAS /CATU C-1 BA</t>
  </si>
  <si>
    <t>0003587/2021</t>
  </si>
  <si>
    <t>04L2</t>
  </si>
  <si>
    <t>LT 230 kV AQUIRAZ II /FORTALEZA CE</t>
  </si>
  <si>
    <t>Substituir 01 estrutura metálica autoportante 176/2 e componentes e 04 fundações associados. Altura = 23 m e Carregamento/Esforço = 3686,8 DAN-LT 230 kV AQUIRAZ II /FORTALEZA C-3 CE (04F1)</t>
  </si>
  <si>
    <t>LT 230 kV AQUIRAZ II /FORTALEZA C-3 CE</t>
  </si>
  <si>
    <t>0003622/2021</t>
  </si>
  <si>
    <t>11647028</t>
  </si>
  <si>
    <t>Substituir 01 estrutura metálica autoportante 176/1 e componentes e 04 fundações associados. Altura = 23 m e Carregamento/Esforço = 3686,8 DAN-LT 230 kV AQUIRAZ II /FORTALEZA C-3 CE (04F1)</t>
  </si>
  <si>
    <t>0003625/2021</t>
  </si>
  <si>
    <t>11647018</t>
  </si>
  <si>
    <t>LT 230 kV CAUIPE /FORTALEZA II CE</t>
  </si>
  <si>
    <t>Substituir 01 estrutura metálica autoportante 213/1 e componentes e 04 fundações associados. Altura = 39 m e Carregamento/Esforço = 7501,7 DAN-LT 230 kV CAUIPE /FORTALEZA II C-3 CE (04S1)</t>
  </si>
  <si>
    <t>0003627/2021</t>
  </si>
  <si>
    <t>11661378</t>
  </si>
  <si>
    <t>LT 500 kV USINA XINGO /MESSIAS AL</t>
  </si>
  <si>
    <t>Substituir 236 cadeias de isolador em 35 est 001/1;001/2;001/3;002/1;002/2;003/1;003/2;004/1;004/2;005/1;005/2;006/1;006/2;007/1;007/2;008/1;008/2;009/1;009/2;010/1;010/2;011/1;011/2;012/1;012/2;013/1;014/1;014/2;015/1;016/1;016/2;017/1;017/2;018/1;018/2-LT 500 kV USINA XINGO /MESSIAS C-1 AL-05V4</t>
  </si>
  <si>
    <t>0003667/2021</t>
  </si>
  <si>
    <t>05V4</t>
  </si>
  <si>
    <t>LT 500 kV US. L.GONZAGA /MILAGRES PE/CE</t>
  </si>
  <si>
    <t>Substituir 68 cadeias de isolador em 14 est 040/1;040/2;041/1;041/2;042/2;044/1;045/1;047/2;048/2;102/1;130/1;131/2;134/1;136/3-LT 500 kV US. L.GONZAGA /MILAGRES C-1 PE/CE-05V1</t>
  </si>
  <si>
    <t>LT 500 kV US. L.GONZAGA /MILAGRES C-1 PE/CE</t>
  </si>
  <si>
    <t>0003668/2021</t>
  </si>
  <si>
    <t>05V1</t>
  </si>
  <si>
    <t>LT 500 kV USINA XINGO /JARDIM AL/SE</t>
  </si>
  <si>
    <t>Substituir 212 cadeias de isolador em 35 est 001/1;001/2;001/3;002/1;002/2;003/1;003/2;004/1;004/2;005/1;005/2;006/1;006/2;007/1;007/2;008/1;008/2;009/1;009/2;010/1;011/1;011/2;012/1;012/2;013/1;013/2;014/1;015/1;015/2;015/3;016/1;017/1;017/2;018/1;018/2-LT 500 kV USINA XINGO /JARDIM C-1 AL/SE-05V5</t>
  </si>
  <si>
    <t>LT 500 kV USINA XINGO /JARDIM C-1 AL/SE</t>
  </si>
  <si>
    <t>0003670/2021</t>
  </si>
  <si>
    <t>05V5</t>
  </si>
  <si>
    <t>LT  500 kV US. L.GONZAGA/U.SOBRADINHO  PE/BA</t>
  </si>
  <si>
    <t>Substituir 164 cadeias de isolador em 35 est 161/2;162/2;164/1;164/2;173/2;174/2;177/1;178/1;179/1;180/1;180/2;181/1;181/2;182/1;182/2;209/2;210/1;226/2;240/1;241/2;243/2;250/2;260/1;260/2;261/1;261/2;262/1;262/2;263/2;264/2;265/1;266/1;267/1;268/1;268/2-LT 500 kV US. L.GONZAGA/U.SOBRADINHO C2-05C4</t>
  </si>
  <si>
    <t>LT 500 kV US. L.GONZAGA /U.SOBRADINHO C-2 PE/BA</t>
  </si>
  <si>
    <t>0003671/2021</t>
  </si>
  <si>
    <t>05C4</t>
  </si>
  <si>
    <t>LT 500 kV P. AFONSO IV /ANGELIM II BA/PE</t>
  </si>
  <si>
    <t>Substituir 152 cadeias de isolador em 35 est 124/1;124/2;125/1;125/2;126/1;126/2;127/2;128/1;128/2;129/1;129/2;129/3;130/1;130/2;131/1;131/2;132/1;132/2;133/1;133/2;134/1;134/2;135/1;135/2;136/2;137/1;137/2;138/1;138/2;139/1;140/1;140/2;140/3;141/1;141/2-LT 500 kV P. AFONSO IV /ANGELIM II C1-05L6</t>
  </si>
  <si>
    <t>LT 500 kV P. AFONSO IV /ANGELIM II C-1 BA/PE</t>
  </si>
  <si>
    <t>0003672/2021</t>
  </si>
  <si>
    <t>05L6</t>
  </si>
  <si>
    <t>Substituir 200 cadeias de isolador em 35 est 001/1;001/2;002/1;002/2;003/1;003/2;003/3;004/1;005/1;006/3;008/3;009/2;010/1;011/2;012/1;013/1;013/2;014/1;014/2;031/2;032/1;033/1;033/2;033/3;034/2;035/1;035/2;036/1;036/2;036/3;037/1;038/1;038/2;039/1;039/2-LT 500 kV P. AFONSO IV /ANGELIM II C1-05L6</t>
  </si>
  <si>
    <t>0003675/2021</t>
  </si>
  <si>
    <t>LT 230 kV P.AFONSO III /ITABAIANA AL/SE</t>
  </si>
  <si>
    <t>Substituir 132 cadeias de isolador em 35 est 001/3;001/4;003/1;003/2;003/3;004/2;005/1;005/2;005/3;006/2;007/1;007/2;008/2;009/2;010/2;011/2;011/3;012/1;012/2;013/1;014/1;015/1;015/2;015/3;016/2;017/2;019/2;022/1;023/1;023/2;024/1;024/3;025/1;025/2;027/1-LT 230 kV P.AFONSO III /ITABAIANA C2-04S7</t>
  </si>
  <si>
    <t>LT 230 kV P.AFONSO III /ITABAIANA C-2 AL/SE</t>
  </si>
  <si>
    <t>0003676/2021</t>
  </si>
  <si>
    <t>04S7</t>
  </si>
  <si>
    <t>LT 230 kV P.AFONSO III /BOM NOME AL/PE</t>
  </si>
  <si>
    <t>Substituir 195 cadeias de isolador em 35 est 001/3;002/2;002/3;007/2;009/2;009/3;010/1;010/2;010/3;010/4;011/1;011/2;011/3;013/1;013/2;014/1;016/4;017/2;017/3;017/4;020/1;020/4;021/4;022/1;023/3;023/4;024/1;024/3;025/1;025/2;025/3;028/1;031/1;032/1;032/3-LT 230 kV P.AFONSO III /BOM NOME C3-04F3</t>
  </si>
  <si>
    <t>LT 230 kV P.AFONSO III /BOM NOME C-3 AL/PE</t>
  </si>
  <si>
    <t>0003679/2021</t>
  </si>
  <si>
    <t>04F3</t>
  </si>
  <si>
    <t>LT 500 kV US. L.GONZAGA /JUAZEIRO III PE/BA</t>
  </si>
  <si>
    <t>Substituir 152 cadeias de isolador em 35 est 124/2;125/2;126/2;127/1;127/2;128/1;128/2;130/2;131/1;134/1;134/2;135/1;136/1;137/2;138/1;138/2;139/1;140/1;140/2;141/1;142/1;142/2;143/1;143/2;144/1;145/1;146/2;147/1;148/1;148/2;149/1;149/2;150/1;150/2;151/1-LT 500 kV US. L.GONZAGA /JUAZEIRO III C1-05C5</t>
  </si>
  <si>
    <t>LT 500 kV US. L.GONZAGA /JUAZEIRO III C-1 PE/BA</t>
  </si>
  <si>
    <t>0003683/2021</t>
  </si>
  <si>
    <t>05C5</t>
  </si>
  <si>
    <t>Substituir 140 cadeias de isolador em 35 est 072/2;073/1;073/2;073/3;083/1;083/2;084/1;085/1;085/2;086/1;086/2;087/1;087/2;088/1;088/2;089/1;090/1;090/2;091/1;091/2;092/1;092/2;093/1;093/2;094/2;095/2;096/2;097/1;099/1;099/2;100/1;100/2;101/1;101/2;101/3-LT 500 kV US. L.GONZAGA /JUAZEIRO III C1-05C5</t>
  </si>
  <si>
    <t>0003686/2021</t>
  </si>
  <si>
    <t>LT 230 kV BOM NOME /MILAGRES PE/CE</t>
  </si>
  <si>
    <t>Substituir 348 cadeias de isolador em 34 est 000/1;000/2;001/1;001/2;001/3;001/4;001/5;002/1;002/2;002/3;003/1;003/2;003/3;003/4;004/1;004/2;004/3;004/4;005/1;005/2;005/3;005/4;006/1;006/2;006/3;006/4;007/1;007/2;007/3;007/4;008/1;008/2;008/3;008/4-LT 230 kV BOM NOME /MILAGRES C-3 PE/CE-04L3</t>
  </si>
  <si>
    <t>LT 230 kV BOM NOME /MILAGRES C-3 PE/CE</t>
  </si>
  <si>
    <t>0003687/2021</t>
  </si>
  <si>
    <t>04L3</t>
  </si>
  <si>
    <t>LT 500 kV PAU FERRO /RECIFE II PE</t>
  </si>
  <si>
    <t>Substituir 325 cadeias de isolador em 35 est RCD;001/1;001/2;002/1;002/2;002/3;003/1;003/2;004/1;004/2;004/3;005/1;005/2;005/3;006/1;006/2;007/1;007/2;007/3;008/1;009/1;009/2;010/1;010/2;011/1;011/2;012/1;012/2;013/1;013/2;014/1;014/2;014/3;015/1;015/2-LT 500 kV PAU FERRO /RECIFE II C-1 PE-05L8</t>
  </si>
  <si>
    <t>LT 500 kV PAU FERRO /RECIFE II C-1 PE</t>
  </si>
  <si>
    <t>0003694/2021</t>
  </si>
  <si>
    <t>05L8</t>
  </si>
  <si>
    <t>LT 500 kV SUAPE II /RECIFE II PE</t>
  </si>
  <si>
    <t>Substituir 140 cadeias de isolador em 35 est 024/1;024/2;024/3;025/1;025/2;026/1;026/2;027/1;027/2;028/1;028/2;029/1;029/2;030/1;030/2;031/1;031/2;032/1;032/2;033/1;033/2;034/1;034/2;034/3;035/1;035/2;036/1;036/2;037/1;038/1;038/2;039/1;039/2;040/1;040/2-LT 500 kV SUAPE II /RECIFE II C-1 PE-05L7</t>
  </si>
  <si>
    <t>LT 500 kV SUAPE II /RECIFE II C-1 PE</t>
  </si>
  <si>
    <t>0003696/2021</t>
  </si>
  <si>
    <t>05L7</t>
  </si>
  <si>
    <t>LT 230 kV SAPEACU /FUNIL BA</t>
  </si>
  <si>
    <t>Substituir 186 cadeias de isolador em 34 est 173/1;173/2;174/2;175/1;177/1;177/2;178/1;179/1;180/1;180/2;181/1;181/2;182/1;182/2;183/1;183/2;184/2;185/1;185/2;186/1;186/2;187/1;187/2;187/3;188/1;188/2;189/1;189/2;190/1;190/2;191/1;191/2;192/1;192/2-LT 230 kV SAPEACU /FUNIL C-1 BA-04F1</t>
  </si>
  <si>
    <t>LT 230 kV SAPEACU /FUNIL C-1 BA</t>
  </si>
  <si>
    <t>0003697/2021</t>
  </si>
  <si>
    <t>04F1</t>
  </si>
  <si>
    <t>LT 230 kV RIBEIRAO /RECIFE II PE</t>
  </si>
  <si>
    <t>Substituir 117 cadeias de isolador em 34 est 018/1;018/2;018/3;019/1;019/2;020/1;020/2;021/1;022/1;022/2;023/1;023/2;023/3;024/1;024/2;025/1;025/2;026/1;026/2;027/1;027/2;027/3;028/1;029/1;029/2;030/1;030/2;031/2;032/1;033/1;034/1;034/2;035/1;035/2-LT 230 kV RIBEIRAO /RECIFE II C-1 PE-04M1</t>
  </si>
  <si>
    <t>LT 230 kV RIBEIRAO /RECIFE II C-1 PE</t>
  </si>
  <si>
    <t>0003698/2021</t>
  </si>
  <si>
    <t>04M1</t>
  </si>
  <si>
    <t>Substituir 135 cadeias de isolador em 34 est RIB;000001;001/3;001/6;002/2;003/1;003/2;004/2;005/1;005/2;005/3;006/1;007/1;007/2;008/1;008/2;009/1;009/3;010/1;010/2;012/1;012/2;013/1;013/3;014/1;014/2;014/3;015/1;015/2;016/1;016/2;017/1;017/2;017/3-LT 230 kV RIBEIRAO /RECIFE II C-1 PE-04M1</t>
  </si>
  <si>
    <t>0003699/2021</t>
  </si>
  <si>
    <t>LT 230 kV STO.A.JESUS /FUNIL BA</t>
  </si>
  <si>
    <t>Substituir 111 cadeias de isolador em 17 est 158/1;158/2;158/3;159/1;159/2;159/3;160/1;160/2;161/1;161/2;162/1;162/2;163/1;163/2;163/3;163/4;164/1-LT 230 kV STO.A.JESUS /FUNIL C-1 BA-04F2</t>
  </si>
  <si>
    <t>LT 230 kV STO.A.JESUS /FUNIL C-1 BA</t>
  </si>
  <si>
    <t>0003700/2021</t>
  </si>
  <si>
    <t>04F2</t>
  </si>
  <si>
    <t>LT 138 kV ACU II /SAN.MATOS II RN</t>
  </si>
  <si>
    <t>Substituir 54 cadeias de isolador em 18 est 001/3;001/4;001/5;002/1;002/3;004/2;004/3;004/4;006/1;006/2;008/3;010/2;013/2;013/5;014/1;014/3;015/2;034/4-LT 138 kV ACU II /SAN.MATOS II C-1 RN-03C2</t>
  </si>
  <si>
    <t>LT 138 kV ACU II /SAN.MATOS II C-1 RN</t>
  </si>
  <si>
    <t>0003703/2021</t>
  </si>
  <si>
    <t>03C2</t>
  </si>
  <si>
    <t>LT 138 kV PARAISO /SANTA CRUZ II RN</t>
  </si>
  <si>
    <t>Substituir 54 cadeias de isolador em 12 est 530A;530B;552;001/1;001/2;001/3;002/1;002/2;003/1;003/2;004/1;004/2-LT 138 kV PARAISO /SANTA CRUZ II C-1 RN-03M1</t>
  </si>
  <si>
    <t>LT 138 kV PARAISO /SANTA CRUZ II C-1 RN</t>
  </si>
  <si>
    <t>0003704/2021</t>
  </si>
  <si>
    <t>03M1</t>
  </si>
  <si>
    <t>LT 230 kV NATAL III /NATAL II RN</t>
  </si>
  <si>
    <t>Substituir 60 cadeias de isolador em 19 est 001/4;002/1;002/2;003/1;003/2;003/3;003/4;004/1;004/2;004/3;005/1;005/2;006/1;007/2;008/1;008/2;009/1;009/2;010/2-LT 230 kV NATAL III /NATAL II C-1 RN-04N3</t>
  </si>
  <si>
    <t>LT 230 kV NATAL III /NATAL II C-1 RN</t>
  </si>
  <si>
    <t>0003710/2021</t>
  </si>
  <si>
    <t>04N3</t>
  </si>
  <si>
    <t>LT 138 kV C.GRANDE II /SANTA CRUZ II PB/RN</t>
  </si>
  <si>
    <t>Substituir 15 cadeias de isolador em 5 est 516;510;533;527;536-LT 138 kV C.GRANDE II /SANTA CRUZ II C-1 PB/RN-03L1</t>
  </si>
  <si>
    <t>0003713/2021</t>
  </si>
  <si>
    <t>03L1</t>
  </si>
  <si>
    <t>Substituição de 1 (um) Transformador de Potencial 13,8 kV posição operacional 81T3 fase A da Subestação BNO</t>
  </si>
  <si>
    <t>MC 13,8 kV TR 69/13,8 kV BOM NOME TR3A PE</t>
  </si>
  <si>
    <t>0004004/2021</t>
  </si>
  <si>
    <t>11456346</t>
  </si>
  <si>
    <t>Substituição de 1 (um) Transformador de Potencial 13,8 kV posição operacional 81T3 fase C da Subestação BNO</t>
  </si>
  <si>
    <t>0004009/2021</t>
  </si>
  <si>
    <t>11456347</t>
  </si>
  <si>
    <t>IVAIPORA ELS</t>
  </si>
  <si>
    <t>Substituição dos painéis da proteção Principal, Alternada, Falha de Disjuntor (com instalação de unidades redundantes), e dos cabos de controle e potência associados (6.640 m), referente a LT 525 kV Ivaiporã Eletrosul - Ivaiporã Furnas C-1.</t>
  </si>
  <si>
    <t>LT 525 kV IVAIPORA ELETROSUL / IVAIPORA FURNAS C-1 PR</t>
  </si>
  <si>
    <t>0004059/2021</t>
  </si>
  <si>
    <t>PP, PA, BF - LT STIV C-1</t>
  </si>
  <si>
    <t>Substituição dos painéis da proteção Principal, Alternada, Falha de Disjuntor (com instalação de unidades redudantes), e dos cabos de controle e potência associados (6.640 m), referente a LT 525 kV Ivaiporã Eletrosul - Ivaiporã Furnas C-2.</t>
  </si>
  <si>
    <t>LT 525 kV IVAIPORA ELETROSUL / IVAIPORA FURNAS C-2 PR</t>
  </si>
  <si>
    <t>0004065/2021</t>
  </si>
  <si>
    <t>PP, PA, BF - LT STIV C-2</t>
  </si>
  <si>
    <t>Substituição dos painéis da proteção Principal, Alternada, Falha de Disjuntor (com instalação de unidades redundantes), e dos cabos de controle e potência associados (6.640 m), referente a LT 525 kV Ivaiporã Eletrosul - Ivaiporã Furnas C-3.</t>
  </si>
  <si>
    <t>LT 525 kV IVAIPORA ELETROSUL / IVAIPORA FURNAS C-3 PR</t>
  </si>
  <si>
    <t>0004066/2021</t>
  </si>
  <si>
    <t>PP, PA, BF - LT STIV C-3</t>
  </si>
  <si>
    <t>Substituição do esquema de Falha de Disjuntor (com instalação de unidades redundantes), e dos cabos de controle e potência associados (4.980 m), referente ao Interligador de Barras (IB) 525 kV da SE Ivaiporã Eletrosul, DJ 1010 (vão entre as LT Ivaiporã Furnas C-1 e Cascavel Oeste C-1).</t>
  </si>
  <si>
    <t>MG IVAIPORA / CCO-2001-057 - RB</t>
  </si>
  <si>
    <t>0004081/2021</t>
  </si>
  <si>
    <t>BF - DJ1010</t>
  </si>
  <si>
    <t>Substituição do esquema de Falha de Disjuntor (com instalação de unidades redundantes), e dos cabos de controle e potência associados (4.980 m), referente ao Interligador de Barras (IB) 525 kV da SE Ivaiporã Eletrosul, DJ 1050 (vão entre as LT Ivaiporã Furnas C-3 e S.Santiago C-2).</t>
  </si>
  <si>
    <t>0004083/2021</t>
  </si>
  <si>
    <t>BF - DJ1050</t>
  </si>
  <si>
    <t>Substituição dos sistemas de medição, controle e supervisão do CS 330/-220 MVAr IBIUNA CS1 SP.</t>
  </si>
  <si>
    <t>CS 330/-220 Mvar IBIUNA CS1 SP</t>
  </si>
  <si>
    <t>0004588/2021</t>
  </si>
  <si>
    <t>UAC do CS01</t>
  </si>
  <si>
    <t>Substituição do sistema de controle e supervisão (com unidade redundante) da LT 525 kV Ivaiporã Eletrosul - Ivaiporã Furnas C-1, e dos cabos de controle e potência associados (9.960 m).</t>
  </si>
  <si>
    <t>0004091/2021</t>
  </si>
  <si>
    <t>Controle - LT STIV C-1</t>
  </si>
  <si>
    <t>Substituição do sistema de controle e supervisão (com unidade redundante) da LT 525 kV Ivaiporã Eletrosul - Ivaiporã Furnas C-2, e dos cabos de controle e potência associados (9.960 m).</t>
  </si>
  <si>
    <t>0004094/2021</t>
  </si>
  <si>
    <t>Controle - LT STIV C-2</t>
  </si>
  <si>
    <t>Substituição dos sistemas de  proteção do CS 330/-220 MVAr IBIUNA CS1 SP.</t>
  </si>
  <si>
    <t>0004113/2021</t>
  </si>
  <si>
    <t>Proteção do CS1</t>
  </si>
  <si>
    <t>Substituição do sistema de controle e supervisão (com unidade redundante) da LT 525 kV Ivaiporã Eletrosul - Ivaiporã Furnas C-3, e dos cabos de controle e potência associados (9.960 m).</t>
  </si>
  <si>
    <t>0004099/2021</t>
  </si>
  <si>
    <t>Controle - LT STIV C-3</t>
  </si>
  <si>
    <t>Substituição do sistema de controle e supervisão (com unidade redundante) da LT 525 kV Ivaiporã Eletrosul - Salto Santiago C-1, e dos cabos de controle e potência associados (9.960 m).</t>
  </si>
  <si>
    <t>LT 525 kV IVAIPORA /S.SANTIAGO C-1 PR</t>
  </si>
  <si>
    <t>0004106/2021</t>
  </si>
  <si>
    <t>Controle - LT SSA C-1</t>
  </si>
  <si>
    <t>Substituição do sistema de controle e supervisão (com unidade redundante) da LT 525 kV Ivaiporã Eletrosul - Salto Santiago C-2, e dos cabos de controle e potência associados (9.960 m).</t>
  </si>
  <si>
    <t>LT 525 kV IVAIPORA /S.SANTIAGO C-2 PR</t>
  </si>
  <si>
    <t>0004108/2021</t>
  </si>
  <si>
    <t>Controle - LT SSA C-2</t>
  </si>
  <si>
    <t>Instalação do controle no vão da LTCampos - Macaé circuito 1</t>
  </si>
  <si>
    <t>0004131/2021</t>
  </si>
  <si>
    <t>UAC do vão da LTCampos - Macaé circuito 1</t>
  </si>
  <si>
    <t>Instalação do controle no vão da LTCampos - Macaé circuito 2</t>
  </si>
  <si>
    <t>0004133/2021</t>
  </si>
  <si>
    <t>UAC do vão da LTCampos - Macaé circuito 2</t>
  </si>
  <si>
    <t>Substituição do sistema de controle e supervisão (com unidade redundante) do Interligador de Barras (IB) 525 kV da SE Ivaiporã Eletrosul, e dos cabos de controle e potência associados (7.470 m),  DJ 1010 (vão entre as LT Ivaiporã Furnas C-1 e Cascavel Oeste C-1).</t>
  </si>
  <si>
    <t>0004112/2021</t>
  </si>
  <si>
    <t>Controle - DJ1010</t>
  </si>
  <si>
    <t>Instalação do controle no vão da LTCampos - Macaé circuito 3</t>
  </si>
  <si>
    <t>0004135/2021</t>
  </si>
  <si>
    <t>UAC do vão da LTCampos - Macaé circuito 3</t>
  </si>
  <si>
    <t>Substituição do registrador de perturbações do CS 330/-220 MVAr IBIUNA CS1 SP.</t>
  </si>
  <si>
    <t>0004116/2021</t>
  </si>
  <si>
    <t>RDP do CS1</t>
  </si>
  <si>
    <t>Substituição do sistema de controle e supervisão (com unidade redundante) do Interligador de Barras (IB) 525 kV da SE Ivaiporã Eletrosul, e dos cabos de controle e potência associados (7.470 m), DJ 1030 (vão entre as LT Ivaiporã Furnas C-2 e S.Santiago C-1).</t>
  </si>
  <si>
    <t>0004119/2021</t>
  </si>
  <si>
    <t>Controle - DJ1030</t>
  </si>
  <si>
    <t>Substituição do sistema de controle e supervisão (com unidade redundante) do Interligador de Barras (IB) 525 kV da SE Ivaiporã Eletrosul, e dos cabos de controle e potência associados (7.470 m),  DJ 1050 (vão entre as LT Ivaiporã Furnas C-3 e S.Santiago C-2).</t>
  </si>
  <si>
    <t>0004121/2021</t>
  </si>
  <si>
    <t>Controle - DJ1050</t>
  </si>
  <si>
    <t>Instalação do controle no vão da LI Campos - Vitória circuito 1</t>
  </si>
  <si>
    <t>LT 345 kV CAMPOS /VITORIA C-1 RJ/ES</t>
  </si>
  <si>
    <t>0004387/2021</t>
  </si>
  <si>
    <t>UAC do vão da LI Campos - Vitória circuito 1</t>
  </si>
  <si>
    <t>Substituição do painel de SPCS dos serviços auxiliares CA e CC do setor 525 kV da SE Ivaiporã, e cabos associados. Denominação do novo painel: 5UASA.</t>
  </si>
  <si>
    <t>0004125/2021</t>
  </si>
  <si>
    <t>Painel - 5UASA</t>
  </si>
  <si>
    <t>Substituição dos sistemas de medição, controle e supervisão do CS 330/-220 MVAr IBIUNA CS2 SP.</t>
  </si>
  <si>
    <t>CS 330/-220 Mvar IBIUNA CS2 SP</t>
  </si>
  <si>
    <t>0004597/2021</t>
  </si>
  <si>
    <t>UAC do CS02</t>
  </si>
  <si>
    <t>Substituição dos sistemas de  proteção do CS 330/-220 MVAr IBIUNA CS2 SP.</t>
  </si>
  <si>
    <t>0004138/2021</t>
  </si>
  <si>
    <t>Proteção do CS2</t>
  </si>
  <si>
    <t>Substituição do registrador de perturbações do CS 330/-220 MVAr IBIUNA CS2 SP.</t>
  </si>
  <si>
    <t>0004140/2021</t>
  </si>
  <si>
    <t>RDP do CS2</t>
  </si>
  <si>
    <t>Instalação do controle no vão do AT01-AT</t>
  </si>
  <si>
    <t>TR 345 / 138 kV CAMPOS 1 RJ</t>
  </si>
  <si>
    <t>0004142/2021</t>
  </si>
  <si>
    <t>UAC do vão do AT01-AT</t>
  </si>
  <si>
    <t>Instalação do controle no vão do AT02-AT</t>
  </si>
  <si>
    <t>TR 345 / 138 kV CAMPOS 2 RJ</t>
  </si>
  <si>
    <t>0004144/2021</t>
  </si>
  <si>
    <t>Substituição dos sistemas de medição, controle e supervisão do CS 330/-220 MVAr IBIUNA CS3 SP.</t>
  </si>
  <si>
    <t>0004602/2021</t>
  </si>
  <si>
    <t>UAC do CS03</t>
  </si>
  <si>
    <t>Instalação do controle no vão do AT03-AT</t>
  </si>
  <si>
    <t>TR 345 / 138 kV CAMPOS 3 RJ</t>
  </si>
  <si>
    <t>0004148/2021</t>
  </si>
  <si>
    <t>Substituição dos sistemas de  proteção do CS 330/-220 MVAr IBIUNA CS3 SP.</t>
  </si>
  <si>
    <t>0004150/2021</t>
  </si>
  <si>
    <t>Proteção do CS3</t>
  </si>
  <si>
    <t>Instalação do controle no vão do AT04-AT</t>
  </si>
  <si>
    <t>TR 345 / 138 kV CAMPOS 4 RJ</t>
  </si>
  <si>
    <t>0004160/2021</t>
  </si>
  <si>
    <t>Instalação do controle no vão do Reator 05</t>
  </si>
  <si>
    <t>RT 345 kV 60 Mvar CAMPOS RT5 RJ</t>
  </si>
  <si>
    <t>0004163/2021</t>
  </si>
  <si>
    <t>UAC do vão do Reator 05</t>
  </si>
  <si>
    <t>Instalação do controle no vão do Reator 06</t>
  </si>
  <si>
    <t>RT 345 kV 60 Mvar CAMPOS RT6 RJ</t>
  </si>
  <si>
    <t>0004165/2021</t>
  </si>
  <si>
    <t>UAC do vão do Reator 06</t>
  </si>
  <si>
    <t>Instalação do controle no vão do Banco de Capacitor 09</t>
  </si>
  <si>
    <t>BC 345 kV 60 Mvar CAMPOS BC9 RJ</t>
  </si>
  <si>
    <t>0004169/2021</t>
  </si>
  <si>
    <t>UAC do vão do Banco de Capacitor 09</t>
  </si>
  <si>
    <t>Instalação do controle no vão do Banco de Capacitor 10</t>
  </si>
  <si>
    <t>BC 345 kV 60 Mvar CAMPOS BC10 RJ</t>
  </si>
  <si>
    <t>0004172/2021</t>
  </si>
  <si>
    <t>UAC do vão do Banco de Capacitor 10</t>
  </si>
  <si>
    <t>Substituição dos sistemas de medição, controle, supervisão do CS 330/-220 MVAr IBIUNA CS4 SP.</t>
  </si>
  <si>
    <t>0004614/2021</t>
  </si>
  <si>
    <t>UAC do CS04</t>
  </si>
  <si>
    <t>Substituição dos sistemas de  proteção do CS 330/-220 MVAr IBIUNA CS4 SP.</t>
  </si>
  <si>
    <t>0004192/2021</t>
  </si>
  <si>
    <t>Proteção do CS4</t>
  </si>
  <si>
    <t>Substituição de 2 (dois) painéis de distribuição do serviço auxiliar DC associado ao Compensador síncrono - posição operacional 01K1 da Subestação RCD</t>
  </si>
  <si>
    <t>CS 2x(150/-105) Mvar RECIFE II CS1 CS2 TR5 PE</t>
  </si>
  <si>
    <t>0004278/2021</t>
  </si>
  <si>
    <t>11344365</t>
  </si>
  <si>
    <t>Substituição da Mesa de Operação existente na sala de comando da SE Ivaiporã.</t>
  </si>
  <si>
    <t>0004315/2021</t>
  </si>
  <si>
    <t>Mesa de Operação</t>
  </si>
  <si>
    <t>Substituição dos sistemas de medição, controle e supervisão do EL 500 kV S.DA MESA LT 500 kV S.DA MESA /GURUPI C-1 GO/TO.</t>
  </si>
  <si>
    <t>LT 500 kV S.DA MESA /GURUPI C-1 GO/TO</t>
  </si>
  <si>
    <t>0007534/2021</t>
  </si>
  <si>
    <t>UAC da LTSMGU1</t>
  </si>
  <si>
    <t>S.SANTIAGO</t>
  </si>
  <si>
    <t>Substituição dos painéis da proteção Principal, Alternada, Barra (com instalação de unidades de Bay), Falha de Disjuntor (com instalação de unidades redundantes), e dos cabos de controle e potência associados (6.640 m), referente a LT 525 kV Salto Santiago - Segredo C-1.</t>
  </si>
  <si>
    <t>LT 525 kV S.SANTIAGO /SEGREDO C-1 PR</t>
  </si>
  <si>
    <t>0004317/2021</t>
  </si>
  <si>
    <t>PP, PA, BA, BF - LT SGD C-1</t>
  </si>
  <si>
    <t>Substituição dos sistemas de  proteção do EL 500 kV S.DA MESA LT 500 kV S.DA MESA /GURUPI C-1 GO/TO.</t>
  </si>
  <si>
    <t>0007576/2021</t>
  </si>
  <si>
    <t>Proteção da LTSMGU1</t>
  </si>
  <si>
    <t>Substituição do registrador de perturbações e Localizador de Faltas por ondas viajantes (TW) do EL 500 kV S.DA MESA LT 500 kV S.DA MESA /GURUPI C-1 GO/TO.</t>
  </si>
  <si>
    <t>0007727/2021</t>
  </si>
  <si>
    <t>RDP da LTSMGU1</t>
  </si>
  <si>
    <t>Substituição dos painéis da proteção Principal, Alternada, Barra (com instalação de unidades de Bay), Falha de Disjuntor (com instalação de unidades redundantes), e dos cabos de controle e potência associados (6.640 m), referente a LT 525 kV Salto Santiago - UHE Salto Santiago C-1.</t>
  </si>
  <si>
    <t>LT 525 kV S.SANTIAGO / UHE S.SANTIAGO C-1 PR</t>
  </si>
  <si>
    <t>0004325/2021</t>
  </si>
  <si>
    <t>PP, PA, BA, BF - LT UHSS C-1</t>
  </si>
  <si>
    <t>Substituição dos painéis da proteção Principal, Alternada, Barra (com instalação de unidades de Bay), Falha de Disjuntor (com instalação de unidades redundantes), e dos cabos de controle e potência associados (6.640 m), referente a LT 525 kV Salto Santiago - UHE Salto Santiago C-2.</t>
  </si>
  <si>
    <t>LT 525 kV S.SANTIAGO / UHE S.SANTIAGO C-2 PR</t>
  </si>
  <si>
    <t>0004327/2021</t>
  </si>
  <si>
    <t>PP, PA, BA, BF - LT UHSS C-2</t>
  </si>
  <si>
    <t>Substituição dos sistemas de medição, controle e supervisão do RTL 500 kV 136 Mvar S.DA MESA RTSMGU1 GO</t>
  </si>
  <si>
    <t>RT  500 kV  136 Mvar S.DA MESA GU1 GO</t>
  </si>
  <si>
    <t>0007545/2021</t>
  </si>
  <si>
    <t>UAC do RTSMGU1</t>
  </si>
  <si>
    <t>Substituição do sistema de proteção de Barra (com instalação de unidades de Bay), e dos cabos de controle e potência associados (3.320 m), referente a LT 525 kV Salto Santiago - Ivaiporã Eletrosul C-1.</t>
  </si>
  <si>
    <t>LT 525 kV S.SANTIAGO / IVAIPORA ELETROSUL C-1 PR</t>
  </si>
  <si>
    <t>0004331/2021</t>
  </si>
  <si>
    <t>BA - LT IVP C-1</t>
  </si>
  <si>
    <t>Substituição do sistema de proteção de Barra (com instalação de unidades de Bay), esquema de Falha de Disjuntor (com instalação de unidades redundantes), e dos cabos de controle e potência associados (6.640 m), referente a LT 525 kV Salto Santiago - Ivaiporã Eletrosul C-2.</t>
  </si>
  <si>
    <t>LT 525 kV S.SANTIAGO / IVAIPORA ELETROSUL C-2 PR</t>
  </si>
  <si>
    <t>0004334/2021</t>
  </si>
  <si>
    <t>BA, BF - LT IVP C-2</t>
  </si>
  <si>
    <t>Substituição dos sistemas de  proteção do RTL 500 kV 136 Mvar S.DA MESA RTSMGU1 GO.</t>
  </si>
  <si>
    <t>0007503/2021</t>
  </si>
  <si>
    <t>Proteção do RTSMGU1</t>
  </si>
  <si>
    <t>Substituição dos painéis da proteção Principal, Alternada, Barra (com instalação de unidades de Bay), Falha de Disjuntor (com instalação de unidades redundantes), e dos cabos de controle e potência associados (6.640 m), referente a LT 525 kV Salto Santiago - Itá C-1.</t>
  </si>
  <si>
    <t>LT 525 kV S.SANTIAGO /ITA C-1 PR/SC</t>
  </si>
  <si>
    <t>0004339/2021</t>
  </si>
  <si>
    <t>PP, PA, BA, BF - LT YTA C-1</t>
  </si>
  <si>
    <t>Substituição dos painéis da proteção Principal, Alternada, Falha de Disjuntor (com instalação de unidades redundantes), e dos cabos de controle e potência associados (6.640 m), referente a LT 525 kV Itá - Salto Santiago C-1.</t>
  </si>
  <si>
    <t>LT 525 kV ITÁ / S.SANTIAGO C-1 SC/PR</t>
  </si>
  <si>
    <t>0004343/2021</t>
  </si>
  <si>
    <t>PP, PA, BF - LT SSA C-1</t>
  </si>
  <si>
    <t>GURUPI</t>
  </si>
  <si>
    <t>Substituição dos sistemas de medição, controle e supervisão da EL 500 kV GURUPI LT 500 kV S.DA MESA /GURUPI C-1 GO/TO.</t>
  </si>
  <si>
    <t>0004583/2021</t>
  </si>
  <si>
    <t>Substituição dos sistemas de  proteção da EL 500 kV GURUPI LT 500 kV S.DA MESA /GURUPI C-1 GO/TO.</t>
  </si>
  <si>
    <t>0004585/2021</t>
  </si>
  <si>
    <t>Substituição de 2 (dois) painéis de distribuição do serviço auxiliar AC  associado ao Compensador síncrono - posição operacional 01K1 da Subestação RCD</t>
  </si>
  <si>
    <t>0004586/2021</t>
  </si>
  <si>
    <t>11344367</t>
  </si>
  <si>
    <t>Substituição de 1 (um) Painel de Proteção  associado ao Compensador síncrono - posição operacional 01K1 da subestação RCD</t>
  </si>
  <si>
    <t>CS 150 / -105 Mvar RECIFE II K1 PE</t>
  </si>
  <si>
    <t>0004589/2021</t>
  </si>
  <si>
    <t>11349625</t>
  </si>
  <si>
    <t>Substituição de 1 (um) Painel de Proteção associado ao Compensador síncrono - posição operacional 01K2 da subestação RCD</t>
  </si>
  <si>
    <t>CS 150 / -105 Mvar RECIFE II K2 PE</t>
  </si>
  <si>
    <t>0004590/2021</t>
  </si>
  <si>
    <t>11349753</t>
  </si>
  <si>
    <t>Substituição de 2 (dois) Reatores de partida posição operacional 01L1/01L2  do Compensador síncrono - posição operacional 01K1 da subestação RCD</t>
  </si>
  <si>
    <t>CS 150/ 105 MVAr RECIFE II CS1 PE</t>
  </si>
  <si>
    <t>0004592/2021</t>
  </si>
  <si>
    <t>Substituição de 1 (um) Regulador de Tensão e 1 (uma) ponte retificadora do Compensador síncrono - posição operacional 01K1 da subestção RCD</t>
  </si>
  <si>
    <t>0004593/2021</t>
  </si>
  <si>
    <t>11445855</t>
  </si>
  <si>
    <t>Substituição de 1 (um) Regulador de Tensão e 1 (uma) ponte retificadora do Compensador síncrono - posição operacional 01K2 da subestção RCD</t>
  </si>
  <si>
    <t>CS 150/-105 Mvar RECIFE II CS2 PE</t>
  </si>
  <si>
    <t>0004595/2021</t>
  </si>
  <si>
    <t>11445856</t>
  </si>
  <si>
    <t>Substituição de 1 (um) Resistor de frenagem do Compensador síncrono - posição operacional 01K1 da subestação RCD</t>
  </si>
  <si>
    <t>0004599/2021</t>
  </si>
  <si>
    <t>Substituição de 1 (um) Resistor de frenagem do Compensador síncrono - posição operacional 01K2 da subestação RCD</t>
  </si>
  <si>
    <t>0004603/2021</t>
  </si>
  <si>
    <t>11344368</t>
  </si>
  <si>
    <t>Substituição de 1 (um) conjunto de todos os condutos e acessórios do Sistema de Resfriamento de Varredura associado ao Compensador síncrono - posição operacional 01K1 da Subestação de RCD.</t>
  </si>
  <si>
    <t>0004604/2021</t>
  </si>
  <si>
    <t>Substituição de 1 (um) conjunto de todos os condutos e acessórios do Sistema de Resfriamento de Varredura  associado ao Compensador síncrono - posição operacional 01K2 da Subestação de RCD.</t>
  </si>
  <si>
    <t>0004607/2021</t>
  </si>
  <si>
    <t>Substituição de 2 (dois) Transformadores de partida posição operacional 01T3 e 01T4  do Compensador síncrono - posição operacional 01K1 da subestação RCD</t>
  </si>
  <si>
    <t>0004608/2021</t>
  </si>
  <si>
    <t>11348290</t>
  </si>
  <si>
    <t>Substituição de 1 (um) Transformador de Excitação do Compensador síncrono - posição operacional 01K1 da Subestação RCD</t>
  </si>
  <si>
    <t>0004613/2021</t>
  </si>
  <si>
    <t>11456486</t>
  </si>
  <si>
    <t>Substituição de 1 (um) Transformador de Excitação do Compensador síncrono posição operacional 01K2 da Subestação RCD</t>
  </si>
  <si>
    <t>0004623/2021</t>
  </si>
  <si>
    <t>11456491</t>
  </si>
  <si>
    <t>Substituição de 1 (um) Sistema de água de resfriamento associado ao Compensador síncrono - posição operacional 01K1 da Subestação de RCD.</t>
  </si>
  <si>
    <t>0004625/2021</t>
  </si>
  <si>
    <t>Substituição de 1 (um) Sistema de água de resfriamento associado ao Compensador síncrono - posição operacional 01K2 da Subestação de RCD.</t>
  </si>
  <si>
    <t>0004628/2021</t>
  </si>
  <si>
    <t>Substituição de 1 (um) Sistema de resfriamento a óleo associado ao Compensador síncrono - posição operacional 01K1 da Subestação de RCD.</t>
  </si>
  <si>
    <t>0004630/2021</t>
  </si>
  <si>
    <t>Substituição do registrador de perturbações e Localizador de Faltas por ondas viajantes (TW) da EL 500 kV GURUPI LT 500 kV S.DA MESA /GURUPI C-1 GO/TO.</t>
  </si>
  <si>
    <t>0007730/2021</t>
  </si>
  <si>
    <t>Substituição dos sistemas de medição, controle e supervisão do RTL 500 kV 136 MVAr GURUPI RSM1 TO.</t>
  </si>
  <si>
    <t>RTL 500 kV 136 MVAr GURUPI RSM1 TO</t>
  </si>
  <si>
    <t>0007552/2021</t>
  </si>
  <si>
    <t>Substituição dos sistemas de  proteção do RTL 500 kV 136 MVAr GURUPI RSM1 TO.</t>
  </si>
  <si>
    <t>0007515/2021</t>
  </si>
  <si>
    <t>Substituição do registrador de perturbações do RTL 500 kV 136 MVAr GURUPI RSM1 TO.</t>
  </si>
  <si>
    <t>0007732/2021</t>
  </si>
  <si>
    <t>RDP do RTSMGU1</t>
  </si>
  <si>
    <t>Substituição dos sistemas de medição, controle e supervisão da EL 500 kV GURUPI LT 500 kV GURUPI /MIRACEMA C-1 TO.</t>
  </si>
  <si>
    <t>0004709/2021</t>
  </si>
  <si>
    <t>UAC da LTGUMI1</t>
  </si>
  <si>
    <t>Substituição dos sistemas de  proteção da EL 500 kV GURUPI LT 500 kV GURUPI /MIRACEMA C-1 TO.</t>
  </si>
  <si>
    <t>0007724/2021</t>
  </si>
  <si>
    <t>Proteção da LTGUMI1</t>
  </si>
  <si>
    <t>Substituição do registrador de perturbações e Localizador de Faltas por ondas viajantes (TW) da EL 500 kV GURUPI LT 500 kV GURUPI /MIRACEMA C-1 TO.</t>
  </si>
  <si>
    <t>0007733/2021</t>
  </si>
  <si>
    <t>RDP da LTGUMI1</t>
  </si>
  <si>
    <t>Substituição dos sistemas de mediçãp, controle e supervisão do RTL 500 kV 136 MVAr GURUPI RMI1 TO.</t>
  </si>
  <si>
    <t>RTL 500 kV 136 MVAr GURUPI RMI1 TO</t>
  </si>
  <si>
    <t>0007557/2021</t>
  </si>
  <si>
    <t>UAC do RTGUMI1</t>
  </si>
  <si>
    <t>Substituição dos sistemas de  proteção do RTL 500 kV 136 MVAr GURUPI RMI1 TO.</t>
  </si>
  <si>
    <t>0007725/2021</t>
  </si>
  <si>
    <t>Proteção do RTGUMI1</t>
  </si>
  <si>
    <t>Substituição do sistema de proteção de Barra (com instalação de unidades de Bay), e dos cabos de controle e potência associados (3.320 m), referente a LT 525 kV Salto Santiago - Itá C-2.</t>
  </si>
  <si>
    <t>LT 525 kV S.SANTIAGO / ITÁ C-2 PR/SC</t>
  </si>
  <si>
    <t>0004744/2021</t>
  </si>
  <si>
    <t>BA - LT YTA C-2</t>
  </si>
  <si>
    <t>Substituição do registrador de perturbações do RTL 500 kV 136 MVAr GURUPI RMI1 TO.</t>
  </si>
  <si>
    <t>0007735/2021</t>
  </si>
  <si>
    <t>RDP do RTGUMI1</t>
  </si>
  <si>
    <t>Substituição do sistema de proteção de Barra (com instalação de unidades de Bay), e dos cabos de controle e potência associados (3.320 m), referente ao Interligador de Barras (IB) 525 kV da SE Salto Santiago, DJ 1010 (vão da LT Itá C-2).</t>
  </si>
  <si>
    <t>MG S.SANTIAGO / CCO-2001-057 - RB</t>
  </si>
  <si>
    <t>0004749/2021</t>
  </si>
  <si>
    <t>BA - DJ1010</t>
  </si>
  <si>
    <t>Substituição do esquema de Falha de Disjuntor (com instalação de unidades redundantes), e dos cabos de controle e potência associados (4.980 m), referente ao Interligador de Barras (IB) 525 kV da SE Salto Santiago, DJ 1030 (vão entre as LT Segredo C-1 e Itá C-1).</t>
  </si>
  <si>
    <t>0004751/2021</t>
  </si>
  <si>
    <t>BF - DJ1030</t>
  </si>
  <si>
    <t>Substituição de 01 (um) Trocador de calor do Transformador de Força 230kV de posição operacional 04T3 da Subestação FNL</t>
  </si>
  <si>
    <t>TR 230/138 kV FUNIL TR3 BA</t>
  </si>
  <si>
    <t>0004752/2021</t>
  </si>
  <si>
    <t>11347884</t>
  </si>
  <si>
    <t>Substituição do esquema de Falha de Disjuntor (com instalação de unidades redundantes), e dos cabos de controle e potência associados (4.980 m), referente ao Interligador de Barras (IB) 525 kV da SE Salto Santiago, DJ 1070 (vão entre as LT UH Salto Santiago C-2 e Salto Caxias C-1).</t>
  </si>
  <si>
    <t>0004766/2021</t>
  </si>
  <si>
    <t>BF - DJ1070</t>
  </si>
  <si>
    <t>Substituição dos painéis da proteção de Barra Unidade Central (com instalação de proteção principal e alternada) e dos cabos de controle e potência associados, referente a  Barra A de 525 kV da SE Salto Santiago.</t>
  </si>
  <si>
    <t>0004767/2021</t>
  </si>
  <si>
    <t>BA - Barra A</t>
  </si>
  <si>
    <t>Substituição dos painéis da proteção de Barra Unidade Central (com instalação de proteção principal e alternada) e dos cabos de controle e potência associados, referente a  Barra B de 525 kV da SE Salto Santiago.</t>
  </si>
  <si>
    <t>0004779/2021</t>
  </si>
  <si>
    <t>BA - Barra B</t>
  </si>
  <si>
    <t>Substituição do sistema de controle e supervisão (com unidade redundante) da LT 525 kV Salto Santiago - Segredo C-1, e dos cabos de controle e potência associados (9.960 m).</t>
  </si>
  <si>
    <t>0004782/2021</t>
  </si>
  <si>
    <t>Controle - LT SGD C-1</t>
  </si>
  <si>
    <t>Substituição do sistema de controle e supervisão (com unidade redundante) da LT 525 kV Salto Santiago - UHE Salto Santiago C-1, e dos cabos de controle e potência associados (9.960 m).</t>
  </si>
  <si>
    <t>0004794/2021</t>
  </si>
  <si>
    <t>Controle - LT UHSS C-1</t>
  </si>
  <si>
    <t>Substituição do sistema de controle e supervisão (com unidade redundante) da LT 525 kV Salto Santiago - UHE Salto Santiago C-2, e dos cabos de controle e potência associados (9.960 m).</t>
  </si>
  <si>
    <t>0004803/2021</t>
  </si>
  <si>
    <t>Controle - LT UHSS C-2</t>
  </si>
  <si>
    <t>Substituição de 2 (dois) Sistema de monitoramento de Temperatura do Transformador de Força 230 kV posição operacional 04T2 - T fase T da Subestação MCO</t>
  </si>
  <si>
    <t>TR 230/69 kV MACEIO TR2 AL</t>
  </si>
  <si>
    <t>0004805/2021</t>
  </si>
  <si>
    <t>11347904</t>
  </si>
  <si>
    <t>Substituição de 2 (dois) Sistema de monitoramento de Temperatura do Transformador de Força 230 kV posição operacional 04T4 - T fase T da Subestação MCO</t>
  </si>
  <si>
    <t>TR 230/69 kV MACEIO TR4 AL</t>
  </si>
  <si>
    <t>0004817/2021</t>
  </si>
  <si>
    <t>11347846</t>
  </si>
  <si>
    <t>Substituição do sistema de controle e supervisão (com unidade redundante) da LT 525 kV Salto Santiago - Ivaiporã Eletrosul C-1, e dos cabos de controle e potência associados (9.960 m).</t>
  </si>
  <si>
    <t>0004819/2021</t>
  </si>
  <si>
    <t>Controle - LT IVP C-1</t>
  </si>
  <si>
    <t>Substituição de 1 (uma) Seccionadora 230 kV posição operacional 34T5-1 fase T da Subestação RCD</t>
  </si>
  <si>
    <t>0004823/2021</t>
  </si>
  <si>
    <t>11334935</t>
  </si>
  <si>
    <t>Substituição do sistema de controle e supervisão (com unidade redundante) da LT 525 kV Salto Santiago - Itá C-1, e dos cabos de controle e potência associados (9.960 m).</t>
  </si>
  <si>
    <t>0004833/2021</t>
  </si>
  <si>
    <t>Controle - LT YTA C-1</t>
  </si>
  <si>
    <t>Substituição do sistema de controle e supervisão (com unidade redundante) do Interligador de Barras (IB) 525 kV da SE Salto Santiago, e dos cabos de controle e potência associados (7.470 m),  DJ 1030 (vão entre as LT Segredo C-1 e Itá C-1).</t>
  </si>
  <si>
    <t>0004836/2021</t>
  </si>
  <si>
    <t>Substituição do sistema de controle e supervisão (com unidade redundante) do Interligador de Barras (IB) 525 kV da SE Salto Santiago, e dos cabos de controle e potência associados (7.470 m),  DJ 1070 (vão entre as LT UH Salto Santiago C-2 e Salto Caxias C-1).</t>
  </si>
  <si>
    <t>0004848/2021</t>
  </si>
  <si>
    <t>Controle - DJ1070</t>
  </si>
  <si>
    <t>Substituição de 1 (uma) Seccionadora 230 kV posição operacional 34T5-2 fase T da Subestação RCD</t>
  </si>
  <si>
    <t>0004864/2021</t>
  </si>
  <si>
    <t>11334936</t>
  </si>
  <si>
    <t>P. AFONSO IV_SE</t>
  </si>
  <si>
    <t>Substituição de 1 (um) um grupo-motor-gerador do SISTEMA DE ALIMENTAÇÃO DE ENERGIA posição operacional 400G2 da Subestação PAQ</t>
  </si>
  <si>
    <t>MG P. AFONSO IV / CCO-2001-061 - RB</t>
  </si>
  <si>
    <t>0004896/2021</t>
  </si>
  <si>
    <t>11343837</t>
  </si>
  <si>
    <t>SOBRAL III</t>
  </si>
  <si>
    <t>Substituição de 1 (um) RETIFICADOR do SISTEMA DE ALIMENTAÇÃO DE ENERGIA posição operacional 400R1 da Subestação SBT</t>
  </si>
  <si>
    <t>MG SOBRAL III / CCO-2001-061 - RB</t>
  </si>
  <si>
    <t>0004964/2021</t>
  </si>
  <si>
    <t>11455567</t>
  </si>
  <si>
    <t>Substituição de 1 (um) RETIFICADOR do SISTEMA DE ALIMENTAÇÃO DE ENERGIA posição operacional 400R2 da Subestação SBT</t>
  </si>
  <si>
    <t>0004969/2021</t>
  </si>
  <si>
    <t>11455568</t>
  </si>
  <si>
    <t>FORTALEZA II</t>
  </si>
  <si>
    <t>Substituição de 2 (dois) Radiadores Completos do Autotransformador 500 kV posição operacional 05T1 - C fase C da Subestação FZD</t>
  </si>
  <si>
    <t>TR 500/230 kV FORTALEZA II TR1 CE</t>
  </si>
  <si>
    <t>0004975/2021</t>
  </si>
  <si>
    <t>11348182</t>
  </si>
  <si>
    <t>GOIANINHA</t>
  </si>
  <si>
    <t>Substituição de 1 (um) um grupo-motor-gerador do SISTEMA DE ALIMENTAÇÃO DE ENERGIA posição operacional 200G1 da Subestação GNN</t>
  </si>
  <si>
    <t>MG GOIANINHA / CCO-2001-061 - RB</t>
  </si>
  <si>
    <t>0005097/2021</t>
  </si>
  <si>
    <t>11343812</t>
  </si>
  <si>
    <t>Substituição de 1 (um) um grupo-motor-gerador do SISTEMA DE ALIMENTAÇÃO DE ENERGIA posição operacional 200G1 da Subestação MCO</t>
  </si>
  <si>
    <t>MG MACEIO / CCO-2001-061 - RB</t>
  </si>
  <si>
    <t>0005284/2021</t>
  </si>
  <si>
    <t>11451307</t>
  </si>
  <si>
    <t>SUBSTITUIÇÃO DOS PARA-RAIOS DO SPRE6-02</t>
  </si>
  <si>
    <t>LT 230 kV SINOP /SORRISO C-1 MT</t>
  </si>
  <si>
    <t>0005523/2021</t>
  </si>
  <si>
    <t>N-S-MTSP-RE602-MC230-SPPR601</t>
  </si>
  <si>
    <t>SUBSTITUIR O PARA-RAIO DA LINHA SSSP-LT6-01.</t>
  </si>
  <si>
    <t>0005537/2021</t>
  </si>
  <si>
    <t>SUBSTITUIÇÃO DOS PARA-RAIOS DA LINHA NMNB-LT6-01.</t>
  </si>
  <si>
    <t>LT 230 kV NOBRES /NOVA MUTUM C-1 MT</t>
  </si>
  <si>
    <t>0005560/2021</t>
  </si>
  <si>
    <t>N-S-MTNM-NBNMLT601-ELNM-NMPR601</t>
  </si>
  <si>
    <t>SUBSTITUIÇÃO DO PARA-RAIOS DO BPRE6-01.</t>
  </si>
  <si>
    <t>RTL 230 kV 20 MVAr BARRA PEIXE RT1 MT</t>
  </si>
  <si>
    <t>0005565/2021</t>
  </si>
  <si>
    <t>N-S-MTBP-RE601-MC230-BPPR601</t>
  </si>
  <si>
    <t>SUBSTITUIÇÃO DOS PARA-RAIOS DE 230kV DO BPAT6-01.</t>
  </si>
  <si>
    <t>TR 230/138 kV BARRA PEIXE TR1</t>
  </si>
  <si>
    <t>0005571/2021</t>
  </si>
  <si>
    <t>N-S-MTBP-AT601-MC230-BPPR601</t>
  </si>
  <si>
    <t>SUBSTITUIÇÃO DOS PARA-RAIOS DE 138kV DO BPAT6-01.</t>
  </si>
  <si>
    <t>0005576/2021</t>
  </si>
  <si>
    <t>N-S-MTBP-AT601-MC138-BPPR501</t>
  </si>
  <si>
    <t>Substituição de 1 (um) RETIFICADOR do SISTEMA DE ALIMENTAÇÃO DE ENERGIA posição operacional 200R3 da Subestação FNL</t>
  </si>
  <si>
    <t>MG FUNIL / CCO-2001-061 - RB</t>
  </si>
  <si>
    <t>0005583/2021</t>
  </si>
  <si>
    <t>11455697</t>
  </si>
  <si>
    <t>Substituição de 1 (um) RETIFICADOR do SISTEMA DE ALIMENTAÇÃO DE ENERGIA posição operacional 200R4 da Subestação FNL</t>
  </si>
  <si>
    <t>0005587/2021</t>
  </si>
  <si>
    <t>11455698</t>
  </si>
  <si>
    <t>SUBSTITUIR OS PARA-RAIOS DA LINHA BPRV-LI6-02.</t>
  </si>
  <si>
    <t>LT 230 kV RIO VERDE FUR /BARRA PEIXE C-2 GO/MT</t>
  </si>
  <si>
    <t>0005596/2021</t>
  </si>
  <si>
    <t>N-S-MTBP-RVBPLI602-ELBP-BPPR601</t>
  </si>
  <si>
    <t>SUBSTITUIÇÃO DOS PARA-RAIOS DO REATOR RPRE6-04.</t>
  </si>
  <si>
    <t>LT 230 kV BARRA PEIXE /RONDONOPOLIS C-2 MT</t>
  </si>
  <si>
    <t>0005599/2021</t>
  </si>
  <si>
    <t>N-S-MTRP-BPRPLT602-MCRPRE604-RPPR601</t>
  </si>
  <si>
    <t>SUBSTITUIR OS PARA-RAIOS DA LINHA BPRP-LT6-02</t>
  </si>
  <si>
    <t>0005643/2021</t>
  </si>
  <si>
    <t>N-S-MTBP-BPRPLT602-ELBP-BPPR601</t>
  </si>
  <si>
    <t>Substituição do sistema de controle e supervisão (com unidade redundante) do Interligador de Barras (IB) 525 kV da SE Salto Santiago, e dos cabos de controle e potência associados (7.470 m),  DJ 1090 (vão entre as LT UH Salto Santiago C-1 e Ivaiporã Eletrosul C-1).</t>
  </si>
  <si>
    <t>0005660/2021</t>
  </si>
  <si>
    <t>Controle - DJ1090</t>
  </si>
  <si>
    <t>Substituição do painel de SPCS dos serviços auxiliares CA e CC do setor 525 kV da SE Salto Santiago, e cabos associados. Denominação do novo painel: 5UASA.</t>
  </si>
  <si>
    <t>0005662/2021</t>
  </si>
  <si>
    <t>Instalação de painel de Switches com terminal server, denominado 5SWT, na Sala de Relés 525 kV da SE Salto Santiago, e cabos associados.</t>
  </si>
  <si>
    <t>0005667/2021</t>
  </si>
  <si>
    <t>Painel -  5SWT</t>
  </si>
  <si>
    <t>Instalação de 3 Isoladores de Pedestal no setor de 525 kV da SE Ivaiporã, associados ao módulo da LT Ivaiporã (Eletrosul) - Ivaiporã (Furnas) C-1, em substituição a unidades existentes na subestação.</t>
  </si>
  <si>
    <t>0005668/2021</t>
  </si>
  <si>
    <t>Isolador de Pedestal</t>
  </si>
  <si>
    <t>Substituição do painel das unidades concentradoras (atual PCS01), na Sala de Relés 525 kV, da SE Itá, e cabos associados. Denominação do novo painel: 5UCSD.</t>
  </si>
  <si>
    <t>MG ITA / CCO-2001-057 - RB</t>
  </si>
  <si>
    <t>0005669/2021</t>
  </si>
  <si>
    <t>Painel - 5UCSD</t>
  </si>
  <si>
    <t>SUBSTITUIÇÃO DE DOIS (2) PARA-RAIOS  DA LINHA BPRP-LT6-02 - FASES A e V.</t>
  </si>
  <si>
    <t>0005670/2021</t>
  </si>
  <si>
    <t>N-S-MTRP-BPRPLT602-ELRP-RPPR601</t>
  </si>
  <si>
    <t>REVITALIZAÇÃO DO DISJUNTOR RPDJ6-03. CORRIGIR FALHAS NO ACIONAMENTO DOS DISJUNTORES, COM A SUBSTITUIÇÃO DE PEÇAS (GATILHOS, AMORTECEDORES, MICROSWITCH, PROTEÇÕES DAS MOLAS DE ABERTURA E FECHAMENTO, DENTRE OUTROS) E REALIZAÇÃO DOS TESTES NECESSÁRIOS PARA COMPATIBILIZAÇÃO DOS POLOS AOS COMANDOS.</t>
  </si>
  <si>
    <t>LT 230 kV RONDONOPOLIS /COXIPO C-1 MT</t>
  </si>
  <si>
    <t>0006576/2021</t>
  </si>
  <si>
    <t>RPDJ6-03</t>
  </si>
  <si>
    <t>REVITALIZAÇÃO DO DISJUNTOR CXDJ6-14. CORRIGIR FALHAS NO ACIONAMENTO DOS DISJUNTORES, COM A SUBSTITUIÇÃO DE PEÇAS (GATILHOS, AMORTECEDORES, MICROSWITCH, PROTEÇÕES DAS MOLAS DE ABERTURA E FECHAMENTO, DENTRE OUTROS) E REALIZAÇÃO DOS TESTES NECESSÁRIOS PARA COMPATIBILIZAÇÃO DOS POLOS AOS COMANDOS.</t>
  </si>
  <si>
    <t>TR 230/138 kV COXIPO TR4 MT</t>
  </si>
  <si>
    <t>0006575/2021</t>
  </si>
  <si>
    <t>CXDJ6-14</t>
  </si>
  <si>
    <t>REVITALIZAÇÃO DOS COMANDOS DO DISJUNTOR JUDJ6-19. CORRIGIR FALHAS NO ACIONAMENTO DOS DISJUNTORES, COM A SUBSTITUIÇÃO DE PEÇAS (GATILHOS, AMORTECEDORES, MICROSWITCH, PROTEÇÕES DAS MOLAS DE ABERTURA E FECHAMENTO, DENTRE OUTROS) E REALIZAÇÃO DOS TESTES NECESSÁRIOS PARA COMPATIBILIZAÇÃO DOS POLOS AOS COMANDOS.</t>
  </si>
  <si>
    <t>LT 230 kV VILHENA /JAURU C-3 RO/MT</t>
  </si>
  <si>
    <t>0006574/2021</t>
  </si>
  <si>
    <t>JUDJ6-19</t>
  </si>
  <si>
    <t>SUBSTITUIÇÃO DE RETIFICADOR 48 VCC/120A - 380VC 230KV</t>
  </si>
  <si>
    <t>0006779/2021</t>
  </si>
  <si>
    <t>N-S-MTJU-MG601-MG230-STC01-JUSAE01-RET48Vcc-01</t>
  </si>
  <si>
    <t>Substituição de 1 (uma) Seccionadora 230 kV posição operacional 34T5-4 fase T da Subestação RCD</t>
  </si>
  <si>
    <t>CS 150/-105 MVAr RECIFE II CS1 PE</t>
  </si>
  <si>
    <t>0005697/2021</t>
  </si>
  <si>
    <t>11334937</t>
  </si>
  <si>
    <t>Substituição de 1 (uma) Seccionadora 230 kV posição operacional 34T5-5 fase T da Subestação RCD</t>
  </si>
  <si>
    <t>0005704/2021</t>
  </si>
  <si>
    <t>11338604</t>
  </si>
  <si>
    <t>Substituição de 1 (uma) Seccionadora 230 kV posição operacional 34T5-6 fase T da Subestação RCD</t>
  </si>
  <si>
    <t>0005713/2021</t>
  </si>
  <si>
    <t>11334938</t>
  </si>
  <si>
    <t>DELM. GOUVEIA</t>
  </si>
  <si>
    <t>Substituição de 1 (um) Disjuntor 230 kV posição operacional 14D1 fase T da Subestação DMG</t>
  </si>
  <si>
    <t>MG DELM. GOUVEIA / CCO-2001-061 - RB</t>
  </si>
  <si>
    <t>0005728/2021</t>
  </si>
  <si>
    <t>11341754</t>
  </si>
  <si>
    <t>J.LACERDA-B</t>
  </si>
  <si>
    <t>Substituição dos painéis da proteção Principal, Alternada, Barra (com instalação de unidades de Bay), Falha de Disjuntor (com instalação de unidades redundantes), e dos cabos de controle e potência associados (3.870 m), referente a LT 230 kV J.Lacerda B - Biguaçu C-1.</t>
  </si>
  <si>
    <t>LT 230 kV J.LACERDA B / BIGUACU C-1 SC</t>
  </si>
  <si>
    <t>0005731/2021</t>
  </si>
  <si>
    <t>PP, PA, BA, BF - LT BIG C-1</t>
  </si>
  <si>
    <t>Substituição dos painéis da proteção Principal, Alternada, Barra (com instalação de unidades de Bay), Falha de Disjuntor (com instalação de unidades redundantes), e dos cabos de controle e potência associados (3.870 m), referente a LT 230 kV J.Lacerda B - Palhoça C-1.</t>
  </si>
  <si>
    <t>LT 230 kV J.LACERDA-B /PALHOCA ESU C-1 SC</t>
  </si>
  <si>
    <t>0005744/2021</t>
  </si>
  <si>
    <t>PP, PA, BA, BF - LT PAL C-1</t>
  </si>
  <si>
    <t>Instalação de 12 Isoladores de Pedestal no setor de 525 kV da SE Ivaiporã, associados aos barramentos, em substituição a unidades existentes na subestação.</t>
  </si>
  <si>
    <t>0005759/2021</t>
  </si>
  <si>
    <t>Substituição do transformador de Serviço Auxiliar, 13,8 kV / 480 V, 1.000 kVA, TSA1, da SE Ivaiporã, e cabos associados. Esta obra inclui a execução da bacia coletora de óleo, e conexão desta à caixa separadora de óleo existente na subestação.</t>
  </si>
  <si>
    <t>0005761/2021</t>
  </si>
  <si>
    <t>TSA1</t>
  </si>
  <si>
    <t>Substituição do transformador de Serviço Auxiliar, 13,8 kV / 480 V, 1.000 kVA, TSA2, da SE Ivaiporã, e cabos associados. Esta obra inclui a execução da bacia coletora de óleo, e conexão desta à caixa separadora de óleo existente na subestação.</t>
  </si>
  <si>
    <t>0005767/2021</t>
  </si>
  <si>
    <t>TSA2</t>
  </si>
  <si>
    <t>Substituição dos painéis da proteção Principal, Alternada, Barra (com instalação de unidades de Bay), Falha de Disjuntor (com instalação de unidades redundantes), e dos cabos de controle e potência associados (3.870 m), referente a LT 230 kV J.Lacerda B - UTE J.Lacerda C C-1.</t>
  </si>
  <si>
    <t>LT 230 kV J.LACERDA B / UTE J.LACERDA C C-1 SC</t>
  </si>
  <si>
    <t>0005785/2021</t>
  </si>
  <si>
    <t>PP, PA, BA, BF - LT UTLC C-1</t>
  </si>
  <si>
    <t>Substituição de Grupo Motor-Gerador na SE Ivaiporã. Características do novo equipamento: Tensão - 480 Vca e Capacidade - 165 kVA.</t>
  </si>
  <si>
    <t>0005787/2021</t>
  </si>
  <si>
    <t>MG1</t>
  </si>
  <si>
    <t>Substituição dos painéis da proteção Principal, Alternada, Barra (com instalação de unidades de Bay), e dos cabos de controle e potência associados (3.870 m), referente a LT 230 kV J.Lacerda B - UTE J.Lacerda C C-2.</t>
  </si>
  <si>
    <t>LT 230 kV J.LACERDA B / UTE J.LACERDA C C-2 SC</t>
  </si>
  <si>
    <t>0005790/2021</t>
  </si>
  <si>
    <t>PP, PA, BA - LT UTLC C-2</t>
  </si>
  <si>
    <t>Substituição dos transformadores de Serviço Auxiliar, 480 - 220 / 127 V, TA1, TA2 e TA3, e cabos associados, da SE Ivaiporã. Capacidade dos novos equipamentos: 2 x 45 kVA (TA1 e TA3) e 1 x 75 kVA (TA2).</t>
  </si>
  <si>
    <t>0005792/2021</t>
  </si>
  <si>
    <t>TA1, TA2, TA3</t>
  </si>
  <si>
    <t>Substituição dos painéis da proteção de Barra (com instalação de unidades de Bay), Falha de Disjuntor (com instalação de unidades redundantes) e dos cabos de controle e potência associados (3.870 m), referente a LT 230 kV J.Lacerda B - UTE J.Lacerda B C-1.</t>
  </si>
  <si>
    <t>LT 230 kV J.LACERDA B / UTE J.LACERDA B C-1 SC</t>
  </si>
  <si>
    <t>0005794/2021</t>
  </si>
  <si>
    <t>BA, BF - LT UTLB C-1</t>
  </si>
  <si>
    <t>Instalação de Painéis contendo Sistema Retificador e Quadro de Distribuição 48 VCC, e cabos associados, em substituição aos retificadores e painéis de distribuição existentes (SACC48-RET1, SACC48-RET2, QD1/48, QD2/48, QD3/48), referentes aos Serviços Auxiliares da SE Ivaiporã. Denominação dos novos painéis: 5CB03 e 5CB04. Capacidade dos novos equipamentos: 350 A.</t>
  </si>
  <si>
    <t>0005797/2021</t>
  </si>
  <si>
    <t>Painel - 48 VCC</t>
  </si>
  <si>
    <t>Substituição dos Painéis de Distribuição 125 VCC (QD1, QD2, QD3) e cabos associados, referentes aos Serviços Auxiliares da SE Ivaiporã. Denominação dos novos painéis: 5SC1 e 5SC2.</t>
  </si>
  <si>
    <t>0005799/2021</t>
  </si>
  <si>
    <t>Painel - 125 VCC</t>
  </si>
  <si>
    <t>Substituição dos Painéis de Distribuição 480 VCA (QD2, QD3, QD4, QD5, QD6, QD7) e cabos associados, referentes aos Serviços Auxiliares da SE Ivaiporã. Denominação dos novos painéis: 5SA1, 5SA2, 5SA3 e 5SA4.</t>
  </si>
  <si>
    <t>0005805/2021</t>
  </si>
  <si>
    <t>Painel - 480 VCA</t>
  </si>
  <si>
    <t>Substituição dos Painéis de Distribuição 220 / 127 VCA (QD1, QD2) e cabos associados, referentes aos Serviços Auxiliares da SE Ivaiporã. Denominação dos novos painéis: 5SA5 e 5SA6.</t>
  </si>
  <si>
    <t>0005810/2021</t>
  </si>
  <si>
    <t>Painel - 220/127 VCA</t>
  </si>
  <si>
    <t>Substituição dos painéis da proteção de Barra (com instalação de unidades de Bay), Falha de Disjuntor (com instalação de unidades redundantes) e dos cabos de controle e potência associados (3.870 m), referente a LT 230 kV J.Lacerda B - UTE J.Lacerda B C-2.</t>
  </si>
  <si>
    <t>LT 230 kV J.LACERDA B / UTE J.LACERDA B C-2 SC</t>
  </si>
  <si>
    <t>0005832/2021</t>
  </si>
  <si>
    <t>BA, BF - LT UTLB C-2</t>
  </si>
  <si>
    <t>Substituição dos painéis da proteção de Barra (com instalação de unidades de Bay), Falha de Disjuntor (com instalação de unidades redundantes) e dos cabos de controle e potência associados (3.870 m), referente a LT 230 kV J.Lacerda B - UTE J.Lacerda B C-3.</t>
  </si>
  <si>
    <t>LT 230 kV J.LACERDA B / UTE J.LACERDA B C-3 SC</t>
  </si>
  <si>
    <t>0005836/2021</t>
  </si>
  <si>
    <t>BA, BF - LT UTLB C-3</t>
  </si>
  <si>
    <t>Substituição dos painéis da proteção de Barra (com instalação de unidades de Bay), Falha de Disjuntor (com instalação de unidades redundantes) e dos cabos de controle e potência associados (3.870 m), referente a LT 230 kV J.Lacerda B - UTE J.Lacerda B C-4.</t>
  </si>
  <si>
    <t>LT 230 kV J.LACERDA B / UTE J.LACERDA B C-4 SC</t>
  </si>
  <si>
    <t>0005843/2021</t>
  </si>
  <si>
    <t>BA, BF - LT UTLB C-4</t>
  </si>
  <si>
    <t>Substituição do transformador de Serviço Auxiliar, 13,8 kV / 480 V, 1.000 kVA, TSA1, da SE Salto Santiago, e cabos associados. Esta obra inclui a execução da bacia coletora de óleo, e conexão desta à caixa separadora de óleo existente na subestação.</t>
  </si>
  <si>
    <t>0005844/2021</t>
  </si>
  <si>
    <t>Substituição do transformador de Serviço Auxiliar, 13,8 kV / 480 V, 1.000 kVA, TSA2, da SE Salto Santiago, e cabos associados. Esta obra inclui a execução da bacia coletora de óleo, e conexão desta à caixa separadora de óleo existente na subestação.</t>
  </si>
  <si>
    <t>0005849/2021</t>
  </si>
  <si>
    <t>Substituição dos painéis da proteção de Barra (com instalação de unidades de Bay), e dos cabos de controle e potência associados (1.930 m), referente a LT 230 kV J.Lacerda B - Siderópolis C-2.</t>
  </si>
  <si>
    <t>LT 230 kV J.LACERDA-B /SIDEROPOL.ESU C-2 SC</t>
  </si>
  <si>
    <t>0005853/2021</t>
  </si>
  <si>
    <t>BA - LT SID C-2</t>
  </si>
  <si>
    <t>Substituição dos painéis da proteção de Barra (com instalação de unidades de Bay), Falha de Disjuntor (com instalação de unidades redundantes), e dos cabos de controle e potência associados (3.320 m), referente ao Interligador de Barras (IB) 230 kV da SE J.Lacerda B.</t>
  </si>
  <si>
    <t>MG J.LACERDA-B / CCO-2001-057 - RB</t>
  </si>
  <si>
    <t>0005857/2021</t>
  </si>
  <si>
    <t>BA, BF  - IB230</t>
  </si>
  <si>
    <t>Substituição dos painéis da proteção Barra Unidade Central (proteção principal e alternada) e dos cabos de controle e potência associados, referente às barras A e B de 230 kV da SE J.Lacerda B.</t>
  </si>
  <si>
    <t>0005860/2021</t>
  </si>
  <si>
    <t>BA - Barras A e B</t>
  </si>
  <si>
    <t>Substituição de 1 (uma) Seccionadora 230 kV posição operacional 34E1-5 fase T da Subestação GNN</t>
  </si>
  <si>
    <t>RT 230 kV 10 Mvar GOIANINHA RT1 PE</t>
  </si>
  <si>
    <t>0005867/2021</t>
  </si>
  <si>
    <t>11338818</t>
  </si>
  <si>
    <t>Substituição de 1 (uma) Seccionadora 230 kV posição operacional 34E1-6 fase T da Subestação GNN</t>
  </si>
  <si>
    <t>0005873/2021</t>
  </si>
  <si>
    <t>11338939</t>
  </si>
  <si>
    <t>Substituição do sistema de controle e supervisão (com unidade redundante) da LT 230 kV J.Lacerda B - UTE J.Lacerda C C-1, e dos cabos de controle e potência associados (5.810 m).</t>
  </si>
  <si>
    <t>0005883/2021</t>
  </si>
  <si>
    <t>Controle - LT UTLC C-1</t>
  </si>
  <si>
    <t>Substituição do sistema de controle e supervisão (com unidade redundante) da LT 230 kV J.Lacerda B - UTE J.Lacerda C C-2, e dos cabos de controle e potência associados (5.810 m).</t>
  </si>
  <si>
    <t>0005890/2021</t>
  </si>
  <si>
    <t>Controle - LT UTLC C-2</t>
  </si>
  <si>
    <t>Substituição de 1 (um) Disjuntor 230 kV posição operacional 14T3 fase T da Subestação DMG</t>
  </si>
  <si>
    <t>TR 230/69 kV DELM. GOUVEIA TR3 CE</t>
  </si>
  <si>
    <t>0005924/2021</t>
  </si>
  <si>
    <t>11341758</t>
  </si>
  <si>
    <t>Substituição de 1 (um) Disjuntor 230 kV posição operacional 14L1 fase T da Subestação BNO</t>
  </si>
  <si>
    <t>LT 230 kV BOM NOME /MILAGRES C-1 PE/CE</t>
  </si>
  <si>
    <t>0005931/2021</t>
  </si>
  <si>
    <t>11341711</t>
  </si>
  <si>
    <t>J.LACERDA-A</t>
  </si>
  <si>
    <t>Instalação de painel de Unidades Concentradoras do Sistema Digital, denominado 2UCSD, contendo unidades concentradoras, switchs, GPS, KVM e terminal de manutenção e operação (TMO), na sala de controle 230 kV da SE J.Lacerda A, em substituição ao painel 2UCS01.</t>
  </si>
  <si>
    <t>MG J.LACERDA-A / CCO-2001-057 - RB</t>
  </si>
  <si>
    <t>0005951/2021</t>
  </si>
  <si>
    <t>Painel - 2UCSD</t>
  </si>
  <si>
    <t>Substituição de 1 (um) Transformador de Corrente 69 kV posição operacional 92J2 fase B da Subestação AGL</t>
  </si>
  <si>
    <t>EL 69 kV ANGELIM DIST2</t>
  </si>
  <si>
    <t>0006143/2021</t>
  </si>
  <si>
    <t>11455231</t>
  </si>
  <si>
    <t>Substituição de 1 (um) Transformador de Corrente 69 kV posição operacional 92J2 fase C da Subestação AGL</t>
  </si>
  <si>
    <t>0006145/2021</t>
  </si>
  <si>
    <t>11455157</t>
  </si>
  <si>
    <t>Substituição de 34 Luminárias - Serviço realizado no Pátio da SE MCO.</t>
  </si>
  <si>
    <t>0006230/2021</t>
  </si>
  <si>
    <t>H-S-SMCO-RBMG01-INF1-IL1</t>
  </si>
  <si>
    <t>Substituição de 58 Luminárias - Serviço realizado no Pátio da SE BGI.</t>
  </si>
  <si>
    <t>MG BONGI / CCO-2001-061 - RB</t>
  </si>
  <si>
    <t>0006232/2021</t>
  </si>
  <si>
    <t>H-S-SBGI-RBMG01-INF1-IL1</t>
  </si>
  <si>
    <t>Substituição de 67 Luminárias - Serviço realizado no Pátio da SE MRR.</t>
  </si>
  <si>
    <t>MG MIRUEIRA / CCO-2001-061 - RB</t>
  </si>
  <si>
    <t>0006234/2021</t>
  </si>
  <si>
    <t>H-S-SMRR-RBMG01-INF1-IL1</t>
  </si>
  <si>
    <t>MIRUEIRA II</t>
  </si>
  <si>
    <t>Substituição de 23 Luminárias - Serviço realizado no Pátio da SE MID.</t>
  </si>
  <si>
    <t>MG MIRUEIRA II / CCO-2012-017 - RB</t>
  </si>
  <si>
    <t>0006235/2021</t>
  </si>
  <si>
    <t>H-S-SMID-RBMG01-INF1</t>
  </si>
  <si>
    <t>PAU FERRO</t>
  </si>
  <si>
    <t>Substituição de 73 Luminárias - Serviço realizado no Pátio da SE PFE.</t>
  </si>
  <si>
    <t>MG PAU FERRO / CCO-2001-061 - RB</t>
  </si>
  <si>
    <t>0006236/2021</t>
  </si>
  <si>
    <t>H-S-SPFE-RBMG01-INF1-IL1</t>
  </si>
  <si>
    <t>SUAPE II</t>
  </si>
  <si>
    <t>Substituição de 81 Luminárias - Serviço realizado no Pátio da SE SUD.</t>
  </si>
  <si>
    <t>MG SUAPE II / CCO-2009-006 - RB</t>
  </si>
  <si>
    <t>0006237/2021</t>
  </si>
  <si>
    <t>H-S-SSUD-RBMG01-INF1</t>
  </si>
  <si>
    <t>SUAPE III</t>
  </si>
  <si>
    <t>Substituição de 52 Luminárias - Serviço realizado no Pátio da SE SUT.</t>
  </si>
  <si>
    <t>MG SUAPE III / CCO-2009-006 - RB</t>
  </si>
  <si>
    <t>0006238/2021</t>
  </si>
  <si>
    <t>H-S-SSUT-RBMG01-INF1</t>
  </si>
  <si>
    <t>MACEIO II</t>
  </si>
  <si>
    <t>Substituição de 37 Luminárias - Serviço realizado no Pátio da SE MCD.</t>
  </si>
  <si>
    <t>MG MACEIO II / CCO-2012-005 - RB</t>
  </si>
  <si>
    <t>0006242/2021</t>
  </si>
  <si>
    <t>H-S-SMCD-RBMG01-INF1</t>
  </si>
  <si>
    <t>Substituição de 54 Luminárias - Serviço realizado no Pátio da SE TAC.</t>
  </si>
  <si>
    <t>MG TACAIMBO / CCO-2001-061 - RB</t>
  </si>
  <si>
    <t>0006245/2021</t>
  </si>
  <si>
    <t>H-S-STAC-RBMG01-INF1-IL1</t>
  </si>
  <si>
    <t>Substituição de 90 Luminárias - Serviço realizado no Pátio da SE GNN.</t>
  </si>
  <si>
    <t>0006252/2021</t>
  </si>
  <si>
    <t>H-S-SGNN-RBMG01-INF1-IL1</t>
  </si>
  <si>
    <t>Substituição de 100 Luminárias - Serviço realizado no Pátio da SE PRD.</t>
  </si>
  <si>
    <t>MG PIRAPAMA II / CCO-2001-061 - RB</t>
  </si>
  <si>
    <t>0006254/2021</t>
  </si>
  <si>
    <t>H-S-SPRD-RBMG01-INF1-IL1</t>
  </si>
  <si>
    <t>JABOATAO II</t>
  </si>
  <si>
    <t>Substituição de 31 Luminárias - Serviço realizado no Pátio da SE JBD.</t>
  </si>
  <si>
    <t>MG JABOATAO II / CCO-2012-017 - RB</t>
  </si>
  <si>
    <t>0006256/2021</t>
  </si>
  <si>
    <t>H-S-SJBD-RBMG01-INF1</t>
  </si>
  <si>
    <t>Substituição de 52 Luminárias - Serviço realizado no Pátio da SE RIB.</t>
  </si>
  <si>
    <t>MG RIBEIRAO / CCO-2001-061 - RB</t>
  </si>
  <si>
    <t>0006259/2021</t>
  </si>
  <si>
    <t>H-S-SRIB-RBMG01-INF1-IL1</t>
  </si>
  <si>
    <t>Substituição de 1 (uma) Seccionadora 230 kV posição operacional 34D1-1 fase T da Subestação FTZ</t>
  </si>
  <si>
    <t>MG FORTALEZA / CCO-2001-061 - RB</t>
  </si>
  <si>
    <t>0006297/2021</t>
  </si>
  <si>
    <t>11333679</t>
  </si>
  <si>
    <t>Substituição de 1 (uma) Seccionadora 69 kV posição operacional 32V1-4 fase T da Subestação BNO</t>
  </si>
  <si>
    <t>EL 69 kV BOM NOME SALGUEIRO</t>
  </si>
  <si>
    <t>0006298/2021</t>
  </si>
  <si>
    <t>11333391</t>
  </si>
  <si>
    <t>Substituição de 1 (uma) Seccionadora 69 kV posição operacional 32V1-5 fase T da Subestação BNO</t>
  </si>
  <si>
    <t>0006300/2021</t>
  </si>
  <si>
    <t>11333392</t>
  </si>
  <si>
    <t>Substituição de 1 (uma) Seccionadora 69 kV posição operacional 32V1-6 fase T da Subestação BNO</t>
  </si>
  <si>
    <t>0006301/2021</t>
  </si>
  <si>
    <t>11333810</t>
  </si>
  <si>
    <t>Substituição de 1 (uma) Seccionadora 69 kV posição operacional 32V3-4 fase T da Subestação BNO</t>
  </si>
  <si>
    <t>EL 69 kV BOM NOME SERRA TALHADA</t>
  </si>
  <si>
    <t>0006302/2021</t>
  </si>
  <si>
    <t>11333393</t>
  </si>
  <si>
    <t>Substituição de 1 (uma) Seccionadora 69 kV posição operacional 32V3-5 fase T da Subestação BNO</t>
  </si>
  <si>
    <t>0006304/2021</t>
  </si>
  <si>
    <t>11333394</t>
  </si>
  <si>
    <t>Substituição de 1 (uma) Seccionadora 69 kV posição operacional 32V3-6 fase T da Subestação BNO</t>
  </si>
  <si>
    <t>0006305/2021</t>
  </si>
  <si>
    <t>11333811</t>
  </si>
  <si>
    <t>CICERO DANTAS</t>
  </si>
  <si>
    <t>Substituição de 1 (uma) Seccionadora 230 kV posição operacional 34D1-1 fase T da Subestação CCD</t>
  </si>
  <si>
    <t>MG CIC. DANTAS / CCO-2001-061 - RB</t>
  </si>
  <si>
    <t>0006337/2021</t>
  </si>
  <si>
    <t>11339747</t>
  </si>
  <si>
    <t>Substituição de 1 (uma) Seccionadora 230 kV posição operacional 34D1-2 fase T da Subestação CCD</t>
  </si>
  <si>
    <t>0006338/2021</t>
  </si>
  <si>
    <t>11339748</t>
  </si>
  <si>
    <t>Substituição de 1 (uma) Seccionadora 230 kV posição operacional 34T2-4 fase T da Subestação CCD</t>
  </si>
  <si>
    <t>TR 230/69 kV CIC. DANTAS TR5 BA</t>
  </si>
  <si>
    <t>0006372/2021</t>
  </si>
  <si>
    <t>11338954</t>
  </si>
  <si>
    <t>Substituição de 1 (uma) Seccionadora 230 kV posição operacional 34T2-6 fase T da Subestação CCD</t>
  </si>
  <si>
    <t>0006375/2021</t>
  </si>
  <si>
    <t>11339761</t>
  </si>
  <si>
    <t>Substituição de 1 (uma) Seccionadora 230 kV posição operacional 34L1-4 fase T da Subestação BNO</t>
  </si>
  <si>
    <t>0006381/2021</t>
  </si>
  <si>
    <t>11335608</t>
  </si>
  <si>
    <t>Substituição de 1 (uma) Seccionadora 230 kV posição operacional 34L1-5 fase T da Subestação BNO</t>
  </si>
  <si>
    <t>0006382/2021</t>
  </si>
  <si>
    <t>11335609</t>
  </si>
  <si>
    <t>Substituição de 1 (uma) Seccionadora 230 kV posição operacional 34L1-6 fase T da Subestação BNO</t>
  </si>
  <si>
    <t>0006383/2021</t>
  </si>
  <si>
    <t>11335604</t>
  </si>
  <si>
    <t>Substituição de 1 (uma) Seccionadora 230 kV posição operacional 34L3-4 fase T da Subestação BNO</t>
  </si>
  <si>
    <t>0006384/2021</t>
  </si>
  <si>
    <t>11337608</t>
  </si>
  <si>
    <t>Substituição de 1 (uma) Seccionadora 230 kV posição operacional 34L3-5 fase T da Subestação BNO</t>
  </si>
  <si>
    <t>0006385/2021</t>
  </si>
  <si>
    <t>11337609</t>
  </si>
  <si>
    <t>Substituição de 1 (uma) Seccionadora 230 kV posição operacional 34L3-6 fase T da Subestação BNO</t>
  </si>
  <si>
    <t>0006386/2021</t>
  </si>
  <si>
    <t>11339620</t>
  </si>
  <si>
    <t>P.AFONSO III</t>
  </si>
  <si>
    <t>Substituição de 1 (uma) Seccionadora 230 kV posição operacional 34D1-4 fase T da Subestação PAF</t>
  </si>
  <si>
    <t>MG P.AFONSO III / CCO-2001-061 - RB</t>
  </si>
  <si>
    <t>0006408/2021</t>
  </si>
  <si>
    <t>11339801</t>
  </si>
  <si>
    <t>Substituição de 1 (uma) Seccionadora 230 kV posição operacional 34D2-2 fase T da Subestação PAF</t>
  </si>
  <si>
    <t>0006410/2021</t>
  </si>
  <si>
    <t>11339803</t>
  </si>
  <si>
    <t>Substituição de 1 (uma) Seccionadora 230 kV posição operacional 34D2-4 fase T da Subestação PAF</t>
  </si>
  <si>
    <t>0006412/2021</t>
  </si>
  <si>
    <t>11339805</t>
  </si>
  <si>
    <t>Substituição de 1 (uma) Seccionadora 230 kV posição operacional 34BP-1 fase T da Subestação FTZ</t>
  </si>
  <si>
    <t>0006414/2021</t>
  </si>
  <si>
    <t>11333678</t>
  </si>
  <si>
    <t>Substituição de 1 (uma) Seccionadora 230 kV posição operacional 34L2-4 fase T da Subestação CCD</t>
  </si>
  <si>
    <t>0006415/2021</t>
  </si>
  <si>
    <t>11339749</t>
  </si>
  <si>
    <t>Substituição de 1 (uma) Seccionadora 230 kV posição operacional 34L2-5 fase T da Subestação CCD</t>
  </si>
  <si>
    <t>0006416/2021</t>
  </si>
  <si>
    <t>11339750</t>
  </si>
  <si>
    <t>Substituição de 1 (uma) Seccionadora 230 kV posição operacional 34L2-6 fase T da Subestação CCD</t>
  </si>
  <si>
    <t>0006417/2021</t>
  </si>
  <si>
    <t>11339751</t>
  </si>
  <si>
    <t>Substituição de 1 (uma) Seccionadora 69 kV posição operacional 32T4-4 fase T da Subestação AGL</t>
  </si>
  <si>
    <t>MC 69 kV TR 69/13,8 kV ANGELIM TR4A PE</t>
  </si>
  <si>
    <t>0006510/2021</t>
  </si>
  <si>
    <t>11334692</t>
  </si>
  <si>
    <t>Substituição de 1 (uma) Seccionadora 69 kV posição operacional 32T4-5 fase T da Subestação AGL</t>
  </si>
  <si>
    <t>0006511/2021</t>
  </si>
  <si>
    <t>11338123</t>
  </si>
  <si>
    <t>SUBSTITUIÇÃO DO DISJUNTOR BPDJ6-09 ASSOCIADO AO MÓDULO DE CONEXÃO EM 230kV DO AUTOTRANSFORMADOR 230/138/13.8kV  NUMERO 1 DA SE BARRA DO PEIXE.</t>
  </si>
  <si>
    <t>0006564/2021</t>
  </si>
  <si>
    <t>BPDJ6-09</t>
  </si>
  <si>
    <t>SUBSTITUIÇÃO DO DISJUNTOR BPDJ5-01 ASSOCIADO AO MÓDULO DE CONEXÃO EM 138kV DO AUTOTRANSFORMADOR 230/138/13.8kV DA SE BARRA DO PEIXE.</t>
  </si>
  <si>
    <t>TR 230/138 kV BARRA PEIXE TR2 MT</t>
  </si>
  <si>
    <t>0006562/2021</t>
  </si>
  <si>
    <t>BPDJ5-01</t>
  </si>
  <si>
    <t>SUBSTITIÇÃO DO DISJUNTOR CXDJ5-5 DA LINHA COXIPÓ-SÃO TADEU 138KV C1.</t>
  </si>
  <si>
    <t>[Sem FT]</t>
  </si>
  <si>
    <t>0006560/2021</t>
  </si>
  <si>
    <t>CXDJ5-5</t>
  </si>
  <si>
    <t>SUBSTITUIÇÃO DO DISJUNTOR CXDJ5-08 DA LINHA COXIPÓ-CPA C1.</t>
  </si>
  <si>
    <t>0006542/2021</t>
  </si>
  <si>
    <t>CXDJ5-08</t>
  </si>
  <si>
    <t>SUBSTITUIÇÃO DO DISJUNTOR SSDJ6-02</t>
  </si>
  <si>
    <t>TR 230/69 kV SORRISO TF2 MT</t>
  </si>
  <si>
    <t>0006546/2021</t>
  </si>
  <si>
    <t>SSD6-02</t>
  </si>
  <si>
    <t>REVITALIZAÇÃO DO TRANSFORMADOR SSTF6-01 COM SUBSTITUIÇÃO DE RADIADORES, VEDAÇÕES E ACESSÓRIOS E INSTALAÇÃO DE SISTEMA EXTERNO DE SELAGEM.</t>
  </si>
  <si>
    <t>TR 230/69 kV NOVA MUTUM TF1 MT</t>
  </si>
  <si>
    <t>0006548/2021</t>
  </si>
  <si>
    <t>SSTF6-01</t>
  </si>
  <si>
    <t>TR 230/69 kV SORRISO TF1 MT</t>
  </si>
  <si>
    <t>0006555/2021</t>
  </si>
  <si>
    <t>VARZ.GRANDE 2</t>
  </si>
  <si>
    <t>Substituição do Sistema de Proteção, Controle e Supervisão da linha Jauru - Varzea Grande C1, contemplando cadeias princípal e alternada de ambos os sistemas.</t>
  </si>
  <si>
    <t>0006557/2021</t>
  </si>
  <si>
    <t>SPCS_JUVD-LT6-01</t>
  </si>
  <si>
    <t>Substituição de Sistema de Proteção, Controle e Supervisão da linha Várzea Grande - Coxipó C2, contemplando as cadeias principal e alternada.</t>
  </si>
  <si>
    <t>LT 230 kV VARZEA GRANDE /COXIPO C-2 MT</t>
  </si>
  <si>
    <t>0006556/2021</t>
  </si>
  <si>
    <t>SPCS_CXVD-LT6-02</t>
  </si>
  <si>
    <t>Substituição da chave seccionadora NMSD6-10.</t>
  </si>
  <si>
    <t>TR 230/69 kV NOVA MUTUM TF3 MT</t>
  </si>
  <si>
    <t>0006939/2021</t>
  </si>
  <si>
    <t>NMSD6-10</t>
  </si>
  <si>
    <t>Substituição de 01  (um) transformador de potencial capacitivo de 230 KV, Fase V, do barramento flexível N-S-ROVN-BC601-MC230-VNTP601.</t>
  </si>
  <si>
    <t>BC 230 kV 18,5 Mvar VILHENA BC1 RO</t>
  </si>
  <si>
    <t>0006591/2021</t>
  </si>
  <si>
    <t>N-S-ROVN-BC601-MC230-VNTP601V</t>
  </si>
  <si>
    <t>Substituição de 01  (um) transformador de potencial capacitivo de 230 KV, Fase B, do barramento flexível N-S-ROVN-BC601-MC230-VNTP601.</t>
  </si>
  <si>
    <t>0006592/2021</t>
  </si>
  <si>
    <t>N-S-ROVN-BC601-MC230-VNTP601B</t>
  </si>
  <si>
    <t>Substituição de 01  (um) transformador de potencial capacitivo de 230 KV, Fase A, do barramento flexível N-S-ROVN-BC601-MC230-VNTP601.</t>
  </si>
  <si>
    <t>0006595/2021</t>
  </si>
  <si>
    <t>N-S-ROVN-BC601-MC230-VNTP601A</t>
  </si>
  <si>
    <t>Substituição de 01  (um) transformador de potencial capacitivo de 230 KV, Fase V, da Linha de Transmissão PBVN-LT601.</t>
  </si>
  <si>
    <t>LT 230 kV PIMENTA BUENO/VILHENA C-1 RO</t>
  </si>
  <si>
    <t>0006598/2021</t>
  </si>
  <si>
    <t>N-S-ROPB-PBVNLT601-ELPB-PBTP601V</t>
  </si>
  <si>
    <t>Transformador de potencial capacitivo de 230 KV, Fase B, da Linha de Transmissão PBVN-LT601.</t>
  </si>
  <si>
    <t>0006603/2021</t>
  </si>
  <si>
    <t>N-S-ROPB-PBVNLT601-ELPB-PBTP601B</t>
  </si>
  <si>
    <t>Substituição de 01  (um) transformador de potencial capacitivo de 230 KV, Fase A, da Linha de Transmissão PBVN-LT601.</t>
  </si>
  <si>
    <t>0006606/2021</t>
  </si>
  <si>
    <t>N-S-ROPB-PBVNLT601-ELPB-PBTP601A</t>
  </si>
  <si>
    <t>Substituição de 01  (um) transformador de potencial capacitivo de 230 KV, Fase V, do barramento flexível VNBR6-02.</t>
  </si>
  <si>
    <t>MG VILHENA / CCO-2001-058 - RB</t>
  </si>
  <si>
    <t>0006612/2021</t>
  </si>
  <si>
    <t>N-S-ROVN-MG601-MG230-BR601-VNTP601V</t>
  </si>
  <si>
    <t>Substituição de 01  (um) transformador de potencial capacitivo de 230 KV, Fase B, do barramento flexível VNBR6-02.</t>
  </si>
  <si>
    <t>0006614/2021</t>
  </si>
  <si>
    <t>N-S-ROVN-MG601-MG230-BR601-VNTP601B</t>
  </si>
  <si>
    <t>Substituição de 01  (um) transformador de potencial capacitivo de 230 KV, Fase A, do barramento flexível VNBR6-02.</t>
  </si>
  <si>
    <t>0006617/2021</t>
  </si>
  <si>
    <t>N-S-ROVN-MG601-MG230-BR601-VNTP601A</t>
  </si>
  <si>
    <t>Substituição de TPC - 01 UNIDADE PARA A LINHA SMAQLT6-01 - Fase V (extremidade SESM).</t>
  </si>
  <si>
    <t>0006621/2021</t>
  </si>
  <si>
    <t>N-S-ROSM-SMAQLT601-ELSM-SMTP601V</t>
  </si>
  <si>
    <t>Substituição de TPC - 01 UNIDADE PARA A LINHA SMAQLT6-01 - Fase B (extremidade SESM).</t>
  </si>
  <si>
    <t>0006622/2021</t>
  </si>
  <si>
    <t>N-S-ROSM-SMAQLT601-ELSM-SMTP601B</t>
  </si>
  <si>
    <t>Substituição de Para Raios - 01 UNIDADE PARA A LINHA SUSMLT6-04 - FASE A (Unidade Geradora 04)</t>
  </si>
  <si>
    <t>0006628/2021</t>
  </si>
  <si>
    <t>N-S-ROSM-NFT-UHSMLT604-SMPR601A</t>
  </si>
  <si>
    <t>Substituição de 1 (uma) Seccionadora 13,8 kV posição operacional 31T1-4 fase T da Subestação CTU</t>
  </si>
  <si>
    <t>TR 230/69 kV CATU TR1 BA</t>
  </si>
  <si>
    <t>0006653/2021</t>
  </si>
  <si>
    <t>11457215</t>
  </si>
  <si>
    <t>Substituição de 1 (uma) Seccionadora 13,8 kV posição operacional 31T1-5 fase T da Subestação CTU</t>
  </si>
  <si>
    <t>0006654/2021</t>
  </si>
  <si>
    <t>11457216</t>
  </si>
  <si>
    <t>Substituição de 1 (uma) Seccionadora 13,8 kV posição operacional 31T1-6 fase T da Subestação CTU</t>
  </si>
  <si>
    <t>0006655/2021</t>
  </si>
  <si>
    <t>11457217</t>
  </si>
  <si>
    <t>Substituição de 1 (uma) Seccionadora 13,8 kV posição operacional 31T2-4 fase T da Subestação CTU</t>
  </si>
  <si>
    <t>TR 230/69 kV CATU TR2 BA</t>
  </si>
  <si>
    <t>0006656/2021</t>
  </si>
  <si>
    <t>11457218</t>
  </si>
  <si>
    <t>Substituição de 1 (uma) Seccionadora 13,8 kV posição operacional 31T2-5 fase T da Subestação CTU</t>
  </si>
  <si>
    <t>0006657/2021</t>
  </si>
  <si>
    <t>11457219</t>
  </si>
  <si>
    <t>Substituição de 1 (uma) Seccionadora 13,8 kV posição operacional 31T2-6 fase T da Subestação CTU</t>
  </si>
  <si>
    <t>0006658/2021</t>
  </si>
  <si>
    <t>11457220</t>
  </si>
  <si>
    <t>US. L.GONZAGA</t>
  </si>
  <si>
    <t>Substituição de 1 (uma) Seccionadora 500 kV posição operacional 35C5-5 fase T da Subestação LGZ</t>
  </si>
  <si>
    <t>LT 500 kV US. L.GONZAGA /JUAZEIRO III C 1 PE/BA</t>
  </si>
  <si>
    <t>0006683/2021</t>
  </si>
  <si>
    <t>11335355</t>
  </si>
  <si>
    <t>Substituição de 1 (uma) Seccionadora 500 kV posição operacional 35C4-8 fase T da Subestação LGZ</t>
  </si>
  <si>
    <t>LT 500 kV US. L.GONZAGA / U.SOBRADINHO C-2 PE/BA</t>
  </si>
  <si>
    <t>0006687/2021</t>
  </si>
  <si>
    <t>11339018</t>
  </si>
  <si>
    <t>Substituição de 1 (uma) Seccionadora 138 kV posição operacional 33T4-6 fase T da Subestação IRE</t>
  </si>
  <si>
    <t>TR 230/138 kV IRECE TR4 BA</t>
  </si>
  <si>
    <t>0006690/2021</t>
  </si>
  <si>
    <t>11334853</t>
  </si>
  <si>
    <t>Substituição de 1 (uma) Seccionadora 230 kV posição operacional 34L3-4 fase T da Subestação CCD</t>
  </si>
  <si>
    <t>LT 230 kV CIC. DANTAS /CATU C-2 BA</t>
  </si>
  <si>
    <t>0006703/2021</t>
  </si>
  <si>
    <t>11339752</t>
  </si>
  <si>
    <t>Substituição de 1 (uma) Seccionadora 230 kV posição operacional 34L3-5 fase T da Subestação CCD</t>
  </si>
  <si>
    <t>0006704/2021</t>
  </si>
  <si>
    <t>11339753</t>
  </si>
  <si>
    <t>Substituição de 1 (uma) Seccionadora 230 kV posição operacional 34L3-6 fase T da Subestação CCD</t>
  </si>
  <si>
    <t>0006705/2021</t>
  </si>
  <si>
    <t>11339754</t>
  </si>
  <si>
    <t>Substituição de 1 (uma) Seccionadora 230 kV posição operacional 34S1-4 fase T da Subestação BNO</t>
  </si>
  <si>
    <t>LT 230 kV TACARUTU /BOM NOME C 1 PE</t>
  </si>
  <si>
    <t>0006710/2021</t>
  </si>
  <si>
    <t>11335605</t>
  </si>
  <si>
    <t>Substituição de 1 (uma) Seccionadora 230 kV posição operacional 34S1-5 fase T da Subestação BNO</t>
  </si>
  <si>
    <t>0006711/2021</t>
  </si>
  <si>
    <t>11335606</t>
  </si>
  <si>
    <t>Substituição de 1 (uma) Seccionadora 230 kV posição operacional 34S1-6 fase T da Subestação BNO</t>
  </si>
  <si>
    <t>0006712/2021</t>
  </si>
  <si>
    <t>11335607</t>
  </si>
  <si>
    <t>Substituição de 1 (um) Sistema de resfriamento a óleo associado ao Compensador síncrono - posição operacional 01K2 da Subestação de RCD.</t>
  </si>
  <si>
    <t>0006724/2021</t>
  </si>
  <si>
    <t>ZEBU</t>
  </si>
  <si>
    <t>Substituição de 1 (um) um grupo-motor-gerador do SISTEMA DE ALIMENTAÇÃO DE ENERGIA posição operacional 200G1 da Subestação ZBU</t>
  </si>
  <si>
    <t>MG 138 kV ZEBU MG1 BA</t>
  </si>
  <si>
    <t>0006732/2021</t>
  </si>
  <si>
    <t>11451313</t>
  </si>
  <si>
    <t>Substituição de 1 (um) Conjunto de barramento do Barramento 230 kV posição operacional 04BP fase T da Subestação AGL</t>
  </si>
  <si>
    <t>0006736/2021</t>
  </si>
  <si>
    <t>12365763</t>
  </si>
  <si>
    <t>Substituição de 2 (dois) Sistema de monitoramento de Temperatura do Autotransformador 500 kV posição operacional 05T3 - A fase A da Subestação MSI</t>
  </si>
  <si>
    <t>TR 500/230 kV MESSIAS TR3 AL</t>
  </si>
  <si>
    <t>0006743/2021</t>
  </si>
  <si>
    <t>11348165</t>
  </si>
  <si>
    <t>Substituição de 2 (dois) Sistema de monitoramento de Temperatura do Autotransformador 500 kV posição operacional 05T3 - B fase B da Subestação MSI</t>
  </si>
  <si>
    <t>0006744/2021</t>
  </si>
  <si>
    <t>11348166</t>
  </si>
  <si>
    <t>Substituição de 2 (dois) Disjuntores de Campo 13,8 kV do Compensador síncrono - posição operacional 01K1 da Subestação RCD</t>
  </si>
  <si>
    <t>0006745/2021</t>
  </si>
  <si>
    <t>Substituição de 1 (um) Painel de comando e controle associado ao Compensador síncrono - posição operacional 01K1 da subestação RCD</t>
  </si>
  <si>
    <t>0006746/2021</t>
  </si>
  <si>
    <t>Substituição de 1 (um) Painel de comando e controle posição associado ao Compensador síncrono - posição operacional 01K2 da subestação RCD</t>
  </si>
  <si>
    <t>0006747/2021</t>
  </si>
  <si>
    <t>SUBSTITUIÇÃO DO DISJUNTOR NMDJ6-08.</t>
  </si>
  <si>
    <t>0006776/2021</t>
  </si>
  <si>
    <t>NMDJ6-08</t>
  </si>
  <si>
    <t>SUBSTITUIÇÃO DO DISJUNTOR CXDJ5-03 DA LINHA COXIPÓ-VARZEA GRANDE 138KV C1.</t>
  </si>
  <si>
    <t>0006782/2021</t>
  </si>
  <si>
    <t>CXDJ5-03</t>
  </si>
  <si>
    <t>Substituição do Sistema de Proteção, Controle e Supervisão da linha Coxipó-Nobres C1, contemplando as cadeias principal e alternada.</t>
  </si>
  <si>
    <t>LT 230 kV COXIPO /NOBRES C-1 MT</t>
  </si>
  <si>
    <t>0006784/2021</t>
  </si>
  <si>
    <t>SPCS_CXBN-LT6-01</t>
  </si>
  <si>
    <t>Substituição do Sistema de Proteção, Controle e Supervisão da linha Nobres-Nova Mutum C1, contemplando as cadeias principal e alternada.</t>
  </si>
  <si>
    <t>0006786/2021</t>
  </si>
  <si>
    <t>SPCS-NBNM-LT6-01</t>
  </si>
  <si>
    <t>0006788/2021</t>
  </si>
  <si>
    <t>SPCS_CXNB-LT6-01</t>
  </si>
  <si>
    <t>Substituição de Sistema de Proteção, Controle e Supervisão da linha Jauru - Varzea Grande C2, contemplando cadeias princípal e alternada de ambos os sistemas</t>
  </si>
  <si>
    <t>LT 230 kV JAURU /VARZEA GRANDE C-2 MT</t>
  </si>
  <si>
    <t>0006790/2021</t>
  </si>
  <si>
    <t>SPCS_JUVD-LT6-02</t>
  </si>
  <si>
    <t>LT 230 kV JAURU /VARZEA GRANDE C-1 MT</t>
  </si>
  <si>
    <t>0006793/2021</t>
  </si>
  <si>
    <t>Substituição do Sistema de Proteção Controle e Supervisão do Autotransformador 1 230kV da SE Jauru, contemplando as cadeias principal e alternada.</t>
  </si>
  <si>
    <t>TR 230/138 kV JAURU TR1 MT</t>
  </si>
  <si>
    <t>0006794/2021</t>
  </si>
  <si>
    <t>SPCS_JUAT6-01</t>
  </si>
  <si>
    <t>SUBSTITUIÇÃO DA UNIDADE DE PROTEÇÃO DIFERENCIAL E CONTROLE DIGITAL DE BARRAS - CADEIA PRINCIPAL - DA SE NOBRES, COMPOSTA DE UMA UNIDADE CENTRAL E DE 6 UNIDADES DE BAY E CAPACIDADE PARA 8 BAYS.</t>
  </si>
  <si>
    <t>MG 230 kV NOBRES MG1 MT</t>
  </si>
  <si>
    <t>0006795/2021</t>
  </si>
  <si>
    <t>SPCS_NBMG6-01</t>
  </si>
  <si>
    <t>SUBSTITUIÇÃO DA UNIDADE DE PROTEÇÃO DIFERENCIAL E CONTROLE DIGITAL DE BARRAS - CADEIA PRINCIPAL - DA SE JAURU, COMPOSTA DE UMA UNIDADE CENTRAL E DE E 7 UNIDADES DE BAY E CAPACIDADE PARA 15 BAYS.</t>
  </si>
  <si>
    <t>0006797/2021</t>
  </si>
  <si>
    <t>SPCS_JUMG6-01</t>
  </si>
  <si>
    <t>REVITALIZAÇÃO DO DISJUNTOR JPDJ6-15. CORRIGIR FALHAS NO ACIONAMENTO DOS DISJUNTORES, COM A SUBSTITUIÇÃO DE PEÇAS (GATILHOS, AMORTECEDORES, MICROSWITCH, PROTEÇÕES DAS MOLAS DE ABERTURA E FECHAMENTO, DENTRE OUTROS) E REALIZAÇÃO DOS TESTES NECESSÁRIOS PARA COMPATIBILIZAÇÃO DOS POLOS AOS COMANDOS.</t>
  </si>
  <si>
    <t>0007965/2021</t>
  </si>
  <si>
    <t>N-S-ROJP-AQJPLT603-ELJP-JPDJ615</t>
  </si>
  <si>
    <t>REVITALIZAÇÃO DO DISJUNTOR JPDJ6-17. CORRIGIR FALHAS NO ACIONAMENTO DOS DISJUNTORES, COM A SUBSTITUIÇÃO DE PEÇAS (GATILHOS, AMORTECEDORES, MICROSWITCH, PROTEÇÕES DAS MOLAS DE ABERTURA E FECHAMENTO, DENTRE OUTROS) E REALIZAÇÃO DOS TESTES NECESSÁRIOS PARA COMPATIBILIZAÇÃO DOS POLOS AOS COMANDOS.</t>
  </si>
  <si>
    <t>0007986/2021</t>
  </si>
  <si>
    <t>N-S-ROJP-JPPBLT603-ELJP-JPDJ617</t>
  </si>
  <si>
    <t>Substituição da proteção e controle diferencial de barras da cadeia principal da barra JPBR6-02, contemplando uma unidade central com capacidade de no mínimo nove vãos e seis unidades de bay (bays unit).</t>
  </si>
  <si>
    <t>MG 230 kV JI-PARANA MG1 RO</t>
  </si>
  <si>
    <t>0007949/2021</t>
  </si>
  <si>
    <t>N-S-ROJP-MG601-IB230-JPSPR00</t>
  </si>
  <si>
    <t>REVITALIZAÇÃO DO DISJUNTOR PBDJ6-14. CORRIGIR FALHAS NO ACIONAMENTO DOS DISJUNTORES, COM A SUBSTITUIÇÃO DE PEÇAS (GATILHOS, AMORTECEDORES, MICROSWITCH, PROTEÇÕES DAS MOLAS DE ABERTURA E FECHAMENTO, DENTRE OUTROS) E REALIZAÇÃO DOS TESTES NECESSÁRIOS PARA COMPATIBILIZAÇÃO DOS POLOS AOS COMANDOS.</t>
  </si>
  <si>
    <t>0007972/2021</t>
  </si>
  <si>
    <t>N-S-ROPB-JPPBLT603-ELPB-PBDJ614</t>
  </si>
  <si>
    <t>REVITALIZAÇÃO DO DISJUNTOR JPDJ6-14. CORRIGIR FALHAS NO ACIONAMENTO DOS DISJUNTORES, COM A SUBSTITUIÇÃO DE PEÇAS (GATILHOS, AMORTECEDORES, MICROSWITCH, PROTEÇÕES DAS MOLAS DE ABERTURA E FECHAMENTO, DENTRE OUTROS) E REALIZAÇÃO DOS TESTES NECESSÁRIOS PARA COMPATIBILIZAÇÃO DOS POLOS AOS COMANDOS.</t>
  </si>
  <si>
    <t>RTL 230 kV 20 Mvar JI-PARANA RT3 RO</t>
  </si>
  <si>
    <t>0007980/2021</t>
  </si>
  <si>
    <t>N-S-ROJP-AQJPLT603-MCJPRE603-JPDJ614</t>
  </si>
  <si>
    <t>Substituição de 1 (um) Transformador de Corrente 230 kV posição operacional 94H1-2 fase A da Subestação CGD</t>
  </si>
  <si>
    <t>BC 230 kV 50,5 Mvar C.GRANDE II BC1 PB</t>
  </si>
  <si>
    <t>0006830/2021</t>
  </si>
  <si>
    <t>11324113</t>
  </si>
  <si>
    <t>Substituição de 1 (um) Transformador de Corrente 230 kV posição operacional 94H1-2 fase B da Subestação CGD</t>
  </si>
  <si>
    <t>0006831/2021</t>
  </si>
  <si>
    <t>11324112</t>
  </si>
  <si>
    <t>SOBRAL II</t>
  </si>
  <si>
    <t>Substituição de 1 (uma) Seccionadora 230 kV posição operacional 34L1-5 fase T da Subestação SBD</t>
  </si>
  <si>
    <t>LT 230 kV IBIAPINA II /SOBRAL II C-1 CE</t>
  </si>
  <si>
    <t>0006899/2021</t>
  </si>
  <si>
    <t>11338887</t>
  </si>
  <si>
    <t>Substituição de 1 (uma) Seccionadora 230 kV posição operacional 34S2-4 fase T da Subestação BNO</t>
  </si>
  <si>
    <t>LT 230 kV P.AFONSO III /BOM NOME C-2 BA/PE</t>
  </si>
  <si>
    <t>0006924/2021</t>
  </si>
  <si>
    <t>11334540</t>
  </si>
  <si>
    <t>Substituição de 1 (uma) Seccionadora 230 kV posição operacional 34S2-5 fase T da Subestação BNO</t>
  </si>
  <si>
    <t>0006925/2021</t>
  </si>
  <si>
    <t>11334541</t>
  </si>
  <si>
    <t>Substituição de 1 (uma) Seccionadora 230 kV posição operacional 34F3-4 fase T da Subestação BNO</t>
  </si>
  <si>
    <t>LT 230 kV P.AFONSO III /BOM NOME C-3 BA/PE</t>
  </si>
  <si>
    <t>0006926/2021</t>
  </si>
  <si>
    <t>11337610</t>
  </si>
  <si>
    <t>Substituição de 1 (uma) Seccionadora 230 kV posição operacional 34F3-5 fase T da Subestação BNO</t>
  </si>
  <si>
    <t>0006927/2021</t>
  </si>
  <si>
    <t>11337611</t>
  </si>
  <si>
    <t>Substituição de 1 (uma) Seccionadora 230 kV posição operacional 34F3-6 fase T da Subestação BNO</t>
  </si>
  <si>
    <t>0006928/2021</t>
  </si>
  <si>
    <t>11339621</t>
  </si>
  <si>
    <t>Substituição de 1 (uma) Seccionadora 230 kV posição operacional 34S2-4 fase T da Subestação CCD</t>
  </si>
  <si>
    <t>LT 230 kV P.AFONSO III /CIC. DANTAS C-1 BA</t>
  </si>
  <si>
    <t>0006929/2021</t>
  </si>
  <si>
    <t>11339755</t>
  </si>
  <si>
    <t>Substituição de 1 (uma) Seccionadora 230 kV posição operacional 34S2-5 fase T da Subestação CCD</t>
  </si>
  <si>
    <t>0006930/2021</t>
  </si>
  <si>
    <t>11339756</t>
  </si>
  <si>
    <t>Substituição de 1 (uma) Seccionadora 230 kV posição operacional 34S2-6 fase T da Subestação CCD</t>
  </si>
  <si>
    <t>0006931/2021</t>
  </si>
  <si>
    <t>11339757</t>
  </si>
  <si>
    <t>Substituição de 1 (uma) Seccionadora 230 kV posição operacional 34S3-4 fase T da Subestação CCD</t>
  </si>
  <si>
    <t>LT 230 kV P.AFONSO III /CIC. DANTAS C-2 BA</t>
  </si>
  <si>
    <t>0006932/2021</t>
  </si>
  <si>
    <t>11339758</t>
  </si>
  <si>
    <t>Substituição de 1 (uma) Seccionadora 230 kV posição operacional 34S3-5 fase T da Subestação CCD</t>
  </si>
  <si>
    <t>0006933/2021</t>
  </si>
  <si>
    <t>11339759</t>
  </si>
  <si>
    <t>Substituição de 1 (uma) Seccionadora 230 kV posição operacional 34S3-6 fase T da Subestação CCD</t>
  </si>
  <si>
    <t>0006934/2021</t>
  </si>
  <si>
    <t>11339760</t>
  </si>
  <si>
    <t>Substituição de 8 (oito) Transformadores do Serviço Auxiliar 380/220</t>
  </si>
  <si>
    <t>MG 500 kV MIRACEMA MG1 TO</t>
  </si>
  <si>
    <t>0007814/2021</t>
  </si>
  <si>
    <t>N-S-TOMC-MG701-MG500-CA001</t>
  </si>
  <si>
    <t>Aquisição e substituição de 3 (três) Buchas de Neutro para os Bancos de Reatores de Derivação da Linha da SE Miracema</t>
  </si>
  <si>
    <t>0007815/2021</t>
  </si>
  <si>
    <t>MCRE7-01</t>
  </si>
  <si>
    <t>Aquisição e substituição de 3 (três) Buchas de Neutro para os Bancos de Reatores de Barra da SE Colinas.</t>
  </si>
  <si>
    <t>TB 500 kV 165 Mvar COLINAS RT4 TO</t>
  </si>
  <si>
    <t>0007819/2021</t>
  </si>
  <si>
    <t>CORE7-04</t>
  </si>
  <si>
    <t>Aquisição e substituição de 6 (seis) Buchas de Neutro para os Bancos de Reatores de Derivação da Linha.</t>
  </si>
  <si>
    <t>0007818/2021</t>
  </si>
  <si>
    <t>CORE7-01 e 02</t>
  </si>
  <si>
    <t>SUBSTITUIÇÃO DA CHAVES SECCIONADORA NMSB6-15</t>
  </si>
  <si>
    <t>0006940/2021</t>
  </si>
  <si>
    <t>NMSB6-15</t>
  </si>
  <si>
    <t>Substituição do banco capacitor</t>
  </si>
  <si>
    <t>BC 345 kV 91,5 Mvar BANDEIRANTES BC1 GO</t>
  </si>
  <si>
    <t>0007827/2021</t>
  </si>
  <si>
    <t>BANCO DE CAPACITOR BC01</t>
  </si>
  <si>
    <t>Substituição de Para Raios - 01 UNIDADE PARA A LINHA SUSMLT6-03 - FASE A (Unidade Geradora 03).</t>
  </si>
  <si>
    <t>0006965/2021</t>
  </si>
  <si>
    <t>N-S-ROSM-NFT-UHSMLT603-SMPR601A</t>
  </si>
  <si>
    <t>Substituição de Para Raios - 01 UNIDADE PARA A LINHA SUSMLT6-02 - FASE A (Unidade Geradora 02).</t>
  </si>
  <si>
    <t>0006969/2021</t>
  </si>
  <si>
    <t>N-S-ROSM-NFT-UHSMLT602-SMPR601A</t>
  </si>
  <si>
    <t>Substituição de Para Raios - 01 UNIDADE PARA A LINHA SUSMLT6-01 - FASE A (Unidade Geradora 01).</t>
  </si>
  <si>
    <t>0006970/2021</t>
  </si>
  <si>
    <t>N-S-ROSM-NFT-UHSMLT601-SMPR601A</t>
  </si>
  <si>
    <t>Substituição de TPC - 01 UNIDADE PARA A LINHA SMAQLT6-01 - Fase A (extremidade SESM).</t>
  </si>
  <si>
    <t>0006977/2021</t>
  </si>
  <si>
    <t>N-S-ROSM-SMAQLT601-ELSM-SMTP601A</t>
  </si>
  <si>
    <t>Substituição de Retificador (Carregador de Baterias) 125 Vcc - SACC125-RET1, da SE Salto Santiago. Capacidade do novo equipamento: 150 A.</t>
  </si>
  <si>
    <t>0006997/2021</t>
  </si>
  <si>
    <t>RET1</t>
  </si>
  <si>
    <t>Substituição de Retificador (Carregador de Baterias) 125 Vcc - SACC125-RET2, da SE Salto Santiago. Capacidade do novo equipamento: 150 A.</t>
  </si>
  <si>
    <t>0006998/2021</t>
  </si>
  <si>
    <t>RET2</t>
  </si>
  <si>
    <t>Substituição dos Painéis de Distribuição 220 / 127 VCA (QLF1,QLF2) e cabos associados, referentes aos Serviços Auxiliares da SE S.Santiago. Denominação dos novos painéis: 5SA4 e 5SA5.</t>
  </si>
  <si>
    <t>0006999/2021</t>
  </si>
  <si>
    <t>Substituição dos Painéis de Distribuição 480 VCA (QA1, QA2, COMANDO) e cabos associados, referentes aos Serviços Auxiliares da SE S.Santiago. Denominação dos novos painéis: 5SA1, 5SA2 e 5SA3.</t>
  </si>
  <si>
    <t>0007000/2021</t>
  </si>
  <si>
    <t>Substituição dos Painéis de Distribuição 125 VCC (QCA, QCB, INTERL125) e cabos associados, referentes aos Serviços Auxiliares da SE S.Santiago.  Denominação dos novos painéis: 5SC1 e 5SC2 (Distribuição) e 5PD01 (Subdistribuição).</t>
  </si>
  <si>
    <t>0007001/2021</t>
  </si>
  <si>
    <t>Instalação de Painéis contendo Sistema Retificador e Quadro de Distribuição 48 VCC, e cabos associados, em substituição aos retificadores e painéis de distribuição existentes (SACC48-RET1, SACC48-RET2, QCA1, QCA2, INTERL48), referentes aos Serviços Auxiliares da SE S. Santiago. Denominação dos novos painéis: 5CB03 e 5CB04. Capacidade dos novos equipamentos: 200 A.</t>
  </si>
  <si>
    <t>0007002/2021</t>
  </si>
  <si>
    <t>SUBSTITUIÇÃO DO TRANSFORMADOR DE CORRENTE DE 500kV, FASE "B" DO BAY DO BANCO DE REATORES DE BARRA LDRE7-03.</t>
  </si>
  <si>
    <t>MG 500 kV SAO LUIS II MG1 MA</t>
  </si>
  <si>
    <t>0007012/2021</t>
  </si>
  <si>
    <t>N-S-MALD-RE703-MC500-LDTC701</t>
  </si>
  <si>
    <t>Substituição transformador de corrente 13,8kV Conexão Terciário PRTF6-01 fase V</t>
  </si>
  <si>
    <t>0007013/2021</t>
  </si>
  <si>
    <t>N-S-MAPR-TF601-TF230-PRTC201 (V)</t>
  </si>
  <si>
    <t>SUBSTITUIÇÃO DO TRANSFORMADOR DE CORRENTE DE 230kV, FASE "B" DO VÃO DE TRANSFERENCIA DE 230kV ENTRE BARRAS LDBR6-01 E LDBR6-02.</t>
  </si>
  <si>
    <t>0007014/2021</t>
  </si>
  <si>
    <t>N-S-MALD-MG701-IB230IB2-LDTC601</t>
  </si>
  <si>
    <t>Substituição transformador de corrente 13,8kV Conexão Terciário PRTF6-01 fase B</t>
  </si>
  <si>
    <t>0007015/2021</t>
  </si>
  <si>
    <t>N-S-MAPR-TF601-TF230-PRTC201 (B)</t>
  </si>
  <si>
    <t>Substituição transformador de corrente 13,8kV Conexão Terciário PRTF6-01 fase A</t>
  </si>
  <si>
    <t>0007016/2021</t>
  </si>
  <si>
    <t>N-S-MAPR-TF601-TF230-PRTC201 (A)</t>
  </si>
  <si>
    <t>Substituição transformador de corrente 230kV Bay IZPF-LT601 fase A</t>
  </si>
  <si>
    <t>0007019/2021</t>
  </si>
  <si>
    <t>N-S-MAPF-IZPFLT601-ELPF-PFTC601 (A)</t>
  </si>
  <si>
    <t>SUBSTITUIÇÃO DO TRANSFORMADOR DE CORRENTE DE 230kV, FASE "V" DO BAY DA ENTRADA DE LINHA DE 230kV SÃO LUIS II - MIRANDA II.</t>
  </si>
  <si>
    <t>0007022/2021</t>
  </si>
  <si>
    <t>N-S-MALD-LDMRLT601-ELLD-LDTC601</t>
  </si>
  <si>
    <t>SUBSTITUIÇÃO DO TRANSFORMADOR DE CORRENTE DE 230kV, FASE "B" DO BAY DA ENTRADA DE LINHA DE 230kV SÃO LUIS II - MIRANDA II.</t>
  </si>
  <si>
    <t>0007026/2021</t>
  </si>
  <si>
    <t>SUBSTITUIÇÃO DO TRANSFORMADOR DE CORRENTE DE 230kV, FASE "A" DO BAY DA ENTRADA DE LINHA DE 230kV SÃO LUIS II - MIRANDA II.</t>
  </si>
  <si>
    <t>0007028/2021</t>
  </si>
  <si>
    <t>Substituição transformador de potencial 69kV - módulo de conexão PDTF6-01 Fase V</t>
  </si>
  <si>
    <t>0007031/2021</t>
  </si>
  <si>
    <t>N-S-MAPD-TF601-MC69-PDTP401 (V) EMFC 72</t>
  </si>
  <si>
    <t>Substituição do transformador de potencial módulo de conexão 69kV - PDTF6-01 Fase B</t>
  </si>
  <si>
    <t>0007041/2021</t>
  </si>
  <si>
    <t>N-S-MAPD-TF601-MC69-PDTP401 (B)</t>
  </si>
  <si>
    <t>Substituição dos painéis da proteção de Barra (com instalação de unidades de Bay), Falha de Disjuntor (com instalação de unidades redundantes), e dos cabos de controle e potência associados (6.640 m), referente ao Interligador de Barras (IB) 525 kV da SE Campos Novos, DJ 1010 (vão do Reator 2).</t>
  </si>
  <si>
    <t>0007051/2021</t>
  </si>
  <si>
    <t>BA, BF - DJ1010</t>
  </si>
  <si>
    <t>Substituição de 2 (dois) Sistema de monitoramento de Temperatura do Autotransformador 500 kV posição operacional 05T3 - C fase C da Subestação MSI</t>
  </si>
  <si>
    <t>0007080/2021</t>
  </si>
  <si>
    <t>11348167</t>
  </si>
  <si>
    <t>Substituição do transformador de Serviço Auxiliar, 13,8 kV / 480 V, 1.000 kVA, TSA2, da SE Campos Novos. Associado a obra são esperadas adaptações/substituições da base existente, da caixa separadora de óleo, e cabos associados.</t>
  </si>
  <si>
    <t>0007137/2021</t>
  </si>
  <si>
    <t>Substituição de 2 (dois) Radiadores do Transformador de Força 230 kV posição operacional 04T2 - T fase T da Subestação RIB</t>
  </si>
  <si>
    <t>TR 230/69 kV RIBEIRAO TR2 PE</t>
  </si>
  <si>
    <t>0007151/2021</t>
  </si>
  <si>
    <t>11347849</t>
  </si>
  <si>
    <t>Substituição do esquema de Falha de Disjuntor (com instalação de unidades redundantes), e dos cabos de controle e potência associados (3.320 m), referente ao Interligador de Barras (IB) 230 kV da SE Campos Novos.</t>
  </si>
  <si>
    <t>0007156/2021</t>
  </si>
  <si>
    <t>BF - IB230</t>
  </si>
  <si>
    <t>Substituição do sistema de controle e supervisão (com unidade redundante) do Interligador de Barras (IB) 230 kV da SE Campos Novos, e dos cabos de controle e potência associados (4.980 m).</t>
  </si>
  <si>
    <t>0007162/2021</t>
  </si>
  <si>
    <t>Controle - IB230</t>
  </si>
  <si>
    <t>Substituição de 1 (uma) Seccionadora 230 kV posição operacional 34S2-6 fase T da Subestação BNO</t>
  </si>
  <si>
    <t>0007206/2021</t>
  </si>
  <si>
    <t>11334542</t>
  </si>
  <si>
    <t>Substituição dos painéis da proteção de Barra (com instalação de unidade de Bay), Falha de Disjuntor (com instalação de unidades redundantes) e dos cabos de controle e potência associados (2.760 m), referente a LT 138 kV Campos Novos - Herval D'Oeste / Lages VRJ C-1.</t>
  </si>
  <si>
    <t>LT 138 kV C.NOVOS / H.D.OESTE - LAGES V.R.J. C-1 SC</t>
  </si>
  <si>
    <t>0007217/2021</t>
  </si>
  <si>
    <t>BA, BF - LT HOE/LVR C-1</t>
  </si>
  <si>
    <t>Substituição de Para Raios - 01 UNIDADE PARA A LINHA SUSMLT6-05 - FASE V (Unidade Geradora 05).</t>
  </si>
  <si>
    <t>0007644/2021</t>
  </si>
  <si>
    <t>N-S-ROSM-NFT-UHSMLT605-SMPR601V</t>
  </si>
  <si>
    <t>Substituição dos painéis da proteção de Barra (com instalação de unidade de Bay) , Falha de Disjuntor (com instalação de unidades redundantes) e dos cabos de controle e potência associados (2.760 m), referente a LT 138 kV Campos Novos - Herval D'Oeste / S.J.Cerrito Itararé C-1.</t>
  </si>
  <si>
    <t>LT 138 kV C.NOVOS / H.D.OESTE - S.J.CERRITO ITARARÉ C-1 SC</t>
  </si>
  <si>
    <t>0007267/2021</t>
  </si>
  <si>
    <t>BA, BF - LT HOE/SJI C-1</t>
  </si>
  <si>
    <t>Substituição dos painéis da proteção de Barra (com instalação de unidade de Bay), Falha de Disjuntor (com instalação de unidades redundantes) e dos cabos de controle e potência associados (2.430 m), referente ao Interligador de Barras (IB) 138 kV da SE Campos Novos.</t>
  </si>
  <si>
    <t>0007273/2021</t>
  </si>
  <si>
    <t>BA, BF - IB138</t>
  </si>
  <si>
    <t>Substituição dos painéis da proteção de Barra Unidade Central e dos cabos de controle e potência associados, referente às Barras P e T de 138 kV da SE Campos Novos.</t>
  </si>
  <si>
    <t>0007276/2021</t>
  </si>
  <si>
    <t>BA - Barras P e T</t>
  </si>
  <si>
    <t>Substituição dos painéis da proteção de Barra (com instalação de unidade de Bay), e dos cabos de controle e potência associados (1.380 m), referente ao TR3 230/138 kV, lado de 138 kV, da SE Campos Novos.</t>
  </si>
  <si>
    <t>TR 230/138 kV C.NOVOS TR3 SC</t>
  </si>
  <si>
    <t>0007283/2021</t>
  </si>
  <si>
    <t>BA - TR3 138</t>
  </si>
  <si>
    <t>Substituição dos painéis da proteção de Barra (com instalação de unidade de Bay), e dos cabos de controle e potência associados (1.380 m), referente ao TR4 230/138 kV, lado de 138 kV, da SE Campos Novos.</t>
  </si>
  <si>
    <t>TR 230/138 kV C.NOVOS TR4 SC</t>
  </si>
  <si>
    <t>0007288/2021</t>
  </si>
  <si>
    <t>BA - TR4 138</t>
  </si>
  <si>
    <t>Substituição dos painéis da proteção de Barra (com instalação de unidade de Bay), e dos cabos de controle e potência associados (1.380 m), referente ao TR5 230/138 kV, lado de 138 kV, da SE Campos Novos.</t>
  </si>
  <si>
    <t>TR 230/138 kV C.NOVOS TR5 SC</t>
  </si>
  <si>
    <t>0007294/2021</t>
  </si>
  <si>
    <t>BA - TR5 138</t>
  </si>
  <si>
    <t>Substituição do sistema de controle e supervisão (com unidade redundante) do TRR1 525/230 kV da SE Campos Novos (Trafo Reserva), lado de 525 kV, e dos cabos de controle e potência associados (9.960 m).</t>
  </si>
  <si>
    <t>TRR 525 / 230 kV C.NOVOS TRR1 SC</t>
  </si>
  <si>
    <t>0007297/2021</t>
  </si>
  <si>
    <t>Controle - TRR1 525</t>
  </si>
  <si>
    <t>Substituição do sistema de controle e supervisão (com unidade redundante) do TRR1 525/230 kV da SE Campos Novos (Trafo Reserva), lado de 230 kV, e dos cabos de controle e potência associados (5.480 m).</t>
  </si>
  <si>
    <t>0007301/2021</t>
  </si>
  <si>
    <t>Controle - TRR1 230</t>
  </si>
  <si>
    <t>Substituição de Disjuntor DJ9472 (nº serie: 1133-4R-004, cod. int.: 10191511)</t>
  </si>
  <si>
    <t>0007305/2021</t>
  </si>
  <si>
    <t>DJ9472</t>
  </si>
  <si>
    <t>Substituição transformador de potencial 69kV módulo de conexão 69kV PDTF6-01 Fase A</t>
  </si>
  <si>
    <t>0007315/2021</t>
  </si>
  <si>
    <t>N-S-MAPD-TF601-MC69-PDTP401 (A)</t>
  </si>
  <si>
    <t>Substituição transformador de corrente 69kV - módulo de conexão PDTF6-01 Fase V</t>
  </si>
  <si>
    <t>0007321/2021</t>
  </si>
  <si>
    <t>N-S-MAPD-TF601-MC69-PDTC401 (V)</t>
  </si>
  <si>
    <t>SUBSTITUIÇÃO DO TRANSFORMADOR DE CORRENTE DE 230kV, FASE "B" DO BAY DA ENTRADA DE LINHA DE 230kV SÃO LUIS II - SÃO LUIS I, CIRCUITO 2.</t>
  </si>
  <si>
    <t>0007324/2021</t>
  </si>
  <si>
    <t>N-S-MALD-LDLILT602-ELLD-LDTC601</t>
  </si>
  <si>
    <t>SUBSTITUIÇÃO DO TRANSFORMADOR DE CORRENTE DE 230kV, FASE "A" DO BAY DA ENTRADA DE LINHA DE 230kV SÃO LUIS II - SÃO LUIS I, CIRCUITO 2.</t>
  </si>
  <si>
    <t>0007331/2021</t>
  </si>
  <si>
    <t>SUBSTITUIÇÃO DO TRANSFORMADOR DE CORRENTE DE 230kV, FASE "A" DO BAY DA ENTRADA DE LINHA DE 230kV SÃO LUIS II - SÃO LUIS I, CIRCUITO 1.</t>
  </si>
  <si>
    <t>0007345/2021</t>
  </si>
  <si>
    <t>ATH 245D</t>
  </si>
  <si>
    <t>SUBSTITUIÇÃO DO TRANSFORMADOR DE CORRENTE DE 230kV, FASE "V", ASSOCIADO AO BAY DO BANCO DE CAPACITORES LDBC6-03.</t>
  </si>
  <si>
    <t>BC 230 kV 55,5 Mvar SAO LUIS II BC3 MA</t>
  </si>
  <si>
    <t>0007351/2021</t>
  </si>
  <si>
    <t>N-S-MALD-BC603-MC230-LDTC601</t>
  </si>
  <si>
    <t>SUBSTITUIÇÃO DO TRANSFORMADOR DE CORRENTE DE 230kV, FASE "B", ASSOCIADO AO BAY DO BANCO DE CAPACITORES LDBC6-03.SUBSTITUIÇÃO DO TRANSFORMADOR DE CORRENTE DE 230kV, FASE "B", ASSOCIADO AO BAY DO BANCO DE CAPACITORES LDBC6-03.</t>
  </si>
  <si>
    <t>0007355/2021</t>
  </si>
  <si>
    <t>SUBSTITUIÇÃO DO TRANSFORMADOR DE CORRENTE DE 230kV, FASE "A", ASSOCIADO AO BAY DO BANCO DE CAPACITORES LDBC6-03.</t>
  </si>
  <si>
    <t>0007358/2021</t>
  </si>
  <si>
    <t>SUBSTITUIÇÃO DO TRANSFORMADOR DE CORRENTE DE 230kV, FASE "V", ASSOCIADO AO BAY DO BANCO DE CAPACITORES LDBC6-01.</t>
  </si>
  <si>
    <t>BC 230 kV 50,8 Mvar SAO LUIS II BC1 MA</t>
  </si>
  <si>
    <t>0007372/2021</t>
  </si>
  <si>
    <t>N-S-MALD-BC601-MC230-LDTC601</t>
  </si>
  <si>
    <t>SUBSTITUIÇÃO DO TRANSFORMADOR DE CORRENTE DE 230kV, FASE "B", ASSOCIADO AO BAY DO BANCO DE CAPACITORES LDBC6-01..</t>
  </si>
  <si>
    <t>0007380/2021</t>
  </si>
  <si>
    <t>SUBSTITUIÇÃO DO TRANSFORMADOR DE CORRENTE DE 230kV, FASE "A", ASSOCIADO AO BAY DO BANCO DE CAPACITORES LDBC6-01..</t>
  </si>
  <si>
    <t>0007389/2021</t>
  </si>
  <si>
    <t>SUBSTITUIÇÃO DO TRANSFORMADOR DE CORRENTE DE 230kV, FASE "V", ASSOCIADO AO BAY DO BANCO DE AUTOTRANSFORMADORES LDAT7-03</t>
  </si>
  <si>
    <t>0007397/2021</t>
  </si>
  <si>
    <t>N-S-MALD-AT703-MC230-LDTC601</t>
  </si>
  <si>
    <t>SUBSTITUIÇÃO DO TRANSFORMADOR DE CORRENTE DE 230kV, FASE "B", ASSOCIADO AO BAY DO BANCO DE AUTOTRANSFORMADORES LDAT7-03</t>
  </si>
  <si>
    <t>0007408/2021</t>
  </si>
  <si>
    <t>SUBSTITUIÇÃO DO TRANSFORMADOR DE CORRENTE DE 230kV, FASE "A", ASSOCIADO AO BAY DO BANCO DE AUTOTRANSFORMADORES LDAT7-03</t>
  </si>
  <si>
    <t>0007413/2021</t>
  </si>
  <si>
    <t>SUBSTITUIÇÃO DO TRANSFORMADOR DE CORRENTE DE 230kV, FASE "V", ASSOCIADO AO DISJUNTOR LDDJ6-10 DO BAY DO BANCO DE AUTOTRANSFORMADORES LDAT7-02</t>
  </si>
  <si>
    <t>0007424/2021</t>
  </si>
  <si>
    <t>N-S-MALD-AT702-MC230-DJ610-LDTC601</t>
  </si>
  <si>
    <t>SUBSTITUIÇÃO DO TRANSFORMADOR DE CORRENTE DE 230kV, FASE "B", ASSOCIADO AO DISJUNTOR LDDJ6-10 DO BAY DO BANCO DE AUTOTRANSFORMADORES LDAT7-02</t>
  </si>
  <si>
    <t>0007463/2021</t>
  </si>
  <si>
    <t>SUBSTITUIÇÃO DO TRANSFORMADOR DE CORRENTE DE 230kV, FASE "A", ASSOCIADO AO DISJUNTOR LDDJ6-10 DO BAY DO BANCO DE AUTOTRANSFORMADORES LDAT7-02</t>
  </si>
  <si>
    <t>0007494/2021</t>
  </si>
  <si>
    <t>SUBSTITUIÇÃO DO TRANSFORMADOR DE CORRENTE DE 230kV, FASE "V", ASSOCIADO AO DISJUNTOR LDDJ6-08 DO BAY DO BANCO DE AUTOTRANSFORMADORES LDAT7-02</t>
  </si>
  <si>
    <t>0007516/2021</t>
  </si>
  <si>
    <t>N-S-MALD-AT702-MC230-DJ608-LDTC601</t>
  </si>
  <si>
    <t>SUBSTITUIÇÃO DO TRANSFORMADOR DE CORRENTE DE 230kV, FASE "B", ASSOCIADO AO DISJUNTOR LDDJ6-08 DO BAY DO BANCO DE AUTOTRANSFORMADORES LDAT7-02</t>
  </si>
  <si>
    <t>0007524/2021</t>
  </si>
  <si>
    <t>SUBSTITUIÇÃO DO TRANSFORMADOR DE CORRENTE DE 230kV, FASE "A", ASSOCIADO AO DISJUNTOR LDDJ6-08 DO BAY DO BANCO DE AUTOTRANSFORMADORES LDAT7-02.</t>
  </si>
  <si>
    <t>0007533/2021</t>
  </si>
  <si>
    <t>Instalação de Transformador de Potencial DCP 500 KV-Fase A. Funções do TP: Medição.</t>
  </si>
  <si>
    <t>0007539/2021</t>
  </si>
  <si>
    <t>Instalação de Transformador de Potencial DCP 500 KV-Fase C. Funções do TP: Medição.</t>
  </si>
  <si>
    <t>0007546/2021</t>
  </si>
  <si>
    <t>Substituição de Painel de Controle e Supervisão Duplex para atendimento do AT51</t>
  </si>
  <si>
    <t>0007570/2021</t>
  </si>
  <si>
    <t>Substituição das proteções Principal, Alternada e Falha de Disjuntor, referentes a LT 525 kV Curitiba - Bateias C-1, incluindo painéis e cabos de controle e potência associados (6.640 m).</t>
  </si>
  <si>
    <t>LT 525 kV CURITIBA /BATEIAS C-1 PR</t>
  </si>
  <si>
    <t>0007590/2021</t>
  </si>
  <si>
    <t>PP, PA - LT BTA C-1</t>
  </si>
  <si>
    <t>Substituição das proteções Principal, Alternada e Falha de Disjuntor, referentes a LT 525 kV Areia - Bateias C-1, incluindo painéis e cabos de controle e potência associados (6.640 m).</t>
  </si>
  <si>
    <t>LT 525 kV AREIA /BATEIAS C-1 PR</t>
  </si>
  <si>
    <t>0007597/2021</t>
  </si>
  <si>
    <t>SUBSTITUIÇÃO DO TRANSFORMADOR DE CORRENTE DE 500kV, FASE "A" DO BAY DO BANCO DE REATORES DE BARRA LDRE7-03.v</t>
  </si>
  <si>
    <t>RTB 500 kV 136 MVAr SAO LUIS II RT3 MA</t>
  </si>
  <si>
    <t>0007608/2021</t>
  </si>
  <si>
    <t>SUBSTITUIÇÃO DO TRANSFORMADOR DE CORRENTE DE 500kV, FASE "V" DO BAY DO BANCO DE AUTOTRANSFORMADORES LDAT7-03.</t>
  </si>
  <si>
    <t>MC 500 kV TR 500/230 kV SAO LUIS II TR3 MA</t>
  </si>
  <si>
    <t>0007627/2021</t>
  </si>
  <si>
    <t>N-S-MALD-AT703-MC500-LDTC701</t>
  </si>
  <si>
    <t>SUBSTITUIÇÃO DO TRANSFORMADOR DE CORRENTE DE 500kV, FASE "B" DO BAY DO BANCO DE AUTOTRANSFORMADORES LDAT7-03.</t>
  </si>
  <si>
    <t>0007640/2021</t>
  </si>
  <si>
    <t>S. OSORIO</t>
  </si>
  <si>
    <t>Substituição dos painéis da proteção Principal, Alternada, e dos cabos de controle e potência associados (3.870 m), referente a LT 230 kV S.Osório - Foz do Chopim C-1.</t>
  </si>
  <si>
    <t>LT 230 kV S.OSORIO / FOZ DO CHOPIM C-1 PR</t>
  </si>
  <si>
    <t>0007645/2021</t>
  </si>
  <si>
    <t>PP, PA - LT FOC C-1</t>
  </si>
  <si>
    <t>SUBSTITUIÇÃO DO TRANSFORMADOR DE CORRENTE DE 500kV, FASE "A" DO BAY DO BANCO DE AUTOTRANSFORMADORES LDAT7-03.</t>
  </si>
  <si>
    <t>0007647/2021</t>
  </si>
  <si>
    <t>Substituir 132 cadeias de isolador em 35 est 001/2;001/3;002/1;003/3;004/1;004/2;005/2;005/3;006/2;007/1;009/1;009/2;010/1;010/2;011/1;011/2;011/3;012/2;013/1;014/1;014/2;015/2;015/3;016/2;017/2;018/2;019/1;020/1;022/2;023/1;023/2;024/1;026/1;026/2;027/1-LT 230 kV P.AFONSO III /ITABAIANA C1-04S6</t>
  </si>
  <si>
    <t>LT 230 kV P.AFONSO III /ITABAIANA C-1 AL/SE</t>
  </si>
  <si>
    <t>0007657/2021</t>
  </si>
  <si>
    <t>04S6</t>
  </si>
  <si>
    <t>SUBSTITUIÇÃO DO TRANSFORMADOR DE CORRENTE DE 500kV, FASE "B" DO BAY DO BANCO DE AUTOTRANSFORMADORES LDAT7-02.</t>
  </si>
  <si>
    <t>0007663/2021</t>
  </si>
  <si>
    <t>N-S-MALD-AT702-MC500-LDTC701</t>
  </si>
  <si>
    <t>SUBSTITUIÇÃO DO TRANSFORMADOR DE CORRENTE DE 500kV, FASE "A" DO BAY DO BANCO DE AUTOTRANSFORMADORES LDAT7-02.</t>
  </si>
  <si>
    <t>0007667/2021</t>
  </si>
  <si>
    <t>SUBSTITUIÇÃO DO TRANSFORMADOR DE CORRENTE DE 500kV, FASE "V" DO BAY DO BANCO DE AUTOTRANSFORMADORES LDAT7-01.</t>
  </si>
  <si>
    <t>0007677/2021</t>
  </si>
  <si>
    <t>N-S-MALD-AT701-MC500-LDTC701</t>
  </si>
  <si>
    <t>SUBSTITUIÇÃO DO TRANSFORMADOR DE CORRENTE DE 500kV, FASE "B" DO BAY DO BANCO DE AUTOTRANSFORMADORES LDAT7-01.</t>
  </si>
  <si>
    <t>0007680/2021</t>
  </si>
  <si>
    <t>SUBSTITUIÇÃO DO TRANSFORMADOR DE CORRENTE DE 500kV, FASE "A" DO BAY DO BANCO DE AUTOTRANSFORMADORES LDAT7-01.</t>
  </si>
  <si>
    <t>0007686/2021</t>
  </si>
  <si>
    <t>SUBSTITUIÇÃO DO TRANSFORMADOR DE CORRENTE DE 230kV, FASE "V" DO BAY DA ENTRADA DE LINHA DE 230kV SÃO LUIS II - VALE.</t>
  </si>
  <si>
    <t>MG 500 kV SAO LUIS II MG1 MA - N-S-MALD-CVLDLI601-ELLD</t>
  </si>
  <si>
    <t>0007695/2021</t>
  </si>
  <si>
    <t>N-S-MALD-CVLDLI601-ELLD-LDTC601</t>
  </si>
  <si>
    <t>SUBSTITUIÇÃO DO TRANSFORMADOR DE CORRENTE DE 230kV, FASE "B" DO BAY DA ENTRADA DE LINHA DE 230kV SÃO LUIS II - VALE.</t>
  </si>
  <si>
    <t>0007696/2021</t>
  </si>
  <si>
    <t>SUBSTITUIÇÃO DO TRANSFORMADOR DE CORRENTE DE 230kV, FASE "A" DO BAY DA ENTRADA DE LINHA DE 230kV SÃO LUIS II - VALE.</t>
  </si>
  <si>
    <t>0007700/2021</t>
  </si>
  <si>
    <t>Substituição do Transformador de Corrente 500kV do MBDJ7-02 fase V - Vão DY2</t>
  </si>
  <si>
    <t>0007713/2021</t>
  </si>
  <si>
    <t>TC do MBDJ7-02 fase V - Vão DY2</t>
  </si>
  <si>
    <t>Substituição do Transformador de Corrente 500kV do MBDJ7-02 fase B - Vão DY2</t>
  </si>
  <si>
    <t>0007717/2021</t>
  </si>
  <si>
    <t>TC do MBDJ7-02 fase B - Vão DY2</t>
  </si>
  <si>
    <t>Substituição de Para Raios - 01 UNIDADE PARA A LINHA SUSMLT6-05 - FASE B (Unidade Geradora 05).</t>
  </si>
  <si>
    <t>0007721/2021</t>
  </si>
  <si>
    <t>N-S-ROSM-NFT-UHSMLT605-SMPR601B</t>
  </si>
  <si>
    <t>Substituição de Para Raios - 01 UNIDADE PARA A LINHA SUSMLT6-04 - FASE V (Unidade Geradora 04).</t>
  </si>
  <si>
    <t>0007723/2021</t>
  </si>
  <si>
    <t>N-S-ROSM-NFT-UHSMLT604-SMPR601V</t>
  </si>
  <si>
    <t>Substituição do Transformador de Corrente 500kV do MBDJ7-02 fase A - Vão DY2</t>
  </si>
  <si>
    <t>0007743/2021</t>
  </si>
  <si>
    <t>TC do MBDJ7-02 fase A - Vão DY2</t>
  </si>
  <si>
    <t>Substituição de Para Raios - 01 UNIDADE PARA A LINHA SUSMLT6-04 - FASE B (Unidade Geradora 04).</t>
  </si>
  <si>
    <t>0007751/2021</t>
  </si>
  <si>
    <t>N-S-ROSM-NFT-UHSMLT604-SMPR601B</t>
  </si>
  <si>
    <t>Substituição do Transformador de Corrente 500kV do MBDJ7-01 fase V - Vão DX</t>
  </si>
  <si>
    <t>0007755/2021</t>
  </si>
  <si>
    <t>TC do MBDJ7-01 fase V - Vão DX</t>
  </si>
  <si>
    <t>Substituição do Transformador de Corrente 500kV do MBDJ7-01 Fase B - Vão DX</t>
  </si>
  <si>
    <t>0007757/2021</t>
  </si>
  <si>
    <t>TC do MBDJ7-01 Fase B - Vão DX</t>
  </si>
  <si>
    <t>Substituição de Para Raios - 01 UNIDADE PARA A LINHA SUSMLT6-03 - FASE V (Unidade Geradora 03).</t>
  </si>
  <si>
    <t>0007759/2021</t>
  </si>
  <si>
    <t>N-S-ROSM-NFT-UHSMLT603-SMPR601V</t>
  </si>
  <si>
    <t>Substituição do Transformador de Corrente 500kV do MBDJ7-01 Fase A - Vão DX</t>
  </si>
  <si>
    <t>0007760/2021</t>
  </si>
  <si>
    <t>TC do MBDJ7-01 Fase A - Vão DX</t>
  </si>
  <si>
    <t>0007763/2021</t>
  </si>
  <si>
    <t>TC do MBRE7-01 Fase V - Vão DXR</t>
  </si>
  <si>
    <t>Substituição de Para Raios - 01 UNIDADE PARA A LINHA SUSMLT6-03 - FASE B (Unidade Geradora 03).</t>
  </si>
  <si>
    <t>0007764/2021</t>
  </si>
  <si>
    <t>N-S-ROSM-NFT-UHSMLT603-SMPR601B</t>
  </si>
  <si>
    <t>Substituição do Transformador de Corrente 500kV do MBRE7-01 Fase B - Vão DXR</t>
  </si>
  <si>
    <t>0007766/2021</t>
  </si>
  <si>
    <t>TC do MBRE7-01 Fase B - Vão DXR</t>
  </si>
  <si>
    <t>Substituição do Transformador de Corrente 500kV do MBRE7-01 Fase A - Vão DXR</t>
  </si>
  <si>
    <t>0007767/2021</t>
  </si>
  <si>
    <t>TC do MBRE7-01 Fase A - Vão DXR</t>
  </si>
  <si>
    <t>Substituição de Para Raios - 01 UNIDADE PARA A LINHA SUSMLT6-02 - FASE V (Unidade Geradora 02).</t>
  </si>
  <si>
    <t>0007770/2021</t>
  </si>
  <si>
    <t>N-S-ROSM-NFT-UHSMLT602-SMPR601V</t>
  </si>
  <si>
    <t>Substituição de Para Raios - 01 UNIDADE PARA A LINHA SUSMLT6-02 - FASE B (Unidade Geradora 02).</t>
  </si>
  <si>
    <t>0007772/2021</t>
  </si>
  <si>
    <t>N-S-ROSM-NFT-UHSMLT602-SMPR601B</t>
  </si>
  <si>
    <t>Substituição de Para Raios - 01 UNIDADE PARA A LINHA SUSMLT6-01 - FASE V (Unidade Geradora 01).</t>
  </si>
  <si>
    <t>0007776/2021</t>
  </si>
  <si>
    <t>N-S-ROSM-NFT-UHSMLT601-SMPR601V</t>
  </si>
  <si>
    <t>Substituição de Para Raios - 01 UNIDADE PARA A LINHA SUSMLT6-01 - FASE B (Unidade Geradora 01).</t>
  </si>
  <si>
    <t>0007780/2021</t>
  </si>
  <si>
    <t>N-S-ROSM-NFT-UHSMLT601-SMPR601B</t>
  </si>
  <si>
    <t>Substituição de TC - 01 UNIDADE PARA A LINHA SUSMLT6-05 - FASE V (Unidade Geradora 05).</t>
  </si>
  <si>
    <t>0008029/2021</t>
  </si>
  <si>
    <t>N-S-ROSM-NFT-UHSMLT605-SMTC601V</t>
  </si>
  <si>
    <t>Substituição de TC - 01 UNIDADE PARA A LINHA SUSMLT6-05 - FASE B (Unidade Geradora 05).</t>
  </si>
  <si>
    <t>0008033/2021</t>
  </si>
  <si>
    <t>N-S-ROSM-NFT-UHSMLT605-SMTC601B</t>
  </si>
  <si>
    <t>Substituição de TC - 01 UNIDADE PARA A LINHA SUSMLT6-04 - FASE V (Unidade Geradora 04).</t>
  </si>
  <si>
    <t>0008036/2021</t>
  </si>
  <si>
    <t>N-S-ROSM-NFT-UHSMLT604-SMTC601V</t>
  </si>
  <si>
    <t>Substituição de TC - 01 UNIDADE PARA A LINHA SUSMLT6-04 - FASE B (Unidade Geradora 04).</t>
  </si>
  <si>
    <t>0008023/2021</t>
  </si>
  <si>
    <t>N-S-ROSM-NFT-UHSMLT604-SMTC601B</t>
  </si>
  <si>
    <t>Substituição de TC - 01 UNIDADE PARA A LINHA SUSMLT6-03 - FASE V (Unidade Geradora 03).</t>
  </si>
  <si>
    <t>0008040/2021</t>
  </si>
  <si>
    <t>N-S-ROSM-NFT-UHSMLT603-SMTC601V</t>
  </si>
  <si>
    <t>Substituição de Para Raios - 01 UNIDADE PARA A LINHA SUSMLT6-05 - FASE A (Unidade Geradora 05).</t>
  </si>
  <si>
    <t>0007797/2021</t>
  </si>
  <si>
    <t>N-S-ROSM-NFT-UHSMLT605-SMPR601A</t>
  </si>
  <si>
    <t>Substituição de TC - 01 UNIDADE PARA A LINHA SUSMLT6-03 - FASE B (Unidade Geradora 03).</t>
  </si>
  <si>
    <t>0008042/2021</t>
  </si>
  <si>
    <t>N-S-ROSM-NFT-UHSMLT603-SMTC601B</t>
  </si>
  <si>
    <t>Substituição de TC - 01 UNIDADE PARA A LINHA SUSMLT6-05 - FASE A (Unidade Geradora 05).</t>
  </si>
  <si>
    <t>0007798/2021</t>
  </si>
  <si>
    <t>N-S-ROSM-NFT-UHSMLT605-SMTC601A</t>
  </si>
  <si>
    <t>Substituição de TC - 01 UNIDADE PARA A LINHA SUSMLT6-04 - FASE A (Unidade Geradora 04).</t>
  </si>
  <si>
    <t>0007799/2021</t>
  </si>
  <si>
    <t>N-S-ROSM-NFT-UHSMLT604-SMTC601A</t>
  </si>
  <si>
    <t>Substituição de TC - 01 UNIDADE PARA A LINHA SUSMLT6-02 - FASE V (Unidade Geradora 02).</t>
  </si>
  <si>
    <t>0008044/2021</t>
  </si>
  <si>
    <t>N-S-ROSM-NFT-UHSMLT602-SMTC601V</t>
  </si>
  <si>
    <t>Substituição de TC - 01 UNIDADE PARA A LINHA SUSMLT6-03 - FASE A (Unidade Geradora 03).</t>
  </si>
  <si>
    <t>0007800/2021</t>
  </si>
  <si>
    <t>N-S-ROSM-NFT-UHSMLT603-SMTC601A</t>
  </si>
  <si>
    <t>Substituição de TC - 01 UNIDADE PARA A LINHA SUSMLT6-02 - FASE A (Unidade Geradora 02).</t>
  </si>
  <si>
    <t>0007801/2021</t>
  </si>
  <si>
    <t>N-S-ROSM-NFT-UHSMLT602-SMTC601A</t>
  </si>
  <si>
    <t>Substituição de TC - 01 UNIDADE PARA A LINHA SUSMLT6-02 - FASE B (Unidade Geradora 02).</t>
  </si>
  <si>
    <t>0008048/2021</t>
  </si>
  <si>
    <t>N-S-ROSM-NFT-UHSMLT602-SMTC601B</t>
  </si>
  <si>
    <t>Substituição de TC -01 UNIDADE PARA A LINHA SUSMLT6-01 - FASE A (Unidade Geradora 01).</t>
  </si>
  <si>
    <t>0007802/2021</t>
  </si>
  <si>
    <t>N-S-ROSM-NFT-UHSMLT601-SMTC601A</t>
  </si>
  <si>
    <t>Substituição de TC - 01 UNIDADE PARA A LINHA SUSMLT6-01 - FASE V (Unidade Geradora 01).</t>
  </si>
  <si>
    <t>0008050/2021</t>
  </si>
  <si>
    <t>N-S-ROSM-NFT-UHSMLT601-SMTC601V</t>
  </si>
  <si>
    <t>Substituição do sistema de proteção e controle do transformador RBTF6-02.</t>
  </si>
  <si>
    <t>0007805/2021</t>
  </si>
  <si>
    <t>Substituição de TC - 01 UNIDADE PARA A LINHA SUSMLT6-01 - FASE B (Unidade Geradora 01).</t>
  </si>
  <si>
    <t>0008052/2021</t>
  </si>
  <si>
    <t>N-S-ROSM-NFT-UHSMLT601-SMTC601B</t>
  </si>
  <si>
    <t>Substituição de um (01) disjuntor 230kV JPDJ6-03, associado ao bay do transformador de 230 KV,  JPTF6-01 da Subestação Ji-Paraná - N-S-ROJP-TF601-MC230-JPDJ603</t>
  </si>
  <si>
    <t>TR 230/69 kV JI-PARANA TF1 RO</t>
  </si>
  <si>
    <t>0008372/2021</t>
  </si>
  <si>
    <t>N-S-ROJP-TF601-MC230-JPDJ603</t>
  </si>
  <si>
    <t>Substituição de 01 (um) disjuntor 230kV ,JPDJ6-06, associado ao bay do transformador de 230 KV,  JPTF6-02 da Subestação Ji-Paraná - N-S-ROJP-TF602-MC230-JPDJ606</t>
  </si>
  <si>
    <t>TR 230/69 kV JI-PARANA TF2 RO</t>
  </si>
  <si>
    <t>0008376/2021</t>
  </si>
  <si>
    <t>N-S-ROJP-TF602-MC230-JPDJ606</t>
  </si>
  <si>
    <t>Substituição de 01 (um) disjuntor 230kV JPDJ6-02, associado ao bay da Linha de Transmissão  JRJP-LT6-01 da Subestação Ji-Paraná - N-S-ROJP-JRJPLT601-ELJP-JPDJ602</t>
  </si>
  <si>
    <t>0008625/2021</t>
  </si>
  <si>
    <t>N-S-ROJP-JRJPLT601-ELJP-JPDJ602</t>
  </si>
  <si>
    <t>Substituição de 01 (um) disjuntor 230kV JPDJ6-01 Reator, associado ao bay da Linha de Transmissão  JRJP-LT6-01 da Subestação Ji-Paraná - N-S-ROJP-RE601-MC230-JPDJ601</t>
  </si>
  <si>
    <t>RT 230 kV 20 Mvar JI-PARANA 1 RO</t>
  </si>
  <si>
    <t>0008637/2021</t>
  </si>
  <si>
    <t>N-S-ROJP-BC601-MC230-JPDJ610</t>
  </si>
  <si>
    <t>Substituição de 01 (um) disjuntor 230kV  JPDJ6-10, associado ao bay do Banco de Capacitores JPBC6-01 da Subestação Ji-Paraná - N-S-ROJP-BC601-MC230-JPDJ610</t>
  </si>
  <si>
    <t>BC 230 kV 18,5 Mvar JI-PARANA BC1 RO</t>
  </si>
  <si>
    <t>0008393/2021</t>
  </si>
  <si>
    <t>Substituição transformador de corrente 230kV Bay IZPF-LT601 fase B</t>
  </si>
  <si>
    <t>LT 230 kV IMPERATRIZ /PORTO FRANCO C-1 M</t>
  </si>
  <si>
    <t>0007820/2021</t>
  </si>
  <si>
    <t>N-S-MAPF-IZPFLT601-ELPF-PFTC601 (B)</t>
  </si>
  <si>
    <t>Substituição transformador de corrente 230kV Bay IZPF-LT601 fase V</t>
  </si>
  <si>
    <t>0007821/2021</t>
  </si>
  <si>
    <t>N-S-MAPF-IZPFLT601-ELPF-PFTC601 (V)</t>
  </si>
  <si>
    <t>Substituição transformador de corrente 230kV Módulo de Conexão 230kV PFTF6-01 fase A</t>
  </si>
  <si>
    <t>TR 230/69 kV PORTO FRANCO TF1 MA</t>
  </si>
  <si>
    <t>0007822/2021</t>
  </si>
  <si>
    <t>N-S-MAPF-TF601-MC230-PFTC601 (A)</t>
  </si>
  <si>
    <t>Substituição transformador de corrente 230kV Módulo de Conexão 230kV PFTF6-01 fase B</t>
  </si>
  <si>
    <t>0007824/2021</t>
  </si>
  <si>
    <t>N-S-MAPF-TF601-MC230-PFTC601 (B)</t>
  </si>
  <si>
    <t>Substituição transformador de corrente 230kV Módulo de Conexão 230kV PFTF6-02 fase A</t>
  </si>
  <si>
    <t>TR 230/138 kV PORTO FRANCO TR2 MA</t>
  </si>
  <si>
    <t>0007826/2021</t>
  </si>
  <si>
    <t>N-S-MAPF-TF602-MC230-PFTC601 (A)</t>
  </si>
  <si>
    <t>Substituição transformador de corrente 230kV Módulo de Conexão 230kV PFTF6-02 fase B</t>
  </si>
  <si>
    <t>0007828/2021</t>
  </si>
  <si>
    <t>N-S-MAPF-TF602-MC230-PFTC601 (B)</t>
  </si>
  <si>
    <t>SUBSTITUIÇÃO DE TRANSFORMADOR DE CORRENTE FASE 2B ASSOCIADO AO BAY DE INTERLIGAÇÃO 1</t>
  </si>
  <si>
    <t>MG 230 kV EXTREMOZ II MG1 RN</t>
  </si>
  <si>
    <t>0007830/2021</t>
  </si>
  <si>
    <t>N-S-MAIZ-MG701-IB500IB1-IZTC702 (2B)</t>
  </si>
  <si>
    <t>SUBSTITUIÇÃO DO TRANSFORMADOR DE CORRENTE DE 230kV, FASE "V" DO VÃO DE TRANSFERENCIA DE 230kV ENTRE BARRAS LDBR6-01 E LDBR6-02.</t>
  </si>
  <si>
    <t>0007832/2021</t>
  </si>
  <si>
    <t>REVITALIZAÇÃO DE DISJUNTOR VNDJ6-26. CORRIGIR FALHAS NO ACIONAMENTO DOS DISJUNTORES, COM A SUBSTITUIÇÃO DE PEÇAS (GATILHOS, AMORTECEDORES, MICROSWITCH, PROTEÇÕES DAS MOLAS DE ABERTURA E FECHAMENTO, DENTRE OUTROS) E REALIZAÇÃO DOS TESTES NECESSÁRIOS PARA COMPATIBILIZAÇÃO DOS POLOS AOS COMANDOS.</t>
  </si>
  <si>
    <t>CE 100/-50 Mvar VILHENA CE1 RO</t>
  </si>
  <si>
    <t>0007854/2021</t>
  </si>
  <si>
    <t>N-S-ROVN-CE601-MC230-VNDJ626</t>
  </si>
  <si>
    <t>SUBSTITUIÇÃO DO TRANSFORMADOR DE CORRENTE DE 500kV, (BANCO 02) FASE "B" DO VÃO CENTRAL "B" DE 500kV, ASSOCIADO AO DISJUNTOR IZDJ7-04.</t>
  </si>
  <si>
    <t>0007862/2021</t>
  </si>
  <si>
    <t>N-S-MAIZ-MG701-IB500IB2-IZTC702</t>
  </si>
  <si>
    <t>Implantação de monitoramento on-line de buchas do SPRE6-02</t>
  </si>
  <si>
    <t>0007886/2021</t>
  </si>
  <si>
    <t>REVITALIZAÇÃO DE DISJUNTOR VNDJ6-17. CORRIGIR FALHAS NO ACIONAMENTO DOS DISJUNTORES, COM A SUBSTITUIÇÃO DE PEÇAS (GATILHOS, AMORTECEDORES, MICROSWITCH, PROTEÇÕES DAS MOLAS DE ABERTURA E FECHAMENTO, DENTRE OUTROS) E REALIZAÇÃO DOS TESTES NECESSÁRIOS PARA COMPATIBILIZAÇÃO DOS POLOS AOS COMANDOS.</t>
  </si>
  <si>
    <t>LT 230 kV PIMENTA BUENO /VILHENA C-3 RO</t>
  </si>
  <si>
    <t>0007901/2021</t>
  </si>
  <si>
    <t>N-S-ROVN-PBVNLT603-ELVN-VNDJ617</t>
  </si>
  <si>
    <t>Implantação de monitoramento on-line de buchas do RBTF6-01</t>
  </si>
  <si>
    <t>TR 230/69 kV RIO BRANCO I TF1 AC</t>
  </si>
  <si>
    <t>0007911/2021</t>
  </si>
  <si>
    <t>REVITALIZAÇÃO DE DISJUNTOR PBDJ6-15. CORRIGIR FALHAS NO ACIONAMENTO DOS DISJUNTORES, COM A SUBSTITUIÇÃO DE PEÇAS (GATILHOS, AMORTECEDORES, MICROSWITCH, PROTEÇÕES DAS MOLAS DE ABERTURA E FECHAMENTO, DENTRE OUTROS) E REALIZAÇÃO DOS TESTES NECESSÁRIOS PARA COMPATIBILIZAÇÃO DOS POLOS AOS COMANDOS.</t>
  </si>
  <si>
    <t>0007913/2021</t>
  </si>
  <si>
    <t>N-S-ROPB-PBVNLT603-ELPB-PBDJ615</t>
  </si>
  <si>
    <t>REVITALIZAÇÃO DE DISJUNTOR PBDJ6-18. CORRIGIR FALHAS NO ACIONAMENTO DOS DISJUNTORES, COM A SUBSTITUIÇÃO DE PEÇAS (GATILHOS, AMORTECEDORES, MICROSWITCH, PROTEÇÕES DAS MOLAS DE ABERTURA E FECHAMENTO, DENTRE OUTROS) E REALIZAÇÃO DOS TESTES NECESSÁRIOS PARA COMPATIBILIZAÇÃO DOS POLOS AOS COMANDOS.</t>
  </si>
  <si>
    <t>BC 230 kV 18 Mvar PIMENTA BUENO BC3 RO</t>
  </si>
  <si>
    <t>0007930/2021</t>
  </si>
  <si>
    <t>N-S-ROPB-BC603-MC230-PBDJ618</t>
  </si>
  <si>
    <t>Instalação de rede de comunicação para monitoramento nos transformadores e reatores de potência conectados ao SIN da subestação SINOP, contemplando switches, fibras ópticas, painéis, entre outros.</t>
  </si>
  <si>
    <t>0007937/2021</t>
  </si>
  <si>
    <t>REVITALIZAÇÃO DE DISJUNTOR PBDJ6-17. CORRIGIR FALHAS NO ACIONAMENTO DOS DISJUNTORES, COM A SUBSTITUIÇÃO DE PEÇAS (GATILHOS, AMORTECEDORES, MICROSWITCH, PROTEÇÕES DAS MOLAS DE ABERTURA E FECHAMENTO, DENTRE OUTROS) E REALIZAÇÃO DOS TESTES NECESSÁRIOS PARA COMPATIBILIZAÇÃO DOS POLOS AOS COMANDOS.</t>
  </si>
  <si>
    <t>BC 230 kV 18,5 Mvar PIMENTA BUENO BC2 RO</t>
  </si>
  <si>
    <t>0007941/2021</t>
  </si>
  <si>
    <t>N-S-ROPB-BC602-MC230-PBDJ617</t>
  </si>
  <si>
    <t>Implantação de monitoramento on-line de buchas do VNRE6-07</t>
  </si>
  <si>
    <t>0007942/2021</t>
  </si>
  <si>
    <t>REVITALIZAÇÃO DO DISJUNTOR PBDJ6-16. CORRIGIR FALHAS NO ACIONAMENTO DOS DISJUNTORES, COM A SUBSTITUIÇÃO DE PEÇAS (GATILHOS, AMORTECEDORES, MICROSWITCH, PROTEÇÕES DAS MOLAS DE ABERTURA E FECHAMENTO, DENTRE OUTROS) E REALIZAÇÃO DOS TESTES NECESSÁRIOS PARA COMPATIBILIZAÇÃO DOS POLOS AOS COMANDOS.</t>
  </si>
  <si>
    <t>BC 230 kV 18,5 Mvar PIMENTA BUENO BC1 RO</t>
  </si>
  <si>
    <t>0007944/2021</t>
  </si>
  <si>
    <t>N-S-ROPB-BC601-MC230-PBDJ616</t>
  </si>
  <si>
    <t>Substituição da Chave Seccionadora RUSR6 02, 242 kV, 1250 Amperes</t>
  </si>
  <si>
    <t>RT 230 kV 30 Mvar RUROPOLIS RT2 PA</t>
  </si>
  <si>
    <t>0007946/2021</t>
  </si>
  <si>
    <t>RUSR6-02</t>
  </si>
  <si>
    <t>Implantação de monitoramento on-line de buchas do NMTF6-02</t>
  </si>
  <si>
    <t>TR 230/69 kV NOVA MUTUM TF2 MT</t>
  </si>
  <si>
    <t>0007954/2021</t>
  </si>
  <si>
    <t>Substituição da proteção e controle diferencial de barras da cadeia principal da barra JPBR6-01, contemplando uma unidade central com capacidade de no mínimo nove vãos e seis unidades de bay (bays unit).</t>
  </si>
  <si>
    <t>0007957/2021</t>
  </si>
  <si>
    <t>Implantação de monitoramento on-line de buchas do NMTF6-03</t>
  </si>
  <si>
    <t>0007962/2021</t>
  </si>
  <si>
    <t>Implantação de monitoramento on-line de buchas do VNRE6-06</t>
  </si>
  <si>
    <t>0007969/2021</t>
  </si>
  <si>
    <t>Implantação de monitoramento on-line de buchas do NMRE6-01</t>
  </si>
  <si>
    <t>LT 230 kV NOBRES /NOVA MUTUM C-1</t>
  </si>
  <si>
    <t>0007971/2021</t>
  </si>
  <si>
    <t>Implantação de monitoramento on-line de buchas do VNRE6-02</t>
  </si>
  <si>
    <t>LT 230 kV PIMENTA BUENO /VILHENA C-1 RO</t>
  </si>
  <si>
    <t>0007975/2021</t>
  </si>
  <si>
    <t>Instalação de rede de comunicação para monitoramento nos transformadores e reatores de potência conectados ao SIN da subestação Nova Mutum, contemplando switches, fibras ópticas, painéis, entre outros.</t>
  </si>
  <si>
    <t>0007978/2021</t>
  </si>
  <si>
    <t>Implantação de monitoramento on-line de buchas do VNTF6-03</t>
  </si>
  <si>
    <t>TR 230/69 kV VILHENA TR1 RO</t>
  </si>
  <si>
    <t>0007989/2021</t>
  </si>
  <si>
    <t>Implantação de monitoramento on-line de buchas do JURE6-04.</t>
  </si>
  <si>
    <t>0007990/2021</t>
  </si>
  <si>
    <t>Implantação de monitoramento on-line de buchas do VNTF6-02</t>
  </si>
  <si>
    <t>0007992/2021</t>
  </si>
  <si>
    <t>Instalação de rede de comunicação para monitoramento nos transformadores e reatores de potência conectados ao SIN da subestação JAURU, contemplando switches, fibras ópticas, painéis, entre outros.</t>
  </si>
  <si>
    <t>0007996/2021</t>
  </si>
  <si>
    <t>Instalação de rede de comunicação para monitoramento nos transformadores e reatores de potência conectados ao SIN da subestação VILHENA, contemplando switches, fibras ópticas, painéis, entre outros.</t>
  </si>
  <si>
    <t>MG 230 kV VILHENA MG1 RO</t>
  </si>
  <si>
    <t>0007999/2021</t>
  </si>
  <si>
    <t>Implantação de monitoramento on-line de buchas do CXTF6-01</t>
  </si>
  <si>
    <t>CE 70/-50 Mvar COXIPO CE1 MT</t>
  </si>
  <si>
    <t>0008067/2021</t>
  </si>
  <si>
    <t>Instalação de rede de comunicação para monitoramento nos transformadores e reatores de potência conectados ao SIN da subestação COXIPO, contemplando switches, fibras ópticas, painéis, entre outros.</t>
  </si>
  <si>
    <t>0008072/2021</t>
  </si>
  <si>
    <t>REVITALIZAÇÃO DO DISJUNTOR AQDJ6-12. CORRIGIR FALHAS NO ACIONAMENTO DOS DISJUNTORES, COM A SUBSTITUIÇÃO DE PEÇAS (GATILHOS, AMORTECEDORES, MICROSWITCH, PROTEÇÕES DAS MOLAS DE ABERTURA E FECHAMENTO, DENTRE OUTROS) E REALIZAÇÃO DOS TESTES NECESSÁRIOS PARA COMPATIBILIZAÇÃO DOS POLOS AOS COMANDOS.</t>
  </si>
  <si>
    <t>0008077/2021</t>
  </si>
  <si>
    <t>N-S-ROJP-AQJPLT603-ELJP-JPDJ612</t>
  </si>
  <si>
    <t>REVITALIZAÇÃO DO DISJUNTOR AQDJ6-10. CORRIGIR FALHAS NO ACIONAMENTO DOS DISJUNTORES, COM A SUBSTITUIÇÃO DE PEÇAS (GATILHOS, AMORTECEDORES, MICROSWITCH, PROTEÇÕES DAS MOLAS DE ABERTURA E FECHAMENTO, DENTRE OUTROS) E REALIZAÇÃO DOS TESTES NECESSÁRIOS PARA COMPATIBILIZAÇÃO DOS POLOS AOS COMANDOS.</t>
  </si>
  <si>
    <t>RTL 230 kV 20 Mvar ARIQUEMES RT3 RO</t>
  </si>
  <si>
    <t>0008083/2021</t>
  </si>
  <si>
    <t>N-S-ROAQ-RE603-MC230-AQDJ610</t>
  </si>
  <si>
    <t>Substituição de 08 Painéis CC dos serviços auxiliares da SE ANGELIM e 4057 m de cabos de controle e potência.</t>
  </si>
  <si>
    <t>0008086/2021</t>
  </si>
  <si>
    <t>11420153</t>
  </si>
  <si>
    <t>Implantação de monitoramento on-line de buchas do NBAT6-01</t>
  </si>
  <si>
    <t>TR 230/138 kV NOBRES 100 MVA TR1 MT</t>
  </si>
  <si>
    <t>0008091/2021</t>
  </si>
  <si>
    <t>REVITALIZAÇÃO DO DISJUNTOR AQDJ6-11. CORRIGIR FALHAS NO ACIONAMENTO DOS DISJUNTORES, COM A SUBSTITUIÇÃO DE PEÇAS (GATILHOS, AMORTECEDORES, MICROSWITCH, PROTEÇÕES DAS MOLAS DE ABERTURA E FECHAMENTO, DENTRE OUTROS) E REALIZAÇÃO DOS TESTES NECESSÁRIOS PARA COMPATIBILIZAÇÃO DOS POLOS AOS COMANDOS.</t>
  </si>
  <si>
    <t>0008101/2021</t>
  </si>
  <si>
    <t>N-S-ROAQ-SMAQLT603-ELAQ-AQDJ611</t>
  </si>
  <si>
    <t>Substituição de 12 Painéis CA dos serviços auxiliares da SE ANGELIM e 6086 m de cabos de controle e potência.</t>
  </si>
  <si>
    <t>0008105/2021</t>
  </si>
  <si>
    <t>11420154</t>
  </si>
  <si>
    <t>REVITALIZAÇÃO DO DISJUNTOR SMDJ6-06. CORRIGIR FALHAS NO ACIONAMENTO DOS DISJUNTORES, COM A SUBSTITUIÇÃO DE PEÇAS (GATILHOS, AMORTECEDORES, MICROSWITCH, PROTEÇÕES DAS MOLAS DE ABERTURA E FECHAMENTO, DENTRE OUTROS) E REALIZAÇÃO DOS TESTES NECESSÁRIOS PARA COMPATIBILIZAÇÃO DOS POLOS AOS COMANDOS.</t>
  </si>
  <si>
    <t>0008108/2021</t>
  </si>
  <si>
    <t>N-S-ROSM-SMAQLT603-ELSM-SMDJ606</t>
  </si>
  <si>
    <t>REVITALIZAÇÃO DO DISJUNTOR SMDJ6-11. CORRIGIR FALHAS NO ACIONAMENTO DOS DISJUNTORES, COM A SUBSTITUIÇÃO DE PEÇAS (GATILHOS, AMORTECEDORES, MICROSWITCH, PROTEÇÕES DAS MOLAS DE ABERTURA E FECHAMENTO, DENTRE OUTROS) E REALIZAÇÃO DOS TESTES NECESSÁRIOS PARA COMPATIBILIZAÇÃO DOS POLOS AOS COMANDOS.</t>
  </si>
  <si>
    <t>0008116/2021</t>
  </si>
  <si>
    <t>N-S-ROSM-SMPVLT603-ELSM-SMDJ611</t>
  </si>
  <si>
    <t>REVITALIZAÇÃO DO DISJUNTOR PVDJ6-08. CORRIGIR FALHAS NO ACIONAMENTO DOS DISJUNTORES, COM A SUBSTITUIÇÃO DE PEÇAS (GATILHOS, AMORTECEDORES, MICROSWITCH, PROTEÇÕES DAS MOLAS DE ABERTURA E FECHAMENTO, DENTRE OUTROS) E REALIZAÇÃO DOS TESTES NECESSÁRIOS PARA COMPATIBILIZAÇÃO DOS POLOS AOS COMANDOS.</t>
  </si>
  <si>
    <t>0008121/2021</t>
  </si>
  <si>
    <t>N-S-ROPV-SMPVLT603-ELPV-PVDJ608</t>
  </si>
  <si>
    <t>SUBSTITUIÇÃO DO TRANSFORMADOR DE CORRENTE DE 500kV, FASE "V" DO BAY DO BANCO DE REATORES DE LINHA IZRE7-02.</t>
  </si>
  <si>
    <t>IZRE7-02</t>
  </si>
  <si>
    <t>0008143/2021</t>
  </si>
  <si>
    <t>N-S-MAIZ-IZPDLT701-MCIZRE702-IZTC701</t>
  </si>
  <si>
    <t>SUBSTITUIÇÃO DO TRANSFORMADOR DE CORRENTE DE 500kV, FASE "A" DO BAY DO BANCO DE REATORES DE LINHA IZRE7-02.</t>
  </si>
  <si>
    <t>0008151/2021</t>
  </si>
  <si>
    <t>Implantação de monitoramento on-line de buchas do NBAT6-02</t>
  </si>
  <si>
    <t>TR 230/138 kV NOBRES 100 MVA TR2 MT</t>
  </si>
  <si>
    <t>0008196/2021</t>
  </si>
  <si>
    <t>Implantação de monitoramento on-line de buchas do PBRE6-04</t>
  </si>
  <si>
    <t>0008198/2021</t>
  </si>
  <si>
    <t>Instalação de rede de comunicação para monitoramento nos transformadores e reatores de potência conectados ao SIN da subestação NOBRES, contemplando switches, fibras ópticas, painéis, entre outros.</t>
  </si>
  <si>
    <t>MG NOBRES / CCO-2001-058 - RB</t>
  </si>
  <si>
    <t>0008200/2021</t>
  </si>
  <si>
    <t>Implantação de monitoramento on-line de buchas do PBRE6-02</t>
  </si>
  <si>
    <t>RT 230 kV 20 Mvar PIMENTA BUENO RT2 RO</t>
  </si>
  <si>
    <t>0008201/2021</t>
  </si>
  <si>
    <t>Implantação de monitoramento on-line de buchas do RPAT6-01</t>
  </si>
  <si>
    <t>TR 230/138 kV RONDONOPOLIS TR1 MT</t>
  </si>
  <si>
    <t>0008202/2021</t>
  </si>
  <si>
    <t>Implantação de monitoramento on-line de buchas do PBRE6-01</t>
  </si>
  <si>
    <t>LT 230 kV JI-PARANA /PIMENTA BUENO C-1 RO</t>
  </si>
  <si>
    <t>0008205/2021</t>
  </si>
  <si>
    <t>Implantação de monitoramento on-line de buchas do RPRE6-02</t>
  </si>
  <si>
    <t>LT 230 kV BARRA PEIXE /RONDONOPOLIS C-1</t>
  </si>
  <si>
    <t>0008207/2021</t>
  </si>
  <si>
    <t>Implantação de monitoramento on-line de buchas do PBAT6-02</t>
  </si>
  <si>
    <t>TR 230/138 kV PIMENTA BUENO ATR2 RO</t>
  </si>
  <si>
    <t>0008211/2021</t>
  </si>
  <si>
    <t>Implantação de monitoramento on-line de buchas do RPRE6-03</t>
  </si>
  <si>
    <t>RT 230 kV 30 Mvar RONDONOPOLIS 3 MT</t>
  </si>
  <si>
    <t>0008212/2021</t>
  </si>
  <si>
    <t>Substituição do Transformador de Corrente 500kV do TCDJ7-05 Fase V - Vão EY1</t>
  </si>
  <si>
    <t>0008215/2021</t>
  </si>
  <si>
    <t>TCTC71V-DJ-TCDJ705</t>
  </si>
  <si>
    <t>Instalação de rede de comunicação para monitoramento nos transformadores e reatores de potência conectados ao SIN da subestação RONDONÔPOLIS, contemplando switches, fibras ópticas, painéis, entre outros.</t>
  </si>
  <si>
    <t>0008217/2021</t>
  </si>
  <si>
    <t>Substituição do Transformador de Corrente 500kV do TCDJ7-05 Fase B - Vão EY1</t>
  </si>
  <si>
    <t>0008218/2021</t>
  </si>
  <si>
    <t>TCTC71B-DJ-TCDJ705</t>
  </si>
  <si>
    <t>Substituição do Transformador de Corrente 500kV do TCDJ7-05 Fase A - Vão EY1</t>
  </si>
  <si>
    <t>0008222/2021</t>
  </si>
  <si>
    <t>TCTC71A-DJ-TCDJ705</t>
  </si>
  <si>
    <t>Implantação de monitoramento on-line de buchas do BPAT6-03</t>
  </si>
  <si>
    <t>TR 230/138 kV BARRA PEIXE TR3 MT</t>
  </si>
  <si>
    <t>0008225/2021</t>
  </si>
  <si>
    <t>Substituição do sistema de Proteção, Controle e Supervisão do serviço auxiliar da SE Vila do Conde.</t>
  </si>
  <si>
    <t>MG 500 kV VILA DO CONDE MG1 PA</t>
  </si>
  <si>
    <t>0008228/2021</t>
  </si>
  <si>
    <t>SPCS-SEAUX-VC</t>
  </si>
  <si>
    <t>SUBSTITUIÇÃO DO TRANSFORMADOR DE CORRENTE DE 500kV, FASE "A" DO BAY DO BANCO DE REATORES DE LINHA PDRE7-06.</t>
  </si>
  <si>
    <t>PDRE7-06</t>
  </si>
  <si>
    <t>0008230/2021</t>
  </si>
  <si>
    <t>N-S-MAPD-PDBELI701-MCPDRE706-PDTC701</t>
  </si>
  <si>
    <t>Instalação de rede de comunicação para monitoramento nos transformadores e reatores de potência conectados ao SIN da subestação BARRA DO PEIXE, contemplando switches, fibras ópticas, painéis, entre outros.</t>
  </si>
  <si>
    <t>0008233/2021</t>
  </si>
  <si>
    <t>Substituição do sistema de Proteção, Controle e Supervisão do serviço auxiliar da SE UTINGA</t>
  </si>
  <si>
    <t>MG 230 kV UTINGA MG1 PA</t>
  </si>
  <si>
    <t>0008235/2021</t>
  </si>
  <si>
    <t>SPCS-SEAUX-UG</t>
  </si>
  <si>
    <t>SUBSTITUIÇÃO DO TRANSFORMADOR DE CORRENTE DE 500kV, FASE "B" DO BAY DO BANCO DE REATORES DE LINHA PDRE7-06.</t>
  </si>
  <si>
    <t>0008238/2021</t>
  </si>
  <si>
    <t>Substituição do sistema de Paralelismo dos transformadores VCAT7-01 e VCAT7-02.</t>
  </si>
  <si>
    <t>0008239/2021</t>
  </si>
  <si>
    <t>SPCS - AT7-01-02</t>
  </si>
  <si>
    <t>SUBSTITUIÇÃO DO TRANSFORMADOR DE CORRENTE DE 500kV, FASE "V" DO BAY DO REATOR DE LINHA PDRE7-05.</t>
  </si>
  <si>
    <t>PDRE7-05</t>
  </si>
  <si>
    <t>0008240/2021</t>
  </si>
  <si>
    <t>N-S-MAPD-PDBELI701-MCPDRE705-PDTC701</t>
  </si>
  <si>
    <t>Implantação de monitoramento on-line de buchas do PBAT6-01</t>
  </si>
  <si>
    <t>TR 230/138 kV PIMENTA BUENO ATR1 RO</t>
  </si>
  <si>
    <t>0008243/2021</t>
  </si>
  <si>
    <t>SUBSTITUIÇÃO DO TRANSFORMADOR DE CORRENTE DE 500kV, FASE "B" DO BAY DO REATOR DE LINHA PDRE7-05.</t>
  </si>
  <si>
    <t>0008246/2021</t>
  </si>
  <si>
    <t>Substituição do Sistema de Proteção, Controle e Supervisão - SPCS da MBCS2-02.</t>
  </si>
  <si>
    <t>0008247/2021</t>
  </si>
  <si>
    <t>Instalação de rede de comunicação para monitoramento nos transformadores e reatores de potência conectados ao SIN da subestação PIMENTA BUENO, contemplando switches, fibras ópticas, painéis, entre outros.</t>
  </si>
  <si>
    <t>0008249/2021</t>
  </si>
  <si>
    <t>Implantação de monitoramento on-line de buchas do JIRE6-04</t>
  </si>
  <si>
    <t>RT 230 kV 20 Mvar JI-PARANA RT4 RO</t>
  </si>
  <si>
    <t>0008252/2021</t>
  </si>
  <si>
    <t>SUBSTITUIR O TRANSFORMADOR DE CORRENTE FASE B ASSOCIADO AO REATOR 706</t>
  </si>
  <si>
    <t>0008253/2021</t>
  </si>
  <si>
    <t>N-S-MAIZ-RE706-MC500-IZTC701</t>
  </si>
  <si>
    <t>Implantação de monitoramento on-line de buchas do JIRE6-03</t>
  </si>
  <si>
    <t>RT 230 kV 20 Mvar JI-PARANA 3 RO</t>
  </si>
  <si>
    <t>0008254/2021</t>
  </si>
  <si>
    <t>Implantação de monitoramento on-line de buchas do JITF6-03</t>
  </si>
  <si>
    <t>TR 230/69 kV JI-PARANA TF3 RO</t>
  </si>
  <si>
    <t>0008259/2021</t>
  </si>
  <si>
    <t>Substituição do Transformador de Corrente 500kV do TCDJ7-16 Fase A - Vão AX</t>
  </si>
  <si>
    <t>Sem Função Transmissão</t>
  </si>
  <si>
    <t>0008261/2021</t>
  </si>
  <si>
    <t>TCTC7FA-DJ-TCDJ716</t>
  </si>
  <si>
    <t>Implantação de monitoramento on-line de buchas do JIAT6-02</t>
  </si>
  <si>
    <t>TR 230/138 kV JI-PARANA ATR2 RO</t>
  </si>
  <si>
    <t>0008263/2021</t>
  </si>
  <si>
    <t>Instalação de rede de comunicação para monitoramento nos transformadores e reatores de potência conectados ao SIN da subestação JI-PARANÁ, contemplando switches, fibras ópticas, painéis, entre outros.</t>
  </si>
  <si>
    <t>MG JI-PARANA / CCO-2017-049 - RB</t>
  </si>
  <si>
    <t>0008268/2021</t>
  </si>
  <si>
    <t>Implantação de monitoramento on-line de buchas do CNRE5-01</t>
  </si>
  <si>
    <t>sem função</t>
  </si>
  <si>
    <t>0008272/2021</t>
  </si>
  <si>
    <t>Implantação de monitoramento on-line de buchas do JRTF6-01</t>
  </si>
  <si>
    <t>TR 230/69 kV JARU 1 RO</t>
  </si>
  <si>
    <t>0008274/2021</t>
  </si>
  <si>
    <t>Implantação de monitoramento on-line de buchas do CNRE5-02</t>
  </si>
  <si>
    <t>0008275/2021</t>
  </si>
  <si>
    <t>Instalação de rede de comunicação para monitoramento nos transformadores e reatores de potência conectados ao SIN da subestação JARU, contemplando switches, fibras ópticas, painéis, entre outros.</t>
  </si>
  <si>
    <t>MG JARU / CCO-2017-049 - RB</t>
  </si>
  <si>
    <t>0008281/2021</t>
  </si>
  <si>
    <t>Instalação de rede de comunicação para monitoramento nos transformadores e reatores de potência conectados ao SIN da subestação COUTO MAGALHÃES, contemplando switches, fibras ópticas, painéis, entre outros.</t>
  </si>
  <si>
    <t>SEM FT</t>
  </si>
  <si>
    <t>0008285/2021</t>
  </si>
  <si>
    <t>Implantação de monitoramento on-line de buchas do AQRE6-03</t>
  </si>
  <si>
    <t>RT 230 kV 20 Mvar ARIQUEMES 3 RO</t>
  </si>
  <si>
    <t>0008289/2021</t>
  </si>
  <si>
    <t>SUBSTITUIR O TRANSFORMADOR DE CORRENTE FASE A  ASSOCIADO AO REATOR 706</t>
  </si>
  <si>
    <t>0008291/2021</t>
  </si>
  <si>
    <t>Implantação de monitoramento on-line de buchas do AQTF6-02</t>
  </si>
  <si>
    <t>TR 230/69 kV ARIQUEMES TF2 RO</t>
  </si>
  <si>
    <t>0008293/2021</t>
  </si>
  <si>
    <t>Implantação de monitoramento on-line de buchas do CNTF5-01</t>
  </si>
  <si>
    <t>0008295/2021</t>
  </si>
  <si>
    <t>0008296/2021</t>
  </si>
  <si>
    <t>N-S-MAIZ-MG701-IB500IB3-IZTC702</t>
  </si>
  <si>
    <t>Implantação de monitoramento on-line de buchas do AQTF6-01</t>
  </si>
  <si>
    <t>TR 230/69 kV ARIQUEMES TF1 RO</t>
  </si>
  <si>
    <t>0008299/2021</t>
  </si>
  <si>
    <t>Substituição do Transformador de Corrente 500kV do TCDJ7-16 Fase V - Vão AX</t>
  </si>
  <si>
    <t>0008301/2021</t>
  </si>
  <si>
    <t>TCTC7FV-DJ-TCDJ716</t>
  </si>
  <si>
    <t>SUBSTITUIR O TRANSFORMADOR DE CORRENTE FASE 1B ASSOCIADO A  INTERLIGAÇÃO DE BARRA 3 (DJ707)</t>
  </si>
  <si>
    <t>0008302/2021</t>
  </si>
  <si>
    <t>N-S-MAIZ-MG701-IB500IB3-IZTC701</t>
  </si>
  <si>
    <t>Instalação de rede de comunicação para monitoramento nos transformadores e reatores de potência conectados ao SIN da subestação ARIQUEMES, contemplando switches, fibras ópticas, painéis, entre outros.</t>
  </si>
  <si>
    <t>MG ARIQUEMES / CCO-2017-049 - RB</t>
  </si>
  <si>
    <t>0008304/2021</t>
  </si>
  <si>
    <t>SUBSTITUIR O TRANSFORMADOR DE CORRENTE FASE 1A  ASSOCIADO A INTERLIGAÇÃO DE BARRAS 3 (DJ707)</t>
  </si>
  <si>
    <t>0008305/2021</t>
  </si>
  <si>
    <t>SUBSTITUIR O TRANSFORMADOR DE CORRENTE FASE 2A  ASSOCIADO A INTERLIGAÇÃO DE BARRA  1 (DJ701)</t>
  </si>
  <si>
    <t>0008311/2021</t>
  </si>
  <si>
    <t>N-S-MAIZ-MG701-IB500IB1-IZTC702</t>
  </si>
  <si>
    <t>Implantação de monitoramento on-line de buchas do ANRE6-05</t>
  </si>
  <si>
    <t>LT 230 kV ABUNA / RIO BRANCO I C 1 RO/AC</t>
  </si>
  <si>
    <t>0008319/2021</t>
  </si>
  <si>
    <t>Implantação de monitoramento on-line de buchas do ANRE6-04</t>
  </si>
  <si>
    <t>RT 230 kV 30 Mvar ABUNA RT4 RO</t>
  </si>
  <si>
    <t>0008322/2021</t>
  </si>
  <si>
    <t>Substituição do Transformador de Corrente 500kV do TCDJ7-16 Fase B - Vão AX</t>
  </si>
  <si>
    <t>0008326/2021</t>
  </si>
  <si>
    <t>TCTC7FB-DJ-TCDJ716</t>
  </si>
  <si>
    <t>Implantação de monitoramento on-line de buchas do ANRE6-03</t>
  </si>
  <si>
    <t>LT 230 kV ABUNA /PORTO VELHO C-2 RO</t>
  </si>
  <si>
    <t>0008331/2021</t>
  </si>
  <si>
    <t>SAO LUIS III</t>
  </si>
  <si>
    <t>Implantação de monitoramento on-line de buchas do LTTF6-02</t>
  </si>
  <si>
    <t>TR 230 / 69 kV SAO LUIS III 2 MA</t>
  </si>
  <si>
    <t>0008354/2021</t>
  </si>
  <si>
    <t>Instalação de rede de comunicação para monitoramento nos transformadores e reatores de potência conectados ao SIN da subestação SÃO LUIS III, contemplando switches, fibras ópticas, painéis, entre outros.</t>
  </si>
  <si>
    <t>MG SAO LUIS III / CCO-2008-007 - RB</t>
  </si>
  <si>
    <t>0008358/2021</t>
  </si>
  <si>
    <t>LT 230 kV VILA DO CONDE /GUAMA C-2 PA</t>
  </si>
  <si>
    <t>Substituição do Sistema de Proteção, Controle e Supervisão - SPCS da linha VCGM-LT6-02.</t>
  </si>
  <si>
    <t>0008434/2021</t>
  </si>
  <si>
    <t>SPCS-VCGM-LT6-02</t>
  </si>
  <si>
    <t>LT 230 kV VILA DO CONDE /GUAMA C-1 PA</t>
  </si>
  <si>
    <t>Substituição do Sistema de Proteção, Controle e Supervisão - SPCS da linha VCGM-LT6-01.</t>
  </si>
  <si>
    <t>0008436/2021</t>
  </si>
  <si>
    <t>SPCS-VCGM-LT6-01</t>
  </si>
  <si>
    <t>LT 230 kV CASTANHAL /SANTA MARIA C-2 PA</t>
  </si>
  <si>
    <t>Substituição do sistema de Proteção, Controle e Supervisão - SPCS da linha SRCN-LI6-02 na SE Santa Maria.</t>
  </si>
  <si>
    <t>0008437/2021</t>
  </si>
  <si>
    <t>SPCS-SRCN-LI6-02</t>
  </si>
  <si>
    <t>LT 230 kV MARITUBA /UTINGA C-2 PA</t>
  </si>
  <si>
    <t>Substituição do Sistema de Proteção, Controle e Supervisão - SPCS da linha UGMT-LI6-02.</t>
  </si>
  <si>
    <t>0008440/2021</t>
  </si>
  <si>
    <t>SPCS-UGMT-LI6-02</t>
  </si>
  <si>
    <t>LT 230 kV MARITUBA /UTINGA C-1 PA</t>
  </si>
  <si>
    <t>Substituição do Sistema de Proteção, Controle e Supervisão - SPCS da linha UGMT-LI6-01.</t>
  </si>
  <si>
    <t>0008441/2021</t>
  </si>
  <si>
    <t>SPCS-UGMT-LI6-01</t>
  </si>
  <si>
    <t>LT 230 kV GUAMA /MARITUBA C-2 PA</t>
  </si>
  <si>
    <t>Substituição do Sistema de Proteção, Controle e Supervisão - SPCS da linha GMMT-LI6-02.</t>
  </si>
  <si>
    <t>0008443/2021</t>
  </si>
  <si>
    <t>SPCS-GMMT-LI6-02</t>
  </si>
  <si>
    <t>Substituição do Sistema de Proteção, Controle e Supervisão - SPCS do Serviço Auxiliar da SE Guamá</t>
  </si>
  <si>
    <t>0008446/2021</t>
  </si>
  <si>
    <t>SPCS - SEAUX-GM</t>
  </si>
  <si>
    <t>Substituição do Sistema de Proteção, Controle e Supervisão - SPCS da linha GMVC-LT6-02</t>
  </si>
  <si>
    <t>0008447/2021</t>
  </si>
  <si>
    <t>Substituição do Sistema de Proteção, Controle e Supervisão - SPCS da linha GMVC-LT6-01.</t>
  </si>
  <si>
    <t>0008448/2021</t>
  </si>
  <si>
    <t>Substituição dos sistema de proteção e controle de linha de transmissão PDBE-LI701 - terminal Pres. Dutra</t>
  </si>
  <si>
    <t>0008458/2021</t>
  </si>
  <si>
    <t>N-S-MAPD-PDBELI701-ELPD-PDSPRPR</t>
  </si>
  <si>
    <t>Substituição dos sistemas de proteção e controle do vão PDTS-LI702</t>
  </si>
  <si>
    <t>LT 500 kV TERESINA II /P.DUTRA C-2 PI/MA</t>
  </si>
  <si>
    <t>0008464/2021</t>
  </si>
  <si>
    <t>N-S-MAPD-TSPDLI702-ELPD-PDSPRPR</t>
  </si>
  <si>
    <t>SUBSTITUIR O TRANSFORMADOR DE CORRENTE FASE A  ASSOCIADO AO DISJUNTOR 603</t>
  </si>
  <si>
    <t>0008477/2021</t>
  </si>
  <si>
    <t>N-S-MAIZ-AT701-MC230-DJ603-IZTC601 (A)</t>
  </si>
  <si>
    <t>SUBSTITUIR O TRANSFORMADOR DE CORRENTE FASE B  ASSOCIADO AO DISJUNTOR 603</t>
  </si>
  <si>
    <t>0008478/2021</t>
  </si>
  <si>
    <t>N-S-MAIZ-AT701-MC230-DJ603-IZTC601 (B)</t>
  </si>
  <si>
    <t>SUBSTITUIR O TRANSFORMADOR DE CORRENTE FASE A  ASSOCIADO AO DISJUNTOR 604</t>
  </si>
  <si>
    <t>0008479/2021</t>
  </si>
  <si>
    <t>N-S-MAIZ-AT701-MC230-DJ604-IZTC601 (A)</t>
  </si>
  <si>
    <t>SUBSTITUIÇÃO DO TRANSFORMADOR DE CORRENTE DE 500kV, FASE "V" DO BAY DO REATOR DE LINHA PDRE7-04.</t>
  </si>
  <si>
    <t>0008476/2021</t>
  </si>
  <si>
    <t>N-S-MAPD-IZPDLT701-MCPDRE704-PDTC701</t>
  </si>
  <si>
    <t>SUBSTITUIÇÃO DO TRANSFORMADOR DE CORRENTE DE 500kV, FASE "B" DO BAY DO REATOR DE LINHA PDRE7-04.</t>
  </si>
  <si>
    <t>0008480/2021</t>
  </si>
  <si>
    <t>SUBSTITUIR O TRANSFORMADOR DE CORRENTE FASE B  ASSOCIADO AO BAY IZPFLT601</t>
  </si>
  <si>
    <t>0008481/2021</t>
  </si>
  <si>
    <t>N-S-MAIZ-IZPFLT601-ELIZ-IZTC601 (B)</t>
  </si>
  <si>
    <t>SUBSTITUIÇÃO DO TRANSFORMADOR DE CORRENTE DE 500kV, FASE "A" DO BAY DO REATOR DE LINHA PDRE7-05.</t>
  </si>
  <si>
    <t>0008482/2021</t>
  </si>
  <si>
    <t>SUBSTITUIR O TRANSFORMADOR DE CORRENTE FASE B  ASSOCIADO AO TF604</t>
  </si>
  <si>
    <t>0008483/2021</t>
  </si>
  <si>
    <t>N-S-MAIZ-TF604-MC230-IZTC601 (B)</t>
  </si>
  <si>
    <t>Implantação de monitoramento on-line de buchas do PDRE7-05</t>
  </si>
  <si>
    <t>0008495/2021</t>
  </si>
  <si>
    <t>Implantação de monitoramento on-line de buchas do PDRE7-06</t>
  </si>
  <si>
    <t>0008497/2021</t>
  </si>
  <si>
    <t>Implantação de monitoramento on-line de buchas do PDRE7-03</t>
  </si>
  <si>
    <t>0008501/2021</t>
  </si>
  <si>
    <t>Implantação de monitoramento on-line de buchas do PDRE7-02</t>
  </si>
  <si>
    <t>0008504/2021</t>
  </si>
  <si>
    <t>Implantação de monitoramento on-line de buchas do IZTF6-04</t>
  </si>
  <si>
    <t>0008539/2021</t>
  </si>
  <si>
    <t>Implantação de monitoramento on-line de buchas do IZRE7-12</t>
  </si>
  <si>
    <t>0008544/2021</t>
  </si>
  <si>
    <t>Implantação de monitoramento on-line de buchas do IZRE7-02</t>
  </si>
  <si>
    <t>0008547/2021</t>
  </si>
  <si>
    <t>Implantação de monitoramento on-line de buchas do IZRE7-03</t>
  </si>
  <si>
    <t>0008552/2021</t>
  </si>
  <si>
    <t>Implantação de monitoramento on-line de buchas do IZRE7-14</t>
  </si>
  <si>
    <t>RT 500 kV 163 Mvar IMPERATRIZ RT14 MA</t>
  </si>
  <si>
    <t>0008559/2021</t>
  </si>
  <si>
    <t>Instalação de rede de comunicação para monitoramento nos transformadores e reatores de potência conectados ao SIN da subestação IMPERATRIZ, contemplando switches, fibras ópticas, painéis, entre outros.</t>
  </si>
  <si>
    <t>MG IMPERATRIZ / CCO-2000-095 - RB</t>
  </si>
  <si>
    <t>0008561/2021</t>
  </si>
  <si>
    <t>SUBSTITUIR O TRANSFORMADOR DE CORRENTE FASE V  ASSOCIADO AO BAY IZPD-LT702.</t>
  </si>
  <si>
    <t>0008571/2021</t>
  </si>
  <si>
    <t>N-S-MAIZ-IZPDLT702-MCIZRE704-IZTC701</t>
  </si>
  <si>
    <t>Substituição do Sistema de Proteção, Controle e Supervisão da linha Guamá-Marituba C1.</t>
  </si>
  <si>
    <t>LT 230 kV GUAMA / MARITUBA C 1 PA</t>
  </si>
  <si>
    <t>0008574/2021</t>
  </si>
  <si>
    <t>SPCS-GMMT-LI6-01</t>
  </si>
  <si>
    <t>Substituição das buchas do terciário (13,8kV) do autotransformador LDAT7-01, fase A</t>
  </si>
  <si>
    <t>0008597/2021</t>
  </si>
  <si>
    <t>N-S-MALD-AT701-AT500-LDAT701</t>
  </si>
  <si>
    <t>Substituição das cadeias Principal e Alternada da Proteção e Controle de Barras 2 de 230kV (PA-CPVC-VC-SEVC-BR602-SPRBR).</t>
  </si>
  <si>
    <t>0008596/2021</t>
  </si>
  <si>
    <t>SPCS-UPDBII-230 KV</t>
  </si>
  <si>
    <t>Substituição das cadeias Principal e Alternada da Proteção e Controle de Barras1 de 230kV (PA-CPVC-VC-SEVC-BR601-SPRBR).</t>
  </si>
  <si>
    <t>0008600/2021</t>
  </si>
  <si>
    <t>SPCS-UPDBI-230 KV</t>
  </si>
  <si>
    <t>Substituição das cadeias Principal e Alternada da Proteção e Controle de Barras 2 de 500kV (PA-CPVC-VC-SEVC-BR702-SPRBR)</t>
  </si>
  <si>
    <t>0008607/2021</t>
  </si>
  <si>
    <t>SPCS-UPDBII-500 KV</t>
  </si>
  <si>
    <t>Implantação de monitoramento on-line de buchas do GMTF6-03</t>
  </si>
  <si>
    <t>TR 230/69 kV GUAMA TF3 PA</t>
  </si>
  <si>
    <t>0008623/2021</t>
  </si>
  <si>
    <t>Substituição das cadeias Principal e Alternada da Proteção e Controle de Barras1 de 500kV (PA-CPVC-VC-SEVC-BR701-SPRBR)</t>
  </si>
  <si>
    <t>0008624/2021</t>
  </si>
  <si>
    <t>SPCS-UPDBI-500 KV</t>
  </si>
  <si>
    <t>Instalação de rede de comunicação para monitoramento nos transformadores e reatores de potência conectados ao SIN da subestação GUAMÁ, contemplando switches, fibras ópticas, painéis, entre outros.</t>
  </si>
  <si>
    <t>0008627/2021</t>
  </si>
  <si>
    <t>Implantação de monitoramento on-line de buchas do MMTF6-01</t>
  </si>
  <si>
    <t>TR 230 / 69 kV MIRAMAR 1 PA</t>
  </si>
  <si>
    <t>0008632/2021</t>
  </si>
  <si>
    <t>Implantação de monitoramento on-line de buchas do MMTF6-02</t>
  </si>
  <si>
    <t>TR 230 / 69 kV MIRAMAR 2 PA</t>
  </si>
  <si>
    <t>0008636/2021</t>
  </si>
  <si>
    <t>Implantação de monitoramento on-line de buchas do MMTF6-03</t>
  </si>
  <si>
    <t>TR 230 / 69 kV MIRAMAR 3 PA</t>
  </si>
  <si>
    <t>0008639/2021</t>
  </si>
  <si>
    <t>Instalação de rede de comunicação para monitoramento nos transformadores e reatores de potência conectados ao SIN da subestação MIRAMAR, contemplando switches, fibras ópticas, painéis, entre outros.</t>
  </si>
  <si>
    <t>MG MIRAMAR / CCO-2001-058 - RB</t>
  </si>
  <si>
    <t>0008643/2021</t>
  </si>
  <si>
    <t>Implantação de monitoramento on-line de buchas do SRAT6-01</t>
  </si>
  <si>
    <t>TR 230/138 kV SANTA MARIA TR1 PA</t>
  </si>
  <si>
    <t>0008648/2021</t>
  </si>
  <si>
    <t>Implantação de monitoramento on-line de buchas do SRAT6-02</t>
  </si>
  <si>
    <t>TR 230/138 kV SANTA MARIA TR2 PA</t>
  </si>
  <si>
    <t>0008658/2021</t>
  </si>
  <si>
    <t>Implantação de monitoramento on-line de buchas do SRTF6-01</t>
  </si>
  <si>
    <t>TR 230/69 kV SANTA MARIA TF1 PA</t>
  </si>
  <si>
    <t>0008664/2021</t>
  </si>
  <si>
    <t>Implantação de monitoramento on-line de buchas do SRTF6-02</t>
  </si>
  <si>
    <t>TR 230/69 kV SANTA MARIA TF2 PA</t>
  </si>
  <si>
    <t>0008671/2021</t>
  </si>
  <si>
    <t>0008673/2021</t>
  </si>
  <si>
    <t>SPCS-MBCJ-LT6-01</t>
  </si>
  <si>
    <t>Instalação de rede de comunicação para monitoramento nos transformadores e reatores de potência conectados ao SIN da subestação SANTA MARIA, contemplando switches, fibras ópticas, painéis, entre outros.</t>
  </si>
  <si>
    <t>0008674/2021</t>
  </si>
  <si>
    <t>Implantação de monitoramento on-line de buchas do ANAT6-02</t>
  </si>
  <si>
    <t>TR 230/138 kV ABUNA ATR2 RO</t>
  </si>
  <si>
    <t>0008756/2021</t>
  </si>
  <si>
    <t>Instalação de rede de comunicação para monitoramento nos transformadores e reatores de potência conectados ao SIN da subestação ABUNÃ, contemplando switches, fibras ópticas, painéis, entre outros.</t>
  </si>
  <si>
    <t>0008762/2021</t>
  </si>
  <si>
    <t>Implantação de monitoramento on-line de buchas doMBAT7-01</t>
  </si>
  <si>
    <t>0008767/2021</t>
  </si>
  <si>
    <t>Implantação de monitoramento on-line de buchas do RBRE6-03</t>
  </si>
  <si>
    <t>LT 230 kV ABUNA /RIO BRANCO 1 C-2 RO/AC</t>
  </si>
  <si>
    <t>0008772/2021</t>
  </si>
  <si>
    <t>Implantação de monitoramento on-line de buchas do RBRE6-01</t>
  </si>
  <si>
    <t>RT 230 kV 30 Mvar RIO BRANCO I RT1 AC</t>
  </si>
  <si>
    <t>0008778/2021</t>
  </si>
  <si>
    <t>Implantação de monitoramento on-line de buchas do MBTF6-03.</t>
  </si>
  <si>
    <t>0008785/2021</t>
  </si>
  <si>
    <t>Implantação de monitoramento on-line de buchas do RBAT6-01</t>
  </si>
  <si>
    <t>TR 230/138 kV RIO BRANCO I ATR1 AC</t>
  </si>
  <si>
    <t>0008787/2021</t>
  </si>
  <si>
    <t>Instalação de rede de comunicação para monitoramento nos transformadores e reatores de potência conectados ao SIN da subestação RIO BRANCO I, contemplando switches, fibras ópticas, painéis, entre outros.</t>
  </si>
  <si>
    <t>0008793/2021</t>
  </si>
  <si>
    <t>Implantação de monitoramento on-line de buchas do MBRE7-01</t>
  </si>
  <si>
    <t>0008797/2021</t>
  </si>
  <si>
    <t>SUBSTITUIR O TRANSFORMADOR DE CORRENTE FASE B ASSOCIADO AO DISJUNTOR 604</t>
  </si>
  <si>
    <t>0008800/2021</t>
  </si>
  <si>
    <t>N-S-MAIZ-AT701-MC230-DJ604-IZTC601 (B)</t>
  </si>
  <si>
    <t>Substituição do Grupo Gerador Auxiliar de Emergência   GRUPO GERADOR DIESEL-03 723KVA</t>
  </si>
  <si>
    <t>CV 600/600 kV ARARAQUARA 2 CC1 SP</t>
  </si>
  <si>
    <t>0008805/2021</t>
  </si>
  <si>
    <t>GGD3 POLO I</t>
  </si>
  <si>
    <t>SUBSTITUIR O TRANSFORMADOR DE CORRENTE FASE A  ASSOCIADO AO BAY IZPFLT601</t>
  </si>
  <si>
    <t>0008815/2021</t>
  </si>
  <si>
    <t>N-S-MAIZ-IZPFLT601-ELIZ-IZTC601 (A)</t>
  </si>
  <si>
    <t>Implantação de monitoramento on-line de buchas do MBRE7-02</t>
  </si>
  <si>
    <t>0008817/2021</t>
  </si>
  <si>
    <t>Implantação de monitoramento on-line de buchas do ATTF6-03</t>
  </si>
  <si>
    <t>TR 230/ 69 kV ALTAMIRA TF3 PA</t>
  </si>
  <si>
    <t>0008822/2021</t>
  </si>
  <si>
    <t>Implantação de monitoramento on-line de buchas do MBRE7-03</t>
  </si>
  <si>
    <t>0008823/2021</t>
  </si>
  <si>
    <t>Implantação de monitoramento on-line de buchas do ATTF6-02</t>
  </si>
  <si>
    <t>TR 230/69 kV ALTAMIRA TF2 PA</t>
  </si>
  <si>
    <t>0008825/2021</t>
  </si>
  <si>
    <t>Implantação de monitoramento on-line de buchas do MBRE7-04</t>
  </si>
  <si>
    <t>0008828/2021</t>
  </si>
  <si>
    <t>Implantação de monitoramento on-line de buchas do ATTF6-01</t>
  </si>
  <si>
    <t>TR 230/69 kV ALTAMIRA TF1 PA</t>
  </si>
  <si>
    <t>0008830/2021</t>
  </si>
  <si>
    <t>Instalação de rede de comunicação para monitoramento nos transformadores e reatores de potência conectados ao SIN da subestação ALTAMIRA, contemplando switches, fibras ópticas, painéis, entre outros.</t>
  </si>
  <si>
    <t>0008834/2021</t>
  </si>
  <si>
    <t>SUBSTITUIR O TRANSFORMADOR DE CORRENTE FASE A  ASSOCIADO AO TF603</t>
  </si>
  <si>
    <t>TR 230/69 kV IMPERATRIZ TF3 MA</t>
  </si>
  <si>
    <t>0008846/2021</t>
  </si>
  <si>
    <t>N-S-MAIZ-TF603-MC230-IZTC601 (A)</t>
  </si>
  <si>
    <t>Implantação de monitoramento on-line de buchas do MBRE7-09</t>
  </si>
  <si>
    <t>RT 500 kV 163 Mvar MARABA RT09 PA</t>
  </si>
  <si>
    <t>0008861/2021</t>
  </si>
  <si>
    <t>Instalação de sistemas de monitoramento on-line de gases dissolvido no óleo, no transformador TF2Y FASE B da subestação Araraquara II, em Araraquara - SP</t>
  </si>
  <si>
    <t>CV 600/600 kV ARARAQUARA 2 CC2 SP</t>
  </si>
  <si>
    <t>0008862/2021</t>
  </si>
  <si>
    <t>TF2Y FASE B</t>
  </si>
  <si>
    <t>Implantação de monitoramento on-line de buchas do TMRE6-01</t>
  </si>
  <si>
    <t>LT 230 kV TRANSAMAZONIC /RUROPOLIS C-1 PA</t>
  </si>
  <si>
    <t>0008868/2021</t>
  </si>
  <si>
    <t>Instalação de rede de comunicação para monitoramento nos transformadores e reatores de potência conectados ao SIN da subestação MARABÁ, contemplando switches, fibras ópticas, painéis, entre outros.</t>
  </si>
  <si>
    <t>MG MARABA / CCO-2001-042 - RB</t>
  </si>
  <si>
    <t>0008869/2021</t>
  </si>
  <si>
    <t>Instalação de sistemas de monitoramento on-line de gases dissolvido no óleo, no transformador TF2Y FASE C da subestação Araraquara II, em Araraquara - SP</t>
  </si>
  <si>
    <t>0008871/2021</t>
  </si>
  <si>
    <t>TF2Y FASE C</t>
  </si>
  <si>
    <t>Implantação de monitoramento on-line de buchas do TMTF6-01</t>
  </si>
  <si>
    <t>0008873/2021</t>
  </si>
  <si>
    <t>Implantação de monitoramento on-line de buchas do VCAT7-01</t>
  </si>
  <si>
    <t>0008879/2021</t>
  </si>
  <si>
    <t>SUBSTITUIÇÃO DOS CUBÍCULOS DE 125Vcc DO EDIFICIO DE SERVIÇOS AUXILIARES (ESA).</t>
  </si>
  <si>
    <t>TR 230/69 kV TUCURUI TR2 PA</t>
  </si>
  <si>
    <t>0008880/2021</t>
  </si>
  <si>
    <t>CUBICULO 125VCC-SACC - QC-125</t>
  </si>
  <si>
    <t>Instalação de rede de comunicação para monitoramento nos transformadores e reatores de potência conectados ao SIN da subestação TRANSAMAZÔNICA, contemplando switches, fibras ópticas, painéis, entre outros.</t>
  </si>
  <si>
    <t>MG TRANSAMAZONIC / CCO-2001-058 - RB</t>
  </si>
  <si>
    <t>0008882/2021</t>
  </si>
  <si>
    <t>Implantação de monitoramento on-line de buchas do VCAT7-04</t>
  </si>
  <si>
    <t>TR 500/230 kV VILA DO CONDE TR4 PA</t>
  </si>
  <si>
    <t>0008884/2021</t>
  </si>
  <si>
    <t>Implantação de monitoramento on-line de buchas do ATRE6-03</t>
  </si>
  <si>
    <t>RT 230 kV 30 Mvar ALTAMIRA RT3 PA</t>
  </si>
  <si>
    <t>0009862/2021</t>
  </si>
  <si>
    <t>Implantação de monitoramento on-line de buchas do RURE6-02</t>
  </si>
  <si>
    <t>0008898/2021</t>
  </si>
  <si>
    <t>Implantação de monitoramento on-line de buchas do VCRE7-01</t>
  </si>
  <si>
    <t>0008899/2021</t>
  </si>
  <si>
    <t>Implantação de monitoramento on-line de buchas do VCRE7-04</t>
  </si>
  <si>
    <t>RT 500 kV 163 Mvar VILA DO CONDE RT4 PA</t>
  </si>
  <si>
    <t>0008907/2021</t>
  </si>
  <si>
    <t>Implantação de monitoramento on-line de buchas do RUAT6-02</t>
  </si>
  <si>
    <t>TR 230/138 kV RUROPOLIS TR2 PA</t>
  </si>
  <si>
    <t>0008914/2021</t>
  </si>
  <si>
    <t>Instalação de rede de comunicação para monitoramento nos transformadores e reatores de potência conectados ao SIN da subestação VILA DO CONDE, contemplando switches, fibras ópticas, painéis, entre outros.</t>
  </si>
  <si>
    <t>MG VILA DO CONDE / CCO-2001-043 - RB</t>
  </si>
  <si>
    <t>0008917/2021</t>
  </si>
  <si>
    <t>Implantação de monitoramento on-line de buchas do RUAT6-01</t>
  </si>
  <si>
    <t>TR 230/138 kV RUROPOLIS TR1 PA</t>
  </si>
  <si>
    <t>0008927/2021</t>
  </si>
  <si>
    <t>Instalação de rede de comunicação para monitoramento nos transformadores e reatores de potência conectados ao SIN da subestação SORRISO, contemplando switches, fibras ópticas, painéis, entre outros.</t>
  </si>
  <si>
    <t>0008935/2021</t>
  </si>
  <si>
    <t>Instalação de rede de comunicação para monitoramento nos transformadores e reatores de potência conectados ao SIN da subestação RUROPOLIS, contemplando switches, fibras ópticas, painéis, entre outros.</t>
  </si>
  <si>
    <t>0008938/2021</t>
  </si>
  <si>
    <t>Instalação de rede de comunicação para monitoramento nos transformadores e reatores de potência conectados ao SIN da subestação UTINGA, contemplando switches, fibras ópticas, painéis, entre outros.</t>
  </si>
  <si>
    <t>0008959/2021</t>
  </si>
  <si>
    <t>Instalação de rede de comunicação para monitoramento nos transformadores e reatores de potência conectados ao SIN da subestação PORTO VELHO, contemplando switches, fibras ópticas, painéis, entre outros.</t>
  </si>
  <si>
    <t>0008994/2021</t>
  </si>
  <si>
    <t>Substituir chave seccionadora LDSB6-33</t>
  </si>
  <si>
    <t>0009146/2021</t>
  </si>
  <si>
    <t>LDSB6-33</t>
  </si>
  <si>
    <t>SUBSTITUIÇÃO DO TRANSFORMADOR DE POTENCIAL CAPACITIVO ASSOCIADO À BARRA PRBR6-02 F.B</t>
  </si>
  <si>
    <t>0009162/2021</t>
  </si>
  <si>
    <t>PRBR602-DP601 F.B</t>
  </si>
  <si>
    <t>Substituição de 50 cadeias de isoladores, de suspensão e ancoragem,  incluindo os isoladores e as ferragens nos lados energizado e  desenergizado</t>
  </si>
  <si>
    <t>0009301/2021</t>
  </si>
  <si>
    <t>MRPD-LT7-01</t>
  </si>
  <si>
    <t>0009306/2021</t>
  </si>
  <si>
    <t>MRPD-LT7-02</t>
  </si>
  <si>
    <t>Substituição do Transformador de Corrente 500kV do TCDJ7-17 fase A - Vão AY2.</t>
  </si>
  <si>
    <t>0009465/2021</t>
  </si>
  <si>
    <t>TCTC72A-DJ-TCDJ717</t>
  </si>
  <si>
    <t>Substituição do Transformador de Corrente 500kV do TCDJ7-17 fase B - Vão AY2.</t>
  </si>
  <si>
    <t>0009470/2021</t>
  </si>
  <si>
    <t>TCTC72B-DJ-TCDJ717</t>
  </si>
  <si>
    <t>Substituição do Transformador de Corrente 500kV do TCDJ7-17 fase V - Vão AY2.</t>
  </si>
  <si>
    <t>0009476/2021</t>
  </si>
  <si>
    <t>TCTC72V-DJ-TCDJ717</t>
  </si>
  <si>
    <t>SUBSTITUIÇÃO DO TRANSFORMADOR DE CORRENTE DE 500kV, (BANCO 02) FASE "B" DO VÃO CENTRAL "V" DE 500kV Y1, ASSOCIADO AO DISJUNTOR IZDJ7-04.</t>
  </si>
  <si>
    <t>0009555/2021</t>
  </si>
  <si>
    <t>N-S-MAIZ-MG701-IB500IV1-IZTC702</t>
  </si>
  <si>
    <t>Instalação de pára-raios na fase Reserva do LDRE7-03</t>
  </si>
  <si>
    <t>0009562/2021</t>
  </si>
  <si>
    <t>Substituição do Transformador de corrente RE703-TC701, fase A</t>
  </si>
  <si>
    <t>0009599/2021</t>
  </si>
  <si>
    <t>N-S-MALD-RE703-MC500-LDTC701A</t>
  </si>
  <si>
    <t>LT 500 kV BACABEIRA /MIRANDA II MA</t>
  </si>
  <si>
    <t>Substituição de isoladores de suspensão e ancoragem  em 500 kV incluindo ferragens dos lados energizado e  desenergizado.</t>
  </si>
  <si>
    <t>0009629/2021</t>
  </si>
  <si>
    <t>N-L-MAMRBC-MRBCLI701-LI500-MRBCLI701</t>
  </si>
  <si>
    <t>LT 500 kV BACABEIRA /MIRANDA II C-2 MA</t>
  </si>
  <si>
    <t>0009638/2021</t>
  </si>
  <si>
    <t>N-L-MAMRBC-MRBCLI702-LI500-MRBCLI702</t>
  </si>
  <si>
    <t>LT 500 kV SAO LUIS II /BACABEIRA C-1 MA</t>
  </si>
  <si>
    <t>0009652/2021</t>
  </si>
  <si>
    <t>N-L-MALDBC-LDBCLI701-LI500-LDBCLI701</t>
  </si>
  <si>
    <t>LT 500 kV SAO LUIS II /BACABEIRA C-2 MA</t>
  </si>
  <si>
    <t>0009665/2021</t>
  </si>
  <si>
    <t>N-L-MALDBC-LDBCLI702-LI500-LDBCLI702</t>
  </si>
  <si>
    <t>Substituição de Transformador de Corrente (RE703-TC701, fase V)</t>
  </si>
  <si>
    <t>0009678/2021</t>
  </si>
  <si>
    <t>N-S-MALD-RE703-MC500-LDTC701V</t>
  </si>
  <si>
    <t>Substituição do Transformador de corrente RE703-TC701, fase B</t>
  </si>
  <si>
    <t>0009687/2021</t>
  </si>
  <si>
    <t>N-S-MALD-RE703-MC500-LDTC701B</t>
  </si>
  <si>
    <t>Instalação de um módulo de conexão para o reator de barra manobrável 500 kV (3+1) x 45,3 Mvar (IZRE7-06) autorizado pela pela ReA 11.450/2022, arranjo (DJM).
Reforço associado a Melhorias de Grande Porte (SGPMR nº 0004197/2018)</t>
  </si>
  <si>
    <t>CR 500 kV 161 Mvar IMPERATRIZ BC6 MA</t>
  </si>
  <si>
    <t>0009786/2021</t>
  </si>
  <si>
    <t>Instalação de um módulo de conexão para o reator de barra manobrável 500 kV PDRE7-01 3x50 Mvar autorizado pela ReA 11.450/2022, configuração DJM.
Reforço associado a Melhorias de Grande Porte (SGPMR nº 004458/2018)</t>
  </si>
  <si>
    <t>0009787/2021</t>
  </si>
  <si>
    <t>Instalação de um módulo de conexão para o reator de barra manobrável 525 kV (3+1) x 50 Mvar (LDRE7-03) autorizado pela ReA 11.450/2022, arranjo DJM.
Reforço associado a Melhorias de Grande Porte (SGPMR nº 004442/2018)</t>
  </si>
  <si>
    <t>0009788/2021</t>
  </si>
  <si>
    <t>Remanejamento da conexão do banco de reatores 3 x 37,5 Mvar/500 kV (RTCAMFDI), atualmente na LT 500 kV Campinas – Fernão Dias, para a barra de Campinas, incluindo complementação do arranjo em anel com a aquisição de disjuntores e chaves, instalação do sistema de proteção, controle e supervisão, e demais obras.</t>
  </si>
  <si>
    <t>LT 500 kV CAMPINAS / FERNAO DIAS C 1 SP</t>
  </si>
  <si>
    <t>0009789/2021</t>
  </si>
  <si>
    <t>Substituição de duas chaves sem lâmina de terra (IZSD7-09; IZSD7-10), fases A, B e V do vão para P. Dutra C1.
A substituição das seccionadoras com o objetivo de explorar toda a capacidade da LT e comportar o aumento da capacidade de corrente de 1.950 A para 2.300 A com a substituição dos BCS da LT 500 kV Imperatriz – Presidente Dutra C1.</t>
  </si>
  <si>
    <t>0009888/2021</t>
  </si>
  <si>
    <t>IZSD7-09; IZSD7-10.</t>
  </si>
  <si>
    <t>Substituição de duas chaves seccionadoras sem lâmina de terra, fases A, B e V (IZSD7-07 e IZSD7-08) do vão interligação de barras compartilhado entre Marabá C1 e P. Dutra C1.
A substituição das seccionadoras com o objetivo de explorar toda a capacidade da LT e comportar o aumento da capacidade de corrente de de 1.950 A para 2.300 A com a substituição dos BCS da LT 500 kV Imperatriz – Presidente Dutra C1.</t>
  </si>
  <si>
    <t>0009889/2021</t>
  </si>
  <si>
    <t>IZSD7-07; IZSD7-08</t>
  </si>
  <si>
    <t>Substituição de uma chave seccionadora fases A, B e V com lâmina de terra (PDSL7-03/ PDCA7-09) do vão Imperatriz C1.
A substituição das seccionadoras com o objetivo de explorar toda a capacidade da LT e comportar o aumento da capacidade de corrente de de 1.950 A para 2.300 A com a substituição dos BCS da LT 500 kV Imperatriz – Presidente Dutra C1.</t>
  </si>
  <si>
    <t>LT 500 kV IMPERATRIZ / P.DUTRA C-1 MA</t>
  </si>
  <si>
    <t>0009890/2021</t>
  </si>
  <si>
    <t>PDSL7-03/ PDCA7-09.</t>
  </si>
  <si>
    <t>Substituição de duas chaves seccionadoras fases A, B e V sem lâmina de terra (PDSD7-12 e PDSD7-13) do vão Imperatriz C1.
A substituição das seccionadoras com o objetivo de explorar toda a capacidade da LT e comportar o aumento da capacidade de corrente de de 1.950 A para 2.300 A com a substituição dos BCS da LT 500 kV Imperatriz – Presidente Dutra C1.</t>
  </si>
  <si>
    <t>0009891/2021</t>
  </si>
  <si>
    <t>PDSD7-12; PDSD7-13</t>
  </si>
  <si>
    <t>Substituição de duas chaves seccionadoras fases A, B e V sem lâmina de terra (PDSD7-14 e PDSD7-15) do vão interligação de barras compartilhado entre Imperatriz C1 e Boa Esperança C1.
A substituição das seccionadoras com o objetivo de explorar toda a capacidade da LT e comportar o aumento da capacidade de corrente de de 1.950 A para 2.300 A com a substituição dos BCS da LT 500 kV Imperatriz – Presidente Dutra C1.</t>
  </si>
  <si>
    <t>0009892/2021</t>
  </si>
  <si>
    <t>PDSD7-14; PDSD7-15.</t>
  </si>
  <si>
    <t xml:space="preserve"> Substituição de uma chave seccionadora fases A, B e V com lâmina de terra (IZSL7-02/IZCA7-08) do vão para P. Dutra C1.
A substituição das seccionadoras com o objetivo de explorar toda a capacidade da LT e comportar o aumento da capacidade de corrente de de 1.950 A para 2.300 A com a substituição dos BCS da LT 500 kV Imperatriz – Presidente Dutra C1.</t>
  </si>
  <si>
    <t>0009893/2021</t>
  </si>
  <si>
    <t>IZSL7-02/IZCA7-08.</t>
  </si>
  <si>
    <t>Substituição de um disjuntor (PDDJ7-07) fases A, B e V do vão Imperatriz C1. A substituição dos disjuntores tem como objetivo de explorar toda a capacidade da LT e comportar o aumento da capacidade de corrente de de 1.950 A para 2.300 A com a substituição dos BCS da LT 500 kV Imperatriz – Presidente Dutra C1.</t>
  </si>
  <si>
    <t>0009878/2021</t>
  </si>
  <si>
    <t>PDDJ7-07.</t>
  </si>
  <si>
    <t>Substituição de um disjuntor (PDDJ7-08) fases A, B e V do vão interligação de barras compartilhado entre Imperatriz C1 e Boa Esperança C1.
A substituição dos disjuntores tem como objetivo de explorar toda a capacidade da LT e comportar o aumento da capacidade de corrente de de 1.950 A para 2.300 A com a substituição dos BCS da LT 500 kV Imperatriz – Presidente Dutra C1.</t>
  </si>
  <si>
    <t>0009879/2021</t>
  </si>
  <si>
    <t>PDDJ7-08</t>
  </si>
  <si>
    <t>Bobina de bloqueio</t>
  </si>
  <si>
    <t>Substituição da bobina de bloqueio fase-fase da LT 500 kV Imperatriz / P.Dutra C-1 MA (IZPD-LT7-01).
A substituição das bobinas bloqueio tem como objetivo de explorar toda a capacidade da LT e comportar o aumento da capacidade de corrente de de 1.950 A para 2.300 A com a substituição dos BCS da LT 500 kV Imperatriz – Presidente Dutra C1.</t>
  </si>
  <si>
    <t>0009880/2021</t>
  </si>
  <si>
    <t>IZPD-LT7-01</t>
  </si>
  <si>
    <t>Substituição de bobina de bloqueio fase-fase da LT 500 kV Imperatriz / P.Dutra C-1 MA (IZPD-LT7-01). A substituição da bobina de bloqueio tem como objetivo de explorar toda a capacidade da LT e comportar o aumento da capacidade de corrente de de 1.950 A para 2.300 A com a substituição dos BCS da LT 500 kV Imperatriz – Presidente Dutra C1.</t>
  </si>
  <si>
    <t>0009881/2021</t>
  </si>
  <si>
    <t>Substituição de três transformadores de corrente fases A, B e V (PDDJ7-07 seção X) do vão Imperatriz C1.
A substituição dos transformadores de corrente tem como objetivo de explorar toda a capacidade da LT e comportar o aumento da capacidade de corrente de de 1.950 A para 2.300 A com a substituição dos BCS da LT 500 kV Imperatriz – Presidente Dutra C1.</t>
  </si>
  <si>
    <t>0009882/2021</t>
  </si>
  <si>
    <t>PDDJ7-07 seção X</t>
  </si>
  <si>
    <t>Substituição de três transformadores de corrente fases A, B e V (PDDJ7-08 seção Y) do vão interligação de barras compartilhado entre Imperatriz C1 e Boa Esperança C1.
A substituição dos transformadores de corrente tem como objetivo de explorar toda a capacidade da LT e comportar o aumento da capacidade de corrente de de 1.950 A para 2.300 A com a substituição dos BCS da LT 500 kV Imperatriz – Presidente Dutra C1.</t>
  </si>
  <si>
    <t>0009883/2021</t>
  </si>
  <si>
    <t>PDDJ7-08 seção Y</t>
  </si>
  <si>
    <t>Substituição de 3 transformadores de corrente fases A, B e V (IZDJ7-05 seção X) do vão para P. Dutra C1.
A substituição dos transformadores de corrente tem como objetivo de explorar toda a capacidade da LT e comportar o aumento da capacidade de corrente de de 1.950 A para 2.300 A com a substituição dos BCS da LT 500 kV Imperatriz – Presidente Dutra C1.</t>
  </si>
  <si>
    <t>0009884/2021</t>
  </si>
  <si>
    <t>IZDJ7-05 seção X</t>
  </si>
  <si>
    <t>Substituição de 3 transformadores de corrente fases A, B e V (IZDJ7-04 seção Y2) e um transformador de corrente fase A (IZDJ7-04 seção Y1), do vão de interligação de barras compartilhado entre Marabá C1 e P. Dutra C1.
A substituição dos transformadores de corrente tem como objetivo de explorar toda a capacidade da LT e comportar o aumento da capacidade de corrente de de 1.950 A para 2.300 A com a substituição dos BCS da LT 500 kV Imperatriz – Presidente Dutra C1.</t>
  </si>
  <si>
    <t>0009885/2021</t>
  </si>
  <si>
    <t>IZDJ7-04 seção Y1 e seção Y2</t>
  </si>
  <si>
    <t>Substituição de três transformadores de corrente fases A, B e V (PDDJ7-09 seção Z) do vão Boa Esperança C1 (vão complementar ao de Imperatriz C1 no arranjo DJM)
A substituição dos transformadores de corrente tem como objetivo de explorar toda a capacidade da LT e comportar o aumento da capacidade de corrente de de 1.950 A para 2.300 A com a substituição dos BCS da LT 500 kV Imperatriz – Presidente Dutra C1.</t>
  </si>
  <si>
    <t>0009887/2021</t>
  </si>
  <si>
    <t>PDDJ7-09 seção Z</t>
  </si>
  <si>
    <t>Instalação de 1 (um) reator de aterramento (02A2) 69 kV, 7,5 MVA, 20 ohms/fase cada, para operar em paralelo com o reator de aterramento existente (02A1), na SE IRE</t>
  </si>
  <si>
    <t>TT 69/13,8 kV IRECE TA2 BA</t>
  </si>
  <si>
    <t>0000044/2022</t>
  </si>
  <si>
    <t>Outras razões</t>
  </si>
  <si>
    <t>Instalação de 1 (um) módulo de conexão ao reator de aterramento 02A2, na SE IRE</t>
  </si>
  <si>
    <t>MC 69 kV TT 69/13,8 kV IRECE TA2 BA</t>
  </si>
  <si>
    <t>0000045/2022</t>
  </si>
  <si>
    <t>Recapacitação dos barramentos principal (formado pelos trechos 04BP-1, 04BP-2 e 04BP-3) e transferência (formado pelos trechos 04BA-1 e 04BA-2) em 230 kV da SE BGI, com a substituição de cabos, cadeias de isoladores e conectores.</t>
  </si>
  <si>
    <t>0000058/2022</t>
  </si>
  <si>
    <t>12365825; 12365826; 12365827; 12365828; 12365829</t>
  </si>
  <si>
    <t>Substituição das chaves seccionadoras 34BP-1, 34BP-2 (barra principal) e 34BA-1 (barra auxiliar) em 230 kV, da SE BGI.</t>
  </si>
  <si>
    <t>0000059/2022</t>
  </si>
  <si>
    <t>11333625; 11338083; 11338082</t>
  </si>
  <si>
    <t>Recapacitação dos barramentos principal (formado pelos trechos 02BP-1 e 02BP-2) e transferência (formada pelos trechos 02BA-1 e 02BA-2) em 69 kV da SE BGI, com a substituição de cabos, cadeias de isoladores e conectores.</t>
  </si>
  <si>
    <t>0000063/2022</t>
  </si>
  <si>
    <t>12365823; 12365824; 12375376; 12375377</t>
  </si>
  <si>
    <t>Instalação de um disjuntor seccionador na barra principal 02BP-2, em 69kV, da SE BGI, em substituição à chave 32BP-1.</t>
  </si>
  <si>
    <t>0000065/2022</t>
  </si>
  <si>
    <t>11338859</t>
  </si>
  <si>
    <t>MILAGRES II</t>
  </si>
  <si>
    <t>Implantação de interligação entre o reator reserva 33,3 Mvar, existente na SE Milagres II e de propriedade da EKTT-2, e o Banco de Reatores de linha monofásico (3x33,3 Mvar) da LT 500 kV Luiz Gonzaga – Milagres C1 (05V1), que será remanejado do terminal da SE Milagres para a SE Milagres II, por meio da ReA 8.771/2020. A interligação é composta por: estruturas, barramento, cabeação e infraestrutura associada</t>
  </si>
  <si>
    <t>RTB 500 kV 33,33 Mvar MILAGRES II RTR6 CE</t>
  </si>
  <si>
    <t>0000070/2022</t>
  </si>
  <si>
    <t>Substituição dos Sistemas Digitais de Proteção, Controle, Supervisão Principal e RDP do Banco de Reatores RTARPC 500kV, em substituição aos atuais, devido ao término da vida útil regulatória dos equipamentos, bem como o atendimento aos requisitos dos Procedimentos de Rede do ONS.</t>
  </si>
  <si>
    <t>0000104/2022</t>
  </si>
  <si>
    <t>PPPC</t>
  </si>
  <si>
    <t>Substituição dos Sistemas Digitais de Proteção, Controle, Supervisão Principal e RDP do Banco de Reatores RTARCA 500kV, em substituição aos atuais, devido ao término da vida útil regulatória dos equipamentos, bem como o atendimento aos requisitos dos Procedimentos de Rede do ONS.</t>
  </si>
  <si>
    <t>0000105/2022</t>
  </si>
  <si>
    <t>PPCA</t>
  </si>
  <si>
    <t>Substituição dos Sistemas Digitais de Proteção, Controle, Supervisão P rincipal e RDP do Banco de Reatores RTARAMAR1 500kV, em substituição aos atuais, devido ao término da vida útil regulatória dos equipamentos, bem como o atendimento aos requisitos dos Procedimentos de Rede do ONS.</t>
  </si>
  <si>
    <t>LT 500 kV MARIMBONDO II /ARARAQUARA FURNAS C-1 MG/SP</t>
  </si>
  <si>
    <t>0000106/2022</t>
  </si>
  <si>
    <t>PPMR1</t>
  </si>
  <si>
    <t>Substituição dos Sistemas Digitais de Proteção, Controle, Supervisão Principal e RDP do Banco de Reatores RTARAMAR2 500kV, em substituição aos atuais, devido ao término da vida útil regulatória dos equipamentos, bem como o atendimento aos requisitos dos Procedimentos de Rede do ONS.</t>
  </si>
  <si>
    <t>LT 500 kV MARIMBONDO II /ARARAQUARA FURNAS C-2 MG/SP</t>
  </si>
  <si>
    <t>0000107/2022</t>
  </si>
  <si>
    <t>PPMR2</t>
  </si>
  <si>
    <t>Substituição dos Sistemas Digitais de Proteção, Controle, Supervisão Alternado e RDP do Banco de Reatores RTARPC 500kV, em substituição aos atuais, devido ao término da vida útil regulatória dos equipamentos, bem como o atendimento aos requisitos dos Procedimentos de Rede do ONS.</t>
  </si>
  <si>
    <t>0000108/2022</t>
  </si>
  <si>
    <t>PAPC</t>
  </si>
  <si>
    <t>Substituição dos Sistemas Digitais de Proteção, Controle, Supervisão Alternado e RDP do Banco de Reatores RTARCA 500kV, em substituição aos atuais, devido ao término da vida útil regulatória dos equipamentos, bem como o atendimento aos requisitos dos Procedimentos de Rede do ONS.</t>
  </si>
  <si>
    <t>0000109/2022</t>
  </si>
  <si>
    <t>PACA</t>
  </si>
  <si>
    <t>Substituição dos Sistemas Digitais de Proteção, Controle, Supervisão Alternado e RDP do Banco de Reatores RTARAMAR1 500kV, em substituição aos atuais, devido ao término da vida útil regulatória dos equipamentos, bem como o atendimento aos requisitos dos Procedimentos de Rede do ONS.</t>
  </si>
  <si>
    <t>0000110/2022</t>
  </si>
  <si>
    <t>PAMR1</t>
  </si>
  <si>
    <t>Substituição dos Sistemas Digitais de Proteção, Controle, Supervisão Alternado e RDP do Banco de Reatores RTARAMAR2 500kV, em substituição aos atuais, devido ao término da vida útil regulatória dos equipamentos, bem como o atendimento aos requisitos dos Procedimentos de Rede do ONS.</t>
  </si>
  <si>
    <t>0000111/2022</t>
  </si>
  <si>
    <t>PAMR2</t>
  </si>
  <si>
    <t>Substituição de reator RTIAIV1 FASE A (nº serie: 289258, cod. mat.: 10184038)</t>
  </si>
  <si>
    <t>0001249/2022</t>
  </si>
  <si>
    <t>RTIAIV1 FASE A</t>
  </si>
  <si>
    <t>Substituição de reator RTIAIV1 FASE B (nº serie: 289255, cod. mat.: 10184035)</t>
  </si>
  <si>
    <t>0001250/2022</t>
  </si>
  <si>
    <t>RTIAIV1 FASE B</t>
  </si>
  <si>
    <t>Substituição de reator RTIAIV1 FASE C (nº serie: 289254, cod. mat.: 10184034)</t>
  </si>
  <si>
    <t>0001251/2022</t>
  </si>
  <si>
    <t>RTIAIV1 FASE C</t>
  </si>
  <si>
    <t>Substituição de disjuntor DJ12918 (nº serie: 1122-6R-012, cod. mat.: 10191560).</t>
  </si>
  <si>
    <t>0001272/2022</t>
  </si>
  <si>
    <t>DJ12918</t>
  </si>
  <si>
    <t>Substituição de disjuntor DJ12718 (nº serie: 1122-6R-005, cod. mat.: 10191558).</t>
  </si>
  <si>
    <t>0005412/2023</t>
  </si>
  <si>
    <t>DJ12718</t>
  </si>
  <si>
    <t>Substituição de para-raios PR01-A (nº serie: 45852, cod. mat.: 10199473).</t>
  </si>
  <si>
    <t>0001281/2022</t>
  </si>
  <si>
    <t>PR01-A</t>
  </si>
  <si>
    <t>Substituição de para-raios PR01-B (nº serie: 45853, cod. mat.: 10199474).</t>
  </si>
  <si>
    <t>0001282/2022</t>
  </si>
  <si>
    <t>PR01-B</t>
  </si>
  <si>
    <t>Substituição de para-raios PR01-C (nº serie: 45855, cod. mat.: 10199475).</t>
  </si>
  <si>
    <t>0001283/2022</t>
  </si>
  <si>
    <t>PR01-C</t>
  </si>
  <si>
    <t>Substituição de para-raios PR - RTIAIV1 STIAB FASE A (nº serie: 45808, cod. mat.: 10199461).</t>
  </si>
  <si>
    <t>0001268/2022</t>
  </si>
  <si>
    <t>PR - RTIAIV1 STIAB FASE A</t>
  </si>
  <si>
    <t>Substituição de para-raios PR - RTIAIV1 STIAB FASE B (nº serie: 45856, cod. mat.: 10199462).</t>
  </si>
  <si>
    <t>0001269/2022</t>
  </si>
  <si>
    <t>PR - RTIAIV1 STIAB FASE B</t>
  </si>
  <si>
    <t>Substituição de para-raios PR - RTIAIV1 STIAB FASE C (nº serie: 45858, cod. mat.: 10199463).</t>
  </si>
  <si>
    <t>0001270/2022</t>
  </si>
  <si>
    <t>PR - RTIAIV1 STIAB FASE C</t>
  </si>
  <si>
    <t>Substituição de para-raios PR01-A (nº serie: 45854, cod. mat.: 10199481).</t>
  </si>
  <si>
    <t>LT 765 kV ITABERA /IVAIPORA C-2 SP/PR</t>
  </si>
  <si>
    <t>0005414/2023</t>
  </si>
  <si>
    <t>Substituição de para-raios PR01-B (nº serie: 45716, cod. mat.: 10199480).</t>
  </si>
  <si>
    <t>0005415/2023</t>
  </si>
  <si>
    <t>Substituição de para-raios PR01-C (nº serie: 45715, cod. mat.: 10199482).</t>
  </si>
  <si>
    <t>0005416/2023</t>
  </si>
  <si>
    <t>Substituição de seccionadora SC12715 (nº serie: 11868002, cod. mat.: 10195460), por outro seccionador com lâmina de terra com corrente nominal de 4.000 A.</t>
  </si>
  <si>
    <t>CR 765 kV 621 Mvar ITABERA BC1A SP</t>
  </si>
  <si>
    <t>0000117/2022</t>
  </si>
  <si>
    <t>SC12715</t>
  </si>
  <si>
    <t>Substituição de seccionadora SC12717 (nº serie: 11868008, cod. mat.: 10195461),  por outro seccionador com lâmina de terra com corrente nominal de 4.000 A.</t>
  </si>
  <si>
    <t>CR 765 kV 621 Mvar ITABERA BC1B SP</t>
  </si>
  <si>
    <t>0000118/2022</t>
  </si>
  <si>
    <t>SC12717</t>
  </si>
  <si>
    <t>Substituição de seccionadora SC12910R (nº serie: 1003, cod. mat.: 10196916).</t>
  </si>
  <si>
    <t>0001271/2022</t>
  </si>
  <si>
    <t>SC12910R</t>
  </si>
  <si>
    <t>Substituição de seccionadora SC12711 (nº serie: 1029, cod. mat.: 10196921).</t>
  </si>
  <si>
    <t>0005423/2023</t>
  </si>
  <si>
    <t>SC12711</t>
  </si>
  <si>
    <t>Substituição de seccionadora SC12120T (nº serie: 01039T, cod. mat.: 10196949).</t>
  </si>
  <si>
    <t>0005424/2023</t>
  </si>
  <si>
    <t>SC12120T</t>
  </si>
  <si>
    <t>Substituição de seccionadora SC12721 (nº serie: 1039, cod. mat.: 10196907).</t>
  </si>
  <si>
    <t>0005425/2023</t>
  </si>
  <si>
    <t>SC12721</t>
  </si>
  <si>
    <t>Substituição de seccionadora SC12723 (nº serie: 1028, cod. mat.: 10196912).</t>
  </si>
  <si>
    <t>0005426/2023</t>
  </si>
  <si>
    <t>SC12723</t>
  </si>
  <si>
    <t>Substituição de seccionadora SC12843 (nº serie: 01026M, cod. mat.: 10196914).</t>
  </si>
  <si>
    <t>MG ITABERA / CCO-2001-062 - RB</t>
  </si>
  <si>
    <t>0005428/2023</t>
  </si>
  <si>
    <t>SC12843</t>
  </si>
  <si>
    <t>Substituição de trafo corrente TC DJ12918 FASE A (nº serie: 7269721, cod. mat.: 10185687).</t>
  </si>
  <si>
    <t>0001273/2022</t>
  </si>
  <si>
    <t>TC DJ12918 FASE A</t>
  </si>
  <si>
    <t>Substituição de trafo corrente TC DJ12918 FASE B (nº serie: 7269729, cod. mat.: 10185688).</t>
  </si>
  <si>
    <t>0001274/2022</t>
  </si>
  <si>
    <t>TC DJ12918 FASE B</t>
  </si>
  <si>
    <t>Substituição de trafo corrente TC DJ12918 FASE C (nº serie: 7269730, cod. mat.: 10185689).</t>
  </si>
  <si>
    <t>0001275/2022</t>
  </si>
  <si>
    <t>TC DJ12918 FASE C</t>
  </si>
  <si>
    <t>Substituição de trafo corrente TC DJ12928 FASE A (nº serie: 7176005, cod. mat.: 10185089).</t>
  </si>
  <si>
    <t>0005430/2023</t>
  </si>
  <si>
    <t>TC DJ12928 FASE A</t>
  </si>
  <si>
    <t>Substituição de trafo corrente TC DJ12928 FASE B (nº serie: 7176006, cod. mat.: 10185090).</t>
  </si>
  <si>
    <t>0005431/2023</t>
  </si>
  <si>
    <t>TC DJ12928 FASE B</t>
  </si>
  <si>
    <t>Substituição de trafo corrente TC DJ12928 FASE C (nº serie: 7176008, cod. mat.: 10185092).</t>
  </si>
  <si>
    <t>0005432/2023</t>
  </si>
  <si>
    <t>TC DJ12928 FASE C</t>
  </si>
  <si>
    <t>Substituição de trafo corrente TC DJ12718 FASE A (nº serie: 7269720, cod. mat.: 10185684).</t>
  </si>
  <si>
    <t>0005434/2023</t>
  </si>
  <si>
    <t>TC DJ12718 FASE A</t>
  </si>
  <si>
    <t>Substituição de trafo corrente TC DJ12718 FASE B (nº serie: 7269719, cod. mat.: 10185685).</t>
  </si>
  <si>
    <t>0005435/2023</t>
  </si>
  <si>
    <t>TC DJ12718 FASE B</t>
  </si>
  <si>
    <t>Substituição de trafo corrente TC DJ12718 FASE C (nº serie: 7269718, cod. mat.: 10185686).</t>
  </si>
  <si>
    <t>0005436/2023</t>
  </si>
  <si>
    <t>TC DJ12718 FASE C</t>
  </si>
  <si>
    <t>Substituição de trafo corrente TC - DJ12728 FASE A (nº serie: 7176016, cod. mat.: 10185099).</t>
  </si>
  <si>
    <t>0005437/2023</t>
  </si>
  <si>
    <t>TC - DJ12728 FASE A</t>
  </si>
  <si>
    <t>Substituição de trafo corrente TC - DJ12728 FASE B (nº serie: 7176017, cod. mat.: 10185100).</t>
  </si>
  <si>
    <t>0005439/2023</t>
  </si>
  <si>
    <t>TC - DJ12728 FASE B</t>
  </si>
  <si>
    <t>Substituição de trafo corrente TC - DJ12728 FASE C (nº serie: 7176018, cod. mat.: 10185101).</t>
  </si>
  <si>
    <t>0005441/2023</t>
  </si>
  <si>
    <t>TC - DJ12728 FASE C</t>
  </si>
  <si>
    <t>Substituição de trafo potencial/dcp DCP - LTIAIV1 FASE A (nº serie: 88638417, cod. mat.: 10190410).</t>
  </si>
  <si>
    <t>0001276/2022</t>
  </si>
  <si>
    <t>DCP - LTIAIV1 FASE A</t>
  </si>
  <si>
    <t>SUBSTITUIÇÃO DO CUBÍCULO  CC1 - 13,8kV</t>
  </si>
  <si>
    <t>0007147/2023</t>
  </si>
  <si>
    <t>CC1</t>
  </si>
  <si>
    <t>SUBSTITUIÇÃO DO CUBÍCULO  CC2 - 13,8kV</t>
  </si>
  <si>
    <t>0007148/2023</t>
  </si>
  <si>
    <t>CC2</t>
  </si>
  <si>
    <t>SUBSTITUIÇÃO DO CUBÍCULO  CC3 - 13,8kV</t>
  </si>
  <si>
    <t>0007149/2023</t>
  </si>
  <si>
    <t>CC3</t>
  </si>
  <si>
    <t>SUBSTITUIÇÃO DO PAINEL QDE1 - 220V</t>
  </si>
  <si>
    <t>0007150/2023</t>
  </si>
  <si>
    <t>QDE1</t>
  </si>
  <si>
    <t>SUBSTITUIÇÃO DO PAINEL QDN1 - 220V</t>
  </si>
  <si>
    <t>0007151/2023</t>
  </si>
  <si>
    <t>QDN1</t>
  </si>
  <si>
    <t>SUBSTITUIÇÃO DO PAINEL QDN2 - 480V</t>
  </si>
  <si>
    <t>0007152/2023</t>
  </si>
  <si>
    <t>QDN2</t>
  </si>
  <si>
    <t>SUBSTITUIÇÃO DO PAINEL QDN3 - 480V</t>
  </si>
  <si>
    <t>0007153/2023</t>
  </si>
  <si>
    <t>QDN3</t>
  </si>
  <si>
    <t>SUBSTITUIÇÃO DO PAINEL QDN4 - 480V</t>
  </si>
  <si>
    <t>0007154/2023</t>
  </si>
  <si>
    <t>QDN4</t>
  </si>
  <si>
    <t>SUBSTITUIÇÃO DO PAINEL QF1 - 480V</t>
  </si>
  <si>
    <t>0007155/2023</t>
  </si>
  <si>
    <t>QF1</t>
  </si>
  <si>
    <t>SUBSTITUIÇÃO DO PAINEL QFE1 - 480V</t>
  </si>
  <si>
    <t>0007156/2023</t>
  </si>
  <si>
    <t>QFE1</t>
  </si>
  <si>
    <t>SUBSTITUIÇÃO DO PAINEL QFE2 - 480V</t>
  </si>
  <si>
    <t>0007157/2023</t>
  </si>
  <si>
    <t>QFE2</t>
  </si>
  <si>
    <t>SUBSTITUIÇÃO DO PAINEL QFE3 - 480V</t>
  </si>
  <si>
    <t>0007158/2023</t>
  </si>
  <si>
    <t>QFE3</t>
  </si>
  <si>
    <t>SUBSTITUIÇÃO DO PAINEL QN1 - 480V</t>
  </si>
  <si>
    <t>0007159/2023</t>
  </si>
  <si>
    <t>QN1</t>
  </si>
  <si>
    <t>SUBSTITUIÇÃO DO PAINEL QN2 - 480V</t>
  </si>
  <si>
    <t>0007160/2023</t>
  </si>
  <si>
    <t>QN2</t>
  </si>
  <si>
    <t>SUBSTITUIÇÃO DO PAINEL QS1 - 480V</t>
  </si>
  <si>
    <t>0007161/2023</t>
  </si>
  <si>
    <t>QS1</t>
  </si>
  <si>
    <t>SUBSTITUIÇÃO DO PAINEL QS2 - 480V</t>
  </si>
  <si>
    <t>0007162/2023</t>
  </si>
  <si>
    <t>QS2</t>
  </si>
  <si>
    <t>SUBSTITUIÇÃO DO TRANSFORMADOR DE SERVIÇO AUXILIAR TRTD1 - 13,8KV/480V</t>
  </si>
  <si>
    <t>0007163/2023</t>
  </si>
  <si>
    <t>TRTD1</t>
  </si>
  <si>
    <t>SUBSTITUIÇÃO DO TRANSFORMADOR DE SERVIÇO AUXILIAR TRTN1 - 13,8KV/480V</t>
  </si>
  <si>
    <t>0007164/2023</t>
  </si>
  <si>
    <t>TRTN1</t>
  </si>
  <si>
    <t>SUBSTITUIÇÃO DO TRANSFORMADOR DE SERVIÇO AUXILIAR TRTN2 - 13,8KV/480V</t>
  </si>
  <si>
    <t>0007165/2023</t>
  </si>
  <si>
    <t>TRTN2</t>
  </si>
  <si>
    <t>SUBSTITUIÇÃO DO TRANSFORMADOR DE SERVIÇO AUXILIAR TRTS1 - 13,8KV/480V</t>
  </si>
  <si>
    <t>0007166/2023</t>
  </si>
  <si>
    <t>TRTS1</t>
  </si>
  <si>
    <t>SUBSTITUIÇÃO DO TRANSFORMADOR DE SERVIÇO AUXILIAR TRTS2 - 13,8KV/480V</t>
  </si>
  <si>
    <t>0007167/2023</t>
  </si>
  <si>
    <t>TRTS2</t>
  </si>
  <si>
    <t>SUBSTITUIÇÃO DO TRANSFORMADOR DE SERVIÇO AUXILIAR TRTSB1 - 13,8KV/220-127V</t>
  </si>
  <si>
    <t>0007168/2023</t>
  </si>
  <si>
    <t>TRTSB1</t>
  </si>
  <si>
    <t>SUBSTITUIÇÃO DO TRANSFORMADOR DE SERVIÇO AUXILIAR TRTSB2 - 13,8KV/220-127V</t>
  </si>
  <si>
    <t>0007169/2023</t>
  </si>
  <si>
    <t>TRTSB2</t>
  </si>
  <si>
    <t>SUBSTITUIÇÃO DO TRANSFORMADOR DE SERVIÇO AUXILIAR TRTLE1 - 480/220-127V</t>
  </si>
  <si>
    <t>0007170/2023</t>
  </si>
  <si>
    <t>TRTLE1</t>
  </si>
  <si>
    <t>SUBSTITUIÇÃO DO TRANSFORMADOR DE SERVIÇO AUXILIAR TRTLE2 - 480/220-127V</t>
  </si>
  <si>
    <t>0007171/2023</t>
  </si>
  <si>
    <t>TRTLE2</t>
  </si>
  <si>
    <t>SUBSTITUIÇÃO DO TRANSFORMADOR DE SERVIÇO AUXILIAR TRTLN1 - 480/220-127V</t>
  </si>
  <si>
    <t>0007172/2023</t>
  </si>
  <si>
    <t>TRTLN1</t>
  </si>
  <si>
    <t>SUBSTITUIÇÃO DO TRANSFORMADOR DE SERVIÇO AUXILIAR TRTLN2  - 480/220-127V</t>
  </si>
  <si>
    <t>0007173/2023</t>
  </si>
  <si>
    <t>TRTLN2</t>
  </si>
  <si>
    <t>SUBSTITUIÇÃO DO PAINEL QDCC1 - 125Vcc</t>
  </si>
  <si>
    <t>0007174/2023</t>
  </si>
  <si>
    <t>QDCC1</t>
  </si>
  <si>
    <t>SUBSTITUIÇÃO DO PAINEL QDCCE - 125Vcc</t>
  </si>
  <si>
    <t>0007175/2023</t>
  </si>
  <si>
    <t>QDCCE</t>
  </si>
  <si>
    <t>SUBSTITUIÇÃO DO PAINEL QDCCE1 - 125Vcc</t>
  </si>
  <si>
    <t>0007176/2023</t>
  </si>
  <si>
    <t>QDCCE1</t>
  </si>
  <si>
    <t>Substituição dos sistemas de  proteção da LT 750 kV ITABERA /IVAIPORA C-3 SP/PR e da proteção de falha de Disjuntor do DJ12938.</t>
  </si>
  <si>
    <t>LT 765 kV ITABERA /IVAIPORA C-3 SP/PR</t>
  </si>
  <si>
    <t>0007083/2023</t>
  </si>
  <si>
    <t>PROTEÇÃO - LT 750 kV ITABERA /IVAIPORA C-3 SP/PR</t>
  </si>
  <si>
    <t>Substituição do registrador de perturbações  e Localizador de Faltas por ondas viajantes (TW)  da LT 750 kV ITABERA /IVAIPORA C-3 SP/PR</t>
  </si>
  <si>
    <t>0007084/2023</t>
  </si>
  <si>
    <t>RDP - LT 750 kV ITABERA /IVAIPORA C-3 SP/PR</t>
  </si>
  <si>
    <t>Substituição dos sistemas de  proteção do RTL 750 kV 329 Mvar ITABERA RIV3 SP</t>
  </si>
  <si>
    <t>0007085/2023</t>
  </si>
  <si>
    <t>PROTEÇÃO - RTL 750 kV 329 Mvar ITABERA RIV3 SP</t>
  </si>
  <si>
    <t>Substituição do registrador de perturbações do RTL 750 kV 329 Mvar ITABERA RIV3 SP</t>
  </si>
  <si>
    <t>0007087/2023</t>
  </si>
  <si>
    <t>RDP - RTL 750 kV 329 Mvar ITABERA RIV3 SP</t>
  </si>
  <si>
    <t>Substituição dos sistemas de  proteção da LT 750 kV ITABERA /IVAIPORA C-2 SP/PR e da proteção de falha da disjuntor DJ12928.</t>
  </si>
  <si>
    <t>0007088/2023</t>
  </si>
  <si>
    <t>PROTEÇÃO - LT 750 kV ITABERA /IVAIPORA C-2 SP/PR</t>
  </si>
  <si>
    <t>Substituição do registrador de perturbações  e Localizador de Faltas por ondas viajantes (TW) da LT 750 kV ITABERA /IVAIPORA C-2 SP/PR</t>
  </si>
  <si>
    <t>0007089/2023</t>
  </si>
  <si>
    <t>RDP - LT 750 kV ITABERA /IVAIPORA C-2 SP/PR</t>
  </si>
  <si>
    <t>Substituição dos sistemas de  proteção do RTL 750 kV 329 Mvar ITABERA RIV2 SP</t>
  </si>
  <si>
    <t>0007090/2023</t>
  </si>
  <si>
    <t>PROTEÇÃO - RTL 750 kV 329 Mvar ITABERA RIV2 SP</t>
  </si>
  <si>
    <t>Substituição do registrador de perturbações do RTL 750 kV 329 Mvar ITABERA RIV2 SP</t>
  </si>
  <si>
    <t>0007091/2023</t>
  </si>
  <si>
    <t>RDP - RTL 750 kV 329 Mvar ITABERA RIV2 SP</t>
  </si>
  <si>
    <t>Substituição dos sistemas de  proteção da LT 750 kV ITABERA /IVAIPORA C-1 SP/PR e da proteção de falha do disjuntor DJ12918.</t>
  </si>
  <si>
    <t>0007092/2023</t>
  </si>
  <si>
    <t>PROTEÇÃO - LT 750 kV ITABERA /IVAIPORA C-1 SP/PR</t>
  </si>
  <si>
    <t>Substituição do registrador de perturbações  e Localizador de Faltas por ondas viajantes (TW)  da LT 750 kV ITABERA /IVAIPORA C-1 SP/PR</t>
  </si>
  <si>
    <t>0007094/2023</t>
  </si>
  <si>
    <t>RDP - LT 750 kV ITABERA /IVAIPORA C-1 SP/PR</t>
  </si>
  <si>
    <t>Substituição dos sistemas de  proteção do RTL 750 kV 329 Mvar ITABERA RIV1 SP</t>
  </si>
  <si>
    <t>0007095/2023</t>
  </si>
  <si>
    <t>PROTEÇÃO - RTL 750 kV 329 Mvar ITABERA RIV1 SP</t>
  </si>
  <si>
    <t>Substituição do registrador de perturbações do RTL 750 kV 329 Mvar ITABERA RIV1 SP</t>
  </si>
  <si>
    <t>0007096/2023</t>
  </si>
  <si>
    <t>RDP - RTL 750 kV 329 Mvar ITABERA RIV1 SP</t>
  </si>
  <si>
    <t>Substituição dos sistemas de  proteção da LT 750 kV ITABERA /TIJUCO PRETO C-1 SP e proteção de falha de disjuntor do DJ12718.</t>
  </si>
  <si>
    <t>0007097/2023</t>
  </si>
  <si>
    <t>PROTEÇÃO - LT 750 kV ITABERA /TIJUCO PRETO C-1 SP</t>
  </si>
  <si>
    <t>Substituição do registrador de perturbações  e Localizador de Faltas por ondas viajantes (TW)  da LT 750 kV ITABERA /TIJUCO PRETO C-1 SP</t>
  </si>
  <si>
    <t>0007098/2023</t>
  </si>
  <si>
    <t>RDP - LT 750 kV ITABERA /TIJUCO PRETO C-1 SP</t>
  </si>
  <si>
    <t>Substituição dos sistemas de  proteção da LT 750 kV ITABERA /TIJUCO PRETO C-2 SP e da proteção de falha de disjuntor do DJ12728.</t>
  </si>
  <si>
    <t>0007099/2023</t>
  </si>
  <si>
    <t>PROTEÇÃO - LT 750 kV ITABERA /TIJUCO PRETO C-2 SP</t>
  </si>
  <si>
    <t>Substituição do registrador de perturbações  e Localizador de Faltas por ondas viajantes (TW)  da LT 750 kV ITABERA /TIJUCO PRETO C-2 SP</t>
  </si>
  <si>
    <t>0007101/2023</t>
  </si>
  <si>
    <t>RDP - LT 750 kV ITABERA /TIJUCO PRETO C-2 SP</t>
  </si>
  <si>
    <t>Substituição do registrador de perturbações  e Localizador de Faltas por ondas viajantes (TW)  da LT 750 kV ITABERA /TIJUCO PRETO C-3 SP</t>
  </si>
  <si>
    <t>LT 765 kV ITABERA /TIJUCO PRETO C-3 SP</t>
  </si>
  <si>
    <t>0007102/2023</t>
  </si>
  <si>
    <t>RDP - LT 750 kV ITABERA /TIJUCO PRETO C-3 SP</t>
  </si>
  <si>
    <t>Substituição dos sistemas de proteção de Falha de Disjuntor do DJ12858</t>
  </si>
  <si>
    <t>0007103/2023</t>
  </si>
  <si>
    <t>PROTEÇÃO - DJ12858</t>
  </si>
  <si>
    <t>Substituição dos sistemas de proteção de Falha de Disjuntor do DJ12848</t>
  </si>
  <si>
    <t>0007104/2023</t>
  </si>
  <si>
    <t>PROTEÇÃO - DJ12848</t>
  </si>
  <si>
    <t>Substituição dos sistemas de proteção do DJ12838</t>
  </si>
  <si>
    <t>0007105/2023</t>
  </si>
  <si>
    <t>PROTEÇÃO - DJ12838</t>
  </si>
  <si>
    <t>Substituição do Módulo Concentrador de Informações de oscilografia.</t>
  </si>
  <si>
    <t>0007112/2023</t>
  </si>
  <si>
    <t>MÓDULO CONCENTRADOR</t>
  </si>
  <si>
    <t>Substituição do Módulo de Sincronização das informações.</t>
  </si>
  <si>
    <t>0007113/2023</t>
  </si>
  <si>
    <t>MÓDULO DE SINCRONIZAÇÃO (RARP)</t>
  </si>
  <si>
    <t>Modernização dos Módulos de Comunicação da Infra-Estrutura Geral do Sistemas de Proteção, Controle e Supervisão para permitir a comunicação de dados operativos associados ao Banco de Capacitores Série 765KV atendendo aos requisitos dos procedimentos de rede do ONS.</t>
  </si>
  <si>
    <t>0000426/2022</t>
  </si>
  <si>
    <t>MG IVAIPORA / CCO-2001-062 - RB</t>
  </si>
  <si>
    <t>0000427/2022</t>
  </si>
  <si>
    <t>Instalação dos seguintes subsistemas associados ao Sistema de Telecomunicação: Sistemas de Comunicação Integrada, sem fio, Corporativa e CFTV.</t>
  </si>
  <si>
    <t>0000428/2022</t>
  </si>
  <si>
    <t>0000429/2022</t>
  </si>
  <si>
    <t>Revitalização do transformador conversor 57855 para aumento de vida útil e atendimento à modernização do elo de corrente contínua de Furnas - DIT Itaipú. Necessidade indicada na Nota Técnica nº 164/2022 – SCT/ANEEL, de 22/02/2022. Data da necessidade - 31/12/2023. Equipamento atualmente na posição CV 600/600 kV IBIUNA CV3 SP - TRZE1-C. Após a revitalização será movimentado para o bipolo 1, com previsão de instalação na posição CV 600/600 kV IBIUNA CV3 SP - TRZE1-A.</t>
  </si>
  <si>
    <t>CV 600/600 kV IBIUNA CV3 SP - TRZE1-A</t>
  </si>
  <si>
    <t>0000403/2022</t>
  </si>
  <si>
    <t>TRZE1-A</t>
  </si>
  <si>
    <t>Revitalização do transformador conversor 7197222 para aumento de vida útil e atendimento à modrnização do elo de corrente contínua de Furnas - DIT Itaipú. Necessidade indicada na Nota Técnica nº 164/2022 – SCT/ANEEL, de 22/02/2022. Data da necessidade - 31/12/2023. Equipamento atualmente na posição CV 600/600 kV IBIUNA CVR4 SP. Após a revitalização será movimentado para o bipolo 1, com previsão de instalação na posição CV 600/600 kV IBIUNA CV3 SP - TRZE1-B.</t>
  </si>
  <si>
    <t>CV 600/600 kV IBIUNA CV3 SP - TRZE1-B</t>
  </si>
  <si>
    <t>0000406/2022</t>
  </si>
  <si>
    <t>TRZE1-B</t>
  </si>
  <si>
    <t>Revitalização do transformador conversor 7476860 para aumento de vida útil e atendimento à modernização do elo de corrente contínua de Furnas - DIT Itaipú. Necessidade indicada na Nota Técnica nº 164/2022 – SCT/ANEEL, de 22/02/2022. Data da necessidade - 31/12/2024. Equipamento atualmente na posição CV 600/600 kV IBIUNA CV3 SP - TRZE1-A. Após a revitalização será movimentado para o bipolo 1, com previsão de instalação na posição CV 600/600 kV IBIUNA CV4 SP - TRZH1-B.</t>
  </si>
  <si>
    <t>CV 600/600 kV IBIUNA CV4 SP - TRZH1-B</t>
  </si>
  <si>
    <t>0000407/2022</t>
  </si>
  <si>
    <t>TRZH1-B</t>
  </si>
  <si>
    <t>Revitalização do transformador conversor 7197223 para aumento de vida útil e atendimento à modernização do elo de corrente contínua de Furnas - DIT Itaipú. Necessidade indicada na Nota Técnica nº 164/2022 – SCT/ANEEL, de 22/02/2022. Data da necessidade - 31/12/2024. Equipamento atualmente na posição CV 600/600 kV IBIUNA CV3 SP - TRZE1-B. Após a revitalizaão será movimentado para o bipolo 1, com previsão de instalação na posição CV 600/600 kV IBIUNA CV4 SP - TRZH1-A.</t>
  </si>
  <si>
    <t>CV 600/600 kV IBIUNA CV4 SP - TRZH1-A</t>
  </si>
  <si>
    <t>0000410/2022</t>
  </si>
  <si>
    <t>TRZH1-A</t>
  </si>
  <si>
    <t>Revitalização do transformador conversor 7197226 para aumento de vida útil e atendimento à modernização do elo de corrente contínua de Furnas - DIT Itaipú. Necessidade indicada na Nota Técnica nº 164/2022 – SCT/ANEEL, de 22/02/2022. Data da necessidade - 31/12/2025. Equipamento atualmente na posição CV 600/600 kV IBIUNA CV4 SP - TRZH1-B. Após a revitalização será movimentado para o bipolo 1, com previsão de instalação na posição CV 600/600 kV IBIUNA CV3 SP - TRZE1-C.</t>
  </si>
  <si>
    <t>CV 600/600 kV IBIUNA CV3 SP - TRZE1-C</t>
  </si>
  <si>
    <t>0000412/2022</t>
  </si>
  <si>
    <t>TRZE1-C</t>
  </si>
  <si>
    <t>Revitalização do transformador conversor 58778 para aumento de vida útil e atendimento à modernização do elo de corrente contínua de Furnas - DIT Itaipú. Necessidade indicada na Nota Técnica nº 164/2022 – SCT/ANEEL, de 22/02/2022. Data da necessidade - 31/12/2025. Equipamento atualmente na posição CV 600/600 kV IBIUNA CV4 SP - TRZH1-A. Após a revitalizaão será movimentado para o bipolo 1, com previsão de instalação na posição CV 600/600 kV IBIUNA CV4 SP - TRZH1-C.</t>
  </si>
  <si>
    <t>CV 600/600 kV IBIUNA CV4 SP - TRZH1-C</t>
  </si>
  <si>
    <t>0000414/2022</t>
  </si>
  <si>
    <t>TRZH1-C</t>
  </si>
  <si>
    <t>Implantação de interligação entre o reator reserva 50 Mvar(base 500 kV) ou 60 Mvar(base 550 kV), existente na SE Sobral III, e o Banco de Reatores de Barra 05E5, a ser implantado por meio da ReA 8.328/2019. A obra é composta por: estruturas, barramento, cabeação e infraestrutura associada.</t>
  </si>
  <si>
    <t>RTR 500 kV 60 MVAr SOBRAL III RTR1 CE</t>
  </si>
  <si>
    <t>0000432/2022</t>
  </si>
  <si>
    <t>Substituição de banco de capacitor BC07 (nº serie: STTP_BC_0006, cod. mat.: 10253314).</t>
  </si>
  <si>
    <t>BC 345 kV 200 Mvar TIJUCO PRETO BC7 SP</t>
  </si>
  <si>
    <t>0001285/2022</t>
  </si>
  <si>
    <t>BANCO DE CAPACITORES - BC07</t>
  </si>
  <si>
    <t>Substituição de seccionadora SC877C (nº serie: 13413, cod. mat.: 10193495).</t>
  </si>
  <si>
    <t>0001287/2022</t>
  </si>
  <si>
    <t>SC877C</t>
  </si>
  <si>
    <t>Substituição de seccionadora SC870T (nº serie: 13413T, cod. mat.: 10193496).</t>
  </si>
  <si>
    <t>0001289/2022</t>
  </si>
  <si>
    <t>SC870T</t>
  </si>
  <si>
    <t>Substituição de seccionadora SC8515 (nº serie: 12672, cod. mat.: 10194835).</t>
  </si>
  <si>
    <t>BC 345 kV 200 Mvar TIJUCO PRETO BC8 SP</t>
  </si>
  <si>
    <t>0001290/2022</t>
  </si>
  <si>
    <t>SC8515</t>
  </si>
  <si>
    <t>Substituição de seccionadora SC8513 (nº serie: 12673, cod. mat.: 10194834).</t>
  </si>
  <si>
    <t>0001292/2022</t>
  </si>
  <si>
    <t>SC8513</t>
  </si>
  <si>
    <t>Substituição de seccionadora SC8511 (nº serie: 12671, cod. mat.: 10194833).</t>
  </si>
  <si>
    <t>0001295/2022</t>
  </si>
  <si>
    <t>SC8511</t>
  </si>
  <si>
    <t>Substituição de para-raios RTIATP2 STTPR FASE A (nº serie: 75026395, cod. mat.: 10198523).</t>
  </si>
  <si>
    <t>0004827/2023</t>
  </si>
  <si>
    <t>PARA-RAIOS - RTIATP2 STTPR FASE A</t>
  </si>
  <si>
    <t>Substituição de para-raios RTIATP2 STTPR FASE B (nº serie: 75026396, cod. mat.: 10198524).</t>
  </si>
  <si>
    <t>0004830/2023</t>
  </si>
  <si>
    <t>PARA-RAIOS - RTIATP2 STTPR FASE B</t>
  </si>
  <si>
    <t>Substituição de para-raios RTIATP2 STTPR FASE C (nº serie: 75026397, cod. mat.: 10198525).</t>
  </si>
  <si>
    <t>0004831/2023</t>
  </si>
  <si>
    <t>PARA-RAIOS - RTIATP2 STTPR FASE C</t>
  </si>
  <si>
    <t>Substituição de seccionadora SC12720R (nº serie: 01006, cod. mat.: 10196929).</t>
  </si>
  <si>
    <t>0004874/2023</t>
  </si>
  <si>
    <t>SC12720R</t>
  </si>
  <si>
    <t>Substituição de seccionadora SC12931 (nº serie: 01046, cod. mat.: 10196937).</t>
  </si>
  <si>
    <t>TR 765/500 kV TIJUCO PRETO TR3 SP</t>
  </si>
  <si>
    <t>0004875/2023</t>
  </si>
  <si>
    <t>SC12931</t>
  </si>
  <si>
    <t>Substituição de seccionadora SC12933 (nº serie: 01007, cod. mat.: 10196938).</t>
  </si>
  <si>
    <t>0004876/2023</t>
  </si>
  <si>
    <t>SC12933</t>
  </si>
  <si>
    <t>Substituição de seccionadora SC12937 (nº serie: 01047, cod. mat.: 10196939).</t>
  </si>
  <si>
    <t>0004877/2023</t>
  </si>
  <si>
    <t>SC12937</t>
  </si>
  <si>
    <t>Substituição de trafo corrente TC DJ12934 FASE A (nº serie: 7176021, cod. mat.: 10185104).</t>
  </si>
  <si>
    <t>0004916/2023</t>
  </si>
  <si>
    <t>TC DJ12934 FASE A</t>
  </si>
  <si>
    <t>Substituição de trafo corrente TC DJ12934 FASE B (nº serie: 7176030, cod. mat.: 10185113).</t>
  </si>
  <si>
    <t>0004917/2023</t>
  </si>
  <si>
    <t>TC DJ12934 FASE B</t>
  </si>
  <si>
    <t>Substituição de trafo corrente TC DJ12934 FASE C (nº serie: 7176011, cod. mat.: 10185095).</t>
  </si>
  <si>
    <t>0004921/2023</t>
  </si>
  <si>
    <t>TC DJ12934 FASE C</t>
  </si>
  <si>
    <t>Substituição de trafo corrente TC DJ934 FASE A (nº serie: K83021-02-01, cod. mat.: 10184616).</t>
  </si>
  <si>
    <t>0004922/2023</t>
  </si>
  <si>
    <t>TC DJ934 FASE A</t>
  </si>
  <si>
    <t>Substituição de trafo corrente TC DJ934 FASE B (nº serie: K83021-02-02, cod. mat.: 10184617).</t>
  </si>
  <si>
    <t>0004925/2023</t>
  </si>
  <si>
    <t>TC DJ934 FASE B</t>
  </si>
  <si>
    <t>Substituição de trafo corrente TC DJ934 FASE C (nº serie: K83021-02-03, cod. mat.: 10184618).</t>
  </si>
  <si>
    <t>0004927/2023</t>
  </si>
  <si>
    <t>TC DJ934 FASE C</t>
  </si>
  <si>
    <t>Substituição de trafo potencial/dcp TP 69KV AT03 FASE A (nº serie: 332847, cod. mat.: 10187997).</t>
  </si>
  <si>
    <t>0004947/2023</t>
  </si>
  <si>
    <t>TP 69KV AT03 FASE A</t>
  </si>
  <si>
    <t>Substituição de trafo potencial/dcp TP 69KV AT03 FASE B (nº serie: 332848, cod. mat.: 10187998).</t>
  </si>
  <si>
    <t>0004948/2023</t>
  </si>
  <si>
    <t>TP 69KV AT03 FASE B</t>
  </si>
  <si>
    <t>Substituição de trafo potencial/dcp TP 69KV AT03 FASE C (nº serie: 332849, cod. mat.: 10187999).</t>
  </si>
  <si>
    <t>0004950/2023</t>
  </si>
  <si>
    <t>TP 69KV AT03 FASE C</t>
  </si>
  <si>
    <t>Substituição de disjuntor DJ9344 (nº serie: 1133-4R-002, cod. mat.: 10191518).</t>
  </si>
  <si>
    <t>0004855/2023</t>
  </si>
  <si>
    <t>DJ9344</t>
  </si>
  <si>
    <t>Substituição de seccionadora SC9340T (nº serie: 1131T, cod. mat.: 10194287).</t>
  </si>
  <si>
    <t>0004872/2023</t>
  </si>
  <si>
    <t>SC9340T</t>
  </si>
  <si>
    <t>Substituição de seccionadora SC9343 (nº serie: 1126, cod. mat.: 10194285).</t>
  </si>
  <si>
    <t>0004880/2023</t>
  </si>
  <si>
    <t>SC9343</t>
  </si>
  <si>
    <t>Substituição de seccionadora SC9347 (nº serie: 1131, cod. mat.: 10194286).</t>
  </si>
  <si>
    <t>0004882/2023</t>
  </si>
  <si>
    <t>SC9347</t>
  </si>
  <si>
    <t>Substituição de trafo corrente TCS DJ9344 FASE A (nº serie: K96261-02, cod. mat.: 10184651).</t>
  </si>
  <si>
    <t>0004933/2023</t>
  </si>
  <si>
    <t>TCS DJ9344 FASE A</t>
  </si>
  <si>
    <t>Substituição de trafo corrente TCS DJ9344 FASE B (nº serie: K96261-09, cod. mat.: 10184652).</t>
  </si>
  <si>
    <t>0004934/2023</t>
  </si>
  <si>
    <t>TCS DJ9344 FASE B</t>
  </si>
  <si>
    <t>Substituição de trafo corrente TCS DJ9344 FASE C (nº serie: K96261-03, cod. mat.: 10184653).</t>
  </si>
  <si>
    <t>0004935/2023</t>
  </si>
  <si>
    <t>TCS DJ9344 FASE C</t>
  </si>
  <si>
    <t>Substituição de trafo potencial/dcp DCP LTCHTP1 STTP FASE A (nº serie: 88660403, cod. mat.: 10190402).</t>
  </si>
  <si>
    <t>0004952/2023</t>
  </si>
  <si>
    <t>DCP LTCHTP1 STTP FASE A</t>
  </si>
  <si>
    <t>Substituição de trafo potencial/dcp DCP LTCHTP1 STTP FASE B (nº serie: 88660501, cod. mat.: 10190446).</t>
  </si>
  <si>
    <t>0004953/2023</t>
  </si>
  <si>
    <t>DCP LTCHTP1 STTP FASE B</t>
  </si>
  <si>
    <t>Substituição de trafo potencial/dcp DCP LTCHTP1 STTP FASE C (nº serie: 88695801, cod. mat.: 10190447).</t>
  </si>
  <si>
    <t>0004954/2023</t>
  </si>
  <si>
    <t>DCP LTCHTP1 STTP FASE C</t>
  </si>
  <si>
    <t>Substituição de disjuntor DJ12714 (nº serie: 1122-6R-006, cod. mat.: 10191543).</t>
  </si>
  <si>
    <t>0004854/2023</t>
  </si>
  <si>
    <t>DJ12714</t>
  </si>
  <si>
    <t>Substituição de seccionadora SC12710R (nº serie: 1858, cod. mat.: 10196023).</t>
  </si>
  <si>
    <t>0004883/2023</t>
  </si>
  <si>
    <t>SC12710R</t>
  </si>
  <si>
    <t>Substituição de trafo corrente TCS DJ12714 FASE A (nº serie: 7269-722, cod. mat.: 10184161).</t>
  </si>
  <si>
    <t>0004940/2023</t>
  </si>
  <si>
    <t>TCS DJ12714 FASE A</t>
  </si>
  <si>
    <t>Substituição de trafo corrente TCS DJ12714 FASE B (nº serie: 7269-728, cod. mat.: 10184162).</t>
  </si>
  <si>
    <t>0004941/2023</t>
  </si>
  <si>
    <t>TCS DJ12714 FASE B</t>
  </si>
  <si>
    <t>Substituição de trafo corrente TCS DJ12714 FASE C (nº serie: 7269-709, cod. mat.: 10184163).</t>
  </si>
  <si>
    <t>0004943/2023</t>
  </si>
  <si>
    <t>TCS DJ12714 FASE C</t>
  </si>
  <si>
    <t>Substituição de trafo potencial/dcp DCP LTIATP1 STTP FASE B (nº serie: 88638421, cod. mat.: 10190392).</t>
  </si>
  <si>
    <t>0004955/2023</t>
  </si>
  <si>
    <t>DCP LTIATP1 STTP FASE B</t>
  </si>
  <si>
    <t>Substituição de trafo potencial/dcp DCP LTIATP1 STTP FASE C (nº serie: 88638422, cod. mat.: 10190393).</t>
  </si>
  <si>
    <t>0004956/2023</t>
  </si>
  <si>
    <t>DCP LTIATP1 STTP FASE C</t>
  </si>
  <si>
    <t>Substituição de seccionadora SC8481 (nº serie: 12013, cod. mat.: 10194827).</t>
  </si>
  <si>
    <t>LT 345 kV IBIUNA /TIJUCO PRETO C-1 SP</t>
  </si>
  <si>
    <t>0004884/2023</t>
  </si>
  <si>
    <t>SC8481</t>
  </si>
  <si>
    <t>Substituição de seccionadora SC8483 (nº serie: 12011, cod. mat.: 10194828).</t>
  </si>
  <si>
    <t>0004889/2023</t>
  </si>
  <si>
    <t>SC8483</t>
  </si>
  <si>
    <t>Substituição de seccionadora SC8487 (nº serie: 12044, cod. mat.: 10194829).</t>
  </si>
  <si>
    <t>0004902/2023</t>
  </si>
  <si>
    <t>SC8487</t>
  </si>
  <si>
    <t>Substituição de seccionadora SC8480T (nº serie: 12044 T, cod. mat.: 10194865).</t>
  </si>
  <si>
    <t>0004904/2023</t>
  </si>
  <si>
    <t>SC8480T</t>
  </si>
  <si>
    <t>Substituição de disjuntor DJ9354 (nº serie: 1133-4R-001, cod. mat.: 10191517).</t>
  </si>
  <si>
    <t>LT 500 kV TIJUCO PRETO /TAUBATE C-1 SP</t>
  </si>
  <si>
    <t>0004857/2023</t>
  </si>
  <si>
    <t>DJ9354</t>
  </si>
  <si>
    <t>Substituição de trafo de aterramento AT04 FASE A (nº serie: 34675, cod. mat.: 10183085).</t>
  </si>
  <si>
    <t>TR 765/345 kV TIJUCO PRETO TR4 SP</t>
  </si>
  <si>
    <t>0001301/2022</t>
  </si>
  <si>
    <t>TRAFO ATERRAMENTO AT04 FASE A</t>
  </si>
  <si>
    <t>Substituição de trafo de aterramento AT04 FASE B (nº serie: 34676, cod. mat.: 10183086).</t>
  </si>
  <si>
    <t>0001302/2022</t>
  </si>
  <si>
    <t>TRAFO ATERRAMENTO AT04 FASE B</t>
  </si>
  <si>
    <t>Substituição de trafo de aterramento AT04 FASE C (nº serie: 34677, cod. mat.: 10183087).</t>
  </si>
  <si>
    <t>0001303/2022</t>
  </si>
  <si>
    <t>TRAFO ATERRAMENTO AT04 FASE C</t>
  </si>
  <si>
    <t>Substituição de banco de capacitor BC03 (nº serie: STTP_BC_0002, cod. mat.: 10253310).</t>
  </si>
  <si>
    <t>0001286/2022</t>
  </si>
  <si>
    <t>BANCO DE CAPACITORES - BC03</t>
  </si>
  <si>
    <t>Substituição de disjuntor DJ834C (nº serie: 5810, cod. mat.: 10243569).</t>
  </si>
  <si>
    <t>0001296/2022</t>
  </si>
  <si>
    <t>DJ834C</t>
  </si>
  <si>
    <t>Substituição de disjuntor DJ534 (nº serie: 77995, cod. mat.: 10191732).
Capacidade de curto-circuito (kA) do novo equipamento: 31,5 kA.</t>
  </si>
  <si>
    <t>0006950/2023</t>
  </si>
  <si>
    <t>DJ534</t>
  </si>
  <si>
    <t>SUBSTITUIÇÃO DO CUBÍCULO CC1 01  - 13,8KV</t>
  </si>
  <si>
    <t>0004963/2023</t>
  </si>
  <si>
    <t>CC1 01</t>
  </si>
  <si>
    <t>SUBSTITUIÇÃO DO CUBÍCULO CC1 02  - 13,8KV</t>
  </si>
  <si>
    <t>0004964/2023</t>
  </si>
  <si>
    <t>CC1 02</t>
  </si>
  <si>
    <t>SUBSTITUIÇÃO DO CUBÍCULO CC1 03  - 13,8KV</t>
  </si>
  <si>
    <t>0004965/2023</t>
  </si>
  <si>
    <t>CC1 03</t>
  </si>
  <si>
    <t>SUBSTITUIÇÃO DO CUBÍCULO CC1 04  - 13,8KV</t>
  </si>
  <si>
    <t>0004966/2023</t>
  </si>
  <si>
    <t>CC1 04</t>
  </si>
  <si>
    <t>SUBSTITUIÇÃO DO CUBÍCULO CC1 05  - 13,8KV</t>
  </si>
  <si>
    <t>0004967/2023</t>
  </si>
  <si>
    <t>CC1 05</t>
  </si>
  <si>
    <t>SUBSTITUIÇÃO DO CUBÍCULO CC1 06  - 13,8KV</t>
  </si>
  <si>
    <t>0004969/2023</t>
  </si>
  <si>
    <t>CC1 06</t>
  </si>
  <si>
    <t>SUBSTITUIÇÃO DO CUBÍCULO CC1 07  - 13,8KV</t>
  </si>
  <si>
    <t>0004970/2023</t>
  </si>
  <si>
    <t>CC1 07</t>
  </si>
  <si>
    <t>SUBSTITUIÇÃO DO CUBÍCULO CC1 08  - 13,8KV</t>
  </si>
  <si>
    <t>0004971/2023</t>
  </si>
  <si>
    <t>CC1 08</t>
  </si>
  <si>
    <t>SUBSTITUIÇÃO DO CUBÍCULO CC1 09  - 13,8KV</t>
  </si>
  <si>
    <t>0004973/2023</t>
  </si>
  <si>
    <t>CC1 09</t>
  </si>
  <si>
    <t>SUBSTITUIÇÃO DO CUBÍCULO CC1 10  - 13,8KV</t>
  </si>
  <si>
    <t>0004974/2023</t>
  </si>
  <si>
    <t>CC1 10</t>
  </si>
  <si>
    <t>SUBSTITUIÇÃO DO CUBÍCULO CC1 11  - 13,8KV</t>
  </si>
  <si>
    <t>0004976/2023</t>
  </si>
  <si>
    <t>CC1 11</t>
  </si>
  <si>
    <t>SUBSTITUIÇÃO DO CUBÍCULO CC1 12  - 13,8KV</t>
  </si>
  <si>
    <t>0004977/2023</t>
  </si>
  <si>
    <t>CC1 12</t>
  </si>
  <si>
    <t>SUBSTITUIÇÃO DO CUBÍCULO CC1 13  - 13,8KV</t>
  </si>
  <si>
    <t>0004978/2023</t>
  </si>
  <si>
    <t>CC1 13</t>
  </si>
  <si>
    <t>SUBSTITUIÇÃO DO CUBÍCULO CC1 14  - 13,8KV</t>
  </si>
  <si>
    <t>0004979/2023</t>
  </si>
  <si>
    <t>CC1 14</t>
  </si>
  <si>
    <t>SUBSTITUIÇÃO DO CUBÍCULO CC1 15  - 13,8KV</t>
  </si>
  <si>
    <t>0004980/2023</t>
  </si>
  <si>
    <t>CC1 15</t>
  </si>
  <si>
    <t>SUBSTITUIÇÃO DO CUBÍCULO CC2 01  - 13,8KV</t>
  </si>
  <si>
    <t>0004981/2023</t>
  </si>
  <si>
    <t>CC2 01</t>
  </si>
  <si>
    <t>SUBSTITUIÇÃO DO CUBÍCULO CC2 02  - 13,8KV</t>
  </si>
  <si>
    <t>0004983/2023</t>
  </si>
  <si>
    <t>CC2 02</t>
  </si>
  <si>
    <t>SUBSTITUIÇÃO DO CUBÍCULO CC2 03  - 13,8KV</t>
  </si>
  <si>
    <t>0004984/2023</t>
  </si>
  <si>
    <t>CC2 03</t>
  </si>
  <si>
    <t>SUBSTITUIÇÃO DO CUBÍCULO CC2 04  - 13,8KV</t>
  </si>
  <si>
    <t>0004985/2023</t>
  </si>
  <si>
    <t>CC2 04</t>
  </si>
  <si>
    <t>SUBSTITUIÇÃO DO CUBÍCULO CC2 05  - 13,8KV</t>
  </si>
  <si>
    <t>0004986/2023</t>
  </si>
  <si>
    <t>CC2 05</t>
  </si>
  <si>
    <t>SUBSTITUIÇÃO DO CUBÍCULO CC2 06  - 13,8KV</t>
  </si>
  <si>
    <t>0004987/2023</t>
  </si>
  <si>
    <t>CC2 06</t>
  </si>
  <si>
    <t>SUBSTITUIÇÃO DO CUBÍCULO CC2 07  - 13,8KV</t>
  </si>
  <si>
    <t>0004989/2023</t>
  </si>
  <si>
    <t>CC2 07</t>
  </si>
  <si>
    <t>SUBSTITUIÇÃO DO CUBÍCULO CC2 08  - 13,8KV</t>
  </si>
  <si>
    <t>0004990/2023</t>
  </si>
  <si>
    <t>CC2 08</t>
  </si>
  <si>
    <t>SUBSTITUIÇÃO DO CUBÍCULO CC2 09  - 13,8KV</t>
  </si>
  <si>
    <t>0004991/2023</t>
  </si>
  <si>
    <t>CC2 09</t>
  </si>
  <si>
    <t>SUBSTITUIÇÃO DO CUBÍCULO CC2 10  - 13,8KV</t>
  </si>
  <si>
    <t>0004992/2023</t>
  </si>
  <si>
    <t>CC2 10</t>
  </si>
  <si>
    <t>SUBSTITUIÇÃO DO CUBÍCULO CC2 11  - 13,8KV</t>
  </si>
  <si>
    <t>0004993/2023</t>
  </si>
  <si>
    <t>CC2 11</t>
  </si>
  <si>
    <t>SUBSTITUIÇÃO DO CUBÍCULO CC2 12  - 13,8KV</t>
  </si>
  <si>
    <t>0004995/2023</t>
  </si>
  <si>
    <t>CC2 12</t>
  </si>
  <si>
    <t>SUBSTITUIÇÃO DO CUBÍCULO CC2 13  - 13,8KV</t>
  </si>
  <si>
    <t>0005253/2023</t>
  </si>
  <si>
    <t>CC2 13</t>
  </si>
  <si>
    <t>SUBSTITUIÇÃO DO CUBÍCULO CC2-52/TA4 69-13,8 KV</t>
  </si>
  <si>
    <t>0005255/2023</t>
  </si>
  <si>
    <t>CC2-52/TA4 69-13,8 KV</t>
  </si>
  <si>
    <t>SUBSTITUIÇÃO DO CUBÍCULO CC3 02  - 13,8KV</t>
  </si>
  <si>
    <t>0005256/2023</t>
  </si>
  <si>
    <t>CC3 02</t>
  </si>
  <si>
    <t>SUBSTITUIÇÃO DO CUBÍCULO CC3 03  - 13,8KV</t>
  </si>
  <si>
    <t>0005257/2023</t>
  </si>
  <si>
    <t>CC3 03</t>
  </si>
  <si>
    <t>SUBSTITUIÇÃO DO CUBÍCULO CC3 04  - 13,8KV</t>
  </si>
  <si>
    <t>0005259/2023</t>
  </si>
  <si>
    <t>CC3 04</t>
  </si>
  <si>
    <t>SUBSTITUIÇÃO DO CUBÍCULO CC3 05  - 13,8KV</t>
  </si>
  <si>
    <t>0005260/2023</t>
  </si>
  <si>
    <t>CC3 05</t>
  </si>
  <si>
    <t>SUBSTITUIÇÃO DO CUBÍCULO CC4  - 13,8KV</t>
  </si>
  <si>
    <t>0005261/2023</t>
  </si>
  <si>
    <t>CC4</t>
  </si>
  <si>
    <t>SUBSTITUIÇÃO DO TRANSFORMADOR AUXILIAR SATR03 - 13,8KV</t>
  </si>
  <si>
    <t>0005263/2023</t>
  </si>
  <si>
    <t>SATR03</t>
  </si>
  <si>
    <t>SUBSTITUIÇÃO DO TRANSFORMADOR AUXILIAR SATR04  - 13,8KV/220V</t>
  </si>
  <si>
    <t>0005264/2023</t>
  </si>
  <si>
    <t>SATR04</t>
  </si>
  <si>
    <t>SUBSTITUIÇÃO DO TRANSFORMADOR AUXILIAR SATR05  - 13,8KV/220V</t>
  </si>
  <si>
    <t>0005265/2023</t>
  </si>
  <si>
    <t>SATR05</t>
  </si>
  <si>
    <t>SUBSTITUIÇÃO DO TRANSFORMADOR AUXILIAR SATR06  - 13,8KV/220V</t>
  </si>
  <si>
    <t>0005267/2023</t>
  </si>
  <si>
    <t>SATR06</t>
  </si>
  <si>
    <t>SUBSTITUIÇÃO DO TRANSFORMADOR AUXILIAR SATR07  - 13,8KV/220V</t>
  </si>
  <si>
    <t>0005268/2023</t>
  </si>
  <si>
    <t>SATR07</t>
  </si>
  <si>
    <t>SUBSTITUIÇÃO DO TRANSFORMADOR AUXILIAR SATR09 - 13,8KV/220V</t>
  </si>
  <si>
    <t>0005270/2023</t>
  </si>
  <si>
    <t>SATR09</t>
  </si>
  <si>
    <t>SUBSTITUIÇÃO DO TRANSFORMADOR AUXILIAR SATR10 - 13,8KV/220V</t>
  </si>
  <si>
    <t>0005271/2023</t>
  </si>
  <si>
    <t>SATR10</t>
  </si>
  <si>
    <t>SUBSTITUIÇÃO DO TRANSFORMADOR AUXILIAR TFD15 - 13,8KV/220V</t>
  </si>
  <si>
    <t>0005273/2023</t>
  </si>
  <si>
    <t>TF 15 13.8 KV / 220 V</t>
  </si>
  <si>
    <t>SUBSTITUIÇÃO DO TRANSFORMADOR AUXILIAR TFD16 - 13,8KV/220V</t>
  </si>
  <si>
    <t>0005274/2023</t>
  </si>
  <si>
    <t>TF 16 13.8 KV / 220 V</t>
  </si>
  <si>
    <t>SUBSTITUIÇÃO DO TRANSFORMADOR DE SERVIÇO AUXILIAR TA2 - 69/13,8KV</t>
  </si>
  <si>
    <t>0005276/2023</t>
  </si>
  <si>
    <t>TA2</t>
  </si>
  <si>
    <t>SUBSTITUIÇÃO DO TRANSFORMADOR DE SERVIÇO AUXILIAR TA3 - 69/13,8KV</t>
  </si>
  <si>
    <t>0005277/2023</t>
  </si>
  <si>
    <t>TA3</t>
  </si>
  <si>
    <t>SUBSTITUIÇÃO DO TRANSFORMADOR DE SERVIÇO AUXILIAR TA4 - 20/13,8KV</t>
  </si>
  <si>
    <t>0005278/2023</t>
  </si>
  <si>
    <t>TA4</t>
  </si>
  <si>
    <t>SUBSTITUIÇÃO DO TRANSFORMADOR DE SERVIÇO AUXILIAR TE1 - 13,8KV/480V</t>
  </si>
  <si>
    <t>0005280/2023</t>
  </si>
  <si>
    <t>TE1</t>
  </si>
  <si>
    <t>SUBSTITUIÇÃO DO TRANSFORMADOR DE SERVIÇO AUXILIAR TE2 - 13,8KV/480V</t>
  </si>
  <si>
    <t>0005281/2023</t>
  </si>
  <si>
    <t>TE2</t>
  </si>
  <si>
    <t>SUBSTITUIÇÃO DO TRANSFORMADOR DE SERVIÇO AUXILIAR TF10 - 13,8KV/480V</t>
  </si>
  <si>
    <t>0005282/2023</t>
  </si>
  <si>
    <t>TF10</t>
  </si>
  <si>
    <t>SUBSTITUIÇÃO DO TRANSFORMADOR DE SERVIÇO AUXILIAR TF15 - 13,8KV/480V</t>
  </si>
  <si>
    <t>0005284/2023</t>
  </si>
  <si>
    <t>TF15</t>
  </si>
  <si>
    <t>SUBSTITUIÇÃO DO TRANSFORMADOR DE SERVIÇO AUXILIAR TF16 - 13,8KV/480V</t>
  </si>
  <si>
    <t>0005285/2023</t>
  </si>
  <si>
    <t>TF16</t>
  </si>
  <si>
    <t>SUBSTITUIÇÃO DO TRANSFORMADOR DE SERVIÇO AUXILIAR TF3 - 13,8KV/480V</t>
  </si>
  <si>
    <t>0005287/2023</t>
  </si>
  <si>
    <t>TF03</t>
  </si>
  <si>
    <t>SUBSTITUIÇÃO DO TRANSFORMADOR DE SERVIÇO AUXILIAR TF4 - 13,8KV/480V</t>
  </si>
  <si>
    <t>0005288/2023</t>
  </si>
  <si>
    <t>TF04</t>
  </si>
  <si>
    <t>SUBSTITUIÇÃO DO TRANSFORMADOR DE SERVIÇO AUXILIAR TF5 - 13,8KV/480V</t>
  </si>
  <si>
    <t>0005290/2023</t>
  </si>
  <si>
    <t>TF05</t>
  </si>
  <si>
    <t>SUBSTITUIÇÃO DO TRANSFORMADOR DE SERVIÇO AUXILIAR TF6 - 13,8KV/480V</t>
  </si>
  <si>
    <t>0005291/2023</t>
  </si>
  <si>
    <t>TF06</t>
  </si>
  <si>
    <t>SUBSTITUIÇÃO DO TRANSFORMADOR DE SERVIÇO AUXILIAR TF7 - 13,8KV/480V</t>
  </si>
  <si>
    <t>0005292/2023</t>
  </si>
  <si>
    <t>TF07</t>
  </si>
  <si>
    <t>SUBSTITUIÇÃO DO TRANSFORMADOR DE SERVIÇO AUXILIAR TF8 - 13,8KV/480V</t>
  </si>
  <si>
    <t>0005294/2023</t>
  </si>
  <si>
    <t>TF08</t>
  </si>
  <si>
    <t>SUBSTITUIÇÃO DO TRANSFORMADOR DE SERVIÇO AUXILIAR TF9 - 13,8KV/480V</t>
  </si>
  <si>
    <t>0005295/2023</t>
  </si>
  <si>
    <t>TF09</t>
  </si>
  <si>
    <t>SUBSTITUIÇÃO DO TRANSFORMADOR DE SERVIÇO AUXILIAR TN1 - 13,8KV/480V</t>
  </si>
  <si>
    <t>0005297/2023</t>
  </si>
  <si>
    <t>TN1</t>
  </si>
  <si>
    <t>SUBSTITUIÇÃO DO TRANSFORMADOR DE SERVIÇO AUXILIAR TN2 - 13,8KV/480V</t>
  </si>
  <si>
    <t>0005298/2023</t>
  </si>
  <si>
    <t>TN2</t>
  </si>
  <si>
    <t>SUBSTITUIÇÃO DO TRANSFORMADOR DE SERVIÇO AUXILIAR TO1 - 13,8KV/480V</t>
  </si>
  <si>
    <t>0005299/2023</t>
  </si>
  <si>
    <t>TO1</t>
  </si>
  <si>
    <t>SUBSTITUIÇÃO DO TRANSFORMADOR DE SERVIÇO AUXILIAR TO2 - 13,8KV/480V</t>
  </si>
  <si>
    <t>0005301/2023</t>
  </si>
  <si>
    <t>TO2</t>
  </si>
  <si>
    <t>SUBSTITUIÇÃO DO PAINEL QE1 - 480V</t>
  </si>
  <si>
    <t>0005302/2023</t>
  </si>
  <si>
    <t>QE1</t>
  </si>
  <si>
    <t>SUBSTITUIÇÃO DO PAINEL QE2  - 480V</t>
  </si>
  <si>
    <t>0005304/2023</t>
  </si>
  <si>
    <t>QE2</t>
  </si>
  <si>
    <t>SUBSTITUIÇÃO DO PAINEL QE3  - 480V</t>
  </si>
  <si>
    <t>0005305/2023</t>
  </si>
  <si>
    <t>QE3</t>
  </si>
  <si>
    <t>SUBSTITUIÇÃO DO PAINEL QE3A  - 480V</t>
  </si>
  <si>
    <t>0005306/2023</t>
  </si>
  <si>
    <t>QE3A</t>
  </si>
  <si>
    <t>SUBSTITUIÇÃO DO PAINEL QE3DA  - 480V</t>
  </si>
  <si>
    <t>0005308/2023</t>
  </si>
  <si>
    <t>QE3DA</t>
  </si>
  <si>
    <t>SUBSTITUIÇÃO DO PAINEL QE5  - 480V</t>
  </si>
  <si>
    <t>0005309/2023</t>
  </si>
  <si>
    <t>QE5</t>
  </si>
  <si>
    <t>SUBSTITUIÇÃO DO PAINEL QE6  - 480V</t>
  </si>
  <si>
    <t>0005310/2023</t>
  </si>
  <si>
    <t>QE6</t>
  </si>
  <si>
    <t>SUBSTITUIÇÃO DO PAINEL QE7 - 480V</t>
  </si>
  <si>
    <t>0005311/2023</t>
  </si>
  <si>
    <t>QE7</t>
  </si>
  <si>
    <t>SUBSTITUIÇÃO DO PAINEL QN1  - 480V</t>
  </si>
  <si>
    <t>0005313/2023</t>
  </si>
  <si>
    <t>SUBSTITUIÇÃO DO PAINEL QN2  - 480V</t>
  </si>
  <si>
    <t>0005314/2023</t>
  </si>
  <si>
    <t>SUBSTITUIÇÃO DO PAINEL QN3  - 480V</t>
  </si>
  <si>
    <t>0005315/2023</t>
  </si>
  <si>
    <t>QN3</t>
  </si>
  <si>
    <t>SUBSTITUIÇÃO DO PAINEL QN4  - 480V</t>
  </si>
  <si>
    <t>0005316/2023</t>
  </si>
  <si>
    <t>QN4</t>
  </si>
  <si>
    <t>SUBSTITUIÇÃO DO PAINEL QN5 - 480V</t>
  </si>
  <si>
    <t>0005318/2023</t>
  </si>
  <si>
    <t>QN5</t>
  </si>
  <si>
    <t>SUBSTITUIÇÃO DO PAINEL QN6 - 480V</t>
  </si>
  <si>
    <t>0005319/2023</t>
  </si>
  <si>
    <t>QN6</t>
  </si>
  <si>
    <t>SUBSTITUIÇÃO DO PAINEL QN8C - 480V</t>
  </si>
  <si>
    <t>0005320/2023</t>
  </si>
  <si>
    <t>QN8C</t>
  </si>
  <si>
    <t>SUBSTITUIÇÃO DO PAINEL QN9A - 480V</t>
  </si>
  <si>
    <t>0005322/2023</t>
  </si>
  <si>
    <t>QN9A</t>
  </si>
  <si>
    <t>SUBSTITUIÇÃO DO PAINEL SA03 - 480V</t>
  </si>
  <si>
    <t>0005323/2023</t>
  </si>
  <si>
    <t>SA03</t>
  </si>
  <si>
    <t>SUBSTITUIÇÃO DO PAINEL SA04 - 480V</t>
  </si>
  <si>
    <t>0005324/2023</t>
  </si>
  <si>
    <t>SA04</t>
  </si>
  <si>
    <t>SUBSTITUIÇÃO DO PAINEL SA05 - 480V</t>
  </si>
  <si>
    <t>0005325/2023</t>
  </si>
  <si>
    <t>SA05</t>
  </si>
  <si>
    <t>SUBSTITUIÇÃO DO PAINEL SA06 - 480V</t>
  </si>
  <si>
    <t>0005327/2023</t>
  </si>
  <si>
    <t>SA06</t>
  </si>
  <si>
    <t>SUBSTITUIÇÃO DO PAINEL SA07 - 480V</t>
  </si>
  <si>
    <t>0005328/2023</t>
  </si>
  <si>
    <t>SA07</t>
  </si>
  <si>
    <t>SUBSTITUIÇÃO DO PAINEL SA08 - 480V</t>
  </si>
  <si>
    <t>0005329/2023</t>
  </si>
  <si>
    <t>SA08</t>
  </si>
  <si>
    <t>SUBSTITUIÇÃO DO TRANSFORMADOR DE SERVIÇO AUXILIAR TN7 - 480/220V</t>
  </si>
  <si>
    <t>0005331/2023</t>
  </si>
  <si>
    <t>TN7</t>
  </si>
  <si>
    <t>SUBSTITUIÇÃO DO TRANSFORMADOR DE SERVIÇO AUXILIAR TE2D - 480/220V</t>
  </si>
  <si>
    <t>0005332/2023</t>
  </si>
  <si>
    <t>TE2D</t>
  </si>
  <si>
    <t>SUBSTITUIÇÃO DO TRANSFORMADOR DE SERVIÇO AUXILIAR TN7A - 480/220V</t>
  </si>
  <si>
    <t>0005333/2023</t>
  </si>
  <si>
    <t>TN7A</t>
  </si>
  <si>
    <t>SUBSTITUIÇÃO DO TRANSFORMADOR DE SERVIÇO AUXILIAR TN1A - 480/220V</t>
  </si>
  <si>
    <t>0005334/2023</t>
  </si>
  <si>
    <t>TN1A</t>
  </si>
  <si>
    <t>SUBSTITUIÇÃO DO TRANSFORMADOR DE SERVIÇO AUXILIAR TN1B - 480/220V</t>
  </si>
  <si>
    <t>0005336/2023</t>
  </si>
  <si>
    <t>TN1B</t>
  </si>
  <si>
    <t>SUBSTITUIÇÃO DO TRANSFORMADOR DE SERVIÇO AUXILIAR TE1C - 480/220V</t>
  </si>
  <si>
    <t>0005337/2023</t>
  </si>
  <si>
    <t>TE1C</t>
  </si>
  <si>
    <t>SUBSTITUIÇÃO DO TRANSFORMADOR DE SERVIÇO AUXILIAR TE4D - 480/220V</t>
  </si>
  <si>
    <t>0005338/2023</t>
  </si>
  <si>
    <t>TE4D</t>
  </si>
  <si>
    <t>SUBSTITUIÇÃO DO TRANSFORMADOR DE SERVIÇO AUXILIAR TN3C - 480/220V</t>
  </si>
  <si>
    <t>0005339/2023</t>
  </si>
  <si>
    <t>TN3C</t>
  </si>
  <si>
    <t>SUBSTITUIÇÃO DO TRANSFORMADOR DE SERVIÇO AUXILIAR TN2C - 480/220V</t>
  </si>
  <si>
    <t>0005341/2023</t>
  </si>
  <si>
    <t>TN2C</t>
  </si>
  <si>
    <t>SUBSTITUIÇÃO DO TRANSFORMADOR DE SERVIÇO AUXILIAR TE4A - 480/220V</t>
  </si>
  <si>
    <t>0005342/2023</t>
  </si>
  <si>
    <t>TE4A</t>
  </si>
  <si>
    <t>SUBSTITUIÇÃO DO TRANSFORMADOR DE SERVIÇO AUXILIAR TN5A - 480/220V</t>
  </si>
  <si>
    <t>0005343/2023</t>
  </si>
  <si>
    <t>TN5A</t>
  </si>
  <si>
    <t>SUBSTITUIÇÃO DO TRANSFORMADOR DE SERVIÇO AUXILIAR TN1C - 480/220V</t>
  </si>
  <si>
    <t>0005344/2023</t>
  </si>
  <si>
    <t>TN1C</t>
  </si>
  <si>
    <t>SUBSTITUIÇÃO DO TRANSFORMADOR DE SERVIÇO AUXILIAR TN3D - 480/220V</t>
  </si>
  <si>
    <t>0005346/2023</t>
  </si>
  <si>
    <t>TN3D</t>
  </si>
  <si>
    <t>SUBSTITUIÇÃO DO TRANSFORMADOR DE SERVIÇO AUXILIAR TN2A - 480/220V</t>
  </si>
  <si>
    <t>0005347/2023</t>
  </si>
  <si>
    <t>TN2A</t>
  </si>
  <si>
    <t>SUBSTITUIÇÃO DO TRANSFORMADOR DE SERVIÇO AUXILIAR TN2B - 480/220V</t>
  </si>
  <si>
    <t>0005348/2023</t>
  </si>
  <si>
    <t>TN2B</t>
  </si>
  <si>
    <t>SUBSTITUIÇÃO DO TRANSFORMADOR DE SERVIÇO AUXILIAR TN3A - 480/220V</t>
  </si>
  <si>
    <t>0005349/2023</t>
  </si>
  <si>
    <t>TN3A</t>
  </si>
  <si>
    <t>SUBSTITUIÇÃO DO TRANSFORMADOR DE SERVIÇO AUXILIAR TN6A - 480/220V</t>
  </si>
  <si>
    <t>0005351/2023</t>
  </si>
  <si>
    <t>TN6A</t>
  </si>
  <si>
    <t>SUBSTITUIÇÃO DO TRANSFORMADOR DE SERVIÇO AUXILIAR TN2D - 480/220V</t>
  </si>
  <si>
    <t>0005353/2023</t>
  </si>
  <si>
    <t>TN2D</t>
  </si>
  <si>
    <t>SUBSTITUIÇÃO DO TRANSFORMADOR DE SERVIÇO AUXILIAR TN4A - 480/220V</t>
  </si>
  <si>
    <t>0005355/2023</t>
  </si>
  <si>
    <t>TN4A</t>
  </si>
  <si>
    <t>SUBSTITUIÇÃO DO TRANSFORMADOR DE SERVIÇO AUXILIAR TE6A - 480/220V</t>
  </si>
  <si>
    <t>0005356/2023</t>
  </si>
  <si>
    <t>TE6A</t>
  </si>
  <si>
    <t>SUBSTITUIÇÃO DO TRANSFORMADOR DE SERVIÇO AUXILIAR TN4C - 480/220V</t>
  </si>
  <si>
    <t>0005357/2023</t>
  </si>
  <si>
    <t>TN4C</t>
  </si>
  <si>
    <t>SUBSTITUIÇÃO DO TRANSFORMADOR DE SERVIÇO AUXILIAR TE5A - 480/220V</t>
  </si>
  <si>
    <t>0005359/2023</t>
  </si>
  <si>
    <t>TE5A</t>
  </si>
  <si>
    <t>SUBSTITUIÇÃO DO TRANSFORMADOR DE SERVIÇO AUXILIAR TN1D - 480/220V</t>
  </si>
  <si>
    <t>0005361/2023</t>
  </si>
  <si>
    <t>TN1D</t>
  </si>
  <si>
    <t>SUBSTITUIÇÃO DO TRANSFORMADOR DE SERVIÇO AUXILIAR TE7A - 480/220V</t>
  </si>
  <si>
    <t>0005363/2023</t>
  </si>
  <si>
    <t>TE7A</t>
  </si>
  <si>
    <t>SUBSTITUIÇÃO DO TRANSFORMADOR DE SERVIÇO AUXILIAR TE2A - 480/220V</t>
  </si>
  <si>
    <t>0005364/2023</t>
  </si>
  <si>
    <t>TE2A</t>
  </si>
  <si>
    <t>SUBSTITUIÇÃO DO TRANSFORMADOR DE SERVIÇO AUXILIAR TN3B - 480/220V</t>
  </si>
  <si>
    <t>0005365/2023</t>
  </si>
  <si>
    <t>TN3B</t>
  </si>
  <si>
    <t>SUBSTITUIÇÃO DO TRANSFORMADOR DE SERVIÇO AUXILIAR TN8A - 480/220V</t>
  </si>
  <si>
    <t>0005366/2023</t>
  </si>
  <si>
    <t>TN8A</t>
  </si>
  <si>
    <t>SUBSTITUIÇÃO DO TRANSFORMADOR DE SERVIÇO AUXILIAR TE2C - 480/220V</t>
  </si>
  <si>
    <t>0005368/2023</t>
  </si>
  <si>
    <t>TE2C</t>
  </si>
  <si>
    <t>SUBSTITUIÇÃO DO TRANSFORMADOR DE SERVIÇO AUXILIAR TE1D - 480/220V</t>
  </si>
  <si>
    <t>0005371/2023</t>
  </si>
  <si>
    <t>TE1D</t>
  </si>
  <si>
    <t>SUBSTITUIÇÃO DO SISTEMA DE ALIMENTAÇÃO DE ENERGIA AC (EMERGÊNCIA)FONTE POR GRUPO MOTOR GERADOR DE TODA SE - 480V.</t>
  </si>
  <si>
    <t>0005377/2023</t>
  </si>
  <si>
    <t>SISTEMA DE ALIMENTAÇÃO DE EMERGÊNCIA POR GMG</t>
  </si>
  <si>
    <t>SUBSTITUIÇÃO DO PAINEL SB - 220V</t>
  </si>
  <si>
    <t>0005380/2023</t>
  </si>
  <si>
    <t>SB</t>
  </si>
  <si>
    <t>SUBSTITUIÇÃO DO PAINEL QN7 - 220V</t>
  </si>
  <si>
    <t>0005381/2023</t>
  </si>
  <si>
    <t>QN7</t>
  </si>
  <si>
    <t>SUBSTITUIÇÃO DO RETIFICADOR A DA SALA DE CONTROLE - 480V</t>
  </si>
  <si>
    <t>0005383/2023</t>
  </si>
  <si>
    <t>RFA - SALA DE CONTROLE</t>
  </si>
  <si>
    <t>0005384/2023</t>
  </si>
  <si>
    <t>RFB - SALA DE CONTROLE</t>
  </si>
  <si>
    <t>SUBSTITUIÇÃO DO RETIFICADOR A DA CASA DE RELÉS 1 - 125VCC</t>
  </si>
  <si>
    <t>0005385/2023</t>
  </si>
  <si>
    <t>RFA - CASA DE RELÉS 1</t>
  </si>
  <si>
    <t>SUBSTITUIÇÃO DO RETIFICADOR B DA CASA DE RELÉS 1 - 125VCC</t>
  </si>
  <si>
    <t>0005387/2023</t>
  </si>
  <si>
    <t>RFB - CASA DE RELÉS 1</t>
  </si>
  <si>
    <t>SUBSTITUIÇÃO DO RETIFICADOR A DA CASA DE RELÉS 2 - 480V</t>
  </si>
  <si>
    <t>0005388/2023</t>
  </si>
  <si>
    <t>RFA - CASA DE RELÉS 2</t>
  </si>
  <si>
    <t>SUBSTITUIÇÃO DO RETIFICADOR B DA CASA DE RELÉS 2 - 480V</t>
  </si>
  <si>
    <t>0005389/2023</t>
  </si>
  <si>
    <t>RFB - CASA DE RELÉS 2</t>
  </si>
  <si>
    <t>SUBSTITUIÇÃO DO RETIFICADOR A DA SALA DO SÍNCRONO - 480V</t>
  </si>
  <si>
    <t>0005391/2023</t>
  </si>
  <si>
    <t>RFA - SALA DO SÍNCRONO</t>
  </si>
  <si>
    <t>SUBSTITUIÇÃO DO RETIFICADOR B DA SALA DO SÍNCRONO - 480V</t>
  </si>
  <si>
    <t>0005392/2023</t>
  </si>
  <si>
    <t>RFB - SALA DO SÍNCRONO</t>
  </si>
  <si>
    <t>SUBSTITUIÇÃO DO PAINEL PD1A - 125VCC</t>
  </si>
  <si>
    <t>0005393/2023</t>
  </si>
  <si>
    <t>PD1A</t>
  </si>
  <si>
    <t>SUBSTITUIÇÃO DO PAINEL PD1 - 125VCC</t>
  </si>
  <si>
    <t>0005394/2023</t>
  </si>
  <si>
    <t>PD1</t>
  </si>
  <si>
    <t>SUBSTITUIÇÃO DO PAINEL PD1D - 125VCC</t>
  </si>
  <si>
    <t>0005395/2023</t>
  </si>
  <si>
    <t>PD1D</t>
  </si>
  <si>
    <t>SUBSTITUIÇÃO DO PAINEL SC - 125VCC</t>
  </si>
  <si>
    <t>0005396/2023</t>
  </si>
  <si>
    <t>SC</t>
  </si>
  <si>
    <t>Substituição dos sistemas de proteção da LT 750 kV ITABERA /TIJUCO PRETO C-2 SP e da proteção de falha de disjuntor do DJ12844</t>
  </si>
  <si>
    <t>0006689/2023</t>
  </si>
  <si>
    <t>Substituição dos sistemas de proteção do RTL 750 kV 329 Mvar TIJUCO PRETO RIATP2 SP</t>
  </si>
  <si>
    <t>0006696/2023</t>
  </si>
  <si>
    <t>PROTEÇÃO - RTL 750 kV 329 Mvar TIJUCO PRETO RIATP2 SP</t>
  </si>
  <si>
    <t>Substituição dos sistemas de proteção da LT 750 kV ITABERA /TIJUCO PRETO C-1 SP e da proteção de falha de disjuntor do DJ12834.</t>
  </si>
  <si>
    <t>0006698/2023</t>
  </si>
  <si>
    <t>Substituição dos sistemas de proteção do RTL 750 kV 329 Mvar TIJUCO PRETO RIATP1 SP</t>
  </si>
  <si>
    <t>0006699/2023</t>
  </si>
  <si>
    <t>PROTEÇÃO - RTL 750 kV 329 Mvar TIJUCO PRETO RIATP1 SP</t>
  </si>
  <si>
    <t>Substituição dos sistemas de proteção do CS 330/-220 MVAr TIJUCO PRETO CS1 SP</t>
  </si>
  <si>
    <t>CS 330/-220 Mvar TIJUCO PRETO CS1 SP</t>
  </si>
  <si>
    <t>0006700/2023</t>
  </si>
  <si>
    <t>PROTEÇÃO - CS 330/-220 MVAr TIJUCO PRETO CS1 SP</t>
  </si>
  <si>
    <t>Substituição dos sistemas de proteção da LT 345 kV B. SANTISTA /TIJUCO PRETO C-2 SP e das proteções dos disjuntores DJ8824 e DJ8724.</t>
  </si>
  <si>
    <t>LT 345 kV B. SANTISTA /TIJUCO PRETO C-2 SP</t>
  </si>
  <si>
    <t>0006702/2023</t>
  </si>
  <si>
    <t>PROTEÇÃO - LT 345 kV B. SANTISTA /TIJUCO PRETO C-2 SP</t>
  </si>
  <si>
    <t>Substituição dos sistemas de proteção da LT 345 kV ITAPETI /TIJUCO PRETO C-1 SP e da proteção de falha de disjuntor do DJ8834.</t>
  </si>
  <si>
    <t>LT 345 kV ITAPETI /TIJUCO PRETO C-1 SP</t>
  </si>
  <si>
    <t>0006706/2023</t>
  </si>
  <si>
    <t>PROTEÇÃO - LT 345 kV ITAPETI /TIJUCO PRETO C-1 SP</t>
  </si>
  <si>
    <t>Substituição dos sistemas de proteção da LT 345 kV LESTE /TIJUCO PRETO C-1 SP e da proteção de falha de disjuntor do DJ8864.</t>
  </si>
  <si>
    <t>LT 345 kV LESTE /TIJUCO PRETO C-1 SP</t>
  </si>
  <si>
    <t>0006709/2023</t>
  </si>
  <si>
    <t>PROTEÇÃO - LT 345 kV LESTE /TIJUCO PRETO C-1 SP</t>
  </si>
  <si>
    <t>Substituição dos sistemas de proteção de Falha de Disjuntor do DJ8764</t>
  </si>
  <si>
    <t>0006711/2023</t>
  </si>
  <si>
    <t>PROTEÇÃO - DJ8764</t>
  </si>
  <si>
    <t>Substituição dos sistemas de proteção da LT 345 kV LESTE /TIJUCO PRETO C-2 SP e da proteção de falha de disjuntor DJ8874.</t>
  </si>
  <si>
    <t>LT 345 kV LESTE /TIJUCO PRETO C-2 SP</t>
  </si>
  <si>
    <t>0006712/2023</t>
  </si>
  <si>
    <t>PROTEÇÃO - LT 345 kV LESTE /TIJUCO PRETO C-2 SP</t>
  </si>
  <si>
    <t>Substituição dos sistemas de proteção da LT 345 kV LESTE /TIJUCO PRETO C-3 SP e da proteção de falha de disjuntor do DJ8604.</t>
  </si>
  <si>
    <t>LT 345 kV LESTE /TIJUCO PRETO C-3 SP</t>
  </si>
  <si>
    <t>0006714/2023</t>
  </si>
  <si>
    <t>PROTEÇÃO - LT 345 kV LESTE /TIJUCO PRETO C-3 SP</t>
  </si>
  <si>
    <t>Substituição do registrador de perturbações digital e Localizador de Faltas por ondas viajantes (TW) da LT 750 kV ITABERA /TIJUCO PRETO C-2 SP</t>
  </si>
  <si>
    <t>0006717/2023</t>
  </si>
  <si>
    <t>Substituição do registrador de perturbações digital do RTL 750 kV 329 Mvar TIJUCO PRETO RIATP2 SP</t>
  </si>
  <si>
    <t>0006718/2023</t>
  </si>
  <si>
    <t>RDP - RTL 750 kV 329 Mvar TIJUCO PRETO RIATP2 SP</t>
  </si>
  <si>
    <t>Substituição do registrador de perturbações digital e Localizador de Faltas por ondas viajantes (TW) da LT 750 kV ITABERA /TIJUCO PRETO C-1 SP</t>
  </si>
  <si>
    <t>0006719/2023</t>
  </si>
  <si>
    <t>Substituição do registrador de perturbações digital do CS 330/-220 MVAr TIJUCO PRETO CS1 SP</t>
  </si>
  <si>
    <t>0006720/2023</t>
  </si>
  <si>
    <t>RDP - CS 330/-220 MVAr TIJUCO PRETO CS1 SP</t>
  </si>
  <si>
    <t>Substituição do registrador de perturbações digital da LT 345 kV B. SANTISTA /TIJUCO PRETO C-3 SP (Nome Furnas LIBXTP1)</t>
  </si>
  <si>
    <t>LT 345 kV B. SANTISTA /TIJUCO PRETO C-3 SP</t>
  </si>
  <si>
    <t>0006727/2023</t>
  </si>
  <si>
    <t>RDP -  LT 345 kV B. SANTISTA /TIJUCO PRETO C-3 SP (LIBXTP1)</t>
  </si>
  <si>
    <t>Substituição do registrador de perturbações digital da LT 345 kV ITAPETI /TIJUCO PRETO C-2 SP</t>
  </si>
  <si>
    <t>LT 345 kV ITAPETI /TIJUCO PRETO C-2 SP</t>
  </si>
  <si>
    <t>0006734/2023</t>
  </si>
  <si>
    <t>RDP -  LT 345 kV ITAPETI /TIJUCO PRETO C-2 SP</t>
  </si>
  <si>
    <t>Substituição do registrador de perturbações digital da LT 345 kV LESTE /TIJUCO PRETO C-1 SP</t>
  </si>
  <si>
    <t>0006735/2023</t>
  </si>
  <si>
    <t>RDP - LT 345 kV LESTE /TIJUCO PRETO C-1 SP</t>
  </si>
  <si>
    <t>Substituição do registrador de perturbações digital da LT 345 kV LESTE /TIJUCO PRETO C-2 SP</t>
  </si>
  <si>
    <t>0006738/2023</t>
  </si>
  <si>
    <t>RDP - LT 345 kV LESTE /TIJUCO PRETO C-2 SP</t>
  </si>
  <si>
    <t>Substituição do registrador de perturbações digital da LT 345 kV LESTE /TIJUCO PRETO C-3 SP</t>
  </si>
  <si>
    <t>0006740/2023</t>
  </si>
  <si>
    <t>RDP -  LT 345 kV LESTE /TIJUCO PRETO C-3 SP</t>
  </si>
  <si>
    <t>Substituição do registrador de perturbações digital e Localizador de Faltas por ondas viajantes (TW) da LT 750 kV ITABERA /TIJUCO PRETO C-3 SP</t>
  </si>
  <si>
    <t>LT 750 kV ITABERA /TIJUCO PRETO C-3 SP</t>
  </si>
  <si>
    <t>0006741/2023</t>
  </si>
  <si>
    <t>Substituição do registrador de perturbações digital do RTL 750 kV 329 Mvar TIJUCO PRETO RIATP3 SP</t>
  </si>
  <si>
    <t>0006744/2023</t>
  </si>
  <si>
    <t>RDP - RTL 750 kV 329 Mvar TIJUCO PRETO RIATP3 SP</t>
  </si>
  <si>
    <t>Substituição do registrador de perturbações digital  com Localizador de Faltas por ondas viajantes (TW) da LT 500 kV C. PAULISTA /TIJUCO PRETO C-1 SP</t>
  </si>
  <si>
    <t>0006749/2023</t>
  </si>
  <si>
    <t>RDP - LT 500 kV C. PAULISTA /TIJUCO PRETO C-1 SP</t>
  </si>
  <si>
    <t>Substituição do registrador de perturbações digital da LT 500 kV TIJUCO PRETO /TAUBATE C-1 SP</t>
  </si>
  <si>
    <t>0006750/2023</t>
  </si>
  <si>
    <t>RDP - LT 500 kV TIJUCO PRETO /TAUBATE C-1 SP</t>
  </si>
  <si>
    <t>Substituição do registrador de perturbações digital da LT 345 kV ITAPETI /TIJUCO PRETO C-4 SP</t>
  </si>
  <si>
    <t>LT 345 kV ITAPETI /TIJUCO PRETO C-4 SP</t>
  </si>
  <si>
    <t>0006753/2023</t>
  </si>
  <si>
    <t>RDP -  LT 345 kV ITAPETI /TIJUCO PRETO C-4 SP</t>
  </si>
  <si>
    <t>Substituição do registrador de perturbações digital da LT 345 kV ITAPETI /TIJUCO PRETO C-3 SP</t>
  </si>
  <si>
    <t>LT 345 kV ITAPETI /TIJUCO PRETO C-3 SP</t>
  </si>
  <si>
    <t>0006755/2023</t>
  </si>
  <si>
    <t>RDP - LT 345 kV ITAPETI /TIJUCO PRETO C-3 SP</t>
  </si>
  <si>
    <t>Substituição do registrador de perturbações digital  com Localizador de Faltas por ondas viajantes (TW) da LT 345 kV IBIUNA /TIJUCO PRETO C-2 SP</t>
  </si>
  <si>
    <t>LT 345 kV IBIUNA /TIJUCO PRETO C-2 SP</t>
  </si>
  <si>
    <t>0006756/2023</t>
  </si>
  <si>
    <t>RDP -  LT 345 kV IBIUNA /TIJUCO PRETO C-2 SP</t>
  </si>
  <si>
    <t>Substituição do registrador de perturbações digital  com Localizador de Faltas por ondas viajantes (TW) da LT 345 kV IBIUNA /TIJUCO PRETO C-1 SP</t>
  </si>
  <si>
    <t>0006759/2023</t>
  </si>
  <si>
    <t>RDP - LT 345 kV IBIUNA /TIJUCO PRETO C-1 SP</t>
  </si>
  <si>
    <t>Substituição da UAC de supervisão do COMPENSADOR SÍNCRONO 330/-220 MVAr TIJUCO PRETO CS1 SP</t>
  </si>
  <si>
    <t>0007643/2023</t>
  </si>
  <si>
    <t>SAP 10218850</t>
  </si>
  <si>
    <t>Substituição da UAC de supervisão da LT 750 kV ITABERA /TIJUCO PRETO C-2 SP</t>
  </si>
  <si>
    <t>0007648/2023</t>
  </si>
  <si>
    <t>Substituição da UAC de supervisão do RTL 750 kV 329 Mvar TIJUCO PRETO RIATP2 SP</t>
  </si>
  <si>
    <t>0007650/2023</t>
  </si>
  <si>
    <t>Substituição da UAC de supervisão da LT 750 kV ITABERA /TIJUCO PRETO C-1 SP</t>
  </si>
  <si>
    <t>0007651/2023</t>
  </si>
  <si>
    <t>Substituição da UAC de supervisão do RTL 750 kV 329 Mvar TIJUCO PRETO RIATP1 SP</t>
  </si>
  <si>
    <t>0007653/2023</t>
  </si>
  <si>
    <t>Substituição da UAC de supervisão da LT 345 kV B. SANTISTA /TIJUCO PRETO C-2 SP</t>
  </si>
  <si>
    <t>0007654/2023</t>
  </si>
  <si>
    <t>Substituição da UAC de supervisão da LT 345 kV B. SANTISTA /TIJUCO PRETO C-3 SP (Nome Furnas LIBXTP1)</t>
  </si>
  <si>
    <t>0007657/2023</t>
  </si>
  <si>
    <t>Substituição da UAC de supervisão da LT 345 kV ITAPETI /TIJUCO PRETO C-1 SP</t>
  </si>
  <si>
    <t>0007659/2023</t>
  </si>
  <si>
    <t>Substituição da UAC de supervisão da LT 345 kV ITAPETI /TIJUCO PRETO C-2 SP</t>
  </si>
  <si>
    <t>0007662/2023</t>
  </si>
  <si>
    <t>Substituição da UAC de supervisão da LT  345 kV LESTE/ TIJUCO PRETO C-1  SP</t>
  </si>
  <si>
    <t>LT  345 kV LESTE/ TIJUCO PRETO C-1  SP</t>
  </si>
  <si>
    <t>0007665/2023</t>
  </si>
  <si>
    <t>Substituição da UAC de supervisão da LT  345 kV LESTE/ TIJUCO PRETO C-2  SP</t>
  </si>
  <si>
    <t>LT  345 kV LESTE/ TIJUCO PRETO C-2  SP</t>
  </si>
  <si>
    <t>0007666/2023</t>
  </si>
  <si>
    <t>Substituição da UAC de supervisão da LT  345 kV LESTE/ TIJUCO PRETO C-3  SP</t>
  </si>
  <si>
    <t>LT  345 kV LESTE/ TIJUCO PRETO C-3  SP</t>
  </si>
  <si>
    <t>0007667/2023</t>
  </si>
  <si>
    <t>Substituição de switch FSTP-A01P da Rede Operativa da subestação de Tijuco Preto.</t>
  </si>
  <si>
    <t>0007980/2023</t>
  </si>
  <si>
    <t>FSTP-A01P</t>
  </si>
  <si>
    <t>Substituição de switch FSTP-A01S da Rede Operativa da subestação de Tijuco Preto.</t>
  </si>
  <si>
    <t>0007982/2023</t>
  </si>
  <si>
    <t>FSTP-A01S</t>
  </si>
  <si>
    <t>Substituição de switch FSTP-A02P da Rede Operativa da subestação de Tijuco Preto.</t>
  </si>
  <si>
    <t>0007985/2023</t>
  </si>
  <si>
    <t>FSTP-A02P</t>
  </si>
  <si>
    <t>Substituição de switch FSTP-A02S da Rede Operativa da subestação de Tijuco Preto.</t>
  </si>
  <si>
    <t>0007986/2023</t>
  </si>
  <si>
    <t>FSTP-A02S</t>
  </si>
  <si>
    <t>Substituição de switch FSTP-A03P da Rede Operativa da subestação de Tijuco Preto.</t>
  </si>
  <si>
    <t>0007989/2023</t>
  </si>
  <si>
    <t>FSTP-A03P</t>
  </si>
  <si>
    <t>Substituição de switch FSTP-A03S da Rede Operativa da subestação de Tijuco Preto.</t>
  </si>
  <si>
    <t>0007990/2023</t>
  </si>
  <si>
    <t>FSTP-A03S</t>
  </si>
  <si>
    <t>Substituição de switch FSTP-A06P da Rede Operativa da subestação de Tijuco Preto.</t>
  </si>
  <si>
    <t>0007991/2023</t>
  </si>
  <si>
    <t>FSTP-A06P</t>
  </si>
  <si>
    <t>Substituição de switch FSTP-A06S da Rede Operativa da subestação de Tijuco Preto.</t>
  </si>
  <si>
    <t>0007992/2023</t>
  </si>
  <si>
    <t>FSTP-A06S</t>
  </si>
  <si>
    <t>Substituição de switch FSTP-A07P da Rede Operativa da subestação de Tijuco Preto.</t>
  </si>
  <si>
    <t>0007994/2023</t>
  </si>
  <si>
    <t>FSTP-A07P</t>
  </si>
  <si>
    <t>Substituição de switch FSTP-A07S da Rede Operativa da subestação de Tijuco Preto.</t>
  </si>
  <si>
    <t>0007995/2023</t>
  </si>
  <si>
    <t>FSTP-A07S</t>
  </si>
  <si>
    <t>Substituição de switch FSTP-SF01P da Rede Operativa da subestação de Tijuco Preto.</t>
  </si>
  <si>
    <t>0007997/2023</t>
  </si>
  <si>
    <t>FSTP-SF01P</t>
  </si>
  <si>
    <t>Substituição de switch FSTP-SF01S da Rede Operativa da subestação de Tijuco Preto.</t>
  </si>
  <si>
    <t>0007998/2023</t>
  </si>
  <si>
    <t>FSTP-SF01S</t>
  </si>
  <si>
    <t>Substituição de switch FSTP-N01P da Rede Operativa da subestação de Tijuco Preto.</t>
  </si>
  <si>
    <t>0008000/2023</t>
  </si>
  <si>
    <t>FSTP-N01P</t>
  </si>
  <si>
    <t>Substituição de switch FSTP-N01S da Rede Operativa da subestação de Tijuco Preto.</t>
  </si>
  <si>
    <t>0008001/2023</t>
  </si>
  <si>
    <t>FSTP-N01S</t>
  </si>
  <si>
    <t>Substituição de switch FSTP-C01P da Rede Operativa da subestação de Tijuco Preto.</t>
  </si>
  <si>
    <t>0008003/2023</t>
  </si>
  <si>
    <t>FSTP-C01P</t>
  </si>
  <si>
    <t>Substituição de switch FSTP-C01S da Rede Operativa da subestação de Tijuco Preto.</t>
  </si>
  <si>
    <t>0008005/2023</t>
  </si>
  <si>
    <t>FSTP-C01S</t>
  </si>
  <si>
    <t>Substituição de switch FSTP-D01P da Rede Operativa da subestação de Tijuco Preto.</t>
  </si>
  <si>
    <t>0008007/2023</t>
  </si>
  <si>
    <t>FSTP-D01P</t>
  </si>
  <si>
    <t>Substituição de switch FSTP-D01S da Rede Operativa da subestação de Tijuco Preto.</t>
  </si>
  <si>
    <t>0008008/2023</t>
  </si>
  <si>
    <t>FSTP-D01S</t>
  </si>
  <si>
    <t>Substituição de switch FSTP-A04P da Rede Operativa da subestação de Tijuco Preto.</t>
  </si>
  <si>
    <t>0008009/2023</t>
  </si>
  <si>
    <t>FSTP-A04P</t>
  </si>
  <si>
    <t>Substituição de switch FSTP-A04S da Rede Operativa da subestação de Tijuco Preto.</t>
  </si>
  <si>
    <t>0008011/2023</t>
  </si>
  <si>
    <t>FSTP-A04S</t>
  </si>
  <si>
    <t>Substituição de switch FSTP-P05 da Rede Operativa da subestação de Tijuco Preto.</t>
  </si>
  <si>
    <t>0008013/2023</t>
  </si>
  <si>
    <t>FSTP-P05</t>
  </si>
  <si>
    <t>Substituição de switch FSTP-P06 da Rede Operativa da subestação de Tijuco Preto.</t>
  </si>
  <si>
    <t>0008014/2023</t>
  </si>
  <si>
    <t>FSTP-P06</t>
  </si>
  <si>
    <t>Substituição do registrador de perturbações digital da LT 345 kV B. SANTISTA /TIJUCO PRETO C-2 SP</t>
  </si>
  <si>
    <t>0006764/2023</t>
  </si>
  <si>
    <t>RDP - LT 345 kV B. SANTISTA /TIJUCO PRETO C-2 SP</t>
  </si>
  <si>
    <t>Substituição dos sistemas de proteção da LT 345 kV B. SANTISTA /TIJUCO PRETO C-3 SP (Nome Furnas LIBXTP1) e das proteções de falha de disjuntor dos DJ8814 e DJ8714.</t>
  </si>
  <si>
    <t>0006765/2023</t>
  </si>
  <si>
    <t>PROTEÇÃO - LT 345 kV B. SANTISTA /TIJUCO PRETO C-3 SP (LIBXTP1)</t>
  </si>
  <si>
    <t>Substituição do registrador de perturbações digital da LT 345 kV ITAPETI /TIJUCO PRETO C-1 SP</t>
  </si>
  <si>
    <t>0006768/2023</t>
  </si>
  <si>
    <t>RDP - LT 345 kV ITAPETI /TIJUCO PRETO C-1 SP</t>
  </si>
  <si>
    <t>Substituição dos sistemas de proteção da LT 345 kV ITAPETI /TIJUCO PRETO C-2 SP e da proteção de falha do disjuntor DJ8844.</t>
  </si>
  <si>
    <t>0006770/2023</t>
  </si>
  <si>
    <t>PROTEÇÃO - LT 345 kV ITAPETI /TIJUCO PRETO C-2 SP</t>
  </si>
  <si>
    <t>Substituição de seccionador SC12615 (nº serie: 11868006, cod. mat.: 10195463), por outro seccionador com lâmina de terra.</t>
  </si>
  <si>
    <t>FT CR 750 kV 508 Mvar IVAIPORA BC6A PR</t>
  </si>
  <si>
    <t>0000509/2022</t>
  </si>
  <si>
    <t>SC12615</t>
  </si>
  <si>
    <t>Substituição de seccionador SC12617 (nº serie: 11867004, cod. mat.: 10195464), por outro seccionador com lâmina de terra.</t>
  </si>
  <si>
    <t>CR 750 kV 508 Mvar IVAIPORA BC6B PR</t>
  </si>
  <si>
    <t>0000510/2022</t>
  </si>
  <si>
    <t>SC12617</t>
  </si>
  <si>
    <t>Substituição de seccionadora SC12917 (nº serie: 11867003, cod. mat.: 10195466), por outro seccionador com lâmina de terra com corrente nominal de 4.000 A.</t>
  </si>
  <si>
    <t>CR 765 kV 528 Mvar IVAIPORA BC5B PR</t>
  </si>
  <si>
    <t>0000513/2022</t>
  </si>
  <si>
    <t>SC12917</t>
  </si>
  <si>
    <t>F.IGUACU 50HZ</t>
  </si>
  <si>
    <t>Revitalização do transformador conversor 57844 para aumento de vida útil e atendimento à modernização do elo de corrente contínua de Furnas - DIT Itaipu. Necessidade indicada na Nota Técnica nº 164/2022 – SCT/ANEEL, de 22/02/2022. Equipamento atualmente na posição CV 600/600 kV F.IGUACU 50HZ CVR2 PR. Após a revitalização será movimentado para o bipolo 1, com previsão de instalação na posição CV 600/600 kV F.IGUACU 50HZ CV4 PR - TRZH1-C.</t>
  </si>
  <si>
    <t>CV 600/600 kV F.IGUACU 50HZ CV4 PR - TRZH1-C</t>
  </si>
  <si>
    <t>0000515/2022</t>
  </si>
  <si>
    <t>Revitalização do transformador conversor 7197219 para aumento de vida útil e atendimento à modernização do elo de corrente contínua de Furnas - DIT Itaipu. Necessidade indicada na Nota Técnica nº 164/2022 – SCT/ANEEL, de 22/02/2022. Equipamento atualmente na posição CV 600/600 kV F.IGUACU 50HZ CV6 PR - TRZP1-B. Após a revitalização será movimentado para o bipolo 1, com previsão de instalação na posição CV 600/600 kV F.IGUACU 50HZ CV2 PR - TRZG1-A.</t>
  </si>
  <si>
    <t>CV 600/600 kV F.IGUACU 50HZ CV2 PR - TRZG1-A</t>
  </si>
  <si>
    <t>0000516/2022</t>
  </si>
  <si>
    <t>TRZG1-A</t>
  </si>
  <si>
    <t>Substituição de trafo corrente TC DJ9246 FASE A (nº serie: K79341-02-3, cod. mat.: 10184570).</t>
  </si>
  <si>
    <t>0001347/2022</t>
  </si>
  <si>
    <t>TC DJ9246 FASE A</t>
  </si>
  <si>
    <t>Substituição de trafo corrente TC DJ9246 FASE B (nº serie: K79341-01-3, cod. mat.: 10184569).</t>
  </si>
  <si>
    <t>0001348/2022</t>
  </si>
  <si>
    <t>TC DJ9246 FASE B</t>
  </si>
  <si>
    <t>Substituição de trafo corrente TC DJ9246 FASE C (nº serie: K79341-02-1, cod. mat.: 10184568).</t>
  </si>
  <si>
    <t>0001349/2022</t>
  </si>
  <si>
    <t>TC DJ9246 FASE C</t>
  </si>
  <si>
    <t>Substituição de trafo corrente TC DJ9356 FASE B (nº serie: K79341-02-2, cod. mat.: 10184566).</t>
  </si>
  <si>
    <t>0001350/2022</t>
  </si>
  <si>
    <t>TC DJ9356 FASE B</t>
  </si>
  <si>
    <t>Substituição de trafo corrente TC DJ9136 FASE A (nº serie: K79341-01-4, cod. mat.: 10184572).</t>
  </si>
  <si>
    <t>0001352/2022</t>
  </si>
  <si>
    <t>TC DJ9136 FASE A</t>
  </si>
  <si>
    <t>Substituição de trafo corrente TC DJ9136 FASE B (nº serie: K79341-01-5, cod. mat.: 10184571).</t>
  </si>
  <si>
    <t>0001353/2022</t>
  </si>
  <si>
    <t>TC DJ9136 FASE B</t>
  </si>
  <si>
    <t>Substituição de trafo corrente TC DJ9136 FASE C (nº serie: K79341-02-5, cod. mat.: 10184564).</t>
  </si>
  <si>
    <t>0001354/2022</t>
  </si>
  <si>
    <t>TC DJ9136 FASE C</t>
  </si>
  <si>
    <t>Substituição de trafo corrente TC DJ9036 FASE A (nº serie: K79341-06-05, cod. mat.: 10184552).</t>
  </si>
  <si>
    <t>0001355/2022</t>
  </si>
  <si>
    <t>TC DJ9036 FASE A</t>
  </si>
  <si>
    <t>Substituição de trafo corrente TC DJ9036 FASE B (nº serie: K79341-08-03, cod. mat.: 10184553).</t>
  </si>
  <si>
    <t>0001356/2022</t>
  </si>
  <si>
    <t>TC DJ9036 FASE B</t>
  </si>
  <si>
    <t>Substituição de trafo corrente TC DJ9036 FASE C (nº serie: K79341-06-04, cod. mat.: 10184554).</t>
  </si>
  <si>
    <t>0001357/2022</t>
  </si>
  <si>
    <t>TC DJ9036 FASE C</t>
  </si>
  <si>
    <t>Substituição de trafo corrente TC DJ9046 FASE A (nº serie: K79341-07-03, cod. mat.: 10184555).</t>
  </si>
  <si>
    <t>0001358/2022</t>
  </si>
  <si>
    <t>TC DJ9046 FASE A</t>
  </si>
  <si>
    <t>Substituição de trafo corrente TC DJ9046 FASE B (nº serie: K79341-07-06, cod. mat.: 10184556).</t>
  </si>
  <si>
    <t>0001359/2022</t>
  </si>
  <si>
    <t>TC DJ9046 FASE B</t>
  </si>
  <si>
    <t>Substituição de trafo corrente TC DJ9046 FASE C (nº serie: K79341-06-02, cod. mat.: 10184557).</t>
  </si>
  <si>
    <t>0001360/2022</t>
  </si>
  <si>
    <t>TC DJ9046 FASE C</t>
  </si>
  <si>
    <t>Substituição de trafo corrente TC DJ9516 FASE A (nº serie: K74081-02-04, cod. mat.: 10184533).</t>
  </si>
  <si>
    <t>0001361/2022</t>
  </si>
  <si>
    <t>TC DJ9516 FASE A</t>
  </si>
  <si>
    <t>Substituição de trafo corrente TC DJ9516 FASE C (nº serie: K79341-06-03, cod. mat.: 10184548).</t>
  </si>
  <si>
    <t>0001362/2022</t>
  </si>
  <si>
    <t>TC DJ9516 FASE C</t>
  </si>
  <si>
    <t>Substituição de trafo corrente TC DJ9466 FASE A (nº serie: K79341-05-05, cod. mat.: 10184547).</t>
  </si>
  <si>
    <t>0001363/2022</t>
  </si>
  <si>
    <t>TC DJ9466 FASE A</t>
  </si>
  <si>
    <t>Substituição de trafo corrente TC DJ9466 FASE B (nº serie: K79341-05-03, cod. mat.: 10184546).</t>
  </si>
  <si>
    <t>0001364/2022</t>
  </si>
  <si>
    <t>TC DJ9466 FASE B</t>
  </si>
  <si>
    <t>Substituição de trafo corrente TC DJ9466 FASE C (nº serie: K79341-06-01, cod. mat.: 10184545).</t>
  </si>
  <si>
    <t>0001365/2022</t>
  </si>
  <si>
    <t>TC DJ9466 FASE C</t>
  </si>
  <si>
    <t>Substituição de trafo corrente TC - DJ9026 FASE B (nº serie: K79341-05-04, cod. mat.: 10184539).</t>
  </si>
  <si>
    <t>FT LT 500 kV EMBORCACAO /ITUMBIARA C-1 MG</t>
  </si>
  <si>
    <t>0001366/2022</t>
  </si>
  <si>
    <t>TRANSFORMADOR CORRENTE - DJ9026 FASE B</t>
  </si>
  <si>
    <t>Substituição de trafo corrente TC - DJ9016 FASE A (nº serie: K79341-07-04, cod. mat.: 10184558).</t>
  </si>
  <si>
    <t>LT 500 kV ITUMBIARA /SAO SIMAO-SE C-1 MG</t>
  </si>
  <si>
    <t>0001367/2022</t>
  </si>
  <si>
    <t>TRANSFORMADOR CORRENTE - DJ9016 FASE A</t>
  </si>
  <si>
    <t>Substituição de trafo corrente TC - DJ9016 FASE B (nº serie: K79341-07-02, cod. mat.: 10184559).</t>
  </si>
  <si>
    <t>0001368/2022</t>
  </si>
  <si>
    <t>TRANSFORMADOR CORRENTE - DJ9016 FASE B</t>
  </si>
  <si>
    <t>Substituição de trafo corrente TC DJ9056 FASE A (nº serie: K79341-08-05, cod. mat.: 10184542).</t>
  </si>
  <si>
    <t>TR 500/345 kV ITUMBIARA TR53 MG</t>
  </si>
  <si>
    <t>0001370/2022</t>
  </si>
  <si>
    <t>TC DJ9056 FASE A</t>
  </si>
  <si>
    <t>Substituição de trafo corrente TC DJ9056 FASE B (nº serie: K79341-07-01, cod. mat.: 10184544).</t>
  </si>
  <si>
    <t>0001371/2022</t>
  </si>
  <si>
    <t>TC DJ9056 FASE B</t>
  </si>
  <si>
    <t>Substituição de trafo corrente TC DJ9056 FASE C (nº serie: K79341-05-02, cod. mat.: 10184543).</t>
  </si>
  <si>
    <t>0001372/2022</t>
  </si>
  <si>
    <t>TC DJ9056 FASE C</t>
  </si>
  <si>
    <t>Substituição de trafo corrente TC DJ9256 FASE B (nº serie: K79341-02-6, cod. mat.: 10184562).</t>
  </si>
  <si>
    <t>0001374/2022</t>
  </si>
  <si>
    <t>TC DJ9256 FASE B</t>
  </si>
  <si>
    <t>Substituição de trafo corrente TC DJ9256 FASE C (nº serie: K79341-01-1, cod. mat.: 10184561).</t>
  </si>
  <si>
    <t>0001375/2022</t>
  </si>
  <si>
    <t>TC DJ9256 FASE C</t>
  </si>
  <si>
    <t>Substituição de trafo corrente TC DJ9526 FASE A (nº serie: K74081-05-09, cod. mat.: 10184535).</t>
  </si>
  <si>
    <t>TR 500/345 kV ITUMBIARA TR50 MG</t>
  </si>
  <si>
    <t>0001376/2022</t>
  </si>
  <si>
    <t>TC DJ9526 FASE A</t>
  </si>
  <si>
    <t>Substituição de trafo corrente TC DJ9526 FASE B (nº serie: K74081-07-5, cod. mat.: 10184576).</t>
  </si>
  <si>
    <t>0001377/2022</t>
  </si>
  <si>
    <t>TC DJ9526 FASE B</t>
  </si>
  <si>
    <t>Substituição de trafo corrente TC DJ9526 FASE C (nº serie: K74081-09-6, cod. mat.: 10184583).</t>
  </si>
  <si>
    <t>0001378/2022</t>
  </si>
  <si>
    <t>TC DJ9526 FASE C</t>
  </si>
  <si>
    <t>Substituição de trafo corrente TC DJ9066 FASE A (nº serie: K79341-08-01, cod. mat.: 10184551).</t>
  </si>
  <si>
    <t>TR 500/345 kV ITUMBIARA TR49 MG</t>
  </si>
  <si>
    <t>0001379/2022</t>
  </si>
  <si>
    <t>TC DJ9066 FASE A</t>
  </si>
  <si>
    <t>Substituição de trafo corrente TC DJ9066 FASE B (nº serie: K79341-08-04, cod. mat.: 10184550).</t>
  </si>
  <si>
    <t>0001380/2022</t>
  </si>
  <si>
    <t>TC DJ9066 FASE B</t>
  </si>
  <si>
    <t>Substituição de trafo corrente TC DJ9066 FASE C (nº serie: K79341-08-06, cod. mat.: 10184549).</t>
  </si>
  <si>
    <t>0001381/2022</t>
  </si>
  <si>
    <t>TC DJ9066 FASE C</t>
  </si>
  <si>
    <t>Substituição de trafo corrente TC - DJ806 / BR8B - FASE A (nº serie: 7900832, cod. mat.: 10184251).</t>
  </si>
  <si>
    <t>0001331/2022</t>
  </si>
  <si>
    <t>TC - DJ806 / BR8B - FASE A</t>
  </si>
  <si>
    <t>Substituição de trafo corrente TC - DJ806 / BR8B - FASE B (nº serie: 7900833, cod. mat.: 10184252).</t>
  </si>
  <si>
    <t>0001332/2022</t>
  </si>
  <si>
    <t>TC - DJ806 / BR8B - FASE B</t>
  </si>
  <si>
    <t>Substituição de trafo corrente TC - DJ806 / BR8B - FASE C (nº serie: 7900834, cod. mat.: 10184253).</t>
  </si>
  <si>
    <t>0001333/2022</t>
  </si>
  <si>
    <t>TC - DJ806 / BR8B - FASE C</t>
  </si>
  <si>
    <t>Substituição de trafo corrente TC LTITBBDT1 UHITB - Fase A (nº serie: SP21825, cod. mat.: 10184224).</t>
  </si>
  <si>
    <t>LT 345 kV ITUMBIARA /BANDEIRANTES C-1 MG/GO</t>
  </si>
  <si>
    <t>0001334/2022</t>
  </si>
  <si>
    <t>TC LTITBBDT1 UHITB - Fase A</t>
  </si>
  <si>
    <t>Substituição de trafo corrente TC LTITBBDT1 UHITB - Fase B (nº serie: SP21826, cod. mat.: 10184222).</t>
  </si>
  <si>
    <t>0001335/2022</t>
  </si>
  <si>
    <t>TC LTITBBDT1 UHITB - Fase B</t>
  </si>
  <si>
    <t>Substituição de trafo corrente TC LTITBBDT1 UHITB - Fase C (nº serie: SP21827, cod. mat.: 10184223).</t>
  </si>
  <si>
    <t>0001336/2022</t>
  </si>
  <si>
    <t>TC LTITBBDT1 UHITB - Fase C</t>
  </si>
  <si>
    <t>Substituição de trafo corrente TC LTITBBDT2 UHITB - Fase A (nº serie: SP21828, cod. mat.: 10184221).</t>
  </si>
  <si>
    <t>LT 345 kV ITUMBIARA /BANDEIRANTES C-2 MG/GO</t>
  </si>
  <si>
    <t>0001337/2022</t>
  </si>
  <si>
    <t>TC LTITBBDT2 UHITB - Fase A</t>
  </si>
  <si>
    <t>Substituição de trafo corrente TC LTITBBDT2 UHITB - Fase B (nº serie: SP21829, cod. mat.: 10184225).</t>
  </si>
  <si>
    <t>0001338/2022</t>
  </si>
  <si>
    <t>TC LTITBBDT2 UHITB - Fase B</t>
  </si>
  <si>
    <t>Substituição de trafo corrente TC LTITBBDT2 UHITB - Fase C (nº serie: SP21830, cod. mat.: 10184226).</t>
  </si>
  <si>
    <t>0001339/2022</t>
  </si>
  <si>
    <t>TC LTITBBDT2 UHITB - Fase C</t>
  </si>
  <si>
    <t>Substituição de trafo corrente TC AT03 LADO 345KV - FASE A (nº serie: 90J0089 / 04, cod. mat.: 10252614).</t>
  </si>
  <si>
    <t>TR 345/230 kV ITUMBIARA TR3 MG</t>
  </si>
  <si>
    <t>0001340/2022</t>
  </si>
  <si>
    <t>TC AT03 LADO 345KV - FASE A</t>
  </si>
  <si>
    <t>Substituição de trafo corrente TC AT03 LADO 345KV - FASE B (nº serie: 7900836, cod. mat.: 10184255).</t>
  </si>
  <si>
    <t>0001341/2022</t>
  </si>
  <si>
    <t>TC AT03 LADO 345KV - FASE B</t>
  </si>
  <si>
    <t>Substituição de trafo corrente TC AT03 LADO 345KV - FASE C (nº serie: 7900837, cod. mat.: 10184256).</t>
  </si>
  <si>
    <t>0001342/2022</t>
  </si>
  <si>
    <t>TC AT03 LADO 345KV - FASE C</t>
  </si>
  <si>
    <t>Substituição de trafo corrente TC BANCO AT49 LADO 345KV - FASE A (nº serie: SP21355, cod. mat.: 10184218).</t>
  </si>
  <si>
    <t>0001344/2022</t>
  </si>
  <si>
    <t>TC BANCO AT49 LADO 345KV - FASE A</t>
  </si>
  <si>
    <t>Substituição de trafo corrente TC BANCO AT49 LADO 345KV - FASE B (nº serie: SP21356, cod. mat.: 10184219).</t>
  </si>
  <si>
    <t>0001345/2022</t>
  </si>
  <si>
    <t>TC BANCO AT49 LADO 345KV - FASE B</t>
  </si>
  <si>
    <t>Substituição de trafo corrente TC BANCO AT49 LADO 345KV - FASE C (nº serie: SP21357, cod. mat.: 10184220).</t>
  </si>
  <si>
    <t>0001346/2022</t>
  </si>
  <si>
    <t>TC BANCO AT49 LADO 345KV - FASE C</t>
  </si>
  <si>
    <t>Substituição de trafo potencial/dcp DCP - LIIMSS FASE A (nº serie: 324315, cod. mat.: 10190306).</t>
  </si>
  <si>
    <t>0001259/2022</t>
  </si>
  <si>
    <t>DCP - LIIMSS FASE A</t>
  </si>
  <si>
    <t>Substituição de trafo potencial/dcp DCP - LIIMSS FASE B (nº serie: 324316, cod. mat.: 10190305).</t>
  </si>
  <si>
    <t>0001260/2022</t>
  </si>
  <si>
    <t>DCP - LIIMSS FASE B</t>
  </si>
  <si>
    <t>Substituição de trafo potencial/dcp DCP - LIIMSS FASE C (nº serie: 324317, cod. mat.: 10190307).</t>
  </si>
  <si>
    <t>0001261/2022</t>
  </si>
  <si>
    <t>DCP - LIIMSS FASE C</t>
  </si>
  <si>
    <t>Substituição de trafo potencial/dcp DCP - LIEBIM FASE A (nº serie: 324312, cod. mat.: 10190304).</t>
  </si>
  <si>
    <t>LT 500 kV EMBORCACAO /ITUMBIARA C-1 MG</t>
  </si>
  <si>
    <t>0001262/2022</t>
  </si>
  <si>
    <t>DCP - LIEBIM FASE A</t>
  </si>
  <si>
    <t>Substituição de trafo potencial/dcp DCP - LIEBIM FASE B (nº serie: 324313, cod. mat.: 10190303).</t>
  </si>
  <si>
    <t>0001263/2022</t>
  </si>
  <si>
    <t>DCP - LIEBIM FASE B</t>
  </si>
  <si>
    <t>Substituição de trafo potencial/dcp DCP - VÃO LIEBIM FASE B (nº serie: 324310, cod. mat.: 10190295).</t>
  </si>
  <si>
    <t>0001265/2022</t>
  </si>
  <si>
    <t>DCP - VÃO LIEBIM FASE B</t>
  </si>
  <si>
    <t>Substituição de trafo potencial/dcp DCP - LIEBIM FASE C (nº serie: 324314, cod. mat.: 10190302).</t>
  </si>
  <si>
    <t>0001264/2022</t>
  </si>
  <si>
    <t>DCP - LIEBIM FASE C</t>
  </si>
  <si>
    <t>Substituição de trafo potencial/dcp DCP AT50 FASE B (nº serie: 328567, cod. mat.: 10190298).</t>
  </si>
  <si>
    <t>0001266/2022</t>
  </si>
  <si>
    <t>DCP AT50 FASE B</t>
  </si>
  <si>
    <t>Substituição de trafo potencial/dcp DCP AT53 FASE B (nº serie: 324308, cod. mat.: 10190293).</t>
  </si>
  <si>
    <t>0001267/2022</t>
  </si>
  <si>
    <t>DCP AT53 FASE B</t>
  </si>
  <si>
    <t>Substituição de disjuntor DJ9246 (nº serie: B13577-02, cod. mat.: 10190807).</t>
  </si>
  <si>
    <t>0001252/2022</t>
  </si>
  <si>
    <t>DJ9246</t>
  </si>
  <si>
    <t>Substituição de disjuntor DJ9356 (nº serie: C13577-03, cod. mat.: 10190809).</t>
  </si>
  <si>
    <t>0001253/2022</t>
  </si>
  <si>
    <t>DJ9356</t>
  </si>
  <si>
    <t>Substituição de disjuntor DJ9016 (nº serie: SP10152, cod. mat.: 10190628).</t>
  </si>
  <si>
    <t>0001254/2022</t>
  </si>
  <si>
    <t>DJ9016</t>
  </si>
  <si>
    <t>Substituição de disjuntor DJ9136 (nº serie: D13577-04, cod. mat.: 10190806).</t>
  </si>
  <si>
    <t>0001255/2022</t>
  </si>
  <si>
    <t>DJ9136</t>
  </si>
  <si>
    <t>Substituição de disjuntor DJ9256 (nº serie: A13577-01, cod. mat.: 10190808).</t>
  </si>
  <si>
    <t>0001256/2022</t>
  </si>
  <si>
    <t>DJ9256</t>
  </si>
  <si>
    <t>Substituição de disjuntor DJ9466 (nº serie: SP10149, cod. mat.: 10190633).</t>
  </si>
  <si>
    <t>0001257/2022</t>
  </si>
  <si>
    <t>DJ9466</t>
  </si>
  <si>
    <t>Substituição de disjuntor DJ9066 (nº serie: SP10151, cod. mat.: 10190634).</t>
  </si>
  <si>
    <t>0001258/2022</t>
  </si>
  <si>
    <t>DJ9066</t>
  </si>
  <si>
    <t>Substituição dos sistemas de proteção da LT 230 kV PARANAIBA /ITUMBIARA C-1 GO/MG</t>
  </si>
  <si>
    <t>LT 230 kV PARANAIBA /ITUMBIARA C-1 GO/MG</t>
  </si>
  <si>
    <t>0006903/2023</t>
  </si>
  <si>
    <t>PROTEÇÃO - LT 230 kV PARANAIBA /ITUMBIARA C-1 GO/MG</t>
  </si>
  <si>
    <t>Substituição do registrador de perturbações digital da LT 230 kV PARANAIBA /ITUMBIARA C-1 GO/MG</t>
  </si>
  <si>
    <t>0006905/2023</t>
  </si>
  <si>
    <t>RDP - LT 230 kV PARANAIBA /ITUMBIARA C-1 GO/MG</t>
  </si>
  <si>
    <t>Substituição dos sistemas de proteção da LT 230 kV ITUMBIARA /RIO VERDE FUR C-2 MG/GO</t>
  </si>
  <si>
    <t>LT 230 kV ITUMBIARA /RIO VERDE FUR C-2 MG/GO</t>
  </si>
  <si>
    <t>0006906/2023</t>
  </si>
  <si>
    <t>PROTEÇÃO - LT 230 kV ITUMBIARA /RIO VERDE FUR C-2 MG/GO</t>
  </si>
  <si>
    <t>Substituição do registrador de perturbações digital e Localizador de Faltas por ondas viajantes (TW) da LT 230 kV ITUMBIARA /RIO VERDE FUR C-2 MG/GO</t>
  </si>
  <si>
    <t>0006907/2023</t>
  </si>
  <si>
    <t>RDP - LT 230 kV ITUMBIARA /RIO VERDE FUR C-2 MG/GO</t>
  </si>
  <si>
    <t>Substituição dos sistemas de proteção da LT 230 kV ITUMBIARA /RIO VERDE FUR C-1 MG/GO</t>
  </si>
  <si>
    <t>LT 230 kV ITUMBIARA /RIO VERDE FUR C-1 MG/GO</t>
  </si>
  <si>
    <t>0006908/2023</t>
  </si>
  <si>
    <t>PROTEÇÃO - LT 230 kV ITUMBIARA /RIO VERDE FUR C-1 MG/GO</t>
  </si>
  <si>
    <t>Substituição do registrador de perturbações digital da LT 230 kV ITUMBIARA /C. DOURADA C-1 MG/GO</t>
  </si>
  <si>
    <t>LT 230 kV ITUMBIARA /C. DOURADA C-1 MG/GO</t>
  </si>
  <si>
    <t>0006909/2023</t>
  </si>
  <si>
    <t>RDP - LT 230 kV ITUMBIARA /C. DOURADA C-1 MG/GO</t>
  </si>
  <si>
    <t>SUBSTITUIÇÃO DO PAINEL UAC-SAUX DO AUTOMATISMO DO SERVIÇO AUXILIAR AC DA SUBESTAÇÃO. PAINEL COMPOSTO POR UAC RESPONSÁVEL PELA SELEÇÃO AUTOMÁTICA DE FONTES DE ALIMENTAÇÃO AC E GMG PARA CARGAS ESSENCIAIS.</t>
  </si>
  <si>
    <t>0007177/2023</t>
  </si>
  <si>
    <t>UAC SAUX</t>
  </si>
  <si>
    <t>Substituição de 01 transformador trifásico, 20-13,8kV, com capacidade de 3 MVA em regime contínuo, ligado em estrela no primário, estrela com neutro solidamente aterrado no secundário e delta no terciário, com resfriamento por circulação natural de óleo isolante, provido de regulação de tensão.</t>
  </si>
  <si>
    <t>0000611/2022</t>
  </si>
  <si>
    <t>TRTA-4</t>
  </si>
  <si>
    <t>P. COLOMBIA</t>
  </si>
  <si>
    <t>Substituição de 01 cubículo de fechamento do Delta tensão máxima 15kV, 60Hz, NI 110kV, IN 1200 A, ICC 40kA</t>
  </si>
  <si>
    <t>TR 345/138 kV P. COLOMBIA TR6 MG</t>
  </si>
  <si>
    <t>0000614/2022</t>
  </si>
  <si>
    <t>Substituição de 01 Painel de 480 VCA , 60 Hz, Icc - 30 kA e IN 1000 A</t>
  </si>
  <si>
    <t>MG P. COLOMBIA / CCO-2001-062 - RB</t>
  </si>
  <si>
    <t>0000615/2022</t>
  </si>
  <si>
    <t>Substituição da UAC01 - SINOCON de supervisão da LT 230 kV PARANAIBA /ITUMBIARA C-1 GO/MG</t>
  </si>
  <si>
    <t>LT 230 kV PARANAIBA / ITUMBIARA C 1 GO/MG</t>
  </si>
  <si>
    <t>0007677/2023</t>
  </si>
  <si>
    <t>Códigos SAP 10256775</t>
  </si>
  <si>
    <t>Substituição da UAC03 - SINOCON de supervisão da LT 230 kV ITUMBIARA /RIO VERDE FUR C-1 MG/GO</t>
  </si>
  <si>
    <t>0007678/2023</t>
  </si>
  <si>
    <t>Códigos SAP 10258936</t>
  </si>
  <si>
    <t>Substituição da UAC04 - SINOCON de supervisão da LT 230 kV ITUMBIARA /RIO VERDE FUR C-2 MG/GO</t>
  </si>
  <si>
    <t>0007679/2023</t>
  </si>
  <si>
    <t>Códigos SAP 10258948</t>
  </si>
  <si>
    <t>Substituição de 04 (quatro) equipamentos de teleproteção (cadeias principal e alternada) da LT 230 kV Itumbiara - Rio Verde circuito 1 de fabricação ALSTOM, modelo DIP5000.</t>
  </si>
  <si>
    <t>0007813/2023</t>
  </si>
  <si>
    <t>TLP PRIMARIA / ALTERNADA</t>
  </si>
  <si>
    <t>Substituição de switch FUIM-D01P da Rede Operativa da UHE Itumbiara.</t>
  </si>
  <si>
    <t>0007817/2023</t>
  </si>
  <si>
    <t>FUIM-D01P</t>
  </si>
  <si>
    <t>Substituição de switch FUIM-D01S da Rede Operativa da UHE Itumbiara.</t>
  </si>
  <si>
    <t>0007818/2023</t>
  </si>
  <si>
    <t>FUIM-D01S</t>
  </si>
  <si>
    <t>Substituição de switch FUIM-A01P da Rede Operativa da UHE Itumbiara.</t>
  </si>
  <si>
    <t>0007819/2023</t>
  </si>
  <si>
    <t>FUIM-A01P</t>
  </si>
  <si>
    <t>Substituição de switch FUIM-A01S da Rede Operativa da UHE Itumbiara.</t>
  </si>
  <si>
    <t>0007820/2023</t>
  </si>
  <si>
    <t>FUIM-A01S</t>
  </si>
  <si>
    <t>Substituição de switch FSIM-A02P da Rede Operativa da UHE Itumbiara.</t>
  </si>
  <si>
    <t>0007821/2023</t>
  </si>
  <si>
    <t>FSIM-A02P</t>
  </si>
  <si>
    <t>Substituição de switch FSIM-A02S da Rede Operativa da UHE Itumbiara.</t>
  </si>
  <si>
    <t>0007822/2023</t>
  </si>
  <si>
    <t>FSIM-A02S</t>
  </si>
  <si>
    <t>Substituição de switch FSIM-A03P da Rede Operativa da UHE Itumbiara.</t>
  </si>
  <si>
    <t>0007823/2023</t>
  </si>
  <si>
    <t>FSIM-A03P</t>
  </si>
  <si>
    <t>Substituição de switch FSIM-A03S da Rede Operativa da UHE Itumbiara.</t>
  </si>
  <si>
    <t>0007824/2023</t>
  </si>
  <si>
    <t>FSIM-A03S</t>
  </si>
  <si>
    <t>Substituição de switch FSIM-A04P da Rede Operativa da UHE Itumbiara.</t>
  </si>
  <si>
    <t>0007825/2023</t>
  </si>
  <si>
    <t>FSIM-A04P</t>
  </si>
  <si>
    <t>Substituição de switch FSIM-A04S da Rede Operativa da UHE Itumbiara.</t>
  </si>
  <si>
    <t>0007826/2023</t>
  </si>
  <si>
    <t>FSIM-A04S</t>
  </si>
  <si>
    <t>Substituição de switch FSIM-A05P da Rede Operativa da UHE Itumbiara.</t>
  </si>
  <si>
    <t>0007827/2023</t>
  </si>
  <si>
    <t>FSIM-A05P</t>
  </si>
  <si>
    <t>Substituição de switch FSIM-A05S da Rede Operativa da UHE Itumbiara.</t>
  </si>
  <si>
    <t>0007828/2023</t>
  </si>
  <si>
    <t>FSIM-A05S</t>
  </si>
  <si>
    <t>Substituição de switch FSIM-A06P da Rede Operativa da UHE Itumbiara.</t>
  </si>
  <si>
    <t>0007829/2023</t>
  </si>
  <si>
    <t>FSIM-A06P</t>
  </si>
  <si>
    <t>Substituição de switch FSIM-A06S da Rede Operativa da UHE Itumbiara.</t>
  </si>
  <si>
    <t>0007830/2023</t>
  </si>
  <si>
    <t>FSIM-A06S</t>
  </si>
  <si>
    <t>Substituição de switch FSIM-A07 da Rede Operativa da UHE Itumbiara.</t>
  </si>
  <si>
    <t>0007831/2023</t>
  </si>
  <si>
    <t>FSIM-A07</t>
  </si>
  <si>
    <t>Substituição de switch FUIM-SF01P da Rede Operativa da UHE Itumbiara.</t>
  </si>
  <si>
    <t>0007832/2023</t>
  </si>
  <si>
    <t>FUIM-SF01P</t>
  </si>
  <si>
    <t>Substituição de switch FUIM-SF01S da Rede Operativa da UHE Itumbiara.</t>
  </si>
  <si>
    <t>0007833/2023</t>
  </si>
  <si>
    <t>FUIM-SF01S</t>
  </si>
  <si>
    <t>Substituição de roteador COSR-NCO-SAL-R01 da Rede Operativa da UHE Itumbiara.</t>
  </si>
  <si>
    <t>0007834/2023</t>
  </si>
  <si>
    <t>COSR-NCO-SAL-R01</t>
  </si>
  <si>
    <t>Substituição de roteador COSR-NCO-SAR-R01 da Rede Operativa da UHE Itumbiara.</t>
  </si>
  <si>
    <t>0007835/2023</t>
  </si>
  <si>
    <t>COSR-NCO-SAR-R01</t>
  </si>
  <si>
    <t>Substituição de roteador FCRG-R02P da Rede Operativa da UHE Itumbiara.</t>
  </si>
  <si>
    <t>0007836/2023</t>
  </si>
  <si>
    <t>FCRG-R02P</t>
  </si>
  <si>
    <t>Substituição de roteador FCRG-R02S da Rede Operativa da UHE Itumbiara.</t>
  </si>
  <si>
    <t>0007837/2023</t>
  </si>
  <si>
    <t>FCRG-R02S</t>
  </si>
  <si>
    <t>Substituição de trafo corrente TC - NEUTRO 345KV H0 (nº serie: 12071, cod. mat.: 10187613).</t>
  </si>
  <si>
    <t>TR 345/138 kV BRAS. SUL TR4 DF</t>
  </si>
  <si>
    <t>0005486/2023</t>
  </si>
  <si>
    <t>TC - NEUTRO  AT04 345KV H0</t>
  </si>
  <si>
    <t>Substituição de seccionadora SC2413 (AT04) (nº serie: 23019-1, cod. mat.: 10192716).</t>
  </si>
  <si>
    <t>0005481/2023</t>
  </si>
  <si>
    <t>SC2413 (AT04)</t>
  </si>
  <si>
    <t>Substituição de para-raios PR - LADO 138KV FASE A (nº serie: 35059897, cod. mat.: 10199934).</t>
  </si>
  <si>
    <t>0005461/2023</t>
  </si>
  <si>
    <t>PR - LADO 138KV FASE A</t>
  </si>
  <si>
    <t>Substituição de para-raios PR - LADO 138KV FASE B (nº serie: 35059898, cod. mat.: 10199935).</t>
  </si>
  <si>
    <t>0005463/2023</t>
  </si>
  <si>
    <t>PR - LADO 138KV FASE B</t>
  </si>
  <si>
    <t>Substituição de para-raios PR - LADO 138KV FASE C (nº serie: 35059899, cod. mat.: 10199936).</t>
  </si>
  <si>
    <t>0005464/2023</t>
  </si>
  <si>
    <t>PR - LADO 138KV FASE C</t>
  </si>
  <si>
    <t>Substituição de trafo corrente TC - LADO SC647-A (nº serie: CO 1634, cod. mat.: 10185124).</t>
  </si>
  <si>
    <t>0005487/2023</t>
  </si>
  <si>
    <t>TC - LADO SC647-A</t>
  </si>
  <si>
    <t>Substituição de trafo corrente TC - LADO SC647-B (nº serie: CO 1635, cod. mat.: 10185125).</t>
  </si>
  <si>
    <t>0005488/2023</t>
  </si>
  <si>
    <t>TC - LADO SC647-B</t>
  </si>
  <si>
    <t>Substituição de trafo corrente TC - LADO SC647-C (nº serie: CO 1636, cod. mat.: 10185126).</t>
  </si>
  <si>
    <t>0005489/2023</t>
  </si>
  <si>
    <t>TC - LADO SC647-C</t>
  </si>
  <si>
    <t>Substituição de trafo corrente TC601 FASE A (nº serie: HU310548, cod. mat.: 10186220).</t>
  </si>
  <si>
    <t>MG BRAS. SUL / CCO-2001-062 - RB</t>
  </si>
  <si>
    <t>0005490/2023</t>
  </si>
  <si>
    <t>TC601 FASE A</t>
  </si>
  <si>
    <t>Substituição de trafo corrente TC601 FASE B (nº serie: HU310541, cod. mat.: 10186217).</t>
  </si>
  <si>
    <t>0005491/2023</t>
  </si>
  <si>
    <t>TC601 FASE B</t>
  </si>
  <si>
    <t>Substituição de trafo corrente TC601 FASE C (nº serie: HU310529, cod. mat.: 10186218).</t>
  </si>
  <si>
    <t>0005492/2023</t>
  </si>
  <si>
    <t>TC601 FASE C</t>
  </si>
  <si>
    <t>Substituição de trafo corrente TC603 FASE A (nº serie: HU310528, cod. mat.: 10186219).</t>
  </si>
  <si>
    <t>0005494/2023</t>
  </si>
  <si>
    <t>TC603 FASE A</t>
  </si>
  <si>
    <t>Substituição de trafo corrente TC603 FASE B (nº serie: HU310544, cod. mat.: 10186221).</t>
  </si>
  <si>
    <t>0005495/2023</t>
  </si>
  <si>
    <t>TC603 FASE B</t>
  </si>
  <si>
    <t>Substituição de trafo corrente TC603 FASE C (nº serie: HU310543, cod. mat.: 10186222).</t>
  </si>
  <si>
    <t>0005496/2023</t>
  </si>
  <si>
    <t>TC603 FASE C</t>
  </si>
  <si>
    <t>Substituição de para-raios PR - LADO 345KV FASE A (nº serie: 35059872, cod. mat.: 10199987).</t>
  </si>
  <si>
    <t>0005465/2023</t>
  </si>
  <si>
    <t>PR - LADO 345KV FASE A</t>
  </si>
  <si>
    <t>Substituição de para-raios PR - LADO 345KV FASE B (nº serie: 35059873, cod. mat.: 10199988).</t>
  </si>
  <si>
    <t>0005467/2023</t>
  </si>
  <si>
    <t>PR - LADO 345KV FASE B</t>
  </si>
  <si>
    <t>Substituição de para-raios PR - LADO 345KV FASE C (nº serie: 35059874, cod. mat.: 10199989).</t>
  </si>
  <si>
    <t>0005469/2023</t>
  </si>
  <si>
    <t>PR - LADO 345KV FASE C</t>
  </si>
  <si>
    <t>Substituição de trafo corrente TC - LADO SC847-A (nº serie: 900079, cod. mat.: 10186842).</t>
  </si>
  <si>
    <t>0005497/2023</t>
  </si>
  <si>
    <t>TC - LADO SC847-A</t>
  </si>
  <si>
    <t>Substituição de trafo corrente TC - LADO SC847-B (nº serie: 900089, cod. mat.: 10186848).</t>
  </si>
  <si>
    <t>0005498/2023</t>
  </si>
  <si>
    <t>TC - LADO SC847-B</t>
  </si>
  <si>
    <t>Substituição de trafo corrente TC - LADO SC847-C (nº serie: 900090, cod. mat.: 10186849).</t>
  </si>
  <si>
    <t>0005499/2023</t>
  </si>
  <si>
    <t>TC - LADO SC847-C</t>
  </si>
  <si>
    <t>Substituição de seccionadora SC701 (nº serie: XD31, cod. mat.: 10196658).</t>
  </si>
  <si>
    <t>0005483/2023</t>
  </si>
  <si>
    <t>SC701</t>
  </si>
  <si>
    <t>Substituição de seccionadora SC703 (nº serie: XD25, cod. mat.: 10196659).</t>
  </si>
  <si>
    <t>0005484/2023</t>
  </si>
  <si>
    <t>SC703</t>
  </si>
  <si>
    <t>Substituição de trafo corrente TC701 FASE A (nº serie: 512094, cod. mat.: 10187058).</t>
  </si>
  <si>
    <t>0005500/2023</t>
  </si>
  <si>
    <t>TC701 FASE A</t>
  </si>
  <si>
    <t>Substituição de trafo corrente TC701 FASE B (nº serie: 512086, cod. mat.: 10187059).</t>
  </si>
  <si>
    <t>0005502/2023</t>
  </si>
  <si>
    <t>TC701 FASE B</t>
  </si>
  <si>
    <t>Substituição de trafo corrente TC701 FASE C (nº serie: 512098, cod. mat.: 10187060).</t>
  </si>
  <si>
    <t>0005503/2023</t>
  </si>
  <si>
    <t>TC701 FASE C</t>
  </si>
  <si>
    <t>Substituição de trafo corrente TC703 FASE A (nº serie: 512091, cod. mat.: 10187061).</t>
  </si>
  <si>
    <t>0005504/2023</t>
  </si>
  <si>
    <t>TC703 FASE A</t>
  </si>
  <si>
    <t>Substituição de trafo corrente TC703 FASE B (nº serie: 512090, cod. mat.: 10187062).</t>
  </si>
  <si>
    <t>0005505/2023</t>
  </si>
  <si>
    <t>TC703 FASE B</t>
  </si>
  <si>
    <t>Substituição de trafo corrente TC703 FASE C (nº serie: 512092, cod. mat.: 10187063).</t>
  </si>
  <si>
    <t>0005506/2023</t>
  </si>
  <si>
    <t>TC703 FASE C</t>
  </si>
  <si>
    <t>Substituição de para-raios PR - LADO 138KV FASE A (nº serie: 35059891, cod. mat.: 10199928).</t>
  </si>
  <si>
    <t>TR 345/138 kV BRAS. SUL TR2 DF</t>
  </si>
  <si>
    <t>0005471/2023</t>
  </si>
  <si>
    <t>Substituição de para-raios PR - LADO 138KV FASE B (nº serie: 35059892, cod. mat.: 10199929).</t>
  </si>
  <si>
    <t>0005472/2023</t>
  </si>
  <si>
    <t>Substituição de para-raios PR - LADO 138KV FASE C (nº serie: 35059896, cod. mat.: 10199933).</t>
  </si>
  <si>
    <t>0005473/2023</t>
  </si>
  <si>
    <t>Substituição de para-raios PR - LADO 345KV FASE A (nº serie: 35059875, cod. mat.: 10199990).</t>
  </si>
  <si>
    <t>0005474/2023</t>
  </si>
  <si>
    <t>Substituição de para-raios PR - LADO 345KV FASE B (nº serie: 35059876, cod. mat.: 10199991).</t>
  </si>
  <si>
    <t>0005475/2023</t>
  </si>
  <si>
    <t>Substituição de para-raios PR - LADO 345KV FASE C (nº serie: 35059877, cod. mat.: 10199992).</t>
  </si>
  <si>
    <t>0005476/2023</t>
  </si>
  <si>
    <t>SUBSTITUIÇÃO DO SECCIONADOR SC2111 -13,8KV</t>
  </si>
  <si>
    <t>0007207/2023</t>
  </si>
  <si>
    <t>SC2111</t>
  </si>
  <si>
    <t>SUBSTITUIÇÃO DO SECCIONADOR SC2215 -13,8KV</t>
  </si>
  <si>
    <t>0007208/2023</t>
  </si>
  <si>
    <t>SC2215</t>
  </si>
  <si>
    <t>SUBSTITUIÇÃO DO CUBÍCULO DO DISJUNTOR DJ2134 - 13,8KV</t>
  </si>
  <si>
    <t>0007210/2023</t>
  </si>
  <si>
    <t>DJ2134</t>
  </si>
  <si>
    <t>SUBSTITUIÇÃO DO CUBÍCULO DA SECCIONADORA SC2317 - 13,8KV</t>
  </si>
  <si>
    <t>0007211/2023</t>
  </si>
  <si>
    <t>SC2317</t>
  </si>
  <si>
    <t>SUBSTITUIÇÃO DO CUBÍCULO DO DISJUNTOR DJ2024 - 13,8KV</t>
  </si>
  <si>
    <t>0007212/2023</t>
  </si>
  <si>
    <t>DJ2024</t>
  </si>
  <si>
    <t>SUBSTITUIÇÃO DO CUBÍCULO DA SECCIONADORA SC2021 - 13,8KV</t>
  </si>
  <si>
    <t>0007213/2023</t>
  </si>
  <si>
    <t>SC2021</t>
  </si>
  <si>
    <t>SUBSTITUIÇÃO DO CUBÍCULO DA SECCIONADORA SC2015 - 13,8KV</t>
  </si>
  <si>
    <t>0007214/2023</t>
  </si>
  <si>
    <t>SC2315</t>
  </si>
  <si>
    <t>SUBSTITUIÇÃO DO CUBÍCULO DO DISJUNTOR DJ2144 - 13,8KV</t>
  </si>
  <si>
    <t>0007215/2023</t>
  </si>
  <si>
    <t>DJ2144</t>
  </si>
  <si>
    <t>SUBSTITUIÇÃO DO CUBÍCULO DA SECCIONADORA SC2313 - 15KV</t>
  </si>
  <si>
    <t>0007217/2023</t>
  </si>
  <si>
    <t>SC2313</t>
  </si>
  <si>
    <t>SUBSTITUIÇÃO DO CUBÍCULO DA SECCIONADORA SC2011 - 13,8KV</t>
  </si>
  <si>
    <t>0007218/2023</t>
  </si>
  <si>
    <t>SC2011</t>
  </si>
  <si>
    <t>SUBSTITUIÇÃO DO CUBÍCULO DO DISJUNTOR DJ2114 - 13,8KV</t>
  </si>
  <si>
    <t>0007219/2023</t>
  </si>
  <si>
    <t>DJ2114</t>
  </si>
  <si>
    <t>SUBSTITUIÇÃO DO TRANSFORMADOR AUXILIAR TR01 -13,8KV/480V</t>
  </si>
  <si>
    <t>0007220/2023</t>
  </si>
  <si>
    <t>TR01</t>
  </si>
  <si>
    <t>SUBSTITUIÇÃO DO TRANSFORMADOR AUXILIAR TRREG01 -13,8/13,8KV</t>
  </si>
  <si>
    <t>0007221/2023</t>
  </si>
  <si>
    <t>TRREG01</t>
  </si>
  <si>
    <t>SUBSTITUIÇÃO DO TRANSFORMADOR AUXILIAR TR02 - 13,8KV/480V</t>
  </si>
  <si>
    <t>0007222/2023</t>
  </si>
  <si>
    <t>TR02</t>
  </si>
  <si>
    <t>SUBSTITUIÇÃO DO TRANSFORMADOR AUXILIAR TRREG02 -13,8/13,8KV</t>
  </si>
  <si>
    <t>0007223/2023</t>
  </si>
  <si>
    <t>TRREG02</t>
  </si>
  <si>
    <t>SUBSTITUIÇÃO DO TRANSFORMADOR AUXILIAR DE ISOLAÇÃO SATR -13,8/13,8KV</t>
  </si>
  <si>
    <t>0007225/2023</t>
  </si>
  <si>
    <t>SATR ISOLAÇÃO</t>
  </si>
  <si>
    <t>SUBSTITUIÇÃO DA SECCIONADORA SC2425 - 13,8KV</t>
  </si>
  <si>
    <t>0007226/2023</t>
  </si>
  <si>
    <t>SC2425</t>
  </si>
  <si>
    <t>SUBSTITUIÇÃO DA SECCIONADORA SC2021 - 13,8KV</t>
  </si>
  <si>
    <t>0007227/2023</t>
  </si>
  <si>
    <t>SC2001</t>
  </si>
  <si>
    <t>SUBSTITUIÇÃO DA SECCIONADORA SC2415 - 13,8KV</t>
  </si>
  <si>
    <t>0007228/2023</t>
  </si>
  <si>
    <t>SC2415</t>
  </si>
  <si>
    <t>SUBSTITUIÇÃO DO TRANSFORMADOR AUXILIAR OFICINA DE TRAFOS - 13,8KV/380-220V</t>
  </si>
  <si>
    <t>0007229/2023</t>
  </si>
  <si>
    <t>SATR OFICINA DE TRAFOS</t>
  </si>
  <si>
    <t>SUBSTITUIÇÃO DO SECCIONADOR COM ELO FUSÍVEL  SC2411 -  13,8KV</t>
  </si>
  <si>
    <t>0007230/2023</t>
  </si>
  <si>
    <t>SC2411</t>
  </si>
  <si>
    <t>SUBSTITUIÇÃO DO TRANSFORMADOR AUXILIAR TRDOCO - 13,8KV/380-220V</t>
  </si>
  <si>
    <t>0007231/2023</t>
  </si>
  <si>
    <t>SATRDOCO</t>
  </si>
  <si>
    <t>SUBSTITUIÇÃO DO SECCIONADOR SC2505  - 13,8KV</t>
  </si>
  <si>
    <t>0007232/2023</t>
  </si>
  <si>
    <t>SC2505</t>
  </si>
  <si>
    <t>SUBSTITUIÇÃO DO SECCIONADOR SC2427  - 13,8KV</t>
  </si>
  <si>
    <t>0007234/2023</t>
  </si>
  <si>
    <t>SC2427</t>
  </si>
  <si>
    <t>SUBSTITUIÇÃO DO SECCIONADOR SC2417  - 13,8KV</t>
  </si>
  <si>
    <t>0007235/2023</t>
  </si>
  <si>
    <t>SC2417</t>
  </si>
  <si>
    <t>SUBSTITUIÇÃO DO SECCIONADOR SC2041  - 13,8KV</t>
  </si>
  <si>
    <t>0007236/2023</t>
  </si>
  <si>
    <t>SC2041</t>
  </si>
  <si>
    <t>SUBSTITUIÇÃO DO SECCIONADOR COM ELO FUSÍVEL SC2507  - 13,8KV</t>
  </si>
  <si>
    <t>0007237/2023</t>
  </si>
  <si>
    <t>SC2507</t>
  </si>
  <si>
    <t>SUBSTITUIÇÃO DO SECCIONADOR COM ELO FUSÍVEL SC2511  - 13,8KV</t>
  </si>
  <si>
    <t>0007238/2023</t>
  </si>
  <si>
    <t>SC2511</t>
  </si>
  <si>
    <t>SUBSTITUIÇÃO DO TRANSFORMADOR AUXILIAR VILA RESIDENCIAL  - 13,8KV/380-220V</t>
  </si>
  <si>
    <t>0007239/2023</t>
  </si>
  <si>
    <t>SATR VILA RESIDENCIAL</t>
  </si>
  <si>
    <t>SUBSTITUIÇÃO DO SECCIONADOR COM ELO FUSÍVEL  SC2043 - 13,8KV</t>
  </si>
  <si>
    <t>0007240/2023</t>
  </si>
  <si>
    <t>SC2043</t>
  </si>
  <si>
    <t>SUBSTITUIÇÃO DO PAINEL PP1 - 480V</t>
  </si>
  <si>
    <t>0007241/2023</t>
  </si>
  <si>
    <t>PP1</t>
  </si>
  <si>
    <t>SUBSTITUIÇÃO DO PAINEL PP2 - 480V</t>
  </si>
  <si>
    <t>0007242/2023</t>
  </si>
  <si>
    <t>PP2</t>
  </si>
  <si>
    <t>SUBSTITUIÇÃO DO PAINEL PP3 - 480V</t>
  </si>
  <si>
    <t>0007243/2023</t>
  </si>
  <si>
    <t>PP3</t>
  </si>
  <si>
    <t>SUBSTITUIÇÃO DO PAINEL QDF3 - 480V</t>
  </si>
  <si>
    <t>0007244/2023</t>
  </si>
  <si>
    <t>QDF3</t>
  </si>
  <si>
    <t>SUBSTITUIÇÃO DO PAINEL QDF4 - 480V</t>
  </si>
  <si>
    <t>0007245/2023</t>
  </si>
  <si>
    <t>QDF4</t>
  </si>
  <si>
    <t>SUBSTITUIÇÃO DO PAINEL QDF5 - 480V</t>
  </si>
  <si>
    <t>0007247/2023</t>
  </si>
  <si>
    <t>QDF5</t>
  </si>
  <si>
    <t>SUBSTITUIÇÃO DO PAINEL QDF11 - 480V</t>
  </si>
  <si>
    <t>0007248/2023</t>
  </si>
  <si>
    <t>QDF11</t>
  </si>
  <si>
    <t>SUBSTITUIÇÃO DO PAINEL QDL11 - 220V</t>
  </si>
  <si>
    <t>0007249/2023</t>
  </si>
  <si>
    <t>QDL11</t>
  </si>
  <si>
    <t>SUBSTITUIÇÃO DO PAINEL QDL4 - 220V</t>
  </si>
  <si>
    <t>0007251/2023</t>
  </si>
  <si>
    <t>QDL4</t>
  </si>
  <si>
    <t>SUBSTITUIÇÃO DO PAINEL QDL13 - 220V</t>
  </si>
  <si>
    <t>0007252/2023</t>
  </si>
  <si>
    <t>QDL13</t>
  </si>
  <si>
    <t>SUBSTITUIÇÃO DO PAINEL QDL3 - 220V</t>
  </si>
  <si>
    <t>0007253/2023</t>
  </si>
  <si>
    <t>QDL3</t>
  </si>
  <si>
    <t>SUBSTITUIÇÃO DO PAINEL QDL10 - 220V</t>
  </si>
  <si>
    <t>0007254/2023</t>
  </si>
  <si>
    <t>QDL10</t>
  </si>
  <si>
    <t>SUBSTITUIÇÃO DO PAINEL QDL14 - 220V</t>
  </si>
  <si>
    <t>0007256/2023</t>
  </si>
  <si>
    <t>QDL14</t>
  </si>
  <si>
    <t>SUBSTITUIÇÃO DO PAINEL SE SUBTERRÂNEA - 220V</t>
  </si>
  <si>
    <t>0007257/2023</t>
  </si>
  <si>
    <t>SE SUBTERRÂNEA</t>
  </si>
  <si>
    <t>SUBSTITUIÇÃO DO PAINEL QDF2  - 480V</t>
  </si>
  <si>
    <t>0007258/2023</t>
  </si>
  <si>
    <t>QDF2</t>
  </si>
  <si>
    <t>SUBSTITUIÇÃO DO PAINEL QDF1  - 480V</t>
  </si>
  <si>
    <t>0007259/2023</t>
  </si>
  <si>
    <t>QDF1</t>
  </si>
  <si>
    <t>SUBSTITUIÇÃO DO PAINEL QDF7  - 480V</t>
  </si>
  <si>
    <t>0007260/2023</t>
  </si>
  <si>
    <t>QDF7</t>
  </si>
  <si>
    <t>SUBSTITUIÇÃO DO PAINEL QDF3A  - 480V</t>
  </si>
  <si>
    <t>0007261/2023</t>
  </si>
  <si>
    <t>QDF3A</t>
  </si>
  <si>
    <t>SUBSTITUIÇÃO DO PAINEL QDF12  - 480V</t>
  </si>
  <si>
    <t>0007262/2023</t>
  </si>
  <si>
    <t>QDF12</t>
  </si>
  <si>
    <t>SUBSTITUIÇÃO DO PAINEL QDF10  - 480V</t>
  </si>
  <si>
    <t>0007263/2023</t>
  </si>
  <si>
    <t>QDF10</t>
  </si>
  <si>
    <t>SUBSTITUIÇÃO DO PAINEL QDF6 - 480V</t>
  </si>
  <si>
    <t>0007265/2023</t>
  </si>
  <si>
    <t>QDF6</t>
  </si>
  <si>
    <t>SUBSTITUIÇÃO DO PAINEL QDF8  - 480V</t>
  </si>
  <si>
    <t>0007266/2023</t>
  </si>
  <si>
    <t>QDF8</t>
  </si>
  <si>
    <t>SUBSTITUIÇÃO DO PAINEL QDL9  - 220V</t>
  </si>
  <si>
    <t>0007267/2023</t>
  </si>
  <si>
    <t>QDL9</t>
  </si>
  <si>
    <t>SUBSTITUIÇÃO DO PAINEL QDL15 - 220V</t>
  </si>
  <si>
    <t>0007268/2023</t>
  </si>
  <si>
    <t>QDL15</t>
  </si>
  <si>
    <t>SUBSTITUIÇÃO DO PAINEL QDL2 - 220V</t>
  </si>
  <si>
    <t>0007269/2023</t>
  </si>
  <si>
    <t>QDL2</t>
  </si>
  <si>
    <t>SUBSTITUIÇÃO DO PAINEL QDL12 - 220V</t>
  </si>
  <si>
    <t>0007270/2023</t>
  </si>
  <si>
    <t>QDL12</t>
  </si>
  <si>
    <t>SUBSTITUIÇÃO DO PAINEL QDL1 - 220V</t>
  </si>
  <si>
    <t>0007271/2023</t>
  </si>
  <si>
    <t>QDL1</t>
  </si>
  <si>
    <t>SUBSTITUIÇÃO DO PAINEL QDL1A - 220V</t>
  </si>
  <si>
    <t>0007272/2023</t>
  </si>
  <si>
    <t>QDL1A</t>
  </si>
  <si>
    <t>SUBSTITUIÇÃO DO PAINEL QDL5 - 220V</t>
  </si>
  <si>
    <t>0007274/2023</t>
  </si>
  <si>
    <t>QDL5</t>
  </si>
  <si>
    <t>SUBSTITUIÇÃO DO PAINEL QDL8 - 220V</t>
  </si>
  <si>
    <t>0007275/2023</t>
  </si>
  <si>
    <t>QDL8</t>
  </si>
  <si>
    <t>SUBSTITUIÇÃO DO PAINEL QDL6 - 220V</t>
  </si>
  <si>
    <t>0007277/2023</t>
  </si>
  <si>
    <t>QDL6</t>
  </si>
  <si>
    <t>SUBSTITUIÇÃO DO PAINEL QDL7 - 220V</t>
  </si>
  <si>
    <t>0007278/2023</t>
  </si>
  <si>
    <t>QDL7</t>
  </si>
  <si>
    <t>SUBSTITUIÇÃO DO PAINEL QDL16  - 220V</t>
  </si>
  <si>
    <t>0007279/2023</t>
  </si>
  <si>
    <t>QDL16</t>
  </si>
  <si>
    <t>SUBSTITUIÇÃO DO PAINEL QDL17 - 220V</t>
  </si>
  <si>
    <t>0007280/2023</t>
  </si>
  <si>
    <t>QDL17</t>
  </si>
  <si>
    <t>SUBSTITUIÇÃO DO TRANSFORMADOR DE SERVIÇO AUXILIAR TR1A - 480/220-127V</t>
  </si>
  <si>
    <t>0007283/2023</t>
  </si>
  <si>
    <t>TR1A</t>
  </si>
  <si>
    <t>SUBSTITUIÇÃO DO TRANSFORMADOR DE SERVIÇO AUXILIAR TR1B - 480/220-127V</t>
  </si>
  <si>
    <t>0007284/2023</t>
  </si>
  <si>
    <t>TR1B</t>
  </si>
  <si>
    <t>SUBSTITUIÇÃO DO TRANSFORMADOR DE SERVIÇO AUXILIAR TR2A - 480/220-127V</t>
  </si>
  <si>
    <t>0007285/2023</t>
  </si>
  <si>
    <t>TR2A</t>
  </si>
  <si>
    <t>SUBSTITUIÇÃO DO TRANSFORMADOR DE SERVIÇO AUXILIAR TR2B - 480/220-127V</t>
  </si>
  <si>
    <t>0007286/2023</t>
  </si>
  <si>
    <t>TR2B</t>
  </si>
  <si>
    <t>SUBSTITUIÇÃO DO TRANSFORMADOR DE SERVIÇO AUXILIAR TR3 - 480/220-127V</t>
  </si>
  <si>
    <t>0007287/2023</t>
  </si>
  <si>
    <t>TR3</t>
  </si>
  <si>
    <t>SUBSTITUIÇÃO DO TRANSFORMADOR DE SERVIÇO AUXILIAR TR4 - 480/220-127V</t>
  </si>
  <si>
    <t>0007289/2023</t>
  </si>
  <si>
    <t>TR4</t>
  </si>
  <si>
    <t>SUBSTITUIÇÃO DO TRANSFORMADOR DE SERVIÇO AUXILIAR TR5A - 480/220-127V</t>
  </si>
  <si>
    <t>0007290/2023</t>
  </si>
  <si>
    <t>TR5A</t>
  </si>
  <si>
    <t>SUBSTITUIÇÃO DO TRANSFORMADOR DE SERVIÇO AUXILIAR TR5B - 480/220-127V</t>
  </si>
  <si>
    <t>0007291/2023</t>
  </si>
  <si>
    <t>TR5B</t>
  </si>
  <si>
    <t>SUBSTITUIÇÃO DO TRANSFORMADOR DE SERVIÇO AUXILIAR TR5C - 480/220-127V</t>
  </si>
  <si>
    <t>0007292/2023</t>
  </si>
  <si>
    <t>TR5C</t>
  </si>
  <si>
    <t>SUBSTITUIÇÃO DO TRANSFORMADOR DE SERVIÇO AUXILIAR TR6 - 480/220-127V</t>
  </si>
  <si>
    <t>0007293/2023</t>
  </si>
  <si>
    <t>TR6</t>
  </si>
  <si>
    <t>SUBSTITUIÇÃO DO GRUPO MOTOR GERADOR DIESEL DE EMERGÊNCIA DA SUBESTAÇÃO DE 338 KVA / 480V</t>
  </si>
  <si>
    <t>0007294/2023</t>
  </si>
  <si>
    <t>GMG</t>
  </si>
  <si>
    <t>0007296/2023</t>
  </si>
  <si>
    <t>Substituição dos sistemas de proteção do BC 13,8 kV 15 Mvar BRAS. SUL BC1 DF</t>
  </si>
  <si>
    <t>BC 13,8 kV 15 Mvar BRAS. SUL BC1 DF</t>
  </si>
  <si>
    <t>0006855/2023</t>
  </si>
  <si>
    <t>PROTEÇÃO - BC 13,8 kV 15 Mvar BRAS. SUL BC1 DF</t>
  </si>
  <si>
    <t>Substituição dos sistemas de proteção do BC 13,8 kV 15 Mvar BRAS. SUL BC2 DF</t>
  </si>
  <si>
    <t>BC 13,8 kV 15 Mvar BRAS. SUL BC2 DF</t>
  </si>
  <si>
    <t>0006856/2023</t>
  </si>
  <si>
    <t>PROTEÇÃO - BC 13,8 kV 15 Mvar BRAS. SUL BC2 DF</t>
  </si>
  <si>
    <t>Substituição dos sistemas de proteção do BC 13,8 kV 15 Mvar BRAS. SUL BC3 DF</t>
  </si>
  <si>
    <t>BC 13,8 kV 15 Mvar BRAS. SUL BC3 DF</t>
  </si>
  <si>
    <t>0006857/2023</t>
  </si>
  <si>
    <t>PROTEÇÃO - BC 13,8 kV 15 Mvar BRAS. SUL BC3 DF</t>
  </si>
  <si>
    <t>Substituição dos sistemas de proteção do BC 13,8 kV 15 Mvar BRAS. SUL BC4 DF</t>
  </si>
  <si>
    <t>BC 13,8 kV 15 Mvar BRAS. SUL BC4 DF</t>
  </si>
  <si>
    <t>0006858/2023</t>
  </si>
  <si>
    <t>PROTEÇÃO - BC 13,8 kV 15 Mvar BRAS. SUL BC4 DF</t>
  </si>
  <si>
    <t>Substituição dos sistemas de proteção da LT 230 kV BRAS. SUL /PIRINEUS C-1 DF/GO</t>
  </si>
  <si>
    <t>LT 230 kV BRAS. SUL /PIRINEUS C-1 DF/GO</t>
  </si>
  <si>
    <t>0006859/2023</t>
  </si>
  <si>
    <t>PROTEÇÃO - LT 230 kV BRAS. SUL /PIRINEUS C-1 DF/GO</t>
  </si>
  <si>
    <t>PIRINEUS</t>
  </si>
  <si>
    <t>0006830/2023</t>
  </si>
  <si>
    <t>Substituição do registrador de perturbações digital da LT 230 kV BRAS. SUL /PIRINEUS C-1 DF/GO</t>
  </si>
  <si>
    <t>0006865/2023</t>
  </si>
  <si>
    <t>RDP - LT 230 kV BRAS. SUL /PIRINEUS C-1 DF/GO</t>
  </si>
  <si>
    <t>Substituição do registrador de perturbações digital das barras BR8A e BR8B</t>
  </si>
  <si>
    <t>0006869/2023</t>
  </si>
  <si>
    <t>RDP - BR8A e BR8B</t>
  </si>
  <si>
    <t>Substituição do registrador de perturbações digital do TR 345/230 kV BRAS. SUL TR9 DF</t>
  </si>
  <si>
    <t>TR 345/138 kV BRAS. SUL TR9 DF</t>
  </si>
  <si>
    <t>0006870/2023</t>
  </si>
  <si>
    <t>RDP - TR 345/230 kV BRAS. SUL TR9 DF</t>
  </si>
  <si>
    <t>Substituição do registrador de perturbações digital das barras BR7A e BR7B</t>
  </si>
  <si>
    <t>0006872/2023</t>
  </si>
  <si>
    <t>RDP - BR7A e BR7B</t>
  </si>
  <si>
    <t>Substituição do registrador de perturbações digital da LT 230 kV AGUAS LINDAS /BRAS. SUL C-1 GO/DF</t>
  </si>
  <si>
    <t>LT 230 kV AGUAS LINDAS /BRAS. SUL C-1 GO/DF</t>
  </si>
  <si>
    <t>0006874/2023</t>
  </si>
  <si>
    <t>RDP - LT 230 kV AGUAS LINDAS /BRAS. SUL C-1 GO/DF</t>
  </si>
  <si>
    <t>Substituição do registrador de perturbações digital da LT 230 kV BRAS. GERAL /BRAS. SUL C-2 DF</t>
  </si>
  <si>
    <t>LT 230 kV BRAS. GERAL /BRAS. SUL C-2 DF</t>
  </si>
  <si>
    <t>0006876/2023</t>
  </si>
  <si>
    <t>RDP - LT 230 kV BRAS. GERAL /BRAS. SUL C-2 DF</t>
  </si>
  <si>
    <t>Substituição do registrador de perturbações digital das barras BR6A e BR6B</t>
  </si>
  <si>
    <t>0006877/2023</t>
  </si>
  <si>
    <t>RDP - BR6A e BR6B</t>
  </si>
  <si>
    <t>Substituição do registrador de perturbações digital Da  LT 138 kV BRAS. NORTE /BRAS. SUL C-1 DF</t>
  </si>
  <si>
    <t>LT 138 kV BRAS. NORTE /BRAS. SUL C-1 DF</t>
  </si>
  <si>
    <t>0006879/2023</t>
  </si>
  <si>
    <t>RDP - LT 138 kV BRAS. NORTE /BRAS. SUL C-1 DF</t>
  </si>
  <si>
    <t>Substituição do registrador de perturbações digital Da  LT 138 kV BRAS. NORTE /BRAS. SUL C-2 DF</t>
  </si>
  <si>
    <t>LT 138 kV BRAS. NORTE /BRAS. SUL C-2 DF</t>
  </si>
  <si>
    <t>0006881/2023</t>
  </si>
  <si>
    <t>RDP - LT 138 kV BRAS. NORTE /BRAS. SUL C-2 DF</t>
  </si>
  <si>
    <t>Substituição do registrador de perturbações digital Da  LT 138 kV BRAS. NORTE /BRAS. SUL C-3 DF</t>
  </si>
  <si>
    <t>LT 138 kV BRAS. NORTE /BRAS. SUL C-3 DF</t>
  </si>
  <si>
    <t>0006882/2023</t>
  </si>
  <si>
    <t>RDP - LT 138 kV BRAS. NORTE /BRAS. SUL C-3 DF</t>
  </si>
  <si>
    <t>Substituição do registrador de perturbações digital Da  LT 138 kV TAGUATINGA /BRAS. SUL C-1 DF</t>
  </si>
  <si>
    <t>LT 138 kV TAGUATINGA /BRAS. SUL C-1 DF</t>
  </si>
  <si>
    <t>0006884/2023</t>
  </si>
  <si>
    <t>RDP - LT 138 kV TAGUATINGA /BRAS. SUL C-1 DF</t>
  </si>
  <si>
    <t>Substituição do registrador de perturbações digital Da  LT 138 kV TAGUATINGA /BRAS. SUL C-2 DF</t>
  </si>
  <si>
    <t>LT 138 kV TAGUATINGA /BRAS. SUL C-2 DF</t>
  </si>
  <si>
    <t>0006887/2023</t>
  </si>
  <si>
    <t>RDP - LT 138 kV TAGUATINGA /BRAS. SUL C-2 DF</t>
  </si>
  <si>
    <t>Substituição do registrador de perturbações digital Da  LT 138 kV CEILANDIA /BRAS. SUL C-1 DF</t>
  </si>
  <si>
    <t>LT 138 kV CEILANDIA /BRAS. SUL C-1 DF</t>
  </si>
  <si>
    <t>0006888/2023</t>
  </si>
  <si>
    <t>RDP - LT 138 kV CEILANDIA /BRAS. SUL C-1 DF</t>
  </si>
  <si>
    <t>Substituição do registrador de perturbações digital Da  LT 138 kV CEILANDIA /BRAS. SUL C-2 DF</t>
  </si>
  <si>
    <t>LT 138 kV CEILANDIA /BRAS. SUL C-2 DF</t>
  </si>
  <si>
    <t>0006889/2023</t>
  </si>
  <si>
    <t>RDP - LT 138 kV CEILANDIA /BRAS. SUL C-2 DF</t>
  </si>
  <si>
    <t>Substituição do registrador de perturbações digital Da  LT 138 kV SANTA MARIA /BRAS. SUL C-1 DF</t>
  </si>
  <si>
    <t>LT 138 kV SANTA MARIA /BRAS. SUL C-1 DF</t>
  </si>
  <si>
    <t>0006891/2023</t>
  </si>
  <si>
    <t>RDP - LT 138 kV SANTA MARIA /BRAS. SUL C-1 DF</t>
  </si>
  <si>
    <t>Serão substituídos 02 (dois) equipamentos OPLAT de fabricação SIEMENS, modelo ESB2000i, números de série 1854 e 1856 e 02 (dois) equipamentos de teleproteção de fabricação ALSTOM, modelo DIP5000, números de série 23016546 e 23016525.</t>
  </si>
  <si>
    <t>LT 345 kV CORUMBA /BRAS. SUL C-1 GO/DF</t>
  </si>
  <si>
    <t>0007800/2023</t>
  </si>
  <si>
    <t>TLP PRIMARIA</t>
  </si>
  <si>
    <t>Serão substituídos 02 (dois) equipamentos de teleproteção analógica de fabricação SIEMENS, modelo SWT2000F6, números de série 03630(2) e 03630(1).</t>
  </si>
  <si>
    <t>0007801/2023</t>
  </si>
  <si>
    <t>Serão substituídos 02 (dois) equipamentos de teleproteção de fabricação ALSTOM, modelo DIP5000, números de série 23017608 e 23016579.</t>
  </si>
  <si>
    <t>0007802/2023</t>
  </si>
  <si>
    <t>Substituição de switch FSBS-D01P da Rede Operativa da subestação de Brasília Sul.</t>
  </si>
  <si>
    <t>0007806/2023</t>
  </si>
  <si>
    <t>FSBS-D01P</t>
  </si>
  <si>
    <t>Substituição de switch FSBS-D01S da Rede Operativa da subestação de Brasília Sul.</t>
  </si>
  <si>
    <t>0007807/2023</t>
  </si>
  <si>
    <t>FSBS-D01S</t>
  </si>
  <si>
    <t>Substituição de switch FSBS-A01P da Rede Operativa da subestação de Brasília Sul.</t>
  </si>
  <si>
    <t>0007808/2023</t>
  </si>
  <si>
    <t>FSBS-A01P</t>
  </si>
  <si>
    <t>Substituição de switch FSBS-A01S da Rede Operativa da subestação de Brasília Sul.</t>
  </si>
  <si>
    <t>0007809/2023</t>
  </si>
  <si>
    <t>FSBS-A01S</t>
  </si>
  <si>
    <t>Substituição de switch FSBS-A02P da Rede Operativa da subestação de Brasília Sul.</t>
  </si>
  <si>
    <t>0007810/2023</t>
  </si>
  <si>
    <t>FSBS-A02P</t>
  </si>
  <si>
    <t>Substituição de switch FSBS-A02S da Rede Operativa da subestação de Brasília Sul.</t>
  </si>
  <si>
    <t>0007811/2023</t>
  </si>
  <si>
    <t>FSBS-A02S</t>
  </si>
  <si>
    <t>Substituição da UAC19 - SINOCON de supervisão do BANCO DE CAPACITORES BC 13,8 kV 15 Mvar BRAS. SUL BC1 DF</t>
  </si>
  <si>
    <t>0007579/2023</t>
  </si>
  <si>
    <t>Substituição da UAC19 - SINOCON de supervisão do BANCO DE CAPACITORES BC 13,8 kV 15 Mvar BRAS. SUL BC2 DF</t>
  </si>
  <si>
    <t>0007580/2023</t>
  </si>
  <si>
    <t>Substituição da UAC20 - SINOCON de supervisão do BANCO DE CAPACITORES BC 13,8 kV 15 Mvar BRAS. SUL BC3 DF</t>
  </si>
  <si>
    <t>0007582/2023</t>
  </si>
  <si>
    <t>Substituição da UAC20 - SINOCON de supervisão do BANCO DE CAPACITORES BC 13,8 kV 15 Mvar BRAS. SUL BC4 DF</t>
  </si>
  <si>
    <t>0007583/2023</t>
  </si>
  <si>
    <t>Substituição das UACs de supervisão da LT 230 kV BRAS. SUL /PIRINEUS C-1 DF/GO</t>
  </si>
  <si>
    <t>0007585/2023</t>
  </si>
  <si>
    <t>Substituição de seccionadora SC8521 (nº serie: F51396B, cod. mat.: 10196452).</t>
  </si>
  <si>
    <t>0005964/2023</t>
  </si>
  <si>
    <t>Substituição de seccionadora SC8523 (nº serie: F51396C, cod. mat.: 10196453).</t>
  </si>
  <si>
    <t>0005966/2023</t>
  </si>
  <si>
    <t>Substituição de seccionadora SC8525 (nº serie: F51396E, cod. mat.: 10196454).</t>
  </si>
  <si>
    <t>0005967/2023</t>
  </si>
  <si>
    <t>Substituição de seccionadora SC8527 (nº serie: F51396D, cod. mat.: 10196455).</t>
  </si>
  <si>
    <t>0005968/2023</t>
  </si>
  <si>
    <t>SC8527</t>
  </si>
  <si>
    <t>Substituição de seccionadora SC8529 (nº serie: F51396F, cod. mat.: 10196456).</t>
  </si>
  <si>
    <t>0005969/2023</t>
  </si>
  <si>
    <t>SC8529</t>
  </si>
  <si>
    <t>Substituição de seccionadora SC8520T (nº serie: F51396A, cod. mat.: 10196457).</t>
  </si>
  <si>
    <t>0005970/2023</t>
  </si>
  <si>
    <t>SC8520T</t>
  </si>
  <si>
    <t>Substituição de trafo potencial/dcp DCPLTMRCL FASE A (nº serie: 13451, cod. mat.: 10189947).</t>
  </si>
  <si>
    <t>0005982/2023</t>
  </si>
  <si>
    <t>DCPLTMRCL FASE A</t>
  </si>
  <si>
    <t>Substituição de trafo potencial/dcp DCPLTMRCL FASE B (nº serie: 13452, cod. mat.: 10189946).</t>
  </si>
  <si>
    <t>0005983/2023</t>
  </si>
  <si>
    <t>DCPLTMRCL FASE B</t>
  </si>
  <si>
    <t>Substituição de trafo potencial/dcp DCPLTMRCL FASE C (nº serie: -, cod. mat.: -).</t>
  </si>
  <si>
    <t>0005984/2023</t>
  </si>
  <si>
    <t>DCPLTMRCL FASE C</t>
  </si>
  <si>
    <t>Substituição do transformador de potência TR5MVA (nº serie: 29409, cod. mat.: 10182811).</t>
  </si>
  <si>
    <t>TR 138/13,8 kV P. COLOMBIA TRSA MG</t>
  </si>
  <si>
    <t>0002990/2022</t>
  </si>
  <si>
    <t>TR5MVA</t>
  </si>
  <si>
    <t>Substituição de seccionadora SC671 (nº serie: 711520/250, cod. mat.: 10196720).</t>
  </si>
  <si>
    <t>0005971/2023</t>
  </si>
  <si>
    <t>SC671</t>
  </si>
  <si>
    <t>Substituição de seccionadora SC673 (nº serie: 711520/240, cod. mat.: 10196721).</t>
  </si>
  <si>
    <t>0005973/2023</t>
  </si>
  <si>
    <t>SC673</t>
  </si>
  <si>
    <t>Substituição de trafo corrente TC1DJ678 138KV  FASE A (nº serie: SPX2255, cod. mat.: 10186244).</t>
  </si>
  <si>
    <t>0005975/2023</t>
  </si>
  <si>
    <t>TC1DJ678 138KV  FASE A</t>
  </si>
  <si>
    <t>Substituição de trafo corrente TC1DJ678 138KV  FASE B (nº serie: SPX2254, cod. mat.: 10186245).</t>
  </si>
  <si>
    <t>0005976/2023</t>
  </si>
  <si>
    <t>TC1DJ678 138KV  FASE B</t>
  </si>
  <si>
    <t>Substituição de trafo corrente TC1DJ678 138KV  FASE C (nº serie: SPX2256, cod. mat.: 10186246).</t>
  </si>
  <si>
    <t>0005978/2023</t>
  </si>
  <si>
    <t>TC1DJ678 138KV  FASE CBROWN BOVERI</t>
  </si>
  <si>
    <t>Substituição de trafo corrente TC2DJ678 138KV  FASE A (nº serie: HU310624, cod. mat.: 10186274).</t>
  </si>
  <si>
    <t>0005979/2023</t>
  </si>
  <si>
    <t>TC2DJ678 138KV  FASE A</t>
  </si>
  <si>
    <t>Substituição de trafo corrente TC2DJ678 138KV  FASE B (nº serie: HU310612, cod. mat.: 10186275).</t>
  </si>
  <si>
    <t>0005980/2023</t>
  </si>
  <si>
    <t>TC2DJ678 138KV  FASE BBROWN BOVERI</t>
  </si>
  <si>
    <t>Substituição de trafo corrente TC2DJ678 138KV  FASE C (nº serie: HU310619, cod. mat.: 10186276).</t>
  </si>
  <si>
    <t>0005981/2023</t>
  </si>
  <si>
    <t>TC2DJ678 138KV  FASE C</t>
  </si>
  <si>
    <t>Substituição de seccionadora SC2071 (nº serie: -, cod. mat.: -).</t>
  </si>
  <si>
    <t>0005974/2023</t>
  </si>
  <si>
    <t>SC2071</t>
  </si>
  <si>
    <t>Substituição dos sistemas de proteção da LT 345 kV P. COLOMBIA /VOLTA GRANDE C-1 MG</t>
  </si>
  <si>
    <t>LT 345 kV P. COLOMBIA /VOLTA GRANDE C-1 MG</t>
  </si>
  <si>
    <t>0007115/2023</t>
  </si>
  <si>
    <t>PROTEÇÃO - LT 345 kV P. COLOMBIA /VOLTA GRANDE C-1 MG</t>
  </si>
  <si>
    <t>Substituição dos sistemas de proteção da LT 138 kV BARRETOS 1 /P. COLOMBIA C-3 MG e da proteção de falha da disjuntor DJ6938.</t>
  </si>
  <si>
    <t>LT 138 kV BARRETOS 1 /P. COLOMBIA C-3 SP/MG</t>
  </si>
  <si>
    <t>0007116/2023</t>
  </si>
  <si>
    <t>PROTEÇÃO - LT 138 kV BARRETOS 1 /P. COLOMBIA C-3 MG</t>
  </si>
  <si>
    <t>Substituição dos sistemas de proteção da LT 138 kV BARRETOS 1 /P. COLOMBIA C-2 MG e da proteção de falha da disjuntor DJ6928.</t>
  </si>
  <si>
    <t>LT 138 kV BARRETOS 1 /P. COLOMBIA C-2 SP/MG</t>
  </si>
  <si>
    <t>0007117/2023</t>
  </si>
  <si>
    <t>PROTEÇÃO - LT 138 kV BARRETOS 1 /P. COLOMBIA C-2 MG</t>
  </si>
  <si>
    <t>Substituição dos sistemas de proteção daLT 138 kV BARRETOS 1 /P. COLOMBIA C-1 MG</t>
  </si>
  <si>
    <t>LT 138 kV BARRETOS 1 /P. COLOMBIA C-1 SP/MG</t>
  </si>
  <si>
    <t>0007118/2023</t>
  </si>
  <si>
    <t>PROTEÇÃO - LT 138 kV BARRETOS 1 /P. COLOMBIA C-1 MG</t>
  </si>
  <si>
    <t>Substituição dos sistemas de proteção do TR 138/13,8 kV P. COLOMBIA TRSA MG</t>
  </si>
  <si>
    <t>0007119/2023</t>
  </si>
  <si>
    <t>PROTEÇÃO - TR 138/13,8 kV P. COLOMBIA TRSA MG</t>
  </si>
  <si>
    <t>Substituição dos sistemas de proteção da LT 138 kV COLORADO /P. COLOMBIA C-1 SP/MG e da proteção de falha do disjuntor  DJ6948.</t>
  </si>
  <si>
    <t>LT 138 kV COLORADO /P. COLOMBIA C-1 SP/MG</t>
  </si>
  <si>
    <t>0007120/2023</t>
  </si>
  <si>
    <t>PROTEÇÃO - LT 138 kV COLORADO /P. COLOMBIA C-1 SP/MG</t>
  </si>
  <si>
    <t>Substituição do registrador de perturbações digital da LT 345 kV P. COLOMBIA /VOLTA GRANDE C-1 MG</t>
  </si>
  <si>
    <t>0007133/2023</t>
  </si>
  <si>
    <t>RDP - LT 345 kV P. COLOMBIA /VOLTA GRANDE C-1 MG</t>
  </si>
  <si>
    <t>Substituição do registrador de perturbações digital da LT 138 kV BARRETOS 1 /P. COLOMBIA C-3 MG</t>
  </si>
  <si>
    <t>0007134/2023</t>
  </si>
  <si>
    <t>RDP - LT 138 kV BARRETOS 1 /P. COLOMBIA C-3 MG</t>
  </si>
  <si>
    <t>Substituição do registrador de perturbações digital da LT 138 kV BARRETOS 1 /P. COLOMBIA C-2 MG</t>
  </si>
  <si>
    <t>0007135/2023</t>
  </si>
  <si>
    <t>RDP - LT 138 kV BARRETOS 1 /P. COLOMBIA C-2 MG</t>
  </si>
  <si>
    <t>Substituição do registrador de perturbações digital da LT 138 kV BARRETOS 1 /P. COLOMBIA C-1 MG</t>
  </si>
  <si>
    <t>0007136/2023</t>
  </si>
  <si>
    <t>RDP - LT 138 kV BARRETOS 1 /P. COLOMBIA C-1 MG</t>
  </si>
  <si>
    <t>Substituição do registrador de perturbações digital da LT 138 kV COLORADO /P. COLOMBIA C-1 SP/MG</t>
  </si>
  <si>
    <t>0007138/2023</t>
  </si>
  <si>
    <t>RDP - LT 138 kV COLORADO /P. COLOMBIA C-1 SP/MG</t>
  </si>
  <si>
    <t>Substituição do registrador de perturbações digital da BR6A e BR6B</t>
  </si>
  <si>
    <t>0007139/2023</t>
  </si>
  <si>
    <t>Substituição do registrador de perturbações digital da BR8A e BR8B</t>
  </si>
  <si>
    <t>0007140/2023</t>
  </si>
  <si>
    <t>Substituição do registrador de perturbações digital da LT 345 kV ITUMBIARA /P. COLOMBIA C-1 MG</t>
  </si>
  <si>
    <t>LT 345 kV ITUMBIARA /P. COLOMBIA C-1 MG</t>
  </si>
  <si>
    <t>0007141/2023</t>
  </si>
  <si>
    <t>RDP - LT 345 kV ITUMBIARA /P. COLOMBIA C-1 MG</t>
  </si>
  <si>
    <t>Substituição do registrador de perturbações digital e Localizador de Faltas por ondas viajantes (TW) da LT 345 kV MARIMBONDO /P. COLOMBIA C-1 MG</t>
  </si>
  <si>
    <t>0007142/2023</t>
  </si>
  <si>
    <t>RDP - LT 345 kV MARIMBONDO /P. COLOMBIA C-1 MG</t>
  </si>
  <si>
    <t>Substituição do Módulo Concentrador de Informações de oscilografia (MCRDP).</t>
  </si>
  <si>
    <t>0007143/2023</t>
  </si>
  <si>
    <t>Substituição do Módulo de Sincronização das informações (RARP).</t>
  </si>
  <si>
    <t>0007144/2023</t>
  </si>
  <si>
    <t>Substituição da UAC03 - SINOCON de supervisão da LT 345 kV P. COLOMBIA /VOLTA GRANDE C-1 MG</t>
  </si>
  <si>
    <t>0007726/2023</t>
  </si>
  <si>
    <t>Substituição da UAC08 - SINOCON de supervisão da LT 138 kV BARRETOS 1 /P. COLOMBIA C-3 MG</t>
  </si>
  <si>
    <t>LT 138 kV BARRETOS 1 /P. COLOMBIA C-3 MG</t>
  </si>
  <si>
    <t>0007728/2023</t>
  </si>
  <si>
    <t>Substituição da UAC07 - SINOCON de supervisão da LT 138 kV BARRETOS 1 /P. COLOMBIA C-2 MG</t>
  </si>
  <si>
    <t>0007729/2023</t>
  </si>
  <si>
    <t>Substituição da UAC09 - SINOCON de supervisão da LT 138 kV BARRETOS 1 /P. COLOMBIA C-1 MG</t>
  </si>
  <si>
    <t>0007730/2023</t>
  </si>
  <si>
    <t>Substituição das UACs 17 e 18 - SINOCON de supervisão do TR 138/13,8 kV P. COLOMBIA TRSA MG</t>
  </si>
  <si>
    <t>0007731/2023</t>
  </si>
  <si>
    <t>Substituição da UAC06 - SINOCON de supervisão da LT 138 kV COLORADO /P. COLOMBIA C-1 SP/MG</t>
  </si>
  <si>
    <t>0007732/2023</t>
  </si>
  <si>
    <t>Substituição da UAC10 - SINOCON de supervisão das Barras de 138 kV BR6A e BR6B</t>
  </si>
  <si>
    <t>0007733/2023</t>
  </si>
  <si>
    <t>Substituição do TR AT2A 345/138 kV (num série A13112)</t>
  </si>
  <si>
    <t>TR 345/138 kV ADRIANOPOLIS TR2A RJ</t>
  </si>
  <si>
    <t>0000999/2022</t>
  </si>
  <si>
    <t>AT2A-A</t>
  </si>
  <si>
    <t>Substituição de  01 (um) equipamento de teleproteção OPLAT de fabricação GE, modelo CS-27B, número de série LM-714, que atende ao esquema de teleproteção de Bloqueio da LT 345 kV Porto Colômbia - Volta Grande.</t>
  </si>
  <si>
    <t>0007856/2023</t>
  </si>
  <si>
    <t>Substituição de switch FUCL-D01P da Rede Operativa da UHE PORTO COLOMBIA.</t>
  </si>
  <si>
    <t>0007877/2023</t>
  </si>
  <si>
    <t>FUCL-D01P</t>
  </si>
  <si>
    <t>Substituição de switch FUCL-D01S da Rede Operativa da UHE PORTO COLOMBIA.</t>
  </si>
  <si>
    <t>0007878/2023</t>
  </si>
  <si>
    <t>FUCL-D01S</t>
  </si>
  <si>
    <t>Substituição de switch FUCL-A01P da Rede Operativa da UHE PORTO COLOMBIA.</t>
  </si>
  <si>
    <t>0007879/2023</t>
  </si>
  <si>
    <t>FUCL-A01P</t>
  </si>
  <si>
    <t>Substituição de switch FUCL-A01S da Rede Operativa da UHE PORTO COLOMBIA.</t>
  </si>
  <si>
    <t>0007881/2023</t>
  </si>
  <si>
    <t>FUCL-A01S</t>
  </si>
  <si>
    <t>Substituição de switch FUCL-A02P da Rede Operativa da UHE PORTO COLOMBIA.</t>
  </si>
  <si>
    <t>0007883/2023</t>
  </si>
  <si>
    <t>FUCL-A02P</t>
  </si>
  <si>
    <t>Substituição de switch FUCL-A02S da Rede Operativa da UHE PORTO COLOMBIA.</t>
  </si>
  <si>
    <t>0007884/2023</t>
  </si>
  <si>
    <t>FUCL-A02S</t>
  </si>
  <si>
    <t>Substituição de switch FUCL-P01 da Rede Operativa da UHE PORTO COLOMBIA.</t>
  </si>
  <si>
    <t>0007885/2023</t>
  </si>
  <si>
    <t>FUCL-P01</t>
  </si>
  <si>
    <t>Substituição de switch FUCL-P02 da Rede Operativa da UHE PORTO COLOMBIA.</t>
  </si>
  <si>
    <t>0007886/2023</t>
  </si>
  <si>
    <t>FUCL-P02</t>
  </si>
  <si>
    <t>Substituição de switch FUCL-P03 da Rede Operativa da UHE PORTO COLOMBIA.</t>
  </si>
  <si>
    <t>0007888/2023</t>
  </si>
  <si>
    <t>FUCL-P03</t>
  </si>
  <si>
    <t>SUBSTITUIÇÃO DA CHAVE SECCIONADORA SC2121 - 13,8KV</t>
  </si>
  <si>
    <t>0007559/2023</t>
  </si>
  <si>
    <t>SC2121</t>
  </si>
  <si>
    <t>SUBSTITUIÇÃO DA CHAVE SECCIONADORA SC2111 - 13,8KV</t>
  </si>
  <si>
    <t>0007560/2023</t>
  </si>
  <si>
    <t>SUBSTITUIÇÃO DE PÁRA RAIOS RAMAL AÉREO DA ÁREA INDUSTRIAL - 13,8KV</t>
  </si>
  <si>
    <t>0007561/2023</t>
  </si>
  <si>
    <t>PR</t>
  </si>
  <si>
    <t>SUBSTITUIÇÃO DO TRANSFORMADOR DE SERVIÇO AUXILIAR SATR01 - 13,8KV/460V</t>
  </si>
  <si>
    <t>0007562/2023</t>
  </si>
  <si>
    <t>SATR01</t>
  </si>
  <si>
    <t>SUBSTITUIÇÃO DA CHAVE SECCIONADORA SC2015- 13,8KV</t>
  </si>
  <si>
    <t>0007563/2023</t>
  </si>
  <si>
    <t>SC2015</t>
  </si>
  <si>
    <t>SUBSTITUIÇÃO DA CHAVE SECCIONADORA SC2025 - 13,8KV</t>
  </si>
  <si>
    <t>0007564/2023</t>
  </si>
  <si>
    <t>SC2025</t>
  </si>
  <si>
    <t>SUBSTITUIÇÃO DO TRANSFORMADOR DE SERVIÇO AUXILIAR SATR02 - 13,8KV/460V</t>
  </si>
  <si>
    <t>0007565/2023</t>
  </si>
  <si>
    <t>SATR02</t>
  </si>
  <si>
    <t>SUBSTITUIÇÃO DA CHAVE SECCIONADORA SC2017 - 13,8KV</t>
  </si>
  <si>
    <t>0007566/2023</t>
  </si>
  <si>
    <t>SC2017</t>
  </si>
  <si>
    <t>SUBSTITUIÇÃO DA CHAVE SECCIONADORA SC2027 - 13,8KV</t>
  </si>
  <si>
    <t>0007567/2023</t>
  </si>
  <si>
    <t>SC2027</t>
  </si>
  <si>
    <t>SUBSTITUIÇÃO DE PÁRA RAIOS DAS CONEXÕES DOS TRAFOS AUXILIARES DA SE - 13,8KV</t>
  </si>
  <si>
    <t>0007568/2023</t>
  </si>
  <si>
    <t>SUBSTITUIÇÃO DO PAINEL PF1 - 480V</t>
  </si>
  <si>
    <t>0007569/2023</t>
  </si>
  <si>
    <t>PF1</t>
  </si>
  <si>
    <t>SUBSTITUIÇÃO DO PAINEL PF2 - 480V</t>
  </si>
  <si>
    <t>0007570/2023</t>
  </si>
  <si>
    <t>PF2</t>
  </si>
  <si>
    <t>SUBSTITUIÇÃO DO PAINEL PL1 - 220V</t>
  </si>
  <si>
    <t>0007571/2023</t>
  </si>
  <si>
    <t>PL1</t>
  </si>
  <si>
    <t>SUBSTITUIÇÃO DO PAINEL PL2 - 220V</t>
  </si>
  <si>
    <t>0007572/2023</t>
  </si>
  <si>
    <t>PL2</t>
  </si>
  <si>
    <t>SUBSTITUIÇÃO DO PAINEL PL3 - 220V</t>
  </si>
  <si>
    <t>0007573/2023</t>
  </si>
  <si>
    <t>PL3</t>
  </si>
  <si>
    <t>SUBSTITUIÇÃO DO TRANSFORMADOR DE SERVIÇO AUXILIAR SATR ÁREA INDUSTRIAL - 13,8KV/220V</t>
  </si>
  <si>
    <t>0007574/2023</t>
  </si>
  <si>
    <t>TR ÁREA INDUSTRIAL</t>
  </si>
  <si>
    <t>SUBSTITUIÇÃO DO TRANSFORMADOR REGULADOR TREG-RVB - 460/460V</t>
  </si>
  <si>
    <t>0007575/2023</t>
  </si>
  <si>
    <t>TREG-RVB</t>
  </si>
  <si>
    <t>SUBSTITUIÇÃO DO TRANSFORMADOR REGULADOR TREG PL1/PL3 - 220/220V</t>
  </si>
  <si>
    <t>0007576/2023</t>
  </si>
  <si>
    <t>TREG PL1/PL3</t>
  </si>
  <si>
    <t>Substituição de para-raios PR AT01 FASE A (nº serie: 32991, cod. mat.: 10199046).</t>
  </si>
  <si>
    <t>TR 750/500 kV IVAIPORA TR1 PR</t>
  </si>
  <si>
    <t>0005650/2023</t>
  </si>
  <si>
    <t>PR AT01 FASE A</t>
  </si>
  <si>
    <t>Substituição de para-raios PR AT01 FASE B (nº serie: 33174, cod. mat.: 10199048).</t>
  </si>
  <si>
    <t>0005651/2023</t>
  </si>
  <si>
    <t>PR AT01 FASE B</t>
  </si>
  <si>
    <t>Substituição de para-raios PR AT01 FASE C (nº serie: 33153, cod. mat.: 10199047).</t>
  </si>
  <si>
    <t>0005652/2023</t>
  </si>
  <si>
    <t>PR AT01 FASE C</t>
  </si>
  <si>
    <t>Substituição de seccionadora SC12717 (nº serie: 9508, cod. mat.: 10196900).</t>
  </si>
  <si>
    <t>0005663/2023</t>
  </si>
  <si>
    <t>Substituição de seccionadora SC12713 (nº serie: 1002, cod. mat.: 10196903).</t>
  </si>
  <si>
    <t>0005664/2023</t>
  </si>
  <si>
    <t>SC12713</t>
  </si>
  <si>
    <t>Substituição de trafo corrente TC DJ12716 FASE A (nº serie: 7176001, cod. mat.: 10185085).</t>
  </si>
  <si>
    <t>0005675/2023</t>
  </si>
  <si>
    <t>TC DJ12716 FASE A</t>
  </si>
  <si>
    <t>Substituição de trafo corrente TC DJ12716 FASE B (nº serie: 7176002, cod. mat.: 10185086).</t>
  </si>
  <si>
    <t>0005676/2023</t>
  </si>
  <si>
    <t>TC DJ12716 FASE B</t>
  </si>
  <si>
    <t>Substituição de trafo corrente TC DJ12716 FASE C (nº serie: 7176004, cod. mat.: 10185088).</t>
  </si>
  <si>
    <t>0005677/2023</t>
  </si>
  <si>
    <t>TC DJ12716 FASE C</t>
  </si>
  <si>
    <t>Substituição de seccionadora SC12711 (nº serie: 1020, cod. mat.: 10196901).</t>
  </si>
  <si>
    <t>0005665/2023</t>
  </si>
  <si>
    <t>Substituição de seccionadora SC12240T (nº serie: 01020T, cod. mat.: 10196945).</t>
  </si>
  <si>
    <t>0005666/2023</t>
  </si>
  <si>
    <t>SC12240T</t>
  </si>
  <si>
    <t>Substituição de seccionadora SC12863 (nº serie: 1010, cod. mat.: 10196902).</t>
  </si>
  <si>
    <t>0005667/2023</t>
  </si>
  <si>
    <t>SC12863</t>
  </si>
  <si>
    <t>Substituição de trafo corrente TC DJ12866 FASE A (nº serie: 472736, cod. mat.: 10184200).</t>
  </si>
  <si>
    <t>0005678/2023</t>
  </si>
  <si>
    <t>TC DJ12866 FASE A</t>
  </si>
  <si>
    <t>Substituição de trafo corrente TC DJ12866 FASE B (nº serie: 472735, cod. mat.: 10184201).</t>
  </si>
  <si>
    <t>0005680/2023</t>
  </si>
  <si>
    <t>TC DJ12866 FASE B</t>
  </si>
  <si>
    <t>Substituição de trafo corrente TC DJ12866 FASE C (nº serie: 472744, cod. mat.: 10184202).</t>
  </si>
  <si>
    <t>0005681/2023</t>
  </si>
  <si>
    <t>TC DJ12866 FASE C</t>
  </si>
  <si>
    <t>Substituição de seccionadora SC12861 (nº serie: 1859, cod. mat.: 10196013).</t>
  </si>
  <si>
    <t>0005668/2023</t>
  </si>
  <si>
    <t>SC12861</t>
  </si>
  <si>
    <t>Substituição de para-raios PR TRRG01 FASE A (nº serie: 5309222, cod. mat.: 10197400).</t>
  </si>
  <si>
    <t>0005653/2023</t>
  </si>
  <si>
    <t>PR TRRG01 FASE A</t>
  </si>
  <si>
    <t>Substituição de para-raios PR TRRG01 FASE B (nº serie: 5309220, cod. mat.: 10197401).</t>
  </si>
  <si>
    <t>0005654/2023</t>
  </si>
  <si>
    <t>PR TRRG01 FASE B</t>
  </si>
  <si>
    <t>Substituição de para-raios PR TRRG01 FASE C (nº serie: 5309221, cod. mat.: 10197402).</t>
  </si>
  <si>
    <t>0005656/2023</t>
  </si>
  <si>
    <t>PR TRRG01 FASE C</t>
  </si>
  <si>
    <t>Substituição de trafo potencial/dcp TP AT01 FASE A (nº serie: 332846, cod. mat.: 10187996).</t>
  </si>
  <si>
    <t>0005686/2023</t>
  </si>
  <si>
    <t>TP AT01 FASE A</t>
  </si>
  <si>
    <t>Substituição de trafo potencial/dcp TP AT01 FASE B (nº serie: 332845, cod. mat.: 10187995).</t>
  </si>
  <si>
    <t>0005687/2023</t>
  </si>
  <si>
    <t>TP AT01 FASE B</t>
  </si>
  <si>
    <t>Substituição de trafo potencial/dcp TP AT01 FASE C (nº serie: 332844, cod. mat.: 10187994).</t>
  </si>
  <si>
    <t>0005688/2023</t>
  </si>
  <si>
    <t>TP AT01 FASE C</t>
  </si>
  <si>
    <t>Substituição de seccionadora SC5717 (nº serie: 6746A, cod. mat.: 10195080).</t>
  </si>
  <si>
    <t>0005669/2023</t>
  </si>
  <si>
    <t>SC5717</t>
  </si>
  <si>
    <t>Substituição de seccionadora SC5817R (nº serie: 6743A, cod. mat.: 10195082).</t>
  </si>
  <si>
    <t>RT 69 kV 180 Mvar IVAIPORA RT1A PR</t>
  </si>
  <si>
    <t>0005670/2023</t>
  </si>
  <si>
    <t>SC5817R</t>
  </si>
  <si>
    <t>Substituição de seccionadora SC5827R (nº serie: 6742A, cod. mat.: 10195083).</t>
  </si>
  <si>
    <t>RT 69 kV 180 Mvar IVAIPORA RT1B PR</t>
  </si>
  <si>
    <t>0005672/2023</t>
  </si>
  <si>
    <t>SC5827R</t>
  </si>
  <si>
    <t>Substituição de seccionadora SC5837R (nº serie: 6744C, cod. mat.: 10195084).</t>
  </si>
  <si>
    <t>RT 69 kV 180 Mvar IVAIPORA RT1C PR</t>
  </si>
  <si>
    <t>0005673/2023</t>
  </si>
  <si>
    <t>SC5837R</t>
  </si>
  <si>
    <t>Substituição de seccionadora SC5847 (nº serie: 6740, cod. mat.: 10195085).</t>
  </si>
  <si>
    <t>0005674/2023</t>
  </si>
  <si>
    <t>SC5847</t>
  </si>
  <si>
    <t>Substituição de para-raios PR AT129V (nº serie: 33156, cod. mat.: 10237535).</t>
  </si>
  <si>
    <t>TRR 765/500 kV IVAIPORA TRR1 PR</t>
  </si>
  <si>
    <t>0005660/2023</t>
  </si>
  <si>
    <t>PR AT129V</t>
  </si>
  <si>
    <t>Substituição de para-raios PR AT129V-REG09V (nº serie: 5309224, cod. mat.: 10237536).</t>
  </si>
  <si>
    <t>0005661/2023</t>
  </si>
  <si>
    <t>PR AT129V-REG09V</t>
  </si>
  <si>
    <t>SUBSTITUIÇÃO DA CHAVE SECCIONADORA SC5847 - 69KV</t>
  </si>
  <si>
    <t>0007378/2023</t>
  </si>
  <si>
    <t>SUBSTITUIÇÃO DA CHAVE SECCIONADORA SC2757 - 13,8KV</t>
  </si>
  <si>
    <t>0007379/2023</t>
  </si>
  <si>
    <t>SC2757</t>
  </si>
  <si>
    <t>0007382/2023</t>
  </si>
  <si>
    <t>SUBSTITUIÇÃO DA CHAVE SECCIONADORA SC2747 - 13,8KV</t>
  </si>
  <si>
    <t>0007383/2023</t>
  </si>
  <si>
    <t>SC2747</t>
  </si>
  <si>
    <t>0007384/2023</t>
  </si>
  <si>
    <t>SUBSTITUIÇÃO DA CHAVE SECCIONADORA SC2727 - 13,8KV</t>
  </si>
  <si>
    <t>0007385/2023</t>
  </si>
  <si>
    <t>SC2727</t>
  </si>
  <si>
    <t>0007386/2023</t>
  </si>
  <si>
    <t>SUBSTITUIÇÃO DA CHAVE SECCIONADORA SC2717 - 13,8KV</t>
  </si>
  <si>
    <t>0007387/2023</t>
  </si>
  <si>
    <t>SC2717</t>
  </si>
  <si>
    <t>SUBSTITUIÇÃO DO TRANSFORMADOR DE SERVIÇO AUXILIAR TRTE1 - 13,8KV/480V</t>
  </si>
  <si>
    <t>0007389/2023</t>
  </si>
  <si>
    <t>TRTE1</t>
  </si>
  <si>
    <t>SUBSTITUIÇÃO DA CHAVE SECCIONADORA SC2817 - 13,8KV</t>
  </si>
  <si>
    <t>0007390/2023</t>
  </si>
  <si>
    <t>SC2817</t>
  </si>
  <si>
    <t>SUBSTITUIÇÃO DO TRANSFORMADOR DE SERVIÇO AUXILIAR TRTE2 - 13,8KV/480V</t>
  </si>
  <si>
    <t>0007391/2023</t>
  </si>
  <si>
    <t>TRTE2</t>
  </si>
  <si>
    <t>SUBSTITUIÇÃO DA CHAVE SECCIONADORA SC2837 - 13,8KV</t>
  </si>
  <si>
    <t>0007392/2023</t>
  </si>
  <si>
    <t>SC2837</t>
  </si>
  <si>
    <t>SUBSTITUIÇÃO DO TRANSFORMADOR DE SERVIÇO AUXILIAR TRTD2 - 13,8KV/480V</t>
  </si>
  <si>
    <t>0007393/2023</t>
  </si>
  <si>
    <t>TRTD2</t>
  </si>
  <si>
    <t>SUBSTITUIÇÃO DA CHAVE SECCIONADORA SC2847 - 13,8KV</t>
  </si>
  <si>
    <t>0007394/2023</t>
  </si>
  <si>
    <t>SC2847</t>
  </si>
  <si>
    <t>0007396/2023</t>
  </si>
  <si>
    <t>SUBSTITUIÇÃO DA CHAVE SECCIONADORA SC2857 - 13,8KV</t>
  </si>
  <si>
    <t>0007397/2023</t>
  </si>
  <si>
    <t>SC2857</t>
  </si>
  <si>
    <t>0007398/2023</t>
  </si>
  <si>
    <t>SUBSTITUIÇÃO DO CUBÍCULO CC1.1 - DJ2706 - 13,8KV</t>
  </si>
  <si>
    <t>0007399/2023</t>
  </si>
  <si>
    <t>DJ2706</t>
  </si>
  <si>
    <t>SUBSTITUIÇÃO DO CUBÍCULO CC1.2 - DJ2716 - 13,8KV</t>
  </si>
  <si>
    <t>0007400/2023</t>
  </si>
  <si>
    <t>DJ2716</t>
  </si>
  <si>
    <t>SUBSTITUIÇÃO DO CUBÍCULO CC1.4 - DJ2726 - 13,8KV</t>
  </si>
  <si>
    <t>0007401/2023</t>
  </si>
  <si>
    <t>DJ2726</t>
  </si>
  <si>
    <t>SUBSTITUIÇÃO DO CUBÍCULO CC1.5 - DJ2736 - 13,8KV</t>
  </si>
  <si>
    <t>0007402/2023</t>
  </si>
  <si>
    <t>DJ2736</t>
  </si>
  <si>
    <t>SUBSTITUIÇÃO DO CUBÍCULO CC1.6 - DJ2746 - 13,8KV</t>
  </si>
  <si>
    <t>0007403/2023</t>
  </si>
  <si>
    <t>DJ2746</t>
  </si>
  <si>
    <t>SUBSTITUIÇÃO DO CUBÍCULO CC1.7 - DJ2756 - 13,8KV</t>
  </si>
  <si>
    <t>0007404/2023</t>
  </si>
  <si>
    <t>DJ2756</t>
  </si>
  <si>
    <t>SUBSTITUIÇÃO DO CUBÍCULO CC1.9 - DJ2766 - 13,8KV</t>
  </si>
  <si>
    <t>0007405/2023</t>
  </si>
  <si>
    <t>DJ2766</t>
  </si>
  <si>
    <t>SUBSTITUIÇÃO DO CUBÍCULO CC2.1 - DJ2806 - 13,8KV</t>
  </si>
  <si>
    <t>0007406/2023</t>
  </si>
  <si>
    <t>DJ2806</t>
  </si>
  <si>
    <t>SUBSTITUIÇÃO DO CUBÍCULO CC2.2 - DJ2816 - 13,8KV</t>
  </si>
  <si>
    <t>0007407/2023</t>
  </si>
  <si>
    <t>DJ2816</t>
  </si>
  <si>
    <t>SUBSTITUIÇÃO DO CUBÍCULO CC2.3 - DJ2826 - 13,8KV</t>
  </si>
  <si>
    <t>0007409/2023</t>
  </si>
  <si>
    <t>DJ2826</t>
  </si>
  <si>
    <t>SUBSTITUIÇÃO DO CUBÍCULO CC2.4 - DJ2836 - 13,8KV</t>
  </si>
  <si>
    <t>0007410/2023</t>
  </si>
  <si>
    <t>DJ2836</t>
  </si>
  <si>
    <t>SUBSTITUIÇÃO DO CUBÍCULO CC2.6 - DJ2846 - 13,8KV</t>
  </si>
  <si>
    <t>0007411/2023</t>
  </si>
  <si>
    <t>DJ2846</t>
  </si>
  <si>
    <t>SUBSTITUIÇÃO DO CUBÍCULO CC2.7 - DJ2856 - 13,8KV</t>
  </si>
  <si>
    <t>0007412/2023</t>
  </si>
  <si>
    <t>DJ2856</t>
  </si>
  <si>
    <t>SUBSTITUIÇÃO DO CUBÍCULO CC2.8 - DJ2866 - 13,8KV</t>
  </si>
  <si>
    <t>0007413/2023</t>
  </si>
  <si>
    <t>DJ2866</t>
  </si>
  <si>
    <t>SUBSTITUIÇÃO DO CUBÍCULO CC2.9 - DJ2876 - 13,8KV</t>
  </si>
  <si>
    <t>0007414/2023</t>
  </si>
  <si>
    <t>DJ2876</t>
  </si>
  <si>
    <t>SUBSTITUIÇÃO DO CUBÍCULO CC3.1 - SC2631 - 13,8KV</t>
  </si>
  <si>
    <t>0007416/2023</t>
  </si>
  <si>
    <t>SC2631</t>
  </si>
  <si>
    <t>SUBSTITUIÇÃO DO CUBÍCULO CC3.2 - SC2621 - 13,8KV</t>
  </si>
  <si>
    <t>0007418/2023</t>
  </si>
  <si>
    <t>SC2621</t>
  </si>
  <si>
    <t>SUBSTITUIÇÃO DO CUBÍCULO CC3.3 - SC2611 - 13,8KV</t>
  </si>
  <si>
    <t>0007419/2023</t>
  </si>
  <si>
    <t>SC2611</t>
  </si>
  <si>
    <t>SUBSTITUIÇÃO DO CUBÍCULO CC3.5 - DJ2606 - 13,8KV</t>
  </si>
  <si>
    <t>0007421/2023</t>
  </si>
  <si>
    <t>DJ2606</t>
  </si>
  <si>
    <t>SUBSTITUIÇÃO DO PAINEL QDN2  - 480V</t>
  </si>
  <si>
    <t>0007422/2023</t>
  </si>
  <si>
    <t>0007423/2023</t>
  </si>
  <si>
    <t>0007424/2023</t>
  </si>
  <si>
    <t>SUBSTITUIÇÃO DO PAINEL QDN5 - 480V</t>
  </si>
  <si>
    <t>0007425/2023</t>
  </si>
  <si>
    <t>QDN5</t>
  </si>
  <si>
    <t>0007426/2023</t>
  </si>
  <si>
    <t>SUBSTITUIÇÃO DO PAINEL QF2 - 480V</t>
  </si>
  <si>
    <t>0007427/2023</t>
  </si>
  <si>
    <t>QF2</t>
  </si>
  <si>
    <t>SUBSTITUIÇÃO DO PAINEL QF3 - 480V</t>
  </si>
  <si>
    <t>0007428/2023</t>
  </si>
  <si>
    <t>QF3</t>
  </si>
  <si>
    <t>SUBSTITUIÇÃO DO PAINEL QF4 - 480V</t>
  </si>
  <si>
    <t>0007431/2023</t>
  </si>
  <si>
    <t>QF4</t>
  </si>
  <si>
    <t>SUBSTITUIÇÃO DO PAINEL QF5 - 480V</t>
  </si>
  <si>
    <t>0007432/2023</t>
  </si>
  <si>
    <t>QF5</t>
  </si>
  <si>
    <t>SUBSTITUIÇÃO DO PAINEL QF6 - 480V</t>
  </si>
  <si>
    <t>0007433/2023</t>
  </si>
  <si>
    <t>QF6</t>
  </si>
  <si>
    <t>SUBSTITUIÇÃO DO PAINEL QF7 - 480V</t>
  </si>
  <si>
    <t>0007434/2023</t>
  </si>
  <si>
    <t>QF7</t>
  </si>
  <si>
    <t>0007435/2023</t>
  </si>
  <si>
    <t>0007436/2023</t>
  </si>
  <si>
    <t>0007437/2023</t>
  </si>
  <si>
    <t>0007439/2023</t>
  </si>
  <si>
    <t>0007440/2023</t>
  </si>
  <si>
    <t>0007441/2023</t>
  </si>
  <si>
    <t>0007442/2023</t>
  </si>
  <si>
    <t>0007443/2023</t>
  </si>
  <si>
    <t>0007444/2023</t>
  </si>
  <si>
    <t>SUBSTITUIÇÃO DO PAINEL QIE5 - 220V</t>
  </si>
  <si>
    <t>0007445/2023</t>
  </si>
  <si>
    <t>QIE5</t>
  </si>
  <si>
    <t>SUBSTITUIÇÃO DO PAINEL QIE6 - 220V</t>
  </si>
  <si>
    <t>0007446/2023</t>
  </si>
  <si>
    <t>QIE6</t>
  </si>
  <si>
    <t>SUBSTITUIÇÃO DO PAINEL QIE8 - 220V</t>
  </si>
  <si>
    <t>0007447/2023</t>
  </si>
  <si>
    <t>QIE8</t>
  </si>
  <si>
    <t>SUBSTITUIÇÃO DO PAINEL QIN5 - 220V</t>
  </si>
  <si>
    <t>0007448/2023</t>
  </si>
  <si>
    <t>QIN5</t>
  </si>
  <si>
    <t>SUBSTITUIÇÃO DO PAINEL QIN6 - 220V</t>
  </si>
  <si>
    <t>0007449/2023</t>
  </si>
  <si>
    <t>QIN6</t>
  </si>
  <si>
    <t>SUBSTITUIÇÃO DO PAINEL QIN9 - 220V</t>
  </si>
  <si>
    <t>0007450/2023</t>
  </si>
  <si>
    <t>QIN9</t>
  </si>
  <si>
    <t>SUBSTITUIÇÃO DO PAINEL QIN11 - 220V</t>
  </si>
  <si>
    <t>0007451/2023</t>
  </si>
  <si>
    <t>QIN11</t>
  </si>
  <si>
    <t>SUBSTITUIÇÃO DO PAINEL QIN13 - 220V</t>
  </si>
  <si>
    <t>0007452/2023</t>
  </si>
  <si>
    <t>QIN13</t>
  </si>
  <si>
    <t>SUBSTITUIÇÃO DO TRANSFORMADOR AUXILIAR TRTLN1 - 480/220-127V</t>
  </si>
  <si>
    <t>0007453/2023</t>
  </si>
  <si>
    <t>SUBSTITUIÇÃO DO TRANSFORMADOR AUXILIAR TRTLN2 - 480/220-127V</t>
  </si>
  <si>
    <t>0007454/2023</t>
  </si>
  <si>
    <t>SUBSTITUIÇÃO DO TRANSFORMADOR AUXILIAR TRTLE1 - 480/220-127V</t>
  </si>
  <si>
    <t>0007456/2023</t>
  </si>
  <si>
    <t>Substituição de Chave Seccionadora tripolar 230 kV, CS721, que compõe o módulo de conexão do TF 1 525/230 kV da SE Gravataí. Associado à obra são esperadas substituições/adaptações de fundações, suportes, cabos de controle/potência, barramento, conectores e conexão de aterramento. Capacidade nominal do novo equipamento: &gt;= 2.500 A. Capacidade de curto-circuito: 63 kA.</t>
  </si>
  <si>
    <t>TR 525/230 kV GRAVATAI TR1+ LT 230 kV GRAV2/GRAV C-1 RS</t>
  </si>
  <si>
    <t>0001556/2022</t>
  </si>
  <si>
    <t>CS721</t>
  </si>
  <si>
    <t>Substituição de Chave Seccionadora tripolar 230 kV, CS711, que compõe o módulo de conexão do TF 2 525/230 kV da SE Gravataí. Associado à obra são esperadas substituições/adaptações de fundações, suportes, cabos de controle/potência, barramento, conectores e conexão de aterramento. Capacidade nominal do novo equipamento: &gt;= 2.500 A. Capacidade de curto-circuito: 63 kA.</t>
  </si>
  <si>
    <t>0001557/2022</t>
  </si>
  <si>
    <t>CS711</t>
  </si>
  <si>
    <t>SUBSTITUIÇÃO DO TRANSFORMADOR AUXILIAR TRTLE2 - 480/220-127V</t>
  </si>
  <si>
    <t>0007457/2023</t>
  </si>
  <si>
    <t>SUBSTITUIÇÃO DO TRANSFORMADOR AUXILIAR TRTLN3 - 480/220-127V</t>
  </si>
  <si>
    <t>0007458/2023</t>
  </si>
  <si>
    <t>TRTLN3</t>
  </si>
  <si>
    <t>SUBSTITUIÇÃO DO TRANSFORMADOR AUXILIAR TRTLN4 - 480/220-127V</t>
  </si>
  <si>
    <t>0007460/2023</t>
  </si>
  <si>
    <t>TRTLN4</t>
  </si>
  <si>
    <t>Substituição de Chave Seccionadora tripolar 230 kV, CS731, que compõe o módulo de conexão do TF 3 525/230 kV da SE Gravataí. Associado à obra são esperadas substituições/adaptações de fundações, suportes, cabos de controle/potência, barramento, conectores e conexão de aterramento. Capacidade nominal do novo equipamento: &gt;= 2.500 A. Capacidade de curto-circuito: 63 kA.</t>
  </si>
  <si>
    <t>0001558/2022</t>
  </si>
  <si>
    <t>CS731</t>
  </si>
  <si>
    <t>SUBSTITUIÇÃO DO TRANSFORMADOR AUXILIAR TRTLN5 - 480/220-127V</t>
  </si>
  <si>
    <t>0007461/2023</t>
  </si>
  <si>
    <t>TRTLN5</t>
  </si>
  <si>
    <t>SUBSTITUIÇÃO DO TRANSFORMADOR AUXILIAR TRTLN6 - 480/220-127V</t>
  </si>
  <si>
    <t>0007462/2023</t>
  </si>
  <si>
    <t>TRTLN6</t>
  </si>
  <si>
    <t>SUBSTITUIÇÃO DO TRANSFORMADOR AUXILIAR TRTLN7 - 480/220-127V</t>
  </si>
  <si>
    <t>0007463/2023</t>
  </si>
  <si>
    <t>TRTLN7</t>
  </si>
  <si>
    <t>SUBSTITUIÇÃO DO TRANSFORMADOR AUXILIAR TRTLN8 - 480/220-127V</t>
  </si>
  <si>
    <t>0007464/2023</t>
  </si>
  <si>
    <t>TRTLN8</t>
  </si>
  <si>
    <t>SUBSTITUIÇÃO DO TRANSFORMADOR AUXILIAR TRTLN9 - 480/220-127V</t>
  </si>
  <si>
    <t>0007465/2023</t>
  </si>
  <si>
    <t>TRTLN9</t>
  </si>
  <si>
    <t>SUBSTITUIÇÃO DO TRANSFORMADOR AUXILIAR TRTLN10 - 480/220-127V</t>
  </si>
  <si>
    <t>0007468/2023</t>
  </si>
  <si>
    <t>TRTLN10</t>
  </si>
  <si>
    <t>SUBSTITUIÇÃO DO TRANSFORMADOR AUXILIAR TRTLN11 - 480/220-127V</t>
  </si>
  <si>
    <t>0007470/2023</t>
  </si>
  <si>
    <t>TRTLN11</t>
  </si>
  <si>
    <t>SUBSTITUIÇÃO DO TRANSFORMADOR AUXILIAR TRTLE3 - 480/220-127V</t>
  </si>
  <si>
    <t>0007471/2023</t>
  </si>
  <si>
    <t>TRTLE3</t>
  </si>
  <si>
    <t>SUBSTITUIÇÃO DO TRANSFORMADOR AUXILIAR TRTLE4 - 480/220-127V</t>
  </si>
  <si>
    <t>0007473/2023</t>
  </si>
  <si>
    <t>TRTLE4</t>
  </si>
  <si>
    <t>SUBSTITUIÇÃO DO TRANSFORMADOR AUXILIAR TRTLE5 - 480/220-127V</t>
  </si>
  <si>
    <t>0007475/2023</t>
  </si>
  <si>
    <t>TRTLE5</t>
  </si>
  <si>
    <t>SUBSTITUIÇÃO DO TRANSFORMADOR AUXILIAR TRTLE6 - 480/220-127V</t>
  </si>
  <si>
    <t>0007476/2023</t>
  </si>
  <si>
    <t>TRTLE6</t>
  </si>
  <si>
    <t>SUBSTITUIÇÃO DO TRANSFORMADOR AUXILIAR TRTLE7 - 480/220-127V</t>
  </si>
  <si>
    <t>0007477/2023</t>
  </si>
  <si>
    <t>TRTLE7</t>
  </si>
  <si>
    <t>SUBSTITUIÇÃO DO TRANSFORMADOR DISTRIBUIÇÃO MINA DE ÁGUA E RESERVATÓRIO - 13,8KV/220-127V</t>
  </si>
  <si>
    <t>0007478/2023</t>
  </si>
  <si>
    <t>TR MINA DÁGUA</t>
  </si>
  <si>
    <t>SUBSTITUIÇÃO DO TRANSFORMADOR DISTRIBUIÇÃO ALMOXARIFADOS - 13,8KV/220-127V</t>
  </si>
  <si>
    <t>0007479/2023</t>
  </si>
  <si>
    <t>TR ALMOXARIFADO</t>
  </si>
  <si>
    <t>SUBSTITUIÇÃO DO TRANSFORMADOR DISTRIBUIÇÃO DEPÓSITOS - 13,8KV/220-127V</t>
  </si>
  <si>
    <t>0007480/2023</t>
  </si>
  <si>
    <t>TR DEPÓSITO</t>
  </si>
  <si>
    <t>SUBSTITUIÇÃO DO TRANSFORMADOR DISTRIBUIÇÃO PRÉDIO DA EMPREITEIRA - 13,8KV/220-127V</t>
  </si>
  <si>
    <t>0007481/2023</t>
  </si>
  <si>
    <t>TR PRÉDIO</t>
  </si>
  <si>
    <t>SUBSTITUIÇÃO DO TRANSFORMADOR DISTRIBUIÇÃO OFICINA ELETROMECÂNICA - 13,8KV/220-127V</t>
  </si>
  <si>
    <t>0007482/2023</t>
  </si>
  <si>
    <t>TR OFICINA</t>
  </si>
  <si>
    <t>SUBSTITUIÇÃO DO TRANSFORMADOR DISTRIBUIÇÃO ILUM. GRP.O - 13,8KV/220-127V</t>
  </si>
  <si>
    <t>0007483/2023</t>
  </si>
  <si>
    <t>TR GRP.O</t>
  </si>
  <si>
    <t>SUBSTITUIÇÃO DO TRANSFORMADOR DISTRIBUIÇÃO RESERVA - 13,8KV/220-127V</t>
  </si>
  <si>
    <t>0007484/2023</t>
  </si>
  <si>
    <t>TR RESERVA</t>
  </si>
  <si>
    <t>SUBSTITUIÇÃO DAS CHAVES SECCIONADORAS DO RAMAL ÁREA INDUSTRIAL</t>
  </si>
  <si>
    <t>0007485/2023</t>
  </si>
  <si>
    <t>SECC ÁREA INDUSTRIAL</t>
  </si>
  <si>
    <t>SUBSTITUIÇÃO DOS PÁRA-RAIOS DO SERVIÇO AUXILIAR EM 15KV NO RAMAL DA ÁREA INDUSTRIAL . TOTAL DE 12 UNIDADES.</t>
  </si>
  <si>
    <t>0007486/2023</t>
  </si>
  <si>
    <t>SUBSTITUIÇÃO DO CUBÍCULO DO DJ3716  - 13,8KV</t>
  </si>
  <si>
    <t>0007488/2023</t>
  </si>
  <si>
    <t>DJ3716</t>
  </si>
  <si>
    <t>SUBSTITUIÇÃO DA CHAVES SECCIONADORA SC3717</t>
  </si>
  <si>
    <t>0007489/2023</t>
  </si>
  <si>
    <t>SC3717</t>
  </si>
  <si>
    <t>SUBSTITUIÇÃO DOS PÁRA-RAIOS DO SERVIÇO AUXILIAR EM 15KV NO RAMAL DA ALIMENTAÇÃO VIA CONCESSIONÁRIA COPEL . TOTAL DE 3 UNIDADES.</t>
  </si>
  <si>
    <t>0007490/2023</t>
  </si>
  <si>
    <t>SUBSTITUIÇÃO DO TRANSFORMADOR AUXILIAR TRTSA3 - 34,5/13,8KV</t>
  </si>
  <si>
    <t>0007491/2023</t>
  </si>
  <si>
    <t>TRTSA3</t>
  </si>
  <si>
    <t>Substituição dos sistemas de proteção da LT 750 kV F.IGUACU 60HZ /IVAIPORA C-3 PR</t>
  </si>
  <si>
    <t>LT 750 kV F.IGUACU 60HZ /IVAIPORA C-3 PR</t>
  </si>
  <si>
    <t>0006584/2023</t>
  </si>
  <si>
    <t>PROTEÇÃO - LT 750 kV F.IGUACU 60HZ /IVAIPORA C-3 PR</t>
  </si>
  <si>
    <t>Substituição dos sistemas de proteção da RTL 750 kV 150 Mvar IVAIPORA RFI3 PR</t>
  </si>
  <si>
    <t>RTL 750 kV 150 Mvar IVAIPORA RFI3 PR</t>
  </si>
  <si>
    <t>0006592/2023</t>
  </si>
  <si>
    <t>PROTEÇÃO - RTL 750 kV 150 Mvar IVAIPORA RFI3 PR</t>
  </si>
  <si>
    <t>Substituição dos sistemas de proteção de Falha de Disjuntor do DJ12836</t>
  </si>
  <si>
    <t>0006593/2023</t>
  </si>
  <si>
    <t>PROTEÇÃO - DJ12836</t>
  </si>
  <si>
    <t>Substituição dos sistemas de proteção da LT 750 kV F.IGUACU 60HZ /IVAIPORA C-2 PR</t>
  </si>
  <si>
    <t>LT 750 kV F.IGUACU 60HZ /IVAIPORA C-2 PR</t>
  </si>
  <si>
    <t>0006596/2023</t>
  </si>
  <si>
    <t>PROTEÇÃO - LT 750 kV F.IGUACU 60HZ /IVAIPORA C-2 PR</t>
  </si>
  <si>
    <t>Substituição dos sistemas de proteção da RTL 750 kV 150 Mvar IVAIPORA RFI2 PR</t>
  </si>
  <si>
    <t>RTL 750 kV 150 Mvar IVAIPORA RFI2 PR</t>
  </si>
  <si>
    <t>0006600/2023</t>
  </si>
  <si>
    <t>PROTEÇÃO - RTL 750 kV 150 Mvar IVAIPORA RFI2 PR</t>
  </si>
  <si>
    <t>Substituição dos sistemas de proteção da LT 750 kV F.IGUACU 60HZ /IVAIPORA C-1 PR</t>
  </si>
  <si>
    <t>LT 750 kV F.IGUACU 60HZ /IVAIPORA C-1 PR</t>
  </si>
  <si>
    <t>0006602/2023</t>
  </si>
  <si>
    <t>PROTEÇÃO - LT 750 kV F.IGUACU 60HZ /IVAIPORA C-1 PR</t>
  </si>
  <si>
    <t>Substituição dos sistemas de proteção da RTL 750 kV 150 Mvar IVAIPORA RFI1 PR</t>
  </si>
  <si>
    <t>RTL 750 kV 150 Mvar IVAIPORA RFI1 PR</t>
  </si>
  <si>
    <t>0006603/2023</t>
  </si>
  <si>
    <t>PROTEÇÃO - RTL 750 kV 150 Mvar IVAIPORA RFI1 PR</t>
  </si>
  <si>
    <t>Substituição dos sistemas de proteção da LT 750 kV ITABERA /IVAIPORA C-1 SP/PR</t>
  </si>
  <si>
    <t>LT 750 kV ITABERA /IVAIPORA C-1 SP/PR</t>
  </si>
  <si>
    <t>0006605/2023</t>
  </si>
  <si>
    <t>Substituição dos sistemas de proteção de Falha de Disjuntor do DJ12856</t>
  </si>
  <si>
    <t>0006608/2023</t>
  </si>
  <si>
    <t>PROTEÇÃO - DJ12856</t>
  </si>
  <si>
    <t>Substituição dos sistemas de proteção do RTL 750 kV 329 Mvar IVAIPORA RIA1 PR</t>
  </si>
  <si>
    <t>RTL 750 kV 329 Mvar IVAIPORA RIA1 PR</t>
  </si>
  <si>
    <t>0006610/2023</t>
  </si>
  <si>
    <t>PROTEÇÃO - RTL 750 kV 329 Mvar IVAIPORA RIA1 PR</t>
  </si>
  <si>
    <t>Substituição dos sistemas de proteção da LT 750 kV ITABERA /IVAIPORA C-2 SP/PR</t>
  </si>
  <si>
    <t>LT 750 kV ITABERA /IVAIPORA C-2 SP/PR</t>
  </si>
  <si>
    <t>0006612/2023</t>
  </si>
  <si>
    <t>Substituição dos sistemas de proteção de Falha de Disjuntor do DJ12846</t>
  </si>
  <si>
    <t>0006613/2023</t>
  </si>
  <si>
    <t>PROTEÇÃO - DJ12846</t>
  </si>
  <si>
    <t>Substituição dos sistemas de proteção do RTL 750 kV 329 Mvar IVAIPORA RIA2 PR</t>
  </si>
  <si>
    <t>RTL 750 kV 329 Mvar IVAIPORA RIA2 PR</t>
  </si>
  <si>
    <t>0006614/2023</t>
  </si>
  <si>
    <t>PROTEÇÃO - RTL 750 kV 329 Mvar IVAIPORA RIA2 PR</t>
  </si>
  <si>
    <t>Substituição dos sistemas de proteção da LT 750 kV ITABERA /IVAIPORA C-3 SP/PR</t>
  </si>
  <si>
    <t>LT 750 kV ITABERA /IVAIPORA C-3 SP/PR</t>
  </si>
  <si>
    <t>0006616/2023</t>
  </si>
  <si>
    <t>Substituição dos sistemas de proteção do RTL 750 kV 329 Mvar IVAIPORA RIA3 PR</t>
  </si>
  <si>
    <t>RTL 750 kV 329 Mvar IVAIPORA RIA3 PR</t>
  </si>
  <si>
    <t>0006622/2023</t>
  </si>
  <si>
    <t>PROTEÇÃO - RTL 750 kV 329 Mvar IVAIPORA RIA3 PR</t>
  </si>
  <si>
    <t>Substituição dos sistemas de proteção do RTB 69 kV 180 MVAr IVAIPORA RT1A PR</t>
  </si>
  <si>
    <t>0006629/2023</t>
  </si>
  <si>
    <t>PROTEÇÃO - RTB 69 kV 180 MVAr IVAIPORA RT1A PR</t>
  </si>
  <si>
    <t>Substituição dos sistemas de proteção do RTB 69 kV 180 MVAr IVAIPORA RT1B PR</t>
  </si>
  <si>
    <t>0006632/2023</t>
  </si>
  <si>
    <t>PROTEÇÃO - RTB 69 kV 180 MVAr IVAIPORA RT1B PR</t>
  </si>
  <si>
    <t>Substituição dos sistemas de proteção do RTB 69 kV 180 MVAr IVAIPORA RT1C PR</t>
  </si>
  <si>
    <t>0006633/2023</t>
  </si>
  <si>
    <t>PROTEÇÃO - RTB 69 kV 180 MVAr IVAIPORA RT1C PR</t>
  </si>
  <si>
    <t>Substituição dos sistemas de proteção do TR 750/500 kV IVAIPORA TR3 PR</t>
  </si>
  <si>
    <t>TR 750/500 kV IVAIPORA TR3 PR</t>
  </si>
  <si>
    <t>0006634/2023</t>
  </si>
  <si>
    <t>PROTEÇÃO - TR 750/500 kV IVAIPORA TR3 PR</t>
  </si>
  <si>
    <t>Substituição dos sistemas de proteção do TR 500/69 kV IVAIPORA TREG3 PR</t>
  </si>
  <si>
    <t>TR 500/69 kV IVAIPORA TREG3 PR</t>
  </si>
  <si>
    <t>0006636/2023</t>
  </si>
  <si>
    <t>PROTEÇÃO - TR 500/69 kV IVAIPORA TREG3 PR</t>
  </si>
  <si>
    <t>Substituição do registrador de perturbações digital  com Localizador de Faltas por ondas viajantes (TW) da LT 750 kV F.IGUACU 60HZ /IVAIPORA C-3 PR</t>
  </si>
  <si>
    <t>0006648/2023</t>
  </si>
  <si>
    <t>RDP - (TW) da LT 750 kV F.IGUACU 60HZ /IVAIPORA C-3 PR</t>
  </si>
  <si>
    <t>Substituição do registrador de perturbações digital do RTL 750 kV 150 Mvar IVAIPORA RFI3 PR</t>
  </si>
  <si>
    <t>0006649/2023</t>
  </si>
  <si>
    <t>RDP - RTL 750 kV 150 Mvar IVAIPORA RFI3 PR</t>
  </si>
  <si>
    <t>Substituição do registrador de perturbações digital  com Localizador de Faltas por ondas viajantes (TW) da LT 750 kV F.IGUACU 60HZ /IVAIPORA C-2 PR</t>
  </si>
  <si>
    <t>0006651/2023</t>
  </si>
  <si>
    <t>RDP - (TW) da LT 750 kV F.IGUACU 60HZ /IVAIPORA C-2 PR</t>
  </si>
  <si>
    <t>Substituição do registrador de perturbações digital do RTL 750 kV 150 Mvar IVAIPORA RFI2 PR</t>
  </si>
  <si>
    <t>0006652/2023</t>
  </si>
  <si>
    <t>RDP - RTL 750 kV 150 Mvar IVAIPORA RFI2 PR</t>
  </si>
  <si>
    <t>Substituição do registrador de perturbações digital  com Localizador de Faltas por ondas viajantes (TW) da LT 750 kV F.IGUACU 60HZ /IVAIPORA C-1 PR</t>
  </si>
  <si>
    <t>0006653/2023</t>
  </si>
  <si>
    <t>RDP - (TW) da LT 750 kV F.IGUACU 60HZ /IVAIPORA C-1 PR</t>
  </si>
  <si>
    <t>Substituição do registrador de perturbações digital do RTL 750 kV 150 Mvar IVAIPORA RFI1 PR</t>
  </si>
  <si>
    <t>0006655/2023</t>
  </si>
  <si>
    <t>RDP - RTL 750 kV 150 Mvar IVAIPORA RFI1 PR</t>
  </si>
  <si>
    <t>Substituição do registrador de perturbações digital  com Localizador de Faltas por ondas viajantes (TW) da LT 750 kV ITABERA /IVAIPORA C-1 SP/PR</t>
  </si>
  <si>
    <t>0006656/2023</t>
  </si>
  <si>
    <t>RDP - (TW) da LT 750 kV ITABERA /IVAIPORA C-1 SP/PR</t>
  </si>
  <si>
    <t>Substituição do registrador de perturbações digital do RTL 750 kV 329 Mvar IVAIPORA RIA1 PR</t>
  </si>
  <si>
    <t>0006657/2023</t>
  </si>
  <si>
    <t>RDP - RTL 750 kV 329 Mvar IVAIPORA RIA1 PR</t>
  </si>
  <si>
    <t>Substituição do registrador de perturbações digital  com Localizador de Faltas por ondas viajantes (TW) da LT 750 kV ITABERA /IVAIPORA C-2 SP/PR</t>
  </si>
  <si>
    <t>0006658/2023</t>
  </si>
  <si>
    <t>RDP - (TW) da LT 750 kV ITABERA /IVAIPORA C-2 SP/PR</t>
  </si>
  <si>
    <t>Substituição do registrador de perturbações digital do RTL 750 kV 329 Mvar IVAIPORA RIA2 PR</t>
  </si>
  <si>
    <t>0006659/2023</t>
  </si>
  <si>
    <t>RDP - RTL 750 kV 329 Mvar IVAIPORA RIA2 PR</t>
  </si>
  <si>
    <t>Substituição do registrador de perturbações digital  com Localizador de Faltas por ondas viajantes (TW) da LT 750 kV ITABERA /IVAIPORA C-3 SP/PR</t>
  </si>
  <si>
    <t>0006660/2023</t>
  </si>
  <si>
    <t>RDP - (TW) da LT 750 kV ITABERA /IVAIPORA C-3 SP/PR</t>
  </si>
  <si>
    <t>Substituição do registrador de perturbações digital do RTL 750 kV 329 Mvar IVAIPORA RIA3 PR</t>
  </si>
  <si>
    <t>0006661/2023</t>
  </si>
  <si>
    <t>RDP - RTL 750 kV 329 Mvar IVAIPORA RIA3 PR</t>
  </si>
  <si>
    <t>F.IGUACU 60HZ</t>
  </si>
  <si>
    <t>Substituição dos sistemas de proteção da  LT 750 kV F.IGUACU 60HZ /IVAIPORA C-3 PR</t>
  </si>
  <si>
    <t>0006516/2023</t>
  </si>
  <si>
    <t>Substituição dos sistemas de proteção do RTL 750 kV 330 Mvar F.IGUACU 60HZ RT3 PR</t>
  </si>
  <si>
    <t>RTL 750 kV 330 Mvar F.IGUACU 60HZ RT3 PR</t>
  </si>
  <si>
    <t>0006518/2023</t>
  </si>
  <si>
    <t>PROTEÇÃO - RTL 750 kV 330 Mvar F.IGUACU 60HZ RT3 PR</t>
  </si>
  <si>
    <t>Substituição dos sistemas de proteção de Falha de Disjuntor do DJ12244</t>
  </si>
  <si>
    <t>MG F.IGUACU 60HZ / CCO-2001-062 - RB</t>
  </si>
  <si>
    <t>0006519/2023</t>
  </si>
  <si>
    <t>PROTEÇÃO - DJ12244</t>
  </si>
  <si>
    <t>Substituição dos sistemas de proteção da  LT 750 kV F.IGUACU 60HZ /IVAIPORA C-2 PR</t>
  </si>
  <si>
    <t>0006521/2023</t>
  </si>
  <si>
    <t>Substituição dos sistemas de proteção do RTL 750 kV 330 Mvar F.IGUACU 60HZ RT2 PR</t>
  </si>
  <si>
    <t>RTL 750 kV 330 Mvar F.IGUACU 60HZ RT2 PR</t>
  </si>
  <si>
    <t>0006523/2023</t>
  </si>
  <si>
    <t>PROTEÇÃO - RTL 750 kV 330 Mvar F.IGUACU 60HZ RT2 PR</t>
  </si>
  <si>
    <t>Substituição dos sistemas de proteção de Falha de Disjuntor do DJ12224</t>
  </si>
  <si>
    <t>0006525/2023</t>
  </si>
  <si>
    <t>PROTEÇÃO - DJ12224</t>
  </si>
  <si>
    <t>Substituição dos sistemas de proteção da  LT 750 kV F.IGUACU 60HZ /IVAIPORA C-1 PR</t>
  </si>
  <si>
    <t>0006528/2023</t>
  </si>
  <si>
    <t>Substituição dos sistemas de proteção do RTL 750 kV 330 Mvar F.IGUACU 60HZ RT1 PR</t>
  </si>
  <si>
    <t>RTL 750 kV 330 Mvar F.IGUACU 60HZ RT1 PR</t>
  </si>
  <si>
    <t>0006531/2023</t>
  </si>
  <si>
    <t>PROTEÇÃO - RTL 750 kV 330 Mvar F.IGUACU 60HZ RT1 PR</t>
  </si>
  <si>
    <t>Substituição dos sistemas de proteção de Falha de Disjuntor do DJ12214</t>
  </si>
  <si>
    <t>0006534/2023</t>
  </si>
  <si>
    <t>PROTEÇÃO - DJ12214</t>
  </si>
  <si>
    <t>0006536/2023</t>
  </si>
  <si>
    <t>Substituição do registrador de perturbações digital do RTL 750 kV 330 Mvar F.IGUACU 60HZ RT3 PR</t>
  </si>
  <si>
    <t>0006538/2023</t>
  </si>
  <si>
    <t>RDP - RTL 750 kV 330 Mvar F.IGUACU 60HZ RT3 PR</t>
  </si>
  <si>
    <t>0006541/2023</t>
  </si>
  <si>
    <t>Substituição do registrador de perturbações digital do RTL 750 kV 330 Mvar F.IGUACU 60HZ RT2 PR</t>
  </si>
  <si>
    <t>0006542/2023</t>
  </si>
  <si>
    <t>RDP - RTL 750 kV 330 Mvar F.IGUACU 60HZ RT2 PR</t>
  </si>
  <si>
    <t>0006544/2023</t>
  </si>
  <si>
    <t>Substituição do registrador de perturbações digital do RTL 750 kV 330 Mvar F.IGUACU 60HZ RT1 PR</t>
  </si>
  <si>
    <t>0006546/2023</t>
  </si>
  <si>
    <t>RDP - RTL 750 kV 330 Mvar F.IGUACU 60HZ RT1 PR</t>
  </si>
  <si>
    <t>Substituição da UTR ELEBRA de supervisão da Linha (LTIAIV1) LT 750 kV ITABERA /IVAIPORA C-1 SP/PR</t>
  </si>
  <si>
    <t>0007683/2023</t>
  </si>
  <si>
    <t>Substituição da UTR ELEBRA de supervisão do Banco de Reatores de Linha (RTIAIV1) RTL 750 kV 329 Mvar IVAIPORA RIA1 PR</t>
  </si>
  <si>
    <t>0007684/2023</t>
  </si>
  <si>
    <t>Substituição da UTR ELEBRA de supervisão da Linha (LTIAIV2) LT 750 kV ITABERA /IVAIPORA C-2 SP/PR</t>
  </si>
  <si>
    <t>0007685/2023</t>
  </si>
  <si>
    <t>Substituição da UTR ELEBRA de supervisão do Banco de Reatores de Linha (RTIAIV2) RTL 750 kV 329 Mvar IVAIPORA RIA2 PR</t>
  </si>
  <si>
    <t>0007686/2023</t>
  </si>
  <si>
    <t>Substituição da UTR ELEBRA de supervisão da Linha (LTIAIV3) LT 750 kV ITABERA /IVAIPORA C-3 SP/PR</t>
  </si>
  <si>
    <t>0007687/2023</t>
  </si>
  <si>
    <t>Substituição da UTR ELEBRA de supervisão do Banco de Reatores de Linha (RTIAIV3) RTL 750 kV 329 Mvar IVAIPORA RIA3 PR</t>
  </si>
  <si>
    <t>0007688/2023</t>
  </si>
  <si>
    <t>Substituição da UTR ELEBRA de supervisão da Linha (LTFIIV1) LT 750 kV F.IGUACU 60HZ /IVAIPORA C-1 PR</t>
  </si>
  <si>
    <t>0007689/2023</t>
  </si>
  <si>
    <t>Substituição da UTR ELEBRA de supervisão do Banco de Reatores de Linha (RTFIIV1) RTL 750 kV 150 Mvar IVAIPORA RFI1 PR</t>
  </si>
  <si>
    <t>0007690/2023</t>
  </si>
  <si>
    <t>Substituição da UTR ELEBRA de supervisão da Linha (LTFIIV2) LT 750 kV F.IGUACU 60HZ /IVAIPORA C-2 PR</t>
  </si>
  <si>
    <t>0007692/2023</t>
  </si>
  <si>
    <t>Substituição da UTR ELEBRA de supervisão do Banco de Reatores de Linha (RTFIIV2) RTL 750 kV 150 Mvar IVAIPORA RFI2 PR</t>
  </si>
  <si>
    <t>0007693/2023</t>
  </si>
  <si>
    <t>Substituição da UTR ELEBRA de supervisão da Linha (LTFIIV3) LT 750 kV F.IGUACU 60HZ /IVAIPORA C-3 PR</t>
  </si>
  <si>
    <t>0007694/2023</t>
  </si>
  <si>
    <t>Substituição da UTR ELEBRA de supervisão do Banco de Reatores de Linha (RTFIIV3) RTL 750 kV 150 Mvar IVAIPORA RFI3 PR</t>
  </si>
  <si>
    <t>0007695/2023</t>
  </si>
  <si>
    <t>Substituição da UTR ELEBRA de supervisão das Barras de 750 kV (BR12A e BR12B)</t>
  </si>
  <si>
    <t>0007696/2023</t>
  </si>
  <si>
    <t>Substituição da UTR ELEBRA de supervisão do Banco de Reatores de Barra (RT7) RTB 750 kV 329 Mvar IVAIPORA RT7 PR</t>
  </si>
  <si>
    <t>RT 765 kV 329 Mvar IVAIPORA RT7 PR</t>
  </si>
  <si>
    <t>0007697/2023</t>
  </si>
  <si>
    <t>Substituição da UTR ELEBRA de supervisão do Banco de Transformadores (AT01) TR 750/500 kV IVAIPORA TR1 PR</t>
  </si>
  <si>
    <t>0007698/2023</t>
  </si>
  <si>
    <t>Substituição da UTR ELEBRA de supervisão do Banco de Trafos Reguladores (TRRG01) TR 500/69 kV IVAIPORA TREG1 PR</t>
  </si>
  <si>
    <t>0007699/2023</t>
  </si>
  <si>
    <t>Substituição da UTR ELEBRA de supervisão do Trafo Auxiliar (TSA1) 69-13,8 kV</t>
  </si>
  <si>
    <t>0007702/2023</t>
  </si>
  <si>
    <t>Substituição da UTR ELEBRA de supervisão do Banco de Reatores (RT1A) RTB 69 kV 180 MVAr IVAIPORA RT1A PR</t>
  </si>
  <si>
    <t>0007703/2023</t>
  </si>
  <si>
    <t>Substituição da UTR ELEBRA de supervisão do Banco de Reatores (RT1B) RTB 69 kV 180 MVAr IVAIPORA RT1B PR</t>
  </si>
  <si>
    <t>0007704/2023</t>
  </si>
  <si>
    <t>Substituição da UTR ELEBRA de supervisão do Banco de Reatores (RT1C) RTB 69 kV 180 MVAr IVAIPORA RT1C PR</t>
  </si>
  <si>
    <t>0007705/2023</t>
  </si>
  <si>
    <t>Substituição da UTR ELEBRA de supervisão do Banco de Transformadores (AT02) TR 750/500 kV IVAIPORA TR2 PR</t>
  </si>
  <si>
    <t>TR 750/500 kV IVAIPORA TR2 PR</t>
  </si>
  <si>
    <t>0007708/2023</t>
  </si>
  <si>
    <t>Substituição da UTR ELEBRA de supervisão do Banco de Trafos Reguladores (TRRG02) TR 500/69 kV IVAIPORA TREG2 PR</t>
  </si>
  <si>
    <t>0007709/2023</t>
  </si>
  <si>
    <t>Substituição da UTR ELEBRA de supervisão do Trafo Auxiliar (TSA2) 69-13,8 kV</t>
  </si>
  <si>
    <t>0007710/2023</t>
  </si>
  <si>
    <t>Substituição da UTR ELEBRA de supervisão do Banco de Reatores (RT2A) RTB 69 kV 180 MVAr IVAIPORA RT2A PR</t>
  </si>
  <si>
    <t>RT 69 kV 180 Mvar IVAIPORA RT2A PR</t>
  </si>
  <si>
    <t>0007712/2023</t>
  </si>
  <si>
    <t>Substituição da UTR ELEBRA de supervisão do Banco de Reatores (RT2B) RTB 69 kV 180 MVAr IVAIPORA RT2B PR</t>
  </si>
  <si>
    <t>RT 69 kV 180 Mvar IVAIPORA RT2B PR</t>
  </si>
  <si>
    <t>0007713/2023</t>
  </si>
  <si>
    <t>Substituição da UTR ELEBRA de supervisão do Banco de Reatores (RT2C) RTB 69 kV 180 MVAr IVAIPORA RT2C PR</t>
  </si>
  <si>
    <t>RT 69 kV 180 Mvar IVAIPORA RT2C PR</t>
  </si>
  <si>
    <t>0007714/2023</t>
  </si>
  <si>
    <t>Substituição das UACs SIEMENS de supervisão do Banco de Transformadores (AT03) TR 750/500 kV IVAIPORA TR3 PR</t>
  </si>
  <si>
    <t>0007716/2023</t>
  </si>
  <si>
    <t>Substituição das  UACs SIEMENS de supervisão do Banco de Trafos Reguladores (TRRG03) TR 500/69 kV IVAIPORA TREG3 PR</t>
  </si>
  <si>
    <t>0007717/2023</t>
  </si>
  <si>
    <t>Substituição das  UACs SIEMENS de supervisão do Banco de Reatores (RT3A) RTB 69 kV 180 MVAr IVAIPORA RT3A PR</t>
  </si>
  <si>
    <t>RT 69 kV 180 Mvar IVAIPORA RT3A PR</t>
  </si>
  <si>
    <t>0007719/2023</t>
  </si>
  <si>
    <t>Substituição das  UACs SIEMENS de supervisão do Banco de Reatores (RT3B) RTB 69 kV 180 MVAr IVAIPORA RT3B PR</t>
  </si>
  <si>
    <t>RT 69 kV 180 Mvar IVAIPORA RT3B PR</t>
  </si>
  <si>
    <t>0007720/2023</t>
  </si>
  <si>
    <t>Substituição de switch FSIV-A01P da Rede Operativa da SE IVAIPORA</t>
  </si>
  <si>
    <t>0007839/2023</t>
  </si>
  <si>
    <t>FSIV-A01P</t>
  </si>
  <si>
    <t>Substituição de switch FSIV-A01S da Rede Operativa da SE IVAIPORA</t>
  </si>
  <si>
    <t>0007840/2023</t>
  </si>
  <si>
    <t>Substituição de switch FSIV-A02P da Rede Operativa da SE IVAIPORA</t>
  </si>
  <si>
    <t>0007841/2023</t>
  </si>
  <si>
    <t>FSIV-A02P</t>
  </si>
  <si>
    <t>Substituição de switch FSIV-A02S da Rede Operativa da SE IVAIPORA</t>
  </si>
  <si>
    <t>0007842/2023</t>
  </si>
  <si>
    <t>FSIV-A02S</t>
  </si>
  <si>
    <t>Substituição de switch FSIV-D01P da Rede Operativa da SE IVAIPORA</t>
  </si>
  <si>
    <t>0007843/2023</t>
  </si>
  <si>
    <t>FSIV-D01P</t>
  </si>
  <si>
    <t>Substituição de switch FSIV-D01S da Rede Operativa da SE IVAIPORA</t>
  </si>
  <si>
    <t>0007844/2023</t>
  </si>
  <si>
    <t>FSIV-D01S</t>
  </si>
  <si>
    <t>Substituição de trafo potencia AT09 500/345KV FASE A (nº serie: K547263, cod. mat.: 10182628).</t>
  </si>
  <si>
    <t>TR 500/345 kV MARIMBONDO TR9 MG</t>
  </si>
  <si>
    <t>0001205/2022</t>
  </si>
  <si>
    <t>AT09 500/345KV FASE A</t>
  </si>
  <si>
    <t>Substituição de trafo potencia AT09 500/345KV FASE B (nº serie: K547266, cod. mat.: 10182630).</t>
  </si>
  <si>
    <t>0001206/2022</t>
  </si>
  <si>
    <t>AT09 500/345KV FASE B</t>
  </si>
  <si>
    <t>Substituição de trafo potencia AT09 500/345KV FASE C (nº serie: K547264, cod. mat.: 10182629).</t>
  </si>
  <si>
    <t>0001207/2022</t>
  </si>
  <si>
    <t>AT09 500/345KV FASE C</t>
  </si>
  <si>
    <t>Substituição de trafo potencia TRR1-AT98V (nº serie: K547267, cod. mat.: 10182631).</t>
  </si>
  <si>
    <t>TRR 525/345 kV MARIMBONDO TRR1 MG</t>
  </si>
  <si>
    <t>0001208/2022</t>
  </si>
  <si>
    <t>TRR1-AT98V</t>
  </si>
  <si>
    <t>Substituição de trafo corrente TCDJ9022 500KV FASE A (nº serie: K74081-02-2, cod. mat.: 10184448).</t>
  </si>
  <si>
    <t>0001209/2022</t>
  </si>
  <si>
    <t>TCDJ9022 500KV FASE A</t>
  </si>
  <si>
    <t>Substituição de trafo corrente TCDJ9022 500KV FASE B (nº serie: K74081-03-2, cod. mat.: 10184447).</t>
  </si>
  <si>
    <t>0001210/2022</t>
  </si>
  <si>
    <t>TCDJ9022 500KV FASE B</t>
  </si>
  <si>
    <t>Substituição de trafo corrente TCDJ9022 500KV FASE C (nº serie: K74081-03-9, cod. mat.: 10184446).</t>
  </si>
  <si>
    <t>0001211/2022</t>
  </si>
  <si>
    <t>TCDJ9022 500KV FASE C</t>
  </si>
  <si>
    <t>Substituição de trafo corrente TCLTMRCL 345KV FASE A (nº serie: HA333294, cod. mat.: 10234670).</t>
  </si>
  <si>
    <t>0001212/2022</t>
  </si>
  <si>
    <t>TCLTMRCL 345KV FASE A</t>
  </si>
  <si>
    <t>Substituição de trafo corrente TCLTMRCL 345KV FASE B (nº serie: HA333287, cod. mat.: 10186492).</t>
  </si>
  <si>
    <t>0001213/2022</t>
  </si>
  <si>
    <t>TCLTMRCL 345KV FASE B</t>
  </si>
  <si>
    <t>Substituição de trafo corrente TCLTMRCL 345KV FASE C (nº serie: HA333286, cod. mat.: 10186491).</t>
  </si>
  <si>
    <t>0001215/2022</t>
  </si>
  <si>
    <t>TCLTMRCL 345KV FASE C</t>
  </si>
  <si>
    <t>Substituição de trafo potencial/dcp DCPLTMRCL 345KV FASE A (nº serie: 322274, cod. mat.: 10190357).</t>
  </si>
  <si>
    <t>0001216/2022</t>
  </si>
  <si>
    <t>DCPLTMRCL 345KV FASE A</t>
  </si>
  <si>
    <t>Substituição de trafo potencial/dcp DCPLTMRCL 345KV FASE B (nº serie: 5-75-0866, cod. mat.: 10188860).</t>
  </si>
  <si>
    <t>0001217/2022</t>
  </si>
  <si>
    <t>DCPLTMRCL 345KV FASE B</t>
  </si>
  <si>
    <t>Substituição de trafo potencial/dcp DCPLTMRCL 345KV FASE C (nº serie: 5-75-0867, cod. mat.: 10188859).</t>
  </si>
  <si>
    <t>0001218/2022</t>
  </si>
  <si>
    <t>DCPLTMRCL 345KV FASE C</t>
  </si>
  <si>
    <t>Substituição de seccionadora SC915 (nº serie: M920, cod. mat.: 10195284).</t>
  </si>
  <si>
    <t>0005942/2023</t>
  </si>
  <si>
    <t>SC915</t>
  </si>
  <si>
    <t>Substituição de para-raios PRAT09 345KV FASE A (nº serie: 41123, cod. mat.: 10197817).</t>
  </si>
  <si>
    <t>0005939/2023</t>
  </si>
  <si>
    <t>PRAT09 345KV FASE A</t>
  </si>
  <si>
    <t>Substituição de para-raios PRAT09 345KV FASE B (nº serie: 46347, cod. mat.: 10197818).</t>
  </si>
  <si>
    <t>0005940/2023</t>
  </si>
  <si>
    <t>PRAT09 345KV FASE B</t>
  </si>
  <si>
    <t>Substituição de para-raios PRAT09 345KV FASE C (nº serie: 40245, cod. mat.: 10197814).</t>
  </si>
  <si>
    <t>0005941/2023</t>
  </si>
  <si>
    <t>PRAT09 345KV FASE C</t>
  </si>
  <si>
    <t>Substituição de seccionadora SC8529 (nº serie: 741024 - 12, cod. mat.: 10196673).</t>
  </si>
  <si>
    <t>0005946/2023</t>
  </si>
  <si>
    <t>Substituição de seccionadora SC8527 (nº serie: 741024 - 13, cod. mat.: 10196670).</t>
  </si>
  <si>
    <t>0005947/2023</t>
  </si>
  <si>
    <t>Substituição de seccionadora SC8520T (nº serie: -, cod. mat.: -).</t>
  </si>
  <si>
    <t>0005948/2023</t>
  </si>
  <si>
    <t>Substituição de disjuntor DJ8522 (nº serie: A 10936-1, cod. mat.: 10190829).</t>
  </si>
  <si>
    <t>0005927/2023</t>
  </si>
  <si>
    <t>DJ8522</t>
  </si>
  <si>
    <t>Substituição de para-raios PRLTMRCL 345KV FASE A (nº serie: 40765, cod. mat.: 10197813).</t>
  </si>
  <si>
    <t>0005935/2023</t>
  </si>
  <si>
    <t>PRLTMRCL 345KV FASE A</t>
  </si>
  <si>
    <t>Substituição de para-raios PRLTMRCL 345KV FASE B (nº serie: 40764, cod. mat.: 10197812).</t>
  </si>
  <si>
    <t>0005936/2023</t>
  </si>
  <si>
    <t>PRLTMRCL 345KV FASE B</t>
  </si>
  <si>
    <t>Substituição de para-raios PRLTMRCL 345KV FASE C (nº serie: 40763, cod. mat.: 10197811).</t>
  </si>
  <si>
    <t>0005937/2023</t>
  </si>
  <si>
    <t>PRLTMRCL 345KV FASE C</t>
  </si>
  <si>
    <t>Substituição de trafo corrente TCDJ9012 500KV FASE A (nº serie: K74081-02-1, cod. mat.: 10184445).</t>
  </si>
  <si>
    <t>0005954/2023</t>
  </si>
  <si>
    <t>TCDJ9012 500KV FASE A</t>
  </si>
  <si>
    <t>Substituição de trafo corrente TCDJ9012 500KV FASE B (nº serie: K74081-03-3, cod. mat.: 10184479).</t>
  </si>
  <si>
    <t>0005956/2023</t>
  </si>
  <si>
    <t>TCDJ9012 500KV FASE B</t>
  </si>
  <si>
    <t>Substituição de trafo corrente TCDJ9012 500KV FASE C (nº serie: K74081-03-7, cod. mat.: 10184443).</t>
  </si>
  <si>
    <t>0005957/2023</t>
  </si>
  <si>
    <t>TCDJ9012 500KV FASE C</t>
  </si>
  <si>
    <t>SUBSTITUIÇÃO DA CHAVE SECCIONADORA SC2225</t>
  </si>
  <si>
    <t>MG MARIMBONDO / CCO-2001-062 - RB</t>
  </si>
  <si>
    <t>0007500/2023</t>
  </si>
  <si>
    <t>SC2225</t>
  </si>
  <si>
    <t>SUBSTITUIÇÃO DO TRANSFORMADOR DE SERVIÇO AUXILIAR TR11 - 13,8KV/480V</t>
  </si>
  <si>
    <t>0007505/2023</t>
  </si>
  <si>
    <t>TR11</t>
  </si>
  <si>
    <t>SUBSTITUIÇÃO DO TRANSFORMADOR REGULADOR TRRGPCA1 - 13,8/13,8KV</t>
  </si>
  <si>
    <t>0007506/2023</t>
  </si>
  <si>
    <t>TRRGPCA1</t>
  </si>
  <si>
    <t>SUBSTITUIÇÃO DA CHAVE SECCIONADORA SC2215</t>
  </si>
  <si>
    <t>0007508/2023</t>
  </si>
  <si>
    <t>SUBSTITUIÇÃO DO TRANSFORMADOR DE SERVIÇO AUXILIAR TR12 - 13,8KV/480V</t>
  </si>
  <si>
    <t>0007509/2023</t>
  </si>
  <si>
    <t>TR12</t>
  </si>
  <si>
    <t>SUBSTITUIÇÃO DO TRANSFORMADOR REGULADOR TRRGPCA2 - 13,8/13,8KV</t>
  </si>
  <si>
    <t>0007511/2023</t>
  </si>
  <si>
    <t>TRRGPCA2</t>
  </si>
  <si>
    <t>SUBSTITUIÇÃO DA CHAVE SECCIONADORA SC2255</t>
  </si>
  <si>
    <t>0007513/2023</t>
  </si>
  <si>
    <t>SC2255</t>
  </si>
  <si>
    <t>SUBSTITUIÇÃO DO TRANSFORMADOR REGULADOR TRRGPLC1 - 13,8/13,8KV</t>
  </si>
  <si>
    <t>0007514/2023</t>
  </si>
  <si>
    <t>TRRGPLC1</t>
  </si>
  <si>
    <t>SUBSTITUIÇÃO DA CHAVE SECCIONADORA SC2245</t>
  </si>
  <si>
    <t>0009539/2023</t>
  </si>
  <si>
    <t>SC2245</t>
  </si>
  <si>
    <t>SUBSTITUIÇÃO DO TRANSFORMADOR REGULADOR TRRGPLC2 - 13,8/13,8KV</t>
  </si>
  <si>
    <t>0007518/2023</t>
  </si>
  <si>
    <t>TRRGPLC2</t>
  </si>
  <si>
    <t>SUBSTITUIÇÃO DOS PÁRA-RAIOS DO SERVIÇO AUXILIAR EM 15KV DO RAMAL AÉREO. TOTAL DE 15 UNIDADES.</t>
  </si>
  <si>
    <t>0007519/2023</t>
  </si>
  <si>
    <t>SUBSTITUIÇÃO DO PAINEL PCA - 480V</t>
  </si>
  <si>
    <t>0007520/2023</t>
  </si>
  <si>
    <t>PCA</t>
  </si>
  <si>
    <t>SUBSTITUIÇÃO DO PAINEL PDF-1 - 480V</t>
  </si>
  <si>
    <t>0007521/2023</t>
  </si>
  <si>
    <t>PDF-1</t>
  </si>
  <si>
    <t>SUBSTITUIÇÃO DO PAINEL PDF-2 - 480V</t>
  </si>
  <si>
    <t>0007522/2023</t>
  </si>
  <si>
    <t>PDF-2</t>
  </si>
  <si>
    <t>SUBSTITUIÇÃO DO PAINEL PDF-3 - 480V</t>
  </si>
  <si>
    <t>0007523/2023</t>
  </si>
  <si>
    <t>PDF-3</t>
  </si>
  <si>
    <t>SUBSTITUIÇÃO DO PAINEL PDF-4 - 480V</t>
  </si>
  <si>
    <t>0007525/2023</t>
  </si>
  <si>
    <t>PDF-4</t>
  </si>
  <si>
    <t>SUBSTITUIÇÃO DO PAINEL PDL1 - 480V</t>
  </si>
  <si>
    <t>0007526/2023</t>
  </si>
  <si>
    <t>PDL1</t>
  </si>
  <si>
    <t>SUBSTITUIÇÃO DO PAINEL PDL2 - 480V</t>
  </si>
  <si>
    <t>0007527/2023</t>
  </si>
  <si>
    <t>PDL2</t>
  </si>
  <si>
    <t>SUBSTITUIÇÃO DO PAINEL PDL3 - 480V</t>
  </si>
  <si>
    <t>0007528/2023</t>
  </si>
  <si>
    <t>PDL3</t>
  </si>
  <si>
    <t>SUBSTITUIÇÃO DO PAINEL PDL4 - 480V</t>
  </si>
  <si>
    <t>0007530/2023</t>
  </si>
  <si>
    <t>PDL4</t>
  </si>
  <si>
    <t>SUBSTITUIÇÃO DO TRANSFORMADOR DE SERVIÇO AUXILIAR TRLPDL1 - 480/220-127V</t>
  </si>
  <si>
    <t>0007532/2023</t>
  </si>
  <si>
    <t>TRPDL1</t>
  </si>
  <si>
    <t>SUBSTITUIÇÃO DO TRANSFORMADOR DE SERVIÇO AUXILIAR TRLPDL2 - 480/220-127V</t>
  </si>
  <si>
    <t>0007533/2023</t>
  </si>
  <si>
    <t>TRPDL2</t>
  </si>
  <si>
    <t>SUBSTITUIÇÃO DO TRANSFORMADOR DE SERVIÇO AUXILIAR TRLPDL3 - 480/220-127V</t>
  </si>
  <si>
    <t>0007534/2023</t>
  </si>
  <si>
    <t>TRPDL3</t>
  </si>
  <si>
    <t>SUBSTITUIÇÃO DO TRANSFORMADOR DE SERVIÇO AUXILIAR TRLPDL4 - 480/220-127V</t>
  </si>
  <si>
    <t>0007536/2023</t>
  </si>
  <si>
    <t>TRPDL4</t>
  </si>
  <si>
    <t>SUBSTITUIÇÃO DO RETIFICADOR 1 - 480V</t>
  </si>
  <si>
    <t>0007537/2023</t>
  </si>
  <si>
    <t>RT01</t>
  </si>
  <si>
    <t>SUBSTITUIÇÃO DO RETIFICADOR 2 - 480V</t>
  </si>
  <si>
    <t>0007538/2023</t>
  </si>
  <si>
    <t>RT02</t>
  </si>
  <si>
    <t>SUBSTITUIÇÃO DO PAINEL PCCS - 125VCC</t>
  </si>
  <si>
    <t>0007539/2023</t>
  </si>
  <si>
    <t>PCCS</t>
  </si>
  <si>
    <t>SUBSTITUIÇÃO DO PAINEL PDC1 - 125VCC</t>
  </si>
  <si>
    <t>0007540/2023</t>
  </si>
  <si>
    <t>PDC1</t>
  </si>
  <si>
    <t>SUBSTITUIÇÃO DO PAINEL PDC2 - 125VCC</t>
  </si>
  <si>
    <t>0007541/2023</t>
  </si>
  <si>
    <t>PDC2</t>
  </si>
  <si>
    <t>SUBSTITUIÇÃO DO PAINEL PDC3 - 125VCC</t>
  </si>
  <si>
    <t>0007542/2023</t>
  </si>
  <si>
    <t>PDC3</t>
  </si>
  <si>
    <t>Substituição dos sistemas de proteção da LT 500 kV MARIMBONDO /AGUA VERMELHA C-1 MG/SP</t>
  </si>
  <si>
    <t>LT 500 kV MARIMBONDO /AGUA VERMELHA C-1 MG/SP</t>
  </si>
  <si>
    <t>0006802/2023</t>
  </si>
  <si>
    <t>PROTEÇÃO - LT 500 kV MARIMBONDO /AGUA VERMELHA C-1 MG/SP</t>
  </si>
  <si>
    <t>Substituição dos sistemas de proteção de Falha de Disjuntor do DJ9082</t>
  </si>
  <si>
    <t>0006803/2023</t>
  </si>
  <si>
    <t>PROTEÇÃO - DJ9082</t>
  </si>
  <si>
    <t>Substituição do registrador de perturbações digital da LT 500 kV MARIMBONDO /AGUA VERMELHA C-1 MG/SP</t>
  </si>
  <si>
    <t>0006804/2023</t>
  </si>
  <si>
    <t>Substituição dos sistemas de proteção da RTB 500 kV 100 MVAr MARIMBONDO RT4 MG e da proteção de falha da disjuntor DJ942R.</t>
  </si>
  <si>
    <t>RT 500 kV 100 Mvar MARIMBONDO RT4 MG</t>
  </si>
  <si>
    <t>0006807/2023</t>
  </si>
  <si>
    <t>PROTEÇÃO - RTB 500 kV 100 MVAr MARIMBONDO RT4 MG</t>
  </si>
  <si>
    <t>Substituição dos sistemas de proteção de Falha de Disjuntor do DJ9782</t>
  </si>
  <si>
    <t>0006809/2023</t>
  </si>
  <si>
    <t>PROTEÇÃO - DJ9782</t>
  </si>
  <si>
    <t>Substituição da UAC01 - SINOCON de supervisão da LT 500 kV MARIMBONDO /AGUA VERMELHA</t>
  </si>
  <si>
    <t>0007724/2023</t>
  </si>
  <si>
    <t>Substituição das UACs UCD1 e UCD2 - AREVA de supervisão do reator (RT04) RTB 500 kV 100 MVAr MARIMBONDO RT4 MG</t>
  </si>
  <si>
    <t>0007725/2023</t>
  </si>
  <si>
    <t>Substituição de switch FUMR-D01P da Rede Operativa da UHE Marimbondo.</t>
  </si>
  <si>
    <t>0007848/2023</t>
  </si>
  <si>
    <t>FUMR-D01P</t>
  </si>
  <si>
    <t>Substituição de switch FUMR-D01S da Rede Operativa da UHE Marimbondo.</t>
  </si>
  <si>
    <t>0007849/2023</t>
  </si>
  <si>
    <t>FUMR-D01S</t>
  </si>
  <si>
    <t>Substituição de switch FUMR-A01P da Rede Operativa da UHE Marimbondo.</t>
  </si>
  <si>
    <t>0007850/2023</t>
  </si>
  <si>
    <t>FUMR-A01P</t>
  </si>
  <si>
    <t>Substituição de switch FUMR-A01S da Rede Operativa da UHE Marimbondo.</t>
  </si>
  <si>
    <t>0007851/2023</t>
  </si>
  <si>
    <t>FUMR-A01S</t>
  </si>
  <si>
    <t>Substituição de switch FUMR-A02P da Rede Operativa da UHE Marimbondo.</t>
  </si>
  <si>
    <t>0007852/2023</t>
  </si>
  <si>
    <t>FUMR-A02P</t>
  </si>
  <si>
    <t>Substituição de switch FUMR-A02S da Rede Operativa da UHE Marimbondo.</t>
  </si>
  <si>
    <t>0007853/2023</t>
  </si>
  <si>
    <t>FUMR-A02S</t>
  </si>
  <si>
    <t>Substituição de switch FUMR-A03P da Rede Operativa da UHE Marimbondo.</t>
  </si>
  <si>
    <t>0007854/2023</t>
  </si>
  <si>
    <t>FUMR-A03P</t>
  </si>
  <si>
    <t>Substituição de switch FUMR-A03S da Rede Operativa da UHE Marimbondo.</t>
  </si>
  <si>
    <t>0007855/2023</t>
  </si>
  <si>
    <t>FUMR-A03S</t>
  </si>
  <si>
    <t>Substituição de trafo corrente TC AT01 FASE A (nº serie: K83021-01-01, cod. mat.: 10184619).
Capacidade de curto-circuito (kA) do novo equipamento: 50 kA.</t>
  </si>
  <si>
    <t>TR 765/525 kV IVAIPORA TR1 + LT 525 kV C-1 PR</t>
  </si>
  <si>
    <t>0005682/2023</t>
  </si>
  <si>
    <t>TC AT01 FASE A</t>
  </si>
  <si>
    <t>Substituição de trafo corrente TC AT01 FASE B (nº serie: K83021-01-02, cod. mat.: 10184620).
Capacidade de curto-circuito (kA) do novo equipamento: 50 kA.</t>
  </si>
  <si>
    <t>0005683/2023</t>
  </si>
  <si>
    <t>TC AT01 FASE B</t>
  </si>
  <si>
    <t>Substituição de trafo corrente TC AT01 FASE C (nº serie: K83021-01-03, cod. mat.: 10184621).
Capacidade de curto-circuito (kA) do novo equipamento: 50 kA.</t>
  </si>
  <si>
    <t>0005684/2023</t>
  </si>
  <si>
    <t>TC AT01 FASE C</t>
  </si>
  <si>
    <t>"Acesso ao Setor de 138 kV da SE Porto Colômbia 138 kV, por meioda instalação de 1 novo bay destinados à conexão de 1 linhas de
distribuição em 138 kV, Porto Colômbia - Frutal 2, em circuito simples."</t>
  </si>
  <si>
    <t>0001071/2022</t>
  </si>
  <si>
    <t>RIO VERDE FUR</t>
  </si>
  <si>
    <t>Substituição de trafo corrente TC - AT01 230KV FASE A (nº serie: SP-16377, cod. mat.: 10186432).</t>
  </si>
  <si>
    <t>TR 230/138 kV RIO VERDE FUR TR1 GO</t>
  </si>
  <si>
    <t>0006016/2023</t>
  </si>
  <si>
    <t>TC - AT01 230KV FASE A</t>
  </si>
  <si>
    <t>Substituição de trafo corrente TC - AT01 230KV FASE B (nº serie: SP-16376, cod. mat.: 10186433).</t>
  </si>
  <si>
    <t>0006017/2023</t>
  </si>
  <si>
    <t>TC - AT01 230KV FASE B</t>
  </si>
  <si>
    <t>Substituição de trafo corrente TC - AT01 230KV FASE C (nº serie: SP-16375, cod. mat.: 10186434).</t>
  </si>
  <si>
    <t>0006018/2023</t>
  </si>
  <si>
    <t>TC - AT01 230KV FASE C</t>
  </si>
  <si>
    <t>Substituição de disjuntor DJ738 (nº serie: 1004-06, cod. mat.: 10191498).</t>
  </si>
  <si>
    <t>0005989/2023</t>
  </si>
  <si>
    <t>DJ738</t>
  </si>
  <si>
    <t>Substituição de disjuntor DJ708 (nº serie: 1004-05, cod. mat.: 10191497).</t>
  </si>
  <si>
    <t>MG RIO VERDE FUR / CCO-2001-062 - RB</t>
  </si>
  <si>
    <t>0005991/2023</t>
  </si>
  <si>
    <t>Substituição de trafo corrente TC ENTRE DJ708 E BR7A FASE A (nº serie: SP-16366, cod. mat.: 10186423).</t>
  </si>
  <si>
    <t>0006023/2023</t>
  </si>
  <si>
    <t>TC ENTRE DJ708 E BR7A FASE A</t>
  </si>
  <si>
    <t>Substituição de trafo corrente TC ENTRE DJ708 E BR7A FASE B (nº serie: SP-16367, cod. mat.: 10186424).</t>
  </si>
  <si>
    <t>0006024/2023</t>
  </si>
  <si>
    <t>TC ENTRE DJ708 E BR7A FASE B</t>
  </si>
  <si>
    <t>Substituição de trafo corrente TC ENTRE DJ708 E BR7A FASE C (nº serie: SP-16368, cod. mat.: 10186425).</t>
  </si>
  <si>
    <t>0006025/2023</t>
  </si>
  <si>
    <t>TC ENTRE DJ708 E BR7A FASE C</t>
  </si>
  <si>
    <t>Substituição de trafo corrente TC - AT01 13.8KV LADO PARRAIOS FASE A (nº serie: 850237001, cod. mat.: -).
Capacidade de curto-circuito (kA) do novo equipamento: 31,5 kA.</t>
  </si>
  <si>
    <t>0006955/2023</t>
  </si>
  <si>
    <t>TC - AT01 13.8KV LADO PARRAIOS FASE A</t>
  </si>
  <si>
    <t>Substituição de trafo corrente TC - AT01 13.8KV LADO PARRAIOS FASE C (nº serie: 850237003, cod. mat.: 10251482).
Capacidade de curto-circuito (kA) do novo equipamento: 31,5 kA.</t>
  </si>
  <si>
    <t>0006956/2023</t>
  </si>
  <si>
    <t>TC - AT01 13.8KV LADO PARRAIOS FASE C</t>
  </si>
  <si>
    <t>Substituição de trafo corrente TC - AT01 13.8KV LADO TRAFO ATER. FASE A (nº serie: 850238001, cod. mat.: 10251483).
Capacidade de curto-circuito (kA) do novo equipamento: 31,5 kA.</t>
  </si>
  <si>
    <t>0006959/2023</t>
  </si>
  <si>
    <t>TC - AT01 13.8KV LADO TRAFO ATER. FASE A</t>
  </si>
  <si>
    <t>Substituição de trafo corrente TC - AT01 13.8KV LADO TRAFO ATER. FASE B (nº serie: 221037101, cod. mat.: 10251484).
Capacidade de curto-circuito (kA) do novo equipamento: 31,5 kA.</t>
  </si>
  <si>
    <t>0006962/2023</t>
  </si>
  <si>
    <t>TC - AT01 13.8KV LADO TRAFO ATER. FASE B</t>
  </si>
  <si>
    <t>Substituição de trafo corrente TC - AT01 13.8KV LADO TRAFO ATER. FASE C (nº serie: 850238003, cod. mat.: 10251485).
Capacidade de curto-circuito (kA) do novo equipamento: 31,5 kA.</t>
  </si>
  <si>
    <t>0006965/2023</t>
  </si>
  <si>
    <t>TC - AT01 13.8KV LADO TRAFO ATER. FASE C</t>
  </si>
  <si>
    <t>SUBSTITUIÇÃO DE 3 MÓDULOS DE CUBÍCULOS DE 24KV (DJ2038, DJ2208, DJ2108)</t>
  </si>
  <si>
    <t>0008154/2022</t>
  </si>
  <si>
    <t>CUBÍCULO 13,8KV</t>
  </si>
  <si>
    <t>INSTALAÇÃO DE TRANSFORMADOR REGULADOR TRREG01 - 13,8/13,8KV</t>
  </si>
  <si>
    <t>0008176/2022</t>
  </si>
  <si>
    <t>INSTALAÇÃO DE TRANSFORMADOR REGULADOR TRREG02 - 13,8/13,8KV</t>
  </si>
  <si>
    <t>0008177/2022</t>
  </si>
  <si>
    <t>Substituição dos sistemas de proteção de diferencial de barras da barra BR7A e da barra BR7B e das proteções de falha dos disjuntores DJ7788,DJ7778 (DJ da LIRVBP1), DJ7768, DJ748, DJ738, DJ768, DJ758R, DJ7338, DJ7328, DJ7348, DJ708.</t>
  </si>
  <si>
    <t>0006919/2023</t>
  </si>
  <si>
    <t>PROTEÇÃO - BR7A e BR7B</t>
  </si>
  <si>
    <t>Substituição do registrador de perturbações digital das BR7A e BR7B</t>
  </si>
  <si>
    <t>0006920/2023</t>
  </si>
  <si>
    <t>Substituição dos sistemas de proteção de Falha de Disjuntor do DJ7788</t>
  </si>
  <si>
    <t>LT 230 kV RIO VERDE FUR/BARRA PEIXE C-2 GO/MT</t>
  </si>
  <si>
    <t>0006922/2023</t>
  </si>
  <si>
    <t>PROTEÇÃO - DJ7788</t>
  </si>
  <si>
    <t>Substituição dos sistemas de proteção de Falha de Disjuntor do DJ7778 (DJ da LIRVBP1)</t>
  </si>
  <si>
    <t>LT 230 kV RIO VERDE FUR/RONDONOPOLIS C-2 GO/MT</t>
  </si>
  <si>
    <t>0006924/2023</t>
  </si>
  <si>
    <t>PROTEÇÃO - DJ7778 (DJ da LIRVBP1)</t>
  </si>
  <si>
    <t>Substituição dos sistemas de proteção de Falha de Disjuntor do DJ7768</t>
  </si>
  <si>
    <t>LT 230 kV RIO VERDE FUR/RONDONOPOLIS C-1 GO/MT</t>
  </si>
  <si>
    <t>0006926/2023</t>
  </si>
  <si>
    <t>PROTEÇÃO - DJ7768</t>
  </si>
  <si>
    <t>Substituição dos sistemas de proteção de Falha de Disjuntor do DJ748</t>
  </si>
  <si>
    <t>TR 230/138 kV RIO VERDE FUR TR2 GO</t>
  </si>
  <si>
    <t>0006927/2023</t>
  </si>
  <si>
    <t>PROTEÇÃO - DJ748</t>
  </si>
  <si>
    <t>Substituição dos sistemas de proteção de Falha de Disjuntor do DJ738</t>
  </si>
  <si>
    <t>0006930/2023</t>
  </si>
  <si>
    <t>PROTEÇÃO - DJ738</t>
  </si>
  <si>
    <t>Substituição dos sistemas de proteção de Falha de Disjuntor do DJ768</t>
  </si>
  <si>
    <t>TR 230/138 kV RIO VERDE FUR TR3 GO</t>
  </si>
  <si>
    <t>0006931/2023</t>
  </si>
  <si>
    <t>PROTEÇÃO - DJ768</t>
  </si>
  <si>
    <t>Substituição dos sistemas de proteção de Falha de Disjuntor do DJ758R</t>
  </si>
  <si>
    <t>RT 230 kV 45 Mvar RIO VERDE FUR RT5 GO</t>
  </si>
  <si>
    <t>0006932/2023</t>
  </si>
  <si>
    <t>PROTEÇÃO - DJ758R</t>
  </si>
  <si>
    <t>Substituição dos sistemas de proteção de Falha de Disjuntor do DJ7338</t>
  </si>
  <si>
    <t>LT 230 kV RIO VERDE FUR/C. DOURADA C-1 GO</t>
  </si>
  <si>
    <t>0006934/2023</t>
  </si>
  <si>
    <t>PROTEÇÃO - DJ7338</t>
  </si>
  <si>
    <t>Substituição dos sistemas de proteção de Falha de Disjuntor do DJ7328</t>
  </si>
  <si>
    <t>0006935/2023</t>
  </si>
  <si>
    <t>PROTEÇÃO - DJ7328</t>
  </si>
  <si>
    <t>Substituição dos sistemas de proteção de Falha de Disjuntor do DJ7348</t>
  </si>
  <si>
    <t>0006936/2023</t>
  </si>
  <si>
    <t>PROTEÇÃO - DJ7348</t>
  </si>
  <si>
    <t>Substituição dos sistemas de proteção de Falha de Disjuntor do DJ708</t>
  </si>
  <si>
    <t>0006938/2023</t>
  </si>
  <si>
    <t>PROTEÇÃO - DJ708</t>
  </si>
  <si>
    <t>0006940/2023</t>
  </si>
  <si>
    <t>0006942/2023</t>
  </si>
  <si>
    <t>Substituição dos sistemas de proteção da LT 230 kV RIO VERDE FUR /BARRA PEIXE C-2 GO/MT</t>
  </si>
  <si>
    <t>0006943/2023</t>
  </si>
  <si>
    <t>PROTEÇÃO - LT 230 kV RIO VERDE FUR /BARRA PEIXE C-2 GO/MT</t>
  </si>
  <si>
    <t>Substituição do registrador de perturbações digital da LT 230 kV RIO VERDE FUR /BARRA PEIXE C-2 GO/MT</t>
  </si>
  <si>
    <t>0006944/2023</t>
  </si>
  <si>
    <t>RDP - LT 230 kV RIO VERDE FUR /BARRA PEIXE C-2 GO/MT</t>
  </si>
  <si>
    <t>Substituição dos sistemas de proteção da LT 230 kV RIO VERDE FUR /RONDONOPOLIS C-2 GO/MT (NOME FURNAS: LIRVBP1)</t>
  </si>
  <si>
    <t>0006945/2023</t>
  </si>
  <si>
    <t>PROTEÇÃO - LT 230 kV RIO VERDE FUR /RONDONOPOLIS C-2 GO/MT (LIRVBP1)</t>
  </si>
  <si>
    <t>Substituição do registrador de perturbações digital da  LT 230 kV RIO VERDE FUR /RONDONOPOLIS C-2 GO/MT (NOME FURNAS: LIRVBP1)</t>
  </si>
  <si>
    <t>0006947/2023</t>
  </si>
  <si>
    <t>RDP - LT 230 kV RIO VERDE FUR /RONDONOPOLIS C-2 GO/MT (LIRVBP1)</t>
  </si>
  <si>
    <t>Substituição dos sistemas de proteção da LT 138 kV RIO VERDE CLG /RIO VERDE FUR C-1 GO</t>
  </si>
  <si>
    <t>LT 138 kV RIO VERDE CLG /RIO VERDE FUR C-1 GO</t>
  </si>
  <si>
    <t>0006957/2023</t>
  </si>
  <si>
    <t>PROTEÇÃO - LT 138 kV RIO VERDE CLG /RIO VERDE FUR C-1 GO</t>
  </si>
  <si>
    <t>Substituição do registrador de perturbações digital da LT 138 kV RIO VERDE CLG /RIO VERDE FUR C-1 GO</t>
  </si>
  <si>
    <t>0006958/2023</t>
  </si>
  <si>
    <t>RDP -  LT 138 kV RIO VERDE CLG /RIO VERDE FUR C-1 GO</t>
  </si>
  <si>
    <t>Substituição dos sistemas de proteção do RTB 138 kV 15 Mvar RIO VERDE FUR RT4 GO</t>
  </si>
  <si>
    <t>RTB 138 kV 15 Mvar RIO VERDE FUR RT4 GO</t>
  </si>
  <si>
    <t>0006960/2023</t>
  </si>
  <si>
    <t>PROTEÇÃO - RTB 138 kV 15 Mvar RIO VERDE FUR RT4 GO</t>
  </si>
  <si>
    <t>Substituição do registrador de perturbações digital do RTB 138 kV 15 Mvar RIO VERDE FUR RT4 GO</t>
  </si>
  <si>
    <t>0006961/2023</t>
  </si>
  <si>
    <t>RDP - RTB 138 kV 15 Mvar RIO VERDE FUR RT4 GO</t>
  </si>
  <si>
    <t>Substituição dos sistemas de proteção da LT 138 kV RIO VERDE FUR /C. DOURADA C-2 GO</t>
  </si>
  <si>
    <t>LT 138 kV RIO VERDE FUR /C. DOURADA C-2 GO</t>
  </si>
  <si>
    <t>0006963/2023</t>
  </si>
  <si>
    <t>PROTEÇÃO - LT 138 kV RIO VERDE FUR /C. DOURADA C-2 GO</t>
  </si>
  <si>
    <t>Substituição dos sistemas de proteção da LT 138 kV RIO VERDE FUR /ACREÚNA C-1 GO</t>
  </si>
  <si>
    <t>LT 138 kV RIO VERDE FUR /ACREÚNA C-1 GO</t>
  </si>
  <si>
    <t>0008228/2023</t>
  </si>
  <si>
    <t>PROTEÇÃO - LT 138 kV RIO VERDE FUR /ACREÚNA C-1 GO</t>
  </si>
  <si>
    <t>Substituição do registrador de perturbações digital da LT 138 kV RIO VERDE FUR /ACREÚNA C-1 GO</t>
  </si>
  <si>
    <t>0008232/2023</t>
  </si>
  <si>
    <t>RDP - LT 138 kV RIO VERDE FUR /ACREÚNA C-1 GO</t>
  </si>
  <si>
    <t>Substituição dos sistemas de proteção da LT 138 kV RIO VERDE FUR  / PERDIGAO C-1 GO</t>
  </si>
  <si>
    <t>LT 138 kV RIO VERDE FUR  / PERDIGAO C-1 GO</t>
  </si>
  <si>
    <t>0007868/2023</t>
  </si>
  <si>
    <t>PROTEÇÃO - LT 138 kV RIO VERDE FUR  / PERDIGAO C-1 GO</t>
  </si>
  <si>
    <t>Substituição do registrador de perturbações digital da  LT 138 kV RIO VERDE FUR  / PERDIGAO C-1 GO</t>
  </si>
  <si>
    <t>0007870/2023</t>
  </si>
  <si>
    <t>RDP - LT 138 kV RIO VERDE FUR  / PERDIGAO C-1 GO</t>
  </si>
  <si>
    <t>Substituição dos sistemas de proteção do RTB 230 kV 45 MVAr RIO VERDE FUR RT5 GO</t>
  </si>
  <si>
    <t>0006974/2023</t>
  </si>
  <si>
    <t>PROTEÇÃO - RTB 230 kV 45 MVAr RIO VERDE FUR RT5 GO</t>
  </si>
  <si>
    <t>0006977/2023</t>
  </si>
  <si>
    <t>Substituição dos sistemas de proteção do TR 230/138 kV RIO VERDE FUR TR1 GO</t>
  </si>
  <si>
    <t>0006984/2023</t>
  </si>
  <si>
    <t>PROTEÇÃO - TR 230/138 kV RIO VERDE FUR TR1 GO</t>
  </si>
  <si>
    <t>Substituição dos sistemas de proteção do TR 230/138 kV RIO VERDE FUR TR2 GO</t>
  </si>
  <si>
    <t>0006985/2023</t>
  </si>
  <si>
    <t>PROTEÇÃO - TR 230/138 kV RIO VERDE FUR TR2 GO</t>
  </si>
  <si>
    <t>Substituição do registrador de perturbações digital da LT 230 kV RIO VERDE FUR /C. DOURADA C-1 GO</t>
  </si>
  <si>
    <t>0006986/2023</t>
  </si>
  <si>
    <t>RDP - LT 230 kV RIO VERDE FUR /C. DOURADA C-1 GO</t>
  </si>
  <si>
    <t>Substituição do registrador de perturbações digital do TR 230/138 kV RIO VERDE FUR TR3 GO</t>
  </si>
  <si>
    <t>RT 13,8 kV 25 Mvar RIO VERDE FUR RT3 GO</t>
  </si>
  <si>
    <t>0006987/2023</t>
  </si>
  <si>
    <t>RDP - TR 230/138 kV RIO VERDE FUR TR3 GO</t>
  </si>
  <si>
    <t>Substituição do registrador de perturbações digital da LT 230 kV RIO VERDE FUR /RONDONOPOLIS C-1 GO/MT</t>
  </si>
  <si>
    <t>0006988/2023</t>
  </si>
  <si>
    <t>RDP -  LT 230 kV RIO VERDE FUR /RONDONOPOLIS C-1 GO/MT</t>
  </si>
  <si>
    <t>0006989/2023</t>
  </si>
  <si>
    <t>0006990/2023</t>
  </si>
  <si>
    <t>Substituição das UACs de supervisão do banco de autotrafos TR 230/138 kV RIO VERDE FUR TR1 GO</t>
  </si>
  <si>
    <t>0007587/2023</t>
  </si>
  <si>
    <t>Códigos SAP 10218726 e 10218727</t>
  </si>
  <si>
    <t>Substituição das UACs de supervisão do banco de autotrafos TR 230/138 kV RIO VERDE FUR TR2 GO</t>
  </si>
  <si>
    <t>0007589/2023</t>
  </si>
  <si>
    <t>Códigos SAP 10218728 e 10218729</t>
  </si>
  <si>
    <t>Substituição da UAC de supervisão das barras e do vão de amarre de 230 kV - MG 230 kV RIO VERDE FUR MG1 GO</t>
  </si>
  <si>
    <t>0007591/2023</t>
  </si>
  <si>
    <t>Código SAP 10218730</t>
  </si>
  <si>
    <t>Substituição da UAC de supervisão das barras, do vão de amarre de 138 kV.</t>
  </si>
  <si>
    <t>0007592/2023</t>
  </si>
  <si>
    <t>Código SAP 10218731</t>
  </si>
  <si>
    <t>Substituição da UAC de supervisão da LT 230 kV RIO VERDE FUR /C. DOURADA C-1 GO</t>
  </si>
  <si>
    <t>0007593/2023</t>
  </si>
  <si>
    <t>Código SAP 10218732</t>
  </si>
  <si>
    <t>Substituição da UAC de supervisão da LT 230 kV RIO VERDE FUR /RONDONOPOLIS C-1 GO/MT</t>
  </si>
  <si>
    <t>0007594/2023</t>
  </si>
  <si>
    <t>Código SAP 10218733</t>
  </si>
  <si>
    <t>Substituição da UAC de supervisão da LT 230 kV RIO VERDE FUR /BARRA PEIXE C-1 GO/MT</t>
  </si>
  <si>
    <t>LT 230 kV RIO VERDE FUR/BARRA PEIXE C-1 GO/MT</t>
  </si>
  <si>
    <t>0008291/2023</t>
  </si>
  <si>
    <t>Código SAP 10218734</t>
  </si>
  <si>
    <t>Substituição da UAC de supervisão da LT 230 kV RIO VERDE FUR /BARRA PEIXE C-2 GO/MT</t>
  </si>
  <si>
    <t>0007605/2023</t>
  </si>
  <si>
    <t>Código SAP 10218735</t>
  </si>
  <si>
    <t>Substituição da UAC de supervisão da LT 138 kV RIO VERDE FUR /RIO CLARO C-1 GO</t>
  </si>
  <si>
    <t>LT 138 kV RIO VERDE FUR /RIO CLARO C-1 GO</t>
  </si>
  <si>
    <t>0009540/2023</t>
  </si>
  <si>
    <t>Código SAP 10218736</t>
  </si>
  <si>
    <t>Substituição da UAC de supervisão da LT 138 kV RIO VERDE FUR / PERDIGAO C1</t>
  </si>
  <si>
    <t>0007612/2023</t>
  </si>
  <si>
    <t>Código SAP 10218737</t>
  </si>
  <si>
    <t>Substituição da UAC de supervisão da LT 138 kV ACREUNA / RIO VERDE</t>
  </si>
  <si>
    <t>LT 138 kV ACREUNA / RIO VERDE FUR C-1 GO</t>
  </si>
  <si>
    <t>0008239/2023</t>
  </si>
  <si>
    <t>Código SAP 10218738</t>
  </si>
  <si>
    <t>Substituição da UAC de supervisão da LT 138 kV RIO VERDE CLG /RIO VERDE FUR C-1 GO</t>
  </si>
  <si>
    <t>0007618/2023</t>
  </si>
  <si>
    <t>Código SAP 10218739</t>
  </si>
  <si>
    <t>Substituição da UAC de supervisão da LT 138 kV RIO VERDE FUR /C. DOURADA C-2 GO</t>
  </si>
  <si>
    <t>0007622/2023</t>
  </si>
  <si>
    <t>Código SAP 10218740</t>
  </si>
  <si>
    <t>Substituição da UAC de supervisão da LT 230 kV ITUMBIARA /RIO VERDE FUR C-1 MG/GO</t>
  </si>
  <si>
    <t>0007623/2023</t>
  </si>
  <si>
    <t>Código SAP 10218741</t>
  </si>
  <si>
    <t>Substituição da UAC de supervisão da LT 230 kV ITUMBIARA /RIO VERDE FUR C-2 MG/GO</t>
  </si>
  <si>
    <t>0007625/2023</t>
  </si>
  <si>
    <t>Código SAP 10218742</t>
  </si>
  <si>
    <t>Substituição da UAC de supervisão do REATOR RTB 230 kV 45 MVAr RIO VERDE FUR RT5 GO</t>
  </si>
  <si>
    <t>0007626/2023</t>
  </si>
  <si>
    <t>Código SAP 10218744</t>
  </si>
  <si>
    <t>Substituição da UAC de supervisão do REATOR RTB 138 kV 15 Mvar RIO VERDE FUR RT4 GO</t>
  </si>
  <si>
    <t>0007628/2023</t>
  </si>
  <si>
    <t>não identificado</t>
  </si>
  <si>
    <t>Substituição da UAC de supervisão do SERVIÇO AUXILIAR 13,8 kV e 380 Vca</t>
  </si>
  <si>
    <t>0007636/2023</t>
  </si>
  <si>
    <t>Substituição da UAC de supervisão do SERVIÇO AUXILIAR 380 Vca e 125 Vcc.</t>
  </si>
  <si>
    <t>0007637/2023</t>
  </si>
  <si>
    <t>Substituição da UAC de supervisão do SERVIÇO AUXILIAR 220 Vca e 125 Vcc.</t>
  </si>
  <si>
    <t>0007639/2023</t>
  </si>
  <si>
    <t>Substituição de 04 (quatro) equipamentos de teleproteção digital (cadeias principal e alternada) da LT 230 Itumbiara - Rio Verde circuito 1, de fabricação ALSTOM, modelo DIP5000.</t>
  </si>
  <si>
    <t>0007890/2023</t>
  </si>
  <si>
    <t>Substituição de switch FSRV-D01P da Rede Operativa da SE Rio Verde.</t>
  </si>
  <si>
    <t>0007895/2023</t>
  </si>
  <si>
    <t>FSRV-D01P</t>
  </si>
  <si>
    <t>Substituição de switch FSRV-D01S da Rede Operativa da SE Rio Verde.</t>
  </si>
  <si>
    <t>0007897/2023</t>
  </si>
  <si>
    <t>FSRV-D01S</t>
  </si>
  <si>
    <t>Substituição de switch FSRV-A01P da Rede Operativa da SE Rio Verde.</t>
  </si>
  <si>
    <t>0007898/2023</t>
  </si>
  <si>
    <t>FSRV-A01P</t>
  </si>
  <si>
    <t>Substituição de switch FSRV-A01S da Rede Operativa da SE Rio Verde.</t>
  </si>
  <si>
    <t>0007899/2023</t>
  </si>
  <si>
    <t>FSRV-A01S</t>
  </si>
  <si>
    <t>Substituição de switch FSRV-A02P da Rede Operativa da SE Rio Verde.</t>
  </si>
  <si>
    <t>0007900/2023</t>
  </si>
  <si>
    <t>FSRV-A02P</t>
  </si>
  <si>
    <t>Substituição de switch FSRV-A02S da Rede Operativa da SE Rio Verde.</t>
  </si>
  <si>
    <t>0007901/2023</t>
  </si>
  <si>
    <t>FSRV-A02S</t>
  </si>
  <si>
    <t>Substituição de trafo potencial/dcp DCP - VÃO LIIMSS FASE B (nº serie: 324309, cod. mat.: 10190294).</t>
  </si>
  <si>
    <t>0001300/2022</t>
  </si>
  <si>
    <t>DCP - VÃO LIIMSS FASE B</t>
  </si>
  <si>
    <t>Substituição de seccionadora SC12720T (nº serie: 01041T, cod. mat.: 10196948).</t>
  </si>
  <si>
    <t>0001306/2022</t>
  </si>
  <si>
    <t>SC12720T</t>
  </si>
  <si>
    <t>SUBSTITUIÇÃO DO TRANSFORMADOR 138/13.8kV - 15MVA - NUMERO 1 DE COUTO MAGALHÃES - CMTF5-01</t>
  </si>
  <si>
    <t>TR 138/13,8 kV C. MAGALHAES TR1 MT</t>
  </si>
  <si>
    <t>0001343/2022</t>
  </si>
  <si>
    <t>CMTF5-01</t>
  </si>
  <si>
    <t>Substituição do Reator 230kV 30MVAr número 2 da SE Coxipó - CXRE6-02.</t>
  </si>
  <si>
    <t>LT 230 kV RONDONOPOLIS /COXIPO C-2 MT</t>
  </si>
  <si>
    <t>0001384/2022</t>
  </si>
  <si>
    <t>CXRE6-02</t>
  </si>
  <si>
    <t>Substituição do Reator 230kV 30MVAr número 1 da SE Coxipó - CXRE6-01</t>
  </si>
  <si>
    <t>0001385/2022</t>
  </si>
  <si>
    <t>ANGELIM II</t>
  </si>
  <si>
    <t>Substituição de 3 (três) Reatores monofásicos, fases A, B e C, potência 50 MVAr cada, posição operacional 05E2, da Subestação AGD.</t>
  </si>
  <si>
    <t>LT 500 kV GARANHUNS II /ANGELIM C-1 PE</t>
  </si>
  <si>
    <t>0001393/2022</t>
  </si>
  <si>
    <t>11344056</t>
  </si>
  <si>
    <t>Substituição de 3 (três) Reatores monofásicos, fases A, B e C, potência 50 MVAr cada, posição operacional 05E3, da Subestação AGD.</t>
  </si>
  <si>
    <t>0001394/2022</t>
  </si>
  <si>
    <t>11344054</t>
  </si>
  <si>
    <t>Substituição de 1 (um) Reator monofásico, potência 50 MVAr, posição operacional 05ER, da Subestação AGD.</t>
  </si>
  <si>
    <t>RTB 500 kV 50 MVAr ANGELIM II RTR1 PE</t>
  </si>
  <si>
    <t>0001418/2022</t>
  </si>
  <si>
    <t>11344055</t>
  </si>
  <si>
    <t>CAMPO GRANDE</t>
  </si>
  <si>
    <t>Substituição de Banco de Capacitores, BC1, 138 kV, 30 Mvar</t>
  </si>
  <si>
    <t>BC 138 kV 30 Mvar CAMPO GRANDE BC1 MS</t>
  </si>
  <si>
    <t>0001426/2022</t>
  </si>
  <si>
    <t>OLINDINA</t>
  </si>
  <si>
    <t>Substituição de 3 (três) Reatores monofásicos, fases A, B e C, potência 50 MVAr cada, posição operacional 05E1, da Subestação OLD.</t>
  </si>
  <si>
    <t>0001433/2022</t>
  </si>
  <si>
    <t>11344068</t>
  </si>
  <si>
    <t>Substituição de banco de autotransformadores monofásicos com comutador sob carga, TF3, 525/230 kV, 224 MVA - FASE A</t>
  </si>
  <si>
    <t>TR 525/230 kV LONDRINA ESU TR3 PR</t>
  </si>
  <si>
    <t>0001436/2022</t>
  </si>
  <si>
    <t>Substituição de 1 (um) Reator monofásico, potência 50 MVAr, posição operacional 05ER, da Subestação OLD.</t>
  </si>
  <si>
    <t>RTL 500 kV 50 Mvar OLINDINA RTR1 BA</t>
  </si>
  <si>
    <t>0001435/2022</t>
  </si>
  <si>
    <t>11344074</t>
  </si>
  <si>
    <t>Substituição de banco de autotransformadores monofásicos com comutador sob carga, TF3, 525/230 kV, 224 MVA - FASE B</t>
  </si>
  <si>
    <t>0001438/2022</t>
  </si>
  <si>
    <t>Substituição de banco de autotransformadores monofásicos com comutador sob carga, TF3, 525/230 kV, 224 MVA - FASE C</t>
  </si>
  <si>
    <t>0001439/2022</t>
  </si>
  <si>
    <t>Substituição de banco de reatores monofásicos, RE1, 525 kV, 50 Mvar - FASE A</t>
  </si>
  <si>
    <t>RT 525 kV 150 Mvar CURITIBA RT1 PR</t>
  </si>
  <si>
    <t>0001445/2022</t>
  </si>
  <si>
    <t>Substituição de banco de autotransformadores monofásicos com comutador sob carga, TF6, 525/230 kV, 224 MVA - FASE C</t>
  </si>
  <si>
    <t>TR 525/230 kV BLUMENAU TR6 SC</t>
  </si>
  <si>
    <t>0001447/2022</t>
  </si>
  <si>
    <t>TF6/C</t>
  </si>
  <si>
    <t>Substituição do SPCS da Entrada de Linha do vão 04S6 (LT 230 kV MESSIAS /MACEIO C-1) na subestação MESSIAS, por um novo sistema composto por: 02 painéis, 02 proteções (principal e alternada), 01 unidade de controle, 02 falhas de disjuntor (principal e alternado), cabos de controle e infraestrutura de comunicação associados.</t>
  </si>
  <si>
    <t>LT 230 kV MESSIAS /MACEIO C-1 AL</t>
  </si>
  <si>
    <t>0001522/2022</t>
  </si>
  <si>
    <t>11361620</t>
  </si>
  <si>
    <t>Substituição do SPCS da Entrada de Linha do vão 04S7 (LT 230 kV MESSIAS /MACEIO C-2) na subestação MESSIAS, por um novo sistema composto por: 02 painéis, 02 proteções (principal e alternada), 01 unidade de controle, 02 falhas de disjuntor (principal e alternado), cabos de controle e infraestrutura de comunicação associados.</t>
  </si>
  <si>
    <t>LT 230 kV MESSIAS /MACEIO C-2 AL</t>
  </si>
  <si>
    <t>0001524/2022</t>
  </si>
  <si>
    <t>11361622</t>
  </si>
  <si>
    <t>Substituição do SPCS associado ao Reator de Linha não-manobrável 04E1 na subestação FORTALEZA, por um novo sistema composto por: 02 painéis, 02 proteções (principal e alternada), 01 unidade de controle, cabos de controle e infraestrutura de comunicação associados.</t>
  </si>
  <si>
    <t>LT 230 kV FORTALEZA /FORTALEZA II C-3 CE</t>
  </si>
  <si>
    <t>0001526/2022</t>
  </si>
  <si>
    <t>11359689</t>
  </si>
  <si>
    <t>Substituição do SPCS associado ao Reator de Linha não-manobrável 04E3 na subestação FORTALEZA, por um novo sistema composto por: 02 painéis, 02 proteções (principal e alternada), 01 unidade de controle, cabos de controle e infraestrutura de comunicação associados.</t>
  </si>
  <si>
    <t>LT 230 kV BANABUIU /FORTALEZA C-3 CE</t>
  </si>
  <si>
    <t>0001527/2022</t>
  </si>
  <si>
    <t>11359692</t>
  </si>
  <si>
    <t>Substituição do SPCS associado ao Reator de Linha não-manobrável 04E4 na subestação FORTALEZA, por um novo sistema composto por: 02 painéis, 02 proteções (principal e alternada), 01 unidade de controle, cabos de controle e infraestrutura de comunicação associados.</t>
  </si>
  <si>
    <t>LT 230 kV FORTALEZA /FORTALEZA II C-1 CE</t>
  </si>
  <si>
    <t>0001528/2022</t>
  </si>
  <si>
    <t>11359695</t>
  </si>
  <si>
    <t>Substituição do SPCS associado ao Reator de Barra 04E5 na subestação FORTALEZA, por um novo sistema composto por: 02 painéis, 02 proteções (principal e alternada), 01 unidade de controle, cabos de controle e infraestrutura de comunicação associados.</t>
  </si>
  <si>
    <t>RTB 230 kV 10 Mvar FORTALEZA RT5 CE</t>
  </si>
  <si>
    <t>0001529/2022</t>
  </si>
  <si>
    <t>11359698</t>
  </si>
  <si>
    <t>Substituição do SPCS associado ao Banco de Capacitores em Derivação 04H1 na subestação FORTALEZA, por um novo sistema composto por: 02 painéis, 02 proteções (principal e alternada), 01 unidade de controle, cabos de controle e infraestrutura de comunicação associados.</t>
  </si>
  <si>
    <t>BC 230 kV 50,5 MVAr FORTALEZA BC1 CE</t>
  </si>
  <si>
    <t>0001530/2022</t>
  </si>
  <si>
    <t>11364877</t>
  </si>
  <si>
    <t>Substituição do SPCS associado ao vão de Entrada de Linha 04Z4 (LT 230 kV FORTALEZA/FORTALEZA II C-1) na subestação FORTALEZA, por um novo sistema composto por: 02 painéis, 02 proteções (principal e alternada), 01 unidade de controle, cabos de controle e infraestrutura de comunicação associados.</t>
  </si>
  <si>
    <t>0001532/2022</t>
  </si>
  <si>
    <t>11366651</t>
  </si>
  <si>
    <t>Substituição do SPCS associado ao vão de Entrada de Linha 04Z5 (LT 230 kV FORTALEZA/FORTALEZA II C-2) na subestação FORTALEZA, por um novo sistema composto por: 02 painéis, 02 proteções (principal e alternada), 01 unidade de controle, cabos de controle e infraestrutura de comunicação associados.</t>
  </si>
  <si>
    <t>LT 230 kV FORTALEZA /FORTALEZA II C-2 CE</t>
  </si>
  <si>
    <t>0001533/2022</t>
  </si>
  <si>
    <t>11366778</t>
  </si>
  <si>
    <t>Substituição do SPCS associado ao vão de Entrada de Linha 04Z6 (LT 230 kV FORTALEZA/FORTALEZA II C-3) na subestação FORTALEZA, por um novo sistema composto por: 02 painéis, 02 proteções (principal e alternada), 01 unidade de controle, cabos de controle e infraestrutura de comunicação associados.</t>
  </si>
  <si>
    <t>0001534/2022</t>
  </si>
  <si>
    <t>11364971</t>
  </si>
  <si>
    <t>Substituição do SPCS da Entrada de Linha 11V4 13,8 kV na subestação FORTALEZA, por um novo sistema composto por: 01 painel, 01 proteção unitária, 01 proteção de retaguarda, 01 unidade de proteção e controle, cabos de controle e infraestrutura de comunicação associados.</t>
  </si>
  <si>
    <t>0001535/2022</t>
  </si>
  <si>
    <t>11360390</t>
  </si>
  <si>
    <t>Substituição do SPCS da Entrada de Linha 11V3 13,8 kV na subestação FORTALEZA, por um novo sistema composto por: 01 painel, 01 proteção unitária, 01 proteção de retaguarda, 01 unidade de proteção e controle, cabos de controle e infraestrutura de comunicação associados.</t>
  </si>
  <si>
    <t>0001536/2022</t>
  </si>
  <si>
    <t>Substituição do SPCS para o IB 14D1 na subestação FORTALEZA, composto por: 01 painel, 01 unidade de controle e cabos de controle e infraestrutura de comunicação associados.</t>
  </si>
  <si>
    <t>0001539/2022</t>
  </si>
  <si>
    <t>11363998</t>
  </si>
  <si>
    <t>Substituição do SPCS associado ao vão da Entrada de Linha 04F3 (LT 230 kV AQUIRAZ II/FORTALEZA C-1) na subestação FORTALEZA, por um novo sistema composto por: 02 painéis, 01 unidade de controle, cabos de controle e infraestrutura de comunicação associados.</t>
  </si>
  <si>
    <t>LT 230 kV AQUIRAZ II /FORTALEZA C-1 CE</t>
  </si>
  <si>
    <t>0001540/2022</t>
  </si>
  <si>
    <t>11350991</t>
  </si>
  <si>
    <t>Substituição do SPCS da Entrada de Linha do vão 04S6 (LT 230 kV MESSIAS /MACEIO C-1) na subestação MACEIO, por um novo sistema composto por: 02 painéis, 02 proteções (principal e alternada), 01 unidade de controle, 02 falhas de disjuntor (principal e alternado), cabos de controle e infraestrutura de comunicação associados.</t>
  </si>
  <si>
    <t>0001541/2022</t>
  </si>
  <si>
    <t>11364292</t>
  </si>
  <si>
    <t>Substituição do SPCS da Entrada de Linha do vão 04S7 (LT 230 kV MESSIAS /MACEIO C-2) na subestação MACEIO, por um novo sistema composto por: 02 painéis, 02 proteções (principal e alternada), 01 unidade de controle, 02 falhas de disjuntor (principal e alternado), cabos de controle e infraestrutura de comunicação associados.</t>
  </si>
  <si>
    <t>0001542/2022</t>
  </si>
  <si>
    <t>11364290</t>
  </si>
  <si>
    <t>Substituição do SPCS do Transformador 04T1 na subestação MACEIO, por um novo sistema composto por: 02 painéis, 02 proteções (principal e alternada), 02 unidades de controle, 02 falhas de disjuntor (principal e alternado), cabos de controle e infraestrutura de comunicação associados.</t>
  </si>
  <si>
    <t>TR 230/69 kV MACEIO TR1 AL</t>
  </si>
  <si>
    <t>0001543/2022</t>
  </si>
  <si>
    <t>11364764</t>
  </si>
  <si>
    <t>Substituição do SPCS do Transformador 04T2 na subestação MACEIO, por um novo sistema composto por: 02 painéis, 02 proteções (principal e alternada), 02 unidades de controle, 02 falhas de disjuntor (principal e alternado), cabos de controle e infraestrutura de comunicação associados.</t>
  </si>
  <si>
    <t>0001544/2022</t>
  </si>
  <si>
    <t>11364765</t>
  </si>
  <si>
    <t>Substituição do SPCS do Transformador 04T3 na subestação MACEIO, por um novo sistema composto por: 02 painéis, 02 proteções (principal, alternada), 02 unidade de controle, 02 falhas de disjuntor (principal e alternado), cabos de controle e infraestrutura de comunicação associados.</t>
  </si>
  <si>
    <t>0001545/2022</t>
  </si>
  <si>
    <t>11364769</t>
  </si>
  <si>
    <t>Substituição do SPCS do Transformador 04T4 na subestação MACEIO, por um novo sistema composto por: 02 painéis, 02 proteções (principal e alternada), 02 unidades de controle, 02 falhas de disjuntor (principal e alternado), cabos de controle e infraestrutura de comunicação associados.</t>
  </si>
  <si>
    <t>0001546/2022</t>
  </si>
  <si>
    <t>11361386</t>
  </si>
  <si>
    <t>Substituição do SPCS do Disjuntor de Interligação de Barramento 14D1 na subestação MACEIO, por um novo sistema composto por: 01 painél, 01 unidade de controle, 02 falhas de disjuntor (principal e alternado) e cabos de controle associados ao módulo de interligação de barras (14D1).</t>
  </si>
  <si>
    <t>0001547/2022</t>
  </si>
  <si>
    <t>11361246</t>
  </si>
  <si>
    <t>Instalação de Sistema Supervisório SAGE na subestação MACEIO, composto por: 01 painel, 04 servidores, 01 conjunto de switches, 02 firewalls, 02 GPS, 01 mesa de comando, 06 monitores e infraestrutura óptica associada.</t>
  </si>
  <si>
    <t>0001549/2022</t>
  </si>
  <si>
    <t>Substituição do SPCS dos Serviços Auxiliares na subestação MACEIO, por um novo sistema composto por: 01 painel, 02 unidades de controle, cabos de controle e infraestrutura de comunicação associados.</t>
  </si>
  <si>
    <t>0001550/2022</t>
  </si>
  <si>
    <t>11446770</t>
  </si>
  <si>
    <t>SANTO ANGELO</t>
  </si>
  <si>
    <t>RT 525 kV 150 Mvar SANTO ANGELO RT1 RS</t>
  </si>
  <si>
    <t>0001552/2022</t>
  </si>
  <si>
    <t>Substituição de banco de reatores monofásicos, RE1, 525 kV, 50 Mvar - FASE B</t>
  </si>
  <si>
    <t>0001553/2022</t>
  </si>
  <si>
    <t>Substituição de banco de reatores monofásicos, RE1, 525 kV, 50 Mvar - FASE C</t>
  </si>
  <si>
    <t>0001554/2022</t>
  </si>
  <si>
    <t>TERESINA</t>
  </si>
  <si>
    <t>Substituição do SPCS da Entrada de Linha do vão 04L3 230 kV (LT 230 kV TERESINA II /TERESINA C-1) na subestação TERESINA, por um novo sistema composto por: 02 painéis, 02 proteções (principal e alternada), 01 unidade de controle, 02 falhas de disjuntor (principal e alternada), cabos de controle e infraestrutura de comunicação associados</t>
  </si>
  <si>
    <t>LT 230 kV TERESINA II /TERESINA C-1 PI</t>
  </si>
  <si>
    <t>0001584/2022</t>
  </si>
  <si>
    <t>11361634</t>
  </si>
  <si>
    <t>Substituição do SPCS da Entrada de Linha do vão 04L4 230 kV (LT 230 kV TERESINA II /TERESINA C-2) na subestação TERESINA, por um novo sistema composto por: 02 painéis, 02 proteções (principal e alternada), 01 unidade de controle, 02 falhas de disjuntor (principal e alternada), cabos de controle e infraestrutura de comunicação associados.</t>
  </si>
  <si>
    <t>LT 230 kV TERESINA II /TERESINA C-2 PI</t>
  </si>
  <si>
    <t>0001585/2022</t>
  </si>
  <si>
    <t>11361636</t>
  </si>
  <si>
    <t>Substituição do SPCS do Transformador 05T2 na subestação TERESINA II, por um novo sistema composto por: 02 painéis, 02 proteções (principal e alternada), 02 unidades de controle, 01 falha de disjuntor (principal) 500 kV, 02 falhas de disjuntor (principal e alternada) 230 kV, 01 unidade de bay de proteção de barras 500 kV (principal), cabos de controle e infraestrutura de comunicação associados.</t>
  </si>
  <si>
    <t>TR 500/230 kV TERESINA II TR2 PI</t>
  </si>
  <si>
    <t>0001586/2022</t>
  </si>
  <si>
    <t>11366927</t>
  </si>
  <si>
    <t>Substituição do SPCS associado ao vão da Entrada de Linha 04L3 (LT 230 kV TERESINA II /TERESINA C-1) na subestação TERESINA II, por um novo sistema composto por: 02 painéis, 02 proteções (principal e alternada), 01 unidade de controle, 02 falhas de disjuntor (principal e alternada), cabos de controle e infraestrutura de comunicação associados.</t>
  </si>
  <si>
    <t>0001587/2022</t>
  </si>
  <si>
    <t>11361644</t>
  </si>
  <si>
    <t>Substituição do SPCS associado ao vão da Entrada de Linha 04L4 (LT 230 kV TERESINA II /TERESINA C-2) na subestação TERESINA II, por um novo sistema composto por: 02 painéis, 02 proteções (principal e alternada), 01 unidade de controle, 02 falhas de disjuntor (principal e alternada), cabos de controle e infraestrutura de comunicação associados.</t>
  </si>
  <si>
    <t>0001588/2022</t>
  </si>
  <si>
    <t>11361642</t>
  </si>
  <si>
    <t>Substituição do SPCS do Disjuntor de Interligação de Barras 14D1 na subestação TERESINA II, por um novo sistema composto por: 01 painel, 01 unidade de controle e cabos de controle associados ao módulo de interligação de barras.</t>
  </si>
  <si>
    <t>MG TERESINA II / CCO-2001-061 - RB</t>
  </si>
  <si>
    <t>0001589/2022</t>
  </si>
  <si>
    <t>11366465</t>
  </si>
  <si>
    <t>Substituição do SPCS principal das Barras de 500kV na subestação TERESINA II, por um novo sistema composto por: 01 painel, 01 unidade central de proteção de barras principal, do tipo adaptativa e distribuída, com capacidade para atender, no mínimo, 10 vãos, cabos de controle e infraestrutura de comunicação associados.</t>
  </si>
  <si>
    <t>0001590/2022</t>
  </si>
  <si>
    <t>11366972</t>
  </si>
  <si>
    <t>Substituição do SPCS associado ao vão da Entrada de Linha 05C8 (LT 500 kV TERESINA II /P.DUTRA C-1) na subestação TERESINA II, por um novo sistema composto por: 02 painéis, 02 proteções (principal e alternada), 01 unidade de controle, 01 falha de disjuntor (principal), 01 unidade de bay de proteção de barra (principal), cabos de controle e infraestrutura de comunicação associados.</t>
  </si>
  <si>
    <t>0001591/2022</t>
  </si>
  <si>
    <t>11361638</t>
  </si>
  <si>
    <t>Substituição do SPCS associado ao vão da Entrada de Linha 05C9 (LT 500 kV TERESINA II /P.DUTRA C-2) na subestação TERESINA II, por um novo sistema composto por: 02 painéis, 02 proteções (principal e alternada), 01 unidade de controle, 01 falha de disjuntor (principal), 01 unidade de bay de proteção de barra (principal), cabos de controle e infraestrutura de comunicação associados.</t>
  </si>
  <si>
    <t>0001593/2022</t>
  </si>
  <si>
    <t>11361640</t>
  </si>
  <si>
    <t>Substituição do SPCS do Reator de Linha não-manobrável 05E1 na subestação TERESINA II, por um novo sistema composto por: 02 painéis, 02 proteções (principal e alternada), 01 unidade de controle cabos de controle e infraestrutura de comunicação associados.</t>
  </si>
  <si>
    <t>0001594/2022</t>
  </si>
  <si>
    <t>11366488</t>
  </si>
  <si>
    <t>Substituição do SPCS do Reator de Linha não-manobrável 05E2 na subestação TERESINA II, por um novo sistema composto por: 02 painéis, 02 proteções (principal e alternada), 01 unidade de controle cabos de controle e infraestrutura de comunicação associados.</t>
  </si>
  <si>
    <t>0001595/2022</t>
  </si>
  <si>
    <t>11366489</t>
  </si>
  <si>
    <t>Substituição do SPCS do Reator de Linha não-manobrável 05E3 na subestação TERESINA II, por um novo sistema composto por: 02 painéis, 02 proteções (principal e alternada), 01 unidade de controle cabos de controle e infraestrutura de comunicação associados.</t>
  </si>
  <si>
    <t>LT 500 kV TERESINA II /TIANGUA II C-1 PI/CE</t>
  </si>
  <si>
    <t>0001597/2022</t>
  </si>
  <si>
    <t>11366490</t>
  </si>
  <si>
    <t>Substituição do SPCS do Reator de Linha manobrável 05E4 na subestação TERESINA II, por um novo sistema composto por: 02 painéis, 02 proteções (principal e alternada), 01 unidade de controle, 01 falha de disjuntor (principal), cabos de controle e infraestrutura de comunicação associados.</t>
  </si>
  <si>
    <t>RTL 500 kV 150 Mvar TERESINA II RT4 PI</t>
  </si>
  <si>
    <t>0001598/2022</t>
  </si>
  <si>
    <t>11366481</t>
  </si>
  <si>
    <t>Substituição do SPCS do Reator de Barra 05E5 na subestação TERESINA II, por um novo sistema composto por: 02 painéis, 02 proteções (principal e alternada), 01 unidade de controle, 01 falha de disjuntor (principal), 01 unidade de bay de proteção de barra (principal), cabos de controle e infraestrutura de comunicação associados.</t>
  </si>
  <si>
    <t>RTB 500 kV 100 Mvar TERESINA II RT5 PI</t>
  </si>
  <si>
    <t>0001600/2022</t>
  </si>
  <si>
    <t>11361401</t>
  </si>
  <si>
    <t>Substituição do SPCS associado ao vão da Entrada de Linha 05V9 (LT 500 kV TERESINA II /TIANGUA II C-1) na subestação TERESINA II, por um novo sistema composto por: 02 painéis, 02 proteções (principal e alternada), 01 unidade de controle, 01 falha de disjuntor (principal), 01 unidade de bay de proteção de barra (principal), cabos de controle e infraestrutura de comunicação associados.</t>
  </si>
  <si>
    <t>LT 500 kV TERESINA II / TIANGUA II C 1 PI/CE</t>
  </si>
  <si>
    <t>0001601/2022</t>
  </si>
  <si>
    <t>11361646</t>
  </si>
  <si>
    <t>Substituição do SPCS do Disjuntor de Interligação de Barras 15D1 na subestação TERESINA II, por um novo sistema composto por: 01 painel, 01 unidade de controle, 01 falha de disjuntor (principal) e cabos de controle associados ao módulo de interligação de barras (15D1).</t>
  </si>
  <si>
    <t>0001603/2022</t>
  </si>
  <si>
    <t>11366487</t>
  </si>
  <si>
    <t>Substituição do SPCS do Disjuntor de Interligação de Barras 15D2 na subestação TERESINA II, por um novo sistema composto por: 01 painel, 01 unidade de controle, 01 falha de disjuntor (principal) e cabos de controle associados ao módulo de interligação de barras (15D2).</t>
  </si>
  <si>
    <t>0001604/2022</t>
  </si>
  <si>
    <t>11366981</t>
  </si>
  <si>
    <t>Substituição do SPCS do Disjuntor de Interligação de Barras 15D3 na subestação TERESINA II, por um novo sistema composto por: 01 painel, 01 unidade de controle, 01 falha de disjuntor (principal) e cabos de controle associados ao módulo de interligação de barras (15D3).</t>
  </si>
  <si>
    <t>0001606/2022</t>
  </si>
  <si>
    <t>11366492</t>
  </si>
  <si>
    <t>Substituição do SPCS do Transformador 05T1 na subestação TERESINA II, por um novo sistema composto por: 02 painéis, 02 proteções (principal e alternada), 02 unidades de controle, 01 falha de disjuntor (principal) 500 kV, 02 falhas de disjuntor (principal e alternada) 230 kV, 01 unidade de bay de proteção de barras 500 kV (principal), cabos de controle e infraestrutura de comunicação associados.</t>
  </si>
  <si>
    <t>TR 500/230 kV TERESINA II TR1 PI</t>
  </si>
  <si>
    <t>0001612/2022</t>
  </si>
  <si>
    <t>11366929</t>
  </si>
  <si>
    <t>Substituição do SPCS dos Serviços Auxiliares na subestação TERESINA II, composto por: 01 painel, 02 unidades de controle, cabos de controle e infraestrutura de comunicação associados</t>
  </si>
  <si>
    <t>0001613/2022</t>
  </si>
  <si>
    <t>12439341</t>
  </si>
  <si>
    <t>Substituição de disjuntor DJ9026 (nº serie: SP10154, cod. mat.: 10190624).</t>
  </si>
  <si>
    <t>0001626/2022</t>
  </si>
  <si>
    <t>DJ9026</t>
  </si>
  <si>
    <t>Substituição de disjuntor DJ9036 (nº serie: SP10153, cod. mat.: 10190627).</t>
  </si>
  <si>
    <t>0001631/2022</t>
  </si>
  <si>
    <t>DJ9036</t>
  </si>
  <si>
    <t>Substituição do SPCS do Transformador 05T1 na subestação FORTALEZA II, por um novo sistema composto por: 02 painéis, 02 proteções (principal e alternada), 02 unidade de controle, 01 falha de disjuntor (principal), 01 unidade de bay de proteção de barra (principal), cabos de controle e infraestrutura de comunicação associados.</t>
  </si>
  <si>
    <t>0001665/2022</t>
  </si>
  <si>
    <t>11366574</t>
  </si>
  <si>
    <t>Substituição do SPCS do Transformador 05T2 na subestação FORTALEZA II, por um novo sistema composto por: 02 painéis, 02 proteções (principal e alternada), 02 unidade de controle, 01 falha de disjuntor (principal), 01 unidade de bay de proteção de barra (principal) cabos de controle e infraestrutura de comunicação associados.</t>
  </si>
  <si>
    <t>TR 500/230 kV FORTALEZA II TR2 CE</t>
  </si>
  <si>
    <t>0001666/2022</t>
  </si>
  <si>
    <t>11366567</t>
  </si>
  <si>
    <t>Substituição do SPCS do Transformador 05T3 na subestação FORTALEZA II, por um novo sistema composto por: 02 painéis, 02 proteções (principal e alternada), 02 unidade de controle, 01 falha de disjuntor (principal), 01 unidade de bay de proteção de barra (principal) cabos de controle e infraestrutura de comunicação associados.</t>
  </si>
  <si>
    <t>TR 500/230 kV FORTALEZA II TR3 CE</t>
  </si>
  <si>
    <t>0001667/2022</t>
  </si>
  <si>
    <t>11361102</t>
  </si>
  <si>
    <t>Substituição do SPCS associado ao vão da Entrada de Linha 04F4 (LT 230 kV DELM. GOUVEIA /FORTALEZA II C-1) na subestação FORTALEZA II, por um novo sistema composto por: 02 painéis, 02 proteções (principal e alternada), 01 unidade de controle, cabos de controle e infraestrutura de comunicação associados.</t>
  </si>
  <si>
    <t>LT 230 kV DELM. GOUVEIA /FORTALEZA II C-1 CE</t>
  </si>
  <si>
    <t>0001669/2022</t>
  </si>
  <si>
    <t>11364964</t>
  </si>
  <si>
    <t>Substituição do SPCS associado ao vão da Entrada de Linha 04F5 (LT 230 kV DELM. GOUVEIA /FORTALEZA II C-2) na subestação FORTALEZA II, por um novo sistema composto por: 02 painéis, 02 proteções (principal e alternada), 01 unidade de controle, cabos de controle e infraestrutura de comunicação associados.</t>
  </si>
  <si>
    <t>LT 230 kV DELM. GOUVEIA /FORTALEZA II C-2 CE</t>
  </si>
  <si>
    <t>0001670/2022</t>
  </si>
  <si>
    <t>11364966</t>
  </si>
  <si>
    <t>Substituição do SPCS associado ao vão da Entrada de Linha 04S1 (LT 230 kV CAUIPE /FORTALEZA II C-3) na subestação FORTALEZA II, por um novo sistema composto por: 02 painéis, 02 proteções (principal e alternada), 01 unidade de controle, cabos de controle e infraestrutura de comunicação associados.</t>
  </si>
  <si>
    <t>LT 230 kV CAUIPE /FORTALEZA II C-1 CE</t>
  </si>
  <si>
    <t>0001672/2022</t>
  </si>
  <si>
    <t>11364295</t>
  </si>
  <si>
    <t>Substituição do SPCS associado ao vão da Entrada de Linha 04Z2 (LT 230 kV FORTALEZA II /PICI II C-1) na subestação FORTALEZA II, por um novo sistema composto por: 02 painéis, 02 proteções (principal e alternada), 01 unidade de controle, cabos de controle e infraestrutura de comunicação associados.</t>
  </si>
  <si>
    <t>LT 230 kV FORTALEZA II /PICI II C-1 CE</t>
  </si>
  <si>
    <t>0001676/2022</t>
  </si>
  <si>
    <t>11364300</t>
  </si>
  <si>
    <t>Substituição do SPCS associado ao vão da Entrada de Linha 04Z3 (LT 230 kV FORTALEZA II /PICI II C-2) na subestação FORTALEZA II, por um novo sistema composto por: 02 painéis, 02 proteções (principal e alternada), 01 unidade de controle, cabos de controle e infraestrutura de comunicação associados.</t>
  </si>
  <si>
    <t>LT 230 kV FORTALEZA II /PICI II C-2 CE</t>
  </si>
  <si>
    <t>0001677/2022</t>
  </si>
  <si>
    <t>11364301</t>
  </si>
  <si>
    <t>Substituição de Chave Seccionadora tripolar 230 kV, CS741, referente ao Interligador de Barras (IB742) da SE Curitiba. Associado à obra são esperadas substituições/adaptações de fundações, suportes, cabos de controle/potência, barramento, conectores e conexão de aterramento. Capacidade de curto-circuito do novo equipamento: 63 kA. Corrente Suportável de Crista do novo equipamento: 157,5 kA.</t>
  </si>
  <si>
    <t>0001855/2022</t>
  </si>
  <si>
    <t>CS741</t>
  </si>
  <si>
    <t>Substituição do SPCS do Disjuntor de Interligação de Barras 14D1 na subestação FORTALEZA II, por um novo sistema composto por: 01 painel, 01 unidade de controle, cabos de controle e infraestrutura de comunicação associados ao módulo de interligação de barras (14D1).</t>
  </si>
  <si>
    <t>MG FORTALEZA II / CCO-2001-061 - RB</t>
  </si>
  <si>
    <t>0001692/2022</t>
  </si>
  <si>
    <t>11366305</t>
  </si>
  <si>
    <t>Substituição do SPCS principal das Barras de 500 kV na subestação FORTALEZA II, por um novo sistema composto por: 01 painel, 01 unidade central de proteção de barras principal, do tipo adaptativa e distribuída, com capacidade para atender, no mínimo, 13 vãos e infraestrutura de comunicação associada.</t>
  </si>
  <si>
    <t>0001697/2022</t>
  </si>
  <si>
    <t>11366593</t>
  </si>
  <si>
    <t>Substituição do SPCS da Interligação de Barras 15D1 na subestação FORTALEZA II, por um novo sistema composto por: 01 painel, 01 unidade de controle, 01 unidade de falha de disjuntor (principal), cabos de controle e infraestrutura de comunicação associados ao módulo de interligação de barras (15D1).</t>
  </si>
  <si>
    <t>0001716/2022</t>
  </si>
  <si>
    <t>11364694</t>
  </si>
  <si>
    <t>QUIXADA</t>
  </si>
  <si>
    <t>Substituição do SPCS associado ao vão da Entrada de Linha 05V5 (LT 500 kV QUIXADA /FORTALEZA II C-1) na subestação QUIXADA, por um novo sistema composto por: 02 painéis, 02 proteções (principal e alternada), 01 unidade de controle, 02 falhas de disjuntor (principal e alternado), cabos de controle e infraestrutura de comunicação associados.</t>
  </si>
  <si>
    <t>LT 500 kV QUIXADA /FORTALEZA II C-1 CE</t>
  </si>
  <si>
    <t>0001745/2022</t>
  </si>
  <si>
    <t>11366838</t>
  </si>
  <si>
    <t>Substituição do SPCS associado ao vão da Entrada de Linha 04S3 (LT 230 kV CAUIPE /FORTALEZA II C-1) na subestação FORTALEZA II, por um novo sistema composto por: 02 painéis, 02 proteções (principal e alternada), 01 unidade de controle, cabos de controle e infraestrutura de comunicação associados.</t>
  </si>
  <si>
    <t>0001749/2022</t>
  </si>
  <si>
    <t>11364302</t>
  </si>
  <si>
    <t>Substituição do SPCS associado ao vão da Entrada de Linha 04Z4 (LT 230 kV FORTALEZA /FORTALEZA II C-1) na subestação FORTALEZA II, por um novo sistema composto por: 02 painéis, 02 proteções (principal e alternada), 01 unidade de controle, cabos de controle e infraestrutura de comunicação associados.</t>
  </si>
  <si>
    <t>0001750/2022</t>
  </si>
  <si>
    <t>11366304</t>
  </si>
  <si>
    <t>Substituição do SPCS associado ao vão da Entrada de Linha 04Z5 (LT 230 kV FORTALEZA /FORTALEZA II C-2) na subestação FORTALEZA II, por um novo sistema composto por: 02 painéis, 02 proteções (principal e alternada), 01 unidade de controle, cabos de controle e infraestrutura de comunicação associados.</t>
  </si>
  <si>
    <t>0001751/2022</t>
  </si>
  <si>
    <t>11366303</t>
  </si>
  <si>
    <t>Substituição do SPCS associado ao vão da Entrada de Linha 04Z6 (LT 230 kV FORTALEZA /FORTALEZA II C-3) na subestação FORTALEZA II, por um novo sistema composto por: 02 painéis, 02 proteções (principal e alternada), 01 unidade de controle, cabos de controle e infraestrutura de comunicação associados.</t>
  </si>
  <si>
    <t>0001753/2022</t>
  </si>
  <si>
    <t>11364969</t>
  </si>
  <si>
    <t>Substituição do SPCS associado ao vão da Entrada de Linha 05C2 (LT 500 kV PECEM II /FORTALEZA II C-1) na subestação FORTALEZA II, por um novo sistema composto por: 02 painéis, 02 proteções (principal e alternada), 01 unidade de controle, 01 falha de disjuntor (principal), 01 unidade de bay de proteção de barra (principal), cabos de controle e infraestrutura de comunicação associados.</t>
  </si>
  <si>
    <t>LT 500 kV PECEM II /FORTALEZA II C-1 CE</t>
  </si>
  <si>
    <t>0001755/2022</t>
  </si>
  <si>
    <t>11364298</t>
  </si>
  <si>
    <t>Substituição do SPCS do Reator de Barra do vão 05E4 na subestação FORTALEZA II, por um novo sistema composto por: 02 painéis, 02 proteções (principal e alternada), 01 unidade de controle, 01 falha de disjuntor (principal), 01 unidade de bay de proteção de barra (principal) cabos de controle e infraestrutura de comunicação associados.</t>
  </si>
  <si>
    <t>RTB 500 kV 150 Mvar FORTALEZA II RT4 CE</t>
  </si>
  <si>
    <t>0001757/2022</t>
  </si>
  <si>
    <t>11366757</t>
  </si>
  <si>
    <t>Substituição do SPCS associado ao vão da Entrada de Linha 05V5 (LT 500 kV QUIXADA /FORTALEZA II C-1) na subestação FORTALEZA II, por um novo sistema composto por: 02 painéis, 02 proteções (principal e alternada), 01 unidade de controle, 01 falha de disjuntor (principal), 01 unidade de bay de proteção de barra (principal), cabos de controle e infraestrutura de comunicação associados.</t>
  </si>
  <si>
    <t>0001758/2022</t>
  </si>
  <si>
    <t>11364296</t>
  </si>
  <si>
    <t>Substituição do SPCS da Interligação de Barras 15D2 na subestação FORTALEZA II, por um novo sistema composto por: 01 painel, 01 unidade de controle, 01 unidade de falha de disjuntor (principal), cabos de controle e infraestrutura de comunicação associados ao módulo de interligação de barras (15D2).</t>
  </si>
  <si>
    <t>0001760/2022</t>
  </si>
  <si>
    <t>11364695</t>
  </si>
  <si>
    <t>Substituição do SPCS da Interligação de Barras 15D4 na subestação FORTALEZA II, por um novo sistema composto por: 01 painel, 01 unidade de controle, 01 unidade de falha de disjuntor (principal), cabos de controle e infraestrutura de comunicação associados ao módulo de interligação de barras (15D4).</t>
  </si>
  <si>
    <t>0001763/2022</t>
  </si>
  <si>
    <t>11366756</t>
  </si>
  <si>
    <t>Substituição do SPCS dos Serviços Auxiliares na subestação FORTALEZA II, por um novo sistema composto por: 01 painel, 02 unidades de controle cabos de controle e infraestrutura de comunicação associados.</t>
  </si>
  <si>
    <t>0001766/2022</t>
  </si>
  <si>
    <t>11449592</t>
  </si>
  <si>
    <t>PECEM II</t>
  </si>
  <si>
    <t>Substituição do SPCS associado ao vão da Entrada de Linha 05C2 (LT 500 kV PECEM II /FORTALEZA II C-1) na subestação PECEM II, por um novo sistema composto por: 02 painéis, 02 proteções (principal e alternada), 01 unidade de controle, 02 falhas de disjuntor (principal e alternado), cabos de controle e infraestrutura de comunicação associados.</t>
  </si>
  <si>
    <t>0001771/2022</t>
  </si>
  <si>
    <t>11366827</t>
  </si>
  <si>
    <t>CAUIPE</t>
  </si>
  <si>
    <t>Substituição do SPCS associado ao vão da Entrada de Linha 04S3 (LT 230 kV CAUIPE /FORTALEZA II C-1) na subestação CAUIPE, por um novo sistema composto por: 02 painéis, 02 proteções (principal e alternada), 02 unidades de falha de disjuntor (principal e alternada), 01 unidade de controle, cabos de controle e infraestrutura de comunicação associados</t>
  </si>
  <si>
    <t>0001775/2022</t>
  </si>
  <si>
    <t>11361632</t>
  </si>
  <si>
    <t>Substituição do SPCS associado ao vão da Entrada de Linha 04S1 (LT 230 kV CAUIPE /FORTALEZA II C-3) na subestação CAUIPE, por um novo sistema composto por: 02 painéis, 02 proteções (principal e alternada), 02 unidades de falha de disjuntor (principal e alternada), 01 unidade de controle, cabos de controle e infraestrutura de comunicação associados.</t>
  </si>
  <si>
    <t>0001776/2022</t>
  </si>
  <si>
    <t>11361628</t>
  </si>
  <si>
    <t>Substituição do SPCS associado ao vão da Entrada de Linha 04F4 (LT 230 kV DELM. GOUVEIA /FORTALEZA II C-1) na subestação DELM. GOUVEIA, por um novo sistema composto por: 02 painéis, 02 proteções (principal e alternada), 02 unidades de falha de disjuntor (principal e alternada), 01 unidade de controle, cabos de controle e infraestrutura de comunicação associados</t>
  </si>
  <si>
    <t>0001779/2022</t>
  </si>
  <si>
    <t>11364980</t>
  </si>
  <si>
    <t>Substituição do SPCS associado ao vão da Entrada de Linha 04F5 (LT 230 kV DELM. GOUVEIA /FORTALEZA II C-2) na subestação DELM. GOUVEIA, por um novo sistema composto por: 02 painéis, 02 proteções (principal e alternada), 02 unidades de falha de disjuntor (principal e alternada), 01 unidade de controle, cabos de controle e infraestrutura de comunicação associados</t>
  </si>
  <si>
    <t>0001781/2022</t>
  </si>
  <si>
    <t>11364986</t>
  </si>
  <si>
    <t>PICI II</t>
  </si>
  <si>
    <t>Substituição do SPCS associado ao vão da Entrada de Linha 04Z2 (LT 230 kV FORTALEZA II /PICI II C-1) na subestação PICI II, por um novo sistema composto por: 02 painéis, 02 proteções (principal e alternada), 02 unidades de falha de disjuntor (principal e alternada), 01 unidade de controle, cabos de controle e infraestrutura de comunicação associados</t>
  </si>
  <si>
    <t>0001783/2022</t>
  </si>
  <si>
    <t>11366880</t>
  </si>
  <si>
    <t>Substituição do SPCS associado ao vão da Entrada de Linha 04Z3 (LT 230 kV FORTALEZA II /PICI II C-2) na subestação PICI II, por um novo sistema composto por: 02 painéis, 02 proteções (principal e alternada), 02 unidades de falha de disjuntor (principal e alternada), 01 unidade de controle, cabos de controle e infraestrutura de comunicação associados</t>
  </si>
  <si>
    <t>0001785/2022</t>
  </si>
  <si>
    <t>11364304</t>
  </si>
  <si>
    <t>Substituição de 1 (um) Transformador de Aterramento trifásico 41,2 ohms/fase, potência 10 MVA, por outro de potência 15 MVA e impedância não superior a 10 ohms/fase, posição operacional 02A1, na Subestação PRD.</t>
  </si>
  <si>
    <t>TT 69/13,8 kV PIRAPAMA II TA1 PE (02A1)</t>
  </si>
  <si>
    <t>0001816/2022</t>
  </si>
  <si>
    <t>11344308</t>
  </si>
  <si>
    <t>X0/X1</t>
  </si>
  <si>
    <t>Substituição de 1 (um) Transformador de Aterramento trifásico 65,2 ohms/fase, potência 6,8 MVA, por outro de potência 7,5 MVA e impedância não superior a 20 ohms/fase, posição operacional 02A1, na Subestação CTU.</t>
  </si>
  <si>
    <t>TT 69/13,8 kV CATU TA1 BA (02A1)</t>
  </si>
  <si>
    <t>0001817/2022</t>
  </si>
  <si>
    <t>11344326</t>
  </si>
  <si>
    <t>RUSSAS II</t>
  </si>
  <si>
    <t>Substituição de 1 (um) Transformador de Aterramento trifásico 290 ohms/fase, potência 1,39 MVA, por outro de potência 7,5 MVA e impedância não superior a 20 ohms/fase, posição operacional 02A1, na Subestação RSD.</t>
  </si>
  <si>
    <t>TT 69/13,8 kV RUSSAS II TA1 CE (02A1)</t>
  </si>
  <si>
    <t>0001818/2022</t>
  </si>
  <si>
    <t>11344320</t>
  </si>
  <si>
    <t>Substituição de Chave Seccionadora tripolar 525 kV, CS1009, referente ao módulo de conexão do Reator 1 da LT Ivaiporã - Cascavel Oeste C-1. Associado à obra são esperadas substituições/adaptações de fundações, suportes, cabos de controle/potência, barramento, conectores e conexão de aterramento. Capacidade de curto-circuito do novo equipamento: 63 kA. Corrente Suportável de Crista do novo equipamento: 157,5 kA.</t>
  </si>
  <si>
    <t>LT 525 kV IVAIPORA / CASCAVEL OESTE C-1 PR</t>
  </si>
  <si>
    <t>0001864/2022</t>
  </si>
  <si>
    <t>CS1009</t>
  </si>
  <si>
    <t>JOINVILLE</t>
  </si>
  <si>
    <t>Substituição de Chave Seccionadora tripolar 69 kV, CS353, referente a LT Joinville - Joinville 1 C-2. Associado à obra são esperadas substituições/adaptações de fundações, suportes, cabos de controle/potência, barramento, conectores e conexão de aterramento. Capacidade de curto-circuito do novo equipamento: 31,5 kA. Corrente Suportável de Crista do novo equipamento: 78,8 kA.</t>
  </si>
  <si>
    <t>LT 69 kV JOINVILLE / JOINVILLE 1 C-2 SC</t>
  </si>
  <si>
    <t>0001873/2022</t>
  </si>
  <si>
    <t>CS353</t>
  </si>
  <si>
    <t>Substituição de Chave Seccionadora tripolar 138 kV, CS531, referente a LT Joinville - Joinville 4 C-2.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</si>
  <si>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LT 138 kV JOINVILLE / JOINVILLE 4 C-2 SC</t>
  </si>
  <si>
    <t>0001875/2022</t>
  </si>
  <si>
    <t>CS531</t>
  </si>
  <si>
    <t>Substituição de Chave Seccionadora tripolar 138 kV, CS533, referente a LT Joinville - Joinville 4 C-2.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</si>
  <si>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0001879/2022</t>
  </si>
  <si>
    <t>CS533</t>
  </si>
  <si>
    <t>Substituição de Chave Seccionadora tripolar 138 kV, CS535, referente a LT Joinville - Joinville 4 C-2.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</si>
  <si>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0001882/2022</t>
  </si>
  <si>
    <t>CS535</t>
  </si>
  <si>
    <t>Substituição de Chave Seccionadora tripolar 138 kV, CS541, referente a LT Joinville - Joinville 4 C-1.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</si>
  <si>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LT 138 kV JOINVILLE / JOINVILLE 4 C-1 SC</t>
  </si>
  <si>
    <t>0001885/2022</t>
  </si>
  <si>
    <t>CS541</t>
  </si>
  <si>
    <t>Substituição de Chave Seccionadora tripolar 138 kV, CS543, referente a LT Joinville - Joinville 4 C-1.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</si>
  <si>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0001889/2022</t>
  </si>
  <si>
    <t>CS543</t>
  </si>
  <si>
    <t>Substituição de Chave Seccionadora tripolar 138 kV, CS545, referente a LT Joinville - Joinville 4 C-1.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</si>
  <si>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0001893/2022</t>
  </si>
  <si>
    <t>CS545</t>
  </si>
  <si>
    <t>Substituição de Chave Seccionadora tripolar 138 kV, CS601, referente a LT Joinville - WEG Fundição C-1.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</si>
  <si>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LT 138 kV JOINVILLE / WEG FUNDICAO C-1 SC</t>
  </si>
  <si>
    <t>0001894/2022</t>
  </si>
  <si>
    <t>CS601</t>
  </si>
  <si>
    <t>Substituição de Chave Seccionadora tripolar 138 kV, CS603, referente a LT Joinville - WEG Fundição C-1.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</si>
  <si>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0001897/2022</t>
  </si>
  <si>
    <t>CS603</t>
  </si>
  <si>
    <t>Remanejamento do reator de linha da LT 500 kV Coletora Porto Velho - UHE Jirau para a barra da SE Coletora Porto Velho 500 kV e instalação de 3 TCs para completar o arranjo DJM da SE Coletora Porto Velho 500 kV.</t>
  </si>
  <si>
    <t>Novo reator de barra 550 kV</t>
  </si>
  <si>
    <t>0002035/2022</t>
  </si>
  <si>
    <t>Substituição de Chave Seccionadora tripolar 138 kV, CS605, referente a LT Joinville - WEG Fundição C-1.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</si>
  <si>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0001910/2022</t>
  </si>
  <si>
    <t>CS605</t>
  </si>
  <si>
    <t>Instalação de 03 Transformadores de Potencial Capacitivo 500 kV, bases, estruturas de suporte e cabos de controle associados, na posição operacional 85T2 da SE SOBRAL III.</t>
  </si>
  <si>
    <t>TR 500/230 kV SOBRAL III TR2 CE</t>
  </si>
  <si>
    <t>0001949/2022</t>
  </si>
  <si>
    <t>S.JOAO PIAUI</t>
  </si>
  <si>
    <t>Instalação de 03 Transformadores de Potencial Indutivo 69 kV, bases, estruturas de suporte e cabos de controle associados, na posição operacional 82T2 da SE SÃO JOÃO DO PIAUI.</t>
  </si>
  <si>
    <t>TR 230/69 kV S.JOAO PIAUI TR8 PI</t>
  </si>
  <si>
    <t>0001951/2022</t>
  </si>
  <si>
    <t>PARAISO</t>
  </si>
  <si>
    <t>Instalação de 03 Transformadores de Potencial Capacitivo 138 kV, bases, estruturas de suporte e cabos de controle associados, na posição operacional 83T2 da SE Paraíso.</t>
  </si>
  <si>
    <t>TR 230/138 kV PARAISO TR2 RN</t>
  </si>
  <si>
    <t>0001954/2022</t>
  </si>
  <si>
    <t>Instalação de 03 Transformadores de Potencial Indutivo 69 kV, bases, estruturas de suporte e cabos de controle associados, na posição operacional 82T4 da SE PICI II.</t>
  </si>
  <si>
    <t>TR 230/69 kV PICI II TR4 CE</t>
  </si>
  <si>
    <t>0001956/2022</t>
  </si>
  <si>
    <t>SR.BONFIM II</t>
  </si>
  <si>
    <t>Instalação de 03 Transformadores de Potencial Capacitivo 138 kV, bases, estruturas de suporte e cabos de controle associados, na posição operacional 83T5 da SE SENHOR DO BONFIM II.</t>
  </si>
  <si>
    <t>TR 230/138 kV SR.BONFIM II TR6 BA</t>
  </si>
  <si>
    <t>0001961/2022</t>
  </si>
  <si>
    <t>STO.A.JESUS</t>
  </si>
  <si>
    <t>Instalação de 03 Transformadores de Potencial Capacitivo 69 kV, bases, estruturas de suporte e cabos de controle associados, na posição operacional 82T3 da SE SANTO ANTONIO DE JESUS.</t>
  </si>
  <si>
    <t>TR 230/69 kV STO.A.JESUS TR3 BA</t>
  </si>
  <si>
    <t>0001964/2022</t>
  </si>
  <si>
    <t>U.SOBRADINHO</t>
  </si>
  <si>
    <t>Instalação da infraestrutura de comunicação para atendimento ao SPCS na SE Sobradinho posição operacional (Painel-5BR3), composto por: 01 painel, 04 switch digital cabos e fibras de controle e demais acessórios necessários em quantitativo suficiente para atendimento às redes IEC 61850 associadas ao SPCS de 01 módulo.</t>
  </si>
  <si>
    <t>MG U.SOBRADINHO / CCO-2001-061 - RB</t>
  </si>
  <si>
    <t>0002024/2022</t>
  </si>
  <si>
    <t>Instalação de infraestrutura de comunicação para atendimento ao SPCS do Transformador 05T2, na subestação Sobral III, composto por: 01 painel, 02 switch digital, cabos e fibras de controle associado.</t>
  </si>
  <si>
    <t>0002042/2022</t>
  </si>
  <si>
    <t>Instalação de infraestrutura de comunicação para atendimento ao SPCS na SE São João do Piauí, posição operacional (05BR2) composto por: 01 painel, 02 switch's digitais, cabos e fibras de controle e demais acessórios necessários em quantitativo suficiente para atendimento às redes IEC 61850 associadas ao SPCS de 01 módulo.</t>
  </si>
  <si>
    <t>MG S.JOAO PIAUI / CCO-2001-061 - RB</t>
  </si>
  <si>
    <t>0002047/2022</t>
  </si>
  <si>
    <t>PENEDO</t>
  </si>
  <si>
    <t>Instalação da infraestrutura de comunicação para atendimento ao SPCS dos Bancos de Capacitores 04H1 e 04H2 na SE Penedo, posição operacional (4BR3-BASTIDOR DE REDE), composto por: 01 painel, 02 switches digitais, 01 oscilo, 02 DIO's, cabos e fibras de controle e demais acessórios necessários, em quantitativo suficiente para atendimento às redes IEC 61850 associadas ao SPCS de 01 módulo.</t>
  </si>
  <si>
    <t>MG PENEDO / CCO-2001-061 - RB</t>
  </si>
  <si>
    <t>0002048/2022</t>
  </si>
  <si>
    <t>Instalação da infraestrutura de comunicação para atendimento ao SPCS dos Bancos de Capacitores 04H1 e 04H2 na SE Penedo posição operacional (Rack Lan), composto por: 01 painel, 01 switch digital, 01 patch panel, 01 patch voice, cabos e fibras de controle e demais acessórios necessários, em quantitativo suficiente para atendimento às redes IEC 61850 associadas ao SPCS de 01 módulo.</t>
  </si>
  <si>
    <t>0002049/2022</t>
  </si>
  <si>
    <t>Instalação da infraestrutura de comunicação para atendimento ao SPCS subestação Milagres na posição operacional (5BR3-BASTIDOR DE REDE), composto por: 01 painel, 06 switches digitais, 01 oscilo, cabos e fibras de controle e demais acessórios necessários em quantitativo suficiente para atendimento às redes IEC 61850 associadas ao SPCS de 01 módulo.</t>
  </si>
  <si>
    <t>MG MILAGRES / CCO-2001-061 - RB</t>
  </si>
  <si>
    <t>0002051/2022</t>
  </si>
  <si>
    <t>Instalação da infraestrutura de comunicação para atendimento ao SPCS subestação Milagres na posição operacional (5BR1), composto por: 01 painel, 02 switch's digitais, 01 oscilo, cabos e fibras de controle e demais acessórios necessários em quantitativo suficiente para atendimento às redes IEC 61850 associadas ao SPCS de 01 módulo.</t>
  </si>
  <si>
    <t>0002056/2022</t>
  </si>
  <si>
    <t>Instalação da infraestrutura de comunicação para atendimento ao SPCS subestação Milagres na posição operacional (5BR2-BASTIDOR DE REDE), na subestação Milagres, composto por: 01 painel, 02 switch's digitais, 01 oscilo, cabos e fibras de controle e demais acessórios necessários em quantitativo suficiente para atendimento às redes IEC 61850 associadas ao SPCS de 01 módulo.</t>
  </si>
  <si>
    <t>0002057/2022</t>
  </si>
  <si>
    <t>LT 138 kV SANTA CRUZ /ANGRA C-1 RJ</t>
  </si>
  <si>
    <t>Linha de Transmissão</t>
  </si>
  <si>
    <t>Relocação e substituição da torre 62</t>
  </si>
  <si>
    <t>0002130/2022</t>
  </si>
  <si>
    <t>LT 138 kV ANGRA FUR /SANTA CRUZ C-1 RJ</t>
  </si>
  <si>
    <t>LT 345 kV FURNAS  /POCOS CALDAS C-1 MG</t>
  </si>
  <si>
    <t>Substituição de 50 esferas de sinalização aérea desbotadas</t>
  </si>
  <si>
    <t>0002158/2022</t>
  </si>
  <si>
    <t>LT 345 kV FURNAS  /POCOS CALDAS C-2 MG</t>
  </si>
  <si>
    <t>0002159/2022</t>
  </si>
  <si>
    <t>LT 345 kV FURNAS/POCOS CALDAS C-2 MG</t>
  </si>
  <si>
    <t>LT 345 kV FURNAS /ITUTINGA C-1 MG</t>
  </si>
  <si>
    <t>Substituição de 31 esferas de sinalização aérea desbotadas</t>
  </si>
  <si>
    <t>0002160/2022</t>
  </si>
  <si>
    <t>LT 345 kV FURNAS  /ITUTINGA C-1 MG</t>
  </si>
  <si>
    <t>Substituição de 48 esferas de sinalização aérea desbotadas</t>
  </si>
  <si>
    <t>0002161/2022</t>
  </si>
  <si>
    <t>LT 345 kV FURNAS  /ITUTINGA C-2 MG</t>
  </si>
  <si>
    <t>LT 345 kV L.C.BARRETO /POCOS CALDAS C-1 SP/MG</t>
  </si>
  <si>
    <t>Instalação de 100 dispositivos anti-pássaros em fases laterais de torres selecionadas ao longo da linha</t>
  </si>
  <si>
    <t>0002162/2022</t>
  </si>
  <si>
    <t>LT 345 kV L.C.BARRETO  /POCOS CALDAS C-1 SP/MG</t>
  </si>
  <si>
    <t>LT 345 kV FURNAS /M. MORAES C-1 MG</t>
  </si>
  <si>
    <t>Instalação de 100 dispositivos anti-pássaros em fases centrais de torres selecionadas ao longo da linha</t>
  </si>
  <si>
    <t>0002165/2022</t>
  </si>
  <si>
    <t>LT 345 kV FURNAS  /M. MORAES C-1 MG</t>
  </si>
  <si>
    <t>LT 345 kV FURNAS /POCOS CALDAS C-1 MG</t>
  </si>
  <si>
    <t>0002168/2022</t>
  </si>
  <si>
    <t>LT 345 kV FURNAS /POCOS CALDAS C-2 MG</t>
  </si>
  <si>
    <t>0002169/2022</t>
  </si>
  <si>
    <t>Substituição de Disjuntor tripolar 525 kV, DJ1072, referente a LT Areia - Bateias C-1. Associado à obra, são esperadas substituições ou adaptações de fundações e suportes existentes, cabos de controle e potência, barramento, conectores e conexão do aterramento do equipamento.</t>
  </si>
  <si>
    <t>0002553/2022</t>
  </si>
  <si>
    <t>DJ1072</t>
  </si>
  <si>
    <t>Substituição de Chave Seccionadora tripolar 525 kV, CS1071, referente a LT Areia - Bateias C-1. Associado à obra são esperadas substituições/adaptações de fundações, suportes, cabos de controle/potência, barramento, conectores e conexão de aterramento.</t>
  </si>
  <si>
    <t>0002558/2022</t>
  </si>
  <si>
    <t>CS1071</t>
  </si>
  <si>
    <t>Substituição de Chave Seccionadora tripolar 525 kV, CS1073, referente a LT Areia - Bateias C-1. Associado à obra são esperadas substituições/adaptações de fundações, suportes, cabos de controle/potência, barramento, conectores e conexão de aterramento.</t>
  </si>
  <si>
    <t>0002559/2022</t>
  </si>
  <si>
    <t>CS1073</t>
  </si>
  <si>
    <t>Substituição de Chave Seccionadora tripolar 525 kV, CS1077, com lâmina de terra, referente a LT Areia - Bateias C-1. Associado à obra são esperadas substituições/adaptações de fundações, suportes, cabos de controle/potência, barramento, conectores e conexão de aterramento.</t>
  </si>
  <si>
    <t>0002561/2022</t>
  </si>
  <si>
    <t>CS1077 / CS1077T</t>
  </si>
  <si>
    <t>Substituição de Transformadores de Corrente 525 kV, referente a LT Areia - Bateias C-1, DJ1072, Fases A, B, C. Associado à obra são esperadas substituições/adaptações de fundações, suportes, caixa de junção, cabos, barramento, conectores e conexão de aterramento.</t>
  </si>
  <si>
    <t>0002562/2022</t>
  </si>
  <si>
    <t>TC DJ1072</t>
  </si>
  <si>
    <t>Substituição de Disjuntor tripolar 525 kV, DJ1102, referente a LT Areia - Campos Novos C-1. Associado à obra, são esperadas substituições ou adaptações de fundações e suportes existentes, cabos de controle e potência, barramento, conectores e conexão do aterramento do equipamento.</t>
  </si>
  <si>
    <t>LT 525 kV AREIA /C.NOVOS C-1 PR/SC</t>
  </si>
  <si>
    <t>0002563/2022</t>
  </si>
  <si>
    <t>DJ1102</t>
  </si>
  <si>
    <t>Substituição de Chave Seccionadora tripolar 525 kV, CS1101, referente a LT Areia - C.Novos C-1. Associado à obra são esperadas substituições/adaptações de fundações, suportes, cabos de controle/potência, barramento, conectores e conexão de aterramento.</t>
  </si>
  <si>
    <t>0002564/2022</t>
  </si>
  <si>
    <t>CS1101</t>
  </si>
  <si>
    <t>Substituição de Chave Seccionadora tripolar 525 kV, CS1103, referente a LT Areia - C.Novos C-1. Associado à obra são esperadas substituições/adaptações de fundações, suportes, cabos de controle/potência, barramento, conectores e conexão de aterramento.</t>
  </si>
  <si>
    <t>0002567/2022</t>
  </si>
  <si>
    <t>CS1103</t>
  </si>
  <si>
    <t>Substituição de Chave Seccionadora tripolar 525 kV, CS1107, com lâmina de terra, referente a LT Areia - C.Novos C-1. Associado à obra são esperadas substituições/adaptações de fundações, suportes, cabos de controle/potência, barramento, conectores e conexão de aterramento.</t>
  </si>
  <si>
    <t>0002572/2022</t>
  </si>
  <si>
    <t>CS1107 / CS1107T</t>
  </si>
  <si>
    <t>Substituição de Disjuntor tripolar 525 kV, DJ1092, referente a LT Areia - Curitiba C-1. Associado à obra, são esperadas substituições ou adaptações de fundações e suportes existentes, cabos de controle e potência, barramento, conectores e conexão do aterramento do equipamento.</t>
  </si>
  <si>
    <t>LT 525 kV AREIA /CURITIBA C-1 PR</t>
  </si>
  <si>
    <t>0002586/2022</t>
  </si>
  <si>
    <t>DJ1092</t>
  </si>
  <si>
    <t>Substituição de Chave Seccionadora tripolar 525 kV, CS1091, referente a LT Areia - Curitiba C-1. Associado à obra são esperadas substituições/adaptações de fundações, suportes, cabos de controle/potência, barramento, conectores e conexão de aterramento.</t>
  </si>
  <si>
    <t>0002587/2022</t>
  </si>
  <si>
    <t>CS1091</t>
  </si>
  <si>
    <t>Substituição de Chave Seccionadora tripolar 525 kV, CS1093, referente a LT Areia - Curitiba C-1. Associado à obra são esperadas substituições/adaptações de fundações, suportes, cabos de controle/potência, barramento, conectores e conexão de aterramento.</t>
  </si>
  <si>
    <t>0002590/2022</t>
  </si>
  <si>
    <t>CS1093</t>
  </si>
  <si>
    <t>Substituição de Chave Seccionadora tripolar 525 kV, CS1097, com lâmina de terra, referente a LT Areia - Curitiba C-1. Associado à obra são esperadas substituições/adaptações de fundações, suportes, cabos de controle/potência, barramento, conectores e conexão de aterramento.</t>
  </si>
  <si>
    <t>0002591/2022</t>
  </si>
  <si>
    <t>CS1097 / CS1097T</t>
  </si>
  <si>
    <t>Substituição de Transformadores de Corrente 525 kV, referente a LT Areia - Curitiba C-1, DJ1092, Fases A, B, C. Associado à obra são esperadas substituições/adaptações de fundações, suportes, caixa de junção, cabos, barramento, conectores e conexão de aterramento.</t>
  </si>
  <si>
    <t>0002592/2022</t>
  </si>
  <si>
    <t>TC DJ1092</t>
  </si>
  <si>
    <t>Substituição de Disjuntor tripolar 525 kV, DJ1082, referente a LT Areia - G.B.Munhoz C-1. Associado à obra, são esperadas substituições ou adaptações de fundações e suportes existentes, cabos de controle e potência, barramento, conectores e conexão do aterramento do equipamento.</t>
  </si>
  <si>
    <t>LT 525 kV AREIA / G.B.MUNHOZ C-1 PR</t>
  </si>
  <si>
    <t>0002595/2022</t>
  </si>
  <si>
    <t>DJ1082</t>
  </si>
  <si>
    <t>Substituição de Chave Seccionadora tripolar 525 kV, CS1081, referente a LT Areia - G.B.Munhoz C-1. Associado à obra são esperadas substituições/adaptações de fundações, suportes, cabos de controle/potência, barramento, conectores e conexão de aterramento.</t>
  </si>
  <si>
    <t>0002614/2022</t>
  </si>
  <si>
    <t>CS1081</t>
  </si>
  <si>
    <t>Substituição de Chave Seccionadora tripolar 525 kV, CS1083, referente a LT Areia - G.B.Munhoz C-1. Associado à obra são esperadas substituições/adaptações de fundações, suportes, cabos de controle/potência, barramento, conectores e conexão de aterramento.</t>
  </si>
  <si>
    <t>0002616/2022</t>
  </si>
  <si>
    <t>CS1083</t>
  </si>
  <si>
    <t>Substituição de Chave Seccionadora tripolar 525 kV, CS1087, com lâmina de terra, referente a LT Areia - G.B.Munhoz C-1. Associado à obra são esperadas substituições/adaptações de fundações, suportes, cabos de controle/potência, barramento, conectores e conexão de aterramento.</t>
  </si>
  <si>
    <t>0002620/2022</t>
  </si>
  <si>
    <t>CS1087 / CS1087T</t>
  </si>
  <si>
    <t>Substituição de Transformadores de Corrente 525 kV, referente a LT Areia - G.B.Munhoz C-1, DJ1082, Fases A, B, C. Associado à obra são esperadas substituições/adaptações de fundações, suportes, caixa de junção, cabos, barramento, conectores e conexão de aterramento.</t>
  </si>
  <si>
    <t>0002621/2022</t>
  </si>
  <si>
    <t>TC DJ1082</t>
  </si>
  <si>
    <t>Substituição de Disjuntor tripolar 525 kV, DJ1062, referente a LT Areia - G.B.Munhoz C-2. Associado à obra, são esperadas substituições ou adaptações de fundações e suportes existentes, cabos de controle e potência, barramento, conectores e conexão do aterramento do equipamento.</t>
  </si>
  <si>
    <t>LT 525 kV AREIA / G.B.MUNHOZ C-2 PR</t>
  </si>
  <si>
    <t>0002623/2022</t>
  </si>
  <si>
    <t>DJ1062</t>
  </si>
  <si>
    <t>Substituição de Chave Seccionadora tripolar 525 kV, CS1061, referente a LT Areia - G.B.Munhoz C-2. Associado à obra são esperadas substituições/adaptações de fundações, suportes, cabos de controle/potência, barramento, conectores e conexão de aterramento.</t>
  </si>
  <si>
    <t>0002625/2022</t>
  </si>
  <si>
    <t>CS1061</t>
  </si>
  <si>
    <t>Substituição de Disjuntor tripolar 525 kV, DJ1052, referente ao TF3 525/230 kV da SE Santo Ângelo. Associado à obra, são esperadas substituições ou adaptações de fundações e suportes existentes, cabos de controle e potência, barramento, conectores e conexão do aterramento do equipamento.</t>
  </si>
  <si>
    <t>TR 525/230 kV SANTO ANGELO TR3 RS</t>
  </si>
  <si>
    <t>0002634/2022</t>
  </si>
  <si>
    <t>DJ1052</t>
  </si>
  <si>
    <t>Substituição dos Painéis de Distribuição 125 VCC (QAD1, QAD2) e cabos associados, referentes aos Serviços Auxiliares da SE Gravataí.</t>
  </si>
  <si>
    <t>MG GRAVATAI / CCO-2001-057 - RB</t>
  </si>
  <si>
    <t>0002635/2022</t>
  </si>
  <si>
    <t>Substituição dos Painéis de Distribuição 220 / 127 VCA (QAD3, QAD4) e cabos associados, referentes aos Serviços Auxiliares da SE Gravataí.</t>
  </si>
  <si>
    <t>0002637/2022</t>
  </si>
  <si>
    <t>Substituição dos Painéis de Distribuição 480 VCA (QAD5, QAD6, QAD7, QAD8, QAD9, QAD10, QAD11) e cabos associados, referentes aos Serviços Auxiliares da SE Gravataí.</t>
  </si>
  <si>
    <t>0002642/2022</t>
  </si>
  <si>
    <t>Substituição de Reatores Limitadores de Corrente (RLC) 13,8 kV, referentes ao TF3 525/230 kV da SE Londrina (Eletrosul) , Fases A, B e C.</t>
  </si>
  <si>
    <t>0002646/2022</t>
  </si>
  <si>
    <t>RLC1/A, RLC1/B, RLC1/C</t>
  </si>
  <si>
    <t>ITAJAI</t>
  </si>
  <si>
    <t>Substituição de Retificador (Carregador de Baterias) 125 Vcc - SACC125-RET1, da SE Itajaí. Capacidade do novo equipamento: &gt;= 150 A.</t>
  </si>
  <si>
    <t>MG ITAJAI / CCO-2001-057 - RB</t>
  </si>
  <si>
    <t>0002658/2022</t>
  </si>
  <si>
    <t>RET1 - 125 VCC</t>
  </si>
  <si>
    <t>Substituição de Retificador (Carregador de Baterias) 125 Vcc - SACC125-RET2, da SE Itajaí. Capacidade do novo equipamento: &gt;= 150 A.</t>
  </si>
  <si>
    <t>0002659/2022</t>
  </si>
  <si>
    <t>RET2 - 125 VCC</t>
  </si>
  <si>
    <t>C.MOURAO</t>
  </si>
  <si>
    <t>Substituição de Retificador (Carregador de Baterias) 125 Vcc - SACC125-RET1, da SE Campo Mourão. Capacidade do novo equipamento: &gt;= 75 A.</t>
  </si>
  <si>
    <t>MG C.MOURAO / CCO-2001-057 - RB</t>
  </si>
  <si>
    <t>0002661/2022</t>
  </si>
  <si>
    <t>Substituição de Retificador (Carregador de Baterias) 125 Vcc - SACC125-RET2, da SE Campo Mourão. Capacidade do novo equipamento: &gt;= 75 A.</t>
  </si>
  <si>
    <t>0002662/2022</t>
  </si>
  <si>
    <t>Substituição de Retificador (Carregador de Baterias) 48 Vcc - SACC48-RET1, da SE Campo Mourão. Capacidade do novo equipamento: &gt;= 60 A.</t>
  </si>
  <si>
    <t>0002663/2022</t>
  </si>
  <si>
    <t>RET1 - 48 VCC</t>
  </si>
  <si>
    <t>Substituição de Retificador (Carregador de Baterias) 48 Vcc - SACC48-RET2, da SE Campo Mourão. Capacidade do novo equipamento: &gt;= 60 A.</t>
  </si>
  <si>
    <t>0002665/2022</t>
  </si>
  <si>
    <t>RET2 - 48 VCC</t>
  </si>
  <si>
    <t>Substituição de Chave Seccionadora tripolar 525 kV, CS1063, referente a LT Areia - G.B.Munhoz C-2. Associado à obra são esperadas substituições/adaptações de fundações, suportes, cabos de controle/potência, barramento, conectores e conexão de aterramento.</t>
  </si>
  <si>
    <t>0002680/2022</t>
  </si>
  <si>
    <t>CS1063</t>
  </si>
  <si>
    <t>Substituição de Chave Seccionadora tripolar 525 kV, CS1067, com lâmina de terra, referente a LT Areia - G.B.Munhoz C-2. Associado à obra são esperadas substituições/adaptações de fundações, suportes, cabos de controle/potência, barramento, conectores e conexão de aterramento.</t>
  </si>
  <si>
    <t>0002682/2022</t>
  </si>
  <si>
    <t>CS1067 / CS1067T</t>
  </si>
  <si>
    <t>Substituição de Transformadores de Corrente 525 kV, referente a LT Areia - G.B.Munhoz C-2, DJ1062, Fases A, B, C. Associado à obra são esperadas substituições/adaptações de fundações, suportes, caixa de junção, cabos, barramento, conectores e conexão de aterramento.</t>
  </si>
  <si>
    <t>0002684/2022</t>
  </si>
  <si>
    <t>TC DJ1062</t>
  </si>
  <si>
    <t>Substituição de Disjuntor tripolar 525 kV, DJ1032, referente a LT Areia - Ivaiporã C-1. Associado à obra, são esperadas substituições ou adaptações de fundações e suportes existentes, cabos de controle e potência, barramento, conectores e conexão do aterramento do equipamento.</t>
  </si>
  <si>
    <t>LT 525 kV AREIA /IVAIPORA C-1 PR</t>
  </si>
  <si>
    <t>0002701/2022</t>
  </si>
  <si>
    <t>DJ1032</t>
  </si>
  <si>
    <t>Substituição de Chave Seccionadora tripolar 525 kV, CS1031, referente a LT Areia - Ivaiporã C-1. Associado à obra são esperadas substituições/adaptações de fundações, suportes, cabos de controle/potência, barramento, conectores e conexão de aterramento.</t>
  </si>
  <si>
    <t>0002702/2022</t>
  </si>
  <si>
    <t>CS1031</t>
  </si>
  <si>
    <t>Substituição de Chave Seccionadora tripolar 525 kV, CS1033, referente a LT Areia - Ivaiporã C-1. Associado à obra são esperadas substituições/adaptações de fundações, suportes, cabos de controle/potência, barramento, conectores e conexão de aterramento.</t>
  </si>
  <si>
    <t>0002703/2022</t>
  </si>
  <si>
    <t>CS1033</t>
  </si>
  <si>
    <t>Substituição de Chave Seccionadora tripolar 525 kV, CS1037, com lâmina de terra, referente a LT Areia - Ivaiporã C-1. Associado à obra são esperadas substituições/adaptações de fundações, suportes, cabos de controle/potência, barramento, conectores e conexão de aterramento.</t>
  </si>
  <si>
    <t>0002704/2022</t>
  </si>
  <si>
    <t>CS1037 / CS1037T</t>
  </si>
  <si>
    <t>Substituição de Transformadores de Corrente 525 kV, referente a LT Areia - Ivaiporã C-1, DJ1032, Fases A, B, C. Associado à obra são esperadas substituições/adaptações de fundações, suportes, caixa de junção, cabos, barramento, conectores e conexão de aterramento.</t>
  </si>
  <si>
    <t>0002706/2022</t>
  </si>
  <si>
    <t>TC DJ1032</t>
  </si>
  <si>
    <t>Substituição de Disjuntor tripolar 525 kV, DJ1002, referente a LT Areia - Segredo C-1. Associado à obra, são esperadas substituições ou adaptações de fundações e suportes existentes, cabos de controle e potência, barramento, conectores e conexão do aterramento do equipamento.</t>
  </si>
  <si>
    <t>LT 525 kV AREIA /SEGREDO C-1 PR</t>
  </si>
  <si>
    <t>0002707/2022</t>
  </si>
  <si>
    <t>DJ1002</t>
  </si>
  <si>
    <t>Substituição de Chave Seccionadora tripolar 525 kV, CS1003, referente a LT Areia - Segredo C-1. Associado à obra são esperadas substituições/adaptações de fundações, suportes, cabos de controle/potência, barramento, conectores e conexão de aterramento.</t>
  </si>
  <si>
    <t>0002708/2022</t>
  </si>
  <si>
    <t>CS1003</t>
  </si>
  <si>
    <t>Substituição de Disjuntor tripolar 525 kV, DJ1010, referente ao Interligador de Barras entre a LT Segredo C-1 e o TF 2. Associado à obra, são esperadas substituições/adaptações de fundações e suportes, cabos de controle e potência, barramento, conectores e conexão de aterramento.</t>
  </si>
  <si>
    <t>MG AREIA / CCO-2001-057 - RB</t>
  </si>
  <si>
    <t>0002710/2022</t>
  </si>
  <si>
    <t>DJ1010</t>
  </si>
  <si>
    <t>Substituição de Disjuntor tripolar 525 kV, DJ1030, referente ao Interligador de Barras da LT Ivaiporã C-1. Associado à obra, são esperadas substituições/adaptações de fundações e suportes, cabos de controle e potência, barramento, conectores e conexão de aterramento.</t>
  </si>
  <si>
    <t>0002712/2022</t>
  </si>
  <si>
    <t>DJ1030</t>
  </si>
  <si>
    <t>Substituição de Disjuntor tripolar 525 kV, DJ1070, referente ao Interligador de Barras entre as LT Bateias C-1 e G.B.Munhoz C-2. Associado à obra, são esperadas substituições/adaptações de fundações e suportes, cabos de controle e potência, barramento, conectores e conexão de aterramento.</t>
  </si>
  <si>
    <t>0002715/2022</t>
  </si>
  <si>
    <t>DJ1070</t>
  </si>
  <si>
    <t>Substituição de Disjuntor tripolar 525 kV, DJ1090, referente ao Interligador de Barras entre as LT Curitiba C-1 e G.B.Munhoz C-1. Associado à obra, são esperadas substituições/adaptações de fundações e suportes, cabos de controle e potência, barramento, conectores e conexão de aterramento.</t>
  </si>
  <si>
    <t>0002716/2022</t>
  </si>
  <si>
    <t>DJ1090</t>
  </si>
  <si>
    <t>Substituição de Disjuntor tripolar 525 kV, DJ1110, referente ao Interligador de Barras da LT C.Novos C-1. Associado à obra, são esperadas substituições/adaptações de fundações e suportes, cabos de controle e potência, barramento, conectores e conexão de aterramento.</t>
  </si>
  <si>
    <t>0002717/2022</t>
  </si>
  <si>
    <t>DJ1110</t>
  </si>
  <si>
    <t>Substituição de Chave Seccionadora tripolar 525kV, CS1005, referente ao Interligador de Barras entre a LT Segredo C-1 e o TF 2. Associado à obra são esperadas substituições/adaptações de fundações, suportes, cabos de controle/potência, barramento, conectores e conexão de aterramento.</t>
  </si>
  <si>
    <t>0002718/2022</t>
  </si>
  <si>
    <t>CS1005</t>
  </si>
  <si>
    <t>Substituição de Chave Seccionadora tripolar 525kV, CS1015, referente ao Interligador de Barras entre a LT Segredo C-1 e o TF 2. Associado à obra são esperadas substituições/adaptações de fundações, suportes, cabos de controle/potência, barramento, conectores e conexão de aterramento.</t>
  </si>
  <si>
    <t>0002721/2022</t>
  </si>
  <si>
    <t>CS1015</t>
  </si>
  <si>
    <t>Substituição de Chave Seccionadora tripolar 525kV, CS1025, referente ao Interligador de Barras da LT Ivaiporã C-1. Associado à obra são esperadas substituições/adaptações de fundações, suportes, cabos de controle/potência, barramento, conectores e conexão de aterramento.</t>
  </si>
  <si>
    <t>0002722/2022</t>
  </si>
  <si>
    <t>CS1025</t>
  </si>
  <si>
    <t>Substituição de Chave Seccionadora tripolar 525kV, CS1035, referente ao Interligador de Barras da LT Ivaiporã C-1. Associado à obra são esperadas substituições/adaptações de fundações, suportes, cabos de controle/potência, barramento, conectores e conexão de aterramento.</t>
  </si>
  <si>
    <t>0002725/2022</t>
  </si>
  <si>
    <t>CS1035</t>
  </si>
  <si>
    <t>ASSIS</t>
  </si>
  <si>
    <t>Substituição de Disjuntor tripolar 230 kV, DJ4552/17, referente a LT Assis - Londrina (Copel) C-2. Associado à obra, são esperadas substituições ou adaptações de fundações e suportes existentes, cabos de controle e potência, barramento, conectores e conexão do aterramento do equipamento.</t>
  </si>
  <si>
    <t>LT 230 kV ASSIS / LONDRINA COT C 2 SP/PR</t>
  </si>
  <si>
    <t>0002726/2022</t>
  </si>
  <si>
    <t>DJ4552/17</t>
  </si>
  <si>
    <t>Substituição de Chave Seccionadora tripolar 525kV, CS1065, referente ao Interligador de Barras entre as LT Bateias C-1 e G.B.Munhoz C-2. Associado à obra são esperadas substituições/adaptações de fundações, suportes, cabos de controle/potência, barramento, conectores e conexão de aterramento.</t>
  </si>
  <si>
    <t>0002729/2022</t>
  </si>
  <si>
    <t>CS1065</t>
  </si>
  <si>
    <t>Substituição de Chave Seccionadora tripolar 525kV, CS1075, referente ao Interligador de Barras entre as LT Bateias C-1 e G.B.Munhoz C-2. Associado à obra são esperadas substituições/adaptações de fundações, suportes, cabos de controle/potência, barramento, conectores e conexão de aterramento.</t>
  </si>
  <si>
    <t>0002731/2022</t>
  </si>
  <si>
    <t>CS1075</t>
  </si>
  <si>
    <t>Substituição de Chave Seccionadora tripolar 525kV, CS1085, referente ao Interligador de Barras entre as LT Curitiba C-1 e G.B.Munhoz C-1. Associado à obra são esperadas substituições/adaptações de fundações, suportes, cabos de controle/potência, barramento, conectores e conexão de aterramento.</t>
  </si>
  <si>
    <t>0002736/2022</t>
  </si>
  <si>
    <t>CS1085</t>
  </si>
  <si>
    <t>Substituição de Chave Seccionadora tripolar 525kV, CS1095, referente ao Interligador de Barras entre as LT Curitiba C-1 e G.B.Munhoz C-1. Associado à obra são esperadas substituições/adaptações de fundações, suportes, cabos de controle/potência, barramento, conectores e conexão de aterramento.</t>
  </si>
  <si>
    <t>0002740/2022</t>
  </si>
  <si>
    <t>CS1095</t>
  </si>
  <si>
    <t>Substituição de Chave Seccionadora tripolar 230 kV, CS4529/94, referente a LT Assis - Londrina (Copel) C-2. Associado à obra são esperadas substituições/adaptações de fundações, suportes, cabos de controle/potência, barramento, conectores e conexão de aterramento.</t>
  </si>
  <si>
    <t>0002742/2022</t>
  </si>
  <si>
    <t>CS4529/94</t>
  </si>
  <si>
    <t>Substituição de Chave Seccionadora tripolar 230 kV, CS4529/96 (com lâmina de terra - CS4529/25), referente a LT Assis - Londrina (Copel) C-2. Associado à obra são esperadas substituições/adaptações de fundações, suportes, cabos de controle/potência, barramento, conectores e conexão de aterramento.</t>
  </si>
  <si>
    <t>0002743/2022</t>
  </si>
  <si>
    <t>CS4529/96 e CS4529/25</t>
  </si>
  <si>
    <t>Substituição de Transformadores de Corrente 230 kV referentes a LT Assis - Londrina (Copel) C-2, Fases A, B, C. Associado à obra, são esperadas substituições/adaptações de fundações e suportes, caixa de junção, cabos de controle/potência, barramento, conectores e conexão de aterramento. Funções do TC: proteção e medição.</t>
  </si>
  <si>
    <t>0002745/2022</t>
  </si>
  <si>
    <t>TC DJ4552/17</t>
  </si>
  <si>
    <t>Substituição de Transformadores de Potencial Capacitivo 230 kV, referente a LT Assis - Londrina (Copel) C-2, Fases A, B, C. Associado à obra são esperadas substituições/adaptações de fundações, suportes, caixa de junção, cabos de controle/potência, barramento, conectores e conexão de aterramento.</t>
  </si>
  <si>
    <t>0002748/2022</t>
  </si>
  <si>
    <t>TPCA, TPCB, TPCC</t>
  </si>
  <si>
    <t>Substituição de Chave Seccionadora tripolar 525kV, CS1105, referente ao Interligador de Barras da LT C.Novos C-1. Associado à obra são esperadas substituições/adaptações de fundações, suportes, cabos de controle/potência, barramento, conectores e conexão de aterramento.</t>
  </si>
  <si>
    <t>0002750/2022</t>
  </si>
  <si>
    <t>CS1105</t>
  </si>
  <si>
    <t>Substituição de Chave Seccionadora tripolar 525kV, CS1115, referente ao Interligador de Barras da LT C.Novos C-1. Associado à obra são esperadas substituições/adaptações de fundações, suportes, cabos de controle/potência, barramento, conectores e conexão de aterramento.</t>
  </si>
  <si>
    <t>0002752/2022</t>
  </si>
  <si>
    <t>CS1115</t>
  </si>
  <si>
    <t>Substituição de Transformadores de Corrente 525 kV, referente ao Interligador de Barras, DJ1010, SE Areia, Fases A, B, C. Associado à obra são esperadas substituições/adaptações de fundações e suportes, caixa de junção, cabos de controle/potência, barramento, conectores e conexão de aterramento.</t>
  </si>
  <si>
    <t>0002754/2022</t>
  </si>
  <si>
    <t>TC DJ1010</t>
  </si>
  <si>
    <t>Substituição de Transformadores de Corrente 525 kV, referente ao Interligador de Barras, DJ1030, SE Areia, Fases A, B, C. Associado à obra são esperadas substituições/adaptações de fundações e suportes, caixa de junção, cabos de controle/potência, barramento, conectores e conexão de aterramento.</t>
  </si>
  <si>
    <t>0002757/2022</t>
  </si>
  <si>
    <t>TC DJ1030</t>
  </si>
  <si>
    <t>Substituição de Transformadores de Corrente 525 kV, referente ao Interligador de Barras, DJ1070, SE Areia, Fases A, B, C. Associado à obra são esperadas substituições/adaptações de fundações e suportes, caixa de junção, cabos de controle/potência, barramento, conectores e conexão de aterramento.</t>
  </si>
  <si>
    <t>0002758/2022</t>
  </si>
  <si>
    <t>TC DJ1070</t>
  </si>
  <si>
    <t>Substituição de Transformadores de Corrente 525 kV, referente ao Interligador de Barras, DJ1090, SE Areia, Fases A, B, C. Associado à obra são esperadas substituições/adaptações de fundações e suportes, caixa de junção, cabos de controle/potência, barramento, conectores e conexão de aterramento.</t>
  </si>
  <si>
    <t>0002760/2022</t>
  </si>
  <si>
    <t>TC DJ1090</t>
  </si>
  <si>
    <t>Substituição de Disjuntor tripolar 525 kV, DJ1012, referente ao TF 2 525/230 kV da SE Areia. Associado à obra, são esperadas substituições ou adaptações de fundações e suportes existentes, cabos de controle e potência, barramento, conectores e conexão do aterramento.</t>
  </si>
  <si>
    <t>TR 525/230 kV AREIA TR2 PR</t>
  </si>
  <si>
    <t>0002762/2022</t>
  </si>
  <si>
    <t>DJ1012</t>
  </si>
  <si>
    <t>Substituição de Chave Seccionadora tripolar 525 kV, CS1011, referente ao TF 2 525/230 kV da SE Areia. Associado à obra são esperadas substituições/adaptações de fundações, suportes, cabos de controle/potência, barramento, conectores e conexão de aterramento.</t>
  </si>
  <si>
    <t>0002764/2022</t>
  </si>
  <si>
    <t>CS1011</t>
  </si>
  <si>
    <t>Substituição de Chave Seccionadora tripolar 525 kV, CS1013, referente ao TF 2 525/230 kV da SE Areia. Associado à obra são esperadas substituições/adaptações de fundações, suportes, cabos de controle/potência, barramento, conectores e conexão de aterramento.</t>
  </si>
  <si>
    <t>0002766/2022</t>
  </si>
  <si>
    <t>CS1013</t>
  </si>
  <si>
    <t>Substituição de Chave Seccionadora tripolar 525 kV, CS1017, referente ao TF 2 525/230 kV da SE Areia. Associado à obra são esperadas substituições/adaptações de fundações, suportes, cabos de controle/potência, barramento, conectores e conexão de aterramento.</t>
  </si>
  <si>
    <t>0002768/2022</t>
  </si>
  <si>
    <t>CS1017</t>
  </si>
  <si>
    <t>Substituição de Transformadores de Corrente 525 kV, referente ao TF 2 525/230 kV da SE Areia, DJ1012, Fases A, B, C. Associado à obra são esperadas substituições/adaptações de fundações, suportes, caixa de junção, cabos, barramento, conectores e conexão de aterramento.</t>
  </si>
  <si>
    <t>0002772/2022</t>
  </si>
  <si>
    <t>TC DJ1012</t>
  </si>
  <si>
    <t>Substituição de Chave Seccionadora tripolar 230 kV, CS711, referente a LT Areia - Guarapuava Oeste C-1. Associado à obra são esperadas substituições/adaptações de fundações, suportes, cabos de controle/potência, barramento, conectores e conexão de aterramento.</t>
  </si>
  <si>
    <t>LT 230 kV AREIA / GUARAPUAVA OEST C 1 PR</t>
  </si>
  <si>
    <t>0002773/2022</t>
  </si>
  <si>
    <t>Substituição de Chave Seccionadora tripolar 230 kV, CS715, referente a LT Areia - Guarapuava Oeste C-1. Associado à obra são esperadas substituições/adaptações de fundações, suportes, cabos de controle/potência, barramento, conectores e conexão de aterramento.</t>
  </si>
  <si>
    <t>0002778/2022</t>
  </si>
  <si>
    <t>CS715</t>
  </si>
  <si>
    <t>DESTERRO</t>
  </si>
  <si>
    <t>Instalação de dois Retificadores 48 Vcc (Carregadores de Baterias), RET1 e RET2, em substituição ao retificador existente, na SE Desterro. Capacidade de cada novo equipamento: &gt;= 150 A.</t>
  </si>
  <si>
    <t>MG DESTERRO / CCO-2001-057 - RB</t>
  </si>
  <si>
    <t>0002828/2022</t>
  </si>
  <si>
    <t>GRAVATAI3</t>
  </si>
  <si>
    <t>Instalação de dois Retificadores 48 Vcc (Carregadores de Baterias), RET1 e RET2, em substituição ao retificador existente, na SE Gravataí 3. Capacidade de cada novo equipamento: &gt;= 150 A.</t>
  </si>
  <si>
    <t>MG GRAVATAI3 / CCO-2001-057 - RB</t>
  </si>
  <si>
    <t>0002841/2022</t>
  </si>
  <si>
    <t>Substituição de Chave Seccionadora tripolar 230 kV, CS717, com lâmina de terra, referente a LT Areia - Guarapuava Oeste C-1. Associado à obra são esperadas substituições/adaptações de fundações, suportes, cabos de controle/potência, barramento, conectores e conexão de aterramento.</t>
  </si>
  <si>
    <t>0002851/2022</t>
  </si>
  <si>
    <t>CS717</t>
  </si>
  <si>
    <t>Substituição de Transformadores de Corrente 230 kV, referente a LT Areia - Guarapuava Oeste C-1 , DJ712, Fases A, B, C. Associado à obra são esperadas substituições/adaptações de fundações, suportes, caixa de junção, cabos, barramento, conectores e conexão de aterramento.</t>
  </si>
  <si>
    <t>0002855/2022</t>
  </si>
  <si>
    <t>TC DJ712</t>
  </si>
  <si>
    <t>JOINV.NORTE</t>
  </si>
  <si>
    <t>Instalação de dois Retificadores 48 Vcc (Carregadores de Baterias), RET1 e RET2, em substituição ao retificador existente, na SE Joinville Norte. Capacidade de cada novo equipamento:  &gt;= 200 A.</t>
  </si>
  <si>
    <t>MG JOINV.NORTE / CCO-2001-057 - RB</t>
  </si>
  <si>
    <t>0002859/2022</t>
  </si>
  <si>
    <t>PRE.MEDICI</t>
  </si>
  <si>
    <t>Substituição de Retificador 48 Vcc (Carregador de Baterias), RET1, na SE P.Médici (associado ao módulo da LT 230 kV P.Médici - S.Cruz C-1). Capacidade do novo equipamento:  &gt;= 100 A.</t>
  </si>
  <si>
    <t>LT 230 kV PRE.MEDICI /SANTA CRUZ1 C-1 RS</t>
  </si>
  <si>
    <t>0002861/2022</t>
  </si>
  <si>
    <t>Substituição de Transformadores de Potencial Capacitivo 230 kV, referente a LT Areia - Guarapuava Oeste C-1, Fases A, B, C. Associado à obra são esperadas substituições/adaptações de fundações, suportes, caixa de junção, cabos de controle/potência, barramento, conectores e conexão de aterramento.</t>
  </si>
  <si>
    <t>0002862/2022</t>
  </si>
  <si>
    <t>TPCA / TPCB / TPCC</t>
  </si>
  <si>
    <t>CANOINHAS ESU</t>
  </si>
  <si>
    <t>Substituição de dois conjuntos de para-raios 13,8 kV referentes ao terciário (Serviços Auxiliares) do TF 2 230/138 kV da SE Canoinhas, Fases A, B e C. Associado a obra são esperadas substituições/adaptações de fundações, suportes, cabos de controle e potência, barramento, conectores e conexão do aterramento.</t>
  </si>
  <si>
    <t>MG CANOINHAS ESU / CCO-2001-057 - RB</t>
  </si>
  <si>
    <t>0002865/2022</t>
  </si>
  <si>
    <t>PR 13.8</t>
  </si>
  <si>
    <t>Substituição de Chave Seccionadora tripolar 230 kV, CS741, referente a LT Areia - Salto Osório C-1. Associado à obra são esperadas substituições/adaptações de fundações, suportes, cabos de controle/potência, barramento, conectores e conexão de aterramento.</t>
  </si>
  <si>
    <t>LT 230 kV AREIA /S. OSORIO C-1 PR</t>
  </si>
  <si>
    <t>0002866/2022</t>
  </si>
  <si>
    <t>Substituição de para-raios 138 kV referente a LT Campo Grande - U. Mimoso C-1, Fases A, B e C. Associado a obra são esperadas substituições/adaptações de fundações, suportes, cabos de controle e potência, barramento, conectores e conexão do aterramento.</t>
  </si>
  <si>
    <t>LT 138 kV CAMPO GRANDE / U. MIMOSO C-1 MS</t>
  </si>
  <si>
    <t>0002874/2022</t>
  </si>
  <si>
    <t>PR LT MIM C-1</t>
  </si>
  <si>
    <t>Substituição de Chave Seccionadora tripolar 230 kV, CS745, referente a LT Areia - Salto Osório C-1. Associado à obra são esperadas substituições/adaptações de fundações, suportes, cabos de controle/potência, barramento, conectores e conexão de aterramento.</t>
  </si>
  <si>
    <t>0002875/2022</t>
  </si>
  <si>
    <t>CS745</t>
  </si>
  <si>
    <t>Substituição de para-raios 138 kV referente a LT Joinville - Joinville IV C-2, Fases A, B e C. Associado a obra são esperadas substituições/adaptações de fundações, suportes, cabos de controle e potência, barramento, conectores e conexão do aterramento.</t>
  </si>
  <si>
    <t>LT 230 kV JOINVILLE / JOINVILLE IV  C-2 SC</t>
  </si>
  <si>
    <t>0002876/2022</t>
  </si>
  <si>
    <t>PR LT JVQ C-2</t>
  </si>
  <si>
    <t>Substituição de Chave Seccionadora tripolar 230 kV, CS747, com lâmina de terra, referente a LT Areia - Salto Osório C-1. Associado à obra são esperadas substituições/adaptações de fundações, suportes, cabos de controle/potência, barramento, conectores e conexão de aterramento.</t>
  </si>
  <si>
    <t>0002878/2022</t>
  </si>
  <si>
    <t>CS747</t>
  </si>
  <si>
    <t>Substituição de Transformadores de Corrente 230 kV, referente a LT Areia - Salto Osório C-1 , DJ742, Fases A, B, C. Associado à obra são esperadas substituições/adaptações de fundações, suportes, caixa de junção, cabos, barramento, conectores e conexão de aterramento.</t>
  </si>
  <si>
    <t>0002881/2022</t>
  </si>
  <si>
    <t>TC DJ742</t>
  </si>
  <si>
    <t>Substituição de Transformadores de Potencial Capacitivo 230 kV, referente a LT Areia - Salto Osório C-1, Fases A, B, C. Associado à obra são esperadas substituições/adaptações de fundações, suportes, caixa de junção, cabos de controle/potência, barramento, conectores e conexão de aterramento.</t>
  </si>
  <si>
    <t>0002883/2022</t>
  </si>
  <si>
    <t>Substituição de para-raios 230 kV referente a LT Canoinhas - São Mateus do Sul C-1, Fases A, B e C. Associado a obra são esperadas substituições/adaptações de fundações, suportes, cabos de controle e potência, barramento, conectores e conexão do aterramento.</t>
  </si>
  <si>
    <t>LT 230 kV CANOINHAS ESU/S.MATEUS SUL C-1 SC/PR</t>
  </si>
  <si>
    <t>0002885/2022</t>
  </si>
  <si>
    <t>PR LT SMS C-1</t>
  </si>
  <si>
    <t>FARROUPILHA</t>
  </si>
  <si>
    <t>Substituição de para-raios 230 kV referente a LT Farroupilha - Scharlau 2 C-1, Fases A, B e C. Associado a obra são esperadas substituições/adaptações de fundações, suportes, cabos de controle e potência, barramento, conectores e conexão do aterramento.</t>
  </si>
  <si>
    <t>LT 230 kV FARROUPILHA / SCHARLAU 2 C 1 RS</t>
  </si>
  <si>
    <t>0002886/2022</t>
  </si>
  <si>
    <t>PR LT SCH2 C-1</t>
  </si>
  <si>
    <t>Substituição de para-raios 230 kV referente ao TF 3 230/138 kV da SE Passo Fundo, Fases A, B e C. Associado a obra são esperadas substituições/adaptações de fundações, suportes, cabos de controle e potência, barramento, conectores e conexão do aterramento.</t>
  </si>
  <si>
    <t>0002888/2022</t>
  </si>
  <si>
    <t>PR TR3</t>
  </si>
  <si>
    <t>Substituição de para-raios 230 kV referente a LT Passo Fundo - Nova Prata 2 C-1, Fases A, B e C. Associado a obra são esperadas substituições/adaptações de fundações, suportes, cabos de controle e potência, barramento, conectores e conexão do aterramento.</t>
  </si>
  <si>
    <t>LT 230 kV PASSO FUNDO /NOVA PRATA 2 C-1 RS</t>
  </si>
  <si>
    <t>0002889/2022</t>
  </si>
  <si>
    <t>PR LT NPR2 C-1</t>
  </si>
  <si>
    <t>Substituição do sistema de controle e supervisão (com unidade redundante) da LT 230 kV Assis - Londrina Copel C-2, e dos cabos de controle e potência associados.</t>
  </si>
  <si>
    <t>0002892/2022</t>
  </si>
  <si>
    <t>Controle - LT LNA C-2</t>
  </si>
  <si>
    <t>Substituição de Chave Seccionadora tripolar 230 kV, CS721, referente a LT Areia - Salto Osório C-2. Associado à obra são esperadas substituições/adaptações de fundações, suportes, cabos de controle/potência, barramento, conectores e conexão de aterramento.</t>
  </si>
  <si>
    <t>LT 230 kV AREIA /S. OSORIO C-2 PR</t>
  </si>
  <si>
    <t>0002895/2022</t>
  </si>
  <si>
    <t>Substituição de Chave Seccionadora tripolar 230 kV, CS725, referente a LT Areia - Salto Osório C-2. Associado à obra são esperadas substituições/adaptações de fundações, suportes, cabos de controle/potência, barramento, conectores e conexão de aterramento.</t>
  </si>
  <si>
    <t>0002896/2022</t>
  </si>
  <si>
    <t>CS725</t>
  </si>
  <si>
    <t>Substituição de Chave Seccionadora tripolar 230 kV, CS727, com lâmina de terra, referente a LT Areia - Salto Osório C-2. Associado à obra são esperadas substituições/adaptações de fundações, suportes, cabos de controle/potência, barramento, conectores e conexão de aterramento.</t>
  </si>
  <si>
    <t>0002897/2022</t>
  </si>
  <si>
    <t>CS727</t>
  </si>
  <si>
    <t>Substituição de dois bancos de baterias 48 Vcc (Sistema de Alimentação CC) na Repetidora Nova Veneza (Repetidora associada à SE Itá). Capacidade de cada novo equipamento: 300 Ah.</t>
  </si>
  <si>
    <t>0002902/2022</t>
  </si>
  <si>
    <t>SACC - 48Vcc - BAT</t>
  </si>
  <si>
    <t>Substituição de Transformadores de Corrente 230 kV, referente a LT Areia - Salto Osório C-2 , DJ722, Fases A, B, C. Associado à obra são esperadas substituições/adaptações de fundações, suportes, caixa de junção, cabos, barramento, conectores e conexão de aterramento.</t>
  </si>
  <si>
    <t>0002905/2022</t>
  </si>
  <si>
    <t>TC DJ722</t>
  </si>
  <si>
    <t>Instalação de dois Retificadores 48 Vcc (Carregadores de Baterias), com Quadro de Distribuição CC e Unidade Supervisora CC, em substituição ao retificador duplo existente, na Repetidora Nova Veneza (Repetidora associada à SE Itá). Capacidade de cada novo retificador: 50 A.</t>
  </si>
  <si>
    <t>0002908/2022</t>
  </si>
  <si>
    <t>SACC - 48 Vcc - RET</t>
  </si>
  <si>
    <t>Substituição de dois bancos de baterias 48 Vcc (Sistema de Alimentação CC) na Repetidora Canoinhas (Repetidora associada à SE Canoinhas). Capacidade de cada novo equipamento: 150 Ah.</t>
  </si>
  <si>
    <t>0002911/2022</t>
  </si>
  <si>
    <t>Instalação de dois Retificadores 48 Vcc (Carregadores de Baterias), com Quadro de Distribuição CC e Unidade Supervisora CC, em substituição ao retificador duplo existente, na Repetidora Canoinhas (Repetidora associada à SE Canoinhas). Capacidade de cada novo retificador: 50 A.</t>
  </si>
  <si>
    <t>0002912/2022</t>
  </si>
  <si>
    <t>U.MIMOSO</t>
  </si>
  <si>
    <t>Instalação de dois bancos de baterias 48 Vcc (Sistema de Alimentação CC) na Repetidora Mimoso (Repetidora associada à SE U.Mimoso), em substituição ao banco de baterias existente. Capacidade de cada novo equipamento: 150 Ah.</t>
  </si>
  <si>
    <t>LT 138 kV U.MIMOSO / CAMPO GRANDE C-3 MS</t>
  </si>
  <si>
    <t>0002914/2022</t>
  </si>
  <si>
    <t>Instalação de dois Retificadores 48 Vcc (Carregadores de Baterias), com Quadro de Distribuição CC e Unidade Supervisora CC, em substituição ao retificador existente, na Repetidora Mimoso (Repetidora associada à SE U.Mimoso). Capacidade de cada novo retificador: 50 A.</t>
  </si>
  <si>
    <t>0002915/2022</t>
  </si>
  <si>
    <t>Substituição de Transformadores de Potencial Capacitivo 230 kV, referente a LT Areia - Salto Osório C-2, Fases A, B, C. Associado à obra são esperadas substituições/adaptações de fundações, suportes, caixa de junção, cabos de controle/potência, barramento, conectores e conexão de aterramento.</t>
  </si>
  <si>
    <t>0002916/2022</t>
  </si>
  <si>
    <t>Substituição de Chave Seccionadora tripolar 230 kV, CS731, referente a LT Areia - S.Mateus Sul C-1. Associado à obra são esperadas substituições/adaptações de fundações, suportes, cabos de controle/potência, barramento, conectores e conexão de aterramento.</t>
  </si>
  <si>
    <t>LT 230 kV AREIA /S.MATEUS SUL C-1 PR</t>
  </si>
  <si>
    <t>0002936/2022</t>
  </si>
  <si>
    <t>Substituição de Chave Seccionadora tripolar 230 kV, CS735, referente a LT Areia - S.Mateus Sul C-1. Associado à obra são esperadas substituições/adaptações de fundações, suportes, cabos de controle/potência, barramento, conectores e conexão de aterramento.</t>
  </si>
  <si>
    <t>0002938/2022</t>
  </si>
  <si>
    <t>CS735</t>
  </si>
  <si>
    <t>Substituição de Chave Seccionadora tripolar 230 kV, CS737, com lâmina de terra, referente a LT Areia - S.Mateus Sul C-1. Associado à obra são esperadas substituições/adaptações de fundações, suportes, cabos de controle/potência, barramento, conectores e conexão de aterramento.</t>
  </si>
  <si>
    <t>0002939/2022</t>
  </si>
  <si>
    <t>CS737</t>
  </si>
  <si>
    <t>Substituição de Transformadores de Potencial Capacitivo 230 kV, referente a LT Areia - S.Mateus Sul C-1, Fases A, B, C. Associado à obra são esperadas substituições/adaptações de fundações, suportes, caixa de junção, cabos de controle/potência, barramento, conectores e conexão de aterramento.</t>
  </si>
  <si>
    <t>0002941/2022</t>
  </si>
  <si>
    <t>Substituição de Transformadores de Potencial Capacitivo 230 kV, referente a Barra P (BAP230) da SE Areia, Fases A, B, C. Associado à obra são esperadas substituições/adaptações de fundações, suportes, caixa de junção, cabos de controle e potência, barramento, conectores e conexão de aterramento.</t>
  </si>
  <si>
    <t>0003089/2022</t>
  </si>
  <si>
    <t>Substituição de Disjuntor tripolar 230 kV, DJ752, referente ao TF 1 230/138 kV da SE Areia. Associado à obra, são esperadas substituições ou adaptações de fundações e suportes existentes, cabos de controle e potência, barramento, conectores e conexão do aterramento.</t>
  </si>
  <si>
    <t>TR 230/138 kV AREIA TR1 PR</t>
  </si>
  <si>
    <t>0003093/2022</t>
  </si>
  <si>
    <t>DJ752</t>
  </si>
  <si>
    <t>Substituição de Transformadores de Corrente 230 kV, referente ao TF 1 230/138 kV da SE Areia, DJ752, Fases A, B, C. Associado à obra são esperadas substituições/adaptações de fundações, suportes, caixa de junção, cabos, barramento, conectores e conexão de aterramento.</t>
  </si>
  <si>
    <t>0003097/2022</t>
  </si>
  <si>
    <t>TC DJ752</t>
  </si>
  <si>
    <t>Substituição de Disjuntor tripolar 230 kV, DJ772, referente ao TF 3 230/138 kV da SE Areia. Associado à obra, são esperadas substituições ou adaptações de fundações e suportes existentes, cabos de controle e potência, barramento, conectores e conexão do aterramento.</t>
  </si>
  <si>
    <t>TR 230/138 kV AREIA TR3 PR</t>
  </si>
  <si>
    <t>0003099/2022</t>
  </si>
  <si>
    <t>DJ772</t>
  </si>
  <si>
    <t>Substituição de Chave Seccionadora tripolar 230 kV, CS771, referente ao TF 3 230/138 kV da SE Areia. Associado à obra são esperadas substituições/adaptações de fundações, suportes, cabos de controle/potência, barramento, conectores e conexão de aterramento.</t>
  </si>
  <si>
    <t>0003100/2022</t>
  </si>
  <si>
    <t>CS771</t>
  </si>
  <si>
    <t>Substituição de Chave Seccionadora tripolar 230 kV, CS775, referente ao TF 3 230/138 kV da SE Areia. Associado à obra são esperadas substituições/adaptações de fundações, suportes, cabos de controle/potência, barramento, conectores e conexão de aterramento.</t>
  </si>
  <si>
    <t>0003102/2022</t>
  </si>
  <si>
    <t>CS775</t>
  </si>
  <si>
    <t>Substituição de Chave Seccionadora tripolar 230 kV, CS777, referente ao TF 3 230/138 kV da SE Areia. Associado à obra são esperadas substituições/adaptações de fundações, suportes, cabos de controle/potência, barramento, conectores e conexão de aterramento.</t>
  </si>
  <si>
    <t>0003104/2022</t>
  </si>
  <si>
    <t>CS777</t>
  </si>
  <si>
    <t>Substituição de Disjuntor tripolar 230 kV, DJ792, referente ao TF 2 525/230 kV da SE Areia. Associado à obra, são esperadas substituições ou adaptações de fundações e suportes existentes, cabos de controle e potência, barramento, conectores e conexão do aterramento.</t>
  </si>
  <si>
    <t>0003107/2022</t>
  </si>
  <si>
    <t>Substituição de Transformador de Potencial Capacitivo 230 kV, referente ao TF 2 525/230 kV da SE Areia, Fase A. Associado à obra são esperadas substituições/adaptações de fundações, suportes, caixa de junção, cabos de controle/potência, barramento, conectores e conexão de aterramento.</t>
  </si>
  <si>
    <t>0003108/2022</t>
  </si>
  <si>
    <t>TPCA</t>
  </si>
  <si>
    <t>Substituição das proteções Principal, Alternada e Falha de Disjuntor (Principal), incluindo painéis e cabos de controle e potência associados, referente a LT 230 kV Itajaí - Blumenau C-1.</t>
  </si>
  <si>
    <t>LT 230 kV ITAJAI / BLUMENAU C-1 SC</t>
  </si>
  <si>
    <t>0003111/2022</t>
  </si>
  <si>
    <t>PP, PA, BA, BF - LT BLU C-1</t>
  </si>
  <si>
    <t>Substituição do sistema de controle e supervisão (com unidade redundante) da LT 230 kV Itajaí - Blumenau C-1, e dos cabos de controle e potência associados.</t>
  </si>
  <si>
    <t>0003112/2022</t>
  </si>
  <si>
    <t>Controle - LT BLU C-1</t>
  </si>
  <si>
    <t>Substituição das proteções Principal, Alternada e Falha de Disjuntor (Principal), incluindo painéis e cabos de controle e potência associados, referente a LT 230 kV Blumenau - Itajaí C-1.</t>
  </si>
  <si>
    <t>LT 230 kV BLUMENAU /ITAJAI C-1 SC</t>
  </si>
  <si>
    <t>0003114/2022</t>
  </si>
  <si>
    <t>PP, PA, BF - LT ITJ C-1</t>
  </si>
  <si>
    <t>Substituição das proteções Principal, Alternada e Falha de Disjuntor (Principal), incluindo painéis e cabos de controle e potência associados, referente a LT 230 kV Itajaí - Blumenau C-2.</t>
  </si>
  <si>
    <t>LT 230 kV ITAJAI / BLUMENAU C-2 SC</t>
  </si>
  <si>
    <t>0003117/2022</t>
  </si>
  <si>
    <t>PP, PA, BA, BF - LT BLU C-2</t>
  </si>
  <si>
    <t>Substituição do sistema de controle e supervisão (com unidade redundante) da LT 230 kV Itajaí - Blumenau C-2, e dos cabos de controle e potência associados.</t>
  </si>
  <si>
    <t>0003119/2022</t>
  </si>
  <si>
    <t>Controle - LT BLU C-2</t>
  </si>
  <si>
    <t>Substituição das proteções Principal, Alternada e Falha de Disjuntor (Principal), incluindo painéis e cabos de controle e potência associados, referente a LT 230 kV Blumenau - Itajaí C-2.</t>
  </si>
  <si>
    <t>LT 230 kV BLUMENAU /ITAJAI C-2 SC</t>
  </si>
  <si>
    <t>0003122/2022</t>
  </si>
  <si>
    <t>PP, PA, BF - LT ITJ C-2</t>
  </si>
  <si>
    <t>Substituição de Retificador (Carregador de Baterias) 125 Vcc - SACC125-RET1, da SE Passo Fundo. Capacidade do novo equipamento: &gt;= 65 A.</t>
  </si>
  <si>
    <t>MG PASSO FUNDO / CCO-2001-057 - RB</t>
  </si>
  <si>
    <t>0003125/2022</t>
  </si>
  <si>
    <t>Substituição de Retificador (Carregador de Baterias) 125 Vcc - SACC125-RET2, da SE Passo Fundo. Capacidade do novo equipamento: &gt;= 65 A.</t>
  </si>
  <si>
    <t>0003126/2022</t>
  </si>
  <si>
    <t>Substituição dos Painéis de Distribuição 125 VCC (PAINEL/L) e cabos associados, referentes aos Serviços Auxiliares da SE Passo Fundo.</t>
  </si>
  <si>
    <t>0003127/2022</t>
  </si>
  <si>
    <t>Substituição dos Painéis de Distribuição 380 VCA (PAINEL/I, PCMG) e cabos associados, referentes aos Serviços Auxiliares da SE Passo Fundo.</t>
  </si>
  <si>
    <t>0003128/2022</t>
  </si>
  <si>
    <t>Painel - 380 VCA</t>
  </si>
  <si>
    <t>Substituição dos Painéis de Distribuição 220 VCA (PAINEL/J) e cabos associados, referentes aos Serviços Auxiliares da SE Passo Fundo.</t>
  </si>
  <si>
    <t>0003129/2022</t>
  </si>
  <si>
    <t>Painel - 220 VCA</t>
  </si>
  <si>
    <t>Substituição do transformador de Serviço Auxiliar, 13,8 kV / 480 V, TSA1, da SE Campo Grande. Associado a obra são esperadas adaptações/substituições da base existente, da caixa separadora de óleo, e cabos associados. Capacidade do novo equipamento: &gt;= 500 kVA.</t>
  </si>
  <si>
    <t>MG CAMPO GRANDE / CCO-2001-057 - DIT</t>
  </si>
  <si>
    <t>0003132/2022</t>
  </si>
  <si>
    <t>Substituição do transformador de Serviço Auxiliar, 13,8 kV / 480 V, TSA2, da SE Campo Grande. Associado a obra são esperadas adaptações/substituições da base existente, da caixa separadora de óleo, e cabos associados. Capacidade do novo equipamento: &gt;= 500 kVA.</t>
  </si>
  <si>
    <t>0003133/2022</t>
  </si>
  <si>
    <t>SUBSTITUIÇÃO DO DISJUNTOR JRDJ6-03 DO TRANSFORMADOR JRTF6-01</t>
  </si>
  <si>
    <t>0003415/2022</t>
  </si>
  <si>
    <t>JRDJ6-03</t>
  </si>
  <si>
    <t>Substituição da cadeia de proteção de barras principal, referente às barras P e PT de 230 kV da SE Itajaí, incluindo uma Unidade Central e sete unidades de Bay (vãos TF 1 230/138 kV, TF 2 230/138 kV, TF 3 230/138 kV, TF 4 230/138 kV e Interligador de Barras - IB, LT 230 kV Itajaí - Blumenau C-1 e C2), painéis, cabos de controle e potência associados.</t>
  </si>
  <si>
    <t>0003136/2022</t>
  </si>
  <si>
    <t>BA - Barras P e PT</t>
  </si>
  <si>
    <t>Substituição da proteção de barra de 138 kV da SE Itajaí, incluindo uma Unidade Central (barras P e PT) e treze unidades de Bay (vãos Camboriú M. Boi C-1, Itajaí Fazenda C-1, Itajaí Itaipava C-1, Itajaí Itaipava C-2, Ilhota C-1 e C-2, Brusque C-1 e C-2, TF 1 230/138 kV, TF 2 230/138 kV, TF 3 230/138 kV, TF 4 230/138 kV e Interligador de Barras - IB), cabos de controle e potência e painéis associados.</t>
  </si>
  <si>
    <t>0003139/2022</t>
  </si>
  <si>
    <t>Substituição de Disjuntor tripolar 525 kV, DJ1052, referente a LT Curitiba - Areia C-1. Associado à obra, são esperadas substituições ou adaptações de fundações e suportes existentes, cabos de controle e potência, barramento, conectores e conexão do aterramento do equipamento.</t>
  </si>
  <si>
    <t>LT 525 kV CURITIBA / AREIA C-1 PR</t>
  </si>
  <si>
    <t>0003143/2022</t>
  </si>
  <si>
    <t>Substituição das proteções Primária, Secundária e Falha de Disjuntor, incluindo painéis e cabos de controle e potência associados, referente a LT 138 kV Itajaí - Ilhota C-2.</t>
  </si>
  <si>
    <t>LT 138 kV ITAJAI / ILHOTA C-2 SC</t>
  </si>
  <si>
    <t>0003144/2022</t>
  </si>
  <si>
    <t>PP, PS, BA, BF - LT ITA C-2</t>
  </si>
  <si>
    <t>Substituição de Chave Seccionadora tripolar 525 kV, CS1051, referente a LT Curitiba - Areia C-1. Associado à obra são esperadas substituições/adaptações de fundações, suportes, cabos de controle/potência, barramento, conectores e conexão de aterramento.</t>
  </si>
  <si>
    <t>0003145/2022</t>
  </si>
  <si>
    <t>CS1051</t>
  </si>
  <si>
    <t>Substituição do sistema de controle e supervisão da LT 138 kV Itajaí - Ilhota C-2, e dos cabos de controle e potência associados.</t>
  </si>
  <si>
    <t>0003146/2022</t>
  </si>
  <si>
    <t>Controle - LT ITA C-2</t>
  </si>
  <si>
    <t>Substituição de Chave Seccionadora tripolar 525 kV, CS1053, referente a LT Curitiba - Areia C-1. Associado à obra são esperadas substituições/adaptações de fundações, suportes, cabos de controle/potência, barramento, conectores e conexão de aterramento.</t>
  </si>
  <si>
    <t>0003147/2022</t>
  </si>
  <si>
    <t>CS1053</t>
  </si>
  <si>
    <t>Substituição de Chave Seccionadora tripolar 525 kV, CS1057, com lâmina de terra, referente a LT Curitiba - Areia C-1. Associado à obra são esperadas substituições/adaptações de fundações, suportes, cabos de controle/potência, barramento, conectores e conexão de aterramento.</t>
  </si>
  <si>
    <t>0003149/2022</t>
  </si>
  <si>
    <t>CS1057 / CS1057T</t>
  </si>
  <si>
    <t>Substituição de Transformadores de Corrente 525 kV, referente a LT Curitiba - Areia C-1, DJ1052, Fases A, B, C. Associado à obra são esperadas substituições/adaptações de fundações, suportes, caixa de junção, cabos, barramento, conectores e conexão de aterramento.</t>
  </si>
  <si>
    <t>0003152/2022</t>
  </si>
  <si>
    <t>TC DJ1052</t>
  </si>
  <si>
    <t>Substituição do sistema de controle e supervisão da LT 138 kV Itajaí - Camboriú M. Boi C-1, e dos cabos de controle e potência associados.</t>
  </si>
  <si>
    <t>LT 138 kV ITAJAI / CAMBORIU M. BOI C-1 SC</t>
  </si>
  <si>
    <t>0003153/2022</t>
  </si>
  <si>
    <t>Controle - LT CMB C-1</t>
  </si>
  <si>
    <t>Substituição de Disjuntor tripolar 525 kV, DJ1072, referente a LT Curitiba - Bateias C-1. Associado à obra, são esperadas substituições ou adaptações de fundações e suportes existentes, cabos de controle e potência, barramento, conectores e conexão do aterramento do equipamento.</t>
  </si>
  <si>
    <t>0003154/2022</t>
  </si>
  <si>
    <t>Substituição de Chave Seccionadora tripolar 525 kV, CS1071, referente a LT Curitiba - Bateias C-1. Associado à obra são esperadas substituições/adaptações de fundações, suportes, cabos de controle/potência, barramento, conectores e conexão de aterramento.</t>
  </si>
  <si>
    <t>0003156/2022</t>
  </si>
  <si>
    <t>Substituição do sistema de controle e supervisão da LT 138 kV Itajaí - Itajaí Fazenda C-1, e dos cabos de controle e potência associados.</t>
  </si>
  <si>
    <t>LT 138 kV ITAJAI / ITAJAI FAZENDA C-1 SC</t>
  </si>
  <si>
    <t>0003157/2022</t>
  </si>
  <si>
    <t>Controle - LT IFA C-1</t>
  </si>
  <si>
    <t>Substituição de Chave Seccionadora tripolar 525 kV, CS1073, referente a LT Curitiba - Bateias C-1. Associado à obra são esperadas substituições/adaptações de fundações, suportes, cabos de controle/potência, barramento, conectores e conexão de aterramento.</t>
  </si>
  <si>
    <t>0003161/2022</t>
  </si>
  <si>
    <t>Substituição de Chave Seccionadora tripolar 525 kV, CS1077, com lâmina de terra, referente a LT Curitiba - Bateias C-1. Associado à obra são esperadas substituições/adaptações de fundações, suportes, cabos de controle/potência, barramento, conectores e conexão de aterramento.</t>
  </si>
  <si>
    <t>0003164/2022</t>
  </si>
  <si>
    <t>Substituição de Disjuntor tripolar 138 kV, DJ512, referente a LT Campo Grande - U.Mimoso C-1. Associado à obra, são esperadas substituições ou adaptações de fundações e suportes existentes, cabos de controle e potência, barramento, conectores e conexão do aterramento do equipamento.</t>
  </si>
  <si>
    <t>LT 138 kV CAMPO GRANDE / U.MIMOSO C-1 MS</t>
  </si>
  <si>
    <t>0003166/2022</t>
  </si>
  <si>
    <t>DJ512</t>
  </si>
  <si>
    <t>Substituição de Disjuntor tripolar 525 kV, DJ1022, referente a LT Curitiba - Blumenau C-1 (futura LT Curitiba - Joinville Sul C-1). Associado à obra, são esperadas substituições ou adaptações de fundações e suportes existentes, cabos de controle e potência, barramento, conectores e conexão do aterramento do equipamento.</t>
  </si>
  <si>
    <t>LT 525 kV CURITIBA / BLUMENAU C-1 PR / SC</t>
  </si>
  <si>
    <t>0003167/2022</t>
  </si>
  <si>
    <t>DJ1022</t>
  </si>
  <si>
    <t>Substituição de Chave Seccionadora tripolar 525 kV, CS1021, referente a LT Curitiba - Blumenau C-1 (futura LT Curitiba - Joinville Sul C-1). Associado à obra são esperadas substituições/adaptações de fundações, suportes, cabos de controle/potência, barramento, conectores e conexão de aterramento.</t>
  </si>
  <si>
    <t>0003168/2022</t>
  </si>
  <si>
    <t>CS1021</t>
  </si>
  <si>
    <t>Substituição de Disjuntor tripolar 138 kV, DJ522, referente a LT Campo Grande - U.Mimoso C-2. Associado à obra, são esperadas substituições ou adaptações de fundações e suportes existentes, cabos de controle e potência, barramento, conectores e conexão do aterramento do equipamento.</t>
  </si>
  <si>
    <t>LT 138 kV CAMPO GRANDE / U.MIMOSO C-2 MS</t>
  </si>
  <si>
    <t>0003169/2022</t>
  </si>
  <si>
    <t>DJ522</t>
  </si>
  <si>
    <t>Substituição de Chave Seccionadora tripolar 525 kV, CS1023, referente a LT Curitiba - Blumenau C-1 (futura LT Curitiba - Joinville Sul C-1). Associado à obra são esperadas substituições/adaptações de fundações, suportes, cabos de controle/potência, barramento, conectores e conexão de aterramento.</t>
  </si>
  <si>
    <t>0003170/2022</t>
  </si>
  <si>
    <t>CS1023</t>
  </si>
  <si>
    <t>Substituição de Disjuntor tripolar 138 kV, DJ532, referente ao Interligador de Barras da SE Campo Grande. Associado à obra, são esperadas substituições ou adaptações de fundações e suportes existentes, cabos de controle e potência, barramento, conectores e conexão do aterramento do equipamento.</t>
  </si>
  <si>
    <t>0003171/2022</t>
  </si>
  <si>
    <t>DJ532</t>
  </si>
  <si>
    <t>Substituição de Chave Seccionadora tripolar 525 kV, CS1027, com lâmina de terra, referente a LT Curitiba - Blumenau C-1 (futura LT Curitiba - Joinville Sul C-1). Associado à obra são esperadas substituições/adaptações de fundações, suportes, cabos de controle/potência, barramento, conectores e conexão de aterramento.</t>
  </si>
  <si>
    <t>0003172/2022</t>
  </si>
  <si>
    <t>CS1027 / CS1027T</t>
  </si>
  <si>
    <t>Substituição de Disjuntor tripolar 525 kV, DJ1050, referente ao Interligador de Barras entre a LT Areia C-1 e o TF 1. Associado à obra, são esperadas substituições/adaptações de fundações e suportes, cabos de controle e potência, barramento, conectores e conexão de aterramento.</t>
  </si>
  <si>
    <t>0003175/2022</t>
  </si>
  <si>
    <t>DJ1050</t>
  </si>
  <si>
    <t>Substituição de Disjuntor tripolar 138 kV, DJ542, referente a LT Campo Grande - Campo Grande Cuiabá C-2. Associado à obra, são esperadas substituições ou adaptações de fundações e suportes existentes, cabos de controle e potência, barramento, conectores e conexão do aterramento do equipamento.</t>
  </si>
  <si>
    <t>LT 138 kV CAMPO GRANDE / CAMPO GRANDE CUIABA C-2 MS</t>
  </si>
  <si>
    <t>0003176/2022</t>
  </si>
  <si>
    <t>DJ542</t>
  </si>
  <si>
    <t>Substituição de Disjuntor tripolar 138 kV, DJ572, referente a LT Campo Grande - Campo Grande M.Couto C-1. Associado à obra, são esperadas substituições ou adaptações de fundações e suportes existentes, cabos de controle e potência, barramento, conectores e conexão do aterramento do equipamento.</t>
  </si>
  <si>
    <t>LT 138 kV CAMPO GRANDE / CAMPO GRANDE M.COUTO C-1 MS</t>
  </si>
  <si>
    <t>0003178/2022</t>
  </si>
  <si>
    <t>DJ572</t>
  </si>
  <si>
    <t>Substituição de Disjuntor tripolar 138 kV, DJ582, referente a LT Campo Grande - Campo Grande M.Couto C-2. Associado à obra, são esperadas substituições ou adaptações de fundações e suportes existentes, cabos de controle e potência, barramento, conectores e conexão do aterramento do equipamento.</t>
  </si>
  <si>
    <t>LT 138 kV CAMPO GRANDE / CAMPO GRANDE M.COUTO C-2 MS</t>
  </si>
  <si>
    <t>0003181/2022</t>
  </si>
  <si>
    <t>DJ582</t>
  </si>
  <si>
    <t>SUBSTITUIÇÃO DO DISJUNTOR IZDJ7-02</t>
  </si>
  <si>
    <t>0003183/2022</t>
  </si>
  <si>
    <t>IZDJ7-02</t>
  </si>
  <si>
    <t>Substituição de Disjuntor tripolar 138 kV, DJ612, referente a LT Campo Grande - U.Mimoso C-4. Associado à obra, são esperadas substituições ou adaptações de fundações e suportes existentes, cabos de controle e potência, barramento, conectores e conexão do aterramento do equipamento.</t>
  </si>
  <si>
    <t>LT 138 kV CAMPO GRANDE / U.MIMOSO C-4 MS</t>
  </si>
  <si>
    <t>0003184/2022</t>
  </si>
  <si>
    <t>Substituição de Disjuntor tripolar 138 kV, DJ632, referente a LT Campo Grande - Sidrolândia C-1. Associado à obra, são esperadas substituições ou adaptações de fundações e suportes existentes, cabos de controle e potência, barramento, conectores e conexão do aterramento do equipamento.</t>
  </si>
  <si>
    <t>LT 138 kV CAMPO GRANDE / SIDROLANDIA C-1 MS</t>
  </si>
  <si>
    <t>0003187/2022</t>
  </si>
  <si>
    <t>DJ632</t>
  </si>
  <si>
    <t>Substituição de Disjuntor tripolar 525 kV, DJ1070, referente ao Interligador de Barras entre a LT Bateias C-1 e o TF 2. Associado à obra, são esperadas substituições/adaptações de fundações e suportes, cabos de controle e potência, barramento, conectores e conexão de aterramento.</t>
  </si>
  <si>
    <t>0003189/2022</t>
  </si>
  <si>
    <t>Substituição de Chave Seccionadora tripolar 525kV, CS1025, referente ao Interligador de Barras entre a LT Blumenau C-1 e o Reator 2. Associado à obra são esperadas substituições/adaptações de fundações, suportes, cabos de controle/potência, barramento, conectores e conexão de aterramento.</t>
  </si>
  <si>
    <t>0003192/2022</t>
  </si>
  <si>
    <t>Substituição de Disjuntor tripolar 138 kV, DJ642, referente a LT Campo Grande - A.Guariroba C-1. Associado à obra, são esperadas substituições ou adaptações de fundações e suportes existentes, cabos de controle e potência, barramento, conectores e conexão do aterramento do equipamento.</t>
  </si>
  <si>
    <t>LT 138 kV CAMPO GRANDE / A.GUARIROBA C-1 MS</t>
  </si>
  <si>
    <t>0003193/2022</t>
  </si>
  <si>
    <t>DJ642</t>
  </si>
  <si>
    <t>Substituição de Chave Seccionadora tripolar 525kV, CS1035, referente ao Interligador de Barras entre a LT Blumenau C-1 e o Reator 2. Associado à obra são esperadas substituições/adaptações de fundações, suportes, cabos de controle/potência, barramento, conectores e conexão de aterramento.</t>
  </si>
  <si>
    <t>0003194/2022</t>
  </si>
  <si>
    <t>Substituição de Chave Seccionadora tripolar 525kV, CS1045, referente ao Interligador de Barras entre a LT Areia C-1 e o TF 1. Associado à obra são esperadas substituições/adaptações de fundações, suportes, cabos de controle/potência, barramento, conectores e conexão de aterramento.</t>
  </si>
  <si>
    <t>0003197/2022</t>
  </si>
  <si>
    <t>CS1045</t>
  </si>
  <si>
    <t>Substituição de Chave Seccionadora tripolar 525kV, CS1055, referente ao Interligador de Barras entre a LT Areia C-1 e o TF 1. Associado à obra são esperadas substituições/adaptações de fundações, suportes, cabos de controle/potência, barramento, conectores e conexão de aterramento.</t>
  </si>
  <si>
    <t>0003201/2022</t>
  </si>
  <si>
    <t>CS1055</t>
  </si>
  <si>
    <t>Substituição de Chave Seccionadora tripolar 525kV, CS1065, referente ao Interligador de Barras entre a LT Bateias C-1 e o TF 2. Associado à obra são esperadas substituições/adaptações de fundações, suportes, cabos de controle/potência, barramento, conectores e conexão de aterramento.</t>
  </si>
  <si>
    <t>0003203/2022</t>
  </si>
  <si>
    <t>Substituição de Chave Seccionadora tripolar 525kV, CS1075, referente ao Interligador de Barras entre a LT Bateias C-1 e o TF 2. Associado à obra são esperadas substituições/adaptações de fundações, suportes, cabos de controle/potência, barramento, conectores e conexão de aterramento.</t>
  </si>
  <si>
    <t>0003205/2022</t>
  </si>
  <si>
    <t>Substituição de Transformadores de Corrente 525 kV, referente ao Interligador de Barras, DJ1050, SE Curitiba, Fases A, B, C. Associado à obra são esperadas substituições/adaptações de fundações e suportes, caixa de junção, cabos de controle/potência, barramento, conectores e conexão de aterramento.</t>
  </si>
  <si>
    <t>0003207/2022</t>
  </si>
  <si>
    <t>TC DJ1050</t>
  </si>
  <si>
    <t>Substituição de Chave Seccionadora tripolar 138 kV, CS517, referente a LT Campo Grande - U.Mimoso C-1. Associado à obra são esperadas substituições/adaptações de fundações, suportes, cabos de controle/potência, barramento, conectores e conexão de aterramento.</t>
  </si>
  <si>
    <t>0003208/2022</t>
  </si>
  <si>
    <t>CS517</t>
  </si>
  <si>
    <t>Substituição das proteções Principal, Alternada e Falha de Disjuntor (Principal), incluindo painéis e cabos de controle e potência associados, referente ao TF 2 230/138 kV, lado de 230 kV, da SE Itajaí.</t>
  </si>
  <si>
    <t>TR 230/138 kV ITAJAI TR2 SC</t>
  </si>
  <si>
    <t>0003209/2022</t>
  </si>
  <si>
    <t>PP, PA, BA, BF - TF 2 230</t>
  </si>
  <si>
    <t>SUBSTITUIÇÃO DO DISJUNTOR PDDJ7-02</t>
  </si>
  <si>
    <t>0003211/2022</t>
  </si>
  <si>
    <t>PDDJ7-02</t>
  </si>
  <si>
    <t>Substituição de Chave Seccionadora tripolar 138 kV, CS519, referente a LT Campo Grande - U.Mimoso C-1. Associado à obra são esperadas substituições/adaptações de fundações, suportes, cabos de controle/potência, barramento, conectores e conexão de aterramento.</t>
  </si>
  <si>
    <t>0003212/2022</t>
  </si>
  <si>
    <t>CS519</t>
  </si>
  <si>
    <t>Substituição de Transformadores de Corrente 525 kV, referente ao Interligador de Barras, DJ1070, SE Curitiba, Fases A, B, C. Associado à obra são esperadas substituições/adaptações de fundações e suportes, caixa de junção, cabos de controle/potência, barramento, conectores e conexão de aterramento.</t>
  </si>
  <si>
    <t>0003213/2022</t>
  </si>
  <si>
    <t>Substituição do sistema de controle e supervisão (com unidade redundante) do TF 2 230/138 kV, lado de 230 kV, da SE Itajaí, e dos cabos de controle e potência associados.</t>
  </si>
  <si>
    <t>0003214/2022</t>
  </si>
  <si>
    <t>Controle - TF 2 230</t>
  </si>
  <si>
    <t>Substituição de Chave Seccionadora tripolar 525 kV, CS1059, referente ao Reator 1 da SE Curitiba. Associado à obra são esperadas substituições/adaptações de fundações, suportes, cabos de controle/potência, barramento, conectores e conexão de aterramento.</t>
  </si>
  <si>
    <t>0003215/2022</t>
  </si>
  <si>
    <t>CS1059</t>
  </si>
  <si>
    <t>Substituição de Chave Seccionadora tripolar 138 kV, CS527, referente a LT Campo Grande - U.Mimoso C-2. Associado à obra são esperadas substituições/adaptações de fundações, suportes, cabos de controle/potência, barramento, conectores e conexão de aterramento.</t>
  </si>
  <si>
    <t>0003217/2022</t>
  </si>
  <si>
    <t>CS527</t>
  </si>
  <si>
    <t>SUBSTITUIÇÃO DO DISJUNTOR PDDJ7-03</t>
  </si>
  <si>
    <t>0003218/2022</t>
  </si>
  <si>
    <t>RPDJ7-03</t>
  </si>
  <si>
    <t>Substituição de Para-Raios 525 kV, referente ao Reator 1 da SE Curitiba, Fases B e C. Associado à obra, são esperadas substituições ou adaptações de fundações e suportes existentes, cabos de controle e potência, barramento, conectores e conexão do aterramento.</t>
  </si>
  <si>
    <t>0003219/2022</t>
  </si>
  <si>
    <t>PRB / PRC</t>
  </si>
  <si>
    <t>Substituição de Chave Seccionadora tripolar 138 kV, CS529, referente a LT Campo Grande - U.Mimoso C-2. Associado à obra são esperadas substituições/adaptações de fundações, suportes, cabos de controle/potência, barramento, conectores e conexão de aterramento.</t>
  </si>
  <si>
    <t>0003220/2022</t>
  </si>
  <si>
    <t>CS529</t>
  </si>
  <si>
    <t>Substituição de Chave Seccionadora tripolar 525 kV, CS1039, referente ao Reator 2 da SE Curitiba. Associado à obra são esperadas substituições/adaptações de fundações, suportes, cabos de controle/potência, barramento, conectores e conexão de aterramento.</t>
  </si>
  <si>
    <t>RT 525 kV 150 Mvar CURITIBA RT2 PR</t>
  </si>
  <si>
    <t>0003222/2022</t>
  </si>
  <si>
    <t>CS1039</t>
  </si>
  <si>
    <t>Substituição de Chave Seccionadora tripolar 138 kV, CS531, referente ao Interligador de Barras (DJ532) da SE Campo Grande. Associado à obra são esperadas substituições/adaptações de fundações, suportes, cabos de controle/potência, barramento, conectores e conexão de aterramento.</t>
  </si>
  <si>
    <t>0003223/2022</t>
  </si>
  <si>
    <t>Substituição de Disjuntor tripolar 525 kV, DJ1042, referente ao TF 1 525/230 kV da SE Curitiba. Associado à obra, são esperadas substituições ou adaptações de fundações e suportes existentes, cabos de controle e potência, barramento, conectores e conexão do aterramento.</t>
  </si>
  <si>
    <t>TR 525/230 kV CURITIBA TR1 PR</t>
  </si>
  <si>
    <t>0003224/2022</t>
  </si>
  <si>
    <t>DJ1042</t>
  </si>
  <si>
    <t>Substituição de Chave Seccionadora tripolar 138 kV, CS533, referente ao Interligador de Barras (DJ532) da SE Campo Grande. Associado à obra são esperadas substituições/adaptações de fundações, suportes, cabos de controle/potência, barramento, conectores e conexão de aterramento.</t>
  </si>
  <si>
    <t>0003226/2022</t>
  </si>
  <si>
    <t>Substituição de Chave Seccionadora tripolar 525 kV, CS1041, referente ao TF 1 525/230 kV da SE Curitiba. Associado à obra são esperadas substituições/adaptações de fundações, suportes, cabos de controle/potência, barramento, conectores e conexão de aterramento.</t>
  </si>
  <si>
    <t>0003227/2022</t>
  </si>
  <si>
    <t>CS1041</t>
  </si>
  <si>
    <t>Substituição de Chave Seccionadora tripolar 138 kV, CS577, referente a LT Campo Grande - Campo Grande M.Couto C-1. Associado à obra são esperadas substituições/adaptações de fundações, suportes, cabos de controle/potência, barramento, conectores e conexão de aterramento.</t>
  </si>
  <si>
    <t>0003228/2022</t>
  </si>
  <si>
    <t>CS577</t>
  </si>
  <si>
    <t>Substituição de Chave Seccionadora tripolar 525 kV, CS1043, referente ao TF 1 525/230 kV da SE Curitiba. Associado à obra são esperadas substituições/adaptações de fundações, suportes, cabos de controle/potência, barramento, conectores e conexão de aterramento.</t>
  </si>
  <si>
    <t>0003230/2022</t>
  </si>
  <si>
    <t>CS1043</t>
  </si>
  <si>
    <t>Substituição de Chave Seccionadora tripolar 525 kV, CS1047, referente ao TF 1 525/230 kV da SE Curitiba. Associado à obra são esperadas substituições/adaptações de fundações, suportes, cabos de controle/potência, barramento, conectores e conexão de aterramento.</t>
  </si>
  <si>
    <t>0003231/2022</t>
  </si>
  <si>
    <t>CS1047</t>
  </si>
  <si>
    <t>Substituição de Transformadores de Corrente 525 kV, referente ao TF 1 525/230 kV da SE Curitiba, DJ1042, Fases A, B, C. Associado à obra são esperadas substituições/adaptações de fundações, suportes, caixa de junção, cabos, barramento, conectores e conexão de aterramento.</t>
  </si>
  <si>
    <t>0003232/2022</t>
  </si>
  <si>
    <t>TC DJ1042</t>
  </si>
  <si>
    <t>Substituição de Disjuntor tripolar 525 kV, DJ1062, referente ao TF 2 525/230 kV da SE Curitiba. Associado à obra, são esperadas substituições ou adaptações de fundações e suportes existentes, cabos de controle e potência, barramento, conectores e conexão do aterramento.</t>
  </si>
  <si>
    <t>TR 525/230 kV CURITIBA TR2 PR</t>
  </si>
  <si>
    <t>0003233/2022</t>
  </si>
  <si>
    <t>Substituição de Chave Seccionadora tripolar 525 kV, CS1061, referente ao TF 2 525/230 kV da SE Curitiba. Associado à obra são esperadas substituições/adaptações de fundações, suportes, cabos de controle/potência, barramento, conectores e conexão de aterramento.</t>
  </si>
  <si>
    <t>0003235/2022</t>
  </si>
  <si>
    <t>SUBSTITUIÇÃO DO DISJUNTOR PDDJ7-04</t>
  </si>
  <si>
    <t>0003236/2022</t>
  </si>
  <si>
    <t>PDDJ7-04</t>
  </si>
  <si>
    <t>Substituição de Chave Seccionadora tripolar 525 kV, CS1063, referente ao TF 2 525/230 kV da SE Curitiba. Associado à obra são esperadas substituições/adaptações de fundações, suportes, cabos de controle/potência, barramento, conectores e conexão de aterramento.</t>
  </si>
  <si>
    <t>0003238/2022</t>
  </si>
  <si>
    <t>Substituição de Chave Seccionadora tripolar 525 kV, CS1067, referente ao TF 2 525/230 kV da SE Curitiba. Associado à obra são esperadas substituições/adaptações de fundações, suportes, cabos de controle/potência, barramento, conectores e conexão de aterramento.</t>
  </si>
  <si>
    <t>0003239/2022</t>
  </si>
  <si>
    <t>CS1067</t>
  </si>
  <si>
    <t>Substituição de Transformadores de Corrente 525 kV, referente ao TF 2 525/230 kV da SE Curitiba, DJ1062, Fases A, B, C. Associado à obra são esperadas substituições/adaptações de fundações, suportes, caixa de junção, cabos, barramento, conectores e conexão de aterramento.</t>
  </si>
  <si>
    <t>0003241/2022</t>
  </si>
  <si>
    <t>SUBSTITUIÇÃO DO DISJUNTOR PDDJ7-01</t>
  </si>
  <si>
    <t>0003242/2022</t>
  </si>
  <si>
    <t>PDDJ7-01</t>
  </si>
  <si>
    <t>Substituição de Transformadores de Potencial Capacitivo 230 kV, referente a LT Curitiba - Joinville C-1, Fases A, B, C. Associado à obra são esperadas substituições/adaptações de fundações, suportes, caixa de junção, cabos de controle/potência, barramento, conectores e conexão de aterramento.</t>
  </si>
  <si>
    <t>0003244/2022</t>
  </si>
  <si>
    <t>Substituição de Transformadores de Potencial Capacitivo 230 kV, referente a LT Curitiba - S.Mateus Sul C-1, Fases A, B, C. Associado à obra são esperadas substituições/adaptações de fundações, suportes, caixa de junção, cabos de controle/potência, barramento, conectores e conexão de aterramento.</t>
  </si>
  <si>
    <t>0003245/2022</t>
  </si>
  <si>
    <t>SUBSTITUIÇÃO DO DISJUNTOR PRDB6-01</t>
  </si>
  <si>
    <t>0003247/2022</t>
  </si>
  <si>
    <t>PRDB6-01</t>
  </si>
  <si>
    <t>Substituição de Transformador de Potencial Capacitivo 230 kV, referente ao TF 1 525/230 kV da SE Curitiba, Fase A. Associado à obra são esperadas substituições/adaptações de fundações, suportes, caixa de junção, cabos de controle/potência, barramento, conectores e conexão de aterramento.</t>
  </si>
  <si>
    <t>0003248/2022</t>
  </si>
  <si>
    <t>SUBSTITUIÇÃO DO DISJUNTOR PDDB6-01</t>
  </si>
  <si>
    <t>0003250/2022</t>
  </si>
  <si>
    <t>PDDB6-01</t>
  </si>
  <si>
    <t>SUBSTITUIÇÃO DO DISJUNTOR PDDJ6-03</t>
  </si>
  <si>
    <t>0003251/2022</t>
  </si>
  <si>
    <t>PDDJ6-03</t>
  </si>
  <si>
    <t>Substituição das proteções Principal, Alternada e Falha de Disjuntor, incluindo painéis e cabos de controle e potência associados, referente ao TF 2 230/138 kV, lado de 138 kV, da SE Itajaí.</t>
  </si>
  <si>
    <t>0003252/2022</t>
  </si>
  <si>
    <t>PP, PA, BA, BF - TF 2 138</t>
  </si>
  <si>
    <t>SUBSTITUIÇÃO DO DISJUNTOR PDDJ6-06</t>
  </si>
  <si>
    <t>0003254/2022</t>
  </si>
  <si>
    <t>PDDJ6-06</t>
  </si>
  <si>
    <t>Substituição do sistema de controle e supervisão do TF 2 230/138 kV, lado de 138 kV, da SE Itajaí, e dos cabos de controle e potência associados.</t>
  </si>
  <si>
    <t>0003255/2022</t>
  </si>
  <si>
    <t>Controle - TF 2 138</t>
  </si>
  <si>
    <t>SUBSTITUIÇÃO DO DISJUNTOR LDDB6-01</t>
  </si>
  <si>
    <t>0003256/2022</t>
  </si>
  <si>
    <t>LDDB6-01</t>
  </si>
  <si>
    <t>SUBSTITUIÇÃO DO DISJUNTOR IZDJ6-09</t>
  </si>
  <si>
    <t>0003326/2022</t>
  </si>
  <si>
    <t>IZDJ6-09</t>
  </si>
  <si>
    <t>SUBSTITUIÇÃO DO DISJUNTOR MRDJ5-03</t>
  </si>
  <si>
    <t>0003327/2022</t>
  </si>
  <si>
    <t>MRDJ5-03</t>
  </si>
  <si>
    <t>SUBSTITUIÇÃO DO DISJUNTOR IZDJ2-06</t>
  </si>
  <si>
    <t>0003328/2022</t>
  </si>
  <si>
    <t>IZDJ2-06</t>
  </si>
  <si>
    <t>SUBSTITUIÇÃO DO DISJUNTOR IZDJ2-12</t>
  </si>
  <si>
    <t>0003329/2022</t>
  </si>
  <si>
    <t>IZDJ2-12</t>
  </si>
  <si>
    <t>SUBSTITUIÇÃO DO DISJUNTOR IZDJ2-18</t>
  </si>
  <si>
    <t>0003331/2022</t>
  </si>
  <si>
    <t>IZDJ2-18</t>
  </si>
  <si>
    <t>Substituição de Disjuntor tripolar 525 kV, DJ1082, referente ao TF 5 525/230 kV da SE Blumenau. Associado à obra, são esperadas substituições ou adaptações de fundações e suportes existentes, cabos de controle e potência, barramento, conectores e conexão do aterramento.</t>
  </si>
  <si>
    <t>TR 525/230 kV BLUMENAU TR5 SC</t>
  </si>
  <si>
    <t>0003332/2022</t>
  </si>
  <si>
    <t>Substituição de Chave Seccionadora tripolar 525 kV, CS1081, referente ao TF 5 525/230 kV da SE Blumenau. Associado à obra são esperadas substituições/adaptações de fundações, suportes, cabos de controle/potência, barramento, conectores e conexão de aterramento.</t>
  </si>
  <si>
    <t>0003333/2022</t>
  </si>
  <si>
    <t>Substituição de Chave Seccionadora tripolar 525 kV, CS1083, referente ao TF 5 525/230 kV da SE Blumenau. Associado à obra são esperadas substituições/adaptações de fundações, suportes, cabos de controle/potência, barramento, conectores e conexão de aterramento.</t>
  </si>
  <si>
    <t>0003334/2022</t>
  </si>
  <si>
    <t>Substituição de Chave Seccionadora tripolar 525 kV, CS1087, referente ao TF 5 525/230 kV da SE Blumenau. Associado à obra são esperadas substituições/adaptações de fundações, suportes, cabos de controle/potência, barramento, conectores e conexão de aterramento.</t>
  </si>
  <si>
    <t>0003335/2022</t>
  </si>
  <si>
    <t>CS1087</t>
  </si>
  <si>
    <t>Substituição de Transformadores de Corrente 525 kV, referente ao TF 5 525/230 kV da SE Blumenau, DJ1082, Fases A, B, C. Associado à obra são esperadas substituições/adaptações de fundações, suportes, caixa de junção, cabos, barramento, conectores e conexão de aterramento.</t>
  </si>
  <si>
    <t>0003337/2022</t>
  </si>
  <si>
    <t>Substituição de Chave Seccionadora tripolar 525 kV, CS1061, referente ao TF 6 525/230 kV da SE Blumenau. Associado à obra são esperadas substituições/adaptações de fundações, suportes, cabos de controle/potência, barramento, conectores e conexão de aterramento.</t>
  </si>
  <si>
    <t>0003339/2022</t>
  </si>
  <si>
    <t>Substituição de Chave Seccionadora tripolar 525 kV, CS1063, referente ao TF 6 525/230 kV da SE Blumenau. Associado à obra são esperadas substituições/adaptações de fundações, suportes, cabos de controle/potência, barramento, conectores e conexão de aterramento.</t>
  </si>
  <si>
    <t>0003341/2022</t>
  </si>
  <si>
    <t>Substituição de Disjuntor tripolar 230 kV, DJ742, referente a LT Blumenau - Gaspar 2 C-1. Associado à obra, são esperadas substituições ou adaptações de fundações e suportes existentes, cabos de controle e potência, barramento, conectores e conexão do aterramento do equipamento.</t>
  </si>
  <si>
    <t>LT 230 kV BLUMENAU / GASPAR 2 C-1 SC</t>
  </si>
  <si>
    <t>0003343/2022</t>
  </si>
  <si>
    <t>DJ742</t>
  </si>
  <si>
    <t>Substituição de Transformadores de Potencial Capacitivo 230 kV, referente a LT Blumenau - Gaspar 2 C-1, Fases A, B, C. Associado à obra são esperadas substituições/adaptações de fundações, suportes, caixa de junção, cabos de controle/potência, barramento, conectores e conexão de aterramento.</t>
  </si>
  <si>
    <t>0003345/2022</t>
  </si>
  <si>
    <t>Substituição de Disjuntor tripolar 230 kV, DJ732, referente a LT Blumenau - Gaspar 2 C-2. Associado à obra, são esperadas substituições ou adaptações de fundações e suportes existentes, cabos de controle e potência, barramento, conectores e conexão do aterramento do equipamento.</t>
  </si>
  <si>
    <t>0003346/2022</t>
  </si>
  <si>
    <t>DJ732</t>
  </si>
  <si>
    <t>Substituição de Transformadores de Potencial Capacitivo 230 kV, referente a LT Blumenau - Gaspar 2 C-2, Fases A, B, C. Associado à obra são esperadas substituições/adaptações de fundações, suportes, caixa de junção, cabos de controle/potência, barramento, conectores e conexão de aterramento.</t>
  </si>
  <si>
    <t>0003347/2022</t>
  </si>
  <si>
    <t>Substituição de Disjuntor tripolar 230 kV, DJ722, referente a LT Blumenau - Joinville C-1. Associado à obra, são esperadas substituições ou adaptações de fundações e suportes existentes, cabos de controle e potência, barramento, conectores e conexão do aterramento do equipamento.</t>
  </si>
  <si>
    <t>0003349/2022</t>
  </si>
  <si>
    <t>DJ722</t>
  </si>
  <si>
    <t>Substituição de Disjuntor tripolar 230 kV, DJ712, referente a LT Blumenau - Joinville Norte C-1. Associado à obra, são esperadas substituições ou adaptações de fundações e suportes existentes, cabos de controle e potência, barramento, conectores e conexão do aterramento do equipamento.</t>
  </si>
  <si>
    <t>0003353/2022</t>
  </si>
  <si>
    <t>DJ712</t>
  </si>
  <si>
    <t>Substituição de Chave Seccionadora tripolar 230 kV, CS847, referente a conexão do Transformador de Potencial (TPC2) na Barra P2 da SE Blumenau. Associado à obra são esperadas substituições/adaptações de fundações, suportes, cabos de controle/potência, barramento, conectores e conexão de aterramento.</t>
  </si>
  <si>
    <t>MG BLUMENAU / CCO-2001-057 - RB</t>
  </si>
  <si>
    <t>0003357/2022</t>
  </si>
  <si>
    <t>CS847</t>
  </si>
  <si>
    <t>Substituição das proteções Principal, Alternada e Falha de Disjuntor (Principal), incluindo painéis e cabos de controle e potência associados, referente ao TF 3 230/138 kV, lado de 230 kV, da SE Itajaí.</t>
  </si>
  <si>
    <t>TR 230/138 kV ITAJAI TR3 SC</t>
  </si>
  <si>
    <t>0003358/2022</t>
  </si>
  <si>
    <t>PP, PA, BA, BF - TF 3 230</t>
  </si>
  <si>
    <t>Substituição de Chave Seccionadora tripolar 230 kV, CS849, referente a conexão do Transformador de Potencial (TPC1) na Barra P1 da SE Blumenau. Associado à obra são esperadas substituições/adaptações de fundações, suportes, cabos de controle/potência, barramento, conectores e conexão de aterramento.</t>
  </si>
  <si>
    <t>0003359/2022</t>
  </si>
  <si>
    <t>CS849</t>
  </si>
  <si>
    <t>Substituição de Chave Seccionadora tripolar 230 kV, CS851, referente ao Interligador de Barras (DJ852) da SE Blumenau. Associado à obra são esperadas substituições/adaptações de fundações, suportes, cabos de controle/potência, barramento, conectores e conexão de aterramento.</t>
  </si>
  <si>
    <t>0003365/2022</t>
  </si>
  <si>
    <t>CS851</t>
  </si>
  <si>
    <t>Substituição de Chave Seccionadora tripolar 230 kV, CS853, referente ao Interligador de Barras (DJ852) da SE Blumenau. Associado à obra são esperadas substituições/adaptações de fundações, suportes, cabos de controle/potência, barramento, conectores e conexão de aterramento.</t>
  </si>
  <si>
    <t>0003366/2022</t>
  </si>
  <si>
    <t>CS853</t>
  </si>
  <si>
    <t>Substituição de Disjuntor tripolar 230 kV, DJ762, referente ao TF 1 230/138 kV da SE Blumenau. Associado à obra, são esperadas substituições ou adaptações de fundações e suportes existentes, cabos de controle e potência, barramento, conectores e conexão do aterramento do equipamento.</t>
  </si>
  <si>
    <t>TR 230/138 kV BLUMENAU TR1 SC</t>
  </si>
  <si>
    <t>0003368/2022</t>
  </si>
  <si>
    <t>Substituição do sistema de ar condicionado da Sala de Controle/Réles da SE Canoinhas.</t>
  </si>
  <si>
    <t>0003372/2022</t>
  </si>
  <si>
    <t>Sistema de Ar Condicionado</t>
  </si>
  <si>
    <t>Substituição de Transformador de Potencial Capacitivo 230 kV, referente ao TF 1 230/138 kV da SE Blumenau, Fase A. Associado à obra são esperadas substituições/adaptações de fundações, suportes, caixa de junção, cabos de controle/potência, barramento, conectores e conexão de aterramento.</t>
  </si>
  <si>
    <t>0003373/2022</t>
  </si>
  <si>
    <t>Substituição de Disjuntor tripolar 230 kV, DJ812, referente ao TF 2 230/138 kV da SE Blumenau. Associado à obra, são esperadas substituições ou adaptações de fundações e suportes existentes, cabos de controle e potência, barramento, conectores e conexão do aterramento do equipamento.</t>
  </si>
  <si>
    <t>TR 230/138 kV BLUMENAU TR2 SC</t>
  </si>
  <si>
    <t>0003374/2022</t>
  </si>
  <si>
    <t>DJ812</t>
  </si>
  <si>
    <t>Substituição do sistema de ar condicionado da Sala de Controle/Réles da SE Campo Mourão.</t>
  </si>
  <si>
    <t>0003377/2022</t>
  </si>
  <si>
    <t>Substituição de Transformador de Potencial Capacitivo 230 kV, referente ao TF 2 230/138 kV da SE Blumenau, Fase A. Associado à obra são esperadas substituições/adaptações de fundações, suportes, caixa de junção, cabos de controle/potência, barramento, conectores e conexão de aterramento.</t>
  </si>
  <si>
    <t>0003376/2022</t>
  </si>
  <si>
    <t>Substituição de Disjuntor tripolar 230 kV, DJ782, referente ao TF 3 230/138 kV da SE Blumenau. Associado à obra, são esperadas substituições ou adaptações de fundações e suportes existentes, cabos de controle e potência, barramento, conectores e conexão do aterramento do equipamento.</t>
  </si>
  <si>
    <t>TR 230/138 kV BLUMENAU TR3 SC</t>
  </si>
  <si>
    <t>0003379/2022</t>
  </si>
  <si>
    <t>DJ782</t>
  </si>
  <si>
    <t>Substituição de Transformador de Potencial Capacitivo 230 kV, referente ao TF 3 230/138 kV da SE Blumenau, Fase A. Associado à obra são esperadas substituições/adaptações de fundações, suportes, caixa de junção, cabos de controle/potência, barramento, conectores e conexão de aterramento.</t>
  </si>
  <si>
    <t>0003380/2022</t>
  </si>
  <si>
    <t>Substituição do sistema de ar condicionado da Sala de Controle/Réles da SE Ivaiporã.</t>
  </si>
  <si>
    <t>0003381/2022</t>
  </si>
  <si>
    <t>Substituição de Chave Seccionadora tripolar 138 kV, CS579, referente a LT Campo Grande - Campo Grande M.Couto C-1. Associado à obra são esperadas substituições/adaptações de fundações, suportes, cabos de controle/potência, barramento, conectores e conexão de aterramento.</t>
  </si>
  <si>
    <t>0003384/2022</t>
  </si>
  <si>
    <t>CS579</t>
  </si>
  <si>
    <t>Substituição de Disjuntor tripolar 230 kV, DJ792, referente ao TF 4 230/138 kV da SE Blumenau. Associado à obra, são esperadas substituições ou adaptações de fundações e suportes existentes, cabos de controle e potência, barramento, conectores e conexão do aterramento do equipamento.</t>
  </si>
  <si>
    <t>TR 230/138 kV BLUMENAU TR4 SC</t>
  </si>
  <si>
    <t>0003385/2022</t>
  </si>
  <si>
    <t>Substituição de Chave Seccionadora tripolar 138 kV, CS587, referente a LT Campo Grande - Campo Grande M.Couto C-2. Associado à obra são esperadas substituições/adaptações de fundações, suportes, cabos de controle/potência, barramento, conectores e conexão de aterramento.</t>
  </si>
  <si>
    <t>0003386/2022</t>
  </si>
  <si>
    <t>CS587</t>
  </si>
  <si>
    <t>Substituição de Transformador de Potencial Capacitivo 230 kV, referente ao TF 4 230/138 kV da SE Blumenau, Fase A. Associado à obra são esperadas substituições/adaptações de fundações, suportes, caixa de junção, cabos de controle/potência, barramento, conectores e conexão de aterramento.</t>
  </si>
  <si>
    <t>0003388/2022</t>
  </si>
  <si>
    <t>BIGUACU</t>
  </si>
  <si>
    <t>Substituição do sistema de ar condicionado da Sala de Controle/Réles da SE Biguaçu.</t>
  </si>
  <si>
    <t>MG BIGUACU / CCO-2001-057 - RB</t>
  </si>
  <si>
    <t>0003387/2022</t>
  </si>
  <si>
    <t>Substituição de Chave Seccionadora tripolar 138 kV, CS589, referente a LT Campo Grande - Campo Grande M.Couto C-2. Associado à obra são esperadas substituições/adaptações de fundações, suportes, cabos de controle/potência, barramento, conectores e conexão de aterramento.</t>
  </si>
  <si>
    <t>0003389/2022</t>
  </si>
  <si>
    <t>CS589</t>
  </si>
  <si>
    <t>Substituição de Disjuntor tripolar 230 kV, DJ892, referente ao TF 5 525/230 kV da SE Blumenau. Associado à obra, são esperadas substituições ou adaptações de fundações e suportes existentes, cabos de controle e potência, barramento, conectores e conexão do aterramento do equipamento.</t>
  </si>
  <si>
    <t>0003390/2022</t>
  </si>
  <si>
    <t>DJ892</t>
  </si>
  <si>
    <t>Substituição de Chave Seccionadora tripolar 138 kV, CS617, referente a LT Campo Grande - U.Mimoso C-4. Associado à obra são esperadas substituições/adaptações de fundações, suportes, cabos de controle/potência, barramento, conectores e conexão de aterramento.</t>
  </si>
  <si>
    <t>0003391/2022</t>
  </si>
  <si>
    <t>CS617</t>
  </si>
  <si>
    <t>Substituição do sistema de ar condicionado da Sala de Controle/Réles da SE Itajaí.</t>
  </si>
  <si>
    <t>0003393/2022</t>
  </si>
  <si>
    <t>Substituição de Chave Seccionadora tripolar 138 kV, CS619, referente a LT Campo Grande - U.Mimoso C-4. Associado à obra são esperadas substituições/adaptações de fundações, suportes, cabos de controle/potência, barramento, conectores e conexão de aterramento.</t>
  </si>
  <si>
    <t>0003394/2022</t>
  </si>
  <si>
    <t>CS619</t>
  </si>
  <si>
    <t>Substituição de Transformador de Potencial Capacitivo 230 kV, referente ao TF 5 525/230 kV da SE Blumenau, Fase A. Associado à obra são esperadas substituições/adaptações de fundações, suportes, caixa de junção, cabos de controle/potência, barramento, conectores e conexão de aterramento.</t>
  </si>
  <si>
    <t>0003395/2022</t>
  </si>
  <si>
    <t>Substituição de Chave Seccionadora tripolar 138 kV, CS637, referente a LT Campo Grande - Sidrolândia C-1. Associado à obra são esperadas substituições/adaptações de fundações, suportes, cabos de controle/potência, barramento, conectores e conexão de aterramento.</t>
  </si>
  <si>
    <t>0003397/2022</t>
  </si>
  <si>
    <t>CS637</t>
  </si>
  <si>
    <t>Substituição de Chave Seccionadora tripolar 138 kV, CS639, referente a LT Campo Grande - Sidrolândia C-1. Associado à obra são esperadas substituições/adaptações de fundações, suportes, cabos de controle/potência, barramento, conectores e conexão de aterramento.</t>
  </si>
  <si>
    <t>0003400/2022</t>
  </si>
  <si>
    <t>CS639</t>
  </si>
  <si>
    <t>Substituição do sistema de ar condicionado da Sala de Controle/Réles da SE Joinville Norte.</t>
  </si>
  <si>
    <t>0003402/2022</t>
  </si>
  <si>
    <t>Substituição de Retificador (Carregador de Baterias) 125 Vcc - SACC125-RET1, da SE Campo Grande. Capacidade do novo equipamento: &gt;= 60 A.</t>
  </si>
  <si>
    <t>0003403/2022</t>
  </si>
  <si>
    <t>Substituição de Retificador (Carregador de Baterias) 125 Vcc - SACC125-RET2, da SE Campo Grande. Capacidade do novo equipamento: &gt;= 60 A.</t>
  </si>
  <si>
    <t>0003404/2022</t>
  </si>
  <si>
    <t>Substituição do sistema de ar condicionado da Sala de Controle/Réles da SE Joinville.</t>
  </si>
  <si>
    <t>MG JOINVILLE / CCO-2001-057 - RB</t>
  </si>
  <si>
    <t>0003405/2022</t>
  </si>
  <si>
    <t>Substituição de Disjuntor tripolar 230 kV, DJ912, referente ao TF 6 525/230 kV da SE Blumenau. Associado à obra, são esperadas substituições ou adaptações de fundações e suportes existentes, cabos de controle e potência, barramento, conectores e conexão do aterramento do equipamento.</t>
  </si>
  <si>
    <t>0003406/2022</t>
  </si>
  <si>
    <t>DJ912</t>
  </si>
  <si>
    <t>Substituição de Transformadores de Corrente 230 kV, referente ao TF 6 525/230 kV da SE Blumenau, DJ912, Fases A, B, C. Associado à obra são esperadas substituições/adaptações de fundações, suportes, caixa de junção, cabos, barramento, conectores e conexão de aterramento.</t>
  </si>
  <si>
    <t>0003407/2022</t>
  </si>
  <si>
    <t>TC DJ912</t>
  </si>
  <si>
    <t>Substituição do sistema de ar condicionado da Sala de Controle/Réles da SE Palhoça.</t>
  </si>
  <si>
    <t>MG PALHOCA ESU / CCO-2001-057 - RB</t>
  </si>
  <si>
    <t>0009128/2022</t>
  </si>
  <si>
    <t>Substituição de Transformador de Potencial Capacitivo 230 kV, referente ao TF 6 525/230 kV da SE Blumenau, Fase A. Associado à obra são esperadas substituições/adaptações de fundações, suportes, caixa de junção, cabos de controle/potência, barramento, conectores e conexão de aterramento.</t>
  </si>
  <si>
    <t>0003410/2022</t>
  </si>
  <si>
    <t>Substituição de Chave Seccionadora tripolar 138 kV, CS541, referente a LT Blumenau - Blumenau Dois C-1. Associado à obra são esperadas substituições/adaptações de fundações, suportes, cabos de controle/potência, barramento, conectores e conexão de aterramento.</t>
  </si>
  <si>
    <t>LT 138 kV BLUMENAU / BLUMENAU DOIS C-1 SC</t>
  </si>
  <si>
    <t>0003414/2022</t>
  </si>
  <si>
    <t>Substituição do sistema de ar condicionado da Sala de Controle/Réles da SE Campo Grande.</t>
  </si>
  <si>
    <t>0003416/2022</t>
  </si>
  <si>
    <t>Substituição de Chave Seccionadora tripolar 138 kV, CS543, referente a LT Blumenau - Blumenau Dois C-1. Associado à obra são esperadas substituições/adaptações de fundações, suportes, cabos de controle/potência, barramento, conectores e conexão de aterramento.</t>
  </si>
  <si>
    <t>0003419/2022</t>
  </si>
  <si>
    <t>Substituição do sistema de ar condicionado da Sala de Controle/Réles da SE Dourados.</t>
  </si>
  <si>
    <t>MG DOURADOS / CCO-2001-057 - RB</t>
  </si>
  <si>
    <t>0003420/2022</t>
  </si>
  <si>
    <t>Substituição de Chave Seccionadora tripolar 138 kV, CS545, referente a LT Blumenau - Blumenau Dois C-1. Associado à obra são esperadas substituições/adaptações de fundações, suportes, cabos de controle/potência, barramento, conectores e conexão de aterramento.</t>
  </si>
  <si>
    <t>0003421/2022</t>
  </si>
  <si>
    <t>Substituição de Transformador de Potencial 138 kV, referente a LT Blumenau - Blumenau Dois C-1, Fase A. Associado à obra são esperadas substituições/adaptações de fundações, suportes, caixa de junção, cabos de controle/potência, barramento, conectores e conexão de aterramento.</t>
  </si>
  <si>
    <t>0003422/2022</t>
  </si>
  <si>
    <t>TPA</t>
  </si>
  <si>
    <t>Substituição dos sistemas de iluminação e distribuição de força (painéis e tomadas) da Subestação Campos Novos.</t>
  </si>
  <si>
    <t>0003423/2022</t>
  </si>
  <si>
    <t>Sistema de Iluminação e Força</t>
  </si>
  <si>
    <t>Substituição de Para-Raios 138 kV, referente a  LT Blumenau - Blumenau Dois C-1, Fases A, B e C. Associado à obra, são esperadas substituições ou adaptações de fundações e suportes existentes, cabos de controle e potência, barramento, conectores e conexão do aterramento.</t>
  </si>
  <si>
    <t>0003425/2022</t>
  </si>
  <si>
    <t>PRA / PRB / PRC</t>
  </si>
  <si>
    <t>Substituição dos sistemas de iluminação e distribuição de força (painéis e tomadas) da Subestação Santo Ângelo.</t>
  </si>
  <si>
    <t>MG SANTO ANGELO / CCO-2001-057 - RB</t>
  </si>
  <si>
    <t>0003426/2022</t>
  </si>
  <si>
    <t>Substituição de Disjuntor tripolar 138 kV, DJ532, referente a LT Blumenau - Blumenau Dois C-2. Associado à obra, são esperadas substituições ou adaptações de fundações e suportes existentes, cabos de controle e potência, barramento, conectores e conexão do aterramento do equipamento.</t>
  </si>
  <si>
    <t>LT 138 kV BLUMENAU / BLUMENAU DOIS C-2 SC</t>
  </si>
  <si>
    <t>0003427/2022</t>
  </si>
  <si>
    <t>Substituição de Chave Seccionadora tripolar 138 kV, CS531, referente a LT Blumenau - Blumenau Dois C-2. Associado à obra são esperadas substituições/adaptações de fundações, suportes, cabos de controle/potência, barramento, conectores e conexão de aterramento.</t>
  </si>
  <si>
    <t>0003428/2022</t>
  </si>
  <si>
    <t>TAPERA 2</t>
  </si>
  <si>
    <t>Substituição dos sistemas de iluminação e distribuição de força (painéis e tomadas) da Subestação Tapera 2.</t>
  </si>
  <si>
    <t>MG TAPERA 2 / CCO-2001-057 - RB</t>
  </si>
  <si>
    <t>0003429/2022</t>
  </si>
  <si>
    <t>Substituição de Chave Seccionadora tripolar 138 kV, CS533, referente a LT Blumenau - Blumenau Dois C-2. Associado à obra são esperadas substituições/adaptações de fundações, suportes, cabos de controle/potência, barramento, conectores e conexão de aterramento.</t>
  </si>
  <si>
    <t>0003430/2022</t>
  </si>
  <si>
    <t>Substituição dos sistemas de iluminação e distribuição de força (painéis e tomadas) da Subestação Curitiba.</t>
  </si>
  <si>
    <t>0003433/2022</t>
  </si>
  <si>
    <t>Substituição de Chave Seccionadora tripolar 138 kV, CS535, referente a LT Blumenau - Blumenau Dois C-2. Associado à obra são esperadas substituições/adaptações de fundações, suportes, cabos de controle/potência, barramento, conectores e conexão de aterramento.</t>
  </si>
  <si>
    <t>0003434/2022</t>
  </si>
  <si>
    <t>Substituição dos sistemas de iluminação e distribuição de força (painéis e tomadas) da Subestação Ivaiporã.</t>
  </si>
  <si>
    <t>0003435/2022</t>
  </si>
  <si>
    <t>Substituição de Transformador de Potencial Capacitivo 138 kV, referente a LT Blumenau - Blumenau Dois C-2, Fase A. Associado à obra são esperadas substituições/adaptações de fundações, suportes, caixa de junção, cabos de controle/potência, barramento, conectores e conexão de aterramento.</t>
  </si>
  <si>
    <t>0003438/2022</t>
  </si>
  <si>
    <t>Substituição dos sistemas de iluminação e distribuição de força (painéis e tomadas) da Subestação Blumenau.</t>
  </si>
  <si>
    <t>0003440/2022</t>
  </si>
  <si>
    <t>Substituição de Para-Raios 138 kV, referente a  LT Blumenau - Blumenau Dois C-2, Fases A, B e C. Associado à obra, são esperadas substituições ou adaptações de fundações e suportes existentes, cabos de controle e potência, barramento, conectores e conexão do aterramento.</t>
  </si>
  <si>
    <t>0003442/2022</t>
  </si>
  <si>
    <t>Substituição dos sistemas de iluminação e distribuição de força (painéis e tomadas) da Subestação J.Lacerda-A.</t>
  </si>
  <si>
    <t>0003446/2022</t>
  </si>
  <si>
    <t>Substituição dos sistemas de iluminação e distribuição de força (painéis e tomadas) da Subestação J.Lacerda-B.</t>
  </si>
  <si>
    <t>0003453/2022</t>
  </si>
  <si>
    <t>Substituição de Chave Seccionadora tripolar 138 kV, CS641, referente a LT Blumenau - Gaspar C-1. Associado à obra são esperadas substituições/adaptações de fundações, suportes, cabos de controle/potência, barramento, conectores e conexão de aterramento.</t>
  </si>
  <si>
    <t>LT 138 kV BLUMENAU / GASPAR C-1 SC</t>
  </si>
  <si>
    <t>0003454/2022</t>
  </si>
  <si>
    <t>CS641</t>
  </si>
  <si>
    <t>Substituição dos sistemas de iluminação e distribuição de força (painéis e tomadas) da Subestação Siderópolis.</t>
  </si>
  <si>
    <t>MG SIDEROPOL.ESU / CCO-2001-057 - RB</t>
  </si>
  <si>
    <t>0003456/2022</t>
  </si>
  <si>
    <t>Substituição de Chave Seccionadora tripolar 138 kV, CS643, referente a LT Blumenau - Gaspar C-1. Associado à obra são esperadas substituições/adaptações de fundações, suportes, cabos de controle/potência, barramento, conectores e conexão de aterramento.</t>
  </si>
  <si>
    <t>0003457/2022</t>
  </si>
  <si>
    <t>CS643</t>
  </si>
  <si>
    <t>Substituição de Chave Seccionadora tripolar 138 kV, CS645, referente a LT Blumenau - Gaspar C-1. Associado à obra são esperadas substituições/adaptações de fundações, suportes, cabos de controle/potência, barramento, conectores e conexão de aterramento.</t>
  </si>
  <si>
    <t>0003459/2022</t>
  </si>
  <si>
    <t>CS645</t>
  </si>
  <si>
    <t>Substituição dos sistemas de iluminação e distribuição de força (painéis e tomadas) da Subestação Mimoso.</t>
  </si>
  <si>
    <t>LT 138 kV U.MIMOSO / CAMPO GRANDE C-4 MS</t>
  </si>
  <si>
    <t>0003461/2022</t>
  </si>
  <si>
    <t>Substituição de Transformador de Potencial 138 kV, referente a LT Blumenau - Gaspar C-1, Fase A. Associado à obra são esperadas substituições/adaptações de fundações, suportes, caixa de junção, cabos de controle/potência, barramento, conectores e conexão de aterramento.</t>
  </si>
  <si>
    <t>0003462/2022</t>
  </si>
  <si>
    <t>Substituição de Para-Raios 138 kV, referente a  LT Blumenau - Gaspar C-1, Fases A, B e C. Associado à obra, são esperadas substituições ou adaptações de fundações e suportes existentes, cabos de controle e potência, barramento, conectores e conexão do aterramento.</t>
  </si>
  <si>
    <t>0003463/2022</t>
  </si>
  <si>
    <t>Substituição de Chave Seccionadora tripolar 138 kV, CS631, referente a LT Blumenau - Ilhota C-1. Associado à obra são esperadas substituições/adaptações de fundações, suportes, cabos de controle/potência, barramento, conectores e conexão de aterramento.</t>
  </si>
  <si>
    <t>LT 138 kV BLUMENAU / ILHOTA C-1 SC</t>
  </si>
  <si>
    <t>0003465/2022</t>
  </si>
  <si>
    <t>CS631</t>
  </si>
  <si>
    <t>Substituição de Chave Seccionadora tripolar 138 kV, CS633, referente a LT Blumenau - Ilhota C-1. Associado à obra são esperadas substituições/adaptações de fundações, suportes, cabos de controle/potência, barramento, conectores e conexão de aterramento.</t>
  </si>
  <si>
    <t>0003467/2022</t>
  </si>
  <si>
    <t>CS633</t>
  </si>
  <si>
    <t>Substituição de Chave Seccionadora tripolar 138 kV, CS635, referente a LT Blumenau - Ilhota C-1. Associado à obra são esperadas substituições/adaptações de fundações, suportes, cabos de controle/potência, barramento, conectores e conexão de aterramento.</t>
  </si>
  <si>
    <t>0003470/2022</t>
  </si>
  <si>
    <t>CS635</t>
  </si>
  <si>
    <t>Substituição de Transformador de Potencial 138 kV, referente a LT Blumenau - Ilhota C-1, Fase A. Associado à obra são esperadas substituições/adaptações de fundações, suportes, caixa de junção, cabos de controle/potência, barramento, conectores e conexão de aterramento.</t>
  </si>
  <si>
    <t>0003471/2022</t>
  </si>
  <si>
    <t>Substituição do sistema de controle e supervisão (com unidade redundante) do TF 3 230/138 kV, lado de 230 kV, da SE Itajaí, e dos cabos de controle e potência associados.</t>
  </si>
  <si>
    <t>0003474/2022</t>
  </si>
  <si>
    <t>Controle - TF 3 230</t>
  </si>
  <si>
    <t>Substituição do sistema de controle e supervisão do TF 3 230/138 kV, lado de 138 kV, da SE Itajaí, e dos cabos de controle e potência associados.</t>
  </si>
  <si>
    <t>0003482/2022</t>
  </si>
  <si>
    <t>Controle - TF 3 138</t>
  </si>
  <si>
    <t>Substituição das proteções Principal, Alternada e Falha de Disjuntor, incluindo painéis e cabos de controle e potência associados, referente ao TF 3 230/138 kV, lado de 138 kV, da SE Itajaí.</t>
  </si>
  <si>
    <t>0003484/2022</t>
  </si>
  <si>
    <t>PP, PA, BA, BF - TF 3 138</t>
  </si>
  <si>
    <t>Substituição das proteções Principal, Alternada e Falha de Disjuntor (Principal), incluindo painéis e cabos de controle e potência associados, referente ao TF 4 230/138 kV, lado de 230 kV, da SE Itajaí.</t>
  </si>
  <si>
    <t>TR 230 / 138 kV ITAJAI 4 SC</t>
  </si>
  <si>
    <t>0003487/2022</t>
  </si>
  <si>
    <t>PP, PA, BA, BF - TF 4 230</t>
  </si>
  <si>
    <t>Substituição do sistema de controle e supervisão (com unidade redundante) do TF 4 230/138 kV, lado de 230 kV, da SE Itajaí, e dos cabos de controle e potência associados.</t>
  </si>
  <si>
    <t>0003488/2022</t>
  </si>
  <si>
    <t>Controle - TF 4 230</t>
  </si>
  <si>
    <t>Substituição das proteções Principal, Alternada e Falha de Disjuntor, incluindo painéis e cabos de controle e potência associados, referente ao TF 4 230/138 kV, lado de 138 kV, da SE Itajaí.</t>
  </si>
  <si>
    <t>0003490/2022</t>
  </si>
  <si>
    <t>PP, PA, BA, BF - TF 4 138</t>
  </si>
  <si>
    <t>Substituição do sistema de controle e supervisão do TF 4 230/138 kV, lado de 138 kV, da SE Itajaí, e dos cabos de controle e potência associados.</t>
  </si>
  <si>
    <t>0003491/2022</t>
  </si>
  <si>
    <t>Controle - TF 4 138</t>
  </si>
  <si>
    <t>Substituição do painel de SPCS dos serviços auxiliares CA e CC da SE Itajaí, e cabos associados.</t>
  </si>
  <si>
    <t>0003494/2022</t>
  </si>
  <si>
    <t>Painel SPCS</t>
  </si>
  <si>
    <t>Implantação de sistema de videomonitoramento, na subestação P. AFONSO IV, composto por: 01 switch dedicado; 01 microcomputador; 02 terminais de computador; 02 inversores de tensão; 24 unid. aquisição de dados (câmeras); 01 conjunto sensores (04 radares); 20 conversores óticos; 01 concentrador digital.</t>
  </si>
  <si>
    <t>0003861/2022</t>
  </si>
  <si>
    <t>Implantação de sistema de videomonitoramento dos pólos da chave seccionadora 35G1-8, na subestação P. AFONSO IV, composto por: 01 câmera dedicada.</t>
  </si>
  <si>
    <t>EL 500 kV P. AFONSO IV LT 500 kV P. AFONSO IV /USINA PA-IV C-1 BA (05G1)</t>
  </si>
  <si>
    <t>0003862/2022</t>
  </si>
  <si>
    <t>Implantação de sistema de videomonitoramento dos pólos da chave seccionadora 35G2-8, na subestação P. AFONSO IV, composto por: 01 câmera dedicada.</t>
  </si>
  <si>
    <t>EL 500 kV P. AFONSO IV LT 500 kV P. AFONSO IV /USINA PA-IV C-2 BA (05G2)</t>
  </si>
  <si>
    <t>0003863/2022</t>
  </si>
  <si>
    <t>Implantação de sistema de videomonitoramento dos pólos da chave seccionadora 35G3-8, na subestação P. AFONSO IV, composto por: 01 câmera dedicada.</t>
  </si>
  <si>
    <t>EL 500 kV P. AFONSO IV LT 500 kV P. AFONSO IV /USINA PA-IV C-3 BA (05G3)</t>
  </si>
  <si>
    <t>0003864/2022</t>
  </si>
  <si>
    <t>Implantação de sistema de videomonitoramento dos pólos da chave seccionadora 35G4-8, na subestação P. AFONSO IV, composto por: 01 câmera dedicada.</t>
  </si>
  <si>
    <t>EL 500 kV P. AFONSO IV LT 500 kV P. AFONSO IV /USINA PA-IV C-4 BA (05G4)</t>
  </si>
  <si>
    <t>0003865/2022</t>
  </si>
  <si>
    <t>Implantação de sistema de videomonitoramento dos pólos da chave seccionadora 35G5-8, na subestação P. AFONSO IV, composto por: 01 câmera dedicada.</t>
  </si>
  <si>
    <t>EL 500 kV P. AFONSO IV LT 500 kV P. AFONSO IV /USINA PA-IV C-5 BA (05G5)</t>
  </si>
  <si>
    <t>0003866/2022</t>
  </si>
  <si>
    <t>Implantação de sistema de videomonitoramento dos pólos da chave seccionadora 35G6-8, na subestação P. AFONSO IV, composto por: 01 câmera dedicada.</t>
  </si>
  <si>
    <t>EL 500 kV P. AFONSO IV LT 500 kV P. AFONSO IV /USINA PA-IV C-6 BA (05G6)</t>
  </si>
  <si>
    <t>0003867/2022</t>
  </si>
  <si>
    <t>Implantação de sistema de videomonitoramento dos pólos da chave seccionadora 35C1-8, na subestação P. AFONSO IV, composto por: 01 câmera dedicada.</t>
  </si>
  <si>
    <t>LT 500 kV P. AFONSO IV /US. L.GONZAGA C-1 BA/PE</t>
  </si>
  <si>
    <t>0003868/2022</t>
  </si>
  <si>
    <t>Implantação de sistema de videomonitoramento dos pólos da chave seccionadora 35V6-8, na subestação P. AFONSO IV, composto por: 01 câmera dedicada.</t>
  </si>
  <si>
    <t>LT 500 kV P. AFONSO IV /USINA XINGO C-1 BA/AL</t>
  </si>
  <si>
    <t>0003869/2022</t>
  </si>
  <si>
    <t>Implantação de sistema de videomonitoramento dos pólos da chave seccionadora 35S5-8, na subestação P. AFONSO IV, composto por: 01 câmera dedicada.</t>
  </si>
  <si>
    <t>0003870/2022</t>
  </si>
  <si>
    <t>Implantação de sistema de videomonitoramento dos pólos da chave seccionadora 35L6-8, na subestação P. AFONSO IV, composto por: 01 câmera dedicada.</t>
  </si>
  <si>
    <t>0003871/2022</t>
  </si>
  <si>
    <t>Substituição dos sistemas de iluminação e distribuição de força (painéis e tomadas) da Subestação Campo Grande.</t>
  </si>
  <si>
    <t>0003883/2022</t>
  </si>
  <si>
    <t>Construção de muro patrimonial na SE Dourados, com extensão aproximada de 1.800 metros.</t>
  </si>
  <si>
    <t>0003884/2022</t>
  </si>
  <si>
    <t>Muro Patrimonial</t>
  </si>
  <si>
    <t>ANASTACIO</t>
  </si>
  <si>
    <t>Construção de muro patrimonial na SE Anastácio, com extensão aproximada de 700 metros.</t>
  </si>
  <si>
    <t>MG ANASTACIO / CCO-2001-057 - RB</t>
  </si>
  <si>
    <t>0003886/2022</t>
  </si>
  <si>
    <t>Construção de muro patrimonial na SE Campo Grande, com extensão aproximada de 1.150 metros.</t>
  </si>
  <si>
    <t>0003888/2022</t>
  </si>
  <si>
    <t>XANXERE ESU</t>
  </si>
  <si>
    <t>Substituição de cerca operacional na SE Xanxerê, com extensão aproximada de 600 metros.</t>
  </si>
  <si>
    <t>MG XANXERE ESU / CCO-2001-057 - RB</t>
  </si>
  <si>
    <t>0003889/2022</t>
  </si>
  <si>
    <t>Cerca Operacional</t>
  </si>
  <si>
    <t>Instalação de cerca operacional na SE Areia, pátio de 525 kV, com extensão aproximada de 800 metros.</t>
  </si>
  <si>
    <t>0003890/2022</t>
  </si>
  <si>
    <t>Substituição da proteção de Falha de Disjuntor (Principal), incluindo painéis e cabos de controle e potência associados, referente a LT 230 kV Passo Fundo - Nova Prata 2 C-1.</t>
  </si>
  <si>
    <t>0003891/2022</t>
  </si>
  <si>
    <t>BA, BF - LT NPR2 C-1</t>
  </si>
  <si>
    <t>Construção de muro patrimonial na SE Areia, com extensão aproximada de 1.590 metros.</t>
  </si>
  <si>
    <t>0003892/2022</t>
  </si>
  <si>
    <t>Instalação de cerca operacional na SE Canoinhas, com extensão aproximada de 450 metros.</t>
  </si>
  <si>
    <t>0003893/2022</t>
  </si>
  <si>
    <t>Substituição do sistema de controle e supervisão (com unidade redundante) da LT 230 kV Passo Fundo - Nova Prata 2 C-1, e dos cabos de controle e potência associados.</t>
  </si>
  <si>
    <t>0003894/2022</t>
  </si>
  <si>
    <t>Controle - LT NPR2 C-1</t>
  </si>
  <si>
    <t>Substituição da proteção de Falha de Disjuntor (Principal), incluindo painéis e cabos de controle e potência associados, referente a LT 230 kV Passo Fundo - Nova Prata 2 C-2.</t>
  </si>
  <si>
    <t>LT 230 kV PASSO FUNDO /NOVA PRATA 2 C-2 RS</t>
  </si>
  <si>
    <t>0003896/2022</t>
  </si>
  <si>
    <t>BA, BF - LT NPR2 C-2</t>
  </si>
  <si>
    <t>Construção de muro patrimonial na SE Charqueadas, com extensão aproximada de 400 metros.</t>
  </si>
  <si>
    <t>0003897/2022</t>
  </si>
  <si>
    <t>Substituição de Para-Raios 138 kV, referente a  LT Blumenau - Ilhota C-1, Fases A, B e C. Associado à obra, são esperadas substituições ou adaptações de fundações e suportes existentes, cabos de controle e potência, barramento, conectores e conexão do aterramento.</t>
  </si>
  <si>
    <t>0003898/2022</t>
  </si>
  <si>
    <t>Substituição do sistema de controle e supervisão (com unidade redundante) da LT 230 kV Passo Fundo - Nova Prata 2 C-2, e dos cabos de controle e potência associados.</t>
  </si>
  <si>
    <t>0003899/2022</t>
  </si>
  <si>
    <t>Controle - LT NPR2 C-2</t>
  </si>
  <si>
    <t>Substituição de Chave Seccionadora tripolar 138 kV, CS591, referente ao Interligador de Barras da SE Blumenau. Associado à obra são esperadas substituições/adaptações de fundações, suportes, cabos de controle/potência, barramento, conectores e conexão de aterramento.</t>
  </si>
  <si>
    <t>0003900/2022</t>
  </si>
  <si>
    <t>CS591</t>
  </si>
  <si>
    <t>Substituição das proteções Principal, Alternada e Falha de Disjuntor (Principal), incluindo painéis e cabos de controle e potência associados, referente a LT 230 kV Passo Fundo - U. Passo Fundo C-1.</t>
  </si>
  <si>
    <t>LT 230 kV PASSO FUNDO / U. PASSO FUNDO C-1 RS</t>
  </si>
  <si>
    <t>0003901/2022</t>
  </si>
  <si>
    <t>PP, PA, BA, BF - LT UHPF C-1</t>
  </si>
  <si>
    <t>Construção de muro patrimonial na SE Gravataí, com extensão aproximada de 880 metros.</t>
  </si>
  <si>
    <t>0003902/2022</t>
  </si>
  <si>
    <t>Substituição do sistema de controle e supervisão (com unidade redundante) da LT 230 kV Passo Fundo - U. Passo Fundo C-1, e dos cabos de controle e potência associados.</t>
  </si>
  <si>
    <t>0003903/2022</t>
  </si>
  <si>
    <t>Controle - LT UHPF C-1</t>
  </si>
  <si>
    <t>Substituição de Chave Seccionadora tripolar 138 kV, CS593, referente ao Interligador de Barras da SE Blumenau. Associado à obra são esperadas substituições/adaptações de fundações, suportes, cabos de controle/potência, barramento, conectores e conexão de aterramento.</t>
  </si>
  <si>
    <t>0003904/2022</t>
  </si>
  <si>
    <t>CS593</t>
  </si>
  <si>
    <t>L.GRANDE</t>
  </si>
  <si>
    <t>Construção de muro patrimonial na SE Lajeado Grande, com extensão aproximada de 800 metros.</t>
  </si>
  <si>
    <t>MG L.GRANDE / CCO-2001-057 - RB</t>
  </si>
  <si>
    <t>0003905/2022</t>
  </si>
  <si>
    <t>Substituição de Transformadores de Potencial 138 kV, referente a Barra P (BAP138) da SE Blumenau, Fases A, B, C. Associado à obra são esperadas substituições/adaptações de fundações, suportes, caixa de junção, cabos de controle e potência, barramento, conectores e conexão de aterramento.</t>
  </si>
  <si>
    <t>0003906/2022</t>
  </si>
  <si>
    <t>TPA / TPB / TPC</t>
  </si>
  <si>
    <t>Substituição de cerca operacional na SE Joinville, com extensão aproximada de 700 metros.</t>
  </si>
  <si>
    <t>0003907/2022</t>
  </si>
  <si>
    <t>Substituição das proteções Principal, Alternada e Falha de Disjuntor (Principal), incluindo painéis e cabos de controle e potência associados, referente a LT 230 kV Passo Fundo - U. Passo Fundo C-2.</t>
  </si>
  <si>
    <t>LT 230 kV PASSO FUNDO / U. PASSO FUNDO C-2 RS</t>
  </si>
  <si>
    <t>0003908/2022</t>
  </si>
  <si>
    <t>PP, PA, BA, BF - LT UHPF C-2</t>
  </si>
  <si>
    <t>Substituição de Chave Seccionadora tripolar 138 kV, CS571, referente ao TF 1 230/138 kV da SE Blumenau. Associado à obra são esperadas substituições/adaptações de fundações, suportes, cabos de controle/potência, barramento, conectores e conexão de aterramento.</t>
  </si>
  <si>
    <t>0003909/2022</t>
  </si>
  <si>
    <t>CS571</t>
  </si>
  <si>
    <t>Substituição do sistema de controle e supervisão (com unidade redundante) da LT 230 kV Passo Fundo - U. Passo Fundo C-2, e dos cabos de controle e potência associados.</t>
  </si>
  <si>
    <t>0003911/2022</t>
  </si>
  <si>
    <t>Controle - LT UHPF C-2</t>
  </si>
  <si>
    <t>Substituição de cerca operacional na SE Palhoça, com extensão aproximada de 1.000 metros.</t>
  </si>
  <si>
    <t>0003912/2022</t>
  </si>
  <si>
    <t>Substituição de Chave Seccionadora tripolar 138 kV, CS573, referente ao TF 1 230/138 kV da SE Blumenau. Associado à obra são esperadas substituições/adaptações de fundações, suportes, cabos de controle/potência, barramento, conectores e conexão de aterramento.</t>
  </si>
  <si>
    <t>0003914/2022</t>
  </si>
  <si>
    <t>CS573</t>
  </si>
  <si>
    <t>Substituição das proteções Principal, Alternada e Falha de Disjuntor (Principal), incluindo painéis e cabos de controle e potência associados, referente a LT 230 kV Passo Fundo - Guarita C-1.</t>
  </si>
  <si>
    <t>LT 230 kV PASSO FUNDO /GUARITA C-1 RS</t>
  </si>
  <si>
    <t>0003915/2022</t>
  </si>
  <si>
    <t>PP, PA, BA, BF - LT GRT C-1</t>
  </si>
  <si>
    <t>Substituição de Chave Seccionadora tripolar 138 kV, CS575, referente ao TF 1 230/138 kV da SE Blumenau. Associado à obra são esperadas substituições/adaptações de fundações, suportes, cabos de controle/potência, barramento, conectores e conexão de aterramento.</t>
  </si>
  <si>
    <t>0003916/2022</t>
  </si>
  <si>
    <t>CS575</t>
  </si>
  <si>
    <t>Substituição do sistema de controle e supervisão (com unidade redundante) da LT 230 kV Passo Fundo - Guarita C-1, e dos cabos de controle e potência associados.</t>
  </si>
  <si>
    <t>0003917/2022</t>
  </si>
  <si>
    <t>Controle - LT GRT C-1</t>
  </si>
  <si>
    <t>Substituição de Para-Raios 138 kV, referente ao TF 1 230/138 kV da SE Blumenau, Fases A, B e C. Associado à obra, são esperadas substituições ou adaptações de fundações e suportes existentes, cabos de controle e potência, barramento, conectores e conexão do aterramento.</t>
  </si>
  <si>
    <t>0003918/2022</t>
  </si>
  <si>
    <t>Substituição das proteções Principal, Alternada e Falha de Disjuntor (Principal), incluindo painéis e cabos de controle e potência associados, referente a LT 230 kV Passo Fundo - Xanxerê C-1.</t>
  </si>
  <si>
    <t>LT 230 kV PASSO FUNDO /XANXERE ESU C-1 RS/SC</t>
  </si>
  <si>
    <t>0003919/2022</t>
  </si>
  <si>
    <t>PP, PA, BA, BF - LT XAN C-1</t>
  </si>
  <si>
    <t>Substituição de cerca operacional na SE Itajaí, com extensão aproximada de 780 metros.</t>
  </si>
  <si>
    <t>0003920/2022</t>
  </si>
  <si>
    <t>Substituição do sistema de controle e supervisão (com unidade redundante) da LT 230 kV Passo Fundo - Xanxerê C-1, e dos cabos de controle e potência associados.</t>
  </si>
  <si>
    <t>0003921/2022</t>
  </si>
  <si>
    <t>Controle - LT XAN C-1</t>
  </si>
  <si>
    <t>Substituição de Chave Seccionadora tripolar 138 kV, CS621, referente ao TF 2 230/138 kV da SE Blumenau. Associado à obra são esperadas substituições/adaptações de fundações, suportes, cabos de controle/potência, barramento, conectores e conexão de aterramento.</t>
  </si>
  <si>
    <t>0003922/2022</t>
  </si>
  <si>
    <t>CS621</t>
  </si>
  <si>
    <t>Substituição da proteção Principal e Alternada, incluindo painéis e cabos de controle e potência associados, referente a LT 230 kV Xanxerê - Passo Fundo C-1.</t>
  </si>
  <si>
    <t>LT 230 kV XANXERE / PASSO FUNDO C-1 RS</t>
  </si>
  <si>
    <t>0003924/2022</t>
  </si>
  <si>
    <t>PP, PA - LT PFU C-1</t>
  </si>
  <si>
    <t>Construção de muro patrimonial na SE Itajaí, com extensão aproximada de 960 metros.</t>
  </si>
  <si>
    <t>0003925/2022</t>
  </si>
  <si>
    <t>Substituição de Chave Seccionadora tripolar 138 kV, CS623, referente ao TF 2 230/138 kV da SE Blumenau. Associado à obra são esperadas substituições/adaptações de fundações, suportes, cabos de controle/potência, barramento, conectores e conexão de aterramento.</t>
  </si>
  <si>
    <t>0003926/2022</t>
  </si>
  <si>
    <t>CS623</t>
  </si>
  <si>
    <t>Substituição das proteções Principal, Alternada e Falha de Disjuntor (Principal), incluindo painéis e cabos de controle e potência associados, referente a LT 230 kV Passo Fundo - Xanxerê C-2.</t>
  </si>
  <si>
    <t>LT 230 kV PASSO FUNDO /XANXERE ESU C-2 RS/SC</t>
  </si>
  <si>
    <t>0003927/2022</t>
  </si>
  <si>
    <t>PP, PA, BA, BF - LT XAN C-2</t>
  </si>
  <si>
    <t>Substituição de Chave Seccionadora tripolar 138 kV, CS625, referente ao TF 2 230/138 kV da SE Blumenau. Associado à obra são esperadas substituições/adaptações de fundações, suportes, cabos de controle/potência, barramento, conectores e conexão de aterramento.</t>
  </si>
  <si>
    <t>0003929/2022</t>
  </si>
  <si>
    <t>CS625</t>
  </si>
  <si>
    <t>Substituição do sistema de controle e supervisão (com unidade redundante) da LT 230 kV Passo Fundo - Xanxerê C-2, e dos cabos de controle e potência associados.</t>
  </si>
  <si>
    <t>0003930/2022</t>
  </si>
  <si>
    <t>Controle - LT XAN C-2</t>
  </si>
  <si>
    <t>Construção de muro patrimonial na SE J.Lacerda A, com extensão aproximada de 860 metros.</t>
  </si>
  <si>
    <t>0003931/2022</t>
  </si>
  <si>
    <t>Substituição da proteção Principal e Alternada, incluindo painéis e cabos de controle e potência associados, referente a LT 230 kV Xanxerê - Passo Fundo C-2.</t>
  </si>
  <si>
    <t>LT 230 kV XANXERE / PASSO FUNDO C-2 RS</t>
  </si>
  <si>
    <t>0003934/2022</t>
  </si>
  <si>
    <t>PP, PA - LT PFU C-2</t>
  </si>
  <si>
    <t>Substituição de Para-Raios 138 kV, referente ao TF 2 230/138 kV da SE Blumenau, Fases A, B e C. Associado à obra, são esperadas substituições ou adaptações de fundações e suportes existentes, cabos de controle e potência, barramento, conectores e conexão do aterramento.</t>
  </si>
  <si>
    <t>0003935/2022</t>
  </si>
  <si>
    <t>Substituição de cerca operacional na SE Desterro, com extensão aproximada de 630 metros.</t>
  </si>
  <si>
    <t>0003938/2022</t>
  </si>
  <si>
    <t>Substituição de Chave Seccionadora tripolar 138 kV, CS581, referente ao TF 3 230/138 kV da SE Blumenau. Associado à obra são esperadas substituições/adaptações de fundações, suportes, cabos de controle/potência, barramento, conectores e conexão de aterramento.</t>
  </si>
  <si>
    <t>0003939/2022</t>
  </si>
  <si>
    <t>CS581</t>
  </si>
  <si>
    <t>Construção de muro patrimonial na SE Siderópolis, com extensão aproximada de 860 metros.</t>
  </si>
  <si>
    <t>0003941/2022</t>
  </si>
  <si>
    <t>Substituição de Chave Seccionadora tripolar 138 kV, CS583, referente ao TF 3 230/138 kV da SE Blumenau. Associado à obra são esperadas substituições/adaptações de fundações, suportes, cabos de controle/potência, barramento, conectores e conexão de aterramento.</t>
  </si>
  <si>
    <t>0003942/2022</t>
  </si>
  <si>
    <t>CS583</t>
  </si>
  <si>
    <t>Substituição de Chave Seccionadora tripolar 138 kV, CS585, referente ao TF 3 230/138 kV da SE Blumenau. Associado à obra são esperadas substituições/adaptações de fundações, suportes, cabos de controle/potência, barramento, conectores e conexão de aterramento.</t>
  </si>
  <si>
    <t>0003943/2022</t>
  </si>
  <si>
    <t>CS585</t>
  </si>
  <si>
    <t>Substituição do sistema de controle e supervisão (com unidade redundante) do Interligador de Barras (IB) 230 kV da SE Passo Fundo, e dos cabos de controle e potência associados.</t>
  </si>
  <si>
    <t>0003944/2022</t>
  </si>
  <si>
    <t>Substituição de Para-Raios 138 kV, referente ao TF 3 230/138 kV da SE Blumenau, Fases A, B e C. Associado à obra, são esperadas substituições ou adaptações de fundações e suportes existentes, cabos de controle e potência, barramento, conectores e conexão do aterramento.</t>
  </si>
  <si>
    <t>0003945/2022</t>
  </si>
  <si>
    <t>Substituição de Disjuntor tripolar 138 kV, DJ612, referente ao TF 4 230/138 kV da SE Blumenau. Associado à obra, são esperadas substituições ou adaptações de fundações e suportes existentes, cabos de controle e potência, barramento, conectores e conexão do aterramento do equipamento.</t>
  </si>
  <si>
    <t>0003947/2022</t>
  </si>
  <si>
    <t>Substituição de Chave Seccionadora tripolar 138 kV, CS611, referente ao TF 4 230/138 kV da SE Blumenau. Associado à obra são esperadas substituições/adaptações de fundações, suportes, cabos de controle/potência, barramento, conectores e conexão de aterramento.</t>
  </si>
  <si>
    <t>0003949/2022</t>
  </si>
  <si>
    <t>CS611</t>
  </si>
  <si>
    <t>Substituição de Chave Seccionadora tripolar 138 kV, CS613, referente ao TF 4 230/138 kV da SE Blumenau. Associado à obra são esperadas substituições/adaptações de fundações, suportes, cabos de controle/potência, barramento, conectores e conexão de aterramento.</t>
  </si>
  <si>
    <t>0003950/2022</t>
  </si>
  <si>
    <t>CS613</t>
  </si>
  <si>
    <t>Substituição das proteções Principal, Alternada e Falha de Disjuntor (Principal), incluindo painéis e cabos de controle e potência associados, referente ao TF 3 230/138 kV, lado de 230 kV, da SE Passo Fundo.</t>
  </si>
  <si>
    <t>0003951/2022</t>
  </si>
  <si>
    <t>Substituição de Chave Seccionadora tripolar 138 kV, CS615, referente ao TF 4 230/138 kV da SE Blumenau. Associado à obra são esperadas substituições/adaptações de fundações, suportes, cabos de controle/potência, barramento, conectores e conexão de aterramento.</t>
  </si>
  <si>
    <t>0003952/2022</t>
  </si>
  <si>
    <t>CS615</t>
  </si>
  <si>
    <t>SUBSTITUIÇÃO DO DISJUNTOR LDDJ6-03</t>
  </si>
  <si>
    <t>0003953/2022</t>
  </si>
  <si>
    <t>LDDJ6-03</t>
  </si>
  <si>
    <t>Substituição da proteção de Falha de Disjuntor (Principal), incluindo painéis e cabos de controle e potência associados, referente ao Interligador de Barras (IB) 230 kV da SE Passo Fundo.</t>
  </si>
  <si>
    <t>0003954/2022</t>
  </si>
  <si>
    <t>BA, BF - IB230</t>
  </si>
  <si>
    <t>Substituição da cadeia de proteção de barras principal, referente às barras A e B de 230 kV da SE Passo Fundo, incluindo uma Unidade Central e onze unidades de Bay (vãos LT 230 kV Nova Prata 2 C-1 e C-2, LT 230 kV U. Passo Fundo C-1 e C-2, LT 230 kV Guarita C-1, LT 230 kV Xanxerê C-1 e C-2, LT 230 kV Santa Marta C-1, TF 3 230/138 kV, TF 5 230/138 kV e Interligador de Barras - IB), painéis, cabos de controle e potência associados.</t>
  </si>
  <si>
    <t>0003956/2022</t>
  </si>
  <si>
    <t>Substituição do sistema de controle e supervisão (com unidade redundante) do TF 3 230/138 kV, lado de 230 kV, da SE Passo Fundo, e dos cabos de controle e potência associados.</t>
  </si>
  <si>
    <t>0009134/2022</t>
  </si>
  <si>
    <t>Substituição de Chave Seccionadora tripolar 230 kV, CS731, referente a LT J.Lacerda A - J.Lacerda B C-1. Associado à obra são esperadas substituições/adaptações de fundações, suportes, cabos de controle/potência, barramento, conectores e conexão de aterramento.</t>
  </si>
  <si>
    <t>LT 230 kV J.LACERDA-A /J.LACERDA-B C-1 SC</t>
  </si>
  <si>
    <t>0003958/2022</t>
  </si>
  <si>
    <t>Substituição das proteções Principal, Alternada e Falha de Disjuntor, incluindo painéis e cabos de controle e potência associados, referente ao TF 3 230/138 kV, lado de 138 kV, da SE Passo Fundo.</t>
  </si>
  <si>
    <t>0003959/2022</t>
  </si>
  <si>
    <t>Substituição do sistema de ar condicionado da Sala de Controle/Réles da SE Desterro.</t>
  </si>
  <si>
    <t>0003960/2022</t>
  </si>
  <si>
    <t>Substituição de Chave Seccionadora tripolar 230 kV, CS733, referente a LT J.Lacerda A - J.Lacerda B C-1. Associado à obra são esperadas substituições/adaptações de fundações, suportes, cabos de controle/potência, barramento, conectores e conexão de aterramento.</t>
  </si>
  <si>
    <t>0003961/2022</t>
  </si>
  <si>
    <t>CS733</t>
  </si>
  <si>
    <t>Substituição do sistema de ar condicionado da Sala de Controle/Réles da SE Siderópolis.</t>
  </si>
  <si>
    <t>0003962/2022</t>
  </si>
  <si>
    <t>Substituição do sistema de controle e supervisão do TF 3 230/138 kV, lado de 138 kV, da SE Passo Fundo, e dos cabos de controle e potência associados.</t>
  </si>
  <si>
    <t>0003965/2022</t>
  </si>
  <si>
    <t>Substituição das proteções Principal, Alternada e Falha de Disjuntor (Principal), incluindo painéis e cabos de controle e potência associados, referente ao TF 5 230/138 kV, lado de 230 kV, da SE Passo Fundo.</t>
  </si>
  <si>
    <t>TR 230/138 kV PASSO FUNDO TR5 RS</t>
  </si>
  <si>
    <t>0003966/2022</t>
  </si>
  <si>
    <t>PP, PA, BA, BF - TF 5 230</t>
  </si>
  <si>
    <t>Substituição da Cobertura Completa e Sistema de Proteção contra Descargas Atmosféricas (SPDA) das Edificações, na SE Palhoça.</t>
  </si>
  <si>
    <t>0003967/2022</t>
  </si>
  <si>
    <t>Cobertura e SPDA</t>
  </si>
  <si>
    <t>Substituição do sistema de controle e supervisão (com unidade redundante) do TF 5 230/138 kV, lado de 230 kV, da SE Passo Fundo, e dos cabos de controle e potência associados.</t>
  </si>
  <si>
    <t>0003968/2022</t>
  </si>
  <si>
    <t>Controle - TF 5 230</t>
  </si>
  <si>
    <t>Substituição de Chave Seccionadora tripolar 230 kV, CS735, referente a LT J.Lacerda A - J.Lacerda B C-1. Associado à obra são esperadas substituições/adaptações de fundações, suportes, cabos de controle/potência, barramento, conectores e conexão de aterramento.</t>
  </si>
  <si>
    <t>0003969/2022</t>
  </si>
  <si>
    <t>Substituição das proteções Principal, Alternada e Falha de Disjuntor, incluindo painéis e cabos de controle e potência associados, referente ao TF 5 230/138 kV, lado de 138 kV, da SE Passo Fundo.</t>
  </si>
  <si>
    <t>0003971/2022</t>
  </si>
  <si>
    <t>PP, PA, BA, BF - TF 5 138</t>
  </si>
  <si>
    <t>Substituição de Chave Seccionadora tripolar 230 kV, CS737, referente a LT J.Lacerda A - J.Lacerda B C-1. Associado à obra são esperadas substituições/adaptações de fundações, suportes, cabos de controle/potência, barramento, conectores e conexão de aterramento.</t>
  </si>
  <si>
    <t>0003972/2022</t>
  </si>
  <si>
    <t>Substituição da Cobertura Completa e Sistema de Proteção contra Descargas Atmosféricas (SPDA) das Edificações, na SE Joinville Norte.</t>
  </si>
  <si>
    <t>0003973/2022</t>
  </si>
  <si>
    <t>Substituição do sistema de controle e supervisão do TF 5 230/138 kV, lado de 138 kV, da SE Passo Fundo, e dos cabos de controle e potência associados.</t>
  </si>
  <si>
    <t>0003976/2022</t>
  </si>
  <si>
    <t>Controle - TF 5 138</t>
  </si>
  <si>
    <t>Substituição de Transformadores de Corrente 230 kV, referente a LT J.Lacerda A - J.Lacerda B C-1, DJ732, Fases A, B, C. Associado à obra são esperadas substituições/adaptações de fundações, suportes, caixa de junção, cabos, barramento, conectores e conexão de aterramento.</t>
  </si>
  <si>
    <t>0003977/2022</t>
  </si>
  <si>
    <t>TC DJ732</t>
  </si>
  <si>
    <t>Substituição de Transformadores de Potencial Capacitivo 230 kV, referente a LT J.Lacerda A - J.Lacerda B C-1, Fases A, B, C. Associado à obra são esperadas substituições/adaptações de fundações, suportes, caixa de junção, cabos de controle/potência, barramento, conectores e conexão de aterramento.</t>
  </si>
  <si>
    <t>0003978/2022</t>
  </si>
  <si>
    <t>Instalação de Sistema de Proteção contra Descargas Atmosféricas (SPDA) em Edificações, na SE Canoinhas.</t>
  </si>
  <si>
    <t>0003980/2022</t>
  </si>
  <si>
    <t>SPDA</t>
  </si>
  <si>
    <t>Substituição de Chave Seccionadora tripolar 230 kV, CS711, referente a LT J.Lacerda A - UTE J.Lacerda A C-4. Associado à obra são esperadas substituições/adaptações de fundações, suportes, cabos de controle/potência, barramento, conectores e conexão de aterramento.</t>
  </si>
  <si>
    <t>LT 230 kV J.LACERDA-A / UTE J.LACERDA-A C-4 SC</t>
  </si>
  <si>
    <t>0003981/2022</t>
  </si>
  <si>
    <t>Substituição das proteções Primária, Secundária e Falha de Disjuntor, incluindo painéis e cabos de controle e potência associados, referente ao TF 4 138/23 kV, lado de 138 kV (LT Entre Rios do Sul), da SE Passo Fundo.</t>
  </si>
  <si>
    <t>TR 138/23 kV PASSO FUNDO TR4  RS</t>
  </si>
  <si>
    <t>0003982/2022</t>
  </si>
  <si>
    <t>PP, PS, BA, BF - TF 4 138</t>
  </si>
  <si>
    <t>SUBSTITUIÇÃO DO DISJUNTOR GMDJ6-03 DA LINHA VILA DO CONDE - GUAMA 230 KV C2</t>
  </si>
  <si>
    <t>0004968/2022</t>
  </si>
  <si>
    <t>GMDJ6-03</t>
  </si>
  <si>
    <t>Substituição do sistema de controle e supervisão do TF 4 138/23 kV, lado de 138 kV (LT Entre Rios do Sul), da SE Passo Fundo, e dos cabos de controle e potência associados.</t>
  </si>
  <si>
    <t>0003983/2022</t>
  </si>
  <si>
    <t>Substituição de Chave Seccionadora tripolar 230 kV, CS713, referente a LT J.Lacerda A - UTE J.Lacerda A C-4. Associado à obra são esperadas substituições/adaptações de fundações, suportes, cabos de controle/potência, barramento, conectores e conexão de aterramento.</t>
  </si>
  <si>
    <t>0003984/2022</t>
  </si>
  <si>
    <t>CS713</t>
  </si>
  <si>
    <t>Instalação de Sistema de Proteção contra Descargas Atmosféricas (SPDA) em Edificações, na SE Curitiba.</t>
  </si>
  <si>
    <t>0009156/2022</t>
  </si>
  <si>
    <t>Substituição das proteções Primária, Secundária e Falha de Disjuntor, incluindo painéis e cabos de controle e potência associados, referente a LT 138 kV Passo Fundo - Erexim 1 C-1.</t>
  </si>
  <si>
    <t>LT 138 kV PASSO FUNDO / EREXIM 1 C-1 RS</t>
  </si>
  <si>
    <t>0003986/2022</t>
  </si>
  <si>
    <t>PP, PS, BA, BF - LT ERE1 C-1</t>
  </si>
  <si>
    <t>Substituição de Chave Seccionadora tripolar 230 kV, CS715, referente a LT J.Lacerda A - UTE J.Lacerda A C-4. Associado à obra são esperadas substituições/adaptações de fundações, suportes, cabos de controle/potência, barramento, conectores e conexão de aterramento.</t>
  </si>
  <si>
    <t>0003987/2022</t>
  </si>
  <si>
    <t>Substituição de Chave Seccionadora tripolar 230 kV, CS717, referente a LT J.Lacerda A - UTE J.Lacerda A C-4. Associado à obra são esperadas substituições/adaptações de fundações, suportes, cabos de controle/potência, barramento, conectores e conexão de aterramento.</t>
  </si>
  <si>
    <t>0003988/2022</t>
  </si>
  <si>
    <t>SUBSTITUIR O CONJUNTO COMPLETO DO DISJUNTOR 230 kV - RPDB6-01</t>
  </si>
  <si>
    <t>0003989/2022</t>
  </si>
  <si>
    <t>RPDB6-01</t>
  </si>
  <si>
    <t>Substituição de Chave Seccionadora tripolar 230 kV, CS741, referente a LT J.Lacerda A - UTE J.Lacerda A C-6. Associado à obra são esperadas substituições/adaptações de fundações, suportes, cabos de controle/potência, barramento, conectores e conexão de aterramento.</t>
  </si>
  <si>
    <t>LT 230 kV J.LACERDA-A / UTE J.LACERDA-A C-6 SC</t>
  </si>
  <si>
    <t>0003990/2022</t>
  </si>
  <si>
    <t>Substituição de Chave Seccionadora tripolar 230 kV, CS743, referente a LT J.Lacerda A - UTE J.Lacerda A C-6. Associado à obra são esperadas substituições/adaptações de fundações, suportes, cabos de controle/potência, barramento, conectores e conexão de aterramento.</t>
  </si>
  <si>
    <t>0003991/2022</t>
  </si>
  <si>
    <t>CS743</t>
  </si>
  <si>
    <t>Substituição de Chave Seccionadora tripolar 230 kV, CS745, referente a LT J.Lacerda A - UTE J.Lacerda A C-6. Associado à obra são esperadas substituições/adaptações de fundações, suportes, cabos de controle/potência, barramento, conectores e conexão de aterramento.</t>
  </si>
  <si>
    <t>0003993/2022</t>
  </si>
  <si>
    <t>Substituição de Disjuntor tripolar 138 kV, DJ752/08, referente a LT U.Mimoso - Jupiá C-4. Associado à obra, são esperadas substituições ou adaptações de fundações e suportes existentes, cabos de controle e potência, barramento, conectores e conexão do aterramento do equipamento.</t>
  </si>
  <si>
    <t>LT 138 kV U.MIMOSO / JUPIA C-4 MS/SP</t>
  </si>
  <si>
    <t>0003997/2022</t>
  </si>
  <si>
    <t>DJ752/08</t>
  </si>
  <si>
    <t>Substituição de Disjuntor tripolar 138 kV, DJ752/11, referente a LT U.Mimoso - Campo Grande C-3. Associado à obra, são esperadas substituições ou adaptações de fundações e suportes existentes, cabos de controle e potência, barramento, conectores e conexão do aterramento do equipamento.</t>
  </si>
  <si>
    <t>0003998/2022</t>
  </si>
  <si>
    <t>DJ752/11</t>
  </si>
  <si>
    <t>Substituição de Disjuntor tripolar 138 kV, DJ752/12, referente a LT U.Mimoso - Campo Grande C-4. Associado à obra, são esperadas substituições ou adaptações de fundações e suportes existentes, cabos de controle e potência, barramento, conectores e conexão do aterramento do equipamento.</t>
  </si>
  <si>
    <t>0004001/2022</t>
  </si>
  <si>
    <t>DJ752/12</t>
  </si>
  <si>
    <t>Substituição de Disjuntor tripolar 138 kV, DJ752/07, referente a LT U.Mimoso - Jupiá C-3. Associado à obra, são esperadas substituições ou adaptações de fundações e suportes existentes, cabos de controle e potência, barramento, conectores e conexão do aterramento do equipamento.</t>
  </si>
  <si>
    <t>LT 138 kV U.MIMOSO / JUPIA C-3 MS/SP</t>
  </si>
  <si>
    <t>0004003/2022</t>
  </si>
  <si>
    <t>DJ752/07</t>
  </si>
  <si>
    <t>Substituição de Chave Seccionadora tripolar 138 kV, CS729/16, referente a LT U.Mimoso - Jupiá C-3. Associado à obra são esperadas substituições/adaptações de fundações, suportes, cabos de controle/potência, barramento, conectores e conexão de aterramento.</t>
  </si>
  <si>
    <t>0004005/2022</t>
  </si>
  <si>
    <t>CS729/16</t>
  </si>
  <si>
    <t>Substituição de Chave Seccionadora tripolar 138 kV, CS729/18, referente a LT U.Mimoso - Jupiá C-3. Associado à obra são esperadas substituições/adaptações de fundações, suportes, cabos de controle/potência, barramento, conectores e conexão de aterramento.</t>
  </si>
  <si>
    <t>0004006/2022</t>
  </si>
  <si>
    <t>CS729/18</t>
  </si>
  <si>
    <t>Substituição de Chave Seccionadora tripolar 138 kV, CS729/22, referente a LT U.Mimoso - Jupiá C-4. Associado à obra são esperadas substituições/adaptações de fundações, suportes, cabos de controle/potência, barramento, conectores e conexão de aterramento.</t>
  </si>
  <si>
    <t>0004009/2022</t>
  </si>
  <si>
    <t>CS729/22</t>
  </si>
  <si>
    <t>Substituição de Chave Seccionadora tripolar 138 kV, CS729/24, referente a LT U.Mimoso - Jupiá C-4. Associado à obra são esperadas substituições/adaptações de fundações, suportes, cabos de controle/potência, barramento, conectores e conexão de aterramento.</t>
  </si>
  <si>
    <t>0004011/2022</t>
  </si>
  <si>
    <t>CS729/24</t>
  </si>
  <si>
    <t>Substituição de Chave Seccionadora tripolar 138 kV, CS729/84, referente a LT U.Mimoso - Campo Grande C-3. Associado à obra são esperadas substituições/adaptações de fundações, suportes, cabos de controle/potência, barramento, conectores e conexão de aterramento.</t>
  </si>
  <si>
    <t>0004012/2022</t>
  </si>
  <si>
    <t>CS729/84</t>
  </si>
  <si>
    <t>Substituição de Chave Seccionadora tripolar 138 kV, CS729/86, referente a LT U.Mimoso - Campo Grande C-3. Associado à obra são esperadas substituições/adaptações de fundações, suportes, cabos de controle/potência, barramento, conectores e conexão de aterramento.</t>
  </si>
  <si>
    <t>0004015/2022</t>
  </si>
  <si>
    <t>CS729/86</t>
  </si>
  <si>
    <t>Substituição de Chave Seccionadora tripolar 138 kV, CS729/90, referente a LT U.Mimoso - Campo Grande C-4. Associado à obra são esperadas substituições/adaptações de fundações, suportes, cabos de controle/potência, barramento, conectores e conexão de aterramento.</t>
  </si>
  <si>
    <t>0004016/2022</t>
  </si>
  <si>
    <t>CS729/90</t>
  </si>
  <si>
    <t>Substituição de Chave Seccionadora tripolar 138 kV, CS729/92, referente a LT U.Mimoso - Campo Grande C-4. Associado à obra são esperadas substituições/adaptações de fundações, suportes, cabos de controle/potência, barramento, conectores e conexão de aterramento.</t>
  </si>
  <si>
    <t>0004018/2022</t>
  </si>
  <si>
    <t>CS729/92</t>
  </si>
  <si>
    <t>Substituição de Retificador (Carregador de Baterias) 125 Vcc - SACC125-RET1, da SE U.Mimoso. Capacidade do novo equipamento: &gt;= 20 A.</t>
  </si>
  <si>
    <t>0004020/2022</t>
  </si>
  <si>
    <t>Substituição de Retificador (Carregador de Baterias) 125 Vcc - SACC125-RET2, da SE U.Mimoso. Capacidade do novo equipamento:  &gt;= 20 A.</t>
  </si>
  <si>
    <t>0004022/2022</t>
  </si>
  <si>
    <t>Instalação de Sistema de Proteção contra Descargas Atmosféricas (SPDA) em Edificações, na SE Campo Mourão.</t>
  </si>
  <si>
    <t>0004027/2022</t>
  </si>
  <si>
    <t>Instalação de Sistema de Proteção contra Descargas Atmosféricas (SPDA) em Edificações, na SE Ivaiporã.</t>
  </si>
  <si>
    <t>0004029/2022</t>
  </si>
  <si>
    <t>Instalação de Sistema de Proteção contra Descargas Atmosféricas (SPDA) em Edificações, na SE Londrina.</t>
  </si>
  <si>
    <t>MG LONDRINA ESU / CCO-2001-057 - RB</t>
  </si>
  <si>
    <t>0004031/2022</t>
  </si>
  <si>
    <t>Substituição do sistema de controle e supervisão da LT 138 kV Passo Fundo - Erexim 1 C-1, e dos cabos de controle e potência associados.</t>
  </si>
  <si>
    <t>0004034/2022</t>
  </si>
  <si>
    <t>Controle - LT ERE1 C-1</t>
  </si>
  <si>
    <t>Substituição da proteção de Falha de Disjuntor, incluindo painéis e cabos de controle e potência associados, referente ao Interligador de Barras (IB) 138 kV da SE Passo Fundo.</t>
  </si>
  <si>
    <t>0004037/2022</t>
  </si>
  <si>
    <t>Substituição do sistema de controle e supervisão do Interligador de Barras (IB) 138 kV da SE Passo Fundo, e dos cabos de controle e potência associados.</t>
  </si>
  <si>
    <t>0004038/2022</t>
  </si>
  <si>
    <t>Controle - IB138</t>
  </si>
  <si>
    <t>Substituição de britamento no pátio 230kV da SE Charqueadas.</t>
  </si>
  <si>
    <t>0004039/2022</t>
  </si>
  <si>
    <t>Britamento</t>
  </si>
  <si>
    <t>Substituição da proteção de barra de 138 kV da SE Passo Fundo, incluindo uma Unidade Central (barras P e T) com capacidade de no mínimo seis vãos e cinco unidades de bay (vãos TF 4 138/23 kV - LT Entre Rios do Sul, TF 3 230/138 kV, TF 5 230/138 kV, LT 138 kV Erexim 1 e Interligador de Barras - IB), cabos de controle e potência e painéis associados.</t>
  </si>
  <si>
    <t>0004041/2022</t>
  </si>
  <si>
    <t>Substituição do painel de SPCS dos serviços auxiliares CA e CC da SE Passo Fundo, e cabos associados.</t>
  </si>
  <si>
    <t>0004042/2022</t>
  </si>
  <si>
    <t>Execução de obras civis para a construção de nova edificação (Casa de Controle) na SE Charqueadas.</t>
  </si>
  <si>
    <t>0004052/2022</t>
  </si>
  <si>
    <t>Casa de Controle</t>
  </si>
  <si>
    <t>Substituição de Chave Seccionadora tripolar 230 kV, CS747, referente a LT J.Lacerda A - UTE J.Lacerda A C-6. Associado à obra são esperadas substituições/adaptações de fundações, suportes, cabos de controle/potência, barramento, conectores e conexão de aterramento.</t>
  </si>
  <si>
    <t>0004085/2022</t>
  </si>
  <si>
    <t>Substituição de Transformadores de Corrente 230 kV, referente a LT J.Lacerda A - UTE J.Lacerda A C-6, DJ742, Fases A, B, C. Associado à obra são esperadas substituições/adaptações de fundações, suportes, caixa de junção, cabos, barramento, conectores e conexão de aterramento.</t>
  </si>
  <si>
    <t>0009142/2022</t>
  </si>
  <si>
    <t>Substituição de Transformadores de Potencial 230 kV, referente a Barra P (BAP230) da SE J.Lacerda A, Fases A, B, C. Associado à obra são esperadas substituições/adaptações de fundações, suportes, caixa de junção, cabos de controle e potência, barramento, conectores e conexão de aterramento.</t>
  </si>
  <si>
    <t>0004089/2022</t>
  </si>
  <si>
    <t>Implantação de sistema de videomonitoramento dos pólos da chave seccionadora 35L6-8, na subestação SUAPE II, composto por: 01 câmera dedicada.</t>
  </si>
  <si>
    <t>LT 500 kV SUAPE II /RECIFE II C-2 PE</t>
  </si>
  <si>
    <t>0004130/2022</t>
  </si>
  <si>
    <t>Implantação de sistema de videomonitoramento dos pólos da chave seccionadora 35L9-8, na subestação SUAPE II, composto por: 01 câmera dedicada.</t>
  </si>
  <si>
    <t>LT 500 kV ANGELIM II /SUAPE II C-1 PE</t>
  </si>
  <si>
    <t>0004133/2022</t>
  </si>
  <si>
    <t>Substituição de 01 (um) Para-raios posição operacional 74M5-2 fase C da Subestação AGL.</t>
  </si>
  <si>
    <t>0004141/2022</t>
  </si>
  <si>
    <t>11330744</t>
  </si>
  <si>
    <t>Instalação de novo setor 13,8 kV para alimentação dos serviços auxiliares da SE Atlântida 2, em substituição aos cubículos e disjuntores atualmente existentes. O novo setor será composto pelos equipamentos: para-raios, chaves fusíveis, seccionadores, isoladores, TPs e cabos associados.</t>
  </si>
  <si>
    <t>MG ATLANTIDA 2 / CCO-2001-057 - RB</t>
  </si>
  <si>
    <t>0009149/2022</t>
  </si>
  <si>
    <t>DJ102 / DJ112 / CUB1 / CUB2 / CUB3 / CUB4 / CUB5</t>
  </si>
  <si>
    <t>Substituição de 01 (um) PR 230 kV posição operacional 74D2 fase A da Subestação AGL.</t>
  </si>
  <si>
    <t>0004162/2022</t>
  </si>
  <si>
    <t>11331454</t>
  </si>
  <si>
    <t>Instalação de novo setor 13,8 kV para alimentação dos serviços auxiliares da SE Passo Fundo, em substituição aos cubículos e disjuntores atualmente existentes. O novo setor será composto pelos equipamentos: para-raios, chaves fusíveis, seccionadores, isoladores, TPs e cabos associados.</t>
  </si>
  <si>
    <t>0004163/2022</t>
  </si>
  <si>
    <t>DJ152 / DJ162 / DJ192 / DJ202 / CUB1 / CUB2 / CUB3 / CUB4 / CUB5 / CUB6 / CUB7 / CUB8</t>
  </si>
  <si>
    <t>Substituição de 01 (um) PR 230 kV posição operacional 74D2 fase B da Subestação AGL.</t>
  </si>
  <si>
    <t>0004170/2022</t>
  </si>
  <si>
    <t>11331455</t>
  </si>
  <si>
    <t>Substituição de Disjuntor tripolar 138 kV, DJ542, referente a LT J.Lacerda A - Bom Jardim da Serra C-1. Associado à obra, são esperadas substituições ou adaptações de fundações e suportes existentes, cabos de controle e potência, barramento, conectores e conexão do aterramento do equipamento.</t>
  </si>
  <si>
    <t>LT 138 kV J.LACERDA-A / BOM JARDIM DA SERRA C-1 SC</t>
  </si>
  <si>
    <t>0004174/2022</t>
  </si>
  <si>
    <t>Instalação de novo setor 13,8 kV para alimentação dos serviços auxiliares da SE Farroupilha, em substituição aos cubículos e disjuntores atualmente existentes. O novo setor será composto pelos equipamentos: para-raios, chaves fusíveis, seccionadores, isoladores, TPs e cabos associados.</t>
  </si>
  <si>
    <t>MG FARROUPILHA / CCO-2001-057 - RB</t>
  </si>
  <si>
    <t>0004172/2022</t>
  </si>
  <si>
    <t>DJ212 / DJ232 / CUB1 / CUB2 / CUB3 / CUB4 / CUB5</t>
  </si>
  <si>
    <t>Substituição de 01 (um) PR 230 kV posição operacional 74D2 fase C da Subestação AGL.</t>
  </si>
  <si>
    <t>0004177/2022</t>
  </si>
  <si>
    <t>11331456</t>
  </si>
  <si>
    <t>Instalação de novo setor 13,8 kV para alimentação dos serviços auxiliares da SE Xanxerê, em substituição aos cubículos e disjuntores atualmente existentes. O novo setor será composto pelos equipamentos: para-raios, chaves fusíveis, seccionadores, isoladores, TPs e cabos associados.</t>
  </si>
  <si>
    <t>0004179/2022</t>
  </si>
  <si>
    <t>DJ102 / DJ112 / DJ132 / DJ152 / CUB1 / CUB2 / CUB3 / CUB4 / CUB5 / CUB6</t>
  </si>
  <si>
    <t>Instalação de novo setor 13,8 kV para alimentação dos serviços auxiliares da SE Salto Osório, em substituição aos cubículos e disjuntores atualmente existentes. O novo setor será composto pelos equipamentos: para-raios, chaves fusíveis, seccionadores, isoladores, TPs e cabos associados.</t>
  </si>
  <si>
    <t>MG S. OSORIO / CCO-2001-057 - RB</t>
  </si>
  <si>
    <t>0004184/2022</t>
  </si>
  <si>
    <t>DJ232 / DJ252 / DJ262 / CUB I / CUB II / CUB III</t>
  </si>
  <si>
    <t>Instalação de novo setor 13,8 kV para alimentação dos serviços auxiliares da SE Londrina, em substituição aos cubículos e disjuntores atualmente existentes. O novo setor será composto pelos equipamentos: para-raios, chaves fusíveis, seccionadores, isoladores, TPs e cabos associados.</t>
  </si>
  <si>
    <t>0004193/2022</t>
  </si>
  <si>
    <t>DJ132 / DJ142 / SK01 / SK02</t>
  </si>
  <si>
    <t>Substituição dos Disjuntores 15 kV (DJ112 e DJ122) e cabine de medição, referentes a alimentação dos Serviços Auxiliares da SE Campo Grande.</t>
  </si>
  <si>
    <t>0004196/2022</t>
  </si>
  <si>
    <t>DJ112 / DJ122</t>
  </si>
  <si>
    <t>SUBSTITUIÇÃO DO DISJUNTOR LDDJ6-07</t>
  </si>
  <si>
    <t>LT 230 kV SAO LUIS II /ALUMAR C-2 MA</t>
  </si>
  <si>
    <t>0004218/2022</t>
  </si>
  <si>
    <t>LDDJ6-07</t>
  </si>
  <si>
    <t>Substituição de 01 (um) PR 230 kV posição operacional 74T2 fase C da Subestação FZD.</t>
  </si>
  <si>
    <t>0004284/2022</t>
  </si>
  <si>
    <t>11328417</t>
  </si>
  <si>
    <t>Substituição de 01 (um) PR 230 kV posição operacional 74T1 fase A da Subestação DMG.</t>
  </si>
  <si>
    <t>TR 230/69 kV DELM. GOUVEIA TR1 CE</t>
  </si>
  <si>
    <t>0004409/2022</t>
  </si>
  <si>
    <t>11327396</t>
  </si>
  <si>
    <t>Substituição de 01 (um) PR 69kV posição operacional 72J5 fase A da Subestação CMA.</t>
  </si>
  <si>
    <t>EL 69 kV COREMAS DIST5 (12J5)</t>
  </si>
  <si>
    <t>0004421/2022</t>
  </si>
  <si>
    <t>11332321</t>
  </si>
  <si>
    <t>Substituição de 01 (um) PR 69kV posição operacional 72J5 fase B da Subestação CMA.</t>
  </si>
  <si>
    <t>0004422/2022</t>
  </si>
  <si>
    <t>11332322</t>
  </si>
  <si>
    <t>Substituição de 01 (um) PR 69kV posição operacional 72J5 fase C da Subestação CMA.</t>
  </si>
  <si>
    <t>0004424/2022</t>
  </si>
  <si>
    <t>11332323</t>
  </si>
  <si>
    <t>Substituição de 1 (um) conjunto de todos os condutos e acessórios do sistema de refrigeração do Compensador Estático CE1 (01Q1) da Subestação MLG.</t>
  </si>
  <si>
    <t>FT CE 58/-35 MvAr MILAGRES CE1 CE</t>
  </si>
  <si>
    <t>0004455/2022</t>
  </si>
  <si>
    <t>11327894</t>
  </si>
  <si>
    <t>G.MANGABEIRA</t>
  </si>
  <si>
    <t>Substituição de 1 (um) PR 230 kV posição operacional 74C1 fase A da Subestação GVM.</t>
  </si>
  <si>
    <t>LT 230 kV G.MANGABEIRA /SAPEACU C-1 BA</t>
  </si>
  <si>
    <t>0004499/2022</t>
  </si>
  <si>
    <t>11327426</t>
  </si>
  <si>
    <t>Substituição de 01 (um) PR 230 kV posição operacional 74C1 fase B da Subestação GVM.</t>
  </si>
  <si>
    <t>0004501/2022</t>
  </si>
  <si>
    <t>11327427</t>
  </si>
  <si>
    <t>Substituição de 01 (um) PR 230 kV posição operacional 74C1 fase C da Subestação GVM.</t>
  </si>
  <si>
    <t>0004502/2022</t>
  </si>
  <si>
    <t>11327428</t>
  </si>
  <si>
    <t>Substituição de 01 (um) PR 230 kV posição operacional 74T2 fase A da Subestação MSI.</t>
  </si>
  <si>
    <t>TR 500/230 kV MESSIAS TR2 AL</t>
  </si>
  <si>
    <t>0004611/2022</t>
  </si>
  <si>
    <t>11331709</t>
  </si>
  <si>
    <t>Substituição de 01 (um) PR 230 kV posição operacional 74T2 fase B da Subestação MSI.</t>
  </si>
  <si>
    <t>0004612/2022</t>
  </si>
  <si>
    <t>11331710</t>
  </si>
  <si>
    <t>Substituição de 01 (um) PR 230 kV posição operacional 74T2 fase C da Subestação MSI.</t>
  </si>
  <si>
    <t>0004613/2022</t>
  </si>
  <si>
    <t>11331711</t>
  </si>
  <si>
    <t>Substituição de 01 (um) PR 230 kV posição operacional 74T3 fase A da Subestação MSI.</t>
  </si>
  <si>
    <t>0004614/2022</t>
  </si>
  <si>
    <t>11331386</t>
  </si>
  <si>
    <t>Substituição de 01 (um) PR 230 kV posição operacional 74T3 fase B da Subestação MSI.</t>
  </si>
  <si>
    <t>0004615/2022</t>
  </si>
  <si>
    <t>11331384</t>
  </si>
  <si>
    <t>Substituição de 01 (um) PR 230 kV posição operacional 74T3 fase C da Subestação MSI.</t>
  </si>
  <si>
    <t>0004616/2022</t>
  </si>
  <si>
    <t>11331385</t>
  </si>
  <si>
    <t>LECHUGA</t>
  </si>
  <si>
    <t>Substituição de disjuntor de 13,8kV - LEDJ2-02</t>
  </si>
  <si>
    <t>MG LECHUGA / CCO-2012-003 - RB</t>
  </si>
  <si>
    <t>0004688/2022</t>
  </si>
  <si>
    <t>N-S-AMLE-MG601-MG230-TF202-LEDJ202</t>
  </si>
  <si>
    <t>Substituição de disjuntor de 13,8kV - LEDJ2-01</t>
  </si>
  <si>
    <t>0004691/2022</t>
  </si>
  <si>
    <t>N-S-AMLE-MG601-MG230-TF201-LEDJ201</t>
  </si>
  <si>
    <t>Substituição de disjuntor de 13,8kV - LEDJ2-21</t>
  </si>
  <si>
    <t>0004694/2022</t>
  </si>
  <si>
    <t>N-S-AMLE-AT601-AT230-LEDJ221</t>
  </si>
  <si>
    <t>AGUA VERMELHA</t>
  </si>
  <si>
    <t>440</t>
  </si>
  <si>
    <t>Substituição dos 3 TCs 400 kV do vão IB que integra o DJM da conexão do AT-8 500/440 kV.</t>
  </si>
  <si>
    <t>MG AGUA VERMELHA / CCO-2001-062 - RB</t>
  </si>
  <si>
    <t>0005081/2022</t>
  </si>
  <si>
    <t>TCDJ1652-49 440KV</t>
  </si>
  <si>
    <t>Substituição de Grupo Motor-Gerador, 380 Vca, na SE Charqueadas. Capacidade do novo equipamento: &gt;= 75 kVA.</t>
  </si>
  <si>
    <t>0004781/2022</t>
  </si>
  <si>
    <t>MG1 - 380 VCA</t>
  </si>
  <si>
    <t>Substituição de Retificador (Carregador de Baterias) 125 Vcc - SACC125-RET1, da SE Charqueadas. Capacidade do novo equipamento: &gt;= 30 A.</t>
  </si>
  <si>
    <t>0004784/2022</t>
  </si>
  <si>
    <t>Substituição de Retificador (Carregador de Baterias) 125 Vcc - SACC125-RET2, da SE Charqueadas. Capacidade do novo equipamento: &gt;= 30 A.</t>
  </si>
  <si>
    <t>0004785/2022</t>
  </si>
  <si>
    <t>Substituição de Retificador (Carregador de Baterias) 48 Vcc - SACC48-RET1, da SE Charqueadas.</t>
  </si>
  <si>
    <t>0004787/2022</t>
  </si>
  <si>
    <t>Substituição dos Painéis de Distribuição 125 VCC (P21, P22) e cabos associados, referentes aos Serviços Auxiliares da SE Chaqueadas.</t>
  </si>
  <si>
    <t>0004788/2022</t>
  </si>
  <si>
    <t>Substituição dos Painéis de Distribuição 380 VCA (P11, P12, P13, P14) e cabos associados, referentes aos Serviços Auxiliares da SE Charqueadas.</t>
  </si>
  <si>
    <t>0004789/2022</t>
  </si>
  <si>
    <t>Execução de obras civis para a construção de Heliponto na SE Campos Novos.</t>
  </si>
  <si>
    <t>0004796/2022</t>
  </si>
  <si>
    <t>Heliponto</t>
  </si>
  <si>
    <t>Execução de obras civis para a pavimentação do acesso entre o Centro Regional de Manutenção e Apoio à Operação de Campos Novos (CRCNO) e as instalações dentro da área patrimonial da SE Campos Novos (depósito de inflamáveis e garagem).</t>
  </si>
  <si>
    <t>0004798/2022</t>
  </si>
  <si>
    <t>Pavimentação de Acesso</t>
  </si>
  <si>
    <t>Substituição de 01 (um) PR 230 kV posição operacional 74T1 fase C da Subestação DMG.</t>
  </si>
  <si>
    <t>0004805/2022</t>
  </si>
  <si>
    <t>11327397</t>
  </si>
  <si>
    <t>Substituição de Chave Seccionadora tripolar 138 kV, CS541, referente a LT J.Lacerda A - Bom Jardim da Serra C-1. Associado à obra são esperadas substituições/adaptações de fundações, suportes, cabos de controle/potência, barramento, conectores e conexão de aterramento.</t>
  </si>
  <si>
    <t>0004880/2022</t>
  </si>
  <si>
    <t>Substituição de Chave Seccionadora tripolar 138 kV, CS543, referente a LT J.Lacerda A - Bom Jardim da Serra C-1. Associado à obra são esperadas substituições/adaptações de fundações, suportes, cabos de controle/potência, barramento, conectores e conexão de aterramento.</t>
  </si>
  <si>
    <t>0004888/2022</t>
  </si>
  <si>
    <t>Substituição de Chave Seccionadora tripolar 138 kV, CS545, referente a LT J.Lacerda A - Bom Jardim da Serra C-1. Associado à obra são esperadas substituições/adaptações de fundações, suportes, cabos de controle/potência, barramento, conectores e conexão de aterramento.</t>
  </si>
  <si>
    <t>0004895/2022</t>
  </si>
  <si>
    <t>Substituição de Transformadores de Corrente 138 kV, referente a LT J.Lacerda A - Bom Jardim da Serra C-1, DJ542, Fases A, B, C. Associado à obra são esperadas substituições/adaptações de fundações, suportes, caixa de junção, cabos, barramento, conectores e conexão de aterramento.</t>
  </si>
  <si>
    <t>0004904/2022</t>
  </si>
  <si>
    <t>TC DJ542</t>
  </si>
  <si>
    <t>Substituição de Transformadores de Potencial 138 kV, referente a LT J.Lacerda A - Bom Jardim da Serra C-1, Fases A, B, C. Associado à obra são esperadas substituições/adaptações de fundações, suportes, caixa de junção, cabos de controle/potência, barramento, conectores e conexão de aterramento.</t>
  </si>
  <si>
    <t>0004914/2022</t>
  </si>
  <si>
    <t>Substituição de Disjuntor tripolar 138 kV, DJ522, referente a LT J.Lacerda A - Imbituba C-1. Associado à obra, são esperadas substituições ou adaptações de fundações e suportes existentes, cabos de controle e potência, barramento, conectores e conexão do aterramento do equipamento.</t>
  </si>
  <si>
    <t>LT 138 kV J.LACERDA-A / IMBITUBA C-1 SC</t>
  </si>
  <si>
    <t>0004934/2022</t>
  </si>
  <si>
    <t>Substituição de Chave Seccionadora tripolar 138 kV, CS521, referente a LT J.Lacerda A - Imbituba C-1. Associado à obra são esperadas substituições/adaptações de fundações, suportes, cabos de controle/potência, barramento, conectores e conexão de aterramento.</t>
  </si>
  <si>
    <t>0004940/2022</t>
  </si>
  <si>
    <t>CS521</t>
  </si>
  <si>
    <t>Substituição de Chave Seccionadora tripolar 138 kV, CS523, referente a LT J.Lacerda A - Imbituba C-1. Associado à obra são esperadas substituições/adaptações de fundações, suportes, cabos de controle/potência, barramento, conectores e conexão de aterramento.</t>
  </si>
  <si>
    <t>0004947/2022</t>
  </si>
  <si>
    <t>CS523</t>
  </si>
  <si>
    <t>Substituição de Chave Seccionadora tripolar 69 kV, CS451, referente a LT J.Lacerda A - Tubarão C-1. Associado à obra são esperadas substituições/adaptações de fundações, suportes, cabos de controle/potência, barramento, conectores e conexão de aterramento.</t>
  </si>
  <si>
    <t>LT 69 kV J.LACERDA-A / TUBARÃO C-1 SC</t>
  </si>
  <si>
    <t>0004956/2022</t>
  </si>
  <si>
    <t>CS451</t>
  </si>
  <si>
    <t>Substituição de Chave Seccionadora tripolar 69 kV, CS453, referente a LT J.Lacerda A - Tubarão C-1. Associado à obra são esperadas substituições/adaptações de fundações, suportes, cabos de controle/potência, barramento, conectores e conexão de aterramento.</t>
  </si>
  <si>
    <t>0004960/2022</t>
  </si>
  <si>
    <t>CS453</t>
  </si>
  <si>
    <t>Substituição de Chave Seccionadora tripolar 138 kV, CS525, referente a LT J.Lacerda A - Imbituba C-1. Associado à obra são esperadas substituições/adaptações de fundações, suportes, cabos de controle/potência, barramento, conectores e conexão de aterramento.</t>
  </si>
  <si>
    <t>0009157/2022</t>
  </si>
  <si>
    <t>CS525</t>
  </si>
  <si>
    <t>Substituição de 01 (um) TP 69 kV posição operacional 82T3 fase C da Subestação BGI.</t>
  </si>
  <si>
    <t>TR 230/69 kV BONGI TR3 PE</t>
  </si>
  <si>
    <t>0004962/2022</t>
  </si>
  <si>
    <t>11346782</t>
  </si>
  <si>
    <t>Substituição de Chave Seccionadora tripolar 69 kV, CS441, referente a LT J.Lacerda A - Tubarão C-2. Associado à obra são esperadas substituições/adaptações de fundações, suportes, cabos de controle/potência, barramento, conectores e conexão de aterramento.</t>
  </si>
  <si>
    <t>LT 69 kV J.LACERDA-A / TUBARÃO C-2 SC</t>
  </si>
  <si>
    <t>0004964/2022</t>
  </si>
  <si>
    <t>CS441</t>
  </si>
  <si>
    <t>Substituição de Chave Seccionadora tripolar 69 kV, CS443, referente a LT J.Lacerda A - Tubarão C-2. Associado à obra são esperadas substituições/adaptações de fundações, suportes, cabos de controle/potência, barramento, conectores e conexão de aterramento.</t>
  </si>
  <si>
    <t>0004966/2022</t>
  </si>
  <si>
    <t>CS443</t>
  </si>
  <si>
    <t>Substituição de Transformadores de Potencial 69 kV, referente a Barra (BA69) da SE J.Lacerda A, Fases A, B, C. Associado à obra são esperadas substituições/adaptações de fundações, suportes, caixa de junção, cabos de controle e potência, barramento, conectores e conexão de aterramento.</t>
  </si>
  <si>
    <t>0004972/2022</t>
  </si>
  <si>
    <t>Substituição de Transformadores de Corrente 138 kV, referente a LT J.Lacerda A - Imbituba C-1, DJ522, Fases A, B, C. Associado à obra são esperadas substituições/adaptações de fundações, suportes, caixa de junção, cabos, barramento, conectores e conexão de aterramento.</t>
  </si>
  <si>
    <t>0004976/2022</t>
  </si>
  <si>
    <t>TC DJ522</t>
  </si>
  <si>
    <t>Substituição de Transformadores de Potencial 138 kV, referente a LT J.Lacerda A - Imbituba C-1, Fases A, B, C. Associado à obra são esperadas substituições/adaptações de fundações, suportes, caixa de junção, cabos de controle/potência, barramento, conectores e conexão de aterramento.</t>
  </si>
  <si>
    <t>0004982/2022</t>
  </si>
  <si>
    <t>Substituição de Disjuntor tripolar 138 kV, DJ532, referente a LT J.Lacerda A - UTE J.Lacerda A C-1. Associado à obra, são esperadas substituições ou adaptações de fundações e suportes existentes, cabos de controle e potência, barramento, conectores e conexão do aterramento do equipamento.</t>
  </si>
  <si>
    <t>LT 138 kV J.LACERDA-A / UTE J.LACERDA-A C-1 SC</t>
  </si>
  <si>
    <t>0004995/2022</t>
  </si>
  <si>
    <t>Substituição de Chave Seccionadora tripolar 69 kV, CS461, referente ao TF 10 230/69 kV da SE J.Lacerda A. Associado à obra são esperadas substituições/adaptações de fundações, suportes, cabos de controle/potência, barramento, conectores e conexão de aterramento.</t>
  </si>
  <si>
    <t>TR 230/69 kV J.LACERDA-A TR10 SC</t>
  </si>
  <si>
    <t>0004997/2022</t>
  </si>
  <si>
    <t>CS461</t>
  </si>
  <si>
    <t>Substituição de Chave Seccionadora tripolar 138 kV, CS531, referente a LT J.Lacerda A - UTE J.Lacerda A C-1. Associado à obra são esperadas substituições/adaptações de fundações, suportes, cabos de controle/potência, barramento, conectores e conexão de aterramento.</t>
  </si>
  <si>
    <t>0005006/2022</t>
  </si>
  <si>
    <t>Substituição de Chave Seccionadora tripolar 138 kV, CS533, referente a LT J.Lacerda A - UTE J.Lacerda A C-1. Associado à obra são esperadas substituições/adaptações de fundações, suportes, cabos de controle/potência, barramento, conectores e conexão de aterramento.</t>
  </si>
  <si>
    <t>0005014/2022</t>
  </si>
  <si>
    <t>SUBSTITUIÇÃO DO DISJUNTOR GMDJ6-01 DA LINHA VILA DO CONDE - GUAMA 230 KV C1</t>
  </si>
  <si>
    <t>LT 230 kV VILA DO CONDE / GUAMA C-1 PA</t>
  </si>
  <si>
    <t>0007352/2022</t>
  </si>
  <si>
    <t>GMDJ6-01</t>
  </si>
  <si>
    <t>Substituição de Transformadores de Corrente 138 kV, referente a LT J.Lacerda A - UTE J.Lacerda A C-1, DJ532, Fases A, B, C. Associado à obra são esperadas substituições/adaptações de fundações, suportes, caixa de junção, cabos, barramento, conectores e conexão de aterramento.</t>
  </si>
  <si>
    <t>0005020/2022</t>
  </si>
  <si>
    <t>TC DJ532</t>
  </si>
  <si>
    <t>Substituição de 01 (um) TP 69 kV posição operacional 82BP-1 fase A da Subestação DMG.</t>
  </si>
  <si>
    <t>0009141/2022</t>
  </si>
  <si>
    <t>11346888</t>
  </si>
  <si>
    <t>Substituição de 01 (um) TP 69 kV posição operacional 82BP-1 fase B da Subestação DMG.</t>
  </si>
  <si>
    <t>0005067/2022</t>
  </si>
  <si>
    <t>11346889</t>
  </si>
  <si>
    <t>Substituição de 01 (um) TP 69 kV posição operacional 82BP-1 fase C da Subestação DMG.</t>
  </si>
  <si>
    <t>0005069/2022</t>
  </si>
  <si>
    <t>11346890</t>
  </si>
  <si>
    <t>Substituição de 01 (um) TP 69 kV posição operacional 82BP-3 fase A da Subestação DMG.</t>
  </si>
  <si>
    <t>0005073/2022</t>
  </si>
  <si>
    <t>11346891</t>
  </si>
  <si>
    <t>Substituição de 1 (um) TP 69 kV posição operacional 82BP-3 da Subestação DMG.</t>
  </si>
  <si>
    <t>0005076/2022</t>
  </si>
  <si>
    <t>11346893</t>
  </si>
  <si>
    <t>Substituição de 1 (um) TP 69 kV posição operacional 82BP-3 fase B da Subestação DMG.</t>
  </si>
  <si>
    <t>0005079/2022</t>
  </si>
  <si>
    <t>11346892</t>
  </si>
  <si>
    <t>Substituição de 01 (um) TP 69 kV posição operacional 82BP-1 fase A da Subestação FTZ.</t>
  </si>
  <si>
    <t>0005083/2022</t>
  </si>
  <si>
    <t>11346806</t>
  </si>
  <si>
    <t>Substituição de 01 (um) TP 69 kV posição operacional 82BP-1 fase B da Subestação FTZ.</t>
  </si>
  <si>
    <t>0005085/2022</t>
  </si>
  <si>
    <t>11346807</t>
  </si>
  <si>
    <t>Substituição de 01 (um) TP 69 kV posição operacional 82BP-1 fase C da Subestação FTZ.</t>
  </si>
  <si>
    <t>0005089/2022</t>
  </si>
  <si>
    <t>11346808</t>
  </si>
  <si>
    <t>ACU II</t>
  </si>
  <si>
    <t>Substituição de 01 (um) Seccionador 138 kV posição operacional 33T2-4 da Subestação ACD.</t>
  </si>
  <si>
    <t>TR 230/138 kV ACU II TR2 RN</t>
  </si>
  <si>
    <t>0005237/2022</t>
  </si>
  <si>
    <t>11334862</t>
  </si>
  <si>
    <t>Substituição de 01 (um) Seccionador 138 kV posição operacional 33T2-5 da Subestação ACD.</t>
  </si>
  <si>
    <t>0005240/2022</t>
  </si>
  <si>
    <t>11334863</t>
  </si>
  <si>
    <t>Substituição de 01 (um) Seccionador 230 kV posição operacional 34D1-1 da Subestação ACD.</t>
  </si>
  <si>
    <t>MG ACU II / CCO-2001-061 - RB</t>
  </si>
  <si>
    <t>0005260/2022</t>
  </si>
  <si>
    <t>11334920</t>
  </si>
  <si>
    <t>UB.ESPERANCA</t>
  </si>
  <si>
    <t>Substituição de 01 (um) PR 230 kV posição operacional 74T4 fase A da Subestação UBE.</t>
  </si>
  <si>
    <t>MC 230 kV TR 13,8/230 kV UB.ESPERANCA TR4 PI (04G4)</t>
  </si>
  <si>
    <t>0005273/2022</t>
  </si>
  <si>
    <t>11331740</t>
  </si>
  <si>
    <t>Substituição de 01 (um) PR 230 kV posição operacional 74T4 fase B da Subestação UBE.</t>
  </si>
  <si>
    <t>0005277/2022</t>
  </si>
  <si>
    <t>11331741</t>
  </si>
  <si>
    <t>Substituição de 01 (um) PR 230 kV posição operacional 74T4 fase C da Subestação UBE.</t>
  </si>
  <si>
    <t>0005282/2022</t>
  </si>
  <si>
    <t>11331742</t>
  </si>
  <si>
    <t>Substituição de 01 (um) Seccionador 230 kV posição operacional 34D1-2 da Subestação ACD.</t>
  </si>
  <si>
    <t>0005284/2022</t>
  </si>
  <si>
    <t>11334921</t>
  </si>
  <si>
    <t>Substituição de 01 (um) Seccionador 230 kV posição operacional 34F1-4 da Subestação MRD.</t>
  </si>
  <si>
    <t>LT 230 kV SANTA RITA II /MUSSURE II C-1 PB</t>
  </si>
  <si>
    <t>0005307/2022</t>
  </si>
  <si>
    <t>11335543</t>
  </si>
  <si>
    <t>Substituição de 01 (um) Seccionador 230 kV posição operacional 34F1-5 da Subestação MRD.</t>
  </si>
  <si>
    <t>0005311/2022</t>
  </si>
  <si>
    <t>11335544</t>
  </si>
  <si>
    <t>Substituição de 01 (um) Seccionador com Lâmina de Terra 230 kV posição operacional 34F1-6 da Subestação MRD.</t>
  </si>
  <si>
    <t>0005315/2022</t>
  </si>
  <si>
    <t>11333617</t>
  </si>
  <si>
    <t>Substituição de 01 (um) Seccionador 230 kV posição operacional 34F2-4 da Subestação MRD.</t>
  </si>
  <si>
    <t>LT 230 kV GOIANINHA /MUSSURE II C-2 PE/PB</t>
  </si>
  <si>
    <t>0005319/2022</t>
  </si>
  <si>
    <t>11335545</t>
  </si>
  <si>
    <t>Substituição de 01 (um) TC 500 kV posição operacional 95T2 fase A da Subestação MSI.</t>
  </si>
  <si>
    <t>0005348/2022</t>
  </si>
  <si>
    <t>11324937</t>
  </si>
  <si>
    <t>Substituição de 01 (um) TC 500 kV posição operacional 95T2 fase B da Subestação MSI.</t>
  </si>
  <si>
    <t>0005352/2022</t>
  </si>
  <si>
    <t>11324938</t>
  </si>
  <si>
    <t>Substituição de 01 (um) TC 500 kV posição operacional 95T2 fase C da Subestação MSI.</t>
  </si>
  <si>
    <t>0005355/2022</t>
  </si>
  <si>
    <t>11324939</t>
  </si>
  <si>
    <t>Substituição de 01 (um) TC 69 kV posição operacional 92J1 fase A da Subestação AGL.</t>
  </si>
  <si>
    <t>EL 69 kV ANGELIM DIST1 (02J1)</t>
  </si>
  <si>
    <t>0005364/2022</t>
  </si>
  <si>
    <t>12437290</t>
  </si>
  <si>
    <t>Substituição de 01 (um) TC 69 kV posição operacional 92J1 fase B da Subestação AGL.</t>
  </si>
  <si>
    <t>0005367/2022</t>
  </si>
  <si>
    <t>11320963</t>
  </si>
  <si>
    <t>Substituição de 01 (um) TC 69 kV posição operacional 92J1 fase C da Subestação AGL.</t>
  </si>
  <si>
    <t>0005371/2022</t>
  </si>
  <si>
    <t>11320964</t>
  </si>
  <si>
    <t>Substituição de 01 (um) TC 69 kV posição operacional 92J2 fase A da Subestação AGL.</t>
  </si>
  <si>
    <t>EL 69 kV ANGELIM DIST2 (02J2)</t>
  </si>
  <si>
    <t>0005373/2022</t>
  </si>
  <si>
    <t>12437291</t>
  </si>
  <si>
    <t>Substituição de 01 (um) TC 69 kV posição operacional 92J2-2 fase A da Subestação IRE.</t>
  </si>
  <si>
    <t>EL 69 kV IRECE DIST2 (02J2)</t>
  </si>
  <si>
    <t>0005399/2022</t>
  </si>
  <si>
    <t>11454967</t>
  </si>
  <si>
    <t>Substituição de 01 (um) TC 69 kV posição operacional 92J3-2 da Subestação IRE.</t>
  </si>
  <si>
    <t>EL 69 kV IRECE DIST3 (02J3)</t>
  </si>
  <si>
    <t>0005403/2022</t>
  </si>
  <si>
    <t>11454973</t>
  </si>
  <si>
    <t>Substituição de 01 (um) Seccionador com Lâmina de Terra 230 kV posição operacional 34F2-6 da Subestação MRD.</t>
  </si>
  <si>
    <t>0005405/2022</t>
  </si>
  <si>
    <t>11333618</t>
  </si>
  <si>
    <t>Substituição de 01 (um) Disjuntor 69 kV posição operacional 12T4 da Subestação ACD.</t>
  </si>
  <si>
    <t>TR 230/69 kV ACU II TR4 RN</t>
  </si>
  <si>
    <t>0005447/2022</t>
  </si>
  <si>
    <t>11340830</t>
  </si>
  <si>
    <t>Substituição de 01 (um) Disjuntor 138 kV posição operacional 13C2 da Subestação ACD.</t>
  </si>
  <si>
    <t>EL 138 kV ACU II LT 138 kV ACU II /SAN.MATOS II C-1 RN (13C2)</t>
  </si>
  <si>
    <t>0005454/2022</t>
  </si>
  <si>
    <t>11340736</t>
  </si>
  <si>
    <t>Substituição de 01 (um) Disjuntor 138 kV posição operacional 13T2 da Subestação ACD.</t>
  </si>
  <si>
    <t>0005456/2022</t>
  </si>
  <si>
    <t>11340735</t>
  </si>
  <si>
    <t>Substituição de 01 (um) Disjuntor com Sincronizador 230 kV posição operacional 14D1 da Subestação ACD.</t>
  </si>
  <si>
    <t>0005459/2022</t>
  </si>
  <si>
    <t>11340639</t>
  </si>
  <si>
    <t>Substituição de 01 (um) Disjuntor 230 kV posição operacional 14L2 da Subestação ACD.</t>
  </si>
  <si>
    <t>LT 230 kV ACU III /ACU II C-1 RN</t>
  </si>
  <si>
    <t>0005462/2022</t>
  </si>
  <si>
    <t>11340640</t>
  </si>
  <si>
    <t>Substituição de 01 (um) Disjuntor com Sincronizador 230 kV posição operacional 14T2 da Subestação ACD.</t>
  </si>
  <si>
    <t>0005466/2022</t>
  </si>
  <si>
    <t>11340641</t>
  </si>
  <si>
    <t>Substituição de 01 (um) Disjuntor com Sincronizador 230 kV posição operacional 14T5 da Subestação ACD.</t>
  </si>
  <si>
    <t>TR 230/69 kV ACU II TR5 RN</t>
  </si>
  <si>
    <t>0005469/2022</t>
  </si>
  <si>
    <t>11340638</t>
  </si>
  <si>
    <t>Substituição de 01 (um) Disjuntor posição operacional 14N4 da Subestação AGL.</t>
  </si>
  <si>
    <t>0005521/2022</t>
  </si>
  <si>
    <t>11341930</t>
  </si>
  <si>
    <t>ABAIXADORA</t>
  </si>
  <si>
    <t>Substituição de 01 (um) Seccionador 230 kV posição operacional 34J4-8 da Subestação ABX.</t>
  </si>
  <si>
    <t>MG ABAIXADORA / CCO-2001-061 - RB</t>
  </si>
  <si>
    <t>0005551/2022</t>
  </si>
  <si>
    <t>11338089</t>
  </si>
  <si>
    <t>Substituição de 01 (um) TC 500 kV posição operacional 95D3-1 fase A da Subestação AGD.</t>
  </si>
  <si>
    <t>MG ANGELIM II / CCO-2001-061 - RB</t>
  </si>
  <si>
    <t>0005568/2022</t>
  </si>
  <si>
    <t>11322068</t>
  </si>
  <si>
    <t>Substituição de 01 (um) TC 500 kV posição operacional 95D3-1 fase B da Subestação AGD.</t>
  </si>
  <si>
    <t>0005572/2022</t>
  </si>
  <si>
    <t>11322069</t>
  </si>
  <si>
    <t>Substituição de 01 (um) TC 500 kV posição operacional 95D3-1 fase C da Subestação AGD.</t>
  </si>
  <si>
    <t>0005575/2022</t>
  </si>
  <si>
    <t>11322070</t>
  </si>
  <si>
    <t>Substituição de 01 (um) TC 500 kV posição operacional 95L5 fase A da Subestação AGD.</t>
  </si>
  <si>
    <t>LT 500 kV GARANHUNS II /ANGELIM II C-1 PE</t>
  </si>
  <si>
    <t>0005612/2022</t>
  </si>
  <si>
    <t>11322055</t>
  </si>
  <si>
    <t>Substituição de 01 (um) Seccionador 230 kV posição operacional 34L2-1 da Subestação ACD.</t>
  </si>
  <si>
    <t>0005613/2022</t>
  </si>
  <si>
    <t>11333950</t>
  </si>
  <si>
    <t>Substituição de 01 (um) TC 500 kV posição operacional 95L5 fase B da Subestação AGD.</t>
  </si>
  <si>
    <t>0005616/2022</t>
  </si>
  <si>
    <t>11322056</t>
  </si>
  <si>
    <t>Substituição de 01 (um) TC 500 kV posição operacional 95L5 fase C da Subestação AGD.</t>
  </si>
  <si>
    <t>0005621/2022</t>
  </si>
  <si>
    <t>11322057</t>
  </si>
  <si>
    <t>Substituição de 01 (um) Seccionador 230 kV posição operacional 34L2-4 da Subestação ACD.</t>
  </si>
  <si>
    <t>0005642/2022</t>
  </si>
  <si>
    <t>11333952</t>
  </si>
  <si>
    <t>Substituição de 01 (um) Disjuntor 69 kV posição operacional 12J8 da Subestação MRD.</t>
  </si>
  <si>
    <t>EL 69 kV MUSSURE II MANGABEIRA-02J8 (02J8)</t>
  </si>
  <si>
    <t>0005647/2022</t>
  </si>
  <si>
    <t>11340470</t>
  </si>
  <si>
    <t>Substituição de 01 (um) Disjuntor 69 kV posição operacional 12T1 da Subestação MRD.</t>
  </si>
  <si>
    <t>TR 230/69 kV MUSSURE II TR1 PB</t>
  </si>
  <si>
    <t>0005651/2022</t>
  </si>
  <si>
    <t>11340423</t>
  </si>
  <si>
    <t>Substituição de 01 (um) Seccionador com Lâmina de Terra 230 kV posição operacional 34L2-5 da Subestação ACD.</t>
  </si>
  <si>
    <t>0005654/2022</t>
  </si>
  <si>
    <t>11334288</t>
  </si>
  <si>
    <t>Substituição de 01 (um) Disjuntor 69 kV posição operacional 12T2 da Subestação MRD.</t>
  </si>
  <si>
    <t>TR 230/69 kV MUSSURE II TR2 PB</t>
  </si>
  <si>
    <t>0005655/2022</t>
  </si>
  <si>
    <t>11340424</t>
  </si>
  <si>
    <t>Substituição de 01 (um) Disjuntor com Sincronizador 230 kV posição operacional 14D1 da Subestação MRD.</t>
  </si>
  <si>
    <t>0005658/2022</t>
  </si>
  <si>
    <t>11341674</t>
  </si>
  <si>
    <t>Substituição de 01 (um) Disjuntor 230 kV posição operacional 14F1 da Subestação MRD.</t>
  </si>
  <si>
    <t>0005663/2022</t>
  </si>
  <si>
    <t>11341675</t>
  </si>
  <si>
    <t>Substituição de 01 (um) Disjuntor 230 kV posição operacional 14F2 da Subestação MRD.</t>
  </si>
  <si>
    <t>0005667/2022</t>
  </si>
  <si>
    <t>11341676</t>
  </si>
  <si>
    <t>Substituição de 01 (um) Disjuntor com Sincronizador 230 kV posição operacional 14T1 da Subestação MRD.</t>
  </si>
  <si>
    <t>0005671/2022</t>
  </si>
  <si>
    <t>11341677</t>
  </si>
  <si>
    <t>Substituição de 01 (um) Disjuntor com Sincronizador 230 kV posição operacional 14T2 da Subestação MRD.</t>
  </si>
  <si>
    <t>0005675/2022</t>
  </si>
  <si>
    <t>11341672</t>
  </si>
  <si>
    <t>Substituição de 01 (um) TC 500 kV posição operacional 95D1-1 fase B da Subestação PAQ.</t>
  </si>
  <si>
    <t>0005705/2022</t>
  </si>
  <si>
    <t>11322186</t>
  </si>
  <si>
    <t>Substituição de 01 (um) TC 500 kV posição operacional 95D1-2 fase A da Subestação PAQ.</t>
  </si>
  <si>
    <t>0005707/2022</t>
  </si>
  <si>
    <t>11322188</t>
  </si>
  <si>
    <t>Substituição de 01 (um) TC 500 kV posição operacional 95D1-2 fase B da Subestação PAQ.</t>
  </si>
  <si>
    <t>0005711/2022</t>
  </si>
  <si>
    <t>11322189</t>
  </si>
  <si>
    <t>Substituição de 01 (um) TC 500 kV posição operacional 95D3-1 fase A da Subestação PAQ.</t>
  </si>
  <si>
    <t>0005715/2022</t>
  </si>
  <si>
    <t>11322198</t>
  </si>
  <si>
    <t>Substituição de 01 (um) TC 500 kV posição operacional 95D3-1 fase B da Subestação PAQ.</t>
  </si>
  <si>
    <t>0005719/2022</t>
  </si>
  <si>
    <t>11322199</t>
  </si>
  <si>
    <t>Substituição de 01 (um) TC 500 kV posição operacional 95D3-1 fase C da Subestação PAQ.</t>
  </si>
  <si>
    <t>0005723/2022</t>
  </si>
  <si>
    <t>11322200</t>
  </si>
  <si>
    <t>Substituição de 01 (um) TC 69 kV posição operacional 92T2 fase A da Subestação DMG.</t>
  </si>
  <si>
    <t>TR 230/69 kV DELM. GOUVEIA TR2 CE</t>
  </si>
  <si>
    <t>0005789/2022</t>
  </si>
  <si>
    <t>11321387</t>
  </si>
  <si>
    <t>Substituição de 01 (um) TC 69 kV posição operacional 92T2 fase B da Subestação DMG.</t>
  </si>
  <si>
    <t>0005794/2022</t>
  </si>
  <si>
    <t>11321368</t>
  </si>
  <si>
    <t>Substituição de 01 (um) TC 69 kV posição operacional 92T2 fase C da Subestação DMG.</t>
  </si>
  <si>
    <t>0005797/2022</t>
  </si>
  <si>
    <t>11321363</t>
  </si>
  <si>
    <t>Substituição de 01 (um) TC 69 kV posição operacional 92T3 fase A da Subestação DMG.</t>
  </si>
  <si>
    <t>0005800/2022</t>
  </si>
  <si>
    <t>11321364</t>
  </si>
  <si>
    <t>Substituição de 01 (um) TC 69 kV posição operacional 92T3 fase B da Subestação DMG.</t>
  </si>
  <si>
    <t>0005804/2022</t>
  </si>
  <si>
    <t>11321365</t>
  </si>
  <si>
    <t>Substituição de 01 (um) TC 69 kV posição operacional 92T3 fase C da Subestação DMG.</t>
  </si>
  <si>
    <t>0005808/2022</t>
  </si>
  <si>
    <t>11321366</t>
  </si>
  <si>
    <t>Substituição de 01 (um) Disjuntor 69 kV posição operacional 12T5 da Subestação DMG.</t>
  </si>
  <si>
    <t>0005856/2022</t>
  </si>
  <si>
    <t>11340852</t>
  </si>
  <si>
    <t>Substituição de 01 (um) Disjuntor com Sincronizador 230 kV posição operacional 14T2 da Subestação DMG.</t>
  </si>
  <si>
    <t>0005864/2022</t>
  </si>
  <si>
    <t>11341757</t>
  </si>
  <si>
    <t>Substituição de 01 (um) Disjuntor posição operacional 14E1 da Subestação FNL.</t>
  </si>
  <si>
    <t>RTB 230 kV 20 Mvar FUNIL RT1 BA</t>
  </si>
  <si>
    <t>0005967/2022</t>
  </si>
  <si>
    <t>11342161</t>
  </si>
  <si>
    <t>Substituição de 01 (um) Disjuntor posição operacional 14E2 da Subestação FNL.</t>
  </si>
  <si>
    <t>RTB 230 kV 22,2 Mvar FUNIL RT2 BA</t>
  </si>
  <si>
    <t>0005970/2022</t>
  </si>
  <si>
    <t>11342160</t>
  </si>
  <si>
    <t>Substituição de 01 (um) TC 500 kV posição operacional 95D4-1 fase A da Subestação PAQ.</t>
  </si>
  <si>
    <t>0005979/2022</t>
  </si>
  <si>
    <t>11322201</t>
  </si>
  <si>
    <t>Substituição de 01 (um) TC 500 kV posição operacional 95D4-1 fase B da Subestação PAQ.</t>
  </si>
  <si>
    <t>0005982/2022</t>
  </si>
  <si>
    <t>11322202</t>
  </si>
  <si>
    <t>Substituição de 01 (um) TC 500 kV posição operacional 95D4-1 fase C da Subestação PAQ.</t>
  </si>
  <si>
    <t>0005986/2022</t>
  </si>
  <si>
    <t>11322203</t>
  </si>
  <si>
    <t>Substituição de 01 (um) Disjuntor posição operacional 14E3 da Subestação ENP.</t>
  </si>
  <si>
    <t>RTB 230 kV 22,2 Mvar EUNAPOLIS RT3 BA</t>
  </si>
  <si>
    <t>0005989/2022</t>
  </si>
  <si>
    <t>11340599</t>
  </si>
  <si>
    <t>Substituição de 01 (um) TC 500 kV posição operacional 95D4-2 fase A da Subestação PAQ.</t>
  </si>
  <si>
    <t>0005990/2022</t>
  </si>
  <si>
    <t>11322204</t>
  </si>
  <si>
    <t>Substituição de 01 (um) TC 500 kV posição operacional 95D4-2 fase B da Subestação PAQ.</t>
  </si>
  <si>
    <t>0005993/2022</t>
  </si>
  <si>
    <t>11322205</t>
  </si>
  <si>
    <t>Substituição de 01 (um) TC 500 kV posição operacional 95D4-2 fase C da Subestação PAQ.</t>
  </si>
  <si>
    <t>0005997/2022</t>
  </si>
  <si>
    <t>11322206</t>
  </si>
  <si>
    <t>Substituição de 01 (um) TC 500 kV posição operacional 95D5-1 fase A da Subestação PAQ.</t>
  </si>
  <si>
    <t>0006002/2022</t>
  </si>
  <si>
    <t>11325622</t>
  </si>
  <si>
    <t>Substituição de 01 (um) TC 500 kV posição operacional 95D5-1 fase B da Subestação PAQ.</t>
  </si>
  <si>
    <t>0006005/2022</t>
  </si>
  <si>
    <t>11325617</t>
  </si>
  <si>
    <t>Substituição de 01 (um) TC 500 kV posição operacional 95D5-1 fase C da Subestação PAQ.</t>
  </si>
  <si>
    <t>0006009/2022</t>
  </si>
  <si>
    <t>11325618</t>
  </si>
  <si>
    <t>Substituição de 01 (um) TC 500 kV posição operacional 95D5-2 fase A da Subestação PAQ.</t>
  </si>
  <si>
    <t>0006013/2022</t>
  </si>
  <si>
    <t>11322164</t>
  </si>
  <si>
    <t>Substituição de 01 (um) TC 500 kV posição operacional 95D5-2 fase B da Subestação PAQ.</t>
  </si>
  <si>
    <t>0006017/2022</t>
  </si>
  <si>
    <t>11322165</t>
  </si>
  <si>
    <t>Substituição de 01 (um) TC 500 kV posição operacional 95D5-2 fase C da Subestação PAQ.</t>
  </si>
  <si>
    <t>0006022/2022</t>
  </si>
  <si>
    <t>11322166</t>
  </si>
  <si>
    <t>Substituição de 01 (um) TC 500 kV posição operacional 95D6-2 fase A da Subestação PAQ.</t>
  </si>
  <si>
    <t>0006039/2022</t>
  </si>
  <si>
    <t>11322170</t>
  </si>
  <si>
    <t>Substituição de 01 (um) TC 500 kV posição operacional 95D6-2 fase B da Subestação PAQ.</t>
  </si>
  <si>
    <t>0006040/2022</t>
  </si>
  <si>
    <t>11322171</t>
  </si>
  <si>
    <t>Substituição de 01 (um) Seccionador 230 kV posição operacional 34T1-4 da Subestação MRD.</t>
  </si>
  <si>
    <t>0006050/2022</t>
  </si>
  <si>
    <t>11333619</t>
  </si>
  <si>
    <t>Substituição de toda Coberta do Prédio de Comando com área de 509,43m² na SE Olindina.</t>
  </si>
  <si>
    <t>MG OLINDINA / CCO-2001-061 - RB</t>
  </si>
  <si>
    <t>0006058/2022</t>
  </si>
  <si>
    <t>12454676</t>
  </si>
  <si>
    <t>Substituição de 01 (um) Seccionador 230 kV posição operacional 34T1-5 da Subestação MRD.</t>
  </si>
  <si>
    <t>0006061/2022</t>
  </si>
  <si>
    <t>11335546</t>
  </si>
  <si>
    <t>Substituição de 01 (um) Seccionador 230 kV posição operacional 34T1-6 da Subestação MRD.</t>
  </si>
  <si>
    <t>0006074/2022</t>
  </si>
  <si>
    <t>11335547</t>
  </si>
  <si>
    <t>Substituição de 01 ar condicionado tipo janela, com fornecimento e instalação, na Guarita da SE Mirueira. Sendo este de 10.000 BTUs.</t>
  </si>
  <si>
    <t>0006089/2022</t>
  </si>
  <si>
    <t>12454683</t>
  </si>
  <si>
    <t>Substituição de 01 (um) Seccionador 230 kV posição operacional 34T2-1 da Subestação ACD.</t>
  </si>
  <si>
    <t>0006091/2022</t>
  </si>
  <si>
    <t>11334289</t>
  </si>
  <si>
    <t>Substituição de 1 (um) Transformador de Serviço Auxliar 13,8 kV posição operacional 01T4 da Subestação SOB.</t>
  </si>
  <si>
    <t>0006096/2022</t>
  </si>
  <si>
    <t>11456646</t>
  </si>
  <si>
    <t>Substituição de 1 (um) Transformador de Serviço Auxliar 13,8 kV posição operacional 01T5 da Subestação SOB.</t>
  </si>
  <si>
    <t>0006098/2022</t>
  </si>
  <si>
    <t>11456647</t>
  </si>
  <si>
    <t>Substituição de 01 (um) TC 500 kV posição operacional 95T7 fase A da Subestação PAQ.</t>
  </si>
  <si>
    <t>TR 500/230 kV P. AFONSO IV TR7 BA</t>
  </si>
  <si>
    <t>0006109/2022</t>
  </si>
  <si>
    <t>11322158</t>
  </si>
  <si>
    <t>Substituição de 01 (um) TC 500 kV posição operacional 95T7 fase B da Subestação PAQ.</t>
  </si>
  <si>
    <t>0006116/2022</t>
  </si>
  <si>
    <t>11322159</t>
  </si>
  <si>
    <t>Substituição de 01 (um) Seccionador 230 kV posição operacional 34T2-4 da Subestação MRD.</t>
  </si>
  <si>
    <t>0006118/2022</t>
  </si>
  <si>
    <t>11333620</t>
  </si>
  <si>
    <t>Substituição de 01 (um) Seccionador 230 kV posição operacional 34T2-4 da Subestação ACD.</t>
  </si>
  <si>
    <t>0006123/2022</t>
  </si>
  <si>
    <t>11334291</t>
  </si>
  <si>
    <t>Substituição de 01 (um) Seccionadora 69 kV posição operacional 32D1-1 da Subestação IRE.</t>
  </si>
  <si>
    <t>IB 69 kV MG 230 kV IRECE MG1 BA IB1 (12D1)</t>
  </si>
  <si>
    <t>0006124/2022</t>
  </si>
  <si>
    <t>11333346</t>
  </si>
  <si>
    <t>Substituição de 01 (um) TC 500 kV posição operacional 95T7 fase C da Subestação PAQ.</t>
  </si>
  <si>
    <t>0006125/2022</t>
  </si>
  <si>
    <t>11322160</t>
  </si>
  <si>
    <t>Substituição de 01 (um) Seccionadora 69 kV posição operacional 32T1-4 da Subestação IRE.</t>
  </si>
  <si>
    <t>TR 230/69 kV IRECE TR1 BA</t>
  </si>
  <si>
    <t>0006127/2022</t>
  </si>
  <si>
    <t>11333342</t>
  </si>
  <si>
    <t>Substituição de 01 (um) Seccionador 230 kV posição operacional 34T2-5 da Subestação MRD.</t>
  </si>
  <si>
    <t>0006130/2022</t>
  </si>
  <si>
    <t>11333621</t>
  </si>
  <si>
    <t>Substituição de 01 (um) Seccionadora 69 kV posição operacional 32T1-5 da Subestação IRE.</t>
  </si>
  <si>
    <t>0006131/2022</t>
  </si>
  <si>
    <t>11333449</t>
  </si>
  <si>
    <t>Substituição de 01 (um) Seccionadora 69 kV posição operacional 32T1-6 da Subestação IRE.</t>
  </si>
  <si>
    <t>0006133/2022</t>
  </si>
  <si>
    <t>11333343</t>
  </si>
  <si>
    <t>Substituição de 01 (um) Seccionador 69 kV posição operacional 32A1-8 da Subestação MRD.</t>
  </si>
  <si>
    <t>MC 69 kV TT 69/13,8 kV MUSSURE II TA1 PB (02A1)</t>
  </si>
  <si>
    <t>0006136/2022</t>
  </si>
  <si>
    <t>11333356</t>
  </si>
  <si>
    <t>Substituição de 01 (um) Seccionador 230 kV posição operacional 34T2-6 da Subestação MRD.</t>
  </si>
  <si>
    <t>0006145/2022</t>
  </si>
  <si>
    <t>11335548</t>
  </si>
  <si>
    <t>Substituição de 01 (um) Seccionador 230 kV posição operacional 34T3-5 da Subestação MRD.</t>
  </si>
  <si>
    <t>TR 230/69 kV MUSSURE II TR3 PB</t>
  </si>
  <si>
    <t>0006190/2022</t>
  </si>
  <si>
    <t>11335550</t>
  </si>
  <si>
    <t>Substituição de 01 (um) inversor posição operacional 200I1 da Subestação SOB.</t>
  </si>
  <si>
    <t>0006201/2022</t>
  </si>
  <si>
    <t>12434634</t>
  </si>
  <si>
    <t>Substituição de 01 (um) Seccionador 230 kV posição operacional 34T4-1 da Subestação ACD.</t>
  </si>
  <si>
    <t>0006202/2022</t>
  </si>
  <si>
    <t>11333955</t>
  </si>
  <si>
    <t>Substituição de 01 (um) retificador posição operacional 200R7 da Subestação RCD.</t>
  </si>
  <si>
    <t>0006207/2022</t>
  </si>
  <si>
    <t>11455499</t>
  </si>
  <si>
    <t>Substituição de 01 (um) retificador posição operacional 200R8 da Subestação RCD.</t>
  </si>
  <si>
    <t>0006208/2022</t>
  </si>
  <si>
    <t>11455500</t>
  </si>
  <si>
    <t>Substituição de 01 (um) inversor posição operacional 200I1 da Subestação FTZ.</t>
  </si>
  <si>
    <t>0006212/2022</t>
  </si>
  <si>
    <t>12434631</t>
  </si>
  <si>
    <t>Substituição de 01 (um) Seccionador 230 kV posição operacional 34T4-4 da Subestação ACD.</t>
  </si>
  <si>
    <t>0006216/2022</t>
  </si>
  <si>
    <t>11333957</t>
  </si>
  <si>
    <t>Substituição de 01 (um) Seccionador 69 kV posição operacional 32J8-4 da Subestação MRD.</t>
  </si>
  <si>
    <t>0006225/2022</t>
  </si>
  <si>
    <t>11337614</t>
  </si>
  <si>
    <t>Substituição de 01 (um) Seccionador com Lâmina de Terra 69 kV posição operacional 32J8-6 da Subestação MRD.</t>
  </si>
  <si>
    <t>0006232/2022</t>
  </si>
  <si>
    <t>11334747</t>
  </si>
  <si>
    <t>Substituição de 01 (um) Seccionador com Lâmina de Terra 69 kV posição operacional 32M1-5 da Subestação CCD.</t>
  </si>
  <si>
    <t>EL 69 kV CIC. DANTAS DIST1 (12M1)</t>
  </si>
  <si>
    <t>0006234/2022</t>
  </si>
  <si>
    <t>11333809</t>
  </si>
  <si>
    <t>Substituição de 01 (um) Seccionador 69 kV posição operacional 32T1-5 da Subestação MRD.</t>
  </si>
  <si>
    <t>0006243/2022</t>
  </si>
  <si>
    <t>11335144</t>
  </si>
  <si>
    <t>Substituição de 01 (um) Seccionador 69 kV posição operacional 32T1-6 da Subestação MRD.</t>
  </si>
  <si>
    <t>0006248/2022</t>
  </si>
  <si>
    <t>11335168</t>
  </si>
  <si>
    <t>Substituição de 01 (um) Seccionador 69 kV posição operacional 32T2-4 da Subestação MRD.</t>
  </si>
  <si>
    <t>0006253/2022</t>
  </si>
  <si>
    <t>11337616</t>
  </si>
  <si>
    <t>Substituição de 01 (um) Seccionador 69 kV posição operacional 32T2-5 da Subestação MRD.</t>
  </si>
  <si>
    <t>0006256/2022</t>
  </si>
  <si>
    <t>11337617</t>
  </si>
  <si>
    <t>Substituição de 01 (um) Seccionador 69 kV posição operacional 32T2-6 da Subestação MRD.</t>
  </si>
  <si>
    <t>0006257/2022</t>
  </si>
  <si>
    <t>11337618</t>
  </si>
  <si>
    <t>Substituição de 01 (um) Seccionador 69 kV posição operacional 32T4-4 da Subestação ACD.</t>
  </si>
  <si>
    <t>0006276/2022</t>
  </si>
  <si>
    <t>11337906</t>
  </si>
  <si>
    <t>Substituição de 01 (um) Seccionador 69 kV posição operacional 32T4-5 da Subestação ACD.</t>
  </si>
  <si>
    <t>0006277/2022</t>
  </si>
  <si>
    <t>11337907</t>
  </si>
  <si>
    <t>Substituição de 01 (um) PR 500 kV posição operacional 75T3 fase A da Subestação USB.</t>
  </si>
  <si>
    <t>LT 500 kV U.SOBRADINHO /SOBRADINHO C-3 BA</t>
  </si>
  <si>
    <t>0006293/2022</t>
  </si>
  <si>
    <t>Substituição de 01 (um) PR 500 kV posição operacional 75T3 fase B da Subestação USB.</t>
  </si>
  <si>
    <t>0006295/2022</t>
  </si>
  <si>
    <t>Substituição de 01 (um) TC 500 kV posição operacional 95D1-1 fase A da Subestação MSI.</t>
  </si>
  <si>
    <t>MG MESSIAS / CCO-2001-061 - RB</t>
  </si>
  <si>
    <t>0006317/2022</t>
  </si>
  <si>
    <t>11324940</t>
  </si>
  <si>
    <t>Substituição de 01 (um) TC 500 kV posição operacional 95D1-1 fase B da Subestação MSI.</t>
  </si>
  <si>
    <t>0006321/2022</t>
  </si>
  <si>
    <t>11324941</t>
  </si>
  <si>
    <t>Substituição de 01 (um) TC 500 kV posição operacional 95D1-1 fase C da Subestação MSI.</t>
  </si>
  <si>
    <t>0006325/2022</t>
  </si>
  <si>
    <t>11324942</t>
  </si>
  <si>
    <t>Substituição de 01 (um) TC 500 kV posição operacional 95L7 fase A da Subestação RCD.</t>
  </si>
  <si>
    <t>0006329/2022</t>
  </si>
  <si>
    <t>11322085</t>
  </si>
  <si>
    <t>Substituição de 01 (um) TC 500 kV posição operacional 95L8 fase B da Subestação RCD.</t>
  </si>
  <si>
    <t>0006333/2022</t>
  </si>
  <si>
    <t>11322087</t>
  </si>
  <si>
    <t>Substituição de 01 (um) TC 500 kV posição operacional 95L8 fase C da Subestação RCD.</t>
  </si>
  <si>
    <t>0006334/2022</t>
  </si>
  <si>
    <t>11322088</t>
  </si>
  <si>
    <t>Substituição de 01 (um) Seccionador 230 kV posição operacional 34T2-5 da Subestação ACD.</t>
  </si>
  <si>
    <t>0006345/2022</t>
  </si>
  <si>
    <t>11334292</t>
  </si>
  <si>
    <t>Substituição de 01 (um) Seccionador 230 kV posição operacional 34T4-5 da Subestação ACD.</t>
  </si>
  <si>
    <t>0006350/2022</t>
  </si>
  <si>
    <t>11333958</t>
  </si>
  <si>
    <t>Substituição de 01 (um) Seccionador 230 kV posição operacional 34T5-4 da Subestação ACD.</t>
  </si>
  <si>
    <t>0006366/2022</t>
  </si>
  <si>
    <t>11333962</t>
  </si>
  <si>
    <t>Substituição de 01 (um) Seccionador 230 kV posição operacional 34T5-5 da Subestação ACD.</t>
  </si>
  <si>
    <t>0006370/2022</t>
  </si>
  <si>
    <t>11333963</t>
  </si>
  <si>
    <t>Substituição de 01 (um) TC 500 kV posição operacional 95E5 fase A da Subestação SOB.</t>
  </si>
  <si>
    <t>0006392/2022</t>
  </si>
  <si>
    <t>11322046</t>
  </si>
  <si>
    <t>Substituição de 01 (um) TC 500 kV posição operacional 95E5 fase B da Subestação SOB.</t>
  </si>
  <si>
    <t>0006398/2022</t>
  </si>
  <si>
    <t>11322047</t>
  </si>
  <si>
    <t>Substituição de 01 (um) TC 500 kV posição operacional 95E5 fase C da Subestação SOB.</t>
  </si>
  <si>
    <t>0006405/2022</t>
  </si>
  <si>
    <t>11322048</t>
  </si>
  <si>
    <t>Substituição de 01 (um) TC 500 kV posição operacional 95T4 fase A da Subestação SOB.</t>
  </si>
  <si>
    <t>TR 500/230 kV U.SOBRADINHO TR4 BA</t>
  </si>
  <si>
    <t>0006409/2022</t>
  </si>
  <si>
    <t>11322030</t>
  </si>
  <si>
    <t>Substituição de 01 (um) TC 500 kV posição operacional 95T4 fase B da Subestação SOB.</t>
  </si>
  <si>
    <t>0006414/2022</t>
  </si>
  <si>
    <t>11322031</t>
  </si>
  <si>
    <t>Substituição de 01 (um) TC 500 kV posição operacional 95T4 fase C da Subestação SOB.</t>
  </si>
  <si>
    <t>0006416/2022</t>
  </si>
  <si>
    <t>11322032</t>
  </si>
  <si>
    <t>Substituição de 01 (um) Seccionador 69 kV posição operacional 32T1-4 da Subestação MRD.</t>
  </si>
  <si>
    <t>0006433/2022</t>
  </si>
  <si>
    <t>11335143</t>
  </si>
  <si>
    <t>Substituição de 01 (um) PR 500 kV posição operacional 75T3 fase C da Subestação USB.</t>
  </si>
  <si>
    <t>0006448/2022</t>
  </si>
  <si>
    <t>Substituição de 01 (um) Seccionador 138 kV posição operacional 33C2-4 da Subestação ACD.</t>
  </si>
  <si>
    <t>0006533/2022</t>
  </si>
  <si>
    <t>11334855</t>
  </si>
  <si>
    <t>Substituição de 01 (um) Seccionador com Lâmina de Terra 138 kV posição operacional 33C2-5 da Subestação ACD.</t>
  </si>
  <si>
    <t>0006535/2022</t>
  </si>
  <si>
    <t>11334856</t>
  </si>
  <si>
    <t>Substituição de 01 (um) Seccionador 230 kV posição operacional 34T5-1 da Subestação ACD.</t>
  </si>
  <si>
    <t>0006540/2022</t>
  </si>
  <si>
    <t>11333960</t>
  </si>
  <si>
    <t>Substituição de 01 (um) TC 500 kV posição operacional 95E4 fase A da Subestação SOB.</t>
  </si>
  <si>
    <t>0006572/2022</t>
  </si>
  <si>
    <t>11322043</t>
  </si>
  <si>
    <t>Substituição de 01 (um) TC 500 kV posição operacional 95E4 fase B da Subestação SOB.</t>
  </si>
  <si>
    <t>0006576/2022</t>
  </si>
  <si>
    <t>11322044</t>
  </si>
  <si>
    <t>Substituição de 01 (um) TC 500 kV posição operacional 95E4 fase C da Subestação SOB.</t>
  </si>
  <si>
    <t>0006579/2022</t>
  </si>
  <si>
    <t>11322045</t>
  </si>
  <si>
    <t>Substituição de 01 (um) TC 500 kV posição operacional 95V1 fase A da Subestação SOB.</t>
  </si>
  <si>
    <t>MC 500 kV TR 13,8/500 kV U.SOBRADINHO TR1 BA (05V1)</t>
  </si>
  <si>
    <t>0006583/2022</t>
  </si>
  <si>
    <t>11322033</t>
  </si>
  <si>
    <t>Substituição de 01 (um) TC 500 kV posição operacional 95V1 fase C da Subestação SOB.</t>
  </si>
  <si>
    <t>0006590/2022</t>
  </si>
  <si>
    <t>11322035</t>
  </si>
  <si>
    <t>Substituição de 01 (um) TC 500 kV posição operacional 95G1 fase A da Subestação PAQ.</t>
  </si>
  <si>
    <t>0006611/2022</t>
  </si>
  <si>
    <t>11322176</t>
  </si>
  <si>
    <t>Substituição de 01 (um) TC 500 kV posição operacional 95G1 fase B da Subestação PAQ.</t>
  </si>
  <si>
    <t>0006614/2022</t>
  </si>
  <si>
    <t>11322177</t>
  </si>
  <si>
    <t>Substituição de 01 (um) TC 500 kV posição operacional 95G1 fase C da Subestação PAQ.</t>
  </si>
  <si>
    <t>0006617/2022</t>
  </si>
  <si>
    <t>11322178</t>
  </si>
  <si>
    <t>Substituição de 01 (um) Seccionador 69 kV posição operacional 32J8-5 da Subestação MRD.</t>
  </si>
  <si>
    <t>0006623/2022</t>
  </si>
  <si>
    <t>11337615</t>
  </si>
  <si>
    <t>Substituição de 01 (um) TC 500 kV posição operacional 95G5 fase A da Subestação PAQ.</t>
  </si>
  <si>
    <t>0006632/2022</t>
  </si>
  <si>
    <t>11322195</t>
  </si>
  <si>
    <t>Substituição de 01 (um) TC 500 kV posição operacional 95G5 fase C da Subestação PAQ.</t>
  </si>
  <si>
    <t>0006634/2022</t>
  </si>
  <si>
    <t>11322163</t>
  </si>
  <si>
    <t>Substituição de 01 (um) TC 500 kV posição operacional 95G6 fase A da Subestação PAQ.</t>
  </si>
  <si>
    <t>0006636/2022</t>
  </si>
  <si>
    <t>11325619</t>
  </si>
  <si>
    <t>Substituição de 01 (um) TC 500 kV posição operacional 95G6 fase B da Subestação PAQ.</t>
  </si>
  <si>
    <t>0006638/2022</t>
  </si>
  <si>
    <t>11325620</t>
  </si>
  <si>
    <t>Substituição de 01 (um) TC 500 kV posição operacional 95G6 fase C da Subestação PAQ.</t>
  </si>
  <si>
    <t>0006640/2022</t>
  </si>
  <si>
    <t>11325621</t>
  </si>
  <si>
    <t>Substituição de 01 (um) TC 500 kV posição operacional 95T8 fase A da Subestação PAQ.</t>
  </si>
  <si>
    <t>TR 500/230 kV P. AFONSO IV TR8 BA</t>
  </si>
  <si>
    <t>0006642/2022</t>
  </si>
  <si>
    <t>11322182</t>
  </si>
  <si>
    <t>Substituição de 01 (um) TC 500 kV posição operacional 95T8 fase B da Subestação PAQ.</t>
  </si>
  <si>
    <t>0006644/2022</t>
  </si>
  <si>
    <t>11322183</t>
  </si>
  <si>
    <t>Substituição de 01 (um) TC 500 kV posição operacional 95T8 fase C da Subestação PAQ.</t>
  </si>
  <si>
    <t>0006646/2022</t>
  </si>
  <si>
    <t>11322184</t>
  </si>
  <si>
    <t>Substituição de 01 (um) TC 500 kV posição operacional 95L8 fase A da Subestação RCD.</t>
  </si>
  <si>
    <t>0006673/2022</t>
  </si>
  <si>
    <t>11322086</t>
  </si>
  <si>
    <t>Substituição de 1 estrutura metálica autoportante 031/1 (nova altura = 27,2 m e carregamento/esforço = 9577,1 DAN) e componentes e 04 fundações associadas da LT 230 kV SAPEACU /FUNIL C-1 BA-04F1.</t>
  </si>
  <si>
    <t>0006744/2022</t>
  </si>
  <si>
    <t>11905955</t>
  </si>
  <si>
    <t>LT 500 kV OLINDINA /US. L.GONZAGA C-1</t>
  </si>
  <si>
    <t>Substituição de 1 estrutura metálica autoportante 177/1 (nova altura = 29 m e carregamento/esforço = 6621,2 DAN) e componentes e 04 fundações associadas da LT 500 kV OLINDINA /US. L.GONZAGA C-1 BA/PE-05S4.</t>
  </si>
  <si>
    <t>0006746/2022</t>
  </si>
  <si>
    <t>11800719</t>
  </si>
  <si>
    <t>LT 230 kV CAUIPE /SOBRAL II CE</t>
  </si>
  <si>
    <t>Substituição de 1 estrutura metálica autoportante 007/3 (nova altura = 27 m e carregamento/esforço = 4342,4 DAN) e componentes e 04 fundações associadas da LT 230 kV CAUIPE /SOBRAL II C-1 CE-04S2.</t>
  </si>
  <si>
    <t>0006747/2022</t>
  </si>
  <si>
    <t>11683794</t>
  </si>
  <si>
    <t>Substituição de 1 estrutura metálica autoportante 008/1 (nova altura = 28,5 m e carregamento/esforço = 4342,4 DAN) e componentes e 04 fundações associadas da LT 230 kV CAUIPE /SOBRAL II C-1 CE-04S2.</t>
  </si>
  <si>
    <t>0006748/2022</t>
  </si>
  <si>
    <t>11683804</t>
  </si>
  <si>
    <t>LT 230 kV P.AFONSO III /TACARUTU AL/PE</t>
  </si>
  <si>
    <t>Substituição de 1 estrutura metálica autoportante 014/3 (nova altura = 33 m e carregamento/esforço = 9577,1 DAN) e componentes e 04 fundações associadas da LT 230 kV P.AFONSO III /TACARUTU C-1 AL/PE-04F1.</t>
  </si>
  <si>
    <t>LT 230 kV P.AFONSO III /TACARUTU C-1 AL/PE</t>
  </si>
  <si>
    <t>0006750/2022</t>
  </si>
  <si>
    <t>11821961</t>
  </si>
  <si>
    <t>Substituição de 1 estrutura metálica autoportante 013/1 (nova altura = 25,5 m e carregamento/esforço = 4032 DAN) e componentes e 04 fundações associadas da LT 230 kV P.AFONSO III /TACARUTU C-1 AL/PE-04F1.</t>
  </si>
  <si>
    <t>0006751/2022</t>
  </si>
  <si>
    <t>11822011</t>
  </si>
  <si>
    <t>Substituição de 1 estrutura metálica autoportante 014/1 (nova altura = 31,5 m e carregamento/esforço = 4986,8 DAN) e componentes e 04 fundações associadas da LT 230 kV P.AFONSO III /TACARUTU C-1 AL/PE-04F1.</t>
  </si>
  <si>
    <t>0006752/2022</t>
  </si>
  <si>
    <t>11821981</t>
  </si>
  <si>
    <t>Substituição de 1 estrutura metálica autoportante 014/2 (nova altura = 25,5 m e carregamento/esforço = 5586,1 DAN) e componentes e 04 fundações associadas da LT 230 kV P.AFONSO III /TACARUTU C-1 AL/PE-04F1.</t>
  </si>
  <si>
    <t>0006753/2022</t>
  </si>
  <si>
    <t>11821971</t>
  </si>
  <si>
    <t>Substituição de 1 estrutura metálica autoportante 018/2 (nova altura = 27 m e carregamento/esforço = 8091,5 DAN) e componentes e 04 fundações associadas da LT 230 kV P.AFONSO III /TACARUTU C-1 AL/PE-04F1.</t>
  </si>
  <si>
    <t>0006754/2022</t>
  </si>
  <si>
    <t>11821871</t>
  </si>
  <si>
    <t>LT 230 kV CAMACARI II /G.MANGABEIRA BA</t>
  </si>
  <si>
    <t>Substituição de 1 estrutura metálica autoportante 004/2 (nova altura = 37,5 m e carregamento/esforço = 5506,4 DAN) e componentes e 04 fundações associadas da LT 230 kV CAMACARI II /G.MANGABEIRA C-1 BA-04C7.</t>
  </si>
  <si>
    <t>LT 230 kV CAMACARI II /G.MANGABEIRA C-1 BA</t>
  </si>
  <si>
    <t>0006757/2022</t>
  </si>
  <si>
    <t>11891201</t>
  </si>
  <si>
    <t>Substituição de 1 estrutura metálica autoportante 007/1 (nova altura = 55,5 m e carregamento/esforço = 13700,6 DAN) e componentes e 04 fundações associadas da LT 230 kV CAMACARI II /G.MANGABEIRA C-1 BA-04C7.</t>
  </si>
  <si>
    <t>0006758/2022</t>
  </si>
  <si>
    <t>11891251</t>
  </si>
  <si>
    <t>Substituição de 1 estrutura metálica autoportante 007/2 (nova altura = 43,5 m e carregamento/esforço = 10801,2 DAN) e componentes e 04 fundações associadas da LT 230 kV CAMACARI II /G.MANGABEIRA C-1 BA-04C7.</t>
  </si>
  <si>
    <t>0006759/2022</t>
  </si>
  <si>
    <t>11891261</t>
  </si>
  <si>
    <t>Substituição de 1 estrutura metálica autoportante 007/3 (nova altura = 31,5 m e carregamento/esforço = 4372,7 DAN) e componentes e 04 fundações associadas da LT 230 kV CAMACARI II /G.MANGABEIRA C-1 BA-04C7.</t>
  </si>
  <si>
    <t>0006760/2022</t>
  </si>
  <si>
    <t>11891271</t>
  </si>
  <si>
    <t>Substituição de 1 estrutura metálica autoportante 063/1 (nova altura = 46,5 m e carregamento/esforço = 7282,2 DAN) e componentes e 04 fundações associadas da LT 230 kV CAMACARI II /G.MANGABEIRA C-1 BA-04C7.</t>
  </si>
  <si>
    <t>0006761/2022</t>
  </si>
  <si>
    <t>11892481</t>
  </si>
  <si>
    <t>Substituição de 1 estrutura metálica autoportante 063/2 (nova altura = 42 m e carregamento/esforço = 6118,8 DAN) e componentes e 04 fundações associadas da LT 230 kV CAMACARI II /G.MANGABEIRA C-1 BA-04C7.</t>
  </si>
  <si>
    <t>0006762/2022</t>
  </si>
  <si>
    <t>11892491</t>
  </si>
  <si>
    <t>Substituição de 1 estrutura metálica autoportante 064/2 (nova altura = 33 m e carregamento/esforço = 4543,1 DAN) e componentes e 04 fundações associadas da LT 230 kV CAMACARI II /G.MANGABEIRA C-1 BA-04C7.</t>
  </si>
  <si>
    <t>0006763/2022</t>
  </si>
  <si>
    <t>11892511</t>
  </si>
  <si>
    <t>LT 230 kV COTEGIPE /MATATU BA</t>
  </si>
  <si>
    <t>Substituição de 1 estrutura metálica autoportante 19 (nova altura = 41,9 m e carregamento/esforço = 10461,5 DAN) e componentes e 04 fundações associadas da LT 230 kV COTEGIPE /MATATU C-1 BA-04L4.</t>
  </si>
  <si>
    <t>LT 230 kV COTEGIPE /MATATU C-1 BA</t>
  </si>
  <si>
    <t>0006764/2022</t>
  </si>
  <si>
    <t>11898385</t>
  </si>
  <si>
    <t>Substituição de 1 estrutura metálica autoportante 20 (nova altura = 41,9 m e carregamento/esforço = 10461,5 DAN) e componentes e 04 fundações associadas da LT 230 kV COTEGIPE /MATATU C-1 BA-04L4.</t>
  </si>
  <si>
    <t>0006765/2022</t>
  </si>
  <si>
    <t>11898395</t>
  </si>
  <si>
    <t>Substituição de 1 estrutura metálica autoportante 65 (nova altura = 29,6 m e carregamento/esforço = 15832,9 DAN) e componentes e 04 fundações associadas da LT 230 kV COTEGIPE /MATATU C-1 BA-04L4.</t>
  </si>
  <si>
    <t>0006766/2022</t>
  </si>
  <si>
    <t>11898845</t>
  </si>
  <si>
    <t>Substituição de 1 estrutura metálica autoportante 064/3 (nova altura = 37,5 m e carregamento/esforço = 5506,4 DAN) e componentes e 04 fundações associadas da LT 230 kV CAMACARI II /G.MANGABEIRA C-1 BA-04C7.</t>
  </si>
  <si>
    <t>0006779/2022</t>
  </si>
  <si>
    <t>11892521</t>
  </si>
  <si>
    <t>LT 230 kV CAMACARI II /MATATU BA</t>
  </si>
  <si>
    <t>Substituição de 1 estrutura metálica autoportante 014/1 (nova altura = 30 m e carregamento/esforço = 4641,2 DAN) e componentes e 04 fundações associadas da LT 230 kV CAMACARI II /MATATU C-1 BA-04M7.</t>
  </si>
  <si>
    <t>LT 230 kV CAMACARI II /MATATU C-1 BA</t>
  </si>
  <si>
    <t>0006780/2022</t>
  </si>
  <si>
    <t>11894721</t>
  </si>
  <si>
    <t>LT 230 kV IBIAPINA II /SOBRAL II CE</t>
  </si>
  <si>
    <t>Substituição de 1 estrutura metálica autoportante 042/1 (antiga 106/2) (nova altura = 33,2 m e carregamento/esforço = 10666,7 DAN) e componentes e 04 fundações associadas da LT 230 kV IBIAPINA II /SOBRAL II C-1 CE-04L1.</t>
  </si>
  <si>
    <t>0006824/2022</t>
  </si>
  <si>
    <t>11754664</t>
  </si>
  <si>
    <t>Substituição de 1 estrutura metálica autoportante 043/1 (antiga 107/1) (nova altura = 31,7 m e carregamento/esforço = 15067,4 DAN) e componentes e 04 fundações associadas da LT 230 kV IBIAPINA II /SOBRAL II C-1 CE-04L1.</t>
  </si>
  <si>
    <t>0006826/2022</t>
  </si>
  <si>
    <t>11676124</t>
  </si>
  <si>
    <t>Substituição do SISTEMA DE PROTEÇÃO, MEDIÇÃO E AUTOMAÇÃO da EL 02J1 da SE Banabuiú, composto por: 01 painel, 02 relés de proteção e cabos de controle associados.</t>
  </si>
  <si>
    <t>EL 69 kV BANABUIU DIST6 (02J1)</t>
  </si>
  <si>
    <t>0006846/2022</t>
  </si>
  <si>
    <t>11351203</t>
  </si>
  <si>
    <t>Substituição de 1 estrutura metálica autoportante 013/1 (nova altura = 33 m e carregamento/esforço = 5554 DAN) e componentes e 04 fundações associadas da LT 230 kV RIBEIRAO /RECIFE II C-1 PE-04M1.</t>
  </si>
  <si>
    <t>0006850/2022</t>
  </si>
  <si>
    <t>11537000</t>
  </si>
  <si>
    <t>Substituição do SISTEMA DE PROTEÇÃO, MEDIÇÃO E AUTOMAÇÃO da EL 02J2 da SE Banabuiú, composto por: 01 painel, 02 relés digitais e cabos de controle associados.</t>
  </si>
  <si>
    <t>EL 69 kV BANABUIU DIST5 (02J2)</t>
  </si>
  <si>
    <t>0006851/2022</t>
  </si>
  <si>
    <t>11351204</t>
  </si>
  <si>
    <t>Substituição do SISTEMA DE PROTEÇÃO, MEDIÇÃO E AUTOMAÇÃO dos transformadores 02T4 e 02T7 (02W1) da SE Banabuiú, composto por: 01 painel, 02 relés digitais e cabos de controle associados.</t>
  </si>
  <si>
    <t>TR 69/13,8 kV BANABUIU TR7 CE</t>
  </si>
  <si>
    <t>0006852/2022</t>
  </si>
  <si>
    <t>11365935</t>
  </si>
  <si>
    <t>Substituição de 1 estrutura metálica autoportante 016/1 (nova altura = 33 m e carregamento/esforço = 5554 DAN) e componentes e 04 fundações associadas da LT 230 kV RIBEIRAO /RECIFE II C-1 PE-04M1.</t>
  </si>
  <si>
    <t>0006853/2022</t>
  </si>
  <si>
    <t>11537080</t>
  </si>
  <si>
    <t>Substituição de 1 estrutura metálica autoportante 016/2 (nova altura = 33 m e carregamento/esforço = 5554 DAN) e componentes e 04 fundações associadas da LT 230 kV RIBEIRAO /RECIFE II C-1 PE-04M1.</t>
  </si>
  <si>
    <t>0006855/2022</t>
  </si>
  <si>
    <t>11537090</t>
  </si>
  <si>
    <t>Substituição de 1 estrutura metálica autoportante 017/1 (nova altura = 33 m e carregamento/esforço = 5554 DAN) e componentes e 04 fundações associadas da LT 230 kV RIBEIRAO /RECIFE II C-1 PE-04M1.</t>
  </si>
  <si>
    <t>0006857/2022</t>
  </si>
  <si>
    <t>11537100</t>
  </si>
  <si>
    <t>Substituição de pórtico e de 01 (um) trecho de barramento (44,5 m), posição operacional 03BP, da Subestação IRE.</t>
  </si>
  <si>
    <t>MG IRECE / CCO-2001-061 - RB</t>
  </si>
  <si>
    <t>0006858/2022</t>
  </si>
  <si>
    <t>11420356</t>
  </si>
  <si>
    <t>Substituição de 1 estrutura metálica autoportante 017/2 (nova altura = 33 m e carregamento/esforço = 5554 DAN) e componentes e 04 fundações associadas da LT 230 kV RIBEIRAO /RECIFE II C-1 PE-04M1.</t>
  </si>
  <si>
    <t>0006860/2022</t>
  </si>
  <si>
    <t>11537110</t>
  </si>
  <si>
    <t>Substituição de pórtico e de 01 (um) trecho de barramento (44,5 m), posição operacional 03BA, da Subestação IRE.</t>
  </si>
  <si>
    <t>0006861/2022</t>
  </si>
  <si>
    <t>12375558</t>
  </si>
  <si>
    <t>Substituição de 1 estrutura metálica autoportante 018/2 (nova altura = 33 m e carregamento/esforço = 5554 DAN) e componentes e 04 fundações associadas da LT 230 kV RIBEIRAO /RECIFE II C-1 PE-04M1.</t>
  </si>
  <si>
    <t>0006865/2022</t>
  </si>
  <si>
    <t>11537140</t>
  </si>
  <si>
    <t>Substituição de 1 estrutura metálica autoportante 018/3 (nova altura = 33 m e carregamento/esforço = 5554 DAN) e componentes e 04 fundações associadas da LT 230 kV RIBEIRAO /RECIFE II C-1 PE-04M1.</t>
  </si>
  <si>
    <t>0006867/2022</t>
  </si>
  <si>
    <t>11537150</t>
  </si>
  <si>
    <t>Substituição de 01 (um) TC 500 kV posição operacional 95V1 fase B da Subestação SOB.</t>
  </si>
  <si>
    <t>0006868/2022</t>
  </si>
  <si>
    <t>11322034</t>
  </si>
  <si>
    <t>Substituição de 1 estrutura metálica autoportante 019/1 (nova altura = 33 m e carregamento/esforço = 5554 DAN) e componentes e 04 fundações associadas da LT 230 kV RIBEIRAO /RECIFE II C-1 PE-04M1.</t>
  </si>
  <si>
    <t>0006870/2022</t>
  </si>
  <si>
    <t>11537160</t>
  </si>
  <si>
    <t>Substituição de 1 estrutura metálica autoportante 019/2 (nova altura = 33 m e carregamento/esforço = 5554 DAN) e componentes e 04 fundações associadas da LT 230 kV RIBEIRAO /RECIFE II C-1 PE-04M1.</t>
  </si>
  <si>
    <t>0006872/2022</t>
  </si>
  <si>
    <t>11537170</t>
  </si>
  <si>
    <t>Substituição de 1 estrutura metálica autoportante 023/3 (nova altura = 33 m e carregamento/esforço = 5554 DAN) e componentes e 04 fundações associadas da LT 230 kV RIBEIRAO /RECIFE II C-1 PE-04M1.</t>
  </si>
  <si>
    <t>0006874/2022</t>
  </si>
  <si>
    <t>11537260</t>
  </si>
  <si>
    <t>Substituição de 1 estrutura metálica autoportante 024/1 (nova altura = 33 m e carregamento/esforço = 5554 DAN) e componentes e 04 fundações associadas da LT 230 kV RIBEIRAO /RECIFE II C-1 PE-04M1.</t>
  </si>
  <si>
    <t>0006876/2022</t>
  </si>
  <si>
    <t>11537270</t>
  </si>
  <si>
    <t>Substituição de 1 estrutura metálica autoportante 024/2 (nova altura = 33 m e carregamento/esforço = 5554 DAN) e componentes e 04 fundações associadas da LT 230 kV RIBEIRAO /RECIFE II C-1 PE-04M1.</t>
  </si>
  <si>
    <t>0006877/2022</t>
  </si>
  <si>
    <t>11537280</t>
  </si>
  <si>
    <t>Substituição de 1 estrutura metálica autoportante 026/1 (nova altura = 33 m e carregamento/esforço = 5554 DAN) e componentes e 04 fundações associadas da LT 230 kV RIBEIRAO /RECIFE II C-1 PE-04M1.</t>
  </si>
  <si>
    <t>0006878/2022</t>
  </si>
  <si>
    <t>11537310</t>
  </si>
  <si>
    <t>Substituição de 1 estrutura metálica autoportante 027/1 (nova altura = 33 m e carregamento/esforço = 5554 DAN) e componentes e 04 fundações associadas da LT 230 kV RIBEIRAO /RECIFE II C-1 PE-04M1.</t>
  </si>
  <si>
    <t>0006879/2022</t>
  </si>
  <si>
    <t>11537330</t>
  </si>
  <si>
    <t>LT 230 kV RIBEIRAO /RECIFE II C-1</t>
  </si>
  <si>
    <t>Substituição de 1 estrutura metálica autoportante 027/2 (nova altura = 33 m e carregamento/esforço = 5554 DAN) e componentes e 04 fundações associadas da LT 230 kV RIBEIRAO /RECIFE II C-1 PE-04M1.</t>
  </si>
  <si>
    <t>0006880/2022</t>
  </si>
  <si>
    <t>11537340</t>
  </si>
  <si>
    <t>Substituição de 1 estrutura metálica autoportante 028/1 (nova altura = 33 m e carregamento/esforço = 5554 DAN) e componentes e 04 fundações associadas da LT 230 kV RIBEIRAO /RECIFE II C-1 PE-04M1.</t>
  </si>
  <si>
    <t>0006881/2022</t>
  </si>
  <si>
    <t>11537360</t>
  </si>
  <si>
    <t>Substituição de 1 estrutura metálica autoportante 029/1 (nova altura = 33 m e carregamento/esforço = 5554 DAN) e componentes e 04 fundações associadas da LT 230 kV RIBEIRAO /RECIFE II C-1 PE-04M1.</t>
  </si>
  <si>
    <t>0006882/2022</t>
  </si>
  <si>
    <t>11537370</t>
  </si>
  <si>
    <t>Substituição de 1 estrutura metálica autoportante 030/1 (nova altura = 33 m e carregamento/esforço = 5554 DAN) e componentes e 04 fundações associadas da LT 230 kV RIBEIRAO /RECIFE II C-1 PE-04M1.</t>
  </si>
  <si>
    <t>0006884/2022</t>
  </si>
  <si>
    <t>11537390</t>
  </si>
  <si>
    <t>Substituição de 1 estrutura metálica autoportante 030/2 (nova altura = 33 m e carregamento/esforço = 5554 DAN) e componentes e 04 fundações associadas da LT 230 kV RIBEIRAO /RECIFE II C-1 PE-04M1.</t>
  </si>
  <si>
    <t>0006886/2022</t>
  </si>
  <si>
    <t>11537400</t>
  </si>
  <si>
    <t>Substituição de 1 estrutura metálica autoportante 031/2 (nova altura = 33 m e carregamento/esforço = 5554 DAN) e componentes e 04 fundações associadas da LT 230 kV RIBEIRAO /RECIFE II C-1 PE-04M1.</t>
  </si>
  <si>
    <t>0006887/2022</t>
  </si>
  <si>
    <t>11537420</t>
  </si>
  <si>
    <t>Substituição de 1 estrutura metálica autoportante 034/2 (nova altura = 33 m e carregamento/esforço = 5554 DAN) e componentes e 04 fundações associadas da LT 230 kV RIBEIRAO /RECIFE II C-1 PE-04M1.</t>
  </si>
  <si>
    <t>0006888/2022</t>
  </si>
  <si>
    <t>11537470</t>
  </si>
  <si>
    <t>Substituição de 1 estrutura metálica autoportante 035/1 (nova altura = 33 m e carregamento/esforço = 5554 DAN) e componentes e 04 fundações associadas da LT 230 kV RIBEIRAO /RECIFE II C-1 PE-04M1.</t>
  </si>
  <si>
    <t>0006889/2022</t>
  </si>
  <si>
    <t>11537490</t>
  </si>
  <si>
    <t>Substituição de 1 estrutura metálica autoportante 037/1 (nova altura = 33 m e carregamento/esforço = 5554 DAN) e componentes e 04 fundações associadas da LT 230 kV RIBEIRAO /RECIFE II C-1 PE-04M1.</t>
  </si>
  <si>
    <t>0006890/2022</t>
  </si>
  <si>
    <t>11537520</t>
  </si>
  <si>
    <t>Substituição de 1 estrutura metálica autoportante 037/2 (nova altura = 33 m e carregamento/esforço = 5554 DAN) e componentes e 04 fundações associadas da LT 230 kV RIBEIRAO /RECIFE II C-1 PE-04M1.</t>
  </si>
  <si>
    <t>0006891/2022</t>
  </si>
  <si>
    <t>11537530</t>
  </si>
  <si>
    <t>Substituição de 1 estrutura metálica autoportante 037/3 (nova altura = 33 m e carregamento/esforço = 5554 DAN) e componentes e 04 fundações associadas da LT 230 kV RIBEIRAO /RECIFE II C-1 PE-04M1.</t>
  </si>
  <si>
    <t>0006892/2022</t>
  </si>
  <si>
    <t>11537540</t>
  </si>
  <si>
    <t>Substituição de 1 estrutura metálica autoportante 038/1 (nova altura = 33 m e carregamento/esforço = 5554 DAN) e componentes e 04 fundações associadas da LT 230 kV RIBEIRAO /RECIFE II C-1 PE-04M1.</t>
  </si>
  <si>
    <t>0006893/2022</t>
  </si>
  <si>
    <t>11537560</t>
  </si>
  <si>
    <t>Substituição de 1 estrutura metálica autoportante 039/1 (nova altura = 33 m e carregamento/esforço = 5554 DAN) e componentes e 04 fundações associadas da LT 230 kV RIBEIRAO /RECIFE II C-1 PE-04M1.</t>
  </si>
  <si>
    <t>0006894/2022</t>
  </si>
  <si>
    <t>11537570</t>
  </si>
  <si>
    <t>Substituição de 1 estrutura metálica autoportante 040/1 (nova altura = 33 m e carregamento/esforço = 5554 DAN) e componentes e 04 fundações associadas da LT 230 kV RIBEIRAO /RECIFE II C-1 PE-04M1.</t>
  </si>
  <si>
    <t>0006895/2022</t>
  </si>
  <si>
    <t>11537590</t>
  </si>
  <si>
    <t>Substituição de 1 estrutura metálica autoportante 040/2 (nova altura = 33 m e carregamento/esforço = 5554 DAN) e componentes e 04 fundações associadas da LT 230 kV RIBEIRAO /RECIFE II C-1 PE-04M1.</t>
  </si>
  <si>
    <t>0006896/2022</t>
  </si>
  <si>
    <t>11537600</t>
  </si>
  <si>
    <t>Substituição de 1 estrutura metálica autoportante 041/2 (nova altura = 33 m e carregamento/esforço = 5554 DAN) e componentes e 04 fundações associadas da LT 230 kV RIBEIRAO /RECIFE II C-1 PE-04M1.</t>
  </si>
  <si>
    <t>0006897/2022</t>
  </si>
  <si>
    <t>11537620</t>
  </si>
  <si>
    <t>Substituição de 1 estrutura metálica autoportante 042/1 (nova altura = 33 m e carregamento/esforço = 5554 DAN) e componentes e 04 fundações associadas da LT 230 kV RIBEIRAO /RECIFE II C-1 PE-04M1.</t>
  </si>
  <si>
    <t>0006898/2022</t>
  </si>
  <si>
    <t>11537630</t>
  </si>
  <si>
    <t>Substituição de 1 estrutura metálica autoportante 042/3 (nova altura = 33 m e carregamento/esforço = 5554 DAN) e componentes e 04 fundações associadas da LT 230 kV RIBEIRAO /RECIFE II C-1 PE-04M1.</t>
  </si>
  <si>
    <t>0006899/2022</t>
  </si>
  <si>
    <t>11537650</t>
  </si>
  <si>
    <t>Substituição de 1 estrutura metálica autoportante 043/1 (nova altura = 30,2 m e carregamento/esforço = 8661,1 DAN) e componentes e 04 fundações associadas da LT 230 kV RIBEIRAO /RECIFE II C-1 PE-04M1.</t>
  </si>
  <si>
    <t>0006900/2022</t>
  </si>
  <si>
    <t>11537660</t>
  </si>
  <si>
    <t>Substituição de 1 estrutura metálica autoportante 043/2 (nova altura = 33 m e carregamento/esforço = 5554 DAN) e componentes e 04 fundações associadas da LT 230 kV RIBEIRAO /RECIFE II C-1 PE-04M1.</t>
  </si>
  <si>
    <t>0006901/2022</t>
  </si>
  <si>
    <t>11537670</t>
  </si>
  <si>
    <t>Substituição de 1 estrutura metálica autoportante 043/3 (nova altura = 33 m e carregamento/esforço = 5554 DAN) e componentes e 04 fundações associadas da LT 230 kV RIBEIRAO /RECIFE II C-1 PE-04M1.</t>
  </si>
  <si>
    <t>0006902/2022</t>
  </si>
  <si>
    <t>11537680</t>
  </si>
  <si>
    <t>Substituição de 1 estrutura metálica autoportante 044/2 (nova altura = 33 m e carregamento/esforço = 5554 DAN) e componentes e 04 fundações associadas da LT 230 kV RIBEIRAO /RECIFE II C-1 PE-04M1.</t>
  </si>
  <si>
    <t>0006903/2022</t>
  </si>
  <si>
    <t>11537700</t>
  </si>
  <si>
    <t>Substituição de 1 estrutura metálica autoportante 046/1 (nova altura = 33 m e carregamento/esforço = 5554 DAN) e componentes e 04 fundações associadas da LT 230 kV RIBEIRAO /RECIFE II C-1 PE-04M1.</t>
  </si>
  <si>
    <t>0006904/2022</t>
  </si>
  <si>
    <t>11537730</t>
  </si>
  <si>
    <t>Substituição de 1 estrutura metálica autoportante 047/1 (nova altura = 33 m e carregamento/esforço = 5554 DAN) e componentes e 04 fundações associadas da LT 230 kV RIBEIRAO /RECIFE II C-1 PE-04M1.</t>
  </si>
  <si>
    <t>0006905/2022</t>
  </si>
  <si>
    <t>11537750</t>
  </si>
  <si>
    <t>Substituição de 1 estrutura metálica autoportante 047/2 (nova altura = 33 m e carregamento/esforço = 5554 DAN) e componentes e 04 fundações associadas da LT 230 kV RIBEIRAO /RECIFE II C-1 PE-04M1.</t>
  </si>
  <si>
    <t>0006906/2022</t>
  </si>
  <si>
    <t>11537760</t>
  </si>
  <si>
    <t>Substituição de 1 estrutura metálica autoportante 048/1 (nova altura = 33 m e carregamento/esforço = 5554 DAN) e componentes e 04 fundações associadas da LT 230 kV RIBEIRAO /RECIFE II C-1 PE-04M1.</t>
  </si>
  <si>
    <t>0006907/2022</t>
  </si>
  <si>
    <t>11537770</t>
  </si>
  <si>
    <t>Substituição de 1 estrutura metálica autoportante 048/2 (nova altura = 30,2 m e carregamento/esforço = 8661,1 DAN) e componentes e 04 fundações associadas da LT 230 kV RIBEIRAO /RECIFE II C-1 PE-04M1.</t>
  </si>
  <si>
    <t>0006908/2022</t>
  </si>
  <si>
    <t>11537780</t>
  </si>
  <si>
    <t>Substituição de 1 estrutura metálica autoportante 049/1 (nova altura = 33 m e carregamento/esforço = 5554 DAN) e componentes e 04 fundações associadas da LT 230 kV RIBEIRAO /RECIFE II C-1 PE-04M1.</t>
  </si>
  <si>
    <t>0006909/2022</t>
  </si>
  <si>
    <t>11537790</t>
  </si>
  <si>
    <t>Substituição de 1 estrutura metálica autoportante 050/1 (nova altura = 33 m e carregamento/esforço = 5554 DAN) e componentes e 04 fundações associadas da LT 230 kV RIBEIRAO /RECIFE II C-1 PE-04M1.</t>
  </si>
  <si>
    <t>0006910/2022</t>
  </si>
  <si>
    <t>11537800</t>
  </si>
  <si>
    <t>Substituição de 1 estrutura metálica autoportante 050/3 (nova altura = 33 m e carregamento/esforço = 5554 DAN) e componentes e 04 fundações associadas da LT 230 kV RIBEIRAO /RECIFE II C-1 PE-04M1.</t>
  </si>
  <si>
    <t>0006911/2022</t>
  </si>
  <si>
    <t>11537820</t>
  </si>
  <si>
    <t>Substituição de 1 estrutura metálica autoportante 051/1 (nova altura = 33 m e carregamento/esforço = 5554 DAN) e componentes e 04 fundações associadas da LT 230 kV RIBEIRAO /RECIFE II C-1 PE-04M1.</t>
  </si>
  <si>
    <t>0006912/2022</t>
  </si>
  <si>
    <t>11537830</t>
  </si>
  <si>
    <t>Substituição de 1 estrutura metálica autoportante 051/2 (nova altura = 33 m e carregamento/esforço = 5554 DAN) e componentes e 04 fundações associadas da LT 230 kV RIBEIRAO /RECIFE II C-1 PE-04M1.</t>
  </si>
  <si>
    <t>0006913/2022</t>
  </si>
  <si>
    <t>11537840</t>
  </si>
  <si>
    <t>Substituição de 1 estrutura metálica autoportante 052/1 (nova altura = 33 m e carregamento/esforço = 5554 DAN) e componentes e 04 fundações associadas da LT 230 kV RIBEIRAO /RECIFE II C-1 PE-04M1.</t>
  </si>
  <si>
    <t>0006914/2022</t>
  </si>
  <si>
    <t>11537860</t>
  </si>
  <si>
    <t>Substituição de 1 estrutura metálica autoportante 052/2 (nova altura = 33 m e carregamento/esforço = 5554 DAN) e componentes e 04 fundações associadas da LT 230 kV RIBEIRAO /RECIFE II C-1 PE-04M1.</t>
  </si>
  <si>
    <t>0006915/2022</t>
  </si>
  <si>
    <t>11537870</t>
  </si>
  <si>
    <t>Substituição de 1 estrutura metálica autoportante 052/3 (nova altura = 33 m e carregamento/esforço = 5554 DAN) e componentes e 04 fundações associadas da LT 230 kV RIBEIRAO /RECIFE II C-1 PE-04M1.</t>
  </si>
  <si>
    <t>0006916/2022</t>
  </si>
  <si>
    <t>11537880</t>
  </si>
  <si>
    <t>Substituição de 1 estrutura metálica autoportante 053/1 (nova altura = 33 m e carregamento/esforço = 5554 DAN) e componentes e 04 fundações associadas da LT 230 kV RIBEIRAO /RECIFE II C-1 PE-04M1.</t>
  </si>
  <si>
    <t>0006917/2022</t>
  </si>
  <si>
    <t>11537890</t>
  </si>
  <si>
    <t>Substituição de 1 estrutura metálica autoportante 053/3 (nova altura = 33 m e carregamento/esforço = 5554 DAN) e componentes e 04 fundações associadas da LT 230 kV RIBEIRAO /RECIFE II C-1 PE-04M1.</t>
  </si>
  <si>
    <t>0006918/2022</t>
  </si>
  <si>
    <t>11537910</t>
  </si>
  <si>
    <t>Substituição de 1 estrutura metálica autoportante 054/1 (nova altura = 33 m e carregamento/esforço = 5554 DAN) e componentes e 04 fundações associadas da LT 230 kV RIBEIRAO /RECIFE II C-1 PE-04M1.</t>
  </si>
  <si>
    <t>0006919/2022</t>
  </si>
  <si>
    <t>11537920</t>
  </si>
  <si>
    <t>Substituição de 1 estrutura metálica autoportante 055/1 (nova altura = 33 m e carregamento/esforço = 5554 DAN) e componentes e 04 fundações associadas da LT 230 kV RIBEIRAO /RECIFE II C-1 PE-04M1.</t>
  </si>
  <si>
    <t>0006920/2022</t>
  </si>
  <si>
    <t>11537940</t>
  </si>
  <si>
    <t>Substituição de 1 estrutura metálica autoportante 055/2 (nova altura = 33 m e carregamento/esforço = 5554 DAN) e componentes e 04 fundações associadas da LT 230 kV RIBEIRAO /RECIFE II C-1 PE-04M1.</t>
  </si>
  <si>
    <t>0006921/2022</t>
  </si>
  <si>
    <t>11537950</t>
  </si>
  <si>
    <t>Substituição de 1 estrutura metálica autoportante 056/2 (nova altura = 33 m e carregamento/esforço = 5554 DAN) e componentes e 04 fundações associadas da LT 230 kV RIBEIRAO /RECIFE II C-1 PE-04M1.</t>
  </si>
  <si>
    <t>0006922/2022</t>
  </si>
  <si>
    <t>11537970</t>
  </si>
  <si>
    <t>Substituição de Disjuntor tripolar 138 kV, DJ572, referente a LT J.Lacerda A - UTE J.Lacerda A C-2. Associado à obra, são esperadas substituições ou adaptações de fundações e suportes existentes, cabos de controle e potência, barramento, conectores e conexão do aterramento do equipamento.</t>
  </si>
  <si>
    <t>LT 138 kV J.LACERDA-A / UTE J.LACERDA-A C-2 SC</t>
  </si>
  <si>
    <t>0006971/2022</t>
  </si>
  <si>
    <t>Substituição de Chave Seccionadora tripolar 138 kV, CS571, referente a LT J.Lacerda A - UTE J.Lacerda A C-2. Associado à obra são esperadas substituições/adaptações de fundações, suportes, cabos de controle/potência, barramento, conectores e conexão de aterramento.</t>
  </si>
  <si>
    <t>0006972/2022</t>
  </si>
  <si>
    <t>Substituição de Chave Seccionadora tripolar 138 kV, CS573, referente a LT J.Lacerda A - UTE J.Lacerda A C-2. Associado à obra são esperadas substituições/adaptações de fundações, suportes, cabos de controle/potência, barramento, conectores e conexão de aterramento.</t>
  </si>
  <si>
    <t>0006974/2022</t>
  </si>
  <si>
    <t>Substituição de Transformadores de Corrente 138 kV, referente a LT J.Lacerda A - UTE J.Lacerda A C-2, DJ572, Fases A, B, C. Associado à obra são esperadas substituições/adaptações de fundações, suportes, caixa de junção, cabos, barramento, conectores e conexão de aterramento.</t>
  </si>
  <si>
    <t>0006975/2022</t>
  </si>
  <si>
    <t>TC DJ572</t>
  </si>
  <si>
    <t>Substituição de Chave Seccionadora tripolar 138 kV, CS581, referente a LT J.Lacerda A - UTE J.Lacerda A C-3. Associado à obra são esperadas substituições/adaptações de fundações, suportes, cabos de controle/potência, barramento, conectores e conexão de aterramento.</t>
  </si>
  <si>
    <t>LT 138 kV J.LACERDA-A / UTE J.LACERDA-A C-3 SC</t>
  </si>
  <si>
    <t>0006977/2022</t>
  </si>
  <si>
    <t>Substituição de Chave Seccionadora tripolar 138 kV, CS583, referente a LT J.Lacerda A - UTE J.Lacerda A C-3. Associado à obra são esperadas substituições/adaptações de fundações, suportes, cabos de controle/potência, barramento, conectores e conexão de aterramento.</t>
  </si>
  <si>
    <t>0006979/2022</t>
  </si>
  <si>
    <t>Substituição de Chave Seccionadora tripolar 138 kV, CS585, referente a LT J.Lacerda A - UTE J.Lacerda A C-3. Associado à obra são esperadas substituições/adaptações de fundações, suportes, cabos de controle/potência, barramento, conectores e conexão de aterramento.</t>
  </si>
  <si>
    <t>0006982/2022</t>
  </si>
  <si>
    <t>Substituição de Transformadores de Corrente 138 kV, referente a LT J.Lacerda A - UTE J.Lacerda A C-3, DJ582, Fases A, B, C. Associado à obra são esperadas substituições/adaptações de fundações, suportes, caixa de junção, cabos, barramento, conectores e conexão de aterramento.</t>
  </si>
  <si>
    <t>0006990/2022</t>
  </si>
  <si>
    <t>TC DJ582</t>
  </si>
  <si>
    <t>Substituição de Chave Seccionadora tripolar 138 kV, CS551, referente ao Interligador de Barras da SE J.Lacerda A. Associado à obra são esperadas substituições/adaptações de fundações, suportes, cabos de controle/potência, barramento, conectores e conexão de aterramento.</t>
  </si>
  <si>
    <t>0006991/2022</t>
  </si>
  <si>
    <t>CS551</t>
  </si>
  <si>
    <t>Substituição de Chave Seccionadora tripolar 138 kV, CS553, referente ao Interligador de Barras da SE J.Lacerda A. Associado à obra são esperadas substituições/adaptações de fundações, suportes, cabos de controle/potência, barramento, conectores e conexão de aterramento.</t>
  </si>
  <si>
    <t>0006993/2022</t>
  </si>
  <si>
    <t>CS553</t>
  </si>
  <si>
    <t>Realizar concretagem do solo em área de 100m² das plataformas estantes das células capacitivas com o objetivo de eliminar nascimento de vegetação que podem causar desligamento intempestivo ao tocar em partes energizadas das células ou TP de neutro do Banco de Capacitores MRBC6-02</t>
  </si>
  <si>
    <t>0006997/2022</t>
  </si>
  <si>
    <t>N-S-MAMR-BC602</t>
  </si>
  <si>
    <t>SUBSTITUIÇÃO DO DISJUNTOR IZDB4-01</t>
  </si>
  <si>
    <t>IB 69 kV MG 500 kV IMPERATRIZ MG2 MA IB1</t>
  </si>
  <si>
    <t>0007035/2022</t>
  </si>
  <si>
    <t>N-S-MAIZ-MG701-MG500-DB401</t>
  </si>
  <si>
    <t>SUBSTITUIÇÃO DO DISJUNTOR IZDJ4-05</t>
  </si>
  <si>
    <t>EL 69 kV IMPERATRIZ DIST6</t>
  </si>
  <si>
    <t>0007041/2022</t>
  </si>
  <si>
    <t>N-S-MAIZ-DIT-SNIZLI401-IZDJ405</t>
  </si>
  <si>
    <t>SUBSTITUIÇÃO DO DISJUNTOR PDDJ4-01.</t>
  </si>
  <si>
    <t>0007114/2022</t>
  </si>
  <si>
    <t>N-S-MAPD-TF601-MC69-PDDJ401</t>
  </si>
  <si>
    <t>ABDON BATISTA</t>
  </si>
  <si>
    <t>Substituição de bateria - 125 Vcc - SACC125-BAT2 na SE Abdon Batista (associada ao módulo da LT 525 kV Abdon Batista - Biguaçu C-1). Capacidade do novo equipamento: 200 Ah.</t>
  </si>
  <si>
    <t>LT 525 kV ABDON BATISTA / BIGUACU C-1 SC</t>
  </si>
  <si>
    <t>0007094/2022</t>
  </si>
  <si>
    <t>BAT2 - 125 VCC</t>
  </si>
  <si>
    <t>Substituição de bateria - 125 Vcc - SACC125-BAT1 na SE Gravataí. Capacidade do novo equipamento: 570 Ah.</t>
  </si>
  <si>
    <t>0007096/2022</t>
  </si>
  <si>
    <t>BAT1 - 125 VCC</t>
  </si>
  <si>
    <t>Substituição de bateria - 125 Vcc - SACC125-BAT1 na SE Salto Santiago. Capacidade do novo equipamento: 750 Ah.</t>
  </si>
  <si>
    <t>0007103/2022</t>
  </si>
  <si>
    <t>Substituição de bateria - 125 Vcc - SACC125-BAT2 na SE Salto Santiago. Capacidade do novo equipamento: 750 Ah.</t>
  </si>
  <si>
    <t>0007105/2022</t>
  </si>
  <si>
    <t>Substituição de bateria - 48 Vcc - SACC48-BAT1 na SE Salto Santiago. Capacidade do novo equipamento: 500 Ah.</t>
  </si>
  <si>
    <t>0007111/2022</t>
  </si>
  <si>
    <t>BAT1 - 48 VCC</t>
  </si>
  <si>
    <t>Substituição de bateria - 48 Vcc - SACC48-BAT2 na SE Salto Santiago. Capacidade do novo equipamento: 500 Ah.</t>
  </si>
  <si>
    <t>0007116/2022</t>
  </si>
  <si>
    <t>BAT2 - 48 VCC</t>
  </si>
  <si>
    <t>SUBSTITUIÇÃO DO DISJUNTOR PDDJ4-02.</t>
  </si>
  <si>
    <t>LT 69 kV P.DUTRA  DIST2 - (Equatorial)</t>
  </si>
  <si>
    <t>0007131/2022</t>
  </si>
  <si>
    <t>N-S-MAPD-DIT-PTPDLI401-PDDJ402</t>
  </si>
  <si>
    <t>GASPAR 2</t>
  </si>
  <si>
    <t>Substituição de bateria - 125 Vcc - SACC125-BAT2 na SE Gaspar 2. Capacidade do novo equipamento: 300 Ah.</t>
  </si>
  <si>
    <t>MG GASPAR 2 / CCO-2001-057 - RB</t>
  </si>
  <si>
    <t>0007137/2022</t>
  </si>
  <si>
    <t>SUBSTITUIÇÃO DO DISJUNTOR PDDJ4-03.</t>
  </si>
  <si>
    <t>LT 69 kV P.DUTRA  DIST2</t>
  </si>
  <si>
    <t>0007212/2022</t>
  </si>
  <si>
    <t>SUBSTITUIÇÃO DO DISJUNTOR PDDB4-01</t>
  </si>
  <si>
    <t>IB 69 kV MG 500 kV P.DUTRA MG1 MA IB1</t>
  </si>
  <si>
    <t>0007163/2022</t>
  </si>
  <si>
    <t>N-S-MAPD-MG701-MG500-DB401</t>
  </si>
  <si>
    <t>OSORIO 2</t>
  </si>
  <si>
    <t>Substituição de bateria - 125 Vcc - SACC125-BAT1 na SE Osório 2. Capacidade do novo equipamento: 150 Ah.</t>
  </si>
  <si>
    <t>MG OSORIO 2 / CCO-2001-057 - RB</t>
  </si>
  <si>
    <t>0007169/2022</t>
  </si>
  <si>
    <t>Substituição de bateria - 125 Vcc - SACC125-BAT2 na SE Osório 2. Capacidade do novo equipamento: 150 Ah.</t>
  </si>
  <si>
    <t>0007176/2022</t>
  </si>
  <si>
    <t>Substituição de bateria - 125 Vcc - SACC125-BAT1 na SE Palhoça. Capacidade do novo equipamento: 400 Ah.</t>
  </si>
  <si>
    <t>0009143/2022</t>
  </si>
  <si>
    <t>Substituição de bateria - 125 Vcc - SACC125-BAT2 na SE Palhoça. Capacidade do novo equipamento: 400 Ah.</t>
  </si>
  <si>
    <t>0007191/2022</t>
  </si>
  <si>
    <t>Substituição de 01 (um) Seccionadora posição operacional 33C1-6 da Subestação BNO.</t>
  </si>
  <si>
    <t>EL 138 kV BOM NOME FLORES-03C1 (13C1)</t>
  </si>
  <si>
    <t>0007238/2022</t>
  </si>
  <si>
    <t>11339795</t>
  </si>
  <si>
    <t>Substituição de 01 (um) Seccionadora posição operacional 34T4-4 da Subestação BNO.</t>
  </si>
  <si>
    <t>TR 230/138 kV BOM NOME TR4 PE</t>
  </si>
  <si>
    <t>0007239/2022</t>
  </si>
  <si>
    <t>11338053</t>
  </si>
  <si>
    <t>Substituição de 01 (um) Seccionadora posição operacional 34T4-5 da Subestação BNO.</t>
  </si>
  <si>
    <t>0007242/2022</t>
  </si>
  <si>
    <t>11338052</t>
  </si>
  <si>
    <t>Substituição de 1 estrutura metálica autoportante 15 (nova altura = 29,9 m e carregamento/esforço = 7773,6 DAN) e componentes e 04 fundações associadas da LT 230 kV COTEGIPE /MATATU C-1 BA-04L4.</t>
  </si>
  <si>
    <t>0007243/2022</t>
  </si>
  <si>
    <t>11898345</t>
  </si>
  <si>
    <t>Substituição de 01 (um) Seccionadora 230 kV posição operacional 34E1-8 da Subestação IRE.</t>
  </si>
  <si>
    <t>RTL 230 kV 15 MVAr IRECE RT1 BA</t>
  </si>
  <si>
    <t>0007244/2022</t>
  </si>
  <si>
    <t>11334572</t>
  </si>
  <si>
    <t>Substituição de 01 (um) Seccionadora 230 kV posição operacional 34F1-6 da Subestação IRE.</t>
  </si>
  <si>
    <t>LT 230 kV OUROLANDIA II /IRECE C-1 BA</t>
  </si>
  <si>
    <t>0007245/2022</t>
  </si>
  <si>
    <t>11335482</t>
  </si>
  <si>
    <t>Substituição de 01 (um) Seccionadora 230 kV posição operacional 34F2-4 da Subestação IRE.</t>
  </si>
  <si>
    <t>LT 230 kV IRECE /BROT.MACAUBAS C-1 BA</t>
  </si>
  <si>
    <t>0007247/2022</t>
  </si>
  <si>
    <t>11335534</t>
  </si>
  <si>
    <t>Substituição de 01 (um) Seccionadora 230 kV posição operacional 34F2-5 da Subestação IRE.</t>
  </si>
  <si>
    <t>0007248/2022</t>
  </si>
  <si>
    <t>11335618</t>
  </si>
  <si>
    <t>Substituição de 01 (um) Seccionadora 230 kV posição operacional 34F2-6 da Subestação IRE.</t>
  </si>
  <si>
    <t>0007250/2022</t>
  </si>
  <si>
    <t>11334574</t>
  </si>
  <si>
    <t>Substituição de 01 (um) Seccionadora 230 kV posição operacional 34T1-1 da Subestação IRE.</t>
  </si>
  <si>
    <t>0007251/2022</t>
  </si>
  <si>
    <t>11333611</t>
  </si>
  <si>
    <t>Substituição de 01 (um) Seccionadora 230 kV posição operacional 34T1-2 da Subestação IRE.</t>
  </si>
  <si>
    <t>0007252/2022</t>
  </si>
  <si>
    <t>11333612</t>
  </si>
  <si>
    <t>Substituição de 01 (um) Seccionadora 230 kV posição operacional 34T1-6 da Subestação IRE.</t>
  </si>
  <si>
    <t>0007253/2022</t>
  </si>
  <si>
    <t>11333896</t>
  </si>
  <si>
    <t>Substituição de 1 estrutura metálica autoportante 018/1 (nova altura = 33 m e carregamento/esforço = 5554 DAN) e componentes e 04 fundações associadas da LT 230 kV RIBEIRAO /RECIFE II C-1 PE-04M1.</t>
  </si>
  <si>
    <t>0007258/2022</t>
  </si>
  <si>
    <t>11537130</t>
  </si>
  <si>
    <t>Substituição de 1 estrutura metálica autoportante 027/3 (nova altura = 33 m e carregamento/esforço = 5554 DAN) e componentes e 04 fundações associadas da LT 230 kV RIBEIRAO /RECIFE II C-1 PE-04M1.</t>
  </si>
  <si>
    <t>0007260/2022</t>
  </si>
  <si>
    <t>11537350</t>
  </si>
  <si>
    <t>Substituição de 1 estrutura metálica autoportante 029/2 (nova altura = 33 m e carregamento/esforço = 5554 DAN) e componentes e 04 fundações associadas da LT 230 kV RIBEIRAO /RECIFE II C-1 PE-04M1.</t>
  </si>
  <si>
    <t>0007261/2022</t>
  </si>
  <si>
    <t>11537380</t>
  </si>
  <si>
    <t>Substituição de 1 estrutura metálica autoportante 045/2 (nova altura = 33 m e carregamento/esforço = 5554 DAN) e componentes e 04 fundações associadas da LT 230 kV RIBEIRAO /RECIFE II C-1 PE-04M1.</t>
  </si>
  <si>
    <t>0007263/2022</t>
  </si>
  <si>
    <t>11537720</t>
  </si>
  <si>
    <t>Substituição de 1 estrutura metálica autoportante 050/2 (nova altura = 33 m e carregamento/esforço = 5554 DAN) e componentes e 04 fundações associadas da LT 230 kV RIBEIRAO /RECIFE II C-1 PE-04M1.</t>
  </si>
  <si>
    <t>0007264/2022</t>
  </si>
  <si>
    <t>11537810</t>
  </si>
  <si>
    <t>Substituição de 1 estrutura metálica autoportante 051/3 (nova altura = 33 m e carregamento/esforço = 5554 DAN) e componentes e 04 fundações associadas da LT 230 kV RIBEIRAO /RECIFE II C-1 PE-04M1.</t>
  </si>
  <si>
    <t>0007265/2022</t>
  </si>
  <si>
    <t>11537850</t>
  </si>
  <si>
    <t>Substituição de 1 estrutura metálica autoportante 053/2 (nova altura = 33 m e carregamento/esforço = 5554 DAN) e componentes e 04 fundações associadas da LT 230 kV RIBEIRAO /RECIFE II C-1 PE-04M1.</t>
  </si>
  <si>
    <t>0007266/2022</t>
  </si>
  <si>
    <t>11537900</t>
  </si>
  <si>
    <t>Substituição de 1 estrutura metálica autoportante 054/2 (nova altura = 33 m e carregamento/esforço = 5554 DAN) e componentes e 04 fundações associadas da LT 230 kV RIBEIRAO /RECIFE II C-1 PE-04M1.</t>
  </si>
  <si>
    <t>0007267/2022</t>
  </si>
  <si>
    <t>11537930</t>
  </si>
  <si>
    <t>Substituição de bateria - 48 Vcc - SACC48-BAT2 na SE Campo Grande. Capacidade do novo equipamento: 500 Ah.</t>
  </si>
  <si>
    <t>0007278/2022</t>
  </si>
  <si>
    <t>Substituição de bateria - 48 Vcc - SACC48-BAT2 na SE Gaspar 2. Capacidade do novo equipamento: 350 Ah.</t>
  </si>
  <si>
    <t>0007282/2022</t>
  </si>
  <si>
    <t>SUBSTITUIÇÃO DO DISJUNTOR GMDJ6-09 DA LINHA GUAMA - MARITUBA 230KV C1.</t>
  </si>
  <si>
    <t>0007357/2022</t>
  </si>
  <si>
    <t>GMDJ6-09</t>
  </si>
  <si>
    <t>SUBSTITUIÇÃO DO DISJUNTOR GMDJ6-10 DA LINHA GUAMA - MARITUBA 230KV C2.</t>
  </si>
  <si>
    <t>LT 230 kV GUAMA / MARITUBA C 2 PA</t>
  </si>
  <si>
    <t>0008249/2022</t>
  </si>
  <si>
    <t>GMDJ6-10</t>
  </si>
  <si>
    <t>Substituir 156 cadeias de isolador em 34 estruturas da LT 500 kV P. AFONSO IV /ANGELIM II C-1 BA/PE-05L6 (164/1;164/2;164/3;165/1;165/2;166/1;166/2;166/3;167/1;167/2;168/1;168/2;169/1;169/2;170/1;170/2;171/1;171/2;172/1;172/2;173/1;173/2;174/1;174/2;175/1;175/2;176/1;176/2;177/1;177/2;178/1;178/2;179/1;180/1).</t>
  </si>
  <si>
    <t>0007394/2022</t>
  </si>
  <si>
    <t>paqagd-05l6-cade-01</t>
  </si>
  <si>
    <t>Substituir 38 cadeias de isolador em 3 estruturas da LT 500 kV P. AFONSO IV /ANGELIM II C-1 BA/PE-05L6 (201/2;221/2;AGD).</t>
  </si>
  <si>
    <t>0007403/2022</t>
  </si>
  <si>
    <t>SUBSTITUIÇÃO DO DISJUNTOR UGDJ6-01 DA LINHA UTINGA - MARITUBA 230KV C1</t>
  </si>
  <si>
    <t>0007434/2022</t>
  </si>
  <si>
    <t>UGDJ6-01</t>
  </si>
  <si>
    <t>Substituir 186 cadeias de isolador em 34 estruturas da LT 500 kV P. AFONSO IV /ANGELIM II C-1 BA/PE-05L6 (196/1;196/2;197/1;197/2;198/1;198/2;199/1;199/2;199/3;200/1;200/2;201/1;202/1;202/2;202/3;203/1;203/2;204/1;204/2;205/1;205/2;206/1;206/2;207/1;207/2;208/1;208/2;209/1;209/2;210/1;210/2;211/1;211/2;212/1).</t>
  </si>
  <si>
    <t>0007436/2022</t>
  </si>
  <si>
    <t>paqagd-05l6-cade-02</t>
  </si>
  <si>
    <t>Substituir 100 cadeias de isolador em 20 estruturas da LT 500 kV P. AFONSO IV /ANGELIM II C-1 BA/PE-05L6 (212/2;213/1;213/2;214/1;214/2;215/1;216/1;216/2;217/1;217/2;217/3;218/1;218/2;219/1;219/2;219/3;220/1;220/2;220/3;221/1).</t>
  </si>
  <si>
    <t>0007439/2022</t>
  </si>
  <si>
    <t>paqagd-05l6-cade-03</t>
  </si>
  <si>
    <t>IJUI 2</t>
  </si>
  <si>
    <t>Substituição de bateria - 48 Vcc - SACC48-BAT1 na SE Ijui 2. Capacidade do novo equipamento: 200 Ah.</t>
  </si>
  <si>
    <t>MG IJUI 2 / CCO-2010-011 - RB</t>
  </si>
  <si>
    <t>0007442/2022</t>
  </si>
  <si>
    <t>Substituição de bateria - 48 Vcc - SACC48-BAT2 na SE Ijui 2. Capacidade do novo equipamento: 200 Ah.</t>
  </si>
  <si>
    <t>0007446/2022</t>
  </si>
  <si>
    <t>Substituição de bateria - 48 Vcc - SACC48-BAT1 na SE Joinville. Capacidade do novo equipamento: 1.250 Ah.</t>
  </si>
  <si>
    <t>0007450/2022</t>
  </si>
  <si>
    <t>LT 500 kV MESSIAS /SUAPE II AL/PE</t>
  </si>
  <si>
    <t>Substituir 236 cadeias de isolador em 34 estruturas da LT 500 kV MESSIAS /SUAPE II C-1 AL/PE-05V2 (001/2;003/1;006/1;007/1;010/1;010/2;010/3;013/1;018/1;020/1;022/1;023/1;023/2;024/1;024/2;025/1;025/2;028/1;028/3;031/1;031/2;032/1;033/1;033/2;034/2;035/1;037/1;037/2;037/3;038/1;038/2;038/3;039/1;039/2).</t>
  </si>
  <si>
    <t>LT 500 kV MESSIAS /SUAPE II C-1 AL/PE</t>
  </si>
  <si>
    <t>0007453/2022</t>
  </si>
  <si>
    <t>msisud-05v2-cade-01</t>
  </si>
  <si>
    <t>Substituir 156 cadeias de isolador em 34 estruturas da LT 500 kV MESSIAS /SUAPE II C-1 AL/PE-05V2 (040/1;040/2;040/3;041/1;041/2;042/2;043/2;045/2;046/2;049/1;050/1;055/1;055/2;056/1;056/2;056/3;057/1;057/2;058/1;058/2;058/3;059/1;059/2;060/1;060/2;061/1;061/2;062/1;062/2;062/3;063/1;063/2;064/1;064/2).</t>
  </si>
  <si>
    <t>0007454/2022</t>
  </si>
  <si>
    <t>msisud-05v2-cade-02</t>
  </si>
  <si>
    <t>Substituição de bateria - 48 Vcc - SACC48-BAT2 na SE Joinville. Capacidade do novo equipamento: 1.250 Ah.</t>
  </si>
  <si>
    <t>0007456/2022</t>
  </si>
  <si>
    <t>SUBSTITUIÇÃO DO DISJUNTOR UGDJ6-03 DA LINHA UTINGA - MARITUBA 230KV C2.</t>
  </si>
  <si>
    <t>0007457/2022</t>
  </si>
  <si>
    <t>UGDJ6-03</t>
  </si>
  <si>
    <t>LT 230 kV TACAIMBO /C.GRANDE II PE/PB</t>
  </si>
  <si>
    <t>Substituir 105 cadeias de isolador em 34 estruturas da LT 230 kV TACAIMBO /C.GRANDE II C-1 PE/PB-04C1 (023/4;024/1;024/2;024/3;025/2;025/4;026/1;026/2;027/1;028/1;028/2;029/2;031/1;031/2;032/1;032/2;032/3;033/2;033/4;034/2;035/2;036/3;037/1;037/2;037/3;037/4;039/1;039/2;040/2;040/3;041/1;041/2;041/4;042/1).</t>
  </si>
  <si>
    <t>LT 230 kV TACAIMBO /C.GRANDE II C-1 PE/PB</t>
  </si>
  <si>
    <t>0007459/2022</t>
  </si>
  <si>
    <t>taccgd-04c1-cade-03</t>
  </si>
  <si>
    <t>Substituir 98 cadeias de isolador em 16 estruturas da LT 500 kV MESSIAS /SUAPE II C-1 AL/PE-05V2 (065/1;066/1;066/2;066/3;067/1;067/2;068/1;068/2;068/3;069/1;070/1;070/2;071/1;071/2;078/1;MSI).</t>
  </si>
  <si>
    <t>0007460/2022</t>
  </si>
  <si>
    <t>msisud-05v2-cade-03</t>
  </si>
  <si>
    <t>Substituir 166 cadeias de isolador em 34 estruturas da LT 500 kV MESSIAS /SUAPE II C-1 AL/PE-05V2 (001/1;001/3;002/1;002/2;004/1;004/2;005/1;005/2;006/2;007/2;008/1;008/2;009/1;009/2;011/1;011/2;012/1;012/2;013/2;014/1;014/2;015/1;016/1;016/2;017/1;017/2;018/2;019/1;019/2;020/2;021/1;021/2;026/1;027/1).</t>
  </si>
  <si>
    <t>0007462/2022</t>
  </si>
  <si>
    <t>Substituição de bateria - 48 Vcc - SACC48-BAT1 na SE Palhoça. Capacidade do novo equipamento: 1.000 Ah.</t>
  </si>
  <si>
    <t>0007465/2022</t>
  </si>
  <si>
    <t>LT 500 kV MILAGRES /QUIXADA CE</t>
  </si>
  <si>
    <t>Substituir 171 cadeias de isolador em 21 estruturas da LT 500 kV MILAGRES /QUIXADA C-1 CE-05V3 (259/2;260/1;260/2;261/1;261/2;262/1;262/2;263/1;263/2;264/1;264/2;265/1;265/2;266/1;266/2;267/1;267/2;268/1;268/2;269/1;269/2).</t>
  </si>
  <si>
    <t>0007466/2022</t>
  </si>
  <si>
    <t>mlgqxa-05v3-cade-06</t>
  </si>
  <si>
    <t>Substituir 156 cadeias de isolador em 34 estruturas da LT 500 kV MESSIAS /SUAPE II C-1 AL/PE-05V2 (027/2;028/2;029/1;029/2;030/1;030/2;034/1;035/2;035/3;036/1;036/2;042/1;043/1;044/1;044/2;045/1;046/1;047/1;048/1;048/2;050/2;050/3;051/1;052/1;052/2;052/3;053/1;054/1;054/2;071/3;072/1;072/2;073/1;073/2).</t>
  </si>
  <si>
    <t>0007468/2022</t>
  </si>
  <si>
    <t>Substituir 120 cadeias de isolador em 27 estruturas da LT 500 kV MESSIAS /SUAPE II C-1 AL/PE-05V2 (073/3;074/1;074/2;074/3;075/1;075/2;076/1;076/2;077/1;077/2;079/1;079/2;079/3;080/1;080/2;081/1;081/2;082/1;082/2;083/1;084/1;084/2;084/3;085/1;085/2;086/1;086/2).</t>
  </si>
  <si>
    <t>0007471/2022</t>
  </si>
  <si>
    <t>Substituição de bateria - 48 Vcc - SACC48-BAT2 na SE Palhoça. Capacidade do novo equipamento: 1.000 Ah.</t>
  </si>
  <si>
    <t>0007472/2022</t>
  </si>
  <si>
    <t>LT 230 kV SANTANA II /ANGELIM AL/PE</t>
  </si>
  <si>
    <t>Substituir 57 cadeias de isolador em 16 estrutura(s) da LT 230 kV SANTANA II /ANGELIM C-1 AL/PE-04Z9 (125/2;130/1;131/1;132/1;132/3;134/1;151/1;151/2;151/3;152/3;153/2;154/3;156/2;159/2;162/2;162/3).</t>
  </si>
  <si>
    <t>LT 230 kV SANTANA II /ANGELIM C-1 AL/PE</t>
  </si>
  <si>
    <t>0007473/2022</t>
  </si>
  <si>
    <t>stnagl-04z9-cade-01</t>
  </si>
  <si>
    <t>Substituir 152 cadeias de isolador em 32 estruturas da LT 500 kV MESSIAS /SUAPE II C-1 AL/PE-05V2 (137/3;138/1;138/2;139/1;140/1;140/2;141/1;141/2;142/1;142/2;143/1;143/2;144/1;144/2;145/1;145/2;146/1;147/1;147/2;148/1;148/2;149/1;149/2;149/3;150/1;150/2;150/3;151/1;151/2;152/1;152/2;153/1).</t>
  </si>
  <si>
    <t>0007475/2022</t>
  </si>
  <si>
    <t>msisud-05v2-cade-04</t>
  </si>
  <si>
    <t>LT 500 kV QUIXADA /FORTALEZA II CE</t>
  </si>
  <si>
    <t>Substituir 132 cadeias de isolador em 31 estruturas da LT 500 kV QUIXADA /FORTALEZA II C-1 CE-05V5 (015/1;015/2;016/1;016/2;017/1;017/2;018/1;018/2;019/1;019/2;020/1;020/2;021/1;021/2;022/1;022/2;023/1;023/2;024/1;024/2;025/1;025/2;026/1;026/2;027/1;027/2;028/1;028/2;029/1;029/2;030/1).</t>
  </si>
  <si>
    <t>0007477/2022</t>
  </si>
  <si>
    <t>qxafzd-05v5-cade-01</t>
  </si>
  <si>
    <t>Substituição de bateria - 48 Vcc - SACC48-BAT1, localizada na SE Sertão (associada a SE Palhoça). Capacidade do novo equipamento: 150 Ah.</t>
  </si>
  <si>
    <t>0007479/2022</t>
  </si>
  <si>
    <t>LT 500 kV US. L.GONZAGA /GARANHUNS II PE</t>
  </si>
  <si>
    <t>Substituir 126 cadeias de isolador em 10 estruturas da LT 500 kV US. L.GONZAGA /GARANHUNS II C-2 PE-05Z1 (194/1;237/2;238/1;238/2;238/3;239/1;239/2;239/3;239/4;GRD).</t>
  </si>
  <si>
    <t>LT 500 kV US. L.GONZAGA /GARANHUNS II C-2 PE</t>
  </si>
  <si>
    <t>0007481/2022</t>
  </si>
  <si>
    <t>lgzgrd-05z1-cade-01</t>
  </si>
  <si>
    <t>Substituir 147 cadeias de isolador em 38 estruturas da LT 230 kV TACAIMBO /C.GRANDE II C-1 PE/PB-04C1 (001/3;002/1;002/4;003/3;006/1;008/2;009/1;009/2;009/3;009/4;018/4;019/1;019/2;019/3;020/1;025/1;025/3;025/5;027/2;028/3;028/4;029/1;030/1;030/2;030/3;030/4;033/1;033/3;034/1;035/1;036/1;036/2;038/1;038/2;039/3;040/1;041/3;042/3).</t>
  </si>
  <si>
    <t>0007482/2022</t>
  </si>
  <si>
    <t>taccgd-04c1-cade-04</t>
  </si>
  <si>
    <t>Substituir 194 cadeias de isolador em 34 estruturas da LT 500 kV US. L.GONZAGA /GARANHUNS II C-2 PE-05Z1 (191/2;192/1;192/2;192/3;192/4;193/1;193/2;193/3;194/2;194/3;195/1;195/2;195/3;195/4;196/1;196/2;196/3;197/1;197/2;197/3;198/1;198/2;198/3;198/4;199/1;199/2;199/3;200/1;200/2;200/3;201/1;201/2;201/3;202/1).</t>
  </si>
  <si>
    <t>0007485/2022</t>
  </si>
  <si>
    <t>Substituir 165 cadeias de isolador em 34 estruturas da LT 230 kV TACAIMBO /C.GRANDE II C-2 PE/PB-04C2 (000/1;001/1;001/2;001/2A;001/2B;002/1;002/2;002/3;002/4;003/1;003/2;004/1;005/1;005/2;005/4;006/1;006/3;007/1;007/2;007/3;007/4;008/1;008/2;008/3;010/1;010/4;011/1;011/2;012/1;012/2;012/3;012/4;013/1;013/2).</t>
  </si>
  <si>
    <t>LT 230 kV TACAIMBO /C.GRANDE II C-2 PE/PB</t>
  </si>
  <si>
    <t>0007486/2022</t>
  </si>
  <si>
    <t>taccgd-04c2-cade-01</t>
  </si>
  <si>
    <t>Substituir 120 cadeias de isolador em 32 estruturas da LT 500 kV QUIXADA /FORTALEZA II C-1 CE-05V5 (047/1;047/2;048/1;048/2;049/1;049/2;050/1;050/2;051/1;051/2;052/1;052/2;053/1;053/2;054/1;054/2;055/1;056/1;056/2;056/3;057/1;057/2;058/1;058/2;059/1;059/2;060/1;060/2;060/3;061/1;061/2;062/1).</t>
  </si>
  <si>
    <t>0007487/2022</t>
  </si>
  <si>
    <t>qxafzd-05v5-cade-03</t>
  </si>
  <si>
    <t>Substituir 158 cadeias de isolador em 34 estruturas da LT 500 kV US. L.GONZAGA /GARANHUNS II C-2 PE-05Z1 (202/2;202/3;203/1;203/2;203/3;204/1;204/2;204/3;205/1;205/2;205/3;205/4;206/1;206/2;207/1;207/2;208/1;208/2;209/1;209/2;210/1;210/2;210/3;211/1;211/2;211/3;211/4;212/1;212/2;213/1;213/2;214/1;214/2;214/3).</t>
  </si>
  <si>
    <t>0007488/2022</t>
  </si>
  <si>
    <t>lgzgrd-05z1-cade-02</t>
  </si>
  <si>
    <t>Substituir 102 cadeias de isolador em 34 estruturas da LT 230 kV TACAIMBO /C.GRANDE II C-2 PE/PB-04C2 (013/3;014/1;014/2;014/3;014/4;015/1;015/2;015/3;016/1;016/2;016/3;017/1;017/2;017/3;017/4;018/1;018/2;018/3;019/1;019/2;019/3;019/4;019/5;020/1;020/2;021/1;021/2;021/3;022/2;022/3;022/4;023/1;023/2;023/3).</t>
  </si>
  <si>
    <t>0007489/2022</t>
  </si>
  <si>
    <t>taccgd-04c2-cade-02</t>
  </si>
  <si>
    <t>Substituir 180 cadeias de isolador em 34 estruturas da LT 500 kV US. L.GONZAGA /GARANHUNS II C-2 PE-05Z1 (215/1;215/2;216/1;216/2;216/3;217/1;217/2;217/3;217/4;218/1;218/2;218/3;219/1;219/2;219/3;220/1;220/2;220/3;221/1;221/2;221/3;222/1;222/2;223/1;223/2;223/3;223/4;224/1;224/2;225/1;225/2;225/3;226/1;226/2).</t>
  </si>
  <si>
    <t>0007493/2022</t>
  </si>
  <si>
    <t>lgzgrd-05z1-cade-03</t>
  </si>
  <si>
    <t>Substituir 111 cadeias de isolador em 34 estruturas da LT 230 kV TACAIMBO /C.GRANDE II C-2 PE/PB-04C2 (024/1;024/2;024/3;024/4;025/1;025/2;025/3;026/1;026/2;026/3;027/2;028/1;028/2;028/3;028/4;029/1;029/2;030/1;030/2;030/3;031/1;031/2;031/3;032/1;032/3;033/1;033/2;033/3;034/1;034/2;034/3;035/1;035/2;035/3).</t>
  </si>
  <si>
    <t>0007494/2022</t>
  </si>
  <si>
    <t>taccgd-04c2-cade-03</t>
  </si>
  <si>
    <t>Substituir 141 cadeias de isolador em 32 estruturas da LT 500 kV QUIXADA /FORTALEZA II C-1 CE-05V5 (077/2;078/1;078/2;079/1;080/1;080/2;080/3;081/1;081/2;082/1;083/1;083/2;084/1;084/2;085/1;085/2;085/3;086/1;086/2;087/1;087/2;088/1;088/2;089/1;089/2;090/1;090/2;090/3;091/1;091/2;092/1;092/2).</t>
  </si>
  <si>
    <t>0007496/2022</t>
  </si>
  <si>
    <t>qxafzd-05v5-cade-05</t>
  </si>
  <si>
    <t>Substituir 179 cadeias de isolador em 30 estruturas da LT 500 kV US. L.GONZAGA /GARANHUNS II C-2 PE-05Z1 (227/1;227/2;227/3;227/4;228/1;228/2;228/3;229/1;229/2;229/3;230/1;230/2;231/1;231/2;231/3;232/1;232/2;233/1;233/2;233/3;234/1;234/2;234/3;235/1;235/2;235/3;236/1;236/2;236/3;237/1).</t>
  </si>
  <si>
    <t>0007499/2022</t>
  </si>
  <si>
    <t>lgzgrd-05z1-cade-04</t>
  </si>
  <si>
    <t>Substituir 84 cadeias de isolador em 18 estruturas da LT 230 kV TACAIMBO /C.GRANDE II C-2 PE/PB-04C2 (036/2;036/3;036/4;038/2;039/1;039/2;039/3;039/4;040/1;040/2;041/1;041/2;041/4;042/1;042/2;042/3;043/2;TAC).</t>
  </si>
  <si>
    <t>0007500/2022</t>
  </si>
  <si>
    <t>taccgd-04c2-cade-04</t>
  </si>
  <si>
    <t>Substituir 131 cadeias de isolador em 31 estruturas da LT 500 kV QUIXADA /FORTALEZA II C-1 CE-05V5 (093/1;093/2;093/3;094/1;094/2;095/1;095/2;096/1;096/2;097/1;097/2;098/1;098/2;099/1;099/2;100/1;100/2;101/1;101/2;102/1;102/2;102/3;103/1;103/2;104/1;105/1;105/2;106/1;106/2;107/1;107/2).</t>
  </si>
  <si>
    <t>0007503/2022</t>
  </si>
  <si>
    <t>qxafzd-05v5-cade-06</t>
  </si>
  <si>
    <t>Substituir 120 cadeias de isolador em 25 estruturas da LT 230 kV TACAIMBO /C.GRANDE II C-2 PE/PB-04C2 (000/2;001/3;003/3;004/2;004/3;005/3;006/2;009/1;009/2;009/3;010/2;010/3;020/3;020/4;022/1;027/1;031/4;032/2;036/1;037/1;037/2;038/1;041/3;043/1;043/3).</t>
  </si>
  <si>
    <t>0007506/2022</t>
  </si>
  <si>
    <t>taccgd-04c2-cade-05</t>
  </si>
  <si>
    <t>Substituir 204 cadeias de isolador em 27 estruturas da LT 500 kV QUIXADA /FORTALEZA II C-1 CE-05V5 (108/1;108/2;109/1;109/2;110/1;110/2;110/3;111/1;111/2;112/1;112/2;112/3;113/1;113/2;114/1;114/2;115/1;115/2;116/1;116/2;117/1;117/2;117/3;118/1;118/2;119/1;119/2).</t>
  </si>
  <si>
    <t>0007508/2022</t>
  </si>
  <si>
    <t>qxafzd-05v5-cade-07</t>
  </si>
  <si>
    <t>LT 230 kV BONGI /JOAIRAM PE</t>
  </si>
  <si>
    <t>Substituir 51 cadeias de isolador em 10 estruturas da LT 230 kV BONGI /JOAIRAM C-1 PE-04V4 (004/2;005/1;005/2;005/3;006/1;006/2;006/3;007/1;007/2;BGI).</t>
  </si>
  <si>
    <t>LT 230 kV BONGI /JOAIRAM C-1 PE</t>
  </si>
  <si>
    <t>0007509/2022</t>
  </si>
  <si>
    <t>bgijrm-04v4-cade-01</t>
  </si>
  <si>
    <t>Substituir 156 cadeias de isolador em 29 estruturas da LT 500 kV QUIXADA /FORTALEZA II C-1 CE-05V5 (120/1;120/2;121/1;121/2;122/1;122/2;123/1;123/2;124/1;124/2;124/3;125/1;125/2;126/1;127/1;127/2;128/1;128/2;128/3;128/4;129/1;129/2;129/3;130/1;131/1;131/2;131/3;132/1;132/2).</t>
  </si>
  <si>
    <t>0007511/2022</t>
  </si>
  <si>
    <t>qxafzd-05v5-cade-08</t>
  </si>
  <si>
    <t>Substituir 96 cadeias de isolador em 17 estruturas da LT 230 kV BONGI /JOAIRAM C-2 PE-04V5 (JRM;001/1;001/2;001/3;002/1;002/2;003/1;003/2;003/3;004/1;004/2;005/1;005/2;006/1;006/2;006/3;BGI).</t>
  </si>
  <si>
    <t>LT 230 kV BONGI /JOAIRAM C-2 PE</t>
  </si>
  <si>
    <t>0007512/2022</t>
  </si>
  <si>
    <t>bgijrm-04v5-cade-01</t>
  </si>
  <si>
    <t>Substituir 108 cadeias de isolador em 13 estruturas da LT 500 kV QUIXADA /FORTALEZA II C-1 CE-05V5 (133/1;133/2;134/1;134/2;135/1;135/2;135/3;136/1;136/2;137/1;137/2;138/1;FZD).</t>
  </si>
  <si>
    <t>0007516/2022</t>
  </si>
  <si>
    <t>qxafzd-05v5-cade-09</t>
  </si>
  <si>
    <t>Substituir 96 cadeias de isolador em 17 estruturas da LT 230 kV BONGI /JOAIRAM C-3 PE-04V6 (JRM;001/1;001/2;001/3;002/1;002/2;003/1;003/2;003/3;004/1;004/2;005/1;005/2;006/1;006/2;006/3;BGI).</t>
  </si>
  <si>
    <t>LT 230 kV BONGI /JOAIRAM C-3 PE</t>
  </si>
  <si>
    <t>0007517/2022</t>
  </si>
  <si>
    <t>bgijrm-04v6-cade-01</t>
  </si>
  <si>
    <t>LT 230 kV C.GRANDE II /PARAISO PB/RN</t>
  </si>
  <si>
    <t>Substituir 3 cadeias de isolador em 1 estrutura(s) da LT 230 kV C.GRANDE II /PARAISO C-2 PB/RN-04V1 (PRS).</t>
  </si>
  <si>
    <t>LT 230 kV C.GRANDE II /PARAISO C-2 PB/RN</t>
  </si>
  <si>
    <t>0007519/2022</t>
  </si>
  <si>
    <t>cgdprs-04v1-cade-01</t>
  </si>
  <si>
    <t>LT 500 kV PECEM II /FORTALEZA II CE</t>
  </si>
  <si>
    <t>Substituir 157 cadeias de isolador em 34 estruturas da LT 500 kV PECEM II /FORTALEZA II C-1 CE-05C2 (162/1;166/2;167/1;168/1;169/1;170/1;171/1;171/2;171/3;172/1;173/1;174/1;174/2;175/2;176/1;176/2;177/1;177/2;178/1;178/2;179/1;179/2;180/1;180/2;181/2;182/1;182/2;183/1;184/1;184/2;185/1;185/2;186/2;187/1).</t>
  </si>
  <si>
    <t>0007520/2022</t>
  </si>
  <si>
    <t>pedfzd-05c2-cade-01</t>
  </si>
  <si>
    <t>LT 230 kV RECIFE II /JOAIRAM PE</t>
  </si>
  <si>
    <t>Substituir 114 cadeias de isolador em 21 estruturas da LT 230 kV RECIFE II /JOAIRAM C-1 PE-04V1 (RCD;001/1;001/2;001/3;001/4;002/1;002/2;003/1;003/2;004/1;004/2;005/1;005/2;005/3;006/1;006/2;006/3;007/1;008/1;008/2;JRM).</t>
  </si>
  <si>
    <t>LT 230 kV RECIFE II /JOAIRAM C-1 PE</t>
  </si>
  <si>
    <t>0007521/2022</t>
  </si>
  <si>
    <t>rcdjrm-04v1-cade-01</t>
  </si>
  <si>
    <t>Substituir 3 cadeias de isolador em 1 estrutura(s) da LT 230 kV C.GRANDE II /PARAISO C-1 PB/RN-04V2 (PRS).</t>
  </si>
  <si>
    <t>LT 230 kV C.GRANDE II /PARAISO C-1 PB/RN</t>
  </si>
  <si>
    <t>0007522/2022</t>
  </si>
  <si>
    <t>cgdprs-04v2-cade-01</t>
  </si>
  <si>
    <t>Substituir 210 cadeias de isolador em 34 estruturas da LT 500 kV PECEM II /FORTALEZA II C-1 CE-05C2 (187/2;188/1;188/2;189/1;190/1;191/1;192/1;192/2;193/1;193/2;194/1;194/2;194/3;195/1;195/2;196/1;196/2;197/1;198/1;198/2;199/1;199/2;199/3;200/1;200/2;201/1;201/2;202/1;202/2;203/1;203/2;204/1;204/2;204/3).</t>
  </si>
  <si>
    <t>0007524/2022</t>
  </si>
  <si>
    <t>pedfzd-05c2-cade-02</t>
  </si>
  <si>
    <t>Substituir 126 cadeias de isolador em 22 estruturas da LT 230 kV RECIFE II /JOAIRAM C-2 PE-04V2 (RCD;001/1;001/2;001/3;001/4;002/1;002/2;002/3;003/1;003/2;004/1;004/2;005/1;005/2;005/3;006/1;006/2;007/1;007/2;008/1;008/2;JRM).</t>
  </si>
  <si>
    <t>LT 230 kV RECIFE II /JOAIRAM C-2 PE</t>
  </si>
  <si>
    <t>0007527/2022</t>
  </si>
  <si>
    <t>rcdjrm-04v2-cade-01</t>
  </si>
  <si>
    <t>Substituir 3 cadeias de isolador em 1 estrutura(s) da LT 230 kV NATAL III /NATAL II C-1 RN-04N3 (NTT).</t>
  </si>
  <si>
    <t>0007528/2022</t>
  </si>
  <si>
    <t>nttntd-04n3-cade-01</t>
  </si>
  <si>
    <t>Substituir 64 cadeias de isolador em 13 estruturas da LT 500 kV PECEM II /FORTALEZA II C-1 CE-05C2 (205/2;206/1;207/1;207/2;208/1;208/2;209/1;209/2;210/1;210/2;211/1;211/2;FZD).</t>
  </si>
  <si>
    <t>0007530/2022</t>
  </si>
  <si>
    <t>pedfzd-05c2-cade-03</t>
  </si>
  <si>
    <t>Substituir 126 cadeias de isolador em 22 estruturas da LT 230 kV RECIFE II /JOAIRAM C-3 PE-04V3 (RCD;001/1;001/2;001/3;001/4;002/1;002/2;002/3;003/1;003/2;004/1;004/2;005/1;005/2;005/3;006/1;006/2;007/1;007/2;008/1;008/2;JRM).</t>
  </si>
  <si>
    <t>LT 230 kV RECIFE II /JOAIRAM C-3 PE</t>
  </si>
  <si>
    <t>0007531/2022</t>
  </si>
  <si>
    <t>rcdjrm-04v3-cade-01</t>
  </si>
  <si>
    <t>Substituir 3 cadeias de isolador em 1 estrutura(s) da LT 230 kV NATAL III /NATAL II C-2 RN-04N4 (NTT).</t>
  </si>
  <si>
    <t>LT 230 kV NATAL III /NATAL II C-2 RN</t>
  </si>
  <si>
    <t>0007532/2022</t>
  </si>
  <si>
    <t>nttntd-04n4-cade-01</t>
  </si>
  <si>
    <t>Substituir 87 cadeias de isolador em 13 estruturas da LT 500 kV SUAPE II /RECIFE II C-1 PE-05L7 (041/1;041/2;041/3;042/1;042/2;043/1;043/2;044/1;044/2;045/1;045/2;046/1;RCD).</t>
  </si>
  <si>
    <t>0007534/2022</t>
  </si>
  <si>
    <t>sudrcd-05l7-cade-01</t>
  </si>
  <si>
    <t>LT 500 kV SOBRAL III /PECEM II CE</t>
  </si>
  <si>
    <t>Substituir 150 cadeias de isolador em 32 estruturas da LT 500 kV SOBRAL III /PECEM II C-1 CE-05V7 (001/1;001/2;001/3;002/1;003/1;003/2;004/1;004/2;004/3;005/1;005/2;006/1;006/2;007/1;007/2;008/1;008/2;009/1;009/2;010/1;010/2;011/1;011/2;012/1;012/2;013/1;013/2;014/1;014/2;015/1;015/2;015/3).</t>
  </si>
  <si>
    <t>LT 500 kV SOBRAL III /PECEM II C-1 CE</t>
  </si>
  <si>
    <t>0007535/2022</t>
  </si>
  <si>
    <t>sbtped-05v7-cade-01</t>
  </si>
  <si>
    <t>Substituir 109 cadeias de isolador em 32 estruturas da LT 500 kV SOBRAL III /PECEM II C-1 CE-05V7 (016/1;016/2;017/1;017/2;018/1;019/1;019/2;020/1;020/2;021/1;021/2;022/1;022/2;023/1;023/2;024/1;024/2;025/1;025/2;026/1;026/2;027/1;027/2;027/3;028/1;029/1;029/2;030/1;030/2;031/1;031/2;032/1).</t>
  </si>
  <si>
    <t>0007540/2022</t>
  </si>
  <si>
    <t>sbtped-05v7-cade-02</t>
  </si>
  <si>
    <t>Substituir 138 cadeias de isolador em 34 estruturas da LT 230 kV RIBEIRAO /RECIFE II C-2 PE-04M2 (337/3;338/1;339/1;339/2;339/3;340/1;340/2;341/1;341/2;341/3;342/1;343/1;343/2;343/3;344/1;344/2;345/1;345/2;346/1;346/2;347/1;348/1;348/2;348/3;349/1;349/3;350/1;350/2;351/1;353/1;353/2;353/3;354/1;354/2).</t>
  </si>
  <si>
    <t>LT 230 kV RIBEIRAO /RECIFE II C-2 PE</t>
  </si>
  <si>
    <t>0007542/2022</t>
  </si>
  <si>
    <t>rcdrib-04m2-cade-01</t>
  </si>
  <si>
    <t>SUBSTITUIÇÃO DO DISJUNTOR MBDJ4-03 DA LINHA MARABÁ - RONDON DO PARÁ LI-RNMB-LI4-01</t>
  </si>
  <si>
    <t>EL 69 kV MARABA DIST3</t>
  </si>
  <si>
    <t>0008219/2022</t>
  </si>
  <si>
    <t>MBDJ4-03</t>
  </si>
  <si>
    <t>Substituir 128 cadeias de isolador em 33 estruturas da LT 500 kV SOBRAL III /PECEM II C-1 CE-05V7 (032/2;033/1;033/2;034/1;034/2;035/1;035/2;036/1;036/2;037/1;037/2;037/3;038/1;038/2;039/1;039/2;039/3;040/1;040/2;041/1;042/1;042/2;043/1;043/2;044/1;044/2;045/1;045/2;046/1;047/1;047/2;048/1;048/2).</t>
  </si>
  <si>
    <t>0007544/2022</t>
  </si>
  <si>
    <t>sbtped-05v7-cade-03</t>
  </si>
  <si>
    <t>Substituir 119 cadeias de isolador em 35 estruturas da LT 230 kV RIBEIRAO /RECIFE II C-2 PE-04M2 (355/1;356/1;356/2;357/1;357/2;357/3;358/1;358/2;358/3;359/1;359/2;359/3;360/1;360/2;361/1;361/2;362/1;362/2;363/1;364/1;364/2;365/1;365/2;366/1;366/2;367/1;367/2;368/1;369/1;369/2;370/2;370/3;371/1;371/2;372/1).</t>
  </si>
  <si>
    <t>0007545/2022</t>
  </si>
  <si>
    <t>rcdrib-04m2-cade-02</t>
  </si>
  <si>
    <t>Substituir 104 cadeias de isolador em 33 estruturas da LT 500 kV SOBRAL III /PECEM II C-1 CE-05V7 (049/1;049/2;049/3;050/1;050/2;051/1;051/2;052/1;052/2;053/1;053/2;054/1;054/2;055/1;055/2;056/1;056/2;057/1;058/1;058/2;059/1;059/2;060/1;060/2;061/1;061/2;061/3;062/1;063/1;064/1;064/2;065/1;065/2).</t>
  </si>
  <si>
    <t>0007547/2022</t>
  </si>
  <si>
    <t>sbtped-05v7-cade-04</t>
  </si>
  <si>
    <t>Substituir 155 cadeias de isolador em 35 estruturas da LT 230 kV RIBEIRAO /RECIFE II C-2 PE-04M2 (372/2;372/3;373/1;374/1;374/2;375/1;375/2;376/1;376/2;376/3;377/1;377/2;377/3;378/1;378/2;379/1;379/2;380/2;380/3;381/1;381/2;382/1;383/1;383/2;383/3;384/1;385/1;385/2;385/3;386/1;386/2;387/1;387/2;388/1;388/2).</t>
  </si>
  <si>
    <t>0007548/2022</t>
  </si>
  <si>
    <t>rcdrib-04m2-cade-03</t>
  </si>
  <si>
    <t>Substituir 3 cadeias de isolador em 1 estrutura(s) da LT 230 kV SAPEACU /FUNIL C-1 BA-04F1 (031/1).</t>
  </si>
  <si>
    <t>0007549/2022</t>
  </si>
  <si>
    <t>spufnl-04f1-cade-01</t>
  </si>
  <si>
    <t>Substituir 113 cadeias de isolador em 32 estruturas da LT 500 kV SOBRAL III /PECEM II C-1 CE-05V7 (066/1;066/2;067/1;068/1;068/2;069/1;069/2;070/1;070/2;071/1;072/1;073/1;073/2;074/1;074/2;075/1;076/1;076/2;076/3;077/1;077/2;078/1;078/2;079/1;079/2;080/1;080/2;081/1;081/2;082/1;083/1;083/2).</t>
  </si>
  <si>
    <t>0007550/2022</t>
  </si>
  <si>
    <t>sbtped-05v7-cade-05</t>
  </si>
  <si>
    <t>Substituir 78 cadeias de isolador em 13 estruturas da LT 230 kV RIBEIRAO /RECIFE II C-2 PE-04M2 (388/3;389/1;389/2;389/3;390/1;390/2;391/1;392/1;392/2;393/1;393/2;393/3;RCD).</t>
  </si>
  <si>
    <t>0007551/2022</t>
  </si>
  <si>
    <t>rcdrib-04m2-cade-04</t>
  </si>
  <si>
    <t>Substituir 75 cadeias de isolador em 9 estruturas da LT 230 kV SAPEACU /FUNIL C-1 BA-04F1 (192/3;193/1;193/2;194/1;194/3;195/1;196/1;196/2;196/3).</t>
  </si>
  <si>
    <t>0007552/2022</t>
  </si>
  <si>
    <t>Substituir 106 cadeias de isolador em 33 estruturas da LT 500 kV SOBRAL III /PECEM II C-1 CE-05V7 (084/1;084/2;085/1;085/2;086/1;086/2;087/1;087/2;088/1;088/2;089/1;089/2;090/1;090/2;091/1;092/1;092/2;093/1;093/2;094/1;094/2;095/1;096/1;096/2;096/3;097/1;097/2;098/1;098/2;099/1;100/1;100/2;101/1).</t>
  </si>
  <si>
    <t>0007553/2022</t>
  </si>
  <si>
    <t>sbtped-05v7-cade-06</t>
  </si>
  <si>
    <t>LT 230 kV ANGELIM /RIBEIRAO PE</t>
  </si>
  <si>
    <t>Substituir 102 cadeias de isolador em 26 estruturas da LT 230 kV ANGELIM /RIBEIRAO C-1 PE-04S1 (066/2;067/1;067/2;067/3;068/2;069/1;069/2;070/1;070/2;071/1;071/2;072/1;073/1;073/2;074/1;074/2;075/1;075/2;076/1;077/1;077/2;078/3;080/1;080/2;080/3;AGL).</t>
  </si>
  <si>
    <t>0007554/2022</t>
  </si>
  <si>
    <t>aglrib-04s1-cade-01</t>
  </si>
  <si>
    <t>Substituir 117 cadeias de isolador em 32 estruturas da LT 500 kV SOBRAL III /PECEM II C-1 CE-05V7 (101/2;102/1;102/2;103/1;103/2;104/1;104/2;104/3;105/1;105/2;106/1;106/2;107/1;108/1;108/2;109/1;109/2;110/1;110/2;111/2;112/1;113/1;113/2;114/1;114/2;114/3;115/1;116/1;116/2;117/1;117/2;117/3).</t>
  </si>
  <si>
    <t>0007556/2022</t>
  </si>
  <si>
    <t>sbtped-05v7-cade-07</t>
  </si>
  <si>
    <t>Substituir 111 cadeias de isolador em 34 estruturas da LT 230 kV ANGELIM /RIBEIRAO C-1 PE-04S1 (081/1;081/2;081/3;082/1;082/2;083/1;084/2;084/3;086/2;088/1;088/2;090/1;090/2;091/1;091/2;092/1;093/1;093/2;093/3;093/4;094/1;094/2;095/1;095/2;096/1;096/2;097/2;097/3;098/1;098/2;099/1;099/2;099/3;100/1).</t>
  </si>
  <si>
    <t>0007559/2022</t>
  </si>
  <si>
    <t>aglrib-04s1-cade-02</t>
  </si>
  <si>
    <t>Substituir 138 cadeias de isolador em 32 estruturas da LT 500 kV SOBRAL III /PECEM II C-1 CE-05V7 (137/2;138/1;138/2;139/2;140/1;140/2;141/1;141/2;142/1;142/2;144/1;144/2;145/1;145/2;146/1;146/2;147/1;147/2;148/1;149/1;149/2;150/1;150/2;151/1;151/2;153/1;153/2;154/1;154/2;155/2;156/1;156/2).</t>
  </si>
  <si>
    <t>0007562/2022</t>
  </si>
  <si>
    <t>sbtped-05v7-cade-08</t>
  </si>
  <si>
    <t>Substituir 99 cadeias de isolador em 29 estruturas da LT 230 kV ANGELIM /RIBEIRAO C-1 PE-04S1 (100/2;101/1;101/2;102/1;102/2;103/1;103/2;103/3;104/1;104/2;104/3;105/1;105/2;106/1;107/1;108/1;108/2;109/2;110/3;111/1;111/2;112/1;113/1;113/2;114/1;115/1;115/2;116/3;RIB).</t>
  </si>
  <si>
    <t>0007564/2022</t>
  </si>
  <si>
    <t>aglrib-04s1-cade-03</t>
  </si>
  <si>
    <t>Substituir 20 cadeias de isolador em 3 estruturas da LT 500 kV SOBRAL III /PECEM II C-1 CE-05V7 (157/1;157/2;158/1).</t>
  </si>
  <si>
    <t>0007566/2022</t>
  </si>
  <si>
    <t>sbtped-05v7-cade-09</t>
  </si>
  <si>
    <t>Substituir 122 cadeias de isolador em 33 estruturas da LT 230 kV ANGELIM /RIBEIRAO C-2 PE-04S2 (302/1;302/2;302/3;303/1;303/2;303/3;304/1;304/2;305/1;305/2;305/3;306/1;307/1;307/2;307/3;308/1;308/2;309/1;309/2;310/1;310/2;311/1;311/1A;311/2;311/3;312/1;312/2;313/1;314/1;314/2;314/3;314/4;315/1).</t>
  </si>
  <si>
    <t>LT 230 kV ANGELIM /RIBEIRAO C-2 PE</t>
  </si>
  <si>
    <t>0007567/2022</t>
  </si>
  <si>
    <t>aglrib-04s2-cade-01</t>
  </si>
  <si>
    <t>Substituir 36 cadeias de isolador em 12 estruturas da LT 230 kV ANGELIM /RIBEIRAO C-2 PE-04S2 (331/2;331/3;331/4;332/2;332/3;333/1;333/2;334/2;334/3;335/1;336/3A;337/1).</t>
  </si>
  <si>
    <t>0007569/2022</t>
  </si>
  <si>
    <t>aglrib-04s2-cade-02</t>
  </si>
  <si>
    <t>LT 500 kV ANGELIM II /PAU FERRO PE</t>
  </si>
  <si>
    <t>Substituir 176 cadeias de isolador em 35 estruturas da LT 500 kV ANGELIM II /PAU FERRO C-1 PE-05L3 (109/1;109/2;109/3;110/1;110/2;110/3;111/1;111/2;111/3;112/1;112/2;112/3;113/1;113/2;114/1;114/2;115/1;115/2;115/3;115/4;116/1;116/2;117/1;117/2;118/1;118/2;118/3;119/1;119/2;119/3;120/1;121/1;121/2;121/3;122/1).</t>
  </si>
  <si>
    <t>LT 500 kV ANGELIM II /PAU FERRO C-1 PE</t>
  </si>
  <si>
    <t>0007572/2022</t>
  </si>
  <si>
    <t>agdpfe-05l3-cade-01</t>
  </si>
  <si>
    <t>SUBSTITUIÇÃO DOS PAINEIS DE SPCS DO REATOR IZRE7-04 500 KV INSTALADOS NA CASA DE RELÉS</t>
  </si>
  <si>
    <t>0007573/2022</t>
  </si>
  <si>
    <t>IZRE7-04</t>
  </si>
  <si>
    <t>LT 500 kV JARDIM /CAMACARI IV SE/BA</t>
  </si>
  <si>
    <t>Substituir 136 cadeias de isolador em 34 estruturas da LT 500 kV JARDIM /CAMACARI IV C-1 SE/BA-05V7 (226/1;226/2;227/1;227/2;228/1;228/2;229/1;229/2;230/1;231/1;231/2;232/1;232/2;232/3;233/1;233/2;233/3;234/1;234/2;235/1;236/1;236/2;237/1;237/2;238/1;238/2;239/1;239/2;241/1;242/1;242/2;243/1;243/2;244/1).</t>
  </si>
  <si>
    <t>LT 500 kV JARDIM /CAMACARI IV C-1 SE/BA</t>
  </si>
  <si>
    <t>0007574/2022</t>
  </si>
  <si>
    <t>jdmcmq-05v7-cade-01</t>
  </si>
  <si>
    <t>Substituir 212 cadeias de isolador em 35 estruturas da LT 500 kV ANGELIM II /PAU FERRO C-1 PE-05L3 (122/2;122/3;123/1;123/2;123/3;124/1;124/2;124/3;125/1;125/2;126/1;126/2;126/3;127/1;127/2;127/3;128/1;128/2;128/3;128/4;129/1;129/2;129/3;130/1;130/2;130/3;131/1;131/2;132/1;132/2;132/3;133/1;133/2;133/3;134/1).</t>
  </si>
  <si>
    <t>0007577/2022</t>
  </si>
  <si>
    <t>agdpfe-05l3-cade-02</t>
  </si>
  <si>
    <t>Substituir 46 cadeias de isolador em 7 estruturas da LT 500 kV ANGELIM II /PAU FERRO C-1 PE-05L3 (135/1;136/1;136/2;136/3;137/1;137/2;138/1).</t>
  </si>
  <si>
    <t>0007579/2022</t>
  </si>
  <si>
    <t>agdpfe-05l3-cade-03</t>
  </si>
  <si>
    <t>Substituir 324 cadeias de isolador em 34 estruturas da LT 230 kV BOM NOME /MILAGRES C-2 PE/CE-04L2 (011/2;012/1;012/2;012/3;012/4;013/1;013/2;013/3;014/1;014/2;014/3;015/1;015/2;015/3;015/4;016/1;016/2;016/3;017/1;017/2;017/3;018/1;018/2;018/3;019/1;019/2;019/3;019/4;020/1;020/2;020/3;021/1;021/2;022/1).</t>
  </si>
  <si>
    <t>LT 230 kV BOM NOME /MILAGRES C-2 PE/CE</t>
  </si>
  <si>
    <t>0007582/2022</t>
  </si>
  <si>
    <t>bnomlg-04l2-cade-01</t>
  </si>
  <si>
    <t>LT 500 kV ANGELIM II /RECIFE II PE</t>
  </si>
  <si>
    <t>Substituir 152 cadeias de isolador em 35 estruturas da LT 500 kV ANGELIM II /RECIFE II C-2 PE-05L9 (134/1;134/2;135/1;135/2;136/1;136/2;137/1;137/2;137/3;138/1;138/2;139/1;139/2;140/1;141/1;141/2;141/3;142/1;142/2;143/1;143/2;144/1;144/2;145/1;145/2;146/1;146/2;147/1;147/2;148/1;149/1;149/2;149/3;150/1;151/1).</t>
  </si>
  <si>
    <t>LT 500 kV ANGELIM II /RECIFE II C-2 PE</t>
  </si>
  <si>
    <t>0007584/2022</t>
  </si>
  <si>
    <t>agdrcd-05l9-cade-01</t>
  </si>
  <si>
    <t>Substituir 324 cadeias de isolador em 34 estruturas da LT 230 kV BOM NOME /MILAGRES C-2 PE/CE-04L2 (022/2;022/3;023/1;023/2;023/3;023/4;024/1;024/2;024/3;025/1;025/2;026/1;026/2;026/3;027/1;027/2;028/1;028/2;028/3;029/1;029/2;029/3;029/4;030/1;030/2;030/3;031/1;031/2;031/3;032/1;033/1;033/2;033/3;034/1).</t>
  </si>
  <si>
    <t>0007586/2022</t>
  </si>
  <si>
    <t>bnomlg-04l2-cade-02</t>
  </si>
  <si>
    <t>Substituir 164 cadeias de isolador em 35 estruturas da LT 500 kV ANGELIM II /RECIFE II C-2 PE-05L9 (151/2;152/1;152/2;153/1;153/2;154/1;154/2;155/1;155/2;155/3;156/1;156/2;157/1;157/2;158/1;159/1;159/2;160/1;160/2;160/3;161/1;161/2;162/1;162/2;163/1;163/2;164/1;164/2;165/1;165/2;166/1;166/2;166/3;167/1;167/2).</t>
  </si>
  <si>
    <t>0007587/2022</t>
  </si>
  <si>
    <t>agdrcd-05l9-cade-02</t>
  </si>
  <si>
    <t>Substituir 80 cadeias de isolador em 9 estruturas da LT 500 kV ANGELIM II /RECIFE II C-2 PE-05L9 (168/1;168/2;168/3;169/1;170/1;170/2;171/1;171/2;RCD).</t>
  </si>
  <si>
    <t>0007591/2022</t>
  </si>
  <si>
    <t>agdrcd-05l9-cade-03</t>
  </si>
  <si>
    <t>LT 230 kV ANGELIM /RECIFE II PE</t>
  </si>
  <si>
    <t>Substituir 125 cadeias de isolador em 33 estruturas da LT 230 kV ANGELIM /RECIFE II C-1 PE-04M3 (302/1;302/2;302/3;303/1;303/2;303/3;304/1;304/2;305/1;305/2;305/3;306/1;307/1;307/2;307/3;308/1;308/2;309/1;309/2;310/1;310/2;311/1;311/1A;311/2;311/3;312/1;312/2;313/1;314/1;314/2;314/3;314/4;315/1).</t>
  </si>
  <si>
    <t>0007594/2022</t>
  </si>
  <si>
    <t>aglrcd-04m3-cade-01</t>
  </si>
  <si>
    <t>Substituir 116 cadeias de isolador em 34 estruturas da LT 230 kV ANGELIM /RECIFE II C-1 PE-04M3 (315/2;316/1;316/2;317/1;318/1;318/2;319/1;319/2;320/1;320/2;321/1;321/2;322/1;322/2;322/3;323/1;323/2;324/1;324/2;324/3;325/1;325/2;325/3;326/1;326/2;327/1;327/2;327/3;328/1;328/2;329/1;329/2;330/1;330/2).</t>
  </si>
  <si>
    <t>0007598/2022</t>
  </si>
  <si>
    <t>aglrcd-04m3-cade-02</t>
  </si>
  <si>
    <t>Substituir 120 cadeias de isolador em 34 estruturas da LT 230 kV ANGELIM /RECIFE II C-1 PE-04M3 (331/1;331/2;331/3;331/4;332/2;332/3;333/1;333/2;334/2;334/3;335/1;336/2;336/3;336/3A;337/1;337/3;338/1;339/1;339/2;339/3;340/1;340/2;341/1;341/2;341/3;342/1;343/1;343/2;343/3;344/1;344/2;345/1;345/2;346/1).</t>
  </si>
  <si>
    <t>0007601/2022</t>
  </si>
  <si>
    <t>aglrcd-04m3-cade-03</t>
  </si>
  <si>
    <t>Substituir 137 cadeias de isolador em 35 estruturas da LT 230 kV ANGELIM /RECIFE II C-1 PE-04M3 (346/2;347/1;348/1;348/2;348/3;349/1;349/3;350/1;350/2;351/1;353/1;353/2;353/3;354/1;354/2;355/1;356/1;356/2;357/1;357/2;357/3;358/1;358/2;358/3;359/1;359/2;359/3;360/1;360/2;361/1;361/2;362/1;362/2;363/1;364/1).</t>
  </si>
  <si>
    <t>0007605/2022</t>
  </si>
  <si>
    <t>aglrcd-04m3-cade-04</t>
  </si>
  <si>
    <t>Substituir 324 cadeias de isolador em 34 estruturas da LT 230 kV BOM NOME /MILAGRES C-3 PE/CE-04L3 (009/1;009/2;009/3;009/4;010/1;010/2;010/3;010/4;011/1;011/2;012/1;012/2;012/3;012/4;013/1;013/2;013/3;013/4;014/1;014/2;014/3;014/4;015/1;015/2;015/3;015/4;016/1;016/2;016/3;016/4;017/1;017/2;017/3;018/1).</t>
  </si>
  <si>
    <t>0007607/2022</t>
  </si>
  <si>
    <t>bnomlg-04l3-cade-01</t>
  </si>
  <si>
    <t>Substituir 113 cadeias de isolador em 35 estruturas da LT 230 kV ANGELIM /RECIFE II C-1 PE-04M3 (364/2;365/1;365/2;366/1;366/2;367/1;367/2;368/1;369/1;369/2;370/2;370/3;371/1;371/2;372/1;372/2;372/3;373/1;374/1;374/2;375/1;375/2;376/1;376/2;376/3;377/1;377/2;377/3;378/1;378/2;379/1;379/2;380/2;380/3;381/1).</t>
  </si>
  <si>
    <t>0007608/2022</t>
  </si>
  <si>
    <t>aglrcd-04m3-cade-05</t>
  </si>
  <si>
    <t>Substituir 345 cadeias de isolador em 34 estruturas da LT 230 kV BOM NOME /MILAGRES C-3 PE/CE-04L3 (018/2;018/3;018/4;019/1;019/2;019/3;019/4;020/1;020/2;020/3;020/4;021/1;021/2;021/3;021/4;022/1;022/2;022/3;023/1;023/2;023/3;023/4;024/1;024/2;024/3;025/1;025/2;025/3;026/1;026/2;026/3;027/1;027/2;027/3).</t>
  </si>
  <si>
    <t>0007611/2022</t>
  </si>
  <si>
    <t>bnomlg-04l3-cade-02</t>
  </si>
  <si>
    <t>Substituir 165 cadeias de isolador em 28 estruturas da LT 230 kV ANGELIM /RECIFE II C-1 PE-04M3 (381/2;382/1;383/1;383/2;383/3;384/1;385/1;385/2;385/3;386/1;386/2;387/1;387/2;388/1;388/2;388/3;389/1;389/2;389/3;390/1;390/2;391/1;392/1;392/2;393/1;393/2;393/3;RCD).</t>
  </si>
  <si>
    <t>0007612/2022</t>
  </si>
  <si>
    <t>aglrcd-04m3-cade-06</t>
  </si>
  <si>
    <t>Substituir 342 cadeias de isolador em 34 estruturas da LT 230 kV BOM NOME /MILAGRES C-3 PE/CE-04L3 (027/4;028/1;028/2;028/3;029/1;029/2;029/3;029/4;030/1;030/2;030/3;030/4;031/1;031/2;031/3;031/4;032/1;033/1;033/2;033/3;034/1;034/2;034/3;035/1;035/2;035/3;036/1;036/2;036/3;036/4;037/1;038/1;038/2;039/1).</t>
  </si>
  <si>
    <t>0007614/2022</t>
  </si>
  <si>
    <t>bnomlg-04l3-cade-03</t>
  </si>
  <si>
    <t>Substituir 180 cadeias de isolador em 36 estruturas da LT 500 kV PAU FERRO /RECIFE II C-1 PE-05L8 (015/3;016/1;016/2;016/3;017/1;017/2;018/1;018/2;019/1;019/2;019/3;020/1;020/2;021/1;022/1;022/2;023/1;023/2;023/3;024/1;025/1;026/1;026/2;026/3;027/1;027/2;028/1;028/2;028/3;028/4;029/1;029/2;030/1;030/2;031/1;032/1).</t>
  </si>
  <si>
    <t>0007616/2022</t>
  </si>
  <si>
    <t>pfercd-05l8-cade-01</t>
  </si>
  <si>
    <t>Substituir 342 cadeias de isolador em 34 estruturas da LT 230 kV BOM NOME /MILAGRES C-3 PE/CE-04L3 (053/3;054/1;054/2;054/3;055/1;055/2;055/3;056/1;056/2;056/3;056/4;057/1;057/2;057/3;057/4;058/1;058/2;058/3;058/4;059/1;059/2;059/3;059/4;060/1;060/2;060/3;060/4;061/1;061/2;061/3;061/4;062/1;062/2;062/3).</t>
  </si>
  <si>
    <t>0007617/2022</t>
  </si>
  <si>
    <t>bnomlg-04l3-cade-04</t>
  </si>
  <si>
    <t>LT 230 kV PAU FERRO /C.GRANDE II PE/PB</t>
  </si>
  <si>
    <t>Substituir 143 cadeias de isolador em 35 estruturas da LT 230 kV PAU FERRO /C.GRANDE II C-2 PE/PB-04C4 (PFE;001/1;001/2;002/1;002/2;003/1;003/2;003/3;004/1;004/2;004/3;005/1;006/1;006/2;007/1;007/2;008/1;008/2;008/3;009/1;009/2;010/2;011/1;010/1;011/2;012/1;012/2;013/1;013/2;014/1;015/1;015/2;016/1;016/2;016/3).</t>
  </si>
  <si>
    <t>LT 230 kV PAU FERRO /C.GRANDE II C-2 PE/PB</t>
  </si>
  <si>
    <t>0007620/2022</t>
  </si>
  <si>
    <t>pfecgd-04c4-cade-01</t>
  </si>
  <si>
    <t>Substituir 324 cadeias de isolador em 34 estruturas da LT 230 kV BOM NOME /MILAGRES C-3 PE/CE-04L3 (063/1;063/2;063/3;063/4;064/1;064/2;064/3;065/1;065/2;065/3;065/4;066/1;066/2;066/3;066/4;067/1;067/2;067/3;068/1;068/2;068/3;068/4;069/1;069/2;069/3;070/1;070/2;070/3;070/4;071/1;071/2;071/3;071/4;072/1).</t>
  </si>
  <si>
    <t>0007621/2022</t>
  </si>
  <si>
    <t>bnomlg-04l3-cade-05</t>
  </si>
  <si>
    <t>Substituir 105 cadeias de isolador em 35 estruturas da LT 230 kV PAU FERRO /C.GRANDE II C-2 PE/PB-04C4 (017/1;017/2;018/1;018/2;019/1;019/2;020/1;020/2;021/1;021/2;022/1;022/2;022/3;023/1;023/2;024/1;024/2;025/1;025/2;026/1;026/2;027/1;028/1;028/2;029/1;029/2;029/3;030/1;030/2;031/1;031/2;032/1;032/2;033/1;033/2).</t>
  </si>
  <si>
    <t>0007623/2022</t>
  </si>
  <si>
    <t>pfecgd-04c4-cade-02</t>
  </si>
  <si>
    <t>Substituir 324 cadeias de isolador em 34 estruturas da LT 230 kV BOM NOME /MILAGRES C-3 PE/CE-04L3 (072/2;072/3;073/1;073/2;073/3;073/4;074/1;074/2;074/3;074/4;075/1;075/2;075/3;075/4;076/1;076/2;076/3;077/1;077/2;077/3;077/4;077/5;078/1;078/2;078/3;079/1;079/2;079/3;079/4;080/1;080/2;080/3;080/4;080/5).</t>
  </si>
  <si>
    <t>0007624/2022</t>
  </si>
  <si>
    <t>bnomlg-04l3-cade-06</t>
  </si>
  <si>
    <t>Substituir 114 cadeias de isolador em 35 estruturas da LT 230 kV PAU FERRO /C.GRANDE II C-2 PE/PB-04C4 (034/1;034/2;035/1;035/2;035/3;036/1;036/2;037/1;037/2;037/3;038/1;038/2;039/1;039/2;040/1;040/2;041/1;041/2;042/1;042/2;042/3;043/1;044/1;044/2;045/1;045/2;046/1;046/2;047/1;047/2;047/3;048/1;048/2;048/3;049/1).</t>
  </si>
  <si>
    <t>0007628/2022</t>
  </si>
  <si>
    <t>pfecgd-04c4-cade-03</t>
  </si>
  <si>
    <t>Substituir 178 cadeias de isolador em 15 estruturas da LT 230 kV BOM NOME /MILAGRES C-3 PE/CE-04L3 (081/1;081/2;081/3;082/1;082/2;082/3;082/4;083/1;083/2;083/3;083/4;084/1;084/2;084/3;084/4).</t>
  </si>
  <si>
    <t>0007629/2022</t>
  </si>
  <si>
    <t>bnomlg-04l3-cade-07</t>
  </si>
  <si>
    <t>Substituir 9 cadeias de isolador em 3 estruturas da LT 230 kV PAU FERRO /C.GRANDE II C-2 PE/PB-04C4 (049/2;050/1;050/2).</t>
  </si>
  <si>
    <t>0007630/2022</t>
  </si>
  <si>
    <t>pfecgd-04c4-cade-04</t>
  </si>
  <si>
    <t>Substituir 6 cadeias de isolador em 2 estruturas da LT 230 kV CAUIPE /SOBRAL II C-1 CE-04S2 (007/3;008/1).</t>
  </si>
  <si>
    <t>0007635/2022</t>
  </si>
  <si>
    <t>cpesbd-04s2-cade-01</t>
  </si>
  <si>
    <t>LT 230 kV MILAGRES /COREMAS CE/PB</t>
  </si>
  <si>
    <t>Substituir 130 cadeias de isolador em 24 estruturas da LT 230 kV MILAGRES /COREMAS C-2 CE/PB-04M5 (001/1;001/2;001/3;001/4;001/5;002/1;003/1;003/2;008/2;023/1;023/2;024/1;035/1;036/1;036/2;036/3;037/1;037/2;038/1;038/2;044/2;045/1;046/1;103/2).</t>
  </si>
  <si>
    <t>LT 230 kV MILAGRES /COREMAS C-2 CE/PB</t>
  </si>
  <si>
    <t>0007637/2022</t>
  </si>
  <si>
    <t>mlgcma-04m5-cade-01</t>
  </si>
  <si>
    <t>Substituir 153 cadeias de isolador em 35 estruturas da LT 230 kV CAUIPE /SOBRAL II C-1 CE-04S2 (077/2;078/1;078/2;078/3;079/1;079/2;080/1;080/2;080/3;081/1;081/2;082/1;082/2;082/3;083/1;083/2;084/1;084/2;084/3;085/1;085/2;086/1;086/2;087/1;087/2;088/1;088/2;089/1;089/2;090/1;090/2;091/1;091/2;091/3;092/1).</t>
  </si>
  <si>
    <t>0007640/2022</t>
  </si>
  <si>
    <t>cpesbd-04s2-cade-02</t>
  </si>
  <si>
    <t>Substituir 105 cadeias de isolador em 35 estruturas da LT 230 kV CAUIPE /SOBRAL II C-1 CE-04S2 (092/2;092/3;093/1;093/2;094/1;094/2;094/3;095/1;095/2;096/1;096/2;096/3;097/1;097/2;098/1;098/2;098/3;099/1;099/2;100/1;100/2;101/1;101/2;101/3;102/1;102/2;103/1;103/2;104/1;104/2;104/3;105/1;105/2;106/1;106/2).</t>
  </si>
  <si>
    <t>0007643/2022</t>
  </si>
  <si>
    <t>cpesbd-04s2-cade-03</t>
  </si>
  <si>
    <t>Substituir 12 cadeias de isolador em 4 estruturas da LT 230 kV MILAGRES /COREMAS C-1 CE/PB-04M6 (086/2;086/3;091/2;098/1).</t>
  </si>
  <si>
    <t>LT 230 kV MILAGRES /COREMAS C-1 CE/PB</t>
  </si>
  <si>
    <t>0007645/2022</t>
  </si>
  <si>
    <t>mlgcma-04m6-cade-02</t>
  </si>
  <si>
    <t>Substituir 141 cadeias de isolador em 35 estruturas da LT 230 kV CAUIPE /SOBRAL II C-1 CE-04S2 (106/3;107/1;107/2;108/1;108/2;108/3;109/1;109/2;110/1;110/2;111/1;111/2;111/3;112/1;112/2;113/1;113/2;114/1;114/2;115/1;115/2;116/1;116/2;116/3;117/1;118/1;118/2;119/1;119/2;119/3;120/1;120/2;121/1;121/2;121/3).</t>
  </si>
  <si>
    <t>0007646/2022</t>
  </si>
  <si>
    <t>cpesbd-04s2-cade-04</t>
  </si>
  <si>
    <t>Substituir 129 cadeias de isolador em 35 estruturas da LT 230 kV CAUIPE /SOBRAL II C-1 CE-04S2 (122/1;122/2;123/1;123/2;124/1;124/2;125/1;125/2;125/3;126/1;126/2;127/1;127/2;127/3;128/1;128/2;129/1;129/2;129/3;130/1;130/2;131/1;131/2;131/3;132/1;132/2;133/1;133/2;133/3;134/1;134/2;134/3;135/1;135/2;136/1).</t>
  </si>
  <si>
    <t>0007651/2022</t>
  </si>
  <si>
    <t>cpesbd-04s2-cade-05</t>
  </si>
  <si>
    <t>Substituir 105 cadeias de isolador em 35 estruturas da LT 230 kV CAUIPE /SOBRAL II C-1 CE-04S2 (136/2;137/1;137/2;137/3;138/1;138/2;139/1;139/2;140/1;140/2;141/1;141/2;141/3;142/1;142/2;143/1;143/2;144/1;144/2;145/1;145/2;146/1;146/2;146/3;147/1;147/2;148/1;148/2;149/1;149/2;150/1;150/2;151/1;151/2;152/1).</t>
  </si>
  <si>
    <t>0007655/2022</t>
  </si>
  <si>
    <t>cpesbd-04s2-cade-06</t>
  </si>
  <si>
    <t>Substituir 6 cadeias de isolador em 2 estruturas da LT 230 kV AQUIRAZ II /FORTALEZA C-3 CE-04F1 (028/3;029/1).</t>
  </si>
  <si>
    <t>0007658/2022</t>
  </si>
  <si>
    <t>aqdftz-04f1-cade-01</t>
  </si>
  <si>
    <t>Substituir 153 cadeias de isolador em 35 estruturas da LT 230 kV CAUIPE /SOBRAL II C-1 CE-04S2 (152/2;153/1;153/2;153/3;154/1;154/2;155/1;155/2;156/1;156/2;156/3;157/1;157/2;158/1;158/2;159/1;159/2;159/3;160/1;160/2;161/1;161/2;162/1;162/2;163/1;163/2;163/3;164/1;164/2;165/1;165/2;165/3;166/1;166/2;167/1).</t>
  </si>
  <si>
    <t>0007659/2022</t>
  </si>
  <si>
    <t>cpesbd-04s2-cade-07</t>
  </si>
  <si>
    <t>Substituir 15 cadeias de isolador em 5 estruturas da LT 230 kV P.AFONSO III /TACARUTU C-1 AL/PE-04F1 (014/3;013/1;014/1;014/2;018/2).</t>
  </si>
  <si>
    <t>0007661/2022</t>
  </si>
  <si>
    <t>paftat-04f1-cade-01</t>
  </si>
  <si>
    <t>LT 500 kV U.SOBRADINHO /S.JOAO PIAUI BA/PI</t>
  </si>
  <si>
    <t>Substituir 166 cadeias de isolador em 39 estruturas da LT 500 kV U.SOBRADINHO /S.JOAO PIAUI C-1 BA/PI-05C5 (061/2;062/1;062/2;063/1;063/2;064/1;066/1;066/2;068/2;069/1;070/1;070/2;071/1;071/2;072/1;072/2;072/3;073/1;074/1;074/2;075/1;075/2;076/1;078/1;088/1;088/2;089/2;091/2;092/2;093/2;094/1;103/2;104/1;104/2;105/1;106/1;109/2;110/1;111/1).</t>
  </si>
  <si>
    <t>0007664/2022</t>
  </si>
  <si>
    <t>sobsji-05c5-cade-02</t>
  </si>
  <si>
    <t>LT 500 kV US. L.GONZAGA/U.SOBRADINHO PE/BA</t>
  </si>
  <si>
    <t>Substituir 64 cadeias de isolador em 10 estruturas da LT 500 kV US. L.GONZAGA /U.SOBRADINHO C-2 PE/BA-05C4 (075/1;088/2;102/1;102/2;117/1;140/1;140/2;141/2;154/1;156/1).</t>
  </si>
  <si>
    <t>0007666/2022</t>
  </si>
  <si>
    <t>lgzsob-05c4-cade-01</t>
  </si>
  <si>
    <t>Substituir 177 cadeias de isolador em 31 estruturas da LT 230 kV AQUIRAZ II /FORTALEZA C-2 CE-04F3 (019/1D;165/1D;165/2D;166/1D;166/2D;166/3D;167/1D;167/2D;167/3D;168/1D;168/2D;169/1D;169/2D;170/1D;170/2D;171/1D;171/2D;172/1D;172/2D;172/3D;173/1D;173/2D;173/3D;174/1D;174/2D;174/3D;175/1D;175/2D;176/1D;176/2D;176/3D).</t>
  </si>
  <si>
    <t>0007667/2022</t>
  </si>
  <si>
    <t>aqdftz-04f3-cade-01</t>
  </si>
  <si>
    <t>Substituir 76 cadeias de isolador em 19 estruturas da LT 500 kV U.SOBRADINHO /S.JOAO PIAUI C-1 BA/PI-05C5 (117/2;119/1;119/2;120/1;120/2;121/2;122/1;122/2;126/1;133/1;134/1;143/1;144/2;145/1;147/1;149/1;156/1;157/2;159/2).</t>
  </si>
  <si>
    <t>0007668/2022</t>
  </si>
  <si>
    <t>sobsji-05c5-cade-03</t>
  </si>
  <si>
    <t>Substituir 140 cadeias de isolador em 23 estruturas da LT 500 kV US. L.GONZAGA /JUAZEIRO III C-1 PE/BA-05C5 (235/1;235/2;236/1;236/2;237/1;238/1;238/2;238/3;242/1;243/1;244/2;244/3;246/1;248/1;248/2;249/2;250/1;250/2;251/1;251/2;252/1;252/2;253/1).</t>
  </si>
  <si>
    <t>0007669/2022</t>
  </si>
  <si>
    <t>lgzjzt-05c5-cade-01</t>
  </si>
  <si>
    <t>SUBSTITUIÇÃO DOS PAINEIS DE SPCS DA CONEXÃO 230 KV DO TRANSFORMADOR TR2 500/230 KV INSTALADOS NA CASA DE RELÉS - IZAT7-02</t>
  </si>
  <si>
    <t>0007670/2022</t>
  </si>
  <si>
    <t>IZAT7-02</t>
  </si>
  <si>
    <t>Substituir 81 cadeias de isolador em 19 estruturas da LT 230 kV AQUIRAZ II /FORTALEZA C-1 CE-04F2 (169/2D;170/1D;170/2D;171/1D;171/2D;172/1D;172/2D;172/3D;173/1D;173/2D;173/3D;174/1D;174/2D;174/3D;175/1D;175/2D;176/1D;176/2D;176/3D).</t>
  </si>
  <si>
    <t>0007671/2022</t>
  </si>
  <si>
    <t>aqdftz-04f2-cade-01</t>
  </si>
  <si>
    <t>LT 230 kV CAMPO FORMOSO /OUROLANDIA II BA</t>
  </si>
  <si>
    <t>Substituir 102 cadeias de isolador em 34 estruturas da LT 230 kV SE CAMPO FORMOSO /OUROLANDIA II C-1 BA-04C2 (016/1;017/1;017/2;017/3;018/1;019/1;019/2;020/2;021/1;021/2;022/1;022/2;027/2;027/3;035/1;035/2;036/2;037/1;039/1;039/2;041/1;041/2;048/1;048/2;061/3;062/1;066/2;066/3;071/3;072/1;072/2;072/3;073/1;073/3).</t>
  </si>
  <si>
    <t>LT 230 kV CAMPO FORMOSO /OUROLANDIA II C-1 BA</t>
  </si>
  <si>
    <t>0007674/2022</t>
  </si>
  <si>
    <t>cfoour-04c2-cade-01</t>
  </si>
  <si>
    <t>Substituir 213 cadeias de isolador em 35 estruturas da LT 230 kV CAUIPE /FORTALEZA II C-3 CE-04S1 (190/3;191/1;191/2;192/1;192/2;193/1;193/2;194/1;194/2;195/1;195/2;196/1;196/2;197/1;197/2;198/1;198/2;199/1;199/2;200/1;200/2;201/1;201/2;202/1;202/2;203/1;203/2;203/3;204/1;204/2;204/3;205/1;205/2;206/1;206/2).</t>
  </si>
  <si>
    <t>0007675/2022</t>
  </si>
  <si>
    <t>cpefzd-04s1-cade-01</t>
  </si>
  <si>
    <t>LT 500 kV TIANGUA II /SOBRAL III CE</t>
  </si>
  <si>
    <t>Substituir 69 cadeias de isolador em 7 estruturas da LT 500 kV TIANGUA II /SOBRAL III C-1 CE-05V5 (098/1;098/2;099/1;099/2;100/1;100/2;101/1).</t>
  </si>
  <si>
    <t>LT 500 kV TIANGUA II /SOBRAL III C-1 CE</t>
  </si>
  <si>
    <t>0007676/2022</t>
  </si>
  <si>
    <t>tgdsbt-05v5-cade-02</t>
  </si>
  <si>
    <t>Substituir 33 cadeias de isolador em 11 estruturas da LT 230 kV SE CAMPO FORMOSO /OUROLANDIA II C-1 BA-04C2 (073/4;074/1;074/2;074/3;075/1;075/2;075/3;076/1;082/3;086/3;087/1).</t>
  </si>
  <si>
    <t>0007677/2022</t>
  </si>
  <si>
    <t>cfoour-04c2-cade-02</t>
  </si>
  <si>
    <t>Substituir 177 cadeias de isolador em 31 estruturas da LT 230 kV CAUIPE /FORTALEZA II C-3 CE-04S1 (206/3;207/1;207/2;208/1;208/2;208/3;209/1;209/2;209/3;210/1;210/2;210/3;211/1;211/2;211/3;212/1;212/2;213/1;213/2;214/1;214/2;215/1;215/2;215/3;216/1;216/2;216/3;217/1;217/2;218/1;218/2).</t>
  </si>
  <si>
    <t>0007678/2022</t>
  </si>
  <si>
    <t>cpefzd-04s1-cade-02</t>
  </si>
  <si>
    <t>LT 230 kV P.AFONSO III /SANTANA II AL</t>
  </si>
  <si>
    <t>Substituir 18 cadeias de isolador em 6 estrutura(s) da LT 230 kV P.AFONSO III /SANTANA II C-1 AL-04L1 (003/3;005/2;006/1;007/2;008/2;009/1).</t>
  </si>
  <si>
    <t>LT 230 kV P.AFONSO III /SANTANA II C-1 AL</t>
  </si>
  <si>
    <t>0007681/2022</t>
  </si>
  <si>
    <t>pafstn-04l1-cade-01</t>
  </si>
  <si>
    <t>SUBSTITUIÇÃO DOS PAINEIS DE SPCS DA CONEXÃO 230 KV DO TRANSFORMADOR TR1 500/230 KV INSTALADOS NA CASA DE RELÉS - IZAT7-01</t>
  </si>
  <si>
    <t>0007684/2022</t>
  </si>
  <si>
    <t>IZAT7-01</t>
  </si>
  <si>
    <t>LT 230 kV IRECE /BROT.MACAUBAS BA</t>
  </si>
  <si>
    <t>Substituir 102 cadeias de isolador em 34 estruturas da LT 230 kV IRECE /BROT.MACAUBAS C-1 BA-04F2 (037/1;037/2;038/1;038/2;039/1;051/3;052/1;054/2;055/1;056/1;057/1;057/3;058/1;058/2;059/1;060/1;062/1;063/1;064/1;064/2;065/2;066/1;066/2;067/1;067/2;068/1;069/1;070/1;070/2;071/2;072/1;075/1;075/2;077/2).</t>
  </si>
  <si>
    <t>0007685/2022</t>
  </si>
  <si>
    <t>irebmc-04f2-cade-01</t>
  </si>
  <si>
    <t>Substituir 114 cadeias de isolador em 29 estruturas da LT 138 kV C.GRANDE II /SANTA CRUZ II C-1 PB/RN-03L1 (30;31;32;33;34;35;36;37;38;39;40;41;42;43;44;45;46;47;48;49;50;51;52;53;54;55;56;57;58).</t>
  </si>
  <si>
    <t>0007687/2022</t>
  </si>
  <si>
    <t>cgdstd-03l1-cade-01</t>
  </si>
  <si>
    <t>Substituir 96 cadeias de isolador em 32 estruturas da LT 230 kV IRECE /BROT.MACAUBAS C-1 BA-04F2 (078/1;080/2;082/1;082/2;087/1;087/2;088/1;088/2;089/1;089/2;090/1;090/2;091/1;101/4;103/2;103/3;104/1;104/2;104/3;104/4;108/1;108/2;108/3;108/4;109/1;110/1;125/2;129/1;129/2;135/1;135/2;135/4).</t>
  </si>
  <si>
    <t>0007689/2022</t>
  </si>
  <si>
    <t>irebmc-04f2-cade-02</t>
  </si>
  <si>
    <t>Substituir 102 cadeias de isolador em 29 estruturas da LT 138 kV C.GRANDE II /SANTA CRUZ II C-1 PB/RN-03L1 (59;60;61;62;63;64;65;66;67;68;69;70;71;72;73;74;75;76;77;78;79;80;81;82;83;84;85;86;87).</t>
  </si>
  <si>
    <t>0007691/2022</t>
  </si>
  <si>
    <t>cgdstd-03l1-cade-02</t>
  </si>
  <si>
    <t>LT 230 kV BROT.MACAUBAS /B.JESUS LAPA BA</t>
  </si>
  <si>
    <t>Substituir 113 cadeias de isolador em 34 estruturas da LT 230 kV BROT.MACAUBAS /B.JESUS LAPA C-1 BA-04F5 (029/1;030/1;031/3;032/1;033/1;033/2;035/2;036/1;036/2;037/1;038/1;038/2;040/1;040/2;047/1;047/2;048/3;049/1;051/2;052/1;052/2;053/1;054/1;054/2;055/2;056/1;056/3;062/4;063/1;072/3;074/4;075/1;075/2;075/3).</t>
  </si>
  <si>
    <t>LT 230 kV BROT.MACAUBAS /B.JESUS LAPA C-1 BA</t>
  </si>
  <si>
    <t>0007692/2022</t>
  </si>
  <si>
    <t>bmcbjs-04f5-cade-01</t>
  </si>
  <si>
    <t>Substituir 96 cadeias de isolador em 29 estruturas da LT 138 kV C.GRANDE II /SANTA CRUZ II C-1 PB/RN-03L1 (88;89;90;91;92;93;94;95;96;97;98;99;100;101;102;103;104;105;106;107;108;109;110;111;112;113;114;115;116).</t>
  </si>
  <si>
    <t>0007694/2022</t>
  </si>
  <si>
    <t>cgdstd-03l1-cade-03</t>
  </si>
  <si>
    <t>Substituir 102 cadeias de isolador em 34 estruturas da LT 230 kV BROT.MACAUBAS /B.JESUS LAPA C-1 BA-04F5 (076/1;081/1;096/1;096/2;097/2;098/1;098/2;099/1;099/2;100/1;100/2;101/1;101/2;102/1;102/2;103/1;104/1;105/2;107/1;107/2;108/1;108/2;109/1;109/2;111/1;112/1;113/1;114/1;114/2;115/1;115/2;116/3;117/1;118/2).</t>
  </si>
  <si>
    <t>0007695/2022</t>
  </si>
  <si>
    <t>bmcbjs-04f5-cade-02</t>
  </si>
  <si>
    <t>SUBSTITUIÇÃO DOS EQUIPAMENTOS DA REDE DE COMUNICAÇÃO DE DADOS DA REDE LAN DA SUBESTAÇÃO: PAINÉIS, MÁQUINA DE ENGENHARIA, SISTEMA SUPERVISÓRIO, SWITCHES, GPS, FIBRA ÓTICAS ETC.- IZMG7-01</t>
  </si>
  <si>
    <t>0007697/2022</t>
  </si>
  <si>
    <t>IZMG7-01</t>
  </si>
  <si>
    <t>Substituir 117 cadeias de isolador em 29 estruturas da LT 138 kV C.GRANDE II /SANTA CRUZ II C-1 PB/RN-03L1 (117;118;119;120;121;122;123;124;125;126;127;128;129;130;131;132;133;134;135;136;137;138;139;140;141;142;143;144;145).</t>
  </si>
  <si>
    <t>0007699/2022</t>
  </si>
  <si>
    <t>cgdstd-03l1-cade-04</t>
  </si>
  <si>
    <t>Substituir 87 cadeias de isolador em 23 estruturas da LT 230 kV BROT.MACAUBAS /B.JESUS LAPA C-1 BA-04F5 (119/1;119/2;120/1;121/2;122/1;123/2;124/1;126/2;127/2;128/1;129/1;129/2;130/1;131/1;131/2;132/2;134/1;135/1;136/4;145/4;149/1;157/1;172/3).</t>
  </si>
  <si>
    <t>0007700/2022</t>
  </si>
  <si>
    <t>bmcbjs-04f5-cade-03</t>
  </si>
  <si>
    <t>Substituir 114 cadeias de isolador em 29 estruturas da LT 138 kV C.GRANDE II /SANTA CRUZ II C-1 PB/RN-03L1 (146;147;148;149;150;151;152;153;154;155;156;157;158;159;160;161;162;163;164;165;166;167;168;169;170;171;172;173;174).</t>
  </si>
  <si>
    <t>0007703/2022</t>
  </si>
  <si>
    <t>cgdstd-03l1-cade-05</t>
  </si>
  <si>
    <t>Substituir 93 cadeias de isolador em 29 estruturas da LT 138 kV C.GRANDE II /SANTA CRUZ II C-1 PB/RN-03L1 (175;176;177;178;179;180;181;182;183;184;185;186;187;188;189;190;191;192;193;194;195;196;197;198;199;200;201;202;203).</t>
  </si>
  <si>
    <t>0007707/2022</t>
  </si>
  <si>
    <t>cgdstd-03l1-cade-06</t>
  </si>
  <si>
    <t>LT 500 kV OLINDINA /US. L.GONZAGA BA/PE</t>
  </si>
  <si>
    <t>Substituir 147 cadeias de isolador em 49 estrutura(s) da LT 500 kV OLINDINA /US. L.GONZAGA C-1 BA/PE-05S4 (LGZ;001/1;001/3;002/1;002/2;002/3;003/2;004/1;004/2;005/1;005/2;006/1;006/2;007/1;007/2;008/1;008/2;009/1;009/2;009/3;010/1;010/2;011/1;011/2;012/1;012/2;012/3;013/1;013/2;014/1;014/2;015/1;015/2;016/1;016/2;017/1;017/2;017/3;018/1;018/2;019/1;019/2;019/3;020/2;020/3;021/1;021/2;022/1;022/2).</t>
  </si>
  <si>
    <t>0007710/2022</t>
  </si>
  <si>
    <t>oldlgz-05s4-cade-01</t>
  </si>
  <si>
    <t>Substituir 99 cadeias de isolador em 29 estruturas da LT 138 kV C.GRANDE II /SANTA CRUZ II C-1 PB/RN-03L1 (204;205;206;207;208;209;210;211;212;213;214;215;216;217;218;219;220;221;222;223;224;225;226;227;228;229;230;231;232).</t>
  </si>
  <si>
    <t>0007711/2022</t>
  </si>
  <si>
    <t>cgdstd-03l1-cade-07</t>
  </si>
  <si>
    <t>Substituir 99 cadeias de isolador em 29 estruturas da LT 138 kV C.GRANDE II /SANTA CRUZ II C-1 PB/RN-03L1 (233;234;235;236;237;238;239;240;241;242;243;244;245;246;247;248;249;250;251;252;253;254;255;256;257;258;259;260;261).</t>
  </si>
  <si>
    <t>0007714/2022</t>
  </si>
  <si>
    <t>cgdstd-03l1-cade-08</t>
  </si>
  <si>
    <t>Substituir 24 cadeias de isolador em 8 estruturas da LT 230 kV CAMACARI II /G.MANGABEIRA C-1 BA-04C7 (004/2;007/1;007/2;007/3;063/1;063/2;064/2;064/3).</t>
  </si>
  <si>
    <t>0007715/2022</t>
  </si>
  <si>
    <t>cmdgvm-04c7-cade-01</t>
  </si>
  <si>
    <t>LT 230 kV DELM. GOUVEIA /FORTALEZA II CE</t>
  </si>
  <si>
    <t>Substituir 117 cadeias de isolador em 15 estruturas da LT 230 kV DELM. GOUVEIA /FORTALEZA II C-1 CE-04F4 (006/4;006/5;006/6;006/7;006/8;006/9;007/1;007/2;007/3;007/4;007/5;007/6;007/7;007/8;008/1).</t>
  </si>
  <si>
    <t>0007716/2022</t>
  </si>
  <si>
    <t>dmgfzd-04f4-cade-01</t>
  </si>
  <si>
    <t>Substituir 3 cadeias de isolador em 1 estrutura(s) da LT 230 kV CAMACARI II /MATATU C-1 BA-04M7 (014/1).</t>
  </si>
  <si>
    <t>0007718/2022</t>
  </si>
  <si>
    <t>cmdmtt-04m7-cade-01</t>
  </si>
  <si>
    <t>LT 230 kV QUIXERE /MOSSORO II CE/RN</t>
  </si>
  <si>
    <t>Substituir 15 cadeias de isolador em 5 estruturas da LT 230 kV QUIXERE /MOSSORO II C-1 CE/RN-04L1 (027/3;030/2;045/2;050/3;054/3).</t>
  </si>
  <si>
    <t>LT 230 kV QUIXERE /MOSSORO II C-1 CE/RN</t>
  </si>
  <si>
    <t>0007720/2022</t>
  </si>
  <si>
    <t>qxrmsd-04l1-cade-01</t>
  </si>
  <si>
    <t>LT 138 kV PILOES /PARAISO PB/RN</t>
  </si>
  <si>
    <t>Substituir 111 cadeias de isolador em 29 estruturas da LT 138 kV PILOES /PARAISO C-1 PB/RN-03M3 (353;354;355;356;357;358;359;360;361;362;363;364;365;366;367;368;369;370;371;372;373;374;375;376;377;378;379;380;381).</t>
  </si>
  <si>
    <t>LT 138 kV PILOES /PARAISO C-1 PB/RN</t>
  </si>
  <si>
    <t>0007721/2022</t>
  </si>
  <si>
    <t>pldprs-03m3-cade-01</t>
  </si>
  <si>
    <t>Substituir 12 cadeias de isolador em 4 estruturas da LT 230 kV COTEGIPE /MATATU C-1 BA-04L4 (15;19;20;65).</t>
  </si>
  <si>
    <t>0007722/2022</t>
  </si>
  <si>
    <t>ctgmtt-04l4-cade-01</t>
  </si>
  <si>
    <t>LT 230 kV RUSSAS II /QUIXERE CE</t>
  </si>
  <si>
    <t>Substituir 9 cadeias de isolador em 3 estruturas da LT 230 kV RUSSAS II /QUIXERE C-1 CE-04C2 (004/3;005/5;018/2).</t>
  </si>
  <si>
    <t>LT 230 kV RUSSAS II /QUIXERE C-1 CE</t>
  </si>
  <si>
    <t>0007723/2022</t>
  </si>
  <si>
    <t>rsdqxr-04c2-cade-01</t>
  </si>
  <si>
    <t>Substituir 117 cadeias de isolador em 29 estruturas da LT 138 kV PILOES /PARAISO C-1 PB/RN-03M3 (382;383;384;385;386;387;388;389;390;391;392;393;394;395;396;397;398;399;400;401;402;403;404;405;406;407;408;409;410).</t>
  </si>
  <si>
    <t>0007725/2022</t>
  </si>
  <si>
    <t>pldprs-03m3-cade-02</t>
  </si>
  <si>
    <t>Substituir 75 cadeias de isolador em 17 estruturas da LT 138 kV PILOES /PARAISO C-1 PB/RN-03M3 (411;412;413;414;415;416;417;418;419;420;421;422;423;424;425;426;PLD).</t>
  </si>
  <si>
    <t>0007728/2022</t>
  </si>
  <si>
    <t>pldprs-03m3-cade-03</t>
  </si>
  <si>
    <t>Substituir 136 cadeias de isolador em 34 estruturas da LT 500 kV P. AFONSO IV /ANGELIM II C-1 BA/PE-05L6 (180/2;181/1;181/2;182/1;182/2;183/1;183/2;183/3;184/1;184/2;185/1;185/2;186/1;186/2;187/1;187/2;187/3;188/1;188/2;189/1;189/2;190/1;190/2;191/1;191/2;192/1;192/2;193/1;193/2;194/1;194/2;195/1;195/2;195/3).</t>
  </si>
  <si>
    <t>0007729/2022</t>
  </si>
  <si>
    <t>LT 230 kV ICO /MILAGRES CE</t>
  </si>
  <si>
    <t>Substituir 165 cadeias de isolador em 35 estruturas da LT 230 kV ICO /MILAGRES C-1 CE-04M2 (001/1;001/2;001/3;001/4;002/1;002/2;002/3;003/1;003/2;004/1;004/2;005/1;005/2;006/1;006/2;007/1;007/2;008/1;008/2;009/1;009/2;009/3;010/1;011/1;011/2;012/1;012/2;013/1;013/2;014/1;014/2;015/1;015/2;015/3;016/1).</t>
  </si>
  <si>
    <t>LT 230 kV ICO /MILAGRES C-1 CE</t>
  </si>
  <si>
    <t>0007730/2022</t>
  </si>
  <si>
    <t>icomlg-04m2-cade-01</t>
  </si>
  <si>
    <t>Substituir 165 cadeias de isolador em 35 estruturas da LT 230 kV ICO /MILAGRES C-1 CE-04M2 (017/1;017/2;017/3;018/1;018/2;019/1;019/2;020/1;020/2;020/3;021/1;021/2;021/3;022/1;023/1;023/2;023/3;024/1;024/2;024/3;025/1;026/1;026/2;027/1;027/2;028/1;028/2;029/1;029/2;029/3;030/1;030/2;030/3;031/1;031/2).</t>
  </si>
  <si>
    <t>0007732/2022</t>
  </si>
  <si>
    <t>icomlg-04m2-cade-02</t>
  </si>
  <si>
    <t>Substituir 119 cadeias de isolador em 35 estruturas da LT 230 kV ANGELIM /RIBEIRAO C-2 PE-04S2 (315/2;316/1;316/2;317/1;318/1;318/2;319/1;319/2;320/1;320/2;321/1;321/2;322/1;322/2;322/3;323/1;323/2;324/1;324/2;324/3;325/1;325/2;325/3;326/1;326/2;327/1;327/2;327/3;328/1;328/2;329/1;329/2;330/1;330/2;331/1).</t>
  </si>
  <si>
    <t>0007733/2022</t>
  </si>
  <si>
    <t>LT 230 kV C.GRANDE II /COTEMINAS PB</t>
  </si>
  <si>
    <t>Substituir 108 cadeias de isolador em 11 estruturas da LT 230 kV C.GRANDE II /COTEMINAS C-1 PB-04C3 (CGD;127/1;126/3;126/2;126/1;125/2;125/1;124/4;124/4A;124/4B;CTM).</t>
  </si>
  <si>
    <t>LT 230 kV C.GRANDE II /COTEMINAS C-1 PB</t>
  </si>
  <si>
    <t>0007735/2022</t>
  </si>
  <si>
    <t>cgdctm-04c3-cade-01</t>
  </si>
  <si>
    <t>Substituir 117 cadeias de isolador em 35 estruturas da LT 230 kV ICO /MILAGRES C-1 CE-04M2 (032/1;032/2;033/1;033/2;033/3;034/1;034/2;035/1;035/2;035/3;036/1;036/2;037/1;037/2;038/1;038/2;039/1;039/2;040/1;040/2;040/3;041/1;041/2;041/3;042/1;042/2;043/1;043/2;044/1;044/2;044/3;045/1;045/2;045/3;046/1).</t>
  </si>
  <si>
    <t>0007736/2022</t>
  </si>
  <si>
    <t>icomlg-04m2-cade-03</t>
  </si>
  <si>
    <t>Substituir 12 cadeias de isolador em 4 estruturas da LT 230 kV CAUIPE /SOBRAL II C-1 CE-04S2 (167/2;168/1;168/2;168/3).</t>
  </si>
  <si>
    <t>0007737/2022</t>
  </si>
  <si>
    <t>LT 230 kV PIRAPAMA II /SUAPE II PE</t>
  </si>
  <si>
    <t>Substituir 120 cadeias de isolador em 12 estruturas da LT 230 kV PIRAPAMA II /SUAPE II C-1 PE-04Z7 (002/2;002/3;008/1;009/1;010/2;011/3;013/1;015/1;017/1;018/1;018/2;018/3).</t>
  </si>
  <si>
    <t>LT 230 kV PIRAPAMA II /SUAPE II C-1 PE</t>
  </si>
  <si>
    <t>0007738/2022</t>
  </si>
  <si>
    <t>prdsud-04z7-cade-01</t>
  </si>
  <si>
    <t>Substituir 153 cadeias de isolador em 35 estruturas da LT 230 kV ICO /MILAGRES C-1 CE-04M2 (046/2;047/1;047/2;048/1;048/2;048/3;049/1;049/2;050/1;050/2;051/1;051/2;052/1;052/2;053/1;054/1;054/2;055/1;055/2;055/3;056/1;056/2;057/1;057/2;057/3;058/1;058/2;059/1;059/2;060/1;060/2;061/1;061/2;061/3;062/1).</t>
  </si>
  <si>
    <t>0007739/2022</t>
  </si>
  <si>
    <t>icomlg-04m2-cade-04</t>
  </si>
  <si>
    <t>Substituir 156 cadeias de isolador em 15 estruturas da LT 230 kV PIRAPAMA II /SUAPE II C-2 PE-04Z8 (001/1;002/2;002/3;004/1;005/1;008/1;009/1;010/2;011/1;011/3;013/1;015/1;017/1;018/1;018/2).</t>
  </si>
  <si>
    <t>LT 230 kV PIRAPAMA II /SUAPE II C-2 PE</t>
  </si>
  <si>
    <t>0007742/2022</t>
  </si>
  <si>
    <t>prdsud-04z8-cade-01</t>
  </si>
  <si>
    <t>Substituir 129 cadeias de isolador em 35 estruturas da LT 230 kV ICO /MILAGRES C-1 CE-04M2 (062/2;063/1;063/2;064/1;064/2;064/3;065/1;065/2;065/3;066/1;066/2;067/1;067/2;068/1;069/1;069/2;070/1;070/2;070/3;071/1;071/2;071/3;072/1;072/2;073/1;073/2;074/1;074/2;074/3;075/1;075/2;076/1;076/2;077/1;077/2).</t>
  </si>
  <si>
    <t>0007743/2022</t>
  </si>
  <si>
    <t>icomlg-04m2-cade-05</t>
  </si>
  <si>
    <t>Substituir 165 cadeias de isolador em 37 estruturas da LT 230 kV TACAIMBO /C.GRANDE II C-1 PE/PB-04C1 (000/1;000/2;001/1;001/2;001/2A;001/2B;002/2;002/3;002/5;003/1;003/2;004/1;004/2;004/3;005/1;005/2;005/3;005/4;006/2;006/3;006/4;007/1;007/2;007/3;007/4;008/1;010/1;010/2;010/3;011/1;011/2;011/3;012/1;012/2;042/2;043/1;TAC).</t>
  </si>
  <si>
    <t>0007745/2022</t>
  </si>
  <si>
    <t>taccgd-04c1-cade-01</t>
  </si>
  <si>
    <t>Substituir 249 cadeias de isolador em 35 estruturas da LT 230 kV ICO /MILAGRES C-1 CE-04M2 (078/1;078/2;078/3;079/1;079/2;080/1;080/2;081/1;081/2;081/3;082/1;083/1;083/2;083/3;084/1;084/2;085/1;085/2;086/1;087/1;087/2;087/3;088/1;088/2;089/1;089/2;090/1;090/2;091/1;091/2;091/3;092/1;092/2;093/1;093/2).</t>
  </si>
  <si>
    <t>0007746/2022</t>
  </si>
  <si>
    <t>icomlg-04m2-cade-06</t>
  </si>
  <si>
    <t>Substituir 120 cadeias de isolador em 34 estruturas da LT 230 kV TACAIMBO /C.GRANDE II C-1 PE/PB-04C1 (012/3;012/4;013/1;013/2;013/3;013/4;014/1;014/2;014/3;015/1;015/2;015/3;016/1;016/2;016/3;017/1;017/2;017/3;017/4;018/1;018/2;018/3;020/2;020/3;021/1;021/2;021/3;021/4;022/1;022/2;022/3;023/1;023/2;023/3).</t>
  </si>
  <si>
    <t>0007749/2022</t>
  </si>
  <si>
    <t>taccgd-04c1-cade-02</t>
  </si>
  <si>
    <t>Substituir 90 cadeias de isolador em 22 estruturas da LT 230 kV ICO /MILAGRES C-1 CE-04M2 (094/1;094/2;095/1;095/2;095/3;096/1;096/2;096/3;097/1;097/2;098/1;098/2;099/1;099/2;100/1;100/2;100/3;101/1;101/2;102/1;102/2;102/3).</t>
  </si>
  <si>
    <t>0007750/2022</t>
  </si>
  <si>
    <t>icomlg-04m2-cade-07</t>
  </si>
  <si>
    <t>Substituir 99 cadeias de isolador em 32 estruturas da LT 500 kV SOBRAL III /PECEM II C-1 CE-05V7 (118/1;118/2;119/1;120/1;120/2;121/1;121/2;122/1;122/2;123/1;123/2;124/1;124/2;125/1;125/2;126/1;126/2;128/1;128/2;129/1;129/2;130/1;130/2;132/1;132/2;133/1;133/2;134/1;134/2;135/2;136/1;137/1).</t>
  </si>
  <si>
    <t>0007751/2022</t>
  </si>
  <si>
    <t>Substituir 315 cadeias de isolador em 34 estruturas da LT 230 kV BOM NOME /MILAGRES C-3 PE/CE-04L3 (039/2;040/1;040/2;041/1;041/2;041/3;041/4;042/1;042/2;043/1;043/2;044/1;044/2;045/1;045/2;046/1;046/2;046/3;047/1;047/2;048/1;049/1;049/2;049/3;050/1;050/2;050/3;051/1;051/2;051/3;052/1;052/2;053/1;053/2).</t>
  </si>
  <si>
    <t>0007753/2022</t>
  </si>
  <si>
    <t>Substituição de 60 cadeias de isolador em 17 estruturas da LT 230 kV IBIAPINA II /SOBRAL II C-1 CE-04L1 (019/1;028/1;033/2;037/3;040/1;041/1;041/2;042/1;043/1;046/1;046/2;062/1;071/2;091/2;091/3;092/2;102/1) (antigas 083/2;092/2;097/3;102/1;104/2;105/1;105/2;106/2;107/1;110/2;111/1;126/2;136/1;156/1;156/2;157/2;167/1).</t>
  </si>
  <si>
    <t>0007757/2022</t>
  </si>
  <si>
    <t>ibdsbd-04l1-cade-01</t>
  </si>
  <si>
    <t>Substituir 189 cadeias de isolador em 63 estruturas da LT 230 kV RIBEIRAO /RECIFE II C-1 PE-04M1 (013/1;016/1;016/2;017/1;017/2;018/1;018/2;018/3;019/1;019/2;023/3;024/1;024/2;026/1;027/1;027/2;027/3;028/1;029/1;029/2;030/1;030/2;031/2;034/2;035/1;037/1;037/2;037/3;038/1;039/1;040/1;040/2;041/2;042/1;042/3;043/1;043/2;043/3;044/2;045/2;046/1;047/1;047/2;048/1;048/2;049/1;050/1;050/2;050/3;051/1;051/2;051/3;052/1;052/2;052/3;053/1;053/2;053/3;054/1;054/2;055/1;055/2;056/2).</t>
  </si>
  <si>
    <t>0007762/2022</t>
  </si>
  <si>
    <t>rcdrib-04m1-cade-01</t>
  </si>
  <si>
    <t>Substituir 10080 m de fios contrapeso de mesmo material em 63 estrutura(s) da LT 230 kV RIBEIRAO /RECIFE II C-1 PE-04M1 (013/1;016/1;016/2;017/1;017/2;018/1;018/2;018/3;019/1;019/2;023/3;024/1;024/2;026/1;027/1;027/2;027/3;028/1;029/1;029/2;030/1;030/2;031/2;034/2;035/1;037/1;037/2;037/3;038/1;039/1;040/1;040/2;041/2;042/1;042/3;043/1;043/2;043/3;044/2;045/2;046/1;047/1;047/2;048/1;048/2;049/1;050/1;050/2;050/3;051/1;051/2;051/3;052/1;052/2;052/3;053/1;053/2;053/3;054/1;054/2;055/1;055/2;056/2).</t>
  </si>
  <si>
    <t>0007764/2022</t>
  </si>
  <si>
    <t>rcdrib-04m1-atrl-01</t>
  </si>
  <si>
    <t>Substituir 6776 m de fios contrapeso em 15 estrutura(s) da LT 230 kV IBIAPINA II /SOBRAL II C-1 CE-04L1 (092/2;097/3;102/1;104/2;105/1;105/2;106/2;107/1;110/2;111/1;126/2;156/1;156/2;157/2;167/1) (antigas ;028/1;033/2;037/3;040/1;041/1;041/2;042/1;043/1;046/1;046/2;062/1;091/2;091/3;092/2;102/1).</t>
  </si>
  <si>
    <t>0007767/2022</t>
  </si>
  <si>
    <t>ibdsbd-04l1-atrl-01</t>
  </si>
  <si>
    <t>Substituir 228 cadeias de isolador em 32 estruturas da LT 500 kV MILAGRES /QUIXADA C-1 CE-05V3 (148/2;152/1;152/2;153/1;154/2;156/1;156/2;160/1;160/2;160/3;161/1;169/1;169/2;170/1;174/1;174/2;177/1;177/2;178/1;178/2;179/1;179/2;180/1;180/2;180/3;181/1;181/2;181/3;182/1;182/2;183/1;183/2).</t>
  </si>
  <si>
    <t>0007768/2022</t>
  </si>
  <si>
    <t>mlgqxa-05v3-cade-01</t>
  </si>
  <si>
    <t>Substituir 111 cadeias de isolador em 37 estrutura(s) da LT 500 kV OLINDINA /US. L.GONZAGA C-1 BA/PE-05S4 (227/2;227/3;228/1;228/2;228/3;228/4;229/1;229/3;230/1;230/2;230/3;231/1;231/2;231/3;232/1;232/2;233/2;233/3;234/1;234/2;234/3;235/1;235/2;235/3;236/1;236/2;236/4;237/1;237/2;237/3;238/1;238/2;238/3;239/1;239/2;239/4;241/1).</t>
  </si>
  <si>
    <t>0007769/2022</t>
  </si>
  <si>
    <t>Substituir 207 cadeias de isolador em 33 estruturas da LT 500 kV MILAGRES /QUIXADA C-1 CE-05V3 (184/1;184/2;185/1;185/2;186/1;186/2;187/2;188/1;188/2;189/1;189/2;190/1;190/2;191/1;191/2;192/1;192/2;193/1;193/2;194/1;194/2;194/3;195/1;196/1;196/2;197/1;197/2;198/1;198/2;199/1;199/2;200/1;200/2).</t>
  </si>
  <si>
    <t>0007770/2022</t>
  </si>
  <si>
    <t>mlgqxa-05v3-cade-02</t>
  </si>
  <si>
    <t>Substituir 207 cadeias de isolador em 32 estruturas da LT 500 kV MILAGRES /QUIXADA C-1 CE-05V3 (201/1;201/2;202/1;202/2;203/1;203/2;204/1;204/2;205/1;205/2;206/1;206/2;206/3;207/1;207/2;208/1;208/2;209/1;209/2;210/1;210/2;211/1;211/2;212/1;212/2;213/1;213/2;214/1;214/2;215/1;215/2;216/1).</t>
  </si>
  <si>
    <t>0007773/2022</t>
  </si>
  <si>
    <t>mlgqxa-05v3-cade-03</t>
  </si>
  <si>
    <t>Substituir 207 cadeias de isolador em 60 estrutura(s) da LT 230 kV SANTANA II /ANGELIM C-1 AL/PE-04Z9 (164/2;164/4;165/1;165/2;166/3;167/1;167/2;168/1;168/2;169/2;169/3;170/1;174/1;174/2;176/2;176/3;179/1;180/1;181/2;182/2;183/1;183/2;184/1;184/4;185/2;186/1;186/2;187/1;187/2;188/1;188/2;189/2;191/1;191/2;192/1;192/2;193/1;193/2;194/1;195/1;196/1;196/2;196/3;197/1;197/2;198/2;200/1;200/2;200/3;203/1;203/2;204/1;204/2;204/3;205/1;206/1;207/1;208/2;208/3;221/1).</t>
  </si>
  <si>
    <t>0007774/2022</t>
  </si>
  <si>
    <t>Substituir 282 cadeias de isolador em 31 estruturas da LT 500 kV MILAGRES /QUIXADA C-1 CE-05V3 (216/2;217/1;217/2;218/1;218/2;219/1;219/2;220/1;220/2;220/3;225/1;225/2;226/1;227/1;227/2;226/2;228/1;228/2;228/3;229/1;230/1;230/2;231/1;231/2;231/3;232/1;232/2;233/1;234/1;234/2;235/2).</t>
  </si>
  <si>
    <t>0007775/2022</t>
  </si>
  <si>
    <t>mlgqxa-05v3-cade-04</t>
  </si>
  <si>
    <t>Substituir 225 cadeias de isolador em 32 estruturas da LT 500 kV MILAGRES /QUIXADA C-1 CE-05V3 (236/1;236/2;237/1;239/1;239/2;240/1;243/2;244/1;244/2;245/1;245/2;246/1;246/2;247/1;247/2;248/1;248/2;249/1;249/2;250/1;250/2;254/1;254/2;255/1;255/2;256/1;256/2;257/1;257/2;258/1;258/2;259/1).</t>
  </si>
  <si>
    <t>0007777/2022</t>
  </si>
  <si>
    <t>mlgqxa-05v3-cade-05</t>
  </si>
  <si>
    <t>Substituir 117 cadeias de isolador em 15 estruturas da LT 230 kV DELM. GOUVEIA /FORTALEZA II C-2 CE-04F5 (006/4;006/5;006/6;006/7;006/8;006/9;007/1;007/2;007/3;007/4;007/5;007/6;007/7;007/8;008/1).</t>
  </si>
  <si>
    <t>0007790/2022</t>
  </si>
  <si>
    <t>dmgfzd-04f5-cade-01</t>
  </si>
  <si>
    <t>Substituir 134 cadeias de isolador em 34 estruturas da LT 230 kV MILAGRES /COREMAS C-1 CE/PB-04M6 (001/2;001/3;002/1;003/1;003/2;010/2;017/1;021/1;022/1;022/2;023/2;024/1;026/1;026/2;027/1;028/2;029/1;031/1;032/2;036/1;036/2;037/1;037/2;038/1;039/1;040/3;044/1;044/2;045/1;045/2;046/1;059/1;082/1;083/2).</t>
  </si>
  <si>
    <t>0007794/2022</t>
  </si>
  <si>
    <t>mlgcma-04m6-cade-01</t>
  </si>
  <si>
    <t>Substituição dos painéis de SPCS do Paralelismo dos transformadores AT1, e AT2 500/230 kV instalados na casa de relés da Eletronorte-MBMG7-01</t>
  </si>
  <si>
    <t>0007823/2022</t>
  </si>
  <si>
    <t>MBMG7-01</t>
  </si>
  <si>
    <t>Substituição de bateria - 125 Vcc - SACC125-BAT1 na SE Campo Mourão. Capacidade do novo equipamento: 350 Ah.</t>
  </si>
  <si>
    <t>0007856/2022</t>
  </si>
  <si>
    <t>Substituição de bateria - 125 Vcc - SACC125-BAT2 na SE Campo Mourão. Capacidade do novo equipamento: 350 Ah.</t>
  </si>
  <si>
    <t>0007859/2022</t>
  </si>
  <si>
    <t>Substituição de bateria - 48 Vcc - SACC48-BAT1 na SE Campo Mourão. Capacidade do novo equipamento:400 Ah.</t>
  </si>
  <si>
    <t>0007871/2022</t>
  </si>
  <si>
    <t>Substituição de bateria - 48 Vcc - SACC48-BAT2 na SE Campo Mourão. Capacidade do novo equipamento:400 Ah.</t>
  </si>
  <si>
    <t>0007873/2022</t>
  </si>
  <si>
    <t>MOSSORO II</t>
  </si>
  <si>
    <t>Substituição do transdutor de TAP por um conjunto de indicação de posição do Trafo 04T1, na subestação MOSSORO II, composto por: 01 Painel e 01 Transdutor.</t>
  </si>
  <si>
    <t>TR 230/69 kV MOSSORO II TR1 RN</t>
  </si>
  <si>
    <t>0007937/2022</t>
  </si>
  <si>
    <t>12445701</t>
  </si>
  <si>
    <t>Substituição do SISTEMA DE PROTEÇÃO, MEDIÇÃO E AUTOMAÇÃO da IB 02D1 da SE Banabuiú, composto por: 01 painel, 02 relés digitais e cabos de controle associados.</t>
  </si>
  <si>
    <t>IB 69 kV MG 230 kV BANABUIU MG1 CE IB1 (12D1)</t>
  </si>
  <si>
    <t>0007940/2022</t>
  </si>
  <si>
    <t>11360976</t>
  </si>
  <si>
    <t>Substituição do SISTEMA DE PROTEÇÃO, MEDIÇÃO E AUTOMAÇÃO da EL 02J5 da SE Banabuiú, composto por: 01 painel, 02 relés digitais e cabos de controle associados.</t>
  </si>
  <si>
    <t>EL 69 kV BANABUIU DIST2 (12J5)</t>
  </si>
  <si>
    <t>0007941/2022</t>
  </si>
  <si>
    <t>11366718</t>
  </si>
  <si>
    <t>Substituição do SISTEMA DE PROTEÇÃO, MEDIÇÃO E AUTOMAÇÃO da EL 02J4 da SE Banabuiú, composto por: 01 painel, 02 relés digitais e cabos de controle associados.</t>
  </si>
  <si>
    <t>EL 69 kV BANABUIU DIST3 (12J4)</t>
  </si>
  <si>
    <t>0007942/2022</t>
  </si>
  <si>
    <t>11351202</t>
  </si>
  <si>
    <t>Substituição do SISTEMA DE PROTEÇÃO, MEDIÇÃO E AUTOMAÇÃO da EL 02J3 da SE Banabuiú, composto por: 01 painel, 02 relés digitais e cabos de controle associados.</t>
  </si>
  <si>
    <t>EL 69 kV BANABUIU DIST4 (12J3)</t>
  </si>
  <si>
    <t>0007945/2022</t>
  </si>
  <si>
    <t>11351206</t>
  </si>
  <si>
    <t>SUBSTITUIÇÃO DO DISJUNTOR DO VCDJ6-10 AUTOTRANSFORMADOR VCAT7-01.</t>
  </si>
  <si>
    <t>0007989/2022</t>
  </si>
  <si>
    <t>VCDJ6-10</t>
  </si>
  <si>
    <t>SUBSTITUIÇÃO DO DISJUNTOR A SF6 230 kV - VCDJ6-12</t>
  </si>
  <si>
    <t>LT 230 kV ALBRAS /VILA DO CONDE C-2 PA</t>
  </si>
  <si>
    <t>0008010/2022</t>
  </si>
  <si>
    <t>VCDJ6-12</t>
  </si>
  <si>
    <t>SUBSTITUIÇÃO DO DISJUNTOR VCDJ6-25 DO AUTOTRANSFORMADOR VCAT6-01.</t>
  </si>
  <si>
    <t>0008020/2022</t>
  </si>
  <si>
    <t>VCDJ6-25</t>
  </si>
  <si>
    <t>SUBSTITUIÇÃO DO DISJUNTOR VCDJ6-27 DO AUTOTRANSFORMADOR VCAT6-01.</t>
  </si>
  <si>
    <t>LT 230 kV VILA DO CONDE/GUAMA C-1 PA</t>
  </si>
  <si>
    <t>0008025/2022</t>
  </si>
  <si>
    <t>VCDJ6-27</t>
  </si>
  <si>
    <t>SUBSTITUIÇÃO DO DISJUNTOR LDDB6-02 DE ACIONAMENTO PNEUMÁTICO.</t>
  </si>
  <si>
    <t>0008057/2022</t>
  </si>
  <si>
    <t>MG701-IB230IB2-LDDB602</t>
  </si>
  <si>
    <t>SUBSTITUIÇÃO DO DISJUNTOR LDDJ6-04 DE ACIONAMENTO PNEUMÁTICO.</t>
  </si>
  <si>
    <t>0008059/2022</t>
  </si>
  <si>
    <t>MC230-DJ604</t>
  </si>
  <si>
    <t>SUBSTITUIÇÃO DO DISJUNTOR LDDJ6-08 DE ACIONAMENTO PNEUMÁTICO.</t>
  </si>
  <si>
    <t>0008063/2022</t>
  </si>
  <si>
    <t>MC230-DJ608</t>
  </si>
  <si>
    <t>SUBSTITUIÇÃO DO DISJUNTOR LDDJ6-16</t>
  </si>
  <si>
    <t>0008066/2022</t>
  </si>
  <si>
    <t>ELLD-LDDJ616</t>
  </si>
  <si>
    <t>SUBSTITUIÇÃO DO DISJUNTOR LDDJ6-18</t>
  </si>
  <si>
    <t>0008069/2022</t>
  </si>
  <si>
    <t>ELLD-LDDJ618</t>
  </si>
  <si>
    <t>SUBSTITUIÇÃO DO DISJUNTOR IZDJ6-06</t>
  </si>
  <si>
    <t>0008074/2022</t>
  </si>
  <si>
    <t>MC230-IZDJ606</t>
  </si>
  <si>
    <t>SUBSTITUIÇÃO DO DISJUNTOR VCDJ6-29 DO MODULO GERAL MÓDULO GERAL 230 kV SEVC - VÃO C</t>
  </si>
  <si>
    <t>0008091/2022</t>
  </si>
  <si>
    <t>VCDJ6-30</t>
  </si>
  <si>
    <t>SUBSTITUIÇÃO DO DISJUNTOR MBDJ4-02 DA LINHA MARABÁ - NOVA JACUNDÁ LI-NJMB-LI4-01</t>
  </si>
  <si>
    <t>EL 69 kV MARABA DIST2</t>
  </si>
  <si>
    <t>0008683/2022</t>
  </si>
  <si>
    <t>MBDJ4-02</t>
  </si>
  <si>
    <t>SUBSTITUIÇÃO DO SECCIONADOR SC2011 - 13,8KV</t>
  </si>
  <si>
    <t>0007301/2023</t>
  </si>
  <si>
    <t>SUBSTITUIÇÃO DO SECCIONADOR SC2301 - 13,8KV</t>
  </si>
  <si>
    <t>0007302/2023</t>
  </si>
  <si>
    <t>SC2301</t>
  </si>
  <si>
    <t>SUBSTITUIÇÃO DO SECCIONADOR SC2341 - 13,8KV</t>
  </si>
  <si>
    <t>0007305/2023</t>
  </si>
  <si>
    <t>SC2341</t>
  </si>
  <si>
    <t>SUBSTITUIÇÃO DO SECCIONADOR SC2371 - 13,8KV</t>
  </si>
  <si>
    <t>0007306/2023</t>
  </si>
  <si>
    <t>SC2371</t>
  </si>
  <si>
    <t>SUBSTITUIÇÃO DO SECCIONADOR SC2021 - 13,8KV</t>
  </si>
  <si>
    <t>0007309/2023</t>
  </si>
  <si>
    <t>SUBSTITUIÇÃO DO SECCIONADOR SC2351 - 13,8KV</t>
  </si>
  <si>
    <t>0007310/2023</t>
  </si>
  <si>
    <t>SC2351</t>
  </si>
  <si>
    <t>SUBSTITUIÇÃO DO SECCIONADOR SC2361 - 13,8KV</t>
  </si>
  <si>
    <t>0007313/2023</t>
  </si>
  <si>
    <t>SC2361</t>
  </si>
  <si>
    <t>SUBSTITUIÇÃO DO SECCIONADOR SC2381 - 13,8KV</t>
  </si>
  <si>
    <t>0007314/2023</t>
  </si>
  <si>
    <t>SC2381</t>
  </si>
  <si>
    <t>SUBSTITUIÇÃO DO SECCIONADOR SC2391 - 13,8KV</t>
  </si>
  <si>
    <t>0007315/2023</t>
  </si>
  <si>
    <t>SC2391</t>
  </si>
  <si>
    <t>SUBSTITUIÇÃO DO SECCIONADOR SC2331 - 13,8KV</t>
  </si>
  <si>
    <t>0007316/2023</t>
  </si>
  <si>
    <t>SC2331</t>
  </si>
  <si>
    <t>SUBSTITUIÇÃO DO CUBÍCULO DJ2336 - 13,8KV</t>
  </si>
  <si>
    <t>0007318/2023</t>
  </si>
  <si>
    <t>DJ2336</t>
  </si>
  <si>
    <t>SUBSTITUIÇÃO DO CUBÍCULO SC2541 - SETOR DE 500KV</t>
  </si>
  <si>
    <t>0007319/2023</t>
  </si>
  <si>
    <t>SC2541</t>
  </si>
  <si>
    <t>SUBSTITUIÇÃO DO CUBÍCULO SC2511 - SETOR DE 500KV</t>
  </si>
  <si>
    <t>0007320/2023</t>
  </si>
  <si>
    <t>SUBSTITUIÇÃO DO CUBÍCULO DJ2516 - SETOR DE 500KV</t>
  </si>
  <si>
    <t>0007321/2023</t>
  </si>
  <si>
    <t>DJ2516</t>
  </si>
  <si>
    <t>SUBSTITUIÇÃO DO CUBÍCULO DJ2526 - SETOR DE 500KV</t>
  </si>
  <si>
    <t>0007324/2023</t>
  </si>
  <si>
    <t>DJ2526</t>
  </si>
  <si>
    <t>SUBSTITUIÇÃO DO CUBÍCULO SC2515 - SETOR DE 500KV</t>
  </si>
  <si>
    <t>0007325/2023</t>
  </si>
  <si>
    <t>SC2515</t>
  </si>
  <si>
    <t>SUBSTITUIÇÃO DO CUBÍCULO DJ2566 - SETOR DE 500KV</t>
  </si>
  <si>
    <t>0007327/2023</t>
  </si>
  <si>
    <t>DJ2566</t>
  </si>
  <si>
    <t>SUBSTITUIÇÃO DO CUBÍCULO SC2525 - SETOR DE 500KV</t>
  </si>
  <si>
    <t>0007328/2023</t>
  </si>
  <si>
    <t>SC2525</t>
  </si>
  <si>
    <t>SUBSTITUIÇÃO DO CUBÍCULO DJ2536 - SETOR DE 500KV</t>
  </si>
  <si>
    <t>0007329/2023</t>
  </si>
  <si>
    <t>DJ2536</t>
  </si>
  <si>
    <t>SUBSTITUIÇÃO DO CUBÍCULO DJ2576 - SETOR DE 500KV</t>
  </si>
  <si>
    <t>0007330/2023</t>
  </si>
  <si>
    <t>DJ2576</t>
  </si>
  <si>
    <t>SUBSTITUIÇÃO DO CUBÍCULO SC2521 - SETOR DE 500KV</t>
  </si>
  <si>
    <t>0007332/2023</t>
  </si>
  <si>
    <t>SC2521</t>
  </si>
  <si>
    <t>SUBSTITUIÇÃO DO CUBÍCULO SC2551 - SETOR DE 500KV</t>
  </si>
  <si>
    <t>0007333/2023</t>
  </si>
  <si>
    <t>SC2551</t>
  </si>
  <si>
    <t>SUBSTITUIÇÃO DO PAINEL CENTRO DE CARGA 480V - SETOR 345KV - PAINEL DE DISTRIBUIÇÃO AC 480V DO SETOR 345KV DA SUBESTAÇÃO.</t>
  </si>
  <si>
    <t>0007334/2023</t>
  </si>
  <si>
    <t>CCA01 - SETOR 345KV</t>
  </si>
  <si>
    <t>SUBSTITUIÇÃO DO PAINEL CENTRO DE CARGA 480V - SALA DE CONTROLE - PAINEL DE DISTRIBUIÇÃO AC 480V DA SALA DE CONTROLE DA SUBESTAÇÃO.</t>
  </si>
  <si>
    <t>0007335/2023</t>
  </si>
  <si>
    <t>CCA02 - SALA CONTROLE</t>
  </si>
  <si>
    <t>SUBSTITUIÇÃO DO PAINEL CENTRO DE CARGA 480V - SETOR 230KV - PAINEL DE DISTRIBUIÇÃO AC 480V DO SETOR 230KV</t>
  </si>
  <si>
    <t>0007336/2023</t>
  </si>
  <si>
    <t>CCA03 - SETOR 230KV</t>
  </si>
  <si>
    <t>SUBSTITUIÇÃO DO PAINEL CENTRO DE CARGA 480V - SETOR 500KV - PAINEL DE DISTRIBUIÇÃO AC 480V DO SETOR 500KV DA SUBESTAÇÃO</t>
  </si>
  <si>
    <t>0007337/2023</t>
  </si>
  <si>
    <t>CCA04 - SETOR 500KV</t>
  </si>
  <si>
    <t>SUBSTITUIÇÃO DO SECCIONADOR SC2347 - 13,8KV</t>
  </si>
  <si>
    <t>0007338/2023</t>
  </si>
  <si>
    <t>SC2347</t>
  </si>
  <si>
    <t>SUBSTITUIÇÃO DO SECCIONADOR SC2357 - 13,8KV</t>
  </si>
  <si>
    <t>0007339/2023</t>
  </si>
  <si>
    <t>SC2357</t>
  </si>
  <si>
    <t>SUBSTITUIÇÃO DO SECCIONADOR SC2337 - - 13,8KV</t>
  </si>
  <si>
    <t>0007340/2023</t>
  </si>
  <si>
    <t>SC2337</t>
  </si>
  <si>
    <t>SUBSTITUIÇÃO DO TRANSFORMADOR TRTA50  - 13,8KV/480V</t>
  </si>
  <si>
    <t>0007342/2023</t>
  </si>
  <si>
    <t>TRTA50</t>
  </si>
  <si>
    <t>SUBSTITUIÇÃO DO TRANSFORMADOR TRTA53 - 13,8KV/480V</t>
  </si>
  <si>
    <t>0007343/2023</t>
  </si>
  <si>
    <t>TRTA53</t>
  </si>
  <si>
    <t>SUBSTITUIÇÃO DO TRANSFORMADOR DE ILUMINAÇÃO E FORÇA - TR-IL - 480/480V</t>
  </si>
  <si>
    <t>0007344/2023</t>
  </si>
  <si>
    <t>TR-IL</t>
  </si>
  <si>
    <t>SUBSTITUIÇÃO DO TRANSFORMADOR DE ILUMINAÇÃO E FORÇA - T-6-N - 480/220-127V</t>
  </si>
  <si>
    <t>0007346/2023</t>
  </si>
  <si>
    <t>T-6-N</t>
  </si>
  <si>
    <t>SUBSTITUIÇÃO DO TRANSFORMADOR DE ILUMINAÇÃO E FORÇA - T-10-L  - 480/220-127V</t>
  </si>
  <si>
    <t>0007347/2023</t>
  </si>
  <si>
    <t>T-10-L</t>
  </si>
  <si>
    <t>SUBSTITUIÇÃO DO TRANSFORMADOR DE ILUMINAÇÃO E FORÇA - T-13-G  - 480/220-127V</t>
  </si>
  <si>
    <t>0007348/2023</t>
  </si>
  <si>
    <t>T-13-G</t>
  </si>
  <si>
    <t>SUBSTITUIÇÃO DO TRANSFORMADOR DE ILUMINAÇÃO E FORÇA - TR1 - 480/220-127V</t>
  </si>
  <si>
    <t>0007349/2023</t>
  </si>
  <si>
    <t>TR1</t>
  </si>
  <si>
    <t>SUBSTITUIÇÃO DO TRANSFORMADOR DE ILUMINAÇÃO E FORÇA - TR2 - 480/220-127V</t>
  </si>
  <si>
    <t>0007350/2023</t>
  </si>
  <si>
    <t>TR2</t>
  </si>
  <si>
    <t>SUBSTITUIÇÃO DO TRANSFORMADOR DE ILUMINAÇÃO E FORÇA - TR4  - 480/220-127V</t>
  </si>
  <si>
    <t>0007351/2023</t>
  </si>
  <si>
    <t>Substituição do sistema de controle de paralelismo e regulação de tensão, na subestação RECIFE II, composto por: 05 Painel Exclusivo, 01 IHM, 02 CLP, 10 Distribuidor Ótico, 20 Conversor de Mídia Ethernet, 01 Módulos GPS, 10 Conversor Ótico, 05 Medidor, 13 Transdutor, 04 Switch Ethernet Dedicado, 04 Unidades de Aquisição.</t>
  </si>
  <si>
    <t>MG RECIFE II / CCO-2001-061 - RB</t>
  </si>
  <si>
    <t>0008286/2022</t>
  </si>
  <si>
    <t>11445854</t>
  </si>
  <si>
    <t>SUBSTITUIÇÃO DO TRANSFORMADOR DE ILUMINAÇÃO E FORÇA - TR-1 AR CONDICIONADO - 480/220-127V</t>
  </si>
  <si>
    <t>0007352/2023</t>
  </si>
  <si>
    <t>TR-1 AR CONDICIONADO</t>
  </si>
  <si>
    <t>SUBSTITUIÇÃO DO TRANSFORMADOR DE ILUMINAÇÃO E FORÇA - TR-2 AR CONDICIONADO - 480/220-127V</t>
  </si>
  <si>
    <t>0007353/2023</t>
  </si>
  <si>
    <t>TR-2 AR CONDICIONADO</t>
  </si>
  <si>
    <t>SUBSTITUIÇÃO DO TRANSFORMADOR DE ILUMINAÇÃO E FORÇA - TR-3 AR CONDICIONADO - 480/220-127V</t>
  </si>
  <si>
    <t>0007355/2023</t>
  </si>
  <si>
    <t>TR-3 AR CONDICIONADO</t>
  </si>
  <si>
    <t>JOAIRAM</t>
  </si>
  <si>
    <t>Substituição do sistema de controle de paralelismo e regulação de tensão, na subestação JOAIRAM, composto por: 01 Painel, 01 IHM, 01 CLP, 01 Medidor, 01 Módulo GPS, 01 Switch ethernet dedicado, 04 transdutores.</t>
  </si>
  <si>
    <t>MG JOAIRAM / CCO-2001-061 - RB</t>
  </si>
  <si>
    <t>0008290/2022</t>
  </si>
  <si>
    <t>11444039</t>
  </si>
  <si>
    <t>SUBSTITUIÇÃO DO RETIFICADOR - RF1 - 480V</t>
  </si>
  <si>
    <t>0007356/2023</t>
  </si>
  <si>
    <t>RF1</t>
  </si>
  <si>
    <t>SUBSTITUIÇÃO DO RETIFICADOR - RF2 - 480V</t>
  </si>
  <si>
    <t>0007359/2023</t>
  </si>
  <si>
    <t>RF2</t>
  </si>
  <si>
    <t>SUBSTITUIÇÃO DO PAINEL CC125-2 - 125VCC</t>
  </si>
  <si>
    <t>0007360/2023</t>
  </si>
  <si>
    <t>CC125-2</t>
  </si>
  <si>
    <t>SUBSTITUIÇÃO DO PAINEL CC125-3 - 125VCC</t>
  </si>
  <si>
    <t>0007361/2023</t>
  </si>
  <si>
    <t>CC125-3</t>
  </si>
  <si>
    <t>SUBSTITUIÇÃO DO PAINEL CC125-4 - 125VCC</t>
  </si>
  <si>
    <t>0007362/2023</t>
  </si>
  <si>
    <t>CC125-4</t>
  </si>
  <si>
    <t>Substituição do SISTEMA DE PROTEÇÃO, MEDIÇÃO E AUTOMAÇÃO da EL 02J6 da SE Banabuiú, composto por: 01 painel, 02 relés digitais e cabos de controle associados.</t>
  </si>
  <si>
    <t>EL 69 kV BANABUIU DIST1 (12J6)</t>
  </si>
  <si>
    <t>0008299/2022</t>
  </si>
  <si>
    <t>11351205</t>
  </si>
  <si>
    <t>SUBSTITUIÇÃO DO PAINEL CC125-5/A - 125VCC</t>
  </si>
  <si>
    <t>0007363/2023</t>
  </si>
  <si>
    <t>CC125-5/A</t>
  </si>
  <si>
    <t>SUBSTITUIÇÃO DO PAINEL CC125-5/B - 125VCC</t>
  </si>
  <si>
    <t>0007364/2023</t>
  </si>
  <si>
    <t>CC125-5/B</t>
  </si>
  <si>
    <t>SUBSTITUIÇÃO DO PAINEL CC125-6/A - 125VCC</t>
  </si>
  <si>
    <t>0007365/2023</t>
  </si>
  <si>
    <t>CC125-6/A</t>
  </si>
  <si>
    <t>SUBSTITUIÇÃO DO PAINEL CC125-6/B - 125VCC</t>
  </si>
  <si>
    <t>0007366/2023</t>
  </si>
  <si>
    <t>CC125-6/B</t>
  </si>
  <si>
    <t>SUBSTITUIÇÃO DO PAINEL CC125-7/A - 125VCC</t>
  </si>
  <si>
    <t>0007367/2023</t>
  </si>
  <si>
    <t>CC125-7/A</t>
  </si>
  <si>
    <t>SUBSTITUIÇÃO DO PAINEL CC125-7/B - 125VCC</t>
  </si>
  <si>
    <t>0007368/2023</t>
  </si>
  <si>
    <t>CC125-7/B</t>
  </si>
  <si>
    <t>SUBSTITUIÇÃO DO PAINEL CC125VCC - QDP</t>
  </si>
  <si>
    <t>0007369/2023</t>
  </si>
  <si>
    <t>QDP</t>
  </si>
  <si>
    <t>SUBSTITUIÇÃO DO PAINEL CC125-230KV  - 125VCC</t>
  </si>
  <si>
    <t>0007370/2023</t>
  </si>
  <si>
    <t>CC125-230KV</t>
  </si>
  <si>
    <t>SUBSTITUIÇÃO DO PAINEL CC125-345KV  - 125VCC</t>
  </si>
  <si>
    <t>0007371/2023</t>
  </si>
  <si>
    <t>CC125-345KV</t>
  </si>
  <si>
    <t>SUBSTITUIÇÃO DE DISJUNTOR PVO 13,8 kV DO COMPENSADORE SÍNCRONO.  - MBDJ2-04</t>
  </si>
  <si>
    <t>0008317/2022</t>
  </si>
  <si>
    <t>MBDJ2-04</t>
  </si>
  <si>
    <t>SUBSTITUIÇÃO DE DISJUNTOR PVO 13,8 kV DO COMPENSADOR SÍNCRONO - MBDJ2-07</t>
  </si>
  <si>
    <t>0008321/2022</t>
  </si>
  <si>
    <t>MBDJ2-07</t>
  </si>
  <si>
    <t>LT 230 kV ATLANTIDA 2 / GRAVATAI 3 C-1 RS</t>
  </si>
  <si>
    <t>Implantação de torre metálica na LT 230 kV Atlântida 2 - Gravataí 3 C-1. A nova torre será instalada no vão entre as atuais Torres 118 e 119.</t>
  </si>
  <si>
    <t>0008460/2022</t>
  </si>
  <si>
    <t>Torre</t>
  </si>
  <si>
    <t>Substituição de 03 (três) Transformador de Corrente 15kV -GMTF2-01</t>
  </si>
  <si>
    <t>TR 230/69 kV GUAMA TF1 PA</t>
  </si>
  <si>
    <t>0008493/2022</t>
  </si>
  <si>
    <t>GMTC2-01-A/B/V-GMTF2-01</t>
  </si>
  <si>
    <t>Substituição dos Registradores Digitais de Proteção e Módulos de Engenharia de Engenharia dos bancos de capacitores série.</t>
  </si>
  <si>
    <t>0008704/2022</t>
  </si>
  <si>
    <t>0008716/2022</t>
  </si>
  <si>
    <t>SUBSTITUIÇÃO DO DISJUNTOR TRIPOLAR LIDB4-01</t>
  </si>
  <si>
    <t>0008659/2022</t>
  </si>
  <si>
    <t>LIDB4-01</t>
  </si>
  <si>
    <t>Substituição da Seccionadora 500kV  MBSD7-09</t>
  </si>
  <si>
    <t>0008663/2022</t>
  </si>
  <si>
    <t>MBSD7-09</t>
  </si>
  <si>
    <t>SUBSTITUIÇÃO DE UM TRANSFORMADOR DE CORRENTE 500KV, FASE A, ASSOCIADO AO PDRE7-04</t>
  </si>
  <si>
    <t>0008739/2022</t>
  </si>
  <si>
    <t>PDRE704-TC701</t>
  </si>
  <si>
    <t>SUBSTITUIÇÃO DE UM TRANSFORMADOR DE CORRENTE DE 500 KV, FASE V ASSOCIADO AO REATOR PDRE7-06</t>
  </si>
  <si>
    <t>0008750/2022</t>
  </si>
  <si>
    <t>PDRE706-TC701</t>
  </si>
  <si>
    <t>Revitalização completa do disjuntor LDDJ6-03</t>
  </si>
  <si>
    <t>0008777/2022</t>
  </si>
  <si>
    <t>11909874</t>
  </si>
  <si>
    <t>Serviços de construção de uma variante para desvio das torres 379 e 380 da LT 230 kV Porto Velho Abunã C1
de área inundada devido a cota do reservatório da UHE Jirau, acima do especificado no Leilão da UHE.</t>
  </si>
  <si>
    <t>LT 230 kV PORTO VELHO /ABUNA C-1 RO</t>
  </si>
  <si>
    <t>0008818/2022</t>
  </si>
  <si>
    <t>PVAN-LT6-01</t>
  </si>
  <si>
    <t>Substituir 160 m de fios contrapeso de mesmo material em 1 estrutura(s) da LT 230 kV SAPEACU /FUNIL C-1 BA-04F1 (031/1).</t>
  </si>
  <si>
    <t>0008824/2022</t>
  </si>
  <si>
    <t>spufnl-04f1-atrl-01</t>
  </si>
  <si>
    <t>Substituição da Seccionadora 500kV  MBSR7-03</t>
  </si>
  <si>
    <t>0008828/2022</t>
  </si>
  <si>
    <t>MBSR7-03</t>
  </si>
  <si>
    <t>Substituir 160 m de fios contrapeso de mesmo material em 1 estrutura(s) da LT 230 kV CAMACARI II /MATATU C-1 BA-04M7 (014/1).</t>
  </si>
  <si>
    <t>0008829/2022</t>
  </si>
  <si>
    <t>cmdmtt-04m7-atrl-01</t>
  </si>
  <si>
    <t>Substituição da Seccionadora 500kV MBSD7-07</t>
  </si>
  <si>
    <t>0008838/2022</t>
  </si>
  <si>
    <t>MBSD7-07</t>
  </si>
  <si>
    <t>Substituir 800 m de fios contrapeso de mesmo material em 05 estrutura(s) da LT 230 kV P.AFONSO III /TACARUTU C-1 AL/PE-04F1 (014/3;013/1;014/1;014/2;018/2).</t>
  </si>
  <si>
    <t>0008843/2022</t>
  </si>
  <si>
    <t>paftat-04f1-atrl-01</t>
  </si>
  <si>
    <t>Substituir 640 m de fios contrapeso de mesmo material em 4 estrutura(s) da LT 230 kV COTEGIPE /MATATU C-1 BA-04L4 (15;19;20;65).</t>
  </si>
  <si>
    <t>0008847/2022</t>
  </si>
  <si>
    <t>ctgmtt-04l4-atrl-01</t>
  </si>
  <si>
    <t>Substituição das buchas do terciário (13,8kV) do autotransformador LDAT7-01, fase V de porcelana</t>
  </si>
  <si>
    <t>0008884/2022</t>
  </si>
  <si>
    <t>11986351</t>
  </si>
  <si>
    <t>Substituição da Chave Seccionadora IZSL7-03 por outra semelhante</t>
  </si>
  <si>
    <t>0008902/2022</t>
  </si>
  <si>
    <t>11909441</t>
  </si>
  <si>
    <t>Instalação de tubulação para drenagem de óleo do tanque do comutador do LDAT7-01, fase 'A'</t>
  </si>
  <si>
    <t>0008908/2022</t>
  </si>
  <si>
    <t>11986320</t>
  </si>
  <si>
    <t>Instalação de tubulação para drenagem de óleo do tanque do comutador do LDAT7-01, fase 'B'</t>
  </si>
  <si>
    <t>0008912/2022</t>
  </si>
  <si>
    <t>Instalação de tubulação para drenagem de óleo do tanque do comutador do LDAT7-01, fase 'V'</t>
  </si>
  <si>
    <t>0008914/2022</t>
  </si>
  <si>
    <t>Substituição da Chave Seccionadora PDSD7-22 por outra semelhante</t>
  </si>
  <si>
    <t>MG 500 kV P.DUTRA MG1 MA</t>
  </si>
  <si>
    <t>0008928/2022</t>
  </si>
  <si>
    <t>11911221</t>
  </si>
  <si>
    <t>Substituição do sistema de teleproteção (PP e PA) para a LT 230 kV RIO LARGO II /ARAPIRACA III C-1 AL (04F1), na subestação ARAPIRACA III, composto por: 01 Painel Exclusivo, 02 Transceptores.</t>
  </si>
  <si>
    <t>LT 230 kV RIO LARGO II /ARAPIRACA III C-1 AL</t>
  </si>
  <si>
    <t>0008933/2022</t>
  </si>
  <si>
    <t>11373897</t>
  </si>
  <si>
    <t>Substituição do sistema de teleproteção (PP e PA) para a LT 230 kV ARAPIRACA III /PENEDO C-1 AL (04S9), na subestação ARAPIRACA III, composto por: 01 Painel Exclusivo, 02 Transceptores.</t>
  </si>
  <si>
    <t>LT 230 kV ARAPIRACA III /PENEDO C-1 AL</t>
  </si>
  <si>
    <t>0008941/2022</t>
  </si>
  <si>
    <t>11373899</t>
  </si>
  <si>
    <t>Substituir 1280 m de fios contrapeso de mesmo material em 8 estrutura(s) da LT 230 kV CAMACARI II /G.MANGABEIRA C-1 BA-04C7 (004/2;007/1;007/2;007/3;063/1;063/2;064/2;064/3).</t>
  </si>
  <si>
    <t>0008953/2022</t>
  </si>
  <si>
    <t>cmdgvm-04c7-atrl-01</t>
  </si>
  <si>
    <t>Substituição do sistema de teleproteção (PP e PA) para a LT 230 kV ARAPIRACA III /PENEDO C-1 AL (04S9), na subestação PENEDO, composto por: 01 Painel Exclusivo, 02 Transceptores.</t>
  </si>
  <si>
    <t>0008959/2022</t>
  </si>
  <si>
    <t>11373901</t>
  </si>
  <si>
    <t>RIO LARGO II</t>
  </si>
  <si>
    <t>Substituição do sistema de teleproteção (PP e PA) para a LT 230 kV RIO LARGO II /ARAPIRACA III C-1 AL (04F1), na subestação RIO LARGO II, composto por: 01 Painel Exclusivo, 02 Transceptores, em substituição ao atual sistema de teleproteção (PP e PA).</t>
  </si>
  <si>
    <t>0008970/2022</t>
  </si>
  <si>
    <t>11373895</t>
  </si>
  <si>
    <t>Substituir estrutura metálica do compartimento de moto-ventiladores do sistema de resfriamento do Compensador Estático 01 - LDCE2-01</t>
  </si>
  <si>
    <t>CE 150/-100 MvAr SAO LUIS II CE1 MA</t>
  </si>
  <si>
    <t>0008979/2022</t>
  </si>
  <si>
    <t>LDCE2-01</t>
  </si>
  <si>
    <t>SUBSTITUIÇÃO DISJUNTOR PVO 13,8 kV DO COMPENSADOR SÍNCRONO - MBDJ2-05</t>
  </si>
  <si>
    <t>0008984/2022</t>
  </si>
  <si>
    <t>MBDJ2-05</t>
  </si>
  <si>
    <t>Substituição da Chave Seccionadora IZSD7-15 por outra semelhante</t>
  </si>
  <si>
    <t>0008994/2022</t>
  </si>
  <si>
    <t>11909386</t>
  </si>
  <si>
    <t>Substituição da proteção e controle do bay de interligação de barras IA e IIA (LDBR6-01/02), associadas ao disjuntor LDDB6-02</t>
  </si>
  <si>
    <t>0009031/2022</t>
  </si>
  <si>
    <t>N-S-MALD-MG701-IB230IB2-LDSPRDJ</t>
  </si>
  <si>
    <t>Substituição da proteção e controle do bay de interligação de barras IB e IIB (LDBR6-03/04), associadas ao disjuntor LDDB6-01</t>
  </si>
  <si>
    <t>0009039/2022</t>
  </si>
  <si>
    <t>N-S-MALD-MG701-IB230IB1-LDSPRDJ</t>
  </si>
  <si>
    <t>Instalar conexões para coleta de óleo do comutador do transformador.</t>
  </si>
  <si>
    <t>0009045/2022</t>
  </si>
  <si>
    <t>CXAT6-04</t>
  </si>
  <si>
    <t>Instalar conexões para permitir coleta de óleo do comutador do transformador.</t>
  </si>
  <si>
    <t>TR 230/138 kV COXIPO TR5 MT</t>
  </si>
  <si>
    <t>0009048/2022</t>
  </si>
  <si>
    <t>CXAT6-05</t>
  </si>
  <si>
    <t>Substituição da Chave Seccionadora PDSR7-05 por outra semelhante</t>
  </si>
  <si>
    <t>0009058/2022</t>
  </si>
  <si>
    <t>PDSR7-05</t>
  </si>
  <si>
    <t>SUBSTITUIÇÃO DO TC IOSK 550 DO IZDJ7-06 FASE V</t>
  </si>
  <si>
    <t>0009098/2022</t>
  </si>
  <si>
    <t>IZDJ7-04 TC1 FASE A</t>
  </si>
  <si>
    <t>Substituição de seccionadora SC12915 (nº série  1866) por outra seccionadora com lâmina de terra e corrente nominal de 4.000 A.</t>
  </si>
  <si>
    <t>0009166/2022</t>
  </si>
  <si>
    <t>SC12915</t>
  </si>
  <si>
    <t>Substituição de seccionadora SC12717 (nº série 1873) por outra seccionadora com corrente nominal de 4.000 A.</t>
  </si>
  <si>
    <t>0009168/2022</t>
  </si>
  <si>
    <t>Substituição de seccionadora SC12737 (nº série 18012001) por outra seccionadora com corrente nominal de 4.000 A.</t>
  </si>
  <si>
    <t>0009170/2022</t>
  </si>
  <si>
    <t>SC12737</t>
  </si>
  <si>
    <t>Substituição de seccionadora SC12853 por outra seccionadora com corrente nominal de 4.000 A.</t>
  </si>
  <si>
    <t>0009177/2022</t>
  </si>
  <si>
    <t>SC12853</t>
  </si>
  <si>
    <t>Substituição de seccionadora SC12851 por outra seccionadora com corrente nominal de 4.000 A.</t>
  </si>
  <si>
    <t>0009178/2022</t>
  </si>
  <si>
    <t>SC12851</t>
  </si>
  <si>
    <t>Substituição de seccionadora SC12833 por outra seccionadora com corrente nominal de 4.000 A.</t>
  </si>
  <si>
    <t>0009179/2022</t>
  </si>
  <si>
    <t>SC12833</t>
  </si>
  <si>
    <t>Substituição de seccionadora SC12831 por outra seccionadora com corrente nominal de 4.000 A.</t>
  </si>
  <si>
    <t>0009180/2022</t>
  </si>
  <si>
    <t>SC12831</t>
  </si>
  <si>
    <t>Substituição de disjuntor DJ12838 por outro disjuntor com corrente nominal de 4.000 A.</t>
  </si>
  <si>
    <t>0009181/2022</t>
  </si>
  <si>
    <t>DJ12838</t>
  </si>
  <si>
    <t>Substituição de disjuntor DJ12858 por outro disjuntor com corrente nominal de 4.000 A.</t>
  </si>
  <si>
    <t>0009182/2022</t>
  </si>
  <si>
    <t>DJ12858</t>
  </si>
  <si>
    <t>Substituição da fase A do transformador de corrente (TC) associado ao disjuntor DJ12858 por outro TC com corrente nominal de 4.000 A.</t>
  </si>
  <si>
    <t>0009183/2022</t>
  </si>
  <si>
    <t>TC do DJ12858 - Fase A</t>
  </si>
  <si>
    <t>Substituição da fase B do transformador de corrente (TC) associado ao disjuntor DJ12858 por outro TC com corrente nominal de 4.000 A.</t>
  </si>
  <si>
    <t>0009184/2022</t>
  </si>
  <si>
    <t>TC do DJ12858 - Fase B</t>
  </si>
  <si>
    <t>Substituição da fase C do transformador de corrente (TC) associado ao disjuntor DJ12858 por outro TC com corrente nominal de 4.000 A.</t>
  </si>
  <si>
    <t>0009185/2022</t>
  </si>
  <si>
    <t>TC do DJ12858 - Fase C</t>
  </si>
  <si>
    <t>Substituição da fase A do transformador de corrente (TC) associado ao disjuntor DJ12848 por outro TC com corrente nominal de 4.000 A.</t>
  </si>
  <si>
    <t>0009186/2022</t>
  </si>
  <si>
    <t>TC do DJ12848 - Fase A</t>
  </si>
  <si>
    <t>Substituição da fase B do transformador de corrente (TC) associado ao disjuntor DJ12848 por outro TC com corrente nominal de 4.000 A.</t>
  </si>
  <si>
    <t>0009187/2022</t>
  </si>
  <si>
    <t>TC do DJ12848 - Fase B</t>
  </si>
  <si>
    <t>Substituição da fase C do transformador de corrente (TC) associado ao disjuntor DJ12848 por outro TC com corrente nominal de 4.000 A.</t>
  </si>
  <si>
    <t>0009188/2022</t>
  </si>
  <si>
    <t>TC do DJ12848 - Fase C</t>
  </si>
  <si>
    <t>Substituição da fase A do transformador de corrente (TC) associado ao disjuntor DJ12838 por outro TC com corrente nominal de 4.000 A.</t>
  </si>
  <si>
    <t>0009189/2022</t>
  </si>
  <si>
    <t>TC do DJ12838 - Fase A</t>
  </si>
  <si>
    <t>Substituição da fase B do transformador de corrente (TC) associado ao disjuntor DJ12838 por outro TC com corrente nominal de 4.000 A.</t>
  </si>
  <si>
    <t>0009190/2022</t>
  </si>
  <si>
    <t>TC do DJ12838 - Fase B</t>
  </si>
  <si>
    <t>Substituição da fase C do transformador de corrente (TC) associado ao disjuntor DJ12838 por outro TC com corrente nominal de 4.000 A.</t>
  </si>
  <si>
    <t>0009191/2022</t>
  </si>
  <si>
    <t>TC do DJ12838 - Fase C</t>
  </si>
  <si>
    <t>Substituição de seccionadora SC12843 por outra seccionadora com corrente nominal de 4.000 A.</t>
  </si>
  <si>
    <t>0009192/2022</t>
  </si>
  <si>
    <t>0009193/2022</t>
  </si>
  <si>
    <t>0009194/2022</t>
  </si>
  <si>
    <t>Substituição de disjuntor DJ12846 por outro disjuntor com corrente nominal de 4.000 A.</t>
  </si>
  <si>
    <t>0009195/2022</t>
  </si>
  <si>
    <t>DJ12846</t>
  </si>
  <si>
    <t>Substituição de disjuntor DJ12856 por outro disjuntor com corrente nominal de 4.000 A.</t>
  </si>
  <si>
    <t>0009196/2022</t>
  </si>
  <si>
    <t>DJ12856</t>
  </si>
  <si>
    <t>Substituição da fase A do transformador de corrente (TC) associado ao disjuntor DJ12846 por outro TC com corrente nominal de 4.000 A.</t>
  </si>
  <si>
    <t>0009197/2022</t>
  </si>
  <si>
    <t>TC do DJ12846 - Fase A</t>
  </si>
  <si>
    <t>Substituição da fase B do transformador de corrente (TC) associado ao disjuntor DJ12846 por outro TC com corrente nominal de 4.000 A.</t>
  </si>
  <si>
    <t>0009198/2022</t>
  </si>
  <si>
    <t>TC do DJ12846 - Fase B</t>
  </si>
  <si>
    <t>Substituição da fase C do transformador de corrente (TC) associado ao disjuntor DJ12846 por outro TC com corrente nominal de 4.000 A.</t>
  </si>
  <si>
    <t>0009199/2022</t>
  </si>
  <si>
    <t>TC do DJ12846 - Fase C</t>
  </si>
  <si>
    <t>Substituição da fase A do transformador de corrente (TC) associado ao disjuntor DJ12856 por outro TC com corrente nominal de 4.000 A.</t>
  </si>
  <si>
    <t>0009200/2022</t>
  </si>
  <si>
    <t>TC do DJ12856 - Fase A</t>
  </si>
  <si>
    <t>Substituição da fase B do transformador de corrente (TC) associado ao disjuntor DJ12856 por outro TC com corrente nominal de 4.000 A.</t>
  </si>
  <si>
    <t>0009201/2022</t>
  </si>
  <si>
    <t>TC do DJ12856 - Fase B</t>
  </si>
  <si>
    <t>Substituição da fase C do transformador de corrente (TC) associado ao disjuntor DJ12856 por outro TC com corrente nominal de 4.000 A.</t>
  </si>
  <si>
    <t>0009202/2022</t>
  </si>
  <si>
    <t>TC do DJ12856 - Fase C</t>
  </si>
  <si>
    <t>Instalação de um módulo de manobra de interligação de barras associada ao reator de barra manobrável 500 kV PDRE7-01 3x50 Mvar autorizado pela ReA 11.450/2022, configuração DJM.
Reforço associado a Melhorias de Grande Porte (SGPMR nº 004458/2018)</t>
  </si>
  <si>
    <t>0009275/2022</t>
  </si>
  <si>
    <t>Instalação da cadeia de proteção de barras alternada, referente às barras P e PT de 230 kV da SE Itajaí, incluindo uma Unidade Central e sete unidades de Bay (vãos TF 1 230/138 kV, TF 2 230/138 kV, TF 3 230/138 kV, TF 4 230/138 kV e Interligador de Barras - IB, LT 230 kV Itajaí - Blumenau C-1 e C2), painéis e cabos de controle e potência associados.</t>
  </si>
  <si>
    <t>0000179/2023</t>
  </si>
  <si>
    <t>Instalação da cadeia de proteção de barras alternada, referente às barras A e B de 230 kV da SE Passo Fundo, incluindo uma Unidade Central e onze unidades de Bay (vãos  LT 230 kV Nova Prata 2 C-1 e C-2,  LT 230 kV U. Passo Fundo C-1 e C-2,  LT 230 kV Guarita C-1, LT 230 kV Xanxerê C-1 e C-2, LT 230 kV Santa Marta C-1, TF 3 230/138 kV, TF 5 230/138 kV e Interligador de Barras - IB), painéis e cabos de controle e potência associados.</t>
  </si>
  <si>
    <t>0000180/2023</t>
  </si>
  <si>
    <t>Substituição dos sistemas de proteção das Barras BR6A e BR6B e falha de disjuntor envolvendo 13 vãos existentes, 1 TIE e 1  vão futuro (nova LT 138 kV Porto Colômbia - Frutal 2 C2).</t>
  </si>
  <si>
    <t>0000283/2023</t>
  </si>
  <si>
    <t>Substituição dos sistemas de proteção do DJ618 referente ao MC 138 kV TR 13,8/138 kV P. COLOMBIA TRG1 MG</t>
  </si>
  <si>
    <t>TR 13,8/138 kV P. COLOMBIA TRG1 MG</t>
  </si>
  <si>
    <t>0000284/2023</t>
  </si>
  <si>
    <t>Substituição dos sistemas de proteção do DJ628 referente ao MC 138 kV TR 13,8/138 kV P. COLOMBIA TRG2 MG</t>
  </si>
  <si>
    <t>TR 13,8/138 kV P. COLOMBIA TRG2 MG</t>
  </si>
  <si>
    <t>0000285/2023</t>
  </si>
  <si>
    <t>Substituição dos sistemas de proteção do DJ638 referente ao MC 138 kV TR 13,8/138 kV P. COLOMBIA TRG3 MG</t>
  </si>
  <si>
    <t>TR 13,8/138 kV P. COLOMBIA TRG3 MG</t>
  </si>
  <si>
    <t>0000286/2023</t>
  </si>
  <si>
    <t>Substituição dos sistemas de proteção do DJ648 referente ao MC 138 kV TR 13,8/138 kV P. COLOMBIA TRG4 MG</t>
  </si>
  <si>
    <t>TR 13,8/138 kV P. COLOMBIA TRG4 MG</t>
  </si>
  <si>
    <t>0000287/2023</t>
  </si>
  <si>
    <t>Substituição dos sistemas de proteção do DJ6918 referente a  EL 138 kV P. COLOMBIA LT 138 kV BARRETOS 1 /P. COLOMBIA C-1 SP/MG</t>
  </si>
  <si>
    <t>0000288/2023</t>
  </si>
  <si>
    <t>Substituição dos sistemas de proteção do DJ678 referente ao TR 138/13,8 kV P. COLOMBIA TRSA MG</t>
  </si>
  <si>
    <t>0000292/2023</t>
  </si>
  <si>
    <t>Substituição dos sistemas de proteção do DJ608 referente a interligação das barras BR6A e BR6B (IB 138 kV MG 138 kV P. COLOMBIA MG1 MG IB1)</t>
  </si>
  <si>
    <t>IB 138 kV MG 138 kV P. COLOMBIA MG1 MG IB1</t>
  </si>
  <si>
    <t>0000293/2023</t>
  </si>
  <si>
    <t>600</t>
  </si>
  <si>
    <t>Implementação do Projeto Multi infeed, contemplando os sistemas: 
- Sistema de PMU (Composto por 1 IED PMU classe de exatidão "P" e 1 IED PMU classe de exatidão "M" para atender o TR-ZD1); 
- Equipamento PDC Principal;
- Rede de Comunicação (composta por 1 bastidor com 2 switches e 1 equipamento de sincronismo);</t>
  </si>
  <si>
    <t>CV 600/600 kV IBIUNA CV1 SP</t>
  </si>
  <si>
    <t>0000300/2023</t>
  </si>
  <si>
    <t>Implementação do Projeto Multi infeed, contemplando os sistemas: 
- Sistema de PMU (Composto por 1 IED PMU classe de exatidão "P" e 1 IED PMU classe de exatidão "M" para atender o TR-ZG1);</t>
  </si>
  <si>
    <t>CV 600/600 kV IBIUNA CV2 SP</t>
  </si>
  <si>
    <t>0000301/2023</t>
  </si>
  <si>
    <t>Implementação do Projeto Multi infeed, contemplando os sistemas: 
- Sistema de PMU (Composto por 1 IED PMU classe de exatidão "P" e 1 IED PMU classe de exatidão "M" para atender o TR-ZE1)</t>
  </si>
  <si>
    <t>CV 600/600 kV IBIUNA CV3 SP</t>
  </si>
  <si>
    <t>0000303/2023</t>
  </si>
  <si>
    <t>Implementação do Projeto Multi infeed, contemplando os sistemas: 
- Sistema de PMU(Composto por 1 IED PMU classe de exatidão "P" e 1 IED PMU classe de exatidão "M" para atender o TR-ZH1);</t>
  </si>
  <si>
    <t>CV 600/600 kV IBIUNA CV4 SP</t>
  </si>
  <si>
    <t>0000304/2023</t>
  </si>
  <si>
    <t>Implementação do Projeto Multi infeed, contemplando os sistemas: 
- Sistema de PMU (Composto por 1 IED PMU classe de exatidão "P" e 1 IED PMU classe de exatidão "M" para atender o TR-ZL1); 
- Equipamento PDC Secundário;
- Rede de Comunicação (composta de 1 bastidor com 2 switches e 1 equipamento de sincronismo); 
- Substituição do Roteador existente no ONS.</t>
  </si>
  <si>
    <t>CV 600/600 kV IBIUNA CV5 SP</t>
  </si>
  <si>
    <t>0000305/2023</t>
  </si>
  <si>
    <t>Implementação do Projeto Multi infeed, contemplando os sistemas: 
- Sistema de PMU (Composto por 1 IED PMU classe de exatidão "P" e 1 IED PMU classe de exatidão "M" para atender o TR-ZP1);</t>
  </si>
  <si>
    <t>CV 600/600 kV IBIUNA CV6 SP</t>
  </si>
  <si>
    <t>0000307/2023</t>
  </si>
  <si>
    <t>Implementação do Projeto Multi infeed, contemplando os sistemas: 
- Sistema de PMU (Composto por 1 IED PMU classe de exatidão "P" e 1 IED PMU classe de exatidão "M" para atender o TR-ZM1);</t>
  </si>
  <si>
    <t>CV 600/600 kV IBIUNA CV7 SP</t>
  </si>
  <si>
    <t>0000308/2023</t>
  </si>
  <si>
    <t>Implementação do Projeto Multi infeed, contemplando os sistemas: 
- Sistema de PMU (Composto por 1 IED PMU classe de exatidão "P" e 1 IED PMU classe de exatidão "M" para atender o TR-ZQ1);</t>
  </si>
  <si>
    <t>CV 600/600 kV IBIUNA CV8 SP</t>
  </si>
  <si>
    <t>0000309/2023</t>
  </si>
  <si>
    <t>CV 600/600 kV F.IGUACU 50HZ CV1 PR</t>
  </si>
  <si>
    <t>0000310/2023</t>
  </si>
  <si>
    <t>CV 600/600 kV F.IGUACU 50HZ CV2 PR</t>
  </si>
  <si>
    <t>0000311/2023</t>
  </si>
  <si>
    <t>Implementação do Projeto Multi infeed, contemplando os sistemas: 
- Sistema de PMU (Composto por 1 IED PMU classe de exatidão "P" e 1 IED PMU classe de exatidão "M" para atender o TR-ZE1);</t>
  </si>
  <si>
    <t>CV 600/600 kV F.IGUACU 50HZ CV3 PR</t>
  </si>
  <si>
    <t>0000313/2023</t>
  </si>
  <si>
    <t>Implementação do Projeto Multi infeed, contemplando os sistemas: 
- Sistema de PMU (Composto por 1 IED PMU classe de exatidão "P" e 1 IED PMU classe de exatidão "M" para atender o TR-ZH1);</t>
  </si>
  <si>
    <t>CV 600/600 kV F.IGUACU 50HZ CV4 PR</t>
  </si>
  <si>
    <t>0000315/2023</t>
  </si>
  <si>
    <t>Implementação do Projeto Multi infeed, contemplando os sistemas: 
- Sistema de PMU (Composto por 1 IED PMU classe de exatidão "P" e 1 IED PMU classe de exatidão "M" para atender o TR-ZL1); 
- Equipamento PDC Secundário;
- Rede de Comunicação (composta por 1 bastidor com 2 switches e 1 equipamento de sincronismo);</t>
  </si>
  <si>
    <t>CV 600/600 kV F.IGUACU 50HZ CV5 PR</t>
  </si>
  <si>
    <t>0000316/2023</t>
  </si>
  <si>
    <t>CV 600/600 kV F.IGUACU 50HZ CV6 PR</t>
  </si>
  <si>
    <t>0000317/2023</t>
  </si>
  <si>
    <t>CV 600/600 kV F.IGUACU 50HZ CV7 PR</t>
  </si>
  <si>
    <t>0000318/2023</t>
  </si>
  <si>
    <t>CV 600/600 kV F.IGUACU 50HZ CV8 PR</t>
  </si>
  <si>
    <t>0000319/2023</t>
  </si>
  <si>
    <t>Remanejamento do autotransformador TR3 da SE Barreiro I, fases A, B e C (nº de série: D552646, D552647 e D552648), para substituir o banco AT04 da subestação Poços de Caldas que está em fim de vida útil técnica e regulatória.</t>
  </si>
  <si>
    <t>TR 345/138 kV POCOS CALDAS TR4 MG</t>
  </si>
  <si>
    <t>0000564/2023</t>
  </si>
  <si>
    <t>AT04-A</t>
  </si>
  <si>
    <t>Recuperação do comutador em carga (CDC) instalado no transformador regulador da fase A, número de série 111333-1, com substituição de componentes menores (COM) de valores relevantes.</t>
  </si>
  <si>
    <t>0000546/2023</t>
  </si>
  <si>
    <t>TRRG03-A</t>
  </si>
  <si>
    <t>Recuperação do comutador em carga (CDC) instalado no transformador regulador da fase C, número de série 60013, com substituição de componentes menores (COM) de valores relevantes.</t>
  </si>
  <si>
    <t>0000550/2023</t>
  </si>
  <si>
    <t>AT04-C</t>
  </si>
  <si>
    <t>Recuperação do comutador em carga (CDC) instalado no transformador regulador da fase C, número de série 156483, com substituição de componentes menores (COM) de valores relevantes.</t>
  </si>
  <si>
    <t>0000551/2023</t>
  </si>
  <si>
    <t>AT05-C</t>
  </si>
  <si>
    <t>Recuperação do comutador em carga (CDC) instalado no transformador regulador da fase C, número de série GM99909, com substituição de componentes menores (COM) de valores relevantes.</t>
  </si>
  <si>
    <t>0000552/2023</t>
  </si>
  <si>
    <t>AT06-C</t>
  </si>
  <si>
    <t>Recuperação do comutador em carga (CDC) instalado no transformador regulador da fase C, número de série 8743008, com substituição de componentes menores (COM) de valores relevantes.</t>
  </si>
  <si>
    <t>0000553/2023</t>
  </si>
  <si>
    <t>AT07-C</t>
  </si>
  <si>
    <t>Recuperação do comutador em carga (CDC) instalado no transformador regulador da fase A, número de série 60196, com substituição de componentes menores (COM) de valores relevantes.</t>
  </si>
  <si>
    <t>TR 765/500 kV TIJUCO PRETO TR1 SP</t>
  </si>
  <si>
    <t>0000555/2023</t>
  </si>
  <si>
    <t>TRRG1-A</t>
  </si>
  <si>
    <t>Recuperação do comutador em carga (CDC) instalado no transformador regulador da fase B, número de série 60195, com substituição de componentes menores (COM) de valores relevantes.</t>
  </si>
  <si>
    <t>0000556/2023</t>
  </si>
  <si>
    <t>TRRG1-B</t>
  </si>
  <si>
    <t>Recuperação do comutador em carga (CDC) instalado no transformador regulador da fase C, número de série 60194, com substituição de componentes menores (COM) de valores relevantes.</t>
  </si>
  <si>
    <t>0000557/2023</t>
  </si>
  <si>
    <t>TRRG1-C</t>
  </si>
  <si>
    <t>Recuperação do comutador em carga (CDC) instalado no transformador regulador da fase A, número de série 2P8409-5, com substituição de componentes menores (COM) de valores relevantes.</t>
  </si>
  <si>
    <t>TR 765/500 kV TIJUCO PRETO TR2 SP</t>
  </si>
  <si>
    <t>0000558/2023</t>
  </si>
  <si>
    <t>TRRG2-A</t>
  </si>
  <si>
    <t>Recuperação do comutador em carga (CDC) instalado no transformador regulador da fase B, número de série 2P8409-2, com substituição de componentes menores (COM) de valores relevantes.</t>
  </si>
  <si>
    <t>0000559/2023</t>
  </si>
  <si>
    <t>TRRG2-B</t>
  </si>
  <si>
    <t>Recuperação do comutador em carga (CDC) instalado no transformador regulador da fase C, número de série 2P8409-1, com substituição de componentes menores (COM) de valores relevantes.</t>
  </si>
  <si>
    <t>0000560/2023</t>
  </si>
  <si>
    <t>TRRG2-C</t>
  </si>
  <si>
    <t>Recuperação do comutador em carga (CDC) instalado no transformador regulador da fase A, número de série SPT12194, com substituição de componentes menores (COM) de valores relevantes.</t>
  </si>
  <si>
    <t>0000561/2023</t>
  </si>
  <si>
    <t>TRRG3-A</t>
  </si>
  <si>
    <t>Recuperação do comutador em carga (CDC) instalado no transformador regulador da fase B, número de série SPT12193, com substituição de componentes menores (COM) de valores relevantes.</t>
  </si>
  <si>
    <t>0000562/2023</t>
  </si>
  <si>
    <t>TRRG3-B</t>
  </si>
  <si>
    <t>Recuperação do comutador em carga (CDC) instalado no transformador regulador da fase C, número de série SPT12191, com substituição de componentes menores (COM) de valores relevantes.</t>
  </si>
  <si>
    <t>0000563/2023</t>
  </si>
  <si>
    <t>TRRG3-C</t>
  </si>
  <si>
    <t>Substituição de trafo de potência TRRG 03- FASE A (n° serie: SPT-12194, cod. mat.: 10183712</t>
  </si>
  <si>
    <t>0000703/2023</t>
  </si>
  <si>
    <t>TRRG 03 - FASE A</t>
  </si>
  <si>
    <t>Substituição dos painéis de SPCS da Proteção de Barras (Cadeia Principal - 230 kV) VCBR6-01 e VCBR6-02 com vida útil esgotada por um novo, com características similares.</t>
  </si>
  <si>
    <t>0000711/2023</t>
  </si>
  <si>
    <t>VCBR6-01 e VCBR6-02</t>
  </si>
  <si>
    <t>Instalação dos painéis de SPCS da Proteção de Barras (Cadeia Alternada) VCBR6-01 e VCBR6-02 para atendimento ao Procedimento de Rede, totalizando a instalação de 25 bay units.</t>
  </si>
  <si>
    <t>0000712/2023</t>
  </si>
  <si>
    <t>Substituição de 01 (um) Autotransformador monofásico 500/230 kV, fase C, potência 100 MVA, posição operacional 05T1, na Subestação SJI, inclusive adequações necessárias.</t>
  </si>
  <si>
    <t>TR 500/230 kV S.JOAO PIAUI TR1 PI</t>
  </si>
  <si>
    <t>0000719/2023</t>
  </si>
  <si>
    <t>11348255</t>
  </si>
  <si>
    <t>Substituição de 02 (dois) Autotransformadores monofásicos 500/230 kV, fases A e B, potência 100 MVA cada, posição operacional 05T1, na Subestação SJI, inclusive adequações necessárias.</t>
  </si>
  <si>
    <t>0000720/2023</t>
  </si>
  <si>
    <t>11348258;11348257</t>
  </si>
  <si>
    <t>Substituição de 01 (um) Autotransformador 500/230 kV, potência 100 MVA, posição operacional 05TR, na Subestação SJI, inclusive adequações necessárias.</t>
  </si>
  <si>
    <t>TRR 500/230 kV S.JOAO PIAUI TRR1 PI</t>
  </si>
  <si>
    <t>0000721/2023</t>
  </si>
  <si>
    <t>11348256</t>
  </si>
  <si>
    <t>Instalação de 1 TPC na fase A em substituição ao BPD existente na bucha da unidade do banco de autotransformador 765/500/69kV AT01</t>
  </si>
  <si>
    <t>0000776/2023</t>
  </si>
  <si>
    <t>BPDAT01 Fase A</t>
  </si>
  <si>
    <t>Instalação de 1 TPC na fase B em substituição ao BPD existente na bucha da unidade do banco de autotransformador 765/500/69kV AT01</t>
  </si>
  <si>
    <t>0000777/2023</t>
  </si>
  <si>
    <t>BPDAT01 Fase B</t>
  </si>
  <si>
    <t>Instalação de 1 TPC na fase C em substituição ao BPD existente na bucha da unidade do banco de autotransformador 765/500/69kV AT01</t>
  </si>
  <si>
    <t>0000778/2023</t>
  </si>
  <si>
    <t>BPDAT01 Fase C</t>
  </si>
  <si>
    <t>Instalação de 1 TPC na fase A em substituição ao BPD existente na bucha da unidade do banco de autotransformador 765/500/69kV AT02</t>
  </si>
  <si>
    <t>0000779/2023</t>
  </si>
  <si>
    <t>BPDAT02 Fase A</t>
  </si>
  <si>
    <t>Instalação de 1 TPC na fase B em substituição ao BPD existente na bucha da unidade do banco de autotransformador 765/500/69kV AT02</t>
  </si>
  <si>
    <t>0000780/2023</t>
  </si>
  <si>
    <t>BPDAT02 Fase B</t>
  </si>
  <si>
    <t>Instalação de 1 TPC na fase C em substituição ao BPD existente na bucha da unidade do banco de autotransformador 765/500/69kV AT02</t>
  </si>
  <si>
    <t>0000781/2023</t>
  </si>
  <si>
    <t>BPDAT02 Fase C</t>
  </si>
  <si>
    <t>Instalação de 1 TPC na fase A em substituição ao BPD existente na bucha da unidade do banco de autotransformador 765/500/69kV AT03</t>
  </si>
  <si>
    <t>0000782/2023</t>
  </si>
  <si>
    <t>BPDAT03 Fase A</t>
  </si>
  <si>
    <t>Instalação de 1 TPC na fase B em substituição ao BPD existente na bucha da unidade do banco de autotransformador 765/500/69kV AT03</t>
  </si>
  <si>
    <t>0000783/2023</t>
  </si>
  <si>
    <t>BPDAT03 Fase B</t>
  </si>
  <si>
    <t>Instalação de 1 TPC na fase C em substituição ao BPD existente na bucha da unidade do banco de autotransformador 765/500/69kV AT03</t>
  </si>
  <si>
    <t>0000784/2023</t>
  </si>
  <si>
    <t>BPDAT03 Fase C</t>
  </si>
  <si>
    <t>Instalação de 1 TPC na fase A em substituição ao BPD existente na bucha da unidade do banco de autotransformador 765/500/69kV AT04</t>
  </si>
  <si>
    <t>0000785/2023</t>
  </si>
  <si>
    <t>BPDAT04 Fase A</t>
  </si>
  <si>
    <t>Instalação de 1 TPC na fase B em substituição ao BPD existente na bucha da unidade do banco de autotransformador 765/500/69kV AT04</t>
  </si>
  <si>
    <t>0000786/2023</t>
  </si>
  <si>
    <t>BPDAT04 Fase B</t>
  </si>
  <si>
    <t>Instalação de 1 TPC na fase C em substituição ao BPD existente na bucha da unidade do banco de autotransformador 765/500/69kV AT04</t>
  </si>
  <si>
    <t>0000787/2023</t>
  </si>
  <si>
    <t>BPDAT04 Fase C</t>
  </si>
  <si>
    <t>Substituição da UPS A e B Casa de Força da Usina de Furnas</t>
  </si>
  <si>
    <t>MG 345 kV FURNAS MG1 MG</t>
  </si>
  <si>
    <t>0008208/2023</t>
  </si>
  <si>
    <t>Substituição do reator da LT Poços de Caldas – Itajubá – fase A</t>
  </si>
  <si>
    <t>LT 500 kV POCOS CALDAS /ITAJUBA 3 C-1 MG</t>
  </si>
  <si>
    <t>0003046/2023</t>
  </si>
  <si>
    <t>RTPCIJ fase  A</t>
  </si>
  <si>
    <t>Substituição do reator da LT Poços de Caldas – Itajubá – fase B</t>
  </si>
  <si>
    <t>0003048/2023</t>
  </si>
  <si>
    <t>RTPCIJ fase  B</t>
  </si>
  <si>
    <t>Substituição do reator da LT Poços de Caldas – Itajubá – fase C</t>
  </si>
  <si>
    <t>0003049/2023</t>
  </si>
  <si>
    <t>RTPCIJ fase  C</t>
  </si>
  <si>
    <t>Substituição do reator da LT Poços de Caldas – Itajubá – fase reserva</t>
  </si>
  <si>
    <t>0003051/2023</t>
  </si>
  <si>
    <t>RTPCIJ fase  reserva</t>
  </si>
  <si>
    <t>L.C.BARRETO</t>
  </si>
  <si>
    <t>Substituição da UPS Casa de Força da Usina L C Barreto de Carvalho</t>
  </si>
  <si>
    <t>MG L.C.BARRETO / CCO-2001-062 - RB</t>
  </si>
  <si>
    <t>0008204/2023</t>
  </si>
  <si>
    <t>ITUTINGA</t>
  </si>
  <si>
    <t>Substituição da UAC01 - SINOCON de supervisão da linha LT 345 kV FURNAS /ITUTINGA C-1 MG</t>
  </si>
  <si>
    <t>0003064/2023</t>
  </si>
  <si>
    <t>UAC 01_A - SINOCOM - LTFUIT2. Código SAP 10255338</t>
  </si>
  <si>
    <t>Substituição da UAC03 - SINOCON de supervisão da linha FT LT 345 kV ADRIANOPOLIS /ITUTINGA C-1 RJ/MG</t>
  </si>
  <si>
    <t>LT 345 kV ADRIANOPOLIS /ITUTINGA C-1 RJ/MG</t>
  </si>
  <si>
    <t>0003065/2023</t>
  </si>
  <si>
    <t>UAC 03_A - SINOCOM - LTFUIT2. Código SAP 10255336</t>
  </si>
  <si>
    <t>Substituição da UAC04 - SINOCON de supervisão da linha FT LT 345 kV ADRIANOPOLIS /ITUTINGA C-2 RJ/MG</t>
  </si>
  <si>
    <t>LT 345 kV ADRIANOPOLIS /ITUTINGA C-2 RJ/MG</t>
  </si>
  <si>
    <t>0003066/2023</t>
  </si>
  <si>
    <t>UAC 04_A - SINOCOM - LTFUIT2. Código SAP 10255335</t>
  </si>
  <si>
    <t>Substituição da UAC02 - SINOCOM de Supervisão da Linha LT 345kV FURNAS / ITUTINGA C-2 MG</t>
  </si>
  <si>
    <t>0003067/2023</t>
  </si>
  <si>
    <t>UAC 02_A - SINOCOM - LTFUIT2</t>
  </si>
  <si>
    <t>Substituição da UAC05 - SINOCOM de Supervisão do  VÃO DE AMARRE MG</t>
  </si>
  <si>
    <t>MG ITUTINGA / CCO-2001-062 - RB</t>
  </si>
  <si>
    <t>0003069/2023</t>
  </si>
  <si>
    <t>UAC 05_A - SINOCOM - VAO DE AMARRE</t>
  </si>
  <si>
    <t>Reforma da UG01. Serão substituídos o estator (carcaça, núcleo e enrolamento estatórico), 16 (dezesseis) trocadores de calor, 01 (um) sistema de retrolavagem, 01 (um) sistema de monitoramento para entreferro, descargas parciais, fluxo magnético, inspeção termográfica, temperatura do rotor e estator (enrolamento e núcleo), e fornecimento de 88 (oitenta e oito) polos novos.</t>
  </si>
  <si>
    <t>UNIDADE GERADORA 01  - TUGER-01</t>
  </si>
  <si>
    <t>0000818/2023</t>
  </si>
  <si>
    <t>12399344</t>
  </si>
  <si>
    <t>Reforma da UG03. Serão substituídos o estator (carcaça, núcleo e enrolamento estatórico), 16 (dezesseis) trocadores de calor, 01 (um) sistema de retrolavagem, 01 (um) sistema de monitoramento para entreferro, descargas parciais, fluxo magnético, inspeção termográfica, temperatura do rotor e estator (enrolamento e núcleo) e reforma de 22 (vinte e dois) polos para serem utilizados como sobressalentes.</t>
  </si>
  <si>
    <t>UNIDADE GERADORA 03  - TUGER-03</t>
  </si>
  <si>
    <t>0000819/2023</t>
  </si>
  <si>
    <t>12405658</t>
  </si>
  <si>
    <t>Reforma da UG05. Serão substituídos o estator (carcaça, núcleo e enrolamento estatórico), 16 (dezesseis) trocadores de calor, 01 (um) sistema de retrolavagem, 01 (um) sistema de monitoramento para entreferro, descargas parciais, fluxo magnético, inspeção termográfica, temperatura do rotor e estator (enrolamento e núcleo) e reforma dos 88 (oitenta e oito) polos.</t>
  </si>
  <si>
    <t>UNIDADE GERADORA 05 - TUGER-05</t>
  </si>
  <si>
    <t>0000820/2023</t>
  </si>
  <si>
    <t>12406457</t>
  </si>
  <si>
    <t>Reforma da UG07. Serão substituídos o estator (carcaça, núcleo e enrolamento estatórico), 16 (dezesseis) trocadores de calor, 01 (um) sistema de retrolavagem, 01 (um) sistema de monitoramento para entreferro, descargas parciais, fluxo magnético, inspeção termográfica, temperatura do rotor e estator (enrolamento e núcleo) e reforma dos 88 (oitenta e oito) polos.</t>
  </si>
  <si>
    <t>UNIDADE GERADORA 07 - TUGER-07</t>
  </si>
  <si>
    <t>0000821/2023</t>
  </si>
  <si>
    <t>12406955</t>
  </si>
  <si>
    <t>Reforma da UG09. Serão substituídos o estator (carcaça, núcleo e enrolamento estatórico), 16 (dezesseis) trocadores de calor, 01 (um) sistema de retrolavagem, 01 (um) sistema de monitoramento para entreferro, descargas parciais, fluxo magnético, inspeção termográfica, temperatura do rotor e estator (enrolamento e núcleo) e reforma dos 88 (oitenta e oito) polos.</t>
  </si>
  <si>
    <t>UNIDADE GERADORA 09  - TUGER-09</t>
  </si>
  <si>
    <t>0000822/2023</t>
  </si>
  <si>
    <t>12407484</t>
  </si>
  <si>
    <t>SUBSTITUIÇÃO DO TRANSFORMADOR TRIFÁSICO - 230/69/13,8 kV, 100 MVA - IZTF6-04</t>
  </si>
  <si>
    <t>0000958/2023</t>
  </si>
  <si>
    <t>IZTF6-04</t>
  </si>
  <si>
    <t>Substituição de reator RTIATP2 FASE B (nº serie: 57539, cod. mat.: 10183960).</t>
  </si>
  <si>
    <t>0000884/2023</t>
  </si>
  <si>
    <t>RTIATP2 FASE B</t>
  </si>
  <si>
    <t>Substituição de reator RTIATP2 FASE C (nº serie: 57536, cod. mat.: 10183957).</t>
  </si>
  <si>
    <t>0000885/2023</t>
  </si>
  <si>
    <t>RTIATP2 FASE C</t>
  </si>
  <si>
    <t>Substituição de reator RESERVA 1 - RTIATP1/2/3 (nº serie: 57535, cod. mat.: 10183956).</t>
  </si>
  <si>
    <t>0000886/2023</t>
  </si>
  <si>
    <t>REATOR 750 kV RESERVA 1 - RTIATP1/2/3</t>
  </si>
  <si>
    <t>Substituição de trafo potencia AT03 FASE A (nº serie: SP-T-12188, cod. mat.: 10182557).</t>
  </si>
  <si>
    <t>0000887/2023</t>
  </si>
  <si>
    <t>AT03 FASE A</t>
  </si>
  <si>
    <t>Substituição de trafo potencia AT03 FASE B (nº serie: SP-T-12186, cod. mat.: 10182556).</t>
  </si>
  <si>
    <t>0000888/2023</t>
  </si>
  <si>
    <t>AT03 FASE B</t>
  </si>
  <si>
    <t>Substituição de trafo potencia AT03 FASE C (nº serie: SP-T-12185, cod. mat.: 10182555).</t>
  </si>
  <si>
    <t>0000889/2023</t>
  </si>
  <si>
    <t>AT03 FASE C</t>
  </si>
  <si>
    <t>Substituição de trafo potencia TRRG 03 - FASE B (nº serie: SPT-12193, cod. mat.: 10183711).</t>
  </si>
  <si>
    <t>0000890/2023</t>
  </si>
  <si>
    <t>TRRG 03 - FASE B</t>
  </si>
  <si>
    <t>Substituição de trafo potencia TRRG 03 - FASE C (nº serie: SPT-12191, cod. mat.: 10183710).</t>
  </si>
  <si>
    <t>0000891/2023</t>
  </si>
  <si>
    <t>TRRG 03 - FASE C</t>
  </si>
  <si>
    <t>Substituição de reator RT01 FASE A (nº serie: 57717, cod. mat.: 10183982).</t>
  </si>
  <si>
    <t>RT 69 kV 180 Mvar TIJUCO PRETO RT1 SP</t>
  </si>
  <si>
    <t>0000892/2023</t>
  </si>
  <si>
    <t>RT01 FASE A</t>
  </si>
  <si>
    <t>Substituição de reator RT01 FASE B (nº serie: 57720, cod. mat.: 10183984).</t>
  </si>
  <si>
    <t>0000893/2023</t>
  </si>
  <si>
    <t>RT01 FASE B</t>
  </si>
  <si>
    <t>Substituição de reator RT01 FASE C (nº serie: 57719, cod. mat.: 10183983).</t>
  </si>
  <si>
    <t>0000894/2023</t>
  </si>
  <si>
    <t>RT01 FASE C</t>
  </si>
  <si>
    <t>Substituição de reator RT02 FASE A (nº serie: 57714, cod. mat.: 10183980).</t>
  </si>
  <si>
    <t>RT 69 kV 180 Mvar TIJUCO PRETO RT2 SP</t>
  </si>
  <si>
    <t>0000895/2023</t>
  </si>
  <si>
    <t>RT02 FASE A</t>
  </si>
  <si>
    <t>Substituição de reator RT02 FASE B (nº serie: 57710, cod. mat.: 10183979).</t>
  </si>
  <si>
    <t>0000896/2023</t>
  </si>
  <si>
    <t>RT02 FASE B</t>
  </si>
  <si>
    <t>SUBSTITUIÇÃO DO REATOR PDRE7-02, FASE B, 525 kV, 50 MVAr</t>
  </si>
  <si>
    <t>0000968/2023</t>
  </si>
  <si>
    <t>PDRE7-02 FASE B</t>
  </si>
  <si>
    <t>Substituição de reator RT02 FASE C (nº serie: 57721, cod. mat.: 10183985).</t>
  </si>
  <si>
    <t>0000897/2023</t>
  </si>
  <si>
    <t>RT02 FASE C</t>
  </si>
  <si>
    <t>Substituição de trafo potencia AT01 FASE A (nº serie: 500920, cod. mat.: 10182715).</t>
  </si>
  <si>
    <t>0000898/2023</t>
  </si>
  <si>
    <t>AT01 FASE A</t>
  </si>
  <si>
    <t>Substituição de trafo potencia AT01 FASE B (nº serie: 500921, cod. mat.: 10182716).</t>
  </si>
  <si>
    <t>0000899/2023</t>
  </si>
  <si>
    <t>AT01 FASE B</t>
  </si>
  <si>
    <t>Substituição de trafo potencia AT01 FASE C (nº serie: 500922, cod. mat.: 10182717).</t>
  </si>
  <si>
    <t>0000900/2023</t>
  </si>
  <si>
    <t>AT01 FASE C</t>
  </si>
  <si>
    <t>Substituição de trafo de aterramento TRANSF. ATERRAM. AT01 TERCIÁRIO FASE A (nº serie: 50008P, cod. mat.: 10183185).</t>
  </si>
  <si>
    <t>0000901/2023</t>
  </si>
  <si>
    <t>TRANSF. ATERRAM. AT01 TERCIÁRIO FASE A</t>
  </si>
  <si>
    <t>Substituição de trafo de aterramento TRANSF. ATERRAM. AT01 TERCIÁRIO FASE B (nº serie: 50009P, cod. mat.: 10183186).</t>
  </si>
  <si>
    <t>0000902/2023</t>
  </si>
  <si>
    <t>TRANSF. ATERRAM. AT01 TERCIÁRIO FASE B</t>
  </si>
  <si>
    <t>Substituição de trafo de aterramento TRANSF. ATERRAM. AT01 TERCIÁRIO FASE C (nº serie: 50010P, cod. mat.: 10183187).</t>
  </si>
  <si>
    <t>0000903/2023</t>
  </si>
  <si>
    <t>TRANSF. ATERRAM. AT01 TERCIÁRIO FASE C</t>
  </si>
  <si>
    <t>Substituição de trafo potencia AT76V - AUTOTRAFO RESERVA (nº serie: 500923, cod. mat.: 10182718).</t>
  </si>
  <si>
    <t>TR 230/138 kV RIO VERDE FUR TRR1 GO</t>
  </si>
  <si>
    <t>0000906/2023</t>
  </si>
  <si>
    <t>AT76V - AUTOTRAFO RESERVA</t>
  </si>
  <si>
    <t>Substituição de trafo potencia AT01 FASE A (nº serie: GM99910, cod. mat.: 10182541).</t>
  </si>
  <si>
    <t>0000908/2023</t>
  </si>
  <si>
    <t>Substituição de trafo potencia AT01 FASE C (nº serie: GM99911, cod. mat.: 10182543).</t>
  </si>
  <si>
    <t>0000909/2023</t>
  </si>
  <si>
    <t>Substituição de trafo potencia TRRG01 FASE A (nº serie: GM99912, cod. mat.: 10183703).</t>
  </si>
  <si>
    <t>0000910/2023</t>
  </si>
  <si>
    <t>TRRG01 FASE A</t>
  </si>
  <si>
    <t>Substituição de trafo potencia TRRG01 FASE B (nº serie: SPT-12192, cod. mat.: 10183705).</t>
  </si>
  <si>
    <t>0000911/2023</t>
  </si>
  <si>
    <t>TRRG01 FASE B</t>
  </si>
  <si>
    <t>Substituição de trafo potencia TRRG01 FASE C (nº serie: GM99913, cod. mat.: 10183706).</t>
  </si>
  <si>
    <t>0000912/2023</t>
  </si>
  <si>
    <t>TRRG01 FASE C</t>
  </si>
  <si>
    <t>Substituição de reator RT1A FASE A (nº serie: 57712, cod. mat.: 10183991).</t>
  </si>
  <si>
    <t>0000913/2023</t>
  </si>
  <si>
    <t>RT1A FASE A</t>
  </si>
  <si>
    <t>Substituição de reator RT1A FASE B (nº serie: 57707, cod. mat.: 10183987).</t>
  </si>
  <si>
    <t>0000915/2023</t>
  </si>
  <si>
    <t>RT1A FASE B</t>
  </si>
  <si>
    <t>Substituição de reator RT1A FASE C (nº serie: 57713, cod. mat.: 10183992).</t>
  </si>
  <si>
    <t>0000917/2023</t>
  </si>
  <si>
    <t>RT1A FASE C</t>
  </si>
  <si>
    <t>Substituição de reator RT1B FASE A (nº serie: 57708, cod. mat.: 10183988).</t>
  </si>
  <si>
    <t>0000918/2023</t>
  </si>
  <si>
    <t>RT1B FASE A</t>
  </si>
  <si>
    <t>Substituição de reator RT1B FASE B (nº serie: 57706, cod. mat.: 10183986).</t>
  </si>
  <si>
    <t>0000920/2023</t>
  </si>
  <si>
    <t>RT1B FASE B</t>
  </si>
  <si>
    <t>Substituição de reator RT1B FASE C (nº serie: 57709, cod. mat.: 10183989).</t>
  </si>
  <si>
    <t>0000922/2023</t>
  </si>
  <si>
    <t>RT1B FASE C</t>
  </si>
  <si>
    <t>Substituição de reator RT1C FASE A (nº serie: 57718, cod. mat.: 10183994).</t>
  </si>
  <si>
    <t>0000923/2023</t>
  </si>
  <si>
    <t>RT1C FASE A</t>
  </si>
  <si>
    <t>Substituição de reator RT1C FASE B (nº serie: 57722, cod. mat.: 10183995).</t>
  </si>
  <si>
    <t>0000926/2023</t>
  </si>
  <si>
    <t>RT1C FASE B</t>
  </si>
  <si>
    <t>Substituição de reator RT1C FASE C (nº serie: 57715, cod. mat.: 10183993).</t>
  </si>
  <si>
    <t>0000928/2023</t>
  </si>
  <si>
    <t>RT1C FASE C</t>
  </si>
  <si>
    <t>Substituição de trafo potencia AT129V - AUTOTRAFO RESERVA (nº serie: SPT-12184, cod. mat.: 10182542).</t>
  </si>
  <si>
    <t>0000930/2023</t>
  </si>
  <si>
    <t>AT129V - AUTOTRAFO RESERVA</t>
  </si>
  <si>
    <t>Substituição de trafo potencia TRRG09V (nº serie: SPT-12190, cod. mat.: 10183704).</t>
  </si>
  <si>
    <t>0000933/2023</t>
  </si>
  <si>
    <t>TRRG09V</t>
  </si>
  <si>
    <t>Substituição de trafo potencia AT04 FASE C (nº serie: 58483, cod. mat.: 10182535).</t>
  </si>
  <si>
    <t>0000934/2023</t>
  </si>
  <si>
    <t>AT04 FASE C</t>
  </si>
  <si>
    <t>Substituição de trafo de aterramento TFAT - TERCIÁRIO AT04 13.8KV FASE A (nº serie: 54053-G, cod. mat.: 10183163).</t>
  </si>
  <si>
    <t>0000935/2023</t>
  </si>
  <si>
    <t>TFAT AT04 - TERCIÁRIO 13.8KV FASE A</t>
  </si>
  <si>
    <t>Substituição de trafo de aterramento TFAT - TERCIÁRIO AT04 13.8KV FASE B (nº serie: 54052-G, cod. mat.: 10183162).</t>
  </si>
  <si>
    <t>0000938/2023</t>
  </si>
  <si>
    <t>TFAT AT04 - TERCIÁRIO 13.8KV FASE B</t>
  </si>
  <si>
    <t>Substituição de trafo de aterramento TFAT - TERCIÁRIO AT04 13.8KV FASE C (nº serie: 54054-G, cod. mat.: 10183164).</t>
  </si>
  <si>
    <t>0000940/2023</t>
  </si>
  <si>
    <t>TFAT AT04 - TERCIÁRIO 13.8KV FASE C</t>
  </si>
  <si>
    <t>Substituição de trafo de potencia TR01 FASE A (nº serie: 56221, cod. mat.: 10182965).</t>
  </si>
  <si>
    <t>TR 230/69 kV BARRO ALTO TR1 GO</t>
  </si>
  <si>
    <t>0000946/2023</t>
  </si>
  <si>
    <t>TR01 FASE A</t>
  </si>
  <si>
    <t>Substituição de trafo de potencia TR01 FASE B (nº serie: 56223, cod. mat.: 10182968).</t>
  </si>
  <si>
    <t>0000948/2023</t>
  </si>
  <si>
    <t>TR01 FASE B</t>
  </si>
  <si>
    <t>Substituição de trafo de potencia TR01 FASE C (nº serie: 56220, cod. mat.: 10182966).</t>
  </si>
  <si>
    <t>0000949/2023</t>
  </si>
  <si>
    <t>TR01 FASE C</t>
  </si>
  <si>
    <t>Substituição de reator REATOR DE LINHA - RTBDSB1 FASE A (nº serie: 1534026, cod. mat.: 10184026).</t>
  </si>
  <si>
    <t>RT 345 kV 60 Mvar BANDEIRANTES RT1 GO</t>
  </si>
  <si>
    <t>0000953/2023</t>
  </si>
  <si>
    <t>REATOR DE LINHA - RTBDSB1 FASE A</t>
  </si>
  <si>
    <t>Substituição de reator REATOR DE LINHA - RTBDSB1 FASE B (nº serie: 1534023, cod. mat.: 10184027).</t>
  </si>
  <si>
    <t>0000957/2023</t>
  </si>
  <si>
    <t>REATOR DE LINHA - RTBDSB1 FASE B</t>
  </si>
  <si>
    <t>Substituição de reator REATOR DE LINHA - RTBDSB1 FASE C (nº serie: 1534025, cod. mat.: 10184028).</t>
  </si>
  <si>
    <t>0000959/2023</t>
  </si>
  <si>
    <t>REATOR DE LINHA - RTBDSB1 FASE C</t>
  </si>
  <si>
    <t>Substituição de reator REATOR DE LINHA - RTIMBD2 FASE A (nº serie: 1527343, cod. mat.: 10184024).</t>
  </si>
  <si>
    <t>RT 345 kV 60 Mvar BANDEIRANTES RT2 GO</t>
  </si>
  <si>
    <t>0000971/2023</t>
  </si>
  <si>
    <t>REATOR DE LINHA - RTIMBD2 FASE A</t>
  </si>
  <si>
    <t>Substituição de reator REATOR DE LINHA - RTIMBD2 FASE B (nº serie: 1527345, cod. mat.: 10184029).</t>
  </si>
  <si>
    <t>0000972/2023</t>
  </si>
  <si>
    <t>REATOR DE LINHA - RTIMBD2 FASE B</t>
  </si>
  <si>
    <t>Substituição de reator REATOR DE LINHA - RTIMBD2 FASE C (nº serie: 1527344, cod. mat.: 10184025).</t>
  </si>
  <si>
    <t>0000975/2023</t>
  </si>
  <si>
    <t>REATOR DE LINHA - RTIMBD2 FASE C</t>
  </si>
  <si>
    <t>Substituição de trafo potencia AT87V - AUTOTRAFO RESERVA (nº serie: 45174, cod. mat.: 10182593).</t>
  </si>
  <si>
    <t>TR 345/230 kV BANDEIRANTES TRR1 GO</t>
  </si>
  <si>
    <t>0000977/2023</t>
  </si>
  <si>
    <t>AT87V - AUTOTRAFO RESERVA</t>
  </si>
  <si>
    <t>SUBSTITUIÇÃO DO TRANSFORMADOR TRIFÁSICO - 230/69 kV, 100 MVA - LITF6-04</t>
  </si>
  <si>
    <t>0000960/2023</t>
  </si>
  <si>
    <t>LITF6-04</t>
  </si>
  <si>
    <t>SUBSTITUIÇÃO DO REATOR PDRE7-02, FASE A, 525 kV, 50 MVAr</t>
  </si>
  <si>
    <t>0000969/2023</t>
  </si>
  <si>
    <t>PDRE7-02 FASE A</t>
  </si>
  <si>
    <t>SUBSTITUIÇÃO DO REATOR PDRE7-02, FASE V, 525 kV, 50 MVAr</t>
  </si>
  <si>
    <t>0000970/2023</t>
  </si>
  <si>
    <t>PDRE7-02 FASE V</t>
  </si>
  <si>
    <t>SUBSTITUIÇÃO DO REATOR PDRE7-03, FASE A, 525 kV, 50 MVAr</t>
  </si>
  <si>
    <t>0000962/2023</t>
  </si>
  <si>
    <t>PDRE7-03 FASE A</t>
  </si>
  <si>
    <t>SUBSTITUIÇÃO DO REATOR PDRE7-03, FASE B, 525 kV, 50 MVAr</t>
  </si>
  <si>
    <t>0000964/2023</t>
  </si>
  <si>
    <t>PDRE7-03 FASE B</t>
  </si>
  <si>
    <t>SUBSTITUIÇÃO DO REATOR PDRE7-03, FASE V, 525 kV, 50 MVAr</t>
  </si>
  <si>
    <t>0000965/2023</t>
  </si>
  <si>
    <t>PDRE7-03 FASE V</t>
  </si>
  <si>
    <t>SUBSTITUIÇÃO DO REATOR PDRE7-03, FASE R, 525 kV, 50 MVAr</t>
  </si>
  <si>
    <t>RTR 500 kV 45.3 MVAr P.DUTRA RTR 1 MA</t>
  </si>
  <si>
    <t>0000983/2023</t>
  </si>
  <si>
    <t>PDRE7-03 FASE R</t>
  </si>
  <si>
    <t>Substituição de 1 (um) transformador de potência trifásico 230/69 kV, 100 MVA, posição operacional 04T1, da subestação Pirapama II, por um novo transformador 230/69/13,8 kV, 100 MVA (com terciário).</t>
  </si>
  <si>
    <t>TR 230/69 kV PIRAPAMA II TR1 PE</t>
  </si>
  <si>
    <t>0000865/2023</t>
  </si>
  <si>
    <t>11347939</t>
  </si>
  <si>
    <t>Substituição de 1 (um) Transformador de Potência trifásico, potência 100 MVA, posição operacional 04T3, da Subestação CGD.</t>
  </si>
  <si>
    <t>TR 230/69 kV C.GRANDE II TR3 PB</t>
  </si>
  <si>
    <t>0000867/2023</t>
  </si>
  <si>
    <t>11347918</t>
  </si>
  <si>
    <t>Substituição de 1 (um) Transformador de Potência trifásico, potência 100 MVA, posição operacional 04T4, da Subestação CGD.</t>
  </si>
  <si>
    <t>TR 230/69 kV C.GRANDE II TR4 PB</t>
  </si>
  <si>
    <t>0000868/2023</t>
  </si>
  <si>
    <t>11347925</t>
  </si>
  <si>
    <t>Substituição de Banco de Capacitores BC1, 13,8 kV, 3,6 Mvar, na SE Caxias 5.</t>
  </si>
  <si>
    <t>BC 13,8 kV 3,6 MVAr CAXIAS SUL 5 BC1 RS</t>
  </si>
  <si>
    <t>0000986/2023</t>
  </si>
  <si>
    <t>Substituição de Banco de Capacitores BC2, 13,8 kV, 3,6 Mvar, na SE Caxias 5.</t>
  </si>
  <si>
    <t>BC 13,8 kV 3,6 MVAr CAXIAS SUL 5 BC2 RS</t>
  </si>
  <si>
    <t>0000987/2023</t>
  </si>
  <si>
    <t>BC2</t>
  </si>
  <si>
    <t>Substituição de Banco de Capacitores BC3, 13,8 kV, 3,6 Mvar, na SE Caxias 5.</t>
  </si>
  <si>
    <t>BC 13,8 kV 3,6 MVAr CAXIAS SUL 5 BC3 RS</t>
  </si>
  <si>
    <t>0000998/2023</t>
  </si>
  <si>
    <t>BC3</t>
  </si>
  <si>
    <t>Substituição de Banco de Capacitores BC4, 13,8 kV, 3,6 Mvar, na SE Caxias 5.</t>
  </si>
  <si>
    <t>BC 13,8 kV 3,6 MVAr CAXIAS SUL 5 BC4 RS</t>
  </si>
  <si>
    <t>0000999/2023</t>
  </si>
  <si>
    <t>LT 345 kV ADRIANOPOLIS/JACAREPAGUA C-1 RJ</t>
  </si>
  <si>
    <t>Substituição dos cabos para-raios entre as torres 47 e 91.</t>
  </si>
  <si>
    <t>0001122/2023</t>
  </si>
  <si>
    <t>ADRJPA1</t>
  </si>
  <si>
    <t>LT 345 kV NOVA IGUACU/JACAREPAGUA C-1 RJ</t>
  </si>
  <si>
    <t>Substituição dos cabos para-raios entre as torres 47 e 88.</t>
  </si>
  <si>
    <t>0001139/2023</t>
  </si>
  <si>
    <t>JPANIG</t>
  </si>
  <si>
    <t>LT 138 kV CAMPOS /ROCHA LEAO C-1 RJ</t>
  </si>
  <si>
    <t>Substituição de 18 cadeias de isoladores completas ao logo da LT.</t>
  </si>
  <si>
    <t>0001124/2023</t>
  </si>
  <si>
    <t>CMSROL</t>
  </si>
  <si>
    <t>LT 138 kV IRIRI /ROCHA LEAO C-1 RJ</t>
  </si>
  <si>
    <t>Substituição de 3 cadeias de isoladores completas ao logo da LT.</t>
  </si>
  <si>
    <t>0001125/2023</t>
  </si>
  <si>
    <t>IRIROL</t>
  </si>
  <si>
    <t>LT 138 kV CAMPOS /IRIRI C-1 RJ</t>
  </si>
  <si>
    <t>Substituição de 15 cadeias de isoladores completas ao logo da LT.</t>
  </si>
  <si>
    <t>0001126/2023</t>
  </si>
  <si>
    <t>CMSIRI</t>
  </si>
  <si>
    <t>LT 345 kV MACAE MERCHAN / VENDA DAS PEDRAS C-1 RJ</t>
  </si>
  <si>
    <t>Substituição de 27 cadeias de isoladores completas ao logo da LT.</t>
  </si>
  <si>
    <t>0001127/2023</t>
  </si>
  <si>
    <t>MMHVDP</t>
  </si>
  <si>
    <t>Substituição de 30 cadeias de isoladores completas ao logo da LT.</t>
  </si>
  <si>
    <t>0001128/2023</t>
  </si>
  <si>
    <t>CMSMMH1</t>
  </si>
  <si>
    <t>LT 345 kV COMPERJ /LAGOS C-1 RJ</t>
  </si>
  <si>
    <t>0001129/2023</t>
  </si>
  <si>
    <t>CPJLGS</t>
  </si>
  <si>
    <t>LT 345 kV MACAE MERCHAN / LAGOS C-1 RJ</t>
  </si>
  <si>
    <t>Substituição de 6 cadeias de isoladores completas ao logo da LT.</t>
  </si>
  <si>
    <t>0001130/2023</t>
  </si>
  <si>
    <t>MMHLGS1</t>
  </si>
  <si>
    <t>Substituição de 25 cadeias de isoladores completas ao logo da LT.</t>
  </si>
  <si>
    <t>0001131/2023</t>
  </si>
  <si>
    <t>CMSMMH2</t>
  </si>
  <si>
    <t>LT 345 kV VIANA /VITORIA C-1 ES</t>
  </si>
  <si>
    <t>Substituição de 1 cadeias de isoladores completas ao logo da LT.</t>
  </si>
  <si>
    <t>0001132/2023</t>
  </si>
  <si>
    <t>VIAVIT</t>
  </si>
  <si>
    <t>LT 345 kV CAMPOS /RIO NOVO DO SUL C-1 ES</t>
  </si>
  <si>
    <t>0001133/2023</t>
  </si>
  <si>
    <t>CMSRNS1</t>
  </si>
  <si>
    <t>LT 345 kV VITÓRIA / RIO NOVO DO SUL C-1 ES</t>
  </si>
  <si>
    <t>Substituição de 31 cadeias de isoladores completas ao logo da LT.</t>
  </si>
  <si>
    <t>0001135/2023</t>
  </si>
  <si>
    <t>VITRNS</t>
  </si>
  <si>
    <t>LT 345 kV CAMPOS /RIO NOVO DO SUL C-2 ES</t>
  </si>
  <si>
    <t>0001136/2023</t>
  </si>
  <si>
    <t>CMSRNS2</t>
  </si>
  <si>
    <t>LT 345 kV VIANA /RIO NOVO DO SUL C-1 ES</t>
  </si>
  <si>
    <t>Substituição de 41 cadeias de isoladores completas ao logo da LT.</t>
  </si>
  <si>
    <t>0001137/2023</t>
  </si>
  <si>
    <t>VIARNS</t>
  </si>
  <si>
    <t>SUBSTITUIÇÃO DE TC FASE A QUE ATENDE AO DJ 9228</t>
  </si>
  <si>
    <t>EL 500 kV CAMPINAS LT 500 kV ITATIBA /CAMPINAS C-1 SP</t>
  </si>
  <si>
    <t>0001140/2023</t>
  </si>
  <si>
    <t>TC DJ9228 FASE A</t>
  </si>
  <si>
    <t>SUBSTITUIÇÃO DE  DISJUNTOR 230 kV VCDJ6-14</t>
  </si>
  <si>
    <t>0001189/2023</t>
  </si>
  <si>
    <t>VCDJ6-14</t>
  </si>
  <si>
    <t>Substituição de 01 (um) Transformador 230 kV monofásico, potência 100 MVA, posição operacional 04T7 fase B da Subestação SE CMD.</t>
  </si>
  <si>
    <t>CS 150/-105 MVAr CAMACARI II CS1 BA</t>
  </si>
  <si>
    <t>0001301/2023</t>
  </si>
  <si>
    <t>11347667</t>
  </si>
  <si>
    <t>Substituição de Disjuntor tripolar 230 kV, DJ862, que compõe o módulo de conexão do ATF 3 525/230 kV da SE Londrina. Associado à obra são esperadas substituições/adaptações de fundações, suportes, cabos de controle e potência, barramento, conectores e conexão do aterramento. Capacidade nominal do novo equipamento: = 2.500 A.</t>
  </si>
  <si>
    <t>0001392/2023</t>
  </si>
  <si>
    <t>DJ862</t>
  </si>
  <si>
    <t>Substituição de Chave Seccionadora tripolar 230 kV, CS861, que compõe o módulo de conexão do ATF 3 525/230 kV da SE Londrina. Associado à obra são esperadas substituições/adaptações de fundações, suportes, cabos de controle/potência, barramento, conectores e conexão de aterramento. Capacidade nominal do novo equipamento: = 2.500 A.</t>
  </si>
  <si>
    <t>0001394/2023</t>
  </si>
  <si>
    <t>CS861</t>
  </si>
  <si>
    <t>Substituição de Chave Seccionadora tripolar 230 kV, CS863, que compõe o módulo de conexão do ATF 3 525/230 kV da SE Londrina. Associado à obra são esperadas substituições/adaptações de fundações, suportes, cabos de controle/potência, barramento, conectores e conexão de aterramento. Capacidade nominal do novo equipamento: = 2.500 A.</t>
  </si>
  <si>
    <t>0001396/2023</t>
  </si>
  <si>
    <t>CS863</t>
  </si>
  <si>
    <t>Substituição de Chave Seccionadora tripolar 230 kV, CS865, que compõe o módulo de conexão do ATF 3 525/230 kV da SE Londrina. Associado à obra são esperadas substituições/adaptações de fundações, suportes, cabos de controle/potência, barramento, conectores e conexão de aterramento. Capacidade nominal do novo equipamento: = 2.500 A.</t>
  </si>
  <si>
    <t>0001397/2023</t>
  </si>
  <si>
    <t>CS865</t>
  </si>
  <si>
    <t>Substituição de Chave Seccionadora tripolar 230 kV, CS867, que compõe o módulo de conexão do ATF 3 525/230 kV da SE Londrina. Associado à obra são esperadas substituições/adaptações de fundações, suportes, cabos de controle/potência, barramento, conectores e conexão de aterramento. Capacidade nominal do novo equipamento: = 2.500 A.</t>
  </si>
  <si>
    <t>0001398/2023</t>
  </si>
  <si>
    <t>CS867</t>
  </si>
  <si>
    <t>Substituição de Disjuntor tripolar 230 kV, DJ762, referente ao Interligador de Barras da SE Londrina. Associado à obra são esperadas substituições/adaptações de fundações, suportes, cabos de controle e potência, barramento, conectores e conexão do aterramento. Capacidade nominal do novo equipamento: = 2.500 A.</t>
  </si>
  <si>
    <t>0001399/2023</t>
  </si>
  <si>
    <t>Instalação de 01 (um) Transformador de Serviço Auxiliar, 13,8kV, potência 225 kVA, posição 01T7 e 01 (um) Painel de distribuição (PT1-CA) na SE JCR, incluindo cabeamentos associados.</t>
  </si>
  <si>
    <t>MG JACARACANGA / CCO-2001-061 - RB</t>
  </si>
  <si>
    <t>0001409/2023</t>
  </si>
  <si>
    <t>ICO</t>
  </si>
  <si>
    <t>Instalação de 01 (um) Transformador de Serviço Auxiliar, 13,8kV, potência 225 kVA, posição 01T7 na SE ICO, incluindo cabeamentos associados.</t>
  </si>
  <si>
    <t>MG ICO / CCO-2001-061 - RB</t>
  </si>
  <si>
    <t>0001411/2023</t>
  </si>
  <si>
    <t>Instalação de 01 (um) Transformador de Serviço Auxiliar, 13,8kV, potência 300 kVA, posição 01T6 e 01 (um) Painel de distribuição (PT1-CA) na SE BJS, incluindo cabeamentos associados.</t>
  </si>
  <si>
    <t>MG B.JESUS LAPA / CCO-2001-061 - RB</t>
  </si>
  <si>
    <t>0001413/2023</t>
  </si>
  <si>
    <t>Instalação de 01 (um) grupo motor-gerador, potência 300 kVA, posição 200G2 e 01 (um) Painel de distribuição (PT1-CA) na SE PCD, incluindo cabeamentos associados.</t>
  </si>
  <si>
    <t>MG PICI II / CCO-2001-061 - RB</t>
  </si>
  <si>
    <t>0001414/2023</t>
  </si>
  <si>
    <t>Instalação de 01 (um) Transformador de Serviço Auxiliar, 13,8kV, potência 225 kVA, posição 01T2 e 01 (um) Painel de distribuição (PT1-CA) na SE SNB, incluindo cabeamentos associados.</t>
  </si>
  <si>
    <t>MG SR.BONFIM II / CCO-2001-061 - RB</t>
  </si>
  <si>
    <t>0001415/2023</t>
  </si>
  <si>
    <t>Instalação de 01 (um) Transformador de Serviço Auxiliar, 13,8kV, potência 225 kVA, posição 01T7 na SE STJ, incluindo cabeamentos associados.</t>
  </si>
  <si>
    <t>MG STO.A.JESUS / CCO-2001-061 - RB</t>
  </si>
  <si>
    <t>0001416/2023</t>
  </si>
  <si>
    <t>Instalação de 01 (um) Transformador de Serviço Auxiliar, 13,8kV, potência 225 kVA, posição 01T7 e 01 (um) Painel de distribuição (PT1-CA) na SE IRE, incluindo cabeamentos associados.</t>
  </si>
  <si>
    <t>0001418/2023</t>
  </si>
  <si>
    <t>JAGUARARI-SE</t>
  </si>
  <si>
    <t>Instalação de 01 (um) Transformador de Serviço Auxiliar, 13,8kV, potência 225 kVA, posição 01T4 na SE JGR, incluindo cabeamentos associados.</t>
  </si>
  <si>
    <t>MG JAGUARARI-SE / CCO-2001-061 - RB</t>
  </si>
  <si>
    <t>0001419/2023</t>
  </si>
  <si>
    <t>CEARA MIRIM 2</t>
  </si>
  <si>
    <t>Instalação de 01 (um) relé de controle no Disjuntor da posição operacional 14T5, da Subestação CID.</t>
  </si>
  <si>
    <t>CE 150/-75 Mvar CEARA MIRIM II CE1 RN</t>
  </si>
  <si>
    <t>0001438/2023</t>
  </si>
  <si>
    <t>PICOS</t>
  </si>
  <si>
    <t>Substituição do Sistema de Comunicação Rádio por um Sistema de Comunicação Óptica, na subestação PICOS, composto por: 01 Distribuidor Geral Óptico, dutos e fibra óptica, assiciado à substituição da teleproteção principal.</t>
  </si>
  <si>
    <t>MG PICOS / CCO-2001-061 - RB</t>
  </si>
  <si>
    <t>0001440/2023</t>
  </si>
  <si>
    <t>Instalação de Sistema de Comunicação Óptica, na subestação SOBRAL II, composto por: 01 Multiplexador, 01 Distribuidor Geral Óptico, dutos e fibra óptica, associado à teleproteção alternada via OPGW.</t>
  </si>
  <si>
    <t>MG SOBRAL II / CCO-2001-061 - RB</t>
  </si>
  <si>
    <t>0001443/2023</t>
  </si>
  <si>
    <t>Instalação do Sistema de Comunicação Óptica, na subestação SOBRAL II, composto por: 01 Distribuidor Geral Óptico, dutos e fibra óptica, , associado à teleproteção alternada via OPGW.</t>
  </si>
  <si>
    <t>MG CAUIPE / CCO-2001-061 - RB</t>
  </si>
  <si>
    <t>0001445/2023</t>
  </si>
  <si>
    <t>Instalação do Sistema de Comunicação Óptica, na subestação G. MANGABEIRA, composto por: 01 Distribuidor Geral Óptico, dutos e fibra óptica, associado à teleproteção alternada independente via OPGW.</t>
  </si>
  <si>
    <t>MG G.MANGABEIRA / CCO-2001-061 - RB</t>
  </si>
  <si>
    <t>0001446/2023</t>
  </si>
  <si>
    <t>BRUMADO II</t>
  </si>
  <si>
    <t>Instalação do Sistema de Comunicação Óptica, na subestação BRUMADO II, composto por: 01 Multiplex SDH, 01 Distribuidor Geral Óptico, dutos e fibra óptica, associado à teleproteção alternada.</t>
  </si>
  <si>
    <t>MG 500 kV BRUMADO II MGX BA</t>
  </si>
  <si>
    <t>0001447/2023</t>
  </si>
  <si>
    <t>Instalação de Sistema de Comunicação Óptica, na subestação PAU FERRO, composto por: 02 Km de Cabo Dielétrico, 01 Multiplexador SDH, 01 Distribuidor Geral Óptico, dutos e fibra óptica, associado à teleproteção alternada via OPGW.</t>
  </si>
  <si>
    <t>0001448/2023</t>
  </si>
  <si>
    <t>Instalação de Sistema de Comunicação Óptica, na subestação CATU, composto por: 01 Multiplexador, 01 Distribuidor Geral Óptico, dutos e fibra óptica, associado à teleproteção alternada independente via OPGW.</t>
  </si>
  <si>
    <t>MG CATU / CCO-2001-061 - RB</t>
  </si>
  <si>
    <t>0001451/2023</t>
  </si>
  <si>
    <t>NSA.SRA.SOCORRO</t>
  </si>
  <si>
    <t>Instalação de 01 Multiplexador Óptico SDH redundante, na subestação N.S.SOCORRO, associado à teleproteção alternada.</t>
  </si>
  <si>
    <t>MG N.S.SOCORRO / CCO-2012-005 - RB</t>
  </si>
  <si>
    <t>0001452/2023</t>
  </si>
  <si>
    <t>CAMACARI IV</t>
  </si>
  <si>
    <t>Instalação de Sistema de Comunicação Óptica, na subestação CAMACARI IV, composto por: 01 Multiplexador SDH, 01 Distribuidor Geral Óptico, dutos e fibra óptica, associado à teleproteção alternada.</t>
  </si>
  <si>
    <t>MG CAMACARI IV / CCO-2010-007 - RB</t>
  </si>
  <si>
    <t>0001453/2023</t>
  </si>
  <si>
    <t>Instalação do Sistema de Comunicação Óptica, na subestação IBICOARA, composto por: 01 Distribuidor Geral Óptico, dutos e fibra óptica, associado à teleproteção alternada.</t>
  </si>
  <si>
    <t>MG IBICOARA / CCO-2007-010 - RB</t>
  </si>
  <si>
    <t>0001454/2023</t>
  </si>
  <si>
    <t>Aquisição de relés para ativação do ERAC nos 04 Bancos de Capacitores de 69 kV da SE.</t>
  </si>
  <si>
    <t>MC 69 kV BC 69 kV 24,4 Mvar DELM. GOUVEIA BC1 CE (12H1)</t>
  </si>
  <si>
    <t>0001456/2023</t>
  </si>
  <si>
    <t>Instalação do SPCS de Barras 230 kV na subestação BOM NOME, composto por: 02 painéis, 02 unidades centrais de proteção de barras (principal e alternada), do tipo adaptativa e distribuída, com capacidade para atender, no mínimo, 16 vãos, 32 unidades de bay de proteção de barras (principal e alternada) e infraestrutura de comunicação associados.</t>
  </si>
  <si>
    <t>MG BOM NOME / CCO-2001-061 - RB</t>
  </si>
  <si>
    <t>0001473/2023</t>
  </si>
  <si>
    <t>Instalação do SPCS das Barras 230 kV na subestação CATU, composto por: 02 painéis, 02 unidades centrais de proteção de barras (principal e alternada), do tipo adaptativa e distribuída, com capacidade para atender, no mínimo, 11 vãos, 22 unidades de bay de proteção de barras (principal e alternada) e infraestrutura de comunicação associados.</t>
  </si>
  <si>
    <t>0001476/2023</t>
  </si>
  <si>
    <t>Instalação do SPCS das Barras 230 kV na subestação CAUIPE, composto por: 02 painéis, 02 unidades centrais de proteção de barras (principal e alternada), do tipo adaptativa e distribuída, com capacidade para atender, no mínimo, 13 vãos, 26 unidades de bay de proteção de barras (principal e alternada) e infraestrutura de comunicação associados</t>
  </si>
  <si>
    <t>0001485/2023</t>
  </si>
  <si>
    <t>Instalação do SPCS das Barras 230 kV na subestação PAU FERRO, composto por: 02 painéis, 02 unidades centrais de proteção de barras (principal e alternada), do tipo adaptativa e distribuída, com capacidade para atender, no mínimo, 19 vãos, 38 unidades de bay de proteção de barras (principal e alternada) e infraestrutura de comunicação associados.</t>
  </si>
  <si>
    <t>0001489/2023</t>
  </si>
  <si>
    <t>Substituição do painel de teleproteção e equipamentos associados, relacionados à teleproteção alterada via OPGW no vão da Entrada de Linha 05V7 (LT 500 kV JARDIM /CAMACARI IV C-1) na subestação JARDIM.</t>
  </si>
  <si>
    <t>0001505/2023</t>
  </si>
  <si>
    <t>Instalação de 01 Multiplexador Óptico SDH redundante, na subestação QUIXADA, associado à teleproteção alternada.</t>
  </si>
  <si>
    <t>MG QUIXADA / CCO-2001-061 - RB</t>
  </si>
  <si>
    <t>0001506/2023</t>
  </si>
  <si>
    <t>FLORESTA II</t>
  </si>
  <si>
    <t>Instalação de 01 Multiplexador Óptico SDH redundante, na subestação FLORESTA II, associado à teleproteção alternada via OPGW.</t>
  </si>
  <si>
    <t>MG FLORESTA II / CCO-2001-061 - RB</t>
  </si>
  <si>
    <t>0001507/2023</t>
  </si>
  <si>
    <t>Instalação de 01 Multiplexador Óptico SDH redundante, na subestação RECIFE II, associado à teleproteção alternada via OPGW.</t>
  </si>
  <si>
    <t>0001508/2023</t>
  </si>
  <si>
    <t>Instalação de 01 Multiplexador Óptico SDH redundante, na subestação ANGELIM II, associado à teleproteção alternada via OPGW.</t>
  </si>
  <si>
    <t>0001509/2023</t>
  </si>
  <si>
    <t>ITABAIANINHA</t>
  </si>
  <si>
    <t>Instalação de 01 Multiplexador Óptico SDH redundante, na subestação ITABAIANINHA, associado à teleproteção alternada independente via OPGW.</t>
  </si>
  <si>
    <t>MG ITABAIANINHA / CCO-2001-061 - RB</t>
  </si>
  <si>
    <t>0001510/2023</t>
  </si>
  <si>
    <t>Instalação de 01 Multiplexador Óptico SDH redundante, na subestação CIC. DANTAS, associado à teleproteção alternada.</t>
  </si>
  <si>
    <t>0001511/2023</t>
  </si>
  <si>
    <t>Substituição do painel de teleproteção e equipamentos associados, relacionados à teleproteção alternada via OPGW no vão da Entrada de Linha 05V7 (LT 500 kV JARDIM /CAMACARI IV C-1) na subestação CAMACARI IV.</t>
  </si>
  <si>
    <t>0001514/2023</t>
  </si>
  <si>
    <t>Instalação 02 Bobinas de Bloqueio associadas à teleproteção alternado via OPLAT, no vão da Entrada de Linha 04F4 ( LT 230 kV DELM. GOUVEIA /FORTALEZA II C-1) na subestação DELM. GOUVEIA.</t>
  </si>
  <si>
    <t>0001526/2023</t>
  </si>
  <si>
    <t>Instalação 02 Bobinas de Bloqueio associadas à teleproteção alternado via OPLAT, no vão da Entrada de Linha 04F5 ( LT 230 kV DELM. GOUVEIA /FORTALEZA II C-2) na subestação DELM. GOUVEIA.</t>
  </si>
  <si>
    <t>0001528/2023</t>
  </si>
  <si>
    <t>Instalação de 02 Bobinas de Bloqueio associadas à teleproteção alternada via OPLAT do vão da Entrada de Linha 04Z2 (LT 230 kV FORTALEZA II /PICI II C-1) na subestação FORTALEZA II.</t>
  </si>
  <si>
    <t>0001529/2023</t>
  </si>
  <si>
    <t>Instalação de 02 Bobinas de Bloqueio associadas à teleproteção alternada via OPLAT do vão da Entrada de Linha 04Z3 (LT 230 kV FORTALEZA II /PICI II C-2) na subestação FORTALEZA II.</t>
  </si>
  <si>
    <t>0001530/2023</t>
  </si>
  <si>
    <t>Instalação 02 Bobinas de Bloqueio associadas à teleproteção alternado via OPLAT, no vão da Entrada de Linha 04F4 ( LT 230 kV DELM. GOUVEIA /FORTALEZA II C-1) na subestação FORTALEZA II.</t>
  </si>
  <si>
    <t>0001531/2023</t>
  </si>
  <si>
    <t>Instalação 02 Bobinas de Bloqueio associadas à teleproteção alternado via OPLAT, no vão da Entrada de Linha 04F5 ( LT 230 kV DELM. GOUVEIA /FORTALEZA II C-2) na subestação FORTALEZA II.</t>
  </si>
  <si>
    <t>0001532/2023</t>
  </si>
  <si>
    <t>Instalação de 02 Bobinas de Bloqueio associadas à teleproteção alternado via OPLAT, no vão da Entrada de Linha 04L3 (LT 230 kV TERESINA II /TERESINA C-1) na subestação TERESINA.</t>
  </si>
  <si>
    <t>0001533/2023</t>
  </si>
  <si>
    <t>Instalação de 02 Bobinas de Bloqueio associadas à teleproteção alternado via OPLAT, no vão da Entrada de Linha 04L4 (LT 230 kV TERESINA II /TERESINA C-2) na subestação TERESINA.</t>
  </si>
  <si>
    <t>0001534/2023</t>
  </si>
  <si>
    <t>Instalação de 02 Bobinas de Bloqueio associadas à teleproteção alternado via OPLAT, no vão da Entrada de Linha 04L3 (LT 230 kV TERESINA II /TERESINA C-1) na subestação TERESINA II.</t>
  </si>
  <si>
    <t>0001535/2023</t>
  </si>
  <si>
    <t>Instalação de 02 Bobinas de Bloqueio associadas à teleproteção alternado via OPLAT, no vão da Entrada de Linha 04L4 (LT 230 kV TERESINA II /TERESINA C-2) na subestação TERESINA II.</t>
  </si>
  <si>
    <t>0001536/2023</t>
  </si>
  <si>
    <t>Instalação de 02 Bobinas de Bloqueio associadas à teleproteção alternado via OPLAT, no vão da Entrada de Linha 04S6 (LT 230 kV MESSIAS /MACEIO C-1) na subestação MACEIO.</t>
  </si>
  <si>
    <t>0001537/2023</t>
  </si>
  <si>
    <t>Instalação de 02 Bobinas de Bloqueio associadas à teleproteção alternado via OPLAT, no vão da Entrada de Linha 04S7 (LT 230 kV MESSIAS /MACEIO C-2) na subestação MACEIO.</t>
  </si>
  <si>
    <t>0001538/2023</t>
  </si>
  <si>
    <t>Instalação de Retificador 48 VCC (segunda unidade), Quadros de Distribuição e cabos de controle e potência associados. Capacidade do retificador: 250 A.</t>
  </si>
  <si>
    <t>0001539/2023</t>
  </si>
  <si>
    <t>Substituição do relé de proteção Primária da LT 138 kV Joinville – São Bento do Sul C-1 (futura LT Joinville – Joinville Fras-le), na SE Joinville, para permitir a instalação da função diferencial de linha (87L). A obra inclui a substituição dos painéis e cabos de controle e potência associados.</t>
  </si>
  <si>
    <t>LT 138 kV JOINVILLE / SAO BENTO DO SUL C-1 SC</t>
  </si>
  <si>
    <t>0001540/2023</t>
  </si>
  <si>
    <t>PP - LT SBS C-1</t>
  </si>
  <si>
    <t>Instalação de 2 Bobinas de Bloqueio associadas à teleproteção alternado via OPLAT, no vão da Entrada de Linha 04S6 (LT 230 kV MESSIAS /MACEIO C-1) na subestação MESSIAS.</t>
  </si>
  <si>
    <t>0001541/2023</t>
  </si>
  <si>
    <t>Instalação de 2 Bobinas de Bloqueio associadas à teleproteção alternado via OPLAT, no vão da Entrada de Linha 04S7 (LT 230 kV MESSIAS /MACEIO C-2) na subestação MESSIAS.</t>
  </si>
  <si>
    <t>0001542/2023</t>
  </si>
  <si>
    <t>Instalação de 02 Bobinas de Bloqueio associadas ao esquema de teleproteção alternado via OPLAT, no vão da Entrada de Linha 05C2 (LT 500 kV PECEM II /FORTALEZA II C-1) na subestação FORTALEZA II.</t>
  </si>
  <si>
    <t>0001544/2023</t>
  </si>
  <si>
    <t>Instalação de 02 Bobinas de Bloqueio associadas à teleproteção alternada via OPLAT do vão da Entrada de Linha 04Z2 (LT 230 kV FORTALEZA II /PICI II C-1) na subestação PICI II.</t>
  </si>
  <si>
    <t>0001545/2023</t>
  </si>
  <si>
    <t>Instalação de 02 Bobinas de Bloqueio associadas à teleproteção alternada via OPLAT do vão da Entrada de Linha 04Z3 (LT 230 kV FORTALEZA II /PICI II C-2) na subestação PICI II.</t>
  </si>
  <si>
    <t>0001546/2023</t>
  </si>
  <si>
    <t>PINHALZINHO 2</t>
  </si>
  <si>
    <t>Substituição do relé de proteção Primária da LT 138 kV Pinhalzinho 2 - Xanxerê C-1 (futura LT Pinhalzinho 2 – Pinhalzinho Aurora), na SE Pinhalzinho 2, para permitir a instalação da função diferencial de linha (87L). A obra inclui alterações internas no painel atual, configuração e testes funcionais, lógicos e de desempenho das funções de proteção.</t>
  </si>
  <si>
    <t>LT 138 kV PINHALZINHO 2 / XANXERE C-1 SC</t>
  </si>
  <si>
    <t>0001547/2023</t>
  </si>
  <si>
    <t>PP - LT XXE C-1</t>
  </si>
  <si>
    <t>Instalação de 02 Bobinas de Bloqueio associadas ao esquema de teleproteção alternado via OPLAT, no vão da Entrada de Linha 05C2 (LT 500 kV PECEM II /FORTALEZA II C-1) na subestação PECEM II.</t>
  </si>
  <si>
    <t>0001548/2023</t>
  </si>
  <si>
    <t>Substituição do relé de proteção Primária da LT 138 kV Joinville – WEG Fundição C-1 (futura LT Joinville – Guaramirim L. Ind.), na SE Joinville, para permitir a implantação de teleproteção nesta linha. A obra inclui a substituição dos painéis e cabos de controle e potência associados.</t>
  </si>
  <si>
    <t>0001549/2023</t>
  </si>
  <si>
    <t>PP - LT WFO C-1</t>
  </si>
  <si>
    <t>Instalação da cadeia de proteção de Barras alternada, referente às barras A e B de 525 kV da SE Areia, incluindo uma Unidade Central e dez unidades de Bay (vãos TF 2 525/230 kV, LT Ivaiporã C-1, LT Bateias C-1, LT Curitiba C-1, LT Segredo C-1, LT GBMunhoz C-1, LT GBMunhoz C-2, LT Campos Novos C-1, IB DJ1030 e IB DJ1110), painéis e cabos de controle e potência associados.</t>
  </si>
  <si>
    <t>0001550/2023</t>
  </si>
  <si>
    <t>Instalação de 1 (um) Transformador de Aterramento 69 kV de 7,5 MVA, para operar em paralelo com a unidade 02A1 existente na SE Açu II.</t>
  </si>
  <si>
    <t>TT 69/0 kV ACU II TA2 RN (02A2)</t>
  </si>
  <si>
    <t>0001553/2023</t>
  </si>
  <si>
    <t>Instalação de 1 (um) Transformador de Aterramento 69 kV de 7,5 MVA, para operar em paralelo com a unidade 02A1 existente na SE Bom nome.</t>
  </si>
  <si>
    <t>TT 69/0 kV BOM NOME TA2 PE (02A2)</t>
  </si>
  <si>
    <t>0001555/2023</t>
  </si>
  <si>
    <t>Instalação de 1 (um) Transformador de Aterramento 69 kV de 7,5 MVA, para operar em paralelo com a unidade 02A1 existente na SE São João do Piauí.</t>
  </si>
  <si>
    <t>TT 69/0 kV S.JOAO PIAUI TA2 PI (02A2)</t>
  </si>
  <si>
    <t>0001557/2023</t>
  </si>
  <si>
    <t>Instalação de 1 (um) Transformador de Aterramento 69 kV de 7,5 MVA, para operar em paralelo com a unidade 02A1 existente na SE Itabaianinha.</t>
  </si>
  <si>
    <t>TT 69/0 kV ITABAIANINHA TA2 SE (02A2)</t>
  </si>
  <si>
    <t>0001558/2023</t>
  </si>
  <si>
    <t>Instalação de 1 (um) Transformador de Aterramento 69 kV de 7,5 MVA, para operar em paralelo com a unidade 02A1 existente na SE Coremas.</t>
  </si>
  <si>
    <t>TT 69/0 kV COREMAS TA2 PB (02A2)</t>
  </si>
  <si>
    <t>0001559/2023</t>
  </si>
  <si>
    <t>Instalação de 1 (um) módulo de conexão ao novo Transformador de Aterramento 69 kV de 7,5 MVA que operará em paralelo com a unidade 02A1 existente na SE Coremas.</t>
  </si>
  <si>
    <t>MC 69 kV TT 69/0 kV COREMAS TA2 PB (32A2-8)</t>
  </si>
  <si>
    <t>0001569/2023</t>
  </si>
  <si>
    <t>Associado a outro equipamento superado</t>
  </si>
  <si>
    <t>Instalação de 1 (um) módulo de conexão ao novo Transformador de Aterramento 69 kV de 7,5 MVA que operará em paralelo com a unidade 02A1 existente na SE São João do Piauí.</t>
  </si>
  <si>
    <t>MC 69 kV TT 69/0 kV S.JOAO PIAUI TA2 PI (32A2-8)</t>
  </si>
  <si>
    <t>0001570/2023</t>
  </si>
  <si>
    <t>Instalação de 1 (um) módulo de conexão ao novo Transformador de Aterramento 69 kV de 7,5 MVA que operará em paralelo com a unidade 02A1 existente na SE Açu.</t>
  </si>
  <si>
    <t>MC 69 kV TT 69/0 kV ACU II TA2 RN (32A2-8)</t>
  </si>
  <si>
    <t>0001571/2023</t>
  </si>
  <si>
    <t>Instalação de 1 (um) módulo de conexão ao novo Transformador de Aterramento 69 kV de 7,5 MVA que operará em paralelo com a unidade 02A1 existente na SE Bom Nome.</t>
  </si>
  <si>
    <t>MC 69 kV TT 69/0 kV BOM NOME TA2 PE (32A2-8)</t>
  </si>
  <si>
    <t>0001572/2023</t>
  </si>
  <si>
    <t>Instalação de 1 (um) módulo de conexão ao novo Transformador de Aterramento 69 kV de 7,5 MVA que operará em paralelo com a unidade 02A1 existente na SE Itabaianinha.</t>
  </si>
  <si>
    <t>MC 69 kV TT 69/0 kV ITABAIANINHA TA2 SE (32A2-8)</t>
  </si>
  <si>
    <t>0001573/2023</t>
  </si>
  <si>
    <t>LT 230 kV PICOS /TAUA II PI/CE</t>
  </si>
  <si>
    <t>Substituição de 183 km de cabo para-raios convencional por cabo OPGW com 24 fibras, em toda a extensão da LT 230 kV PICOS /TAUA II C-1 PI/CE (04M3), associado à substituição da teleproteção principal.</t>
  </si>
  <si>
    <t>LT 230 kV PICOS /TAUA II C-1 PI/CE</t>
  </si>
  <si>
    <t>0001578/2023</t>
  </si>
  <si>
    <t>11729284</t>
  </si>
  <si>
    <t>Instalação de equipamentos associados à teleproteção alternada via OPGW na subestação MILAGRES, contemplando: 01 Multiplexador SDH, 01 Distribuidor Geral Óptico, dutos e fibra óptica. O Sistema de Comunicação Óptica substituirá o Sistema de Comunicação Rádio.</t>
  </si>
  <si>
    <t>0001579/2023</t>
  </si>
  <si>
    <t>11371527</t>
  </si>
  <si>
    <t>Instalação de 01 Multiplexador Óptico SDH, na subestação COTEGIPE, associado à teleproteção alternada via OPGW.</t>
  </si>
  <si>
    <t>MG COTEGIPE / CCO-2001-061 - RB</t>
  </si>
  <si>
    <t>0001580/2023</t>
  </si>
  <si>
    <t>11371551</t>
  </si>
  <si>
    <t>TAUA II</t>
  </si>
  <si>
    <t>Substituição do Sistema de Comunicação Rádio por um Sistema de Comunicação Óptica, na subestação TAUA II, composto por: 01 Multiplexador SDH, 01 Distribuidor Geral Óptico, dutos e fibra óptica, associado à substituição da teleproteção principal.</t>
  </si>
  <si>
    <t>MG TAUA II / CCO-2005-007 - RB</t>
  </si>
  <si>
    <t>0001581/2023</t>
  </si>
  <si>
    <t>11374873</t>
  </si>
  <si>
    <t>Instalação de equipamentos associados à teleproteção alternada via OPGW na subestação COREMAS, contemplando: 01 Multiplexador SDH, 01 Distribuidor Geral Óptico, dutos e fibra óptica. O Sistema de Comunicação Óptica substituirá o Sistema de Comunicação Rádio.</t>
  </si>
  <si>
    <t>MG COREMAS / CCO-2001-061 - RB</t>
  </si>
  <si>
    <t>0001582/2023</t>
  </si>
  <si>
    <t>11371577</t>
  </si>
  <si>
    <t>Substituição do painel de teleproteção e equipamentos associados, relacionados à teleproteção alternada via OPGW do vão da Entrada de Linha 04S2 (LT 230 kV CAUIPE/SOBRAL II C-1) na subestação CAUIPE.</t>
  </si>
  <si>
    <t>0001595/2023</t>
  </si>
  <si>
    <t>11373874</t>
  </si>
  <si>
    <t>Substituição do painel de teleproteção e equipamentos associados, relacionados à teleproteção alternada via OPGW do vão da Entrada de Linha 04S2 (LT 230 kV CAUIPE/SOBRAL II C-1) na subestação SOBRAL II.</t>
  </si>
  <si>
    <t>0001596/2023</t>
  </si>
  <si>
    <t>11373872</t>
  </si>
  <si>
    <t>Substituição do OPLAT por painel de teleproteção e equipamentos associados, relacionados à nova teleproteção principal via OPGW no vão da Entrada de Linha 04L2 (LT 230 kV CIC. DANTAS /CATU C-1) na subestação CATU.</t>
  </si>
  <si>
    <t>0001597/2023</t>
  </si>
  <si>
    <t>11371269</t>
  </si>
  <si>
    <t>Substituição do OPLAT por painel de teleproteção e equipamentos associados, relacionados à nova teleproteção principal via OPGW no vão da Entrada de Linha 04M3 (LT 230 kV CATU /G.MANGABEIRA C-1) na subestação CATU.</t>
  </si>
  <si>
    <t>LT 230 kV CATU /G.MANGABEIRA C-1 BA</t>
  </si>
  <si>
    <t>0001599/2023</t>
  </si>
  <si>
    <t>11371268</t>
  </si>
  <si>
    <t>Instalação painel de teleproteção e equipamentos associados, relacionados à teleproteção alternada via OPGW no vão da Entrada de Linha 04L2 (LT 230 kV CIC. DANTAS /CATU C-1) na subestação CICERO DANTAS.</t>
  </si>
  <si>
    <t>0001600/2023</t>
  </si>
  <si>
    <t>11371260</t>
  </si>
  <si>
    <t>Substituição do OPLAT por painel de teleproteção e equipamentos associados, relacionados à nova teleproteção principal via OPGW no vão da Entrada de Linha 04M3 (LT 230 kV CATU /G.MANGABEIRA C-1) na subestação G.MANGABEIRA.</t>
  </si>
  <si>
    <t>0001602/2023</t>
  </si>
  <si>
    <t>11371267</t>
  </si>
  <si>
    <t>Substituição do painel de teleproteção e equipamentos associados, relacionados à teleproteção principal via OPGW no vão da Entrada de Linha 04F6 (LT 230 kV RECIFE II /PAU FERRO C-1) na subestação RECIFE II.</t>
  </si>
  <si>
    <t>LT 230 kV RECIFE II /PAU FERRO C-1 PE</t>
  </si>
  <si>
    <t>0001603/2023</t>
  </si>
  <si>
    <t>11373934</t>
  </si>
  <si>
    <t>Substituição do painel de teleproteção e equipamentos associados, relacionados à teleproteção principal via OPGW no vão da Entrada de Linha 04C4 (LT 230 kV PAU FERRO /C.GRANDE II C-2) na subestação PAU FERRO.</t>
  </si>
  <si>
    <t>0001604/2023</t>
  </si>
  <si>
    <t>11373936</t>
  </si>
  <si>
    <t>Substituição do painel de teleproteção e equipamentos associados, relacionados à teleproteção principal via OPGW no vão da Entrada de Linha 04F6 (LT 230 kV RECIFE II /PAU FERRO C-1) na subestação PAU FERRO.</t>
  </si>
  <si>
    <t>0001605/2023</t>
  </si>
  <si>
    <t>11373933</t>
  </si>
  <si>
    <t>Substituição do painel de teleproteção e equipamentos associados, relacionados à teleproteção principal via OPGW no vão da Entrada de Linha 04F7 (LT 230 kV RECIFE II /PAU FERRO C-2) na subestação PAU FERRO.</t>
  </si>
  <si>
    <t>LT 230 kV RECIFE II /PAU FERRO C-2 PE</t>
  </si>
  <si>
    <t>0001606/2023</t>
  </si>
  <si>
    <t>11373932</t>
  </si>
  <si>
    <t>Substituição do painel de teleproteção e equipamentos associados, relacionados à teleproteção principal via OPGW no vão da Entrada de Linha 04C4 (LT 230 kV PAU FERRO /C.GRANDE II C-2) na subestação C.GRANDE II.</t>
  </si>
  <si>
    <t>0001607/2023</t>
  </si>
  <si>
    <t>11373931</t>
  </si>
  <si>
    <t>Substituição do painel de teleproteção e equipamentos associados, relacionados à teleproteção principal via OPGW no vão da Entrada de Linha 04F7 (LT 230 kV RECIFE II /PAU FERRO C-2) na subestação RECIFE II.</t>
  </si>
  <si>
    <t>0001608/2023</t>
  </si>
  <si>
    <t>11373935</t>
  </si>
  <si>
    <t>Substituição do Sistema de Comunicação via Rádio por um Sistema de Comunicação Óptica na subestação ZEBU, composto por: 02 km de cabo dielétrico, 01 Distribuidor Geral Óptico, dutos e fibra óptica, associado à teleproteção alternada.</t>
  </si>
  <si>
    <t>MG ZEBU / CCO-2009-017 - RB</t>
  </si>
  <si>
    <t>0001609/2023</t>
  </si>
  <si>
    <t>11371531</t>
  </si>
  <si>
    <t>Substituição do Sistema de Comunicação via Rádio por um Sistema de Comunicação Óptica na subestação P.AFONSO III, composto por: 01 Distribuidor Geral Óptico, dutos e fibra óptica, associado à teleproteção principal.</t>
  </si>
  <si>
    <t>0001610/2023</t>
  </si>
  <si>
    <t>11371537</t>
  </si>
  <si>
    <t>Substituição do SPCS associado ao vão da Entrada de Linha 04M3 (LT 230 kV CATU /G.MANGABEIRA C-1) na subestação G.MANGABEIRA, por um novo sistema composto por: 02 painéis, 02 proteções (principal e alternada), 01 unidade de controle, 02 falhas de disjuntor (principal e alternada), cabos de controle e infraestrutura de comunicação associados.</t>
  </si>
  <si>
    <t>0001613/2023</t>
  </si>
  <si>
    <t>12355347</t>
  </si>
  <si>
    <t>Substituição do SPCS associado ao vão da Entrada de Linha 04S2 (LT 230 kV SE Floresta II /BOM NOME C-2) na subestação BOM NOME, por um novo sistema composto por: 02 painéis, 02 proteções (principal e alternada), 01 unidade de controle, 02 falhas de disjuntor (principal e alternada), cabos de controle e infraestrutura de comunicação associados.</t>
  </si>
  <si>
    <t>LT 230 kV FLORESTA II /BOM NOME C-1 PE</t>
  </si>
  <si>
    <t>0001614/2023</t>
  </si>
  <si>
    <t>11367176</t>
  </si>
  <si>
    <t>Substituição do SPCS do Transformador 04T1 na subestação BOM NOME, por um novo sistema composto por: 02 painéis, 02 proteções (principal e alternada), 02 unidades de controle, 02 falhas de disjuntor (principal e alternada), cabos de controle e infraestrutura de comunicação associados.</t>
  </si>
  <si>
    <t>TR 230/69 kV BOM NOME TR1 PE</t>
  </si>
  <si>
    <t>0001615/2023</t>
  </si>
  <si>
    <t>11366824</t>
  </si>
  <si>
    <t>Substituição do SPCS do Transformador 04T2 na subestação BOM NOME, por um novo sistema composto por: 02 painéis, 02 proteções (principal e alternada), 02 unidades de controle, 02 falhas de disjuntor (principal e alternada), cabos de controle e infraestrutura de comunicação associados.</t>
  </si>
  <si>
    <t>TR 230/69 kV BOM NOME TR2 PE</t>
  </si>
  <si>
    <t>0001616/2023</t>
  </si>
  <si>
    <t>11366822</t>
  </si>
  <si>
    <t>Substituição do SPCS do Transformador 04T4 na subestação BOM NOME, por um novo sistema composto por: 02 painéis, 02 proteções (principal e alternada), 02 unidades de controle, 02 falhas de disjuntor (principal e alternada), cabos de controle e infraestrutura de comunicação associados.</t>
  </si>
  <si>
    <t>0001617/2023</t>
  </si>
  <si>
    <t>11366817</t>
  </si>
  <si>
    <t>Substituição do SPCS do Transformador 04T6 na subestação BOM NOME, por um novo sistema composto por: 02 painéis, 02 proteções (principal e alternada), 02 unidades de controle, 02 falhas de disjuntor (principal e alternada), cabos de controle e infraestrutura de comunicação associados.</t>
  </si>
  <si>
    <t>TR 230/138 kV BOM NOME TR6 PE</t>
  </si>
  <si>
    <t>0001620/2023</t>
  </si>
  <si>
    <t>11366816</t>
  </si>
  <si>
    <t>Substituição do SPCS do Disjuntor de Interligação de Barras 14D1 na subestação BOM NOME, por um novo sistema composto por: 01 painel, 01 unidade de controle, cabos de controle e infraestrutura de comunicação associados ao módulo de interligação de barras (14D1).</t>
  </si>
  <si>
    <t>0001621/2023</t>
  </si>
  <si>
    <t>11352107</t>
  </si>
  <si>
    <t>Substituição do SPCS associado ao vão da Entrada de Linha 04L2 (LT 230 kV CIC. DANTAS /CATU C-1) na subestação CIC. DANTAS, por um novo sistema composto por: 02 painéis, 02 proteções (principal e alternada), 01 unidade de controle, 02 falhas de disjuntor (principal e alternada), cabos de controle e infraestrutura de comunicação associados.</t>
  </si>
  <si>
    <t>0001622/2023</t>
  </si>
  <si>
    <t>11353413</t>
  </si>
  <si>
    <t>Substituição do SPCS associado ao vão da Entrada de Linha 04L1 (LT 230 kV ITABAIANINHA /CATU C-1) na subestação CATU, por um novo sistema composto por: 02 painéis, 02 proteções (principal e alternada), 01 unidade de controle, 02 falhas de disjuntor (principal e alternada), cabos de controle e infraestrutura de comunicação associados.</t>
  </si>
  <si>
    <t>LT 230 kV ITABAIANINHA /CATU C-1 SE/BA</t>
  </si>
  <si>
    <t>0001624/2023</t>
  </si>
  <si>
    <t>11353441</t>
  </si>
  <si>
    <t>Substituição do SPCS associado ao vão da Entrada de Linha 04L2 (LT 230 kV CIC. DANTAS /CATU C-1) na subestação CATU, por um novo sistema composto por: 02 painéis, 02 proteções (principal e alternada), 01 unidade de controle, 02 falhas de disjuntor (principal e alternada), cabos de controle e infraestrutura de comunicação associados.</t>
  </si>
  <si>
    <t>0001625/2023</t>
  </si>
  <si>
    <t>11353440</t>
  </si>
  <si>
    <t>Substituição do SPCS associado ao vão da Entrada de Linha 04M3 (LT 230 kV CATU /G.MANGABEIRA C-1) na subestação CATU, por um novo sistema composto por: 02 painéis, 02 proteções (principal e alternada), 01 unidade de controle, 02 falhas de disjuntor (principal e alternada), cabos de controle e infraestrutura de comunicação associados.</t>
  </si>
  <si>
    <t>0001627/2023</t>
  </si>
  <si>
    <t>11353444</t>
  </si>
  <si>
    <t>Substituição do SPCS associado ao vão da Entrada de Linha 04M4 (LT 230 kV CATU /FERBASA) na subestação CATU, por um novo sistema composto por: 02 painéis, 02 proteções (principal e alternada), 01 unidade de controle, 02 falhas de disjuntor (principal e alternada), cabos de controle e infraestrutura de comunicação associados.</t>
  </si>
  <si>
    <t>EL 230 kV CATU FERBASA (14M4)</t>
  </si>
  <si>
    <t>0001628/2023</t>
  </si>
  <si>
    <t>11353448</t>
  </si>
  <si>
    <t>Substituição do SPCS do Disjuntor de Interligação de Barras 14D1 na subestação CATU, por um novo sistema composto por: 01 painel, 01 unidade de controle, 02 falhas de disjuntor (principal e alternada), cabos de controle e infraestrutura de comunicação associados ao módulo de interligação de barras (14D1).</t>
  </si>
  <si>
    <t>0001629/2023</t>
  </si>
  <si>
    <t>11360983</t>
  </si>
  <si>
    <t>Substituição do SPCS do Transformador 04T1 na subestação CATU, por um novo sistema composto por: 02 painéis, 02 proteções (principal e alternada), 02 unidades de controle, 02 falhas de disjuntor (principal e alternado), cabos de controle e infraestrutura de comunicação associados.</t>
  </si>
  <si>
    <t>0001630/2023</t>
  </si>
  <si>
    <t>11362978</t>
  </si>
  <si>
    <t>Substituição do SPCS do Transformador 04T2 na subestação CATU, por um novo sistema composto por: 02 painéis, 02 proteções (principal e alternada), 02 unidades de controle, 02 falhas de disjuntor (principal e alternado), cabos de controle e infraestrutura de comunicação associados.</t>
  </si>
  <si>
    <t>0001631/2023</t>
  </si>
  <si>
    <t>11361831</t>
  </si>
  <si>
    <t>Substituição do SPCS do Transformador 04T3 na subestação CATU, por um novo sistema composto por: 02 painéis, 02 proteções (principal e alternada), 02 unidades de controle, 02 falhas de disjuntor (principal e alternado), cabos de controle e infraestrutura de comunicação associados.</t>
  </si>
  <si>
    <t>TR 230/69 kV CATU TR3 BA</t>
  </si>
  <si>
    <t>0001632/2023</t>
  </si>
  <si>
    <t>11358797</t>
  </si>
  <si>
    <t>Substituição do SPCS associado ao vão da Entrada de Linha 04C4 (LT 230 kV PAU FERRO /C.GRANDE II C-2) na subestação C.GRANDE II, por um novo sistema composto por: 02 painéis, 02 proteções (principal e alternada), 01 unidade de controle, cabos de controle e infraestrutura de comunicação associados.</t>
  </si>
  <si>
    <t>0001633/2023</t>
  </si>
  <si>
    <t>11365212</t>
  </si>
  <si>
    <t>Substituição do SPCS da Entrada de Linha 04S2 (LT 230 kV CAUIPE/SOBRAL II C-1) na subestação CAUIPE, por um novo sistema composto por: 02 painéis, 02 proteções (principal e alternada), 01 unidade de controle, 02 falhas de disjuntor (principal e alternada) e cabos de controle e infraestrutura de comunicação associados.</t>
  </si>
  <si>
    <t>0001636/2023</t>
  </si>
  <si>
    <t>11361348</t>
  </si>
  <si>
    <t>Substituição do SPCS do Disjuntor de Interligação de Barramento 14D1 na subestação CAUIPE, por um novo sistema composto por: 01 painél, 01 unidade de controle, 02 falhas de disjuntor (principal e alternada), cabos de controle e infraestrutura de comunicação associados ao módulo de interligação de barras (14D1).</t>
  </si>
  <si>
    <t>0001637/2023</t>
  </si>
  <si>
    <t>11351219</t>
  </si>
  <si>
    <t>Substituição do SPCS do Transformador 04T1 na subestação CAUIPE, por um novo sistema composto por: 02 painéis, 02 proteções (principal e alternada), 02 unidades de controle, 02 falhas de disjuntor (principal e alternada), cabos de controle e infraestrutura de comunicação associados.</t>
  </si>
  <si>
    <t>TR 230/69 kV CAUIPE TR1 CE</t>
  </si>
  <si>
    <t>0001638/2023</t>
  </si>
  <si>
    <t>11360425</t>
  </si>
  <si>
    <t>Substituição do SPCS do Transformador 04T2 na subestação CAUIPE, por um novo sistema composto por: 02 painéis, 02 proteções (principal e alternada), 02 unidades de controle, 02 falhas de disjuntor (principal e alternada), cabos de controle e infraestrutura de comunicação associados.</t>
  </si>
  <si>
    <t>TR 230/69 kV CAUIPE TR2 CE</t>
  </si>
  <si>
    <t>0001639/2023</t>
  </si>
  <si>
    <t>11360422</t>
  </si>
  <si>
    <t>Substituição do SPCS associado ao vão da Entrada de Linha 04L1 (LT 230 kV ITABAIANINHA /CATU C-1) na subestação ITABAIANINHA, por um novo sistema composto por: 02 painéis, 02 proteções (principal e alternada), 01 unidade de controle, 02 falhas de disjuntor (principal e alternada), cabos de controle e infraestrutura de comunicação associados.</t>
  </si>
  <si>
    <t>0001640/2023</t>
  </si>
  <si>
    <t>11367749</t>
  </si>
  <si>
    <t>Substituição do SPCS associado ao vão da Entrada de Linha 04C4 (LT 230 kV PAU FERRO /C.GRANDE II C-2) na subestação PAU FERRO, por um novo sistema composto por: 02 painéis, 02 proteções (principal e alternada), 01 unidade de controle, 02 falhas de disjuntor (principal e alternada), cabos de controle e infraestrutura de comunicação associados.</t>
  </si>
  <si>
    <t>0001642/2023</t>
  </si>
  <si>
    <t>12414092</t>
  </si>
  <si>
    <t>Substituição do SPCS associado ao vão da Entrada de Linha 04F6 (LT 230 kV RECIFE II /PAU FERRO C-1) na subestação PAU FERRO, por um novo sistema composto por: 02 painéis, 02 proteções (principal e alternada), 01 unidade de controle, 02 falhas de disjuntor (principal e alternada), cabos de controle e infraestrutura de comunicação associados.</t>
  </si>
  <si>
    <t>0001643/2023</t>
  </si>
  <si>
    <t>11364291</t>
  </si>
  <si>
    <t>Substituição do SPCS associado ao vão da Entrada de Linha 04F7 (LT 230 kV RECIFE II /PAU FERRO C-2) na subestação PAU FERRO, por um novo sistema composto por: 02 painéis, 02 proteções (principal e alternada), 01 unidade de controle, 02 falhas de disjuntor (principal e alternada), cabos de controle e infraestrutura de comunicação associados.</t>
  </si>
  <si>
    <t>0001644/2023</t>
  </si>
  <si>
    <t>11364311</t>
  </si>
  <si>
    <t>Substituição do SPCS do Transformador 04T1 na subestação PAU FERRO, por um novo sistema composto por: 02 painéis, 02 proteções (principal e alternada), 02 unidades de controle, 02 falhas de disjuntor (principal e alternado), cabos de controle e infraestrutura de comunicação associados.</t>
  </si>
  <si>
    <t>TR 230/69 kV PAU FERRO TR1 PE</t>
  </si>
  <si>
    <t>0001647/2023</t>
  </si>
  <si>
    <t>11364853</t>
  </si>
  <si>
    <t>Substituição do SPCS do Transformador 04T2 na subestação PAU FERRO, por um novo sistema composto por: 02 painéis, 02 proteções (principal e alternada), 02 unidades de controle, 02 falhas de disjuntor (principal e alternado), cabos de controle e infraestrutura de comunicação associados.</t>
  </si>
  <si>
    <t>TR 230/69 kV PAU FERRO TR2 PE</t>
  </si>
  <si>
    <t>0001648/2023</t>
  </si>
  <si>
    <t>11364854</t>
  </si>
  <si>
    <t>Substituição do SPCS do Transformador 04T3 na subestação PAU FERRO, por um novo sistema composto por: 02 painéis, 02 proteções (principal e alternada), 02 unidades de controle, 02 falhas de disjuntor (principal e alternado), cabos de controle e infraestrutura de comunicação associados.</t>
  </si>
  <si>
    <t>TR 230/69 kV PAU FERRO TR3 PE</t>
  </si>
  <si>
    <t>0001649/2023</t>
  </si>
  <si>
    <t>11361119</t>
  </si>
  <si>
    <t>Substituição do SPCS associado ao vão da Entrada de Linha 04S2 (LT 230 kV SE Floresta II /BOM NOME C-2) na subestação SE Floresta II, por um novo sistema composto por: 02 painéis, 02 proteções (principal e alternada), 01 unidade de controle, 02 falhas de disjuntor (principal e alternada), cabos de controle e infraestrutura de comunicação associados.</t>
  </si>
  <si>
    <t>0001650/2023</t>
  </si>
  <si>
    <t>11365559</t>
  </si>
  <si>
    <t>Substituição do SPCS associado ao vão da Entrada de Linha 05V7 (LT 500 kV JARDIM /CAMACARI IV C-1) na subestação CAMACARI IV, por um novo sistema composto por: 02 painéis, 02 proteções (principal e alternada), 01 unidade de controle, 02 falhas de disjuntor (principal e alternada), cabos de controle e infraestrutura de comunicação associados.</t>
  </si>
  <si>
    <t>0001651/2023</t>
  </si>
  <si>
    <t>11366149</t>
  </si>
  <si>
    <t>Substituição do SPCS associado ao vão da Entrada de Linha 04F6 (LT 230 kV RECIFE II /PAU FERRO C-1) na subestação RECIFE II, por um novo sistema composto por: 02 painéis, 02 proteções (principal e alternada), 01 unidade de controle, 02 unidades de falha de disjuntor (principal e alternada), cabos de controle e infraestrutura de comunicação associados.</t>
  </si>
  <si>
    <t>0001652/2023</t>
  </si>
  <si>
    <t>11353298</t>
  </si>
  <si>
    <t>Substituição do SPCS associado ao vão da Entrada de Linha 04F7 (LT 230 kV RECIFE II /PAU FERRO C-2) na subestação RECIFE II, por um novo sistema composto por: 02 painéis, 02 proteções (principal e alternada), 01 unidade de controle, 02 unidades de falha de disjuntor (principal e alternada), cabos de controle e infraestrutura de comunicação associados.</t>
  </si>
  <si>
    <t>0001653/2023</t>
  </si>
  <si>
    <t>11353299</t>
  </si>
  <si>
    <t>Substituição do SPCS do Reator de Linha 05E1 na subestação JARDIM, por um novo sistema composto por: 02 painéis, 02 proteções (principal e alternada), 01 unidade de controle, cabos de controle e infraestrutura de comunicação associados.</t>
  </si>
  <si>
    <t>0001655/2023</t>
  </si>
  <si>
    <t>11366498</t>
  </si>
  <si>
    <t>Substituição do SPCS associado ao vão da Entrada de Linha 05V5 (LT 500 kV USINA XINGO /JARDIM C-1) na subestação JARDIM, por um novo sistema composto por: 02 painéis, 02 proteções (principal e alternada), 01 unidade de controle, cabos de controle e infraestrutura de comunicação associados.</t>
  </si>
  <si>
    <t>0001656/2023</t>
  </si>
  <si>
    <t>11366475</t>
  </si>
  <si>
    <t>Substituição do SPCS associado ao vão da Entrada de Linha 05V7 (LT 500 kV JARDIM /CAMACARI IV C-1) na subestação JARDIM, por um novo sistema composto por: 02 painéis, 02 proteções (principal e alternada), 01 unidade de controle, cabos de controle e infraestrutura de comunicação associados.</t>
  </si>
  <si>
    <t>0001657/2023</t>
  </si>
  <si>
    <t>11366155</t>
  </si>
  <si>
    <t>Substituição do SPCS do Disjuntor de Interligação de Barras 15D1 na subestação JARDIM, por um novo sistema composto por: 01 painel, 01 unidade de controle, 02 falhas de disjuntor (principal e alternada), cabos de controle e infraestrutura de comunicação associados ao módulo de interligação de barras (15D1).</t>
  </si>
  <si>
    <t>MG JARDIM SE / CCO-2001-061 - RB</t>
  </si>
  <si>
    <t>0001658/2023</t>
  </si>
  <si>
    <t>11366494</t>
  </si>
  <si>
    <t>Substituição do SPCS do Disjuntor de Interligação de Barras 15D2 na subestação JARDIM, por um novo sistema composto por: 01 painel, 01 unidade de controle, 02 falhas de disjuntor (principal e alternada), cabos de controle e infraestrutura de comunicação associados ao módulo de interligação de barras (15D2).</t>
  </si>
  <si>
    <t>0001659/2023</t>
  </si>
  <si>
    <t>11366495</t>
  </si>
  <si>
    <t>Substituição do SPCS do Transformador 05T7 na subestação JARDIM, por um novo sistema composto por: 02 painéis, 02 proteções (principal e alternada), 02 unidades de controle, cabos de controle e infraestrutura de comunicação associados.</t>
  </si>
  <si>
    <t>TR 500/230 kV JARDIM TR7 SE</t>
  </si>
  <si>
    <t>0001661/2023</t>
  </si>
  <si>
    <t>11361178</t>
  </si>
  <si>
    <t>Substituição do SPCS associado ao vão da Entrada de Linha 04C1 (LT 230 kV ITABAIANA /JARDIM C-1) na subestação ITABAIANA, por um novo sistema composto por: 02 painéis, 02 proteções (principal e alternada), 01 unidade de controle, 02 falhas de disjuntor (principal e alternada), cabos de controle e infraestrutura de comunicação associados.</t>
  </si>
  <si>
    <t>LT 230 kV ITABAIANA /JARDIM C-1 SE</t>
  </si>
  <si>
    <t>0001662/2023</t>
  </si>
  <si>
    <t>11365470</t>
  </si>
  <si>
    <t>Substituição do SPCS associado ao vão da Entrada de Linha 04C2 (LT 230 kV ITABAIANA /JARDIM C-2) na subestação ITABAIANA, por um novo sistema composto por: 02 painéis, 02 proteções (principal e alternada), 01 unidade de controle, 02 falhas de disjuntor (principal e alternada), cabos de controle e infraestrutura de comunicação associados.</t>
  </si>
  <si>
    <t>LT 230 kV ITABAIANA /JARDIM C-2 SE</t>
  </si>
  <si>
    <t>0001663/2023</t>
  </si>
  <si>
    <t>11365469</t>
  </si>
  <si>
    <t>Substituição do SPCS associado ao vão da Entrada de Linha 05V5 (LT 500 kV USINA XINGO /JARDIM C-1) na subestação USINA XINGO, por um novo sistema composto por: 02 painéis, 02 proteções (principal e alternada), 01 unidade de controle, 02 falhas de disjuntor (principal e alternada), cabos de controle e infraestrutura de comunicação associados.</t>
  </si>
  <si>
    <t>0001664/2023</t>
  </si>
  <si>
    <t>11361659</t>
  </si>
  <si>
    <t>Substituição dos equipamentos Oplat instalados no circuito I do bay Pres. Dutra direção Boa Esperança, possibilitando a operação do sistema de teleproteção no trecho.</t>
  </si>
  <si>
    <t>0001674/2023</t>
  </si>
  <si>
    <t>Sistema de Telecomunicações</t>
  </si>
  <si>
    <t>Instalação de equipamentos de teleproteção digital, trafegando em meio óptico, no circuito I do bay Pres. Dutra direção Boa Esperança, possibilitando a operação da teleproteção diferencial no techo.</t>
  </si>
  <si>
    <t>0001675/2023</t>
  </si>
  <si>
    <t>Instalação de cabo OPGW para permitira a implantação da teleproteção digital, no circuito I do bay Pres. Dutra direção Boa Esperança, possibilitando a operação da teleproteção diferencial no trecho.</t>
  </si>
  <si>
    <t>0001676/2023</t>
  </si>
  <si>
    <t>Substituição das bobinas de bloqueio instaladas no bay Vila do Conde direção Tucuruí, circuito I, possibilitando a operação do sistema de teleproteção alternado no trecho.</t>
  </si>
  <si>
    <t>0001678/2023</t>
  </si>
  <si>
    <t>Substituição das bobinas de bloqueio instaladas nos bays Marabá direção Tucuruí e Marabá direção Imperatriz, ambos circuito I, possibilitando a operação do sistema de teleproteção alternado no trecho.</t>
  </si>
  <si>
    <t>0001679/2023</t>
  </si>
  <si>
    <t>Substituição das bobinas de bloqueio instaladas nos bays Pres. Dutra direção Imperatriz, Pres. Dutra direção Santo Antonio dos Lopes, Pres. Dutra direção Miranda II e Pres. Dutra direção Boa Esperança, todos no circuito I, possibilitando a operação do sistema de teleproteção alternado no trecho.</t>
  </si>
  <si>
    <t>0001682/2023</t>
  </si>
  <si>
    <t>Substituição das bobinas de bloqueio instaladas nos bays São Luís II direção Bacabeira, circuitos I e II, possibilitando a operação do sistema de teleproteção alternado no trecho.</t>
  </si>
  <si>
    <t>0001683/2023</t>
  </si>
  <si>
    <t>Instalação da cadeia de proteção de Barras alternada, referente às barras A e B de 525 kV da SE Curitiba, incluindo uma Unidade Central e dez unidades de Bay (vãos TF 1, TF 2, TF 3, Reator 2, LT Bateias C-1, LT Bateias C-2, LT Areia C-1, LT Blumenau C-1, LT Curitiba Leste C-1 e IB DJ1110), painéis e cabos de controle e potência associados.</t>
  </si>
  <si>
    <t>0001673/2023</t>
  </si>
  <si>
    <t>Instalação da cadeia de proteção de Barras alternada, referente às barras P1 e P2 de 230 kV da SE Curitiba, incluindo uma Unidade Central e treze unidades de Bay (vãos TF 1 (DJ792 e DJ794), TF 2 (DJ802 e DJ804), TF 3 (DJ702 e DJ704), LT Joinville C-1, LT Joinville Norte C-1, LT Joinville Norte C-2, LT S. Mateus do Sul C-1, LT Umbará C-1, LT Umbará C-2 e Interligador de Barras (IB)), painéis e cabos de controle e potência associados.</t>
  </si>
  <si>
    <t>0001677/2023</t>
  </si>
  <si>
    <t>BA - Barras P1 e P2</t>
  </si>
  <si>
    <t>Substituição do SPCS da Entrada de Linha 04S2 (LT 230 kV CAUIPE/SOBRAL II C-1) na subestação SOBRAL II, por um novo sistema composto por: 02 painéis, 02 proteções (principal e alternada), 01 unidade de controle, 02 unidades de falha de disjuntor (principal e alternada), cabos de controle e infraestrutura de comunicação associados.</t>
  </si>
  <si>
    <t>0001696/2023</t>
  </si>
  <si>
    <t>11361339</t>
  </si>
  <si>
    <t>Substituição do SPCS associado ao vão da Entrada de Linha 04C1 (LT 230 kV ITABAIANA /JARDIM C-1) na subestação JARDIM, por um novo sistema composto por: 02 painéis, 02 proteções (principal e alternada), 01 unidade de controle, cabos de controle e infraestrutura de comunicação associados.</t>
  </si>
  <si>
    <t>0001697/2023</t>
  </si>
  <si>
    <t>11361711</t>
  </si>
  <si>
    <t>Substituição do SPCS associado ao vão da Entrada de Linha 04C2 (LT 230 kV ITABAIANA /JARDIM C-2) na subestação JARDIM, por um novo sistema composto por: 02 painéis, 02 proteções (principal e alternada), 01 unidade de controle, cabos de controle e infraestrutura de comunicação associados.</t>
  </si>
  <si>
    <t>0001698/2023</t>
  </si>
  <si>
    <t>11361709</t>
  </si>
  <si>
    <t>Substituição do SPCS associado ao vão da Entrada de Linha 04F2 (LT 230 KV JARDIM / CIMESA) na subestação JARDIM, por um novo sistema composto por: 02 painéis, 02 proteções (principal e alternada), 01 unidade de controle, cabos de controle e infraestrutura de comunicação associados.</t>
  </si>
  <si>
    <t>EL 230 kV JARDIM CIMESA (14F2)</t>
  </si>
  <si>
    <t>0001699/2023</t>
  </si>
  <si>
    <t>11361723</t>
  </si>
  <si>
    <t>Substituição do SPCS do Disjuntor de Interligação de Barras 14D1 na subestação JARDIM, por um novo sistema composto por: 01 painel, 01 unidade de controle, 02 falhas de disjuntor (principal e alternada), cabos de controle e infraestrutura de comunicação associados ao módulo de interligação de barras (14D1).</t>
  </si>
  <si>
    <t>0001700/2023</t>
  </si>
  <si>
    <t>11367006</t>
  </si>
  <si>
    <t>Substituição do SPCS do Transformador 04T4 na subestação JARDIM, por um novo sistema composto por: 02 painéis, 02 proteções (principal e alternada), 02 unidades de controle, cabos de controle e infraestrutura de comunicação associados.</t>
  </si>
  <si>
    <t>TR 230/69 kV JARDIM TR4 SE</t>
  </si>
  <si>
    <t>0001701/2023</t>
  </si>
  <si>
    <t>11361172</t>
  </si>
  <si>
    <t>Substituição do SPCS do Transformador 04T5 na subestação BOM NOME, por um novo sistema composto por: 02 painéis, 02 proteções (principal e alternada), 02 unidades de controle, 02 falhas de disjuntor (principal e alternada), cabos de controle e infraestrutura de comunicação associados.</t>
  </si>
  <si>
    <t>TR 230/138 kV BOM NOME TR5 PE</t>
  </si>
  <si>
    <t>0001702/2023</t>
  </si>
  <si>
    <t>11366814</t>
  </si>
  <si>
    <t>LT 500 kV P. AFONSO IV /USINA PA-IV BA</t>
  </si>
  <si>
    <t>Substituição de 2 km de cabo para-raios convencional por cabo OPGW com 24 fibras, em toda a extensão da LT 500 kV P. AFONSO IV /USINA PA-IV C-6 BA (05T6), associado à teleproteção alternada.</t>
  </si>
  <si>
    <t>LT 500 kV P. AFONSO IV /USINA PA-IV C-6 BA (05T6)</t>
  </si>
  <si>
    <t>0001704/2023</t>
  </si>
  <si>
    <t>11864095</t>
  </si>
  <si>
    <t>Substituição de 2 km de cabo para-raios convencional por cabo OPGW com 24 fibras em toda a extensão da LT 500 kV P. AFONSO IV /USINA PA-IV C-1 BA (05T1), associado à teleproteção principal antes realizada via cabo dielétrico.</t>
  </si>
  <si>
    <t>LT 500 kV P. AFONSO IV /USINA PA-IV C-1 BA (05T1)</t>
  </si>
  <si>
    <t>0001705/2023</t>
  </si>
  <si>
    <t>11864045</t>
  </si>
  <si>
    <t>LT 230 kV U. A. SALES /P.AFONSO III BA/AL</t>
  </si>
  <si>
    <t>Substituição de 7 km de cabo para-raios convencional por cabo OPGW com 24 fibras, em toda a extensão da LT 230 kV U. A. SALES /P.AFONSO III C-1 BA/AL (04M1), associado à teleproteção principal.</t>
  </si>
  <si>
    <t>LT 230 kV U. A. SALES /P.AFONSO III C-1 BA/AL (04M1)</t>
  </si>
  <si>
    <t>0001706/2023</t>
  </si>
  <si>
    <t>11863261</t>
  </si>
  <si>
    <t>LT 230 kV COTEGIPE /JACARACANGA BA</t>
  </si>
  <si>
    <t>Substituição de 17 km de cabo para-raios convencional por cabo OPGW com 24 fibras, em toda a extensão da LT 230 kV COTEGIPE /JACARACANGA C-1 BA (04L3), associado à teleproteção principal.</t>
  </si>
  <si>
    <t>LT 230 kV COTEGIPE /JACARACANGA C-1 BA</t>
  </si>
  <si>
    <t>0001707/2023</t>
  </si>
  <si>
    <t>11897707</t>
  </si>
  <si>
    <t>LT 230 kV BRUMADO II /IBICOARA BA</t>
  </si>
  <si>
    <t>Substituição de 110 km de cabo para-raios convencional por cabo OPGW com 24 fibras, em toda a extensão da LT 230 kV BRUMADO II /IBICOARA C-1 BA (04F5), associado à teleproteção alternada.</t>
  </si>
  <si>
    <t>LT 230 kV BRUMADO II /IBICOARA C-1 BA</t>
  </si>
  <si>
    <t>0001708/2023</t>
  </si>
  <si>
    <t>11952461</t>
  </si>
  <si>
    <t>LT 230 kV CATU /G.MANGABEIRA BA</t>
  </si>
  <si>
    <t>Substituição de 85 km de cabo para-raios convencional por cabo OPGW com 24 fibras, em toda a extensão da LT 230 kV CATU /G.MANGABEIRA C-1 BA (04M3), associado à teleproteção alternada.</t>
  </si>
  <si>
    <t>0001710/2023</t>
  </si>
  <si>
    <t>11899137</t>
  </si>
  <si>
    <t>Substituição de 195 km de cabo para-raios convencional por cabo OPGW com 24 fibras, em toda a extensão da LT 230 kV CAUIPE /SOBRAL II C-1 CE (04S2), associado à teleproteção alternada.</t>
  </si>
  <si>
    <t>0001711/2023</t>
  </si>
  <si>
    <t>11683626</t>
  </si>
  <si>
    <t>Instalação da cadeia de proteção de Barras alternada, referente às barras A e B de 525 kV da SE Blumenau, incluindo uma Unidade Central e dez unidades de Bay (vãos TF 5, TF 6, TF 7, Reator 1, Reator 2, LT Biguaçu C-1, LT Curitiba Leste C-1, LT Curitiba C-1, LT Campos Novos C-1 e IB DJ1030), painéis e cabos de controle e potência associados.</t>
  </si>
  <si>
    <t>0001715/2023</t>
  </si>
  <si>
    <t>Instalação da cadeia de proteção de Barras alternada, referente às barras P1 e P2 de 230 kV da SE Blumenau, incluindo uma Unidade Central e dezessete unidades de Bay (vãos TF 1, TF 2, TF 3, TF 4, TF 5, TF 6, TF 7, LT Joinville C-1, LT Joinville Norte C-1, LT Gaspar 2 C-1, LT Gaspar 2 C-2, LT Itajaí C-1, LT Itajaí C-2, BC1, BC2 e Interligadores de Barras (IB - DJ842 e DJ852)), painéis e cabos de controle e potência associados.</t>
  </si>
  <si>
    <t>0001716/2023</t>
  </si>
  <si>
    <t>Instalar um módulo de entrada de linha de 69 kV, arranjo BPT, com destino à SE Estaleiro São Roque na SE Gov. Mangabeira.</t>
  </si>
  <si>
    <t>EL 69kV SE Gov. Mangabeiras LD SE Gov. Mangabeira/SE Estaleiro São Roque C1 BA (12V3)</t>
  </si>
  <si>
    <t>0001736/2023</t>
  </si>
  <si>
    <t>Instalar um módulo de entrada de linha de 69 kV, arranjo BPT, com destino à SE Quixeramobim na SE Banabuiú.</t>
  </si>
  <si>
    <t>EL 69kV Banabuiu LD Banabuiu/Quixeramobim C1 CE (12J7)</t>
  </si>
  <si>
    <t>0001737/2023</t>
  </si>
  <si>
    <t>Instalar um módulo de entrada de linha de 69 kV, arranjo BPT, com destino à SE Morada Nova na SE Banabuiú</t>
  </si>
  <si>
    <t>EL 69kV Banabuiu LD Banabuiu/Morada Nova C2 CE</t>
  </si>
  <si>
    <t>0001738/2023</t>
  </si>
  <si>
    <t>ACARAU II</t>
  </si>
  <si>
    <t>Instalar um módulo de entrada de linha de 69 kV, arranjo BPT, com destino à SE Acaraú I C2 na SE Acaraú II.</t>
  </si>
  <si>
    <t>EL 69kV Acaraú C2 LD Acaraú II/Acaraú C2 CE (12C4)</t>
  </si>
  <si>
    <t>0001740/2023</t>
  </si>
  <si>
    <t>MOSSORO IV</t>
  </si>
  <si>
    <t>Instalar um módulo de entrada de linha de 69 kV, arranjo BD3, com destino à SE Gangorra na SE Mossoró IV.</t>
  </si>
  <si>
    <t>EL 69kV Mossoró IV LT Mossoró IV – Gangorra CS (12N4)</t>
  </si>
  <si>
    <t>0001741/2023</t>
  </si>
  <si>
    <t>Instalar um módulo de entrada de linha de 69 kV, arranjo BD3, com destino à SE Maísa na SE Mossoró IV.</t>
  </si>
  <si>
    <t>EL 69kV Mossoró IV LT Mossoró IV – Maísa CS (12N3)</t>
  </si>
  <si>
    <t>0001742/2023</t>
  </si>
  <si>
    <t>Instalar um módulo de entrada de linha de 69 kV, arranjo BPT, com destino à SE Caucaia C2 na SE Cauipe.</t>
  </si>
  <si>
    <t>EL 69kV Cauípe LD Cauípe/Caucaia C2 CE (12M8)</t>
  </si>
  <si>
    <t>0001743/2023</t>
  </si>
  <si>
    <t>Instalar um módulo de entrada de linha de 69 kV, arranjo BPT, com destino à SE Inhuporanga C2 na SE Cauipe.</t>
  </si>
  <si>
    <t>EL 69kV Cauípe LD Cauípe/SE Inhuporanga C2 CE (12M9)</t>
  </si>
  <si>
    <t>0001744/2023</t>
  </si>
  <si>
    <t>Instalar um módulo de entrada de linha de 69 kV, arranjo BPT, com destino à SE São Luiz do Curu C3 na SE Cauipe.</t>
  </si>
  <si>
    <t>EL 69kV Cauípe LD Cauípe/SE São Luiz do Curu C3 CE (12L1)</t>
  </si>
  <si>
    <t>0001745/2023</t>
  </si>
  <si>
    <t>LAGOA NOVA II</t>
  </si>
  <si>
    <t>Instalar um módulo de entrada de linha de 69 kV, arranjo BPT, com destino à SE Santana do Matos I na SE Lagoa Nova II.</t>
  </si>
  <si>
    <t>EL 69kV SE Lagoa Nova II LD SE Lagoa Nova II /SE Santana dos Matos I C1 RN (12S2)</t>
  </si>
  <si>
    <t>0001747/2023</t>
  </si>
  <si>
    <t>Instalar um módulo de entrada de linha de 69 kV, arranjo BPT, com destino à SE Jaguaruana III na SE Russas II.</t>
  </si>
  <si>
    <t>EL 69kV Russas II LD Russas II/SE Jaguaruana III CE (12J3)</t>
  </si>
  <si>
    <t>0001749/2023</t>
  </si>
  <si>
    <t>Substituição de 1 (um) Transformador de Aterramento 69 kV, posição operacional 02A1, por outro transformador de 69 kV e 7,5 MVA, na SE Bom Jesus da Lapa.</t>
  </si>
  <si>
    <t>TT 69/13,8 kV B.JESUS LAPA TA1 BA (02A1)</t>
  </si>
  <si>
    <t>0001886/2023</t>
  </si>
  <si>
    <t>11344202</t>
  </si>
  <si>
    <t>Implantação da segunda fonte de alimentação CA para os Serviços Auxiliares da SE Osório 2: Aquisição de um novo transformador de serviço auxiliar 13,8 kV / 480 V. Instalação de chave fusível e lançamento de cabos desde o ponto da área de compartilhamento de fontes de serviços auxiliares da CEEE-GT até a casa de comando da CGT Eletrosul. Substituição dos painéis de serviços auxiliares de 480 Vca.</t>
  </si>
  <si>
    <t>0001865/2023</t>
  </si>
  <si>
    <t>SANTA CRUZ1</t>
  </si>
  <si>
    <t>Implantação da segunda fonte de alimentação CA para os Serviços Auxiliares da SE Santa Cruz 1 (associada ao módulo da LT 230 kV Santa Cruz 1 - P. Médici C-1): Instalação de dois quadros QDA no secundários dos transformadores existentes de serviço auxiliar TSA8 e TSA9. Aquisição e instalação de Grupo Motor Gerador. Substituição completa dos painéis de serviço auxiliar 220/127 Vca.</t>
  </si>
  <si>
    <t>0001873/2023</t>
  </si>
  <si>
    <t>Implantação da segunda fonte de alimentação CA para os Serviços Auxiliares da SE P. Fundo. A nova configuração consiste na alimentação pelos TF3 e TF5 (atualmente é feita somente pelo TF3). Obras necessárias: instalação de novo ramal a partir do TF3 (cabos e chave fusível), novo transformador de serviço auxiliar (TSA2), remanejamento do atual ramal e TSA1 para conexão a partir do TF5, desativação dos cubículos 15kV existentes, substituição dos painéis 380Vca e do reator limitador existente.</t>
  </si>
  <si>
    <t>0001875/2023</t>
  </si>
  <si>
    <t>Substituição da chave seccionadora com lamina de terra VCSL6-01 e VCCA6-07</t>
  </si>
  <si>
    <t>LT 230 kV ALBRAS / VILA DO CONDE C-1 PA</t>
  </si>
  <si>
    <t>0001890/2023</t>
  </si>
  <si>
    <t>VCSL6-01 e VCCA6-07</t>
  </si>
  <si>
    <t>Substituição da chave seccionadora com lamina de terra VCSL6-02 e VCCA6-09</t>
  </si>
  <si>
    <t>LT 230 kV ALBRAS / VILA DO CONDE C-2 PA</t>
  </si>
  <si>
    <t>0001891/2023</t>
  </si>
  <si>
    <t>VCSL6-02 e VCCA6-09</t>
  </si>
  <si>
    <t>Instalação de Painel de SPCS para o Reator remanejado da UHE Jirau para barra 500kV da SE Coletora Porto Velho</t>
  </si>
  <si>
    <t>Função Nova com a instalação do Reator</t>
  </si>
  <si>
    <t>0001968/2023</t>
  </si>
  <si>
    <t>Estudos de TRT apresentaram superação dos disjuntores de 69 kV na SE São Luís I.</t>
  </si>
  <si>
    <t>0001985/2023</t>
  </si>
  <si>
    <t>LIDJ4-01</t>
  </si>
  <si>
    <t>TRT</t>
  </si>
  <si>
    <t>Estudos de TRT apresentaram superação dos disjuntores de 69 kV na SE São Luís I</t>
  </si>
  <si>
    <t>TR 69/13,8 kV SAO LUIS I TR1 MA</t>
  </si>
  <si>
    <t>0001988/2023</t>
  </si>
  <si>
    <t>LIDJ4-02</t>
  </si>
  <si>
    <t>0001990/2023</t>
  </si>
  <si>
    <t>LIDJ4-03</t>
  </si>
  <si>
    <t>0001994/2023</t>
  </si>
  <si>
    <t>LIDJ4-04</t>
  </si>
  <si>
    <t>EL 69 kV SAO LUIS I  DIST4</t>
  </si>
  <si>
    <t>0001995/2023</t>
  </si>
  <si>
    <t>LIDJ4-05</t>
  </si>
  <si>
    <t>0001996/2023</t>
  </si>
  <si>
    <t>LIDJ4-07</t>
  </si>
  <si>
    <t>0001998/2023</t>
  </si>
  <si>
    <t>LIDJ4-08</t>
  </si>
  <si>
    <t>0001999/2023</t>
  </si>
  <si>
    <t>LIDJ4-10</t>
  </si>
  <si>
    <t>EL 69 kV SAO LUIS I DIST8</t>
  </si>
  <si>
    <t>0002000/2023</t>
  </si>
  <si>
    <t>LIDJ4-13</t>
  </si>
  <si>
    <t>MC 230 kV TR 230/69 kV SAO LUIS I TF1 MA</t>
  </si>
  <si>
    <t>0002001/2023</t>
  </si>
  <si>
    <t>LIDJ4-12</t>
  </si>
  <si>
    <t>Substituição de um (01) Disjuntor 500 KV SE Tucuruí no vão Ax - TCDJ7-16. Capacidade do novo equipamento: 4.000 A e 63 kA.</t>
  </si>
  <si>
    <t>N-S-PATC-TUTCLT706-ELTC-TCDJ716</t>
  </si>
  <si>
    <t>0002509/2023</t>
  </si>
  <si>
    <t>TCDJ7-16</t>
  </si>
  <si>
    <t>X/R</t>
  </si>
  <si>
    <t>Substituição de três (03) Transformadores Corrente 500 KV SE Tucuruí no vão Ay. Capacidade do novo equipamento: 4.000 A e 63 kA.</t>
  </si>
  <si>
    <t>0002543/2023</t>
  </si>
  <si>
    <t>TCTC7-02 FASE A,B,V</t>
  </si>
  <si>
    <t>Substituição de três (03) Transformadores Corrente 500 KV SE Tucuruí no vão Bx. Capacidade do novo equipamento: 4.000 A e 63 kA.</t>
  </si>
  <si>
    <t>LT 500 kV TUCURUI /US. TUCURUI C-5 PA</t>
  </si>
  <si>
    <t>0002544/2023</t>
  </si>
  <si>
    <t>TCTC7-01 FASE A,B,V</t>
  </si>
  <si>
    <t>Substituição de seis (06) Transformadores Corrente 500 KV SE Tucuruí no vão By. Capacidade do novo equipamento: 4.000 A e 63 kA.</t>
  </si>
  <si>
    <t>0002542/2023</t>
  </si>
  <si>
    <t>TCTC7-01 FASE A,B,V TCTC7-02 FASE A,B,V</t>
  </si>
  <si>
    <t>Substituição de dois (02) Seccionadores sem Lamina de Terra 500 KV SE Tucuruí no vão Ax - TCSD7-31 TCSD7-32. Capacidade do novo equipamento: 4.000 A e 63 kA.</t>
  </si>
  <si>
    <t>N-S-PATC-TUTCLT706-ELTC-TCSD731 / N-S-PATC-TUTCLT706-ELTC-TCSD732</t>
  </si>
  <si>
    <t>0002518/2023</t>
  </si>
  <si>
    <t>TCSD731 / TCSD732</t>
  </si>
  <si>
    <t>Substituição de dois (02) Seccionadores sem Lamina de Terra 500 KV SE Tucuruí no vão Ay - TCSD7-33 TCSD7-34. Capacidade do novo equipamento: 4.000 A e 63 kA.</t>
  </si>
  <si>
    <t>MG 500 kV TUCURUI MG1 PA - IB 500 kV</t>
  </si>
  <si>
    <t>0002519/2023</t>
  </si>
  <si>
    <t>TCSD7-33 / TCSD7-34</t>
  </si>
  <si>
    <t>Substituição de dois barramentos no pátio de 500 kV na subestação Tucuruí - TCBR7-01 e TCBR7-02. Capacidade do novo equipamento: 4.000 A e 63 kA.</t>
  </si>
  <si>
    <t>0002546/2023</t>
  </si>
  <si>
    <t>TCBR7-01 / TCBR7-02</t>
  </si>
  <si>
    <t>Substituição de quatro (04) Seccionadores sem Lamina de Terra 500 KV SE Tucuruí no vão Az - TCSD7-35 TCSD7-36 TCST7-02 TCST7-04. Capacidade do novo equipamento: 4.000 A e 63 kA.</t>
  </si>
  <si>
    <t>TR 500/230 kV TUCURUI TR2 PA</t>
  </si>
  <si>
    <t>0002520/2023</t>
  </si>
  <si>
    <t>TCSD7-35 / TCSD7-36 / TCST7-02 / TCST7-04</t>
  </si>
  <si>
    <t>Substituição de dois (02) Seccionadores sem Lamina de Terra 500 KV SE Tucuruí no vão Bx - TCSD7-25 TCSD7-26. Capacidade do novo equipamento: 4.000 A e 63 kA.</t>
  </si>
  <si>
    <t>N-S-PATC-TUTCLT705-ELTC-TCSD725 / N-S-PATC-TUTCLT705-ELTC-TCSD726</t>
  </si>
  <si>
    <t>0002521/2023</t>
  </si>
  <si>
    <t>TCSD7-25 / TCSD7-26</t>
  </si>
  <si>
    <t>Substituição de dois (02) Seccionadores sem Lamina de Terra 500 KV SE Tucuruí no vão By - TCSD7-27 TCSD7-28. Capacidade do novo equipamento: 4.000 A e 63 kA.</t>
  </si>
  <si>
    <t>FT MG 500 kV TUCURUI MG1 PA - IB 500 kV</t>
  </si>
  <si>
    <t>0002522/2023</t>
  </si>
  <si>
    <t>TCSD7-27 / TCSD7-28</t>
  </si>
  <si>
    <t>Substituição de dois (02) Seccionadores sem Lamina de Terra 500 KV SE Tucuruí no vão Bz - TCSD7-29 TCSD7-30. Capacidade do novo equipamento: 4.000 A e 63 kA.</t>
  </si>
  <si>
    <t>0002523/2023</t>
  </si>
  <si>
    <t>TCSD7-29 / TCSD7-30</t>
  </si>
  <si>
    <t>Substituição de dois (02) Seccionadores sem Lamina de Terra 500 KV SE Tucuruí no vão Cx - TCSD7-19 TCSD7-20. Capacidade do novo equipamento: 4.000 A e 63 kA.</t>
  </si>
  <si>
    <t>N-S-PATC-TUTCLT704-ELTC-TCSD719 / N-S-PATC-TUTCLT704-ELTC-TCSD720</t>
  </si>
  <si>
    <t>0002524/2023</t>
  </si>
  <si>
    <t>TCSD7-19 / TCSD7-20</t>
  </si>
  <si>
    <t>Substituição de dois (02) Seccionadores sem Lamina de Terra 500 KV SE Tucuruí no vão Cy - TCSD7-21 TCSD7-22. Capacidade do novo equipamento: 4.000 A e 63 kA.</t>
  </si>
  <si>
    <t>0002525/2023</t>
  </si>
  <si>
    <t>TCSD7-21 / TCSD7-22</t>
  </si>
  <si>
    <t>Substituição de dois (02) Seccionadores sem Lamina de Terra 500 KV SE Tucuruí no vão Cz - TCSD7-23 TCSD7-24. Capacidade do novo equipamento: 4.000 A e 63 kA.</t>
  </si>
  <si>
    <t>0002526/2023</t>
  </si>
  <si>
    <t>TCSD7-23 / TCSD7-24</t>
  </si>
  <si>
    <t>Substituição de três (03) Para-Raios 500 KV SE Tucuruí no vão Ax Fase A, B e V</t>
  </si>
  <si>
    <t>N-S-PATC-TUTCLT706-ELTC-TCPR701</t>
  </si>
  <si>
    <t>0002467/2023</t>
  </si>
  <si>
    <t>12357826, 12357827, 12357828</t>
  </si>
  <si>
    <t>Substituição de dois (02) Seccionadores sem Lamina de Terra 500 KV SE Tucuruí no vão Dx - TCSD7-13 TCSD7-14. Capacidade do novo equipamento: 4.000 A e 63 kA.</t>
  </si>
  <si>
    <t>0002527/2023</t>
  </si>
  <si>
    <t>TCSD7-13 / TCSD7-14</t>
  </si>
  <si>
    <t>Substituição de dois (02) Seccionadores sem Lamina de Terra 500 KV SE Tucuruí no vão Dy - TCSD7-15 TCSD7-16. Capacidade do novo equipamento: 4.000 A e 63 kA.</t>
  </si>
  <si>
    <t>0002528/2023</t>
  </si>
  <si>
    <t>TCSD7-15 / TCSD7-16</t>
  </si>
  <si>
    <t>Substituição de três (03) Para-Raios 500 KV SE Tucuruí no vão Bx Fase A, B e V</t>
  </si>
  <si>
    <t>N-S-PATC-TUTCLT705-ELTC-TCPR701</t>
  </si>
  <si>
    <t>0002470/2023</t>
  </si>
  <si>
    <t>12357811, 12357812, 12357813</t>
  </si>
  <si>
    <t>Substituição de quatro (04) Seccionadores sem Lamina de Terra 500 KV SE Tucuruí no vão Dz - TCSD7-17 TCSD7-18 TCST7-01 TCST7-03. Capacidade do novo equipamento: 4.000 A e 63 kA.</t>
  </si>
  <si>
    <t>FT TR 500/230 kV TUCURUI TR1 PA</t>
  </si>
  <si>
    <t>0002529/2023</t>
  </si>
  <si>
    <t>TCSD7-17 / TCSD7-18 / TCST7-01 / TCST7-03</t>
  </si>
  <si>
    <t>Substituição de dois (02) Seccionadores sem Lamina de Terra 500 KV SE Tucuruí no vão Ex - TCSD7-07 TCSD7-08. Capacidade do novo equipamento: 4.000 A e 63 kA.</t>
  </si>
  <si>
    <t>N-S-PATC-TUTCLT702-ELTC-TCSD707 / N-S-PATC-TUTCLT702-ELTC-TCSD708</t>
  </si>
  <si>
    <t>0002530/2023</t>
  </si>
  <si>
    <t>TCSD7-07 / TCSD7-08</t>
  </si>
  <si>
    <t>Substituição de três (03) Para-Raios 500 KV SE Tucuruí no vão Bz</t>
  </si>
  <si>
    <t>0002471/2023</t>
  </si>
  <si>
    <t>11972732, 11972733, 11972734</t>
  </si>
  <si>
    <t>Substituição de dois (02) Seccionadores sem Lamina de Terra 500 KV SE Tucuruí no vão Ey - TCSD7-09 TCSD7-10. Capacidade do novo equipamento: 4.000 A e 63 kA.</t>
  </si>
  <si>
    <t>0002531/2023</t>
  </si>
  <si>
    <t>TCSD7-09 / TCSD7-10</t>
  </si>
  <si>
    <t>Substituição de dois (02) Seccionadores sem Lamina de Terra 500 KV SE Tucuruí no vão Fx - TCSD7-01 TCSD7-02. Capacidade do novo equipamento: 4.000 A e 63 kA.</t>
  </si>
  <si>
    <t>N-S-PATC-TUTCLT701-ELTC-TCSD701 / N-S-PATC-TUTCLT701-ELTC-TCSD702</t>
  </si>
  <si>
    <t>0002532/2023</t>
  </si>
  <si>
    <t>TCSD7-01 / TCSD7-02</t>
  </si>
  <si>
    <t>Substituição de três (03) Para-Raios 500 KV SE Tucuruí no vão Cx</t>
  </si>
  <si>
    <t>N-S-PATC-TUTCLT704-ELTC-TCPR701</t>
  </si>
  <si>
    <t>0002472/2023</t>
  </si>
  <si>
    <t>12357796, 12357797, 12357798</t>
  </si>
  <si>
    <t>Substituição de dois (02) Seccionadores sem Lamina de Terra 500 KV SE Tucuruí no vão Fy - TCSD7-03 TCSD7-04. Capacidade do novo equipamento: 4.000 A e 63 kA.</t>
  </si>
  <si>
    <t>0002533/2023</t>
  </si>
  <si>
    <t>TCSD7-03 / TCSD7-04</t>
  </si>
  <si>
    <t>Substituição de dois (02) Seccionadores com Lamina de Terra 500 KV SE Tucuruí no Barramento - TCCA7-13 TCCA7-14. Capacidade do novo equipamento: 4.000 A e 63 kA.</t>
  </si>
  <si>
    <t>0002575/2023</t>
  </si>
  <si>
    <t>TCCA7-13 / TCCA7-14</t>
  </si>
  <si>
    <t>Substituição de três (03) Para-Raios 500 KV SE Tucuruí no vão Dx</t>
  </si>
  <si>
    <t>N-S-PATC-TUTCLT703-ELTC-TCPR701</t>
  </si>
  <si>
    <t>0002473/2023</t>
  </si>
  <si>
    <t>12357783, 12357784, 12357785</t>
  </si>
  <si>
    <t>Substituição de três (03) Para-Raios 500 KV SE Tucuruí no vão Fx</t>
  </si>
  <si>
    <t>N-S-PATC-TUTCLT701-ELTC-TCPR701</t>
  </si>
  <si>
    <t>0002474/2023</t>
  </si>
  <si>
    <t>12357753, 12357754, 12357755</t>
  </si>
  <si>
    <t>Substituição de um (01) Seccionador com Lamina de Terra 500 KV SE Tucuruí no vão Ax - TCSL7-06 TCCA7-06. Capacidade do novo equipamento: 4.000 A e 63 kA.</t>
  </si>
  <si>
    <t>N-S-PATC-TUTCLT706-ELTC-TCSL706 / N-S-PATC-TUTCLT706-ELTC-TCCA706</t>
  </si>
  <si>
    <t>0002534/2023</t>
  </si>
  <si>
    <t>TCSL7-06 / TCCA7-06</t>
  </si>
  <si>
    <t>Substituição de três (03) Transformador Potencial 500 KV SE Tucuruí no vão Bz</t>
  </si>
  <si>
    <t>0002475/2023</t>
  </si>
  <si>
    <t>11972754, 11972755, 11972756</t>
  </si>
  <si>
    <t>Substituição de um (01) Seccionador com Lamina de Terra 500 KV SE Tucuruí no vão Bx - TCSL7-05 TCCA7-05. Capacidade do novo equipamento: 4.000 A e 63 kA.</t>
  </si>
  <si>
    <t>N-S-PATC-TUTCLT705-ELTC-TCSL705 / N-S-PATC-TUTCLT705-ELTC-TCCA705</t>
  </si>
  <si>
    <t>0002535/2023</t>
  </si>
  <si>
    <t>TCSL7-05/ TCCA7-05</t>
  </si>
  <si>
    <t>Substituição de um (01) Seccionador com Lamina de Terra 500 KV SE Tucuruí no vão Bz - TCSL7-11 TCCA7-11. Capacidade do novo equipamento: 4.000 A e 63 kA.</t>
  </si>
  <si>
    <t>0002536/2023</t>
  </si>
  <si>
    <t>TCSL7-11/TCCA7-11</t>
  </si>
  <si>
    <t>Substituição de um (01) Seccionador com Lamina de Terra 500 KV SE Tucuruí no vão Cx - TCSL7-04 TCCA7-04. Capacidade do novo equipamento: 4.000 A e 63 kA.</t>
  </si>
  <si>
    <t>N-S-PATC-TUTCLT704-ELTC-TCSL704 / N-S-PATC-TUTCLT704-ELTC-TCCA704</t>
  </si>
  <si>
    <t>0002537/2023</t>
  </si>
  <si>
    <t>TCSL7-04/TCCA7-04</t>
  </si>
  <si>
    <t>Substituição de um (01) Disjuntor 500 KV SE Tucuruí no vão Ay - TCDJ7-17. Capacidade do novo equipamento: 4.000 A e 63 kA.</t>
  </si>
  <si>
    <t>FT MG 500 kV TUCURUI MG1 PA</t>
  </si>
  <si>
    <t>0002508/2023</t>
  </si>
  <si>
    <t>TCDJ7-17</t>
  </si>
  <si>
    <t>Substituição de um (01) Seccionador com Lamina de Terra 500 KV SE Tucuruí no vão Cz - TCSL7-10 TCCA7-10. Capacidade do novo equipamento: 4.000 A e 63 kA.</t>
  </si>
  <si>
    <t>0002538/2023</t>
  </si>
  <si>
    <t>TCSL7-10/TCCA7-10</t>
  </si>
  <si>
    <t>Substituição de um (01) Seccionador com Lamina de Terra 500 KV SE Tucuruí no vão Dx - TCSL7-03 TCCA7-03. Capacidade do novo equipamento: 4.000 A e 63 kA.</t>
  </si>
  <si>
    <t>N-S-PATC-TUTCLT703-ELTC-TCSL703 / N-S-PATC-TUTCLT703-ELTC-TCCA703</t>
  </si>
  <si>
    <t>0002539/2023</t>
  </si>
  <si>
    <t>TCSL7-03/TCCA7-03</t>
  </si>
  <si>
    <t>Substituição de um (01) Disjuntor 500 KV SE Tucuruí no vão Bx - TCDJ7-13. Capacidade do novo equipamento: 4.000 A e 63 kA.</t>
  </si>
  <si>
    <t>N-S-PATC-TUTCLT705-ELTC-TCDJ713</t>
  </si>
  <si>
    <t>0002510/2023</t>
  </si>
  <si>
    <t>TCDJ7-13</t>
  </si>
  <si>
    <t>Substituição de um (01) Seccionador com Lamina de Terra 500 KV SE Tucuruí no vão Ex - TCSL7-02 TCCA7-02. Capacidade do novo equipamento: 4.000 A e 63 kA.</t>
  </si>
  <si>
    <t>N-S-PATC-TUTCLT702-ELTC-TCSL702 / N-S-PATC-TUTCLT702-ELTC-TCCA702</t>
  </si>
  <si>
    <t>0002540/2023</t>
  </si>
  <si>
    <t>TCSL7-02/TCCA7-02</t>
  </si>
  <si>
    <t>Substituição de um (01) Disjuntor 500 KV SE Tucuruí no vão By - TCDJ7-14. Capacidade do novo equipamento: 4.000 A e 63 kA.</t>
  </si>
  <si>
    <t>0002511/2023</t>
  </si>
  <si>
    <t>TCDJ7-14</t>
  </si>
  <si>
    <t>Substituição de um (01) Seccionador com Lamina de Terra 500 KV SE Tucuruí no vão Fx - TCSL7-01 TCCA7-01. Capacidade do novo equipamento: 4.000 A e 63 kA.</t>
  </si>
  <si>
    <t>N-S-PATC-TUTCLT701-ELTC-TCSL701 / N-S-PATC-TUTCLT701-ELTC-TCCA701</t>
  </si>
  <si>
    <t>0002541/2023</t>
  </si>
  <si>
    <t>TCSL7-01/TCCA7-01</t>
  </si>
  <si>
    <t>Substituição de um (01) Disjuntor 500 KV SE Tucuruí no vão Bz - TCDJ7-15. Capacidade do novo equipamento: 4.000 A e 63 kA.</t>
  </si>
  <si>
    <t>0002512/2023</t>
  </si>
  <si>
    <t>TCDJ7-15</t>
  </si>
  <si>
    <t>Substituição do PARA-RAIO MBPR701   fase A 500kV do MBRE7-04</t>
  </si>
  <si>
    <t>0008664/2023</t>
  </si>
  <si>
    <t>MBPR701</t>
  </si>
  <si>
    <t>Substituição de um (01) Disjuntor 500 KV SE Tucuruí no vão Cx - TCDJ7-10. Capacidade do novo equipamento: 4.000 A e 63 kA.</t>
  </si>
  <si>
    <t>N-S-PATC-TUTCLT704-ELTC-TCDJ710</t>
  </si>
  <si>
    <t>0002513/2023</t>
  </si>
  <si>
    <t>TCDJ7-10</t>
  </si>
  <si>
    <t>Substituição de um (01) Disjuntor 500 KV SE Tucuruí no vão Cy - TCDJ7-11. Capacidade do novo equipamento: 4.000 A e 63 kA.</t>
  </si>
  <si>
    <t>0002514/2023</t>
  </si>
  <si>
    <t>TCDJ7-11</t>
  </si>
  <si>
    <t>Substituição de um (01) Disjuntor 500 KV SE Tucuruí no vão Dx - TCDJ7-07. Capacidade do novo equipamento: 4.000 A e 63 kA.</t>
  </si>
  <si>
    <t>N-S-PATC-TUTCLT703-ELTC-TCDJ707</t>
  </si>
  <si>
    <t>0002515/2023</t>
  </si>
  <si>
    <t>TCDJ7-07</t>
  </si>
  <si>
    <t>Substituição de dois (02) Seccionadores sem Lamina de Terra 500 KV SE Tucuruí no vão Gx - TCSD7-37 TCSD7-38. Capacidade do novo equipamento: 4.000 A e 63 kA.</t>
  </si>
  <si>
    <t>N-S-PATC-TUTCLT707-ELTC-TCSD37 / N-S-PATC-TUTCLT707-ELTC-TCSD38</t>
  </si>
  <si>
    <t>0002550/2023</t>
  </si>
  <si>
    <t>TCSD7-37 / TCSD7-38</t>
  </si>
  <si>
    <t>Substituição de um (01) Disjuntor 500 KV SE Tucuruí no vão Dz - TCDJ7-09. Capacidade do novo equipamento: 4.000 A e 63 kA.</t>
  </si>
  <si>
    <t>TR 500/230 kV TUCURUI TR1 PA</t>
  </si>
  <si>
    <t>0002516/2023</t>
  </si>
  <si>
    <t>TCDJ7-09</t>
  </si>
  <si>
    <t>Substituição de um (01) Disjuntor 500 KV SE Tucuruí no vão Ex - TCDJ7-04. Capacidade do novo equipamento: 4.000 A e 63 kA.</t>
  </si>
  <si>
    <t>N-S-PATC-TUTCLT702-ELTC-TCDJ704</t>
  </si>
  <si>
    <t>0002517/2023</t>
  </si>
  <si>
    <t>TCDJ7-04</t>
  </si>
  <si>
    <t>Substituição de dois (02) Seccionadores sem Lamina de Terra 500 KV SE Tucuruí no vão Gy - TCSD7-39 TCSD7-40. Capacidade do novo equipamento: 4.000 A e 63 kA.</t>
  </si>
  <si>
    <t>0002551/2023</t>
  </si>
  <si>
    <t>TCSD7-39 / TCSD7-40</t>
  </si>
  <si>
    <t>Substituição de dois (02) Seccionadores sem Lamina de Terra 500 KV SE Tucuruí no vão Hx - TCSD7-43 TCSD7-44. Capacidade do novo equipamento: 4.000 A e 63 kA.</t>
  </si>
  <si>
    <t>N-S-PATC-TUTCLT708-ELTC-TCSD43 / N-S-PATC-TUTCLT708-ELTC-TCSD44</t>
  </si>
  <si>
    <t>0002552/2023</t>
  </si>
  <si>
    <t>TCSD7-43 / TCSD7-44</t>
  </si>
  <si>
    <t>Substituição de dois (02) Seccionadores sem Lamina de Terra 500 KV SE Tucuruí no vão Ix - TCSD7-49 TCSD7-50. Capacidade do novo equipamento: 4.000 A e 63 kA.</t>
  </si>
  <si>
    <t>N-S-PATC-TUTCLT709-ELTC-TCSD49 / N-S-PATC-TUTCLT709-ELTC-TCSD50</t>
  </si>
  <si>
    <t>0002561/2023</t>
  </si>
  <si>
    <t>TCSD7-49 / TCSD7-50</t>
  </si>
  <si>
    <t>Substituição de dois (02) Seccionadores sem Lamina de Terra 500 KV SE Tucuruí no vão Iy - TCSD7-51 TCSD7-52. Capacidade do novo equipamento: 4.000 A e 63 kA.</t>
  </si>
  <si>
    <t>0002562/2023</t>
  </si>
  <si>
    <t>TCSD7-51 / TCSD7-52</t>
  </si>
  <si>
    <t>Substituição de dois (02) Seccionadores sem Lamina de Terra 500 KV SE Tucuruí no vão Iz - TCSD7-53 TCSD7-54. Capacidade do novo equipamento: 4.000 A e 63 kA.</t>
  </si>
  <si>
    <t>FT LT 500 kV TUCURUI /VILA DO CONDE C-1 PA</t>
  </si>
  <si>
    <t>0002563/2023</t>
  </si>
  <si>
    <t>TCSD7-53 / TCSD7-54</t>
  </si>
  <si>
    <t>Substituição de dois (02) Seccionadores sem Lamina de Terra 500 KV SE Tucuruí no vão Jx - TCSD7-55 TCSD7-56. Capacidade do novo equipamento: 4.000 A e 63 kA.</t>
  </si>
  <si>
    <t>N-S-PATC-TUTCLT7010-ELTC-TCSD55 / N-S-PATC-TUTCLT7010-ELTC-TCSD56</t>
  </si>
  <si>
    <t>0002564/2023</t>
  </si>
  <si>
    <t>TCSD7-55 / TCSD7-56</t>
  </si>
  <si>
    <t>Substituição de dois (02) Seccionadores sem Lamina de Terra 500 KV SE Tucuruí no vão Kx - TCSD7-61 TCSD7-62. Capacidade do novo equipamento: 4.000 A e 63 kA.</t>
  </si>
  <si>
    <t>N-S-PATC-TUTCLT7011-ELTC-TCSD61 / N-S-PATC-TUTCLT7011-ELTC-TCSD62</t>
  </si>
  <si>
    <t>0002565/2023</t>
  </si>
  <si>
    <t>TCSD7-61 / TCSD7-62</t>
  </si>
  <si>
    <t>Substituição de dois (02) Seccionadores sem Lamina de Terra 500 KV SE Tucuruí no vão Ky - TCSD7-63 TCSD7-64. Capacidade do novo equipamento: 4.000 A e 63 kA.</t>
  </si>
  <si>
    <t>0002553/2023</t>
  </si>
  <si>
    <t>TCSD7-63 / TCSD7-64</t>
  </si>
  <si>
    <t>Substituição de dois (02) Seccionadores com Lamina de Terra 500 KV SE Tucuruí no Barramento - TCCA7-15 TCCA7-16. Capacidade do novo equipamento: 4.000 A e 63 kA.</t>
  </si>
  <si>
    <t>0002554/2023</t>
  </si>
  <si>
    <t>TCCA7-15: 100 kA / TCCA7-16: 125 kA</t>
  </si>
  <si>
    <t>Substituição de um (01) Seccionador com Lamina de Terra 500 KV SE Tucuruí no vão Gx -TCSL7-14 TCCA7-17. Capacidade do novo equipamento: 4.000 A e 63 kA.</t>
  </si>
  <si>
    <t>N-S-PATC-TUTCLT707-ELTC-TCCA717</t>
  </si>
  <si>
    <t>0002567/2023</t>
  </si>
  <si>
    <t>TCSL7-14 / TCCA7-17</t>
  </si>
  <si>
    <t>Substituição de um (01) Seccionador com Lamina de Terra 500 KV SE Tucuruí no vão Hx -TCSL7-15 TCCA7-18. Capacidade do novo equipamento: 4.000 A e 63 kA.</t>
  </si>
  <si>
    <t>N-S-PATC-TUTCLT708-ELTC-TCCA718</t>
  </si>
  <si>
    <t>0002568/2023</t>
  </si>
  <si>
    <t>TCSL7-15 / TCCA7-18</t>
  </si>
  <si>
    <t>Substituição de um (01) Seccionador com Lamina de Terra 500 KV SE Tucuruí no vão Ix - TCSL7-17 TCCA7-20. Capacidade do novo equipamento: 4.000 A e 63 kA.</t>
  </si>
  <si>
    <t>N-S-PATC-TUTCLT709-ELTC-TCCA720</t>
  </si>
  <si>
    <t>0002569/2023</t>
  </si>
  <si>
    <t>TCSL7-17 TCCA7-20</t>
  </si>
  <si>
    <t>Substituição de um (01) Seccionador com Lamina de Terra 500 KV SE Tucuruí no vão Iz - TCSL7-18 TCCA7-21. Capacidade do novo equipamento: 4.000 A e 63 kA.</t>
  </si>
  <si>
    <t>0002557/2023</t>
  </si>
  <si>
    <t>TCSL7-18 / TCCA7-21</t>
  </si>
  <si>
    <t>Substituição de um (01) Seccionador com Lamina de Terra 500 KV SE Tucuruí no vão Jx, associado ao TCSL7-19 (TCCA7-22). Capacidade do novo equipamento: 4.000 A e 63 kA.</t>
  </si>
  <si>
    <t>N-S-PATC-TUTCLT7010-ELTC-TCCA722</t>
  </si>
  <si>
    <t>0002558/2023</t>
  </si>
  <si>
    <t>TCSL7-19 / TCCA7-22</t>
  </si>
  <si>
    <t>Substituição de um (01) Seccionador com Lamina de Terra 500 KV SE Tucuruí no vão Kx - TCSL7-21 TCCA7-24. Capacidade do novo equipamento: 4.000 A e 63 kA.</t>
  </si>
  <si>
    <t>N-S-PATC-TUTCLT7011-ELTC-TCCA724</t>
  </si>
  <si>
    <t>0002559/2023</t>
  </si>
  <si>
    <t>TCSL7-21/TCCA7-24</t>
  </si>
  <si>
    <t>Substituição de duas (02) Bobinas de Bloqueio 500 KV SE Tucuruí no vão Iz. Capacidade do novo equipamento: 4.000 A e 63 kA.</t>
  </si>
  <si>
    <t>0002556/2023</t>
  </si>
  <si>
    <t>BB</t>
  </si>
  <si>
    <t>Substituição de duas (02) Bobinas de Bloqueio 500 KV SE Vila do Conde, LT Vila do Conde - Tucuruí C1. Capacidade do novo equipamento: 4.000 A e 63 kA.</t>
  </si>
  <si>
    <t>0002555/2023</t>
  </si>
  <si>
    <t>Substituição de duas (02) Bobinas de Bloqueio 500 KV SE Tucuruí no vão Cz TCBB7-01 FASE B e V. Capacidade do novo equipamento: 4.000 A e 63 kA.</t>
  </si>
  <si>
    <t>0002566/2023</t>
  </si>
  <si>
    <t>TCBB7-01 FASE B    TCBB7-01 FASE V</t>
  </si>
  <si>
    <t>Substituição de duas (02) Bobinas de Bloqueio 500 KV SE Marabá, na LT Marabá - Tucuruí C1. Capacidade do novo equipamento: 4.000 A e 63 kA.</t>
  </si>
  <si>
    <t>0002570/2023</t>
  </si>
  <si>
    <t>MBBB7-01  FASE B    MBBB7-01  FASE V</t>
  </si>
  <si>
    <t>Substituição de três (03) Transformador Potencial 500 KV SE Tucuruí no vão Iz</t>
  </si>
  <si>
    <t>0002571/2023</t>
  </si>
  <si>
    <t>7TPIZ (TCVCLT7-01)</t>
  </si>
  <si>
    <t>N-U-UHTU-LT701</t>
  </si>
  <si>
    <t>0002583/2023</t>
  </si>
  <si>
    <t>Substituição de três (3) Para-Raios associados à Unidades Geradoras 9 e 10 referente as Fases A, B e V da linha TUTCLT7-05.</t>
  </si>
  <si>
    <t>N-U-UHTU-LT705</t>
  </si>
  <si>
    <t>0002584/2023</t>
  </si>
  <si>
    <t>Substituição de um (01) Transformador de Potencial associados à Unidades Geradoras 9 e 10 da linha TUTCLT7-05</t>
  </si>
  <si>
    <t>0002585/2023</t>
  </si>
  <si>
    <t>Substituição do Módulo GIS referente às Unidades Geradoras 01 e 02, composto de dois (02) disjuntores TUDJ7-01 e TUDJ7-02, dois (02) seccionadores sem lâmina de terra TUSD7-01, TUSD7-02, cinco (05) seccionadores com lâmina de terra TUCA7-01, TUCA7-02 TUCA7-03, TUCA7-04 e TUCA7-05, doze (12) transformadores de corrente, e três (3) buchas de conexão com as linhas aéreas, e sobressalentes.</t>
  </si>
  <si>
    <t>N-U-UHTU-UGH01-SEB01 e N-U-UHTU-UGH02-SEB02</t>
  </si>
  <si>
    <t>0002601/2023</t>
  </si>
  <si>
    <t>Substituição do Módulo GIS referente as Unidades Geradoras 03 e 04, composto de dois (02) disjuntores TUDJ7-03 e TUDJ7-04, dois (02) Seccionadores sem lâmina de terra TUSD7-03, TUSD7-04 e cinco (05) Seccionadores com lâmina de terra TUCA7-06, TUCA7-07 TUCA7-08, TUCA7-09 e TUCA7-10, doze (12) transformadores de corrente, e três (3) buchas de conexão com as linhas aéreas, e sobressalentes.</t>
  </si>
  <si>
    <t>N-U-UHTU-UGH03-SEB03 e N-U-UHTU-UGH04-SEB04</t>
  </si>
  <si>
    <t>0002602/2023</t>
  </si>
  <si>
    <t>Substituição de um (01) Transformador Elevador 13 / 500 KV Unidade Geradora UG1 (TUTF7-01)</t>
  </si>
  <si>
    <t>N-U-UHTU-UGH01</t>
  </si>
  <si>
    <t>0002600/2023</t>
  </si>
  <si>
    <t>12344291</t>
  </si>
  <si>
    <t>Substituição de um (01) Transformador Elevador 13 / 500 KV Unidade Geradora UG2 (TUTF7-02)</t>
  </si>
  <si>
    <t>N-U-UHTU-UGH02</t>
  </si>
  <si>
    <t>0002599/2023</t>
  </si>
  <si>
    <t>12344379</t>
  </si>
  <si>
    <t>Substituição do Módulo GIS referente as Unidades Geradoras 07 e 08, composto de dois (02) disjuntores TUDJ7-07 e TUDJ7-08, dois (02) Seccionadores sem lâmina de terra TUSD7-07, TUSD7-08 e cinco (05) Seccionadores com lâmina de terra TUCA7-16, TUCA7-17 TUCA7-18, TUCA7-19 e TUCA7-20, doze (12) transformadores de corrente, e três (3) buchas de conexão com as linhas aéreas, e sobressalentes.</t>
  </si>
  <si>
    <t>N-U-UHTU-UGH07-SEB07 e N-U-UHTU-UGH08-SEB08</t>
  </si>
  <si>
    <t>0002603/2023</t>
  </si>
  <si>
    <t>Substituição do Módulo GIS referente as Unidades Geradoras 09 e 10, composto de dois (02) disjuntores TUDJ7-09 e TUDJ7-10, dois (02) Seccionadores sem lâmina de terra TUSD7-09, TUSD7-10 e cinco (05) Seccionadores com lâmina de terra TUCA7-21, TUCA7-22 TUCA7-23, TUCA7-24 e TUCA7-25, doze (12) transformadores de corrente, e três (3) buchas de conexão com as linhas aéreas, e sobressalentes.</t>
  </si>
  <si>
    <t>N-U-UHTU-UGH09-SEB09 e N-U-UHTU-UGH10-SEB10</t>
  </si>
  <si>
    <t>0002604/2023</t>
  </si>
  <si>
    <t>Substituição de um (01) Transformador Elevador 13 / 500 KV Unidade Geradora UG4 (TUTF7-04)</t>
  </si>
  <si>
    <t>N-U-UHTU-UGH04</t>
  </si>
  <si>
    <t>0002598/2023</t>
  </si>
  <si>
    <t>12344555</t>
  </si>
  <si>
    <t>Substituição do Módulo GIS referente as Unidades Geradoras 11 e 12, composto de dois (02) disjuntores TUDJ7-11 e TUDJ7-12, dois (02) Seccionadores sem lâmina de terra TUSD7-11, TUSD7-12 e cinco (05) Seccionadores com lâmina de terra TUCA7-26, TUCA7-27 TUCA7-28, TUCA7-29 e TUCA7-30, doze (12) transformadores de corrente, e três (3) buchas de conexão com as linhas aéreas, e sobressalentes.</t>
  </si>
  <si>
    <t>N-U-UHTU-UGH11-SEB11 e N-U-UHTU-UGH11-SEB12</t>
  </si>
  <si>
    <t>0002605/2023</t>
  </si>
  <si>
    <t>Substituição de um (01) Transformador Elevador 13 / 500 KV Unidade Geradora UG10 (TUTF7-10)</t>
  </si>
  <si>
    <t>N-U-UHTU-UGH10</t>
  </si>
  <si>
    <t>0002597/2023</t>
  </si>
  <si>
    <t>12345083</t>
  </si>
  <si>
    <t>Substituição de um (01) Transformador Elevador 13 / 500 KV Unidade Geradora UG9 (TUTF7-09)</t>
  </si>
  <si>
    <t>N-U-UHTU-UGH09</t>
  </si>
  <si>
    <t>0002596/2023</t>
  </si>
  <si>
    <t>12344995</t>
  </si>
  <si>
    <t>Substituição de um (01) Transformador Elevador 13 / 500 KV Unidade Geradora UG3 (TUTF7-03)</t>
  </si>
  <si>
    <t>N-U-UHTU-UGH03</t>
  </si>
  <si>
    <t>0002595/2023</t>
  </si>
  <si>
    <t>12344467</t>
  </si>
  <si>
    <t>Substituição de um (01) Transformador Elevador 13 / 500 KV Unidade Geradora UG8 (TUTF7-08)</t>
  </si>
  <si>
    <t>N-U-UHTU-UGH08</t>
  </si>
  <si>
    <t>0002594/2023</t>
  </si>
  <si>
    <t>12344907</t>
  </si>
  <si>
    <t>Substituição de um (01) Transformador Elevador 13 / 500 KV Unidade Geradoras UG11 (TUTF7-11)</t>
  </si>
  <si>
    <t>N-U-UHTU-UGH11</t>
  </si>
  <si>
    <t>0002593/2023</t>
  </si>
  <si>
    <t>12345171</t>
  </si>
  <si>
    <t>Substituição de 01 Registrador de Perturbação (RDP) associado ao vão de Entrada de Linha 04Z4 (LT 230 kV FORTALEZA/FORTALEZA II C-1) na subestação FORTALEZA, por um novo sistema composto por: 01 RDP e infraestrutura de comunicação associada</t>
  </si>
  <si>
    <t>0002622/2023</t>
  </si>
  <si>
    <t>11449265</t>
  </si>
  <si>
    <t>Substituição do painel de teleproteção e equipamentos associados, relacionados à teleproteção principal do vão da Entrada de Linha 04Z4 (LT 230 kV FORTALEZA/FORTALEZA II C-1) na subestação FORTALEZA.</t>
  </si>
  <si>
    <t>0002624/2023</t>
  </si>
  <si>
    <t>Substituição de 01 Registrador de Perturbação (RDP) associado ao vão de Entrada de Linha 04Z5 (LT 230 kV FORTALEZA/FORTALEZA II C-2) na subestação FORTALEZA, por um novo sistema composto por: 01 RDP e infraestrutura de comunicação associada</t>
  </si>
  <si>
    <t>0002625/2023</t>
  </si>
  <si>
    <t>11449264</t>
  </si>
  <si>
    <t>Substituição do painel de teleproteção e equipamentos associados, relacionados à teleproteção principal do vão da Entrada de Linha 04Z5 (LT 230 kV FORTALEZA/FORTALEZA II C-2) na subestação FORTALEZA.</t>
  </si>
  <si>
    <t>0002627/2023</t>
  </si>
  <si>
    <t>Substituição de 01 Registrador de Perturbação (RDP) associado ao vão de Entrada de Linha 04Z6 (LT 230 kV FORTALEZA/FORTALEZA II C-3) na subestação FORTALEZA, por um novo sistema composto por: 01 RDP e infraestrutura de comunicação associada</t>
  </si>
  <si>
    <t>0002628/2023</t>
  </si>
  <si>
    <t>11449296</t>
  </si>
  <si>
    <t>Substituição dos painéis de teleproteção e equipamentos associados, relacionados à teleproteção principal e alternada do vão da Entrada de Linha 04Z6 (LT 230 kV FORTALEZA/FORTALEZA II C-3) na subestação FORTALEZA.</t>
  </si>
  <si>
    <t>0002630/2023</t>
  </si>
  <si>
    <t>Instalação painel de teleproteção e equipamentos associados, relacionados à teleproteção alternada no vão da Entrada de Linha 04Z4 (LT 230 kV FORTALEZA/FORTALEZA II C-1) na subestação FORTALEZA.</t>
  </si>
  <si>
    <t>0002633/2023</t>
  </si>
  <si>
    <t>Instalação painel de teleproteção e equipamentos associados, relacionados à teleproteção alternada no vão da Entrada de Linha 04Z5 (LT 230 kV FORTALEZA/FORTALEZA II C-2) na subestação FORTALEZA.</t>
  </si>
  <si>
    <t>0002634/2023</t>
  </si>
  <si>
    <t>Substituição de 01 Registrador de Perturbação (RDP) associado ao vão de Entrada de Linha 04S6 (LT 230 kV MESSIAS /MACEIO C-1) na subestação MESSIAS, por um novo sistema composto por: 01 RDP e infraestrutura de comunicação associada.</t>
  </si>
  <si>
    <t>0002636/2023</t>
  </si>
  <si>
    <t>11446220</t>
  </si>
  <si>
    <t>Substituição do painel de teleproteção e equipamentos associados, relacionados à teleproteção principal via OPGW do vão da Entrada de Linha 04S6 (LT 230 kV MESSIAS /MACEIO C-1) na subestação MESSIAS.</t>
  </si>
  <si>
    <t>0002637/2023</t>
  </si>
  <si>
    <t>11369989</t>
  </si>
  <si>
    <t>Substituição do painel de teleproteção e equipamentos associados, relacionados à teleproteção principal via OPGW do vão da Entrada de Linha 04S7 (LT 230 kV MESSIAS /MACEIO C-2) na subestação MESSIAS.</t>
  </si>
  <si>
    <t>0002638/2023</t>
  </si>
  <si>
    <t>11369990</t>
  </si>
  <si>
    <t>Substituição de 01 Registrador de Perturbação (RDP) associado ao vão de Entrada de Linha 04S7 (LT 230 kV MESSIAS /MACEIO C-2) na subestação MESSIAS, por um novo sistema composto por: 01 RDP e insfraestrutura de comunicação associada.</t>
  </si>
  <si>
    <t>0002640/2023</t>
  </si>
  <si>
    <t>Instalação de OPLAT e equipamentos associados, relacionados à teleproteção alternada do vão da Entrada de Linha 04S6 (LT 230 kV MESSIAS /MACEIO C-1) na subestação MESSIAS.</t>
  </si>
  <si>
    <t>0002641/2023</t>
  </si>
  <si>
    <t>Instalação de OPLAT e equipamentos associados, relacionados à teleproteção alternada do vão da Entrada de Linha 04S7 (LT 230 kV MESSIAS /MACEIO C-2) na subestação MESSIAS.</t>
  </si>
  <si>
    <t>0002643/2023</t>
  </si>
  <si>
    <t>Substituição do sistema registro de perturbações (RDP) associado do Transformador 05T1 na subestação FORTALEZA II, por um novo sistema composto por: 01 RDP e infraestrutura de comunicação associada.</t>
  </si>
  <si>
    <t>0002644/2023</t>
  </si>
  <si>
    <t>11446251</t>
  </si>
  <si>
    <t>Substituição do sistema registro de perturbações (RDP) associado do Transformador 05T2 na subestação FORTALEZA II, por um novo sistema composto por: 01 RDP e infraestrutura de comunicação associada</t>
  </si>
  <si>
    <t>0002646/2023</t>
  </si>
  <si>
    <t>11446252</t>
  </si>
  <si>
    <t>Substituição do sistema registro de perturbações (RDP) associado do Transformador 05T3 na subestação FORTALEZA II, por um novo sistema composto por: 01 RDP e infraestrutura de comunicação associada</t>
  </si>
  <si>
    <t>0002647/2023</t>
  </si>
  <si>
    <t>11446266</t>
  </si>
  <si>
    <t>Substituição do sistema registro de perturbações (RDP) associado ao vão de Entrada de Linha 04F4 (LT 230 kV DELM. GOUVEIA /FORTALEZA II C-1) na subestação FORTALEZA II, por um novo sistema composto por: 01 RDP e infraestrutura de comunicação associada</t>
  </si>
  <si>
    <t>0002649/2023</t>
  </si>
  <si>
    <t>11449292</t>
  </si>
  <si>
    <t>Instalação de OPLAT e equipamentos associados, relacionados à teleproteção alternada do vão da Entrada de Linha 04F4 (LT 230 kV DELM. GOUVEIA /FORTALEZA II C-1) na subestação FORTALEZA II.</t>
  </si>
  <si>
    <t>0002650/2023</t>
  </si>
  <si>
    <t>11368178</t>
  </si>
  <si>
    <t>Substituição do sistema registro de perturbações (RDP) associado ao vão de Entrada de Linha 04F5 (LT 230 kV DELM. GOUVEIA /FORTALEZA II C-2) na subestação FORTALEZA II, por um novo sistema composto por: 01 RDP e infraestrutura de comunicação associada</t>
  </si>
  <si>
    <t>0002652/2023</t>
  </si>
  <si>
    <t>11449293</t>
  </si>
  <si>
    <t>Instalação de OPLAT e equipamentos associados, relacionados à teleproteção alternada do vão da Entrada de Linha 04F5 (LT 230 kV DELM. GOUVEIA /FORTALEZA II C-2) na subestação FORTALEZA II.</t>
  </si>
  <si>
    <t>0002653/2023</t>
  </si>
  <si>
    <t>11368179</t>
  </si>
  <si>
    <t>Substituição do sistema registro de perturbações (RDP) associado ao vão de Entrada de Linha 04S1 (LT 230 kV CAUIPE /FORTALEZA II C-3) na subestação FORTALEZA II, por um novo sistema composto por: 01 RDP e infraestrutura de comunicação associada</t>
  </si>
  <si>
    <t>LT 230 kV MARACANAU /FORTALEZA II C-1 CE</t>
  </si>
  <si>
    <t>0002655/2023</t>
  </si>
  <si>
    <t>11449281</t>
  </si>
  <si>
    <t>Substituição do painel de teleproteção e equipamentos associados, relacionados à teleproteção principal via OPGW do vão da Entrada de Linha 04S1 (LT 230 kV CAUIPE /FORTALEZA II C-3) na subestação FORTALEZA II.</t>
  </si>
  <si>
    <t>LT 230 kV CAUIPE / FORTALEZA II C S1 CE</t>
  </si>
  <si>
    <t>0002656/2023</t>
  </si>
  <si>
    <t>11374811</t>
  </si>
  <si>
    <t>Substituição do sistema registro de perturbações (RDP) associado ao vão de Entrada de Linha 04S3 (LT 230 kV CAUIPE /FORTALEZA II C-1) na subestação FORTALEZA II, por um novo sistema composto por: 01 RDP e infraestrutura de comunicação associada</t>
  </si>
  <si>
    <t>0002657/2023</t>
  </si>
  <si>
    <t>11449273</t>
  </si>
  <si>
    <t>Substituição do painel de teleproteção e equipamentos associados, relacionados à teleproteção principal via OPGW do vão da Entrada de Linha 04S3 (LT 230 kV CAUIPE /FORTALEZA II C-1) na subestação FORTALEZA II.</t>
  </si>
  <si>
    <t>0002659/2023</t>
  </si>
  <si>
    <t>11374814</t>
  </si>
  <si>
    <t>Substituição do sistema registro de perturbações (RDP) associado ao vão de Entrada de Linha 04Z2 (LT 230 kV FORTALEZA II /PICI II C-1) na subestação FORTALEZA II, por um novo sistema composto por: 01 RDP e infraestrutura de comunicação associada</t>
  </si>
  <si>
    <t>0002660/2023</t>
  </si>
  <si>
    <t>11449275</t>
  </si>
  <si>
    <t>Substituição do painel de teleproteção e equipamentos associados, relacionados à teleproteção principal via OPGW do vão da Entrada de Linha 04Z2 (LT 230 kV FORTALEZA II /PICI II C-1) na subestação FORTALEZA II.</t>
  </si>
  <si>
    <t>0002662/2023</t>
  </si>
  <si>
    <t>11374813</t>
  </si>
  <si>
    <t>Substituição do painel de teleproteção e equipamentos associados, relacionados à teleproteção principal via OPGW do vão da Entrada de Linha 04Z3 (LT 230 kV FORTALEZA II /PICI II C-2) na subestação FORTALEZA II.</t>
  </si>
  <si>
    <t>0002663/2023</t>
  </si>
  <si>
    <t>11374812</t>
  </si>
  <si>
    <t>Substituição do sistema registro de perturbações (RDP) associado ao vão de Entrada de Linha 04Z4 (LT 230 kV FORTALEZA /FORTALEZA II C-1) na subestação FORTALEZA II, por um novo sistema composto por: 01 RDP e infraestrutura de comunicação associada</t>
  </si>
  <si>
    <t>0002665/2023</t>
  </si>
  <si>
    <t>11449277</t>
  </si>
  <si>
    <t>Substituição do painel de teleproteção e equipamentos associados, relacionados à teleproteção principal do vão da Entrada de Linha 04Z4 (LT 230 kV FORTALEZA/FORTALEZA II C-1) na subestação FORTALEZA II.</t>
  </si>
  <si>
    <t>0002666/2023</t>
  </si>
  <si>
    <t>Substituição do sistema registro de perturbações (RDP) associado ao vão de Entrada de Linha 04Z5 (LT 230 kV FORTALEZA /FORTALEZA II C-2) na subestação FORTALEZA II, por um novo sistema composto por: 01 RDP e infraestrutura de comunicação associada</t>
  </si>
  <si>
    <t>0002668/2023</t>
  </si>
  <si>
    <t>11449271</t>
  </si>
  <si>
    <t>Substituição do sistema registro de perturbações (RDP) associado ao vão de Entrada de Linha 04Z6 (LT 230 kV FORTALEZA/FORTALEZA II C-3) na subestação FORTALEZA II, por um novo sistema composto por: 01 RDP e infraestrutura de comunicação associada</t>
  </si>
  <si>
    <t>0002669/2023</t>
  </si>
  <si>
    <t>11449282</t>
  </si>
  <si>
    <t>Substituição dos painéis de teleproteção e equipamentos associados, relacionados à teleproteção principal e alternada do vão da Entrada de Linha 04Z6 (LT 230 kV FORTALEZA/FORTALEZA II C-3) na subestação FORTALEZA II.</t>
  </si>
  <si>
    <t>0002671/2023</t>
  </si>
  <si>
    <t>Substituição do sistema registro de perturbações (RDP) associado ao vão de Entrada de Linha 05C2 (LT 500 kV PECEM II /FORTALEZA II C-1) na subestação FORTALEZA II, por um novo sistema composto por: 01 RDP e infraestrutura de comunicação associada</t>
  </si>
  <si>
    <t>0002672/2023</t>
  </si>
  <si>
    <t>11446254</t>
  </si>
  <si>
    <t>Instalação de OPLAT e equipamentos associados, relacionados à teleproteção alternada do vão da Entrada de Linha 05C2 (LT 500 kV PECEM II /FORTALEZA II C-1) na subestação FORTALEZA II.</t>
  </si>
  <si>
    <t>0002674/2023</t>
  </si>
  <si>
    <t>11373870</t>
  </si>
  <si>
    <t>Substituição do sistema registro de perturbações (RDP) associado ao Reator de Barra do vão 05E4 na subestação FORTALEZA II, por um novo sistema composto por: 01 RDP e infraestrutura de comunicação associada</t>
  </si>
  <si>
    <t>0002675/2023</t>
  </si>
  <si>
    <t>11446269</t>
  </si>
  <si>
    <t>Substituição do sistema registro de perturbações (RDP) associado ao vão de Entrada de Linha 05V5 (LT 500 kV QUIXADA /FORTALEZA II C-1) na subestação FORTALEZA II, por um novo sistema composto por: 01 RDP e infraestrutura de comunicação associada</t>
  </si>
  <si>
    <t>0002676/2023</t>
  </si>
  <si>
    <t>11446253</t>
  </si>
  <si>
    <t>Substituição do painel de teleproteção e equipamentos associados, relacionados à teleproteção alternada via OPGW do vão da Entrada de Linha 05V5 (LT 500 kV QUIXADA /FORTALEZA II C-1) na subestação FORTALEZA II.</t>
  </si>
  <si>
    <t>0002677/2023</t>
  </si>
  <si>
    <t>11374527</t>
  </si>
  <si>
    <t>Instalação de SPCS alternado das Barras de 500 kV na subestação FORTALEZA II, composto por: 01 painel, 01 unidade central de proteção de barras alternada, do tipo adaptativa e distribuída, com capacidade para atender, no mínimo, 12 vãos, 12 falhas de disjuntor (alternada), 09 unidades de bay de proteção de barras (alternada) e infraestrutura de comunicação associados.</t>
  </si>
  <si>
    <t>0002678/2023</t>
  </si>
  <si>
    <t>Substituição do painel de teleproteção e equipamentos associados, relacionados à teleproteção principal do vão da Entrada de Linha 04Z5 (LT 230 kV FORTALEZA/FORTALEZA II C-2) na subestação FORTALEZA II.</t>
  </si>
  <si>
    <t>0002679/2023</t>
  </si>
  <si>
    <t>Instalação do painel de teleproteção e equipamentos associados, relacionados à teleproteção alternada via OPGW do vão da Entrada de Linha 04S1 (LT 230 kV CAUIPE /FORTALEZA II C-3) na subestação FORTALEZA II.</t>
  </si>
  <si>
    <t>0002680/2023</t>
  </si>
  <si>
    <t>Instalação do painel de teleproteção e equipamentos associados, relacionados à teleproteção alternada via OPGW do vão da Entrada de Linha 04S3 (LT 230 kV CAUIPE /FORTALEZA II C-1) na subestação FORTALEZA II.</t>
  </si>
  <si>
    <t>0002681/2023</t>
  </si>
  <si>
    <t>Instalação de OPLAT e equipamentos associados, relacionados à teleproteção alternada do vão da Entrada de Linha 04Z2 (LT 230 kV FORTALEZA II /PICI II C-1) na subestação FORTALEZA II.</t>
  </si>
  <si>
    <t>0002682/2023</t>
  </si>
  <si>
    <t>Instalação de OPLAT e equipamentos associados, relacionados à teleproteção alternada do vão da Entrada de Linha 04Z3 (LT 230 kV FORTALEZA II /PICI II C-2) na subestação FORTALEZA II.</t>
  </si>
  <si>
    <t>0002683/2023</t>
  </si>
  <si>
    <t>Instalação painel de teleproteção e equipamentos associados, relacionados à teleproteção alternada no vão da Entrada de Linha 04Z4 (LT 230 kV FORTALEZA /FORTALEZA II C-1) na subestação FORTALEZA II.</t>
  </si>
  <si>
    <t>0002684/2023</t>
  </si>
  <si>
    <t>Instalação painel de teleproteção e equipamentos associados, relacionados à teleproteção alternada no vão da Entrada de Linha 04Z5 (LT 230 kV FORTALEZA /FORTALEZA II C-2) na subestação FORTALEZA II.</t>
  </si>
  <si>
    <t>0002685/2023</t>
  </si>
  <si>
    <t>Substituição do sistema registro de perturbações (RDP) associado ao vão de Entrada de Linha 04Z3 (LT 230 kV FORTALEZA II /PICI II C-2) na subestação FORTALEZA II, por um novo sistema composto por: 01 RDP e infraestrutura de comunicação associada</t>
  </si>
  <si>
    <t>0002686/2023</t>
  </si>
  <si>
    <t>11449276</t>
  </si>
  <si>
    <t>Substituição do painel de teleproteção e equipamentos associados, relacionados à teleproteção alternada via OPGW do vão da Entrada de Linha 05V5 (LT 500 kV QUIXADA /FORTALEZA II C-1) na subestação QUIXADA.</t>
  </si>
  <si>
    <t>0002687/2023</t>
  </si>
  <si>
    <t>11374521</t>
  </si>
  <si>
    <t>Substituição do sistema registro de perturbações (RDP) associado ao vão de Entrada de Linha 05V5 (LT 500 kV QUIXADA /FORTALEZA II C-1) na subestação QUIXADA, por um novo sistema composto por: 01 RDP e infraestrutura de comunicação associada</t>
  </si>
  <si>
    <t>0002688/2023</t>
  </si>
  <si>
    <t>11444186</t>
  </si>
  <si>
    <t>Substituição de 01 Registrador de Perturbação (RDP) associado ao vão de Entrada de Linha 04L3 (LT 230 kV TERESINA II /TERESINA C-1) na subestação TERESINA, por um novo sistema composto por: 01 RDP e infraestrutura de comunicação associada</t>
  </si>
  <si>
    <t>0002689/2023</t>
  </si>
  <si>
    <t>11446275</t>
  </si>
  <si>
    <t>Instalação de OPLAT e equipamentos associados, relacionados à teleproteção alternada no vão da Entrada de Linha 04L3 (LT 230 kV TERESINA II /TERESINA C-1) na subestação TERESINA.</t>
  </si>
  <si>
    <t>0002690/2023</t>
  </si>
  <si>
    <t>11373969</t>
  </si>
  <si>
    <t>Instalação de OPLAT e equipamentos associados, relacionados à teleproteção alternada no vão da Entrada de Linha 04L4 (LT 230 kV TERESINA II /TERESINA C-2) na subestação TERESINA.</t>
  </si>
  <si>
    <t>0002691/2023</t>
  </si>
  <si>
    <t>11373970</t>
  </si>
  <si>
    <t>Substituição de 01 Registrador de Perturbação (RDP) associado ao vão de Entrada de Linha 04L4 (LT 230 kV TERESINA II /TERESINA C-2) na subestação TERESINA, por um novo sistema composto por: 01 RDP e insfraestrutura de comunicação associada.</t>
  </si>
  <si>
    <t>0002692/2023</t>
  </si>
  <si>
    <t>Instalação de OPLAT e equipamentos associados, relacionados à teleproteção alternada do vão da Entrada de Linha 05C2 (LT 500 kV PECEM II /FORTALEZA II C-1) na subestação PECEM II.</t>
  </si>
  <si>
    <t>0002693/2023</t>
  </si>
  <si>
    <t>11373868</t>
  </si>
  <si>
    <t>Substituição de 01 Registrador de Perturbação (RDP) associado ao vão de Entrada de Linha 05C2 (LT 500 kV PECEM II /FORTALEZA II C-1) na subestação PECEM II, por um novo sistema composto por: 01 RDP e insfraestrutura de comunicação associada.</t>
  </si>
  <si>
    <t>0002694/2023</t>
  </si>
  <si>
    <t>Substituição do sistema registro de perturbações (RDP) associado ao vão de Entrada de Linha 04F4 (LT 230 kV DELM. GOUVEIA /FORTALEZA II C-1) na subestação DELM. GOUVEIA, por um novo sistema composto por: 01 RDP e infraestrutura de comunicação associada</t>
  </si>
  <si>
    <t>0002695/2023</t>
  </si>
  <si>
    <t>11449295</t>
  </si>
  <si>
    <t>Instalação de OPLAT e equipamentos associados, relacionados à teleproteção alternada do vão da Entrada de Linha 04F4 (LT 230 kV DELM. GOUVEIA /FORTALEZA II C-1) na subestação DELM. GOUVEIA.</t>
  </si>
  <si>
    <t>0002696/2023</t>
  </si>
  <si>
    <t>11373563</t>
  </si>
  <si>
    <t>Substituição do sistema registro de perturbações (RDP) associado ao vão de Entrada de Linha 04F5 (LT 230 kV DELM. GOUVEIA /FORTALEZA II C-2) na subestação DELM. GOUVEIA, por um novo sistema composto por: 01 RDP e infraestrutura de comunicação associada</t>
  </si>
  <si>
    <t>0002697/2023</t>
  </si>
  <si>
    <t>11449301</t>
  </si>
  <si>
    <t>Instalação de OPLAT e equipamentos associados, relacionados à teleproteção alternada do vão da Entrada de Linha 04F5 (LT 230 kV DELM. GOUVEIA /FORTALEZA II C-2) na subestação DELM. GOUVEIA.</t>
  </si>
  <si>
    <t>0002698/2023</t>
  </si>
  <si>
    <t>11373564</t>
  </si>
  <si>
    <t>Substituição do painel de teleproteção e equipamentos associados, relacionados à teleproteção principal via OPGW do vão da Entrada de Linha 04S3 (LT 230 kV CAUIPE /FORTALEZA II C-1) na subestação CAUIPE.</t>
  </si>
  <si>
    <t>0002699/2023</t>
  </si>
  <si>
    <t>11374804</t>
  </si>
  <si>
    <t>Substituição do sistema registro de perturbações (RDP) associado ao vão de Entrada de Linha 04S1 (LT 230 kV CAUIPE /FORTALEZA II C-3) na subestação CAUIPE, por um novo sistema composto por: 01 RDP e infraestrutura de comunicação associada</t>
  </si>
  <si>
    <t>LT 230 kV CAUIPE /MARACANAU C-1 CE</t>
  </si>
  <si>
    <t>0002700/2023</t>
  </si>
  <si>
    <t>11444162</t>
  </si>
  <si>
    <t>Substituição do painel de teleproteção e equipamentos associados, relacionados à teleproteção principal via OPGW do vão da Entrada de Linha 04S1 (LT 230 kV CAUIPE /FORTALEZA II C-3) na subestação CAUIPE.</t>
  </si>
  <si>
    <t>0002701/2023</t>
  </si>
  <si>
    <t>11374803</t>
  </si>
  <si>
    <t>Substituição do sistema registro de perturbações (RDP) associado ao vão de Entrada de Linha 04S3 (LT 230 kV CAUIPE /FORTALEZA II C-1) na subestação CAUIPE, por um novo sistema composto por: 01 RDP e insfraestrutura de comunicação associada.</t>
  </si>
  <si>
    <t>0002702/2023</t>
  </si>
  <si>
    <t>Instalação do painel de teleproteção e equipamentos associados, relacionados à teleproteção alternada via OPGW do vão da Entrada de Linha 04S3 (LT 230 kV CAUIPE /FORTALEZA II C-1) na subestação CAUIPE.</t>
  </si>
  <si>
    <t>0002703/2023</t>
  </si>
  <si>
    <t>Instalação do painel de teleproteção e equipamentos associados, relacionados à teleproteção alternada via OPGW do vão da Entrada de Linha 04S1 (LT 230 kV CAUIPE /FORTALEZA II C-3) na subestação CAUIPE.</t>
  </si>
  <si>
    <t>0002704/2023</t>
  </si>
  <si>
    <t>Substituição do sistema registro de perturbações (RDP) associado ao vão de Entrada de Linha 04Z2 (LT 230 kV FORTALEZA II /PICI II C-1) na subestação PICI II, por um novo sistema composto por: 01 RDP e infraestrutura de comunicação associada</t>
  </si>
  <si>
    <t>0002705/2023</t>
  </si>
  <si>
    <t>11449288</t>
  </si>
  <si>
    <t>Substituição do painel de teleproteção e equipamentos associados, relacionados à teleproteção principal via OPGW do vão da Entrada de Linha 04Z2 (LT 230 kV FORTALEZA II /PICI II C-1) na subestação PICI II.</t>
  </si>
  <si>
    <t>0002706/2023</t>
  </si>
  <si>
    <t>11374808</t>
  </si>
  <si>
    <t>Substituição do sistema registro de perturbações (RDP) associado ao vão de Entrada de Linha 04Z3 (LT 230 kV FORTALEZA II /PICI II C-2) na subestação PICI II, por um novo sistema composto por: 01 RDP e infraestrutura de comunicação associada</t>
  </si>
  <si>
    <t>0002707/2023</t>
  </si>
  <si>
    <t>11449285</t>
  </si>
  <si>
    <t>Substituição do painel de teleproteção e equipamentos associados, relacionados à teleproteção principal via OPGW do vão da Entrada de Linha 04Z3 (LT 230 kV FORTALEZA II /PICI II C-2) na subestação PICI II.</t>
  </si>
  <si>
    <t>0002708/2023</t>
  </si>
  <si>
    <t>11373942</t>
  </si>
  <si>
    <t>Instalação de OPLAT e equipamentos associados, relacionados à teleproteção alternada do vão da Entrada de Linha 04Z2 (LT 230 kV FORTALEZA II /PICI II C-1) na subestação PICI II.</t>
  </si>
  <si>
    <t>0002709/2023</t>
  </si>
  <si>
    <t>Instalação de OPLAT e equipamentos associados, relacionados à teleproteção alternada do vão da Entrada de Linha 04Z3 (LT 230 kV FORTALEZA II /PICI II C-2) na subestação PICI II.</t>
  </si>
  <si>
    <t>0002710/2023</t>
  </si>
  <si>
    <t>Substituição do sistema de registros de perturbações (RDP) associado ao Transformador 05T2 na subestação TERESINA II, por um novo sistema composto por: 01 RDP e infraestrutura de comunicação associada</t>
  </si>
  <si>
    <t>0002711/2023</t>
  </si>
  <si>
    <t>12405630</t>
  </si>
  <si>
    <t>Substituição de 01 Registrador de Perturbação (RDP) associado ao vão de Entrada de Linha 04L3 (LT 230 kV TERESINA II /TERESINA C-1) na subestação TERESINA II, por um novo sistema composto por: 01 RDP e infraestrutura de comunicação associada</t>
  </si>
  <si>
    <t>0002712/2023</t>
  </si>
  <si>
    <t>12405614</t>
  </si>
  <si>
    <t>Instalação de OPLAT e equipamentos associados, relacionados à teleproteção alternada no vão da Entrada de Linha 04L3 (LT 230 kV TERESINA II /TERESINA C-1) na subestação TERESINA II.</t>
  </si>
  <si>
    <t>0002713/2023</t>
  </si>
  <si>
    <t>11374531</t>
  </si>
  <si>
    <t>Substituição de 01 Registrador de Perturbação (RDP) associado ao vão de Entrada de Linha 04L4 (LT 230 kV TERESINA II /TERESINA C-2) na subestação TERESINA II, por um novo sistema composto por: 01 RDP e infraestrutura de comunicação associada</t>
  </si>
  <si>
    <t>0002714/2023</t>
  </si>
  <si>
    <t>11444200</t>
  </si>
  <si>
    <t>Instalação de OPLAT e equipamentos associados, relacionados à teleproteção alternada no vão da Entrada de Linha 04L4 (LT 230 kV TERESINA II /TERESINA C-2) na subestação TERESINA II.</t>
  </si>
  <si>
    <t>0002715/2023</t>
  </si>
  <si>
    <t>11374532</t>
  </si>
  <si>
    <t>Substituição do sistema de registros de perturbações (RDP) associado ao vão de Entrada de Linha 05C8 (LT 500 kV TERESINA II /P.DUTRA C-1) na subestação TERESINA II, por um novo sistema composto por: 01 RDP e infraestrutura de comunicação associada</t>
  </si>
  <si>
    <t>0002716/2023</t>
  </si>
  <si>
    <t>12405626</t>
  </si>
  <si>
    <t>Substituição do painel de teleproteção e equipamentos associados, relacionados à teleproteção principal e alternada via OPGW no vão da Entrada de Linha 05C8 (LT 500 kV TERESINA II /P.DUTRA C-1) na subestação TERESINA II.</t>
  </si>
  <si>
    <t>0002717/2023</t>
  </si>
  <si>
    <t>11374817</t>
  </si>
  <si>
    <t>Substituição de 01 Registrador de Perturbação (RDP) associado ao vão de Entrada de Linha 05C9 (LT 500 kV TERESINA II /P.DUTRA C-2) na subestação TERESINA II, por um novo sistema composto por: 01 RDP e infraestrutura de comunicação associada</t>
  </si>
  <si>
    <t>0002718/2023</t>
  </si>
  <si>
    <t>12405632</t>
  </si>
  <si>
    <t>Substituição do painel de teleproteção e equipamentos associados, relacionados à teleproteção principal e alternada via OPGW no vão da Entrada de Linha 05C9 (LT 500 kV TERESINA II /P.DUTRA C-2) na subestação TERESINA II.</t>
  </si>
  <si>
    <t>0002719/2023</t>
  </si>
  <si>
    <t>11374529</t>
  </si>
  <si>
    <t>Substituição de 01 Registrador de Perturbação (RDP) associado ao Reator de Barra 05E5 na subestação TERESINA II, por um novo sistema composto por: 01 RDP e infraestrutura de comunicação associada</t>
  </si>
  <si>
    <t>0002720/2023</t>
  </si>
  <si>
    <t>11444206</t>
  </si>
  <si>
    <t>Substituição do sistema de registros de perturbações (RDP) associado ao vão de Entrada de Linha 05V9 (LT 500 kV TERESINA II /TIANGUA II C-1) na subestação TERESINA II, por um novo sistema composto por: 01 RDP e infraestrutura de comunicação associada</t>
  </si>
  <si>
    <t>0002721/2023</t>
  </si>
  <si>
    <t>12405628</t>
  </si>
  <si>
    <t>Substituição do sistema de registros de perturbações (RDP) associado do Transformador 05T1 na subestação TERESINA II, por um novo sistema composto por: 01 RDP e infraestrutura de comunicação associada</t>
  </si>
  <si>
    <t>0002722/2023</t>
  </si>
  <si>
    <t>12405624</t>
  </si>
  <si>
    <t>Instalação de SPCS alternado das Barras de 500 kV na subestação TERESINA II, composto por: 01 painel, 01 unidade central de proteção de barras alternada, do tipo adaptativa e distribuída, com capacidade para atender, no mínimo, 10 vãos, 10 falhas de disjuntor (alternada), 07 unidades de bay de proteção de barras (alternada) e infraestrutura de comunicação associados.</t>
  </si>
  <si>
    <t>0002723/2023</t>
  </si>
  <si>
    <t>Substituição de 01 Registrador de Perturbação (RDP) associado ao vão de Entrada de Linha 04S6 (LT 230 kV MESSIAS /MACEIO C-1) na subestação MACEIO, por um novo sistema composto por: 01 RDP e infraestrutura de comunicação associada.</t>
  </si>
  <si>
    <t>0002724/2023</t>
  </si>
  <si>
    <t>11449358</t>
  </si>
  <si>
    <t>Substituição do painel de teleproteção e equipamentos associados, relacionados à teleproteção principal via OPGW do vão da Entrada de Linha 04S6 (LT 230 kV MESSIAS /MACEIO C-1) na subestação MACEIO.</t>
  </si>
  <si>
    <t>0002725/2023</t>
  </si>
  <si>
    <t>11369988</t>
  </si>
  <si>
    <t>Substituição de 01 Registrador de Perturbação (RDP) associado ao vão de Entrada de Linha 04S7 (LT 230 kV MESSIAS /MACEIO C-2) na subestação MACEIO, por um novo sistema composto por: 01 RDP e infraestrutura de comunicação associada.</t>
  </si>
  <si>
    <t>0002726/2023</t>
  </si>
  <si>
    <t>11449221</t>
  </si>
  <si>
    <t>Substituição do painel de teleproteção e equipamentos associados, relacionados à teleproteção principal via OPGW do vão da Entrada de Linha 04S7 (LT 230 kV MESSIAS /MACEIO C-2) na subestação MACEIO.</t>
  </si>
  <si>
    <t>0002727/2023</t>
  </si>
  <si>
    <t>11369995</t>
  </si>
  <si>
    <t>Substituição do sistema de registro de perturbações (RDP associado ao Transformador 04T1 na subestação MACEIO, por um novo sistema composto por: 01 RDP e infraestrutura de comunicação associada.</t>
  </si>
  <si>
    <t>0002728/2023</t>
  </si>
  <si>
    <t>11449202</t>
  </si>
  <si>
    <t>Substituição do sistema de registro de perturbações (RDP) associado ao Transformador 04T2 na subestação MACEIO, por um novo sistema composto por: 01 RDP e infraestrutura de comunicação associada.</t>
  </si>
  <si>
    <t>0002729/2023</t>
  </si>
  <si>
    <t>11449359</t>
  </si>
  <si>
    <t>Substituição do sistema de registro de perturbações (RDP) associado ao Transformador 04T3 na subestação MACEIO, por um novo sistema composto por: 01 RDP e infraestrutura de comunicação associada.</t>
  </si>
  <si>
    <t>0002730/2023</t>
  </si>
  <si>
    <t>11449222</t>
  </si>
  <si>
    <t>Substituição de 01 Registrador de Perturbação (RDP) associado ao vão do Transformador 04T4 na subestação MACEIO, por um novo sistema composto por: 01 RDP e infraestrutura de comunicação associada.</t>
  </si>
  <si>
    <t>0002731/2023</t>
  </si>
  <si>
    <t>11446226</t>
  </si>
  <si>
    <t>Instalação de OPLAT e equipamentos associados, relacionados à teleproteção alternada do vão da Entrada de Linha 04S6 (LT 230 kV MESSIAS /MACEIO C-1) na subestação MACEIO.</t>
  </si>
  <si>
    <t>0002732/2023</t>
  </si>
  <si>
    <t>Instalação de OPLAT e equipamentos associados, relacionados à teleproteção alternada do vão da Entrada de Linha 04S7 (LT 230 kV MESSIAS /MACEIO C-2) na subestação MACEIO.</t>
  </si>
  <si>
    <t>0002733/2023</t>
  </si>
  <si>
    <t>Substituição de 01 Registrador de Perturbação (RDP) associado ao vão de Entrada de Linha 04S2 (LT 230 kV SE Floresta II /BOM NOME C-2) na subestação BOM NOME, por um novo sistema composto por: 01 RDP e infraestrutura de comunicação associada.</t>
  </si>
  <si>
    <t>0002896/2023</t>
  </si>
  <si>
    <t>12447276</t>
  </si>
  <si>
    <t>Substituição do SPCS associado ao vão da Entrada de Linha 03C1 (LT 138 kV BOM NOME /FLORES) na subestação BOM NOME, por um novo sistema composto por: 02 painéis, 02 proteções (principal e alternada), 01 unidade de controle, cabos de controle e infraestrutura de comunicação associados.</t>
  </si>
  <si>
    <t>0002902/2023</t>
  </si>
  <si>
    <t>11365329</t>
  </si>
  <si>
    <t>Substituição do SPCS associado ao vão da Entrada de Linha 03C2 (LT 138 kV BOM NOME /SALGUEIRO) na subestação BOM NOME, por um novo sistema composto por: 02 painéis, 02 proteções (principal e alternada), 01 unidade de controle, cabos de controle e infraestrutura de comunicação associados.</t>
  </si>
  <si>
    <t>EL 138 kV BOM NOME SALGUEIRO 03C2 (13C2)</t>
  </si>
  <si>
    <t>0002903/2023</t>
  </si>
  <si>
    <t>11365330</t>
  </si>
  <si>
    <t>Substituição do SPCS associado ao vão da Entrada de Linha 03C3 (LT 138 kV BOM NOME /SALGUEIRO) na subestação BOM NOME, por um novo sistema composto por: 02 painéis, 02 proteções (principal e alternada), 01 unidade de controle, cabos de controle e infraestrutura de comunicação associados.</t>
  </si>
  <si>
    <t>EL 138 kV BOM NOME SALGUEIRO-03C3 (13C3)</t>
  </si>
  <si>
    <t>0002904/2023</t>
  </si>
  <si>
    <t>11366826</t>
  </si>
  <si>
    <t>Substituição do SPCS do Disjuntor de Interligação de Barras 13D1 na subestação BOM NOME, por um novo sistema composto por: 01 painel, 01 unidade de controle, 02 falhas de disjuntor (principal e alternada), cabos de controle e infraestrutura de comunicação associados ao módulo de interligação de barras.</t>
  </si>
  <si>
    <t>IB 138 kV MG 230 kV BOM NOME MG1 PE IB1 (13D1)</t>
  </si>
  <si>
    <t>0002905/2023</t>
  </si>
  <si>
    <t>11449758</t>
  </si>
  <si>
    <t>Substituição do SPCS associado ao vão da Entrada de Linha 01Y4 13,8 kV na subestação ANGELIM, por um novo sistema composto por: 01 painel, 01 unidade de proteção e controle, cabos de controle e infraestrutura de comunicação associados.</t>
  </si>
  <si>
    <t>MG 230 kV ANGELIM MG1 PE</t>
  </si>
  <si>
    <t>0002906/2023</t>
  </si>
  <si>
    <t>11365401</t>
  </si>
  <si>
    <t>Substituição do SPCS associado ao vão da Entrada de Linha 01Y5 13,8 kV na subestação ANGELIM, por um novo sistema composto por: 01 painel, 01 unidade de proteção e controle, cabos de controle e infraestrutura de comunicação associados.</t>
  </si>
  <si>
    <t>0002907/2023</t>
  </si>
  <si>
    <t>11365402</t>
  </si>
  <si>
    <t>Substituição do SPCS associado ao vão do Transformador 01T7 13,8 kV na subestação ANGELIM, por um novo sistema composto por: 01 painel, 01 unidade de proteção e controle, cabos de controle e infraestrutura de comunicação associados.</t>
  </si>
  <si>
    <t>0002908/2023</t>
  </si>
  <si>
    <t>11365093</t>
  </si>
  <si>
    <t>Substituição do SPCS associado ao vão do Transformador 01T8 13,8 kV na subestação ANGELIM, por um novo sistema composto por: 01 painel, 01 unidade de proteção e controle, cabos de controle e infraestrutura de comunicação associados.</t>
  </si>
  <si>
    <t>0002909/2023</t>
  </si>
  <si>
    <t>11365094</t>
  </si>
  <si>
    <t>Substituição do SPCS do Transformador 02T4 69 kV na subestação ANGELIM, por um novo sistema composto por: 01 painel, 02 proteções (principal e alternada), 01 unidade de controle, cabos de controle e infraestrutura de comunicação associados.</t>
  </si>
  <si>
    <t>MC 69 kV TR 69/13,8 kV ANGELIM TR4A PE (12T4)</t>
  </si>
  <si>
    <t>0002910/2023</t>
  </si>
  <si>
    <t>11364392</t>
  </si>
  <si>
    <t>Substituição do SPCS do Transformador de Aterramento 02A1 na subestação ANGELIM, por um novo sistema composto por: 01 painel, 02 proteções (principal e alternada), 01 unidade de controle, cabos de controle e infraestrutura de comunicação associados.</t>
  </si>
  <si>
    <t>MC 69 kV TT 69/13,8 kV ANGELIM TA1 PE (32A1)</t>
  </si>
  <si>
    <t>0002911/2023</t>
  </si>
  <si>
    <t>11362937</t>
  </si>
  <si>
    <t>Substituição do SPCS do Transformador de Aterramento 02A2 na subestação ANGELIM, por um novo sistema composto por: 01 painel, 02 proteções (principal e alternada), 01 unidade de controle, cabos de controle e infraestrutura de comunicação associados.</t>
  </si>
  <si>
    <t>MC 69 kV TT 69/13,8 kV ANGELIM TA2 PE (32A2)</t>
  </si>
  <si>
    <t>0002912/2023</t>
  </si>
  <si>
    <t>11357439</t>
  </si>
  <si>
    <t>Substituição do SPCS do Disjuntor de Interligação de Barramento 12D1 na subestação ANGELIM, por um novo sistema composto por: 01 painel, 02 proteções (principal e alternada), 01 unidade de controle, cabos de controle e infraestrutura de comunicação associados.</t>
  </si>
  <si>
    <t>IB 69 kV MG 230 kV ANGELIM MG1 PE IB3 (12D1)</t>
  </si>
  <si>
    <t>0002913/2023</t>
  </si>
  <si>
    <t>11361625</t>
  </si>
  <si>
    <t>Substituição do SPCS associado ao vão de Entrada de Linha 02J1 (LT 69 kV ANGELIM / CORRENTES) na subestação ANGELIM, por um novo sistema composto por: 01 painel, 02 proteções (principal e alternada), 01 unidade de controle, cabos de controle e infraestrutura de comunicação associados.</t>
  </si>
  <si>
    <t>EL 69 kV ANGELIM DIST1 (12J1)</t>
  </si>
  <si>
    <t>0002914/2023</t>
  </si>
  <si>
    <t>11363002</t>
  </si>
  <si>
    <t>Substituição do SPCS associado ao vão de Entrada de Linha 02J2 (LT 69 kV ANGELIM / SECCIONADORA GARANHUNS) na subestação ANGELIM, por um novo sistema composto por: 01 painel, 02 proteções (principal e alternada), 01 unidade de controle, cabos de controle e infraestrutura de comunicação associados.</t>
  </si>
  <si>
    <t>EL 69 kV ANGELIM DIST2 (12J2)</t>
  </si>
  <si>
    <t>0002915/2023</t>
  </si>
  <si>
    <t>11357737</t>
  </si>
  <si>
    <t>Substituição do SPCS associado ao vão de Entrada de Linha 02J3 (LT 69 kV ANGELIM / QUIPAPA) na subestação ANGELIM, por um novo sistema composto por: 01 painel, 02 proteções (principal e alternada), 01 unidade de controle, cabos de controle e infraestrutura de comunicação associados.</t>
  </si>
  <si>
    <t>EL 69 kV ANGELIM DIST3 (12J3)</t>
  </si>
  <si>
    <t>0002916/2023</t>
  </si>
  <si>
    <t>11357738</t>
  </si>
  <si>
    <t>Substituição do SPCS associado ao vão de Entrada de Linha 02J4 (LT 69 kV ANGELIM / LAJEDO) na subestação ANGELIM, por um novo sistema composto por: 01 painel, 02 proteções (principal e alternada), 01 unidade de controle, cabos de controle e infraestrutura de comunicação associados.</t>
  </si>
  <si>
    <t>EL 69 kV ANGELIM DIST4 (12J4)</t>
  </si>
  <si>
    <t>0002917/2023</t>
  </si>
  <si>
    <t>11357739</t>
  </si>
  <si>
    <t>Substituição do SPCS associado ao vão de Entrada de Linha 02J5 (LT 69 kV ANGELIM / UNIÃO DOS PALMARES) na subestação ANGELIM, por um novo sistema composto por: 01 painel, 02 proteções (principal e alternada), 01 unidade de controle, cabos de controle e infraestrutura de comunicação associados.</t>
  </si>
  <si>
    <t>EL 69 kV ANGELIM DIST5 (12J5)</t>
  </si>
  <si>
    <t>0002918/2023</t>
  </si>
  <si>
    <t>11364715</t>
  </si>
  <si>
    <t>Substituição do SPCS associado ao vão de Entrada de Linha 02J6 (LT 69 kV ANGELIM / VIÇOSA) na subestação ANGELIM, por um novo sistema composto por: 01 painel, 02 proteções (principal e alternada), 01 unidade de controle, cabos de controle e infraestrutura de comunicação associados.</t>
  </si>
  <si>
    <t>EL 69 kV ANGELIM DIST6 (12J6)</t>
  </si>
  <si>
    <t>0002919/2023</t>
  </si>
  <si>
    <t>11362995</t>
  </si>
  <si>
    <t>Substituição do SPCS associado ao vão de Entrada de Linha 02J7 (LT 69 kV ANGELIM / SECCIONADORA GARANHUNS) na subestação ANGELIM, por um novo sistema composto por: 01 painel, 02 proteções (principal e alternada), 01 unidade de controle, cabos de controle e infraestrutura de comunicação associados.</t>
  </si>
  <si>
    <t>EL 69 kV ANGELIM DIST7 (12J7)</t>
  </si>
  <si>
    <t>0002920/2023</t>
  </si>
  <si>
    <t>11357740</t>
  </si>
  <si>
    <t>Substituição do SPCS associado ao vão de Entrada de Linha 02J9 (LT 69 kV ANGELIM / SECCIONADORA GARANHUNS) na subestação ANGELIM, por um novo sistema composto por: 01 painel, 02 proteções (principal e alternada), 01 unidade de controle, cabos de controle e infraestrutura de comunicação associados.</t>
  </si>
  <si>
    <t>EL 69 kV ANGELIM DIST8 (12J9)</t>
  </si>
  <si>
    <t>0002921/2023</t>
  </si>
  <si>
    <t>11358759</t>
  </si>
  <si>
    <t>Substituição de 01 Registrador de Perturbação (RDP) associado ao vão de Entrada de Linha 04S2 (LT 230 kV CAUIPE/SOBRAL II C-1) na subestação CAUIPE, por um novo sistema composto por: 01 RDP e infraestrutura de comunicação associada.</t>
  </si>
  <si>
    <t>0002922/2023</t>
  </si>
  <si>
    <t>11444145</t>
  </si>
  <si>
    <t>Substituição do sistema registro de perturbações (RDP) associado ao Transformador 04T1 na subestação CAUIPE, por um novo sistema composto por: 01 RDP e infraestrutura de comunicação associada.</t>
  </si>
  <si>
    <t>0002923/2023</t>
  </si>
  <si>
    <t>12444577</t>
  </si>
  <si>
    <t>Substituição de 01 Registrador de Perturbação (RDP) associado ao Transformador 04T2 na subestação CAUIPE, por um novo sistema composto por: 01 RDP e infraestrutura de comunicação associada.</t>
  </si>
  <si>
    <t>0002924/2023</t>
  </si>
  <si>
    <t>11444164</t>
  </si>
  <si>
    <t>Substituição do SPCS associado ao vão de Entrada de Linha 02M1 (LT 69 kV CAUIPE / SÃO LUIZ DO CURU) na subestação CAUIPE, por um novo sistema composto por: 01 painel, 02 proteções (principal e alternada), 01 unidade de controle, cabos de controle e infraestrutura de comunicação associados.</t>
  </si>
  <si>
    <t>EL 69 kV CAUIPE DIST1 (12M1)</t>
  </si>
  <si>
    <t>0002925/2023</t>
  </si>
  <si>
    <t>11366484</t>
  </si>
  <si>
    <t>Substituição do SPCS associado ao vão de Entrada de Linha 02M2 (LT 69 kV CAUIPE / CAUCAIA) na subestação CAUIPE, por um novo sistema composto por: 01 painel, 02 proteções (principal e alternada), 01 unidade de controle, cabos de controle e infraestrutura de comunicação associados.</t>
  </si>
  <si>
    <t>EL 69 kV CAUIPE DIST2 (12M2)</t>
  </si>
  <si>
    <t>0002926/2023</t>
  </si>
  <si>
    <t>11360428</t>
  </si>
  <si>
    <t>Substituição do SPCS associado ao vão de Entrada de Linha 02M3 (LT 69 kV CAUIPE / COMP. IND. PECÉM) na subestação CAUIPE, por um novo sistema composto por: 01 painel, 02 proteções (principal e alternada), 01 unidade de controle, cabos de controle e infraestrutura de comunicação associados.</t>
  </si>
  <si>
    <t>EL 69 kV CAUIPE DIST3 (12M3)</t>
  </si>
  <si>
    <t>0002927/2023</t>
  </si>
  <si>
    <t>11360429</t>
  </si>
  <si>
    <t>Substituição do SPCS associado ao vão de Entrada de Linha 02M4 (LT 69 kV CAUIPE / COMP. IND. PECÉM) na subestação CAUIPE, por um novo sistema composto por: 01 painel, 02 proteções (principal e alternada), 01 unidade de controle, cabos de controle e infraestrutura de comunicação associados.</t>
  </si>
  <si>
    <t>EL 69 kV CAUIPE DIST4 (12M4)</t>
  </si>
  <si>
    <t>0002928/2023</t>
  </si>
  <si>
    <t>11360430</t>
  </si>
  <si>
    <t>Substituição do SPCS associado ao vão de Entrada de Linha 02M5 (LT 69 kV CAUIPE / INHUPORANGA) na subestação CAUIPE, por um novo sistema composto por: 01 painel, 02 proteções (principal e alternada), 01 unidade de controle, cabos de controle e infraestrutura de comunicação associados.</t>
  </si>
  <si>
    <t>EL 69 kV CAUIPE DIST5 (12M5)</t>
  </si>
  <si>
    <t>0002929/2023</t>
  </si>
  <si>
    <t>11360431</t>
  </si>
  <si>
    <t>Substituição do SPCS associado ao vão de Entrada de Linha 02M6 (LT 69 kV CAUIPE / UMARITUBA) na subestação CAUIPE, por um novo sistema composto por: 01 painel, 02 proteções (principal e alternada), 01 unidade de controle, cabos de controle e infraestrutura de comunicação associados.</t>
  </si>
  <si>
    <t>EL 69 kV CAUIPE DIST6 (12M6)</t>
  </si>
  <si>
    <t>0002930/2023</t>
  </si>
  <si>
    <t>11360421</t>
  </si>
  <si>
    <t>Substituição do SPCS do Disjuntor de Interligação de Barramento 12D1 na subestação CAUIPE, por um novo sistema composto por: 01 painel, 02 proteções (principal e alternada), 01 unidade de controle, cabos de controle e infraestrutura de comunicação associados.</t>
  </si>
  <si>
    <t>IB 69 kV MG 230 kV CAUIPE MG1 CE IB1 (12D1)</t>
  </si>
  <si>
    <t>0002931/2023</t>
  </si>
  <si>
    <t>11366556</t>
  </si>
  <si>
    <t>Substituição do SPCS do Transformador de Aterramento 02A1 na subestação CAUIPE, por um novo sistema composto por: 01 painel, 02 proteções (principal e alternada), 01 unidade de controle, cabos de controle e infraestrutura de comunicação associados.</t>
  </si>
  <si>
    <t>MC 69 kV TT 69/0 kV CAUIPE TA2 CE (32A1)</t>
  </si>
  <si>
    <t>0002932/2023</t>
  </si>
  <si>
    <t>11366562</t>
  </si>
  <si>
    <t>Substituição do SPCS do Transformador 02T5 na subestação CAUIPE, por um novo sistema composto por: 02 painéis, 02 proteções (principal e alternada), 01 unidade de controle, cabos de controle e infraestrutura de comunicação associados.</t>
  </si>
  <si>
    <t>0002933/2023</t>
  </si>
  <si>
    <t>11360434</t>
  </si>
  <si>
    <t>Substituição de 01 Registrador de Perturbação (RDP) associado ao vão de Entrada de Linha 04S2 (LT 230 kV CAUIPE/SOBRAL II C-1) na subestação SOBRAL II, por um novo sistema composto por: 01 RDP e infraestrutura de comunicação associada.</t>
  </si>
  <si>
    <t>0002934/2023</t>
  </si>
  <si>
    <t>11444146</t>
  </si>
  <si>
    <t>Substituição do sistema registro de perturbações (RDP) associado ao vão de Entrada de Linha 04L1 (LT 230 kV ITABAIANINHA /CATU C-1) na subestação CATU, por um novo sistema composto por: 01 RDP e infraestrutura de comunicação associada.</t>
  </si>
  <si>
    <t>0002935/2023</t>
  </si>
  <si>
    <t>12447683</t>
  </si>
  <si>
    <t>Substituição de 01 Registrador de Perturbação (RDP) associado ao vão de Entrada de Linha 04L2 (LT 230 kV CIC. DANTAS /CATU C-1) na subestação CATU, por um novo sistema composto por: 01 RDP e infraestrutura de comunicação associada.</t>
  </si>
  <si>
    <t>0002936/2023</t>
  </si>
  <si>
    <t>12447662</t>
  </si>
  <si>
    <t>Instalação painel de teleproteção e equipamentos associados, relacionados à teleproteção alternada via OPGW no vão da Entrada de Linha 04L2 (LT 230 kV CIC. DANTAS /CATU C-1) na subestação CATU.</t>
  </si>
  <si>
    <t>0002937/2023</t>
  </si>
  <si>
    <t>Substituição de 01 Registrador de Perturbação (RDP) associado ao vão de Entrada de Linha 04M3 (LT 230 kV CATU /G.MANGABEIRA C-1) na subestação CATU, por um novo sistema composto por: 01 RDP e infraestrutura de comunicação associada.</t>
  </si>
  <si>
    <t>0002939/2023</t>
  </si>
  <si>
    <t>12447659</t>
  </si>
  <si>
    <t>Instalação painel de teleproteção e equipamentos associados, relacionados à teleproteção alternada via OPGW no vão da Entrada de Linha 04M3 (LT 230 kV CATU /G.MANGABEIRA C-1) na subestação CATU.</t>
  </si>
  <si>
    <t>0002940/2023</t>
  </si>
  <si>
    <t>Substituição de 01 Registrador de Perturbação (RDP) associado ao vão de Entrada de Linha 04M4 (LT 230 kV CATU /FERBASA) na subestação CATU, por um novo sistema composto por: 01 RDP e infraestrutura de comunicação associada.</t>
  </si>
  <si>
    <t>0002941/2023</t>
  </si>
  <si>
    <t>12447664</t>
  </si>
  <si>
    <t>Substituição de 01 Registrador de Perturbação (RDP) associado ao Transformador 04T2 na subestação CATU, por um novo sistema composto por: 01 RDP e infraestrutura de comunicação associada.</t>
  </si>
  <si>
    <t>0002943/2023</t>
  </si>
  <si>
    <t>11444226</t>
  </si>
  <si>
    <t>Substituição do SPCS da Entrada de Linha 01Y4 (LT 13,8 kV CATU / POJUCA) na subestação CATU, por um novo sistema composto por: 01 painel, 01 unidade de proteção e controle, cabos de controle e infraestrutura de comunicação associados.</t>
  </si>
  <si>
    <t>EL 13,8 kV CATU POJUCA 01Y4 (11Y4)</t>
  </si>
  <si>
    <t>0002945/2023</t>
  </si>
  <si>
    <t>11365399</t>
  </si>
  <si>
    <t>Substituição do SPCS da Entrada de Linha 01Y5 (LT 13,8 kV CATU / POJUCA) na subestação CATU, por um novo sistema composto por: 01 painel, 01 unidade de proteção e controle, cabos de controle e infraestrutura de comunicação associados.</t>
  </si>
  <si>
    <t>EL 13,8 kV CATU POJUCA 01Y5 (11Y5)</t>
  </si>
  <si>
    <t>0002946/2023</t>
  </si>
  <si>
    <t>11365398</t>
  </si>
  <si>
    <t>Substituição do SPCS do Disjuntor de Interligação de Barras 11D1 13,8 kV na subestação CATU, por um novo sistema composto por: 01 painel, 01 unidade de proteção e controle, cabos de controle e infraestrutura de comunicação associados.</t>
  </si>
  <si>
    <t>0002947/2023</t>
  </si>
  <si>
    <t>11363038</t>
  </si>
  <si>
    <t>Substituição do SPCS do Transformador de Aterramento 02A1 na subestação CATU, por um novo sistema composto por: 01 painel, 02 proteções (principal e alternada), 01 unidade de controle, cabos de controle e infraestrutura de comunicação associados.</t>
  </si>
  <si>
    <t>MC 69 kV TT 69/13,8 kV CATU TA1 BA (32A1)</t>
  </si>
  <si>
    <t>0002948/2023</t>
  </si>
  <si>
    <t>11362976</t>
  </si>
  <si>
    <t>Substituição do SPCS do Transformador de Aterramento 02A2 na subestação CATU, por um novo sistema composto por: 01 painel, 02 proteções (principal e alternada), 01 unidade de controle, cabos de controle e infraestrutura de comunicação associados.</t>
  </si>
  <si>
    <t>MC 69 kV TT 69/0 kV CATU TA2 BA (32A2)</t>
  </si>
  <si>
    <t>0002949/2023</t>
  </si>
  <si>
    <t>11361227</t>
  </si>
  <si>
    <t>Substituição do SPCS associado ao vão da Entrada de Linha 02J5 (LT 69 kV CATU /COTEGIPE C-1) na subestação CATU, por um novo sistema composto por: 01 painel, 02 proteções (principal e alternada), 01 unidade de controle, cabos de controle e infraestrutura de comunicação associados.</t>
  </si>
  <si>
    <t>EL 69 kV CATU LT 69 kV CATU /COTEGIPE C-1 BA (12J5)</t>
  </si>
  <si>
    <t>0002950/2023</t>
  </si>
  <si>
    <t>11357758</t>
  </si>
  <si>
    <t>Substituição do SPCS associado ao vão da Entrada de Linha 02J6 (LT 69 kV CATU /COTEGIPE C-2) na subestação CATU, por um novo sistema composto por: 01 painel, 02 proteções (principal e alternada), 01 unidade de controle, cabos de controle e infraestrutura de comunicação associados.</t>
  </si>
  <si>
    <t>EL 69 kV CATU LT 69 kV CATU /COTEGIPE C-2 BA (12J6)</t>
  </si>
  <si>
    <t>0002951/2023</t>
  </si>
  <si>
    <t>11357760</t>
  </si>
  <si>
    <t>Substituição do SPCS associado ao vão da Entrada de Linha 02V1 (LT 69 kV CATU /SAUIPE) na subestação CATU, por um novo sistema composto por: 01 painel, 02 proteções (principal e alternada), 01 unidade de controle, cabos de controle e infraestrutura de comunicação associados.</t>
  </si>
  <si>
    <t>EL 69 kV CATU DIST1 (12V1)</t>
  </si>
  <si>
    <t>0002952/2023</t>
  </si>
  <si>
    <t>11357779</t>
  </si>
  <si>
    <t>Substituição do SPCS associado ao vão da Entrada de Linha 02V2 (LT 69 kV CATU / TAQUIPE) na subestação CATU, por um novo sistema composto por: 01 painel, 02 proteções (principal e alternada), 01 unidade de controle, cabos de controle e infraestrutura de comunicação associados.</t>
  </si>
  <si>
    <t>EL 69 kV CATU DIST2 (12V2)</t>
  </si>
  <si>
    <t>0002953/2023</t>
  </si>
  <si>
    <t>11357762</t>
  </si>
  <si>
    <t>Substituição do SPCS associado ao vão da Entrada de Linha 02V3 (LT 69 kV CATU / BURACICA) na subestação CATU, por um novo sistema composto por: 01 painel, 02 proteções (principal e alternada), 01 unidade de controle, cabos de controle e infraestrutura de comunicação associados.</t>
  </si>
  <si>
    <t>EL 69 kV CATU DIST3 (12V3)</t>
  </si>
  <si>
    <t>0002954/2023</t>
  </si>
  <si>
    <t>11357764</t>
  </si>
  <si>
    <t>Substituição do SPCS associado ao vão da Entrada de Linha 02V4 (LT 69 kV CATU / ENTRE RIOS) na subestação CATU, por um novo sistema composto por: 01 painel, 02 proteções (principal e alternada), 01 unidade de controle, cabos de controle e infraestrutura de comunicação associados.</t>
  </si>
  <si>
    <t>EL 69 kV CATU DIST4 (12V4)</t>
  </si>
  <si>
    <t>0002955/2023</t>
  </si>
  <si>
    <t>11357766</t>
  </si>
  <si>
    <t>Substituição do SPCS associado ao vão da Entrada de Linha 02V5 (LT 69 kV CATU / PETROBRÁS II) na subestação CATU, por um novo sistema composto por: 01 painel, 02 proteções (principal e alternada), 01 unidade de controle, cabos de controle e infraestrutura de comunicação associados.</t>
  </si>
  <si>
    <t>EL 69 kV CATU DIST5 (12V5)</t>
  </si>
  <si>
    <t>0002956/2023</t>
  </si>
  <si>
    <t>11357768</t>
  </si>
  <si>
    <t>Substituição do SPCS associado ao vão da Entrada de Linha 02V6 (LT 69 kV CATU / PETROBRÁS I) na subestação CATU, por um novo sistema composto por: 01 painel, 02 proteções (principal e alternada), 01 unidade de controle, cabos de controle e infraestrutura de comunicação associados.</t>
  </si>
  <si>
    <t>EL 69 kV CATU DIST6 (12V6)</t>
  </si>
  <si>
    <t>0002957/2023</t>
  </si>
  <si>
    <t>11357769</t>
  </si>
  <si>
    <t>Substituição do SPCS do Disjuntor de Interligação de Barras 12D1 na subestação CATU, por um novo sistema composto por: 01 painel, 02 proteções (principal e alternada), 01 unidade de controle, cabos de controle e infraestrutura de comunicação associados.</t>
  </si>
  <si>
    <t>IB 69 kV MG 230 kV CATU MG1 BA IB1 (12D1)</t>
  </si>
  <si>
    <t>0002958/2023</t>
  </si>
  <si>
    <t>11360167</t>
  </si>
  <si>
    <t>Substituição de 01 Registrador de Perturbação (RDP) associado ao vão da Entrada de Linha 04C4 (LT 230 kV PAU FERRO /C.GRANDE II C-2) na subestação C.GRANDE II, por um novo sistema composto por: 01 RDP e infraestrutura de comunicação.</t>
  </si>
  <si>
    <t>0002959/2023</t>
  </si>
  <si>
    <t>12479838</t>
  </si>
  <si>
    <t>Instalação painel de teleproteção e equipamentos associados, relacionados à teleproteção alternada via OPGW no vão da Entrada de Linha 04C4 (LT 230 kV PAU FERRO /C.GRANDE II C-2) na subestação C.GRANDE II.</t>
  </si>
  <si>
    <t>0002960/2023</t>
  </si>
  <si>
    <t>Substituição de 01 Registrador de Perturbação (RDP) associado ao vão de Entrada de Linha 04L2 (LT 230 kV CIC. DANTAS /CATU C-1) na subestação CIC. DANTAS, por um novo sistema composto por: 01 RDP e infraestrutura de comunicação associada.</t>
  </si>
  <si>
    <t>0002961/2023</t>
  </si>
  <si>
    <t>12393639</t>
  </si>
  <si>
    <t>Substituição de 01 Registrador de Perturbação (RDP) associado ao vão de Entrada de Linha 04C1 (LT 230 kV ITABAIANA /JARDIM C-1) na subestação ITABAIANA, por um novo sistema composto por: 01 RDP e infraestrutura de comunicação.</t>
  </si>
  <si>
    <t>0002964/2023</t>
  </si>
  <si>
    <t>11449329</t>
  </si>
  <si>
    <t>Substituição de 01 Registrador de Perturbação (RDP) associado ao vão de Entrada de Linha 04C2 (LT 230 kV ITABAIANA /JARDIM C-2) na subestação ITABAIANA, por um novo sistema composto por: 01 RDP e infraestrutura de comunicação.</t>
  </si>
  <si>
    <t>0002965/2023</t>
  </si>
  <si>
    <t>11449330</t>
  </si>
  <si>
    <t>Substituição de 01 Registrador de Perturbação (RDP) associado ao vão de Entrada de Linha 05V7 (LT 500 kV JARDIM /CAMACARI IV C-1) na subestação CAMACARI IV, por um novo sistema composto por: 01 RDP e insfraestrutura de comunicação associada.</t>
  </si>
  <si>
    <t>0002966/2023</t>
  </si>
  <si>
    <t>Substituição de 01 Registrador de Perturbação (RDP) associado ao vão de Entrada de Linha 04C4 (LT 230 kV PAU FERRO /C.GRANDE II C-2) na subestação PAU FERRO, por um novo sistema composto por: 01 RDP e infraestrutura de comunicação.</t>
  </si>
  <si>
    <t>0002967/2023</t>
  </si>
  <si>
    <t>11446232</t>
  </si>
  <si>
    <t>Instalação painel de teleproteção e equipamentos associados, relacionados à teleproteção alternada via OPGW no vão da Entrada de Linha 04C4 (LT 230 kV PAU FERRO /C.GRANDE II C-2) na subestação PAU FERRO.</t>
  </si>
  <si>
    <t>0002968/2023</t>
  </si>
  <si>
    <t>Substituição de 01 Registrador de Perturbação (RDP) associado ao vão de Entrada de Linha 04F6 (LT 230 kV RECIFE II /PAU FERRO C-1) na subestação PAU FERRO, por um novo sistema composto por: 01 RDP e infraestrutura de comunicação.</t>
  </si>
  <si>
    <t>0002969/2023</t>
  </si>
  <si>
    <t>11449229</t>
  </si>
  <si>
    <t>Instalação painel de teleproteção e equipamentos associados, relacionados à teleproteção alternada via OPGW no vão da Entrada de Linha 04F6 (LT 230 kV RECIFE II /PAU FERRO C-1) na subestação PAU FERRO.</t>
  </si>
  <si>
    <t>0002970/2023</t>
  </si>
  <si>
    <t>Substituição de 01 Registrador de Perturbação (RDP) associado ao vão de Entrada de Linha 04F7 (LT 230 kV RECIFE II /PAU FERRO C-2) na subestação PAU FERRO, por um novo sistema composto por: 01 RDP e infraestrutura de comunicação.</t>
  </si>
  <si>
    <t>0002971/2023</t>
  </si>
  <si>
    <t>11449210</t>
  </si>
  <si>
    <t>Instalação painel de teleproteção e equipamentos associados, relacionados à teleproteção alternada via OPGW no vão da Entrada de Linha 04F7 (LT 230 kV RECIFE II /PAU FERRO C-2) na subestação PAU FERRO.</t>
  </si>
  <si>
    <t>0002972/2023</t>
  </si>
  <si>
    <t>Substituição do sistema de registro de perturbações (RDP) associado ao Transformador 04T1 na subestação PAU FERRO, por um novo sistema composto por: 01 RDP e infraestrutura de comunicação.</t>
  </si>
  <si>
    <t>0002973/2023</t>
  </si>
  <si>
    <t>11449232</t>
  </si>
  <si>
    <t>Substituição do SPCS do Transformador de Aterramento 02A2 na subestação PAU FERRO, por um novo sistema composto por: 01 painel, 02 proteções (principal e alternada), 01 unidade de controle, cabos de controle e infraestrutura de comunicação associados.</t>
  </si>
  <si>
    <t>MC 69 kV TT 69/0 kV PAU FERRO TA2 PE (32A2)</t>
  </si>
  <si>
    <t>0002976/2023</t>
  </si>
  <si>
    <t>11361118</t>
  </si>
  <si>
    <t>Substituição do SPCS associado ao vão da Entrada de Linha 02N3 (LT 69kV PAU FERRO / BOTAFOGO) na subestação PAU FERRO, por um novo sistema composto por: 01 painel, 02 proteções (principal e alternada), 01 unidade de controle, cabos de controle e infraestrutura de comunicação associados.</t>
  </si>
  <si>
    <t>EL 69 kV PAU FERRO MONJOPE 02N3 (12N3)</t>
  </si>
  <si>
    <t>0002977/2023</t>
  </si>
  <si>
    <t>12458937</t>
  </si>
  <si>
    <t>Substituição do SPCS associado ao vão da Entrada de Linha 02N4 (LT 69kV PAU FERRO / SECCIONADORA MONJOPE) na subestação PAU FERRO, por um novo sistema composto por: 01 painel, 02 proteções (principal e alternada), 01 unidade de controle, cabos de controle e infraestrutura de comunicação associados.</t>
  </si>
  <si>
    <t>EL 69 kV PAU FERRO MONJOPE 02N4 (12N4)</t>
  </si>
  <si>
    <t>0002978/2023</t>
  </si>
  <si>
    <t>12458935</t>
  </si>
  <si>
    <t>Substituição do SPCS associado ao vão da Entrada de Linha 02N5 (LT 69kV PAU FERRO / SECCIONADORA PAU FERRO) na subestação PAU FERRO, por um novo sistema composto por: 01 painel, 02 proteções (principal e alternada), 01 unidade de controle, cabos de controle e infraestrutura de comunicação associados.</t>
  </si>
  <si>
    <t>EL 69 kV PAU FERRO PAU FERRO-02N5 (12N5)</t>
  </si>
  <si>
    <t>0002979/2023</t>
  </si>
  <si>
    <t>11361213</t>
  </si>
  <si>
    <t>Substituição do SPCS associado ao vão da Entrada de Linha 02N6 (LT 69kV PAU FERRO / SECCIONADORA PAU FERRO) na subestação PAU FERRO, por um novo sistema composto por: 01 painel, 02 proteções (principal e alternada), 01 unidade de controle, cabos de controle e infraestrutura de comunicação associados.</t>
  </si>
  <si>
    <t>EL 69 kV PAU FERRO PAU FERRO-02N6 (12N6)</t>
  </si>
  <si>
    <t>0002980/2023</t>
  </si>
  <si>
    <t>11361212</t>
  </si>
  <si>
    <t>Substituição do SPCS da Disjuntor de Interligação de Barras 12D1 na subestação PAU FERRO, por um novo sistema composto por: 01 painel, 02 proteções (principal e alternada), 01 unidade de controle, cabos de controle e infraestrutura de comunicação associados.</t>
  </si>
  <si>
    <t>IB 69 kV MG 230 kV PAU FERRO MG1 PE IB1 (12D1)</t>
  </si>
  <si>
    <t>0002981/2023</t>
  </si>
  <si>
    <t>11361211</t>
  </si>
  <si>
    <t>Substituição do SPCS do Transformador 02T5 na subestação PAU FERRO, por um novo sistema composto por: 01 painel, 02 proteções (principal e alternada), 01 unidade de controle, cabos de controle e infraestrutura de comunicação associados.</t>
  </si>
  <si>
    <t>0002982/2023</t>
  </si>
  <si>
    <t>11361209</t>
  </si>
  <si>
    <t>Substituição de 01 Registrador de Perturbação (RDP) associado ao vão de Entrada de Linha 04F6 (LT 230 kV RECIFE II /PAU FERRO C-1) na subestação RECIFE II, por um novo sistema composto por: 01 RDP e infraestrutura de comunicação.</t>
  </si>
  <si>
    <t>0002983/2023</t>
  </si>
  <si>
    <t>11449227</t>
  </si>
  <si>
    <t>Instalação painel de teleproteção e equipamentos associados, relacionados à teleproteção alternada via OPGW no vão da Entrada de Linha 04F6 (LT 230 kV RECIFE II /PAU FERRO C-1) na subestação RECIFE II.</t>
  </si>
  <si>
    <t>0002984/2023</t>
  </si>
  <si>
    <t>Substituição de 01 Registrador de Perturbação (RDP) associado ao vão de Entrada de Linha 04F7 (LT 230 kV RECIFE II /PAU FERRO C-2) na subestação RECIFE II, por um novo sistema composto por: 01 RDP e infraestrutura de comunicação.</t>
  </si>
  <si>
    <t>0002985/2023</t>
  </si>
  <si>
    <t>11449228</t>
  </si>
  <si>
    <t>Instalação painel de teleproteção e equipamentos associados, relacionados à teleproteção alternada via OPGW no vão da Entrada de Linha 04F7 (LT 230 kV RECIFE II /PAU FERRO C-2) na subestação RECIFE II.</t>
  </si>
  <si>
    <t>0002986/2023</t>
  </si>
  <si>
    <t>Substituição de 01 Registrador de Perturbação (RDP) associado ao vão de Entrada de Linha 04S2 (LT 230 kV SE Floresta II /BOM NOME C-2) na subestação SE Floresta II, por um novo sistema composto por: 01 RDP e infraestrutura de comunicação associada.</t>
  </si>
  <si>
    <t>0002988/2023</t>
  </si>
  <si>
    <t>12447423</t>
  </si>
  <si>
    <t>Substituição de 01 Registrador de Perturbação (RDP) associado ao vão de Entrada de Linha 04L1 (LT 230 kV ITABAIANINHA /CATU C-1) na subestação ITABAIANINHA, por um novo sistema composto por: 01 RDP e infraestrutura de comunicação associada.</t>
  </si>
  <si>
    <t>0002989/2023</t>
  </si>
  <si>
    <t>12441009</t>
  </si>
  <si>
    <t>Substituição de 01 Registrador de Perturbação (RDP) associado ao vão de Entrada de Linha 04M3 (LT 230 kV CATU /G.MANGABEIRA C-1) na subestação G.MANGABEIRA, por um novo sistema composto por: 01 RDP e infraestrutura de comunicação associada.</t>
  </si>
  <si>
    <t>0002990/2023</t>
  </si>
  <si>
    <t>12448352</t>
  </si>
  <si>
    <t>Instalação painel de teleproteção e equipamentos associados, relacionados à teleproteção alternada via OPGW no vão da Entrada de Linha 04M3 (LT 230 kV CATU /G.MANGABEIRA C-1) na subestação G.MANGABEIRA.</t>
  </si>
  <si>
    <t>0002991/2023</t>
  </si>
  <si>
    <t>Substituição de 01 Registrador de Perturbação (RDP) associado ao vão de Entrada de Linha 04C1 (LT 230 kV ITABAIANA /JARDIM C-1) na subestação JARDIM, por um novo sistema composto por: 01 RDP e infraestrutura de comunicação.</t>
  </si>
  <si>
    <t>0002992/2023</t>
  </si>
  <si>
    <t>11449331</t>
  </si>
  <si>
    <t>Substituição de 01 Registrador de Perturbação (RDP) associado ao vão de Entrada de Linha 04C2 (LT 230 kV ITABAIANA /JARDIM C-2) na subestação JARDIM, por um novo sistema composto por: 01 RDP e infraestrutura de comunicação.</t>
  </si>
  <si>
    <t>0002993/2023</t>
  </si>
  <si>
    <t>11449332</t>
  </si>
  <si>
    <t>Substituição de 01 Registrador de Perturbação (RDP) associado ao vão de Entrada de Linha 04F2 (LT 230 KV JARDIM / CIMESA) na subestação JARDIM, por um novo sistema composto por: 01 RDP e infraestrutura de comunicação.</t>
  </si>
  <si>
    <t>0002994/2023</t>
  </si>
  <si>
    <t>11449333</t>
  </si>
  <si>
    <t>Substituição de 01 Registrador de Perturbação (RDP) associado ao vão de Entrada de Linha 05V5 (LT 500 kV USINA XINGO /JARDIM C-1) na subestação JARDIM, por um novo sistema composto por: 01 RDP e infraestrutura de comunicação.</t>
  </si>
  <si>
    <t>0002996/2023</t>
  </si>
  <si>
    <t>11446338</t>
  </si>
  <si>
    <t>Substituição de 01 Registrador de Perturbação (RDP) associado ao Transformador 05T7 na subestação JARDIM, por um novo sistema composto por: 01 RDP e insfraestrutura de comunicação associada.</t>
  </si>
  <si>
    <t>0002999/2023</t>
  </si>
  <si>
    <t>Substituição de 01 Registrador de Perturbação (RDP) associado ao vão de Entrada de Linha 05V5 (LT 500 kV USINA XINGO /JARDIM C-1) na subestação USINA XINGO, por um novo sistema composto por: 01 RDP e infraestrutura de comunicação.</t>
  </si>
  <si>
    <t>0003001/2023</t>
  </si>
  <si>
    <t>11446309</t>
  </si>
  <si>
    <t>SUBSTITUIÇÃO DO BANCO DE BATERIAS DO POLO 2 DA SUBESTAÇÃO COLETORA PORTO VELHO</t>
  </si>
  <si>
    <t>CV 600/600 kV COLETORA PORTO VELHO CC2 RO</t>
  </si>
  <si>
    <t>0003030/2023</t>
  </si>
  <si>
    <t>N-S-ROCT-CV801-CTCV8CC2</t>
  </si>
  <si>
    <t>SUBSTITUIR O TC 230kV FASE A DO AUTOTRANSFORMADOR NÚMERO 1 DA SE BARRA DO PEIXE</t>
  </si>
  <si>
    <t>0006684/2023</t>
  </si>
  <si>
    <t>N-S-MTBP-AT601-MC230-BPTC601</t>
  </si>
  <si>
    <t>Substituição das proteções Principal, Alternada e Falha de Disjuntor, referentes ao TR1 230/69 kV da SE Tapera 2, lados de 230 e 69 kV, incluindo painéis e cabos de controle e potência associados.</t>
  </si>
  <si>
    <t>TR 230/69 kV TAPERA 2 TR1 RS</t>
  </si>
  <si>
    <t>0003085/2023</t>
  </si>
  <si>
    <t>PP, PA, BF - TF1 230</t>
  </si>
  <si>
    <t>Substituição das proteções Principal, Alternada e Falha de Disjuntor, referentes ao TR2 230/69 kV da SE Tapera 2, lados de 230 e 69 kV, incluindo painéis e cabos de controle e potência associados.</t>
  </si>
  <si>
    <t>TR 230/69 kV TAPERA 2 TR2 RS</t>
  </si>
  <si>
    <t>0003096/2023</t>
  </si>
  <si>
    <t>PP, PA, BF - TF2 230</t>
  </si>
  <si>
    <t>SUBSTITUIÇÃO DE CHAVE SECCIONADORA 230kV, JPSY6-07, ASSOCIADA AO AUTOTRANSFORMADOR 02 DA SUBESTAÇÃO JI-PARANÁ</t>
  </si>
  <si>
    <t>MC 138 kV TR 230/138 kV JI-PARANA TR2 RO</t>
  </si>
  <si>
    <t>0003101/2023</t>
  </si>
  <si>
    <t>N-S-ROJP-AT602-MC230-JPSY6O7</t>
  </si>
  <si>
    <t>Substituição da cadeia de proteção de barras principal, referente às barras P e PT de 230 kV da SE Salto Osório, incluindo uma Unidade Central e dezessete unidades de Bay (vãos LT F.Chopim C-1, F.Chopim C-2, Areia C-1, Areia C-2, Xanxerê C-1, P.Branco C-1, Cascavel C-1, C.Mourão C-1, C.Mourão C-2, UHSO C-1, UHSO C-2, UHSO C-3, UHSO C-4, UHSO C-5, UHSO C-6, TF 7 230/69 kV e Interligador de Barras - IB), painéis e cabos de controle e potência associados.</t>
  </si>
  <si>
    <t>0003106/2023</t>
  </si>
  <si>
    <t>Substituição das proteções Principal, Alternada e Falha de Disjuntor, referentes a LT 230 kV Salto Osório - Pato Branco C-1, incluindo painéis e cabos de controle e potência associados.</t>
  </si>
  <si>
    <t>LT 230 kV S. OSORIO /PATO BRANCO C-1 PR</t>
  </si>
  <si>
    <t>0003107/2023</t>
  </si>
  <si>
    <t>PP, PA, BF - LT PTO C-1</t>
  </si>
  <si>
    <t>Substituição das proteções Principal, Alternada e Falha de Disjuntor, referentes a LT 230 kV Salto Osório - Cascavel C-1, incluindo painéis e cabos de controle e potência associados.</t>
  </si>
  <si>
    <t>LT 230 kV CASCAVEL /S. OSORIO C-1 PR</t>
  </si>
  <si>
    <t>0003110/2023</t>
  </si>
  <si>
    <t>PP, PA, BF - LT CEL C-1</t>
  </si>
  <si>
    <t>Substituição das proteções Principal, Alternada e Falha de Disjuntor, referentes a LT 69 kV Salto Osório - Salto Santiago C-1, incluindo painéis e cabos de controle e potência associados.</t>
  </si>
  <si>
    <t>LT 69 kV S.OSORIO / S.SANTIAGO C-1 PR</t>
  </si>
  <si>
    <t>0003111/2023</t>
  </si>
  <si>
    <t>Substituição de Chave Seccionadora tripolar 525 kV, CS1045, referente ao Interligador de Barras (IB) entre a LT Garabi 1 C-1 e o TF 3. Associado à obra são esperadas substituições/adaptações de fundações, suportes, cabos de controle/potência, barramento, conectores e conexão de aterramento.</t>
  </si>
  <si>
    <t>0003113/2023</t>
  </si>
  <si>
    <t>Substituição de Chave Seccionadora tripolar 525 kV, CS1025, referente ao Interligador de Barras (IB) entre a LT Itá C-1 e o TF 2. Associado à obra são esperadas substituições/adaptações de fundações, suportes, cabos de controle/potência, barramento, conectores e conexão de aterramento.</t>
  </si>
  <si>
    <t>0003116/2023</t>
  </si>
  <si>
    <t>Substituição de Chave Seccionadora tripolar 525 kV, CS1031, referente ao TF 2 525/230 kV da SE Santo Ângelo. Associado à obra são esperadas substituições/adaptações de fundações, suportes, cabos de controle/potência, barramento, conectores e conexão de aterramento.</t>
  </si>
  <si>
    <t>TR 525/230 kV SANTO ANGELO TR2 RS</t>
  </si>
  <si>
    <t>0003117/2023</t>
  </si>
  <si>
    <t>LT 230 kV J.LACERDA-B / SIDEROPOLIS C-1 SC</t>
  </si>
  <si>
    <t>Substituição de catorze torres metálicas completas da LT 230 kV J.Lacerda B - Siderópolis C-1. As torres envolvidas são as de número de operação: 019, 020, 029, 030, 031, 032, 037, 039, 042, 044, 045, 050, 059 e 075.</t>
  </si>
  <si>
    <t>0003122/2023</t>
  </si>
  <si>
    <t>Substituição de fundações em grelha metálica de vinte e cinco torres da LT 230 kV J.Lacerda B - Siderópolis C-1. As torres envolvidas são as de número de operação: 016, 017, 021, 023, 027, 033, 034, 035, 036, 040, 041, 043, 048, 055, 056, 057, 061, 062, 072, 080, 085, 088, 091, 094 e 096 .</t>
  </si>
  <si>
    <t>0003141/2023</t>
  </si>
  <si>
    <t>Fundações</t>
  </si>
  <si>
    <t>Substituição de cabos contrapesos (aterramento) de trinta e nove torres da LT 230 kV J.Lacerda B - Siderópolis C-1. As torres envolvidas são as de número de operação: 016, 017, 019, 020, 021, 023, 027, 029, 030, 031, 032, 033, 034, 035, 036, 037, 039, 040, 041, 042, 043, 044, 045, 048, 050, 055, 056, 057, 059, 061, 062, 072, 075, 080, 085, 088, 091, 094 e 096.</t>
  </si>
  <si>
    <t>0003143/2023</t>
  </si>
  <si>
    <t>Cabos Contrapesos</t>
  </si>
  <si>
    <t>LT 230 kV FORQUILHINHA / SIDEROPOLIS C-1 SC</t>
  </si>
  <si>
    <t>Substituição de duas torres metálicas completas da LT 230 kV Forquilhinha - Siderópolis C-1. As torres envolvidas são as de número de operação: 007 e 008.</t>
  </si>
  <si>
    <t>0003145/2023</t>
  </si>
  <si>
    <t>Substituição de fundações em grelha metálica de quatro torres da LT 230 kV Forquilhinha - Siderópolis C-1. As torres envolvidas são as de número de operação: 010, 016, 019 e 021.</t>
  </si>
  <si>
    <t>0003148/2023</t>
  </si>
  <si>
    <t>Substituição de cabos contrapesos (aterramento) de seis torres da LT 230 kV Forquilhinha - Siderópolis C-1. As torres envolvidas são as de número de operação: 007, 008, 010, 016, 019 e 021.</t>
  </si>
  <si>
    <t>0003149/2023</t>
  </si>
  <si>
    <t>LT 525 kV ITA / NOVA SANTA RITA C-1 RS</t>
  </si>
  <si>
    <t>Substituição de fundações em grelha metálica de treze torres da LT 525 kV Itá - Nova Santa Rita C-1. As torres envolvidas são as de número de operação: 231, 608, 609, 615, 616, 617, 623, 637, 652, 657, 659, 666 e 667.</t>
  </si>
  <si>
    <t>0003152/2023</t>
  </si>
  <si>
    <t>Substituição de cabos contrapesos (aterramento) de treze torres da LT 525 kV Itá - Nova Santa Rita C-1. As torres envolvidas são as de número de operação: 231, 608, 609, 615, 616, 617, 623, 637, 652, 657, 659, 666 e 667.</t>
  </si>
  <si>
    <t>0003155/2023</t>
  </si>
  <si>
    <t>LT 525 kV CAXIAS / GRAVATAI C-1 RS</t>
  </si>
  <si>
    <t>Substituição de fundações em grelha metálica de cinco torres da LT 525 kV Caxias - Gravataí C-1. As torres envolvidas são as de número de operação: 110, 119, 121, 127 e 153.</t>
  </si>
  <si>
    <t>0003157/2023</t>
  </si>
  <si>
    <t>Substituição de cabos contrapesos (aterramento) de cinco torres da LT 525 kV Caxias - Gravataí C-1. As torres envolvidas são as de número de operação: 110, 119, 121, 127 e 153.</t>
  </si>
  <si>
    <t>0003158/2023</t>
  </si>
  <si>
    <t>SUBSTITUIÇÃO DE CHAVE SECCIONADORA 230kV, JPSB6-14, ASSOCIADA AO AUTOTRANSFORMADOR 02 DA SUBESTAÇÃO JI-PARANÁ</t>
  </si>
  <si>
    <t>0003159/2023</t>
  </si>
  <si>
    <t>N-S-ROJP-AT602-MC230-JPSB614</t>
  </si>
  <si>
    <t>SUBSTITUIÇÃO DE TRANSFORMADOR DE POTENCIAL CAPACITIVO DE 230 KV,  DA LINHA DE TRANSMISSÃO JPPB-LT601 - Fase V</t>
  </si>
  <si>
    <t>0003164/2023</t>
  </si>
  <si>
    <t>N-S-ROJP-JPPBLT601-ELJP-JPTP601</t>
  </si>
  <si>
    <t>SUBSTITUIÇÃO DE TRANSFORMADOR DE POTENCIAL CAPACITIVO DE 230 KV,  DA LINHA DE TRANSMISSÃO JPPB-LT601 - Fase B</t>
  </si>
  <si>
    <t>0003167/2023</t>
  </si>
  <si>
    <t>SUBSTITUIÇÃO DE TRANSFORMADOR DE POTENCIAL CAPACITIVO DE 230 KV,  DA LINHA DE TRANSMISSÃO JPPB-LT601 - Fase A</t>
  </si>
  <si>
    <t>0003170/2023</t>
  </si>
  <si>
    <t>Substituição de TC (Transformador de Corrente) associado ao PDRE7-01 (PDTC7-01 FASE B) Local de Instalação: N-S-MAPD-RE701-MC500-PDTC701  Fase B Equipamento SAP: 11991503</t>
  </si>
  <si>
    <t>0003180/2023</t>
  </si>
  <si>
    <t>11991503</t>
  </si>
  <si>
    <t>SUBSTITUIÇÃO DISJUNTOR A SF6 230 kV - UGDJ6-05</t>
  </si>
  <si>
    <t>TR 230/69 kV UTINGA TF1 PA</t>
  </si>
  <si>
    <t>0003181/2023</t>
  </si>
  <si>
    <t>UGDJ6-05</t>
  </si>
  <si>
    <t>Substituição de TC (Transformador de Corrente) associado ao PDRE7-01 (PDTC7-01 FASE A) Local de Instalação: N-S-MAPD-RE701-MC500-PDTC701  Fase A Equipamento SAP: 11991502</t>
  </si>
  <si>
    <t>0003187/2023</t>
  </si>
  <si>
    <t>11991502</t>
  </si>
  <si>
    <t>SUBSTITUIÇÃO DE CHAVE SECCIONADORA 230kV - RBSY605 - NA SUBESTAÇÃO RIO BRANCO</t>
  </si>
  <si>
    <t>0003191/2023</t>
  </si>
  <si>
    <t>N-S-ACRB-TF602-MC230-RBSY605</t>
  </si>
  <si>
    <t>Substituição do SPCS associado ao vão da Entrada de Linha 01Y1 na subestação BOM NOME, por um novo sistema composto por: 01 Painel, 01 unidade de proteção e controle, cabos de controle e infraestrutura de comunicação associados.</t>
  </si>
  <si>
    <t>EL 13,8 kV BOM NOME 01Y1 (11Y1)</t>
  </si>
  <si>
    <t>0003298/2023</t>
  </si>
  <si>
    <t>12402658</t>
  </si>
  <si>
    <t>Substituição do SPCS associado ao vão da Entrada de Linha 01Y2 na subestação BOM NOME, por um novo sistema composto por: 01 Painel, 01 unidade de proteção e controle e cabos de controle e infraestrutura de comunicação associados.</t>
  </si>
  <si>
    <t>EL 13,8 kV BOM NOME 01Y2 (11Y2)</t>
  </si>
  <si>
    <t>0003299/2023</t>
  </si>
  <si>
    <t>12402659</t>
  </si>
  <si>
    <t>Substituição de 01 (um) TP 230 kV posição operacional 84T5 fase A da Subestação MLG.</t>
  </si>
  <si>
    <t>CE 58/-35 MvAr MILAGRES CE1 CE</t>
  </si>
  <si>
    <t>0003315/2023</t>
  </si>
  <si>
    <t>11347383</t>
  </si>
  <si>
    <t>Substituição de 01 (um) TP 230 kV posição operacional 84T5 fase B da Subestação MLG.</t>
  </si>
  <si>
    <t>0003316/2023</t>
  </si>
  <si>
    <t>11347385</t>
  </si>
  <si>
    <t>Substituição de 01 (um) TP 230 kV posição operacional 84T5 fase C da Subestação MLG.</t>
  </si>
  <si>
    <t>0003317/2023</t>
  </si>
  <si>
    <t>11347384</t>
  </si>
  <si>
    <t>Substituição de 01 (um) TP 69 kV posição operacional 82BP fase A da Subestação ABX.</t>
  </si>
  <si>
    <t>0003322/2023</t>
  </si>
  <si>
    <t>11456343</t>
  </si>
  <si>
    <t>Substituição de 01 (um) TP 69 kV posição operacional 82BP fase B da Subestação ABX.</t>
  </si>
  <si>
    <t>0003323/2023</t>
  </si>
  <si>
    <t>11456344</t>
  </si>
  <si>
    <t>Substituição de 01 (um) TP 69 kV posição operacional 82BP fase C da Subestação ABX.</t>
  </si>
  <si>
    <t>0003324/2023</t>
  </si>
  <si>
    <t>11456345</t>
  </si>
  <si>
    <t>Substituição de 01 (um) TP 69 kV posição operacional 82BP-1 fase A da Subestação BNB.</t>
  </si>
  <si>
    <t>MG BANABUIU / CCO-2001-061 - RB</t>
  </si>
  <si>
    <t>0003332/2023</t>
  </si>
  <si>
    <t>11347448</t>
  </si>
  <si>
    <t>Substituição de 01 (um) TP 69 kV posição operacional 82BP-1 fase B da Subestação BNB.</t>
  </si>
  <si>
    <t>0003333/2023</t>
  </si>
  <si>
    <t>11347449</t>
  </si>
  <si>
    <t>Substituição de 01 (um) TP 69 kV posição operacional 82BP-1 fase C da Subestação BNB.</t>
  </si>
  <si>
    <t>0003334/2023</t>
  </si>
  <si>
    <t>11347450</t>
  </si>
  <si>
    <t>Substituição de 01 (um) TP 69 kV posição operacional 82BP-2 fase A da Subestação CCD.</t>
  </si>
  <si>
    <t>0003335/2023</t>
  </si>
  <si>
    <t>11346818</t>
  </si>
  <si>
    <t>Substituição de 01 (um) TP 69 kV posição operacional 82BP-2 fase B da Subestação CCD.</t>
  </si>
  <si>
    <t>0003336/2023</t>
  </si>
  <si>
    <t>11346819</t>
  </si>
  <si>
    <t>Substituição de 01 (um) TP 69 kV posição operacional 82BP-2 fase C da Subestação CCD.</t>
  </si>
  <si>
    <t>0003337/2023</t>
  </si>
  <si>
    <t>11346820</t>
  </si>
  <si>
    <t>Substituição de 01 (um) TP 69 kV posição operacional 82BP-1 fase A da Subestação CMA.</t>
  </si>
  <si>
    <t>0003338/2023</t>
  </si>
  <si>
    <t>11346882</t>
  </si>
  <si>
    <t>Substituição de 01 (um) TP 69 kV posição operacional 82BP-1 fase B da Subestação CMA.</t>
  </si>
  <si>
    <t>0003339/2023</t>
  </si>
  <si>
    <t>11346883</t>
  </si>
  <si>
    <t>Substituição de 01 (um) TP 69 kV posição operacional 82BP-1 fase C da Subestação CMA.</t>
  </si>
  <si>
    <t>0003340/2023</t>
  </si>
  <si>
    <t>11346884</t>
  </si>
  <si>
    <t>Substituição de 01 (um) TP 69 kV posição operacional 82T2 fase A da Subestação DMG.</t>
  </si>
  <si>
    <t>0003344/2023</t>
  </si>
  <si>
    <t>11346897</t>
  </si>
  <si>
    <t>Substituição de 01 (um) TP 69 kV posição operacional 82T2 fase B da Subestação DMG.</t>
  </si>
  <si>
    <t>0003345/2023</t>
  </si>
  <si>
    <t>11346898</t>
  </si>
  <si>
    <t>Substituição de 01 (um) TP 69 kV posição operacional 82T2 fase C da Subestação DMG.</t>
  </si>
  <si>
    <t>0003346/2023</t>
  </si>
  <si>
    <t>11346899</t>
  </si>
  <si>
    <t>Substituição de 01 (um) TP 69 kV posição operacional 82T3 fase A da Subestação DMG.</t>
  </si>
  <si>
    <t>0003347/2023</t>
  </si>
  <si>
    <t>11346900</t>
  </si>
  <si>
    <t>Substituição de 01 (um) TP 69 kV posição operacional 82T3 fase B da Subestação DMG.</t>
  </si>
  <si>
    <t>0003348/2023</t>
  </si>
  <si>
    <t>11346901</t>
  </si>
  <si>
    <t>Substituição de 01 (um) TP 69 kV posição operacional 82T3 fase C da Subestação DMG.</t>
  </si>
  <si>
    <t>0003349/2023</t>
  </si>
  <si>
    <t>11346902</t>
  </si>
  <si>
    <t>Substituição de 01 (um) TP 230 kV posição operacional 84N3 fase A da Subestação GNN.</t>
  </si>
  <si>
    <t>LT 230 kV GOIANINHA /JOAO PESSOA II C-1 PE/PB</t>
  </si>
  <si>
    <t>0003370/2023</t>
  </si>
  <si>
    <t>11344564</t>
  </si>
  <si>
    <t>Substituição de 01 (um) TP 230 kV posição operacional 84N3 fase B da Subestação GNN.</t>
  </si>
  <si>
    <t>0003371/2023</t>
  </si>
  <si>
    <t>11344565</t>
  </si>
  <si>
    <t>Substituição de 01 (um) TP 230 kV posição operacional 84N3 fase C da Subestação GNN.</t>
  </si>
  <si>
    <t>0003372/2023</t>
  </si>
  <si>
    <t>11344566</t>
  </si>
  <si>
    <t>Substituição de 01 (um) TP 230 kV posição operacional 84F2 fase C da Subestação IRE.</t>
  </si>
  <si>
    <t>0003376/2023</t>
  </si>
  <si>
    <t>11344745</t>
  </si>
  <si>
    <t>Substituição de 01 (um) TP 230 kV posição operacional 84BP fase B da Subestação ITB.</t>
  </si>
  <si>
    <t>MG ITABAIANA / CCO-2001-061 - RB</t>
  </si>
  <si>
    <t>0003383/2023</t>
  </si>
  <si>
    <t>11346049</t>
  </si>
  <si>
    <t>Substituição de 01 (um) TP 69 kV posição operacional 82T4 fase B da Subestação MLG.</t>
  </si>
  <si>
    <t>TR 230/69 kV MILAGRES TR4 CE</t>
  </si>
  <si>
    <t>0003386/2023</t>
  </si>
  <si>
    <t>11346945</t>
  </si>
  <si>
    <t>JUAZEIRO II</t>
  </si>
  <si>
    <t>Substituição de 01 (um) TP 69 kV posição operacional 82BP-1 fase A da Subestação JZD.</t>
  </si>
  <si>
    <t>MG JUAZEIRO II / CCO-2001-061 - RB</t>
  </si>
  <si>
    <t>0003391/2023</t>
  </si>
  <si>
    <t>11346924</t>
  </si>
  <si>
    <t>Substituição de 01 (um) TP 69 kV posição operacional 82BP-1 fase B da Subestação JZD.</t>
  </si>
  <si>
    <t>0003392/2023</t>
  </si>
  <si>
    <t>11346925</t>
  </si>
  <si>
    <t>Substituição de 01 (um) TP 69 kV posição operacional 82BP-1 fase C da Subestação JZD.</t>
  </si>
  <si>
    <t>0003393/2023</t>
  </si>
  <si>
    <t>11346926</t>
  </si>
  <si>
    <t>Substituição de 01 (um) TP 69 kV posição operacional 82BP-1 fase A da Subestação MLG.</t>
  </si>
  <si>
    <t>0003398/2023</t>
  </si>
  <si>
    <t>11346803</t>
  </si>
  <si>
    <t>Substituição de 01 (um) TP 69 kV posição operacional 82BP-1 fase B da Subestação MLG.</t>
  </si>
  <si>
    <t>0003399/2023</t>
  </si>
  <si>
    <t>11346804</t>
  </si>
  <si>
    <t>Substituição de 01 (um) TP 69 kV posição operacional 82BP-1 fase C da Subestação MLG.</t>
  </si>
  <si>
    <t>0003400/2023</t>
  </si>
  <si>
    <t>11346805</t>
  </si>
  <si>
    <t>Substituição de 01 (um) TP 230 kV posição operacional 84J2 fase A da Subestação PAF.</t>
  </si>
  <si>
    <t>EL 230 kV P.AFONSO III LT 230 kV P.AFONSO III /USINA PA-II C-2 AL/BA (14J2)</t>
  </si>
  <si>
    <t>0003415/2023</t>
  </si>
  <si>
    <t>11346494</t>
  </si>
  <si>
    <t>Substituição de 01 (um) TP 230 kV posição operacional 84J2 fase C da Subestação PAF.</t>
  </si>
  <si>
    <t>0003416/2023</t>
  </si>
  <si>
    <t>11346495</t>
  </si>
  <si>
    <t>NATAL II</t>
  </si>
  <si>
    <t>Substituição de 01 (um) TP 69 kV posição operacional 82T6 fase A da Subestação NTD.</t>
  </si>
  <si>
    <t>MC 69 kV TR 69/3,3 kV NATAL II TR6 RN (12T6)</t>
  </si>
  <si>
    <t>0003420/2023</t>
  </si>
  <si>
    <t>11456234</t>
  </si>
  <si>
    <t>Substituição de 01 (um) TP 69 kV posição operacional 82T6 fase B da Subestação NTD.</t>
  </si>
  <si>
    <t>0003421/2023</t>
  </si>
  <si>
    <t>11456235</t>
  </si>
  <si>
    <t>Substituição de 01 (um) TP 69 kV posição operacional 82T6 fase C da Subestação NTD.</t>
  </si>
  <si>
    <t>0003422/2023</t>
  </si>
  <si>
    <t>11456236</t>
  </si>
  <si>
    <t>Substituição de 01 (um) TP 69 kV posição operacional 82BP-1 fase A da Subestação RSD.</t>
  </si>
  <si>
    <t>MG RUSSAS II / CCO-2001-061 - RB</t>
  </si>
  <si>
    <t>0003438/2023</t>
  </si>
  <si>
    <t>11346691</t>
  </si>
  <si>
    <t>Substituição de 01 (um) TP 69 kV posição operacional 82BP-1 fase B da Subestação RSD.</t>
  </si>
  <si>
    <t>0003439/2023</t>
  </si>
  <si>
    <t>11346692</t>
  </si>
  <si>
    <t>Substituição de 01 (um) TP 69 kV posição operacional 82BP-1 fase C da Subestação RSD.</t>
  </si>
  <si>
    <t>0003440/2023</t>
  </si>
  <si>
    <t>11346693</t>
  </si>
  <si>
    <t>Substituição de 01 (um) TP 69 kV posição operacional 82T1 fase A da Subestação SBD.</t>
  </si>
  <si>
    <t>TR 230/69 kV SOBRAL II TR1 CE</t>
  </si>
  <si>
    <t>0003441/2023</t>
  </si>
  <si>
    <t>11346812</t>
  </si>
  <si>
    <t>Substituição de 01 (um) TP 69 kV posição operacional 82T1 fase B da Subestação SBD.</t>
  </si>
  <si>
    <t>0003442/2023</t>
  </si>
  <si>
    <t>11346813</t>
  </si>
  <si>
    <t>Substituição de 01 (um) TP 69 kV posição operacional 82T1 fase C da Subestação SBD.</t>
  </si>
  <si>
    <t>0003443/2023</t>
  </si>
  <si>
    <t>11346814</t>
  </si>
  <si>
    <t>Substituição de 01 (um) TP 69 kV posição operacional 82T2 fase A da Subestação SBD.</t>
  </si>
  <si>
    <t>TR 230/69 kV SOBRAL II TR2 CE</t>
  </si>
  <si>
    <t>0003444/2023</t>
  </si>
  <si>
    <t>11346815</t>
  </si>
  <si>
    <t>Substituição de 01 (um) TP 69 kV posição operacional 82T2 fase B da Subestação SBD.</t>
  </si>
  <si>
    <t>0003445/2023</t>
  </si>
  <si>
    <t>11346816</t>
  </si>
  <si>
    <t>Substituição de 01 (um) TP 69 kV posição operacional 82T2 fase C da Subestação SBD.</t>
  </si>
  <si>
    <t>0003446/2023</t>
  </si>
  <si>
    <t>11346817</t>
  </si>
  <si>
    <t>Substituição de 01 (um) TP 69 kV posição operacional 82BP-2 fase A da Subestação SNB.</t>
  </si>
  <si>
    <t>0003452/2023</t>
  </si>
  <si>
    <t>11346848</t>
  </si>
  <si>
    <t>Substituição de 01 (um) TP 69 kV posição operacional 82BP-2 fase B da Subestação SNB.</t>
  </si>
  <si>
    <t>0003453/2023</t>
  </si>
  <si>
    <t>11346849</t>
  </si>
  <si>
    <t>Substituição de 01 (um) TP 69 kV posição operacional 82BP-2 fase C da Subestação SNB.</t>
  </si>
  <si>
    <t>0003454/2023</t>
  </si>
  <si>
    <t>11346850</t>
  </si>
  <si>
    <t>Substituição de 01 (um) TP 230 kV posição operacional 84F1 fase A da Subestação SE FNL.</t>
  </si>
  <si>
    <t>0003482/2023</t>
  </si>
  <si>
    <t>11344730</t>
  </si>
  <si>
    <t>Substituição de 01 (um) TP 230 kV posição operacional 84F1 fase B da Subestação SE FNL.</t>
  </si>
  <si>
    <t>0003483/2023</t>
  </si>
  <si>
    <t>11344731</t>
  </si>
  <si>
    <t>Substituição de 01 (um) TP 230 kV posição operacional 84H1 fase C da Subestação SE FNL.</t>
  </si>
  <si>
    <t>BC 230 kV 50,5 MVAr FUNIL BC1 BA</t>
  </si>
  <si>
    <t>0003485/2023</t>
  </si>
  <si>
    <t>11344727</t>
  </si>
  <si>
    <t>Substituição de 01 (um) TP 230 kV posição operacional 84H2 fase B da Subestação SE FNL.</t>
  </si>
  <si>
    <t>BC 230 kV 50,5 MVAr FUNIL BC2 BA</t>
  </si>
  <si>
    <t>0003486/2023</t>
  </si>
  <si>
    <t>11344728</t>
  </si>
  <si>
    <t>Substituição de 01 (um) TP 230 kV posição operacional 84H2 fase C da Subestação SE FNL.</t>
  </si>
  <si>
    <t>0003487/2023</t>
  </si>
  <si>
    <t>11344729</t>
  </si>
  <si>
    <t>Substituição de 01 (um) TP 230 kV posição operacional 84T2 fase A da Subestação SE FZD.</t>
  </si>
  <si>
    <t>0003488/2023</t>
  </si>
  <si>
    <t>11344701</t>
  </si>
  <si>
    <t>Substituição de 01 (um) TP 230 kV posição operacional 84T2 fase B da Subestação SE FZD.</t>
  </si>
  <si>
    <t>0003489/2023</t>
  </si>
  <si>
    <t>11344702</t>
  </si>
  <si>
    <t>Substituição de 01 (um) TP 230 kV posição operacional 84T2 fase C da Subestação SE FZD.</t>
  </si>
  <si>
    <t>0003490/2023</t>
  </si>
  <si>
    <t>11344703</t>
  </si>
  <si>
    <t>Substituição de 01 (um) TP 230 kV posição operacional 84T6 fase A da Subestação SE JDM.</t>
  </si>
  <si>
    <t>TR 500/230 kV JARDIM TR6 SE</t>
  </si>
  <si>
    <t>0003492/2023</t>
  </si>
  <si>
    <t>11344721</t>
  </si>
  <si>
    <t>Substituição de 01 (um) TP 230 kV posição operacional 84T6 fase B da Subestação SE JDM.</t>
  </si>
  <si>
    <t>0003493/2023</t>
  </si>
  <si>
    <t>11344717</t>
  </si>
  <si>
    <t>Substituição de 01 (um) TP 230 kV posição operacional 84T6 fase C da Subestação SE JDM.</t>
  </si>
  <si>
    <t>0003494/2023</t>
  </si>
  <si>
    <t>11344718</t>
  </si>
  <si>
    <t>Substituição de 01 (um) TP 230 kV posição operacional 84M9 fase A da Subestação SE MSI.</t>
  </si>
  <si>
    <t>0003499/2023</t>
  </si>
  <si>
    <t>11344662</t>
  </si>
  <si>
    <t>Substituição de 01 (um) TP 230 kV posição operacional 84M9 fase B da Subestação SE MSI.</t>
  </si>
  <si>
    <t>0003500/2023</t>
  </si>
  <si>
    <t>11344663</t>
  </si>
  <si>
    <t>Substituição de 01 (um) TP 230 kV posição operacional 84M9 fase C da Subestação SE MSI.</t>
  </si>
  <si>
    <t>0003501/2023</t>
  </si>
  <si>
    <t>11344664</t>
  </si>
  <si>
    <t>Substituição de 01 (um) TP 230 kV posição operacional 84S3 fase C da Subestação SE RLD.</t>
  </si>
  <si>
    <t>LT 230 kV MESSIAS /RIO LARGO II C-1 AL</t>
  </si>
  <si>
    <t>0003504/2023</t>
  </si>
  <si>
    <t>11344655</t>
  </si>
  <si>
    <t>Substituição de 03 (três) TP 13,8 kV de compensador síncrono posição operacional 81T5-1 da Subestação RCD.</t>
  </si>
  <si>
    <t>0003512/2023</t>
  </si>
  <si>
    <t>11347039</t>
  </si>
  <si>
    <t>Substituição de 03 (três) TP 13,8 kV de compensador síncrono posição operacional 81T5-2 da Subestação RCD.</t>
  </si>
  <si>
    <t>0003513/2023</t>
  </si>
  <si>
    <t>11347037</t>
  </si>
  <si>
    <t>Substituição de 03 (três) TP 13,8 kV de compensador síncrono posição operacional 81K1 da Subestação RCD.</t>
  </si>
  <si>
    <t>0003514/2023</t>
  </si>
  <si>
    <t>11347038</t>
  </si>
  <si>
    <t>Substituição de 03 (três) TP 13,8 kV de compensador síncrono posição operacional 81K2 da Subestação RCD.</t>
  </si>
  <si>
    <t>0003515/2023</t>
  </si>
  <si>
    <t>11347036</t>
  </si>
  <si>
    <t>Substituição de 01 (um) PR 69 kV posição operacional 72J6 fase A da Subestação CMA.</t>
  </si>
  <si>
    <t>EL 69 kV COREMAS DIST6 (12J6)</t>
  </si>
  <si>
    <t>0003559/2023</t>
  </si>
  <si>
    <t>11332324</t>
  </si>
  <si>
    <t>Substituição de 01 (um) PR 69 kV posição operacional 72J6 fase B da Subestação CMA.</t>
  </si>
  <si>
    <t>0003560/2023</t>
  </si>
  <si>
    <t>11332325</t>
  </si>
  <si>
    <t>Substituição de 01 (um) PR 69 kV posição operacional 72J6 fase C da Subestação CMA.</t>
  </si>
  <si>
    <t>0003561/2023</t>
  </si>
  <si>
    <t>11332326</t>
  </si>
  <si>
    <t>Substituição de 01 (um) PR 69 kV posição operacional 72W1 fase A da Subestação MLG.</t>
  </si>
  <si>
    <t>0003611/2023</t>
  </si>
  <si>
    <t>11328619</t>
  </si>
  <si>
    <t>Substituição de 01 (um) PR 69 kV posição operacional 72W1 fase B da Subestação MLG.</t>
  </si>
  <si>
    <t>0003612/2023</t>
  </si>
  <si>
    <t>11328620</t>
  </si>
  <si>
    <t>Substituição de 01 (um) PR 69 kV posição operacional 72W1 fase C da Subestação MLG.</t>
  </si>
  <si>
    <t>0003613/2023</t>
  </si>
  <si>
    <t>11328621</t>
  </si>
  <si>
    <t>Substituição de 01 (um) PR 500 kV posição operacional 75E1 fase A da Subestação MSI.</t>
  </si>
  <si>
    <t>0003617/2023</t>
  </si>
  <si>
    <t>11326437</t>
  </si>
  <si>
    <t>Substituição de 01 (um) PR 500 kV posição operacional 75E1 fase B da Subestação MSI.</t>
  </si>
  <si>
    <t>0003618/2023</t>
  </si>
  <si>
    <t>11326438</t>
  </si>
  <si>
    <t>Substituição de 01 (um) PR 500 kV posição operacional 75E1 fase C da Subestação MSI.</t>
  </si>
  <si>
    <t>0003619/2023</t>
  </si>
  <si>
    <t>11326439</t>
  </si>
  <si>
    <t>Substituição de 01 (um) PR 500 kV posição operacional 75ER fase M da Subestação MSI.</t>
  </si>
  <si>
    <t>RTL 500 kV 50 Mvar MESSIAS RTR1 AL</t>
  </si>
  <si>
    <t>0003620/2023</t>
  </si>
  <si>
    <t>11326436</t>
  </si>
  <si>
    <t>Substituição de 01 (um) PR 500 kV posição operacional 75T2 fase A da Subestação MSI.</t>
  </si>
  <si>
    <t>0003621/2023</t>
  </si>
  <si>
    <t>11326443</t>
  </si>
  <si>
    <t>Substituição de 01 (um) PR 500 kV posição operacional 75T2 fase B da Subestação MSI.</t>
  </si>
  <si>
    <t>0003622/2023</t>
  </si>
  <si>
    <t>11326444</t>
  </si>
  <si>
    <t>Substituição de 01 (um) PR 500 kV posição operacional 75T2 fase C da Subestação MSI.</t>
  </si>
  <si>
    <t>0003623/2023</t>
  </si>
  <si>
    <t>11326445</t>
  </si>
  <si>
    <t>Substituição de 01 (um) PR 500 kV posição operacional 75T3 fase A da Subestação MSI.</t>
  </si>
  <si>
    <t>0003624/2023</t>
  </si>
  <si>
    <t>11326446</t>
  </si>
  <si>
    <t>Substituição de 01 (um) PR 500 kV posição operacional 75T3 fase B da Subestação MSI.</t>
  </si>
  <si>
    <t>0003625/2023</t>
  </si>
  <si>
    <t>11326447</t>
  </si>
  <si>
    <t>Substituição de 01 (um) PR 500 kV posição operacional 75T3 fase C da Subestação MSI.</t>
  </si>
  <si>
    <t>0003626/2023</t>
  </si>
  <si>
    <t>11326448</t>
  </si>
  <si>
    <t>Substituição de 01 (um) PR 69 kV posição operacional 72V4 fase A da Subestação TAC.</t>
  </si>
  <si>
    <t>EL 69 kV TACAIMBO BELO JARDIM C2 (12V4)</t>
  </si>
  <si>
    <t>0003672/2023</t>
  </si>
  <si>
    <t>11328544</t>
  </si>
  <si>
    <t>Substituição de 01 (um) PR 69 kV posição operacional 72V4 fase B da Subestação TAC.</t>
  </si>
  <si>
    <t>0003673/2023</t>
  </si>
  <si>
    <t>11328545</t>
  </si>
  <si>
    <t>Substituição de 01 (um) PR 69 kV posição operacional 72V4 fase C da Subestação TAC.</t>
  </si>
  <si>
    <t>0003674/2023</t>
  </si>
  <si>
    <t>11328546</t>
  </si>
  <si>
    <t>Substituição de 01 (um) PR 500 kV posição operacional 75G4 fase A da Subestação XGO.</t>
  </si>
  <si>
    <t>MC 500 kV TR 18/500 kV USINA XINGO TR4 AL (15G4)</t>
  </si>
  <si>
    <t>0003698/2023</t>
  </si>
  <si>
    <t>11332585</t>
  </si>
  <si>
    <t>Substituição de 01 (um) PR 500 kV posição operacional 75G4 fase B da Subestação XGO.</t>
  </si>
  <si>
    <t>0003699/2023</t>
  </si>
  <si>
    <t>11332586</t>
  </si>
  <si>
    <t>Substituição de 01 (um) PR 500 kV posição operacional 75G4 fase C da Subestação XGO.</t>
  </si>
  <si>
    <t>0003700/2023</t>
  </si>
  <si>
    <t>11332587</t>
  </si>
  <si>
    <t>Substituição de 01 (um) PR 500 kV posição operacional 75G6 fase A da Subestação XGO.</t>
  </si>
  <si>
    <t>MC 500 kV TR 18/500 kV USINA XINGO TR6 AL (15G6)</t>
  </si>
  <si>
    <t>0003705/2023</t>
  </si>
  <si>
    <t>11332591</t>
  </si>
  <si>
    <t>Substituição de 01 (um) PR 500 kV posição operacional 75G6 fase B da Subestação XGO.</t>
  </si>
  <si>
    <t>0003706/2023</t>
  </si>
  <si>
    <t>11332592</t>
  </si>
  <si>
    <t>Substituição de 01 (um) PR 500 kV posição operacional 75G6 fase C da Subestação XGO.</t>
  </si>
  <si>
    <t>0003707/2023</t>
  </si>
  <si>
    <t>11332593</t>
  </si>
  <si>
    <t>Substituição de 01 (um) PR 500 kV posição operacional 75V2.C fase C da Subestação SE MSI.</t>
  </si>
  <si>
    <t>0003754/2023</t>
  </si>
  <si>
    <t>11326442</t>
  </si>
  <si>
    <t>Substituição de 01 (um) PR 230 kV posição operacional 74S2.A fase A da Subestação SE SBD.</t>
  </si>
  <si>
    <t>0003764/2023</t>
  </si>
  <si>
    <t>11327398</t>
  </si>
  <si>
    <t>Substituição de 01 (um) PR 230 kV posição operacional 74S2.B fase B da Subestação SE SBD.</t>
  </si>
  <si>
    <t>0003765/2023</t>
  </si>
  <si>
    <t>11327399</t>
  </si>
  <si>
    <t>Substituição de 1 (um) Sistema de Monitoramento de Temperatura do Transformador de Potência 230 kV posição operacional 04T4 da Subestação FTZ.</t>
  </si>
  <si>
    <t>TR 230/69 kV FORTALEZA TR4 CE</t>
  </si>
  <si>
    <t>0003772/2023</t>
  </si>
  <si>
    <t>12437609</t>
  </si>
  <si>
    <t>Substituição de 2 (dois) Radiadores do Transformador de Potência 230 kV posição operacional 04T1 da Subestação MRD.</t>
  </si>
  <si>
    <t>0003774/2023</t>
  </si>
  <si>
    <t>12437480</t>
  </si>
  <si>
    <t>Substituição de 02 (dois) Trocadores de calor do Transformador de Força 230kV de posição operacional 04T3 da Subestação MRD</t>
  </si>
  <si>
    <t>0003775/2023</t>
  </si>
  <si>
    <t>12437481</t>
  </si>
  <si>
    <t>Substituição de 01 (um) Sistema de Monitoramento de Temperatura do Transformador de Potência 69 kV posição operacional 02T5 da Subestação NTD.</t>
  </si>
  <si>
    <t>MG NATAL II / CCO-2001-061 - RB</t>
  </si>
  <si>
    <t>0003777/2023</t>
  </si>
  <si>
    <t>12437483</t>
  </si>
  <si>
    <t>Substituição de 01 (um) Sistema de Monitoramento de Temperatura do Transformador de Potência 69 kV posição operacional 02T6 da Subestação NTD.</t>
  </si>
  <si>
    <t>TR 69/3,3 kV NATAL II TR6 RN</t>
  </si>
  <si>
    <t>0003778/2023</t>
  </si>
  <si>
    <t>12437485</t>
  </si>
  <si>
    <t>Substituição de 01 (um) Sistema de Monitoramento de Temperatura do Transformador de Potência 69 kV posição operacional 02T7 da Subestação NTD.</t>
  </si>
  <si>
    <t>TR 69/3,3 kV NATAL II TR7 RN</t>
  </si>
  <si>
    <t>0003779/2023</t>
  </si>
  <si>
    <t>12437487</t>
  </si>
  <si>
    <t>Substituição de 01 (um) Sistema de Monitoramento de Temperatura do Transformador de Potência 230 kV posição operacional 04T1 da Subestação NTD.</t>
  </si>
  <si>
    <t>TR 230/69 kV NATAL II TR1 RN</t>
  </si>
  <si>
    <t>0003781/2023</t>
  </si>
  <si>
    <t>12437492</t>
  </si>
  <si>
    <t>Substituição de 4 (quatro) Radiadores do Transformador de Potência 230 kV posição operacional 04T1 da Subestação NTD.</t>
  </si>
  <si>
    <t>0003782/2023</t>
  </si>
  <si>
    <t>12437493</t>
  </si>
  <si>
    <t>Substituição de 01 (um) Sistema de Monitoramento de Temperatura do Transformador de Potência 230 kV posição operacional 04T2 da Subestação NTD.</t>
  </si>
  <si>
    <t>TR 230/69 kV NATAL II TR2 RN</t>
  </si>
  <si>
    <t>0003783/2023</t>
  </si>
  <si>
    <t>12437495</t>
  </si>
  <si>
    <t>Substituição de 01 (um) Sistema de Monitoramento de Temperatura do Transformador de Potência 230 kV posição operacional 04T3 da Subestação NTD.</t>
  </si>
  <si>
    <t>TR 230/69 kV NATAL II TR3 RN</t>
  </si>
  <si>
    <t>0003784/2023</t>
  </si>
  <si>
    <t>12437497</t>
  </si>
  <si>
    <t>Substituição de 02 (dois) Trocadores de calor do Transformador de Força 230kV de posição operacional 04T3 da Subestação NTD</t>
  </si>
  <si>
    <t>0003785/2023</t>
  </si>
  <si>
    <t>12437498</t>
  </si>
  <si>
    <t>Substituição de 04 (quatro) Trocadores de calor do Transformador de Força 500kV de posição operacional 05T4.C da Subestação RCD</t>
  </si>
  <si>
    <t>TR 500/230 kV RECIFE II TR4 PE</t>
  </si>
  <si>
    <t>0003786/2023</t>
  </si>
  <si>
    <t>12437504</t>
  </si>
  <si>
    <t>Substituição de 3 (três) Radiadores do Transformador de Potência 500 kV posição operacional 05T3 fase A da Subestação RCD.</t>
  </si>
  <si>
    <t>TR 500/230 kV RECIFE II TR3 PE</t>
  </si>
  <si>
    <t>0003793/2023</t>
  </si>
  <si>
    <t>12437508</t>
  </si>
  <si>
    <t>Substituição de 3 (três) Radiadores do Transformador de Potência 500 kV posição operacional 05T3 fase B da Subestação RCD.</t>
  </si>
  <si>
    <t>0003794/2023</t>
  </si>
  <si>
    <t>12437509</t>
  </si>
  <si>
    <t>Substituição de 3 (três) Radiadores do Transformador de Potência 500 kV posição operacional 05T3 fase C da Subestação RCD.</t>
  </si>
  <si>
    <t>0003795/2023</t>
  </si>
  <si>
    <t>12437510</t>
  </si>
  <si>
    <t>Substituição de 02 (dois) Trocadores de calor do Transformador de Força 500kV de posição operacional 05TR.M da Subestação SUD</t>
  </si>
  <si>
    <t>TR 500/230 kV SUAPE II TRR1 PE</t>
  </si>
  <si>
    <t>0003800/2023</t>
  </si>
  <si>
    <t>12437511</t>
  </si>
  <si>
    <t>ELISEU MARTINS</t>
  </si>
  <si>
    <t>Substituição de 01 (um) Sistema de Monitoramento de Temperatura do Transformador de Potência 230 kV posição operacional 04T1 da Subestação ELM.</t>
  </si>
  <si>
    <t>TR 230/69 kV ELISEU MARTIN TR1 PI</t>
  </si>
  <si>
    <t>0003801/2023</t>
  </si>
  <si>
    <t>12437522</t>
  </si>
  <si>
    <t>Substituição de 2 (dois) Sistema de Monitoramento de Temperatura do Transformador de Potência 500 kV posição operacional 05TR fase M da Subestação SJI.</t>
  </si>
  <si>
    <t>TR 500/230 kV S.JOAO PIAUI TRR1 PI</t>
  </si>
  <si>
    <t>0003802/2023</t>
  </si>
  <si>
    <t>12437523</t>
  </si>
  <si>
    <t>PIRIPIRI</t>
  </si>
  <si>
    <t>Substituição de 01 (um) Sistema de Monitoramento de Temperatura do Transformador de Potência 230 kV posição operacional 04T1 da Subestação PRI.</t>
  </si>
  <si>
    <t>TR 230/69 kV PIRIPIRI TR1 PI</t>
  </si>
  <si>
    <t>0003804/2023</t>
  </si>
  <si>
    <t>12437524</t>
  </si>
  <si>
    <t>Substituição de 01 (um) Sistema de Monitoramento de Temperatura do Transformador de Potência 230 kV posição operacional 04T3 da Subestação PRI.</t>
  </si>
  <si>
    <t>TR 230/69 kV PIRIPIRI TR3 PI</t>
  </si>
  <si>
    <t>0003805/2023</t>
  </si>
  <si>
    <t>12437525</t>
  </si>
  <si>
    <t>IGAPORA III</t>
  </si>
  <si>
    <t>Substituição de 01 (um) Sistema de Monitoramento de Temperatura do Transformador de Potência 500 kV posição operacional 05T4 fase A da Subestação IGT.</t>
  </si>
  <si>
    <t>TR 500/230 kV IGAPORA III TR4 BA</t>
  </si>
  <si>
    <t>0003816/2023</t>
  </si>
  <si>
    <t>12437537</t>
  </si>
  <si>
    <t>Substituição de 01 (um) Sistema de Monitoramento de Temperatura do Transformador de Potência 500 kV posição operacional 05T7 fase A da Subestação PAQ.</t>
  </si>
  <si>
    <t>0003818/2023</t>
  </si>
  <si>
    <t>12437545</t>
  </si>
  <si>
    <t>Substituição de 01 (um) Sistema de Monitoramento de Temperatura do Transformador de Potência 500 kV posição operacional 05T7 fase B da Subestação PAQ.</t>
  </si>
  <si>
    <t>0003819/2023</t>
  </si>
  <si>
    <t>12437546</t>
  </si>
  <si>
    <t>Substituição de 01 (um) Sistema de Monitoramento de Temperatura do Transformador de Potência 500 kV posição operacional 05T7 fase C da Subestação PAQ.</t>
  </si>
  <si>
    <t>0003820/2023</t>
  </si>
  <si>
    <t>12437547</t>
  </si>
  <si>
    <t>Substituição de 01 (um) Sistema de Monitoramento de Temperatura do Transformador de Potência 500 kV posição operacional 05T8 fase A da Subestação PAQ.</t>
  </si>
  <si>
    <t>0003821/2023</t>
  </si>
  <si>
    <t>12437548</t>
  </si>
  <si>
    <t>Substituição de 01 (um) Sistema de Monitoramento de Temperatura do Transformador de Potência 500 kV posição operacional 05T8 fase B da Subestação PAQ.</t>
  </si>
  <si>
    <t>0003823/2023</t>
  </si>
  <si>
    <t>12437549</t>
  </si>
  <si>
    <t>Substituição de 01 (um) Sistema de Monitoramento de Temperatura do Transformador de Potência 500 kV posição operacional 05T8 fase C da Subestação PAQ.</t>
  </si>
  <si>
    <t>0003824/2023</t>
  </si>
  <si>
    <t>12437550</t>
  </si>
  <si>
    <t>Substituição de 01 (um) Sistema de Monitoramento de Temperatura do Transformador de Potência 500 kV posição operacional 05TR fase M da Subestação PAQ.</t>
  </si>
  <si>
    <t>TR 500/230 kV P. AFONSO IV TRR1 BA</t>
  </si>
  <si>
    <t>0003825/2023</t>
  </si>
  <si>
    <t>12437551</t>
  </si>
  <si>
    <t>Substituição de 01 (um) Sistema de Monitoramento de Temperatura do Transformador de Potência 230 kV posição operacional 04T2 da Subestação ABX.</t>
  </si>
  <si>
    <t>TR 230/69 kV ABAIXADORA TR2 BA</t>
  </si>
  <si>
    <t>0003826/2023</t>
  </si>
  <si>
    <t>12437555</t>
  </si>
  <si>
    <t>Substituição de 3 (três) Radiadores do Transformador de Potência 500 kV posição operacional 05TR fase M da Subestação CMQ.</t>
  </si>
  <si>
    <t>TR 500/230 kV CAMACARI IV TRR1 BA</t>
  </si>
  <si>
    <t>0003828/2023</t>
  </si>
  <si>
    <t>12437563</t>
  </si>
  <si>
    <t>Substituição de 01 (um) Trocador de calor do Transformador de Força 500kV de posição operacional 05T1.A da Subestação CMD</t>
  </si>
  <si>
    <t>TR 500/230 kV CAMACARI II TR1 BA</t>
  </si>
  <si>
    <t>0003829/2023</t>
  </si>
  <si>
    <t>12437564</t>
  </si>
  <si>
    <t>Substituição de 01 (um) Trocador de calor do Transformador de Força 500kV de posição operacional 05TR.M da Subestação CMD</t>
  </si>
  <si>
    <t>TR 500/230 kV CAMACARI II TRR1 BA</t>
  </si>
  <si>
    <t>0003830/2023</t>
  </si>
  <si>
    <t>12437565</t>
  </si>
  <si>
    <t>Substituição de 2 (dois) Radiadores do Transformador de Potência 230 kV posição operacional 04T5 da Subestação CMD.</t>
  </si>
  <si>
    <t>TR 230/69 kV CAMACARI II TR5 BA</t>
  </si>
  <si>
    <t>0003832/2023</t>
  </si>
  <si>
    <t>12437566</t>
  </si>
  <si>
    <t>Substituição de 2 (dois) Radiadores do Reator 230 kV posição operacional 04E3 fase B da Subestação ENP.</t>
  </si>
  <si>
    <t>0003837/2023</t>
  </si>
  <si>
    <t>12437586</t>
  </si>
  <si>
    <t>Substituição de 01 (um) Sistema de Monitoramento de Temperatura do Transformador de Potência 230 kV posição operacional 04T3 da Subestação STJ.</t>
  </si>
  <si>
    <t>0003843/2023</t>
  </si>
  <si>
    <t>12437596</t>
  </si>
  <si>
    <t>Substituição de 01 (um) Trocador de calor do Transformador de Força 230kV de posição operacional 04T1 da Subestação MTT</t>
  </si>
  <si>
    <t>TR 230/69 kV MATATU TR1 BA</t>
  </si>
  <si>
    <t>0003846/2023</t>
  </si>
  <si>
    <t>12437598</t>
  </si>
  <si>
    <t>PITUACU</t>
  </si>
  <si>
    <t>Substituição de 07 (sete) Trocadores de calor do Transformador de Força 230kV de posição operacional 04T1 da Subestação PTU</t>
  </si>
  <si>
    <t>TR 230/69 kV PITUACU TR1 BA</t>
  </si>
  <si>
    <t>0003847/2023</t>
  </si>
  <si>
    <t>12437599</t>
  </si>
  <si>
    <t>Substituição de 4 (quatro) Radiadores do Transformador de Potência 230 kV posição operacional 04T4 da Subestação PTU.</t>
  </si>
  <si>
    <t>TR 230/69 kV PITUACU TR4 BA</t>
  </si>
  <si>
    <t>0003849/2023</t>
  </si>
  <si>
    <t>12437600</t>
  </si>
  <si>
    <t>Substituição de 4 (quatro) Radiadores do Transformador de Potência 230 kV posição operacional 04T3 da Subestação CTG.</t>
  </si>
  <si>
    <t>TR 230/69 kV COTEGIPE TR3 BA</t>
  </si>
  <si>
    <t>0003850/2023</t>
  </si>
  <si>
    <t>12437602</t>
  </si>
  <si>
    <t>Substituição de 01 (um) Sistema de Monitoramento de Temperatura do Transformador de Potência 230 kV posição operacional 04T2 da Subestação FTZ.</t>
  </si>
  <si>
    <t>TR 230/69 kV FORTALEZA TR2 CE</t>
  </si>
  <si>
    <t>0003856/2023</t>
  </si>
  <si>
    <t>12437608</t>
  </si>
  <si>
    <t>Substituição de 2 (dois) Radiadores do Transformador de Potência 230 kV posição operacional 04T2 da Subestação FTZ.</t>
  </si>
  <si>
    <t>0003857/2023</t>
  </si>
  <si>
    <t>12437621</t>
  </si>
  <si>
    <t>Substituição de 01 (um) Sistema de Monitoramento de Temperatura do Transformador de Potência 500 kV posição operacional 05T4 fase A da Subestação FZD.</t>
  </si>
  <si>
    <t>TR 500/230 kV FORTALEZA II TR4 CE</t>
  </si>
  <si>
    <t>0003859/2023</t>
  </si>
  <si>
    <t>12437610</t>
  </si>
  <si>
    <t>Substituição de 01 (um) Sistema de Monitoramento de Temperatura do Transformador de Potência 500 kV posição operacional 05T4 fase C da Subestação FZD.</t>
  </si>
  <si>
    <t>0003860/2023</t>
  </si>
  <si>
    <t>12437611</t>
  </si>
  <si>
    <t>Substituição de 01 (um) Trocador de calor do Transformador de Força 500kV de posição operacional 05T4.C da Subestação FZD</t>
  </si>
  <si>
    <t>0003862/2023</t>
  </si>
  <si>
    <t>12437624</t>
  </si>
  <si>
    <t>Substituição de 01 (um) Sistema de Monitoramento de Temperatura do Transformador de Potência 230 kV posição operacional 04T1 da Subestação PCD.</t>
  </si>
  <si>
    <t>TR 230/69 kV PICI II TR1 CE</t>
  </si>
  <si>
    <t>0003863/2023</t>
  </si>
  <si>
    <t>12437612</t>
  </si>
  <si>
    <t>Substituição de 01 (um) Sistema de Monitoramento de Temperatura do Transformador de Potência 500 kV posição operacional 05T1 fase B da Subestação PED.</t>
  </si>
  <si>
    <t>TR 500/230 kV PECEM II TR1 CE</t>
  </si>
  <si>
    <t>0003864/2023</t>
  </si>
  <si>
    <t>12437613</t>
  </si>
  <si>
    <t>Substituição de 01 (um) Sistema de Monitoramento de Temperatura do Transformador de Potência 500 kV posição operacional 05T3 fase A da Subestação PED.</t>
  </si>
  <si>
    <t>TR 500/230 kV PECEM II TR3 CE</t>
  </si>
  <si>
    <t>0003870/2023</t>
  </si>
  <si>
    <t>12437617</t>
  </si>
  <si>
    <t>Substituição de 01 (um) Sistema de Monitoramento de Temperatura do Transformador de Potência 500 kV posição operacional 05T3 fase C da Subestação PED.</t>
  </si>
  <si>
    <t>0003871/2023</t>
  </si>
  <si>
    <t>12437618</t>
  </si>
  <si>
    <t>Substituição de 01 (um) Sistema de Monitoramento de Temperatura do Transformador de Potência 230 kV posição operacional 04T3 da Subestação RSD.</t>
  </si>
  <si>
    <t>TR 230/69 kV RUSSAS II TR3 CE</t>
  </si>
  <si>
    <t>0003872/2023</t>
  </si>
  <si>
    <t>12437619</t>
  </si>
  <si>
    <t>Substituição de 2 (dois) Radiadores do Transformador de Potência 230 kV posição operacional 04T3 da Subestação DMG.</t>
  </si>
  <si>
    <t>0003874/2023</t>
  </si>
  <si>
    <t>12437620</t>
  </si>
  <si>
    <t>Substituição de 01 (um) Trocador de calor do Transformador de Força 500kV de posição operacional 05T2.B da Subestação FZD</t>
  </si>
  <si>
    <t>0003875/2023</t>
  </si>
  <si>
    <t>12437623</t>
  </si>
  <si>
    <t>Substituição de 4 (quatro) Radiadores do Transformador de Potência 230 kV posição operacional 04T3 da Subestação PCD.</t>
  </si>
  <si>
    <t>TR 230/69 kV PICI II TR3 CE</t>
  </si>
  <si>
    <t>0003877/2023</t>
  </si>
  <si>
    <t>12437625</t>
  </si>
  <si>
    <t>Substituição de 2 (dois) Radiador do Transformador de Potência 230 kV posição operacional 04T2 da Subestação PCD.</t>
  </si>
  <si>
    <t>TR 230/69 kV PICI II TR2 CE</t>
  </si>
  <si>
    <t>0003878/2023</t>
  </si>
  <si>
    <t>12437626</t>
  </si>
  <si>
    <t>Substituição de 01 (um) Sistema de Monitoramento de Temperatura do Transformador de Potência 230 kV posição operacional 04T3 da Subestação FNL.</t>
  </si>
  <si>
    <t>0003881/2023</t>
  </si>
  <si>
    <t>12437628</t>
  </si>
  <si>
    <t>Substituição de 01 (um) Sistema de Monitoramento de Temperatura do Reator posição operacional 05E2 fase B da Subestação TSD.</t>
  </si>
  <si>
    <t>0003882/2023</t>
  </si>
  <si>
    <t>12437521</t>
  </si>
  <si>
    <t>Substituição de 02 (dois) Radiadores do Transformador de Potência 230 kV posição operacional 04T4 fase T da Subestação PRD.</t>
  </si>
  <si>
    <t>TR 230/69 kV PIRAPAMA II TR4 PE</t>
  </si>
  <si>
    <t>0003884/2023</t>
  </si>
  <si>
    <t>12588839</t>
  </si>
  <si>
    <t>Substituição de 01 (um) Sistema de Monitoramento de Temperatura do Transformador de Potência 230 kV posição operacional 04T1 fase T da Subestação FNL.</t>
  </si>
  <si>
    <t>TR 230/138 kV FUNIL TR1 BA</t>
  </si>
  <si>
    <t>0003885/2023</t>
  </si>
  <si>
    <t>12588840</t>
  </si>
  <si>
    <t>Substituição de 01 (um) Sistema de Monitoramento de Temperatura do Transformador de Potência 230 kV posição operacional 04T6 fase T da Subestação FNL.</t>
  </si>
  <si>
    <t>TR 230/138 kV FUNIL TR6 BA</t>
  </si>
  <si>
    <t>0003886/2023</t>
  </si>
  <si>
    <t>12588841</t>
  </si>
  <si>
    <t>Substituição de 01 (um) Sistema de Monitoramento de Temperatura do Transformador de Potência 230 kV posição operacional 04T4 fase T da Subestação BNB.</t>
  </si>
  <si>
    <t>TR 230/69 kV BANABUIU TR4 CE</t>
  </si>
  <si>
    <t>0003888/2023</t>
  </si>
  <si>
    <t>12588842</t>
  </si>
  <si>
    <t>Substituição de 01 (um) Sistema de Monitoramento de Temperatura do Reator posição operacional 05E1 fase A da Subestação FZD.</t>
  </si>
  <si>
    <t>0003890/2023</t>
  </si>
  <si>
    <t>12588845</t>
  </si>
  <si>
    <t>Substituição de 01 (um) Sistema de Monitoramento de Temperatura do Reator posição operacional 05E1 fase B da Subestação FZD.</t>
  </si>
  <si>
    <t>0003891/2023</t>
  </si>
  <si>
    <t>12588846</t>
  </si>
  <si>
    <t>Substituição de 01 (um) Sistema de Monitoramento de Temperatura do Reator posição operacional 05E1 fase C da Subestação FZD.</t>
  </si>
  <si>
    <t>0003892/2023</t>
  </si>
  <si>
    <t>12588847</t>
  </si>
  <si>
    <t>Substituição de 01 (um) Sistema de Monitoramento de Temperatura do Transformador de Potência 500 kV posição operacional 05TR fase reserva da Subestação SBT.</t>
  </si>
  <si>
    <t>TR 500/230 kV SOBRAL III TRR1 CE</t>
  </si>
  <si>
    <t>0003893/2023</t>
  </si>
  <si>
    <t>12588848</t>
  </si>
  <si>
    <t>Substituição de 01 (um) Sistema de Monitoramento de Temperatura do Transformador de Potência 500 kV posição operacional 05T1 fase A da Subestação SBT.</t>
  </si>
  <si>
    <t>TR 500/230 kV SOBRAL III TR1 CE</t>
  </si>
  <si>
    <t>0003894/2023</t>
  </si>
  <si>
    <t>12588869</t>
  </si>
  <si>
    <t>Substituição de 01 (um) Sistema de Monitoramento de Temperatura do Transformador de Potência 500 kV posição operacional 05T1 fase C da Subestação SBT.</t>
  </si>
  <si>
    <t>0003895/2023</t>
  </si>
  <si>
    <t>12588849</t>
  </si>
  <si>
    <t>Substituição de 01 (um) Sistema de Monitoramento de Temperatura do Reator posição operacional 05E1 fase A da Subestação QXA.</t>
  </si>
  <si>
    <t>0003896/2023</t>
  </si>
  <si>
    <t>12588871</t>
  </si>
  <si>
    <t>Substituição de 01 (um) Sistema de Monitoramento de Temperatura do Reator posição operacional 05E1 fase B da Subestação QXA.</t>
  </si>
  <si>
    <t>0003898/2023</t>
  </si>
  <si>
    <t>12588851</t>
  </si>
  <si>
    <t>Substituição de 01 (um) Sistema de Monitoramento de Temperatura do Reator posição operacional 05E1 fase C da Subestação QXA.</t>
  </si>
  <si>
    <t>0003899/2023</t>
  </si>
  <si>
    <t>12588852</t>
  </si>
  <si>
    <t>Substituição de 01 (um) Sistema de Monitoramento de Temperatura do Reator posição operacional 05ER fase reserva da Subestação QXA.</t>
  </si>
  <si>
    <t>RTL 500 kV 60 Mvar QUIXADA RTR1 CE</t>
  </si>
  <si>
    <t>0003900/2023</t>
  </si>
  <si>
    <t>12588853</t>
  </si>
  <si>
    <t>Substituição de 01 (um) Sistema de Monitoramento de Temperatura do Reator de 230 kV posição operacional 04E2 da Subestação CGD.</t>
  </si>
  <si>
    <t>RTB 230 kV 30 MVAr C.GRANDE II RT2 PB</t>
  </si>
  <si>
    <t>0003901/2023</t>
  </si>
  <si>
    <t>12588855</t>
  </si>
  <si>
    <t>Substituição de 01 (um) Trocador de calor do Transformador de Força 230kV de posição operacional 04T5 da Subestação CGD</t>
  </si>
  <si>
    <t>TR 230/69 kV C.GRANDE II TR5 PB</t>
  </si>
  <si>
    <t>0003903/2023</t>
  </si>
  <si>
    <t>12588856</t>
  </si>
  <si>
    <t>Substituição de 01 (um) Sistema de Monitoramento de Temperatura do Reator posição operacional 05ER fase M da Subestação FZD.</t>
  </si>
  <si>
    <t>RTB 500 kV 60 MVAr FORTALEZA II RTR1 CE</t>
  </si>
  <si>
    <t>0003907/2023</t>
  </si>
  <si>
    <t>12588864</t>
  </si>
  <si>
    <t>Substituição de 01 (um) Sistema de Monitoramento de Temperatura do Transformador de Potência 500 kV posição operacional 05T1 fase B da Subestação SBT.</t>
  </si>
  <si>
    <t>0003908/2023</t>
  </si>
  <si>
    <t>12588870</t>
  </si>
  <si>
    <t>Substituição de 01 (um) Trocador de calor do Transformador de Força 230kV de posição operacional 04T3 da Subestação CGD</t>
  </si>
  <si>
    <t>0003910/2023</t>
  </si>
  <si>
    <t>12588876</t>
  </si>
  <si>
    <t>SANTA RITA II</t>
  </si>
  <si>
    <t>Substituição de 01 (um) Sistema de Monitoramento de Temperatura do Transformador de Potência 230 kV posição operacional 04T1 da Subestação SRD.</t>
  </si>
  <si>
    <t>TR 230/69 kV SANTA RITA II TR1 PB</t>
  </si>
  <si>
    <t>0003911/2023</t>
  </si>
  <si>
    <t>12588877</t>
  </si>
  <si>
    <t>Substituição de 01 (um) Sistema de Monitoramento de Temperatura do Transformador de Potência 230 kV posição operacional 04T2 da Subestação MRD.</t>
  </si>
  <si>
    <t>0003912/2023</t>
  </si>
  <si>
    <t>12588878</t>
  </si>
  <si>
    <t>Substituição de 01 (um) Sistema de Monitoramento de Temperatura do Transformador de Aterramento 69 kV posição operacional 02A1 da Subestação SRD.</t>
  </si>
  <si>
    <t>MC 69 kV TT 69/0 kV SANTA RITA II TT1 PB (32A1)</t>
  </si>
  <si>
    <t>0003913/2023</t>
  </si>
  <si>
    <t>12588879</t>
  </si>
  <si>
    <t>C.GRANDE III</t>
  </si>
  <si>
    <t>Substituição de 01 (um) Sistema de Monitoramento de Temperatura do Transformador de Potência 500 kV posição operacional 05T1 fase B da Subestação CGT.</t>
  </si>
  <si>
    <t>TR 500/230 kV C.GRANDE III TR1 PB</t>
  </si>
  <si>
    <t>0003915/2023</t>
  </si>
  <si>
    <t>12588881</t>
  </si>
  <si>
    <t>Substituição de 01 (um) Sistema de Monitoramento de Temperatura do Transformador de Potência 500 kV posição operacional 05T1 fase A da Subestação CGT.</t>
  </si>
  <si>
    <t>0003916/2023</t>
  </si>
  <si>
    <t>12588882</t>
  </si>
  <si>
    <t>Substituição de 01 (um) Trocador de calor do Transformador de Força 500kV de posição operacional 05T1.A da Subestação CGT</t>
  </si>
  <si>
    <t>0003917/2023</t>
  </si>
  <si>
    <t>12588883</t>
  </si>
  <si>
    <t>Substituição de 01 (um) Trocador de calor do Transformador de Força 500kV de posição operacional 05T1.B da Subestação CGT</t>
  </si>
  <si>
    <t>0003918/2023</t>
  </si>
  <si>
    <t>12588884</t>
  </si>
  <si>
    <t>Substituição de 01 (um) Trocador de calor do Transformador de Força 500kV de posição operacional 05T1.C da Subestação CGT</t>
  </si>
  <si>
    <t>0003920/2023</t>
  </si>
  <si>
    <t>12588885</t>
  </si>
  <si>
    <t>Substituição de 01 (um) Radiador do Transformador de Potência 230 kV posição operacional 04T1 da Subestação MCO.</t>
  </si>
  <si>
    <t>0003921/2023</t>
  </si>
  <si>
    <t>11470617</t>
  </si>
  <si>
    <t>Substituição de 02 (dois) Radiadores do Transformador de Potência 230 kV posição operacional 04T2 da Subestação MCO.</t>
  </si>
  <si>
    <t>0003922/2023</t>
  </si>
  <si>
    <t>11470618</t>
  </si>
  <si>
    <t>Substituição de 01 (um) Sistema de Monitoramento de Temperatura do Reator 500 kV posição operacional 05E1 fase B da Subestação MSI.</t>
  </si>
  <si>
    <t>0003923/2023</t>
  </si>
  <si>
    <t>12588887</t>
  </si>
  <si>
    <t>Substituição de 01 (um) Sistema de Monitoramento de Temperatura do Reator 500 kV posição operacional 05E1 fase C da Subestação MSI.</t>
  </si>
  <si>
    <t>0003924/2023</t>
  </si>
  <si>
    <t>12588888</t>
  </si>
  <si>
    <t>Substituição de 01 (um) Radiador do Transformador de Potência 230 kV posição operacional 04T3 da Subestação RLD.</t>
  </si>
  <si>
    <t>TR 230/69 kV RIO LARGO II TR3 AL</t>
  </si>
  <si>
    <t>0003925/2023</t>
  </si>
  <si>
    <t>12588890</t>
  </si>
  <si>
    <t>Substituição de 01 (um) Sistema de Monitoramento de Temperatura do Transformador de Potência 230 kV posição operacional 04T1 da Subestação MCD.</t>
  </si>
  <si>
    <t>TR 230/69 kV MACEIO II TR1 AL</t>
  </si>
  <si>
    <t>0003926/2023</t>
  </si>
  <si>
    <t>12588891</t>
  </si>
  <si>
    <t>Substituição de 05 (cinco) Radiadores do Transformador de Potência 230 kV posição operacional 04T1 da Subestação PRD.</t>
  </si>
  <si>
    <t>0003927/2023</t>
  </si>
  <si>
    <t>11470184</t>
  </si>
  <si>
    <t>Substituição de 03 (três) Radiadores do Transformador de Potência 230 kV posição operacional 04T2 da Subestação PRD.</t>
  </si>
  <si>
    <t>TR 230/69 kV PIRAPAMA II TR2 PE</t>
  </si>
  <si>
    <t>0003928/2023</t>
  </si>
  <si>
    <t>11470225</t>
  </si>
  <si>
    <t>Substituição de 08 (oito) Radiadores do Transformador de Potência 230 kV posição operacional 04T3 da Subestação PRD.</t>
  </si>
  <si>
    <t>TR 230/69 kV PIRAPAMA II TR3 PE</t>
  </si>
  <si>
    <t>0003929/2023</t>
  </si>
  <si>
    <t>12588892</t>
  </si>
  <si>
    <t>Substituição de 01 (um) Sistema de Monitoramento de Temperatura do Transformador de Potência 230 kV posição operacional 04T4 da Subestação PRD.</t>
  </si>
  <si>
    <t>0003930/2023</t>
  </si>
  <si>
    <t>12588893</t>
  </si>
  <si>
    <t>Substituição de 03 (três) Trocadores de calor do Transformador de Força 230kV de posição operacional 04T3 da Subestação RIB</t>
  </si>
  <si>
    <t>TR 230/69 kV RIBEIRAO TR3 PE</t>
  </si>
  <si>
    <t>0003931/2023</t>
  </si>
  <si>
    <t>12588895</t>
  </si>
  <si>
    <t>Substituição de 01 (um) Sistema de Monitoramento de Temperatura do Transformador de Potência 230 kV posição operacional 04T3 da Subestação RIB.</t>
  </si>
  <si>
    <t>0003932/2023</t>
  </si>
  <si>
    <t>12588897</t>
  </si>
  <si>
    <t>Substituição de 18 (dezoito) Radiadores do Transformador de Potência 500 kV posição operacional 05T4 fase A da Subestação RCD.</t>
  </si>
  <si>
    <t>0003933/2023</t>
  </si>
  <si>
    <t>12588898</t>
  </si>
  <si>
    <t>Substituição de 04 (quatro) Trocadores de calor do Transformador de Força 500kV de posição operacional 05T4.B da Subestação RCD</t>
  </si>
  <si>
    <t>0003934/2023</t>
  </si>
  <si>
    <t>12588899</t>
  </si>
  <si>
    <t>Substituição de 01 (um) Trocador de calor do Transformador de Força 230kV de posição operacional 04T3 da Subestação SUT</t>
  </si>
  <si>
    <t>TR 230/69 kV SUAPE III TR3 PE</t>
  </si>
  <si>
    <t>0003935/2023</t>
  </si>
  <si>
    <t>12588908</t>
  </si>
  <si>
    <t>Substituição de 01 (um) Sistema de Monitoramento de Temperatura do Transformador de Potência 500 kV posição operacional 05T1 fase A da Subestação SUD.</t>
  </si>
  <si>
    <t>TR 500/230 kV SUAPE II TR1 PE</t>
  </si>
  <si>
    <t>0003936/2023</t>
  </si>
  <si>
    <t>12588909</t>
  </si>
  <si>
    <t>Substituição de 01 (um) Sistema de Monitoramento de Temperatura do Transformador de Potência 500 kV posição operacional 05T2 fase A da Subestação SUD.</t>
  </si>
  <si>
    <t>TR 500/230 kV SUAPE II TR2 PE</t>
  </si>
  <si>
    <t>0003937/2023</t>
  </si>
  <si>
    <t>12588910</t>
  </si>
  <si>
    <t>Substituição de 01 (um) Trocador de calor do Transformador de Força 500kV de posição operacional 05T1.B da Subestação SUD</t>
  </si>
  <si>
    <t>0003938/2023</t>
  </si>
  <si>
    <t>12588911</t>
  </si>
  <si>
    <t>Substituição de 01 (um) Trocador de calor do Transformador de Força 230kV de posição operacional 04T1 da Subestação JRM</t>
  </si>
  <si>
    <t>TR 230/69 kV JOAIRAM TR1 PE</t>
  </si>
  <si>
    <t>0003939/2023</t>
  </si>
  <si>
    <t>12591016</t>
  </si>
  <si>
    <t>Substituição de 01 (um) Sistema de Monitoramento de Temperatura do Transformador de Potência 230 kV posição operacional 04T3 da Subestação JRM.</t>
  </si>
  <si>
    <t>TR 230/69 kV JOAIRAM TR3 PE</t>
  </si>
  <si>
    <t>0003940/2023</t>
  </si>
  <si>
    <t>12588912</t>
  </si>
  <si>
    <t>Substituição de 01 (um) Sistema de Monitoramento de Temperatura do Reator 230 kV posição operacional 04E1 fase B da Subestação NTD.</t>
  </si>
  <si>
    <t>RTB 230 kV 30 MVAr NATAL II RT1 RN</t>
  </si>
  <si>
    <t>0003941/2023</t>
  </si>
  <si>
    <t>12588913</t>
  </si>
  <si>
    <t>Substituição de 01 (um) Sistema de Monitoramento de Reator 500 kV posição operacional 05E6 fase B da Subestação SOB.</t>
  </si>
  <si>
    <t>0003942/2023</t>
  </si>
  <si>
    <t>12588914</t>
  </si>
  <si>
    <t>Substituição de 01 (um) Sistema de Monitoramento de Temperatura do Transformador de Aterramento 69 kV posição operacional 02A2 da Subestação BJS.</t>
  </si>
  <si>
    <t>MC 69 kV TT 69/0 kV B.JESUS LAPA TA2 BA (32A2)</t>
  </si>
  <si>
    <t>0003944/2023</t>
  </si>
  <si>
    <t>12588916</t>
  </si>
  <si>
    <t>IGAPORA II</t>
  </si>
  <si>
    <t>Substituição de 01 (um) Sistema de Monitoramento de Temperatura do Transformador de Potência 230 kV posição operacional 04T3 da Subestação IGD.</t>
  </si>
  <si>
    <t>TR 230/69 kV IGAPORA II TR3 BA</t>
  </si>
  <si>
    <t>0003945/2023</t>
  </si>
  <si>
    <t>12588917</t>
  </si>
  <si>
    <t>Substituição de 01 (um) Trocador de calor do Transformador de Força 230kV de posição operacional 04T4 da Subestação JDM</t>
  </si>
  <si>
    <t>0003948/2023</t>
  </si>
  <si>
    <t>12589650</t>
  </si>
  <si>
    <t>Substituição de 01 (um) Sistema de Monitoramento de Temperatura do Transformador de Potência 230 kV posição operacional 04T4 da Subestação JDM.</t>
  </si>
  <si>
    <t>0003949/2023</t>
  </si>
  <si>
    <t>12589661</t>
  </si>
  <si>
    <t>Substituição de 01 (um) Trocador de calor do Transformador de Força 230kV de posição operacional 04T3 da Subestação JDM</t>
  </si>
  <si>
    <t>TR 230/69 kV JARDIM TR3 SE</t>
  </si>
  <si>
    <t>0003950/2023</t>
  </si>
  <si>
    <t>12588920</t>
  </si>
  <si>
    <t>Substituição de 05 (cinco) Radiadores do Transformador de Potência 230 kV posição operacional 04T1 da Subestação JDM.</t>
  </si>
  <si>
    <t>TR 230/69 kV JARDIM TR1 SE</t>
  </si>
  <si>
    <t>0003951/2023</t>
  </si>
  <si>
    <t>12588921</t>
  </si>
  <si>
    <t>Substituição de 01 (um) Radiador do Transformador de Potência 500 kV posição operacional 05T7 fase A da Subestação JDM.</t>
  </si>
  <si>
    <t>0003952/2023</t>
  </si>
  <si>
    <t>12588922</t>
  </si>
  <si>
    <t>Substituição de 01 (um) Radiador do Transformador de Potência 500 kV posição operacional 05T7 fase B da Subestação JDM.</t>
  </si>
  <si>
    <t>0003953/2023</t>
  </si>
  <si>
    <t>12588923</t>
  </si>
  <si>
    <t>Substituição de 01 (um) Radiador do Transformador de Potência 500 kV posição operacional 05T7 fase C da Subestação JDM.</t>
  </si>
  <si>
    <t>0003954/2023</t>
  </si>
  <si>
    <t>12588924</t>
  </si>
  <si>
    <t>Substituição de 01 (um) Radiador do Transformador de Potência 500 kV posição operacional 05T8 fase A da Subestação JDM.</t>
  </si>
  <si>
    <t>TR 500/230 kV JARDIM TR8 SE</t>
  </si>
  <si>
    <t>0003955/2023</t>
  </si>
  <si>
    <t>12588925</t>
  </si>
  <si>
    <t>Substituição de 01 (um) Radiador do Transformador de Potência 500 kV posição operacional 05T8 fase B da Subestação JDM.</t>
  </si>
  <si>
    <t>0003956/2023</t>
  </si>
  <si>
    <t>12588926</t>
  </si>
  <si>
    <t>Substituição de 01 (um) Radiador do Transformador de Potência 500 kV posição operacional 05T8 fase C da Subestação JDM.</t>
  </si>
  <si>
    <t>0003957/2023</t>
  </si>
  <si>
    <t>12588927</t>
  </si>
  <si>
    <t>Substituição de 01 (um) Sistema de Monitoramento de Temperatura do Transformador de Potência 500 kV posição operacional 05T8 fase C da Subestação JDM.</t>
  </si>
  <si>
    <t>0003958/2023</t>
  </si>
  <si>
    <t>12588928</t>
  </si>
  <si>
    <t>Substituição de 09 (nove) Radiadores do Transformador de Potência 230 kV posição operacional 04T2 da Subestação ITH.</t>
  </si>
  <si>
    <t>TR 230/69 kV ITABAIANINHA TR2 SE</t>
  </si>
  <si>
    <t>0003959/2023</t>
  </si>
  <si>
    <t>12588929</t>
  </si>
  <si>
    <t>Substituição de 01 (um) Trocador de calor do Transformador de Força 230kV de posição operacional 04T1 da Subestação NSC</t>
  </si>
  <si>
    <t>TR 230/69 kV N.S.SOCORRO TR1 SE</t>
  </si>
  <si>
    <t>0003960/2023</t>
  </si>
  <si>
    <t>12588930</t>
  </si>
  <si>
    <t>Substituição de 01 (um) Trocador de calor do Transformador de Força 230kV de posição operacional 04T2 da Subestação NSC</t>
  </si>
  <si>
    <t>TR 230/69 kV N.S.SOCORRO TR2 SE</t>
  </si>
  <si>
    <t>0003961/2023</t>
  </si>
  <si>
    <t>12588931</t>
  </si>
  <si>
    <t>Substituição de 01 (um) Sistema de Monitoramento de Temperatura do Transformador de Potência 230 kV posição operacional 04T1 da Subestação OLD.</t>
  </si>
  <si>
    <t>TR 230/13,8 kV OLINDINA TR1 BA</t>
  </si>
  <si>
    <t>0003962/2023</t>
  </si>
  <si>
    <t>12588932</t>
  </si>
  <si>
    <t>Substituição de 01 (um) Sistema de Monitoramento de Temperatura do Transformador de Potência 230 kV posição operacional 04TR da Subestação OLD.</t>
  </si>
  <si>
    <t>TR 230/69 kV OLINDINA TRRX BA</t>
  </si>
  <si>
    <t>0003963/2023</t>
  </si>
  <si>
    <t>12588933</t>
  </si>
  <si>
    <t>Substituição de 06 (seis) Radiadores do Transformador de Potência 230 kV posição operacional 04TR da Subestação OLD.</t>
  </si>
  <si>
    <t>0003964/2023</t>
  </si>
  <si>
    <t>12588934</t>
  </si>
  <si>
    <t>Substituição de 01 (um) Sistema de Monitoramento do Reator 230 kV posição operacional 04E2 fase A da Subestação FNL.</t>
  </si>
  <si>
    <t>0003965/2023</t>
  </si>
  <si>
    <t>12588935</t>
  </si>
  <si>
    <t>Substituição de 01 (um) Sistema de Monitoramento do Reator 230 kV posição operacional 04E1 fase A da Subestação ENP.</t>
  </si>
  <si>
    <t>LT 230 kV ITAPEBI /EUNAPOLIS C-1 BA</t>
  </si>
  <si>
    <t>0003966/2023</t>
  </si>
  <si>
    <t>12588936</t>
  </si>
  <si>
    <t>Substituição de 05 (cinco) Radiadores do Transformador de Potência 230 kV posição operacional 04T1 da Subestação FNL.</t>
  </si>
  <si>
    <t>0003967/2023</t>
  </si>
  <si>
    <t>12588937</t>
  </si>
  <si>
    <t>Substituição de 05 (cinco) Radiadores do Transformador de Potência 230 kV posição operacional 04T6 da Subestação FNL.</t>
  </si>
  <si>
    <t>0003968/2023</t>
  </si>
  <si>
    <t>12588938</t>
  </si>
  <si>
    <t>Substituição de 02 (dois) Radiadores do Transformador de Potência 230 kV posição operacional 04T2 da Subestação FNL.</t>
  </si>
  <si>
    <t>TR 230/138 kV FUNIL TR2 BA</t>
  </si>
  <si>
    <t>0003969/2023</t>
  </si>
  <si>
    <t>12588939</t>
  </si>
  <si>
    <t>Substituição de 01 (um) Trocador de calor do Transformador de Força 230kV de posição operacional 04T2 da Subestação MTT</t>
  </si>
  <si>
    <t>TR 230/69 kV MATATU TR2 BA</t>
  </si>
  <si>
    <t>0003970/2023</t>
  </si>
  <si>
    <t>12588942</t>
  </si>
  <si>
    <t>Substituição de 06 (seis) Radiadores do Transformador de Potência 230 kV posição operacional 04T4 fase C da Subestação PTU.</t>
  </si>
  <si>
    <t>0003971/2023</t>
  </si>
  <si>
    <t>12592968</t>
  </si>
  <si>
    <t>Substituição de 16 (dezesseis) Trocadores de calor do Transformador de Força 230kV de posição operacional 04T3 da Subestação PTU</t>
  </si>
  <si>
    <t>TR 230/69 kV PITUACU TR3 BA</t>
  </si>
  <si>
    <t>0003972/2023</t>
  </si>
  <si>
    <t>12588943</t>
  </si>
  <si>
    <t>Substituição de 02 (dois) Radiadores do Transformador de Potência 230 kV posição operacional 04T1 da Subestação STJ.</t>
  </si>
  <si>
    <t>TR 230/69 kV STO.A.JESUS TR1 BA</t>
  </si>
  <si>
    <t>0003973/2023</t>
  </si>
  <si>
    <t>12588944</t>
  </si>
  <si>
    <t>Substituição de 01 (um) Trocador de calor do Transformador de Força 230kV de posição operacional 04T2 da Subestação STJ</t>
  </si>
  <si>
    <t>TR 230/69 kV STO.A.JESUS TR2 BA</t>
  </si>
  <si>
    <t>0003974/2023</t>
  </si>
  <si>
    <t>12588945</t>
  </si>
  <si>
    <t>Substituição de 01 (um) Trocador de calor do Transformador de Força 230kV de posição operacional 04T3 da Subestação STJ</t>
  </si>
  <si>
    <t>0003976/2023</t>
  </si>
  <si>
    <t>12588946</t>
  </si>
  <si>
    <t>Substituição de 01 (um) Trocador de calor do Transformador de Força 230kV de posição operacional 04T2 da Subestação CTG</t>
  </si>
  <si>
    <t>TR 230/69 kV COTEGIPE TR2 BA</t>
  </si>
  <si>
    <t>0003977/2023</t>
  </si>
  <si>
    <t>12588947</t>
  </si>
  <si>
    <t>Substituição de 01 (um) Trocador de calor do Transformador de Força 230kV de posição operacional 04T4 da Subestação CTG</t>
  </si>
  <si>
    <t>TR 230/69 kV COTEGIPE TR4 BA</t>
  </si>
  <si>
    <t>0003978/2023</t>
  </si>
  <si>
    <t>12588948</t>
  </si>
  <si>
    <t>Substituição de 05 (cinco) Trocadores de calor do Transformador de Força 230kV de posição operacional 04T2 da Subestação PTU</t>
  </si>
  <si>
    <t>TR 230/69 kV PITUACU TR2 BA</t>
  </si>
  <si>
    <t>0003979/2023</t>
  </si>
  <si>
    <t>12591018</t>
  </si>
  <si>
    <t>Substituição de 01 (um) Trocador de calor do Transformador de Força 230kV de posição operacional 04T2 da Subestação JRM</t>
  </si>
  <si>
    <t>TR 230/69 kV JOAIRAM TR2 PE</t>
  </si>
  <si>
    <t>0003980/2023</t>
  </si>
  <si>
    <t>12591017</t>
  </si>
  <si>
    <t>Substituição de 25 km de cabo para-raios convencional por cabo OPGW com 24 fibras, em toda a extensão da LT 500 kV PECEM II /FORTALEZA II C-1 CE (05C2), associado à teleproteção principal.</t>
  </si>
  <si>
    <t>0003983/2023</t>
  </si>
  <si>
    <t>11690685</t>
  </si>
  <si>
    <t>USINA XINGO*</t>
  </si>
  <si>
    <t>Substituição de 01 (um) PR 500 kV posição operacional 75T4 fase A da Subestação UXG.</t>
  </si>
  <si>
    <t>MDL GERACAO EQUIVALENTE A MG EM USINA XINGO (UXG)</t>
  </si>
  <si>
    <t>0003998/2023</t>
  </si>
  <si>
    <t>Substituição de 01 (um) PR 500 kV posição operacional 75T4 fase B da Subestação UXG.</t>
  </si>
  <si>
    <t>0003999/2023</t>
  </si>
  <si>
    <t>Substituição de 01 (um) PR 500 kV posição operacional 75T4 fase C da Subestação UXG.</t>
  </si>
  <si>
    <t>0004000/2023</t>
  </si>
  <si>
    <t>Substituição de 01 (um) PR 500 kV posição operacional 75T6 fase A da Subestação UXG.</t>
  </si>
  <si>
    <t>0004004/2023</t>
  </si>
  <si>
    <t>Substituição de 01 (um) PR 500 kV posição operacional 75T6 fase B da Subestação UXG.</t>
  </si>
  <si>
    <t>0004005/2023</t>
  </si>
  <si>
    <t>Substituição de 01 (um) PR 500 kV posição operacional 75T6 fase C da Subestação UXG.</t>
  </si>
  <si>
    <t>0004006/2023</t>
  </si>
  <si>
    <t>Substituição do SISTEMA DE PROTEÇÃO, MEDIÇÃO E AUTOMAÇÃO do transformador 04T3 da SE Banabuiú, composto por: 02 painéis, 02 relés digitais, 02 unidades de controle, 01 registrador digital de perturbação e cabos de controle associados.</t>
  </si>
  <si>
    <t>TR 230/69 kV BANABUIU TR3 CE</t>
  </si>
  <si>
    <t>0004009/2023</t>
  </si>
  <si>
    <t>11351182</t>
  </si>
  <si>
    <t>Substituição do SISTEMA DE PROTEÇÃO, MEDIÇÃO E AUTOMAÇÃO do trafo 04T1 da SE Banabuiú, composto por: 02 painéis, 02 relés digitais, 02 unidades de controle, 01 registrador digital de perturbação e cabos de controle associados.</t>
  </si>
  <si>
    <t>TR 230/69 kV BANABUIU TR1 CE</t>
  </si>
  <si>
    <t>0004010/2023</t>
  </si>
  <si>
    <t>11351188</t>
  </si>
  <si>
    <t>Substituição de 01 (um) Conjunto de Resistores de Pré-Inserção posição operacional 15L1 da Subestação CID.</t>
  </si>
  <si>
    <t>LT 500 kV JOAO CAMARA III /CEARA MIRIM II C-1 RN</t>
  </si>
  <si>
    <t>0004019/2023</t>
  </si>
  <si>
    <t>12593159</t>
  </si>
  <si>
    <t>Substituição de 1 (um) Sistema de Selagem do Transformador de Potência 500 kV posição operacional 05T1 fase B da Subestação ICA.</t>
  </si>
  <si>
    <t>TR 500/230 kV IBICOARA TR1 BA</t>
  </si>
  <si>
    <t>0004025/2023</t>
  </si>
  <si>
    <t>12437589</t>
  </si>
  <si>
    <t>Substituição de 01 (um) Sistema de Selagem do Transformador de Potência 69 kV posição operacional 02T5 da Subestação NTD.</t>
  </si>
  <si>
    <t>0004026/2023</t>
  </si>
  <si>
    <t>12437484</t>
  </si>
  <si>
    <t>Substituição de 01 (um) Sistema de Selagem do Transformador de Potência 69 kV posição operacional 02T6 da Subestação NTD.</t>
  </si>
  <si>
    <t>0004027/2023</t>
  </si>
  <si>
    <t>12437486</t>
  </si>
  <si>
    <t>Substituição de 01 (um) Sistema de Selagem do Transformador de Potência 69 kV posição operacional 02T7 da Subestação NTD.</t>
  </si>
  <si>
    <t>0004028/2023</t>
  </si>
  <si>
    <t>12437488</t>
  </si>
  <si>
    <t>Substituição de 01 (um) Sistema de Selagem do Transformador de Potência 69 kV posição operacional 02TR fase M da Subestação NTD.</t>
  </si>
  <si>
    <t>TR 69/3,3 kV NATAL II TRRX RN (02TR)</t>
  </si>
  <si>
    <t>0004029/2023</t>
  </si>
  <si>
    <t>12437490</t>
  </si>
  <si>
    <t>Substituição de 01 (um) Sistema de Selagem do Transformador de Potência 230 kV posição operacional 04T1 da Subestação NTD.</t>
  </si>
  <si>
    <t>0004030/2023</t>
  </si>
  <si>
    <t>12437491</t>
  </si>
  <si>
    <t>Substituição de 01 (um) Sistema de Selagem do Transformador de Potência 230 kV posição operacional 04T2 da Subestação NTD.</t>
  </si>
  <si>
    <t>0004031/2023</t>
  </si>
  <si>
    <t>12437494</t>
  </si>
  <si>
    <t>Substituição de 01 (um) Sistema de Selagem do Transformador de Potência 230 kV posição operacional 04T3 da Subestação NTD.</t>
  </si>
  <si>
    <t>0004032/2023</t>
  </si>
  <si>
    <t>12437496</t>
  </si>
  <si>
    <t>Substituição de 01 (um) Sistema de Selagem do Transformador de Potência 230 kV posição operacional 04T3 da Subestação PEN.</t>
  </si>
  <si>
    <t>TR 230/69 kV PENEDO TR3 AL</t>
  </si>
  <si>
    <t>0004033/2023</t>
  </si>
  <si>
    <t>12437499</t>
  </si>
  <si>
    <t>Substituição de 01 (um) Sistema de Selagem do Transformador de Potência 230 kV posição operacional 04T2 da Subestação RLD.</t>
  </si>
  <si>
    <t>TR 230/69 kV RIO LARGO II TR5 AL</t>
  </si>
  <si>
    <t>0004034/2023</t>
  </si>
  <si>
    <t>12437500</t>
  </si>
  <si>
    <t>Substituição de 01 (um) Sistema de Selagem do Transformador de Potência 230 kV posição operacional 04T3 da Subestação TAC.</t>
  </si>
  <si>
    <t>TR 230/69 kV TACAIMBO TR3 PE</t>
  </si>
  <si>
    <t>0004035/2023</t>
  </si>
  <si>
    <t>12437501</t>
  </si>
  <si>
    <t>Substituição de 01 (um) Sistema de Selagem do Transformador de Potência 69 kV posição operacional 02T4 fase A da Subestação AGL.</t>
  </si>
  <si>
    <t>TR 69/13,8 kV ANGELIM TR4A PE</t>
  </si>
  <si>
    <t>0004036/2023</t>
  </si>
  <si>
    <t>12437502</t>
  </si>
  <si>
    <t>Substituição de 01 (um) Sistema de Selagem do Transformador de Potência 69 kV posição operacional 02T4 fase B da Subestação AGL.</t>
  </si>
  <si>
    <t>0004037/2023</t>
  </si>
  <si>
    <t>12437503</t>
  </si>
  <si>
    <t>Substituição de 01 (um) Sistema de Selagem do Transformador de Potência 500 kV posição operacional 05T1 fase A da Subestação RCD.</t>
  </si>
  <si>
    <t>TR 500/230 kV RECIFE II TR1 PE</t>
  </si>
  <si>
    <t>0004038/2023</t>
  </si>
  <si>
    <t>12437505</t>
  </si>
  <si>
    <t>Substituição de 01 (um) Sistema de Selagem do Transformador de Potência 500 kV posição operacional 05T2 fase A da Subestação RCD.</t>
  </si>
  <si>
    <t>TR 500/230 kV RECIFE II TR2 PE</t>
  </si>
  <si>
    <t>0004039/2023</t>
  </si>
  <si>
    <t>12437506</t>
  </si>
  <si>
    <t>Substituição de 01 (um) Sistema de Selagem do Transformador de Potência 500 kV posição operacional 05T3 fase A da Subestação RCD.</t>
  </si>
  <si>
    <t>0004040/2023</t>
  </si>
  <si>
    <t>12437507</t>
  </si>
  <si>
    <t>Substituição de 01 (um) Sistema de Selagem do Transformador de Potência 230 kV posição operacional 04T1 da Subestação IRE.</t>
  </si>
  <si>
    <t>0004041/2023</t>
  </si>
  <si>
    <t>12437526</t>
  </si>
  <si>
    <t>Substituição de 01 (um) Sistema de Selagem do Transformador de Potência 230 kV posição operacional 04T2 da Subestação SNB.</t>
  </si>
  <si>
    <t>TR 230/138 kV SR.BONFIM II TR3 BA</t>
  </si>
  <si>
    <t>0004042/2023</t>
  </si>
  <si>
    <t>12437527</t>
  </si>
  <si>
    <t>Substituição de 01 (um) Sistema de Selagem do Transformador de Potência 230 kV posição operacional 04T4 da Subestação JZD.</t>
  </si>
  <si>
    <t>TR 230/69 kV JUAZEIRO II TR4 BA</t>
  </si>
  <si>
    <t>0004043/2023</t>
  </si>
  <si>
    <t>12437528</t>
  </si>
  <si>
    <t>Substituição de 01 (um) Sistema de Selagem do Transformador de Potência 500 kV posição operacional 05T7 fase A da Subestação PAQ.</t>
  </si>
  <si>
    <t>0004044/2023</t>
  </si>
  <si>
    <t>12437538</t>
  </si>
  <si>
    <t>Substituição de 01 (um) Sistema de Selagem do Transformador de Potência 500 kV posição operacional 05T7 fase B da Subestação PAQ.</t>
  </si>
  <si>
    <t>0004045/2023</t>
  </si>
  <si>
    <t>12437539</t>
  </si>
  <si>
    <t>Substituição de 01 (um) Sistema de Selagem do Transformador de Potência 500 kV posição operacional 05T7 fase C da Subestação PAQ.</t>
  </si>
  <si>
    <t>0004046/2023</t>
  </si>
  <si>
    <t>12437540</t>
  </si>
  <si>
    <t>Substituição de 01 (um) Sistema de Selagem do Transformador de Potência 500 kV posição operacional 05T8 fase A da Subestação PAQ.</t>
  </si>
  <si>
    <t>0004047/2023</t>
  </si>
  <si>
    <t>12437541</t>
  </si>
  <si>
    <t>Substituição de 01 (um) Sistema de Selagem do Transformador de Potência 500 kV posição operacional 05T8 fase B da Subestação PAQ.</t>
  </si>
  <si>
    <t>0004048/2023</t>
  </si>
  <si>
    <t>12437542</t>
  </si>
  <si>
    <t>Substituição de 01 (um) Sistema de Selagem do Transformador de Potência 500 kV posição operacional 05T8 fase C da Subestação PAQ.</t>
  </si>
  <si>
    <t>0004049/2023</t>
  </si>
  <si>
    <t>12437543</t>
  </si>
  <si>
    <t>Substituição de 01 (um) Sistema de Selagem do Transformador de Potência 500 kV posição operacional 05TR fase M da Subestação PAQ.</t>
  </si>
  <si>
    <t>0004050/2023</t>
  </si>
  <si>
    <t>12437544</t>
  </si>
  <si>
    <t>Substituição de 01 (um) Sistema de Selagem do Transformador de Potência 230 kV posição operacional 04T4 da Subestação BNO.</t>
  </si>
  <si>
    <t>0004051/2023</t>
  </si>
  <si>
    <t>12437552</t>
  </si>
  <si>
    <t>Substituição de 01 (um) Sistema de Selagem do Transformador de Potência 230 kV posição operacional 04T5 da Subestação BNO.</t>
  </si>
  <si>
    <t>0004052/2023</t>
  </si>
  <si>
    <t>12437553</t>
  </si>
  <si>
    <t>Substituição de 01 (um) Sistema de Selagem do Transformador de Potência 230 kV posição operacional 04T6 da Subestação BNO.</t>
  </si>
  <si>
    <t>0004053/2023</t>
  </si>
  <si>
    <t>12437554</t>
  </si>
  <si>
    <t>Substituição de 01 (um) Sistema de Selagem do Transformador de Potência 230 kV posição operacional 04T2 da Subestação ABX.</t>
  </si>
  <si>
    <t>0004054/2023</t>
  </si>
  <si>
    <t>12437556</t>
  </si>
  <si>
    <t>Substituição de 01 (um) Sistema de Selagem do Transformador de Potência 230 kV posição operacional 04T1 da Subestação ZBD.</t>
  </si>
  <si>
    <t>TR 230/69 kV ZEBU TR1 BA</t>
  </si>
  <si>
    <t>0004055/2023</t>
  </si>
  <si>
    <t>12437557</t>
  </si>
  <si>
    <t>Substituição de 01 (um) Sistema de Selagem do Transformador de Potência 230 kV posição operacional 04T2 da Subestação ZBD.</t>
  </si>
  <si>
    <t>TR 230/69 kV ZEBU TR2 BA</t>
  </si>
  <si>
    <t>0004056/2023</t>
  </si>
  <si>
    <t>12437558</t>
  </si>
  <si>
    <t>Substituição de 01 (um) Sistema de Selagem do Transformador de Potência 230 kV posição operacional 04T2 da Subestação CCD.</t>
  </si>
  <si>
    <t>0004057/2023</t>
  </si>
  <si>
    <t>12437559</t>
  </si>
  <si>
    <t>Substituição de 01 (um) Sistema de Selagem do Transformador de Potência 230 kV posição operacional 04T3 da Subestação CCD.</t>
  </si>
  <si>
    <t>TR 230/69 kV CIC. DANTAS TR3 BA</t>
  </si>
  <si>
    <t>0004058/2023</t>
  </si>
  <si>
    <t>12437560</t>
  </si>
  <si>
    <t>Substituição de 01 (um) Sistema de Selagem do Transformador de Potência 230 kV posição operacional 04T4 da Subestação CCD.</t>
  </si>
  <si>
    <t>TR 230/69 kV CIC. DANTAS TR4 BA</t>
  </si>
  <si>
    <t>0004059/2023</t>
  </si>
  <si>
    <t>12437561</t>
  </si>
  <si>
    <t>Substituição de 01 (um) Sistema de Selagem do Transformador de Potência 500 kV posição operacional 05T1 fase A da Subestação CMD.</t>
  </si>
  <si>
    <t>0004060/2023</t>
  </si>
  <si>
    <t>12437567</t>
  </si>
  <si>
    <t>Substituição de 01 (um) Sistema de Selagem do Transformador de Potência 500 kV posição operacional 05T1 fase B da Subestação CMD.</t>
  </si>
  <si>
    <t>0004061/2023</t>
  </si>
  <si>
    <t>12437568</t>
  </si>
  <si>
    <t>Substituição de 01 (um) Sistema de Selagem do Transformador de Potência 500 kV posição operacional 05T1 fase C da Subestação CMD.</t>
  </si>
  <si>
    <t>0004062/2023</t>
  </si>
  <si>
    <t>12437569</t>
  </si>
  <si>
    <t>Substituição de 01 (um) Sistema de Selagem do Transformador de Potência 500 kV posição operacional 05TR fase M da Subestação CMD.</t>
  </si>
  <si>
    <t>0004063/2023</t>
  </si>
  <si>
    <t>12437578</t>
  </si>
  <si>
    <t>Substituição de 01 (um) Sistema de Selagem do Transformador de Potência 500 kV posição operacional 05T2 fase A da Subestação CMD.</t>
  </si>
  <si>
    <t>TR 500/230 kV CAMACARI II TR2 BA</t>
  </si>
  <si>
    <t>0004064/2023</t>
  </si>
  <si>
    <t>12437570</t>
  </si>
  <si>
    <t>Substituição de 01 (um) Sistema de Selagem do Transformador de Potência 500 kV posição operacional 05T2 fase B da Subestação CMD.</t>
  </si>
  <si>
    <t>0004065/2023</t>
  </si>
  <si>
    <t>12437571</t>
  </si>
  <si>
    <t>Substituição de 01 (um) Sistema de Selagem do Transformador de Potência 500 kV posição operacional 05T2 fase C da Subestação CMD.</t>
  </si>
  <si>
    <t>0004066/2023</t>
  </si>
  <si>
    <t>12437572</t>
  </si>
  <si>
    <t>Substituição de 01 (um) Sistema de Selagem do Transformador de Potência 500 kV posição operacional 05T3 fase A da Subestação CMD.</t>
  </si>
  <si>
    <t>TR 500/230 kV CAMACARI II TR3 BA</t>
  </si>
  <si>
    <t>0004067/2023</t>
  </si>
  <si>
    <t>12437573</t>
  </si>
  <si>
    <t>Substituição de 01 (um) Sistema de Selagem do Transformador de Potência 500 kV posição operacional 05T3 fase B da Subestação CMD.</t>
  </si>
  <si>
    <t>0004068/2023</t>
  </si>
  <si>
    <t>12437574</t>
  </si>
  <si>
    <t>Substituição de 01 (um) Sistema de Selagem do Transformador de Potência 500 kV posição operacional 05T4 fase A da Subestação CMD.</t>
  </si>
  <si>
    <t>TR 500/230 kV CAMACARI II TR4 BA</t>
  </si>
  <si>
    <t>0004069/2023</t>
  </si>
  <si>
    <t>12437575</t>
  </si>
  <si>
    <t>Substituição de 01 (um) Sistema de Selagem do Transformador de Potência 500 kV posição operacional 05T4 fase B da Subestação CMD.</t>
  </si>
  <si>
    <t>0004070/2023</t>
  </si>
  <si>
    <t>12437576</t>
  </si>
  <si>
    <t>Substituição de 01 (um) Sistema de Selagem do Transformador de Potência 500 kV posição operacional 05T4 fase C da Subestação CMD.</t>
  </si>
  <si>
    <t>0004071/2023</t>
  </si>
  <si>
    <t>12437577</t>
  </si>
  <si>
    <t>Substituição de 01 (um) Sistema de Selagem do Transformador de Potência 230 kV posição operacional 04T1 da Subestação CTU.</t>
  </si>
  <si>
    <t>0004072/2023</t>
  </si>
  <si>
    <t>12437580</t>
  </si>
  <si>
    <t>Substituição de 01 (um) Sistema de Selagem do Transformador de Potência 230 kV posição operacional 04T2 da Subestação CTU.</t>
  </si>
  <si>
    <t>0004073/2023</t>
  </si>
  <si>
    <t>12437581</t>
  </si>
  <si>
    <t>Substituição de 01 (um) Sistema de Selagem do Transformador de Potência 230 kV posição operacional 04T3 da Subestação CTU.</t>
  </si>
  <si>
    <t>0004074/2023</t>
  </si>
  <si>
    <t>12437582</t>
  </si>
  <si>
    <t>Substituição de 01 (um) Sistema de Selagem do Transformador de Potência 230 kV posição operacional 04T2 da Subestação ENP.</t>
  </si>
  <si>
    <t>TR 230/138 kV EUNAPOLIS TR2 BA</t>
  </si>
  <si>
    <t>0004075/2023</t>
  </si>
  <si>
    <t>12437585</t>
  </si>
  <si>
    <t>Substituição de 01 (um) Sistema de Selagem do Transformador de Potência 230 kV posição operacional 04T3 da Subestação ICA.</t>
  </si>
  <si>
    <t>TR 230/138 kV IBICOARA TR2 BA</t>
  </si>
  <si>
    <t>0004076/2023</t>
  </si>
  <si>
    <t>12437587</t>
  </si>
  <si>
    <t>Substituição de 01 (um) Sistema de Selagem do Transformador de Potência 230 kV posição operacional 04T4 da Subestação ICA.</t>
  </si>
  <si>
    <t>TR 230/138 kV IBICOARA TR3 BA</t>
  </si>
  <si>
    <t>0004077/2023</t>
  </si>
  <si>
    <t>12437588</t>
  </si>
  <si>
    <t>Substituição de 01 (um) Sistema de Selagem do Transformador de Potência 230 kV posição operacional 04T4 da Subestação CTG.</t>
  </si>
  <si>
    <t>0004078/2023</t>
  </si>
  <si>
    <t>12437601</t>
  </si>
  <si>
    <t>Substituição de 01 (um) Sistema de Selagem do Transformador de Potência 230 kV posição operacional 04T2 da Subestação MTT.</t>
  </si>
  <si>
    <t>0004079/2023</t>
  </si>
  <si>
    <t>12437603</t>
  </si>
  <si>
    <t>Substituição do SPCS associado ao disjuntor de transferência 14D1 na subestação DELM. GOUVEIA, por um novo sistema, composto por: 01 painel, 01 unidade de controle e 01 unidade de proteção, 01 falha de disjuntor e cabos de controle associados.</t>
  </si>
  <si>
    <t>0004083/2023</t>
  </si>
  <si>
    <t>11350774</t>
  </si>
  <si>
    <t>B. ESPERANCA</t>
  </si>
  <si>
    <t>Substituição do Sistema de Proteção de 500/230 kV do Trafo 05T1 500/230 kV, na SE B. ESPERANÇA por um novo sistema, composto por: 02 Painéis, 02 Relés de Proteção, 02 Unidades de Controle e 01 Registrador Digital de Perturbação.</t>
  </si>
  <si>
    <t>TR 500/230 kV B. ESPERANCA TR1 PI</t>
  </si>
  <si>
    <t>0004091/2023</t>
  </si>
  <si>
    <t>11355855</t>
  </si>
  <si>
    <t>Substituição do Sistema de Controle e Supervisão do DJ 15D3, 15G3 e seccionadoras associadas na USINA XINGO, composto por: 01 Unidade de Controle.</t>
  </si>
  <si>
    <t>MG USINA XINGO / CCO-2001-061 - RB</t>
  </si>
  <si>
    <t>0004094/2023</t>
  </si>
  <si>
    <t>11354369</t>
  </si>
  <si>
    <t>Substituição do Sistema de Controle e Supervisão do DJ 15D2, 15G2 e seccionadoras associadas na USINA XINGO, composto por: 01 Unidade de Controle.</t>
  </si>
  <si>
    <t>0004096/2023</t>
  </si>
  <si>
    <t>11354367</t>
  </si>
  <si>
    <t>Substituição do Sistema de Controle e Supervisão do DJ 15D5, 15G5, 15V5 e seccionadoras associadas na USINA XINGO, composto por: 01 Unidade de Controle.</t>
  </si>
  <si>
    <t>0004097/2023</t>
  </si>
  <si>
    <t>11354373</t>
  </si>
  <si>
    <t>Substituição do Sistema de Controle e Supervisão do DJ 15D1, 15G1 e seccionadoras associadas na USINA XINGO, composto por: 01 Unidade de Controle.</t>
  </si>
  <si>
    <t>0004098/2023</t>
  </si>
  <si>
    <t>11354365</t>
  </si>
  <si>
    <t>Substituição do Sistema de Controle e Supervisão do DJ 15D6, 15G6, 15V6 e seccionadoras associadas na USINA XINGO, composto por: 01 Unidade de Controle.</t>
  </si>
  <si>
    <t>0004099/2023</t>
  </si>
  <si>
    <t>11354375</t>
  </si>
  <si>
    <t>Substituição do Sistema de Controle e Supervisão do DJ 15D4, 15G4, 15V4 e seccionadoras associadas na USINA XINGO, composto por: 01 Unidade de Controle.</t>
  </si>
  <si>
    <t>0004100/2023</t>
  </si>
  <si>
    <t>11354371</t>
  </si>
  <si>
    <t>Substituição do Sistema de Controle e Supervisão do Serviço Auxiliar na USINA XINGO, composto por: 01 Unidade de Controle.</t>
  </si>
  <si>
    <t>0004101/2023</t>
  </si>
  <si>
    <t>11354363</t>
  </si>
  <si>
    <t>Substituição de 01 (um) conjunto de trocadores de calor água/óleo do Compensador Síncrono posição operacional 01K1 da Subestação CMD.</t>
  </si>
  <si>
    <t>0004102/2023</t>
  </si>
  <si>
    <t>12588837</t>
  </si>
  <si>
    <t>Substituição de 01 (um) conjunto de trocadores de calor água/óleo do Compensador Síncrono posição operacional 01K2 da Subestação CMD.</t>
  </si>
  <si>
    <t>0004103/2023</t>
  </si>
  <si>
    <t>12588838</t>
  </si>
  <si>
    <t>Substituição de 01 (um) Mancal do compensador síncrono posição operacional 01K1 da Subestação IRE.</t>
  </si>
  <si>
    <t>CS 30/-15 MVAr IRECE CS1 BA</t>
  </si>
  <si>
    <t>0004104/2023</t>
  </si>
  <si>
    <t>12588743</t>
  </si>
  <si>
    <t>SUBSTITUIÇÃO DO CUBÍCULO DOS DISJUNTORES 11T3, 11T5, 11T7, 16T3A e 16T3B, 16F1 E CHAVE 31K1-9.</t>
  </si>
  <si>
    <t>0004106/2023</t>
  </si>
  <si>
    <t>12588745</t>
  </si>
  <si>
    <t>Substituição de 01 (um) cubiculo dos TPs do Compensador Síncrono 01K1 da subestação RCD.</t>
  </si>
  <si>
    <t>0004107/2023</t>
  </si>
  <si>
    <t>12588748</t>
  </si>
  <si>
    <t>SUBSTITUIÇÃO DO CUBÍCULO DE ATERRAMENTO DO NEUTRO DO CS 01K1.</t>
  </si>
  <si>
    <t>0004108/2023</t>
  </si>
  <si>
    <t>12588746</t>
  </si>
  <si>
    <t>SUBSTITUIÇÃO DO CUBÍCULO DOS DISJUNTORES 11T4, 11T6, 11T8, 16T3A e 16T3B, 16F2 E CHAVE 31K2-9.</t>
  </si>
  <si>
    <t>0004109/2023</t>
  </si>
  <si>
    <t>12588747</t>
  </si>
  <si>
    <t>SUBSTITUIÇÃO DO CUBÍCULO DE ATERRAMENTO DO NEUTRO DO CS 01K2.</t>
  </si>
  <si>
    <t>0004110/2023</t>
  </si>
  <si>
    <t>12588749</t>
  </si>
  <si>
    <t>SUBSTITUIÇÃO DO TRANSFORMADOR DE SERVIÇO AUXILIAR DE 13,8 kV, POSIÇÃO 01T7 da subestação RCD.</t>
  </si>
  <si>
    <t>0004111/2023</t>
  </si>
  <si>
    <t>11456487</t>
  </si>
  <si>
    <t>SUBSTITUIÇÃO DO TRANSFORMADOR DE SERVIÇO AUXILIAR DE 13,8 kV, POSIÇÃO 01T8 da subestação RCD.</t>
  </si>
  <si>
    <t>0004112/2023</t>
  </si>
  <si>
    <t>11456488</t>
  </si>
  <si>
    <t>Substituição de 01 (um) disjuntor de campo do compensador síncrono posição operacional 72K2 da subestação RCD.</t>
  </si>
  <si>
    <t>0004113/2023</t>
  </si>
  <si>
    <t>12588742</t>
  </si>
  <si>
    <t>Substituição de 12 (doze) TC 13,8 kV do Barramento Blindado do compensador síncrono 01K1 posição operacional TC3, TC4, TC5 e TC6 da Subestação RCD.</t>
  </si>
  <si>
    <t>0004115/2023</t>
  </si>
  <si>
    <t>12588740</t>
  </si>
  <si>
    <t>Substituição de 12 (doze) TC 13,8 kV do Barramento Blindado do compensador síncrono 01K2 posição operacional TC3, TC4, TC5 e TC6 da Subestação RCD.</t>
  </si>
  <si>
    <t>0004116/2023</t>
  </si>
  <si>
    <t>12588741</t>
  </si>
  <si>
    <t>Substituição de 03 (três) TC 13,8 kV de compensador síncrono posição operacional 01K1 fases A, B, C da subestação RCD.</t>
  </si>
  <si>
    <t>0004117/2023</t>
  </si>
  <si>
    <t>12588750</t>
  </si>
  <si>
    <t>Substituição de 03 (três) TC 13,8 kV de compensador síncrono posição operacional 01K2 fases A, B, C da subestação RCD.</t>
  </si>
  <si>
    <t>0004118/2023</t>
  </si>
  <si>
    <t>12588753</t>
  </si>
  <si>
    <t>Substituição de 03 (três) TC do Compensador síncrono 01K1 posição TC7 13,8 kV do cubículo 1.BBA12 fases A, B, C da subestação RCD.</t>
  </si>
  <si>
    <t>0004119/2023</t>
  </si>
  <si>
    <t>12588756</t>
  </si>
  <si>
    <t>Substituição de 03 (três) TC do Compensador síncrono 01K1 posição TC8 13,8 kV do cubículo 1.BBA11 fases A, B, C da subestação RCD.</t>
  </si>
  <si>
    <t>0004120/2023</t>
  </si>
  <si>
    <t>12588759</t>
  </si>
  <si>
    <t>Substituição de 03 (três) TC do Compensador síncrono 01K1 posição TC9 13,8 kV do cubículo 1.BBA1 fases A, B, C da subestação RCD.</t>
  </si>
  <si>
    <t>0004121/2023</t>
  </si>
  <si>
    <t>12588762</t>
  </si>
  <si>
    <t>Substituição de 03 (três) TC do Compensador síncrono 01K1 posição TC10 13,8 kV do cubículo 1.BBA13 fases A, B, C da subestação RCD.</t>
  </si>
  <si>
    <t>0004122/2023</t>
  </si>
  <si>
    <t>12588765</t>
  </si>
  <si>
    <t>Substituição de 03 (três) TC do Compensador síncrono 01K1 posição TC11 13,8 kV do cubículo 1.BAX10 fases A, B, C da subestação RCD.</t>
  </si>
  <si>
    <t>0004123/2023</t>
  </si>
  <si>
    <t>12588768</t>
  </si>
  <si>
    <t>Substituição de 03 (três) TC do Compensador síncrono 01K1 posição TC12 13,8 kV do cubículo 1.BBA12 fases A, B, C da subestação RCD.</t>
  </si>
  <si>
    <t>0004124/2023</t>
  </si>
  <si>
    <t>12588775</t>
  </si>
  <si>
    <t>Substituição de 03 (três) TC do Compensador síncrono 01K1 posição TC13 13,8 kV do cubículo 1.BFT10 fases A, B, C da subestação RCD.</t>
  </si>
  <si>
    <t>0004125/2023</t>
  </si>
  <si>
    <t>12588778</t>
  </si>
  <si>
    <t>Substituição de 03 (três) TC do Compensador síncrono 01K1 posição TC14 13,8 kV do cubículo 1.BBA13 fases A, B, C da subestação RCD.</t>
  </si>
  <si>
    <t>0004126/2023</t>
  </si>
  <si>
    <t>12588781</t>
  </si>
  <si>
    <t>Substituição de 03 (três) TC do Compensador síncrono 01K2 posição TC7 13,8 kV do cubículo 1.BBA12 fases A, B, C da subestação RCD.</t>
  </si>
  <si>
    <t>0004127/2023</t>
  </si>
  <si>
    <t>12588784</t>
  </si>
  <si>
    <t>Substituição de 03 (três) TC do Compensador síncrono 01K2 posição TC8 13,8 kV do cubículo 1.BBA11 fases A, B, C da subestação RCD.</t>
  </si>
  <si>
    <t>0004128/2023</t>
  </si>
  <si>
    <t>12588787</t>
  </si>
  <si>
    <t>Substituição de 03 (três) TC do Compensador síncrono 01K2 posição TC9 13,8 kV do cubículo 1.BBA14 fases A, B, C da subestação RCD.</t>
  </si>
  <si>
    <t>0004129/2023</t>
  </si>
  <si>
    <t>12588790</t>
  </si>
  <si>
    <t>Substituição de 03 (três) TC do Compensador síncrono 01K2 posição TC10 13,8 kV do cubículo 1.BBA13 fases A, B, C da subestação RCD.</t>
  </si>
  <si>
    <t>0004130/2023</t>
  </si>
  <si>
    <t>12588793</t>
  </si>
  <si>
    <t>Substituição de 03 (três) TC do Compensador síncrono 01K2 posição TC11 13,8 kV do cubículo 1.BAX10 fases A, B, C da subestação RCD.</t>
  </si>
  <si>
    <t>0004131/2023</t>
  </si>
  <si>
    <t>12588796</t>
  </si>
  <si>
    <t>Substituição de 03 (três) TC do Compensador síncrono 01K2 posição TC12 13,8 kV do cubículo 1.BBA12 fases A, B, C da subestação RCD.</t>
  </si>
  <si>
    <t>0004132/2023</t>
  </si>
  <si>
    <t>12588799</t>
  </si>
  <si>
    <t>Substituição de 03 (três) TC do Compensador síncrono 01K2 posição TC13 13,8 kV do cubículo 1.BFT10 fases A, B, C da subestação RCD.</t>
  </si>
  <si>
    <t>0004133/2023</t>
  </si>
  <si>
    <t>12588802</t>
  </si>
  <si>
    <t>Substituição de 03 (três) TC do Compensador síncrono 01K2 posição TC14 13,8 kV do cubículo 1.BBA13 fases A, B, C da subestação RCD.</t>
  </si>
  <si>
    <t>0004134/2023</t>
  </si>
  <si>
    <t>12588805</t>
  </si>
  <si>
    <t>Substituição de 01 (um) Sistema de Selagem do Transformador de Potência 230 kV posição operacional 04T2 da Subestação SRD.</t>
  </si>
  <si>
    <t>TR 230/69 kV SANTA RITA II TR2 PB</t>
  </si>
  <si>
    <t>0004135/2023</t>
  </si>
  <si>
    <t>12588880</t>
  </si>
  <si>
    <t>Substituição de 01 (um) Sistema de Selagem do Transformador de Potência 230 kV posição operacional 04T4 da Subestação MCO.</t>
  </si>
  <si>
    <t>0004136/2023</t>
  </si>
  <si>
    <t>12588886</t>
  </si>
  <si>
    <t>Substituição de 01 (um) Sistema de Selagem do Transformador de Potência 230 kV posição operacional 04T2 da Subestação RIB.</t>
  </si>
  <si>
    <t>0004138/2023</t>
  </si>
  <si>
    <t>12588894</t>
  </si>
  <si>
    <t>Substituição de 01 (um) Sistema de Selagem do Transformador de Potência 230 kV posição operacional 04T3 da Subestação RIB.</t>
  </si>
  <si>
    <t>0004139/2023</t>
  </si>
  <si>
    <t>12588896</t>
  </si>
  <si>
    <t>Substituição de 01 (um) Sistema de Selagem do Transformador de Potência 500 kV posição operacional 05T1 fase B da Subestação RCD.</t>
  </si>
  <si>
    <t>0004140/2023</t>
  </si>
  <si>
    <t>12588901</t>
  </si>
  <si>
    <t>Substituição de 01 (um) Sistema de Selagem do Transformador de Potência 500 kV posição operacional 05T1 fase C da Subestação RCD.</t>
  </si>
  <si>
    <t>0004141/2023</t>
  </si>
  <si>
    <t>12588902</t>
  </si>
  <si>
    <t>Substituição de 01 (um) Sistema de Selagem do Transformador de Potência 500 kV posição operacional 05T2 fase B da Subestação RCD.</t>
  </si>
  <si>
    <t>0004142/2023</t>
  </si>
  <si>
    <t>12588904</t>
  </si>
  <si>
    <t>Substituição de 01 (um) Sistema de Selagem do Transformador de Potência 500 kV posição operacional 05T2 fase C da Subestação RCD.</t>
  </si>
  <si>
    <t>0004143/2023</t>
  </si>
  <si>
    <t>12588905</t>
  </si>
  <si>
    <t>Substituição de 01 (um) Sistema de Selagem do Transformador de Potência 500 kV posição operacional 05T3 fase B da Subestação RCD.</t>
  </si>
  <si>
    <t>0004144/2023</t>
  </si>
  <si>
    <t>12588907</t>
  </si>
  <si>
    <t>Substituição de 01 (um) Sistema de Selagem do Transformador de Potência 230 kV posição operacional 04T3 da Subestação CTG.</t>
  </si>
  <si>
    <t>0004145/2023</t>
  </si>
  <si>
    <t>12588940</t>
  </si>
  <si>
    <t>Substituição de 03 (três) TC do Compensador síncrono 01K1 posição TC2 13,8 kV do cubículo 1.400 fases A, B, C da subestação RCD.</t>
  </si>
  <si>
    <t>0004147/2023</t>
  </si>
  <si>
    <t>12588808</t>
  </si>
  <si>
    <t>Substituição de 03 (três) TC do Compensador síncrono 01K2 posição TC2 13,8 kV do cubículo 2.BAA10 fases A, B, C da subestação RCD.</t>
  </si>
  <si>
    <t>0004148/2023</t>
  </si>
  <si>
    <t>12588811</t>
  </si>
  <si>
    <t>Substituição de 01 (um) cubiculo dos TPs do Compensador Síncrono 01K2 da subestação RCD.</t>
  </si>
  <si>
    <t>0004149/2023</t>
  </si>
  <si>
    <t>12588828</t>
  </si>
  <si>
    <t>Substituição de 8 IP por outro de características semelhantes fases A/B/V/R do MBRE7-03.</t>
  </si>
  <si>
    <t>0008988/2023</t>
  </si>
  <si>
    <t>Não disponível</t>
  </si>
  <si>
    <t>LT 230 kV BLUMENAU / JOINVILLE NORTE C-1 SC</t>
  </si>
  <si>
    <t>Substituição de fundações em grelha metálica de vinte e uma torres da LT 230 kV Blumenau - Joinville Norte C-1. As torres envolvidas são as de número de operação: 033, 042, 054, 055, 064, 068, 070, 072, 075, 088, 091, 092, 093, 095, 096, 109, 111, 117, 128, 129, 136.</t>
  </si>
  <si>
    <t>0004150/2023</t>
  </si>
  <si>
    <t>Substituição de cabos contrapesos (aterramento) de vinte e uma torres da LT 230 kV Blumenau - Joinville Norte C-1. As torres envolvidas são as de número de operação: 033, 042, 054, 055, 064, 068, 070, 072, 075, 088, 091, 092, 093, 095, 096, 109, 111, 117, 128, 129, 136.</t>
  </si>
  <si>
    <t>0004151/2023</t>
  </si>
  <si>
    <t>LT 230 kV CURITIBA / JOINVILLE NORTE C-1 PR/SC</t>
  </si>
  <si>
    <t>Substituição de fundações em grelha metálica de uma torre da LT 230 kV Curitiba - Joinville Norte C-1. A torre envolvida é a de número de operação: 025.</t>
  </si>
  <si>
    <t>0004153/2023</t>
  </si>
  <si>
    <t>Substituição de cabos contrapesos (aterramento) de uma torre da LT 230 kV Curitiba - Joinville Norte C-1. A torre envolvida é a de número de operação: 025.</t>
  </si>
  <si>
    <t>0004155/2023</t>
  </si>
  <si>
    <t>TAPE DE JIRAU</t>
  </si>
  <si>
    <t>MODERNIZAÇÃO DOS SERVIÇOS AUXILIARES DE 380V DA SEPV (ANTIGA ELETROSUL) E AUTOMATISMO - GDG, QUADROS, USCA, PAINEIS.</t>
  </si>
  <si>
    <t>MG TAPE DE JIRAU / CCO-2001-058 - RB</t>
  </si>
  <si>
    <t>0004156/2023</t>
  </si>
  <si>
    <t>N-S-ROTJ-MG601-MG230-GGE01</t>
  </si>
  <si>
    <t>LT 230 kV CURITIBA / JOINVILLE C-1 PR/SC</t>
  </si>
  <si>
    <t>Substituição de fundações em grelha metálica de cinco torres da LT 230 kV Curitiba - Joinville C-1. As torres envolvidas são as de número de operação: 008, 013, 024, 031 e 034.</t>
  </si>
  <si>
    <t>0004158/2023</t>
  </si>
  <si>
    <t>0004159/2023</t>
  </si>
  <si>
    <t>N-S-ROPV-MG601-MG230-SSA02</t>
  </si>
  <si>
    <t>Substituição de cabos contrapesos (aterramento) de cinco torres da LT 230 kV Curitiba - Joinville C-1. As torres envolvidas são as de número de operação: 008, 013, 024, 031 e 034.</t>
  </si>
  <si>
    <t>0004160/2023</t>
  </si>
  <si>
    <t>MODERNIZAÇÃO DOS SERVIÇOS AUXILIARES DE 13,8 KV; SUBSTITUIR OS CUBÍCULOS POR OUTRO COMPLETO COM DISJUNTOR E EQUIPAMENTOS DE MEDIÇÕES, CONTROLE E SUPERVISÃO</t>
  </si>
  <si>
    <t>MG 230 kV SAMUEL MG1 RO</t>
  </si>
  <si>
    <t>0004162/2023</t>
  </si>
  <si>
    <t>N-S-ROSM-MG601-MG230-BR201</t>
  </si>
  <si>
    <t>LT 230 kV J.LACERDA-B / SIDEROPOLIS C-2 SC</t>
  </si>
  <si>
    <t>Substituição de fundações em grelha metálica de quatro torres da LT 230 kV J.Lacerda B - Siderópolis C-2. As torres envolvidas são as de número de operação: 038, 041, 043 e 051.</t>
  </si>
  <si>
    <t>0004163/2023</t>
  </si>
  <si>
    <t>Substituição de cabos contrapesos (aterramento) de quatro torres da LT 230 kV J.Lacerda B - Siderópolis C-2. As torres envolvidas são as de número de operação: 038, 041, 043 e 051.</t>
  </si>
  <si>
    <t>0004164/2023</t>
  </si>
  <si>
    <t>SUBSTITUIÇÃO DE 1 (UM) DISJUNTOR 230kV JPDB6-01, ASSOCIADO AO BAY DE INTERLIGAÇÃO DE BARRAS DA SUBESTAÇÃO JI-PARANA</t>
  </si>
  <si>
    <t>0004165/2023</t>
  </si>
  <si>
    <t>N-S-ROJP-MG601-IB230IB1-JPDB601</t>
  </si>
  <si>
    <t>SUBSTITUIÇÃO DE 01 (UM) DISJUNTOR 230kV  JPDJ6-07, ASSOCIADO AO BAY DO AUTOTRANSFORMADOR 01 DA SUBESTAÇÃO JI-PARANÁ</t>
  </si>
  <si>
    <t>TR 230/138 kV JI-PARANA TR1 RO</t>
  </si>
  <si>
    <t>0004166/2023</t>
  </si>
  <si>
    <t>N-S-ROJP-AT601-MC230-JPDJ607</t>
  </si>
  <si>
    <t>LT 230 kV BIGUACU / J.LACERDA-B C-1 SC</t>
  </si>
  <si>
    <t>Substituição de partes aéreas (somente Estruturas) de quatro torres da LT 230 kV Biguaçu - J.Lacerda-B C-1. As torres envolvidas são as de número de operação: 002, 004, 007 e 008.</t>
  </si>
  <si>
    <t>0004167/2023</t>
  </si>
  <si>
    <t>Substituição de cabos contrapesos (aterramento) de quatro torres da LT 230 kV Biguaçu - J.Lacerda-B C-1. As torres envolvidas são as de número de operação: 002, 004, 007 e 008.</t>
  </si>
  <si>
    <t>0004169/2023</t>
  </si>
  <si>
    <t>Substituição da cadeia de proteção de Barras principal, referente às barras A e B de 525 kV da SE Areia, incluindo uma Unidade Central e dez unidades de Bay (vãos TF 2 525/230 kV, LT Ivaiporã C-1, LT Bateias C-1, LT Curitiba C-1, LT Segredo C-1, LT GBMunhoz C-1, LT GBMunhoz C-2, LT Campos Novos C-1, IB DJ1030 e IB DJ1110), painéis e cabos de controle e potência associados.</t>
  </si>
  <si>
    <t>0004178/2023</t>
  </si>
  <si>
    <t>Substituição de 150 km de cabo OPGW com 24 fibras da LT 500 kV SOBRAL III /PECEM II C-1 CE (05V7).</t>
  </si>
  <si>
    <t>0004182/2023</t>
  </si>
  <si>
    <t>11687615</t>
  </si>
  <si>
    <t>Substituição do Sistema de Proteção, Controle e Supervisão (SPCS) dos cubículos e serviços auxiliares CA / CC, da SE Areia, incluindo painéis e cabos associados.</t>
  </si>
  <si>
    <t>0004183/2023</t>
  </si>
  <si>
    <t>Controle - Serv. Aux.</t>
  </si>
  <si>
    <t>Substituição do sistema de controle e supervisão (com unidade redundante) da LT 525 kV Areia - Ivaiporã C-1, incluindo painéis e cabos de controle e potência associados.</t>
  </si>
  <si>
    <t>0004185/2023</t>
  </si>
  <si>
    <t>Substituição do sistema de controle e supervisão (com unidade redundante) da LT 525 kV Areia - Bateias C-1, incluindo painéis e cabos de controle e potência associados.</t>
  </si>
  <si>
    <t>0004193/2023</t>
  </si>
  <si>
    <t>Controle - LT BTA C-1</t>
  </si>
  <si>
    <t>Substituição de Transformadores de Corrente 230 kV referentes a LT Campo Mourão - Apucarana C-1, DJ742, Fases A, B, C. Associado à obra, são esperadas substituições/adaptações de fundações e suportes, caixa de junção, cabos de controle/potência, barramento, conectores e conexão de aterramento. Funções do TC: proteção e medição.</t>
  </si>
  <si>
    <t>LT 230 kV C.MOURAO /APUCARANA C-1 PR</t>
  </si>
  <si>
    <t>0004197/2023</t>
  </si>
  <si>
    <t>Substituição de Retificador (Carregador de Baterias) 125 Vcc - SACC125-RET2, da SE Londrina.</t>
  </si>
  <si>
    <t>0004199/2023</t>
  </si>
  <si>
    <t>SACC125-RET2</t>
  </si>
  <si>
    <t>Substituição de Transformadores de Corrente 230 kV referentes ao Interligador de Barras da SE Campo Mourão, DJ772, Fases A, B, C. Associado à obra, são esperadas substituições/adaptações de fundações e suportes, caixa de junção, cabos de controle/potência, barramento, conectores e conexão de aterramento. Funções do TC: proteção e medição.</t>
  </si>
  <si>
    <t>0004201/2023</t>
  </si>
  <si>
    <t>TC DJ772</t>
  </si>
  <si>
    <t>Substituição do sistema de controle e supervisão (com unidade redundante) da LT 525 kV Areia - Curitiba C-1, incluindo painéis e cabos de controle e potência associados.</t>
  </si>
  <si>
    <t>0004202/2023</t>
  </si>
  <si>
    <t>Controle - LT CBA C-1</t>
  </si>
  <si>
    <t>Substituição das proteções Principal, Alternada e Falha de Disjuntor, referentes à LT 525 kV Areia - Segredo C-1, incluindo painéis e cabos de controle e potência associados.</t>
  </si>
  <si>
    <t>0004205/2023</t>
  </si>
  <si>
    <t>PP, PA, BF - LT SGD C-1</t>
  </si>
  <si>
    <t>Substituição do sistema de controle e supervisão (com unidade redundante) da LT 525 kV Areia - Segredo C-1, incluindo painéis e cabos de controle e potência associados.</t>
  </si>
  <si>
    <t>0004206/2023</t>
  </si>
  <si>
    <t>Substituição das proteções Principal, Alternada e Falha de Disjuntor, referentes à LT 525 kV Areia - G.B.Munhoz C-1, incluindo painéis e cabos de controle e potência associados.</t>
  </si>
  <si>
    <t>0004209/2023</t>
  </si>
  <si>
    <t>PP, PA, BF - LT GBM C-1</t>
  </si>
  <si>
    <t>Substituição do sistema de controle e supervisão (com unidade redundante) da LT 525 kV Areia - G.B.Munhoz C-1, incluindo painéis e cabos de controle e potência associados.</t>
  </si>
  <si>
    <t>0004211/2023</t>
  </si>
  <si>
    <t>Controle - LT GBM C-1</t>
  </si>
  <si>
    <t>Substituição de Transformadores de Corrente 230 kV referentes a LT Campo Mourão - Maringá C-1, DJ762, Fases A, B, C. Associado à obra, são esperadas substituições/adaptações de fundações e suportes, caixa de junção, cabos de controle/potência, barramento, conectores e conexão de aterramento. Funções do TC: proteção e medição.</t>
  </si>
  <si>
    <t>LT 230 kV C.MOURAO /MARINGA C-1 PR</t>
  </si>
  <si>
    <t>0004213/2023</t>
  </si>
  <si>
    <t>Substituição das proteções Principal, Alternada e Falha de Disjuntor, referentes à LT 525 kV Areia - G.B.Munhoz C-2, incluindo painéis e cabos de controle e potência associados.</t>
  </si>
  <si>
    <t>0004214/2023</t>
  </si>
  <si>
    <t>PP, PA, BF - LT GBM C-2</t>
  </si>
  <si>
    <t>Substituição do sistema de controle e supervisão (com unidade redundante) da LT 525 kV Areia - G.B.Munhoz C-2, incluindo painéis e cabos de controle e potência associados.</t>
  </si>
  <si>
    <t>0004217/2023</t>
  </si>
  <si>
    <t>Controle - LT GBM C-2</t>
  </si>
  <si>
    <t>Substituição de Transformadores de Corrente 230 kV referentes a LT Campo Mourão - Salto Osório C-1, DJ732, Fases A, B, C. Associado à obra, são esperadas substituições/adaptações de fundações e suportes, caixa de junção, cabos de controle/potência, barramento, conectores e conexão de aterramento. Funções do TC: proteção e medição.</t>
  </si>
  <si>
    <t>LT 230 kV C.MOURAO /S. OSORIO C-1 PR</t>
  </si>
  <si>
    <t>0004218/2023</t>
  </si>
  <si>
    <t>Substituição de Transformadores de Corrente 230 kV referentes a LT Campo Mourão - Salto Osório C-2, DJ752, Fases A, B, C. Associado à obra, são esperadas substituições/adaptações de fundações e suportes, caixa de junção, cabos de controle/potência, barramento, conectores e conexão de aterramento. Funções do TC: proteção e medição.</t>
  </si>
  <si>
    <t>LT 230 kV C.MOURAO /S. OSORIO C-2 PR</t>
  </si>
  <si>
    <t>0004221/2023</t>
  </si>
  <si>
    <t>Substituição do sistema de controle e supervisão (com unidade redundante) da LT 525 kV Areia - Campos Novos C-1, incluindo painéis e cabos de controle e potência associados.</t>
  </si>
  <si>
    <t>0004227/2023</t>
  </si>
  <si>
    <t>Controle - LT CNO C-1</t>
  </si>
  <si>
    <t>Substituição do sistema de controle e supervisão (com unidade redundante) do Interligador de Barras (IB) 525 kV da SE Areia, DJ1010 (vão entre a LT Segredo C-1 e TF2), incluindo painéis e cabos de controle e potência associados.</t>
  </si>
  <si>
    <t>0004229/2023</t>
  </si>
  <si>
    <t>Substituição do sistema de controle e supervisão (com unidade redundante) do Interligador de Barras (IB) 525 kV da SE Areia, DJ1030 (vão da LT Ivaiporã C-1), incluindo painéis e cabos de controle e potência associados.</t>
  </si>
  <si>
    <t>0004230/2023</t>
  </si>
  <si>
    <t>Substituição da proteção Falha de Disjuntor principal, referente ao Interligador de Barras (IB) 525 kV da SE Areia, DJ1070 (vão entre as LT Bateias C-1 e GBMunhoz C-2), incluindo painéis e cabos de controle e potência associados.</t>
  </si>
  <si>
    <t>0004233/2023</t>
  </si>
  <si>
    <t>Substituição do sistema de controle e supervisão (com unidade redundante) do Interligador de Barras (IB) 525 kV da SE Areia, DJ1070  (vão entre as LT Bateias C-1 e GBMunhoz C-2), incluindo painéis e cabos de controle e potência associados.</t>
  </si>
  <si>
    <t>0004234/2023</t>
  </si>
  <si>
    <t>Substituição da proteção Falha de Disjuntor principal, referente ao Interligador de Barras (IB) 525 kV da SE Areia, DJ1090 (vão entre as LT Curitiba C-1 e GBMunhoz C-1), incluindo painéis e cabos de controle e potência associados.</t>
  </si>
  <si>
    <t>0004235/2023</t>
  </si>
  <si>
    <t>BF - DJ1090</t>
  </si>
  <si>
    <t>Substituição do sistema de controle e supervisão (com unidade redundante) do Interligador de Barras (IB) 525 kV da SE Areia, DJ1090  (vão entre as LT Curitiba C-1 e GBMunhoz C-1), incluindo painéis e cabos de controle e potência associados.</t>
  </si>
  <si>
    <t>0004236/2023</t>
  </si>
  <si>
    <t>Substituição da proteção Falha de Disjuntor principal, referente ao Interligador de Barras (IB) 525 kV da SE Areia, DJ1110 (vão da LT C. Novos C-1), incluindo painéis e cabos de controle e potência associados.</t>
  </si>
  <si>
    <t>0004238/2023</t>
  </si>
  <si>
    <t>BF - DJ1110</t>
  </si>
  <si>
    <t>Substituição do sistema de controle e supervisão (com unidade redundante) do Interligador de Barras (IB) 525 kV da SE Areia, DJ1110  (vão da LT C. Novos C-1), incluindo painéis e cabos de controle e potência associados.</t>
  </si>
  <si>
    <t>0004240/2023</t>
  </si>
  <si>
    <t>Controle - DJ1110</t>
  </si>
  <si>
    <t>Substituição das proteções Principal e Alternada, referentes a LT 230 kV Areia - São Mateus do Sul C-1, incluindo painéis e cabos de controle e potência associados.</t>
  </si>
  <si>
    <t>0004241/2023</t>
  </si>
  <si>
    <t>PP, PA - LT SMS C-1</t>
  </si>
  <si>
    <t>Substituição do sistema de controle e supervisão (com unidade redundante) do TR2 525/230 kV da SE Areia, lado de 525 kV, incluindo painéis e cabos de controle e potência associados.</t>
  </si>
  <si>
    <t>0004244/2023</t>
  </si>
  <si>
    <t>Controle - TF2 525</t>
  </si>
  <si>
    <t>Substituição de Chave Seccionadora tripolar 138 kV, CS643, referente ao TR3 230/138 kV da SE Itajaí. Associado à obra são esperadas substituições/adaptações de fundações, suportes, cabos de controle/potência, barramento, conectores e conexão de aterramento.</t>
  </si>
  <si>
    <t>0004245/2023</t>
  </si>
  <si>
    <t>Substituição de 01 (uma) Seccionadora 230 kV posição operacional 34C8-1 da Subestação CMD.</t>
  </si>
  <si>
    <t>EL 230 kV CAMACARI II LT 230 kV CAMACARI II /CARAIBAS C-1 BA (14C8)</t>
  </si>
  <si>
    <t>0004258/2023</t>
  </si>
  <si>
    <t>11334060</t>
  </si>
  <si>
    <t>Substituição de 01 (uma) Seccionadora 230 kV posição operacional 34C8-2 da Subestação CMD.</t>
  </si>
  <si>
    <t>0004260/2023</t>
  </si>
  <si>
    <t>11334068</t>
  </si>
  <si>
    <t>Substituição de 01 (uma) Seccionadora 230 kV posição operacional 34C8-4 da Subestação CMD.</t>
  </si>
  <si>
    <t>0004261/2023</t>
  </si>
  <si>
    <t>11333740</t>
  </si>
  <si>
    <t>Substituição de 01 (uma) Seccionadora 230 kV posição operacional 34C8-5 da Subestação CMD.</t>
  </si>
  <si>
    <t>0004263/2023</t>
  </si>
  <si>
    <t>11333543</t>
  </si>
  <si>
    <t>Substituição de 01 (uma) Seccionadora 230 kV posição operacional 34C8-6 da Subestação CMD.</t>
  </si>
  <si>
    <t>0004264/2023</t>
  </si>
  <si>
    <t>11333741</t>
  </si>
  <si>
    <t>Substituição de 01 (uma) Seccionadora 230 kV posição operacional 34D2-1 da Subestação CMD.</t>
  </si>
  <si>
    <t>0004265/2023</t>
  </si>
  <si>
    <t>11338258</t>
  </si>
  <si>
    <t>Substituição de 01 (uma) Seccionadora 230 kV posição operacional 34D2-2 da Subestação CMD.</t>
  </si>
  <si>
    <t>0004267/2023</t>
  </si>
  <si>
    <t>11338259</t>
  </si>
  <si>
    <t>Substituição de 01 (uma) Seccionadora 230 kV posição operacional 34M7-1 da Subestação CMD.</t>
  </si>
  <si>
    <t>0004268/2023</t>
  </si>
  <si>
    <t>11334070</t>
  </si>
  <si>
    <t>Substituição de 01 (uma) Seccionadora 230 kV posição operacional 34M7-2 da Subestação CMD.</t>
  </si>
  <si>
    <t>0004270/2023</t>
  </si>
  <si>
    <t>11334071</t>
  </si>
  <si>
    <t>Substituição de 01 (uma) Seccionadora 230 kV posição operacional 34M7-4 da Subestação CMD.</t>
  </si>
  <si>
    <t>0004271/2023</t>
  </si>
  <si>
    <t>11333745</t>
  </si>
  <si>
    <t>Substituição de 01 (uma) Seccionadora 230 kV posição operacional 34M7-5 da Subestação CMD.</t>
  </si>
  <si>
    <t>0004274/2023</t>
  </si>
  <si>
    <t>11333545</t>
  </si>
  <si>
    <t>Substituição de 01 (uma) Seccionadora 230 kV posição operacional 34M7-6 da Subestação CMD.</t>
  </si>
  <si>
    <t>0004275/2023</t>
  </si>
  <si>
    <t>11333746</t>
  </si>
  <si>
    <t>Substituição de 01 (uma) Seccionadora 230 kV posição operacional 34N2-1 da Subestação CMD.</t>
  </si>
  <si>
    <t>EL 230 kV CAMACARI II LT 230 kV CAMACARI II /BRASKEM C-2 BA (14N2)</t>
  </si>
  <si>
    <t>0004277/2023</t>
  </si>
  <si>
    <t>11334075</t>
  </si>
  <si>
    <t>Substituição de 01 (uma) Seccionadora 230 kV posição operacional 34N2-2 da Subestação CMD.</t>
  </si>
  <si>
    <t>0004278/2023</t>
  </si>
  <si>
    <t>11334076</t>
  </si>
  <si>
    <t>Substituição de 01 (uma) Seccionadora 230 kV posição operacional 34N2-4 da Subestação CMD.</t>
  </si>
  <si>
    <t>0004279/2023</t>
  </si>
  <si>
    <t>11333749</t>
  </si>
  <si>
    <t>Substituição de 01 (uma) Seccionadora 230 kV posição operacional 34N2-5 da Subestação CMD.</t>
  </si>
  <si>
    <t>0004281/2023</t>
  </si>
  <si>
    <t>11333547</t>
  </si>
  <si>
    <t>Substituição de 01 (uma) Seccionadora 230 kV posição operacional 34N2-6 da Subestação CMD.</t>
  </si>
  <si>
    <t>0004282/2023</t>
  </si>
  <si>
    <t>11333750</t>
  </si>
  <si>
    <t>Substituição de 01 (uma) Seccionadora 230 kV posição operacional 34T1-1A da Subestação CMD.</t>
  </si>
  <si>
    <t>0004284/2023</t>
  </si>
  <si>
    <t>11334079</t>
  </si>
  <si>
    <t>Substituição de 01 (uma) Seccionadora 230 kV posição operacional 34T1-1B da Subestação CMD.</t>
  </si>
  <si>
    <t>0004285/2023</t>
  </si>
  <si>
    <t>11334080</t>
  </si>
  <si>
    <t>Substituição de 01 (uma) Seccionadora 230 kV posição operacional 34T1-2A da Subestação CMD.</t>
  </si>
  <si>
    <t>0004287/2023</t>
  </si>
  <si>
    <t>11335070</t>
  </si>
  <si>
    <t>Substituição de 01 (uma) Seccionadora 230 kV posição operacional 34T1-2B da Subestação CMD.</t>
  </si>
  <si>
    <t>0004288/2023</t>
  </si>
  <si>
    <t>11335071</t>
  </si>
  <si>
    <t>Substituição de 01 (uma) Seccionadora 230 kV posição operacional 34T1-5A da Subestação CMD.</t>
  </si>
  <si>
    <t>0004290/2023</t>
  </si>
  <si>
    <t>11333754</t>
  </si>
  <si>
    <t>Substituição de 01 (uma) Seccionadora 230 kV posição operacional 34T1-5B da Subestação CMD.</t>
  </si>
  <si>
    <t>0004291/2023</t>
  </si>
  <si>
    <t>11333548</t>
  </si>
  <si>
    <t>Substituição de 01 (uma) Seccionadora 230 kV posição operacional 34T2-1A da Subestação CMD.</t>
  </si>
  <si>
    <t>0004292/2023</t>
  </si>
  <si>
    <t>11333755</t>
  </si>
  <si>
    <t>Substituição de 01 (uma) Seccionadora 230 kV posição operacional 34T2-1B da Subestação CMD.</t>
  </si>
  <si>
    <t>0004293/2023</t>
  </si>
  <si>
    <t>11333756</t>
  </si>
  <si>
    <t>Substituição de 01 (uma) Seccionadora 230 kV posição operacional 34T2-2A da Subestação CMD.</t>
  </si>
  <si>
    <t>0004294/2023</t>
  </si>
  <si>
    <t>11334081</t>
  </si>
  <si>
    <t>Substituição de 01 (uma) Seccionadora 230 kV posição operacional 34T2-2B da Subestação CMD.</t>
  </si>
  <si>
    <t>0004296/2023</t>
  </si>
  <si>
    <t>11338260</t>
  </si>
  <si>
    <t>Substituição de 01 (uma) Seccionadora 230 kV posição operacional 34T2-5A da Subestação CMD.</t>
  </si>
  <si>
    <t>0004297/2023</t>
  </si>
  <si>
    <t>11339941</t>
  </si>
  <si>
    <t>Substituição de 01 (uma) Seccionadora 230 kV posição operacional 34T2-5B da Subestação CMD.</t>
  </si>
  <si>
    <t>0004298/2023</t>
  </si>
  <si>
    <t>11333549</t>
  </si>
  <si>
    <t>Substituição de 01 (uma) Seccionadora 230 kV posição operacional 34T3-1A da Subestação CMD.</t>
  </si>
  <si>
    <t>0004300/2023</t>
  </si>
  <si>
    <t>11338257</t>
  </si>
  <si>
    <t>Substituição de 01 (uma) Seccionadora 230 kV posição operacional 34T3-1B da Subestação CMD.</t>
  </si>
  <si>
    <t>0004301/2023</t>
  </si>
  <si>
    <t>11338261</t>
  </si>
  <si>
    <t>Substituição de 01 (uma) Seccionadora 230 kV posição operacional 34T3-2A da Subestação CMD.</t>
  </si>
  <si>
    <t>0004303/2023</t>
  </si>
  <si>
    <t>11338262</t>
  </si>
  <si>
    <t>Substituição de 01 (uma) Seccionadora 230 kV posição operacional 34T3-2B da Subestação CMD.</t>
  </si>
  <si>
    <t>0004304/2023</t>
  </si>
  <si>
    <t>11338966</t>
  </si>
  <si>
    <t>Substituição de 01 (uma) Seccionadora 230 kV posição operacional 34T3-5B da Subestação CMD.</t>
  </si>
  <si>
    <t>0004305/2023</t>
  </si>
  <si>
    <t>11338263</t>
  </si>
  <si>
    <t>Substituição de 01 (uma) Seccionadora 230 kV posição operacional 34T6-1 da Subestação CMD.</t>
  </si>
  <si>
    <t>TR 230/69 kV CAMACARI II TR6 BA</t>
  </si>
  <si>
    <t>0004307/2023</t>
  </si>
  <si>
    <t>11334082</t>
  </si>
  <si>
    <t>Substituição de 01 (uma) Seccionadora 230 kV posição operacional 34T6-2 da Subestação CMD.</t>
  </si>
  <si>
    <t>0004308/2023</t>
  </si>
  <si>
    <t>11334083</t>
  </si>
  <si>
    <t>Substituição de 01 (uma) Seccionadora 230 kV posição operacional 34T6-4 da Subestação CMD.</t>
  </si>
  <si>
    <t>0004310/2023</t>
  </si>
  <si>
    <t>11333757</t>
  </si>
  <si>
    <t>Substituição de 01 (uma) Seccionadora 230 kV posição operacional 34T6-5 da Subestação CMD.</t>
  </si>
  <si>
    <t>0004311/2023</t>
  </si>
  <si>
    <t>11333758</t>
  </si>
  <si>
    <t>Substituição de 01 (uma) Seccionadora 230 kV posição operacional 34T6-6 da Subestação CMD.</t>
  </si>
  <si>
    <t>0004313/2023</t>
  </si>
  <si>
    <t>11333759</t>
  </si>
  <si>
    <t>Substituição de 01 (uma) Seccionadora 69 kV posição operacional 32BP-2 da Subestação CTG.</t>
  </si>
  <si>
    <t>0004314/2023</t>
  </si>
  <si>
    <t>11338862</t>
  </si>
  <si>
    <t>Substituição de 01 (uma) Seccionadora 69 kV posição operacional 32C1-4 da Subestação CTG.</t>
  </si>
  <si>
    <t>EL 69 kV COTEGIPE MILLENIUM 02C1 (12C1)</t>
  </si>
  <si>
    <t>0004315/2023</t>
  </si>
  <si>
    <t>11339928</t>
  </si>
  <si>
    <t>Substituição de 01 (uma) Seccionadora 69 kV posição operacional 32C1-5 da Subestação CTG.</t>
  </si>
  <si>
    <t>0004317/2023</t>
  </si>
  <si>
    <t>11339929</t>
  </si>
  <si>
    <t>Substituição de 01 (uma) Seccionadora 69 kV posição operacional 32C1-6 da Subestação CTG.</t>
  </si>
  <si>
    <t>0004318/2023</t>
  </si>
  <si>
    <t>11333881</t>
  </si>
  <si>
    <t>Substituição de 01 (uma) Seccionadora 69 kV posição operacional 32C2-4 da Subestação CTG.</t>
  </si>
  <si>
    <t>EL 69 kV COTEGIPE MILLENIUM 02C2 (12C2)</t>
  </si>
  <si>
    <t>0004320/2023</t>
  </si>
  <si>
    <t>11339930</t>
  </si>
  <si>
    <t>Substituição de 01 (uma) Seccionadora 69 kV posição operacional 32C2-5 da Subestação CTG.</t>
  </si>
  <si>
    <t>0004321/2023</t>
  </si>
  <si>
    <t>11340025</t>
  </si>
  <si>
    <t>Substituição de 01 (uma) Seccionadora 69 kV posição operacional 32C2-6 da Subestação CTG.</t>
  </si>
  <si>
    <t>0004323/2023</t>
  </si>
  <si>
    <t>11333882</t>
  </si>
  <si>
    <t>Substituição de 01 (uma) Seccionadora 69 kV posição operacional 32D2-1 da Subestação CTG.</t>
  </si>
  <si>
    <t>IB 69 kV MG 230 kV COTEGIPE MG1 BA IB2 (12D2)</t>
  </si>
  <si>
    <t>0004324/2023</t>
  </si>
  <si>
    <t>11340022</t>
  </si>
  <si>
    <t>Substituição de 01 (uma) Seccionadora 69 kV posição operacional 32D2-2 da Subestação CTG.</t>
  </si>
  <si>
    <t>0004326/2023</t>
  </si>
  <si>
    <t>11340023</t>
  </si>
  <si>
    <t>Substituição de 01 (uma) Seccionadora 69 kV posição operacional 32H1-4 da Subestação CTG.</t>
  </si>
  <si>
    <t>MC 69 kV BC 69 kV 20,3 Mvar COTEGIPE BC1 BA (12H1)</t>
  </si>
  <si>
    <t>0004327/2023</t>
  </si>
  <si>
    <t>11339249</t>
  </si>
  <si>
    <t>Substituição de 01 (uma) Seccionadora 69 kV posição operacional 32H1-7 da Subestação CTG.</t>
  </si>
  <si>
    <t>0004329/2023</t>
  </si>
  <si>
    <t>11343736</t>
  </si>
  <si>
    <t>Substituição de 01 (uma) Seccionadora 69 kV posição operacional 32H2-4 da Subestação CTG.</t>
  </si>
  <si>
    <t>MC 69 kV BC 69 kV 27,1 Mvar COTEGIPE BC2 BA (12H2)</t>
  </si>
  <si>
    <t>0004330/2023</t>
  </si>
  <si>
    <t>11333878</t>
  </si>
  <si>
    <t>Substituição de 01 (uma) Seccionadora 69 kV posição operacional 32H2-7 da Subestação CTG.</t>
  </si>
  <si>
    <t>0004332/2023</t>
  </si>
  <si>
    <t>11343737</t>
  </si>
  <si>
    <t>Substituição de 01 (uma) Seccionadora 69 kV posição operacional 32J3-4 da Subestação CTG.</t>
  </si>
  <si>
    <t>EL 69 kV COTEGIPE CAMACARI I 02J3 (12J3)</t>
  </si>
  <si>
    <t>0004333/2023</t>
  </si>
  <si>
    <t>11338546</t>
  </si>
  <si>
    <t>Substituição de 01 (uma) Seccionadora 69 kV posição operacional 32J3-5 da Subestação CTG.</t>
  </si>
  <si>
    <t>0004335/2023</t>
  </si>
  <si>
    <t>11338547</t>
  </si>
  <si>
    <t>Substituição de 01 (uma) Seccionadora 69 kV posição operacional 32J3-6 da Subestação CTG.</t>
  </si>
  <si>
    <t>0004336/2023</t>
  </si>
  <si>
    <t>11338915</t>
  </si>
  <si>
    <t>Substituição de 01 (uma) Seccionadora 69 kV posição operacional 32J4-4 da Subestação CTG.</t>
  </si>
  <si>
    <t>EL 69 kV COTEGIPE CAMACARI I 02J4 (12J4)</t>
  </si>
  <si>
    <t>0004338/2023</t>
  </si>
  <si>
    <t>11338548</t>
  </si>
  <si>
    <t>Substituição de 01 (uma) Seccionadora 69 kV posição operacional 32J4-5 da Subestação CTG.</t>
  </si>
  <si>
    <t>0004339/2023</t>
  </si>
  <si>
    <t>11338549</t>
  </si>
  <si>
    <t>Substituição de 01 (uma) Seccionadora 69 kV posição operacional 32J4-6 da Subestação CTG.</t>
  </si>
  <si>
    <t>0004340/2023</t>
  </si>
  <si>
    <t>11338916</t>
  </si>
  <si>
    <t>Substituição de 01 (uma) Seccionadora 69 kV posição operacional 32J5-4 da Subestação CTG.</t>
  </si>
  <si>
    <t>EL 69 kV COTEGIPE LT 69 kV CATU /COTEGIPE C-1 BA (12J5)</t>
  </si>
  <si>
    <t>0004342/2023</t>
  </si>
  <si>
    <t>11338550</t>
  </si>
  <si>
    <t>Substituição de 01 (uma) Seccionadora 69 kV posição operacional 32J5-5 da Subestação CTG.</t>
  </si>
  <si>
    <t>0004343/2023</t>
  </si>
  <si>
    <t>11338551</t>
  </si>
  <si>
    <t>Substituição de 01 (uma) Seccionadora 69 kV posição operacional 32J5-6 da Subestação CTG.</t>
  </si>
  <si>
    <t>0004345/2023</t>
  </si>
  <si>
    <t>11338917</t>
  </si>
  <si>
    <t>Substituição de 01 (uma) Seccionadora 69 kV posição operacional 32L1-6 da Subestação CTG.</t>
  </si>
  <si>
    <t>EL 69 kV COTEGIPE CIM-ARATU 02L1 (12L1)</t>
  </si>
  <si>
    <t>0004346/2023</t>
  </si>
  <si>
    <t>11339927</t>
  </si>
  <si>
    <t>Substituição de 01 (uma) Seccionadora 69 kV posição operacional 32L2-4 da Subestação CTG.</t>
  </si>
  <si>
    <t>EL 69 kV COTEGIPE PARIPE 02L2 (12L2)</t>
  </si>
  <si>
    <t>0004348/2023</t>
  </si>
  <si>
    <t>11339926</t>
  </si>
  <si>
    <t>Substituição de 01 (uma) Seccionadora 69 kV posição operacional 32L3-5 da Subestação CTG.</t>
  </si>
  <si>
    <t>EL 69 kV COTEGIPE EMBASA 02L3 (12L3)</t>
  </si>
  <si>
    <t>0004349/2023</t>
  </si>
  <si>
    <t>11338861</t>
  </si>
  <si>
    <t>Substituição de 01 (uma) Seccionadora 69 kV posição operacional 32L3-6 da Subestação CTG.</t>
  </si>
  <si>
    <t>0004351/2023</t>
  </si>
  <si>
    <t>11339992</t>
  </si>
  <si>
    <t>Substituição de 01 (uma) Seccionadora 69 kV posição operacional 32T4-4 da Subestação CTG.</t>
  </si>
  <si>
    <t>0004352/2023</t>
  </si>
  <si>
    <t>11340024</t>
  </si>
  <si>
    <t>Substituição de 01 (uma) Seccionadora 69 kV posição operacional 32T4-5 da Subestação CTG.</t>
  </si>
  <si>
    <t>0004353/2023</t>
  </si>
  <si>
    <t>11338864</t>
  </si>
  <si>
    <t>Substituição de 01 (uma) Seccionadora 69 kV posição operacional 32T4-6 da Subestação CTG.</t>
  </si>
  <si>
    <t>0004355/2023</t>
  </si>
  <si>
    <t>11338865</t>
  </si>
  <si>
    <t>Substituição de 01 (uma) Seccionadora 69 kV posição operacional 32T8-4 da Subestação CTG.</t>
  </si>
  <si>
    <t>0004356/2023</t>
  </si>
  <si>
    <t>11338552</t>
  </si>
  <si>
    <t>Substituição de 01 (uma) Seccionadora 69 kV posição operacional 32T8-5 da Subestação CTG.</t>
  </si>
  <si>
    <t>0004358/2023</t>
  </si>
  <si>
    <t>11338553</t>
  </si>
  <si>
    <t>Substituição de 01 (uma) Seccionadora 69 kV posição operacional 32T8-6 da Subestação CTG.</t>
  </si>
  <si>
    <t>0004359/2023</t>
  </si>
  <si>
    <t>11338918</t>
  </si>
  <si>
    <t>Substituição de 01 (uma) Seccionadora 69 kV posição operacional 32A1-8 da Subestação CTU.</t>
  </si>
  <si>
    <t>0004361/2023</t>
  </si>
  <si>
    <t>11339951</t>
  </si>
  <si>
    <t>Substituição de 01 (uma) Seccionadora 69 kV posição operacional 32A2-8 da Subestação CTU.</t>
  </si>
  <si>
    <t>0004362/2023</t>
  </si>
  <si>
    <t>11333869</t>
  </si>
  <si>
    <t>Substituição de 01 (uma) Seccionadora 69 kV posição operacional 32J5-4 da Subestação CTU.</t>
  </si>
  <si>
    <t>0004364/2023</t>
  </si>
  <si>
    <t>11339948</t>
  </si>
  <si>
    <t>Substituição de 01 (uma) Seccionadora 69 kV posição operacional 32J5-5 da Subestação CTU.</t>
  </si>
  <si>
    <t>0004365/2023</t>
  </si>
  <si>
    <t>11339949</t>
  </si>
  <si>
    <t>Substituição de 01 (uma) Seccionadora 69 kV posição operacional 32J6-4 da Subestação CTU.</t>
  </si>
  <si>
    <t>0004366/2023</t>
  </si>
  <si>
    <t>11333876</t>
  </si>
  <si>
    <t>Substituição de 01 (uma) Seccionadora 69 kV posição operacional 32J6-5 da Subestação CTU.</t>
  </si>
  <si>
    <t>0004368/2023</t>
  </si>
  <si>
    <t>11339950</t>
  </si>
  <si>
    <t>Substituição de 01 (uma) Seccionadora 69 kV posição operacional 32V2-4 da Subestação CTU.</t>
  </si>
  <si>
    <t>0004369/2023</t>
  </si>
  <si>
    <t>11339944</t>
  </si>
  <si>
    <t>Substituição de 01 (uma) Seccionadora 69 kV posição operacional 32V2-5 da Subestação CTU.</t>
  </si>
  <si>
    <t>0004371/2023</t>
  </si>
  <si>
    <t>11333870</t>
  </si>
  <si>
    <t>Substituição de 01 (uma) Seccionadora 69 kV posição operacional 32V3-4 da Subestação CTU.</t>
  </si>
  <si>
    <t>0004372/2023</t>
  </si>
  <si>
    <t>11339945</t>
  </si>
  <si>
    <t>Substituição de 01 (uma) Seccionadora 69 kV posição operacional 32V3-5 da Subestação CTU.</t>
  </si>
  <si>
    <t>0004374/2023</t>
  </si>
  <si>
    <t>11339946</t>
  </si>
  <si>
    <t>Substituição de 01 (uma) Seccionadora 69 kV posição operacional 32V4-4 da Subestação CTU.</t>
  </si>
  <si>
    <t>0004375/2023</t>
  </si>
  <si>
    <t>11333871</t>
  </si>
  <si>
    <t>Substituição de 01 (uma) Seccionadora 69 kV posição operacional 32V4-5 da Subestação CTU.</t>
  </si>
  <si>
    <t>0004377/2023</t>
  </si>
  <si>
    <t>11333872</t>
  </si>
  <si>
    <t>Substituição de 01 (uma) Seccionadora 69 kV posição operacional 32V5-4 da Subestação CTU.</t>
  </si>
  <si>
    <t>0004378/2023</t>
  </si>
  <si>
    <t>11333873</t>
  </si>
  <si>
    <t>Substituição de 01 (uma) Seccionadora 69 kV posição operacional 32V5-5 da Subestação CTU.</t>
  </si>
  <si>
    <t>0004380/2023</t>
  </si>
  <si>
    <t>11339947</t>
  </si>
  <si>
    <t>Substituição de 01 (uma) Seccionadora 69 kV posição operacional 32V6-4 da Subestação CTU.</t>
  </si>
  <si>
    <t>0004381/2023</t>
  </si>
  <si>
    <t>11333874</t>
  </si>
  <si>
    <t>Substituição de 01 (uma) Seccionadora 69 kV posição operacional 32V6-5 da Subestação CTU.</t>
  </si>
  <si>
    <t>0004382/2023</t>
  </si>
  <si>
    <t>11333875</t>
  </si>
  <si>
    <t>Substituição de 01 (uma) Seccionadora 230 kV posição operacional 34L4-4 da Subestação MTT.</t>
  </si>
  <si>
    <t>0004383/2023</t>
  </si>
  <si>
    <t>11334563</t>
  </si>
  <si>
    <t>Substituição de 01 (uma) Seccionadora 230 kV posição operacional 34L4-5 da Subestação MTT.</t>
  </si>
  <si>
    <t>0004384/2023</t>
  </si>
  <si>
    <t>11334564</t>
  </si>
  <si>
    <t>Substituição de 01 (uma) Seccionadora 230 kV posição operacional 34L4-6 da Subestação MTT.</t>
  </si>
  <si>
    <t>0004385/2023</t>
  </si>
  <si>
    <t>11334552</t>
  </si>
  <si>
    <t>Substituição de 01 (uma) Seccionadora 230 kV posição operacional 34M7-4 da Subestação MTT.</t>
  </si>
  <si>
    <t>0004386/2023</t>
  </si>
  <si>
    <t>11334553</t>
  </si>
  <si>
    <t>Substituição de 01 (uma) Seccionadora 230 kV posição operacional 34M7-5 da Subestação MTT.</t>
  </si>
  <si>
    <t>0004387/2023</t>
  </si>
  <si>
    <t>11334554</t>
  </si>
  <si>
    <t>Substituição de 01 (uma) Seccionadora 230 kV posição operacional 34M7-6 da Subestação MTT.</t>
  </si>
  <si>
    <t>0004388/2023</t>
  </si>
  <si>
    <t>11334555</t>
  </si>
  <si>
    <t>Substituição de 01 (uma) Seccionadora 230 kV posição operacional 34C1-4 da Subestação PRD.</t>
  </si>
  <si>
    <t>LT 230 kV RECIFE II /PIRAPAMA II C-2 PE</t>
  </si>
  <si>
    <t>0004389/2023</t>
  </si>
  <si>
    <t>11334534</t>
  </si>
  <si>
    <t>Substituição de 01 (uma) Seccionadora 230 kV posição operacional 34C1-5 da Subestação PRD.</t>
  </si>
  <si>
    <t>0004390/2023</t>
  </si>
  <si>
    <t>11338951</t>
  </si>
  <si>
    <t>Substituição de 01 (uma) Seccionadora 230 kV posição operacional 34C1-6 da Subestação PRD.</t>
  </si>
  <si>
    <t>0004391/2023</t>
  </si>
  <si>
    <t>11338952</t>
  </si>
  <si>
    <t>Substituição de 01 (uma) Seccionadora 230 kV posição operacional 34D1-1 da Subestação PRD.</t>
  </si>
  <si>
    <t>0004392/2023</t>
  </si>
  <si>
    <t>11335149</t>
  </si>
  <si>
    <t>Substituição de 01 (uma) Seccionadora 230 kV posição operacional 34J2-4 da Subestação PRD.</t>
  </si>
  <si>
    <t>LT 230 kV JABOATAO II /PIRAPAMA II C-1 PE</t>
  </si>
  <si>
    <t>0004393/2023</t>
  </si>
  <si>
    <t>11334535</t>
  </si>
  <si>
    <t>Substituição de 01 (uma) Seccionadora 230 kV posição operacional 34J2-5 da Subestação PRD.</t>
  </si>
  <si>
    <t>0004394/2023</t>
  </si>
  <si>
    <t>11335571</t>
  </si>
  <si>
    <t>Substituição de 01 (uma) Seccionadora 230 kV posição operacional 34J2-6 da Subestação PRD.</t>
  </si>
  <si>
    <t>0004395/2023</t>
  </si>
  <si>
    <t>11335572</t>
  </si>
  <si>
    <t>Substituição de 01 (uma) Seccionadora 230 kV posição operacional 34S1-4 da Subestação PRD.</t>
  </si>
  <si>
    <t>EL 230 kV PIRAPAMA II LANXES (14S1)</t>
  </si>
  <si>
    <t>0004396/2023</t>
  </si>
  <si>
    <t>11334536</t>
  </si>
  <si>
    <t>Substituição de 01 (uma) Seccionadora 230 kV posição operacional 34S1-6 da Subestação PRD.</t>
  </si>
  <si>
    <t>0004397/2023</t>
  </si>
  <si>
    <t>11338929</t>
  </si>
  <si>
    <t>Substituição de 01 (uma) Seccionadora 230 kV posição operacional 34T1-4 da Subestação PRD.</t>
  </si>
  <si>
    <t>0004398/2023</t>
  </si>
  <si>
    <t>11338808</t>
  </si>
  <si>
    <t>Substituição de 01 (uma) Seccionadora 230 kV posição operacional 34T1-5 da Subestação PRD.</t>
  </si>
  <si>
    <t>0004399/2023</t>
  </si>
  <si>
    <t>11338038</t>
  </si>
  <si>
    <t>Substituição de 01 (uma) Seccionadora 230 kV posição operacional 34T1-6 da Subestação PRD.</t>
  </si>
  <si>
    <t>0004400/2023</t>
  </si>
  <si>
    <t>11337602</t>
  </si>
  <si>
    <t>Substituição de 01 (uma) Seccionadora 230 kV posição operacional 34T2-4 da Subestação PRD.</t>
  </si>
  <si>
    <t>0004401/2023</t>
  </si>
  <si>
    <t>11338809</t>
  </si>
  <si>
    <t>Substituição de 01 (uma) Seccionadora 230 kV posição operacional 34T2-6 da Subestação PRD.</t>
  </si>
  <si>
    <t>0004402/2023</t>
  </si>
  <si>
    <t>11337603</t>
  </si>
  <si>
    <t>Substituição de 01 (uma) Seccionadora 230 kV posição operacional 34T3-4 da Subestação PRD.</t>
  </si>
  <si>
    <t>0004403/2023</t>
  </si>
  <si>
    <t>11338810</t>
  </si>
  <si>
    <t>Substituição de 01 (uma) Seccionadora 230 kV posição operacional 34T3-5 da Subestação PRD.</t>
  </si>
  <si>
    <t>0004404/2023</t>
  </si>
  <si>
    <t>11335150</t>
  </si>
  <si>
    <t>Substituição de 01 (uma) Seccionadora 230 kV posição operacional 34T3-6 da Subestação PRD.</t>
  </si>
  <si>
    <t>0004405/2023</t>
  </si>
  <si>
    <t>11338811</t>
  </si>
  <si>
    <t>SUBSTITUIÇÃO DA SECCIONADORA AUXILIAR, POSIÇÃO 31K1-9 da subestação RCD.</t>
  </si>
  <si>
    <t>0004406/2023</t>
  </si>
  <si>
    <t>12588738</t>
  </si>
  <si>
    <t>SUBSTITUIÇÃO DA SECCIONADORA PRINCIPAL, POSIÇÃO 31K2-8 da subestação RCD.</t>
  </si>
  <si>
    <t>0004407/2023</t>
  </si>
  <si>
    <t>11419996</t>
  </si>
  <si>
    <t>SUBSTITUIÇÃO DA SECCIONADORA AUXILIAR, POSIÇÃO 31K2-9 da subestação RCD.</t>
  </si>
  <si>
    <t>0004408/2023</t>
  </si>
  <si>
    <t>12588739</t>
  </si>
  <si>
    <t>Substituição de 01 (uma) Seccionadora 230 kV posição operacional 34C1-1 da Subestação RCD.</t>
  </si>
  <si>
    <t>0004409/2023</t>
  </si>
  <si>
    <t>11335061</t>
  </si>
  <si>
    <t>Substituição de 01 (uma) Seccionadora 230 kV posição operacional 34C1-2 da Subestação RCD.</t>
  </si>
  <si>
    <t>0004410/2023</t>
  </si>
  <si>
    <t>11335593</t>
  </si>
  <si>
    <t>Substituição de 01 (uma) Seccionadora 230 kV posição operacional 34C1-4 da Subestação RCD.</t>
  </si>
  <si>
    <t>0004411/2023</t>
  </si>
  <si>
    <t>11335595</t>
  </si>
  <si>
    <t>Substituição de 01 (uma) Seccionadora 230 kV posição operacional 34C1-5 da Subestação RCD.</t>
  </si>
  <si>
    <t>0004412/2023</t>
  </si>
  <si>
    <t>11335596</t>
  </si>
  <si>
    <t>Substituição de 01 (uma) Seccionadora 230 kV posição operacional 34C1-6 da Subestação RCD.</t>
  </si>
  <si>
    <t>0004413/2023</t>
  </si>
  <si>
    <t>11334629</t>
  </si>
  <si>
    <t>Substituição de 01 (uma) Seccionadora 230 kV posição operacional 34C4-1 da Subestação RCD.</t>
  </si>
  <si>
    <t>LT 230 kV RECIFE II /MIRUEIRA C-1 PE</t>
  </si>
  <si>
    <t>0004414/2023</t>
  </si>
  <si>
    <t>11334632</t>
  </si>
  <si>
    <t>Substituição de 01 (uma) Seccionadora 230 kV posição operacional 34C4-2 da Subestação RCD.</t>
  </si>
  <si>
    <t>0004415/2023</t>
  </si>
  <si>
    <t>11334633</t>
  </si>
  <si>
    <t>Substituição de 01 (uma) Seccionadora 230 kV posição operacional 34C4-4 da Subestação RCD.</t>
  </si>
  <si>
    <t>0004416/2023</t>
  </si>
  <si>
    <t>11335600</t>
  </si>
  <si>
    <t>Substituição de 01 (uma) Seccionadora 230 kV posição operacional 34C4-5 da Subestação RCD.</t>
  </si>
  <si>
    <t>0004417/2023</t>
  </si>
  <si>
    <t>11335601</t>
  </si>
  <si>
    <t>Substituição de 01 (uma) Seccionadora 230 kV posição operacional 34C4-6 da Subestação RCD.</t>
  </si>
  <si>
    <t>0004418/2023</t>
  </si>
  <si>
    <t>11335602</t>
  </si>
  <si>
    <t>Substituição de 01 (uma) Seccionadora 230 kV posição operacional 34C6-1 da Subestação RCD.</t>
  </si>
  <si>
    <t>LT 230 kV RECIFE II /MIRUEIRA C-3 PE</t>
  </si>
  <si>
    <t>0004419/2023</t>
  </si>
  <si>
    <t>11335052</t>
  </si>
  <si>
    <t>Substituição de 01 (uma) Seccionadora 230 kV posição operacional 34C6-2 da Subestação RCD.</t>
  </si>
  <si>
    <t>0004420/2023</t>
  </si>
  <si>
    <t>11335053</t>
  </si>
  <si>
    <t>Substituição de 01 (uma) Seccionadora 230 kV posição operacional 34C6-4 da Subestação RCD.</t>
  </si>
  <si>
    <t>0004421/2023</t>
  </si>
  <si>
    <t>11335573</t>
  </si>
  <si>
    <t>Substituição de 01 (uma) Seccionadora 230 kV posição operacional 34C6-5 da Subestação RCD.</t>
  </si>
  <si>
    <t>0004422/2023</t>
  </si>
  <si>
    <t>11335574</t>
  </si>
  <si>
    <t>Substituição de 01 (uma) Seccionadora 230 kV posição operacional 34C6-6 da Subestação RCD.</t>
  </si>
  <si>
    <t>0004423/2023</t>
  </si>
  <si>
    <t>11335575</t>
  </si>
  <si>
    <t>Substituição de 01 (uma) Seccionadora 230 kV posição operacional 34C8-1 da Subestação RCD.</t>
  </si>
  <si>
    <t>LT 230 kV RECIFE II /GOIANINHA C-1 PE</t>
  </si>
  <si>
    <t>0004424/2023</t>
  </si>
  <si>
    <t>11334616</t>
  </si>
  <si>
    <t>Substituição de 01 (uma) Seccionadora 230 kV posição operacional 34C8-2 da Subestação RCD.</t>
  </si>
  <si>
    <t>0004425/2023</t>
  </si>
  <si>
    <t>11334617</t>
  </si>
  <si>
    <t>Substituição de 01 (uma) Seccionadora 230 kV posição operacional 34C8-4 da Subestação RCD.</t>
  </si>
  <si>
    <t>0004426/2023</t>
  </si>
  <si>
    <t>11335576</t>
  </si>
  <si>
    <t>Substituição de 01 (uma) Seccionadora 230 kV posição operacional 34C8-5 da Subestação RCD.</t>
  </si>
  <si>
    <t>0004427/2023</t>
  </si>
  <si>
    <t>11335585</t>
  </si>
  <si>
    <t>Substituição de 01 (uma) Seccionadora 230 kV posição operacional 34C8-6 da Subestação RCD.</t>
  </si>
  <si>
    <t>0004428/2023</t>
  </si>
  <si>
    <t>11334622</t>
  </si>
  <si>
    <t>Substituição de 01 (uma) Seccionadora 230 kV posição operacional 34C9-1 da Subestação RCD.</t>
  </si>
  <si>
    <t>LT 230 kV RECIFE II /GOIANINHA C-2 PE</t>
  </si>
  <si>
    <t>0004429/2023</t>
  </si>
  <si>
    <t>11334626</t>
  </si>
  <si>
    <t>Substituição de 01 (uma) Seccionadora 230 kV posição operacional 34C9-2 da Subestação RCD.</t>
  </si>
  <si>
    <t>0004430/2023</t>
  </si>
  <si>
    <t>11335056</t>
  </si>
  <si>
    <t>Substituição de 01 (uma) Seccionadora 230 kV posição operacional 34C9-4 da Subestação RCD.</t>
  </si>
  <si>
    <t>0004431/2023</t>
  </si>
  <si>
    <t>11335586</t>
  </si>
  <si>
    <t>Substituição de 01 (uma) Seccionadora 230 kV posição operacional 34C9-5 da Subestação RCD.</t>
  </si>
  <si>
    <t>0004432/2023</t>
  </si>
  <si>
    <t>11335587</t>
  </si>
  <si>
    <t>Substituição de 01 (uma) Seccionadora 230 kV posição operacional 34C9-6 da Subestação RCD.</t>
  </si>
  <si>
    <t>0004433/2023</t>
  </si>
  <si>
    <t>11335588</t>
  </si>
  <si>
    <t>Substituição de 01 (uma) Seccionadora 230 kV posição operacional 34D2-1 da Subestação RCD.</t>
  </si>
  <si>
    <t>0004434/2023</t>
  </si>
  <si>
    <t>11334934</t>
  </si>
  <si>
    <t>Substituição de 01 (uma) Seccionadora 230 kV posição operacional 34J1-1 da Subestação RCD.</t>
  </si>
  <si>
    <t>LT 230 kV RECIFE II /JABOATAO II C-1 PE</t>
  </si>
  <si>
    <t>0004435/2023</t>
  </si>
  <si>
    <t>11334630</t>
  </si>
  <si>
    <t>Substituição de 01 (uma) Seccionadora 230 kV posição operacional 34J1-2 da Subestação RCD.</t>
  </si>
  <si>
    <t>0004436/2023</t>
  </si>
  <si>
    <t>11334631</t>
  </si>
  <si>
    <t>Substituição de 01 (uma) Seccionadora 230 kV posição operacional 34J1-4 da Subestação RCD.</t>
  </si>
  <si>
    <t>0004437/2023</t>
  </si>
  <si>
    <t>11335597</t>
  </si>
  <si>
    <t>Substituição de 01 (uma) Seccionadora 230 kV posição operacional 34J1-5 da Subestação RCD.</t>
  </si>
  <si>
    <t>0004438/2023</t>
  </si>
  <si>
    <t>11335598</t>
  </si>
  <si>
    <t>Substituição de 01 (uma) Seccionadora 230 kV posição operacional 34J1-6 da Subestação RCD.</t>
  </si>
  <si>
    <t>0004439/2023</t>
  </si>
  <si>
    <t>11335599</t>
  </si>
  <si>
    <t>Substituição de 01 (uma) Seccionadora 230 kV posição operacional 34M1-1 da Subestação RCD.</t>
  </si>
  <si>
    <t>0004440/2023</t>
  </si>
  <si>
    <t>11334618</t>
  </si>
  <si>
    <t>Substituição de 01 (uma) Seccionadora 230 kV posição operacional 34M1-2 da Subestação RCD.</t>
  </si>
  <si>
    <t>0004441/2023</t>
  </si>
  <si>
    <t>11334619</t>
  </si>
  <si>
    <t>Substituição de 01 (uma) Seccionadora 230 kV posição operacional 34M1-4 da Subestação RCD.</t>
  </si>
  <si>
    <t>0004442/2023</t>
  </si>
  <si>
    <t>11335577</t>
  </si>
  <si>
    <t>Substituição de 01 (uma) Seccionadora 230 kV posição operacional 34M1-5 da Subestação RCD.</t>
  </si>
  <si>
    <t>0004443/2023</t>
  </si>
  <si>
    <t>11335578</t>
  </si>
  <si>
    <t>Substituição de 01 (uma) Seccionadora 230 kV posição operacional 34M1-6 da Subestação RCD.</t>
  </si>
  <si>
    <t>0004444/2023</t>
  </si>
  <si>
    <t>11335579</t>
  </si>
  <si>
    <t>Substituição de 01 (uma) Seccionadora 230 kV posição operacional 34M2-1 da Subestação RCD.</t>
  </si>
  <si>
    <t>0004445/2023</t>
  </si>
  <si>
    <t>11334623</t>
  </si>
  <si>
    <t>Substituição de 01 (uma) Seccionadora 230 kV posição operacional 34M2-2 da Subestação RCD.</t>
  </si>
  <si>
    <t>0004446/2023</t>
  </si>
  <si>
    <t>11334624</t>
  </si>
  <si>
    <t>Substituição de 01 (uma) Seccionadora 230 kV posição operacional 34M2-4 da Subestação RCD.</t>
  </si>
  <si>
    <t>0004447/2023</t>
  </si>
  <si>
    <t>11334625</t>
  </si>
  <si>
    <t>Substituição de 01 (uma) Seccionadora 230 kV posição operacional 34M2-6 da Subestação RCD.</t>
  </si>
  <si>
    <t>0004448/2023</t>
  </si>
  <si>
    <t>11335590</t>
  </si>
  <si>
    <t>Substituição de 01 (uma) Seccionadora 230 kV posição operacional 34M3-1 da Subestação RCD.</t>
  </si>
  <si>
    <t>0004449/2023</t>
  </si>
  <si>
    <t>11334627</t>
  </si>
  <si>
    <t>Substituição de 01 (uma) Seccionadora 230 kV posição operacional 34M3-2 da Subestação RCD.</t>
  </si>
  <si>
    <t>0004450/2023</t>
  </si>
  <si>
    <t>11334628</t>
  </si>
  <si>
    <t>Substituição de 01 (uma) Seccionadora 230 kV posição operacional 34M3-4 da Subestação RCD.</t>
  </si>
  <si>
    <t>0004451/2023</t>
  </si>
  <si>
    <t>11335591</t>
  </si>
  <si>
    <t>Substituição de 01 (uma) Seccionadora 230 kV posição operacional 34M3-5 da Subestação RCD.</t>
  </si>
  <si>
    <t>0004452/2023</t>
  </si>
  <si>
    <t>11335592</t>
  </si>
  <si>
    <t>Substituição de 01 (uma) Seccionadora 230 kV posição operacional 34M3-6 da Subestação RCD.</t>
  </si>
  <si>
    <t>0004453/2023</t>
  </si>
  <si>
    <t>11335568</t>
  </si>
  <si>
    <t>Substituição de 01 (uma) Seccionadora 230 kV posição operacional 34T1-1B da Subestação RCD.</t>
  </si>
  <si>
    <t>0004454/2023</t>
  </si>
  <si>
    <t>11335050</t>
  </si>
  <si>
    <t>Substituição de 01 (uma) Seccionadora 230 kV posição operacional 34T1-2B da Subestação RCD.</t>
  </si>
  <si>
    <t>0004455/2023</t>
  </si>
  <si>
    <t>11335051</t>
  </si>
  <si>
    <t>Substituição de 01 (uma) Seccionadora 230 kV posição operacional 34T1-5B da Subestação RCD.</t>
  </si>
  <si>
    <t>0004456/2023</t>
  </si>
  <si>
    <t>11338960</t>
  </si>
  <si>
    <t>Substituição de 01 (uma) Seccionadora 230 kV posição operacional 34T2-1A da Subestação RCD.</t>
  </si>
  <si>
    <t>0004457/2023</t>
  </si>
  <si>
    <t>11335045</t>
  </si>
  <si>
    <t>Substituição de 01 (uma) Seccionadora 230 kV posição operacional 34T2-1B da Subestação RCD.</t>
  </si>
  <si>
    <t>0004458/2023</t>
  </si>
  <si>
    <t>11335046</t>
  </si>
  <si>
    <t>Substituição de 01 (uma) Seccionadora 230 kV posição operacional 34T2-2A da Subestação RCD.</t>
  </si>
  <si>
    <t>0004459/2023</t>
  </si>
  <si>
    <t>11335047</t>
  </si>
  <si>
    <t>Substituição de 01 (uma) Seccionadora 230 kV posição operacional 34T2-2B da Subestação RCD.</t>
  </si>
  <si>
    <t>0004460/2023</t>
  </si>
  <si>
    <t>11335048</t>
  </si>
  <si>
    <t>Substituição de 01 (uma) Seccionadora 230 kV posição operacional 34T2-5A da Subestação RCD.</t>
  </si>
  <si>
    <t>0004461/2023</t>
  </si>
  <si>
    <t>11335049</t>
  </si>
  <si>
    <t>Substituição de 01 (uma) Seccionadora 230 kV posição operacional 34T2-5B da Subestação RCD.</t>
  </si>
  <si>
    <t>0004462/2023</t>
  </si>
  <si>
    <t>11338959</t>
  </si>
  <si>
    <t>Substituição de 01 (uma) Seccionadora 230 kV posição operacional 34T3-1A da Subestação RCD.</t>
  </si>
  <si>
    <t>0004463/2023</t>
  </si>
  <si>
    <t>11338961</t>
  </si>
  <si>
    <t>Substituição de 01 (uma) Seccionadora 230 kV posição operacional 34T3-5A da Subestação RCD.</t>
  </si>
  <si>
    <t>0004464/2023</t>
  </si>
  <si>
    <t>11338964</t>
  </si>
  <si>
    <t>Substituição de 01 (uma) Seccionadora 230 kV posição operacional 34T3-5B da Subestação RCD.</t>
  </si>
  <si>
    <t>0004465/2023</t>
  </si>
  <si>
    <t>11338965</t>
  </si>
  <si>
    <t>Substituição de 01 (uma) Seccionadora 230 kV posição operacional 34V2-1 da Subestação RCD.</t>
  </si>
  <si>
    <t>0004466/2023</t>
  </si>
  <si>
    <t>11334620</t>
  </si>
  <si>
    <t>Substituição de 01 (uma) Seccionadora 230 kV posição operacional 34V2-2 da Subestação RCD.</t>
  </si>
  <si>
    <t>0004467/2023</t>
  </si>
  <si>
    <t>11334621</t>
  </si>
  <si>
    <t>Substituição de 01 (uma) Seccionadora 230 kV posição operacional 34V2-4 da Subestação RCD.</t>
  </si>
  <si>
    <t>0004468/2023</t>
  </si>
  <si>
    <t>11335580</t>
  </si>
  <si>
    <t>Substituição de 01 (uma) Seccionadora 230 kV posição operacional 34V2-5 da Subestação RCD.</t>
  </si>
  <si>
    <t>0004469/2023</t>
  </si>
  <si>
    <t>11335581</t>
  </si>
  <si>
    <t>Substituição de 01 (uma) Seccionadora 230 kV posição operacional 34V2-6 da Subestação RCD.</t>
  </si>
  <si>
    <t>0004470/2023</t>
  </si>
  <si>
    <t>11335582</t>
  </si>
  <si>
    <t>Substituição de 01 (uma) Seccionadora 230 kV posição operacional 34V3-1 da Subestação RCD.</t>
  </si>
  <si>
    <t>0004471/2023</t>
  </si>
  <si>
    <t>11335054</t>
  </si>
  <si>
    <t>Substituição de 01 (uma) Seccionadora 230 kV posição operacional 34V3-4 da Subestação RCD.</t>
  </si>
  <si>
    <t>0004472/2023</t>
  </si>
  <si>
    <t>11335583</t>
  </si>
  <si>
    <t>Substituição de 01 (uma) Seccionadora 230 kV posição operacional 34V3-5 da Subestação RCD.</t>
  </si>
  <si>
    <t>0004473/2023</t>
  </si>
  <si>
    <t>11335584</t>
  </si>
  <si>
    <t>Substituição de 01 (uma) Seccionadora 69 kV posição operacional 42BP-1 da Subestação SJI.</t>
  </si>
  <si>
    <t>0004474/2023</t>
  </si>
  <si>
    <t>11457930</t>
  </si>
  <si>
    <t>Substituição de 01 (uma) Seccionadora 69 kV posição operacional 42T5-8 da Subestação SJI.</t>
  </si>
  <si>
    <t>0004475/2023</t>
  </si>
  <si>
    <t>11457931</t>
  </si>
  <si>
    <t>Substituição de 01 (uma) Seccionadora 138 kV posição operacional 31K1-8 da Subestação RCD.</t>
  </si>
  <si>
    <t>0004476/2023</t>
  </si>
  <si>
    <t>11419997</t>
  </si>
  <si>
    <t>Substituição de 01 (uma) Seccionadora 230 kV posição operacional 34T5-1 da Subestação CMD.</t>
  </si>
  <si>
    <t>0004477/2023</t>
  </si>
  <si>
    <t>12461502</t>
  </si>
  <si>
    <t>Substituição de 01 (uma) Seccionadora 230 kV posição operacional 34T5-2 da Subestação CMD.</t>
  </si>
  <si>
    <t>0004478/2023</t>
  </si>
  <si>
    <t>12461503</t>
  </si>
  <si>
    <t>Substituição de 01 (uma) Seccionadora 230 kV posição operacional 34T5-4 da Subestação CMD.</t>
  </si>
  <si>
    <t>0004479/2023</t>
  </si>
  <si>
    <t>12461504</t>
  </si>
  <si>
    <t>Substituição de 01 (uma) Seccionadora 230 kV posição operacional 34T5-5 da Subestação CMD.</t>
  </si>
  <si>
    <t>0004480/2023</t>
  </si>
  <si>
    <t>12461505</t>
  </si>
  <si>
    <t>Substituição de 01 (uma) Seccionadora 230 kV posição operacional 34T5-6 da Subestação CMD.</t>
  </si>
  <si>
    <t>0004481/2023</t>
  </si>
  <si>
    <t>12461506</t>
  </si>
  <si>
    <t>Substituição de 01 (uma) Seccionadora 230 kV posição operacional 34V1-1 da Subestação CMD.</t>
  </si>
  <si>
    <t>EL 230 kV CAMACARI II LT 230 kV CAMACARI II /US.CAMACARI C-1 BA (14V1)</t>
  </si>
  <si>
    <t>0004482/2023</t>
  </si>
  <si>
    <t>12461552</t>
  </si>
  <si>
    <t>Substituição de 01 (uma) Seccionadora 230 kV posição operacional 34V1-2 da Subestação CMD.</t>
  </si>
  <si>
    <t>0004483/2023</t>
  </si>
  <si>
    <t>12461553</t>
  </si>
  <si>
    <t>Substituição de 01 (uma) Seccionadora 230 kV posição operacional 34V1-4 da Subestação CMD.</t>
  </si>
  <si>
    <t>0004484/2023</t>
  </si>
  <si>
    <t>12461509</t>
  </si>
  <si>
    <t>Substituição de 01 (uma) Seccionadora 230 kV posição operacional 34V1-5 da Subestação CMD.</t>
  </si>
  <si>
    <t>0004485/2023</t>
  </si>
  <si>
    <t>12461507</t>
  </si>
  <si>
    <t>Substituição de 01 (uma) Seccionadora com lâmina de Terra 230 kV posição operacional 34V1-6 da Subestação CMD.</t>
  </si>
  <si>
    <t>0004486/2023</t>
  </si>
  <si>
    <t>12461508</t>
  </si>
  <si>
    <t>Substituição de 01 (um) TC 69 kV posição operacional 92J4-2 fase B da Subestação AGL.</t>
  </si>
  <si>
    <t>0004518/2023</t>
  </si>
  <si>
    <t>11455220</t>
  </si>
  <si>
    <t>Substituição de 01 (um) TC 69 kV posição operacional 92J4-2 fase C da Subestação AGL.</t>
  </si>
  <si>
    <t>0004519/2023</t>
  </si>
  <si>
    <t>11455221</t>
  </si>
  <si>
    <t>Substituição de 01 (um) TC 69 kV posição operacional 92J2-2 fase A da Subestação BNB.</t>
  </si>
  <si>
    <t>EL 69 kV BANABUIU DIST5 (12J2)</t>
  </si>
  <si>
    <t>0004531/2023</t>
  </si>
  <si>
    <t>11454580</t>
  </si>
  <si>
    <t>Substituição de 01 (um) TC 69 kV posição operacional 92J2-2 fase C da Subestação BNB.</t>
  </si>
  <si>
    <t>0004532/2023</t>
  </si>
  <si>
    <t>11454581</t>
  </si>
  <si>
    <t>Substituição de 01 (um) TC 69 kV posição operacional 92J1 fase B da Subestação CGD.</t>
  </si>
  <si>
    <t>EL 69 kV C.GRANDE II LT 69 kV C.GRANDE II /C.GRANDE I C-1 PB (12J1)</t>
  </si>
  <si>
    <t>0004533/2023</t>
  </si>
  <si>
    <t>11324199</t>
  </si>
  <si>
    <t>Substituição de 01 (um) TC 69 kV posição operacional 92J1 fase C da Subestação CGD.</t>
  </si>
  <si>
    <t>0004534/2023</t>
  </si>
  <si>
    <t>11324200</t>
  </si>
  <si>
    <t>Substituição de 01 (um) TC 69 kV posição operacional 92J3-2 fase C da Subestação CMA.</t>
  </si>
  <si>
    <t>EL 69 kV COREMAS DIST3 (12J3)</t>
  </si>
  <si>
    <t>0004539/2023</t>
  </si>
  <si>
    <t>11454490</t>
  </si>
  <si>
    <t>Substituição de 01 (um) TC 69 kV posição operacional 92J6-1 fase A da Subestação CMA.</t>
  </si>
  <si>
    <t>0004543/2023</t>
  </si>
  <si>
    <t>11321316</t>
  </si>
  <si>
    <t>Substituição de 01 (um) TC 69 kV posição operacional 92J6-1 fase B da Subestação CMA.</t>
  </si>
  <si>
    <t>0004544/2023</t>
  </si>
  <si>
    <t>11321317</t>
  </si>
  <si>
    <t>Substituição de 01 (um) TC 69 kV posição operacional 92J6-1 fase C da Subestação CMA.</t>
  </si>
  <si>
    <t>0004553/2023</t>
  </si>
  <si>
    <t>11321318</t>
  </si>
  <si>
    <t>Substituição de 01 (um) TC 69 kV posição operacional 92J8-2 fase C da Subestação FTZ.</t>
  </si>
  <si>
    <t>EL 69 kV FORTALEZA PARANGABA 02J8 (12J8)</t>
  </si>
  <si>
    <t>0004557/2023</t>
  </si>
  <si>
    <t>11323026</t>
  </si>
  <si>
    <t>Substituição de 01 (um) TC 69 kV posição operacional 92J9-2 fase A da Subestação FTZ.</t>
  </si>
  <si>
    <t>EL 69 kV FORTALEZA DISTRITO 02J9 (12J9)</t>
  </si>
  <si>
    <t>0004558/2023</t>
  </si>
  <si>
    <t>11321823</t>
  </si>
  <si>
    <t>Substituição de 01 (um) TC 69 kV posição operacional 92J9-2 fase C da Subestação FTZ.</t>
  </si>
  <si>
    <t>0004559/2023</t>
  </si>
  <si>
    <t>11321824</t>
  </si>
  <si>
    <t>Substituição de 01 (um) TC 69 kV posição operacional 92V1-2 fase C da Subestação GVM.</t>
  </si>
  <si>
    <t>EL 69 kV G.MANGABEIRA DIST1 (12V1)</t>
  </si>
  <si>
    <t>0004575/2023</t>
  </si>
  <si>
    <t>11324253</t>
  </si>
  <si>
    <t>Substituição de 01 (um) TC 69 kV posição operacional 92J2-1 fase A da Subestação IRE.</t>
  </si>
  <si>
    <t>EL 69 kV IRECE DIST2 (12J2)</t>
  </si>
  <si>
    <t>0004582/2023</t>
  </si>
  <si>
    <t>11322363</t>
  </si>
  <si>
    <t>Substituição de 01 (um) TC 69 kV posição operacional 92J2-1 fase B da Subestação IRE.</t>
  </si>
  <si>
    <t>0004584/2023</t>
  </si>
  <si>
    <t>11322364</t>
  </si>
  <si>
    <t>Substituição de 01 (um) TC 69 kV posição operacional 92J2-1 fase C da Subestação IRE.</t>
  </si>
  <si>
    <t>0004585/2023</t>
  </si>
  <si>
    <t>11322365</t>
  </si>
  <si>
    <t>Substituição da cadeia de proteção de Barras principal, referente às barras A e B de 525 kV da SE Curitiba, incluindo uma Unidade Central e dez unidades de Bay (vãos TF 1, TF 2, TF 3, Reator 2, LT Bateias C-1, LT Bateias C-2, LT Areia C-1, LT Blumenau C-1, LT Curitiba Leste C-1 e IB DJ1110), painéis e cabos de controle e potência associados.</t>
  </si>
  <si>
    <t>0004587/2023</t>
  </si>
  <si>
    <t>Substituição da cadeia de proteção de Barras principal, referente às barras P1 e P2 de 230 kV da SE Curitiba, incluindo uma Unidade Central e treze unidades de Bay (vãos TF 1 (DJ792 e DJ794), TF 2 (DJ802 e DJ804), TF 3 (DJ702 e DJ704), LT Joinville C-1, LT Joinville Norte C-1, LT Joinville Norte C-2, LT S. Mateus do Sul C-1, LT Umbará C-1, LT Umbará C-2 e Interligador de Barras (IB)), painéis e cabos de controle e potência associados.</t>
  </si>
  <si>
    <t>0004591/2023</t>
  </si>
  <si>
    <t>Substituição do sistema de controle e supervisão (com unidade redundante) da LT 525 kV Curitiba - Areia C-1, incluindo painéis e cabos de controle e potência associados.</t>
  </si>
  <si>
    <t>0004594/2023</t>
  </si>
  <si>
    <t>Controle - LT ARE C-1</t>
  </si>
  <si>
    <t>Substituição de 01 (um) TC 69 kV posição operacional 92J7-1 fase A da Subestação MRR.</t>
  </si>
  <si>
    <t>EL 69 kV MIRUEIRA DIST7 (12J7)</t>
  </si>
  <si>
    <t>0004622/2023</t>
  </si>
  <si>
    <t>11324710</t>
  </si>
  <si>
    <t>Substituição de 01 (um) TC 69 kV posição operacional 92J7-1 fase B da Subestação MRR.</t>
  </si>
  <si>
    <t>0004624/2023</t>
  </si>
  <si>
    <t>11324711</t>
  </si>
  <si>
    <t>Substituição do sistema de controle e supervisão (com unidade redundante) da LT 525 kV Curitiba - Bateias C-1, incluindo painéis e cabos de controle e potência associados.</t>
  </si>
  <si>
    <t>0004626/2023</t>
  </si>
  <si>
    <t>Substituição de 01 (um) TC 69 kV posição operacional 92J7-1 fase C da Subestação MRR.</t>
  </si>
  <si>
    <t>0004627/2023</t>
  </si>
  <si>
    <t>11324712</t>
  </si>
  <si>
    <t>Substituição de 01 (um) TC 69 kV posição operacional 92L5-2 fase A da Subestação MRR.</t>
  </si>
  <si>
    <t>EL 69 kV MIRUEIRA DIS12 (12L5)</t>
  </si>
  <si>
    <t>0004629/2023</t>
  </si>
  <si>
    <t>11454392</t>
  </si>
  <si>
    <t>Substituição do sistema de controle e supervisão (com unidade redundante) da LT 525 kV Curitiba - Blumenau C-1, incluindo painéis e cabos de controle e potência associados.</t>
  </si>
  <si>
    <t>LT 525 kV BLUMENAU /CURITIBA C-1 SC/PR</t>
  </si>
  <si>
    <t>0004631/2023</t>
  </si>
  <si>
    <t>Substituição do Banco de Baterias 125 VCC, 600Ah/10h. ESA II</t>
  </si>
  <si>
    <t>0004633/2023</t>
  </si>
  <si>
    <t>BB do VC-ESA-02</t>
  </si>
  <si>
    <t>Substituição das proteções Principal, Alternada e Falha de Disjuntor, referentes ao Reator 1 (RT1) da SE Curitiba, incluindo painéis e cabos de controle e potência associados.</t>
  </si>
  <si>
    <t>0004635/2023</t>
  </si>
  <si>
    <t>PP, PA, BF - RT1</t>
  </si>
  <si>
    <t>Substituição do sistema de controle e supervisão (com unidade redundante) do Reator 1 (RT1) da SE Curitiba, incluindo painéis e cabos de controle e potência associados.</t>
  </si>
  <si>
    <t>0004639/2023</t>
  </si>
  <si>
    <t>Controle - RT1</t>
  </si>
  <si>
    <t>Substituição das proteções Principal, Alternada e Falha de Disjuntor, referentes ao Reator 2 (RT2) da SE Curitiba, incluindo painéis e cabos de controle e potência associados.</t>
  </si>
  <si>
    <t>0004643/2023</t>
  </si>
  <si>
    <t>PP, PA, BF - RT2</t>
  </si>
  <si>
    <t>Substituição do sistema de controle e supervisão (com unidade redundante) do Reator 2 (RT2) da SE Curitiba, incluindo painéis e cabos de controle e potência associados.</t>
  </si>
  <si>
    <t>0004656/2023</t>
  </si>
  <si>
    <t>Controle - RT2</t>
  </si>
  <si>
    <t>Substituição das proteções Principal, Alternada e Falha de Disjuntor, referentes ao TR1 525/230 kV da SE Curitiba, lados de 525 e 230 kV, incluindo painéis e cabos de controle e potência associados.</t>
  </si>
  <si>
    <t>0004659/2023</t>
  </si>
  <si>
    <t>PP, PA, BF - TF1 525</t>
  </si>
  <si>
    <t>Substituição do sistema de controle e supervisão (com unidade redundante) do TR1 525/230 kV da SE Curitiba, lados de 525 e 230 kV, incluindo painéis e cabos de controle e potência associados.</t>
  </si>
  <si>
    <t>0004664/2023</t>
  </si>
  <si>
    <t>Controle - TF1 525</t>
  </si>
  <si>
    <t>Substituição das proteções Principal, Alternada e Falha de Disjuntor, referentes ao TR2 525/230 kV da SE Curitiba, lados de 525 e 230 kV, incluindo painéis e cabos de controle e potência associados.</t>
  </si>
  <si>
    <t>0004676/2023</t>
  </si>
  <si>
    <t>PP, PA, BF - TF2 525</t>
  </si>
  <si>
    <t>Substituição do sistema de controle e supervisão (com unidade redundante) do TR2 525/230 kV da SE Curitiba, lados de 525 e 230 kV, incluindo painéis e cabos de controle e potência associados.</t>
  </si>
  <si>
    <t>0004680/2023</t>
  </si>
  <si>
    <t>Substituição de Retificador (Carregador de Baterias) 125 Vcc - SACC125-RET1, da SE Londrina.</t>
  </si>
  <si>
    <t>0009537/2023</t>
  </si>
  <si>
    <t>SACC125-RET1</t>
  </si>
  <si>
    <t>Substituição da proteção Falha de Disjuntor principal, referente ao Interligador de Barras (IB) 525 kV da SE Curitiba, DJ1030 (vão entre o RT2 e a LT Blumenau C-1), incluindo painéis e cabos de controle e potência associados.</t>
  </si>
  <si>
    <t>0004690/2023</t>
  </si>
  <si>
    <t>Substituição do sistema de controle e supervisão (com unidade redundante) do Interligador de Barras (IB) 525 kV da SE Curitiba, DJ1030  (vão entre o RT2 e a LT Blumenau C-1), incluindo painéis e cabos de controle e potência associados.</t>
  </si>
  <si>
    <t>0004693/2023</t>
  </si>
  <si>
    <t>Substituição da proteção Falha de Disjuntor principal, referente ao Interligador de Barras (IB) 525 kV da SE Curitiba, DJ1050 (vão entre a LT Areia C-1 e o TF1), incluindo painéis e cabos de controle e potência associados.</t>
  </si>
  <si>
    <t>0004698/2023</t>
  </si>
  <si>
    <t>Substituição do sistema de controle e supervisão (com unidade redundante) do Interligador de Barras (IB) 525 kV da SE Curitiba, DJ1050  (vão entre a LT Areia C-1 e o TF1), incluindo painéis e cabos de controle e potência associados.</t>
  </si>
  <si>
    <t>0004703/2023</t>
  </si>
  <si>
    <t>Substituição da proteção Falha de Disjuntor principal, referente ao Interligador de Barras (IB) 525 kV da SE Curitiba, DJ1070 (vão entre a LT Bateias C-1 e o TF2), incluindo painéis e cabos de controle e potência associados.</t>
  </si>
  <si>
    <t>0004707/2023</t>
  </si>
  <si>
    <t>Substituição do sistema de controle e supervisão (com unidade redundante) do Interligador de Barras (IB) 525 kV da SE Curitiba, DJ1070  (vão entre a LT Bateias C-1 e o TF2), incluindo painéis e cabos de controle e potência associados.</t>
  </si>
  <si>
    <t>0004725/2023</t>
  </si>
  <si>
    <t>Substituição de 01 (um) TC 69 kV posição operacional 92J8-2 fase A da Subestação FTZ.</t>
  </si>
  <si>
    <t>0004751/2023</t>
  </si>
  <si>
    <t>11323023</t>
  </si>
  <si>
    <t>Substituição das proteções Principal, Alternada e Falha de Disjuntor, referentes a LT 230 kV Curitiba - Joinville Norte C-1, incluindo painéis e cabos de controle e potência associados.</t>
  </si>
  <si>
    <t>0004793/2023</t>
  </si>
  <si>
    <t>PP, PA, BF - LT JNO C-1</t>
  </si>
  <si>
    <t>Substituição do sistema de controle e supervisão (com unidade redundante) da LT 230 kV Curitiba - Joinville Norte C-1, incluindo painéis e cabos de controle e potência associados.</t>
  </si>
  <si>
    <t>0004797/2023</t>
  </si>
  <si>
    <t>Controle - LT JNO C-1</t>
  </si>
  <si>
    <t>Substituição do sistema de controle e supervisão (com unidade redundante) da LT 230 kV Curitiba - Joinville C-1, incluindo painéis e cabos de controle e potência associados.</t>
  </si>
  <si>
    <t>0004800/2023</t>
  </si>
  <si>
    <t>Controle - LT JOI C-1</t>
  </si>
  <si>
    <t>Substituição das proteções Principal, Alternada e Falha de Disjuntor, referentes a LT 230 kV Curitiba - São Mateus do Sul C-1, incluindo painéis e cabos de controle e potência associados.</t>
  </si>
  <si>
    <t>0004807/2023</t>
  </si>
  <si>
    <t>PP, PA, BF - LT SMS C-1</t>
  </si>
  <si>
    <t>Substituição do sistema de controle e supervisão (com unidade redundante) da LT 230 kV Curitiba - São Mateus do Sul C-1, incluindo painéis e cabos de controle e potência associados.</t>
  </si>
  <si>
    <t>0004810/2023</t>
  </si>
  <si>
    <t>Controle - LT SMS C-1</t>
  </si>
  <si>
    <t>Substituição da proteção Falha de Disjuntor principal, referente ao Interligador de Barras (IB) 230 kV da SE Curitiba, DJ742, incluindo painéis e cabos de controle e potência associados.</t>
  </si>
  <si>
    <t>0004814/2023</t>
  </si>
  <si>
    <t>BF - DJ742</t>
  </si>
  <si>
    <t>Substituição do sistema de controle e supervisão (com unidade redundante) do Interligador de Barras (IB) 230 kV da SE Curitiba, DJ742, incluindo painéis e cabos de controle e potência associados.</t>
  </si>
  <si>
    <t>0004818/2023</t>
  </si>
  <si>
    <t>Controle - DJ742</t>
  </si>
  <si>
    <t>Substituição do Sistema de Proteção, Controle e Supervisão (SPCS) dos cubículos e serviços auxiliares CA / CC, da SE Curitiba, incluindo painéis e cabos associados.</t>
  </si>
  <si>
    <t>0004820/2023</t>
  </si>
  <si>
    <t>Substituição da cadeia de proteção de Barras principal, referente às barras A e B de 525 kV da SE Blumenau, incluindo uma Unidade Central e dez unidades de Bay (vãos TF 5, TF 6, TF 7, Reator 1, Reator 2, LT Biguaçu C-1, LT Curitiba Leste C-1, LT Curitiba C-1, LT Campos Novos C-1 e IB DJ1030), painéis e cabos de controle e potência associados.</t>
  </si>
  <si>
    <t>0004823/2023</t>
  </si>
  <si>
    <t>Substituição da cadeia de proteção de Barras principal, referente às barras P1 e P2 de 230 kV da SE Blumenau, incluindo uma Unidade Central e dezessete unidades de Bay (vãos TF 1, TF 2, TF 3, TF 4, TF 5, TF 6, TF 7, LT Joinville C-1, LT Joinville Norte C-1, LT Gaspar 2 C-1, LT Gaspar 2 C-2, LT Itajaí C-1, LT Itajaí C-2, BC1, BC2 e Interligadores de Barras (IB - DJ842 e DJ852)), painéis e cabos de controle e potência associados.</t>
  </si>
  <si>
    <t>0004825/2023</t>
  </si>
  <si>
    <t>Substituição da cadeia de proteção de Barras, referente à barra P de 138 kV da SE Blumenau, incluindo uma Unidade Central e nove unidades de Bay (vãos TF 1, TF 2, TF 3, TF 4, LT Blumenau Dois C-1, LT Blumenau Dois C-2, LT Ilhota C-1, LT Gaspar C-1 e Interligador de Barras (IB - DJ592)), painéis e cabos de controle e potência associados.</t>
  </si>
  <si>
    <t>0004828/2023</t>
  </si>
  <si>
    <t>BA - Barra P</t>
  </si>
  <si>
    <t>Substituição do sistema de controle e supervisão (com unidade redundante) da LT 525 kV Blumenau - Curitiba C-1, incluindo painéis e cabos de controle e potência associados.</t>
  </si>
  <si>
    <t>0004832/2023</t>
  </si>
  <si>
    <t>Substituição das proteções Principal, Alternada e Falha de Disjuntor, referentes ao Reator 1 (RT1) da SE Blumenau, incluindo painéis e cabos de controle e potência associados.</t>
  </si>
  <si>
    <t>RT 525 kV 150 Mvar BLUMENAU RT1 SC</t>
  </si>
  <si>
    <t>0004834/2023</t>
  </si>
  <si>
    <t>Substituição do sistema de controle e supervisão (com unidade redundante) do Reator 1 (RT1) da SE Blumenau, incluindo painéis e cabos de controle e potência associados.</t>
  </si>
  <si>
    <t>0004838/2023</t>
  </si>
  <si>
    <t>Substituição das proteções Principal, Alternada e Falha de Disjuntor, referentes ao TR5 525/230 kV da SE Blumenau, lados de 525 e 230 kV, incluindo painéis e cabos de controle e potência associados.</t>
  </si>
  <si>
    <t>0004842/2023</t>
  </si>
  <si>
    <t>PP, PA, BF - TF5 525</t>
  </si>
  <si>
    <t>Substituição do sistema de controle e supervisão (com unidade redundante) do TR5 525/230 kV da SE Blumenau, lados de 525 e 230 kV, incluindo painéis e cabos de controle e potência associados.</t>
  </si>
  <si>
    <t>0004848/2023</t>
  </si>
  <si>
    <t>Controle - TF5 525</t>
  </si>
  <si>
    <t>Substituição das proteções Principal, Alternada e Falha de Disjuntor, referentes ao TR6 525/230 kV da SE Blumenau, lados de 525 e 230 kV, incluindo painéis e cabos de controle e potência associados.</t>
  </si>
  <si>
    <t>0004858/2023</t>
  </si>
  <si>
    <t>PP, PA, BF - TF6 525</t>
  </si>
  <si>
    <t>Substituição do sistema de controle e supervisão (com unidade redundante) do TR6 525/230 kV da SE Blumenau, lados de 525 e 230 kV, incluindo painéis e cabos de controle e potência associados.</t>
  </si>
  <si>
    <t>0004859/2023</t>
  </si>
  <si>
    <t>Controle - TF6 525</t>
  </si>
  <si>
    <t>Substituição do sistema de controle e supervisão (com unidade redundante) do Interligador de Barras (IB) 525 kV da SE Blumenau, DJ1030  (vão da LT Curitiba C-1), incluindo painéis e cabos de controle e potência associados.</t>
  </si>
  <si>
    <t>0004866/2023</t>
  </si>
  <si>
    <t>Substituição da proteção Falha de Disjuntor principal, referente ao Interligador de Barras (IB) 525 kV da SE Blumenau, DJ1070 (vão entre o RT1 e o TF6), incluindo painéis e cabos de controle e potência associados.</t>
  </si>
  <si>
    <t>0004869/2023</t>
  </si>
  <si>
    <t>Substituição do sistema de controle e supervisão (com unidade redundante) do Interligador de Barras (IB) 525 kV da SE Blumenau, DJ1070  (vão entre o RT1 e o TF6), incluindo painéis e cabos de controle e potência associados.</t>
  </si>
  <si>
    <t>0004873/2023</t>
  </si>
  <si>
    <t>Substituição de Transformadores de Corrente 230 kV referentes a LT Passo Fundo - Xanxerê C-1, DJ792, Fases A, B, C. Associado à obra, são esperadas substituições/adaptações de fundações e suportes, caixa de junção, cabos de controle/potência, barramento, conectores e conexão de aterramento. Funções do TC: proteção e medição.</t>
  </si>
  <si>
    <t>0004881/2023</t>
  </si>
  <si>
    <t>Substituição dos sistemas de proteção e controle da linha LDLI-LT601 - Terminal São Luís II</t>
  </si>
  <si>
    <t>0004888/2023</t>
  </si>
  <si>
    <t>LDSPRLT</t>
  </si>
  <si>
    <t>Substituição dos sistemas de proteção e controle da linha LDMR-LT601 - Terminal São Luis II</t>
  </si>
  <si>
    <t>0004890/2023</t>
  </si>
  <si>
    <t>Substituição de Transformadores de Corrente 230 kV referentes a LT Salto Osório - Cascavel C-1, DJ812, Fases A, B, C. Associado à obra, são esperadas substituições/adaptações de fundações e suportes, caixa de junção, cabos de controle/potência, barramento, conectores e conexão de aterramento. Funções do TC: proteção e medição.</t>
  </si>
  <si>
    <t>0004897/2023</t>
  </si>
  <si>
    <t>TC DJ812</t>
  </si>
  <si>
    <t>Substituição dos sistemas de proteção e controle dos bancos de capacitores LDBC6-03 e LDBC6-04</t>
  </si>
  <si>
    <t>0004898/2023</t>
  </si>
  <si>
    <t>LDSPRBC</t>
  </si>
  <si>
    <t>Substituição de Transformadores de Corrente 230 kV referentes a LT Salto Osório - Campo Mourão C-1, DJ782, Fases A, B, C. Associado à obra, são esperadas substituições/adaptações de fundações e suportes, caixa de junção, cabos de controle/potência, barramento, conectores e conexão de aterramento. Funções do TC: proteção e medição.</t>
  </si>
  <si>
    <t>0004900/2023</t>
  </si>
  <si>
    <t>TC DJ782</t>
  </si>
  <si>
    <t>Substituição dos sistemas de proteção e controle dos bancos de capacitores LDBC6-01 e LDBC6-02</t>
  </si>
  <si>
    <t>0004903/2023</t>
  </si>
  <si>
    <t>Substituição de Transformadores de Corrente 230 kV referentes a LT Salto Osório - Campo Mourão C-2, DJ792, Fases A, B, C. Associado à obra, são esperadas substituições/adaptações de fundações e suportes, caixa de junção, cabos de controle/potência, barramento, conectores e conexão de aterramento. Funções do TC: proteção e medição.</t>
  </si>
  <si>
    <t>0004905/2023</t>
  </si>
  <si>
    <t>Substituição dos sistemas de proteção e controle da linha LDLI-LT602 - Terminal São Luís I</t>
  </si>
  <si>
    <t>0004906/2023</t>
  </si>
  <si>
    <t>LISPRLT</t>
  </si>
  <si>
    <t>Substituição de Transformadores de Corrente 230 kV referentes a LT Salto Osório - Foz do Chopim C-1, DJ822, Fases A, B, C. Associado à obra, são esperadas substituições/adaptações de fundações e suportes, caixa de junção, cabos de controle/potência, barramento, conectores e conexão de aterramento. Funções do TC: proteção e medição.</t>
  </si>
  <si>
    <t>LT 230 kV FOZ DO CHOPIM/S. OSORIO C-1 PR</t>
  </si>
  <si>
    <t>0004909/2023</t>
  </si>
  <si>
    <t>TC DJ822</t>
  </si>
  <si>
    <t>Substituição de Transformadores de Corrente 230 kV referentes a LT Salto Osório - UH. Salto Osório C-1, DJ722, Fases A, B, C. Associado à obra, são esperadas substituições/adaptações de fundações e suportes, caixa de junção, cabos de controle/potência, barramento, conectores e conexão de aterramento. Funções do TC: proteção e medição.</t>
  </si>
  <si>
    <t>LT 230 kV S.OSORIO / UH. S.OSORIO C-1 PR</t>
  </si>
  <si>
    <t>0004914/2023</t>
  </si>
  <si>
    <t>Substituição de Transformadores de Corrente 230 kV referentes a LT Salto Osório - UH. Salto Osório C-2, DJ732, Fases A, B, C. Associado à obra, são esperadas substituições/adaptações de fundações e suportes, caixa de junção, cabos de controle/potência, barramento, conectores e conexão de aterramento. Funções do TC: proteção e medição.</t>
  </si>
  <si>
    <t>LT 230 kV S.OSORIO / UH. S.OSORIO C-2 PR</t>
  </si>
  <si>
    <t>0004920/2023</t>
  </si>
  <si>
    <t>Substituição dos sistemas de proteção e controle da linha LDMR-LT601 - Terminal Miranda</t>
  </si>
  <si>
    <t>0004923/2023</t>
  </si>
  <si>
    <t>MRSPRPR</t>
  </si>
  <si>
    <t>Substituição de Transformadores de Corrente 230 kV referentes a LT Salto Osório - UH. Salto Osório C-3, DJ742, Fases A, B, C. Associado à obra, são esperadas substituições/adaptações de fundações e suportes, caixa de junção, cabos de controle/potência, barramento, conectores e conexão de aterramento. Funções do TC: proteção e medição.</t>
  </si>
  <si>
    <t>LT 230 kV S.OSORIO / UH. S.OSORIO C-3 PR</t>
  </si>
  <si>
    <t>0004924/2023</t>
  </si>
  <si>
    <t>Substituição dos sistemas de proteção e controle da linha PDPR-LT6-01 - Terminal Peritoró</t>
  </si>
  <si>
    <t>LT 230 kV P.DUTRA /PERITORO C-1 MA</t>
  </si>
  <si>
    <t>0004928/2023</t>
  </si>
  <si>
    <t>PRSPRPR</t>
  </si>
  <si>
    <t>Substituição de Transformadores de Corrente 230 kV referentes a LT Salto Osório - UH. Salto Osório C-4, DJ752, Fases A, B, C. Associado à obra, são esperadas substituições/adaptações de fundações e suportes, caixa de junção, cabos de controle/potência, barramento, conectores e conexão de aterramento. Funções do TC: proteção e medição.</t>
  </si>
  <si>
    <t>LT 230 kV S.OSORIO / UH. S.OSORIO C-4 PR</t>
  </si>
  <si>
    <t>0004930/2023</t>
  </si>
  <si>
    <t>Substituição dos sistemas de proteção e controle da linha PDPR-LT6-01 - Terminal Pres. Dutra</t>
  </si>
  <si>
    <t>0004932/2023</t>
  </si>
  <si>
    <t>PDSPRPR</t>
  </si>
  <si>
    <t>Substituição dos sistemas de proteção e controle do transformador PDTF6-03</t>
  </si>
  <si>
    <t>CS 100/-70 MVAr P.DUTRA CS1 MA</t>
  </si>
  <si>
    <t>0004938/2023</t>
  </si>
  <si>
    <t>PDSPRTF</t>
  </si>
  <si>
    <t>Substituição de Transformadores de Corrente 230 kV referentes a LT Xanxerê - Passo Fundo C-1, DJ772, Fases A, B, C. Associado à obra, são esperadas substituições/adaptações de fundações e suportes, caixa de junção, cabos de controle/potência, barramento, conectores e conexão de aterramento. Funções do TC: proteção e medição.</t>
  </si>
  <si>
    <t>0004939/2023</t>
  </si>
  <si>
    <t>Substituição dos sistemas de proteção e controle do transformador PDTF6-04</t>
  </si>
  <si>
    <t>TR 230/69 kV P.DUTRA TF4 MA</t>
  </si>
  <si>
    <t>0004942/2023</t>
  </si>
  <si>
    <t>Substituição dos sistemas de proteção e controle do transformador PDTF6-01</t>
  </si>
  <si>
    <t>0004945/2023</t>
  </si>
  <si>
    <t>Substituição de Transformadores de Corrente 230 kV referentes ao TR1 230/138 kV da SE Xanxerê, DJ752, Fases A, B, C. Associado à obra, são esperadas substituições/adaptações de fundações e suportes, caixa de junção, cabos de controle/potência, barramento, conectores e conexão de aterramento. Funções do TC: proteção e medição.</t>
  </si>
  <si>
    <t>TR 230/138 kV XANXERE ESU TR1 SC</t>
  </si>
  <si>
    <t>0004946/2023</t>
  </si>
  <si>
    <t>LT 230 kV RIO LARGO II /BRASKEM AL</t>
  </si>
  <si>
    <t>Substituição de 1 estrutura metálica autoportante 009/1 por outra com altura de 84 m e carregamento/esforço de 25362,7 DAN) e componentes e 04 fundações associadas da LT 230 kV RIO LARGO II /BRASKEM C-1 AL-04S2.</t>
  </si>
  <si>
    <t>LT 230 kV RIO LARGO II /BRASKEM C-1 AL (04S2)</t>
  </si>
  <si>
    <t>0005005/2023</t>
  </si>
  <si>
    <t>11576346</t>
  </si>
  <si>
    <t>Substituição de 01 (um) Disjuntor 230 kV com sincronizador posição operacional 14E1 da Subestação CGD.</t>
  </si>
  <si>
    <t>RTB 230 kV 10 Mvar C.GRANDE II RT1 PB</t>
  </si>
  <si>
    <t>0005016/2023</t>
  </si>
  <si>
    <t>11340561</t>
  </si>
  <si>
    <t>Substituição de 01 (um) Disjuntor 230 kV com sincronizador posição operacional 14E2 da Subestação CGD.</t>
  </si>
  <si>
    <t>0005018/2023</t>
  </si>
  <si>
    <t>11340611</t>
  </si>
  <si>
    <t>Substituição de 01 (um) Disjuntor 230 kV com sincronizador posição operacional 14T6 da Subestação CMD.</t>
  </si>
  <si>
    <t>0005019/2023</t>
  </si>
  <si>
    <t>11340208</t>
  </si>
  <si>
    <t>Substituição de 01 (um) Disjuntor 13,8 kV posição operacional 11T1 da subestação PAQ.</t>
  </si>
  <si>
    <t>0005021/2023</t>
  </si>
  <si>
    <t>11341924</t>
  </si>
  <si>
    <t>Substituição de 01 (um) Disjuntor 13,8 kV posição operacional 11T2 da subestação PAQ.</t>
  </si>
  <si>
    <t>0005022/2023</t>
  </si>
  <si>
    <t>11341925</t>
  </si>
  <si>
    <t>Substituição de 01 (um) disjuntor de 13,8 kV, posição 11K1 da subestação RCD.</t>
  </si>
  <si>
    <t>0005024/2023</t>
  </si>
  <si>
    <t>11342175</t>
  </si>
  <si>
    <t>Substituição de 01 (um) disjuntor de 13,8 kV, posição 11K2 da subestação RCD.</t>
  </si>
  <si>
    <t>0005025/2023</t>
  </si>
  <si>
    <t>11342174</t>
  </si>
  <si>
    <t>Substituição de 01 (um) disjuntor de 13,8 kV, posição 11T3 da subestação RCD.</t>
  </si>
  <si>
    <t>0005027/2023</t>
  </si>
  <si>
    <t>11342172</t>
  </si>
  <si>
    <t>SUBSTITUIÇÃO DO DISJUNTOR DE 13,8 kV, POSIÇÃO 11T4 da subestação RCD.</t>
  </si>
  <si>
    <t>0005028/2023</t>
  </si>
  <si>
    <t>11342171</t>
  </si>
  <si>
    <t>Substituição de 01 (um) disjuntor de 13,8 kV, posição 11T5 da subestação RCD.</t>
  </si>
  <si>
    <t>0005029/2023</t>
  </si>
  <si>
    <t>11342181</t>
  </si>
  <si>
    <t>SUBSTITUIÇÃO DO DISJUNTOR DE 13,8 kV, POSIÇÃO 11T6 da subestação RCD.</t>
  </si>
  <si>
    <t>0005031/2023</t>
  </si>
  <si>
    <t>11342179</t>
  </si>
  <si>
    <t>Substituição de 01 (um) disjuntor de 13,8 kV, posição 11T7 da subestação RCD.</t>
  </si>
  <si>
    <t>0005032/2023</t>
  </si>
  <si>
    <t>11342182</t>
  </si>
  <si>
    <t>SUBSTITUIÇÃO DO DISJUNTOR DE 13,8 kV, POSIÇÃO 16T4-A da subestação RCD.</t>
  </si>
  <si>
    <t>0005034/2023</t>
  </si>
  <si>
    <t>11342180</t>
  </si>
  <si>
    <t>SUBSTITUIÇÃO DO DISJUNTOR DE 230 kV, POSIÇÃO 14T5 da subestação RCD.</t>
  </si>
  <si>
    <t>0005035/2023</t>
  </si>
  <si>
    <t>11340163</t>
  </si>
  <si>
    <t>Substituição de 01 (um) disjuntor de 13,8 kV, posição 16F1 da subestação RCD.</t>
  </si>
  <si>
    <t>0005037/2023</t>
  </si>
  <si>
    <t>12586074</t>
  </si>
  <si>
    <t>Substituição de 01 (um) disjuntor de 13,8 kV, posição 11T8 da subestação RCD.</t>
  </si>
  <si>
    <t>0005038/2023</t>
  </si>
  <si>
    <t>12586077</t>
  </si>
  <si>
    <t>Substituição de 01 (um) disjuntor de 13,8 kV, posição 16T3-A da subestação RCD.</t>
  </si>
  <si>
    <t>0005040/2023</t>
  </si>
  <si>
    <t>12586072</t>
  </si>
  <si>
    <t>Substituição de 01 (um) disjuntor de 13,8 kV, posição 16T3-B da subestação RCD.</t>
  </si>
  <si>
    <t>0005041/2023</t>
  </si>
  <si>
    <t>12586073</t>
  </si>
  <si>
    <t>Substituição de 01 (um) disjuntor de 13,8 kV, posição 16T4-B da subestação RCD.</t>
  </si>
  <si>
    <t>0005043/2023</t>
  </si>
  <si>
    <t>12586075</t>
  </si>
  <si>
    <t>Substituição de 01 (um) disjuntor de 13,8 kV, posição 16F2 da subestação RCD.</t>
  </si>
  <si>
    <t>0005044/2023</t>
  </si>
  <si>
    <t>12586076</t>
  </si>
  <si>
    <t>Substituição de 01 (um) Disjuntor 13,8 kV posição operacional 11S1 da subestação CMD.</t>
  </si>
  <si>
    <t>0005045/2023</t>
  </si>
  <si>
    <t>12587129</t>
  </si>
  <si>
    <t>Substituição de 01 (um) Disjuntor 13,8 kV posição operacional 11T1 da subestação AGD.</t>
  </si>
  <si>
    <t>0005046/2023</t>
  </si>
  <si>
    <t>11341920</t>
  </si>
  <si>
    <t>Substituição de 01 (um) Disjuntor 13,8 kV posição operacional 11T2 da subestação AGD.</t>
  </si>
  <si>
    <t>0005047/2023</t>
  </si>
  <si>
    <t>11341921</t>
  </si>
  <si>
    <t>Substituição de 01 (um) Disjuntor 13,8 kV posição operacional 11T1 da subestação RCD.</t>
  </si>
  <si>
    <t>0005049/2023</t>
  </si>
  <si>
    <t>11341922</t>
  </si>
  <si>
    <t>Substituição de 01 (um) Disjuntor 13,8 kV posição operacional 11T2 da subestação RCD.</t>
  </si>
  <si>
    <t>0005050/2023</t>
  </si>
  <si>
    <t>11341923</t>
  </si>
  <si>
    <t>LT 500 kV CEARA MIRIM II /C.GRANDE III RN/PB</t>
  </si>
  <si>
    <t>Substituir 1,6 km de cabos para-raios (2 cabo(s) do tipo EHS 3/8") em 2 vãos da LT 500 kV CEARA MIRIM II /C.GRANDE III C-1 RN/PB-05L2 (078/2;067/3).</t>
  </si>
  <si>
    <t>LT 500 kV CEARA MIRIM II /C.GRANDE III C-1 RN/PB</t>
  </si>
  <si>
    <t>0005052/2023</t>
  </si>
  <si>
    <t>11638740</t>
  </si>
  <si>
    <t>Substituição de 1 estrutura metálica autoportante 026/2 por outra com altura de 33 m e carregamento/esforço de 5554 DAN) e componentes e 04 fundações associadas da LT 230 kV RIBEIRAO /RECIFE II C-1 PE-04M1.</t>
  </si>
  <si>
    <t>0005053/2023</t>
  </si>
  <si>
    <t>11537320</t>
  </si>
  <si>
    <t>Substituição de 1 estrutura metálica autoportante 007/1 por outra com altura de 24 m e carregamento/esforço de 3687 DAN) e componentes e 04 fundações associadas da LT 230 kV SE CAMPO FORMOSO /OUROLANDIA II C-1 BA-04C2.</t>
  </si>
  <si>
    <t>0005054/2023</t>
  </si>
  <si>
    <t>11491954</t>
  </si>
  <si>
    <t>Substituição de 1 estrutura metálica autoportante 032/1 por outra com altura de 33 m e carregamento/esforço de 5554 DAN) e componentes e 04 fundações associadas da LT 230 kV RIBEIRAO /RECIFE II C-1 PE-04M1.</t>
  </si>
  <si>
    <t>0005056/2023</t>
  </si>
  <si>
    <t>11537430</t>
  </si>
  <si>
    <t>LT 230 kV CEARA MIRIM II /JOAO CAMARA II RN</t>
  </si>
  <si>
    <t>Substituição de 1 estrutura metálica monomastro 025/1 (nova altura = 39,4 m e carregamento/esforço = 4240 DAN) e componentes e 05 fundações (7,5 m³) associadas da LT 230 kV CEARA MIRIM II /JOAO CAMARA II C-1 RN-04C1-04C1.</t>
  </si>
  <si>
    <t>LT 230 kV CEARA MIRIM II /JOAO CAMARA II C-1 RN</t>
  </si>
  <si>
    <t>0005057/2023</t>
  </si>
  <si>
    <t>11615293</t>
  </si>
  <si>
    <t>LT 230 kV C.GRANDE III /C.GRANDE II PB</t>
  </si>
  <si>
    <t>Substituir 6 esferas de sinalização em 2 vão(s) da LT 230 kV C.GRANDE III /C.GRANDE II C-2 PB-04V3 (001/2;003/1).</t>
  </si>
  <si>
    <t>LT 230 kV C.GRANDE III /C.GRANDE II C-2 PB</t>
  </si>
  <si>
    <t>0005060/2023</t>
  </si>
  <si>
    <t>d-scgdscgt-04v3-esfe-0020542023</t>
  </si>
  <si>
    <t>LT 230 kV C.GRANDE III /EXTREMOZ II PB/RN</t>
  </si>
  <si>
    <t>Substituir 3 esferas de sinalização em 1 vão(s) da LT 230 kV C.GRANDE III /EXTREMOZ II C-1 PB/RN-04M1 (052/1).</t>
  </si>
  <si>
    <t>LT 230 kV C.GRANDE III /EXTREMOZ II C-1 PB/RN</t>
  </si>
  <si>
    <t>0005062/2023</t>
  </si>
  <si>
    <t>d-scgtsetd-04m1-esfe-0020552023</t>
  </si>
  <si>
    <t>Substituir 24 esferas de sinalização em 8 vão(s) da LT 500 kV CEARA MIRIM II /C.GRANDE III C-1 RN/PB-05L2 (018/1;024/3;037/1;052/2;067/3;078/2;091/2;164/2).</t>
  </si>
  <si>
    <t>0005063/2023</t>
  </si>
  <si>
    <t>d-scidscgt-05l2-esfe-0020562023</t>
  </si>
  <si>
    <t>Substituir 3 esferas de sinalização em 1 vão(s) da LT 230 kV TACAIMBO /C.GRANDE II C-1 PE/PB-04C1 (00599A).</t>
  </si>
  <si>
    <t>0005064/2023</t>
  </si>
  <si>
    <t>d-stacscgd-04c1-esfe-0020572023</t>
  </si>
  <si>
    <t>Substituir 3 esferas de sinalização em 1 vão(s) da LT 230 kV TACAIMBO /C.GRANDE II C-2 PE/PB-04C2 (00604A).</t>
  </si>
  <si>
    <t>0005065/2023</t>
  </si>
  <si>
    <t>d-stacscgd-04c2-esfe-0020582023</t>
  </si>
  <si>
    <t>Substituir 3 esferas de sinalização em 1 vão(s) da LT 230 kV C.GRANDE II /PARAISO C-2 PB/RN-04V2 (113/2).</t>
  </si>
  <si>
    <t>0005066/2023</t>
  </si>
  <si>
    <t>d-scgdsprs-04v2-esfe-0020592023</t>
  </si>
  <si>
    <t>LT 230 kV CEARA MIRIM II /EXTREMOZ II RN</t>
  </si>
  <si>
    <t>Substituir 3 esferas de sinalização em 1 vão(s) da LT 230 kV CEARA MIRIM II /EXTREMOZ II C-2 RN-04Z2 (010/1A).</t>
  </si>
  <si>
    <t>LT 230 kV CEARA MIRIM II /EXTREMOZ II C-2 RN</t>
  </si>
  <si>
    <t>0005067/2023</t>
  </si>
  <si>
    <t>d-scidsetd-04z2-esfe-0020602023</t>
  </si>
  <si>
    <t>Substituir 3 esferas de sinalização em 1 vão(s) da LT 500 kV ANGELIM II /PAU FERRO C-1 PE-05L3 (000/2).</t>
  </si>
  <si>
    <t>0005068/2023</t>
  </si>
  <si>
    <t>d-sagdspfe-05l3-esfe-0020612023</t>
  </si>
  <si>
    <t>Substituir 6 esferas de sinalização em 2 vão(s) da LT 500 kV ANGELIM II /RECIFE II C-2 PE-05L9 (001/1;001/2).</t>
  </si>
  <si>
    <t>0005070/2023</t>
  </si>
  <si>
    <t>d-sagdsrcd-05l9-esfe-0020622023</t>
  </si>
  <si>
    <t>Substituir 9 esferas de sinalização em 3 vão(s) da LT 230 kV SANTANA II /ANGELIM C-1 AL/PE-04Z9 (015/1;209/1;219/1).</t>
  </si>
  <si>
    <t>0005073/2023</t>
  </si>
  <si>
    <t>d-sstnsagl-04z9-esfe-0020642023</t>
  </si>
  <si>
    <t>Substituir 3 esferas de sinalização em 1 vão(s) da LT 230 kV TACAIMBO /C.GRANDE II C-1 PE/PB-04C1 (001/2).</t>
  </si>
  <si>
    <t>0005074/2023</t>
  </si>
  <si>
    <t>d-stacscgd-04c1-esfe-0020652023</t>
  </si>
  <si>
    <t>Substituir 3 esferas de sinalização em 1 vão(s) da LT 230 kV TACAIMBO /C.GRANDE II C-2 PE/PB-04C2 (001/2).</t>
  </si>
  <si>
    <t>0005075/2023</t>
  </si>
  <si>
    <t>d-stacscgd-04c2-esfe-0020662023</t>
  </si>
  <si>
    <t>Substituir 15 esferas de sinalização em 5 vão(s) da LT 500 kV USINA XINGO /MESSIAS C-1 AL-05V4 (002/2;019/1;072/1;077/1;219/3).</t>
  </si>
  <si>
    <t>0005076/2023</t>
  </si>
  <si>
    <t>d-sxgosmsi-05v4-esfe-0020672023</t>
  </si>
  <si>
    <t>Substituir 12 esferas de sinalização em 4 vão(s) da LT 500 kV ANGELIM II /PAU FERRO C-1 PE-05L3 (114/2;115/1;115/2;115/3).</t>
  </si>
  <si>
    <t>0005077/2023</t>
  </si>
  <si>
    <t>d-sagdspfe-05l3-esfe-0020682023</t>
  </si>
  <si>
    <t>Substituir 15 esferas de sinalização em 5 vão(s) da LT 500 kV ANGELIM II /RECIFE II C-2 PE-05L9 (115/3;116/1;116/2;168/3;171/1).</t>
  </si>
  <si>
    <t>0005078/2023</t>
  </si>
  <si>
    <t>d-sagdsrcd-05l9-esfe-0020692023</t>
  </si>
  <si>
    <t>LT 230 kV BONGI /ACONORTE PE</t>
  </si>
  <si>
    <t>Substituir 3 esferas de sinalização em 1 vão(s) da LT 230 kV BONGI /ACONORTE C-1 PE-04C1 (BGI).</t>
  </si>
  <si>
    <t>LT 230 kV BONGI /ACONORTE C-1 PE (04C1)</t>
  </si>
  <si>
    <t>0005079/2023</t>
  </si>
  <si>
    <t>d-sbgisacn-04c1-esfe-0020702023</t>
  </si>
  <si>
    <t>Substituir 6 esferas de sinalização em 2 vão(s) da LT 230 kV BONGI /JOAIRAM C-1 PE-04V4 (007/2;BGI).</t>
  </si>
  <si>
    <t>0005081/2023</t>
  </si>
  <si>
    <t>d-sjrmsbgi-04v4-esfe-0020712023</t>
  </si>
  <si>
    <t>Substituir 3 esferas de sinalização em 1 vão(s) da LT 230 kV BONGI /JOAIRAM C-2 PE-04V5 (BGI).</t>
  </si>
  <si>
    <t>0005082/2023</t>
  </si>
  <si>
    <t>d-sjrmsbgi-04v5-esfe-0020722023</t>
  </si>
  <si>
    <t>Substituir 6 esferas de sinalização em 2 vão(s) da LT 230 kV BONGI /JOAIRAM C-3 PE-04V6 (006/3;BGI).</t>
  </si>
  <si>
    <t>0005084/2023</t>
  </si>
  <si>
    <t>d-sjrmsbgi-04v6-esfe-0020732023</t>
  </si>
  <si>
    <t>LT 230 kV PAU FERRO /MIRUEIRA II PE</t>
  </si>
  <si>
    <t>Substituir 3 esferas de sinalização em 1 vão(s) da LT 230 kV PAU FERRO /MIRUEIRA II C-2 PE-04F5 (016/2).</t>
  </si>
  <si>
    <t>LT 230 kV PAU FERRO /MIRUEIRA II C-2 PE</t>
  </si>
  <si>
    <t>0005085/2023</t>
  </si>
  <si>
    <t>d-smidspfe-04f5-esfe-0020742023</t>
  </si>
  <si>
    <t>Substituir 6 esferas de sinalização em 2 vão(s) da LT 500 kV MESSIAS /SUAPE II C-1 AL/PE-05V2 (121/1;121/2).</t>
  </si>
  <si>
    <t>0005086/2023</t>
  </si>
  <si>
    <t>d-smsissud-05v2-esfe-0020752023</t>
  </si>
  <si>
    <t>LT 230 kV PAU FERRO /SANTA RITA II PE/PB</t>
  </si>
  <si>
    <t>Substituir 3 esferas de sinalização em 1 vão(s) da LT 230 kV PAU FERRO /SANTA RITA II C-2856 PE/PB-04F9 (035/1).</t>
  </si>
  <si>
    <t>LT 230 kV PAU FERRO /SANTA RITA II C-1 PE/PB</t>
  </si>
  <si>
    <t>0005087/2023</t>
  </si>
  <si>
    <t>d-spfessrd-04f9-esfe-0020762023</t>
  </si>
  <si>
    <t>LT 230 kV RECIFE II /GOIANINHA PE</t>
  </si>
  <si>
    <t>Substituir 18 esferas de sinalização em 6 vão(s) da LT 230 kV RECIFE II /GOIANINHA C-1 PE-04C8 (001/1;001/2;004/1;018/2;036/3;037/1).</t>
  </si>
  <si>
    <t>0005088/2023</t>
  </si>
  <si>
    <t>d-srcdsgnn-04c8-esfe-0020772023</t>
  </si>
  <si>
    <t>LT 230 kV RECIFE II /JABOATAO II PE</t>
  </si>
  <si>
    <t>Substituir 3 esferas de sinalização em 1 vão(s) da LT 230 kV RECIFE II /JABOATAO II C-1 PE-04J1 (013/2A).</t>
  </si>
  <si>
    <t>0005089/2023</t>
  </si>
  <si>
    <t>d-srcdsjbd-04j1-esfe-0020782023</t>
  </si>
  <si>
    <t>Substituir 3 esferas de sinalização em 1 vão(s) da LT 230 kV RECIFE II /JOAIRAM C-1 PE-04V1 (001/3).</t>
  </si>
  <si>
    <t>0005090/2023</t>
  </si>
  <si>
    <t>d-srcdsjrm-04v1-esfe-0020792023</t>
  </si>
  <si>
    <t>Substituir 6 esferas de sinalização em 2 vão(s) da LT 230 kV RECIFE II /JOAIRAM C-3 PE-04V3 (001/2;001/3).</t>
  </si>
  <si>
    <t>0005091/2023</t>
  </si>
  <si>
    <t>d-srcdsjrm-04v3-esfe-0020802023</t>
  </si>
  <si>
    <t>LT 230 kV RECIFE II /MIRUEIRA PE</t>
  </si>
  <si>
    <t>Substituir 9 esferas de sinalização em 3 vão(s) da LT 230 kV RECIFE II /MIRUEIRA C-2 PE-04C5 (001/2;001/2A;001/3).</t>
  </si>
  <si>
    <t>LT 230 kV RECIFE II /MIRUEIRA C-2 PE</t>
  </si>
  <si>
    <t>0005092/2023</t>
  </si>
  <si>
    <t>d-srcdsmrr-04c5-esfe-0020812023</t>
  </si>
  <si>
    <t>LT 230 kV RECIFE II /PAU FERRO PE</t>
  </si>
  <si>
    <t>Substituir 3 esferas de sinalização em 1 vão(s) da LT 230 kV RECIFE II /PAU FERRO C-1 PE-04F6 (001/2).</t>
  </si>
  <si>
    <t>0005093/2023</t>
  </si>
  <si>
    <t>d-srcdspfe-04f6-esfe-0020822023</t>
  </si>
  <si>
    <t>Substituir 6 esferas de sinalização em 2 vão(s) da LT 500 kV PAU FERRO /RECIFE II C-1 PE-05L8 (001/1;003/1).</t>
  </si>
  <si>
    <t>0005094/2023</t>
  </si>
  <si>
    <t>d-srcdspfe-05l8-esfe-0020832023</t>
  </si>
  <si>
    <t>LT 230 kV RECIFE II /PIRAPAMA II PE</t>
  </si>
  <si>
    <t>Substituir 9 esferas de sinalização em 3 vão(s) da LT 230 kV RECIFE II /PIRAPAMA II C-2 PE-04C1 (001/1;001/2;001/3).</t>
  </si>
  <si>
    <t>0005095/2023</t>
  </si>
  <si>
    <t>d-srcdsprd-04c1-esfe-0020842023</t>
  </si>
  <si>
    <t>Substituir 6 esferas de sinalização em 2 vão(s) da LT 230 kV RIBEIRAO /RECIFE II C-1 PE-04M1 (001/6;001/5).</t>
  </si>
  <si>
    <t>0005096/2023</t>
  </si>
  <si>
    <t>d-sribsrcd-04m1-esfe-0020852023</t>
  </si>
  <si>
    <t>LT 500 kV TERESINA II /P.DUTRA PI/MA</t>
  </si>
  <si>
    <t>Substituir 3 esferas de sinalização em 1 vão(s) da LT 500 kV TERESINA II /P.DUTRA C-2 PI/MA-05C9 (191/2).</t>
  </si>
  <si>
    <t>0005097/2023</t>
  </si>
  <si>
    <t>d-spddstsd-05c9-esfe-0020862023</t>
  </si>
  <si>
    <t>Substituir 21 esferas de sinalização em 7 vão(s) da LT 230 kV U. A. SALES /P.AFONSO III C-1 BA/AL-04M1 (001/1;001/2;004/3;004/4;005/1;005/2;005/3).</t>
  </si>
  <si>
    <t>0005098/2023</t>
  </si>
  <si>
    <t>d-huasspaf-04m1-esfe-0020872023</t>
  </si>
  <si>
    <t>Substituir 15 esferas de sinalização em 5 vão(s) da LT 230 kV U. A. SALES /P.AFONSO III C-2 BA/AL-04M2 (001/1;001/2;005/1;005/2;005/3).</t>
  </si>
  <si>
    <t>LT 230 kV U. A. SALES /P.AFONSO III C-2 BA/AL (04M2)</t>
  </si>
  <si>
    <t>0005099/2023</t>
  </si>
  <si>
    <t>d-huasspaf-04m2-esfe-0020882023</t>
  </si>
  <si>
    <t>LT 138 kV USINA PA-II /ZEBU BA</t>
  </si>
  <si>
    <t>Substituir 3 esferas de sinalização em 1 vão(s) da LT 138 kV USINA PA-II /ZEBU C-1 BA-03C1 (000006).</t>
  </si>
  <si>
    <t>LT 138 kV USINA PA-II /ZEBU C-1 BA</t>
  </si>
  <si>
    <t>0005100/2023</t>
  </si>
  <si>
    <t>d-husdszbu-03c1-esfe-0020892023</t>
  </si>
  <si>
    <t>LT 69 kV ABAIXADORA /MOXOTO BA</t>
  </si>
  <si>
    <t>Substituir 6 esferas de sinalização em 2 vão(s) da LT 69 kV ABAIXADORA /MOXOTO C-1 BA-02M1 (000005;000006).</t>
  </si>
  <si>
    <t>LT 69 kV ABAIXADORA /MOXOTO C-1 BA</t>
  </si>
  <si>
    <t>0005101/2023</t>
  </si>
  <si>
    <t>d-sabxsmxt-02m1-esfe-0020902023</t>
  </si>
  <si>
    <t>LT 69 kV ABAIXADORA /ZEBU BA/AL</t>
  </si>
  <si>
    <t>Substituir 6 esferas de sinalização em 2 vão(s) da LT 69 kV ABAIXADORA /ZEBU C-1 BA/AL-02V2 (000007;000008).</t>
  </si>
  <si>
    <t>LT 69 kV ABAIXADORA /ZEBU C-1 BA/AL</t>
  </si>
  <si>
    <t>0005102/2023</t>
  </si>
  <si>
    <t>d-sabxszbu-02v2-esfe-0020912023</t>
  </si>
  <si>
    <t>Substituir 21 esferas de sinalização em 7 vão(s) da LT 500 kV US. L.GONZAGA /GARANHUNS II C-2 PE-05Z1 (001/2;021/2;025/1;026/3;028/2;114/2;114/3).</t>
  </si>
  <si>
    <t>0005103/2023</t>
  </si>
  <si>
    <t>d-slgzsgrd-05z1-esfe-0020922023</t>
  </si>
  <si>
    <t>Substituir 3 esferas de sinalização em 1 vão(s) da LT 500 kV US. L.GONZAGA /MILAGRES C-1 PE/CE-05V1 (027/1).</t>
  </si>
  <si>
    <t>0005104/2023</t>
  </si>
  <si>
    <t>d-slgzsmlg-05v1-esfe-0020932023</t>
  </si>
  <si>
    <t>Substituir 30 esferas de sinalização em 10 vão(s) da LT 500 kV OLINDINA /US. L.GONZAGA C-1 BA/PE-05S4 (006/3;021/1;024/3;027/1;029/1;032/3;034/2;036/2;036/3;037/3).</t>
  </si>
  <si>
    <t>0005105/2023</t>
  </si>
  <si>
    <t>d-slgzsold-05s4-esfe-0020942023</t>
  </si>
  <si>
    <t>Substituir 18 esferas de sinalização em 6 vão(s) da LT 230 kV P.AFONSO III /BOM NOME C-3 AL/PE-04F3 (PAF;001/1;002/2;002/3;040/4;041/1).</t>
  </si>
  <si>
    <t>0005106/2023</t>
  </si>
  <si>
    <t>d-spafsbno-04f3-esfe-0020952023</t>
  </si>
  <si>
    <t>LT 230 kV P.AFONSO III /CIC. DANTAS AL/BA</t>
  </si>
  <si>
    <t>Substituir 51 esferas de sinalização em 17 vão(s) da LT 230 kV P.AFONSO III /CIC. DANTAS C-1 AL/BA-04S2 (1;2;3;8;22;128;251;274;349;363;384;391;397;412;424;432;437).</t>
  </si>
  <si>
    <t>LT 230 kV P.AFONSO III /CIC. DANTAS C-1 AL/BA</t>
  </si>
  <si>
    <t>0005107/2023</t>
  </si>
  <si>
    <t>d-spafsccd-04s2-esfe-0020962023</t>
  </si>
  <si>
    <t>LT 230 kV P.AFONSO III /FLORESTA II AL/PE</t>
  </si>
  <si>
    <t>Substituir 9 esferas de sinalização em 3 vão(s) da LT 230 kV P.AFONSO III /SE Floresta II C-2 AL/PE-04F2 (002/3;041/2;041/3).</t>
  </si>
  <si>
    <t>LT 230 kV P.AFONSO III /FLORESTA II C-1 AL/PE</t>
  </si>
  <si>
    <t>0005108/2023</t>
  </si>
  <si>
    <t>d-spafsftd-04f2-esfe-0020972023</t>
  </si>
  <si>
    <t>LT 230 kV P.AFONSO III /GARANHUNS II AL/PE</t>
  </si>
  <si>
    <t>Substituir 6 esferas de sinalização em 2 vão(s) da LT 230 kV P.AFONSO III /GARANHUNS II C-3 AL/PE-04L3 (002/1;002/2).</t>
  </si>
  <si>
    <t>LT 230 kV P.AFONSO III /GARANHUNS II C-3 AL/PE</t>
  </si>
  <si>
    <t>0005109/2023</t>
  </si>
  <si>
    <t>d-spafsgrd-04l3-esfe-0020982023</t>
  </si>
  <si>
    <t>Substituir 18 esferas de sinalização em 6 vão(s) da LT 230 kV P.AFONSO III /GARANHUNS II C-1 AL/PE-04L4 (002/1;002/2;014/1;017/4;039/2;137/2).</t>
  </si>
  <si>
    <t>LT 230 kV P.AFONSO III /GARANHUNS II C-1 AL/PE</t>
  </si>
  <si>
    <t>0005110/2023</t>
  </si>
  <si>
    <t>d-spafsgrd-04l4-esfe-0020992023</t>
  </si>
  <si>
    <t>Substituir 9 esferas de sinalização em 3 vão(s) da LT 230 kV P.AFONSO III /ITABAIANA C-2 AL/SE-04S7 (001/1;001/2;001/3).</t>
  </si>
  <si>
    <t>0005111/2023</t>
  </si>
  <si>
    <t>d-spafsitb-04s7-esfe-0021002023</t>
  </si>
  <si>
    <t>Substituir 9 esferas de sinalização em 3 vão(s) da LT 230 kV P.AFONSO III /SANTANA II C-1 AL-04L1 (002/1;002/2;093/1).</t>
  </si>
  <si>
    <t>0005112/2023</t>
  </si>
  <si>
    <t>d-spafsstn-04l1-esfe-0021012023</t>
  </si>
  <si>
    <t>LT 230 kV P.AFONSO III /ZEBU AL</t>
  </si>
  <si>
    <t>Substituir 6 esferas de sinalização em 2 vão(s) da LT 230 kV P.AFONSO III /ZEBU C-1 AL-04Z1 (001/2;003/1).</t>
  </si>
  <si>
    <t>LT 230 kV P.AFONSO III /ZEBU C-1 AL</t>
  </si>
  <si>
    <t>0005113/2023</t>
  </si>
  <si>
    <t>d-spafszbd-04z1-esfe-0021022023</t>
  </si>
  <si>
    <t>Substituir 39 esferas de sinalização em 13 vão(s) da LT 500 kV P. AFONSO IV /ANGELIM II C-1 BA/PE-05L6 (001/1;001/3;015/1;019/1;026/2;030/1;040/2;054/2;086/2;087/2;088/1;096/2;138/2).</t>
  </si>
  <si>
    <t>0005114/2023</t>
  </si>
  <si>
    <t>d-spaqsagd-05l6-esfe-0021032023</t>
  </si>
  <si>
    <t>LT 500 kV P. AFONSO IV /US. L.GONZAGA BA/PE</t>
  </si>
  <si>
    <t>Substituir 15 esferas de sinalização em 5 vão(s) da LT 500 kV P. AFONSO IV /US. L.GONZAGA C-1 BA/PE-05C1 (001/1;001/2;001/3;006/2;010/3).</t>
  </si>
  <si>
    <t>0005115/2023</t>
  </si>
  <si>
    <t>d-spaqslgz-05c1-esfe-0021042023</t>
  </si>
  <si>
    <t>LT 500 kV P. AFONSO IV /JEREMOABO BA</t>
  </si>
  <si>
    <t>Substituir 21 esferas de sinalização em 7 vão(s) da LT 500 kV P. AFONSO IV /JEREMOABO C-1 BA-05S5 (001/1;001/2;001/4;005/2;038/1;076/1;082/1).</t>
  </si>
  <si>
    <t>LT 500 kV P. AFONSO IV /JEREMOABO C-1 BA</t>
  </si>
  <si>
    <t>0005116/2023</t>
  </si>
  <si>
    <t>d-spaqsjer-05s5-esfe-0021052023</t>
  </si>
  <si>
    <t>LT 500 kV P. AFONSO IV /USINA XINGO BA/AL</t>
  </si>
  <si>
    <t>Substituir 12 esferas de sinalização em 4 vão(s) da LT 500 kV P. AFONSO IV /USINA XINGO C-1 BA/AL-05V6 (001/1;001/2;001/3;049/1).</t>
  </si>
  <si>
    <t>0005117/2023</t>
  </si>
  <si>
    <t>d-spaqsxgo-05v6-esfe-0021062023</t>
  </si>
  <si>
    <t>LT 230 kV TACARUTU /BOM NOME PE</t>
  </si>
  <si>
    <t>Substituir 9 esferas de sinalização em 3 vão(s) da LT 230 kV TACARUTU /BOM NOME C-1 PE-04S1 (046/2;066/2;074/1).</t>
  </si>
  <si>
    <t>LT 230 kV TACARUTU /BOM NOME C-1 PE</t>
  </si>
  <si>
    <t>0005118/2023</t>
  </si>
  <si>
    <t>d-statsbno-04s1-esfe-0021072023</t>
  </si>
  <si>
    <t>Substituir 9 esferas de sinalização em 3 vão(s) da LT 230 kV P.AFONSO III /TACARUTU C-1 AL/PE-04F1 (013/1;046/4;047/3).</t>
  </si>
  <si>
    <t>0005119/2023</t>
  </si>
  <si>
    <t>d-statspaf-04f1-esfe-0021082023</t>
  </si>
  <si>
    <t>Substituir 12 esferas de sinalização em 4 vão(s) da LT 230 kV CAMACARI II /MATATU C-1 BA-04M7 (008/1;009/2;029/2;039/2).</t>
  </si>
  <si>
    <t>0005122/2023</t>
  </si>
  <si>
    <t>d-scmdsmtt-04m7-esfe-0021112023</t>
  </si>
  <si>
    <t>LT 230 kV CAMACARI IV /PITUACU BA</t>
  </si>
  <si>
    <t>Substituir 3 esferas de sinalização em 1 vão(s) da LT 230 kV CAMACARI IV /PITUACU C-1 BA-04M8 (001/2).</t>
  </si>
  <si>
    <t>LT 230 kV CAMACARI IV /PITUACU C-1 BA</t>
  </si>
  <si>
    <t>0005123/2023</t>
  </si>
  <si>
    <t>d-scmqsptu-04m8-esfe-0021122023</t>
  </si>
  <si>
    <t>Substituir 6 esferas de sinalização em 2 vão(s) da LT 230 kV COTEGIPE /JACARACANGA C-1 BA-04L3 (38;44).</t>
  </si>
  <si>
    <t>0005124/2023</t>
  </si>
  <si>
    <t>d-sctgsjcr-04l3-esfe-0021132023</t>
  </si>
  <si>
    <t>Substituir 3 esferas de sinalização em 1 vão(s) da LT 230 kV COTEGIPE /MATATU C-1 BA-04L4 (66).</t>
  </si>
  <si>
    <t>0005125/2023</t>
  </si>
  <si>
    <t>d-sctgsmtt-04l4-esfe-0021142023</t>
  </si>
  <si>
    <t>Substituir 3 esferas de sinalização em 1 vão(s) da LT 230 kV CATU /G.MANGABEIRA C-1 BA-04M3 (001/1).</t>
  </si>
  <si>
    <t>0005126/2023</t>
  </si>
  <si>
    <t>d-sctusgvm-04m3-esfe-0021152023</t>
  </si>
  <si>
    <t>LT 230 kV G.MANGABEIRA /SAPEACU BA</t>
  </si>
  <si>
    <t>Substituir 3 esferas de sinalização em 1 vão(s) da LT 230 kV G.MANGABEIRA /SAPEACU C-1 BA-04C1 (023/2).</t>
  </si>
  <si>
    <t>0005127/2023</t>
  </si>
  <si>
    <t>d-sgvmsspu-04c1-esfe-0021162023</t>
  </si>
  <si>
    <t>LT 230 kV JACARACANGA /ALCAN BA</t>
  </si>
  <si>
    <t>Substituir 3 esferas de sinalização em 1 vão(s) da LT 230 kV JACARACANGA /ALCAN C-1 BA-04X1 (JCR).</t>
  </si>
  <si>
    <t>LT 230 kV JACARACANGA /ALCAN C-1 BA (04X1)</t>
  </si>
  <si>
    <t>0005128/2023</t>
  </si>
  <si>
    <t>d-sjcrsalc-04x1-esfe-0021172023</t>
  </si>
  <si>
    <t>LT 230 kV PITUACU /NARANDIBA BA</t>
  </si>
  <si>
    <t>Substituir 3 esferas de sinalização em 1 vão(s) da LT 230 kV PITUACU /NARANDIBA C-1 BA-04L5 (001/3).</t>
  </si>
  <si>
    <t>LT 230 kV PITUACU /NARANDIBA C-1 BA</t>
  </si>
  <si>
    <t>0005129/2023</t>
  </si>
  <si>
    <t>d-sptusnba-04l5-esfe-0021182023</t>
  </si>
  <si>
    <t>Substituição de 1 estrutura metálica autoportante 009/2 (antiga 009/3) por outra com altura de 84 m e carregamento/esforço de 25362,7 DAN) e componentes e 04 fundações associadas da LT 230 kV RIO LARGO II /BRASKEM C-1 AL-04S2.</t>
  </si>
  <si>
    <t>0005131/2023</t>
  </si>
  <si>
    <t>11576366</t>
  </si>
  <si>
    <t>LT 500 kV JOAO CAMARA III /CEARA MIRIM II RN</t>
  </si>
  <si>
    <t>Substituir 11 esferas de sinalização em 3 vão(s) da LT 500 kV JOAO CAMARA III /CEARA MIRIM II C-1 RN-05L1 (018/1;058/1;063/2).</t>
  </si>
  <si>
    <t>0005132/2023</t>
  </si>
  <si>
    <t>d-sjctscid-05l1-esfe-0021562023</t>
  </si>
  <si>
    <t>Substituição de 1 estrutura metálica autoportante 141/1 por outra com altura de 35 m e carregamento/esforço de 6000 DAN) e componentes e 04 fundações associadas da LT 230 kV SANTANA II /ANGELIM C-1 AL/PE-04Z9.</t>
  </si>
  <si>
    <t>0005133/2023</t>
  </si>
  <si>
    <t>11568224</t>
  </si>
  <si>
    <t>Substituição de 8 vigas do pátio de 230 kV da SE ITB.</t>
  </si>
  <si>
    <t>0005141/2023</t>
  </si>
  <si>
    <t>11442647</t>
  </si>
  <si>
    <t>Substituição de 2 vigas do pátio de 69 kV da SE ITB.</t>
  </si>
  <si>
    <t>0005142/2023</t>
  </si>
  <si>
    <t>11438833</t>
  </si>
  <si>
    <t>Substituir 148 cadeias de isolador em 34 estrutura(s) da LT 500 kV USINA XINGO /MESSIAS C-1 AL-05V4 (091/2;093/1;094/1;095/1;103/1;103/2;109/2;110/1;111/1;111/2;112/2;113/2;114/1;114/2;115/1;116/1;119/1;127/1;128/2;129/1;130/1;134/1;138/2;141/2;144/2;145/1;148/1;148/2;149/1;151/2;152/1;153/2;153/3;154/1).</t>
  </si>
  <si>
    <t>0005143/2023</t>
  </si>
  <si>
    <t>d-sxgosmsi-05v4-cade-0000102021</t>
  </si>
  <si>
    <t>Substituir 140 cadeias de isolador em 34 estrutura(s) da LT 500 kV USINA XINGO /MESSIAS C-1 AL-05V4 (155/1;156/1;157/2;159/2;161/2;162/1;166/1;166/2;167/1;169/1;169/2;175/3;176/1;181/1;185/1;186/2;187/2;189/1;189/2;190/1;190/2;191/1;193/2;194/1;194/2;197/1;197/2;199/1;200/1;201/1;202/1;205/1;206/1;206/2).</t>
  </si>
  <si>
    <t>0005144/2023</t>
  </si>
  <si>
    <t>d-sxgosmsi-05v4-cade-0000112021</t>
  </si>
  <si>
    <t>Substituir 135 cadeias de isolador em 13 estrutura(s) da LT 500 kV USINA XINGO /MESSIAS C-1 AL-05V4 (207/1;209/2;210/2;212/1;214/2;215/1;216/1;218/2;219/1;219/2;219/3;219/4;MSI).</t>
  </si>
  <si>
    <t>0005145/2023</t>
  </si>
  <si>
    <t>d-sxgosmsi-05v4-cade-0000122021</t>
  </si>
  <si>
    <t>LT 500 kV GARANHUNS II /ANGELIM II PE</t>
  </si>
  <si>
    <t>Substituir 146 cadeias de isolador em 10 estrutura(s) da LT 500 kV GARANHUNS II /ANGELIM II C-1 PE-05L5 (001/1;001/2;001/3;001/4;002/1;002/2;002/3;002/4;AGD;GRD).</t>
  </si>
  <si>
    <t>0005146/2023</t>
  </si>
  <si>
    <t>d-sgrdsagd-05l5-cade-0000182021</t>
  </si>
  <si>
    <t>Substituir 138 cadeias de isolador em 34 estrutura(s) da LT 500 kV ANGELIM II /RECIFE II C-2 PE-05L9 (001/1;001/2;004/1;006/1;006/2;008/1;009/1;010/1;010/2;011/2;012/1;012/2;013/2;014/1;014/2;015/1;015/2;016/1;017/1;017/2;017/3;018/1;019/1;019/2;019/3;020/1;020/2;021/1;022/1;031/1;047/1;047/2;048/1;048/2).</t>
  </si>
  <si>
    <t>0005147/2023</t>
  </si>
  <si>
    <t>d-sagdsrcd-05l9-cade-0000192021</t>
  </si>
  <si>
    <t>Substituir 168 cadeias de isolador em 35 estrutura(s) da LT 500 kV ANGELIM II /RECIFE II C-2 PE-05L9 (049/1;049/2;050/1;050/2;052/2;053/1;053/2;054/1;054/2;056/1;057/1;060/2;061/1;066/2;068/1;070/2;071/1;071/2;072/1;072/2;074/2;075/1;075/2;076/1;076/2;077/1;077/2;078/1;078/2;079/1;079/2;080/1;080/2;080/3;AGD).</t>
  </si>
  <si>
    <t>0005148/2023</t>
  </si>
  <si>
    <t>d-sagdsrcd-05l9-cade-0000202021</t>
  </si>
  <si>
    <t>Substituir 140 cadeias de isolador em 34 estrutura(s) da LT 500 kV ANGELIM II /PAU FERRO C-1 PE-05L3 (004/1;006/2;007/2;010/1;010/2;013/2;016/2;017/1;018/2;019/1;019/2;020/1;020/2;021/1;021/2;021/3;026/2;031/1;031/2;032/1;033/1;033/2;033/3;034/1;035/1;037/2;039/1;040/2;043/1;045/1;045/2;047/2;048/1;048/2).</t>
  </si>
  <si>
    <t>0005149/2023</t>
  </si>
  <si>
    <t>d-sagdspfe-05l3-cade-0000212021</t>
  </si>
  <si>
    <t>Substituir 140 cadeias de isolador em 29 estrutura(s) da LT 500 kV ANGELIM II /PAU FERRO C-1 PE-05L3 (049/1;049/2;050/1;052/2;055/1;057/2;058/2;059/1;059/2;060/1;063/1;064/1;065/2;066/1;068/1;068/2;068/3;069/1;070/1;070/2;070/3;071/1;071/2;072/1;073/1;076/1;078/1;079/3;AGD).</t>
  </si>
  <si>
    <t>0005150/2023</t>
  </si>
  <si>
    <t>d-sagdspfe-05l3-cade-0000222021</t>
  </si>
  <si>
    <t>LT 230 kV PARAISO /NATAL II RN</t>
  </si>
  <si>
    <t>Substituir 66 cadeias de isolador em 13 estrutura(s) da LT 230 kV PARAISO /NATAL II C-2 RN-04N1 (008/2;008/3;009/3;010/2;010/3;011/1;011/2;012/1;012/3;013/1;013/3;014/1;NTD).</t>
  </si>
  <si>
    <t>LT 230 kV PARAISO /NATAL II C-2 RN</t>
  </si>
  <si>
    <t>0005151/2023</t>
  </si>
  <si>
    <t>d-sprssntd-04n1-cade-0018762023</t>
  </si>
  <si>
    <t>Substituir 81 cadeias de isolador em 15 estrutura(s) da LT 230 kV PARAISO /NATAL II C-1 RN-04N2 (006/2;007/1;008/1;008/2;008/3;009/3;010/2;010/3;012/1;013/2;013/3;014/1;093/1;097/3;NTD).</t>
  </si>
  <si>
    <t>LT 230 kV PARAISO /NATAL II C-1 RN</t>
  </si>
  <si>
    <t>0005152/2023</t>
  </si>
  <si>
    <t>d-sprssntd-04n2-cade-0018772023</t>
  </si>
  <si>
    <t>Substituir 9 cadeias de isolador em 3 estrutura(s) da LT 138 kV PARAISO /SANTA CRUZ II C-1 RN-03M1 (553;554;PRS).</t>
  </si>
  <si>
    <t>0005153/2023</t>
  </si>
  <si>
    <t>d-sprssstd-03m1-cade-0018782023</t>
  </si>
  <si>
    <t>Substituir 102 cadeias de isolador em 34 estrutura(s) da LT 138 kV ACU II /SAN.MATOS II C-1 RN-03C2 (001/1;001/2;002/2;003/1;003/2;003/3;003/4;004/1;004/5;005/1;005/2;005/3;005/4;006/3;007/1;007/2;007/3;008/1;008/2;008/4;009/1;009/2;009/3;010/1;010/3;010/4;011/1;011/2;011/3;012/1;012/2;012/3;012/4;013/1).</t>
  </si>
  <si>
    <t>0005154/2023</t>
  </si>
  <si>
    <t>d-ssmdsacd-03c2-cade-0018792023</t>
  </si>
  <si>
    <t>Substituir 18 cadeias de isolador em 6 estrutura(s) da LT 138 kV ACU II /SAN.MATOS II C-1 RN-03C2 (013/3;013/4;014/2;015/1;015/3;028/3).</t>
  </si>
  <si>
    <t>0005155/2023</t>
  </si>
  <si>
    <t>d-ssmdsacd-03c2-cade-0018802023</t>
  </si>
  <si>
    <t>Substituir 3 cadeias de isolador em 1 estrutura(s) da LT 138 kV C.GRANDE II /SANTA CRUZ II C-1 PB/RN-03L1 (STD).</t>
  </si>
  <si>
    <t>0005156/2023</t>
  </si>
  <si>
    <t>d-scgdsstd-03l1-cade-0018812023</t>
  </si>
  <si>
    <t>LT 230 kV EXTREMOZ II /NATAL III RN</t>
  </si>
  <si>
    <t>Substituir 3 cadeias de isolador em 1 estrutura(s) da LT 230 kV EXTREMOZ II /NATAL III C-2 RN-04F4 (NTT).</t>
  </si>
  <si>
    <t>LT 230 kV EXTREMOZ II /NATAL III C-2 RN</t>
  </si>
  <si>
    <t>0005157/2023</t>
  </si>
  <si>
    <t>d-snttsetd-04f4-cade-0018822023</t>
  </si>
  <si>
    <t>Substituir 104 cadeias de isolador em 34 estrutura(s) da LT 500 kV JARDIM /CAMACARI IV C-1 SE/BA-05V7 (018/1;018/2;019/1;019/2;020/1;020/2;021/1;022/1;022/2;023/1;023/2;024/1;024/2;025/1;026/1;026/2;027/1;027/2;027/3;028/1;028/2;029/1;030/1;030/2;031/1;031/2;032/1;033/1;033/2;033/3;034/1;035/1;035/2;036/1).</t>
  </si>
  <si>
    <t>0005158/2023</t>
  </si>
  <si>
    <t>d-sjdmscmq-05v7-cade-0018852023</t>
  </si>
  <si>
    <t>Substituir 60 cadeias de isolador em 15 estrutura(s) da LT 500 kV JARDIM /CAMACARI IV C-1 SE/BA-05V7 (036/2;037/1;037/2;038/1;039/1;039/2;040/1;040/2;041/1;041/2;042/1;042/2;043/1;043/2;056/1).</t>
  </si>
  <si>
    <t>0005159/2023</t>
  </si>
  <si>
    <t>d-sjdmscmq-05v7-cade-0018862023</t>
  </si>
  <si>
    <t>Substituir 18 cadeias de isolador em 6 estrutura(s) da LT 500 kV USINA XINGO /JARDIM C-1 AL/SE-05V5 (101/2;102/1;102/2;103/1;104/1;104/2).</t>
  </si>
  <si>
    <t>0005160/2023</t>
  </si>
  <si>
    <t>d-sxgosjdm-05v5-cade-0018872023</t>
  </si>
  <si>
    <t>LT 138 kV C.GRANDE II /PILOES PB</t>
  </si>
  <si>
    <t>Substituir 117 cadeias de isolador em 29 estrutura(s) da LT 138 kV C.GRANDE II /PILOES C-1 PB-03L2 (1;2;3;4;5;6;7;8;9;10;11;12;13;14;15;16;17;18;19;20;21;22;23;24;25;26;27;28;29).</t>
  </si>
  <si>
    <t>LT 138 kV C.GRANDE II /PILOES C-1 PB</t>
  </si>
  <si>
    <t>0005162/2023</t>
  </si>
  <si>
    <t>d-scgdspld-03l2-cade-0018932023</t>
  </si>
  <si>
    <t>Substituir 87 cadeias de isolador em 29 estrutura(s) da LT 138 kV C.GRANDE II /PILOES C-1 PB-03L2 (30;31;32;33;34;35;36;37;38;39;40;41;42;43;44;45;46;47;48;49;50;51;52;53;54;55;56;57;58).</t>
  </si>
  <si>
    <t>0005163/2023</t>
  </si>
  <si>
    <t>d-scgdspld-03l2-cade-0018942023</t>
  </si>
  <si>
    <t>Substituir 87 cadeias de isolador em 29 estrutura(s) da LT 138 kV C.GRANDE II /PILOES C-1 PB-03L2 (59;60;61;62;63;64;65;66;67;68;69;70;71;72;73;74;75;76;77;78;79;80;81;82;83;84;85;86;87).</t>
  </si>
  <si>
    <t>0005164/2023</t>
  </si>
  <si>
    <t>d-scgdspld-03l2-cade-0018952023</t>
  </si>
  <si>
    <t>Substituir 96 cadeias de isolador em 29 estrutura(s) da LT 138 kV C.GRANDE II /PILOES C-1 PB-03L2 (88;89;90;91;92;93;94;95;96;97;98;99;100;101;102;103;104;105;106;107;108;109;110;111;112;113;114;115;116).</t>
  </si>
  <si>
    <t>0005165/2023</t>
  </si>
  <si>
    <t>d-scgdspld-03l2-cade-0018962023</t>
  </si>
  <si>
    <t>Substituir 120 cadeias de isolador em 29 estrutura(s) da LT 138 kV C.GRANDE II /PILOES C-1 PB-03L2 (117;118;119;120;121;122;123;124;125;126;127;128;129;130;131;132;133;134;135;136;137;138;139;140;141;142;143;144;145).</t>
  </si>
  <si>
    <t>0005166/2023</t>
  </si>
  <si>
    <t>d-scgdspld-03l2-cade-0018972023</t>
  </si>
  <si>
    <t>Substituir 114 cadeias de isolador em 29 estrutura(s) da LT 138 kV C.GRANDE II /PILOES C-1 PB-03L2 (146;147;148;149;150;151;152;153;154;155;156;157;158;159;160;161;162;163;164;165;166;167;168;169;170;171;172;173;174).</t>
  </si>
  <si>
    <t>0005167/2023</t>
  </si>
  <si>
    <t>d-scgdspld-03l2-cade-0018982023</t>
  </si>
  <si>
    <t>Substituir 93 cadeias de isolador em 29 estrutura(s) da LT 138 kV C.GRANDE II /PILOES C-1 PB-03L2 (175;176;177;178;179;180;181;182;183;184;185;186;187;188;189;190;191;192;193;194;195;196;197;198;199;200;201;202;203).</t>
  </si>
  <si>
    <t>0005168/2023</t>
  </si>
  <si>
    <t>d-scgdspld-03l2-cade-0018992023</t>
  </si>
  <si>
    <t>Substituir 102 cadeias de isolador em 29 estrutura(s) da LT 138 kV C.GRANDE II /PILOES C-1 PB-03L2 (204;205;206;207;208;209;210;211;212;213;214;215;216;217;218;219;220;221;222;223;224;225;226;227;228;229;230;231;232).</t>
  </si>
  <si>
    <t>0005169/2023</t>
  </si>
  <si>
    <t>d-scgdspld-03l2-cade-0019002023</t>
  </si>
  <si>
    <t>Substituir 99 cadeias de isolador em 29 estrutura(s) da LT 138 kV C.GRANDE II /PILOES C-1 PB-03L2 (233;234;235;236;237;238;239;240;241;242;243;244;245;246;247;248;249;250;251;252;253;254;255;256;257;258;259;260;261).</t>
  </si>
  <si>
    <t>0005170/2023</t>
  </si>
  <si>
    <t>d-scgdspld-03l2-cade-0019012023</t>
  </si>
  <si>
    <t>Substituir 90 cadeias de isolador em 29 estrutura(s) da LT 138 kV C.GRANDE II /PILOES C-1 PB-03L2 (262;263;264;265;266;267;268;269;270;271;272;273;274;275;276;277;278;279;280;281;282;283;284;285;286;287;288;289;290).</t>
  </si>
  <si>
    <t>0005171/2023</t>
  </si>
  <si>
    <t>d-scgdspld-03l2-cade-0019022023</t>
  </si>
  <si>
    <t>Substituir 102 cadeias de isolador em 29 estrutura(s) da LT 138 kV C.GRANDE II /PILOES C-1 PB-03L2 (291;292;293;294;295;296;297;298;299;300;301;302;303;304;305;306;307;308;309;310;311;312;313;314;315;316;317;318;319).</t>
  </si>
  <si>
    <t>0005172/2023</t>
  </si>
  <si>
    <t>d-scgdspld-03l2-cade-0019032023</t>
  </si>
  <si>
    <t>Substituir 111 cadeias de isolador em 29 estrutura(s) da LT 138 kV C.GRANDE II /PILOES C-1 PB-03L2 (320;321;322;323;324;325;326;327;328;329;330;331;332;333;334;335;336;337;338;339;340;341;342;343;344;345;346;347;348).</t>
  </si>
  <si>
    <t>0005173/2023</t>
  </si>
  <si>
    <t>d-scgdspld-03l2-cade-0019042023</t>
  </si>
  <si>
    <t>Substituir 36 cadeias de isolador em 8 estrutura(s) da LT 138 kV C.GRANDE II /PILOES C-1 PB-03L2 (349;350;351;352;073/1A;127/1A;CGD;PLD).</t>
  </si>
  <si>
    <t>0005174/2023</t>
  </si>
  <si>
    <t>d-scgdspld-03l2-cade-0019052023</t>
  </si>
  <si>
    <t>Substituir 87 cadeias de isolador em 29 estrutura(s) da LT 138 kV C.GRANDE II /SANTA CRUZ II C-1 PB/RN-03L1 (1;2;3;4;5;6;7;8;9;10;11;12;13;14;15;16;17;18;19;20;21;22;23;24;25;26;27;28;29).</t>
  </si>
  <si>
    <t>0005175/2023</t>
  </si>
  <si>
    <t>d-scgdsstd-03l1-cade-0019062023</t>
  </si>
  <si>
    <t>Substituir 96 cadeias de isolador em 29 estrutura(s) da LT 138 kV C.GRANDE II /SANTA CRUZ II C-1 PB/RN-03L1 (262;263;264;265;266;267;268;269;270;271;272;273;274;275;276;277;278;279;280;281;282;283;284;285;286;287;288;289;290).</t>
  </si>
  <si>
    <t>0005176/2023</t>
  </si>
  <si>
    <t>d-scgdsstd-03l1-cade-0019072023</t>
  </si>
  <si>
    <t>Substituir 111 cadeias de isolador em 29 estrutura(s) da LT 138 kV C.GRANDE II /SANTA CRUZ II C-1 PB/RN-03L1 (291;292;293;294;295;296;297;298;299;300;301;302;303;304;305;306;307;308;309;310;311;312;313;314;315;316;317;318;319).</t>
  </si>
  <si>
    <t>0005177/2023</t>
  </si>
  <si>
    <t>d-scgdsstd-03l1-cade-0019082023</t>
  </si>
  <si>
    <t>Substituir 117 cadeias de isolador em 29 estrutura(s) da LT 138 kV C.GRANDE II /SANTA CRUZ II C-1 PB/RN-03L1 (320;321;322;323;324;325;326;327;328;329;330;331;332;333;334;335;336;337;338;339;340;341;342;343;344;345;346;347;348).</t>
  </si>
  <si>
    <t>0005178/2023</t>
  </si>
  <si>
    <t>d-scgdsstd-03l1-cade-0019092023</t>
  </si>
  <si>
    <t>Substituir 123 cadeias de isolador em 28 estrutura(s) da LT 138 kV C.GRANDE II /SANTA CRUZ II C-1 PB/RN-03L1 (349;350;351;352;354;355;356;357;358;359;360;361;362;363;364;365;366;367;368;369;370;371;372;373;374;375;376;377).</t>
  </si>
  <si>
    <t>0005179/2023</t>
  </si>
  <si>
    <t>d-scgdsstd-03l1-cade-0019102023</t>
  </si>
  <si>
    <t>Substituir 104 cadeias de isolador em 29 estrutura(s) da LT 138 kV C.GRANDE II /SANTA CRUZ II C-1 PB/RN-03L1 (378;379;380;381;382;383;384;385;386;387;388;389;390;391;392;393;394;395;396;397;398;399;400;401;402;403;404;405;406).</t>
  </si>
  <si>
    <t>0005180/2023</t>
  </si>
  <si>
    <t>d-scgdsstd-03l1-cade-0019112023</t>
  </si>
  <si>
    <t>Substituir 120 cadeias de isolador em 23 estrutura(s) da LT 138 kV C.GRANDE II /SANTA CRUZ II C-1 PB/RN-03L1 (407;408;409;410;411;412;413;414;415;416;417;418;419;420;421;422;423;424;425;426;073/1A;127/1A;CGD).</t>
  </si>
  <si>
    <t>0005181/2023</t>
  </si>
  <si>
    <t>d-scgdsstd-03l1-cade-0019122023</t>
  </si>
  <si>
    <t>LT 230 kV COTEMINAS /LAGOA DO CARRO PB/PE</t>
  </si>
  <si>
    <t>Substituir 82 cadeias de isolador em 23 estrutura(s) da LT 230 kV COTEMINAS /LAGOA DO CARRO C-1 PB/PE-04F9 (040/2;041/1;041/2;042/1;042/2;042/3;043/1;044/1;044/2;045/1;045/2;046/1;046/2;047/1;047/2;047/3;048/1;048/2;048/3;049/1;049/2;050/1;050/2).</t>
  </si>
  <si>
    <t>LT 230 kV COTEMINAS /LAGOA DO CARRO C-1 PB/PE</t>
  </si>
  <si>
    <t>0005182/2023</t>
  </si>
  <si>
    <t>d-slacsctm-04f9-cade-0019132023</t>
  </si>
  <si>
    <t>Substituir 120 cadeias de isolador em 29 estrutura(s) da LT 138 kV PILOES /PARAISO C-1 PB/RN-03M3 (1;2;3;4;5;6;7;8;9;10;11;12;13;14;15;16;17;18;19;20;21;22;23;24;25;26;27;28;29).</t>
  </si>
  <si>
    <t>0005183/2023</t>
  </si>
  <si>
    <t>d-spldsprs-03m3-cade-0019142023</t>
  </si>
  <si>
    <t>Substituir 114 cadeias de isolador em 29 estrutura(s) da LT 138 kV PILOES /PARAISO C-1 PB/RN-03M3 (30;31;32;33;34;35;36;37;38;39;40;41;42;43;44;45;46;47;48;49;50;51;52;53;54;55;56;57;58).</t>
  </si>
  <si>
    <t>0005184/2023</t>
  </si>
  <si>
    <t>d-spldsprs-03m3-cade-0019152023</t>
  </si>
  <si>
    <t>Substituir 102 cadeias de isolador em 29 estrutura(s) da LT 138 kV PILOES /PARAISO C-1 PB/RN-03M3 (59;60;61;62;63;64;65;66;67;68;69;70;71;72;73;74;75;76;77;78;79;80;81;82;83;84;85;86;87).</t>
  </si>
  <si>
    <t>0005185/2023</t>
  </si>
  <si>
    <t>d-spldsprs-03m3-cade-0019162023</t>
  </si>
  <si>
    <t>Substituir 96 cadeias de isolador em 29 estrutura(s) da LT 138 kV PILOES /PARAISO C-1 PB/RN-03M3 (88;89;90;91;92;93;94;95;96;97;98;99;100;101;102;103;104;105;106;107;108;109;110;111;112;113;114;115;116).</t>
  </si>
  <si>
    <t>0005186/2023</t>
  </si>
  <si>
    <t>d-spldsprs-03m3-cade-0019172023</t>
  </si>
  <si>
    <t>Substituir 117 cadeias de isolador em 29 estrutura(s) da LT 138 kV PILOES /PARAISO C-1 PB/RN-03M3 (117;118;119;120;121;122;123;124;125;126;127;128;129;130;131;132;133;134;135;136;137;138;139;140;141;142;143;206;207).</t>
  </si>
  <si>
    <t>0005187/2023</t>
  </si>
  <si>
    <t>d-spldsprs-03m3-cade-0019182023</t>
  </si>
  <si>
    <t>Substituir 114 cadeias de isolador em 29 estrutura(s) da LT 138 kV PILOES /PARAISO C-1 PB/RN-03M3 (208;209;210;211;212;213;214;215;216;217;218;219;220;221;222;223;224;225;226;227;228;229;230;231;232;233;234;235;236).</t>
  </si>
  <si>
    <t>0005188/2023</t>
  </si>
  <si>
    <t>d-spldsprs-03m3-cade-0019192023</t>
  </si>
  <si>
    <t>Substituir 93 cadeias de isolador em 29 estrutura(s) da LT 138 kV PILOES /PARAISO C-1 PB/RN-03M3 (237;238;239;240;241;242;243;244;245;246;247;248;249;250;251;252;253;254;255;256;257;258;259;260;261;262;263;264;265).</t>
  </si>
  <si>
    <t>0005189/2023</t>
  </si>
  <si>
    <t>d-spldsprs-03m3-cade-0019202023</t>
  </si>
  <si>
    <t>Substituir 99 cadeias de isolador em 29 estrutura(s) da LT 138 kV PILOES /PARAISO C-1 PB/RN-03M3 (266;267;268;269;270;271;272;273;274;275;276;277;278;279;280;281;282;283;284;285;286;287;288;289;290;291;292;293;294).</t>
  </si>
  <si>
    <t>0005190/2023</t>
  </si>
  <si>
    <t>d-spldsprs-03m3-cade-0019212023</t>
  </si>
  <si>
    <t>Substituir 99 cadeias de isolador em 29 estrutura(s) da LT 138 kV PILOES /PARAISO C-1 PB/RN-03M3 (295;296;297;298;299;300;301;302;303;304;305;306;307;308;309;310;311;312;313;314;315;316;317;318;319;320;321;322;323).</t>
  </si>
  <si>
    <t>0005191/2023</t>
  </si>
  <si>
    <t>d-spldsprs-03m3-cade-0019222023</t>
  </si>
  <si>
    <t>Substituir 96 cadeias de isolador em 29 estrutura(s) da LT 138 kV PILOES /PARAISO C-1 PB/RN-03M3 (324;325;326;327;328;329;330;331;332;333;334;335;336;337;338;339;340;341;342;343;344;345;346;347;348;349;350;351;352).</t>
  </si>
  <si>
    <t>0005192/2023</t>
  </si>
  <si>
    <t>d-spldsprs-03m3-cade-0019232023</t>
  </si>
  <si>
    <t>Substituir 104 cadeias de isolador em 26 estrutura(s) da LT 500 kV GARANHUNS II /ANGELIM II C-1 PE-05L5 (003/1;003/2;004/1;004/2;005/1;005/2;006/1;006/2;007/1;007/2;008/1;008/2;009/1;009/2;009/3;010/1;010/2;011/1;011/2;011/3;012/1;012/2;012/3;013/1;013/2;014/1).</t>
  </si>
  <si>
    <t>0005193/2023</t>
  </si>
  <si>
    <t>d-sgrdsagd-05l5-cade-0019242023</t>
  </si>
  <si>
    <t>Substituir 148 cadeias de isolador em 33 estrutura(s) da LT 500 kV USINA XINGO /MESSIAS C-1 AL-05V4 (188/1;188/2;191/2;192/1;192/2;193/1;195/1;196/1;196/2;198/1;198/2;199/2;200/2;201/2;202/2;203/1;203/2;204/1;205/2;208/1;208/2;209/1;210/1;211/1;211/2;212/2;213/1;213/2;214/1;215/2;217/1;217/2;218/1).</t>
  </si>
  <si>
    <t>0005194/2023</t>
  </si>
  <si>
    <t>d-sxgosmsi-05v4-cade-0019252023</t>
  </si>
  <si>
    <t>Substituir 28 cadeias de isolador em 7 estrutura(s) da LT 500 kV ANGELIM II /PAU FERRO C-1 PE-05L3 (075/2;076/2;077/1;077/2;078/2;079/1;079/2).</t>
  </si>
  <si>
    <t>0005195/2023</t>
  </si>
  <si>
    <t>d-sagdspfe-05l3-cade-0019262023</t>
  </si>
  <si>
    <t>LT 230 kV MILAGRES /TAUA II CE</t>
  </si>
  <si>
    <t>Substituir 138 cadeias de isolador em 34 estrutura(s) da LT 230 kV MILAGRES /TAUA II C-1 CE-04M4 (025/2;026/1;026/2;030/1;030/2;031/1;033/1;033/2;040/1;042/2;045/3;046/1;049/2;050/2;050/3;051/2;052/2;053/1;053/2;055/1;057/1;058/1;058/2;061/1;064/1;064/2;066/1;066/2;067/1;071/2;072/1;073/3;074/1;078/2).</t>
  </si>
  <si>
    <t>LT 230 kV MILAGRES /TAUA II C-1 CE</t>
  </si>
  <si>
    <t>0005197/2023</t>
  </si>
  <si>
    <t>d-smlgstad-04m4-cade-0019282023</t>
  </si>
  <si>
    <t>Substituir 139 cadeias de isolador em 34 estrutura(s) da LT 230 kV MILAGRES /TAUA II C-1 CE-04M4 (083/1;083/2;084/1;086/2;093/1;094/1;094/2;108/2;109/2;131/2;132/1;132/2;133/1;133/2;134/1;134/2;135/1;136/1;137/1;150/1;194/2;195/1;198/1;198/2;199/1;199/2;199/3;200/1;200/2;201/1;201/2;202/1;202/2;203/1).</t>
  </si>
  <si>
    <t>0005198/2023</t>
  </si>
  <si>
    <t>d-smlgstad-04m4-cade-0019292023</t>
  </si>
  <si>
    <t>Substituir 30 cadeias de isolador em 10 estrutura(s) da LT 230 kV MILAGRES /TAUA II C-1 CE-04M4 (203/2;204/1;204/2;205/1;205/2;206/1;206/2;207/1;207/2;208/1).</t>
  </si>
  <si>
    <t>0005199/2023</t>
  </si>
  <si>
    <t>d-smlgstad-04m4-cade-0019302023</t>
  </si>
  <si>
    <t>LT 500 kV JEREMOABO /OLINDINA BA</t>
  </si>
  <si>
    <t>Substituir 140 cadeias de isolador em 35 estrutura(s) da LT 500 kV JEREMOABO /OLINDINA C-1 BA-05L9 (178/2;179/1;179/2;180/1;180/2;180/3;181/1;181/2;182/1;182/2;183/1;183/2;184/1;184/2;184/3;185/1;185/2;186/1;186/2;187/1;187/2;188/1;188/2;189/1;189/2;190/1;190/2;190/3;191/1;191/2;192/1;192/2;193/1;193/2;194/1).</t>
  </si>
  <si>
    <t>LT 500 kV JEREMOABO /OLINDINA C-1 BA</t>
  </si>
  <si>
    <t>0005200/2023</t>
  </si>
  <si>
    <t>d-sjersold-05l9-cade-0019312023</t>
  </si>
  <si>
    <t>Substituir 140 cadeias de isolador em 35 estrutura(s) da LT 500 kV OLINDINA /US. L.GONZAGA C-1 BA/PE-05S4 (070/1;070/2;070/3;071/1;071/2;071/3;071/4;072/1;072/2;073/1;073/2;073/3;074/1;074/2;074/4;075/1;075/2;075/3;076/1;076/2;076/3;076/4;077/1;077/2;077/3;078/1;078/2;078/3;078/4;079/1;079/2;079/3;080/1;080/2;080/3).</t>
  </si>
  <si>
    <t>0005201/2023</t>
  </si>
  <si>
    <t>d-slgzsold-05s4-cade-0019322023</t>
  </si>
  <si>
    <t>Substituir 140 cadeias de isolador em 35 estrutura(s) da LT 500 kV OLINDINA /US. L.GONZAGA C-1 BA/PE-05S4 (081/1;081/2;081/3;081/4;082/1;082/2;082/3;083/1;083/3;084/1;084/3;085/1;085/2;085/3;085/4;086/1;086/2;086/3;087/1;087/2;087/4;088/2;088/3;089/1;089/2;089/3;090/1;090/2;090/3;091/1;091/2;091/3;091/4;092/1;092/2).</t>
  </si>
  <si>
    <t>0005202/2023</t>
  </si>
  <si>
    <t>d-slgzsold-05s4-cade-0019332023</t>
  </si>
  <si>
    <t>Substituir 140 cadeias de isolador em 35 estrutura(s) da LT 500 kV OLINDINA /US. L.GONZAGA C-1 BA/PE-05S4 (092/3;093/1;093/2;094/1;094/2;094/3;095/1;095/2;095/3;096/1;096/2;096/3;097/1;097/2;097/3;097/4;098/1;098/2;098/3;099/1;099/2;099/3;100/1;100/2;100/3;101/1;101/2;101/3;101/4;102/1;102/2;102/3;103/1;103/2;103/3).</t>
  </si>
  <si>
    <t>0005203/2023</t>
  </si>
  <si>
    <t>d-slgzsold-05s4-cade-0019342023</t>
  </si>
  <si>
    <t>Substituir 140 cadeias de isolador em 35 estrutura(s) da LT 500 kV OLINDINA /US. L.GONZAGA C-1 BA/PE-05S4 (103/4;104/1;104/2;104/3;104/4;105/1;105/2;105/3;105/4;106/1;106/2;107/1;107/2;107/3;107/4;108/1;108/2;109/1;109/2;109/3;110/1;110/2;110/3;111/1;111/2;111/3;111/4;112/1;112/2;112/3;113/1;113/2;113/3;114/1;114/2).</t>
  </si>
  <si>
    <t>0005204/2023</t>
  </si>
  <si>
    <t>d-slgzsold-05s4-cade-0019352023</t>
  </si>
  <si>
    <t>Substituir 140 cadeias de isolador em 35 estrutura(s) da LT 500 kV OLINDINA /US. L.GONZAGA C-1 BA/PE-05S4 (114/3;114/4;115/1;115/2;115/3;116/1;116/2;116/3;116/4;117/1;117/2;117/3;118/1;118/3;119/1;119/2;120/1;120/2;120/3;121/1;121/2;121/3;122/1;122/2;123/1;123/2;124/1;124/2;124/3;125/1;125/2;125/4;126/1;126/2;126/3).</t>
  </si>
  <si>
    <t>0005205/2023</t>
  </si>
  <si>
    <t>d-slgzsold-05s4-cade-0019362023</t>
  </si>
  <si>
    <t>Substituir 140 cadeias de isolador em 35 estrutura(s) da LT 500 kV OLINDINA /US. L.GONZAGA C-1 BA/PE-05S4 (127/1;127/2;127/3;128/1;128/2;128/3;129/1;129/2;129/3;129/4;130/1;130/2;130/3;130/4;131/1;131/2;132/1;132/3;133/1;133/2;133/3;133/4;134/2;134/3;135/1;135/2;136/1;136/2;136/3;137/1;137/2;137/3;137/4;138/1;138/2).</t>
  </si>
  <si>
    <t>0005206/2023</t>
  </si>
  <si>
    <t>d-slgzsold-05s4-cade-0019372023</t>
  </si>
  <si>
    <t>Substituir 140 cadeias de isolador em 35 estrutura(s) da LT 500 kV OLINDINA /US. L.GONZAGA C-1 BA/PE-05S4 (138/3;139/1;139/2;139/3;140/1;140/2;141/1;141/2;141/3;141/4;142/2;142/3;143/1;143/2;143/3;144/1;144/2;144/3;145/1;145/2;146/1;146/2;146/3;146/4;147/1;147/2;148/1;148/2;149/1;149/2;149/3;150/1;150/2;151/1;151/2).</t>
  </si>
  <si>
    <t>0005207/2023</t>
  </si>
  <si>
    <t>d-slgzsold-05s4-cade-0019382023</t>
  </si>
  <si>
    <t>Substituir 140 cadeias de isolador em 35 estrutura(s) da LT 500 kV OLINDINA /US. L.GONZAGA C-1 BA/PE-05S4 (152/1;152/2;153/1;153/2;154/1;154/2;154/3;155/1;155/2;156/1;156/2;156/3;156/4;157/1;157/3;159/1;159/2;160/1;160/2;160/3;161/1;162/1;162/2;162/3;163/1;163/2;164/1;164/3;165/1;166/2;166/3;167/1;167/2;167/3;168/1).</t>
  </si>
  <si>
    <t>0005208/2023</t>
  </si>
  <si>
    <t>d-slgzsold-05s4-cade-0019392023</t>
  </si>
  <si>
    <t>Substituir 140 cadeias de isolador em 35 estrutura(s) da LT 500 kV OLINDINA /US. L.GONZAGA C-1 BA/PE-05S4 (168/2;168/3;168/4;169/1;169/2;169/3;170/1;170/2;170/3;171/1;171/2;172/2;172/3;173/1;173/2;173/3;174/1;174/2;174/3;175/1;175/2;176/1;176/2;177/1;177/2;177/3;178/1;178/2;179/1;179/2;179/3;180/1;181/1;181/2;181/3).</t>
  </si>
  <si>
    <t>0005209/2023</t>
  </si>
  <si>
    <t>d-slgzsold-05s4-cade-0019402023</t>
  </si>
  <si>
    <t>Substituir 140 cadeias de isolador em 35 estrutura(s) da LT 500 kV USINA XINGO /MESSIAS C-1 AL-05V4 (019/1;020/1;020/2;020/3;021/1;021/2;022/1;022/2;023/1;023/2;024/1;025/1;025/2;026/1;027/1;027/2;027/3;028/1;028/2;029/1;029/2;030/1;030/2;031/1;031/2;032/1;032/2;033/1;033/2;034/1;034/2;035/1;036/1;036/2;037/1).</t>
  </si>
  <si>
    <t>0005210/2023</t>
  </si>
  <si>
    <t>d-sxgosmsi-05v4-cade-0019412023</t>
  </si>
  <si>
    <t>Substituir 140 cadeias de isolador em 35 estrutura(s) da LT 500 kV USINA XINGO /MESSIAS C-1 AL-05V4 (037/2;038/1;038/2;039/1;039/2;040/1;040/2;041/1;041/2;042/1;042/2;043/1;043/2;044/1;044/2;045/1;046/1;046/2;047/1;047/2;048/1;048/2;049/1;049/2;050/1;050/2;051/1;051/2;052/1;052/2;053/1;053/2;054/1;054/2;055/1).</t>
  </si>
  <si>
    <t>0005211/2023</t>
  </si>
  <si>
    <t>d-sxgosmsi-05v4-cade-0019422023</t>
  </si>
  <si>
    <t>Substituir 140 cadeias de isolador em 35 estrutura(s) da LT 500 kV USINA XINGO /MESSIAS C-1 AL-05V4 (055/2;056/1;057/1;057/2;057/3;058/1;059/1;059/2;060/1;060/2;061/1;061/2;062/1;062/2;063/1;063/2;064/1;064/2;065/1;065/2;066/1;066/2;067/1;067/2;068/1;068/2;069/1;069/2;070/1;070/2;071/1;072/1;072/2;073/1;073/2).</t>
  </si>
  <si>
    <t>0005212/2023</t>
  </si>
  <si>
    <t>d-sxgosmsi-05v4-cade-0019432023</t>
  </si>
  <si>
    <t>Substituir 140 cadeias de isolador em 30 estrutura(s) da LT 500 kV USINA XINGO /MESSIAS C-1 AL-05V4 (074/1;074/2;075/1;075/2;076/1;076/2;077/1;077/2;078/1;078/2;079/1;079/2;080/1;080/2;081/1;082/1;082/2;083/1;083/2;084/1;084/2;085/1;085/2;086/1;086/2;087/1;087/2;088/1;089/1;089/2).</t>
  </si>
  <si>
    <t>0005213/2023</t>
  </si>
  <si>
    <t>d-sxgosmsi-05v4-cade-0019442023</t>
  </si>
  <si>
    <t>Substituir 192 cadeias de isolador em 36 estrutura(s) da LT 230 kV P.AFONSO III /GARANHUNS II C-4 AL/PE-04L4 (001/3;001/4;002/1;002/2;002/3;002/4;002/5;003/2;003/3;004/2;004/3;004/4;005/1;005/2;005/3;006/1;006/3;007/1;007/2;007/3;007/4;008/1;008/2;008/3;009/1;010/1;010/4;011/1;011/2;011/3;012/1;013/1;013/2;013/3;014/1;014/3).</t>
  </si>
  <si>
    <t>0005214/2023</t>
  </si>
  <si>
    <t>d-spafsgrd-04l4-cade-0019452023</t>
  </si>
  <si>
    <t>Substituir 148 cadeias de isolador em 35 estrutura(s) da LT 230 kV P.AFONSO III /GARANHUNS II C-4 AL/PE-04L4 (015/3;015/4;016/1;016/2;016/3;017/2;017/4;018/3;019/1;019/2;019/3;020/1;020/2;020/3;020/4;021/1;021/2;021/3;022/2;022/3;024/1;024/3;025/2;025/3;025/4;026/1;026/2;026/3;027/1;027/2;027/3;028/1;028/2;028/3;029/1).</t>
  </si>
  <si>
    <t>0005215/2023</t>
  </si>
  <si>
    <t>d-spafsgrd-04l4-cade-0019462023</t>
  </si>
  <si>
    <t>Substituir 156 cadeias de isolador em 35 estrutura(s) da LT 230 kV P.AFONSO III /GARANHUNS II C-4 AL/PE-04L4 (029/4;030/1;030/2;031/2;031/3;031/4;032/1;032/2;032/3;033/1;033/2;033/3;035/1;035/2;035/3;035/4;036/1;036/2;037/1;037/2;037/3;037/4;038/1;038/2;039/3;039/4;040/1;040/3;041/1;042/1;042/2;042/3;043/1;043/2;043/3).</t>
  </si>
  <si>
    <t>0005216/2023</t>
  </si>
  <si>
    <t>d-spafsgrd-04l4-cade-0019472023</t>
  </si>
  <si>
    <t>Substituir 148 cadeias de isolador em 35 estrutura(s) da LT 230 kV P.AFONSO III /GARANHUNS II C-4 AL/PE-04L4 (044/2;045/1;045/2;045/3;046/2;046/3;047/1;047/3;047/4;048/2;048/3;049/1;049/2;049/3;050/2;050/3;051/1;051/2;052/1;052/2;052/3;052/4;053/1;053/2;053/3;054/1;054/2;054/3;055/1;055/2;055/3;055/4;056/1;056/2;056/3).</t>
  </si>
  <si>
    <t>0005217/2023</t>
  </si>
  <si>
    <t>d-spafsgrd-04l4-cade-0019482023</t>
  </si>
  <si>
    <t>Substituir 148 cadeias de isolador em 35 estrutura(s) da LT 230 kV P.AFONSO III /GARANHUNS II C-4 AL/PE-04L4 (057/1;057/2;057/3;058/1;058/2;058/3;058/4;059/1;059/3;060/1;060/2;060/3;061/1;061/2;062/1;062/2;062/3;063/2;063/3;063/4;064/1;064/2;064/3;065/1;065/2;065/3;065/4;066/1;066/2;066/3;067/1;067/2;067/3;068/1;068/2).</t>
  </si>
  <si>
    <t>0005218/2023</t>
  </si>
  <si>
    <t>d-spafsgrd-04l4-cade-0019492023</t>
  </si>
  <si>
    <t>Substituir 148 cadeias de isolador em 35 estrutura(s) da LT 230 kV P.AFONSO III /GARANHUNS II C-4 AL/PE-04L4 (068/3;069/1;069/2;069/3;069/4;070/1;070/2;070/3;071/1;071/2;071/4;072/2;072/3;073/1;073/2;073/3;073/4;074/1;074/2;074/3;075/1;075/2;075/3;076/1;076/2;076/3;076/4;077/1;077/2;077/3;078/1;078/2;078/3;079/1;079/2).</t>
  </si>
  <si>
    <t>0005219/2023</t>
  </si>
  <si>
    <t>d-spafsgrd-04l4-cade-0019502023</t>
  </si>
  <si>
    <t>Substituir 148 cadeias de isolador em 35 estrutura(s) da LT 230 kV P.AFONSO III /GARANHUNS II C-4 AL/PE-04L4 (079/3;079/4;080/1;080/2;080/3;081/1;081/2;082/1;082/2;082/3;082/4;083/1;083/2;083/3;084/1;084/2;084/3;085/1;085/2;085/3;086/1;086/2;086/3;086/4;087/1;087/2;087/3;088/1;088/3;088/4;089/1;089/2;089/3;090/1;090/2).</t>
  </si>
  <si>
    <t>0005220/2023</t>
  </si>
  <si>
    <t>d-spafsgrd-04l4-cade-0019512023</t>
  </si>
  <si>
    <t>Substituir 148 cadeias de isolador em 35 estrutura(s) da LT 230 kV P.AFONSO III /GARANHUNS II C-4 AL/PE-04L4 (090/3;091/1;091/2;091/3;091/4;092/1;092/2;092/3;093/1;093/3;093/4;094/1;094/2;094/3;095/1;095/2;095/3;096/1;096/2;096/3;096/4;097/1;097/2;097/3;098/1;098/2;098/3;098/4;099/1;099/2;099/3;100/1;100/2;100/3;101/1).</t>
  </si>
  <si>
    <t>0005221/2023</t>
  </si>
  <si>
    <t>d-spafsgrd-04l4-cade-0019522023</t>
  </si>
  <si>
    <t>Substituir 156 cadeias de isolador em 35 estrutura(s) da LT 230 kV P.AFONSO III /GARANHUNS II C-4 AL/PE-04L4 (101/2;101/3;102/1;102/2;102/3;102/4;103/1;103/2;103/3;104/1;104/2;104/3;104/4;105/1;105/2;105/3;106/1;106/2;106/3;107/1;107/2;107/3;107/4;108/1;108/2;108/3;109/1;109/2;109/3;110/1;110/2;110/3;111/1;111/2;111/4).</t>
  </si>
  <si>
    <t>0005222/2023</t>
  </si>
  <si>
    <t>d-spafsgrd-04l4-cade-0019532023</t>
  </si>
  <si>
    <t>Substituir 148 cadeias de isolador em 33 estrutura(s) da LT 230 kV P.AFONSO III /GARANHUNS II C-4 AL/PE-04L4 (112/1;112/2;112/3;113/1;113/2;113/3;114/1;114/2;114/3;115/1;115/2;116/2;116/3;117/1;117/2;117/3;118/1;118/2;118/3;118/4;119/1;119/2;119/3;119/4;120/1;120/2;120/3;121/1;121/2;121/3;121/4;122/1;122/2).</t>
  </si>
  <si>
    <t>0005223/2023</t>
  </si>
  <si>
    <t>d-spafsgrd-04l4-cade-0019542023</t>
  </si>
  <si>
    <t>Substituir 148 cadeias de isolador em 35 estrutura(s) da LT 230 kV P.AFONSO III /GARANHUNS II C-4 AL/PE-04L4 (122/3;122/4;123/1;123/2;123/3;123/4;124/1;124/2;124/3;125/1;125/2;125/3;125/4;126/1;126/2;126/3;127/1;127/2;127/3;127/4;128/1;128/2;137/3;138/1;138/2;138/3;139/1;139/2;139/3;140/1;140/2;140/3;140/4;141/1;141/2).</t>
  </si>
  <si>
    <t>0005224/2023</t>
  </si>
  <si>
    <t>d-spafsgrd-04l4-cade-0019552023</t>
  </si>
  <si>
    <t>Substituir 164 cadeias de isolador em 35 estrutura(s) da LT 230 kV P.AFONSO III /GARANHUNS II C-4 AL/PE-04L4 (141/3;142/1;142/3;143/1;143/3;144/1;144/2;144/3;145/1;145/2;145/3;145/4;146/1;146/2;146/3;147/1;147/2;147/3;148/1;148/2;148/3;148/4;149/1;149/2;149/3;150/1;150/2;150/3;151/1;151/2;151/3;152/1;152/2;152/3;152/4).</t>
  </si>
  <si>
    <t>0005225/2023</t>
  </si>
  <si>
    <t>d-spafsgrd-04l4-cade-0019562023</t>
  </si>
  <si>
    <t>Substituir 212 cadeias de isolador em 35 estrutura(s) da LT 230 kV P.AFONSO III /GARANHUNS II C-4 AL/PE-04L4 (000/1;001/1;001/2;003/1;004/1;006/2;009/2;009/3;010/2;010/3;012/2;012/3;012/4;014/2;015/1;015/2;017/1;017/3;018/1;018/2;022/1;022/4;023/1;023/2;023/3;024/2;025/1;029/2;029/3;030/3;031/1;034/1;034/2;034/3;036/3).</t>
  </si>
  <si>
    <t>0005226/2023</t>
  </si>
  <si>
    <t>d-spafsgrd-04l4-cade-0019572023</t>
  </si>
  <si>
    <t>Substituir 144 cadeias de isolador em 26 estrutura(s) da LT 230 kV P.AFONSO III /GARANHUNS II C-4 AL/PE-04L4 (038/3;039/1;039/2;040/2;041/2;041/3;042/4;044/1;044/3;044/4;046/1;047/2;048/1;050/1;051/3;059/2;061/3;063/1;068/4;071/3;072/1;088/2;093/2;111/3;142/2;143/2).</t>
  </si>
  <si>
    <t>0005227/2023</t>
  </si>
  <si>
    <t>d-spafsgrd-04l4-cade-0019582023</t>
  </si>
  <si>
    <t>LT 230 kV U.SOBRADINHO /JUAZEIRO II BA</t>
  </si>
  <si>
    <t>Substituir 60 cadeias de isolador em 14 estrutura(s) da LT 230 kV U.SOBRADINHO /JUAZEIRO II C-1 BA-04S1 (000/3;000/4;001/2;020/1;036/2;037/1;037/2;038/1;038/2;039/1;040/1;040/2;041/1;006/2).</t>
  </si>
  <si>
    <t>LT 230 kV U.SOBRADINHO /JUAZEIRO II C-1 BA</t>
  </si>
  <si>
    <t>0005230/2023</t>
  </si>
  <si>
    <t>d-ssobsjzd-04s1-cade-0019632023</t>
  </si>
  <si>
    <t>Substituir 66 cadeias de isolador em 14 estrutura(s) da LT 230 kV U.SOBRADINHO /JUAZEIRO II C-2 BA-04S2 (000/3;000/4;001/2;020/1;036/2;037/1;037/2;038/1;038/2;039/1;040/1;040/2;041/1;006/2).</t>
  </si>
  <si>
    <t>LT 230 kV U.SOBRADINHO /JUAZEIRO II C-2 BA</t>
  </si>
  <si>
    <t>0005233/2023</t>
  </si>
  <si>
    <t>d-ssobsjzd-04s2-cade-0019662023</t>
  </si>
  <si>
    <t>LT 230 kV JUAZEIRO II /SR.BONFIM II BA</t>
  </si>
  <si>
    <t>Substituir 120 cadeias de isolador em 34 estrutura(s) da LT 230 kV JUAZEIRO II /SR.BONFIM II C-1 BA-04N2 (001/2;001/3;001/4;002/1;002/2;003/1;003/2;004/1;004/2;005/1;005/2;006/1;006/2;007/1;007/2;008/1;008/2;009/1;009/2;010/1;010/2;011/1;011/2;012/1;012/2;013/1;013/2;014/1;014/2;015/1;015/2;016/1;016/2;017/1).</t>
  </si>
  <si>
    <t>LT 230 kV JUAZEIRO II /SR.BONFIM II C-1 BA</t>
  </si>
  <si>
    <t>0005234/2023</t>
  </si>
  <si>
    <t>d-sjzdssnb-04n2-cade-0019672023</t>
  </si>
  <si>
    <t>Substituir 114 cadeias de isolador em 34 estrutura(s) da LT 230 kV JUAZEIRO II /SR.BONFIM II C-1 BA-04N2 (017/2;017/3;018/1;018/2;019/1;019/2;020/1;020/2;021/1;021/2;022/1;022/2;023/1;023/2;024/1;024/2;025/1;025/2;026/1;026/2;027/1;027/2;028/1;028/2;029/1;029/2;030/1;030/2;031/1;031/2;032/1;032/2;033/1;033/2).</t>
  </si>
  <si>
    <t>0005235/2023</t>
  </si>
  <si>
    <t>d-sjzdssnb-04n2-cade-0019682023</t>
  </si>
  <si>
    <t>Substituir 111 cadeias de isolador em 34 estrutura(s) da LT 230 kV JUAZEIRO II /SR.BONFIM II C-1 BA-04N2 (066/2;067/1;067/2;068/1;068/2;069/1;069/2;070/1;070/2;071/1;071/2;072/1;072/2;073/1;073/2;073/3;074/1;074/2;075/1;075/2;076/1;076/2;077/1;077/2;078/1;078/2;078/3;079/1;079/2;079/3;080/1;080/2;081/1;081/2).</t>
  </si>
  <si>
    <t>0005238/2023</t>
  </si>
  <si>
    <t>d-sjzdssnb-04n2-cade-0019712023</t>
  </si>
  <si>
    <t>Substituir 111 cadeias de isolador em 34 estrutura(s) da LT 230 kV JUAZEIRO II /SR.BONFIM II C-1 BA-04N2 (082/1;082/2;083/1;083/2;084/1;084/2;085/1;085/2;086/1;086/2;087/1;087/2;088/1;088/2;088/3;088/4;089/1;089/2;090/1;090/2;091/1;091/2;092/1;092/2;092/3;093/1;093/2;094/1;094/2;095/1;095/2;096/1;096/2;097/1).</t>
  </si>
  <si>
    <t>0005239/2023</t>
  </si>
  <si>
    <t>d-sjzdssnb-04n2-cade-0019722023</t>
  </si>
  <si>
    <t>Substituir 111 cadeias de isolador em 34 estrutura(s) da LT 230 kV JUAZEIRO II /SR.BONFIM II C-1 BA-04N2 (097/2;097/3;098/1;098/2;100/2;103/3;104/1;106/2;107/2;107/3;108/2;109/1;109/2;114/1;114/2;114/3;115/1;115/2;116/1;116/2;117/1;117/2;118/1;119/2;120/1;120/2;121/1;121/2;122/2;123/1;124/1;124/2;124/3;125/1).</t>
  </si>
  <si>
    <t>0005240/2023</t>
  </si>
  <si>
    <t>d-sjzdssnb-04n2-cade-0019732023</t>
  </si>
  <si>
    <t>Substituir 60 cadeias de isolador em 14 estrutura(s) da LT 230 kV JUAZEIRO II /SR.BONFIM II C-1 BA-04N2 (143/2;144/1;144/2;145/1;145/2;146/1;146/2;147/1;147/2;147/3;148/1;148/2;148/3;149/1).</t>
  </si>
  <si>
    <t>0005242/2023</t>
  </si>
  <si>
    <t>d-sjzdssnb-04n2-cade-0019752023</t>
  </si>
  <si>
    <t>LT 230 kV JUAZEIRO II /JAGUARARI-SE BA</t>
  </si>
  <si>
    <t>Substituir 126 cadeias de isolador em 34 estrutura(s) da LT 230 kV JUAZEIRO II /JAGUARARI-SE C-1 BA-04N1 (001/2;001/3;001/4;002/1;002/2;003/1;003/2;004/1;004/2;005/1;005/2;006/1;006/2;007/1;007/2;008/1;008/2;009/1;009/2;010/1;010/2;011/1;011/2;012/1;012/2;013/1;013/2;014/1;014/2;015/1;015/2;016/1;016/2;017/1).</t>
  </si>
  <si>
    <t>LT 230 kV JUAZEIRO II /JAGUARARI-SE C-1 BA</t>
  </si>
  <si>
    <t>0005243/2023</t>
  </si>
  <si>
    <t>d-sjzdsjgr-04n1-cade-0019762023</t>
  </si>
  <si>
    <t>Substituir 111 cadeias de isolador em 34 estrutura(s) da LT 230 kV JUAZEIRO II /JAGUARARI-SE C-1 BA-04N1 (017/2;017/3;018/1;018/2;019/1;019/2;020/1;020/2;021/1;021/2;022/1;022/2;023/1;023/2;024/1;024/2;025/1;025/2;026/1;026/2;027/1;027/2;028/1;028/2;029/1;029/2;030/1;030/2;031/1;031/2;032/1;032/2;033/1;033/2).</t>
  </si>
  <si>
    <t>0005244/2023</t>
  </si>
  <si>
    <t>d-sjzdsjgr-04n1-cade-0019772023</t>
  </si>
  <si>
    <t>Substituir 126 cadeias de isolador em 29 estrutura(s) da LT 230 kV JUAZEIRO II /JAGUARARI-SE C-1 BA-04N1 (066/2;067/1;067/2;068/1;068/2;069/1;069/2;070/1;070/2;071/1;071/2;072/1;072/2;073/1;073/2;073/3;074/1;074/2;075/1;075/2;076/1;076/2;077/1;077/2;078/1;078/1A;078/1B;078/2;078/1C).</t>
  </si>
  <si>
    <t>0005247/2023</t>
  </si>
  <si>
    <t>d-sjzdsjgr-04n1-cade-0019802023</t>
  </si>
  <si>
    <t>LT 230 kV JAGUARARI-SE /SR.BONFIM II BA</t>
  </si>
  <si>
    <t>Substituir 138 cadeias de isolador em 33 estrutura(s) da LT 230 kV JAGUARARI-SE /SR.BONFIM II C-1 BA-04L1 (078/3C;078/2;078/3B;078/3D;079/2;079/3;080/1;080/2;081/1;081/2;082/1;082/2;083/1;083/2;084/1;084/2;085/1;085/2;086/1;086/2;087/1;087/2;088/1;088/2;088/3;088/4;089/1;089/2;090/1;090/2;091/1;091/2;092/1).</t>
  </si>
  <si>
    <t>LT 230 kV JAGUARARI-SE /SR.BONFIM II C-1 BA</t>
  </si>
  <si>
    <t>0005248/2023</t>
  </si>
  <si>
    <t>d-sjgrssnb-04l1-cade-0019812023</t>
  </si>
  <si>
    <t>Substituir 111 cadeias de isolador em 34 estrutura(s) da LT 230 kV JAGUARARI-SE /SR.BONFIM II C-1 BA-04L1 (092/2;092/3;093/1;093/2;094/1;094/2;095/1;095/2;096/1;096/2;097/1;097/2;097/3;098/1;098/2;100/2;103/3;104/1;106/2;107/2;107/3;108/2;109/1;109/2;114/1;114/2;114/3;115/1;115/2;116/1;116/2;117/1;117/2;118/1).</t>
  </si>
  <si>
    <t>0005249/2023</t>
  </si>
  <si>
    <t>d-sjgrssnb-04l1-cade-0019822023</t>
  </si>
  <si>
    <t>Substituir 111 cadeias de isolador em 34 estrutura(s) da LT 230 kV JAGUARARI-SE /SR.BONFIM II C-1 BA-04L1 (119/2;120/1;120/2;121/1;121/2;122/2;123/1;124/1;124/2;124/3;125/1;125/2;126/2;127/1;127/2;128/1;128/2;129/1;129/2;130/1;130/2;131/1;131/2;132/1;132/2;132/3;133/1;133/2;134/1;134/2;135/1;135/2;136/1;136/2).</t>
  </si>
  <si>
    <t>0005250/2023</t>
  </si>
  <si>
    <t>d-sjgrssnb-04l1-cade-0019832023</t>
  </si>
  <si>
    <t>Substituir 93 cadeias de isolador em 25 estrutura(s) da LT 230 kV JAGUARARI-SE /SR.BONFIM II C-1 BA-04L1 (138/2;139/1;139/2;140/1;140/2;141/1;141/2;142/1;142/2;142/3;143/1;143/2;144/1;144/2;145/1;145/2;146/1;146/2;147/1;147/2;147/3;148/1;148/2;148/3;149/1).</t>
  </si>
  <si>
    <t>0005251/2023</t>
  </si>
  <si>
    <t>d-sjgrssnb-04l1-cade-0019842023</t>
  </si>
  <si>
    <t>LT 230 kV SR.BONFIM II /CAMPO FORMOSO BA</t>
  </si>
  <si>
    <t>Substituir 111 cadeias de isolador em 34 estrutura(s) da LT 230 kV SR.BONFIM II /CAMPO FORMOSO C-1 BA-04C1 (044/2;045/1;045/2;046/1;046/2;047/1;047/2;048/2;049/1;049/2;050/1;050/2;051/1;051/2;052/2;053/1;055/1;055/3;056/1;057/1;057/2;058/1;059/1;060/1;060/2;061/1;061/2;061/3;062/1;062/2;063/1;064/2;065/2;065/3).</t>
  </si>
  <si>
    <t>LT 230 kV SR.BONFIM II /CAMPO FORMOSO C-1 BA</t>
  </si>
  <si>
    <t>0005252/2023</t>
  </si>
  <si>
    <t>d-ssnbscfo-04c1-cade-0019852023</t>
  </si>
  <si>
    <t>Substituir 120 cadeias de isolador em 34 estrutura(s) da LT 230 kV SR.BONFIM II /CAMPO FORMOSO C-1 BA-04C1 (020/1;021/2;022/1;023/1;023/2;023/3;023/4;024/1;024/2;024/3;025/1;025/2;026/4;027/3;028/1;029/2;029/3;033/1;033/2;034/1;034/2;035/1;035/2;036/1;038/2;039/1;039/2;041/1;041/2;042/1;042/2;043/1;043/3;044/1).</t>
  </si>
  <si>
    <t>0005254/2023</t>
  </si>
  <si>
    <t>d-ssnbscfo-04c1-cade-0019862023</t>
  </si>
  <si>
    <t>Substituir 18 cadeias de isolador em 6 estrutura(s) da LT 230 kV SR.BONFIM II /CAMPO FORMOSO C-1 BA-04C1 (016/1;016/2;016/3;017/1;019/1;019/2).</t>
  </si>
  <si>
    <t>0005258/2023</t>
  </si>
  <si>
    <t>d-ssnbscfo-04c1-cade-0019872023</t>
  </si>
  <si>
    <t>Substituir 3 cadeias de isolador em 1 estrutura(s) da LT 230 kV SE CAMPO FORMOSO /OUROLANDIA II C-1 BA-04C2 (007/1).</t>
  </si>
  <si>
    <t>0005262/2023</t>
  </si>
  <si>
    <t>d-scfosour-04c2-cade-0019912023</t>
  </si>
  <si>
    <t>Substituir 3 cadeias de isolador em 1 estrutura(s) da LT 230 kV CEARA MIRIM II /JOAO CAMARA II C-1 RN-04C1 (025/1).</t>
  </si>
  <si>
    <t>0005266/2023</t>
  </si>
  <si>
    <t>d-scidsjcd-04c1-cade-0020522023</t>
  </si>
  <si>
    <t>Substituir 6 cadeias de isolador em 2 estrutura(s) da LT 230 kV RIO LARGO II /BRASKEM C-1 AL-04S2 (009/1;009/3).</t>
  </si>
  <si>
    <t>0005272/2023</t>
  </si>
  <si>
    <t>d-srldsbsk-04s2-cade-0021242023</t>
  </si>
  <si>
    <t>Substituir 3 cadeias de isolador em 1 estrutura(s) da LT 230 kV SANTANA II /ANGELIM C-1 AL/PE-04Z9 (141/1).</t>
  </si>
  <si>
    <t>0005275/2023</t>
  </si>
  <si>
    <t>d-sstnsagl-04z9-cade-0021602023</t>
  </si>
  <si>
    <t>LT 230 kV CAMACARI II /FEIRA DE SANTANA III BA</t>
  </si>
  <si>
    <t>Substituir 159 cadeias de isolador em 53 estrutura(s) da LT 230 kV SE FEIRA DE SANTANA III /CAMACARI II C-1 BA-04C6 (001/2;001/4;002/1;004/1;008/1;008/2;012/2;013/2;015/1;015/2;016/1;016/2;017/2;017/3;018/2;019/1;020/1;021/1;022/1;023/2;023/3;024/2;025/1;025/2;026/1;026/2;027/2;028/1;028/2;029/1;029/2;030/1;032/1;032/2;033/1;033/2;034/1;034/2;035/1;036/2;037/1;038/1;038/2;039/2;040/1;040/2;041/3;042/2;043/1;043/2;045/1;047/2;048/1).</t>
  </si>
  <si>
    <t>LT 230 kV CAMACARI II /FEIRA DE SANTANA III C-2 BA</t>
  </si>
  <si>
    <t>0005279/2023</t>
  </si>
  <si>
    <t>d-scmdsfst-04c6-cade-0023882023</t>
  </si>
  <si>
    <t>LT 230 kV FEIRA DE SANTANA III /G.MANGABEIRA BA</t>
  </si>
  <si>
    <t>Substituir 171 cadeias de isolador em 57 estrutura(s) da LT 230 kV G.MANGABEIRA /SE FEIRA DE SANTANA III C-1 BA-04F6 (048/2;050/2;053/1;056/1;057/1;057/2;058/1;059/1;059/2;060/1;060/2;060/3;062/1;062/2;062/3;063/1;064/1;064/2;064/3;065/1;066/2;067/1;067/2;068/1;068/2;069/1;069/3;070/1;070/2;070/3;071/1;071/3;072/1;072/2;072/3;073/1;073/2;073/5;074/2;075/1;075/2;076/1;077/1;077/2;077/3;078/1;078/2;079/1;079/2;080/1;080/2;081/2;082/1;082/2;083/1;083/3;084/1).</t>
  </si>
  <si>
    <t>LT 230 kV FEIRA DE SANTANA III /G.MANGABEIRA C-2 BA</t>
  </si>
  <si>
    <t>0005283/2023</t>
  </si>
  <si>
    <t>d-sgvmsfst-04f6-cade-0023892023</t>
  </si>
  <si>
    <t>Substituir 45 cadeias de isolador em 15 estrutura(s) da LT 230 kV CAMACARI II /G.MANGABEIRA C-1 BA-04C7 (009/2;009/3;011/1;012/1;012/2;013/1;015/2;018/1;028/1;031/2;035/2;035/3;036/1;040/1;071/2).</t>
  </si>
  <si>
    <t>0005286/2023</t>
  </si>
  <si>
    <t>d-scmdsgvm-04c7-cade-0023902023</t>
  </si>
  <si>
    <t>Substituir 93 cadeias de isolador em 31 estrutura(s) da LT 230 kV CAMACARI II /MATATU C-1 BA-04M7 (1;2;4;024/2;001/1;001/2;001/3;001/5;002/3;003/3;012/2;013/1;015/1;015/2;017/1;017/2;018/2;019/1;020/2;020/3;021/1;024/3;025/2;026/1;026/2;031/3;032/2;032/3;034/2;037/2;045/1).</t>
  </si>
  <si>
    <t>0005289/2023</t>
  </si>
  <si>
    <t>d-scmdsmtt-04m7-cade-0023912023</t>
  </si>
  <si>
    <t>LT 230 kV CAMACARI II /PITUACU BA</t>
  </si>
  <si>
    <t>Substituir 15 cadeias de isolador em 5 estrutura(s) da LT 230 kV CAMACARI II /PITUACU C-2 BA-04M9 (001/2;017/3;020/1;026/3;035/2).</t>
  </si>
  <si>
    <t>LT 230 kV CAMACARI II /PITUACU C-1 BA</t>
  </si>
  <si>
    <t>0005293/2023</t>
  </si>
  <si>
    <t>d-scmdsptu-04m9-cade-0023922023</t>
  </si>
  <si>
    <t>LT 230 kV CAMACARI IV /COTEGIPE BA</t>
  </si>
  <si>
    <t>Substituir 9 cadeias de isolador em 3 estrutura(s) da LT 230 kV CAMACARI IV /COTEGIPE C-1 BA-04M6 (003/3;004/1;004/2).</t>
  </si>
  <si>
    <t>LT 230 kV CAMACARI IV /COTEGIPE C-1 BA</t>
  </si>
  <si>
    <t>0005300/2023</t>
  </si>
  <si>
    <t>d-scmqsctg-04m6-cade-0023942023</t>
  </si>
  <si>
    <t>Substituir 138 cadeias de isolador em 46 estrutura(s) da LT 230 kV COTEGIPE /MATATU C-1 BA-04L4 (1;2;5;8;9;11;13;14;18;22;23;24;29;33;34;36;38;39;41;42;43;44;46;54;56;58;59;63;64;67;68;69;70;73;74;75;79;80;81;83;85;86;87;89;90;91).</t>
  </si>
  <si>
    <t>0005303/2023</t>
  </si>
  <si>
    <t>d-sctgsmtt-04l4-cade-0023952023</t>
  </si>
  <si>
    <t>Substituir 78 cadeias de isolador em 26 estrutura(s) da LT 230 kV CATU /G.MANGABEIRA C-1 BA-04M3 (21;26;43;44;48;49;50;54;56;59;67;68;79;82;83;86;91;103;117;118;122;129;131;135;152;218).</t>
  </si>
  <si>
    <t>0005307/2023</t>
  </si>
  <si>
    <t>d-sctusgvm-04m3-cade-0023962023</t>
  </si>
  <si>
    <t>LT 230 kV JACARACANGA /DOW QUIMICA BA</t>
  </si>
  <si>
    <t>Substituir 27 cadeias de isolador em 9 estrutura(s) da LT 230 kV JACARACANGA /DOW QUIMICA C-2 BA-04N4 (5;12;14;15;16;17;20;21;23).</t>
  </si>
  <si>
    <t>LT 230 kV JACARACANGA /DOW QUIMICA C-2 BA (04N4)</t>
  </si>
  <si>
    <t>0005317/2023</t>
  </si>
  <si>
    <t>d-sjcrsdow-04n4-cade-0023982023</t>
  </si>
  <si>
    <t>Substituir 42 cadeias de isolador em 14 estrutura(s) da LT 230 kV SAPEACU /FUNIL C-1 BA-04F1 (002/5;006/1;006/2;007/3;008/2;009/3;010/3;015/3;017/1;019/2;025/1;025/2;025/4;029/1).</t>
  </si>
  <si>
    <t>0005321/2023</t>
  </si>
  <si>
    <t>d-sspusfnl-04f1-cade-0023992023</t>
  </si>
  <si>
    <t>LT 230 kV ALAGOINHAS II /CATU BA</t>
  </si>
  <si>
    <t>Substituir 60 cadeias de isolador em 20 estrutura(s) da LT 230 kV ALAGOINHAS II /CATU C-2 BA-04L3 (548;549;552;554;555;557;566;594;601;603;605;609;611;617;634;635;637;650;654;680).</t>
  </si>
  <si>
    <t>LT 230 kV ALAGOINHAS II /CATU C-2 BA</t>
  </si>
  <si>
    <t>0005326/2023</t>
  </si>
  <si>
    <t>d-saldsctu-04l3-cade-0024002023</t>
  </si>
  <si>
    <t>LT 230 kV CIC. DANTAS /ALAGOINHAS II BA</t>
  </si>
  <si>
    <t>Substituir 117 cadeias de isolador em 39 estrutura(s) da LT 230 kV CIC. DANTAS /ALAGOINHAS II C-1 BA-04L8 (448;450;457;460;461;462;464;465;466;467;471;480;481;486;487;491;493;494;495;497;498;500;504;505;506;512;513;516;519;523;524;525;526;529;531;532;539;540;546).</t>
  </si>
  <si>
    <t>LT 230 kV CIC. DANTAS /ALAGOINHAS II C-2 BA</t>
  </si>
  <si>
    <t>0005330/2023</t>
  </si>
  <si>
    <t>d-sccdsald-04l8-cade-0024012023</t>
  </si>
  <si>
    <t>Substituir 162 cadeias de isolador em 54 estrutura(s) da LT 230 kV CIC. DANTAS /CATU C-1 BA-04L2 (134/1;135/2;136/1;138/2;139/3;141/3;142/3;143/2;144/1;144/3;145/1;145/2;145/3;146/3;147/2;148/2;148/3;150/2;151/1;151/2;151/3;151/4;152/2;152/3;152/4;159/1;162/2;164/1;164/2;165/1;165/2;166/2;167/2;167/3;168/1;180/1;180/2;181/1;182/1;183/3;185/1;186/1;187/1;188/1;188/2;190/1;191/3;191/4;192/1;192/3;193/1;193/2;197/2;201/3).</t>
  </si>
  <si>
    <t>0005335/2023</t>
  </si>
  <si>
    <t>d-sccdsctu-04l2-cade-0024022023</t>
  </si>
  <si>
    <t>LT 230 kV CAMACARI II /BRAS.C.SODA BA</t>
  </si>
  <si>
    <t>Substituir 18 cadeias de isolador em 6 estrutura(s) da LT 230 kV CAMACARI II /BRAS.C.SODA C-1 BA-04C9 (001/4;002/1;003/1;007/8;008/1;008/2).</t>
  </si>
  <si>
    <t>LT 230 kV CAMACARI II /BRAS.C.SODA C-1 BA (04C9)</t>
  </si>
  <si>
    <t>0005340/2023</t>
  </si>
  <si>
    <t>d-scmdsbcs-04c9-cade-0024032023</t>
  </si>
  <si>
    <t>LT 230 kV CATU /CAMACARI IV BA</t>
  </si>
  <si>
    <t>Substituir 42 cadeias de isolador em 14 estrutura(s) da LT 230 kV CATU /CAMACARI IV C-1 BA-04M1 (007/2;010/3;012/2;013/3;014/2;015/3;016/3;019/2;021/1;024/4;025/1;025/3;025/4;025/5).</t>
  </si>
  <si>
    <t>LT 230 kV CATU /CAMACARI IV C-1 BA</t>
  </si>
  <si>
    <t>0005352/2023</t>
  </si>
  <si>
    <t>d-sctuscmq-04m1-cade-0024062023</t>
  </si>
  <si>
    <t>Substituir 30 cadeias de isolador em 10 estrutura(s) da LT 230 kV CATU /CAMACARI IV C-2 BA-04M2 (006/2;007/2;011/3;012/2;024/4;025/1;025/2;025/3;025/4;025/5).</t>
  </si>
  <si>
    <t>LT 230 kV CATU /CAMACARI IV C-2 BA</t>
  </si>
  <si>
    <t>0005354/2023</t>
  </si>
  <si>
    <t>d-sctuscmq-04m2-cade-0024072023</t>
  </si>
  <si>
    <t>Substituir 270 cadeias de isolador em 90 estrutura(s) da LT 230 kV CIC. DANTAS /ALAGOINHAS II C-1 BA-04L8 (243;244;245;246;247;248;249;250;251;252;253;254;255;256;257;258;259;260;261;262;263;264;265;266;274;275;276;277;278;279;280;281;282;283;284;285;286;287;288;289;290;291;292;293;294;295;296;297;298;299;300;301;302;303;304;305;306;307;308;309;310;311;312;314;315;316;317;318;319;320;321;322;323;324;325;326;327;328;329;330;331;332;333;334;335;336;337;338;339;340).</t>
  </si>
  <si>
    <t>0005358/2023</t>
  </si>
  <si>
    <t>d-sccdsald-04l8-cade-0024102023</t>
  </si>
  <si>
    <t>Substituir 270 cadeias de isolador em 90 estrutura(s) da LT 230 kV CIC. DANTAS /ALAGOINHAS II C-1 BA-04L8 (341;342;343;344;345;346;347;348;349;350;351;352;353;354;355;356;357;358;359;360;361;362;363;364;365;366;367;368;369;370;371;372;373;374;375;376;377;378;379;380;381;382;383;384;385;386;387;388;389;390;391;392;393;394;395;396;397;398;399;400;401;402;403;404;405;406;407;408;409;410;411;412;413;414;415;416;417;418;419;420;421;422;423;424;425;426;427;428;429;430).</t>
  </si>
  <si>
    <t>0005360/2023</t>
  </si>
  <si>
    <t>d-sccdsald-04l8-cade-0024112023</t>
  </si>
  <si>
    <t>Substituir 57 cadeias de isolador em 19 estrutura(s) da LT 230 kV CIC. DANTAS /ALAGOINHAS II C-1 BA-04L8 (431;432;433;434;435;436;437;438;439;440;441;442;080/2;080/3;080/4;081/1;081/2;081/3;082/1).</t>
  </si>
  <si>
    <t>0005362/2023</t>
  </si>
  <si>
    <t>d-sccdsald-04l8-cade-0024122023</t>
  </si>
  <si>
    <t>Substituir 180 cadeias de isolador em 60 estrutura(s) da LT 230 kV CIC. DANTAS /CATU C-1 BA-04L2 (073/1;073/2;073/3;074/1;074/2;074/3;075/1;075/2;075/3;076/1;076/2;076/3;076/4;077/1;077/2;077/3;078/1;078/2;078/3;079/1;079/2;079/3;080/1;080/2;080/3;081/2;081/3;082/1;082/2;082/3;083/1;083/2;083/3;084/1;084/2;084/3;084/4;085/1;085/3;086/1;086/2;086/3;087/1;087/2;087/3;088/1;088/2;088/3;088/4;089/1;089/2;089/3;090/1;090/2;090/3;091/1;091/2;091/3;092/1;092/2).</t>
  </si>
  <si>
    <t>0005367/2023</t>
  </si>
  <si>
    <t>d-sccdsctu-04l2-cade-0024132023</t>
  </si>
  <si>
    <t>Substituir 180 cadeias de isolador em 60 estrutura(s) da LT 230 kV CIC. DANTAS /CATU C-1 BA-04L2 (092/3;093/1;093/2;093/3;094/1;094/2;094/3;094/4;095/1;095/2;095/3;096/1;096/2;096/3;096/4;097/1;097/2;097/3;098/1;098/2;098/3;099/1;099/2;099/3;100/1;100/2;100/3;101/1;101/2;101/3;101/4;102/1;102/2;102/3;103/1;103/2;103/3;104/1;104/2;104/3;105/1;105/2;105/3;105/4;106/1;106/2;107/1;107/2;107/3;108/1;108/2;108/3;108/4;109/1;109/2;109/3;110/1;110/2;110/3;110/4).</t>
  </si>
  <si>
    <t>0005369/2023</t>
  </si>
  <si>
    <t>d-sccdsctu-04l2-cade-0024142023</t>
  </si>
  <si>
    <t>Substituir 180 cadeias de isolador em 60 estrutura(s) da LT 230 kV CIC. DANTAS /CATU C-1 BA-04L2 (111/1;111/2;111/3;112/1;112/2;112/3;112/4;113/1;113/2;113/3;113/4;114/1;114/2;115/1;115/2;115/3;116/1;116/2;116/3;116/4;117/1;118/1;118/2;118/3;118/4;119/1;119/2;119/3;120/1;120/2;120/3;121/1;121/2;121/3;121/4;122/1;122/2;123/1;123/2;123/3;124/1;124/2;124/3;124/4;125/1;125/2;126/1;126/2;127/1;127/2;127/3;127/4;128/1;128/2;128/3;129/1;129/2;129/3;130/1;130/2).</t>
  </si>
  <si>
    <t>0005370/2023</t>
  </si>
  <si>
    <t>d-sccdsctu-04l2-cade-0024152023</t>
  </si>
  <si>
    <t>Substituir 27 cadeias de isolador em 9 estrutura(s) da LT 230 kV CIC. DANTAS /CATU C-1 BA-04L2 (130/3;131/1;131/2;131/3;132/1;132/2;132/3;132/4;133/1).</t>
  </si>
  <si>
    <t>0005372/2023</t>
  </si>
  <si>
    <t>d-sccdsctu-04l2-cade-0024162023</t>
  </si>
  <si>
    <t>Substituir 180 cadeias de isolador em 60 estrutura(s) da LT 500 kV JARDIM /CAMACARI IV C-1 SE/BA-05V7 (044/1;045/1;045/2;046/1;046/2;047/1;047/2;048/1;049/1;049/2;050/1;050/2;051/1;051/2;052/1;053/1;053/2;054/1;054/2;055/1;055/2;055/3;056/2;057/1;057/2;058/1;058/2;059/1;059/2;060/1;061/1;061/2;061/3;062/1;062/2;063/1;064/1;064/2;064/3;065/1;065/2;066/1;066/2;067/1;068/1;068/2;069/1;069/2;070/1;070/2;071/1;071/2;072/1;072/2;073/1;074/1;074/2;075/1;075/2;076/1).</t>
  </si>
  <si>
    <t>0005373/2023</t>
  </si>
  <si>
    <t>d-sjdmscmq-05v7-cade-0024172023</t>
  </si>
  <si>
    <t>Substituir 180 cadeias de isolador em 60 estrutura(s) da LT 500 kV JARDIM /CAMACARI IV C-1 SE/BA-05V7 (077/1;077/2;078/1;078/2;079/1;079/2;080/1;080/2;081/1;081/2;081/3;082/1;082/2;083/1;083/2;084/1;084/2;085/1;085/2;086/1;087/1;087/2;088/1;088/2;089/1;089/2;090/1;091/1;091/2;091/3;092/1;093/1;093/2;094/1;095/1;095/2;096/1;096/2;097/1;097/2;098/1;098/2;099/1;099/2;100/1;100/2;101/1;102/1;102/2;103/1;103/2;104/1;105/1;105/2;106/1;106/2;107/1;107/2;108/1;109/1).</t>
  </si>
  <si>
    <t>0005374/2023</t>
  </si>
  <si>
    <t>d-sjdmscmq-05v7-cade-0024182023</t>
  </si>
  <si>
    <t>Substituir 78 cadeias de isolador em 26 estrutura(s) da LT 500 kV JARDIM /CAMACARI IV C-1 SE/BA-05V7 (109/2;110/1;110/2;111/1;112/1;112/2;113/1;113/2;114/1;114/2;115/1;116/1;116/2;117/1;117/2;118/1;118/2;119/1;120/1;120/2;120/3;121/1;121/2;122/1;122/2;JDM).</t>
  </si>
  <si>
    <t>0005375/2023</t>
  </si>
  <si>
    <t>d-sjdmscmq-05v7-cade-0024192023</t>
  </si>
  <si>
    <t>Substituir 180 cadeias de isolador em 60 estrutura(s) da LT 230 kV P.AFONSO III /ITABAIANA C-1 AL/SE-04S6 (084/2;085/2;086/1;086/2;087/1;087/2;087/3;088/1;089/1;089/2;090/1;090/2;091/1;091/2;092/1;092/2;092/3;093/1;093/2;094/1;094/2;095/1;095/2;096/2;097/1;097/2;098/1;098/2;098/3;099/1;099/2;100/1;100/2;101/2;102/1;102/2;103/1;103/2;104/2;104/3;105/1;105/2;106/1;106/2;107/1;107/2;108/1;108/2;108/3;109/1;109/2;110/1;110/2;110/3;111/1;111/2;112/1;112/2;113/1;113/2).</t>
  </si>
  <si>
    <t>0005376/2023</t>
  </si>
  <si>
    <t>d-spafsitb-04s6-cade-0024202023</t>
  </si>
  <si>
    <t>Substituir 180 cadeias de isolador em 60 estrutura(s) da LT 230 kV P.AFONSO III /ITABAIANA C-1 AL/SE-04S6 (113/3;114/1;114/2;115/1;115/2;116/1;117/1;117/2;118/1;118/3;119/2;120/2;121/1;121/2;122/2;123/1;123/2;124/1;124/2;125/1;125/2;126/1;126/2;127/1;127/2;128/1;129/1;129/2;130/1;130/3;131/2;132/2;133/2;134/2;138/1;139/1;139/3;140/1;140/2;141/1;142/1;143/1;144/1;144/3;145/2;146/2;147/1;148/1;149/1;149/2;150/1;150/2;153/3;154/1;154/2;156/1;157/1;158/3;159/1;159/2).</t>
  </si>
  <si>
    <t>0005378/2023</t>
  </si>
  <si>
    <t>d-spafsitb-04s6-cade-0024212023</t>
  </si>
  <si>
    <t>Substituir 27 cadeias de isolador em 9 estrutura(s) da LT 230 kV P.AFONSO III /ITABAIANA C-1 AL/SE-04S6 (160/2;161/2;162/1;162/2;162/3;163/1;163/2;ITB;PAF).</t>
  </si>
  <si>
    <t>0005379/2023</t>
  </si>
  <si>
    <t>d-spafsitb-04s6-cade-0024222023</t>
  </si>
  <si>
    <t>Substituir 180 cadeias de isolador em 60 estrutura(s) da LT 230 kV P.AFONSO III /ITABAIANA C-2 AL/SE-04S7 (084/1;084/2;085/1;085/2;086/1;086/2;087/1;087/2;087/3;088/1;088/2;089/1;089/2;090/1;090/2;091/2;092/1;092/2;092/3;093/1;093/2;094/1;094/2;095/1;095/2;095/3;096/1;096/2;097/1;097/2;098/1;098/2;098/3;099/1;099/2;100/1;100/2;101/1;101/2;101/3;102/1;102/2;103/1;103/2;104/1;104/2;104/3;105/1;105/2;106/1;106/2;107/1;107/2;108/1;108/2;108/3;109/1;109/2;110/2;110/3).</t>
  </si>
  <si>
    <t>0005382/2023</t>
  </si>
  <si>
    <t>d-spafsitb-04s7-cade-0024232023</t>
  </si>
  <si>
    <t>Substituir 180 cadeias de isolador em 60 estrutura(s) da LT 230 kV P.AFONSO III /ITABAIANA C-2 AL/SE-04S7 (111/1;111/2;112/1;112/2;113/1;113/2;114/1;114/2;115/1;115/2;116/1;117/1;117/2;118/1;118/3;119/2;120/2;121/1;121/2;122/2;123/1;123/2;124/1;124/2;125/1;125/2;126/1;126/2;127/1;127/2;128/1;129/1;130/1;130/3;131/2;132/2;133/2;134/2;137/1;139/1;139/3;140/1;140/2;141/1;142/1;143/1;144/1;144/3;145/2;146/2;147/1;149/1;149/2;150/1;150/2;153/3;154/1;154/2;156/1;157/1).</t>
  </si>
  <si>
    <t>0005386/2023</t>
  </si>
  <si>
    <t>d-spafsitb-04s7-cade-0024242023</t>
  </si>
  <si>
    <t>Substituir 27 cadeias de isolador em 9 estrutura(s) da LT 230 kV P.AFONSO III /ITABAIANA C-2 AL/SE-04S7 (158/3;159/1;160/2;161/2;162/1;162/2;162/3;163/1;163/2).</t>
  </si>
  <si>
    <t>0005390/2023</t>
  </si>
  <si>
    <t>d-spafsitb-04s7-cade-0024252023</t>
  </si>
  <si>
    <t>Substituição da proteção Falha de Disjuntor principal, referente ao Interligador de Barras (IB) 525 kV da SE Blumenau, DJ1090 (vão entre o RT2 e o TF5), incluindo painéis e cabos de controle e potência associados.</t>
  </si>
  <si>
    <t>0005398/2023</t>
  </si>
  <si>
    <t>Substituição do sistema de controle e supervisão (com unidade redundante) do Interligador de Barras (IB) 525 kV da SE Blumenau, DJ1090 (vão entre o RT2 e o TF5), incluindo painéis e cabos de controle e potência associados.</t>
  </si>
  <si>
    <t>0005399/2023</t>
  </si>
  <si>
    <t>Substituição das proteções Principal, Alternada e Falha de Disjuntor, referentes a LT 230 kV Blumenau - Joinville Norte C-1, incluindo painéis e cabos de controle e potência associados.</t>
  </si>
  <si>
    <t>0005400/2023</t>
  </si>
  <si>
    <t>Substituição do sistema de controle e supervisão (com unidade redundante) da LT 230 kV Blumenau - Joinville Norte C-1, incluindo painéis e cabos de controle e potência associados.</t>
  </si>
  <si>
    <t>0005401/2023</t>
  </si>
  <si>
    <t>Substituição das proteções Principal, Alternada e Falha de Disjuntor, referentes a LT 230 kV Blumenau - Joinville C-1, incluindo painéis e cabos de controle e potência associados.</t>
  </si>
  <si>
    <t>0005403/2023</t>
  </si>
  <si>
    <t>PP, PA, BF - LT JOI C-1</t>
  </si>
  <si>
    <t>Substituição do sistema de controle e supervisão (com unidade redundante) da LT 230 kV Blumenau - Joinville C-1, incluindo painéis e cabos de controle e potência associados.</t>
  </si>
  <si>
    <t>0005406/2023</t>
  </si>
  <si>
    <t>Substituição do sistema de controle e supervisão (com unidade redundante) da LT 230 kV Blumenau - Gaspar 2 C-1, incluindo painéis e cabos de controle e potência associados.</t>
  </si>
  <si>
    <t>LT 230 kV BLUMENAU /GASPAR 2 C-1 SC</t>
  </si>
  <si>
    <t>0005408/2023</t>
  </si>
  <si>
    <t>Controle - LT GAS2 C-1</t>
  </si>
  <si>
    <t>Substituição dos sistemas de proteção da LT 230 kV XAVANTES /BANDEIRANTES C-2 GO</t>
  </si>
  <si>
    <t>LT 230 kV XAVANTES /BANDEIRANTES C-2 GO</t>
  </si>
  <si>
    <t>0007026/2023</t>
  </si>
  <si>
    <t>PROTEÇÃO - LT 230 kV XAVANTES /BANDEIRANTES C-2 GO</t>
  </si>
  <si>
    <t>Substituição do registrador de perturbações digital da  LT 230 kV XAVANTES /BANDEIRANTES C-2 GO</t>
  </si>
  <si>
    <t>0007027/2023</t>
  </si>
  <si>
    <t>RDP - LT 230 kV XAVANTES /BANDEIRANTES C-2 GO</t>
  </si>
  <si>
    <t>Substituição do sistema de controle e supervisão (com unidade redundante) da LT 230 kV Blumenau - Gaspar 2 C-2, incluindo painéis e cabos de controle e potência associados.</t>
  </si>
  <si>
    <t>0005419/2023</t>
  </si>
  <si>
    <t>Controle - LT GAS2 C-2</t>
  </si>
  <si>
    <t>Substituição de 01 (um) Disjuntor 69 kV posição operacional 12F2 da Subestação CMD.</t>
  </si>
  <si>
    <t>EL 69 kV CAMACARI II STA HELENA-02F1 (12F2)</t>
  </si>
  <si>
    <t>0005433/2023</t>
  </si>
  <si>
    <t>11340460</t>
  </si>
  <si>
    <t>Substituição de 01 (um) Disjuntor 69 kV posição operacional 12T5 da Subestação CMD.</t>
  </si>
  <si>
    <t>0005438/2023</t>
  </si>
  <si>
    <t>11340461</t>
  </si>
  <si>
    <t>Substituição de 01 (uma) Seccionadora 69 kV posição operacional 32A1-8 da Subestação CMD.</t>
  </si>
  <si>
    <t>MC 69 kV TT 69/13,8 kV CAMACARI II TA1 BA (32A1)</t>
  </si>
  <si>
    <t>0005442/2023</t>
  </si>
  <si>
    <t>11337629</t>
  </si>
  <si>
    <t>Substituição de 01 (uma) Seccionadora 69 kV posição operacional 32A2-8 da Subestação CMD.</t>
  </si>
  <si>
    <t>MC 69 kV TT 69/13,8 kV CAMACARI II TA2 BA (32A2)</t>
  </si>
  <si>
    <t>0005443/2023</t>
  </si>
  <si>
    <t>11339923</t>
  </si>
  <si>
    <t>Substituição de 01 (uma) Seccionadora 69 kV posição operacional 32F2-4 da Subestação CMD.</t>
  </si>
  <si>
    <t>0005445/2023</t>
  </si>
  <si>
    <t>11335473</t>
  </si>
  <si>
    <t>Substituição de 01 (uma) Seccionadora 69 kV posição operacional 32F2-5 da Subestação CMD.</t>
  </si>
  <si>
    <t>0005448/2023</t>
  </si>
  <si>
    <t>11337630</t>
  </si>
  <si>
    <t>Substituição de 01 (uma) Seccionadora 69 kV posição operacional 32F2-6 da Subestação CMD.</t>
  </si>
  <si>
    <t>0005452/2023</t>
  </si>
  <si>
    <t>11335474</t>
  </si>
  <si>
    <t>Substituição de 01 (uma) Seccionadora 69 kV posição operacional 32J6-8 da Subestação CMD.</t>
  </si>
  <si>
    <t>EL 69 kV CAMACARI II CTG CTU-02J6 (12J6)</t>
  </si>
  <si>
    <t>0005453/2023</t>
  </si>
  <si>
    <t>11457212</t>
  </si>
  <si>
    <t>Substituição de disjuntor DJ718 (nº serie: 1140-2R-005, cod. mat.: 10191568).</t>
  </si>
  <si>
    <t>0005454/2023</t>
  </si>
  <si>
    <t>DJ718</t>
  </si>
  <si>
    <t>Substituição de 01 (uma) Seccionadora 69 kV posição operacional 32T5-4 da Subestação CMD.</t>
  </si>
  <si>
    <t>0005456/2023</t>
  </si>
  <si>
    <t>11337631</t>
  </si>
  <si>
    <t>Substituição de disjuntor DJ518 (nº serie: 1140-PM-003, cod. mat.: 10191579).</t>
  </si>
  <si>
    <t>0005457/2023</t>
  </si>
  <si>
    <t>DJ518</t>
  </si>
  <si>
    <t>Substituição de 01 (uma) Seccionadora 69 kV posição operacional 32T5-5 da Subestação CMD.</t>
  </si>
  <si>
    <t>0005458/2023</t>
  </si>
  <si>
    <t>11337632</t>
  </si>
  <si>
    <t>Substituição de 01 (uma) Seccionadora 69 kV posição operacional 32T5-6 da Subestação CMD.</t>
  </si>
  <si>
    <t>0005459/2023</t>
  </si>
  <si>
    <t>11335475</t>
  </si>
  <si>
    <t>Substituição de 01 (uma) Seccionadora 69 kV posição operacional 32T6-4 da Subestação CMD.</t>
  </si>
  <si>
    <t>0005462/2023</t>
  </si>
  <si>
    <t>11337633</t>
  </si>
  <si>
    <t>Substituição de 01 (uma) Seccionadora 69 kV posição operacional 32T6-5 da Subestação CMD.</t>
  </si>
  <si>
    <t>0005466/2023</t>
  </si>
  <si>
    <t>11337634</t>
  </si>
  <si>
    <t>Substituição de 01 (uma) Seccionadora 69 kV posição operacional 32T6-6 da Subestação CMD.</t>
  </si>
  <si>
    <t>0005470/2023</t>
  </si>
  <si>
    <t>11335476</t>
  </si>
  <si>
    <t>Substituição de 01 (uma) Seccionadora 230 kV posição operacional 34M2-5 da Subestação RCD.</t>
  </si>
  <si>
    <t>0005477/2023</t>
  </si>
  <si>
    <t>11335589</t>
  </si>
  <si>
    <t>Substituição de Disjuntor DJ2512 (nº serie: 9235, cod. int.: 10191007).</t>
  </si>
  <si>
    <t>0005609/2023</t>
  </si>
  <si>
    <t>DJ2512</t>
  </si>
  <si>
    <t>Substituição de Disjuntor DJ2552 (nº serie: 9236, cod. int.: 10191008).</t>
  </si>
  <si>
    <t>0005610/2023</t>
  </si>
  <si>
    <t>DJ2552</t>
  </si>
  <si>
    <t>Substituição do sistema de controle e supervisão (com unidade redundante) da LT 230 kV Blumenau - Itajaí C-1, incluindo painéis e cabos de controle e potência associados.</t>
  </si>
  <si>
    <t>0005508/2023</t>
  </si>
  <si>
    <t>Controle - LT ITJ C-1</t>
  </si>
  <si>
    <t>Substituição do sistema de controle e supervisão (com unidade redundante) da LT 230 kV Blumenau - Itajaí C-2, incluindo painéis e cabos de controle e potência associados.</t>
  </si>
  <si>
    <t>0005510/2023</t>
  </si>
  <si>
    <t>Controle - LT ITJ C-2</t>
  </si>
  <si>
    <t>Substituição de RLC - RT2513 - AT57 - FASE A (nº serie: 822010, cod. int.: 10183842)</t>
  </si>
  <si>
    <t>0005612/2023</t>
  </si>
  <si>
    <t>RT2513 - AT57 - FASE A</t>
  </si>
  <si>
    <t>Substituição de RLC - RT2513 - AT57 - FASE B (nº serie: 822011, cod. int.: 10183843)</t>
  </si>
  <si>
    <t>0005613/2023</t>
  </si>
  <si>
    <t>RT2513 - AT57 - FASE B</t>
  </si>
  <si>
    <t>Substituição de RLC - RT2513 - AT57 - FASE C (nº serie: 822012, cod. int.: 10183844)</t>
  </si>
  <si>
    <t>0005615/2023</t>
  </si>
  <si>
    <t>RT2513 - AT57 - FASE C</t>
  </si>
  <si>
    <t>Substituição de RLC - RT2553 - AT59 - FASE A (nº serie: 862109, cod. int.: 10183845)</t>
  </si>
  <si>
    <t>0005617/2023</t>
  </si>
  <si>
    <t>RT2553 - AT59 - FASE A</t>
  </si>
  <si>
    <t>Substituição de RLC - RT2553 - AT59 - FASE B (nº serie: 862110, cod. int.: 10183846)</t>
  </si>
  <si>
    <t>0005618/2023</t>
  </si>
  <si>
    <t>RT2553 - AT59 - FASE B</t>
  </si>
  <si>
    <t>Substituição de RLC - RT2553 - AT59 - FASE C (nº serie: 862111, cod. int.: 10183847)</t>
  </si>
  <si>
    <t>0005619/2023</t>
  </si>
  <si>
    <t>RT2553 - AT59 - FASE C</t>
  </si>
  <si>
    <t>Substituição das proteções Principal, Alternada e Falha de Disjuntor, referentes ao Banco de Capacitores 1 (BC1) da SE Blumenau, incluindo painéis e cabos de controle e potência associados.</t>
  </si>
  <si>
    <t>BC 230 kV 125 Mvar BLUMENAU BC1 SC</t>
  </si>
  <si>
    <t>0005518/2023</t>
  </si>
  <si>
    <t>PP, PA, BF - BC1</t>
  </si>
  <si>
    <t>Substituição de Seccionadora SC9135 (nº serie: 10909, cod. int.: 10194900)</t>
  </si>
  <si>
    <t>0005527/2023</t>
  </si>
  <si>
    <t>SC9135</t>
  </si>
  <si>
    <t>Substituição de Seccionadora SC9137 (nº serie: 10911, cod. int.: 10194902)</t>
  </si>
  <si>
    <t>0005528/2023</t>
  </si>
  <si>
    <t>SC9137</t>
  </si>
  <si>
    <t>Substituição de Seccionadora SC9235 (nº serie: 10916, cod. int.: 10194903)</t>
  </si>
  <si>
    <t>LT 500 kV C. PAULISTA / FERNAO DIAS C 1 SP</t>
  </si>
  <si>
    <t>0005530/2023</t>
  </si>
  <si>
    <t>SC9235</t>
  </si>
  <si>
    <t>Substituição do sistema de controle e supervisão (com unidade redundante) do Banco de Capacitores 1 (BC1) da SE Blumenau, incluindo painéis e cabos de controle e potência associados.</t>
  </si>
  <si>
    <t>0005531/2023</t>
  </si>
  <si>
    <t>Controle - BC1</t>
  </si>
  <si>
    <t>Substituição de Seccionadora SC9237 (nº serie: 10910, cod. int.: 10194901)</t>
  </si>
  <si>
    <t>0005532/2023</t>
  </si>
  <si>
    <t>SC9237</t>
  </si>
  <si>
    <t>Substituição das proteções Principal, Alternada e Falha de Disjuntor, referentes ao Banco de Capacitores 2 (BC2) da SE Blumenau, incluindo painéis e cabos de controle e potência associados.</t>
  </si>
  <si>
    <t>BC 230 kV 125 Mvar BLUMENAU BC2 SC</t>
  </si>
  <si>
    <t>0005533/2023</t>
  </si>
  <si>
    <t>PP, PA, BF - BC2</t>
  </si>
  <si>
    <t>Substituição de Seccionadora SC2513 (nº serie: 7809, cod. int.: 10192968)</t>
  </si>
  <si>
    <t>0005535/2023</t>
  </si>
  <si>
    <t>SC2513</t>
  </si>
  <si>
    <t>Substituição do sistema de controle e supervisão (com unidade redundante) do Banco de Capacitores 2 (BC2) da SE Blumenau, incluindo painéis e cabos de controle e potência associados.</t>
  </si>
  <si>
    <t>0005536/2023</t>
  </si>
  <si>
    <t>Controle - BC2</t>
  </si>
  <si>
    <t>Substituição de Seccionadora SC2553 (nº serie: 7808, cod. int.: 10192967)</t>
  </si>
  <si>
    <t>0005537/2023</t>
  </si>
  <si>
    <t>SC2553</t>
  </si>
  <si>
    <t>Substituição das proteções Principal, Alternada e Falha de Disjuntor, referentes ao TR1 230/138 kV da SE Blumenau, lados de 230 e 138 kV, incluindo painéis e cabos de controle e potência associados.</t>
  </si>
  <si>
    <t>0005539/2023</t>
  </si>
  <si>
    <t>Substituição do sistema de controle e supervisão (com unidade redundante) do TR1 230/138 kV da SE Blumenau, lados de 230 e 138 kV, incluindo painéis e cabos de controle e potência associados.</t>
  </si>
  <si>
    <t>0005544/2023</t>
  </si>
  <si>
    <t>Controle - TF1 230</t>
  </si>
  <si>
    <t>Substituição das proteções Principal, Alternada e Falha de Disjuntor, referentes ao TR2 230/138 kV da SE Blumenau, lados de 230 e 138 kV, incluindo painéis e cabos de controle e potência associados.</t>
  </si>
  <si>
    <t>0005560/2023</t>
  </si>
  <si>
    <t>Substituição do sistema de controle e supervisão (com unidade redundante) do TR2 230/138 kV da SE Blumenau, lados de 230 e 138 kV, incluindo painéis e cabos de controle e potência associados.</t>
  </si>
  <si>
    <t>0005565/2023</t>
  </si>
  <si>
    <t>Controle - TF2 230</t>
  </si>
  <si>
    <t>Substituição das proteções Principal, Alternada e Falha de Disjuntor, referentes ao TR3 230/138 kV da SE Blumenau, lados de 230 e 138 kV, incluindo painéis e cabos de controle e potência associados.</t>
  </si>
  <si>
    <t>0005573/2023</t>
  </si>
  <si>
    <t>PP, PA, BF - TF3 230</t>
  </si>
  <si>
    <t>Substituição do sistema de controle e supervisão (com unidade redundante) do TR3 230/138 kV da SE Blumenau, lados de 230 e 138 kV, incluindo painéis e cabos de controle e potência associados.</t>
  </si>
  <si>
    <t>0005575/2023</t>
  </si>
  <si>
    <t>Controle - TF3 230</t>
  </si>
  <si>
    <t>Substituição dos Painéis de Distribuição 125 VCC (QD1, QD2, QD3) e cabos associados, referentes aos Serviços Auxiliares da SE Campo Mourão.</t>
  </si>
  <si>
    <t>0005580/2023</t>
  </si>
  <si>
    <t>Substituição das proteções Principal, Alternada e Falha de Disjuntor, referentes ao TR4 230/138 kV da SE Blumenau, lados de 230 e 138 kV, incluindo painéis e cabos de controle e potência associados.</t>
  </si>
  <si>
    <t>0005581/2023</t>
  </si>
  <si>
    <t>PP, PA, BF - TF4 230</t>
  </si>
  <si>
    <t>Substituição dos Painéis de Distribuição 48 VCC (QD1/48) e cabos associados, referentes aos Serviços Auxiliares da SE Campo Mourão.</t>
  </si>
  <si>
    <t>0005582/2023</t>
  </si>
  <si>
    <t>Substituição do sistema de controle e supervisão (com unidade redundante) do TR4 230/138 kV da SE Blumenau, lados de 230 e 138 kV, incluindo painéis e cabos de controle e potência associados.</t>
  </si>
  <si>
    <t>0005584/2023</t>
  </si>
  <si>
    <t>Controle - TF4 230</t>
  </si>
  <si>
    <t>Substituição dos Painéis de Distribuição 460 VCA (QD1/2, QD1/460, QD2/460) e cabos associados, referentes aos Serviços Auxiliares da SE Campo Mourão.</t>
  </si>
  <si>
    <t>0005585/2023</t>
  </si>
  <si>
    <t>Painel - 460 VCA</t>
  </si>
  <si>
    <t>Substituição dos Painéis de Distribuição 220 VCA (QD1/220) e cabos associados, referentes aos Serviços Auxiliares da SE Campo Mourão.</t>
  </si>
  <si>
    <t>0005596/2023</t>
  </si>
  <si>
    <t>Substituição de Grupo Motor-Gerador, 460 Vca, painel de conexão (PCMG) e cabos associados, referentes aos Serviços Auxiliares da SE Campo Mourão.</t>
  </si>
  <si>
    <t>0005599/2023</t>
  </si>
  <si>
    <t>MG1 - 460 VCA</t>
  </si>
  <si>
    <t>Substituição da proteção Falha de Disjuntor principal, referente ao Interligador de Barras (IB) 230 kV da SE Blumenau, DJ842, incluindo painéis e cabos de controle e potência associados.</t>
  </si>
  <si>
    <t>0005601/2023</t>
  </si>
  <si>
    <t>BF - DJ842</t>
  </si>
  <si>
    <t>Substituição do sistema de controle e supervisão (com unidade redundante) do Interligador de Barras (IB) 230 kV da SE Blumenau, DJ842, incluindo painéis e cabos de controle e potência associados.</t>
  </si>
  <si>
    <t>0005604/2023</t>
  </si>
  <si>
    <t>Controle - DJ842</t>
  </si>
  <si>
    <t>Substituição das proteções Primária, Secundária e Falha de Disjuntor, referentes a LT 138 kV Blumenau - Blumenau Dois C-1, incluindo painéis e cabos de controle e potência associados.</t>
  </si>
  <si>
    <t>0005605/2023</t>
  </si>
  <si>
    <t>PP, PS, BF - LT BND C-1</t>
  </si>
  <si>
    <t>Substituição do sistema de controle e supervisão da LT 138 kV Blumenau - Blumenau Dois C-1, incluindo painéis e cabos de controle e potência associados.</t>
  </si>
  <si>
    <t>0005607/2023</t>
  </si>
  <si>
    <t>Controle - LT BND C-1</t>
  </si>
  <si>
    <t>Substituição de Disjuntor tripolar 525 kV, DJ1050, referente ao Interligador de Barras entre o TF3 e o Reator 2. Associado à obra, são esperadas substituições/adaptações de fundações e suportes, cabos de controle e potência, barramento, conectores e conexão de aterramento.</t>
  </si>
  <si>
    <t>0005608/2023</t>
  </si>
  <si>
    <t>Substituição das proteções Primária, Secundária e Falha de Disjuntor, referentes a LT 138 kV Blumenau - Blumenau Dois C-2, incluindo painéis e cabos de controle e potência associados.</t>
  </si>
  <si>
    <t>0005611/2023</t>
  </si>
  <si>
    <t>PP, PS, BF - LT BND C-2</t>
  </si>
  <si>
    <t>Substituição do sistema de controle e supervisão da LT 138 kV Blumenau - Blumenau Dois C-2, incluindo painéis e cabos de controle e potência associados.</t>
  </si>
  <si>
    <t>0005614/2023</t>
  </si>
  <si>
    <t>Controle - LT BND C-2</t>
  </si>
  <si>
    <t>Substituição de Chave Seccionadora tripolar 525 kV, CS1059, referente ao Reator 2 da SE Gravataí. Associado à obra são esperadas substituições/adaptações de fundações, suportes, cabos de controle/potência, barramento, conectores e conexão de aterramento.</t>
  </si>
  <si>
    <t>0005616/2023</t>
  </si>
  <si>
    <t>Substituição das proteções Primária, Secundária e Falha de Disjuntor, referentes a LT 138 kV Blumenau - Ilhota C-1, incluindo painéis e cabos de controle e potência associados.</t>
  </si>
  <si>
    <t>0005620/2023</t>
  </si>
  <si>
    <t>PP, PS, BF - LT ITA C-1</t>
  </si>
  <si>
    <t>Substituição de Transformador de Corrente TC12513 TERCIARIO AT57 FASE A (nº serie: 338108, cod. int.: 10232808).
Capacidade de curto-circuito (kA) do novo equipamento: 50 kA.</t>
  </si>
  <si>
    <t>0006967/2023</t>
  </si>
  <si>
    <t>TC12513 TERCIARIO AT57 FASE A</t>
  </si>
  <si>
    <t>Substituição do sistema de controle e supervisão da LT 138 kV Blumenau - Ilhota C-1, incluindo painéis e cabos de controle e potência associados.</t>
  </si>
  <si>
    <t>0005622/2023</t>
  </si>
  <si>
    <t>Controle - LT ITA C-1</t>
  </si>
  <si>
    <t>Substituição das proteções Primária, Secundária e Falha de Disjuntor, referentes a LT 138 kV Blumenau - Gaspar C-1, incluindo painéis e cabos de controle e potência associados.</t>
  </si>
  <si>
    <t>0005624/2023</t>
  </si>
  <si>
    <t>PP, PS, BF - LT GPR C-1</t>
  </si>
  <si>
    <t>Substituição do sistema de controle e supervisão da LT 138 kV Blumenau - Gaspar C-1, incluindo painéis e cabos de controle e potência associados.</t>
  </si>
  <si>
    <t>0005625/2023</t>
  </si>
  <si>
    <t>Controle - LT GPR C-1</t>
  </si>
  <si>
    <t>Substituição de Chave Seccionadora tripolar 525 kV, CS1039, referente ao Reator 1 da SE Gravataí. Associado à obra são esperadas substituições/adaptações de fundações, suportes, cabos de controle/potência, barramento, conectores e conexão de aterramento.</t>
  </si>
  <si>
    <t>0005626/2023</t>
  </si>
  <si>
    <t>Substituição de Transformador de Corrente TC12513 TERCIARIO AT57 FASE B (nº serie: 338109, cod. int.: 10232809).
Capacidade de curto-circuito (kA) do novo equipamento: 50 kA.</t>
  </si>
  <si>
    <t>0006969/2023</t>
  </si>
  <si>
    <t>TC12513 TERCIARIO AT57 FASE B</t>
  </si>
  <si>
    <t>Substituição de Transformador de Corrente TC12513 TERCIARIO AT57 FASE C (nº serie: 338110, cod. int.: 10232810).
Capacidade de curto-circuito (kA) do novo equipamento: 50 kA.</t>
  </si>
  <si>
    <t>0006970/2023</t>
  </si>
  <si>
    <t>TC12513 TERCIARIO AT57 FASE C</t>
  </si>
  <si>
    <t>Substituição de Chave Seccionadora tripolar 230 kV, CS761, referente ao Interligador de Barras da SE Londrina. Associado à obra são esperadas substituições/adaptações de fundações, suportes, cabos de controle/potência, barramento, conectores e conexão de aterramento.</t>
  </si>
  <si>
    <t>0005628/2023</t>
  </si>
  <si>
    <t>CS761</t>
  </si>
  <si>
    <t>Substituição de Transformador de Corrente TC12553 TERCIARIO AT59 FASE A (nº serie: 338111, cod. int.: 10232816).
Capacidade de curto-circuito (kA) do novo equipamento: 50 kA.</t>
  </si>
  <si>
    <t>0006972/2023</t>
  </si>
  <si>
    <t>TC12553 TERCIARIO AT59 FASE A</t>
  </si>
  <si>
    <t>Substituição de Transformador de Corrente TC12553 TERCIARIO AT59 FASE B (nº serie: 338112, cod. int.: 10232817).
Capacidade de curto-circuito (kA) do novo equipamento: 50 kA.</t>
  </si>
  <si>
    <t>0006973/2023</t>
  </si>
  <si>
    <t>TC12553 TERCIARIO AT59 FASE B</t>
  </si>
  <si>
    <t>Substituição de Chave Seccionadora tripolar 230 kV, CS763, referente ao Interligador de Barras da SE Londrina. Associado à obra são esperadas substituições/adaptações de fundações, suportes, cabos de controle/potência, barramento, conectores e conexão de aterramento.</t>
  </si>
  <si>
    <t>0005629/2023</t>
  </si>
  <si>
    <t>CS763</t>
  </si>
  <si>
    <t>Substituição de Transformador de Corrente TC12553 TERCIARIO AT59 FASE C (nº serie: 338113, cod. int.: 10232818).
Capacidade de curto-circuito (kA) do novo equipamento: 50 kA.</t>
  </si>
  <si>
    <t>0006975/2023</t>
  </si>
  <si>
    <t>TC12553 TERCIARIO AT59 FASE C</t>
  </si>
  <si>
    <t>Substituição de Transformador de Corrente TC22513 TERCIARIO AT57 FASE A (nº serie: 338114, cod. int.: 10232811).
Capacidade de curto-circuito (kA) do novo equipamento: 50 kA.</t>
  </si>
  <si>
    <t>0006980/2023</t>
  </si>
  <si>
    <t>TC22513 TERCIARIO AT57 FASE A</t>
  </si>
  <si>
    <t>Substituição de Transformador de Corrente TC22513 TERCIARIO AT57 FASE B (nº serie: 338115, cod. int.: 10232812).
Capacidade de curto-circuito (kA) do novo equipamento: 50 kA.</t>
  </si>
  <si>
    <t>0006981/2023</t>
  </si>
  <si>
    <t>TC22513 TERCIARIO AT57 FASE B</t>
  </si>
  <si>
    <t>Substituição de Transformador de Corrente TC22513 TERCIARIO AT57 FASE C (nº serie: 338116, cod. int.: 10232813).
Capacidade de curto-circuito (kA) do novo equipamento: 50 kA.</t>
  </si>
  <si>
    <t>0006983/2023</t>
  </si>
  <si>
    <t>TC22513 TERCIARIO AT57 FASE C</t>
  </si>
  <si>
    <t>Substituição de Transformador de Corrente TC22553 TERCIARIO AT59 FASE A (nº serie: 338117, cod. int.: 10232819).
Capacidade de curto-circuito (kA) do novo equipamento: 50 kA.</t>
  </si>
  <si>
    <t>0006976/2023</t>
  </si>
  <si>
    <t>TC22553 TERCIARIO AT59 FASE A</t>
  </si>
  <si>
    <t>Substituição de Transformador de Corrente TC22553 TERCIARIO AT59 FASE B (nº serie: 338118, cod. int.: 10232820).
Capacidade de curto-circuito (kA) do novo equipamento: 50 kA.</t>
  </si>
  <si>
    <t>0006978/2023</t>
  </si>
  <si>
    <t>TC22553 TERCIARIO AT59 FASE B</t>
  </si>
  <si>
    <t>Substituição de Transformador de Corrente TC22553 TERCIARIO AT59 FASE C (nº serie: 338119, cod. int.: 10232821).
Capacidade de curto-circuito (kA) do novo equipamento: 50 kA.</t>
  </si>
  <si>
    <t>0006979/2023</t>
  </si>
  <si>
    <t>TC22553 TERCIARIO AT59 FASE C</t>
  </si>
  <si>
    <t>Substituição dos sistemas de proteção da LT 230 kV BANDEIRANTES/ANHANGUERA GO C-1 GO</t>
  </si>
  <si>
    <t>LT 230 kV BANDEIRANTES ANHANGUERA GO C-1 GO</t>
  </si>
  <si>
    <t>0007028/2023</t>
  </si>
  <si>
    <t>PROTEÇÃO - LT 230 kV BANDEIRANTES/ANHANGUERA GO C-1 GO</t>
  </si>
  <si>
    <t>Substituição do registrador de perturbações digital da  LT 230 kV BANDEIRANTES/ANHANGUERA GO C-1 GO</t>
  </si>
  <si>
    <t>LT 230 kV BANDEIRANTES /ANHANGUERA GO C-1 GO</t>
  </si>
  <si>
    <t>0007029/2023</t>
  </si>
  <si>
    <t>RDP -  LT 230 kV BANDEIRANTES/ANHANGUERA GO C-1 GO</t>
  </si>
  <si>
    <t>Substituição dos sistemas de proteção da LT 230 kV BANDEIRANTE/ANHANGUERA GO C-2 GO</t>
  </si>
  <si>
    <t>LT 230 kV BANDEIRANTES /ANHANGUERA GO C-2 GO</t>
  </si>
  <si>
    <t>0007030/2023</t>
  </si>
  <si>
    <t>PROTEÇÃO - LT 230 kV BANDEIRANTE/ANHANGUERA GO C-2 GO</t>
  </si>
  <si>
    <t>Substituição do registrador de perturbações digital da  LT 230 kV BANDEIRANTES /ANHANGUERA GO C-2 GO</t>
  </si>
  <si>
    <t>0007031/2023</t>
  </si>
  <si>
    <t>RDP - LT 230 kV BANDEIRANTES /ANHANGUERA GO C-2 GO</t>
  </si>
  <si>
    <t>Substituição dos sistemas de proteção do TR 345/230 kV BANDEIRANTES TR4 GO</t>
  </si>
  <si>
    <t>TR 345 / 230 kV BANDEIRANTES 4 GO</t>
  </si>
  <si>
    <t>0007032/2023</t>
  </si>
  <si>
    <t>PROTEÇÃO - TR 345/230 kV BANDEIRANTES TR4 GO</t>
  </si>
  <si>
    <t>Substituição do registrador de perturbações digital do  TR 345/230 kV BANDEIRANTES TR4 GO</t>
  </si>
  <si>
    <t>0007033/2023</t>
  </si>
  <si>
    <t>RDP - TR 345/230 kV BANDEIRANTES TR4 GO</t>
  </si>
  <si>
    <t>Substituição dos sistemas de proteção do TR 345/230 kV BANDEIRANTES TR3 GO</t>
  </si>
  <si>
    <t>TR 345 / 230 kV BANDEIRANTES 3 GO</t>
  </si>
  <si>
    <t>0007034/2023</t>
  </si>
  <si>
    <t>PROTEÇÃO - TR 345/230 kV BANDEIRANTES TR3 GO</t>
  </si>
  <si>
    <t>Substituição do registrador de perturbações digital do  TR 345/230 kV BANDEIRANTES TR3 GO</t>
  </si>
  <si>
    <t>0007035/2023</t>
  </si>
  <si>
    <t>RDP - TR 345/230 kV BANDEIRANTES TR3 GO</t>
  </si>
  <si>
    <t>Substituição dos sistemas de proteção do TR 345/230 kV BANDEIRANTES TR2 GO</t>
  </si>
  <si>
    <t>TR 345 / 230 kV BANDEIRANTES 2 GO</t>
  </si>
  <si>
    <t>0007036/2023</t>
  </si>
  <si>
    <t>PROTEÇÃO - TR 345/230 kV BANDEIRANTES TR2 GO</t>
  </si>
  <si>
    <t>Substituição do registrador de perturbações digital do TR 345/230 kV BANDEIRANTES TR2 GO</t>
  </si>
  <si>
    <t>0007037/2023</t>
  </si>
  <si>
    <t>RDP - TR 345/230 kV BANDEIRANTES TR2 GO</t>
  </si>
  <si>
    <t>Substituição dos sistemas de proteção do BC 345 kV 91,5 MVAr BANDEIRANTES BC1 GO</t>
  </si>
  <si>
    <t>0007038/2023</t>
  </si>
  <si>
    <t>PROTEÇÃO - BC 345 kV 91,5 MVAr BANDEIRANTES BC1 GO</t>
  </si>
  <si>
    <t>Substituição do registrador de perturbações digital do BC 345 kV 91,5 MVAr BANDEIRANTES BC1 GO</t>
  </si>
  <si>
    <t>0007039/2023</t>
  </si>
  <si>
    <t>RDP - BC 345 kV 91,5 MVAr BANDEIRANTES BC1 GO</t>
  </si>
  <si>
    <t>Substituição do registrador de perturbações digital da  LT 230 kV XAVANTES/BANDEIRANTES C-1 GO</t>
  </si>
  <si>
    <t>LT 230 kV XAVANTES /BANDEIRANTES C-1 GO</t>
  </si>
  <si>
    <t>0007040/2023</t>
  </si>
  <si>
    <t>RDP - LT 230 kV XAVANTES/BANDEIRANTES C-1 GO</t>
  </si>
  <si>
    <t>Substituição de 1 (um) chave seccionadora 69kV e base, posição operacional 32A1-8 na SE Bom Jesus da Lapa, referente ao módulo de conexão ao Transformador de Aterramento 02A1.</t>
  </si>
  <si>
    <t>MC 69 kV TT 69/13,8 kV B.JESUS LAPA TA1 BA (32A1)</t>
  </si>
  <si>
    <t>0005748/2023</t>
  </si>
  <si>
    <t>11334500</t>
  </si>
  <si>
    <t>Substituição de para-raios PRAT09 500KV FASE A (nº serie: 797, cod. mat.: 10197798).</t>
  </si>
  <si>
    <t>0005960/2023</t>
  </si>
  <si>
    <t>PRAT09 500KV FASE A</t>
  </si>
  <si>
    <t>Substituição de para-raios PRAT09 500KV FASE B (nº serie: 800, cod. mat.: 10197799).</t>
  </si>
  <si>
    <t>0005961/2023</t>
  </si>
  <si>
    <t>PRAT09 500KV FASE B</t>
  </si>
  <si>
    <t>Substituição de para-raios PRAT09 500KV FASE C (nº serie: 801, cod. mat.: 10197800).</t>
  </si>
  <si>
    <t>0005963/2023</t>
  </si>
  <si>
    <t>PRAT09 500KV FASE C</t>
  </si>
  <si>
    <t>Substituição de disjuntor DJ638 (nº serie: 78009, cod. mat.: 10191739).</t>
  </si>
  <si>
    <t>0005988/2023</t>
  </si>
  <si>
    <t>DJ638</t>
  </si>
  <si>
    <t>Construção de 800m de muro (sendo 500m em placas de concreto pré-moldado e 300m de muro em alv), em substituição à muro existente na SE Pirapama II.</t>
  </si>
  <si>
    <t>0006015/2023</t>
  </si>
  <si>
    <t>12590211</t>
  </si>
  <si>
    <t>Substituição de disjuntor DJ8442 (nº serie: HA1837910/1/2, cod. mat.: 10190653).</t>
  </si>
  <si>
    <t>0006029/2023</t>
  </si>
  <si>
    <t>DJ8442</t>
  </si>
  <si>
    <t>APOLONIO SALES</t>
  </si>
  <si>
    <t>Substituição do Sistema de Comunicação via Rádio por um Sistema de Comunicação Óptica na U. A. SALES, composto por: 01 Multiplex SDH, 01 Distribuidor Geral Óptico, dutos e fibra óptica, associado à teleproteção principal.</t>
  </si>
  <si>
    <t>MDL GERACAO EQUIVALENTE A MG EM U. A. SALES (UAS)</t>
  </si>
  <si>
    <t>0006079/2023</t>
  </si>
  <si>
    <t>Substituição de seccionadora SC830R (nº serie: 359961, cod. mat.: 10196194).</t>
  </si>
  <si>
    <t>0006123/2023</t>
  </si>
  <si>
    <t>SC830R</t>
  </si>
  <si>
    <t>Substituição de seccionadora SC8331 (nº serie: 4996, cod. mat.: 10194999).</t>
  </si>
  <si>
    <t>LT 345 kV BANDEIRANTES /SAMAMBAIA C-1 GO/DF</t>
  </si>
  <si>
    <t>0006128/2023</t>
  </si>
  <si>
    <t>SC8331</t>
  </si>
  <si>
    <t>Substituição de seccionadora SC8333 (nº serie: 4967, cod. mat.: 10195000).</t>
  </si>
  <si>
    <t>0006130/2023</t>
  </si>
  <si>
    <t>SC8333</t>
  </si>
  <si>
    <t>Substituição de seccionadora SC8339 (nº serie: 4985, cod. mat.: 10195004).</t>
  </si>
  <si>
    <t>0006134/2023</t>
  </si>
  <si>
    <t>SC8339</t>
  </si>
  <si>
    <t>Substituição de seccionadora SC8335 (nº serie: 4983, cod. mat.: 10195001).</t>
  </si>
  <si>
    <t>0006137/2023</t>
  </si>
  <si>
    <t>SC8335</t>
  </si>
  <si>
    <t>Substituição de seccionadora SC8337 (nº serie: 5024, cod. mat.: 10195002).</t>
  </si>
  <si>
    <t>0006139/2023</t>
  </si>
  <si>
    <t>SC8337</t>
  </si>
  <si>
    <t>Substituição de seccionadora SC8330T (nº serie: T5024, cod. mat.: 10195003).</t>
  </si>
  <si>
    <t>0006141/2023</t>
  </si>
  <si>
    <t>SC8330T</t>
  </si>
  <si>
    <t>Substituição de seccionadora SC840R (nº serie: 149, cod. mat.: 10196586).</t>
  </si>
  <si>
    <t>0006143/2023</t>
  </si>
  <si>
    <t>SC840R</t>
  </si>
  <si>
    <t>Substituição de seccionadora SC8440T (nº serie: TC-5026T, cod. mat.: 10195036).</t>
  </si>
  <si>
    <t>0006145/2023</t>
  </si>
  <si>
    <t>SC8440T</t>
  </si>
  <si>
    <t>Substituição de seccionadora SC8441 (nº serie: 4965, cod. mat.: 10194993).</t>
  </si>
  <si>
    <t>0006146/2023</t>
  </si>
  <si>
    <t>SC8441</t>
  </si>
  <si>
    <t>Substituição de seccionadora SC8443 (nº serie: 4994, cod. mat.: 10194992).</t>
  </si>
  <si>
    <t>0006148/2023</t>
  </si>
  <si>
    <t>SC8443</t>
  </si>
  <si>
    <t>Substituição de seccionadora SC8445 (nº serie: 4988, cod. mat.: 10194994).</t>
  </si>
  <si>
    <t>0006149/2023</t>
  </si>
  <si>
    <t>SC8445</t>
  </si>
  <si>
    <t>Substituição de seccionadora SC8447 (nº serie: TC-5026, cod. mat.: 10194995).</t>
  </si>
  <si>
    <t>0006151/2023</t>
  </si>
  <si>
    <t>SC8447</t>
  </si>
  <si>
    <t>Substituição de seccionadora SC8449 (nº serie: 4999, cod. mat.: 10194997).</t>
  </si>
  <si>
    <t>0006152/2023</t>
  </si>
  <si>
    <t>SC8449</t>
  </si>
  <si>
    <t>Substituição de trafo potencial/dcp DCP - LTBDSB1 FASE A (nº serie: 88686101, cod. mat.: 10188101).</t>
  </si>
  <si>
    <t>0006154/2023</t>
  </si>
  <si>
    <t>DCP - LTBDSB1 FASE A</t>
  </si>
  <si>
    <t>Substituição de trafo potencial/dcp DCP - LTIMBD2 FASE A (nº serie: 322144, cod. mat.: 10189183).</t>
  </si>
  <si>
    <t>0006159/2023</t>
  </si>
  <si>
    <t>DCP - LTIMBD2 FASE A</t>
  </si>
  <si>
    <t>Substituição de trafo potencial/dcp DCP - LTIMBD2 FASE B (nº serie: 322142, cod. mat.: 10189184).</t>
  </si>
  <si>
    <t>0006161/2023</t>
  </si>
  <si>
    <t>DCP - LTIMBD2 FASE B</t>
  </si>
  <si>
    <t>Substituição de trafo potencial/dcp DCP - LTIMBD2 FASE C (nº serie: 322141, cod. mat.: 10189185).</t>
  </si>
  <si>
    <t>0006162/2023</t>
  </si>
  <si>
    <t>DCP - LTIMBD2 FASE C</t>
  </si>
  <si>
    <t>Substituição de para-raios PARA-RAIOS - 69KV TR01 FASE A (nº serie: Z05838, cod. mat.: 10199680).</t>
  </si>
  <si>
    <t>0006165/2023</t>
  </si>
  <si>
    <t>PARA-RAIOS - 69KV TR01 FASE A</t>
  </si>
  <si>
    <t>Substituição de para-raios PARA-RAIOS - 69KV TR01 FASE B (nº serie: Z05839, cod. mat.: 10199681).</t>
  </si>
  <si>
    <t>0006166/2023</t>
  </si>
  <si>
    <t>PARA-RAIOS - 69KV TR01 FASE B</t>
  </si>
  <si>
    <t>Substituição de para-raios PARA-RAIOS - 69KV TR01 FASE C (nº serie: Z05837, cod. mat.: 10199678).</t>
  </si>
  <si>
    <t>0006168/2023</t>
  </si>
  <si>
    <t>PARA-RAIOS - 69KV TR01 FASE C</t>
  </si>
  <si>
    <t>Substituição de para-raios PARA-RAIOS BC01 FASE A (nº serie: 43857, cod. mat.: 10199422).</t>
  </si>
  <si>
    <t>0006174/2023</t>
  </si>
  <si>
    <t>PARA-RAIOS BC01 FASE A</t>
  </si>
  <si>
    <t>Substituição de para-raios PARA-RAIOS BC01 FASE B (nº serie: 43858, cod. mat.: 10199423).</t>
  </si>
  <si>
    <t>0006175/2023</t>
  </si>
  <si>
    <t>PARA-RAIOS BC01 FASE B</t>
  </si>
  <si>
    <t>Substituição de para-raios PARA-RAIOS BC01 FASE C (nº serie: 43850, cod. mat.: 10199424).</t>
  </si>
  <si>
    <t>0006177/2023</t>
  </si>
  <si>
    <t>PARA-RAIOS BC01 FASE C</t>
  </si>
  <si>
    <t>Substituição de para-raios PARA-RAIOS - LIBTAL STBTO FASE A (nº serie: 45473, cod. mat.: 10199428).</t>
  </si>
  <si>
    <t>LT 230 kV AGUAS LINDAS /BARRO ALTO C-1 GO</t>
  </si>
  <si>
    <t>0006179/2023</t>
  </si>
  <si>
    <t>PARA-RAIOS - LIBTAL STBTO FASE A</t>
  </si>
  <si>
    <t>Substituição de para-raios PARA-RAIOS - LIBTAL STBTO FASE B (nº serie: 45474, cod. mat.: 10199429).</t>
  </si>
  <si>
    <t>0006180/2023</t>
  </si>
  <si>
    <t>PARA-RAIOS - LIBTAL STBTO FASE B</t>
  </si>
  <si>
    <t>Substituição de para-raios PARA-RAIOS - LIBTAL STBTO FASE C (nº serie: 45475, cod. mat.: 10199430).</t>
  </si>
  <si>
    <t>0006182/2023</t>
  </si>
  <si>
    <t>PARA-RAIOS - LIBTAL STBTO FASE C</t>
  </si>
  <si>
    <t>Substituição de seccionadora SC7010T (nº serie: 742 T, cod. mat.: 10251828).</t>
  </si>
  <si>
    <t>0006184/2023</t>
  </si>
  <si>
    <t>SC7010T</t>
  </si>
  <si>
    <t>Substituição de seccionadora SC7015C (nº serie: 742, cod. mat.: 10251831).</t>
  </si>
  <si>
    <t>0006186/2023</t>
  </si>
  <si>
    <t>SC7015C</t>
  </si>
  <si>
    <t>Substituição de trafo corrente TC - 230KV TR01 FASE A (nº serie: 88G0009-001, cod. mat.: 10185777).</t>
  </si>
  <si>
    <t>0006189/2023</t>
  </si>
  <si>
    <t>TC - 230KV TR01 FASE A</t>
  </si>
  <si>
    <t>Substituição de trafo corrente TC - 230KV TR01 FASE B (nº serie: 88G0009-002, cod. mat.: 10185778).</t>
  </si>
  <si>
    <t>0006191/2023</t>
  </si>
  <si>
    <t>TC - 230KV TR01 FASE B</t>
  </si>
  <si>
    <t>Substituição de trafo corrente TC - 230KV TR01 FASE C (nº serie: 88A0008-004, cod. mat.: 10185782).</t>
  </si>
  <si>
    <t>0006192/2023</t>
  </si>
  <si>
    <t>TC - 230KV TR01 FASE C</t>
  </si>
  <si>
    <t>Substituição de trafo corrente TC - 69KV TR01 FASE A (nº serie: C8-2612, cod. mat.: 10185690).</t>
  </si>
  <si>
    <t>0006194/2023</t>
  </si>
  <si>
    <t>TC - 69KV TR01 FASE A</t>
  </si>
  <si>
    <t>Substituição de trafo corrente TC - 69KV TR01 FASE B (nº serie: C8-2613, cod. mat.: 10185691).</t>
  </si>
  <si>
    <t>0006195/2023</t>
  </si>
  <si>
    <t>TC - 69KV TR01 FASE B</t>
  </si>
  <si>
    <t>Substituição de trafo corrente TC - 69KV TR01 FASE C (nº serie: C8-2614, cod. mat.: 10185692).</t>
  </si>
  <si>
    <t>0006197/2023</t>
  </si>
  <si>
    <t>TC - 69KV TR01 FASE C</t>
  </si>
  <si>
    <t>Substituição de trafo corrente TC BC01 FASE A (nº serie: 88A0008-006, cod. mat.: 10185756).</t>
  </si>
  <si>
    <t>0006202/2023</t>
  </si>
  <si>
    <t>TC BC01 FASE A</t>
  </si>
  <si>
    <t>Substituição de trafo corrente TRANSFORMADOR CORRENTE-LIBTAL FASE A (nº serie: 88G0009-004, cod. mat.: 10185759).</t>
  </si>
  <si>
    <t>0006204/2023</t>
  </si>
  <si>
    <t>TRANSFORMADOR CORRENTE-LIBTAL FASE A</t>
  </si>
  <si>
    <t>Substituição de trafo corrente TC BC01 FASE B (nº serie: 88A0008-005, cod. mat.: 10185757).</t>
  </si>
  <si>
    <t>0006211/2023</t>
  </si>
  <si>
    <t>TC BC01 FASE B</t>
  </si>
  <si>
    <t>Substituição de trafo corrente TC BC01 FASE C (nº serie: 88A0008-002, cod. mat.: 10185758).</t>
  </si>
  <si>
    <t>0006213/2023</t>
  </si>
  <si>
    <t>TC BC01 FASE C</t>
  </si>
  <si>
    <t>Substituição de Multiplexador Óptico SDH, na subestação PAU FERRO, associado à teleproteção principal via OPGW.</t>
  </si>
  <si>
    <t>0006227/2023</t>
  </si>
  <si>
    <t>11374113</t>
  </si>
  <si>
    <t>Substituição de Multiplexador Óptico SDH, na subestação C.GRANDE II, associado à teleproteção principal via OPGW.</t>
  </si>
  <si>
    <t>MG C.GRANDE II / CCO-2001-061 - RB</t>
  </si>
  <si>
    <t>0006228/2023</t>
  </si>
  <si>
    <t>11374100</t>
  </si>
  <si>
    <t>Substituição de Multiplexador Óptico SDH, na subestação JARDIM, associado à teleproteção principal.</t>
  </si>
  <si>
    <t>0006229/2023</t>
  </si>
  <si>
    <t>11374133</t>
  </si>
  <si>
    <t>Substituição de Multiplexador Óptico SDH na USINA XINGO, composto por: 01 Multiplexador, associado à teleproteção principal.</t>
  </si>
  <si>
    <t>0006230/2023</t>
  </si>
  <si>
    <t>Substituição de 01 (um) banco de baterias 800A1 de 450 Ah 125 Vcc da Subestação ACD.</t>
  </si>
  <si>
    <t>0006239/2023</t>
  </si>
  <si>
    <t>11333066</t>
  </si>
  <si>
    <t>Substituição de 01 (um) banco de baterias 800A2 de 450 Ah 125 Vcc da Subestação ACD.</t>
  </si>
  <si>
    <t>0006240/2023</t>
  </si>
  <si>
    <t>11333065</t>
  </si>
  <si>
    <t>Substituição de 01 (um) banco de baterias 700A1 de 250 Ah 48 Vcc da Subestação AGD.</t>
  </si>
  <si>
    <t>0006241/2023</t>
  </si>
  <si>
    <t>12374801</t>
  </si>
  <si>
    <t>Substituição de 01 (um) banco de baterias 700A2 de 250 Ah 48 Vcc da Subestação AGD.</t>
  </si>
  <si>
    <t>0006242/2023</t>
  </si>
  <si>
    <t>12374802</t>
  </si>
  <si>
    <t>Substituição de 01 (um) banco de baterias 700A4 de 250 Ah 48 Vcc da Subestação AGD.</t>
  </si>
  <si>
    <t>0006243/2023</t>
  </si>
  <si>
    <t>12374148</t>
  </si>
  <si>
    <t>Substituição de 01 (um) banco de baterias 700A5 de 250 Ah 48 Vcc da Subestação AGD.</t>
  </si>
  <si>
    <t>0006244/2023</t>
  </si>
  <si>
    <t>12374149</t>
  </si>
  <si>
    <t>AQUIRAZ II</t>
  </si>
  <si>
    <t>Substituição de 01 (um) banco de baterias 800A1 de 450 Ah 125 Vcc da Subestação AQD.</t>
  </si>
  <si>
    <t>MG AQUIRAZ II / CCO-2010-004 - RB</t>
  </si>
  <si>
    <t>0006245/2023</t>
  </si>
  <si>
    <t>11333069</t>
  </si>
  <si>
    <t>Substituição de 01 (um) banco de baterias 800A2 de 450 Ah 125 Vcc da Subestação AQD.</t>
  </si>
  <si>
    <t>0006246/2023</t>
  </si>
  <si>
    <t>11333070</t>
  </si>
  <si>
    <t>Substituição de 01 (um) banco de baterias 800A1 de 450 Ah 125 Vcc da Subestação AUD.</t>
  </si>
  <si>
    <t>MG ACARAU II / CCO-2010-021 - RB</t>
  </si>
  <si>
    <t>0006253/2023</t>
  </si>
  <si>
    <t>11332797</t>
  </si>
  <si>
    <t>Substituição de 01 (um) banco de baterias 800A2 de 450 Ah 125 Vcc da Subestação AUD.</t>
  </si>
  <si>
    <t>0006254/2023</t>
  </si>
  <si>
    <t>11332798</t>
  </si>
  <si>
    <t>Substituição de 01 (um) banco de baterias 900A1 de 600 Ah 250 Vcc da Subestação BJS.</t>
  </si>
  <si>
    <t>0006259/2023</t>
  </si>
  <si>
    <t>11332654</t>
  </si>
  <si>
    <t>Substituição de 01 (um) banco de baterias 900A2 de 600 Ah 250 Vcc da Subestação BJS.</t>
  </si>
  <si>
    <t>0006260/2023</t>
  </si>
  <si>
    <t>11332653</t>
  </si>
  <si>
    <t>Substituição de 01 (um) banco de baterias 700A3 de 250 Ah 48 Vcc da Subestação BRA.</t>
  </si>
  <si>
    <t>MG BARREIRAS / CCO-2001-061 - RB</t>
  </si>
  <si>
    <t>0006261/2023</t>
  </si>
  <si>
    <t>11332657</t>
  </si>
  <si>
    <t>Substituição de 01 (um) banco de baterias 700A4 de 250 Ah 48 Vcc da Subestação BRA.</t>
  </si>
  <si>
    <t>0006262/2023</t>
  </si>
  <si>
    <t>11332658</t>
  </si>
  <si>
    <t>Substituição de 01 (um) banco de baterias 800A1 de 600 Ah 125 Vcc da Subestação CID.</t>
  </si>
  <si>
    <t>MG CEARA-MIRIM 2 / CCO-2011-008 - RB</t>
  </si>
  <si>
    <t>0006265/2023</t>
  </si>
  <si>
    <t>11333007</t>
  </si>
  <si>
    <t>Substituição de 01 (um) banco de baterias 800A2 de 600 Ah 125 Vcc da Subestação CID.</t>
  </si>
  <si>
    <t>0006266/2023</t>
  </si>
  <si>
    <t>11333008</t>
  </si>
  <si>
    <t>Substituição de 01 (um) banco de baterias 700A3 de 250 Ah 48 Vcc da Subestação CMA.</t>
  </si>
  <si>
    <t>0006267/2023</t>
  </si>
  <si>
    <t>11332987</t>
  </si>
  <si>
    <t>Substituição de 01 (um) banco de baterias 700A4 de 250 Ah 48 Vcc da Subestação CMA.</t>
  </si>
  <si>
    <t>0006268/2023</t>
  </si>
  <si>
    <t>11332988</t>
  </si>
  <si>
    <t>Substituição de 01 (um) banco de baterias 800A1 de 450 Ah 125 Vcc da Subestação CPE.</t>
  </si>
  <si>
    <t>0006269/2023</t>
  </si>
  <si>
    <t>11332793</t>
  </si>
  <si>
    <t>Substituição de 01 (um) banco de baterias 800A2 de 450 Ah 125 Vcc da Subestação CPE.</t>
  </si>
  <si>
    <t>0006270/2023</t>
  </si>
  <si>
    <t>11332794</t>
  </si>
  <si>
    <t>Substituição de 01 (um) banco de baterias 800A1 de 450 Ah 125 Vcc da Subestação DMG.</t>
  </si>
  <si>
    <t>0006275/2023</t>
  </si>
  <si>
    <t>11332796</t>
  </si>
  <si>
    <t>Substituição de 01 (um) banco de baterias 800A2 de 450 Ah 125 Vcc da Subestação DMG.</t>
  </si>
  <si>
    <t>0006276/2023</t>
  </si>
  <si>
    <t>11332795</t>
  </si>
  <si>
    <t>EXTREMOZ II</t>
  </si>
  <si>
    <t>Substituição de 01 (um) banco de baterias 800A1 de 600 Ah 125 Vcc da Subestação ETD.</t>
  </si>
  <si>
    <t>MG EXTREMOZ II / CCO-2010-019 - RB</t>
  </si>
  <si>
    <t>0006279/2023</t>
  </si>
  <si>
    <t>11332900</t>
  </si>
  <si>
    <t>Substituição de 01 (um) banco de baterias 800A2 de 600 Ah 125 Vcc da Subestação ETD.</t>
  </si>
  <si>
    <t>0006280/2023</t>
  </si>
  <si>
    <t>11332901</t>
  </si>
  <si>
    <t>Substituição de 01 (um) banco de baterias 700A7 de 250 Ah 48 Vcc da Subestação GNN.</t>
  </si>
  <si>
    <t>0006283/2023</t>
  </si>
  <si>
    <t>11332983</t>
  </si>
  <si>
    <t>Substituição de 01 (um) banco de baterias 700A8 de 250 Ah 48 Vcc da Subestação GNN.</t>
  </si>
  <si>
    <t>0006284/2023</t>
  </si>
  <si>
    <t>11332984</t>
  </si>
  <si>
    <t>Substituição de 01 (um) banco de baterias 700A3 de 250 Ah 48 Vcc da Subestação GVM.</t>
  </si>
  <si>
    <t>0006285/2023</t>
  </si>
  <si>
    <t>11332999</t>
  </si>
  <si>
    <t>Substituição de 01 (um) banco de baterias 700A4 de 250 Ah 48 Vcc da Subestação GVM.</t>
  </si>
  <si>
    <t>0006286/2023</t>
  </si>
  <si>
    <t>11333000</t>
  </si>
  <si>
    <t>Substituição de 01 (um) banco de baterias 800A1 de 450 Ah 125 Vcc da Subestação ICO.</t>
  </si>
  <si>
    <t>0006287/2023</t>
  </si>
  <si>
    <t>11333068</t>
  </si>
  <si>
    <t>Substituição de 01 (um) banco de baterias 800A2 de 450 Ah 125 Vcc da Subestação ICO.</t>
  </si>
  <si>
    <t>0006288/2023</t>
  </si>
  <si>
    <t>11333067</t>
  </si>
  <si>
    <t>JOAO CAMARA 2</t>
  </si>
  <si>
    <t>Substituição de 01 (um) banco de baterias 800A1 de 450 Ah 125 Vcc da Subestação JCD.</t>
  </si>
  <si>
    <t>MG J. CAMARA II / CCO-2010-019 - RB</t>
  </si>
  <si>
    <t>0006295/2023</t>
  </si>
  <si>
    <t>11333015</t>
  </si>
  <si>
    <t>Substituição de 01 (um) banco de baterias 800A2 de 450 Ah 125 Vcc da Subestação JCD.</t>
  </si>
  <si>
    <t>0006296/2023</t>
  </si>
  <si>
    <t>11333016</t>
  </si>
  <si>
    <t>J. CAMARA III</t>
  </si>
  <si>
    <t>Substituição de 01 (um) banco de baterias 800A1 de 600 Ah 125 Vcc da Subestação JCT.</t>
  </si>
  <si>
    <t>MG J. CAMARA III / CCO-2011-008 - RB</t>
  </si>
  <si>
    <t>0006299/2023</t>
  </si>
  <si>
    <t>11333009</t>
  </si>
  <si>
    <t>Substituição de 01 (um) banco de baterias 800A2 de 600 Ah 125 Vcc da Subestação JCT.</t>
  </si>
  <si>
    <t>0006300/2023</t>
  </si>
  <si>
    <t>11333010</t>
  </si>
  <si>
    <t>Substituição de 01 (um) banco de baterias 700A3 de 250 Ah 48 Vcc da Subestação JRM.</t>
  </si>
  <si>
    <t>0006305/2023</t>
  </si>
  <si>
    <t>11332981</t>
  </si>
  <si>
    <t>Substituição de 01 (um) banco de baterias 700A4 de 250 Ah 48 Vcc da Subestação JRM.</t>
  </si>
  <si>
    <t>0006306/2023</t>
  </si>
  <si>
    <t>11332982</t>
  </si>
  <si>
    <t>Substituição de 01 (um) banco de baterias 800A1 de 450 Ah 125 Vcc da Subestação OLD.</t>
  </si>
  <si>
    <t>0006311/2023</t>
  </si>
  <si>
    <t>11333071</t>
  </si>
  <si>
    <t>Substituição de 01 (um) banco de baterias 800A2 de 450 Ah 125 Vcc da Subestação OLD.</t>
  </si>
  <si>
    <t>0006312/2023</t>
  </si>
  <si>
    <t>11333072</t>
  </si>
  <si>
    <t>Substituição de 01 (um) banco de baterias 700A3 de 250 Ah 48 Vcc da Subestação PAF.</t>
  </si>
  <si>
    <t>0006315/2023</t>
  </si>
  <si>
    <t>11332733</t>
  </si>
  <si>
    <t>Substituição de 01 (um) banco de baterias 700A4 de 250 Ah 48 Vcc da Subestação PAF.</t>
  </si>
  <si>
    <t>0006316/2023</t>
  </si>
  <si>
    <t>11332734</t>
  </si>
  <si>
    <t>Substituição de 01 (um) banco de baterias 800A1 de 600 Ah 125 Vcc da Subestação PED.</t>
  </si>
  <si>
    <t>MG PECEM II / CCO-2010-004 - RB</t>
  </si>
  <si>
    <t>0006321/2023</t>
  </si>
  <si>
    <t>11333130</t>
  </si>
  <si>
    <t>Substituição de 01 (um) banco de baterias 800A2 de 600 Ah 125 Vcc da Subestação PED.</t>
  </si>
  <si>
    <t>0006322/2023</t>
  </si>
  <si>
    <t>11333131</t>
  </si>
  <si>
    <t>Substituição de 01 (um) painel de distribuição de cargas das bombas de óleo do Compensador Síncrono, poisição operacional 01K1 da Subestação IRE.</t>
  </si>
  <si>
    <t>CS 30/-15 Mvar IRECE CS1 TR7 BA</t>
  </si>
  <si>
    <t>0006325/2023</t>
  </si>
  <si>
    <t>12588744</t>
  </si>
  <si>
    <t>QUIXERE</t>
  </si>
  <si>
    <t>Substituição de 01 (um) banco de baterias 800A1 de 450 Ah 125 Vcc da Subestação QXR.</t>
  </si>
  <si>
    <t>MG QUIXERE / CCO-2001-061 - RB</t>
  </si>
  <si>
    <t>0006326/2023</t>
  </si>
  <si>
    <t>11332836</t>
  </si>
  <si>
    <t>Substituição de 01 (um) banco de baterias 800A2 de 450 Ah 125 Vcc da Subestação QXR.</t>
  </si>
  <si>
    <t>0006327/2023</t>
  </si>
  <si>
    <t>11332837</t>
  </si>
  <si>
    <t>Substituição de 01 (um) banco de baterias 700A7 de 250 Ah 48 Vcc da Subestação RCD.</t>
  </si>
  <si>
    <t>0006332/2023</t>
  </si>
  <si>
    <t>11332985</t>
  </si>
  <si>
    <t>Substituição de 01 (um) banco de baterias 700A3 de 250 Ah 48 Vcc da Subestação RLD.</t>
  </si>
  <si>
    <t>MG RIO LARGO II / CCO-2001-061 - RB</t>
  </si>
  <si>
    <t>0006348/2023</t>
  </si>
  <si>
    <t>11332681</t>
  </si>
  <si>
    <t>Substituição de 01 (um) banco de baterias 800A1 de 450 Ah 125 Vcc da Subestação SBT.</t>
  </si>
  <si>
    <t>0006349/2023</t>
  </si>
  <si>
    <t>11332799</t>
  </si>
  <si>
    <t>Substituição de 01 (um) banco de baterias 800A2 de 450 Ah 125 Vcc da Subestação SBT.</t>
  </si>
  <si>
    <t>0006350/2023</t>
  </si>
  <si>
    <t>11332800</t>
  </si>
  <si>
    <t>Substituição de 01 (um) Retificador de serviço auxiliar posição operacional 400R2 440 Vac 125 Vcc da subestação SOB.</t>
  </si>
  <si>
    <t>0006431/2023</t>
  </si>
  <si>
    <t>11420038</t>
  </si>
  <si>
    <t>Substituição de 01 (um) Retificador de serviço auxiliar posição operacional 400R1 440 Vac 125 Vcc da subestação SOB.</t>
  </si>
  <si>
    <t>0006432/2023</t>
  </si>
  <si>
    <t>11455796</t>
  </si>
  <si>
    <t>Substituição de 01 (um) Retificador de serviço auxiliar posição operacional 400R1 440 Vac 125 Vcc da subestação SJI.</t>
  </si>
  <si>
    <t>0006449/2023</t>
  </si>
  <si>
    <t>11455610</t>
  </si>
  <si>
    <t>Substituição de 01 (um) retificador de serviço auxiliar posição operacional 200R1 220 Vac 125 Vcc da subestação JDM.</t>
  </si>
  <si>
    <t>0006469/2023</t>
  </si>
  <si>
    <t>11455683</t>
  </si>
  <si>
    <t>Substituição de 01 (um) retificador de serviço auxiliar posição operacional 200R2 220 Vac 125 Vcc da subestação JDM.</t>
  </si>
  <si>
    <t>0006470/2023</t>
  </si>
  <si>
    <t>11420084</t>
  </si>
  <si>
    <t>Substituição de 01 (um) grupo-motor-gerador do SISTEMA DE ALIMENTAÇÃO DE ENERGIA posição operacional 200G2 da Subestação BJS.</t>
  </si>
  <si>
    <t>0006475/2023</t>
  </si>
  <si>
    <t>11451395</t>
  </si>
  <si>
    <t>Substituição de 01 (um) grupo-motor-gerador do SISTEMA DE ALIMENTAÇÃO DE ENERGIA posição operacional 200G1 da Subestação TAD.</t>
  </si>
  <si>
    <t>0006476/2023</t>
  </si>
  <si>
    <t>11343827</t>
  </si>
  <si>
    <t>Substituição de 01 (um) grupo-motor-gerador do SISTEMA DE ALIMENTAÇÃO DE ENERGIA posição operacional 200G2 da Subestação BRA.</t>
  </si>
  <si>
    <t>0006477/2023</t>
  </si>
  <si>
    <t>11451396</t>
  </si>
  <si>
    <t>Substituição de 01 (um) grupo-motor-gerador do SISTEMA DE ALIMENTAÇÃO DE ENERGIA posição operacional 200G1 da Subestação PIC.</t>
  </si>
  <si>
    <t>0006478/2023</t>
  </si>
  <si>
    <t>11451351</t>
  </si>
  <si>
    <t>Substituição de 01 (um) grupo-motor-gerador do SISTEMA DE ALIMENTAÇÃO DE ENERGIA posição operacional 200G2 da Subestação ENP.</t>
  </si>
  <si>
    <t>MG EUNAPOLIS / CCO-2001-061 - RB</t>
  </si>
  <si>
    <t>0006479/2023</t>
  </si>
  <si>
    <t>11451352</t>
  </si>
  <si>
    <t>Substituição de trafo corrente TRANSFORMADOR CORRENTE-LIBTAL FASE B (nº serie: 88G0009-005, cod. mat.: 10185760).</t>
  </si>
  <si>
    <t>0006513/2023</t>
  </si>
  <si>
    <t>TRANSFORMADOR CORRENTE-LIBTAL FASE B</t>
  </si>
  <si>
    <t>Substituição de trafo corrente TRANSFORMADOR CORRENTE-LIBTAL FASE C (nº serie: 88G0009-006, cod. mat.: 10185761).</t>
  </si>
  <si>
    <t>0006514/2023</t>
  </si>
  <si>
    <t>TRANSFORMADOR CORRENTE-LIBTAL FASE C</t>
  </si>
  <si>
    <t>Substituição de trafo corrente TRANSFORMADOR CORRENTE IB501 FASE A (nº serie: C8-2615, cod. mat.: 10185693).</t>
  </si>
  <si>
    <t>0006520/2023</t>
  </si>
  <si>
    <t>TRANSFORMADOR CORRENTE IB501 FASE A</t>
  </si>
  <si>
    <t>Substituição de Grupo Motor-Gerador, 480 Vca, painel de conexão (PGD) e cabos associados, referentes aos Serviços Auxiliares da SE Itá.</t>
  </si>
  <si>
    <t>0006522/2023</t>
  </si>
  <si>
    <t>MG1 - 480 VCA</t>
  </si>
  <si>
    <t>Substituição de trafo corrente TRANSFORMADOR CORRENTE IB501 FASE B (nº serie: C8-2616, cod. mat.: 10185694).</t>
  </si>
  <si>
    <t>0006524/2023</t>
  </si>
  <si>
    <t>TRANSFORMADOR CORRENTE IB501 FASE B</t>
  </si>
  <si>
    <t>Substituição de trafo corrente TRANSFORMADOR CORRENTE IB501 FASE C (nº serie: C8-2617, cod. mat.: 10185695).</t>
  </si>
  <si>
    <t>0006529/2023</t>
  </si>
  <si>
    <t>TRANSFORMADOR CORRENTE IB501 FASE C</t>
  </si>
  <si>
    <t>Substituição dos Painéis de Distribuição 380 VCA (PCC1, PCC2, PCC3, PCC4, PCC5) e cabos associados, referentes aos Serviços Auxiliares da SE Farroupilha. Denominação dos novos painéis: 2SA1, 2SA2 e 2SA3.</t>
  </si>
  <si>
    <t>0006530/2023</t>
  </si>
  <si>
    <t>Substituição da proteção Falha de Disjuntor, referente ao Interligador de Barras (IB) 138 kV da SE Blumenau, DJ592, incluindo painéis e cabos de controle e potência associados.</t>
  </si>
  <si>
    <t>0006532/2023</t>
  </si>
  <si>
    <t>BF - DJ592</t>
  </si>
  <si>
    <t>Substituição de trafo corrente TRANSFORMADOR CORRENTE IB503 FASE A (nº serie: C8-2609, cod. mat.: 10185696).</t>
  </si>
  <si>
    <t>0006535/2023</t>
  </si>
  <si>
    <t>TRANSFORMADOR CORRENTE IB503 FASE A</t>
  </si>
  <si>
    <t>Substituição de trafo corrente TRANSFORMADOR CORRENTE IB503 FASE B (nº serie: C8-2610, cod. mat.: 10185697).</t>
  </si>
  <si>
    <t>0006539/2023</t>
  </si>
  <si>
    <t>TRANSFORMADOR CORRENTE IB503 FASE B</t>
  </si>
  <si>
    <t>Substituição do sistema de controle e supervisão do Interligador de Barras (IB) 138 kV da SE Blumenau, DJ592, incluindo painéis e cabos de controle e potência associados.</t>
  </si>
  <si>
    <t>0006540/2023</t>
  </si>
  <si>
    <t>Controle - DJ592</t>
  </si>
  <si>
    <t>Substituição de trafo corrente TRANSFORMADOR CORRENTE IB503 FASE C (nº serie: C8-2611, cod. mat.: 10185698).</t>
  </si>
  <si>
    <t>0006543/2023</t>
  </si>
  <si>
    <t>TRANSFORMADOR CORRENTE IB503 FASE C</t>
  </si>
  <si>
    <t>Substituição do sistema de controle e supervisão (com unidade redundante) da LT 525 kV Blumenau - Biguaçu C-1, incluindo painéis e cabos de controle e potência associados.</t>
  </si>
  <si>
    <t>LT 525 kV BIGUACU /BLUMENAU C-1 SC</t>
  </si>
  <si>
    <t>0006548/2023</t>
  </si>
  <si>
    <t>Controle - LT BIG C-1</t>
  </si>
  <si>
    <t>Substituição de trafo corrente TRANSFORMADOR CORRENTE IB708 FASE A (nº serie: 88G0009-016, cod. mat.: 10185771).</t>
  </si>
  <si>
    <t>0006550/2023</t>
  </si>
  <si>
    <t>TRANSFORMADOR CORRENTE IB708 FASE A</t>
  </si>
  <si>
    <t>Substituição de trafo corrente TRANSFORMADOR CORRENTE IB708 FASE B (nº serie: 88G0009-017, cod. mat.: 10185772).</t>
  </si>
  <si>
    <t>0006552/2023</t>
  </si>
  <si>
    <t>TRANSFORMADOR CORRENTE IB708 FASE B</t>
  </si>
  <si>
    <t>Substituição da proteção Falha de Disjuntor principal, referente ao Interligador de Barras (IB) 525 kV da SE Blumenau, DJ1010 (vão entre as LT Biguaçu C-1 e Curitiba Leste C-1), incluindo painéis e cabos de controle e potência associados.</t>
  </si>
  <si>
    <t>0006554/2023</t>
  </si>
  <si>
    <t>Substituição de trafo corrente TRANSFORMADOR CORRENTE IB708 FASE C (nº serie: 88G0009-018, cod. mat.: 10185773).</t>
  </si>
  <si>
    <t>0006555/2023</t>
  </si>
  <si>
    <t>TRANSFORMADOR CORRENTE IB708 FASE C</t>
  </si>
  <si>
    <t>Substituição do sistema de controle e supervisão (com unidade redundante) do Interligador de Barras (IB) 525 kV da SE Blumenau, DJ1010 (vão entre as LT Biguaçu C-1 e Curitiba Leste C-1), incluindo painéis e cabos de controle e potência associados.</t>
  </si>
  <si>
    <t>0006557/2023</t>
  </si>
  <si>
    <t>Substituição de trafo potencial/dcp DCP - 230KV TR01 FASE C (nº serie: 88687401, cod. mat.: 10189470).</t>
  </si>
  <si>
    <t>0006558/2023</t>
  </si>
  <si>
    <t>DCP - 230KV TR01 FASE C</t>
  </si>
  <si>
    <t>Substituição de trafo potencial/dcp DCP LIBTAL FASE A (nº serie: 88636801, cod. mat.: 10189471).</t>
  </si>
  <si>
    <t>0006559/2023</t>
  </si>
  <si>
    <t>DCP LIBTAL FASE A</t>
  </si>
  <si>
    <t>Substituição de trafo potencial/dcp DCP LIBTAL FASE B (nº serie: 88636802, cod. mat.: 10189472).</t>
  </si>
  <si>
    <t>0006560/2023</t>
  </si>
  <si>
    <t>DCP LIBTAL FASE B</t>
  </si>
  <si>
    <t>Substituição do Sistema de Proteção, Controle e Supervisão (SPCS) dos cubículos e serviços auxiliares CA / CC, da SE Blumenau, incluindo painéis e cabos associados.</t>
  </si>
  <si>
    <t>0006561/2023</t>
  </si>
  <si>
    <t>Substituição de trafo potencial/dcp DCP LIBTAL FASE C (nº serie: 88636803, cod. mat.: 10189473).</t>
  </si>
  <si>
    <t>0006562/2023</t>
  </si>
  <si>
    <t>DCP LIBTAL FASE C</t>
  </si>
  <si>
    <t>Substituição de equipamentos associados ao Banco de Capacitores BC1 - 13,8 kV da SE Caxias 5: Transformador de Corrente de Desbalanço - TCABCN, Seccionador de Aterramento - CS29/1 e Reatores Limitadores de Corrente - RLC1/A, RLC1/B, RLC1/C.</t>
  </si>
  <si>
    <t>0006566/2023</t>
  </si>
  <si>
    <t>TCABCN, CS29/1, RLC1/A, RLC1/B, RLC1/C</t>
  </si>
  <si>
    <t>Substituição de equipamentos associados ao Banco de Capacitores BC2 - 13,8 kV da SE Caxias 5: Transformador de Corrente de Desbalanço - TCABCN, Seccionador de Aterramento - CS29/3 e Reatores Limitadores de Corrente - RLC2/A, RLC2/B, RLC2/C.</t>
  </si>
  <si>
    <t>0006568/2023</t>
  </si>
  <si>
    <t>TCABCN, CS29/3, RLC2/A, RLC2/B, RLC2/C</t>
  </si>
  <si>
    <t>Substituição de Disjuntor tripolar 230 kV, DJ762, referente ao Interligador de Barras da SE Areia. Associado à obra, são esperadas substituições/adaptações de fundações e suportes, cabos de controle e potência, barramento, conectores e conexão de aterramento.</t>
  </si>
  <si>
    <t>0006572/2023</t>
  </si>
  <si>
    <t>Substituição de Chave Seccionadora tripolar 525 kV, CS1001, referente a LT Areia - Segredo C-1. Associado à obra são esperadas substituições/adaptações de fundações, suportes, cabos de controle/potência, barramento, conectores e conexão de aterramento.</t>
  </si>
  <si>
    <t>0006579/2023</t>
  </si>
  <si>
    <t>CS1001</t>
  </si>
  <si>
    <t>Substituição de equipamentos associados ao Banco de Capacitores BC3 - 13,8 kV da SE Caxias 5: Transformador de Corrente de Desbalanço - TCABCN, Seccionador de Aterramento - CS29/5 e Reatores Limitadores de Corrente - RLC3/A, RLC3/B, RLC3/C.</t>
  </si>
  <si>
    <t>0006585/2023</t>
  </si>
  <si>
    <t>TCABCN, CS29/5, RLC3/A, RLC3/B, RLC3/C</t>
  </si>
  <si>
    <t>Substituição de Chave Seccionadora tripolar 525 kV, CS1007, com lâmina de terra, referente a LT Areia - Segredo C-1. Associado à obra são esperadas substituições/adaptações de fundações, suportes, cabos de controle/potência, barramento, conectores e conexão de aterramento.</t>
  </si>
  <si>
    <t>0006590/2023</t>
  </si>
  <si>
    <t>CS1007 / CS1007T</t>
  </si>
  <si>
    <t>SUBSTITUIÇÃO DA CHAVE SECCIONADORA SC2373 - 15kV</t>
  </si>
  <si>
    <t>0006595/2023</t>
  </si>
  <si>
    <t>SC2373</t>
  </si>
  <si>
    <t>Substituição da Chave Seccionadora C/LT 500kV MBSL7-01</t>
  </si>
  <si>
    <t>0006597/2023</t>
  </si>
  <si>
    <t>MBSL7-01</t>
  </si>
  <si>
    <t>Substituição de para-raios 230 kV referente ao TF 2 525/230 kV da SE Areia, Fases A, B e C. Associado a obra são esperadas substituições/adaptações de fundações, suportes, cabos de controle e potência, barramento, conectores e conexão do aterramento.</t>
  </si>
  <si>
    <t>0006598/2023</t>
  </si>
  <si>
    <t>PR TR2</t>
  </si>
  <si>
    <t>Substituição dos painéis de SPCS (Interligação de Barras Vão DY) com vida útil esgotada por um novo, com características similares</t>
  </si>
  <si>
    <t>0006607/2023</t>
  </si>
  <si>
    <t>N-S-PAMB-MG701-IB500IB1-DJ702-MBSPR01</t>
  </si>
  <si>
    <t>Substituição de Disjuntor tripolar 525 kV, DJ1072, referente ao Reator 1 (RT1) da SE Blumenau. Associado à obra, são esperadas substituições/adaptações de fundações e suportes, cabos de controle e potência, barramento, conectores e conexão de aterramento.</t>
  </si>
  <si>
    <t>0006617/2023</t>
  </si>
  <si>
    <t>Substituição de Disjuntor tripolar 525 kV, DJ1062, referente ao TF 6 525/230 kV da SE Blumenau. Associado à obra, são esperadas substituições/adaptações de fundações e suportes, cabos de controle e potência, barramento, conectores e conexão de aterramento.</t>
  </si>
  <si>
    <t>0006621/2023</t>
  </si>
  <si>
    <t>Substituição dos painéis de SPCS daLT 500 kV Tucuruí - Vila do Conde C1 (LT TCVC-LT7-01 - IZ) com vida útil esgotada por um novo, com características similares.</t>
  </si>
  <si>
    <t>0006623/2023</t>
  </si>
  <si>
    <t>TCSPR-01/ TCSPR-02</t>
  </si>
  <si>
    <t>Substituição de Chave Seccionadora tripolar 525 kV, CS1071, referente ao Reator 1 (RT1) da SE Blumenau. Associado à obra são esperadas substituições/adaptações de fundações, suportes, cabos de controle/potência, barramento, conectores e conexão de aterramento.</t>
  </si>
  <si>
    <t>0006627/2023</t>
  </si>
  <si>
    <t>Substituição dos painéis de SPCS (Interligação de Barras Vão CY) com vida útil esgotada por um novo, com características similares.</t>
  </si>
  <si>
    <t>0006631/2023</t>
  </si>
  <si>
    <t>N-S-PAMB-MG701-IB500IB2-DJ705-MBSPR01</t>
  </si>
  <si>
    <t>Substituição da Chave Seccionadora 500kV MBSD7-04 associada ao disjuntor MBDJ7-02</t>
  </si>
  <si>
    <t>0006641/2023</t>
  </si>
  <si>
    <t>MBSD704</t>
  </si>
  <si>
    <t>Substituição da chave seccionadora MBSD7-41</t>
  </si>
  <si>
    <t>0006646/2023</t>
  </si>
  <si>
    <t>MBSD7-41</t>
  </si>
  <si>
    <t>Substituição de Chave Seccionadora tripolar 525 kV, CS1073, referente ao Reator 1 (RT1) da SE Blumenau. Associado à obra são esperadas substituições/adaptações de fundações, suportes, cabos de controle/potência, barramento, conectores e conexão de aterramento.</t>
  </si>
  <si>
    <t>0006666/2023</t>
  </si>
  <si>
    <t>Substituição de Chave Seccionadora tripolar 525 kV, CS1077, referente ao Reator 1 (RT1) da SE Blumenau. Associado à obra são esperadas substituições/adaptações de fundações, suportes, cabos de controle/potência, barramento, conectores e conexão de aterramento.</t>
  </si>
  <si>
    <t>0006669/2023</t>
  </si>
  <si>
    <t>CS1077</t>
  </si>
  <si>
    <t>Substituição de Chave Seccionadora tripolar 525 kV, CS1037, com lâmina de terra, referente a LT Blumenau - Curitiba C-1. Associado à obra são esperadas substituições/adaptações de fundações, suportes, cabos de controle/potência, barramento, conectores e conexão de aterramento.</t>
  </si>
  <si>
    <t>0006670/2023</t>
  </si>
  <si>
    <t>Substituição de Chave Seccionadora tripolar 230 kV, CS911, referente ao TF 6 525/230 kV da SE Blumenau. Associado à obra são esperadas substituições/adaptações de fundações, suportes, cabos de controle/potência, barramento, conectores e conexão de aterramento.</t>
  </si>
  <si>
    <t>0006671/2023</t>
  </si>
  <si>
    <t>CS911</t>
  </si>
  <si>
    <t>Substituição do Transformador de corrente de 230 kV  fase "V"  Vão 
 I SECÇÃO Z (VCDJ6 12)</t>
  </si>
  <si>
    <t>N-S-PAVC-ABVCLI602-ELVC-VCTC601 FV</t>
  </si>
  <si>
    <t>0006673/2023</t>
  </si>
  <si>
    <t>Substituição do Transformador de corrente de 230 kV  fase "B"  Vão 
 I SECÇÃO Z (VCDJ6 12)</t>
  </si>
  <si>
    <t>N-S-PAVC-ABVCLI602-ELVC-VCTC601 FB</t>
  </si>
  <si>
    <t>0006674/2023</t>
  </si>
  <si>
    <t>Substituição do Transformador de corrente de 230 kV  fase "A"  Vão 
 I SECÇÃO Z (VCDJ6 12)</t>
  </si>
  <si>
    <t>N-S-PAVC-ABVCLI602-ELVC-VCTC601 FA</t>
  </si>
  <si>
    <t>0006675/2023</t>
  </si>
  <si>
    <t>0006676/2023</t>
  </si>
  <si>
    <t>RDP - LT 345 kV IBIUNA /TIJUCO PRETO C-2 SP</t>
  </si>
  <si>
    <t>0006677/2023</t>
  </si>
  <si>
    <t>Substituição do Transformador de corrente de 230 kV  fase "V"  Vão 
 I SECÇÃO Y2 (VCDJ6 11)</t>
  </si>
  <si>
    <t>0006678/2023</t>
  </si>
  <si>
    <t>N-S-PAVC-MG701-IB500-DJ711-VCTC702 FV</t>
  </si>
  <si>
    <t>Substituição do Transformador de corrente de 230 kV  fase "B"  Vão 
 I SECÇÃO Y2 (VCDJ6 11)</t>
  </si>
  <si>
    <t>0006680/2023</t>
  </si>
  <si>
    <t>N-S-PAVC-MG701-IB500-DJ711-VCTC702 FB</t>
  </si>
  <si>
    <t>Substituição do Transformador de corrente de 230 kV  fase "A"  Vão 
 I SECÇÃO Y2 (VCDJ6 11)</t>
  </si>
  <si>
    <t>0006681/2023</t>
  </si>
  <si>
    <t>N-S-PAVC-MG701-IB500-DJ711-VCTC702 FA</t>
  </si>
  <si>
    <t>Substituição de 01 Registrador de Perturbação (RDP) associado ao vão de Entrada de Linha 04F3 (LT 230 kV AQUIRAZ II/FORTALEZA C-2) na subestação FORTALEZA, por um novo sistema composto por: 01 RDP e infraestrutura de comunicação associada</t>
  </si>
  <si>
    <t>0006683/2023</t>
  </si>
  <si>
    <t>11449270</t>
  </si>
  <si>
    <t>SUBSTITUIR O TC 230kV FASE B DO AUTOTRANSFORMADOR NÚMERO 1 DA SE BARRA DO PEIXE</t>
  </si>
  <si>
    <t>0006685/2023</t>
  </si>
  <si>
    <t>SUBSTITUIR O TC 230kV FASE V DO AUTOTRANSFORMADOR NÚMERO 1 DA SE BARRA DO PEIXE</t>
  </si>
  <si>
    <t>0006686/2023</t>
  </si>
  <si>
    <t>REVITALIZAÇÃO DO REATOR BPRE6-02 COM SUBSTITUIÇÃO DE BUCHAS, VEDAÇÕES E VÁLVULAS, ALEM DE TRATAMENTO DO ÓLEO ISOLANTE E SECAGEM DA PARTE ATIVA.</t>
  </si>
  <si>
    <t>FT RTB 230 kV 20 MVAr BARRA PEIXE RT2 MT</t>
  </si>
  <si>
    <t>0006690/2023</t>
  </si>
  <si>
    <t>N-S-MTBP-RE602-RE230-BPRE602</t>
  </si>
  <si>
    <t>Substituição do Transformador de corrente de 230 kV  fase "V"  Vão 
 J SECÇÃO Z (VCDJ6 09)</t>
  </si>
  <si>
    <t>N-S-PAVC-ABVCLI601-ELVC-VCTC601 FV</t>
  </si>
  <si>
    <t>0006691/2023</t>
  </si>
  <si>
    <t>Substituição do Transformador de corrente de 230 kV  fase "B"  Vão 
 J SECÇÃO Z (VCDJ6 09)</t>
  </si>
  <si>
    <t>N-S-PAVC-ABVCLI601-ELVC-VCTC601 FB</t>
  </si>
  <si>
    <t>0006693/2023</t>
  </si>
  <si>
    <t>Substituição de Chave Seccionadora tripolar 230 kV, CS913, referente ao TF 6 525/230 kV da SE Blumenau. Associado à obra são esperadas substituições/adaptações de fundações, suportes, cabos de controle/potência, barramento, conectores e conexão de aterramento.</t>
  </si>
  <si>
    <t>0006695/2023</t>
  </si>
  <si>
    <t>CS913</t>
  </si>
  <si>
    <t>Substituição de Chave Seccionadora tripolar 230 kV, CS915, referente ao TF 6 525/230 kV da SE Blumenau. Associado à obra são esperadas substituições/adaptações de fundações, suportes, cabos de controle/potência, barramento, conectores e conexão de aterramento.</t>
  </si>
  <si>
    <t>0006701/2023</t>
  </si>
  <si>
    <t>CS915</t>
  </si>
  <si>
    <t>SUBSTITUIÇÃO DO CUBÍCULO DE 15kV DO TF1</t>
  </si>
  <si>
    <t>Sem FT</t>
  </si>
  <si>
    <t>0006704/2023</t>
  </si>
  <si>
    <t>N-S-MTCM-DIT-TF501-CMCB204</t>
  </si>
  <si>
    <t>Substituição de Chave Seccionadora tripolar 525 kV, CS1065, referente ao Interligador de Barras entre o Reator 1 e o TF 6. Associado à obra são esperadas substituições/adaptações de fundações, suportes, cabos de controle/potência, barramento, conectores e conexão de aterramento.</t>
  </si>
  <si>
    <t>0006705/2023</t>
  </si>
  <si>
    <t>SUBSTITUIR PARA-RAIO 13,8KV FASE A DO CMTF5-01</t>
  </si>
  <si>
    <t>0006708/2023</t>
  </si>
  <si>
    <t>N-S-MTCM-DIT-TF501-CMPR201</t>
  </si>
  <si>
    <t>Substituição de Chave Seccionadora tripolar 525 kV, CS1075, referente ao Interligador de Barras entre o Reator 1 e o TF 6. Associado à obra são esperadas substituições/adaptações de fundações, suportes, cabos de controle/potência, barramento, conectores e conexão de aterramento.</t>
  </si>
  <si>
    <t>0006710/2023</t>
  </si>
  <si>
    <t>Substituição do Transformador de corrente de 230 kV  fase "A"  Vão 
 J SECÇÃO Z (VCDJ6 09)</t>
  </si>
  <si>
    <t>N-S-PAVC-ABVCLI601-ELVC-VCTC601 FA</t>
  </si>
  <si>
    <t>0006713/2023</t>
  </si>
  <si>
    <t>SUBSTITUIR PARA-RAIO 13,8KV FASE B DO CMTF5-01</t>
  </si>
  <si>
    <t>0006715/2023</t>
  </si>
  <si>
    <t>Substituição de Transformadores de Corrente 525 kV referentes ao Reator 1 (RT1) da SE Blumenau, DJ1072, Fases A, B, C. Associado à obra, são esperadas substituições/adaptações de fundações e suportes, caixa de junção, cabos de controle/potência, barramento, conectores e conexão de aterramento. Funções do TC: proteção e medição.</t>
  </si>
  <si>
    <t>0006716/2023</t>
  </si>
  <si>
    <t>Substituição do Transformador de corrente de 230 kV  fase "V"  Vão 
 J SECÇÃO Y1 (VCDJ6 08)</t>
  </si>
  <si>
    <t>0006721/2023</t>
  </si>
  <si>
    <t>N-S-PAVC-MG701-IB500-DJ708-VCTC701 FV</t>
  </si>
  <si>
    <t>SUBSTITUIR PARA-RAIO 13,8KV FASE V DO CMTF5-01</t>
  </si>
  <si>
    <t>0006722/2023</t>
  </si>
  <si>
    <t>Substituição de Transformadores de Corrente 525 kV referentes ao  TF 6 525/230 kV da SE Blumenau, DJ1062, Fases A, B, C. Associado à obra, são esperadas substituições/adaptações de fundações e suportes, caixa de junção, cabos de controle/potência, barramento, conectores e conexão de aterramento. Funções do TC: proteção e medição.</t>
  </si>
  <si>
    <t>0006725/2023</t>
  </si>
  <si>
    <t>SUBSTITUIÇÃO DA CHAVE SECCIONADORA CMSD5-01</t>
  </si>
  <si>
    <t>N-S-MTCM-DIT-TF501-CMSD501</t>
  </si>
  <si>
    <t>0006726/2023</t>
  </si>
  <si>
    <t>Substituição do Transformador de corrente de 230 kV  fase "B"  Vão J SECÇÃO Y1 (VCDJ6 08)</t>
  </si>
  <si>
    <t>0006729/2023</t>
  </si>
  <si>
    <t>N-S-PAVC-MG701-IB500-DJ708-VCTC701 FB</t>
  </si>
  <si>
    <t>Substituição de Transformadores de Corrente 525 kV referentes ao Interligador de Barras, DJ1070, SE Blumenau, Fases A, B, C. Associado à obra, são esperadas substituições/adaptações de fundações e suportes, caixa de junção, cabos de controle/potência, barramento, conectores e conexão de aterramento. Funções do TC: proteção e medição.</t>
  </si>
  <si>
    <t>0006730/2023</t>
  </si>
  <si>
    <t>Substituição do Transformador de corrente de 230 kV fase "A" Vão</t>
  </si>
  <si>
    <t>0006737/2023</t>
  </si>
  <si>
    <t>N-S-PAVC-MG701-IB500-DJ708-VCTC701 FA</t>
  </si>
  <si>
    <t>Substituição de Para-Raios 525 kV, referente ao Reator Reserva (monofásico) da SE Curitiba. Associado à obra, são esperadas substituições ou adaptações de fundações e suportes existentes, cabos de controle e potência, barramento, conectores e conexão do aterramento.</t>
  </si>
  <si>
    <t>RTR 525 kV 50 MVAr CURITIBA RTR1 PR</t>
  </si>
  <si>
    <t>0006739/2023</t>
  </si>
  <si>
    <t>PRR</t>
  </si>
  <si>
    <t>LT 525 kV ITA  / MACHADINHO C-1 SC</t>
  </si>
  <si>
    <t>Substituição de 01 (um) dos cabos para-raios da LT 525 kV Itá - Machadinho C-1, em toda a sua extensão (80 km), por cabos tipo OPGW.</t>
  </si>
  <si>
    <t>0006743/2023</t>
  </si>
  <si>
    <t>Cabo Para-Raios</t>
  </si>
  <si>
    <t>Substituição do Transformador de corrente de 230 kV  fase "V"  Vão I SECÇÃO Y1 (VCDJ6 11)</t>
  </si>
  <si>
    <t>0006746/2023</t>
  </si>
  <si>
    <t>N-S-PAVC-MG701-IB230-DJ611-VCTC601 FV</t>
  </si>
  <si>
    <t>LT 525 kV C.NOVOS  / MACHADINHO C-1 SC</t>
  </si>
  <si>
    <t>Substituição de 01 (um) dos cabos para-raios da LT 525 kV Campos Novos - Machadinho C-1, em toda a sua extensão (51 km), por cabos tipo OPGW.</t>
  </si>
  <si>
    <t>LT 525 kV C.NOVOS /MACHADINHO C-1 SC</t>
  </si>
  <si>
    <t>0006747/2023</t>
  </si>
  <si>
    <t>Substituição do Transformador de corrente de 230 kV  fase "B"  Vão I SECÇÃO Y1 (VCDJ6 11)</t>
  </si>
  <si>
    <t>0006754/2023</t>
  </si>
  <si>
    <t>N-S-PAVC-MG701-IB230-DJ611-VCTC601 FB</t>
  </si>
  <si>
    <t>MARMELEIRO 2</t>
  </si>
  <si>
    <t>15</t>
  </si>
  <si>
    <t>Substituição dos painéis do sistema de resfriamento dos Compensadores Síncronos 01 e 02 (CO1 e CO2) da SE Marmeleiro 2.</t>
  </si>
  <si>
    <t>CS 2 X 100/-100 Mvar MARMELEIRO 2 CS1+CS2 RS</t>
  </si>
  <si>
    <t>0006757/2023</t>
  </si>
  <si>
    <t>Painel - Sistema de Resfriamento</t>
  </si>
  <si>
    <t>Substituição do Transformador de corrente de 230 kV  fase "A"  Vão I SECÇÃO Y1 (VCDJ6 11)</t>
  </si>
  <si>
    <t>0006760/2023</t>
  </si>
  <si>
    <t>N-S-PAVC-MG701-IB230-DJ611-VCTC601 FA</t>
  </si>
  <si>
    <t>Substituição de Disjuntor tripolar 69 kV, DJ462, referente ao TF 10 230/69 kV da SE J.Lacerda-A. Associado à obra, são esperadas substituições/adaptações de fundações e suportes, cabos de controle e potência, barramento, conectores e conexão de aterramento.</t>
  </si>
  <si>
    <t>0006767/2023</t>
  </si>
  <si>
    <t>DJ462</t>
  </si>
  <si>
    <t>Substituição do Transformador de corrente de 230 kV  fase "V"  Vão I SECÇÃO X (VCDJ6 10)</t>
  </si>
  <si>
    <t>0006769/2023</t>
  </si>
  <si>
    <t>N-S-PAVC-AT701-MC230-VCTC601 FV</t>
  </si>
  <si>
    <t>Substituição de Disjuntor tripolar 230 kV, DJ712, referente a LT J.Lacerda-A - UTE J.Lacerda-A C-4. Associado à obra, são esperadas substituições/adaptações de fundações e suportes, cabos de controle e potência, barramento, conectores e conexão de aterramento.</t>
  </si>
  <si>
    <t>LT 230 kV J.LACERDA-A / U. J.LACERDA-A C-4 SC</t>
  </si>
  <si>
    <t>0006774/2023</t>
  </si>
  <si>
    <t>Substituição do Transformador de corrente de 230 kV  fase "B"  Vão I SECÇÃO X (VCDJ6 10)</t>
  </si>
  <si>
    <t>0006775/2023</t>
  </si>
  <si>
    <t>N-S-PAVC-AT701-MC230-VCTC601 FB</t>
  </si>
  <si>
    <t>Substituição do Transformador de corrente de 230 kV  fase "A"  Vão I SECÇÃO X (VCDJ6 10)</t>
  </si>
  <si>
    <t>0006777/2023</t>
  </si>
  <si>
    <t>N-S-PAVC-AT701-MC230-VCTC601 FA</t>
  </si>
  <si>
    <t>Substituição do Transformador de corrente de 230 kV  fase "V"  Vão H SECÇÃO Y2 (VCDJ6 14)</t>
  </si>
  <si>
    <t>0006780/2023</t>
  </si>
  <si>
    <t>N-S-PAVC-MG701-IB230-DJ614-VCTC601 FV</t>
  </si>
  <si>
    <t>Substituição de Disjuntor tripolar 230 kV, DJ742, referente a LT J.Lacerda-A - UTE J.Lacerda-A C-6. Associado à obra, são esperadas substituições/adaptações de fundações e suportes, cabos de controle e potência, barramento, conectores e conexão de aterramento.</t>
  </si>
  <si>
    <t>LT 230 kV J.LACERDA-A / U. J.LACERDA-A C-6 SC</t>
  </si>
  <si>
    <t>0006781/2023</t>
  </si>
  <si>
    <t>Substituir TPC 500 KV da barra 1 fase A, N-S-TOMC-MG701-MG500-BR701-MCTP701 - A, equipamento SAP: 11981525</t>
  </si>
  <si>
    <t>0006782/2023</t>
  </si>
  <si>
    <t>N-S-TOMC-MG701-MG500-BR701-MCTP701 - A (11981525))</t>
  </si>
  <si>
    <t>Substituição do Transformador de corrente de 230 kV fase "B" Vão H SECÇÃO Y2 (VCDJ6 14)</t>
  </si>
  <si>
    <t>0006784/2023</t>
  </si>
  <si>
    <t>N-S-PAVC-MG701-IB230-DJ614-VCTC601 FB</t>
  </si>
  <si>
    <t>Substituição de para-raios 138 kV referente a LT J.Lacerda-A - Bom Jardim da Serra C-1, Fases A, B e C. Associado a obra são esperadas substituições/adaptações de fundações, suportes, cabos de controle e potência, barramento, conectores e conexão do aterramento.</t>
  </si>
  <si>
    <t>0006785/2023</t>
  </si>
  <si>
    <t>PR LT BJS C-1</t>
  </si>
  <si>
    <t>Substituir TPC 500 KV da barra 1 fase V, N-S-TOCO-MG701-MG500-BR701-COTP701 - V, equipamento SAP: 11981174</t>
  </si>
  <si>
    <t>MG 500 kV COLINAS MG2 TO</t>
  </si>
  <si>
    <t>0006786/2023</t>
  </si>
  <si>
    <t>N-S-TOCO-MG701-MG500-BR701-COTP701 - V (11981174)</t>
  </si>
  <si>
    <t>Substituição de Retificador (Carregador de Baterias) 125 Vcc - SACC125-RET1, da SE J.Lacerda-A.</t>
  </si>
  <si>
    <t>0006787/2023</t>
  </si>
  <si>
    <t>Substituição do Transformador de corrente de 230 kV  fase "A"  Vão H SECÇÃO Y2 (VCDJ6 14)</t>
  </si>
  <si>
    <t>0006788/2023</t>
  </si>
  <si>
    <t>N-S-PAVC-MG701-IB230-DJ614-VCTC601 FA</t>
  </si>
  <si>
    <t>Substituição de Retificador (Carregador de Baterias) 125 Vcc - SACC125-RET2, da SE J.Lacerda-A.</t>
  </si>
  <si>
    <t>0006789/2023</t>
  </si>
  <si>
    <t>Substituição do Transformador de corrente de 230 kV  fase "V"  Vão D SECÇÃO Z (VCDJ6 27)</t>
  </si>
  <si>
    <t>0006790/2023</t>
  </si>
  <si>
    <t>N-S-PAVC-VCGMLT601-ELVC-VCTC601 FV</t>
  </si>
  <si>
    <t>Substituição do Transformador de corrente de 230 kV  fase "B"  Vão D SECÇÃO Z (VCDJ6 27)</t>
  </si>
  <si>
    <t>0006791/2023</t>
  </si>
  <si>
    <t>N-S-PAVC-VCGMLT601-ELVC-VCTC601 FB</t>
  </si>
  <si>
    <t>Substituição do Transformador de corrente de 230 kV  fase "A"  Vão D SECÇÃO Z (VCDJ6 27)</t>
  </si>
  <si>
    <t>0006793/2023</t>
  </si>
  <si>
    <t>N-S-PAVC-VCGMLT601-ELVC-VCTC601 FA</t>
  </si>
  <si>
    <t>Substituição do Transformador de corrente de 230 kV  fase "V"  Vão D SECÇÃO Y2 (VCDJ6 26)</t>
  </si>
  <si>
    <t>0006794/2023</t>
  </si>
  <si>
    <t>N-S-PAVC-MG701-IB230-DJ626-VCTC601 FV</t>
  </si>
  <si>
    <t>Substituição do Transformador de corrente de 230 kV  fase "B"  Vão D SECÇÃO Y2 (VCDJ6 26)</t>
  </si>
  <si>
    <t>0006796/2023</t>
  </si>
  <si>
    <t>N-S-PAVC-MG701-IB230-DJ626-VCTC601 FB</t>
  </si>
  <si>
    <t>Substituição de Transformadores de Corrente 69 kV referentes ao TF 10 230/69 kV da SE J.Lacerda-A, DJ462, Fases A, B, C. Associado à obra, são esperadas substituições/adaptações de fundações e suportes, caixa de junção, cabos de controle/potência, barramento, conectores e conexão de aterramento. Funções do TC: proteção e medição.</t>
  </si>
  <si>
    <t>0006797/2023</t>
  </si>
  <si>
    <t>TC DJ462</t>
  </si>
  <si>
    <t>Substituição do Transformador de corrente de 230 kV  fase "A"  Vão D SECÇÃO Y2 (VCDJ6 26)</t>
  </si>
  <si>
    <t>0006798/2023</t>
  </si>
  <si>
    <t>N-S-PAVC-MG701-IB230-DJ626-VCTC601 FA</t>
  </si>
  <si>
    <t>Substituição do Transformador de corrente de 230 kV  fase "V"  Vão C SECÇÃO Z- (VCDJ6 30)</t>
  </si>
  <si>
    <t>0006799/2023</t>
  </si>
  <si>
    <t>N-S-PAVC-VCGMLT602-ELVC-VCTC601 FV</t>
  </si>
  <si>
    <t>Substituição de Grupo Motor-Gerador 380 Vca (SACA380-MG1) e cabos associados, referentes aos Serviços Auxiliares da SE Passo Fundo.</t>
  </si>
  <si>
    <t>0006800/2023</t>
  </si>
  <si>
    <t>Substituição do Transformador de corrente de 230 kV  fase "B"  Vão C SECÇÃO Z- (VCDJ6 30)</t>
  </si>
  <si>
    <t>0006801/2023</t>
  </si>
  <si>
    <t>N-S-PAVC-VCGMLT602-ELVC-VCTC601 FB</t>
  </si>
  <si>
    <t>Substituição de Chave Seccionadora tripolar 230 kV, CS749, referente ao TR2 230/69 kV da SE Farroupilha. Associado à obra são esperadas substituições/adaptações de fundações, suportes, cabos de controle/potência, barramento, conectores e conexão de aterramento.</t>
  </si>
  <si>
    <t>TR 230/69 kV FARROUPILHA TR2 RS</t>
  </si>
  <si>
    <t>0006805/2023</t>
  </si>
  <si>
    <t>CS749</t>
  </si>
  <si>
    <t>Substituição do Transformador de corrente de 230 kV  fase "A"  Vão C SECÇÃO Z- (VCDJ6 30)</t>
  </si>
  <si>
    <t>0006806/2023</t>
  </si>
  <si>
    <t>N-S-PAVC-VCGMLT602-ELVC-VCTC601 FA</t>
  </si>
  <si>
    <t>Substituição de Chave Seccionadora tripolar 230 kV, CS761, referente a LT Joinville - Blumenau C-1. Associado à obra são esperadas substituições/adaptações de fundações, suportes, cabos de controle/potência, barramento, conectores e conexão de aterramento.</t>
  </si>
  <si>
    <t>0006810/2023</t>
  </si>
  <si>
    <t>Substituição do Transformador de corrente de 230 kV  fase "V"  Vão C SECÇÃO Y2- (VCDJ6 29)</t>
  </si>
  <si>
    <t>0006811/2023</t>
  </si>
  <si>
    <t>N-S-PAVC-MG701-IB230-DJ629-VCTC602 FV</t>
  </si>
  <si>
    <t>Substituição de Chave Seccionadora tripolar 230 kV, CS701, referente ao TR7 230/138 kV da SE Joinville. Associado à obra são esperadas substituições/adaptações de fundações, suportes, cabos de controle/potência, barramento, conectores e conexão de aterramento.</t>
  </si>
  <si>
    <t>TR 230/138 kV JOINVILLE TR7 SC</t>
  </si>
  <si>
    <t>0006812/2023</t>
  </si>
  <si>
    <t>CS701</t>
  </si>
  <si>
    <t>Substituição de Chave Seccionadora tripolar 230 kV, CS703, referente ao TR7 230/138 kV da SE Joinville. Associado à obra são esperadas substituições/adaptações de fundações, suportes, cabos de controle/potência, barramento, conectores e conexão de aterramento.</t>
  </si>
  <si>
    <t>0006817/2023</t>
  </si>
  <si>
    <t>CS703</t>
  </si>
  <si>
    <t>Substituição do Transformador de corrente de 230 kV  fase "B"  Vão C SECÇÃO Y2- (VCDJ6 29)</t>
  </si>
  <si>
    <t>0006818/2023</t>
  </si>
  <si>
    <t>N-S-PAVC-MG701-IB230-DJ629-VCTC602 FB</t>
  </si>
  <si>
    <t>Substituição de Chave Seccionadora tripolar 230 kV, CS705, referente ao TR7 230/138 kV da SE Joinville. Associado à obra são esperadas substituições/adaptações de fundações, suportes, cabos de controle/potência, barramento, conectores e conexão de aterramento.</t>
  </si>
  <si>
    <t>0006820/2023</t>
  </si>
  <si>
    <t>CS705</t>
  </si>
  <si>
    <t>Substituição de Chave Seccionadora tripolar 230 kV, CS801, referente a LT Joinville - Vega do Sul C-2. Associado à obra são esperadas substituições/adaptações de fundações, suportes, cabos de controle/potência, barramento, conectores e conexão de aterramento.</t>
  </si>
  <si>
    <t>LT 230 kV JOINVILLE / VEGA DO SUL C-2 SC</t>
  </si>
  <si>
    <t>0006822/2023</t>
  </si>
  <si>
    <t>CS801</t>
  </si>
  <si>
    <t>SUBSTITUIÇÃO DO TRANSFORMADOR AUXILIAR TR03 - 480/220-127V</t>
  </si>
  <si>
    <t>0006823/2023</t>
  </si>
  <si>
    <t>TR03</t>
  </si>
  <si>
    <t>Substituição do Transformador de corrente de 230 kV  fase "A"  Vão C SECÇÃO Y2- (VCDJ6 29)</t>
  </si>
  <si>
    <t>0006824/2023</t>
  </si>
  <si>
    <t>N-S-PAVC-MG701-IB230-DJ629-VCTC602 FA</t>
  </si>
  <si>
    <t>Substituição de Chave Seccionadora tripolar 230 kV, CS893, referente ao TR4 525/230 kV da SE Londrina. Associado à obra são esperadas substituições/adaptações de fundações, suportes, cabos de controle/potência, barramento, conectores e conexão de aterramento.</t>
  </si>
  <si>
    <t>TR 525/230 kV LONDRINA ESU TR4 PR</t>
  </si>
  <si>
    <t>0006825/2023</t>
  </si>
  <si>
    <t>CS893</t>
  </si>
  <si>
    <t>SUBSTITUIÇÃO DO TRANSFORMADOR AUXILIAR TRCE02 - 480/220-127V</t>
  </si>
  <si>
    <t>0006826/2023</t>
  </si>
  <si>
    <t>TRCE02</t>
  </si>
  <si>
    <t>Substituição de equipamentos associados ao Banco de Capacitores BC4 - 13,8 kV da SE Caxias 5: Transformador de Corrente de Desbalanço - TCABCN, Seccionador de Aterramento - CS29/7 e Reatores Limitadores de Corrente - RLC4/A, RLC4/B, RLC4/C.</t>
  </si>
  <si>
    <t>0006827/2023</t>
  </si>
  <si>
    <t>TCABCN, CS29/7, RLC4/A, RLC4/B, RLC4/C</t>
  </si>
  <si>
    <t>SUBSTITUIÇÃO DO TRANSFORMADOR AUXILIAR TRCE01 - 480/220-127V</t>
  </si>
  <si>
    <t>0006828/2023</t>
  </si>
  <si>
    <t>TRCE01</t>
  </si>
  <si>
    <t>Substituição de Chave Seccionadora tripolar 230 kV, CS897, referente ao TR4 525/230 kV da SE Londrina. Associado à obra são esperadas substituições/adaptações de fundações, suportes, cabos de controle/potência, barramento, conectores e conexão de aterramento.</t>
  </si>
  <si>
    <t>0006829/2023</t>
  </si>
  <si>
    <t>CS897</t>
  </si>
  <si>
    <t>Substituição do Transformador de corrente de 230 kV  fase "V"  Vão C SECÇÃO Y1- (VCDJ6 29)</t>
  </si>
  <si>
    <t>0006831/2023</t>
  </si>
  <si>
    <t>N-S-PAVC-MG701-IB230-DJ629-VCTC601 FV</t>
  </si>
  <si>
    <t>SUBSTITUIÇÃO DO TRANSFORMADOR AUXILIAR TR02 - 480/220-127V</t>
  </si>
  <si>
    <t>0006832/2023</t>
  </si>
  <si>
    <t>Substituição de Chave Seccionadora tripolar 525 kV, CS1085, referente ao Interligador de Barras entre as LT S.Santiago C-1 e UH Itá C-2. Associado à obra são esperadas substituições/adaptações de fundações, suportes, cabos de controle/potência, barramento, conectores e conexão de aterramento.</t>
  </si>
  <si>
    <t>0006833/2023</t>
  </si>
  <si>
    <t>SUBSTITUIÇÃO DO TRANSFORMADOR AUXILIAR TR04 - 480/220-127V</t>
  </si>
  <si>
    <t>0006834/2023</t>
  </si>
  <si>
    <t>TR04</t>
  </si>
  <si>
    <t>0006835/2023</t>
  </si>
  <si>
    <t>SUBSTITUIÇÃO DO TRANSFORMADOR AUXILIAR TR01 - 480/220-127V</t>
  </si>
  <si>
    <t>0006836/2023</t>
  </si>
  <si>
    <t>SUBSTITUIÇÃO DO PAINEL QLG-1 - 220V</t>
  </si>
  <si>
    <t>0006837/2023</t>
  </si>
  <si>
    <t>QLG-1</t>
  </si>
  <si>
    <t>Substituição do Transformador de corrente de 230 kV  fase "B"  Vão C SECÇÃO Y1- (VCDJ6 29)</t>
  </si>
  <si>
    <t>0006838/2023</t>
  </si>
  <si>
    <t>N-S-PAVC-MG701-IB230-DJ629-VCTC601 FB</t>
  </si>
  <si>
    <t>Substituição de Chave Seccionadora tripolar 525 kV, CS1095, referente ao Interligador de Barras entre as LT S.Santiago C-1 e UH Itá C-2. Associado à obra são esperadas substituições/adaptações de fundações, suportes, cabos de controle/potência, barramento, conectores e conexão de aterramento.</t>
  </si>
  <si>
    <t>0006839/2023</t>
  </si>
  <si>
    <t>SUBSTITUIÇÃO DO PAINEL QD-D - 220V</t>
  </si>
  <si>
    <t>0006840/2023</t>
  </si>
  <si>
    <t>QD-D</t>
  </si>
  <si>
    <t>Substituição de Disjuntor tripolar 13,8 kV, DJ52/21, referente aos Bancos de Capacitores (BC1/BC2) da SE Caxias 5. Associado à obra, são esperadas substituições/adaptações de fundações e suportes, cabos de controle e potência, barramento, conectores e conexão de aterramento.</t>
  </si>
  <si>
    <t>0006841/2023</t>
  </si>
  <si>
    <t>DJ52/21</t>
  </si>
  <si>
    <t>SUBSTITUIÇÃO DO PAINEL QLG-2 - 220V</t>
  </si>
  <si>
    <t>0006842/2023</t>
  </si>
  <si>
    <t>QLG-2</t>
  </si>
  <si>
    <t>SUBSTITUIÇÃO DO PAINEL QL-1 - 220V</t>
  </si>
  <si>
    <t>0006843/2023</t>
  </si>
  <si>
    <t>QL-1</t>
  </si>
  <si>
    <t>SUBSTITUIÇÃO DO PAINEL QA-1 - 220V</t>
  </si>
  <si>
    <t>0006844/2023</t>
  </si>
  <si>
    <t>QA-1</t>
  </si>
  <si>
    <t>Substituição do Transformador de corrente de 230 kV  fase "A"  Vão C SECÇÃO Y1- (VCDJ6 29)</t>
  </si>
  <si>
    <t>0006845/2023</t>
  </si>
  <si>
    <t>N-S-PAVC-MG701-IB230-DJ629-VCTC601 FA</t>
  </si>
  <si>
    <t>SUBSTITUIÇÃO DO PAINEL QDCO - 220V</t>
  </si>
  <si>
    <t>0006846/2023</t>
  </si>
  <si>
    <t>QDCO</t>
  </si>
  <si>
    <t>SUBSTITUIÇÃO DO PAINEL QL-2 - 220V</t>
  </si>
  <si>
    <t>0006847/2023</t>
  </si>
  <si>
    <t>QL-2</t>
  </si>
  <si>
    <t>SUBSTITUIÇÃO DO PAINEL QDF-1 - 220V</t>
  </si>
  <si>
    <t>0006848/2023</t>
  </si>
  <si>
    <t>QDF-1</t>
  </si>
  <si>
    <t>SUBSTITUIÇÃO DO PAINEL QF-2 - 220V</t>
  </si>
  <si>
    <t>0006849/2023</t>
  </si>
  <si>
    <t>QF-2</t>
  </si>
  <si>
    <t>SUBSTITUIÇÃO DO PAINEL QF-1 - 220V</t>
  </si>
  <si>
    <t>0006850/2023</t>
  </si>
  <si>
    <t>QF-1</t>
  </si>
  <si>
    <t>SUBSTITUIÇÃO DO PAINEL QL-4 - 220V</t>
  </si>
  <si>
    <t>0006851/2023</t>
  </si>
  <si>
    <t>QL-4</t>
  </si>
  <si>
    <t>Substituição do Transformador de corrente de 230 kV  fase "V"  Vão C SECÇÃO X - (VCDJ6 28) - VCTF6 02</t>
  </si>
  <si>
    <t>CS 150/-90 MVAr VILA DO CONDE CS2 PA</t>
  </si>
  <si>
    <t>0006852/2023</t>
  </si>
  <si>
    <t>N-S-PAVC-CS202-MC230-VCTC601 FV</t>
  </si>
  <si>
    <t>SUBSTITUIÇÃO DO PAINEL QL-3 - 220V</t>
  </si>
  <si>
    <t>0006853/2023</t>
  </si>
  <si>
    <t>QL-3</t>
  </si>
  <si>
    <t>SUBSTITUIÇÃO DO PAINEL QL-5 - 220V</t>
  </si>
  <si>
    <t>0006854/2023</t>
  </si>
  <si>
    <t>QL-5</t>
  </si>
  <si>
    <t>SUBSTITUIÇÃO DO PAINEL QLI-2 - 220V</t>
  </si>
  <si>
    <t>0006863/2023</t>
  </si>
  <si>
    <t>QLI-2</t>
  </si>
  <si>
    <t>SUBSTITUIÇÃO DO PAINEL QAC-1 - 220V</t>
  </si>
  <si>
    <t>0006866/2023</t>
  </si>
  <si>
    <t>QAC-1</t>
  </si>
  <si>
    <t>SUBSTITUIÇÃO DA CHAVE SECCIONADORA CMSD5-02</t>
  </si>
  <si>
    <t>0006867/2023</t>
  </si>
  <si>
    <t>N-S-MTCM-DIT-TF501-CMSD502</t>
  </si>
  <si>
    <t>SUBSTITUIÇÃO DO PAINEL QLT-1 - 220V</t>
  </si>
  <si>
    <t>0006868/2023</t>
  </si>
  <si>
    <t>QLT-1</t>
  </si>
  <si>
    <t>SUBSTITUIÇÃO DO PAINEL QD-AC-MO - 127V</t>
  </si>
  <si>
    <t>0006871/2023</t>
  </si>
  <si>
    <t>QD-AC-MO</t>
  </si>
  <si>
    <t>SUBSTITUIÇÃO DA CHAVE SECCIONADORA CMSY5-01</t>
  </si>
  <si>
    <t>N-S-MTCM-DIT-TF501-CMSY501</t>
  </si>
  <si>
    <t>0006873/2023</t>
  </si>
  <si>
    <t>CMSY501</t>
  </si>
  <si>
    <t>SUBSTITUIÇÃO DO PAINEL QD-D4 - 220V</t>
  </si>
  <si>
    <t>0006875/2023</t>
  </si>
  <si>
    <t>QD-D4</t>
  </si>
  <si>
    <t>SUBSTITUIÇÃO DO PAINEL QD-D3 - 220V</t>
  </si>
  <si>
    <t>0006878/2023</t>
  </si>
  <si>
    <t>QD-D3</t>
  </si>
  <si>
    <t>SUBSTITUIÇÃO DO PAINEL QD-D1 - 220V</t>
  </si>
  <si>
    <t>0006880/2023</t>
  </si>
  <si>
    <t>QD-D1</t>
  </si>
  <si>
    <t>SUBSTITUIÇÃO DO DISJUNTOR CMDJ5-01</t>
  </si>
  <si>
    <t>N-S-MTCM-DIT-TF501-CMDJ501</t>
  </si>
  <si>
    <t>0006883/2023</t>
  </si>
  <si>
    <t>SUBSTITUIÇÃO DO PAINEL QD-D2 - 220V</t>
  </si>
  <si>
    <t>0006885/2023</t>
  </si>
  <si>
    <t>QD-D2</t>
  </si>
  <si>
    <t>SUBSTITUIÇÃO DO SISTEMA DE PROTEÇÃO, CONTROLE E SUPERVISÃO DO AUTOTRANSFORMADOR 138/13.8/13.8kV NÚMERO 1 DA SE COUTO MAGALHÃES, COMPREENDENDO AS PROTEÇÃO PRIMÁRIAS E ALTERNADAS.</t>
  </si>
  <si>
    <t>0006892/2023</t>
  </si>
  <si>
    <t>N-S-MTCM-DIT-TF501-CMSPRTF</t>
  </si>
  <si>
    <t>SUBSTITUIÇÃO DO TRANSFORMDOR DE CORRENTE FASE A</t>
  </si>
  <si>
    <t>0006895/2023</t>
  </si>
  <si>
    <t>N-S-MTCM-DIT-TF501-CMTC501</t>
  </si>
  <si>
    <t>SUBSTITUIÇÃO DO TRANSFORMDOR DE CORRENTE FASE B</t>
  </si>
  <si>
    <t>0006897/2023</t>
  </si>
  <si>
    <t>SUBSTITUIÇÃO DO TRANSFORMDOR DE CORRENTE FASE V</t>
  </si>
  <si>
    <t>0006899/2023</t>
  </si>
  <si>
    <t>SUBSTITUIR PARA-RAIO 138KV FASE A DO CMTF5-01</t>
  </si>
  <si>
    <t>0006900/2023</t>
  </si>
  <si>
    <t>N-S-MTCM-DIT-TF501-CMPR501</t>
  </si>
  <si>
    <t>SUBSTITUIR PARA-RAIO 138KV FASE B DO CMTF5-01</t>
  </si>
  <si>
    <t>0006901/2023</t>
  </si>
  <si>
    <t>SUBSTITUIR PARA-RAIO 138KV FASE V DO CMTF5-01</t>
  </si>
  <si>
    <t>0006902/2023</t>
  </si>
  <si>
    <t>SUBSTITUIÇÃO DA CHAVE SECCIONADORA CXCA6-01.</t>
  </si>
  <si>
    <t>0006904/2023</t>
  </si>
  <si>
    <t>CXCA6-01</t>
  </si>
  <si>
    <t>SUBSTITUIÇÃO DA CHAVE SECCIONADORA CXSB6-03 POR FIM DE VIDA ÚTIL.</t>
  </si>
  <si>
    <t>0006910/2023</t>
  </si>
  <si>
    <t>CXSB6-03</t>
  </si>
  <si>
    <t>SUBSTITUIÇÃO DA CHAVE SECCIONADORA CXSD6-05.</t>
  </si>
  <si>
    <t>0006911/2023</t>
  </si>
  <si>
    <t>CXSD6-05</t>
  </si>
  <si>
    <t>SUBSTITUIÇÃO DA CHAVE SECCIONADORA CXSD6-06.</t>
  </si>
  <si>
    <t>0006912/2023</t>
  </si>
  <si>
    <t>CXSD6-06</t>
  </si>
  <si>
    <t>SUBSTITUIÇÃO DO PAINEL CC1 - 125VCC</t>
  </si>
  <si>
    <t>0006913/2023</t>
  </si>
  <si>
    <t>SUBSTITUIÇÃO DO PAINEL CC2 - 125VCC</t>
  </si>
  <si>
    <t>0006914/2023</t>
  </si>
  <si>
    <t>SUBSTITUIÇÃO DA CHAVE SECCIONADORA CXSR6-01</t>
  </si>
  <si>
    <t>0006915/2023</t>
  </si>
  <si>
    <t>CXSR6-01</t>
  </si>
  <si>
    <t>SUBSTITUIÇÃO DO PAINEL CENTRO DE CARGA N.1 SETOR 345KV - 125VCC</t>
  </si>
  <si>
    <t>0006916/2023</t>
  </si>
  <si>
    <t>PAINEL CENTRO DE CARGA N.1 SETOR 345KV</t>
  </si>
  <si>
    <t>SUBSTITUIÇÃO DA CHAVE SECCIONADORA CXSY6-02</t>
  </si>
  <si>
    <t>0006917/2023</t>
  </si>
  <si>
    <t>CXSY6-02</t>
  </si>
  <si>
    <t>SUBSTITUIÇÃO DO PAINEL CC1-A - 125VCC</t>
  </si>
  <si>
    <t>0006918/2023</t>
  </si>
  <si>
    <t>CC1-A</t>
  </si>
  <si>
    <t>SUBSTITUIÇÃO DO PAINEL CC2-B - 125VCC</t>
  </si>
  <si>
    <t>0006921/2023</t>
  </si>
  <si>
    <t>CC2-B</t>
  </si>
  <si>
    <t>SUBSTITUIÇÃO DO DISJUNTOR CXDJ6-02 DA LINHA COXIPÓ-RONDONÓPOLIS 230KV C1.</t>
  </si>
  <si>
    <t>0006923/2023</t>
  </si>
  <si>
    <t>CXDJ6-02</t>
  </si>
  <si>
    <t>SUBSTITUIÇÃO DO PAINEL CENTRO DE CARGA N.2 SETOR 230KV - 125VCC</t>
  </si>
  <si>
    <t>0006925/2023</t>
  </si>
  <si>
    <t>PAINEL CENTRO DE CARGA N.2 SETOR 230KV</t>
  </si>
  <si>
    <t>SUBSTITUIÇÃO DO PAINEL CC2.1 - SALA DE CONTROLE - 125VCC</t>
  </si>
  <si>
    <t>0006929/2023</t>
  </si>
  <si>
    <t>CC2.1</t>
  </si>
  <si>
    <t>SUBSTITUIÇÃO DO PAINEL CC1.1 - SALA DE CONTROLE - 125VCC</t>
  </si>
  <si>
    <t>0006933/2023</t>
  </si>
  <si>
    <t>CC1.1</t>
  </si>
  <si>
    <t>SUBSTITUIÇÃO DO PAINEL CENTRO DE CARGA N.2 SETOR 345KV - 125VCC</t>
  </si>
  <si>
    <t>0006939/2023</t>
  </si>
  <si>
    <t>PAINEL CENTRO DE CARGA N.2 SETOR 345KV</t>
  </si>
  <si>
    <t>Substituição do Sistema de Proteção Controle e Supervisão da linha Coxipó - Rondonópolis C1 e do reator número 1 da SE Coxipó (CXRE6-01), contemplando as cadeias principal e alternada.</t>
  </si>
  <si>
    <t>0006982/2023</t>
  </si>
  <si>
    <t>N-S-MTCX-RPCXLT601-CXRE601-CXSPR01</t>
  </si>
  <si>
    <t>SUBSTITUÇÃO DA CHAVE DE ATERRAMENTO CXCA6-02</t>
  </si>
  <si>
    <t>0006991/2023</t>
  </si>
  <si>
    <t>CXCA6-02</t>
  </si>
  <si>
    <t>SUBSTITUIÇÃO DA CHAVE SECCIONADOR CXSY6-04</t>
  </si>
  <si>
    <t>0006992/2023</t>
  </si>
  <si>
    <t>CXSY6-04</t>
  </si>
  <si>
    <t>SUBSTITUIÇÃO DA CHAVE SECCIONADORA CXSD6-09</t>
  </si>
  <si>
    <t>0006993/2023</t>
  </si>
  <si>
    <t>CXSD6-09</t>
  </si>
  <si>
    <t>SUBSTITUIÇÃO DA CHAVE SECCIONADORA CXSR6-02</t>
  </si>
  <si>
    <t>0006994/2023</t>
  </si>
  <si>
    <t>CXSR6-02</t>
  </si>
  <si>
    <t>SUBSTITUIÇÃO DO DISJUNTOR CXDJ6-04 POR FINAL DE VIDA ÚTIL CONTÁBIL.</t>
  </si>
  <si>
    <t>0006995/2023</t>
  </si>
  <si>
    <t>CXDJ6-04</t>
  </si>
  <si>
    <t>SUBSTITUIÇÃO DO PARA-RAIO FASE A DA EL DA RPCX-LT602 NA SE COXIPÓ.</t>
  </si>
  <si>
    <t>0006996/2023</t>
  </si>
  <si>
    <t>N-S-MTCX-RPCXLT602-ELCX-CXPR601A</t>
  </si>
  <si>
    <t>SUBSTITUIÇÃO DO PARA-RAIO FASE B DA EL DA RPCX-LT602 NA SE COXIPÓ.</t>
  </si>
  <si>
    <t>0006997/2023</t>
  </si>
  <si>
    <t>N-S-MTCX-RPCXLT602-ELCX-CXPR601B</t>
  </si>
  <si>
    <t>Substituição do Sistema de Proteção Controle e Supervisão da linha Coxipó-Rondonópolis C2 (CXRP-LT6-02) e do Reator número 2 da SE Coxipó (CXRE6-02), contemplando as cadeias principal e alternada.</t>
  </si>
  <si>
    <t>0006999/2023</t>
  </si>
  <si>
    <t>N-S-MTCX-RPCXLT602-ELCX-CXSPR01</t>
  </si>
  <si>
    <t>SUBTITUIÇÃO DA CHAVE SECCIONADORA CXSD6-10</t>
  </si>
  <si>
    <t>0007000/2023</t>
  </si>
  <si>
    <t>CXSD6-10</t>
  </si>
  <si>
    <t>Substituição do Sistema de Proteção Controle e Supervisão da linha Coxipó-Rondonópolis C1, contemplando as cadeias principal e alternada.</t>
  </si>
  <si>
    <t>0007001/2023</t>
  </si>
  <si>
    <t>N-S-MTRP-RPCXLT601-ELRP-RPSPRLT</t>
  </si>
  <si>
    <t>Substituição do Sistema de Proteção Controle e Supervisão da linha Coxipó-Rondonópolis C2, contemplando as cadeias principal e alternada.</t>
  </si>
  <si>
    <t>0007002/2023</t>
  </si>
  <si>
    <t>N-S-MTRP-RPCXLT602-ELRP-RPSPRLT</t>
  </si>
  <si>
    <t>SUBSTITUIÇÃO DO MÓDULO DE CONEXÃO DO BANCO DE CAPACITORES 13.8KV NÚMERO 1 DE RONDONÓPOLIS.</t>
  </si>
  <si>
    <t>0007003/2023</t>
  </si>
  <si>
    <t>N-S-MTRP-BC201-MC013</t>
  </si>
  <si>
    <t>SUBSTITUIÇÃO DO MÓDULO DE CONEXÃO DO BANCO DE CAPACITORES 13.8KV NÚMERO 3 DE RONDONÓPOLIS.</t>
  </si>
  <si>
    <t>0007005/2023</t>
  </si>
  <si>
    <t>N-S-MTRP-BC203-MC013</t>
  </si>
  <si>
    <t>Substituição dos sistemas de proteção da LT 69 kV BARRO ALTO  DIST1 (Nome Furnas: LIBRBT)</t>
  </si>
  <si>
    <t>LT 69 kV BARRO ALTO  DIST1</t>
  </si>
  <si>
    <t>0007041/2023</t>
  </si>
  <si>
    <t>PROTEÇÃO - LT 69 kV BARRO ALTO  DIST1 (LIBRBT)</t>
  </si>
  <si>
    <t>Substituição do registrador de perturbações digital da  LT 69 kV BARRO ALTO  DIST1 (Nome Furnas: LIBRBT)</t>
  </si>
  <si>
    <t>LT 69 kV BARRO ALTO DIST1</t>
  </si>
  <si>
    <t>0007042/2023</t>
  </si>
  <si>
    <t>RDP - LT 69 kV BARRO ALTO  DIST1 (Nome Furnas: LIBRBT)</t>
  </si>
  <si>
    <t>Substituição dos sistemas de proteção da LT 69 kV BARRO ALTO  DIST2 (Nome Furnas: LIGNBT)</t>
  </si>
  <si>
    <t>LT 69 kV BARRO ALTO DIST2</t>
  </si>
  <si>
    <t>0007043/2023</t>
  </si>
  <si>
    <t>PROTEÇÃO - LT 69 kV BARRO ALTO  DIST2 (LIGNBT)</t>
  </si>
  <si>
    <t>Substituição do registrador de perturbações digital da  LT 69 kV BARRO ALTO  DIST2 (Nome Furnas: LIGNBT)</t>
  </si>
  <si>
    <t>0007044/2023</t>
  </si>
  <si>
    <t>RDP - LT 69 kV BARRO ALTO  DIST2 (LIGNBT)</t>
  </si>
  <si>
    <t>Substituição dos sistemas de proteção da LT 69 kV BARRO ALTO  DIST3 (Nome Furnas: LIPABT)</t>
  </si>
  <si>
    <t>LT 69 kV BARRO ALTO DIST3</t>
  </si>
  <si>
    <t>0007045/2023</t>
  </si>
  <si>
    <t>PROTEÇÃO - LT 69 kV BARRO ALTO  DIST3 (LIPABT)</t>
  </si>
  <si>
    <t>Substituição dos sistemas de proteção das BR5A e BR5B (Barras de 69 kV) e da proteção de falha dos disjuntores DJ5528, DJ5518, DJ5538, DJ508, DJ518, DJ528, DJ538.</t>
  </si>
  <si>
    <t>0007864/2023</t>
  </si>
  <si>
    <t>PROTEÇÃO - BR5A e BR5B (Barras de 69 kV)</t>
  </si>
  <si>
    <t>Substituição dos sistemas de proteção do BC 230 kV 27 Mvar BARRO ALTO BC1 GO</t>
  </si>
  <si>
    <t>0007053/2023</t>
  </si>
  <si>
    <t>PROTEÇÃO - BC 230 kV 27 Mvar BARRO ALTO BC1 GO</t>
  </si>
  <si>
    <t>Substituição dos sistemas de proteção do TR 230/69 kV BARRO ALTO TR1 GO</t>
  </si>
  <si>
    <t>0007056/2023</t>
  </si>
  <si>
    <t>PROTEÇÃO - TR 230/69 kV BARRO ALTO TR1 GO</t>
  </si>
  <si>
    <t>GPEXPAN</t>
  </si>
  <si>
    <t>Instalação de 01 (um) Transformador de Serviço Auxiliar, 13,8 kV, potência 225 kVA, posição 01T2 na SE GPX, incluindo cabeamentos associados.</t>
  </si>
  <si>
    <t>MDL GERACAO EQUIVALENTE A MG EM EOL GPEXPAN (GPX)</t>
  </si>
  <si>
    <t>0007062/2023</t>
  </si>
  <si>
    <t>Substituição do registrador de perturbações digital da  LT 69 kV BARRO ALTO  DIST3 (Nome Furnas: LIPABT)</t>
  </si>
  <si>
    <t>0007063/2023</t>
  </si>
  <si>
    <t>RDP - LT 69 kV BARRO ALTO  DIST3 (LIPABT)</t>
  </si>
  <si>
    <t>Substituição de 01 (um) banco de baterias 700A4 de 250 Ah 48 Vcc da Subestação RLD.</t>
  </si>
  <si>
    <t>0007064/2023</t>
  </si>
  <si>
    <t>11332682</t>
  </si>
  <si>
    <t>Substituição do registrador de perturbações digital das BR5A e BR5B (Barras de 69 kV)</t>
  </si>
  <si>
    <t>0007866/2023</t>
  </si>
  <si>
    <t>RDP - BR5A e BR5B (Barras de 69 kV)</t>
  </si>
  <si>
    <t>Substituição de 01 (um) Retificador de serviço auxiliar posição operacional 400R2 440 Vac 125 Vcc da subestação SJI.</t>
  </si>
  <si>
    <t>0007066/2023</t>
  </si>
  <si>
    <t>11455611</t>
  </si>
  <si>
    <t>0007069/2023</t>
  </si>
  <si>
    <t>SUBSTITUIÇÃO DO GRUPO MOTOR GERADOR DIESEL DE EMERGÊNCIA DA SUBESTAÇÃO DE 180 KVA / 380V</t>
  </si>
  <si>
    <t>0007178/2023</t>
  </si>
  <si>
    <t>SUBSTITUIÇÃO DO TRANSFORMADOR SATRTRE2 - 380/220-127V</t>
  </si>
  <si>
    <t>0007179/2023</t>
  </si>
  <si>
    <t>SATRTRE2</t>
  </si>
  <si>
    <t>SUBSTITUIÇÃO DO TRANSFORMADOR AUXILIAR DA CASA DE MANUTENÇÃO - 13,8KV/220V</t>
  </si>
  <si>
    <t>0007180/2023</t>
  </si>
  <si>
    <t>TR CASA DE MANUTENÇÃO</t>
  </si>
  <si>
    <t>SUBSTITUIÇÃO DO TRANSFORMADOR AUXILIAR DA CASA DE BOMBAS - 13,8KV/220V</t>
  </si>
  <si>
    <t>0007181/2023</t>
  </si>
  <si>
    <t>TR CASA DE BOMBAS</t>
  </si>
  <si>
    <t>SUBSTITUIÇÃO DO TRANSFORMADOR SATRTRN1 - 380/220-127V</t>
  </si>
  <si>
    <t>0007182/2023</t>
  </si>
  <si>
    <t>SATRTRN1</t>
  </si>
  <si>
    <t>SUBSTITUIÇÃO DO TRANSFORMADOR TR01 - 13,8KV/380-220V</t>
  </si>
  <si>
    <t>0007183/2023</t>
  </si>
  <si>
    <t>SUBSTITUIÇÃO DO TRANSFORMADOR TR02  - 13,8KV/380-220V</t>
  </si>
  <si>
    <t>0007184/2023</t>
  </si>
  <si>
    <t>SUBSTITUIÇÃO DOS SECCIONADORES 13,8KV (SC2211, SC2001, SC2213, SC2113, SC2111, SC2003, SC2007, SC2011 E SC2013)</t>
  </si>
  <si>
    <t>0007187/2023</t>
  </si>
  <si>
    <t>SECC 13,8KV</t>
  </si>
  <si>
    <t>SUBSTITUIÇÃO DO PAINEL CSA-1 - 380V</t>
  </si>
  <si>
    <t>0007188/2023</t>
  </si>
  <si>
    <t>CSA-1</t>
  </si>
  <si>
    <t>SUBSTITUIÇÃO DO PAINEL CSA-1A - 380V</t>
  </si>
  <si>
    <t>0007190/2023</t>
  </si>
  <si>
    <t>CSA-1A</t>
  </si>
  <si>
    <t>SUBSTITUIÇÃO DO PAINEL PDN - 220V</t>
  </si>
  <si>
    <t>0007191/2023</t>
  </si>
  <si>
    <t>PDN</t>
  </si>
  <si>
    <t>SUBSTITUIÇÃO DO PAINEL PDE - 220V</t>
  </si>
  <si>
    <t>0007192/2023</t>
  </si>
  <si>
    <t>PDE</t>
  </si>
  <si>
    <t>SUBSTITUIÇÃO DO PAINEL PSA - 220V</t>
  </si>
  <si>
    <t>0007194/2023</t>
  </si>
  <si>
    <t>PSA</t>
  </si>
  <si>
    <t>SUBSTITUIÇÃO DO PAINEL PSA CC - 125VCC</t>
  </si>
  <si>
    <t>0007195/2023</t>
  </si>
  <si>
    <t>PSA CC</t>
  </si>
  <si>
    <t>0007198/2023</t>
  </si>
  <si>
    <t>SUBSTITUIÇÃO DO RETIFICADOR A - 380V</t>
  </si>
  <si>
    <t>0007199/2023</t>
  </si>
  <si>
    <t>RFA</t>
  </si>
  <si>
    <t>SUBSTITUIÇÃO DO RETIFICADOR B - 380V</t>
  </si>
  <si>
    <t>0007202/2023</t>
  </si>
  <si>
    <t>RFB</t>
  </si>
  <si>
    <t>Substituição de Chave Seccionadora tripolar 230 kV, CS715, referente a LT Siderópolis - J.Lacerda-B C-1. Associado à obra são esperadas substituições/adaptações de fundações, suportes, cabos de controle/potência, barramento, conectores e conexão de aterramento.</t>
  </si>
  <si>
    <t>LT 230 kV J.LACERDA-B /SIDEROPOL.ESU C-1 SC</t>
  </si>
  <si>
    <t>0007216/2023</t>
  </si>
  <si>
    <t>Substituição do Transformador de corrente de 230 kV  fase "B"  Vão C SECÇÃO X - (VCDJ6 28) - VCTF6 02</t>
  </si>
  <si>
    <t>0007224/2023</t>
  </si>
  <si>
    <t>N-S-PAVC-CS202-MC230-VCTC601 FB</t>
  </si>
  <si>
    <t>Substituição do Transformador de corrente de 230 kV  fase "A"  Vão C SECÇÃO X - (VCDJ6 28) - VCTF6 02</t>
  </si>
  <si>
    <t>0007233/2023</t>
  </si>
  <si>
    <t>N-S-PAVC-CS202-MC230-VCTC601 FA</t>
  </si>
  <si>
    <t>Substituição de Chave Seccionadora tripolar 230 kV, CS811, referente ao TR3 230/69 kV  da SE Siderópolis. Associado à obra são esperadas substituições/adaptações de fundações, suportes, cabos de controle/potência, barramento, conectores e conexão de aterramento.</t>
  </si>
  <si>
    <t>TR 230/69 kV SIDEROPOL.ESU TR3 SC</t>
  </si>
  <si>
    <t>0007246/2023</t>
  </si>
  <si>
    <t>CS811</t>
  </si>
  <si>
    <t>Substituição do Transformador de corrente de 230 kV  fase "V"  Vão A1 SECÇÃO Y-2 - (VCDJ6 38)</t>
  </si>
  <si>
    <t>0007250/2023</t>
  </si>
  <si>
    <t>N-S-PAVC-MG701-IB230-DJ638-VCTC602 FV</t>
  </si>
  <si>
    <t>Substituição de Chave Seccionadora tripolar 230 kV, CS813, referente ao TR3 230/69 kV  da SE Siderópolis. Associado à obra são esperadas substituições/adaptações de fundações, suportes, cabos de controle/potência, barramento, conectores e conexão de aterramento.</t>
  </si>
  <si>
    <t>0007255/2023</t>
  </si>
  <si>
    <t>CS813</t>
  </si>
  <si>
    <t>Substituição do Transformador de corrente de 230 kV  fase "B"  Vão A1 SECÇÃO Y-2 - (VCDJ6 38)</t>
  </si>
  <si>
    <t>0007264/2023</t>
  </si>
  <si>
    <t>N-S-PAVC-MG701-IB230-DJ638-VCTC602 FB</t>
  </si>
  <si>
    <t>Substituição de monitor on-line de umidade do óleo do comutador em carga e respectivos sensores, sensores de gradiente da temperatura ambiente, sensor de gases dissolvidos no óleo mineral isolante, e conversores de comunicação com as respectivas fontes de alimentação, referentes ao Sistema de Monitoramento do TF1 230/138 kV da SE Xanxerê.</t>
  </si>
  <si>
    <t>0007273/2023</t>
  </si>
  <si>
    <t>Sistema de Monitoramento</t>
  </si>
  <si>
    <t>Substituição do Transformador de corrente de 230 kV  fase "A"  Vão A1 SECÇÃO Y-2 - (VCDJ6 38)</t>
  </si>
  <si>
    <t>0007276/2023</t>
  </si>
  <si>
    <t>N-S-PAVC-MG701-IB230-DJ638-VCTC602 FA</t>
  </si>
  <si>
    <t>Substituição de monitor on-line de umidade do óleo do comutador em carga e respectivos sensores, sensores de gradiente da temperatura ambiente, sensor de gases dissolvidos no óleo mineral isolante, e conversores de comunicação com as respectivas fontes de alimentação, referentes ao Sistema de Monitoramento do TF2 230/138 kV da SE Xanxerê.</t>
  </si>
  <si>
    <t>TR 230/138 kV XANXERE ESU TR2 SC</t>
  </si>
  <si>
    <t>0007281/2023</t>
  </si>
  <si>
    <t>Substituição de sensores de gradiente da temperatura ambiente, sensor de gases dissolvidos no óleo mineral isolante, e conversores de comunicação com as respectivas fontes de alimentação, referentes ao Sistema de Monitoramento do banco de autotransformadores TF3 525/230 kV, fase A, da SE Santo Ângelo.</t>
  </si>
  <si>
    <t>0007288/2023</t>
  </si>
  <si>
    <t>Substituição de sensores de gradiente da temperatura ambiente, sensor de gases dissolvidos no óleo mineral isolante, e conversores de comunicação com as respectivas fontes de alimentação, referentes ao Sistema de Monitoramento do banco de autotransformadores TF3 525/230 kV, fase B, da SE Santo Ângelo.</t>
  </si>
  <si>
    <t>0007297/2023</t>
  </si>
  <si>
    <t>Substituição do Transformador de corrente de 230 kV  fase "V"  Vão EX -UGMT LI6 02</t>
  </si>
  <si>
    <t>0007298/2023</t>
  </si>
  <si>
    <t>N-S-PAUG-UGMMLT602-ELUG-UGTC601 FV</t>
  </si>
  <si>
    <t>Substituição de sensores de gradiente da temperatura ambiente, sensor de gases dissolvidos no óleo mineral isolante, e conversores de comunicação com as respectivas fontes de alimentação, referentes ao Sistema de Monitoramento do banco de autotransformadores TF3 525/230 kV, fase C, da SE Santo Ângelo.</t>
  </si>
  <si>
    <t>0007300/2023</t>
  </si>
  <si>
    <t>Substituição de monitor on-line de umidade do óleo do comutador em carga e respectivos sensores, sensores de gradiente da temperatura ambiente, sensor de gases dissolvidos no óleo mineral isolante, e conversores de comunicação com as respectivas fontes de alimentação, referentes ao Sistema de Monitoramento do TF5 230/138 kV da SE Biguaçu.</t>
  </si>
  <si>
    <t>TR 230/138 kV BIGUACU TR5 SC</t>
  </si>
  <si>
    <t>0007303/2023</t>
  </si>
  <si>
    <t>Substituição de monitor on-line de umidade do óleo do comutador em carga e respectivos sensores, sensores de gradiente da temperatura ambiente, sensor de gases dissolvidos no óleo mineral isolante, e conversores de comunicação com as respectivas fontes de alimentação, referentes ao Sistema de Monitoramento do TF6 230/138 kV da SE Biguaçu.</t>
  </si>
  <si>
    <t>TR 230/138 kV BIGUACU TR6 SC</t>
  </si>
  <si>
    <t>0007308/2023</t>
  </si>
  <si>
    <t>Instalação de novo setor 13,8 kV para alimentação dos serviços auxiliares da SE Biguaçu, em substituição aos cubículos e disjuntores atualmente existentes. O novo setor será composto pelos equipamentos: para-raios, chaves fusíveis, seccionadores, isoladores, TPs e cabos associados.</t>
  </si>
  <si>
    <t>0007312/2023</t>
  </si>
  <si>
    <t>CUB1 / CUB2 / CUB3 / CUB4 / CUB5</t>
  </si>
  <si>
    <t>Substituição do Transformador de corrente de 230 kV  fase "B"  Vão EX -UGMT LI6 02</t>
  </si>
  <si>
    <t>LT 230 kV MARITUBA / UTINGA C 2 PA</t>
  </si>
  <si>
    <t>0007317/2023</t>
  </si>
  <si>
    <t>N-S-PAUG-UGMMLT602-ELUG-UGTC601 FB</t>
  </si>
  <si>
    <t>Instalação de novo setor 13,8 kV para alimentação dos serviços auxiliares da SE Desterro, em substituição aos cubículos e disjuntores atualmente existentes. O novo setor será composto pelos equipamentos: para-raios, chaves fusíveis, seccionadores, isoladores, TPs e cabos associados.</t>
  </si>
  <si>
    <t>0007322/2023</t>
  </si>
  <si>
    <t>Substituição de 132 Cadeias de Isoladores na LT 230 kV Curitiba - São Mateus do Sul C-1, referentes ao trecho da linha entre a Torre 492 e a Torre 533.</t>
  </si>
  <si>
    <t>0007323/2023</t>
  </si>
  <si>
    <t>Cadeia de Isoladores</t>
  </si>
  <si>
    <t>Substituição dos cubículos e disjuntores 13,8 kV, referentes aos Serviços Auxiliares da SE Marmeleiro 2, e dos cabos associados.</t>
  </si>
  <si>
    <t>MG MARMELEIRO 2 / CCO-2012-020 - RB</t>
  </si>
  <si>
    <t>0007331/2023</t>
  </si>
  <si>
    <t>SK01A / SK02A / SK03A / SK04A / SK01B / SK02B / SK03B / SK06A / SK07A / SK08A</t>
  </si>
  <si>
    <t>S V PALMAR 2</t>
  </si>
  <si>
    <t>Instalação de novo setor 13,8 kV para alimentação dos serviços auxiliares da SE Santa Vitória do Palmar 2, em substituição aos cubículos e disjuntores atualmente existentes. O novo setor será composto pelos equipamentos: para-raios, chaves fusíveis, seccionadores, isoladores, TPs e cabos associados.</t>
  </si>
  <si>
    <t>MG S V PALMAR 2 / CCO-2012-020 - RB</t>
  </si>
  <si>
    <t>0007341/2023</t>
  </si>
  <si>
    <t>CUB1 / CUB2 / CUB3 / CUB4</t>
  </si>
  <si>
    <t>Substituição de fundações em grelha metálica de cinco torres da LT 525 kV Areia - Curitiba C-1. As torres envolvidas são as de número de operação: 200, 279, 280, 288 e 384.</t>
  </si>
  <si>
    <t>0007345/2023</t>
  </si>
  <si>
    <t>Substituição de cabos contrapesos (aterramento) de cinco torres da LT 525 kV Areia - Curitiba C-1. As torres envolvidas são as de número de operação: 200, 279, 280, 288 e 384.</t>
  </si>
  <si>
    <t>0007354/2023</t>
  </si>
  <si>
    <t>Substituição dos cubículos e disjuntores 13,8 kV, referentes aos Serviços Auxiliares da SE Santo Ângelo, e dos cabos associados.</t>
  </si>
  <si>
    <t>0007357/2023</t>
  </si>
  <si>
    <t>CUB1 / CUB2</t>
  </si>
  <si>
    <t>Substituição de fundação em grelha metálica de uma torre da LT 525 kV Areia - Bateias C-1. A torre envolvida é a de número de operação: 200.</t>
  </si>
  <si>
    <t>0007372/2023</t>
  </si>
  <si>
    <t>Substituição da UTR REDAC-70 que supervisiona o Banco de Autotrafos (AT04) TR 345/230 kV BANDEIRANTES TR4 GO</t>
  </si>
  <si>
    <t>0007377/2023</t>
  </si>
  <si>
    <t>UTR (AT04) TR 345/230 kV BANDEIRANTES TR4 GO</t>
  </si>
  <si>
    <t>Substituição de cabos contrapesos (aterramento) de uma torre da LT 525 kV Areia - Bateias C-1. A torre envolvida é a de número de operação: 200.</t>
  </si>
  <si>
    <t>0007381/2023</t>
  </si>
  <si>
    <t>Substituição de Disjuntor tripolar 230 kV, DJ902, referente ao Interligador de Barras (IB) da SE Atlântida 2. Associado à obra, são esperadas substituições/adaptações de fundações e suportes, cabos de controle e potência, barramento, conectores e conexão de aterramento.</t>
  </si>
  <si>
    <t>0007388/2023</t>
  </si>
  <si>
    <t>DJ902</t>
  </si>
  <si>
    <t>Substituição de Disjuntor tripolar 138 kV, DJ592, referente ao Interligador de Barras (IB) da SE Biguaçu. Associado à obra, são esperadas substituições/adaptações de fundações e suportes, cabos de controle e potência, barramento, conectores e conexão de aterramento.</t>
  </si>
  <si>
    <t>0007395/2023</t>
  </si>
  <si>
    <t>DJ592</t>
  </si>
  <si>
    <t>Substituição de Grupo Motor-Gerador, 480 Vca, e cabos associados, referente aos Serviços Auxiliares da SE Campo Grande.</t>
  </si>
  <si>
    <t>0007408/2023</t>
  </si>
  <si>
    <t>Substituição de Grupo Motor-Gerador, 480 Vca, e cabos associados, referente aos Serviços Auxiliares da SE Anastácio.</t>
  </si>
  <si>
    <t>0007415/2023</t>
  </si>
  <si>
    <t>Substituição de três torres metálicas completas da LT 230 kV Curitiba - Joinville C-1. As torres envolvidas são as de número de operação: 64, 94 e 117.</t>
  </si>
  <si>
    <t>0007417/2023</t>
  </si>
  <si>
    <t>Substituição das UAC16 e UAC17 - SINOCON que supervisionam o Banco de Autotrafos (AT03) TR 345/230 kV BANDEIRANTES TR3 GO</t>
  </si>
  <si>
    <t>0007420/2023</t>
  </si>
  <si>
    <t>UAC16 e UAC17 - SINOCON (AT03) TR 345/230 kV BANDEIRANTES TR3 GO</t>
  </si>
  <si>
    <t>Substituição das UAC09 e UAC10 - SINOCON que supervisionam o Banco de Autotrafos (AT02) TR 345/230 kV BANDEIRANTES TR2 GO</t>
  </si>
  <si>
    <t>0007429/2023</t>
  </si>
  <si>
    <t>UAC09 e UAC10 - SINOCON (AT02) TR 345/230 kV BANDEIRANTES TR2 GO</t>
  </si>
  <si>
    <t>Substituição das UAC06 - SINOCON que supervisiona o Banco de Capacitores (BC01) BC 345 kV 91,5 MVAr BANDEIRANTES BC1 GO</t>
  </si>
  <si>
    <t>0007438/2023</t>
  </si>
  <si>
    <t>UAC06 - SINOCON (BC01) BC 345 kV 91,5 MVAr BANDEIRANTES BC1 GO</t>
  </si>
  <si>
    <t>Substituição de três torres metálicas completas da LT 230 kV J.Lacerda B - Siderópolis C-1. As torres envolvidas são as de número de operação: 27, 28 e 43.</t>
  </si>
  <si>
    <t>0007455/2023</t>
  </si>
  <si>
    <t>Substituição das UAC12 - SINOCON que supervisiona a Linha de Transmissão (LIXABD2) LT 230 kV XAVANTES /BANDEIRANTES C-2 GO</t>
  </si>
  <si>
    <t>0007459/2023</t>
  </si>
  <si>
    <t>UAC12 - SINOCON (LIXABD2) LT 230 kV XAVANTES /BANDEIRANTES C-2 GO</t>
  </si>
  <si>
    <t>Substituição de cabos contrapesos (aterramento) de três torres da LT 230 kV Curitiba - Joinville C-1. As torres envolvidas são as de número de operação: 64, 94 e 117.</t>
  </si>
  <si>
    <t>0007466/2023</t>
  </si>
  <si>
    <t>Substituição das UAC13 - SINOCON que supervisiona a Linha de Transmissão (LIAHBD1) LT 230 kV BANDEIRANTES /ANHANGUERA GO C-1 GO</t>
  </si>
  <si>
    <t>0007467/2023</t>
  </si>
  <si>
    <t>UAC13 - SINOCON (LIAHBD1) LT 230 kV BANDEIRANTES /ANHANGUERA GO C-1 GO</t>
  </si>
  <si>
    <t>Substituição de Disjuntor tripolar 13,8 kV, DJ52/19, referente aos Bancos de Capacitores (BC3/BC4) da SE Caxias 5. Associado à obra, são esperadas substituições/adaptações de fundações e suportes, cabos de controle e potência, barramento, conectores e conexão de aterramento.</t>
  </si>
  <si>
    <t>0007469/2023</t>
  </si>
  <si>
    <t>DJ52/19</t>
  </si>
  <si>
    <t>Substituição das UAC14 - SINOCON que supervisiona a Linha de Transmissão (LIAHBD2) LT 230 kV BANDEIRANTES /ANHANGUERA GO C-2 GO</t>
  </si>
  <si>
    <t>0007472/2023</t>
  </si>
  <si>
    <t>UAC14 - SINOCON (LIAHBD2) LT 230 kV BANDEIRANTES /ANHANGUERA GO C-2 GO</t>
  </si>
  <si>
    <t>Substituição de cabos contrapesos (aterramento) de três torres da LT 230 kV J.Lacerda B - Siderópolis C-1. As torres envolvidas são as de número de operação: 27, 28 e 43.</t>
  </si>
  <si>
    <t>0007474/2023</t>
  </si>
  <si>
    <t>Substituição de 9 Cadeias de Isoladores na LT 230 kV Curitiba - Joinville C-1, referentes às Torres 64, 94 e 117.</t>
  </si>
  <si>
    <t>0007487/2023</t>
  </si>
  <si>
    <t>Substituição de Transformador de Aterramento instalado no barramento de 13,8 kV (TSA2), referente aos Serviços Auxiliares da SE Salto Osório, e cabos associados.</t>
  </si>
  <si>
    <t>0007510/2023</t>
  </si>
  <si>
    <t>Substituição de Transformadores de Corrente 13,8 kV, referentes aos Bancos de Capacitores (BC1/BC2) da SE Caxias 5, TC DJ52/21, Fases A, B, C. Associado à obra, são esperadas substituições/adaptações de fundações e suportes, caixa de junção, cabos de controle/potência, barramento, conectores e conexão de aterramento.</t>
  </si>
  <si>
    <t>0007493/2023</t>
  </si>
  <si>
    <t>TC DJ52/21</t>
  </si>
  <si>
    <t>Substituição das UACs 01 e 02 - SINOCON de supervisão do Banco deTrafos (TR01) TR 230/69 kV BARRO ALTO TR1 GO</t>
  </si>
  <si>
    <t>0007495/2023</t>
  </si>
  <si>
    <t>UACs 01 e 02 - SINOCON (TR01) TR 230/69 kV BARRO ALTO TR1 GO</t>
  </si>
  <si>
    <t>Substituição de Transformadores de Corrente 13,8 kV, referentes aos Bancos de Capacitores (BC3/BC4) da SE Caxias 5, TC DJ52/19, Fases A, B, C. Associado à obra, são esperadas substituições/adaptações de fundações e suportes, caixa de junção, cabos de controle/potência, barramento, conectores e conexão de aterramento.</t>
  </si>
  <si>
    <t>0007496/2023</t>
  </si>
  <si>
    <t>TC DJ52/19</t>
  </si>
  <si>
    <t>Substituição de Chaves Seccionadoras tripolares 13,8 kV, CS29/124, CS29/126 e CS29/128, referentes aos Bancos de Capacitores (BC1/BC2) da SE Caxias 5. Associado à obra são esperadas substituições/adaptações de fundações, suportes, cabos de controle/potência, barramento, conectores e conexão de aterramento.</t>
  </si>
  <si>
    <t>0007501/2023</t>
  </si>
  <si>
    <t>CS29/124, CS29/126, CS29/128</t>
  </si>
  <si>
    <t>Substituição de Retificador (Carregador de Baterias) 125 Vcc - SACC125-RET1, da SE Caxias 5.</t>
  </si>
  <si>
    <t>0007502/2023</t>
  </si>
  <si>
    <t>Substituição da UAC03 - SINOCON de supervisão do Banco de Capacitores (BC01) BC 230 kV 27 Mvar BARRO ALTO BC1 GO</t>
  </si>
  <si>
    <t>0007504/2023</t>
  </si>
  <si>
    <t>UAC03 - SINOCON (BC01) BC 230 kV 27 Mvar BARRO ALTO BC1 GO</t>
  </si>
  <si>
    <t>Substituição de 9 Cadeias de Isoladores na LT 230 kV J.Lacerda B - Siderópolis C-1, referentes às Torres 27, 28 e 43.</t>
  </si>
  <si>
    <t>0007507/2023</t>
  </si>
  <si>
    <t>Substituição de Chaves Seccionadoras tripolares 13,8 kV, CS29/118, CS29/120 e CS29/122, referentes aos Bancos de Capacitores (BC3/BC4) da SE Caxias 5. Associado à obra são esperadas substituições/adaptações de fundações, suportes, cabos de controle/potência, barramento, conectores e conexão de aterramento.</t>
  </si>
  <si>
    <t>0007512/2023</t>
  </si>
  <si>
    <t>CS29/118, CS29/120, CS29/122</t>
  </si>
  <si>
    <t>Substituição de Retificador (Carregador de Baterias) 125 Vcc - SACC125-RET2, da SE Caxias 5.</t>
  </si>
  <si>
    <t>0007517/2023</t>
  </si>
  <si>
    <t>Substituição de partes aéreas (somente Estrutura) de uma torre da LT 525 kV Areia - Campos Novos C-1. A torre envolvida é a de número de operação: 239.</t>
  </si>
  <si>
    <t>0007524/2023</t>
  </si>
  <si>
    <t>Substituição da UAC09 - SINOCON de supervisão da Linha de Transmissão (LIBRBT) Barro Alto (ENEL) - Barro Alto (FURNAS) 69 kV.</t>
  </si>
  <si>
    <t>0007529/2023</t>
  </si>
  <si>
    <t>UAC09 - SINOCON (LIBRBT) Barro Alto (ENEL) - Barro Alto (FURNAS) 69 kV.</t>
  </si>
  <si>
    <t>Substituição da UAC11 - SINOCON de supervisão da Linha de Transmissão (LIGNBT) Goianésia - Barro Alto  69 kV.</t>
  </si>
  <si>
    <t>0007543/2023</t>
  </si>
  <si>
    <t>UAC11 - SINOCON (LIGNBT) Goianésia - Barro Alto  69 kV</t>
  </si>
  <si>
    <t>Substituição da UAC10 - SINOCON de supervisão da Linha de Transmissão (LIPABT) Padre Bernardo - Barro Alto  69 kV.</t>
  </si>
  <si>
    <t>0007545/2023</t>
  </si>
  <si>
    <t>UAC10 - SINOCON (LIPABT) Padre Bernardo - Barro Alto  69 kV</t>
  </si>
  <si>
    <t>Substituição da UAC12 - SINOCON de supervisão das Barras de 69kV (BR5A e BR5B) e do disjuntor de amarre (DJ508).</t>
  </si>
  <si>
    <t>0008295/2023</t>
  </si>
  <si>
    <t>UAC12 - SINOCON (BR5A e BR5B) e do disjuntor de amarre (DJ508)</t>
  </si>
  <si>
    <t>Substituir 01 cubículo 15 kV, 1250A - 40kA - 4 seções</t>
  </si>
  <si>
    <t>0007547/2023</t>
  </si>
  <si>
    <t>CUB. 15KV 4 SEÇÕES</t>
  </si>
  <si>
    <t>Substituir 01 cubículo 15 kV, 1250A - 40kA - 5 seções</t>
  </si>
  <si>
    <t>0007548/2023</t>
  </si>
  <si>
    <t>CUB. 15KV 5 SEÇÕES</t>
  </si>
  <si>
    <t>Substituir 01 transformador isolador 2MVA -13,8/13,8 kV</t>
  </si>
  <si>
    <t>0007550/2023</t>
  </si>
  <si>
    <t>TRAFO 01 ISOLADOR</t>
  </si>
  <si>
    <t>0007551/2023</t>
  </si>
  <si>
    <t>TRAFO 02 ISOLADOR</t>
  </si>
  <si>
    <t>Substituir 03 reguladores de tensão monofásicos, 13,8 kV, 239kVA</t>
  </si>
  <si>
    <t>0007552/2023</t>
  </si>
  <si>
    <t>TRAFO REGULADOR</t>
  </si>
  <si>
    <t>Substituir 01 Painel dual, 0,80m x 0,80m x 2,30m para CLP/botoeiras de comando, supervisão e alarme dos equipamentos de manobra dos serviços auxiliares</t>
  </si>
  <si>
    <t>0007554/2023</t>
  </si>
  <si>
    <t>PAINEL CLP SAUX</t>
  </si>
  <si>
    <t>Substituir 01 Painel dual, 0,80m x 0,80m x 2,30m para IHM/botoeiras de comando, supervisão e alarme dos equipamentos de manobra dos serviços auxiliares</t>
  </si>
  <si>
    <t>0007555/2023</t>
  </si>
  <si>
    <t>PAINEL IHM SAUX</t>
  </si>
  <si>
    <t>SUBSTITUIÇÃO DO CUBÍCULO DO DISJUNTOR DJ2016 - 13,8KV</t>
  </si>
  <si>
    <t>0007558/2023</t>
  </si>
  <si>
    <t>DJ2016</t>
  </si>
  <si>
    <t>Substituição de Reatores Limitadores de Corrente (RLC) 13,8 kV, referentes ao TF3 230/138 kV da SE Passo Fundo, Fases A, B e C.</t>
  </si>
  <si>
    <t>0007588/2023</t>
  </si>
  <si>
    <t>RE1/A, RE1/B, RE1/C</t>
  </si>
  <si>
    <t>Substituição de switch FSBD-D01P da Rede Operativa da subestação de Bandeirantes.</t>
  </si>
  <si>
    <t>0007595/2023</t>
  </si>
  <si>
    <t>FSBD-D01P</t>
  </si>
  <si>
    <t>LT 230 kV J.LACERDA-B / PALHOCA C-1 SC</t>
  </si>
  <si>
    <t>Substituição de partes aéreas (somente Estruturas) de três torres da LT 230 kV J.Lacerda-B - Palhoça C-1. As torres envolvidas são as de número de operação: 003, 004 e 006.</t>
  </si>
  <si>
    <t>0007596/2023</t>
  </si>
  <si>
    <t>Substituição de switch FSBD-D01S da Rede Operativa da subestação de Bandeirantes.</t>
  </si>
  <si>
    <t>0007597/2023</t>
  </si>
  <si>
    <t>FSBD-D01S</t>
  </si>
  <si>
    <t>Substituição de uma torre metálica completa da LT 230 kV Blumenau - Joinville Norte C-1. A torre envolvida é a de número de operação: 153.</t>
  </si>
  <si>
    <t>0007599/2023</t>
  </si>
  <si>
    <t>LT 230 kV GASPAR 2 /PALHOCA ESU C-1 SC</t>
  </si>
  <si>
    <t>Substituição de trecho da LT 230 kV Gaspar 2 - Palhoça C-1, envolvendo os vãos entre as Torres 90, 91 e 92. A obra consiste na revitalização de Estruturas, Cadeias de Isoladores, Condutores, Cabos Para-Raios, Sistema de Ateramento, Acesso e Faixa de Servidão.</t>
  </si>
  <si>
    <t>LT 230 kV GASPAR 2 / PALHOCA ESU C 1 SC</t>
  </si>
  <si>
    <t>0007602/2023</t>
  </si>
  <si>
    <t>Trecho de LT</t>
  </si>
  <si>
    <t>Substituição de cabos contrapesos (aterramento) de três torres da LT 230 kV J.Lacerda-B - Palhoça C-1. As torres envolvidas são as de número de operação: 003, 004 e 006.</t>
  </si>
  <si>
    <t>0007603/2023</t>
  </si>
  <si>
    <t>Substituição de Chaves Seccionadoras tripolares 13,8 kV, CS52/23 (à vácuo) e CS29/140, referentes ao Banco de Capacitores BC1 da SE Caxias 5. Associado à obra são esperadas substituições/adaptações de fundações, suportes, cabos de controle/potência, barramento, conectores e conexão de aterramento.</t>
  </si>
  <si>
    <t>0007608/2023</t>
  </si>
  <si>
    <t>CS52/23, CS29/140</t>
  </si>
  <si>
    <t>LT 230 kV BIGUACU /J.LACERDA-B C-1 SC</t>
  </si>
  <si>
    <t>Substituição de trecho da LT 230 kV J.Lacerda-B - Biguaçu C-1, envolvendo os vãos entre as Torres 241, 242 e 243. A obra consiste na revitalização de Estruturas, Cadeias de Isoladores, Condutores, Cabos Para-Raios, Sistema de Ateramento, Acesso e Faixa de Servidão.</t>
  </si>
  <si>
    <t>0007609/2023</t>
  </si>
  <si>
    <t>Substituição de barramento superior, incluindo cabos, cadeias e ferragens, bem como dos cabos, cadeias e fixações do sistema de proteção contra descargas atmosféricas (SPDA) do vão referente a LT 138 kV J.Lacerda-A - Imbituba C-1. Associado a obra são esperadas substituições/adaptações de estruturas de ancoragem dos barramentos, ¨pingados¨, conectores e conexão com aterramento.</t>
  </si>
  <si>
    <t>0007610/2023</t>
  </si>
  <si>
    <t>Barramento Superior de Vão</t>
  </si>
  <si>
    <t>Substituição de switch FSBD-A02P da Rede Operativa da subestação de Bandeirantes.</t>
  </si>
  <si>
    <t>0007611/2023</t>
  </si>
  <si>
    <t>FSBD-A</t>
  </si>
  <si>
    <t>Substituição de Retificador (Carregador de Baterias) 48 Vcc - SACC48-RET1, da SE Itá.</t>
  </si>
  <si>
    <t>0007613/2023</t>
  </si>
  <si>
    <t>SACC48-RET1</t>
  </si>
  <si>
    <t>Substituição de switch FSBD-A02S da Rede Operativa da subestação de Bandeirantes.</t>
  </si>
  <si>
    <t>0007614/2023</t>
  </si>
  <si>
    <t>FSBD-D02S</t>
  </si>
  <si>
    <t>Substituição de barramento superior, incluindo cabos, cadeias e ferragens, bem como dos cabos, cadeias e fixações do sistema de proteção contra descargas atmosféricas (SPDA) do vão referente a LT 138 kV J.Lacerda-A - UT J.Lacerda-A C-1. Associado a obra são esperadas substituições/adaptações de estruturas de ancoragem dos barramentos, ¨pingados¨, conectores e conexão com aterramento.</t>
  </si>
  <si>
    <t>LT 138 kV J.LACERDA-A / UT. J.LACERDA-A C-1 SC</t>
  </si>
  <si>
    <t>0007615/2023</t>
  </si>
  <si>
    <t>Substituição de Retificador (Carregador de Baterias) 48 Vcc - SACC48-RET2, da SE Itá.</t>
  </si>
  <si>
    <t>0007616/2023</t>
  </si>
  <si>
    <t>SACC48-RET2</t>
  </si>
  <si>
    <t>Substituição de Chaves Seccionadoras tripolares 13,8 kV, CS52/24 (à vácuo) e CS29/142, referentes ao Banco de Capacitores BC2 da SE Caxias 5. Associado à obra são esperadas substituições/adaptações de fundações, suportes, cabos de controle/potência, barramento, conectores e conexão de aterramento.</t>
  </si>
  <si>
    <t>0007617/2023</t>
  </si>
  <si>
    <t>CS52/24, CS29/142</t>
  </si>
  <si>
    <t>Substituição de barramento superior, incluindo cabos, cadeias e ferragens, bem como dos cabos, cadeias e fixações do sistema de proteção contra descargas atmosféricas (SPDA) do vão referente a LT 138 kV J.Lacerda-A - Bom Jardim da Serra C-1. Associado a obra são esperadas substituições/adaptações de estruturas de ancoragem dos barramentos, ¨pingados¨, conectores e conexão com aterramento.</t>
  </si>
  <si>
    <t>0007619/2023</t>
  </si>
  <si>
    <t>Substituição de switch FSBD-A03P da Rede Operativa da subestação de Bandeirantes.</t>
  </si>
  <si>
    <t>0007621/2023</t>
  </si>
  <si>
    <t>FSBD-A03P</t>
  </si>
  <si>
    <t>Substituição de switch FSBD-A03S da Rede Operativa da subestação de Bandeirantes.</t>
  </si>
  <si>
    <t>0007624/2023</t>
  </si>
  <si>
    <t>FSBD-A03S</t>
  </si>
  <si>
    <t>Substituição de Chaves Seccionadoras tripolares 13,8 kV, CS52/25 (à vácuo) e CS29/144, referentes ao Banco de Capacitores BC3 da SE Caxias 5. Associado à obra são esperadas substituições/adaptações de fundações, suportes, cabos de controle/potência, barramento, conectores e conexão de aterramento.</t>
  </si>
  <si>
    <t>0007627/2023</t>
  </si>
  <si>
    <t>CS52/25, CS29/144</t>
  </si>
  <si>
    <t>Substituição de Chaves Seccionadoras tripolares 13,8 kV, CS52/26 (à vácuo) e CS29/146, referentes ao Banco de Capacitores BC4 da SE Caxias 5. Associado à obra são esperadas substituições/adaptações de fundações, suportes, cabos de controle/potência, barramento, conectores e conexão de aterramento.</t>
  </si>
  <si>
    <t>0007632/2023</t>
  </si>
  <si>
    <t>CS52/26, CS29/146</t>
  </si>
  <si>
    <t>Substituição de para-raios 230 kV referente a LT Caxias 5 - Farroupilha C-1, Fases A, B e C. Associado a obra são esperadas substituições/adaptações de fundações, suportes, cabos de controle e potência, barramento, conectores e conexão do aterramento.</t>
  </si>
  <si>
    <t>LT 230 kV FARROUPILHA /CAXIAS SUL 5 C-1 RS</t>
  </si>
  <si>
    <t>0007638/2023</t>
  </si>
  <si>
    <t>PR LT FAR C-1</t>
  </si>
  <si>
    <t>Substituição de para-raios 230 kV referente ao TF 2 230/13,8 kV da SE Caxias 5, Fases A, B e C. Associado a obra são esperadas substituições/adaptações de fundações, suportes, cabos de controle e potência, barramento, conectores e conexão do aterramento.</t>
  </si>
  <si>
    <t>TR 230/13,8 kV CAXIAS SUL 5 TR2 RS</t>
  </si>
  <si>
    <t>0007641/2023</t>
  </si>
  <si>
    <t>Substituição de barramento superior, incluindo cabos, cadeias e ferragens, bem como dos cabos, cadeias e fixações do sistema de proteção contra descargas atmosféricas (SPDA) do vão referente ao Interligador de Barras (IB) 138 kV, DJ552. Associado a obra são esperadas substituições/adaptações de estruturas de ancoragem dos barramentos, ¨pingados¨, conectores e conexão com aterramento.</t>
  </si>
  <si>
    <t>0007644/2023</t>
  </si>
  <si>
    <t>Substituição de barramento superior, incluindo cabos, cadeias e ferragens, bem como dos cabos, cadeias e fixações do sistema de proteção contra descargas atmosféricas (SPDA) do vão referente a LT 138 kV J.Lacerda-A - UT J.Lacerda-A C-2. Associado a obra são esperadas substituições/adaptações de estruturas de ancoragem dos barramentos, ¨pingados¨, conectores e conexão com aterramento.</t>
  </si>
  <si>
    <t>LT 138 kV J.LACERDA-A / UT. J.LACERDA-A C-2 SC</t>
  </si>
  <si>
    <t>0007646/2023</t>
  </si>
  <si>
    <t>Substituição de barramento superior, incluindo cabos, cadeias e ferragens, bem como dos cabos, cadeias e fixações do sistema de proteção contra descargas atmosféricas (SPDA) do vão referente a LT 138 kV J.Lacerda-A - UT J.Lacerda-A C-3. Associado a obra são esperadas substituições/adaptações de estruturas de ancoragem dos barramentos, ¨pingados¨, conectores e conexão com aterramento.</t>
  </si>
  <si>
    <t>LT 138 kV J.LACERDA-A / UT. J.LACERDA-A C-3 SC</t>
  </si>
  <si>
    <t>0007649/2023</t>
  </si>
  <si>
    <t>Substituição de switch FSBT-D01P da Rede Operativa da subestação de Barro Alto.</t>
  </si>
  <si>
    <t>0007652/2023</t>
  </si>
  <si>
    <t>FSBT-D01P</t>
  </si>
  <si>
    <t>Substituição de switch FSBT-D01S da Rede Operativa da subestação de Barro Alto.</t>
  </si>
  <si>
    <t>0007655/2023</t>
  </si>
  <si>
    <t>FSBT-D01S</t>
  </si>
  <si>
    <t>Substituição de barramento superior, incluindo cabos, cadeias e ferragens, bem como dos cabos, cadeias e fixações do sistema de proteção contra descargas atmosféricas (SPDA) do vão referente ao TR8 138/69 kV, lado de 138 kV, da SE J.Lacerda-A. Associado a obra são esperadas substituições/adaptações de estruturas de ancoragem dos barramentos, ¨pingados¨, conectores e conexão com aterramento.</t>
  </si>
  <si>
    <t>TR 138/69 kV J.LACERDA-A TR8 SC</t>
  </si>
  <si>
    <t>0007656/2023</t>
  </si>
  <si>
    <t>Substituição de switch FSBT-A01P da Rede Operativa da subestação de Barro Alto.</t>
  </si>
  <si>
    <t>0007660/2023</t>
  </si>
  <si>
    <t>FSBT-A01P</t>
  </si>
  <si>
    <t>Substituição de para-raios 230 kV referente ao TF reserva 230/69 kV (TRR1) da SE Caxias 5. Associado a obra são esperadas substituições/adaptações de fundações, suportes, cabos de controle e potência, barramento, conectores e conexão do aterramento.</t>
  </si>
  <si>
    <t>TRR 230/69 kV CAXIAS SUL 5 TRR1 RS</t>
  </si>
  <si>
    <t>0007661/2023</t>
  </si>
  <si>
    <t>PR TRR1</t>
  </si>
  <si>
    <t>Substituição de barramento superior, incluindo cabos, cadeias e ferragens, bem como dos cabos, cadeias e fixações do sistema de proteção contra descargas atmosféricas (SPDA) do vão referente ao TR9 138/69 kV, lado de 138 kV, da SE J.Lacerda-A. Associado a obra são esperadas substituições/adaptações de estruturas de ancoragem dos barramentos, ¨pingados¨, conectores e conexão com aterramento.</t>
  </si>
  <si>
    <t>TR 138/69 kV J.LACERDA-A TR9 SC</t>
  </si>
  <si>
    <t>0007663/2023</t>
  </si>
  <si>
    <t>Substituição de switch FSBT-A01S da Rede Operativa da subestação de Barro Alto.</t>
  </si>
  <si>
    <t>0007664/2023</t>
  </si>
  <si>
    <t>FSBT-A01S</t>
  </si>
  <si>
    <t>Substituição de switch FSBT-A02P da Rede Operativa da subestação de Barro Alto.</t>
  </si>
  <si>
    <t>0007668/2023</t>
  </si>
  <si>
    <t>FSBT-A02P</t>
  </si>
  <si>
    <t>Substituição de barramento superior, incluindo cabos, cadeias e ferragens, bem como dos cabos, cadeias e fixações do sistema de proteção contra descargas atmosféricas (SPDA) do vão referente ao TR5 230/138 kV, lado de 138 kV, da SE J.Lacerda-A. Associado a obra são esperadas substituições/adaptações de estruturas de ancoragem dos barramentos, ¨pingados¨, conectores e conexão com aterramento.</t>
  </si>
  <si>
    <t>TR 230/138 kV J.LACERDA-A TR5 SC</t>
  </si>
  <si>
    <t>0007669/2023</t>
  </si>
  <si>
    <t>Substituição de switch FSBT-A02S da Rede Operativa da subestação de Barro Alto.</t>
  </si>
  <si>
    <t>0007670/2023</t>
  </si>
  <si>
    <t>FSBT-A02S</t>
  </si>
  <si>
    <t>Substituição de barramento superior, incluindo cabos, cadeias e ferragens, bem como dos cabos, cadeias e fixações do sistema de proteção contra descargas atmosféricas (SPDA) do vão referente ao TR7 230/138 kV, lado de 138 kV, da SE J.Lacerda-A. Associado a obra são esperadas substituições/adaptações de estruturas de ancoragem dos barramentos, ¨pingados¨, conectores e conexão com aterramento.</t>
  </si>
  <si>
    <t>TR 230/138 kV J.LACERDA-A TR7 SC</t>
  </si>
  <si>
    <t>0007673/2023</t>
  </si>
  <si>
    <t>BRAS. GERAL</t>
  </si>
  <si>
    <t>Serão substituídos 02 (dois) equipamentos de teleproteção analógica de fabricação SIEMENS, modelo SWT2000F6, números de série 03629(2) e 03629(1).</t>
  </si>
  <si>
    <t>0007674/2023</t>
  </si>
  <si>
    <t>Substituição de para-raios 69 kV referente ao TF 3 230/69 kV da SE Caxias 5, Fases A, B e C. Associado a obra são esperadas substituições/adaptações de fundações, suportes, cabos de controle e potência, barramento, conectores e conexão do aterramento.</t>
  </si>
  <si>
    <t>TR 230/69 kV CAXIAS SUL 5 TR3 RS</t>
  </si>
  <si>
    <t>0007675/2023</t>
  </si>
  <si>
    <t>Substituição de para-raios 230 kV referente a LT Farroupilha - Caxias C-2, Fases A, B e C. Associado a obra são esperadas substituições/adaptações de fundações, suportes, cabos de controle e potência, barramento, conectores e conexão do aterramento.</t>
  </si>
  <si>
    <t>LT 230 kV CAXIAS /FARROUPILHA C-2 RS</t>
  </si>
  <si>
    <t>0007680/2023</t>
  </si>
  <si>
    <t>PR LT CAX C-2</t>
  </si>
  <si>
    <t>Substituição de barramento superior, incluindo cabos, cadeias e ferragens, bem como dos cabos, cadeias e fixações do sistema de proteção contra descargas atmosféricas (SPDA) do vão referente a LT 230 kV J.Lacerda-A - UT J.Lacerda-A C-4. Associado a obra são esperadas substituições/adaptações de estruturas de ancoragem dos barramentos, ¨pingados¨, conectores e conexão com aterramento.</t>
  </si>
  <si>
    <t>LT 230 kV J.LACERDA-A / UT. J.LACERDA-A C-4 SC</t>
  </si>
  <si>
    <t>0007681/2023</t>
  </si>
  <si>
    <t>Substituição de para-raios 230 kV referente ao TF 1 230/69 kV da SE Farroupilha, Fases A, B e C. Associado a obra são esperadas substituições/adaptações de fundações, suportes, cabos de controle e potência, barramento, conectores e conexão do aterramento.</t>
  </si>
  <si>
    <t>TR 230/69 kV FARROUPILHA TR1 RS</t>
  </si>
  <si>
    <t>0007682/2023</t>
  </si>
  <si>
    <t>PR TR1</t>
  </si>
  <si>
    <t>Substituição de para-raios 230 kV referente ao TF 4 230/138 kV da SE Joinville, Fases A, B e C. Associado a obra são esperadas substituições/adaptações de fundações, suportes, cabos de controle e potência, barramento, conectores e conexão do aterramento.</t>
  </si>
  <si>
    <t>TR 230/138 kV JOINVILLE TR4 SC</t>
  </si>
  <si>
    <t>0007691/2023</t>
  </si>
  <si>
    <t>PR TR4</t>
  </si>
  <si>
    <t>Substituição de para-raios 230 kV referente a LT P. Médici - Santa Cruz 1 C-1, Fases A, B e C. Associado a obra são esperadas substituições/adaptações de fundações, suportes, cabos de controle e potência, barramento, conectores e conexão do aterramento.</t>
  </si>
  <si>
    <t>0007700/2023</t>
  </si>
  <si>
    <t>PR LT SCR1 C-1</t>
  </si>
  <si>
    <t>Substituição do Transformador de corrente de 230 kV  fase "A"  Vão EX -UGMT LI6 02</t>
  </si>
  <si>
    <t>0007701/2023</t>
  </si>
  <si>
    <t>N-S-PAUG-UGMMLT602-ELUG-UGTC601 FA</t>
  </si>
  <si>
    <t>Substituição de barramento superior, incluindo cabos, cadeias e ferragens, bem como dos cabos, cadeias e fixações do sistema de proteção contra descargas atmosféricas (SPDA) do vão referente ao TR5 230/138 kV, lado de 230 kV, da SE J.Lacerda-A. Associado a obra são esperadas substituições/adaptações de estruturas de ancoragem dos barramentos, ¨pingados¨, conectores e conexão com aterramento.</t>
  </si>
  <si>
    <t>0007706/2023</t>
  </si>
  <si>
    <t>Substituição do Transformador de corrente de 230 kV  fase "V"  Vão FX -UGMT LI6 01</t>
  </si>
  <si>
    <t>LT 230 kV MARITUBA / UTINGA C 1 PA</t>
  </si>
  <si>
    <t>0007707/2023</t>
  </si>
  <si>
    <t>N-S-PAUG-UGMMLT601-ELUG-UGTC601 FV</t>
  </si>
  <si>
    <t>Substituição de barramento superior, incluindo cabos, cadeias e ferragens, bem como dos cabos, cadeias e fixações do sistema de proteção contra descargas atmosféricas (SPDA) do vão referente a LT 230 kV J.Lacerda-A - J.Lacerda-B C-1. Associado a obra são esperadas substituições/adaptações de estruturas de ancoragem dos barramentos, ¨pingados¨, conectores e conexão com aterramento.</t>
  </si>
  <si>
    <t>0007711/2023</t>
  </si>
  <si>
    <t>Substituição do Transformador de corrente de 230 kV  fase "B"  Vão FX -UGMT LI6 01</t>
  </si>
  <si>
    <t>0007715/2023</t>
  </si>
  <si>
    <t>N-S-PAUG-UGMMLT601-ELUG-UGTC601 FB</t>
  </si>
  <si>
    <t>Substituição de barramento superior, incluindo cabos, cadeias e ferragens, bem como dos cabos, cadeias e fixações do sistema de proteção contra descargas atmosféricas (SPDA) do vão referente a LT 230 kV J.Lacerda-A - UT J.Lacerda-A C-6. Associado a obra são esperadas substituições/adaptações de estruturas de ancoragem dos barramentos, ¨pingados¨, conectores e conexão com aterramento.</t>
  </si>
  <si>
    <t>LT 230 kV J.LACERDA-A / UT. J.LACERDA-A C-6 SC</t>
  </si>
  <si>
    <t>0007718/2023</t>
  </si>
  <si>
    <t>Substituição de para-raios 230 kV referente ao TF 1 230/138 kV da SE Palhoça, Fases A, B e C. Associado a obra são esperadas substituições/adaptações de fundações, suportes, cabos de controle e potência, barramento, conectores e conexão do aterramento.</t>
  </si>
  <si>
    <t>TR 230/138 kV PALHOCA ESU TR1 SC</t>
  </si>
  <si>
    <t>0007721/2023</t>
  </si>
  <si>
    <t>Substituição do Transformador de corrente de 230 kV  fase "A"  Vão FX -UGMT LI6 01</t>
  </si>
  <si>
    <t>0007722/2023</t>
  </si>
  <si>
    <t>N-S-PAUG-UGMMLT601-ELUG-UGTC601 FA</t>
  </si>
  <si>
    <t>Substituição de barramento superior, incluindo cabos, cadeias e ferragens, bem como dos cabos, cadeias e fixações do sistema de proteção contra descargas atmosféricas (SPDA) do vão referente ao TR7 230/138 kV, lado de 230 kV, da SE J.Lacerda-A. Associado a obra são esperadas substituições/adaptações de estruturas de ancoragem dos barramentos, ¨pingados¨, conectores e conexão com aterramento.</t>
  </si>
  <si>
    <t>0007723/2023</t>
  </si>
  <si>
    <t>SUBSTITUIÇÃO DE  SECCIONADORA DE ATERRAMENTO 500 kV VCCA7-02 (VCBR7-02)</t>
  </si>
  <si>
    <t>MG 500 kV VILA DO CONDE MG1</t>
  </si>
  <si>
    <t>0009272/2023</t>
  </si>
  <si>
    <t>VCCA7-02</t>
  </si>
  <si>
    <t>Substituição de Retificador (Carregador de Baterias) 48 Vcc - SACC48-RET1, da SE Londrina.</t>
  </si>
  <si>
    <t>0007735/2023</t>
  </si>
  <si>
    <t>Substituição de Retificador (Carregador de Baterias) 48 Vcc - SACC48-RET2, da SE Londrina.</t>
  </si>
  <si>
    <t>0007736/2023</t>
  </si>
  <si>
    <t>Substituição de bateria - 125 Vcc - SACC125-BAT1 na SE Blumenau.</t>
  </si>
  <si>
    <t>0007738/2023</t>
  </si>
  <si>
    <t>Substituição de barramento intermediário, incluindo cabos, cadeias e ferragens, bem como dos cabos, cadeias e fixações do sistema de proteção contra descargas atmosféricas (SPDA) referente à Barra de 69 kV da SE J.Lacerda-A. Associado a obra são esperadas substituições/adaptações de estruturas de ancoragem dos barramentos, ¨pingados¨, conectores e conexão com aterramento.</t>
  </si>
  <si>
    <t>0007739/2023</t>
  </si>
  <si>
    <t>Substituição de barramento superior, incluindo cabos, cadeias e ferragens, bem como dos cabos, cadeias e fixações do sistema de proteção contra descargas atmosféricas (SPDA) do vão referente ao TR8 138/69 kV, lado de 69 kV, da SE J.Lacerda-A. Associado a obra são esperadas substituições/adaptações de estruturas de ancoragem dos barramentos, ¨pingados¨, conectores e conexão com aterramento.</t>
  </si>
  <si>
    <t>0007740/2023</t>
  </si>
  <si>
    <t>Substituição de bateria - 125 Vcc - SACC125-BAT2 na SE Blumenau.</t>
  </si>
  <si>
    <t>0007741/2023</t>
  </si>
  <si>
    <t>Substituição de barramento superior, incluindo cabos, cadeias e ferragens, bem como dos cabos, cadeias e fixações do sistema de proteção contra descargas atmosféricas (SPDA) do vão referente ao TR9 138/69 kV, lado de 69 kV, da SE J.Lacerda-A. Associado a obra são esperadas substituições/adaptações de estruturas de ancoragem dos barramentos, ¨pingados¨, conectores e conexão com aterramento.</t>
  </si>
  <si>
    <t>0007742/2023</t>
  </si>
  <si>
    <t>SUBSTITUIÇÃO DE  SECCIONADORA DE ATERRAMENTO 500 kV VCCA7-01 (VCBR7-01)</t>
  </si>
  <si>
    <t>0009286/2023</t>
  </si>
  <si>
    <t>VCCA7-01</t>
  </si>
  <si>
    <t>CAMAQUÃ 3</t>
  </si>
  <si>
    <t>Substituição de bateria - 125 Vcc - SACC125-BAT1 na SE Camaquã 3.</t>
  </si>
  <si>
    <t>MG CAMAQUA 3 / CCO-2012-004 - RB</t>
  </si>
  <si>
    <t>0007744/2023</t>
  </si>
  <si>
    <t>Substituição de para-raios 230 kV referente ao TF 2 230/138 kV da SE Palhoça, Fases A, B e C. Associado a obra são esperadas substituições/adaptações de fundações, suportes, cabos de controle e potência, barramento, conectores e conexão do aterramento.</t>
  </si>
  <si>
    <t>TR 230/138 kV PALHOCA ESU TR2 SC</t>
  </si>
  <si>
    <t>0007745/2023</t>
  </si>
  <si>
    <t>Substituição de bateria - 125 Vcc - SACC125-BAT2 na SE Camaquã 3.</t>
  </si>
  <si>
    <t>0007749/2023</t>
  </si>
  <si>
    <t>Substituição de para-raios 230 kV referente ao TF 5 230/138 kV da SE Passo Fundo, Fases A, B e C. Associado a obra são esperadas substituições/adaptações de fundações, suportes, cabos de controle e potência, barramento, conectores e conexão do aterramento.</t>
  </si>
  <si>
    <t>0007747/2023</t>
  </si>
  <si>
    <t>PR TR5</t>
  </si>
  <si>
    <t>Substituição de para-raios 230 kV referente a LT  Santa Cruz 1 - P. Médici C-1, Fases A, B e C. Associado a obra são esperadas substituições/adaptações de fundações, suportes, cabos de controle e potência, barramento, conectores e conexão do aterramento.</t>
  </si>
  <si>
    <t>0007751/2023</t>
  </si>
  <si>
    <t>PR LT PME C-1</t>
  </si>
  <si>
    <t>Substituição de bateria - 125 Vcc - SACC125-BAT1 na SE Canoinhas.</t>
  </si>
  <si>
    <t>0007753/2023</t>
  </si>
  <si>
    <t>Substituição de bateria - 125 Vcc - SACC125-BAT2 na SE Canoinhas.</t>
  </si>
  <si>
    <t>0007755/2023</t>
  </si>
  <si>
    <t>SUBSTITUIÇÃO DE 4 IP's  POR OUTROS DE CARACTERÍSTICAS SEMELHANTES (VCRE7-01)</t>
  </si>
  <si>
    <t>0009296/2023</t>
  </si>
  <si>
    <t>SUBSTITUIÇÃO DE 7 IP's  POR OUTROS DE CARACTERÍSTICAS SEMELHANTES (VCAT7-01)</t>
  </si>
  <si>
    <t>0009299/2023</t>
  </si>
  <si>
    <t>SUBSTITUIÇÃO DE BUCHAS, VEDAÇÕES, PAINEL DE INSTRUMENTAÇÃO/VENTILAÇÃO, VÁLVULAS, RELÉS DE GÁS E BOLSA DE EXPANSÃO, ETC,  DO CORE7-04 FASE B</t>
  </si>
  <si>
    <t>0007759/2023</t>
  </si>
  <si>
    <t>CORE704 - 11981377</t>
  </si>
  <si>
    <t>Substituição de (03) Para-Raios 230kV, do TMRE6-01.</t>
  </si>
  <si>
    <t>MC 230 kV RTL 230 kV 30 Mvar TRANSAMAZONIC RT1 PA</t>
  </si>
  <si>
    <t>0007762/2023</t>
  </si>
  <si>
    <t>N-S-PATM-ATTMLT601-MCTMRE601-TMPR601</t>
  </si>
  <si>
    <t>SUBSTITUIÇÃO DE BUCHAS, VEDAÇÕES, PAINEL DE INSTRUMENTAÇÃO/VENTILAÇÃO, VÁLVULAS, RELÉS DE GÁS E BOLSA DE EXPANSÃO, ETC, DO IZRE7-14 FASE V</t>
  </si>
  <si>
    <t>0007763/2023</t>
  </si>
  <si>
    <t>IZRE714 - 11986097</t>
  </si>
  <si>
    <t>SUBSTITUIÇÃO DE SECCIONADORA 500 kV VCSD7-01</t>
  </si>
  <si>
    <t>0009301/2023</t>
  </si>
  <si>
    <t>VCSD7-01</t>
  </si>
  <si>
    <t>Substituição de Retificador (Carregador de Baterias) 125 Vcc - SACC125-RET1, da SE Nova Santa Rita.</t>
  </si>
  <si>
    <t>MG NOVA STA RITA / CCO-2001-057 - RB</t>
  </si>
  <si>
    <t>0007767/2023</t>
  </si>
  <si>
    <t>Substituição de Retificador (Carregador de Baterias) 125 Vcc - SACC125-RET2, da SE Nova Santa Rita.</t>
  </si>
  <si>
    <t>0007769/2023</t>
  </si>
  <si>
    <t>SUBSTITUIÇÃO DE SECCIONADORA 500 kV VCSL7-01</t>
  </si>
  <si>
    <t>0009304/2023</t>
  </si>
  <si>
    <t>VCSL7-01</t>
  </si>
  <si>
    <t>Substituição de Retificador (Carregador de Baterias) 125 Vcc - SACC125-RET1, da SE Itá.</t>
  </si>
  <si>
    <t>0007772/2023</t>
  </si>
  <si>
    <t>Substituição de Retificador (Carregador de Baterias) 125 Vcc - SACC125-RET2, da SE Itá.</t>
  </si>
  <si>
    <t>0007773/2023</t>
  </si>
  <si>
    <t>Substituição de Retificador (Carregador de Baterias) 48 Vcc - SACC48-RET1, da SE Dourados.</t>
  </si>
  <si>
    <t>0007776/2023</t>
  </si>
  <si>
    <t>Substituição de Retificador (Carregador de Baterias) 48 Vcc - SACC48-RET2, da SE Dourados.</t>
  </si>
  <si>
    <t>0007778/2023</t>
  </si>
  <si>
    <t>SUBSTITUIÇÃO DE  DISJUNTOR 500 kV VCDJ7-01</t>
  </si>
  <si>
    <t>0009311/2023</t>
  </si>
  <si>
    <t>VCDJ7-01</t>
  </si>
  <si>
    <t>Substituição de componentes do mecanismo de acionamento de abertura e . fechamento de 01(um) Disjuntor de . 230KV - (GMDJ6-06)  - associado a função transmissão GMTF603.</t>
  </si>
  <si>
    <t>0007782/2023</t>
  </si>
  <si>
    <t>GMDJ606</t>
  </si>
  <si>
    <t>Substituição de componentes do mecanismo de acionamento de abertura e . fechamento de 01(um) Disjuntor de . 230KV -(UGDJ6-12)  - associado a função TRANSFORMAÇÃO UGTF604.</t>
  </si>
  <si>
    <t>0007785/2023</t>
  </si>
  <si>
    <t>UGDJ612</t>
  </si>
  <si>
    <t>Substituição de 1 IP, da LT MBTC7-02, por outro de características semelhantes.</t>
  </si>
  <si>
    <t>0009313/2023</t>
  </si>
  <si>
    <t>Substituição de componentes do mecanismo de acionamento de abertura e fechamento de 01(um) Disjuntor de 230KV -(CJDJ6-01) - associado a função CJSE-LT6-01.</t>
  </si>
  <si>
    <t>LT 230 kV CARAJAS / SERRA NORTE C 1 PA</t>
  </si>
  <si>
    <t>0007789/2023</t>
  </si>
  <si>
    <t>CJD6-01 - 11917400</t>
  </si>
  <si>
    <t>Substituição de componentes do mecanismo de acionamento de abertura e fechamento de 01(um) Disjuntor de 230KV (TCDJ6-10) associado a função TRANSFORMAÇÃO TCAT6-03.</t>
  </si>
  <si>
    <t>TR 230 / 69 kV TUCURUI TF1 PA</t>
  </si>
  <si>
    <t>0007790/2023</t>
  </si>
  <si>
    <t>TCDJ6-10 - 11918877</t>
  </si>
  <si>
    <t>Substituição de componentes do mecanismo de acionamento de abertura e . fechamento de 01(um) Disjuntor de . 230KV -(VCDJ6-22)  - associado a função TRANSFORMAÇÃO VCAT7-04.</t>
  </si>
  <si>
    <t>0007791/2023</t>
  </si>
  <si>
    <t>VCDJ6-22 - 11919632</t>
  </si>
  <si>
    <t>Substituição de Chave Seccionadora tripolar 138 kV, CS647, referente ao TR3 230/138 kV da SE Itajaí. Associado à obra são esperadas substituições/adaptações de fundações, suportes, cabos de controle/potência, barramento, conectores e conexão de aterramento.</t>
  </si>
  <si>
    <t>0007792/2023</t>
  </si>
  <si>
    <t>CS647</t>
  </si>
  <si>
    <t>Substituição de componentes do mecanismo de acionamento de abertura e . fechamento de 01(um) Disjuntor de . 230KV - (SRDJ6-10)  - associado a função SRBC6-02.</t>
  </si>
  <si>
    <t>BC 230 kV 55 Mvar SANTA MARIA BC2 PA</t>
  </si>
  <si>
    <t>0007794/2023</t>
  </si>
  <si>
    <t>N-S-PASR-BC602-MC230-SRDJ610</t>
  </si>
  <si>
    <t>SUBSTITUIÇÃO DE BUCHAS, VEDAÇÕES, PAINEL DE INSTRUMENTAÇÃO/VENTILAÇÃO, VÁLVULAS, RELÉS DE GÁS E BOLSA DE EXPANSÃO, ETC, DO PDRE7-09 FASE RESERVA</t>
  </si>
  <si>
    <t>0007795/2023</t>
  </si>
  <si>
    <t>PDRR709 - 11991549</t>
  </si>
  <si>
    <t>SUBSTITUIÇÃO DE BUCHAS, VEDAÇÕES, PAINEL DE INSTRUMENTAÇÃO/VENTILAÇÃO, VÁLVULAS, RELÉS DE GÁS E BOLSA DE EXPANSÃO, ETC, DO PDRE7-09 FASE A</t>
  </si>
  <si>
    <t>0007796/2023</t>
  </si>
  <si>
    <t>PDRE709 -11991539</t>
  </si>
  <si>
    <t>SUBSTITUIÇÃO DE BUCHAS, VEDAÇÕES, PAINEL DE INSTRUMENTAÇÃO/VENTILAÇÃO, VÁLVULAS, RELÉS DE GÁS E BOLSA DE EXPANSÃO, ETC, DO IZRE7-14 FASE B</t>
  </si>
  <si>
    <t>0007798/2023</t>
  </si>
  <si>
    <t>IZRE714 - 11986092</t>
  </si>
  <si>
    <t>SUBSTITUIÇÃO DE BUCHAS, VEDAÇÕES, PAINEL DE INSTRUMENTAÇÃO/VENTILAÇÃO, VÁLVULAS, RELÉS DE GÁS E BOLSA DE EXPANSÃO, ETC, DO IZRE7-14 FASE RESERVA.</t>
  </si>
  <si>
    <t>0007799/2023</t>
  </si>
  <si>
    <t>CORUMBA</t>
  </si>
  <si>
    <t>Serão substituídos 02 (dois) equipamentos OPLAT de fabricação SIEMENS, modelo ESB2000i, números de série 1853 e 1855 e 02 (dois) equipamentos de teleproteção de fabricação ALSTOM, modelo DIP5000.</t>
  </si>
  <si>
    <t>0007812/2023</t>
  </si>
  <si>
    <t>Substituição de bateria - 125 Vcc - SACC125-BAT1 na SE Gravataí 3.</t>
  </si>
  <si>
    <t>0007869/2023</t>
  </si>
  <si>
    <t>Substituição de bateria - 125 Vcc - SACC125-BAT2 na SE Gravataí 3.</t>
  </si>
  <si>
    <t>0007871/2023</t>
  </si>
  <si>
    <t>Substituição dos Painéis de Distribuição 125 VCC (QDCC1, QDCCE1) e cabos associados, referentes aos Serviços Auxiliares da SE Campo Grande.</t>
  </si>
  <si>
    <t>0007872/2023</t>
  </si>
  <si>
    <t>Substituição dos Painéis de Distribuição 48 VCC (ST01, ST02) e cabos associados, referentes aos Serviços Auxiliares da SE Campo Grande.</t>
  </si>
  <si>
    <t>0007873/2023</t>
  </si>
  <si>
    <t>Substituição dos Painéis de Distribuição 220 VCA (PDE1, PDN1) e cabos associados, referentes aos Serviços Auxiliares da SE Campo Grande.</t>
  </si>
  <si>
    <t>0007874/2023</t>
  </si>
  <si>
    <t>Substituição dos Painéis de Distribuição 480 VCA (QD1/ESSE, QD1/NOR1, QD1/NOR2) e cabos associados, referentes aos Serviços Auxiliares da SE Campo Grande.</t>
  </si>
  <si>
    <t>0007876/2023</t>
  </si>
  <si>
    <t>Substituição de Chaves Seccionadoras tripolares 13,8 kV, CS111 e CS121, referentes aos Serviços Auxiliares da SE Campo Grande. Associado à obra são esperadas substituições/adaptações de fundações, suportes, cabos de controle/potência, barramento, conectores e conexão de aterramento.</t>
  </si>
  <si>
    <t>0007882/2023</t>
  </si>
  <si>
    <t>CS111 / CS121</t>
  </si>
  <si>
    <t>Substituição de Retificador (Carregador de Baterias) 48 Vcc - SACC48-RET1, da SE Abdon Batista (associado a LT 525 kV Abdon Batista - Biguaçu C-1).</t>
  </si>
  <si>
    <t>LT 525 kV ABDON BATISTA/BIGUACU C-1 SC</t>
  </si>
  <si>
    <t>0007889/2023</t>
  </si>
  <si>
    <t>Substituição de Retificador (Carregador de Baterias) 48 Vcc - SACC48-RET2, da SE Abdon Batista (associado a LT 525 kV Abdon Batista - Biguaçu C-1).</t>
  </si>
  <si>
    <t>0007891/2023</t>
  </si>
  <si>
    <t>Substituição de Retificador (Carregador de Baterias) 48 Vcc - SACC48-2CB3/RET3, da SE Gaspar 2.</t>
  </si>
  <si>
    <t>0007896/2023</t>
  </si>
  <si>
    <t>SACC48-2CB3/RET3</t>
  </si>
  <si>
    <t>Substituição de Retificador (Carregador de Baterias) 48 Vcc - SACC48-2CB4/RET4, da SE Gaspar 2.</t>
  </si>
  <si>
    <t>0007902/2023</t>
  </si>
  <si>
    <t>SACC48-2CB4/RET4</t>
  </si>
  <si>
    <t>Substituição de doze Para-Raios 13,8 kV referentes aos Serviços Auxiliares da SE Campo Grande (PR1 - A,B,C, PR2 - A,B,C, PR3 - A,B,C, PR4 - A,B,C). Associado a obra são esperadas substituições/adaptações de fundações, suportes, cabos de controle e potência, barramento, conectores e conexão do aterramento.</t>
  </si>
  <si>
    <t>0007903/2023</t>
  </si>
  <si>
    <t>PR1A, PR1B, PR1C, PR2A, PR2B, PR2C, PR3A, PR3B, PR3C, PR4A, PR4B, PR4C</t>
  </si>
  <si>
    <t>Substituição de Retificador (Carregador de Baterias) 48 Vcc - SACC48-RET1, da SE Xanxerê.</t>
  </si>
  <si>
    <t>0007904/2023</t>
  </si>
  <si>
    <t>Substituição de Retificador (Carregador de Baterias) 48 Vcc - SACC48-RET2, da SE Xanxerê.</t>
  </si>
  <si>
    <t>0007907/2023</t>
  </si>
  <si>
    <t>Substituição de bateria - 125 Vcc - SACC125-BAT1 na SE Ijui 2.</t>
  </si>
  <si>
    <t>0007908/2023</t>
  </si>
  <si>
    <t>Substituição de Transformadores Auxiliares 480V - 220/127V (TRSA-2, TRSA-3, TRSA-4, TRSA-5, TRSA-6), referentes aos Serviços Auxiliares da SE Campo Grande.</t>
  </si>
  <si>
    <t>0007910/2023</t>
  </si>
  <si>
    <t>TRSA-2, TRSA-3, TRSA-4, TRSA-5, TRSA-6</t>
  </si>
  <si>
    <t>Substituição de bateria - 125 Vcc - SACC125-BAT2 na SE Ijui 2.</t>
  </si>
  <si>
    <t>0007911/2023</t>
  </si>
  <si>
    <t>Substituição de Retificador (Carregador de Baterias) 48 Vcc - SACC48-RET1, da SE Campo Grande.</t>
  </si>
  <si>
    <t>0007914/2023</t>
  </si>
  <si>
    <t>Substituição de Retificador (Carregador de Baterias) 48 Vcc - SACC48-RET2, da SE Campo Grande.</t>
  </si>
  <si>
    <t>0007915/2023</t>
  </si>
  <si>
    <t>Serão substituídos 02 (dois) equipamentos de teleproteção de fabricação ALSTOM, modelo DIP5000, números de série 23017045 e 23016952.</t>
  </si>
  <si>
    <t>0007916/2023</t>
  </si>
  <si>
    <t>Substituição de bateria - 125 Vcc - SACC125-BAT1 na SE Itajaí.</t>
  </si>
  <si>
    <t>0007917/2023</t>
  </si>
  <si>
    <t>Substituição de bateria - 125 Vcc - SACC125-BAT2 na SE Itajaí.</t>
  </si>
  <si>
    <t>0007918/2023</t>
  </si>
  <si>
    <t>Substituição de switch FSIA-A03P da Rede Operativa da subestação de Itaberá.</t>
  </si>
  <si>
    <t>0007920/2023</t>
  </si>
  <si>
    <t>FSIA-A03P</t>
  </si>
  <si>
    <t>FOZ CHAPECO</t>
  </si>
  <si>
    <t>Substituição da Unidade Central do sistema de registro de perturbações (RDP), FCORDP_230_2, para monitoração de variáveis associadas a SE Foz do Chapecó. Atualmente esta unidade monitora os seguintes bays: Gerador 1, Gerador 2, Gerador 3,Gerador 4, LT Xanxerê C-1, Xanxerê C-2, Guarita C-1 e IB 230 kV.</t>
  </si>
  <si>
    <t>MG FOZ CHAPECO / CCO-2011-002 - RB</t>
  </si>
  <si>
    <t>0007922/2023</t>
  </si>
  <si>
    <t>RDP - UC</t>
  </si>
  <si>
    <t>Substituição de switch FSIA-A03S da Rede Operativa da subestação de Itaberá.</t>
  </si>
  <si>
    <t>0007924/2023</t>
  </si>
  <si>
    <t>FSIA-A03S</t>
  </si>
  <si>
    <t>Substituição de bateria - 125 Vcc - SACC125-BAT2 na SE Nova Santa Rita.</t>
  </si>
  <si>
    <t>0007925/2023</t>
  </si>
  <si>
    <t>Substituição do sistema de registro de perturbações (RDP - unidade de bay), para monitoração das variáveis associadas a LT 230 kV Foz do Chapecó - Xanxerê C-1.</t>
  </si>
  <si>
    <t>LT 230 kV FOZ CHAPECO / XANXERE ESU C 1 RS/SC</t>
  </si>
  <si>
    <t>0007926/2023</t>
  </si>
  <si>
    <t>RDP - LT XAN C-1</t>
  </si>
  <si>
    <t>CAXIAS 6</t>
  </si>
  <si>
    <t>Substituição de bateria - 125 Vcc - SACC125-BAT1 na SE Caxias 6.</t>
  </si>
  <si>
    <t>MG CAXIAS 6 / CCO-2010-011 - RB</t>
  </si>
  <si>
    <t>0007928/2023</t>
  </si>
  <si>
    <t>Substituição de switch FSIA-A02P da Rede Operativa da subestação de Itaberá.</t>
  </si>
  <si>
    <t>0007929/2023</t>
  </si>
  <si>
    <t>FSIA-A02P</t>
  </si>
  <si>
    <t>Substituição de switch FSIA-A02S da Rede Operativa da subestação de Itaberá.</t>
  </si>
  <si>
    <t>0007930/2023</t>
  </si>
  <si>
    <t>FSIA-A02S</t>
  </si>
  <si>
    <t>Substituição do sistema de registro de perturbações (RDP - unidade de bay), para monitoração das variáveis associadas a LT 230 kV Foz do Chapecó - Xanxerê C-2.</t>
  </si>
  <si>
    <t>LT 230 kV FOZ CHAPECO / XANXERE ESU C 2 RS/SC</t>
  </si>
  <si>
    <t>0007931/2023</t>
  </si>
  <si>
    <t>RDP - LT XAN C-2</t>
  </si>
  <si>
    <t>Substituição do sistema de registro de perturbações (RDP - unidade de bay), para monitoração das variáveis associadas a LT 230 kV Foz do Chapecó - Guarita C-1.</t>
  </si>
  <si>
    <t>LT 230 kV FOZ CHAPECO / GUARITA C 1 RS</t>
  </si>
  <si>
    <t>0007933/2023</t>
  </si>
  <si>
    <t>RDP - LT GRT C-1</t>
  </si>
  <si>
    <t>Substituição de bateria - 48 Vcc - SACC48-BAT1 na SE Caxias 6.</t>
  </si>
  <si>
    <t>0007934/2023</t>
  </si>
  <si>
    <t>Substituição de switch FSIA-D01P da Rede Operativa da subestação de Itaberá.</t>
  </si>
  <si>
    <t>0007935/2023</t>
  </si>
  <si>
    <t>FSIA-D01P</t>
  </si>
  <si>
    <t>Substituição de switch FSIA-D01S da Rede Operativa da subestação de Itaberá.</t>
  </si>
  <si>
    <t>0007936/2023</t>
  </si>
  <si>
    <t>FSIA-D01S</t>
  </si>
  <si>
    <t>Substituição do sistema de registro de perturbações (RDP - unidade de bay), para monitoração das variáveis associadas ao Interligador de Barras (IB) 230 kV, DJ782, da SE Foz do Chapecó.</t>
  </si>
  <si>
    <t>0007938/2023</t>
  </si>
  <si>
    <t>RDP - IB 230</t>
  </si>
  <si>
    <t>Substituição de switch FSIA-P01 da Rede Operativa da subestação de Itaberá.</t>
  </si>
  <si>
    <t>0007940/2023</t>
  </si>
  <si>
    <t>FSIA-P01</t>
  </si>
  <si>
    <t>Substituição de switch FSIA-P02 da Rede Operativa da subestação de Itaberá.</t>
  </si>
  <si>
    <t>0007942/2023</t>
  </si>
  <si>
    <t>FSIA-P02</t>
  </si>
  <si>
    <t>Substituição das Unidades Centrais do sistema de registro de perturbações (RDP), CGRRDP_138_1, CGRRDP_138_2 e CGRRDP_138_3, para monitoração de variáveis associadas a SE Campo Grande. Atualmente estas unidades monitoram todos os bays da subestação.</t>
  </si>
  <si>
    <t>MG CAMPO GRANDE / CCO-2001-057 - RB</t>
  </si>
  <si>
    <t>0007944/2023</t>
  </si>
  <si>
    <t>Substituição de switch FSIA-P03 da Rede Operativa da subestação de Itaberá.</t>
  </si>
  <si>
    <t>0007946/2023</t>
  </si>
  <si>
    <t>FSIA-P03</t>
  </si>
  <si>
    <t>QUINTA</t>
  </si>
  <si>
    <t>Substituição de bateria - 125 Vcc - SACC125-BAT2 na SE Quinta.</t>
  </si>
  <si>
    <t>LT 230 kV QUINTA / POVO NOVO C-1 RS</t>
  </si>
  <si>
    <t>0007947/2023</t>
  </si>
  <si>
    <t>Substituição do sistema de registro de perturbações (RDP - unidade de bay), para monitoração das variáveis associadas aos barramentos de 138 kV da SE Campo Grande.</t>
  </si>
  <si>
    <t>0007950/2023</t>
  </si>
  <si>
    <t>RDP - Barras 138 kV</t>
  </si>
  <si>
    <t>Substituição de switch FSIA-P04 da Rede Operativa da subestação de Itaberá.</t>
  </si>
  <si>
    <t>0007951/2023</t>
  </si>
  <si>
    <t>FSIA-P04</t>
  </si>
  <si>
    <t>Substituição do sistema de registro de perturbações (RDP - unidade de bay), para monitoração das variáveis associadas a LT 138 kV Campo Grande - U.Mimoso C-1.</t>
  </si>
  <si>
    <t>0007953/2023</t>
  </si>
  <si>
    <t>RDP - LT MIM C-1</t>
  </si>
  <si>
    <t>Substituição de bateria - 125 Vcc - SACC125-BAT51 (Setor de 525 kV) na SE Curitiba.</t>
  </si>
  <si>
    <t>0007959/2023</t>
  </si>
  <si>
    <t>BAT51 - 125 VCC</t>
  </si>
  <si>
    <t>Substituição de bateria - 48 Vcc - SACC48-BAT1 na SE Itajaí.</t>
  </si>
  <si>
    <t>0007964/2023</t>
  </si>
  <si>
    <t>Substituição do sistema de registro de perturbações (RDP - unidade de bay), para monitoração das variáveis associadas a LT 138 kV Campo Grande - U.Mimoso C-2.</t>
  </si>
  <si>
    <t>0007969/2023</t>
  </si>
  <si>
    <t>RDP - LT MIM C-2</t>
  </si>
  <si>
    <t>Substituição do sistema de registro de perturbações (RDP - unidade de bay), para monitoração das variáveis associadas a LT 138 kV Campo Grande - U.Mimoso C-3.</t>
  </si>
  <si>
    <t>LT 138 kV CAMPO GRANDE / U.MIMOSO C-3 MS</t>
  </si>
  <si>
    <t>0007975/2023</t>
  </si>
  <si>
    <t>RDP - LT MIM C-3</t>
  </si>
  <si>
    <t>Substituição do sistema de registro de perturbações (RDP - unidade de bay), para monitoração das variáveis associadas a LT 138 kV Campo Grande - U.Mimoso C-4.</t>
  </si>
  <si>
    <t>0007981/2023</t>
  </si>
  <si>
    <t>RDP - LT MIM C-4</t>
  </si>
  <si>
    <t>Substituição de bateria - 48 Vcc - SACC48-BAT1 na SE Canoinhas.</t>
  </si>
  <si>
    <t>0007983/2023</t>
  </si>
  <si>
    <t>Substituição de bateria - 48 Vcc - SACC48-BAT2 na SE Canoinhas.</t>
  </si>
  <si>
    <t>0007987/2023</t>
  </si>
  <si>
    <t>Substituição do sistema de registro de perturbações (RDP - unidade de bay), para monitoração das variáveis associadas a LT 138 kV Campo Grande - A.Guariroba C-1.</t>
  </si>
  <si>
    <t>0007988/2023</t>
  </si>
  <si>
    <t>RDP - LT AGU C-1</t>
  </si>
  <si>
    <t>Substituição do sistema de registro de perturbações (RDP - unidade de bay), para monitoração das variáveis associadas a LT 138 kV Campo Grande - Campo Grande Cuiabá C-2.</t>
  </si>
  <si>
    <t>LT 138 kV CAMPO GRANDE / C.GRANDE CUIABA C-2 MS</t>
  </si>
  <si>
    <t>0007993/2023</t>
  </si>
  <si>
    <t>RDP - LT CGB C-2</t>
  </si>
  <si>
    <t>Substituição de bateria - 48 Vcc - SACC48-BAT1 na SE Caxias 5.</t>
  </si>
  <si>
    <t>0008002/2023</t>
  </si>
  <si>
    <t>Substituição do sistema de registro de perturbações (RDP - unidade de bay), para monitoração das variáveis associadas a LT 138 kV Campo Grande - Campo Grande Miguel Couto C-1.</t>
  </si>
  <si>
    <t>LT 138 kV CAMPO GRANDE / C.GRANDE MIGUEL COUTO C-1 MS</t>
  </si>
  <si>
    <t>0008004/2023</t>
  </si>
  <si>
    <t>RDP - LT CGM C-1</t>
  </si>
  <si>
    <t>Substituição de bateria - 48 Vcc - SACC48-BAT2 na SE Caxias 5.</t>
  </si>
  <si>
    <t>0008010/2023</t>
  </si>
  <si>
    <t>Substituição do sistema de registro de perturbações (RDP - unidade de bay), para monitoração das variáveis associadas a LT 138 kV Campo Grande - Campo Grande Miguel Couto C-2.</t>
  </si>
  <si>
    <t>LT 138 kV CAMPO GRANDE / C.GRANDE MIGUEL COUTO C-2 MS</t>
  </si>
  <si>
    <t>0008012/2023</t>
  </si>
  <si>
    <t>RDP - LT CGM C-2</t>
  </si>
  <si>
    <t>Substituição do sistema de registro de perturbações (RDP - unidade de bay), para monitoração das variáveis associadas a LT 138 kV Campo Grande - Sidrolândia C-1.</t>
  </si>
  <si>
    <t>0008017/2023</t>
  </si>
  <si>
    <t>RDP - LT SIA C-1</t>
  </si>
  <si>
    <t>Substituição do sistema de registro de perturbações (RDP - unidade de bay), para monitoração das variáveis associadas ao Banco de Capacitores BC1 da SE Campo Grande.</t>
  </si>
  <si>
    <t>0008019/2023</t>
  </si>
  <si>
    <t>RDP - BC1</t>
  </si>
  <si>
    <t>Substituição de bateria - 48 Vcc - SACC48-BAT1 na SE J.Lacerda-B.</t>
  </si>
  <si>
    <t>0008023/2023</t>
  </si>
  <si>
    <t>Substituição do sistema de registro de perturbações (RDP - unidade de bay), para monitoração das variáveis associadas ao Interligador de Barras (IB) 138 kV, DJ532, da SE Campo Grande.</t>
  </si>
  <si>
    <t>0008026/2023</t>
  </si>
  <si>
    <t>RDP - IB 138</t>
  </si>
  <si>
    <t>Substituição de bateria - 48 Vcc - SACC48-BAT1 na SE Curitiba.</t>
  </si>
  <si>
    <t>0008032/2023</t>
  </si>
  <si>
    <t>Serão substituídos 02 (dois) equipamentos OPLAT de fabricação SIEMENS, modelo ESB2000i, números de série LB/R3/04442 e LB/R3/04455.</t>
  </si>
  <si>
    <t>LT 345 kV B. SANTISTA /TIJUCO PRETO C-1 SP</t>
  </si>
  <si>
    <t>0008035/2023</t>
  </si>
  <si>
    <t>n/a</t>
  </si>
  <si>
    <t>Substituição de bateria - 48 Vcc - SACC48-BAT2 na SE Curitiba.</t>
  </si>
  <si>
    <t>0008037/2023</t>
  </si>
  <si>
    <t>Serão substituídos 02 (dois) equipamentos OPLAT de fabricação SIEMENS, modelo ESB2000i, números de série LB/R2/04433 e LB/R2/04429.</t>
  </si>
  <si>
    <t>0008043/2023</t>
  </si>
  <si>
    <t>Serão substituídos 02 (dois) equipamentos OPLAT de fabricação ABB, modelo ETL600, números de série BE5-126780 e BE5-126781.</t>
  </si>
  <si>
    <t>0008048/2023</t>
  </si>
  <si>
    <t>Serão substituídos 02 (dois) equipamentos OPLAT de fabricação ABB, modelo ETL600, números de série BE8-127686 e BE8-127687.</t>
  </si>
  <si>
    <t>0008051/2023</t>
  </si>
  <si>
    <t>Serão substituídos 02 (dois) equipamentos OPLAT de fabricação GE, modelo CT/CR51B e 01 (um) equipamento OPLAT modelo CS27C.</t>
  </si>
  <si>
    <t>0008053/2023</t>
  </si>
  <si>
    <t>0008057/2023</t>
  </si>
  <si>
    <t>Serão substituídos 02 (dois) equipamentos OPLAT de fabricação ABB, modelo HSD-45, números de série BE-122388 e BE-122394.</t>
  </si>
  <si>
    <t>0008060/2023</t>
  </si>
  <si>
    <t>AGUAS LINDAS</t>
  </si>
  <si>
    <t>Substituição de Equipamentos de Transmissão SDH da SE Águas Lindas dos enlaces com SE Brasília Sul e SE Barro Alto (1 equipamento).</t>
  </si>
  <si>
    <t>MG AGUAS LINDAS / CCO-2001-062 - RB</t>
  </si>
  <si>
    <t>0008089/2023</t>
  </si>
  <si>
    <t>FSAL</t>
  </si>
  <si>
    <t>Substituição de Equipamentos de Transmissão SDH da subestação de Bandeirantes dos enlaces para UHE Itumbiara e SE Samambaia (1 equipamento).</t>
  </si>
  <si>
    <t>0008093/2023</t>
  </si>
  <si>
    <t>FSBD</t>
  </si>
  <si>
    <t>Substituição de Equipamentos de Transmissão SDH da subestação de Barro Alto dos enlaces para Águas Lindas (1 equipamento) e do enlace para SE Niquelândia (1 equipamento).</t>
  </si>
  <si>
    <t>0008094/2023</t>
  </si>
  <si>
    <t>FSBT</t>
  </si>
  <si>
    <t>Substituição de Equipamentos de Transmissão SDH da subestação de  Brasília Geral do enlace com Brasília Sul  e ONS COSR-NCO (2 equipamentos).</t>
  </si>
  <si>
    <t>MG BRAS. GERAL / CCO-2001-062 - RB</t>
  </si>
  <si>
    <t>0008098/2023</t>
  </si>
  <si>
    <t>FSBG / COSR-NCO</t>
  </si>
  <si>
    <t>Substituição de Equipamentos de Transmissão SDH da subestação de  Brasília Sul dos enlaces para SE Brasília Geral, SE Samambaia e UHE Corumbá (1 equipamento) e SE Águas Lindas (1 equipamento).</t>
  </si>
  <si>
    <t>0008101/2023</t>
  </si>
  <si>
    <t>FSBS</t>
  </si>
  <si>
    <t>Substituição de Equipamentos de Transmissão SDH da UHE Corumbá dos enlaces com SE Brasília Sul e UHE Itumbiara (1 equipamento).</t>
  </si>
  <si>
    <t>MG CORUMBA / CCO-2001-062 - RB</t>
  </si>
  <si>
    <t>0008104/2023</t>
  </si>
  <si>
    <t>FUCB</t>
  </si>
  <si>
    <t>Substituição de Equipamentos de Transmissão SDH da UHE Itumbiara dos enlaces para a SE Rio Verde, UHE Corumbá e SE Bandeirantes (2 equipamentos).</t>
  </si>
  <si>
    <t>0008113/2023</t>
  </si>
  <si>
    <t>FSIM / FUIM</t>
  </si>
  <si>
    <t>Substituição de Equipamentos de Transmissão Rádio dos enlaces  "ETEL Furnas Morro - ETEL Delfinópolis - US Mascarenha de Moraes"  e "ETEL Delfinópolis - ETEL Luiz Carlos Barreto"(para fechamento de US Furnas e US Luiz Carlos Barreto).</t>
  </si>
  <si>
    <t>0008115/2023</t>
  </si>
  <si>
    <t>FRFM / FRDF / FUMM / FLLB</t>
  </si>
  <si>
    <t>Substituição de Equipamentos de Transmissão SDH da SE Niquelândia dos enlaces com SE Barro Alto (1 equipamento) e SE Serra da Mesa (1 equipamento).</t>
  </si>
  <si>
    <t>MG NIQUELANDIA / CCO-2001-062 - RB</t>
  </si>
  <si>
    <t>0008116/2023</t>
  </si>
  <si>
    <t>FSNI</t>
  </si>
  <si>
    <t>Substituição de Equipamentos de Transmissão SDH da subestação Pirineus dos enlaces com SE Samambaia e SE Bandeirantes (1 equipamento) e SE Xavantes  (1 equipamento).</t>
  </si>
  <si>
    <t>MG PIRINEUS / CCO-2001-062 - RB</t>
  </si>
  <si>
    <t>0008119/2023</t>
  </si>
  <si>
    <t>FSPS</t>
  </si>
  <si>
    <t>Substituição de Equipamentos de Transmissão SDH da subestação de Rio Verde dos enlaces "SE Rio Verde - SE Barra do Peixe - SE Nobres - US Manso" e "UHE Itumbiara" (4 equipamentos).</t>
  </si>
  <si>
    <t>0008123/2023</t>
  </si>
  <si>
    <t>FSRV / ERBP / ERNO / FUMS</t>
  </si>
  <si>
    <t>CASCAVEL OEST</t>
  </si>
  <si>
    <t>Substituição da Unidade Central do sistema de registro de perturbações (RDP), CVORDP_525_1, para monitoração de variáveis associadas a SE Cascavel Oeste. Atualmente esta unidade monitora os seguintes bays: LT Ivaiporã C-1 e DJ52-02.</t>
  </si>
  <si>
    <t>MG CASCAVEL OEST / CCO-2001-057 - RB</t>
  </si>
  <si>
    <t>0008124/2023</t>
  </si>
  <si>
    <t>Substituição de Equipamentos de Transmissão SDH da subestação de Samambaia dos enlaces para a SE Bandeirantes, SE Brasília Sul e Pirineus (1 equipamento).</t>
  </si>
  <si>
    <t>0008125/2023</t>
  </si>
  <si>
    <t>FSSB</t>
  </si>
  <si>
    <t>Substituição do sistema de registro de perturbações (RDP - unidade de bay), para monitoração das variáveis associadas a LT 525 kV Cascavel Oeste - Ivaiporã C-1.</t>
  </si>
  <si>
    <t>LT 525 kV CASCAVEL OEST/IVAIPORA C-1 PR</t>
  </si>
  <si>
    <t>0008126/2023</t>
  </si>
  <si>
    <t>RDP - LT IVP C-1</t>
  </si>
  <si>
    <t>Substituição de Equipamentos de Transmissão SDH da SE Serra da Mesa do enlace com a SE Niquelândia (1 equipamento).</t>
  </si>
  <si>
    <t>0008128/2023</t>
  </si>
  <si>
    <t>FSSM</t>
  </si>
  <si>
    <t>XAVANTES</t>
  </si>
  <si>
    <t>Substituição de Equipamentos de Transmissão SDH da SE Xavantes do enlace com a SE Pirineus (1 equipamento).</t>
  </si>
  <si>
    <t>LT 230 kV PIRINEUS /XAVANTES C-2 GO</t>
  </si>
  <si>
    <t>0008129/2023</t>
  </si>
  <si>
    <t>ESXA</t>
  </si>
  <si>
    <t>Substituição do sistema de registro de perturbações (RDP - unidade de bay), para monitoração das variáveis associadas ao Interligador de Barras (IB) 525 kV, DJ52-02, da SE Cascavel Oeste.</t>
  </si>
  <si>
    <t>0008135/2023</t>
  </si>
  <si>
    <t>RDP - DJ52-02</t>
  </si>
  <si>
    <t>FORQUILHINHA</t>
  </si>
  <si>
    <t>Substituição da Unidade Central do sistema de registro de perturbações (RDP), FHARDP_230_1, para monitoração de variáveis associadas a SE Forquilhinha. Atualmente esta unidade monitora os seguintes bays: LT Lajeado Grande C-1 e Siderópolis C-1.</t>
  </si>
  <si>
    <t>MG FORQUILHINHA / CCO-2001-057 - RB</t>
  </si>
  <si>
    <t>0008139/2023</t>
  </si>
  <si>
    <t>Substituição de bateria - 48 Vcc - SACC48-BAT2 na SE Nova Santa Rita.</t>
  </si>
  <si>
    <t>0008143/2023</t>
  </si>
  <si>
    <t>Substituição do sistema de registro de perturbações (RDP - unidade de bay), para monitoração das variáveis associadas a LT 230 kV Forquilhinha - Lajeado Grande C-1.</t>
  </si>
  <si>
    <t>LT 230 kV FORQUILHINHA /L.GRANDE C-1 SC/RS</t>
  </si>
  <si>
    <t>0008145/2023</t>
  </si>
  <si>
    <t>RDP - LT LGR C-1</t>
  </si>
  <si>
    <t>Substituição do sistema de registro de perturbações (RDP - unidade de bay), para monitoração das variáveis associadas a LT 230 kV Forquilhinha - Siderópolis C-1.</t>
  </si>
  <si>
    <t>LT 230 kV FORQUILHINHA /SIDEROPOL.ESU C-1 SC</t>
  </si>
  <si>
    <t>0008148/2023</t>
  </si>
  <si>
    <t>RDP - LT SID C-1</t>
  </si>
  <si>
    <t>Substituição da Unidade Central do sistema de registro de perturbações (RDP), IVPRDP_525_1, para monitoração de variáveis associadas a SE Ivaiporã. Atualmente esta unidade monitora os seguintes bays: LT Ivaiporã (Furnas) C-1, Ivaiporã (Furnas) C-2, Cascavel Oeste C-1, S.Santiago C-1, DJ1010 e DJ1030.</t>
  </si>
  <si>
    <t>0008151/2023</t>
  </si>
  <si>
    <t>Substituição do sistema de registro de perturbações (RDP - unidade de bay), para monitoração das variáveis associadas a LT 525 kV Ivaiporã - Ivaiporã (Furnas) C-1.</t>
  </si>
  <si>
    <t>LT 525 kV IVAIPORA - IVAIPORA (FURNAS) C-1 PR</t>
  </si>
  <si>
    <t>0008157/2023</t>
  </si>
  <si>
    <t>RDP - LT STIV C-1</t>
  </si>
  <si>
    <t>Substituição do sistema de registro de perturbações (RDP - unidade de bay), para monitoração das variáveis associadas a LT 525 kV Ivaiporã - Ivaiporã (Furnas) C-2.</t>
  </si>
  <si>
    <t>LT 525 kV IVAIPORA - IVAIPORA (FURNAS) C-2 PR</t>
  </si>
  <si>
    <t>0008161/2023</t>
  </si>
  <si>
    <t>RDP - LT STIV C-2</t>
  </si>
  <si>
    <t>Substituição do sistema de registro de perturbações (RDP - unidade de bay), para monitoração das variáveis associadas a LT 525 kV Ivaiporã - Cascavel Oeste C-1.</t>
  </si>
  <si>
    <t>0008167/2023</t>
  </si>
  <si>
    <t>RDP - LT CVO C-1</t>
  </si>
  <si>
    <t>Substituição do sistema de registro de perturbações (RDP - unidade de bay), para monitoração das variáveis associadas a LT 525 kV Ivaiporã - Salto Santiago C-1.</t>
  </si>
  <si>
    <t>0008172/2023</t>
  </si>
  <si>
    <t>RDP - LT SSA C-1</t>
  </si>
  <si>
    <t>Substituição do sistema de registro de perturbações (RDP - unidade de bay), para monitoração das variáveis associadas ao Interligador de Barras (IB) 525 kV, DJ1010, da SE Ivaiporã.</t>
  </si>
  <si>
    <t>0008174/2023</t>
  </si>
  <si>
    <t>RDP - DJ1010</t>
  </si>
  <si>
    <t>Substituição do sistema de registro de perturbações (RDP - unidade de bay), para monitoração das variáveis associadas ao Interligador de Barras (IB) 525 kV, DJ1030, da SE Ivaiporã.</t>
  </si>
  <si>
    <t>0008178/2023</t>
  </si>
  <si>
    <t>RDP - DJ1030</t>
  </si>
  <si>
    <t>Substituição de bateria - 125 Vcc - SACC125-BAT11 (Sala de Relés de 138 kV) na SE Lajeado Grande.</t>
  </si>
  <si>
    <t>0008210/2023</t>
  </si>
  <si>
    <t>BAT11 - 125 VCC</t>
  </si>
  <si>
    <t>Substituição de bateria - 125 Vcc - SACC125-BAT12 (Sala de Relés de 138 kV) na SE Lajeado Grande.</t>
  </si>
  <si>
    <t>0008214/2023</t>
  </si>
  <si>
    <t>BAT12 - 125 VCC</t>
  </si>
  <si>
    <t>SUBSTITUIÇÃO DE SECCIONADORA 230 kV VCSD6-19</t>
  </si>
  <si>
    <t>0008216/2023</t>
  </si>
  <si>
    <t>VCSD6-19</t>
  </si>
  <si>
    <t>N.PETROPOLIS2</t>
  </si>
  <si>
    <t>Substituição de bateria - 125 Vcc - SACC125-BAT1 na SE Nova Petrópolis 2.</t>
  </si>
  <si>
    <t>MG N.PETROPOLIS2 / CCO-2010-011 - RB</t>
  </si>
  <si>
    <t>0008219/2023</t>
  </si>
  <si>
    <t>Substituição de bateria - 48 Vcc - SACC48-BAT1 na SE Nova Petrópolis 2.</t>
  </si>
  <si>
    <t>0008223/2023</t>
  </si>
  <si>
    <t>Substituição de TC (Transformador de Corrente) associado ao IZDJ708 fase B</t>
  </si>
  <si>
    <t>0008256/2023</t>
  </si>
  <si>
    <t>IZTC701 (B) 12391108</t>
  </si>
  <si>
    <t>Substituição de 3 Transformadores Corrente 500 KV na SE Tucuruí no vão Kx, associado ao disjuntor TCDJ7-31 (7TCKX)</t>
  </si>
  <si>
    <t>0008264/2023</t>
  </si>
  <si>
    <t>7TCKX</t>
  </si>
  <si>
    <t>Substituição de TC (Transformador de Corrente) associado ao IZDJ708 fase A</t>
  </si>
  <si>
    <t>0008279/2023</t>
  </si>
  <si>
    <t>IZTC701 (A) 12391106</t>
  </si>
  <si>
    <t>SUBSTITUIR  TRANSFORMADOR DE CORRENTE 230KV -  DO DISJUNTOR LDDJ6-06-LDTC6-01, FASE V</t>
  </si>
  <si>
    <t>0008288/2023</t>
  </si>
  <si>
    <t>LDTC6-01 FASE V</t>
  </si>
  <si>
    <t>Substituição de TC (Transformador de Corrente) associado ao IZDJ707 fase V</t>
  </si>
  <si>
    <t>0008294/2023</t>
  </si>
  <si>
    <t>IZTC701 (V) 111985310</t>
  </si>
  <si>
    <t>Substituição de bateria - 48 Vcc - SACC48-BAT1 na SE Tapera 2.</t>
  </si>
  <si>
    <t>0008300/2023</t>
  </si>
  <si>
    <t>SUBSTITUIÇÃO DE SECCIONADORA 500 kV VCSD7-11.</t>
  </si>
  <si>
    <t>0008301/2023</t>
  </si>
  <si>
    <t>VCSD7-11</t>
  </si>
  <si>
    <t>Substituição de 3 Transformadores Corrente 500 KV na SE Tucuruí no vão Jy, associado ao disjuntor TCDJ7-29 (7TCJY2).</t>
  </si>
  <si>
    <t>MG TUCURUI / CCO-2002-085 - RB</t>
  </si>
  <si>
    <t>0008306/2023</t>
  </si>
  <si>
    <t>7TCJY2</t>
  </si>
  <si>
    <t>Substituição de 3 Transformadores Corrente 500 KV na SE Tucuruí no vão Iy, associado ao disjuntor TCDJ7-26 (7TCIY2).</t>
  </si>
  <si>
    <t>0008311/2023</t>
  </si>
  <si>
    <t>7TCIY2</t>
  </si>
  <si>
    <t>SUBSTITUIÇÃO DE SECCIONADORA 230 kV VCSD6-20</t>
  </si>
  <si>
    <t>0008315/2023</t>
  </si>
  <si>
    <t>VCSD6-20</t>
  </si>
  <si>
    <t>SUBSTITUIÇÃO DE DISJUNTOR 500 kV VCDJ7-06</t>
  </si>
  <si>
    <t>0008317/2023</t>
  </si>
  <si>
    <t>VCDJ7-06</t>
  </si>
  <si>
    <t>Substituição de 2 Transformadores Corrente 500 KV na SE Tucuruí no vão Iy, associado ao disjuntor TCDJ7-26 (7TCIY1).</t>
  </si>
  <si>
    <t>0008321/2023</t>
  </si>
  <si>
    <t>7TCIY1</t>
  </si>
  <si>
    <t>SUBSTITUIÇÃO DE  DISJUNTOR 500 kV VCDJ7-03</t>
  </si>
  <si>
    <t>0008334/2023</t>
  </si>
  <si>
    <t>VCDJ7-03</t>
  </si>
  <si>
    <t>SUBSTITUIR  TRANSFORMADOR DE CORRENTE 230KV -  IB230IB2-LDTC601, FASE B, FASE V</t>
  </si>
  <si>
    <t>0008337/2023</t>
  </si>
  <si>
    <t>LDTC601, FASE B, FASE V</t>
  </si>
  <si>
    <t>Substituição de DISJUNTOR 500 kV VCDJ7-05</t>
  </si>
  <si>
    <t>0008339/2023</t>
  </si>
  <si>
    <t>VCDJ7-05</t>
  </si>
  <si>
    <t>SUBSTITUIÇÃO DE  DISJUNTOR 500 kV VCDJ7-02</t>
  </si>
  <si>
    <t>0008341/2023</t>
  </si>
  <si>
    <t>VCDJ7-02</t>
  </si>
  <si>
    <t>Substituição de 3 Transformadores Corrente 500 KV na SE Tucuruí no vão Ix, associado ao disjuntor TCDJ7-25 (7TCIX).</t>
  </si>
  <si>
    <t>0008343/2023</t>
  </si>
  <si>
    <t>7TCIX</t>
  </si>
  <si>
    <t>Substituição de 3 Transformadores Corrente 500 KV na SE Tucuruí no vão Gy, associado ao disjuntor TCDJ7-20 (7TCGY1).</t>
  </si>
  <si>
    <t>0008357/2023</t>
  </si>
  <si>
    <t>7TCGY1</t>
  </si>
  <si>
    <t>SUBSTITUIÇÃO DE SECCIONADORA 230 kV VCSD6-21.</t>
  </si>
  <si>
    <t>0008365/2023</t>
  </si>
  <si>
    <t>VCSD6-21</t>
  </si>
  <si>
    <t>SUBSTITUIÇÃO DE SECCIONADORA 500 kV VCSD7-10</t>
  </si>
  <si>
    <t>0008366/2023</t>
  </si>
  <si>
    <t>VCSD7-10</t>
  </si>
  <si>
    <t>SUBSTITUIÇÃO DE SECCIONADORA 230KV VCST6-01</t>
  </si>
  <si>
    <t>0008367/2023</t>
  </si>
  <si>
    <t>VCST6-01</t>
  </si>
  <si>
    <t>SUBSTITUIÇÃO DE SECCIONADORA 500 kV VCSD7-09</t>
  </si>
  <si>
    <t>0008368/2023</t>
  </si>
  <si>
    <t>VCSD7-09</t>
  </si>
  <si>
    <t>Substituição do Para-raios 500kV fase V do vão do MBRE7-04</t>
  </si>
  <si>
    <t>0008373/2023</t>
  </si>
  <si>
    <t>Substituição do Para-raios 500kV fase B do vão do MBRE7-04</t>
  </si>
  <si>
    <t>0008383/2023</t>
  </si>
  <si>
    <t>MBPR701 (FASE B)</t>
  </si>
  <si>
    <t>SUBSTITUIÇÃO DE  SECCIONADORA DE ATERRAMENTO 500 kV VCCA7-06</t>
  </si>
  <si>
    <t>0008385/2023</t>
  </si>
  <si>
    <t>VCCA7-06</t>
  </si>
  <si>
    <t>Substituição de Chave Seccionadora tripolar 230 kV, CS751, referente a LT Itajaí - Blumenau C-2. Associado à obra são esperadas substituições/adaptações de fundações, suportes, cabos de controle/potência, barramento, conectores e conexão de aterramento.</t>
  </si>
  <si>
    <t>0008386/2023</t>
  </si>
  <si>
    <t>CS751</t>
  </si>
  <si>
    <t>Substituição de Chave Seccionadora tripolar 230 kV, CS755, referente a LT Itajaí - Blumenau C-2. Associado à obra são esperadas substituições/adaptações de fundações, suportes, cabos de controle/potência, barramento, conectores e conexão de aterramento.</t>
  </si>
  <si>
    <t>0008390/2023</t>
  </si>
  <si>
    <t>CS755</t>
  </si>
  <si>
    <t>Substituição de Chave Seccionadora tripolar 230 kV, CS753, referente a LT Itajaí - Blumenau C-2. Associado à obra são esperadas substituições/adaptações de fundações, suportes, cabos de controle/potência, barramento, conectores e conexão de aterramento.</t>
  </si>
  <si>
    <t>0008400/2023</t>
  </si>
  <si>
    <t>CS753</t>
  </si>
  <si>
    <t>Substituição de Chave Seccionadora tripolar 230 kV, CS757, referente a LT Itajaí - Blumenau C-2. Associado à obra são esperadas substituições/adaptações de fundações, suportes, cabos de controle/potência, barramento, conectores e conexão de aterramento.</t>
  </si>
  <si>
    <t>0008403/2023</t>
  </si>
  <si>
    <t>CS757</t>
  </si>
  <si>
    <t>Substituição do para-raios 500kV vão CZ fase V da LT MBIZ-LT702</t>
  </si>
  <si>
    <t>0008413/2023</t>
  </si>
  <si>
    <t>MBPR701 (FASE V)</t>
  </si>
  <si>
    <t>Substituição do para-raios 500kV vão CZ fase B da LT MBIZ-LT702</t>
  </si>
  <si>
    <t>0008417/2023</t>
  </si>
  <si>
    <t>MBPR701 (Fase B)</t>
  </si>
  <si>
    <t>Substituição do para-raios 500kV vão CZ fase A da LT MBIZ-LT702</t>
  </si>
  <si>
    <t>0008428/2023</t>
  </si>
  <si>
    <t>MBPR701 (Fase A)</t>
  </si>
  <si>
    <t>Substituição do Transformador de Potencial 500kV vão CZ- fase V da LT MBIZ-LT702</t>
  </si>
  <si>
    <t>0008500/2023</t>
  </si>
  <si>
    <t>MBTP701 (Fase V)</t>
  </si>
  <si>
    <t>Substituição do Transformador de Potencial 500kV vão CZ- fase B da LT MBIZ-LT702</t>
  </si>
  <si>
    <t>0008507/2023</t>
  </si>
  <si>
    <t>MBTP701 (Fase B)</t>
  </si>
  <si>
    <t>Substituição do Transformador de Potencial 500kV vão CZ- fase A da LT MBIZ-LT702</t>
  </si>
  <si>
    <t>0008513/2023</t>
  </si>
  <si>
    <t>MBTP701 (Fase A)</t>
  </si>
  <si>
    <t>Substituição de TC (Transformador de Corrente) associado ao IZDJ702 fase B</t>
  </si>
  <si>
    <t>0008527/2023</t>
  </si>
  <si>
    <t>MC500-IZTC701 (B) 12391201</t>
  </si>
  <si>
    <t>SUBSTITUIÇÃO DO PARA-RAIO FASE V DA EL DA RPCX-LT602 NA SE COXIPÓ.</t>
  </si>
  <si>
    <t>0008534/2023</t>
  </si>
  <si>
    <t>CXPR601V</t>
  </si>
  <si>
    <t>SUBSTITUIR  TRANSFORMADOR DE CORRENTE 230KV -TF603-MC230-LITC601, FASE A, FASE B, FASE V</t>
  </si>
  <si>
    <t>0008541/2023</t>
  </si>
  <si>
    <t>LDTC6-01 FASE A, FASE B, FASE V</t>
  </si>
  <si>
    <t>SUBSTITUIR  TRANSFORMADOR DE CORRENTE 230KV -TF602-MC230-LITC601, FASE A, FASE B, FASE V</t>
  </si>
  <si>
    <t>0008548/2023</t>
  </si>
  <si>
    <t>LITC6-01  FASE A, FASE B, FASE V</t>
  </si>
  <si>
    <t>SUBSTITUIÇÃO DE PARA RAIO 500KV DO LDAT7-04 - LDPR701 - FASE A</t>
  </si>
  <si>
    <t>TR 500/230 kV SAO LUIS II TR4 MA</t>
  </si>
  <si>
    <t>0008554/2023</t>
  </si>
  <si>
    <t>11986690</t>
  </si>
  <si>
    <t>SUBSTITUIR  TRANSFORMADOR DE CORRENTE 230KV -TF604-MC230-LITC601, FASE A, FASE B, FASE V</t>
  </si>
  <si>
    <t>0008555/2023</t>
  </si>
  <si>
    <t>LITC6-01 FASE A, FASE B, FASE V</t>
  </si>
  <si>
    <t xml:space="preserve"> Substituir todo SPCS referente as DITs dos Setores de 138kV e 69kV e dos Serviços Auxiliares de 13,8kV da SE Miranda II.</t>
  </si>
  <si>
    <t>0008556/2023</t>
  </si>
  <si>
    <t>N-S-MAMR-MG601-MG230</t>
  </si>
  <si>
    <t>Substituição do SPCS na SE Coelho Neto associado ao Tranformador CHTF6-01</t>
  </si>
  <si>
    <t>0008561/2023</t>
  </si>
  <si>
    <t>N-S-MACH-TF601-TF230-CHSPRTF -</t>
  </si>
  <si>
    <t>SUBSTITUIR  TRANSFORMADOR DE CORRENTE 230KV - LDLILT601-ELLI-LITC601, FASE A, FASE B, FASE V</t>
  </si>
  <si>
    <t>0008562/2023</t>
  </si>
  <si>
    <t>Substituição de 2 Transformadores Corrente 500 KV na SE Tucuruí no vão Gx, associado ao disjuntor TCDJ7-19 (7TCGX).</t>
  </si>
  <si>
    <t>0008565/2023</t>
  </si>
  <si>
    <t>7TCGX</t>
  </si>
  <si>
    <t>Substituição do SPCS na SE P. Dutra associado à entrada de linha PTPD-LI4-01 – 02V1 - vão 4AY Equatorial.</t>
  </si>
  <si>
    <t>0008567/2023</t>
  </si>
  <si>
    <t>N-S-MAPD-DIT-BDPDLI401-PDSPRLI</t>
  </si>
  <si>
    <t>SUBSTITUIÇÃO DOS SPCS DA LINHA BDPDLI401</t>
  </si>
  <si>
    <t>0008571/2023</t>
  </si>
  <si>
    <t>Substituição dos equipamentos da rede de comunicação de dados da rede LAN da Subestação: Painéis, Máquina de engenharia, Sistema supervisório, Switches, GPS, fibra óticas  etc. - EL TUTC-LT701, 02, 03, 04, 05, 06, 07, 08, 09, 10 e 11.</t>
  </si>
  <si>
    <t>0008580/2023</t>
  </si>
  <si>
    <t>N-S-PATC-MG701-MG500-SPCSU</t>
  </si>
  <si>
    <t>SUBSTITUIR  TRANSFORMADOR DE CORRENTE 230KV - LDTC6-01 FASE V</t>
  </si>
  <si>
    <t>0009541/2023</t>
  </si>
  <si>
    <t>SUBSTITUIR  TRANSFORMADOR DE CORRENTE 230KV - LDLILT602-ELLI-LITC601, FASE A, FASE B, FASE V</t>
  </si>
  <si>
    <t>0008587/2023</t>
  </si>
  <si>
    <t>SUBSTITUIÇÃO DE SECCIONADORA DE ATERRAMENTO 230 kV VCCA6-08</t>
  </si>
  <si>
    <t>0008592/2023</t>
  </si>
  <si>
    <t>VCCA6-08</t>
  </si>
  <si>
    <t>Substituição do sistema de alimentação dos serviços auxiliares proveniente do terciário do TF6 da SE Charqueadas. O novo sistema será composto por: um transformador de serviços auxiliares (TSA) 13,8kV-380/220 Vca, chave fusível, TPs, para-raios, resistor de aterramento, reatores limitadores e cabos isolados 15/20 kV.</t>
  </si>
  <si>
    <t>0008593/2023</t>
  </si>
  <si>
    <t>DJ214, CS213, TSA2</t>
  </si>
  <si>
    <t>SUBSTITUIÇÃO DE SECCIONADORA DE ATERRAMENTO 500 kV VCCA7-04</t>
  </si>
  <si>
    <t>0008596/2023</t>
  </si>
  <si>
    <t>VCCA7-04</t>
  </si>
  <si>
    <t>SUBSTITUIÇÃO DE SECCIONADORA 500 kV VCST7-01</t>
  </si>
  <si>
    <t>0008597/2023</t>
  </si>
  <si>
    <t>VCST7-01</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</si>
  <si>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Fx - UHE Tucuruí C1.</t>
  </si>
  <si>
    <t>0008600/2023</t>
  </si>
  <si>
    <t>N-S-PATC-TUTCLT701-ELTC-TCSPR01</t>
  </si>
  <si>
    <t>SUBSTITUIÇÃO DE SECCIONADORA 500 kV VCSD7-06</t>
  </si>
  <si>
    <t>0008599/2023</t>
  </si>
  <si>
    <t>VCSD7-06</t>
  </si>
  <si>
    <t>Substituição de TC (Transformador de Corrente) associado ao IZDJ706 fase B</t>
  </si>
  <si>
    <t>0008907/2023</t>
  </si>
  <si>
    <t>N-S-MAIZ-MBIZLT702-ELIZ-IZTC701 (B) 12391194</t>
  </si>
  <si>
    <t>LT 525 kV GRAVATAI / NOVA SANTA RITA C-1 RS</t>
  </si>
  <si>
    <t>Substituição de fundações em grelha metálica de duas torres da LT 525 kV Gravataí - Nova Santa Rita C-1. As torres envolvidas são as de número de operação: 019 e 020.</t>
  </si>
  <si>
    <t>0008607/2023</t>
  </si>
  <si>
    <t>SUBSTITUIÇÃO DO SPCS DO BANCO DE CAPACITORES 13.8KV NÚMERO 3 DE RONDONÓPOLIS.</t>
  </si>
  <si>
    <t>0008611/2023</t>
  </si>
  <si>
    <t>RPSPRBC-3</t>
  </si>
  <si>
    <t>SUBSTITUIÇÃO DO SPCS DO BANCO DE CAPACITORES 13.8KV NÚMERO 2 DE RONDONÓPOLIS.</t>
  </si>
  <si>
    <t>0008614/2023</t>
  </si>
  <si>
    <t>RPSPRBC-2</t>
  </si>
  <si>
    <t>SUBSTITUIÇÃO DE 7 IP's  POR OUTROS DE CARACTERÍSTICAS SEMELHANTES (VCAT7-02)</t>
  </si>
  <si>
    <t>0008615/2023</t>
  </si>
  <si>
    <t>SUBSTITUIÇÃO DO SPCS DO BANCO DE CAPACITORES 13.8KV NÚMERO 1 DE RONDONÓPOLIS.</t>
  </si>
  <si>
    <t>0008620/2023</t>
  </si>
  <si>
    <t>RPSPRBC-1</t>
  </si>
  <si>
    <t>SUBSTITUIÇÃO DE SECCIONADORA 500 kV VCSD7-12</t>
  </si>
  <si>
    <t>0008625/2023</t>
  </si>
  <si>
    <t>VCSD7-12</t>
  </si>
  <si>
    <t>SUBSTITUIÇÃO DO DISJUNTOR LIDJ4-10</t>
  </si>
  <si>
    <t>0008628/2023</t>
  </si>
  <si>
    <t>Substituição do grupo gerador de emergência num. 01 da SE IMPERATRIZ IZSAE01.</t>
  </si>
  <si>
    <t>MG 500 kV IMPERATRIZ MG2 MA</t>
  </si>
  <si>
    <t>0008663/2023</t>
  </si>
  <si>
    <t>N-S-MAIZ-MG701-MG500-SAE01-IZSAE01</t>
  </si>
  <si>
    <t>SUBSTITUIÇÃO DE PARA RAIO 230KV DA LINHA ALLDLI6-02 - LDPR601 - FASE A</t>
  </si>
  <si>
    <t>0008914/2023</t>
  </si>
  <si>
    <t>N-S-MALD-ALLDLI602-ELLD-LDPR601</t>
  </si>
  <si>
    <t>SUBSTITUIÇÃO DE SECCIONADORA 230 kV VCSD6-24</t>
  </si>
  <si>
    <t>OUTRA FUNÇÃO</t>
  </si>
  <si>
    <t>0008635/2023</t>
  </si>
  <si>
    <t>VCSD6-24</t>
  </si>
  <si>
    <t>SUBSTITUIÇÃO DE PARA RAIO 230KV DA LINHA ALLDLI6-02 - LDPR601 - FASE V</t>
  </si>
  <si>
    <t>0008916/2023</t>
  </si>
  <si>
    <t>SUBSTITUIÇÃO DA BUCHA DE 500 kV DO REATOR IZRE7-04, FASE "B".</t>
  </si>
  <si>
    <t>0008917/2023</t>
  </si>
  <si>
    <t>N-S-MAIZ-IZPDLT702-IZRE704-IZRE704</t>
  </si>
  <si>
    <t>SUBSTITUIÇÃO DE SECCIONADORA 500 kV VCST7-02</t>
  </si>
  <si>
    <t>0008640/2023</t>
  </si>
  <si>
    <t>VCST7-02</t>
  </si>
  <si>
    <t>SUBSTITUIÇÃO DE SECCIONADORA 230 kV VCSD6-23</t>
  </si>
  <si>
    <t>0008643/2023</t>
  </si>
  <si>
    <t>VCSD6-23</t>
  </si>
  <si>
    <t>SUBSTITUIÇÃO DE SECCIONADORA 230 kV VCSD6-22</t>
  </si>
  <si>
    <t>0008648/2023</t>
  </si>
  <si>
    <t>VCSD6-22</t>
  </si>
  <si>
    <t>SUBSTITUIÇÃO DE SECCIONADORA 500 kV VCSD7-05</t>
  </si>
  <si>
    <t>0008662/2023</t>
  </si>
  <si>
    <t>VCSD7-05</t>
  </si>
  <si>
    <t>SUBSTITUIÇÃO DE SECCIONADORA 500 kV VCSD7-04</t>
  </si>
  <si>
    <t>0008666/2023</t>
  </si>
  <si>
    <t>VCSD7-04</t>
  </si>
  <si>
    <t>SUBSTITUIÇÃO DE SECCIONADORA 500 kV VCSD7-03</t>
  </si>
  <si>
    <t>0008669/2023</t>
  </si>
  <si>
    <t>VCSD7-03</t>
  </si>
  <si>
    <t>SUBSTITUIÇÃO DE SECCIONADORA 500 kV VCSD7-02</t>
  </si>
  <si>
    <t>0008678/2023</t>
  </si>
  <si>
    <t>VCSD7-02</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</si>
  <si>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Ex - UHE Tucuruí C2.</t>
  </si>
  <si>
    <t>0008680/2023</t>
  </si>
  <si>
    <t>N-S-PATC-TUTCLT702-ELTC-TCSPR01</t>
  </si>
  <si>
    <t>Substituição de TC (Transformador de Corrente) associado ao PDRE7-08 (PDTC7-01 FASE V) Local de Instalação: N-S-MAPD-TSPDLI701-MCPDRE708-PDTC701  Fase V Equipamento SAP: 11991756</t>
  </si>
  <si>
    <t>0008682/2023</t>
  </si>
  <si>
    <t>11991756</t>
  </si>
  <si>
    <t>SUBSTITUIÇÃO DO TRANSFOMADOR DE CORRENTE 69KV FASE B</t>
  </si>
  <si>
    <t>0008684/2023</t>
  </si>
  <si>
    <t>N-S-MAPD-TF601-MC69-PDTC401 -11991584</t>
  </si>
  <si>
    <t>Substituição de TC (Transformador de Corrente) associado ao PDRE7-08 (PDTC7-01 FASE B) Local de Instalação: N-S-MAPD-TSPDLI701-MCPDRE708-PDTC701  Fase B Equipamento SAP: 11991755</t>
  </si>
  <si>
    <t>0008686/2023</t>
  </si>
  <si>
    <t>11991755</t>
  </si>
  <si>
    <t>Substituição de TC (Transformador de Corrente) associado ao PDRE7-08 (PDTC7-01 FASE A) Local de Instalação: N-S-MAPD-TSPDLI701-MCPDRE708-PDTC701  Fase A Equipamento SAP: 11991754</t>
  </si>
  <si>
    <t>0008695/2023</t>
  </si>
  <si>
    <t>11991754</t>
  </si>
  <si>
    <t>SUBSTITUIÇÃO DO TRANSFOMADOR DE CORRENTE 69KV FASE A</t>
  </si>
  <si>
    <t>0008698/2023</t>
  </si>
  <si>
    <t>N-S-MAPD-TF601-MC69-PDTC401 -11991583</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</si>
  <si>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Dx - UHE Tucuruí C3.</t>
  </si>
  <si>
    <t>0008699/2023</t>
  </si>
  <si>
    <t>N-S-PATC-TUTCLT703-ELTC-TCSPR01</t>
  </si>
  <si>
    <t>Substituição de TC (Transformador de Corrente) associado ao PDDJ7-14 (PDTC7-01 FASE V) Local de Instalação: N-S-MAPD-TSPDLI701-ELPD-PDTC701  Fase V Equipamento SAP: 11991747</t>
  </si>
  <si>
    <t>0008704/2023</t>
  </si>
  <si>
    <t>11991747</t>
  </si>
  <si>
    <t>Substituição de TC (Transformador de Corrente) associado ao PDDJ7-14 (PDTC7-01 FASE B) Local de Instalação: N-S-MAPD-TSPDLI701-ELPD-PDTC701  Fase B Equipamento SAP: 11991746</t>
  </si>
  <si>
    <t>0008706/2023</t>
  </si>
  <si>
    <t>11991746</t>
  </si>
  <si>
    <t>Substituição de TC (Transformador de Corrente) associado ao PDDJ7-14 (PDTC7-01 FASE A) Local de Instalação: N-S-MAPD-TSPDLI701-ELPD-PDTC701  Fase A Equipamento SAP: 11991745</t>
  </si>
  <si>
    <t>0008708/2023</t>
  </si>
  <si>
    <t>11991745</t>
  </si>
  <si>
    <t>0008717/2023</t>
  </si>
  <si>
    <t>N-S-PATC-TUTCLT704-ELTC-TCSPR01</t>
  </si>
  <si>
    <t>Substituição do sistema de alimentação dos serviços auxiliares proveniente do terciário do TF5 da SE Charqueadas. O novo sistema será proveniente de ramal externo em 13,8 kV, contendo cabine de medição, sendo que o padrão deve ser definido pela concessionária de distribuição local.</t>
  </si>
  <si>
    <t>0008719/2023</t>
  </si>
  <si>
    <t>DJ212, CS211, TSA1</t>
  </si>
  <si>
    <t>SUBSTITUIÇÃO DO REATOR DE NEUTRO DO PDRE7-07, 69KV</t>
  </si>
  <si>
    <t>0008720/2023</t>
  </si>
  <si>
    <t>11991538</t>
  </si>
  <si>
    <t>SUBSTITUIÇÃO DO REATOR DE NEUTRO DO PDRE7-03, 69KV</t>
  </si>
  <si>
    <t>0008722/2023</t>
  </si>
  <si>
    <t>N-S-MAPD-PDSOLT701-PDRE702-PDRE702 - 11991454</t>
  </si>
  <si>
    <t>SUBSTITUIÇÃO DO REATOR DE NEUTRO DO PDRE7-02, 69KV</t>
  </si>
  <si>
    <t>0008730/2023</t>
  </si>
  <si>
    <t>N-S-MAPD-MG701-MG500-CA003-PDTF207 - 11911273</t>
  </si>
  <si>
    <t>Substituição de cabos contrapesos (aterramento) de duas torres da LT 525 kV Gravataí - Nova Santa Rita C-1. As torres envolvidas são as de número de operação: 019 e 020.</t>
  </si>
  <si>
    <t>0008731/2023</t>
  </si>
  <si>
    <t>SUBSTITUIÇÃO DO TRANSFORMADOR REGULADOR PDTF2-06, 13.8KV.</t>
  </si>
  <si>
    <t>0008734/2023</t>
  </si>
  <si>
    <t>N-S-MAPD-MG701-MG500-CA002-PDTF206-11911269</t>
  </si>
  <si>
    <t>SUBSTITUIÇÃO DE PARA RAIO 500KV DO REATOR MCPDRE7-03 DA LINHA PDMRLT7-02 - PDPR701 - FASE V</t>
  </si>
  <si>
    <t>0008737/2023</t>
  </si>
  <si>
    <t>11991243</t>
  </si>
  <si>
    <t>SUBSTITUIÇÃO DO DISJUNTOR IZDJ7-01, 500 kV</t>
  </si>
  <si>
    <t>0008919/2023</t>
  </si>
  <si>
    <t>IZDJ7-01</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</si>
  <si>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Bx - UHE Tucuruí C5.</t>
  </si>
  <si>
    <t>0008750/2023</t>
  </si>
  <si>
    <t>N-S-PATC-TUTCLT705-ELTC-TCSPR01</t>
  </si>
  <si>
    <t>Substituição de TC (Transformador de Corrente) associado ao PDRE7-01 (PDTC7-01 FASE V) Local de Instalação: N-S-MAPD-RE701-MC500-PDTC701  Fase V Equipamento SAP: 11991504</t>
  </si>
  <si>
    <t>0008751/2023</t>
  </si>
  <si>
    <t>11991504</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</si>
  <si>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Ax - UHE Tucuruí C6.</t>
  </si>
  <si>
    <t>0008755/2023</t>
  </si>
  <si>
    <t>N-S-PATC-TUTCLT706-ELTC-TCSPR01</t>
  </si>
  <si>
    <t>SUBSTITUIÇÃO DE BUCHAS, VEDAÇÕES, PAINEL DE INSTRUMENTAÇÃO/VENTILAÇÃO, VÁLVULAS, RELÉS DE GÁS E BOLSA DE EXPANSÃO, ETC, DO MRRE6-01</t>
  </si>
  <si>
    <t>RT 230 kV 10 Mvar MIRANDA II RT1 MA</t>
  </si>
  <si>
    <t>0008762/2023</t>
  </si>
  <si>
    <t>N-S-MAMR-RE601-RE230-MRRE601 -11910990</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</si>
  <si>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Gx - UHE Tucuruí C7.</t>
  </si>
  <si>
    <t>0008763/2023</t>
  </si>
  <si>
    <t>N-S-PATC-TUTCLT707-ELTC-TCSPR01</t>
  </si>
  <si>
    <t>SUBSTITUIÇÃO DE BUCHAS, VEDAÇÕES, PAINEL DE INSTRUMENTAÇÃO/VENTILAÇÃO, VÁLVULAS, RELÉS DE GÁS E BOLSA DE EXPANSÃO, ETC, DO PDRE7-08 FASE RESERVA</t>
  </si>
  <si>
    <t>RTL 500 kV 50 Mvar P.DUTRA RTR2 MA</t>
  </si>
  <si>
    <t>0008765/2023</t>
  </si>
  <si>
    <t>N-S-MAPD-RR708-RR500-PDRR708 - 11991767</t>
  </si>
  <si>
    <t>SUBSTITUIÇÃO DE BUCHAS, VEDAÇÕES, PAINEL DE INSTRUMENTAÇÃO/VENTILAÇÃO, VÁLVULAS, RELÉS DE GÁS E BOLSA DE EXPANSÃO, ETC, DO PDRE7-09 FASE B</t>
  </si>
  <si>
    <t>0008767/2023</t>
  </si>
  <si>
    <t>N-S-MAPD-RE709-RE500-PDRE709 -11991544</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</si>
  <si>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Hx - UHE Tucuruí C8.</t>
  </si>
  <si>
    <t>0008768/2023</t>
  </si>
  <si>
    <t>N-S-PATC-TUTCLT708-ELTC-TCSPR01</t>
  </si>
  <si>
    <t>SUBSTITUIÇÃO DE PARA RAIO 138KV DA LINHA TTPFLI5-01 (DIST 02)  - PFPR501 - FASE V.</t>
  </si>
  <si>
    <t>0008770/2023</t>
  </si>
  <si>
    <t>11992321</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</si>
  <si>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Ix - UHE Tucuruí C9.</t>
  </si>
  <si>
    <t>0008772/2023</t>
  </si>
  <si>
    <t>N-S-PATC-TUTCLT709-ELTC-TCSPR01</t>
  </si>
  <si>
    <t>SUBSTITUIÇÃO DE PARA RAIO 138 KV DA LINHA TTPFLI5-01 (DIST 02)  - PFPR501 - FASE B.</t>
  </si>
  <si>
    <t>0008773/2023</t>
  </si>
  <si>
    <t>11992320</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</si>
  <si>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Jx - UHE Tucuruí C10.</t>
  </si>
  <si>
    <t>0008777/2023</t>
  </si>
  <si>
    <t>N-S-PATC-TUTCLT710-ELTC-TCSPR01</t>
  </si>
  <si>
    <t>SUBSTITUIÇÃO DE PARA RAIO 138 KV DA LINHA TTPFLI5-01 (DIST 02)  - PFPR501 - FASE A.</t>
  </si>
  <si>
    <t>0008779/2023</t>
  </si>
  <si>
    <t>11992319</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</si>
  <si>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Kx - UHE Tucuruí C11.</t>
  </si>
  <si>
    <t>0008783/2023</t>
  </si>
  <si>
    <t>N-S-PATC-TUTCLT711-ELTC-TCSPR01</t>
  </si>
  <si>
    <t>SUBSTITUIÇÃO DE PARA RAIO 230KV DO PFTF6-01 - PFPR601 - FASE V</t>
  </si>
  <si>
    <t>0008785/2023</t>
  </si>
  <si>
    <t>11992357</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</si>
  <si>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LT 69 kV US. TUCURUI /TUCURUI C-1 PA.</t>
  </si>
  <si>
    <t>DIT - LT 69 kV US. TUCURUI /TUCURUI C-1 PA</t>
  </si>
  <si>
    <t>0008788/2023</t>
  </si>
  <si>
    <t>N-S-PATC-TUTCLT401-ELTC-TCSPR01</t>
  </si>
  <si>
    <t>SUBSTITUIÇÃO DE PARA RAIO 230KV DO PFTF6-01 - PFPR601 - FASE B</t>
  </si>
  <si>
    <t>0008789/2023</t>
  </si>
  <si>
    <t>11992356</t>
  </si>
  <si>
    <t>SUBSTITUIÇÃO DE PARA RAIO 230KV DO PFTF6-01 - PFPR601 - FASE A</t>
  </si>
  <si>
    <t>0008791/2023</t>
  </si>
  <si>
    <t>11992355</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</si>
  <si>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LT 69 kV US. TUCURUI /TUCURUI C-2 PA.</t>
  </si>
  <si>
    <t>DIT - LT 69 kV US. TUCURUI /TUCURUI C-2 PA</t>
  </si>
  <si>
    <t>0008792/2023</t>
  </si>
  <si>
    <t>N-S-PATC-TUTCLT402-ELTC-TCSPR01</t>
  </si>
  <si>
    <t>SUBSTITUIÇÃO DO DISJUNTOR BSDJ4-07</t>
  </si>
  <si>
    <t>0008794/2023</t>
  </si>
  <si>
    <t>N-S-MABS-NFT-BLBSLI403-BSDJ407 - 11909015</t>
  </si>
  <si>
    <t>SUBSTITUIÇÃO DO DISJUNTOR BSDJ4-06</t>
  </si>
  <si>
    <t>TR 230 / 69 kV BALSAS TR2 MA</t>
  </si>
  <si>
    <t>0008796/2023</t>
  </si>
  <si>
    <t>N-S-MABS-TF602-MC69-BSDJ406 - 11910363</t>
  </si>
  <si>
    <t>SUBSTITUIÇÃO DO DISJUNTOR LIDJ4-14</t>
  </si>
  <si>
    <t>0008798/2023</t>
  </si>
  <si>
    <t>N-S-MALI-DIT-MCLILI402-LIDJ414 - 11910363</t>
  </si>
  <si>
    <t>Substituição das proteções e controle diferencial para as barras nº 01 (CJBR6-01) e nº 2 (CJBR6-02) - Cadeia Principal, contemplando uma unidade central com capacidade de, no mínimo, trezes vãos e, no mínimo, sete unidades de bay (bays unit).</t>
  </si>
  <si>
    <t>0008801/2023</t>
  </si>
  <si>
    <t>CJSPR-BR6-01</t>
  </si>
  <si>
    <t>SUBSTITUIÇÃO DO DISJUNTOR IZDJ4-06</t>
  </si>
  <si>
    <t>0009180/2023</t>
  </si>
  <si>
    <t>IZDJ4-06</t>
  </si>
  <si>
    <t>SUBSTITUIR  DISJUNTOR 69KV PFDJ4-01</t>
  </si>
  <si>
    <t>0009189/2023</t>
  </si>
  <si>
    <t>PFDJ4-01</t>
  </si>
  <si>
    <t>SUBSTITUIR DISJUNTOR 69KV PFDJ4-04</t>
  </si>
  <si>
    <t>0009190/2023</t>
  </si>
  <si>
    <t>PFDJ4-04</t>
  </si>
  <si>
    <t>SUBSTITUIR  DISJUNTOR 69KV PRDB4-01</t>
  </si>
  <si>
    <t>0009234/2023</t>
  </si>
  <si>
    <t>PRDB4-01</t>
  </si>
  <si>
    <t>SUBSTITUIÇÃO DE PARA RAIO DO REATOR MCIZRE7-04 DA LINHA IZPDLT7-02 - IZPR701 - FASE A</t>
  </si>
  <si>
    <t>0009249/2023</t>
  </si>
  <si>
    <t>N-S-MAIZ-IZPDLT702-MCIZRE704-IZPR701</t>
  </si>
  <si>
    <t>Substituição Painéis SPCS 500 kV, do reator MBRE7-04, (Reator de LT MBIZ-LT702) com vida útil esgotada por um novo com características similares.</t>
  </si>
  <si>
    <t>0008814/2023</t>
  </si>
  <si>
    <t>MBSPRRE (11917866)</t>
  </si>
  <si>
    <t>SUBSTITUIÇÃO DE PARA RAIO DO REATOR MCIZRE7-04 DA LINHA IZPDLT7-02 - IZPR701 - FASE B</t>
  </si>
  <si>
    <t>0009251/2023</t>
  </si>
  <si>
    <t>SUBSTITUIÇÃO DE PARA RAIO DO REATOR MCIZRE7-04 DA LINHA IZPDLT7-02 - IZPR701 - FASE V</t>
  </si>
  <si>
    <t>0009252/2023</t>
  </si>
  <si>
    <t>Substituição da chave seccionadora 500kV MBSD7-11</t>
  </si>
  <si>
    <t>0008822/2023</t>
  </si>
  <si>
    <t>MBSD7-11</t>
  </si>
  <si>
    <t>SUBSTITUIÇÃO DE  DISJUNTOR 230 kV VCDJ6-11</t>
  </si>
  <si>
    <t>0008824/2023</t>
  </si>
  <si>
    <t>VCDJ6-11  (12335013)</t>
  </si>
  <si>
    <t>SUBSTITUIÇÃO DE UM TPC DE 230 kV, LDLI-LT6-01-ELLD-LDTP6-01, FASE "A"</t>
  </si>
  <si>
    <t>0009276/2023</t>
  </si>
  <si>
    <t>N-S-MALD-LDLILT601-ELLD-LDTP601 (11987104)</t>
  </si>
  <si>
    <t>SUBSTITUIÇÃO DE UM TPC DE 230 kV, LDLI-LT6-01-ELLD-LDTP6-01, FASE "V"</t>
  </si>
  <si>
    <t>0009277/2023</t>
  </si>
  <si>
    <t>N-S-MALD-LDLILT601-ELLD-LDTP601 (11987106)</t>
  </si>
  <si>
    <t>SUBSTITUIÇÃO DE UM TPC DE 230 kV, LDLI-LT6-02-ELLD-LDTP6-01, FASE "A"</t>
  </si>
  <si>
    <t>0009280/2023</t>
  </si>
  <si>
    <t>ELLD-LDTP601 (11987137)</t>
  </si>
  <si>
    <t>SUBSTITUIÇÃO DE SECCIONADORA 230 kV VCSD6-27</t>
  </si>
  <si>
    <t>0008826/2023</t>
  </si>
  <si>
    <t>VCSD6-27 - 11919771</t>
  </si>
  <si>
    <t>SUBSTITUIÇÃO DE UM TPC DE 500 kV, N-S-MAIZ-MG701-MG500-BR701-TP701, FASE "B"</t>
  </si>
  <si>
    <t>0009281/2023</t>
  </si>
  <si>
    <t>N-S-MAIZ-MG701-MG500-BR701-TP701</t>
  </si>
  <si>
    <t>Substituição da chave seccionadora 500kV MBSD7-12</t>
  </si>
  <si>
    <t>0008827/2023</t>
  </si>
  <si>
    <t>MBSD7-12</t>
  </si>
  <si>
    <t>SUBSTITUIÇÃO DE PARA RAIO 230KV DO LDAT7-04 - LDPR601 - FASE A</t>
  </si>
  <si>
    <t>0009147/2023</t>
  </si>
  <si>
    <t>N-S-MALD-AT704-MC230-LDPR601</t>
  </si>
  <si>
    <t>Substituição da chave seccionadora 500kV MBSL7-04 e chave de terra acoplada MBCA7-06 da LT MBIZ-02</t>
  </si>
  <si>
    <t>0008833/2023</t>
  </si>
  <si>
    <t>MBSL7-04 / MBCA7-06</t>
  </si>
  <si>
    <t>SUBSTITUIÇÃO DE PARA RAIO 230KV DA LINHA ALLDLI6-01 - LDPR601 - FASE A</t>
  </si>
  <si>
    <t>0009152/2023</t>
  </si>
  <si>
    <t>ALLDLI601-ELLD-LDPR601</t>
  </si>
  <si>
    <t>SUBSTITUIÇÃO DE SECCIONADORA 500 kV  VCCA7-03 da LT TCVC-LT701.</t>
  </si>
  <si>
    <t>0008835/2023</t>
  </si>
  <si>
    <t>VCCA7-03</t>
  </si>
  <si>
    <t>Substituição de TC (Transformador de Corrente) associado ao PDDJ717 fase B</t>
  </si>
  <si>
    <t>0009121/2023</t>
  </si>
  <si>
    <t>ELPD-PDTC701 (B) 11991825</t>
  </si>
  <si>
    <t>SUBSTITUIÇÃO DO SISTEMA DE PROTEÇAO, COMANDO E SUPERVISÃO DO BAY DA LINHA LDLILT602-ELLD-LDSPRLT</t>
  </si>
  <si>
    <t>0009052/2023</t>
  </si>
  <si>
    <t>LDLILT602-ELLD-LDSPRLT</t>
  </si>
  <si>
    <t>SUBSTITUIÇÃO DE  DISJUNTOR 230 kV - VCDJ6-13</t>
  </si>
  <si>
    <t>0008839/2023</t>
  </si>
  <si>
    <t>VCDJ6-14 -11919599</t>
  </si>
  <si>
    <t>Substituição do quadro de Serviços auxiliares de 125 VCC PSA3 da sala de comando da SE Coelho Neto 230 kV</t>
  </si>
  <si>
    <t>MG 230 kV COELHO NETO MG1 MA</t>
  </si>
  <si>
    <t>0009068/2023</t>
  </si>
  <si>
    <t>N-S-MACH-MG601-MG230-SAE01</t>
  </si>
  <si>
    <t>Substituição do quadro de Serviços auxiliares de 380/220 VCA  QSA1  da sala de comando da SE Couto Magalhães 138 kV</t>
  </si>
  <si>
    <t>0009076/2023</t>
  </si>
  <si>
    <t>N-S-MTCM-DIT-SSC01 11912765</t>
  </si>
  <si>
    <t>SUBSTITUIÇÃO DO SISTEMA DE PROTEÇAO, COMANDO E SUPERVISÃO DO BAY DA LINHA LDLILT601-ELLD-LDSPRLT</t>
  </si>
  <si>
    <t>0009054/2023</t>
  </si>
  <si>
    <t>LDLILT601-ELLD-LDSPRLT</t>
  </si>
  <si>
    <t>LT 500 kV ANGRA FUR /C. PAULISTA C-1 RJ/SP</t>
  </si>
  <si>
    <t>Instalação de 103 km de cabos OPGW em substuição ao PR de aço convencional da Linha de transmissão</t>
  </si>
  <si>
    <t>0008843/2023</t>
  </si>
  <si>
    <t>Substituição do quadro de Serviços auxiliares de 125 VCC QSA2 da sala de comando da SE Couto Magalhães 138 kV</t>
  </si>
  <si>
    <t>MG 138 kV C. MAGALHAES MG1 MT</t>
  </si>
  <si>
    <t>0009079/2023</t>
  </si>
  <si>
    <t>N-S-MTCM-DIT-SSC01 - 11912767</t>
  </si>
  <si>
    <t>SUBSTITUIÇÃO DE  SECCIONADORA 500 kV - VCSD6-26</t>
  </si>
  <si>
    <t>0008848/2023</t>
  </si>
  <si>
    <t>VCSD6-26 - 11919603</t>
  </si>
  <si>
    <t>Substituição dos quadros de Serviços Auxiliares PT-1EA/PT1-EB/PT-2/PT-3/PT4-EA/PT4-EB/PT-6EA e PT-6EB de 440VCA da sala de comando da SE Imperatriz 500 kV.</t>
  </si>
  <si>
    <t>0009018/2023</t>
  </si>
  <si>
    <t>N-S-MAIZ-MG701-MG500-SAE00</t>
  </si>
  <si>
    <t>SUBSTITUIÇÃO DO SISTEMA DE PROTEÇAO, COMANDO E SUPERVISÃO DO BAY DA LINHA LDMRLT601-ELLD-LDSPRLT</t>
  </si>
  <si>
    <t>0009063/2023</t>
  </si>
  <si>
    <t>LDMRLT601-ELLD-LDSPRLT</t>
  </si>
  <si>
    <t>Substituição dos quadros de Serviços Auxiliares Painel 57/Painel 58/Painel 59/Painel 60/painel 61/Painel 62 e Painel 76 de 220VCA da sala de comando da SE Imperatriz 500 kV.</t>
  </si>
  <si>
    <t>0009282/2023</t>
  </si>
  <si>
    <t>Substituição dos quadros de Serviços Auxiliares PT1-EA/PT1-EB/PT-2/PT-3/PT--EA/PT5-EB e PT-6 de 440VCA da sala de comando da SE P.Dutra 500 kV</t>
  </si>
  <si>
    <t>0009287/2023</t>
  </si>
  <si>
    <t>N-S-MAPD-MG701-MG500-SAE00</t>
  </si>
  <si>
    <t>0009303/2023</t>
  </si>
  <si>
    <t>Substituição dos quadros de Serviços Auxiliares PT-1EA/PT1-EB/PT-2 e PT-3 de 220VCA da sala de comando da SE P.Dutra 500 kV</t>
  </si>
  <si>
    <t>0009022/2023</t>
  </si>
  <si>
    <t>Substituição dos quadros de serviços auxiliares PT-1EA/PT1-EB e PT-2 de 125VCC da sala de comando da SE P.Dutra 500 kV</t>
  </si>
  <si>
    <t>0009024/2023</t>
  </si>
  <si>
    <t>Substituição de 3 IPs (MBRE7-04) por outro de características semelhantes.</t>
  </si>
  <si>
    <t>0009175/2023</t>
  </si>
  <si>
    <t>Substituição de 4 IPs  por outro de características semelhantes (BARRAMENTO).</t>
  </si>
  <si>
    <t>0009176/2023</t>
  </si>
  <si>
    <t>Substituição de 1 IP por outro de características semelhantes (LT MBLT7-02).</t>
  </si>
  <si>
    <t>0009181/2023</t>
  </si>
  <si>
    <t>SUBSTITUIÇÃO DE  SECCIONADORA 500 kV - VCSD6-25</t>
  </si>
  <si>
    <t>0008862/2023</t>
  </si>
  <si>
    <t>VCSD6-25 - 11919602</t>
  </si>
  <si>
    <t>Substituição de TC (Transformador de Corrente) associado ao PDDJ704 fase B</t>
  </si>
  <si>
    <t>0009101/2023</t>
  </si>
  <si>
    <t>N-S-MAPD-PDSOLT701-MCPDRE702-PDTC701 (B) 11991442</t>
  </si>
  <si>
    <t>SUBSTITUIÇÃO DE SECCIONADORA 230 kV VCSD6-28</t>
  </si>
  <si>
    <t>0008868/2023</t>
  </si>
  <si>
    <t>VCSD6-28 - 11919772</t>
  </si>
  <si>
    <t>Substituição de TC (Transformador de Corrente) associado ao IZDJ701 fase V, 500 kV</t>
  </si>
  <si>
    <t>0009309/2023</t>
  </si>
  <si>
    <t>N-S-MAIZ-MG701-IB500IB1-IZTC702 (V) 12391202</t>
  </si>
  <si>
    <t>Substituição do quadro de Serviços auxiliares de 125 VCC  PD1 da sala de Comando de 138/69 kV da SE Porto Franco 230 kV</t>
  </si>
  <si>
    <t>MG 230 kV PORTO FRANCO MG1 MA</t>
  </si>
  <si>
    <t>0009081/2023</t>
  </si>
  <si>
    <t>N-S-MAPF-MG601-MG230-SAE00</t>
  </si>
  <si>
    <t>SUBSTITUIÇÃO DE  SECCIONADORA DE ATERRAMENTO 230 kV VCCA6-10</t>
  </si>
  <si>
    <t>0008873/2023</t>
  </si>
  <si>
    <t>VCCA6-10 - 11919598</t>
  </si>
  <si>
    <t>Revitalização do SISTEMA DE PROTEÇÃO CONTRA INCÊNDIO da subestação São Luís II com substituição de parede corta-fogo nas imediações do banco de autotransformadores LDAT7-01.</t>
  </si>
  <si>
    <t>0009093/2023</t>
  </si>
  <si>
    <t>Revitalização do SISTEMA DE PROTEÇÃO CONTRA INCÊNDIO da subestação São Luís II com substituição de parede corta-fogo nas imediações do banco de autotransformadores LDAT7-02</t>
  </si>
  <si>
    <t>0009087/2023</t>
  </si>
  <si>
    <t>Revitalização do SISTEMA DE PROTEÇÃO CONTRA INCÊNDIO da subestação São Luís II com substituição de parede corta-fogo nas imediações do banco de autotransformadores LDAT7-03</t>
  </si>
  <si>
    <t>0009080/2023</t>
  </si>
  <si>
    <t>SUBSTITUIÇÃO DE  SECCIONADORA 230 kV VCST6-02</t>
  </si>
  <si>
    <t>0008878/2023</t>
  </si>
  <si>
    <t>VCST6-02  -  11919605</t>
  </si>
  <si>
    <t>Revitalização do SISTEMA DE PROTEÇÃO CONTRA INCÊNDIO da subestação São Luís II com substituição de parede corta-fogo nas imediações do banco de reatores LDRE7-03.</t>
  </si>
  <si>
    <t>0009075/2023</t>
  </si>
  <si>
    <t>SUBSTITUIÇÃO DE CONJUNTO DE BUCHAS DE 69 kV, FASES "A", "B" E "V" DO TRANSFORMADOR IZTF6-04.</t>
  </si>
  <si>
    <t>0009062/2023</t>
  </si>
  <si>
    <t>N-S-MAIZ-TF604</t>
  </si>
  <si>
    <t>SUBSTITUIÇÃO DOS SISTEMAS DE PROTEÇÃO, CONTROLE E SUPERVISÃO DOS SEGUINTES VÃOS DE SAIDA DE LINHA N-S-MAIZ-DIT-ACIZLI401.</t>
  </si>
  <si>
    <t>0009051/2023</t>
  </si>
  <si>
    <t>N-S-MAIZ-DIT-ACIZLI401</t>
  </si>
  <si>
    <t>SUBSTITUIÇÃO DOS SISTEMAS DE PROTEÇÃO, CONTROLE E SUPERVISÃO DOS SEGUINTES VÃOS DE SAIDA DE LINHA N-S-MAIZ-DIT-ACIZLI402.</t>
  </si>
  <si>
    <t>0009048/2023</t>
  </si>
  <si>
    <t>N-S-MAIZ-DIT-ACIZLI402</t>
  </si>
  <si>
    <t>SUBSTITUIÇÃO DOS SISTEMAS DE PROTEÇÃO, CONTROLE E SUPERVISÃO DOS SEGUINTES VÃOS DE SAIDA DE LINHA N-S-MAIZ-DIT-ICIZLI401</t>
  </si>
  <si>
    <t>0009047/2023</t>
  </si>
  <si>
    <t>N-S-MAIZ-DIT-ICIZLI401</t>
  </si>
  <si>
    <t>SUBSTITUIÇÃO DOS SISTEMAS DE PROTEÇÃO, CONTROLE E SUPERVISÃO DOS SEGUINTES VÃOS DE SAIDA DE LINHA N-S-MAIZ-DIT-IAIZLI401</t>
  </si>
  <si>
    <t>0009046/2023</t>
  </si>
  <si>
    <t>N-S-MAIZ-DIT-IAIZLI401</t>
  </si>
  <si>
    <t>SUBSTITUIÇÃO DOS SISTEMAS DE PROTEÇÃO, CONTROLE E SUPERVISÃO DOS SEGUINTES VÃOS DE SAIDA DE LINHA N-S-MAIZ-DIT-TTIZLI401</t>
  </si>
  <si>
    <t>0009043/2023</t>
  </si>
  <si>
    <t>N-S-MAIZ-DIT-TTIZLI401</t>
  </si>
  <si>
    <t>SUBSTITUIÇÃO DOS SISTEMAS DE PROTEÇÃO, CONTROLE E SUPERVISÃO DOS SEGUINTES VÃOS DE SAIDA DE LINHA N-S-MAIZ-DIT-SNIZLI401</t>
  </si>
  <si>
    <t>0009040/2023</t>
  </si>
  <si>
    <t>N-S-MAIZ-DIT-SNIZLI401</t>
  </si>
  <si>
    <t>SUBSTITUIÇÃO DOS SISTEMAS DE PROTEÇÃO, CONTROLE E SUPERVISÃO DOS SEGUINTES VÃOS DE SAIDA DE LINHA N-S-MAPF-DIT-FNPFLI501</t>
  </si>
  <si>
    <t>0009037/2023</t>
  </si>
  <si>
    <t>N-S-MAPF-DIT-FNPFLI501</t>
  </si>
  <si>
    <t>SUBSTITUIÇÃO DA CHAVE SECCIONADORA RPSB6-07</t>
  </si>
  <si>
    <t>0008896/2023</t>
  </si>
  <si>
    <t>RPSB6-07</t>
  </si>
  <si>
    <t>SUBSTITUIÇÃO DOS SISTEMAS DE PROTEÇÃO, CONTROLE E SUPERVISÃO DO SEGUINTE VÃO DE SAIDA DE LINHA N-S-MAPF-DIT-POPFLI401</t>
  </si>
  <si>
    <t>0009035/2023</t>
  </si>
  <si>
    <t>N-S-MAPF-DIT-POPFLI401</t>
  </si>
  <si>
    <t>SUBSTITUIÇÃO DOS SISTEMAS DE PROTEÇÃO, CONTROLE E SUPERVISÃO DO SEGUINTE VÃO DE SAIDA DE LINHA N-S-MAPF-DIT-CLPFLI401.</t>
  </si>
  <si>
    <t>0009034/2023</t>
  </si>
  <si>
    <t>N-S-MAPF-DIT-CLPFLI401</t>
  </si>
  <si>
    <t>SUBSTITUIÇÃO DOS SISTEMAS DE PROTEÇÃO, CONTROLE E SUPERVISÃO DO SEGUINTE VÃO DE SAIDA DE LINHA N-S-MAMR-DIT-TMMRLI501</t>
  </si>
  <si>
    <t>0009012/2023</t>
  </si>
  <si>
    <t>N-S-MAMR-DIT-TMMRLI501</t>
  </si>
  <si>
    <t>SUBSTITUIÇÃO DOS SISTEMAS DE PROTEÇÃO, CONTROLE E SUPERVISÃO DO SEGUINTE VÃO DE SAIDA DE LINHA N-S-MAMR-DIT-SIMRLI501</t>
  </si>
  <si>
    <t>0009000/2023</t>
  </si>
  <si>
    <t>N-S-MAMR-DIT-SIMRLI501</t>
  </si>
  <si>
    <t>SUBSTITUIÇÃO DOS SISTEMAS DE PROTEÇÃO, CONTROLE E SUPERVISÃO DO SEGUINTE VÃO DE SAIDA DE LINHA N-S-MAMR-DIT-ARMRLI401</t>
  </si>
  <si>
    <t>0008996/2023</t>
  </si>
  <si>
    <t>N-S-MAMR-DIT-ARMRLI401</t>
  </si>
  <si>
    <t>SUBSTITUIÇÃO DOS SISTEMAS DE PROTEÇÃO, CONTROLE E SUPERVISÃO DO SEGUINTE VÃO DE SAIDA DE LINHA N-S-MAMR-DIT-IRMRLI401</t>
  </si>
  <si>
    <t>0008993/2023</t>
  </si>
  <si>
    <t>N-S-MAMR-DIT-IRMRLI401</t>
  </si>
  <si>
    <t>SUBSTITUIÇÃO DOS SISTEMAS DE PROTEÇÃO, CONTROLE E SUPERVISÃO DO SEGUINTE VÃO DE SAIDA DE LINHA N-S-MAMR-DIT-IRMRLI402</t>
  </si>
  <si>
    <t>0008991/2023</t>
  </si>
  <si>
    <t>SUBSTITUIÇÃO DOS SISTEMAS DE PROTEÇÃO, CONTROLE E SUPERVISÃO DO SEGUINTE VÃO DE SAIDA DE ALIMENTADOR N-S-MAMR-DIT-MRAL201</t>
  </si>
  <si>
    <t>0008927/2023</t>
  </si>
  <si>
    <t>N-S-MAMR-DIT-MRAL201</t>
  </si>
  <si>
    <t>SUBSTITUIÇÃO DOS SISTEMAS DE PROTEÇÃO, CONTROLE E SUPERVISÃO DO SEGUINTE VÃO DE SAIDA DE ALIMENTADOR N-S-MAMR-DIT-MRAL202</t>
  </si>
  <si>
    <t>0008925/2023</t>
  </si>
  <si>
    <t>N-S-MAMR-DIT-MRAL202</t>
  </si>
  <si>
    <t>Substituição do Painel e IEDs do SPCS 230 kV. (TR1) com vida útil esgotada por um novo com características similares. 
(UGTF6-01 FASE A/B/V)</t>
  </si>
  <si>
    <t>0009343/2023</t>
  </si>
  <si>
    <t>UGSPRTF</t>
  </si>
  <si>
    <t>Substituição dos quadros de Serviços auxiliares PT-1EA(500kV)/PT1-EB(500kV)/PT-1EA(230kV)/PT1-EB(230kV) de 125VCC da Sala de comando da SE São Luís II 500 kV</t>
  </si>
  <si>
    <t>0009110/2023</t>
  </si>
  <si>
    <t>N-S-MALD-MG701-MG500-SAE00</t>
  </si>
  <si>
    <t>Substituição do quadro de Serviços Auxiliares QSA 230 - C01 de 220 Vca da Casa de Relés de 230 kV da SE P.Dutra 500 kV</t>
  </si>
  <si>
    <t>0009083/2023</t>
  </si>
  <si>
    <t>Substituição dos quadros de serviços auxiliares QSA230-D1/QSA230-D2 de 125VCC da Casa de Relés de 230 kV da SE P.Dutra 500 kV</t>
  </si>
  <si>
    <t>0009148/2023</t>
  </si>
  <si>
    <t>Substituição do Quadro de Comando 380/220 VCA da sala de comando da SE Peritoró 230 kV</t>
  </si>
  <si>
    <t>MG 230 kV PERITORO MG1 MA</t>
  </si>
  <si>
    <t>0009127/2023</t>
  </si>
  <si>
    <t>N-S-MAPR-MG601-MG230-SAE01</t>
  </si>
  <si>
    <t>Substituição do Quadro de Comando de Corrente Contínua 125 V da sala de comando da SE Peritoró 230 kV</t>
  </si>
  <si>
    <t>0009126/2023</t>
  </si>
  <si>
    <t>SUBSTITUIÇÃO SISTEMA DE PROTEÇAO, COMANDO E SUPERVISÃO DO BAY DA BARRA MG230-BR601-LDSPRBR</t>
  </si>
  <si>
    <t>0009094/2023</t>
  </si>
  <si>
    <t>MG230-BR601-LDSPRBR</t>
  </si>
  <si>
    <t>Substituição do quadro de Serviços auxiliares de 440 VCA  QSACA-1 da sala de comando de 230 kV da SE Porto Franco 230 kV</t>
  </si>
  <si>
    <t>0009086/2023</t>
  </si>
  <si>
    <t>Substituição do quadro de Serviços auxiliares de 125 VCC  PD1 da sala de Comando de 230 kV da SE Porto Franco 230 kV</t>
  </si>
  <si>
    <t>0009089/2023</t>
  </si>
  <si>
    <t>Substituição do quadro de Serviços auxiliares de 440 VCA  QSACA-5 da sala de comando de 138/69 kV da SE Porto Franco 230 kV</t>
  </si>
  <si>
    <t>0009092/2023</t>
  </si>
  <si>
    <t>Substituição do Quadro de Comando de 220 VCA  QLF1/QLF2/QLF3 e QLF4 da sala de comando 1 da SE São Luís I 230 kV</t>
  </si>
  <si>
    <t>MG 230 kV SAO LUIS I MG1 MA</t>
  </si>
  <si>
    <t>0009122/2023</t>
  </si>
  <si>
    <t>N-S-MALI-MG601-MG230-SAE00</t>
  </si>
  <si>
    <t>Substituição do Quadro de Comando de 125 VCC  PT1-EA/PT1-EB da sala de comando 1 da SE São Luís I 230 kV</t>
  </si>
  <si>
    <t>0009118/2023</t>
  </si>
  <si>
    <t>Substituição do Quadro de Comando de 125 VCC  SQCACC-01 da sala de comando 2 da SE São Luís I 230 kV</t>
  </si>
  <si>
    <t>0009116/2023</t>
  </si>
  <si>
    <t>Substituição dos quadros de Serviços auxiliares PT-1EA/PT1-EB/PT-2/PT-3 de 440VCA da Sala de comando da SE São Luís II 500 kV</t>
  </si>
  <si>
    <t>0009026/2023</t>
  </si>
  <si>
    <t>Substituição dos quadros de Serviços auxiliares PT-1EA/PT1-EB/PT-2A ePT-3 de 220/127VCA da Sala de comando da SE São Luís II 500 kV</t>
  </si>
  <si>
    <t>0009027/2023</t>
  </si>
  <si>
    <t>Substituição do disjuntor 500kV MBDJ7-01</t>
  </si>
  <si>
    <t>0009348/2023</t>
  </si>
  <si>
    <t>MBDJ701</t>
  </si>
  <si>
    <t>Substituição do disjuntor 500kV MBDJ7-02</t>
  </si>
  <si>
    <t>0009349/2023</t>
  </si>
  <si>
    <t>MBDJ702</t>
  </si>
  <si>
    <t>SUBSTITUICÃO DO SISTEMA DE PROTEÇÃO DE 500 kV DO BANCO DE AUTOTRANSFORMADORES LDAT7-01</t>
  </si>
  <si>
    <t>0009095/2023</t>
  </si>
  <si>
    <t>Substituição dos painéis de SPCS da LT TCVC-LT7-01 (DX) com vida útil esgotada por um novo, com características similares.</t>
  </si>
  <si>
    <t>0009351/2023</t>
  </si>
  <si>
    <t>VCSPR-01/ VCSPR-02</t>
  </si>
  <si>
    <t>Substituição de bateria - 125 Vcc - SACC125-BAT1 na SE Itá.</t>
  </si>
  <si>
    <t>0008987/2023</t>
  </si>
  <si>
    <t>SUBSTITUIR O DISJUNTOR RPDJ6-01</t>
  </si>
  <si>
    <t>0009032/2023</t>
  </si>
  <si>
    <t>RPDJ6-01</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</si>
  <si>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01.</t>
  </si>
  <si>
    <t>CONJUNTO GERADOR HIDRÁULICO 01</t>
  </si>
  <si>
    <t>0009044/2023</t>
  </si>
  <si>
    <t>SUBSTITUIÇÃO DO MÓDULO DE CONEXÃO DO BANCO DE CAPACITORES 13.8KV NÚMERO 2 DE RONDONÓPOLIS.</t>
  </si>
  <si>
    <t>0009049/2023</t>
  </si>
  <si>
    <t>N-S-MTRP-BC202-MC013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</si>
  <si>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02.</t>
  </si>
  <si>
    <t>CONJUNTO GERADOR HIDRÁULICO 02</t>
  </si>
  <si>
    <t>0009055/2023</t>
  </si>
  <si>
    <t>Substituição do Transformador de corrente de 230 kV  fase "V"  Vão CX -MBCJ LT6 01</t>
  </si>
  <si>
    <t>0009058/2023</t>
  </si>
  <si>
    <t>MBTC6-01 FV</t>
  </si>
  <si>
    <t>SUBSTITUIÇÃO DO DISJUNTOR LTDJ4-07</t>
  </si>
  <si>
    <t>0009059/2023</t>
  </si>
  <si>
    <t>N-S-MALT-DIT-AGLTLI401-LTDJ407 - 11910485</t>
  </si>
  <si>
    <t>Substituição do Transformador de corrente de 230 kV  fase "B"  Vão CX -MBCJ LT6 01</t>
  </si>
  <si>
    <t>0009064/2023</t>
  </si>
  <si>
    <t>MBTC601 FB</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</si>
  <si>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03.</t>
  </si>
  <si>
    <t>CONJUNTO GERADOR HIDRÁULICO 03</t>
  </si>
  <si>
    <t>0009070/2023</t>
  </si>
  <si>
    <t>Substituição do Transformador de corrente de 230 kV  fase "A"  Vão CX -MBCJ LT6 01</t>
  </si>
  <si>
    <t>0009073/2023</t>
  </si>
  <si>
    <t>MBTC601 FA</t>
  </si>
  <si>
    <t>SUBSTITUIÇÃO DE PARA RAIO 230KV DO IZTF6-04 - IZPR601 - FASE B</t>
  </si>
  <si>
    <t>0009082/2023</t>
  </si>
  <si>
    <t>11986201</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</si>
  <si>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04.</t>
  </si>
  <si>
    <t>CONJUNTO GERADOR HIDRÁULICO 04</t>
  </si>
  <si>
    <t>0009090/2023</t>
  </si>
  <si>
    <t>SUBSTITUIÇÃO DO DISJUNTOR PDDJ4-07</t>
  </si>
  <si>
    <t>0009096/2023</t>
  </si>
  <si>
    <t>N-S-MAPD-DIT-BDPDLI402-PDDJ407 -12356348</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</si>
  <si>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05.</t>
  </si>
  <si>
    <t>CONJUNTO GERADOR HIDRÁULICO 05</t>
  </si>
  <si>
    <t>0009097/2023</t>
  </si>
  <si>
    <t>SUBSTITUIÇÃO DO DISJUNTOR PDDJ4-06</t>
  </si>
  <si>
    <t>0009100/2023</t>
  </si>
  <si>
    <t>N-S-MAPD-DIT-PTPDLI402-PDDJ406 - 12356373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</si>
  <si>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06.</t>
  </si>
  <si>
    <t>CONJUNTO GERADOR HIDRÁULICO 06</t>
  </si>
  <si>
    <t>0009102/2023</t>
  </si>
  <si>
    <t>SUBSTITUIÇÃO DO DISJUNTOR PDDJ4-05</t>
  </si>
  <si>
    <t>TR 230/69 kV P.DUTRA TF5 MA</t>
  </si>
  <si>
    <t>0009104/2023</t>
  </si>
  <si>
    <t>N-S-MAPD-TF605-MC69-PDDJ405 - 11911568</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</si>
  <si>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07.</t>
  </si>
  <si>
    <t>CONJUNTO GERADOR HIDRÁULICO 07</t>
  </si>
  <si>
    <t>0009107/2023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</si>
  <si>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08.</t>
  </si>
  <si>
    <t>CONJUNTO GERADOR HIDRÁULICO 08</t>
  </si>
  <si>
    <t>0009108/2023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</si>
  <si>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09.</t>
  </si>
  <si>
    <t>CONJUNTO GERADOR HIDRÁULICO 09</t>
  </si>
  <si>
    <t>0009112/2023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</si>
  <si>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10.</t>
  </si>
  <si>
    <t>CONJUNTO GERADOR HIDRÁULICO 10</t>
  </si>
  <si>
    <t>0009119/2023</t>
  </si>
  <si>
    <t>CAXIAS</t>
  </si>
  <si>
    <t>Substituição dos cubículos e disjuntores 13,8 kV, referentes aos Serviços Auxiliares da SE Caxias, e dos cabos associados.</t>
  </si>
  <si>
    <t>MG CAXIAS / CCO-2001-057 - RB</t>
  </si>
  <si>
    <t>0009123/2023</t>
  </si>
  <si>
    <t>SK01, SK02, DJ112, DJ122</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</si>
  <si>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11.</t>
  </si>
  <si>
    <t>CONJUNTO GERADOR HIDRÁULICO 11</t>
  </si>
  <si>
    <t>0009128/2023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</si>
  <si>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12.</t>
  </si>
  <si>
    <t>CONJUNTO GERADOR HIDRÁULICO 12</t>
  </si>
  <si>
    <t>0009130/2023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</si>
  <si>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13.</t>
  </si>
  <si>
    <t>CONJUNTO GERADOR HIDRÁULICO 13</t>
  </si>
  <si>
    <t>0009138/2023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</si>
  <si>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14.</t>
  </si>
  <si>
    <t>CONJUNTO GERADOR HIDRÁULICO 14</t>
  </si>
  <si>
    <t>0009149/2023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</si>
  <si>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15.</t>
  </si>
  <si>
    <t>CONJUNTO GERADOR HIDRÁULICO 15</t>
  </si>
  <si>
    <t>0009154/2023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</si>
  <si>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16.</t>
  </si>
  <si>
    <t>CONJUNTO GERADOR HIDRÁULICO 16</t>
  </si>
  <si>
    <t>0009157/2023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</si>
  <si>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17.</t>
  </si>
  <si>
    <t>CONJUNTO GERADOR HIDRÁULICO 17</t>
  </si>
  <si>
    <t>0009162/2023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</si>
  <si>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18.</t>
  </si>
  <si>
    <t>CONJUNTO GERADOR HIDRÁULICO 18</t>
  </si>
  <si>
    <t>0009166/2023</t>
  </si>
  <si>
    <t>SUBSTITUIÇÃO DO DISJUNTOR PFDB4-01</t>
  </si>
  <si>
    <t>0009365/2023</t>
  </si>
  <si>
    <t>PFDB4-01</t>
  </si>
  <si>
    <t>SUBSTITUIÇÃO DE UM TPC DE 230 kV, LDLI-LT6-01-ELLD-LDTP6-01, FASE "B"</t>
  </si>
  <si>
    <t>0009375/2023</t>
  </si>
  <si>
    <t>ELLD-LDTP601 (11987105)</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</si>
  <si>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19.</t>
  </si>
  <si>
    <t>CONJUNTO GERADOR HIDRÁULICO 19</t>
  </si>
  <si>
    <t>0009238/2023</t>
  </si>
  <si>
    <t>SUBSTITUIÇÃO DE 11 IP´s  POR OUTROS DE CARACTERISTICAS SEMELHANTES</t>
  </si>
  <si>
    <t>0009422/2023</t>
  </si>
  <si>
    <t>IZRE7-01</t>
  </si>
  <si>
    <t>SUBSTITUIÇÃO DE TRANSFORMADOR DE CORRENTE 72,5 KV FASE V(11988069)</t>
  </si>
  <si>
    <t>0009245/2023</t>
  </si>
  <si>
    <t>LITC4-01 FASE V</t>
  </si>
  <si>
    <t>SUBSTITUICÃO DA CHAVE SECIONADORA 230 kV LISB6-03</t>
  </si>
  <si>
    <t>0009403/2023</t>
  </si>
  <si>
    <t>LISB603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</si>
  <si>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20.</t>
  </si>
  <si>
    <t>CONJUNTO GERADOR HIDRÁULICO 20</t>
  </si>
  <si>
    <t>0009250/2023</t>
  </si>
  <si>
    <t>SUBSTITUICÃO DA CHAVE SECIONADORA 230 kV LISB6-04</t>
  </si>
  <si>
    <t>0009406/2023</t>
  </si>
  <si>
    <t>LISB6-04</t>
  </si>
  <si>
    <t>SUBSTITUIÇÃO DE TRANSFORMADOR DE CORRENTE 72,5 KV- FASE B (11988068)</t>
  </si>
  <si>
    <t>0009253/2023</t>
  </si>
  <si>
    <t>LITC4-01 FASE B</t>
  </si>
  <si>
    <t>SUBSTITUIÇÃO DE BATERIAS - ETEL RONCADOR - 48Vcc</t>
  </si>
  <si>
    <t>0009255/2023</t>
  </si>
  <si>
    <t>BATERIA 01 E 02</t>
  </si>
  <si>
    <t>SUBSTITUICÃO DA CHAVE SECIONADORA 230 kV LISD6-03</t>
  </si>
  <si>
    <t>0009413/2023</t>
  </si>
  <si>
    <t>LISD6-03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</si>
  <si>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21.</t>
  </si>
  <si>
    <t>CONJUNTO GERADOR HIDRÁULICO 21</t>
  </si>
  <si>
    <t>0009258/2023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</si>
  <si>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C-6 PA .</t>
  </si>
  <si>
    <t>0009542/2023</t>
  </si>
  <si>
    <t>LISD6-04</t>
  </si>
  <si>
    <t>SUBSTITUIÇÃO DE BATERIAS - ETEL ALTO DO RIO BAILE - 48Vcc</t>
  </si>
  <si>
    <t>0009261/2023</t>
  </si>
  <si>
    <t>SUBSTITUICÃO DA CHAVE SECIONADORA 230 kV LISY6-02</t>
  </si>
  <si>
    <t>0009427/2023</t>
  </si>
  <si>
    <t>LISY6-02</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</si>
  <si>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22.</t>
  </si>
  <si>
    <t>CONJUNTO GERADOR HIDRÁULICO 22</t>
  </si>
  <si>
    <t>0009262/2023</t>
  </si>
  <si>
    <t>SUBSTITUIÇÃO DE TRANSFORMADOR DE CORRENTE 72,5 KV FASE  A( 11988067)</t>
  </si>
  <si>
    <t>0009263/2023</t>
  </si>
  <si>
    <t>LITC4-01 FASE A</t>
  </si>
  <si>
    <t>SUBSTITUICÃO DA CHAVE SECIONADORA 500 kV LDST7-01</t>
  </si>
  <si>
    <t>0009399/2023</t>
  </si>
  <si>
    <t>LDST7-01</t>
  </si>
  <si>
    <t>SUBSTITUICÃO DA CHAVE SECIONADORA 500 kV LDSD7-05</t>
  </si>
  <si>
    <t>0009416/2023</t>
  </si>
  <si>
    <t>LDSD7-05</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</si>
  <si>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23.</t>
  </si>
  <si>
    <t>CONJUNTO GERADOR HIDRÁULICO 23</t>
  </si>
  <si>
    <t>0009270/2023</t>
  </si>
  <si>
    <t>SUBSTITUICÃO DA CHAVE SECIONADORA 500 kV LDSD7-06</t>
  </si>
  <si>
    <t>0009419/2023</t>
  </si>
  <si>
    <t>LDSD7-06</t>
  </si>
  <si>
    <t>Substituição de três (03) Transformadores Corrente 500 KV SE Tucuruí TCDJ7-08 Fases A,B,V vão Dy1. Capacidade do novo equipamento: 4.000 A e 63 kA.</t>
  </si>
  <si>
    <t>0009285/2023</t>
  </si>
  <si>
    <t>TC7DY1</t>
  </si>
  <si>
    <t>SUBSTITUIÇÃO DO CUBÍCULO DO DJ2006 -13,8KV</t>
  </si>
  <si>
    <t>0009279/2023</t>
  </si>
  <si>
    <t>DJ2006</t>
  </si>
  <si>
    <t>Substituição de um comutador sob carga do Transformador PFAT6-02</t>
  </si>
  <si>
    <t>0009454/2023</t>
  </si>
  <si>
    <t>PFAT6-02</t>
  </si>
  <si>
    <t>Substituição de um comutador sob carga do transformador MRAT6-02</t>
  </si>
  <si>
    <t>TR 230/138 kV MIRANDA II TR2 MA</t>
  </si>
  <si>
    <t>0009436/2023</t>
  </si>
  <si>
    <t>MRAT6-02</t>
  </si>
  <si>
    <t>Substituição de um comutador sob carga do Transformador SRTF6-02</t>
  </si>
  <si>
    <t>0009461/2023</t>
  </si>
  <si>
    <t>SRTF6-02</t>
  </si>
  <si>
    <t>Substituição de um comutador sob carga do transformador SRTF6-01</t>
  </si>
  <si>
    <t>0009462/2023</t>
  </si>
  <si>
    <t>SRTF6-01</t>
  </si>
  <si>
    <t>Substituição de um comutador sob carga do transformador GMTF6-03 fase B</t>
  </si>
  <si>
    <t>TR 230/69 kV GUAMA TR3 PA</t>
  </si>
  <si>
    <t>0009395/2023</t>
  </si>
  <si>
    <t>GMTF6-03</t>
  </si>
  <si>
    <t>Substituição de um comutador sob carga do transformador GMTF6-03 fase V</t>
  </si>
  <si>
    <t>0009409/2023</t>
  </si>
  <si>
    <t>GMTF6-03 fase V</t>
  </si>
  <si>
    <t>SUBSTITUIÇÃO DE CUBÍCULO DE 13,8kV QUE SE ENCONTRA SINISTRADO E SEM PEÇAS DE REPOSIÇÃO COM A SUBSTITUIÇÃO DO DISJUNTOR PVDJ2-14, DE 13,8kV.</t>
  </si>
  <si>
    <t>0009411/2023</t>
  </si>
  <si>
    <t>N-S-ROPV-MG601-MG230-TF204</t>
  </si>
  <si>
    <t>Substituição da Chave Seccionadora 500kV MBSD7-03 associada ao disjuntor MBDJ7-02</t>
  </si>
  <si>
    <t>0009293/2023</t>
  </si>
  <si>
    <t>MBSD7-03</t>
  </si>
  <si>
    <t>SUBSTITUIÇÃO DE PARA RAIO 500KV DA LINHA PDBELI7-01 - PDPR701 - FASE V</t>
  </si>
  <si>
    <t>0009457/2023</t>
  </si>
  <si>
    <t>N-S-MAPD-PDBELI701-ELPD-PDPR701 (11991196)</t>
  </si>
  <si>
    <t>SUBSTITUICÃO DA CHAVE SECIONADORA 230 kV LDSB6-12</t>
  </si>
  <si>
    <t>0009388/2023</t>
  </si>
  <si>
    <t>LDSB6-12</t>
  </si>
  <si>
    <t>SUBSTITUIÇÃO DO CUBÍCULO DO DJ2106 -13,8KV</t>
  </si>
  <si>
    <t>0009298/2023</t>
  </si>
  <si>
    <t>DJ2106</t>
  </si>
  <si>
    <t>SUBSTITUICÃO DA CHAVE SECIONADORA 230 kV LDSB6-09</t>
  </si>
  <si>
    <t>0009423/2023</t>
  </si>
  <si>
    <t>LDSB6-09</t>
  </si>
  <si>
    <t>Substituição de um comutador sob carga do Transformador GMTF6-03 fase A.</t>
  </si>
  <si>
    <t>0009397/2023</t>
  </si>
  <si>
    <t>GMTF6-03 fase A</t>
  </si>
  <si>
    <t>Substituição de um comutador sob carga do transformador VCAT7-04 fase V</t>
  </si>
  <si>
    <t>0009414/2023</t>
  </si>
  <si>
    <t>VCAT7-04 fase V</t>
  </si>
  <si>
    <t>Substituição de um comutador sob carga do transformador VCAT7-04 fase B</t>
  </si>
  <si>
    <t>0009426/2023</t>
  </si>
  <si>
    <t>VCAT7-04 fase B</t>
  </si>
  <si>
    <t>TERESINA III</t>
  </si>
  <si>
    <t>Substituição de 01 (um) TP 230 kV posição operacional 84B1 fase A da Subestação TST.</t>
  </si>
  <si>
    <t>MG TERESINA III / CCO-2011-017 - RB</t>
  </si>
  <si>
    <t>0009308/2023</t>
  </si>
  <si>
    <t>11420625</t>
  </si>
  <si>
    <t>Substituição de um comutador sob carga do transformador VCAT7-04 fase A</t>
  </si>
  <si>
    <t>0009430/2023</t>
  </si>
  <si>
    <t>VCAT7-04 fase A</t>
  </si>
  <si>
    <t>SUBSTITUIÇÃO DOS PAINEIS DE SPCS DA INTERLIGAÇÃO DE BARRA(IB) - VÃO AY INSTALADOS NAS CASAS DE RELES</t>
  </si>
  <si>
    <t>0009442/2023</t>
  </si>
  <si>
    <t>IZSSP-01</t>
  </si>
  <si>
    <t>Modernizar a usina por meio da substituição dos seguintes sistemas e equipamentos associados ao conjunto gerador: sistema de proteção, controle e supervisão do gerador, transformador elevador e EL 69 KV; auxiliares elétricos de média e baixa tensão da unidade geradora, incluindo cubículos, painéis e IEDs de proteção, controle e medição; turbina hidráulica, incluindo painéis e instrumentos da turbina; gerador, incluindo cubículos, painéis e instrumentos do gerador; e comporta da tomada d'água referente ao conjunto gerador hidráulico 24.</t>
  </si>
  <si>
    <t>CONJUNTO GERADOR HIDRÁULICO 24</t>
  </si>
  <si>
    <t>0009360/2023</t>
  </si>
  <si>
    <t>SUBSTITUÇÃO DO SISTEMA DE RESFRIAMENTO DO LDCE7-01</t>
  </si>
  <si>
    <t>0009372/2023</t>
  </si>
  <si>
    <t>N-S-MALD-CE201-CE13</t>
  </si>
  <si>
    <t>Modernizar a usina por meio da substituição dos seguintes sistemas e equipamentos associados ao conjunto gerador: sistema de proteção, controle e supervisão do gerador, transformador elevador e EL 69 KV; auxiliares elétricos de média e baixa tensão da unidade geradora, incluindo cubículos, painéis e IEDs de proteção, controle e medição; turbina hidráulica, incluindo painéis e instrumentos da turbina; gerador, incluindo cubículos, painéis e instrumentos do gerador; e comporta da tomada d'água referente ao conjunto gerador hidráulico 25.</t>
  </si>
  <si>
    <t>CONJUNTO GERADOR HIDRÁULICO 25</t>
  </si>
  <si>
    <t>0009363/2023</t>
  </si>
  <si>
    <t>SUBSTITUIÇÃO  DO BANCO DE BATERIA 02 DA SE RIBEIRO GONÇALVES</t>
  </si>
  <si>
    <t>MG 500 kV RIB.GONCALVES MG3 PI</t>
  </si>
  <si>
    <t>0009384/2023</t>
  </si>
  <si>
    <t>BAT Nº 02 - 12335939</t>
  </si>
  <si>
    <t>SUBSTITUIÇÃO DOS PAINEIS DE SPCS DA INTERLIGAÇÃO DE BARRA(IB) - VÃO BY INSTALADOS NAS CASAS DE RELES</t>
  </si>
  <si>
    <t>0009446/2023</t>
  </si>
  <si>
    <t>SUBSTITUIÇÃO DOS PAINEIS DE SPCS DA INTERLIGAÇÃO DE BARRA(IB) - VÃO CY INSTALADOS NAS CASAS DE RELES</t>
  </si>
  <si>
    <t>0009449/2023</t>
  </si>
  <si>
    <t>SUBSTITUIÇÃO DOS PAINEIS DE SPCS DA INTERLIGAÇÃO DE BARRA(IB) - VÃO DY INSTALADOS NAS CASAS DE RELES</t>
  </si>
  <si>
    <t>0009451/2023</t>
  </si>
  <si>
    <t>Substituição da Chave Seccionadora 500kV MBSD7-02 associada ao disjuntor MBDJ7-01</t>
  </si>
  <si>
    <t>0009405/2023</t>
  </si>
  <si>
    <t>MBSR702</t>
  </si>
  <si>
    <t>SUBSTITUICÃO DA CHAVE SECIONADORA 230 kV LDSB6-11</t>
  </si>
  <si>
    <t>0009425/2023</t>
  </si>
  <si>
    <t>LDSB611</t>
  </si>
  <si>
    <t>SUBSTITUICÃO DA CHAVE SECIONADORA 230 kV LDSB6-07</t>
  </si>
  <si>
    <t>0009428/2023</t>
  </si>
  <si>
    <t>LDSB6-07</t>
  </si>
  <si>
    <t>Substituição da Chave Seccionadora 500kV MBSR7-01 associada ao Reator MBRE7-01</t>
  </si>
  <si>
    <t>0009401/2023</t>
  </si>
  <si>
    <t>MBSR701</t>
  </si>
  <si>
    <t>Substituição da Chave Seccionadora 500kV MBSD7-01 associada ao disjuntor MBDJ7-01</t>
  </si>
  <si>
    <t>0009385/2023</t>
  </si>
  <si>
    <t>MBSD701</t>
  </si>
  <si>
    <t>SUBSTITUIÇÃO DO TRANSFORMADOR DE POTENCIA 13,8/0,514KV MBTF2-04-FASES A,B,V  DO MBCS2-01.</t>
  </si>
  <si>
    <t>0009402/2023</t>
  </si>
  <si>
    <t>MBTF2-04</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</si>
  <si>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C-1 PA.</t>
  </si>
  <si>
    <t>LT 500 kV - Elevadora Tucuruí / Sec. Tucuruí (uso exclusivo)</t>
  </si>
  <si>
    <t>0009391/2023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</si>
  <si>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C-2 PA.</t>
  </si>
  <si>
    <t>0009396/2023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</si>
  <si>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C-3 PA.</t>
  </si>
  <si>
    <t>0009400/2023</t>
  </si>
  <si>
    <t>SUBSTITUIÇÃO DA CHAVE SECCIONADORA  500kV PDSD7-17 , ASSOCIADA AO DISJUNTOR PDDJ7-09</t>
  </si>
  <si>
    <t>0009447/2023</t>
  </si>
  <si>
    <t>PDSD7-17</t>
  </si>
  <si>
    <t>SUBSTITUIÇÃO  DA SECCIONADORA  500kV PDSD7-16</t>
  </si>
  <si>
    <t>0009443/2023</t>
  </si>
  <si>
    <t>PDSD7-16</t>
  </si>
  <si>
    <t>SUBSTITUIÇÃO DA CHAVE SECCIONADORA  500kV PDSR7-04 , ASSOCIADA AO REATOR PDRE7-05</t>
  </si>
  <si>
    <t>0009435/2023</t>
  </si>
  <si>
    <t>PDSR7-04</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</si>
  <si>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C-4 PA.</t>
  </si>
  <si>
    <t>0009410/2023</t>
  </si>
  <si>
    <t>SUBSTITUIÇÃO DA CHAVE SECCIONADORA  500kV PDSR7-06 , ASSOCIADA AO REATOR PDRE7-06</t>
  </si>
  <si>
    <t>0009440/2023</t>
  </si>
  <si>
    <t>PDSR7-06</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</si>
  <si>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C-5 PA .</t>
  </si>
  <si>
    <t>0009415/2023</t>
  </si>
  <si>
    <t>SUBSTITUIÇÃO DO SPCS DO SISTEMA DE COMPENSAÇÃO ESTÁTICA SIEMENS LDCE2-01</t>
  </si>
  <si>
    <t>0009433/2023</t>
  </si>
  <si>
    <t>N-S-MALD-CE201-CE13-LDSPRCE (11909908)</t>
  </si>
  <si>
    <t>Substituir as proteções REL 316 REB 500 das cadeias principal e alternada por nova cadeia de proteção equivalente, incluindo a substituição de painéis de proteção e controle (cadeias principal e alternada), IEDs de proteção, controle e oscilografia digitais e demais componentes. Conforme módulo cadastrado, a substituição ocorrerá no vão de 500kV, referente à EL 500 kV TUCURUI LT 500 kV TUCURUI /US. TUCURUI C-6 PA.</t>
  </si>
  <si>
    <t>0009421/2023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</si>
  <si>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C-7 PA .</t>
  </si>
  <si>
    <t>0009429/2023</t>
  </si>
  <si>
    <t>Substituição dos sistemas de proteção e controle da linha ALLD-LT601 - Terminal São Luís II</t>
  </si>
  <si>
    <t>LT 230 kV SAO LUIS II /ALUMAR  C-1 MA</t>
  </si>
  <si>
    <t>0009444/2023</t>
  </si>
  <si>
    <t>LDSPRLI</t>
  </si>
  <si>
    <t>Substituição dos sistemas de proteção e controle da linha ALLD-LT602 - Terminal São Luís II</t>
  </si>
  <si>
    <t>LT 230 kV SAO LUIS II /ALUMAR  C-2 MA</t>
  </si>
  <si>
    <t>0009455/2023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</si>
  <si>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C-8 PA .</t>
  </si>
  <si>
    <t>0009432/2023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</si>
  <si>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C-9 PA .</t>
  </si>
  <si>
    <t>0009434/2023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</si>
  <si>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C-10 PA.</t>
  </si>
  <si>
    <t>0009438/2023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</si>
  <si>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C-11 PA.</t>
  </si>
  <si>
    <t>0009441/2023</t>
  </si>
  <si>
    <t>Implantar redundância do sistema especial de proteção para corte de geração na usina de Tucuruí, incluindo a instalação de painel de baixa tensão 125 Vcc para alimentação do novo SEP, para aumento da confiabilidade do sistema elétrico nacional, atendendo solicitação do ONS (CTA-ONS DPL/EG 0923/2021).</t>
  </si>
  <si>
    <t>CONJUNTOS GERADORES HIDRÁULICOS 1 A 23 (UHE TUCURUÍ)</t>
  </si>
  <si>
    <t>0009483/2023</t>
  </si>
  <si>
    <t>SUBSTITUIÇÃO DO TRANSFORMADOR DE POTENCIA 13,8/0,44KV MBTF2-02.</t>
  </si>
  <si>
    <t>0009464/2023</t>
  </si>
  <si>
    <t>MBTF2-02</t>
  </si>
  <si>
    <t>SUBSTITUIÇÃO DO TRANSFORMADOR DE POTENCIA 13,8/0,44KV MBTF2-03.</t>
  </si>
  <si>
    <t>0009465/2023</t>
  </si>
  <si>
    <t>MBTF2-03</t>
  </si>
  <si>
    <t>SUBSTITUIÇÃO DO TRANSFORMADOR REGULADOR 13,8/13,8KV MBTR2-01</t>
  </si>
  <si>
    <t>0009466/2023</t>
  </si>
  <si>
    <t>MBTR2-01</t>
  </si>
  <si>
    <t>SUBSTITUIÇÃO DO TRANSFORMADOR REGULADOR 13,8/13,8KV MBTR2-02</t>
  </si>
  <si>
    <t>0009467/2023</t>
  </si>
  <si>
    <t>MBTR2-02</t>
  </si>
  <si>
    <t>Substituir sistema especial de proteção para corte de geração na usina de Tucuruí, para modernização do SEP existente, atendendo solicitação do ONS (CTA-ONS DPL/EG 0923/2021).</t>
  </si>
  <si>
    <t>0009492/2023</t>
  </si>
  <si>
    <t>Substituição das estruturas das torres  Nº 75,77,78,,80,,81,82,83,86,88,99,100 DA LINHA LDMRLT6-01</t>
  </si>
  <si>
    <t>0009498/2023</t>
  </si>
  <si>
    <t>LT230-LDMRLT601 - 11908395</t>
  </si>
  <si>
    <t>Substituição dos sistemas de proteção e controle da linha CVLD-LT601 - Terminal São Luís II</t>
  </si>
  <si>
    <t>EL 230 kV CVRD LT 230 kV CVRD /SAO LUIS II C-1 PA/MA</t>
  </si>
  <si>
    <t>0009499/2023</t>
  </si>
  <si>
    <t>N-S-MALD-CVLDLI601-ELLD-LDSPRLI - 11909965</t>
  </si>
  <si>
    <t>Substituição de Transformadores de Corrente 138 kV, referente ao Interligador de Barras, DJ552, da SE J.Lacerda-A, Fases A e C. Associado à obra são esperadas substituições/adaptações de fundações e suportes, caixa de junção, cabos de controle/potência, barramento, conectores e conexão de aterramento. Funções do TC: proteção e medição. Capacidade nominal dos novos equipamentos: &gt;= 800 A.</t>
  </si>
  <si>
    <t>0009506/2023</t>
  </si>
  <si>
    <t>TC DJ552</t>
  </si>
  <si>
    <t>Instalação de Transformador de Corrente 138 kV, referente ao Interligador de Barras, DJ552, da SE J.Lacerda-A, Fase B. Associado à obra são esperadas instalação de fundações e suportes, caixa de junção, cabos de controle/potência, barramento, conectores e conexão de aterramento. Funções do TC: proteção e medição. Capacidade nominal dos novos equipamentos: &gt;= 800 A.</t>
  </si>
  <si>
    <t>0009507/2023</t>
  </si>
  <si>
    <t>Substituição do SPCS do Disjuntor de Interligação de Barras 14D1 na subestação PAU FERRO, por um novo sistema composto por: 01 painel, 01 unidade de controle, 02 falhas de disjuntor (principal e alternada), cabos de controle e infraestrutura de comunicação associados ao módulo de interligação de barras (14D1).</t>
  </si>
  <si>
    <t>0009512/2023</t>
  </si>
  <si>
    <t>11357598</t>
  </si>
  <si>
    <t>Substituição do SPCS associado ao vão da Entrada de Linha 01Y3 na subestação BOM NOME, por um novo sistema composto por: 01 Painel, 01 unidade de proteção e controle, cabos de controle e infraestrutura de comunicação associados.</t>
  </si>
  <si>
    <t>EL 13,8 kV BOM NOME 01Y3 (11Y3)</t>
  </si>
  <si>
    <t>0009513/2023</t>
  </si>
  <si>
    <t>11366873</t>
  </si>
  <si>
    <t>Instalação do SPCS das barras 230 kV na subestação TERESINA II, composto por: 01 painel, 01 unidade central de proteção de barras (principal), do tipo adaptativa e distribuída, com capacidade para atender, no mínimo, 10 vãos, contemplando as unidades de bay, cabos de controle e infraestrutura de comunicação associados.</t>
  </si>
  <si>
    <t>0009522/2023</t>
  </si>
  <si>
    <t>Instalação de SPCS das Barras de 230 kV na subestação MACEIÓ, composto por: 02 painéis, 02 unidades centrais de proteção de barras (principal e alternada), do tipo adaptativa e distribuída, com capacidade para atender, no mínimo, 07 vãos, 14 unidades de bay de proteção de barras (principal e alternada) e infraestrutura de comunicação associados</t>
  </si>
  <si>
    <t>0009523/2023</t>
  </si>
  <si>
    <t>Substituição de um (01) Disjuntor 500 KV SE Tucuruí no vão Az  - TCDJ7-18</t>
  </si>
  <si>
    <t>0009528/2023</t>
  </si>
  <si>
    <t>TCDJ7-18</t>
  </si>
  <si>
    <t>Substituição de um (01) Disjuntor 500 KV SE Tucuruí no vão Fx - TCDJ7-01</t>
  </si>
  <si>
    <t>N-S-PATC-TUTCLT701-ELTC-TCDJ701</t>
  </si>
  <si>
    <t>0009529/2023</t>
  </si>
  <si>
    <t>TUTCLT701-ELTC-TCDJ701</t>
  </si>
  <si>
    <t>Substituição de um (01) Disjuntor 500 KV SE Tucuruí no vão Fy  - TCDJ7-02</t>
  </si>
  <si>
    <t>0009530/2023</t>
  </si>
  <si>
    <t>TCDJ7-02</t>
  </si>
  <si>
    <t>C. DOURADA</t>
  </si>
  <si>
    <t>Descompartilhamento de serviços auxiliares; Construção de casa de controle, instalação de serviços auxiliares VCA e VCC; Instalação e realocação de painéis e equipamentos de proteção , controle, supervisão e de telecomunicações e instalação de cabo OPGW na LT 230 kV Itumbiara - Cachoeira Dourada.</t>
  </si>
  <si>
    <t>Módulo Geral</t>
  </si>
  <si>
    <t>0009533/2023</t>
  </si>
  <si>
    <t>Instalação de 01 Multiplexador Óptico SDH, na subestação JACARACANGA.</t>
  </si>
  <si>
    <t>0009543/2023</t>
  </si>
  <si>
    <t>Implantação de Multiplexador Óptico SDH, na subestação ITABAIANA, composto por: 01 Multiplexador.</t>
  </si>
  <si>
    <t>0009544/2023</t>
  </si>
  <si>
    <t>Substituição de Transformadores de Corrente 69 kV referentes a LT Siderópolis (CGT Eletrosul) - Siderópolis (Celesc) C-2, DJ332, Fases A, B, C. Associado à obra, são esperadas substituições/adaptações de fundações e suportes, caixa de junção, cabos de controle/potência, barramento, conectores e conexão de aterramento. Funções do TC: proteção e medição.</t>
  </si>
  <si>
    <t>LT 69 kV SIDEROPOLIS ESUL / SIDEROPOLIS CELESC C-2 SC</t>
  </si>
  <si>
    <t>0009546/2023</t>
  </si>
  <si>
    <t>TC DJ332</t>
  </si>
  <si>
    <t>Substituição de Transformadores de Corrente 69 kV referentes a LT Siderópolis (CGT Eletrosul) - Criciúma C-1, DJ412, Fases A, B, C. Associado à obra, são esperadas substituições/adaptações de fundações e suportes, caixa de junção, cabos de controle/potência, barramento, conectores e conexão de aterramento. Funções do TC: proteção e medição.</t>
  </si>
  <si>
    <t>LT 69 kV SIDEROPOLIS ESUL / CRICIUMA C-1 SC</t>
  </si>
  <si>
    <t>0009547/2023</t>
  </si>
  <si>
    <t>TC DJ412</t>
  </si>
  <si>
    <t>Substituição de Transformadores de Corrente 69 kV referentes a LT Siderópolis (CGT Eletrosul) - Criciúma C-2, DJ372, Fases A, B, C. Associado à obra, são esperadas substituições/adaptações de fundações e suportes, caixa de junção, cabos de controle/potência, barramento, conectores e conexão de aterramento. Funções do TC: proteção e medição.</t>
  </si>
  <si>
    <t>LT 69 kV SIDEROPOLIS ESUL / CRICIUMA C-2 SC</t>
  </si>
  <si>
    <t>0009548/2023</t>
  </si>
  <si>
    <t>TC DJ372</t>
  </si>
  <si>
    <t>Substituição de Transformadores de Corrente 69 kV referentes a LT Siderópolis (CGT Eletrosul) - Criciúma Floresta C-1, DJ422, Fases A, B, C. Associado à obra, são esperadas substituições/adaptações de fundações e suportes, caixa de junção, cabos de controle/potência, barramento, conectores e conexão de aterramento. Funções do TC: proteção e medição.</t>
  </si>
  <si>
    <t>LT 69 kV SIDEROPOLIS ESUL / CRICIUMA FLORESTA C-1 SC</t>
  </si>
  <si>
    <t>0009549/2023</t>
  </si>
  <si>
    <t>TC DJ422</t>
  </si>
  <si>
    <t>Substituição do sistema de teleproteção alternada OPLAT, da LT 230 kV BRUMADO II /IBICOARA C-1 BA (14F5), na subestação IBICOARA, composto por: 01 Equipamento Teleproteção (Transceptor).</t>
  </si>
  <si>
    <t>0009550/2023</t>
  </si>
  <si>
    <t>11374546</t>
  </si>
  <si>
    <t>Substituição do sistema de teleproteção alternada OPLAT, da LT 230 kV BRUMADO II /IBICOARA C-1 BA (14F5), na subestação BRUMADO II, composto por: 01 Equipamento Teleproteção (Transceptor).</t>
  </si>
  <si>
    <t>0009551/2023</t>
  </si>
  <si>
    <t>11374548</t>
  </si>
  <si>
    <t>Substituição do Sistema de Comunicação Rádio por um Sistema de Comunicação Óptica, na subestação COTEGIPE, composto por: 01 Multiplexador SDH, 01 Distribuidor Geral Óptico, dutos e fibra óptica, associado à teleproteção principal.</t>
  </si>
  <si>
    <t>0009559/2023</t>
  </si>
  <si>
    <t>Substituição do painel de teleproteção e equipamentos associados, relacionados à teleproteção principal via OPGW do vão da Entrada de Linha 05V5 (LT 500 kV QUIXADA /FORTALEZA II C-1) na subestação QUIXADA.</t>
  </si>
  <si>
    <t>0009572/2023</t>
  </si>
  <si>
    <t>Substituição do painel de teleproteção e equipamentos associados, relacionados à teleproteção principal via OPGW do vão da Entrada de Linha 04S2 (LT 230 kV CAUIPE/SOBRAL II C-1) na subestação SOBRAL II.</t>
  </si>
  <si>
    <t>0009577/2023</t>
  </si>
  <si>
    <t>Substituição do painel de teleproteção e equipamentos associados, relacionados à teleproteção principal via OPGW no vão da Entrada de Linha 04L3 (LT 230 kV TERESINA II /TERESINA C-1) na subestação TERESINA.</t>
  </si>
  <si>
    <t>0009578/2023</t>
  </si>
  <si>
    <t>Substituição do painel de teleproteção e equipamentos associados, relacionados à teleproteção principal via OPGW no vão da Entrada de Linha 04L4 (LT 230 kV TERESINA II /TERESINA C-2) na subestação TERESINA.</t>
  </si>
  <si>
    <t>0009579/2023</t>
  </si>
  <si>
    <t>Substituição do painel de teleproteção e equipamentos associados, relacionados à teleproteção principal via OPGW do vão da Entrada de Linha 05V5 (LT 500 kV QUIXADA /FORTALEZA II C-1) na subestação FORTALEZA II.</t>
  </si>
  <si>
    <t>0009580/2023</t>
  </si>
  <si>
    <t>Substituição do painel de teleproteção e equipamentos associados, relacionados à teleproteção principal via OPGW do vão da Entrada de Linha 05C2 (LT 500 kV PECEM II /FORTALEZA II C-1) na subestação FORTALEZA II.</t>
  </si>
  <si>
    <t>0009581/2023</t>
  </si>
  <si>
    <t>Substituição do painel de teleproteção e equipamentos associados, relacionados à teleproteção principal via OPGW do vão da Entrada de Linha 04F4 (LT 230 kV DELM. GOUVEIA /FORTALEZA II C-1) na subestação FORTALEZA II.</t>
  </si>
  <si>
    <t>0009582/2023</t>
  </si>
  <si>
    <t>Substituição do painel de teleproteção e equipamentos associados, relacionados à teleproteção principal via OPGW do vão da Entrada de Linha 04F5 (LT 230 kV DELM. GOUVEIA /FORTALEZA II C-2) na subestação FORTALEZA II.</t>
  </si>
  <si>
    <t>0009583/2023</t>
  </si>
  <si>
    <t>Substituição do painel de teleproteção e equipamentos associados, relacionados à teleproteção principal via OPGW do vão da Entrada de Linha 05C2 (LT 500 kV PECEM II /FORTALEZA II C-1) na subestação PECEM II.</t>
  </si>
  <si>
    <t>0009584/2023</t>
  </si>
  <si>
    <t>Substituição do painel de teleproteção e equipamentos associados, relacionados à teleproteção principal via OPGW no vão da Entrada de Linha 04L3 (LT 230 kV TERESINA II /TERESINA C-1) na subestação TERESINA II.</t>
  </si>
  <si>
    <t>0009585/2023</t>
  </si>
  <si>
    <t>Substituição do painel de teleproteção e equipamentos associados, relacionados à teleproteção principal via OPGW no vão da Entrada de Linha 04L4 (LT 230 kV TERESINA II /TERESINA C-2) na subestação TERESINA II.</t>
  </si>
  <si>
    <t>0009586/2023</t>
  </si>
  <si>
    <t>Substituição do OPLAT por painel de teleproteção e equipamentos associados, relacionados à nova teleproteção principal via OPGW no vão da Entrada de Linha 04L2 (LT 230 kV CIC. DANTAS /CATU C-1) na subestação CICERO DANTAS.</t>
  </si>
  <si>
    <t>0009587/2023</t>
  </si>
  <si>
    <t>Substituição do painel de teleproteção e equipamentos associados, relacionados à teleproteção principal via OPGW no vão da Entrada de Linha 05V7 (LT 500 kV JARDIM /CAMACARI IV C-1) na subestação CAMACARI IV.</t>
  </si>
  <si>
    <t>0009588/2023</t>
  </si>
  <si>
    <t>Substituição do painel de teleproteção e equipamentos associados, relacionados à teleproteção principal via OPGW do vão da Entrada de Linha 04S2 (LT 230 kV CAUIPE/SOBRAL II C-1) na subestação CAUIPE.</t>
  </si>
  <si>
    <t>0009589/2023</t>
  </si>
  <si>
    <t>Substituição do painel de teleproteção e equipamentos associados, relacionados à teleproteção principal via OPGW do vão da Entrada de Linha 04F4 (LT 230 kV DELM. GOUVEIA /FORTALEZA II C-1) na subestação DELM. GOUVEIA.</t>
  </si>
  <si>
    <t>0009590/2023</t>
  </si>
  <si>
    <t>Substituição do painel de teleproteção e equipamentos associados, relacionados à teleproteção principal via OPGW do vão da Entrada de Linha 04F5 (LT 230 kV DELM. GOUVEIA /FORTALEZA II C-2) na subestação DELM. GOUVEIA.</t>
  </si>
  <si>
    <t>0009591/2023</t>
  </si>
  <si>
    <t>Substituição do painel de teleproteção e equipamentos associados, relacionados à teleproteção principal via OPGW no vão da Entrada de Linha 05V7 (LT 500 kV JARDIM /CAMACARI IV C-1) na subestação JARDIM.</t>
  </si>
  <si>
    <t>0009592/2023</t>
  </si>
  <si>
    <t>Instalação da cadeia de proteção de barras alternada, referente às barras P e PT de 230 kV da SE Salto Osório, incluindo uma Unidade Central e dezessete unidades de Bay (vãos LT F.Chopim C-1, F.Chopim C-2, Areia C-1, Areia C-2, Xanxerê C-1, P.Branco C-1, Cascavel C-1, C.Mourão C-1, C.Mourão C-2, UHSO C-1, UHSO C-2, UHSO C-3, UHSO C-4, UHSO C-5, UHSO C-6, TF 7 230/69 kV e Interligador de Barras - IB), painéis e cabos de controle e potência associados.</t>
  </si>
  <si>
    <t>0000036/2024</t>
  </si>
  <si>
    <t>Adaptação da Base, Bacia, Via de Transferência e Parede Corta-Fogo existentes para instalação do novo Reator de Barra 50 Mvar, RE1, na SE Dourados.</t>
  </si>
  <si>
    <t>RT 230 kV 27 Mvar DOURADOS RT1 MS</t>
  </si>
  <si>
    <t>0000072/2024</t>
  </si>
  <si>
    <t>Base, Bacia, Via de Transferência e Parede Corta-Fogo</t>
  </si>
  <si>
    <t>Adequação no módulo de conexão existente - Desmontagem de Chave Seccionadora SC729 230 kV e adaptação da base para instalação de 3x transformadores de corrente 230 kV .</t>
  </si>
  <si>
    <t>0000073/2024</t>
  </si>
  <si>
    <t>SC729</t>
  </si>
  <si>
    <t>Instalação da cadeia de proteção de barras (cadeia única), referente às barras 1 e 2 de 138 kV da SE Jorge Lacerda A, incluindo uma Unidade Central e dez unidades de Bay (vãos LT UT J.Lacerda-A C-1, UT J.Lacerda-A C-2, UT J.Lacerda-A C-3, Imbituba C-1, Bom Jardim da Serra C-1, TF 5 230/138 kV, TF 7 230/138 kV, TF 8 138/69 kV, TF 9 138/69 kV e Interligador de Barras - IB), painéis e cabos de controle e potência associados.</t>
  </si>
  <si>
    <t>0000089/2024</t>
  </si>
  <si>
    <t>BA - Barras 1 e 2 138 kV</t>
  </si>
  <si>
    <t>SUBSTITUIÇÃO DO AUTOTRANSFORMADOR        IZAT7-01, 500/230/13,8 kV, 200 MVA- FASE A</t>
  </si>
  <si>
    <t>0000226/2024</t>
  </si>
  <si>
    <t>IZAT701</t>
  </si>
  <si>
    <t>SUBSTITUIÇÃO DO AUTOTRANSFORMADOR IZAT7-01, 500/230/13,8 kV, 200 MVA- FASE V</t>
  </si>
  <si>
    <t>0000227/2024</t>
  </si>
  <si>
    <t>SUBSTITUIÇÃO DO TRANSFORMADOR LDAT7-02, FASE V, 550/230/13,8 kV, 200 MVA</t>
  </si>
  <si>
    <t>0000228/2024</t>
  </si>
  <si>
    <t>LDAT702</t>
  </si>
  <si>
    <t>SUBSTITUIÇÃO DO TRANSFORMADOR LDAT7-02, FASE B, 550/230/13,8 kV, 200 MVA</t>
  </si>
  <si>
    <t>0000229/2024</t>
  </si>
  <si>
    <t>SUBSTITUIÇÃO DO TRANSFORMADOR LDAT7-02, FASE A, 550/230/13,8 kV, 200 MVA</t>
  </si>
  <si>
    <t>0000230/2024</t>
  </si>
  <si>
    <t>SUBSTITUIÇÃO DO BANCO DE CAPACITORES 230kV - 61,1MVAr - LDBC6-02</t>
  </si>
  <si>
    <t>BC 230 kV 61,1 MVAr SAO LUIS II BC2 MA</t>
  </si>
  <si>
    <t>0000231/2024</t>
  </si>
  <si>
    <t>LDBC604</t>
  </si>
  <si>
    <t>SUBSTITUIÇÃO DO BANCO DE CAPACITORES 230kV - 61,1MVAr - LDBC6-04</t>
  </si>
  <si>
    <t>BC 230 kV 55,5 MVAr SAO LUIS II BC4 MA</t>
  </si>
  <si>
    <t>0000245/2024</t>
  </si>
  <si>
    <t>LDBC603</t>
  </si>
  <si>
    <t>SUBSTITUIÇÃO DO BANCO DE CAPACITORES 230kV - 50,8MVAr - LDBC6-01</t>
  </si>
  <si>
    <t>BC 230 kV 50,8 MVAr SAO LUIS II BC1 MA</t>
  </si>
  <si>
    <t>0000258/2024</t>
  </si>
  <si>
    <t>LDBC601</t>
  </si>
  <si>
    <t>SUBSTITUIÇÃO DO BANCO DE CAPACITORES 230kV - 61,5MVAr - LBDC6-03</t>
  </si>
  <si>
    <t>BC 230 kV 55,5 MVAr SAO LUIS II BC3 MA</t>
  </si>
  <si>
    <t>0000260/2024</t>
  </si>
  <si>
    <t>LDBC602</t>
  </si>
  <si>
    <t>SUBSTITUIÇÃO DO BANCO DE CAPACITORES 230kV UGBC6-01</t>
  </si>
  <si>
    <t>BC 230 kV 55 MVAr UTINGA BC1 PA</t>
  </si>
  <si>
    <t>0000261/2024</t>
  </si>
  <si>
    <t>UGBC601</t>
  </si>
  <si>
    <t>SUBSTITUIÇÃO DO BANCO DE CAPACITORES 230kV UGBC6-02</t>
  </si>
  <si>
    <t>BC 230 kV 55 MVAr UTINGA BC2 PA</t>
  </si>
  <si>
    <t>0000262/2024</t>
  </si>
  <si>
    <t>UGBC602</t>
  </si>
  <si>
    <t>Substituição do reator RTSMSB1 500kV, fase A, 24,5MVAr na Subestação S.DA MESA (CM 10234244 e nº serie 51405).</t>
  </si>
  <si>
    <t>RT 500 kV 73,4 Mvar S.DA MESA RSB1 GO</t>
  </si>
  <si>
    <t>0000310/2024</t>
  </si>
  <si>
    <t>RTSMSB1 A</t>
  </si>
  <si>
    <t>Substituição do reator RTSMSB1 500kV, fase B, 24,5MVAr na Subestação S.DA MESA (CM 10234245 e nº serie 51407).</t>
  </si>
  <si>
    <t>0000311/2024</t>
  </si>
  <si>
    <t>RTSMSB1 B</t>
  </si>
  <si>
    <t>Substituição do reator RTSMSB1 500kV, fase C, 24,5MVAr na Subestação S.DA MESA (CM 10234246 e nº serie 51408).</t>
  </si>
  <si>
    <t>0000312/2024</t>
  </si>
  <si>
    <t>RTSMSB1 C</t>
  </si>
  <si>
    <t>Substituição do Reator Reserva RT8V1 (nº serie: 1534024, cod. mat.: 10184023).</t>
  </si>
  <si>
    <t>RTR 345 kV 20 Mvar ITUTINGA RTR1 MG</t>
  </si>
  <si>
    <t>0000210/2024</t>
  </si>
  <si>
    <t>RT01 R</t>
  </si>
  <si>
    <t>Substituição de 01 (um) Trafo Regulador 230kV, potência 100 MVA, posição operacional 04T1 da SE STJ.</t>
  </si>
  <si>
    <t>0000304/2024</t>
  </si>
  <si>
    <t>04T1</t>
  </si>
  <si>
    <t>Substituição do reator reserva RTR 69 kV 60 Mvar TIJUCO PRETO RTR1 SP</t>
  </si>
  <si>
    <t>RTR 69 kV 60 Mvar TIJUCO PRETO RTR1 SP</t>
  </si>
  <si>
    <t>0000381/2024</t>
  </si>
  <si>
    <t>RTR1</t>
  </si>
  <si>
    <t>Instalação do SPCS alternado das Barras 500 kV , na subestação SOBRAL III, composto por: 01 painel, 01 unidade central de proteção de barras (alternada), do tipo adaptativa e distribuída, com capacidade para atender, no mínimo, 08 vãos, 08 unidades de bay de proteção de barras (alternada) e infraestrutura de comunicação associados.</t>
  </si>
  <si>
    <t>0001299/2024</t>
  </si>
  <si>
    <t>Instalação do SPCS alternado das Barras 230 kV , na subestação SOBRAL III, composto por: 01 painel, 01 unidade central de proteção de barras (alternada), do tipo adaptativa e distribuída, com capacidade para atender, no mínimo, 09 vãos, 09 unidades de bay de proteção de barras (alternada) e infraestrutura de comunicação associados.</t>
  </si>
  <si>
    <t>0001381/2024</t>
  </si>
  <si>
    <t>Instalação do SPCS das Barras 230 kV , na subestação COTEGIPE, composto por: 02 painéis, 02 unidades centrais de proteção de barras (principal e alternada), do tipo adaptativa e distribuída, com capacidade para atender, no mínimo, 12 vãos, 24 unidades de bay de proteção de barras (principal e alternada) e infraestrutura de comunicação associados.</t>
  </si>
  <si>
    <t>0001382/2024</t>
  </si>
  <si>
    <t>Instalação do SPCS alternado das Barras 500 kV , na subestação RECIFE II, composto por: 01 painel, 01 unidade central de proteção de barras (alternada), do tipo adaptativa e distribuída, com capacidade para atender, no mínimo, 08 vãos, 08 unidades de bay de proteção de barras (alternada) e infraestrutura de comunicação associados.</t>
  </si>
  <si>
    <t>0001385/2024</t>
  </si>
  <si>
    <t>Instalação do SPCS das Barras 230 kV, na subestação BANABUIU, composto por: 02 painéis, 02 unidades centrais de proteção de barras (principal e alternada), do tipo adaptativa e distribuída, com capacidade para atender, no mínimo, 19 vãos, 38 unidades de bay de proteção de barras (principal e alternada) e infraestrutura de comunicação associados.</t>
  </si>
  <si>
    <t>0001387/2024</t>
  </si>
  <si>
    <t>Instalação do SPCS das Barras 230 kV , na subestação MILAGRES, composto por: 02 painéis, 02 unidades centrais de proteção de barras (principal e alternada), do tipo adaptativa e distribuída, com capacidade para atender, no mínimo, 20 vãos, 40 unidades de bay de proteção de barras (principal e alternada) e infraestrutura de comunicação associados.</t>
  </si>
  <si>
    <t>0001388/2024</t>
  </si>
  <si>
    <t>Instalação do SPCS alternado das Barras 500 kV , na subestação MILAGRES, composto por: 01 painel, 01 unidade central de proteção de barras (alternada), do tipo adaptativa e distribuída, com capacidade para atender, no mínimo, 08 vãos, 08 unidades de bay de proteção de barras (alternada) e infraestrutura de comunicação associados.</t>
  </si>
  <si>
    <t>0001389/2024</t>
  </si>
  <si>
    <t>Instalação do SPCS das Barras 230 kV , na subestação IRECE, composto por: 02 painéis, 02 unidades centrais de proteção de barras (principal e alternada), do tipo adaptativa e distribuída, com capacidade para atender, no mínimo, 13 vãos, 26 unidades de bay de proteção de barras (principal e alternada) e infraestrutura de comunicação associados.</t>
  </si>
  <si>
    <t>0001390/2024</t>
  </si>
  <si>
    <t>Instalação do SPCS das Barras 230 kV , na subestação G.MANGABEIRA, composto por: 02 painéis, 02 unidades centrais de proteção de barras (principal e alternada), do tipo adaptativa e distribuída, com capacidade para atender, no mínimo, 12 vãos, 24 unidades de bay de proteção de barras (principal e alternada) e infraestrutura de comunicação associados.</t>
  </si>
  <si>
    <t>0001392/2024</t>
  </si>
  <si>
    <t>Instalação do SPCS alternado das Barras 500 kV , na subestação CAMACARI II, composto por: 01 painel, 01 unidade central de proteção de barras (alternada), do tipo adaptativa e distribuída, com capacidade para atender, no mínimo, 08 vãos, 08 unidades de bay de proteção de barras (alternada) e infraestrutura de comunicação associados.</t>
  </si>
  <si>
    <t>0001393/2024</t>
  </si>
  <si>
    <t>Instalação de 01 Multiplexador Óptico SDH redundante, na subestação ANGELIM.</t>
  </si>
  <si>
    <t>0001424/2024</t>
  </si>
  <si>
    <t>Instalação de 01 Multiplexador Óptico SDH redundante, na subestação TACAIMBO.</t>
  </si>
  <si>
    <t>0001426/2024</t>
  </si>
  <si>
    <t>Instalação de 01 (um) TP 69  kV posição operacional 82T1 fase A da Subestação BOM NOME</t>
  </si>
  <si>
    <t>0001449/2024</t>
  </si>
  <si>
    <t>Instalação de 01 (um) TP 69  kV posição operacional 82T1 fase B da Subestação BOM NOME</t>
  </si>
  <si>
    <t>0001450/2024</t>
  </si>
  <si>
    <t>Instalação de 01 (um) TP 69  kV posição operacional 82T1 fase C da Subestação BOM NOME</t>
  </si>
  <si>
    <t>0001451/2024</t>
  </si>
  <si>
    <t>Instalação de 01 (um) TP 69  kV posição operacional 82T2 fase A da Subestação BOM NOME</t>
  </si>
  <si>
    <t>0001452/2024</t>
  </si>
  <si>
    <t>Instalação de 01 (um) TP 69  kV posição operacional 82T2 fase B da Subestação BOM NOME</t>
  </si>
  <si>
    <t>0001453/2024</t>
  </si>
  <si>
    <t>Instalação de 01 (um) TP 69  kV posição operacional 82T2 fase C da Subestação BOM NOME</t>
  </si>
  <si>
    <t>0001454/2024</t>
  </si>
  <si>
    <t>ZEBU 2</t>
  </si>
  <si>
    <t>Instalação de 01 Multiplexador Óptico SDH redundante, na subestação ZEBU II.</t>
  </si>
  <si>
    <t>MG ZEBU II</t>
  </si>
  <si>
    <t>0001491/2024</t>
  </si>
  <si>
    <t>Instalação de 01 Multiplexador Óptico SDH redundante, na subestação AQUIRAZ II.</t>
  </si>
  <si>
    <t>0001492/2024</t>
  </si>
  <si>
    <t>Instalação de 01 Multiplexador Óptico SDH redundante, na subestação ICO.</t>
  </si>
  <si>
    <t>0001494/2024</t>
  </si>
  <si>
    <t>Instalação de 01 Multiplexador Óptico SDH redundante, na subestação JABOATAO II.</t>
  </si>
  <si>
    <t>0001495/2024</t>
  </si>
  <si>
    <t>Instalação de 01 Multiplexador Óptico SDH redundante, na subestação JOAIRAM.</t>
  </si>
  <si>
    <t>0001496/2024</t>
  </si>
  <si>
    <t>Instalação de 01 Multiplexador Óptico SDH redundante, na subestação MATATU.</t>
  </si>
  <si>
    <t>MG MATATU / CCO-2001-061 - RB</t>
  </si>
  <si>
    <t>0001497/2024</t>
  </si>
  <si>
    <t>Instalação de 01 Multiplexador Óptico SDH redundante, na subestação RUSSAS II.</t>
  </si>
  <si>
    <t>0001499/2024</t>
  </si>
  <si>
    <t>Instalação de 01 Multiplexador Óptico SDH redundante, na subestação SUAPE II.</t>
  </si>
  <si>
    <t>0001500/2024</t>
  </si>
  <si>
    <t>Substituição de 01 (um) disjuntor de 13,8 KV posição operacional 11D1 da subestação TERESINA,  por outro com capacidade nominal de curto-circuito mínima de 31,5 kA</t>
  </si>
  <si>
    <t>IB 13,8 kV MG 230 kV TERESINA MG1 PI IB2 (01D1)</t>
  </si>
  <si>
    <t>0001589/2024</t>
  </si>
  <si>
    <t>11D1</t>
  </si>
  <si>
    <t>Substituição de 01 (um) disjuntor de 13,8 KV posição  operacional 11E2 da subestação TERESINA, por outro com capacidade nominal de curto-circuito mínima de 31,5 kA</t>
  </si>
  <si>
    <t>MC 13,8 kV RTB 13,8 kV 5 Mvar TERESINA RT2 PI (01E2)</t>
  </si>
  <si>
    <t>0001592/2024</t>
  </si>
  <si>
    <t>11E2</t>
  </si>
  <si>
    <t>Substituição de 01 (um) TC 69 kV posição operacional 92T1-2 fase A da Subestação MACEIO.</t>
  </si>
  <si>
    <t>0001601/2024</t>
  </si>
  <si>
    <t>92T1-2.A</t>
  </si>
  <si>
    <t>Substituição de 01 (um) TC 69 kV posição operacional 92T1-2 fase C da Subestação MACEIO.</t>
  </si>
  <si>
    <t>0001602/2024</t>
  </si>
  <si>
    <t>92T1-2.C</t>
  </si>
  <si>
    <t>Substituição de 01 (um) TC 69 kV posição operacional 92T2-2 fase A da Subestação MACEIO.</t>
  </si>
  <si>
    <t>0001603/2024</t>
  </si>
  <si>
    <t>92T2-2.A</t>
  </si>
  <si>
    <t>Substituição de 01 (um) TC 69 kV posição operacional 92T2-2 fase C da Subestação MACEIO.</t>
  </si>
  <si>
    <t>0001604/2024</t>
  </si>
  <si>
    <t>92T2-2.C</t>
  </si>
  <si>
    <t>Substituição de 01 (um) TC 69 kV posição operacional 92T3-1 fase A da Subestação MACEIO.</t>
  </si>
  <si>
    <t>0001605/2024</t>
  </si>
  <si>
    <t>92T3-1.A</t>
  </si>
  <si>
    <t>Substituição de 01 (um) TC 69 kV posição operacional 92T3-1 fase B da Subestação MACEIO.</t>
  </si>
  <si>
    <t>0001606/2024</t>
  </si>
  <si>
    <t>92T3-1.B</t>
  </si>
  <si>
    <t>Substituição de 01 (um) TC 69 kV posição operacional 92T3-1 fase C da Subestação MACEIO.</t>
  </si>
  <si>
    <t>0001607/2024</t>
  </si>
  <si>
    <t>92T3-1.C</t>
  </si>
  <si>
    <t>Substituição de 01 (um) TC 69 kV posição operacional 92T3-2 fase A da Subestação MACEIO.</t>
  </si>
  <si>
    <t>0001608/2024</t>
  </si>
  <si>
    <t>92T3-2.A</t>
  </si>
  <si>
    <t>Substituição de 01 (um) TC 69 kV posição operacional 92T3-2 fase C da Subestação MACEIO.</t>
  </si>
  <si>
    <t>0001610/2024</t>
  </si>
  <si>
    <t>92T3-2.C</t>
  </si>
  <si>
    <t>Instalação de 03 (três) capacitores de surto em paralelo ao transformador de Potência de 230/13,8kV, posição operacional 04T2 da Subestação TERESINA, com células capacitivas de no mínimo 20kvar (266nF)</t>
  </si>
  <si>
    <t>TR 230/69 kV TERESINA TR1 PI</t>
  </si>
  <si>
    <t>0001614/2024</t>
  </si>
  <si>
    <t>Absorção de Energia</t>
  </si>
  <si>
    <t>Substituição de 01 (um) TC 500 kV posição operacional 95V5 fase C da Subestação JARDIM.</t>
  </si>
  <si>
    <t>0001622/2024</t>
  </si>
  <si>
    <t>95V5.C</t>
  </si>
  <si>
    <t>Substituição de 01 (um) TC 500 kV posição operacional 95V7 fase A da Subestação JARDIM.</t>
  </si>
  <si>
    <t>0001623/2024</t>
  </si>
  <si>
    <t>95V7.A</t>
  </si>
  <si>
    <t>Substituição de 01 (um) TC 500 kV posição operacional 95V5 fase A da Subestação XINGO.</t>
  </si>
  <si>
    <t>0001624/2024</t>
  </si>
  <si>
    <t>95V5.A</t>
  </si>
  <si>
    <t>Substituição de 01 (um) TC 500 kV posição operacional 95V5 fase B da Subestação XINGO.</t>
  </si>
  <si>
    <t>0001625/2024</t>
  </si>
  <si>
    <t>95V5.B</t>
  </si>
  <si>
    <t>Substituição de 01 (um) TC 500 kV posição operacional 95V5 fase C da Subestação XINGO.</t>
  </si>
  <si>
    <t>0001627/2024</t>
  </si>
  <si>
    <t>Instalação de Transformador de Corrente TC230 230 kV, fase A, arranjo BD4, e adequação do módulo de conexão associado ao RT1 na SE DOURADOS.</t>
  </si>
  <si>
    <t>0001906/2024</t>
  </si>
  <si>
    <t>TC230 RT1-A</t>
  </si>
  <si>
    <t>Instalação de Transformador de Corrente TC230 230 kV, fase B, arranjo BD4, e adequação do módulo de conexão associado ao RT1 na SE DOURADOS.</t>
  </si>
  <si>
    <t>0001910/2024</t>
  </si>
  <si>
    <t>TC230 RT1-B</t>
  </si>
  <si>
    <t>Instalação de Transformador de Corrente TC230 230 kV, fase C, arranjo BD4, e adequação do módulo de conexão associado ao RT1 na SE DOURADOS</t>
  </si>
  <si>
    <t>0001912/2024</t>
  </si>
  <si>
    <t>TC230 RT1-C</t>
  </si>
  <si>
    <t>Substituição dos sistema de controle, supervisão e proteções Principal, Alternada e Falha de Disjuntor do BC4, na SE GRAVATAI 2.</t>
  </si>
  <si>
    <t>0001942/2024</t>
  </si>
  <si>
    <t>SPCS230 BC4</t>
  </si>
  <si>
    <t>Substituição dos sistema de controle, supervisão e proteções Principal, Alternada e Falha de Disjuntor do BC5, na SE GRAVATAI 2.</t>
  </si>
  <si>
    <t>0001937/2024</t>
  </si>
  <si>
    <t>SPCS230 BC5</t>
  </si>
  <si>
    <t>Substituição da proteção de barra "unidade de bay" principal  230kV do BC4, incluindo painéis e cabos de controle e potência associados, na SE GRAVATAI 2.</t>
  </si>
  <si>
    <t>0001951/2024</t>
  </si>
  <si>
    <t>Instalação da proteção de barra "unidade de bay" alternada 230kV, do BC4, incluindo painéis e cabos de controle e potência associados, na SE GRAVATAI 2.</t>
  </si>
  <si>
    <t>0001949/2024</t>
  </si>
  <si>
    <t>Substituição da proteção de barra "unidade de bay" principal 230kV do BC5, incluindo painéis e cabos de controle e potência associados, na SE GRAVATAI 2.</t>
  </si>
  <si>
    <t>MC 230 kV BC 230 kV 100 Mvar GRAVATAI 2 BC5 RS</t>
  </si>
  <si>
    <t>0001958/2024</t>
  </si>
  <si>
    <t>Instalação da proteção Barra "unidade de bay" alternada 230kV do BC5, incluindo painéis e cabos de controle e potência associados, na SE GRAVATAI 2.</t>
  </si>
  <si>
    <t>BC 230 kV 100 Mvar GRAVATAI 2 BC5 RS</t>
  </si>
  <si>
    <t>0002000/2024</t>
  </si>
  <si>
    <t>Adequação do serviço auxiliar, contemplando a instalação de 1 painel de distribuição 125 Vcc (2PD01) e 1 painel de distribuição Vca (2SA1) para segregação das cargas dos serviços auxiliares.</t>
  </si>
  <si>
    <t>MG 230 kV GRAVATAI 2 MG1 RS</t>
  </si>
  <si>
    <t>0001956/2024</t>
  </si>
  <si>
    <t>SAUX BC4</t>
  </si>
  <si>
    <t>Instalação da cadeia de proteção de barras alternada, referente às barras P e PT de 230 kV, incluindo uma Unidade Central e nove unidades de Bay (vãos TF 5, TF 7, TF 10, TF 11, LT J.Lacerda-B C-1, LT J.Lacerda-B C-2, LT UT J.Lacerda-A C-4, UT J. Lacerda-A C-6 e Interligador de Barras (IB - DJ792), painéis e cabos de controle e potência associados, da SE J.Lacerda-A.</t>
  </si>
  <si>
    <t>0001979/2024</t>
  </si>
  <si>
    <t>SPCS230 Barra</t>
  </si>
  <si>
    <t>Instalação de nova estrutura metálica e equipamentos (3 TP Indutivo 14.4kV, 3 Para-raios 21kV, 3 Chaves Fusível 15kV, 1 Resistor de Aterramento e 1 Transformador de Serviços Auxiliares TSA1 - 13.8-440V - 500 kVA) proveniente da saída do terciário do TF11, com a utilização de tubo e cabos isolados nas conexões,  da SE J.Lacerda-A.</t>
  </si>
  <si>
    <t>0001984/2024</t>
  </si>
  <si>
    <t>MIG13,8</t>
  </si>
  <si>
    <t>Instalação de nova estrutura metálica e equipamentos (3 TP Indutivo 14.4kV, 3 Para-raios 21kV, 3 Chaves Fusível 15kV, 1 Resistor de Aterramento e 1 Transformador de Serviços Auxiliares TSA2 - 13.8-440V - 500 kVA) proveniente da saída do terciário do TF7, com a utilização de tubo e cabos isolados nas conexões, da SE J.Lacerda-A.</t>
  </si>
  <si>
    <t>0001990/2024</t>
  </si>
  <si>
    <t>Instalação de Grupo Motor Gerador Diesel, 440 V, 150 kVA, e cabos associados, referente aos Serviços Auxiliares da SE J.Lacerda-A.</t>
  </si>
  <si>
    <t>0001993/2024</t>
  </si>
  <si>
    <t>Substituição de barramento intermediário, incluindo cabos, cadeias e ferragens, bem como dos cabos, cadeias e fixações do sistema de proteção contra descargas atmosféricas (SPDA) referente à Barra 1 de 138 kV da SE J.Lacerda-A. 
Associado a obra são esperadas substituições/adaptações de estruturas de ancoragem dos barramentos, ¨pingados¨, conectores e conexão com aterramento. Capacidade nominal do novo barramento = 1.056 / 1.480 A (longa e curta duração).</t>
  </si>
  <si>
    <t>0002010/2024</t>
  </si>
  <si>
    <t>BA1-138</t>
  </si>
  <si>
    <t>Substituição de barramento intermediário, incluindo cabos, cadeias e ferragens, bem como dos cabos, cadeias e fixações do sistema de proteção contra descargas atmosféricas (SPDA) referente à Barra 2 de 138 kV da SE J.Lacerda-A. Associado a obra são esperadas substituições/adaptações de estruturas de ancoragem dos barramentos, ¨pingados¨, conectores e conexão com aterramento. Capacidade nominal do novo barramento = 1.056 / 1.480 A (longa e curta duração).</t>
  </si>
  <si>
    <t>0002012/2024</t>
  </si>
  <si>
    <t>BA2-138</t>
  </si>
  <si>
    <t>Substituição de barramento intermediário, incluindo cabos, cadeias e ferragens, bem como dos cabos, cadeias e fixações do sistema de proteção contra descargas atmosféricas (SPDA) referente à Barra P de 230 kV da SE J.Lacerda-A. Associado a obra são esperadas substituições/adaptações de estruturas de ancoragem dos barramentos, ¨pingados¨, conectores e conexão com aterramento. Capacidade nominal do novo barramento = 1.072 / 1.333 A (longa e curta duração).</t>
  </si>
  <si>
    <t>0002014/2024</t>
  </si>
  <si>
    <t>BAP-230</t>
  </si>
  <si>
    <t>Substituição de barramento intermediário, incluindo cabos, cadeias e ferragens, bem como dos cabos, cadeias e fixações do sistema de proteção contra descargas atmosféricas (SPDA) referente à Barra PT de 230 kV da SE J.Lacerda-A. Associado a obra são esperadas substituições/adaptações de estruturas de ancoragem dos barramentos, ¨pingados¨, conectores e conexão com aterramento. Capacidade nominal do novo barramento = 1.072 / 1.333 A (longa e curta duração).</t>
  </si>
  <si>
    <t>0002017/2024</t>
  </si>
  <si>
    <t>BAPT-230</t>
  </si>
  <si>
    <t>Instalação de Transformador de Corrente TC 230 kV, fase A, arranjo BD4, associado à IB do DJ762, na SE LONDRINA ESU.</t>
  </si>
  <si>
    <t>FT MG 500kV LONDRINA ESU MG1 PR</t>
  </si>
  <si>
    <t>0002041/2024</t>
  </si>
  <si>
    <t>TC230 DJ762-A</t>
  </si>
  <si>
    <t>Instalação de Transformador de Corrente TC 230 kV, fase B,  arranjo BD4, associado à IB do DJ762, na SE LONDRINA ESU.</t>
  </si>
  <si>
    <t>FT MG 500 kV LONDRINA ESU MG1 PR</t>
  </si>
  <si>
    <t>0002049/2024</t>
  </si>
  <si>
    <t>TC230 DJ762-B</t>
  </si>
  <si>
    <t>Instalação de Transformador de Corrente TC 230 kV, fase C,  arranjo BD4, associado à IB do DJ762, na SE LONDRINA ESU.</t>
  </si>
  <si>
    <t>0002053/2024</t>
  </si>
  <si>
    <t>TC230 DJ762-C</t>
  </si>
  <si>
    <t>Instalação da cadeia de proteção de barras alternada, referente às barras P e PT de 230 kV, incluindo uma Unidade Central e quatorze unidades de Bay (vãos TF 1, TF 3, TF 4, IBP C2, IBP C1, LNA C1, LNA C2, SDI C1, LNS C1, MGA C2, FRA C1, FRA C2, APA C2 e I</t>
  </si>
  <si>
    <t>0002058/2024</t>
  </si>
  <si>
    <t>Substituição de Chave Seccionadora SC6535 138 kV, arranjo BS, associada ao AT03, na SE CAMPINAS. Capacidade mínima para o novo equipamento: 50 kA e 3.150 A.</t>
  </si>
  <si>
    <t>LT 138 kV TANQUINHO /CAMPINAS C-3 SP</t>
  </si>
  <si>
    <t>0001968/2024</t>
  </si>
  <si>
    <t>SC6535</t>
  </si>
  <si>
    <t>Substituição de Chave Seccionadora SC6537 138 kV, arranjo BS, associada ao AT03, na SE CAMPINAS. Capacidade mínima para o novo equipamento: 50 kA e 3.150 A.</t>
  </si>
  <si>
    <t>0001969/2024</t>
  </si>
  <si>
    <t>SC6537</t>
  </si>
  <si>
    <t>Substituição de Chave Seccionadora com lâmina de terra SC6539 / SC6530T 138 kV, arranjo BS, associada ao AT03, na SE CAMPINAS. Capacidade mínima para o novo equipamento: 50 kA e 3.150 A.</t>
  </si>
  <si>
    <t>0001971/2024</t>
  </si>
  <si>
    <t>SC6539/30T</t>
  </si>
  <si>
    <t>Substituição de Chave Seccionadora SC6545 138 kV, arranjo BS, associada ao AT04, na SE CAMPINAS. Capacidade mínima para o novo equipamento: 50 kA e 3.150 A.</t>
  </si>
  <si>
    <t>LT 138 kV TANQUINHO /CAMPINAS C-4 SP</t>
  </si>
  <si>
    <t>0001974/2024</t>
  </si>
  <si>
    <t>SC 6545</t>
  </si>
  <si>
    <t>Substituição de Chave Seccionadora SC6547 138 kV, arranjo BS, associada ao AT04, na SE CAMPINAS. Capacidade mínima para o novo equipamento: 50 kA e 3.150 A.</t>
  </si>
  <si>
    <t>0001975/2024</t>
  </si>
  <si>
    <t>SC 6547</t>
  </si>
  <si>
    <t>Substituição de Transformador de Corrente 138 kV, fase A, arranjo BS, associado ao AT04 na SE CAMPINAS. Capacidade mínima para o novo equipamento: 50 kA.</t>
  </si>
  <si>
    <t>0001812/2024</t>
  </si>
  <si>
    <t>TC 6545 A</t>
  </si>
  <si>
    <t>Substituição de Transformador de Corrente 138 kV, fase B, arranjo BS, associado ao AT04 na SE CAMPINAS. Capacidade mínima para o novo equipamento: 50 kA.</t>
  </si>
  <si>
    <t>0001821/2024</t>
  </si>
  <si>
    <t>TC 6545 B</t>
  </si>
  <si>
    <t>Substituição de Transformador de Corrente 138 kV, fase C, arranjo BS, associado ao AT04 na SE CAMPINAS. Capacidade mínima para o novo equipamento: 50 kA.</t>
  </si>
  <si>
    <t>0001865/2024</t>
  </si>
  <si>
    <t>TC 6545 C</t>
  </si>
  <si>
    <t>Substituição de Transformador de Corrente 345 kV, fase A, arranjo BD5 associado à IB BR8A 345 kV na SE CAMPINAS. Capacidade mínima para o novo equipamento: 31,5 kA e 2.500 A.</t>
  </si>
  <si>
    <t>CAMPINAS MG1 SP</t>
  </si>
  <si>
    <t>0001869/2024</t>
  </si>
  <si>
    <t>TC 808 BR8A A</t>
  </si>
  <si>
    <t>Substituição de Transformador de Corrente 345 kV, fase B, arranjo BD5 associado à IB BR8A 345 kV na SE CAMPINAS. Capacidade mínima para o novo equipamento: 31,5 kA e 2.500 A.</t>
  </si>
  <si>
    <t>0001872/2024</t>
  </si>
  <si>
    <t>TC 808 BR8A B</t>
  </si>
  <si>
    <t>Substituição de Transformador de Corrente 345 kV, fase C, arranjo BD5 associado à IB BR8A 345 kV na SE CAMPINAS. Capacidade mínima para o novo equipamento: 31,5 kA e 2.500 A.</t>
  </si>
  <si>
    <t>FT MG 500 kV CAMPINAS MG1 SP</t>
  </si>
  <si>
    <t>0001861/2024</t>
  </si>
  <si>
    <t>TC 808 BR8A C</t>
  </si>
  <si>
    <t>Substituição de Transformador de Corrente 345 kV, fase A, arranjo BD5 associado à IB BR8B 345 kV na SE CAMPINAS. Capacidade mínima para o novo equipamento: 31,5 kA e 2.500 A.</t>
  </si>
  <si>
    <t>0001866/2024</t>
  </si>
  <si>
    <t>TC 808 BR8B A</t>
  </si>
  <si>
    <t>Substituição de Transformador de Corrente 345 kV, fase B, arranjo BD5 associado à IB BR8B 345 kV na SE CAMPINAS. Capacidade mínima para o novo equipamento: 31,5 kA e 2.500 A.</t>
  </si>
  <si>
    <t>0001871/2024</t>
  </si>
  <si>
    <t>TC 808 BR8B B</t>
  </si>
  <si>
    <t>Substituição de Transformador de Corrente 345 kV, fase C, arranjo BD5 associado à IB BR8B 345 kV na SE CAMPINAS. Capacidade mínima para o novo equipamento: 31,5 kA e 2.500 A.</t>
  </si>
  <si>
    <t>0001873/2024</t>
  </si>
  <si>
    <t>TC 808 BR8B C</t>
  </si>
  <si>
    <t>Substituição de Transformador de Corrente 345 kV, fase A, arranjo BD5, associado ao AT02 na SE CAMPINAS.</t>
  </si>
  <si>
    <t>TR 345/138 kV CAMPINAS TR2 SP</t>
  </si>
  <si>
    <t>0006248/2024</t>
  </si>
  <si>
    <t>TC 827 A</t>
  </si>
  <si>
    <t>Substituição de Transformador de Corrente 345 kV, fase B, arranjo BD5, associado ao AT02 na SE CAMPINAS.</t>
  </si>
  <si>
    <t>0006254/2024</t>
  </si>
  <si>
    <t>TC 827 B</t>
  </si>
  <si>
    <t>Substituição de Transformador de Corrente 345 kV, fase C, arranjo BD5, associado ao AT02 na SE CAMPINAS.</t>
  </si>
  <si>
    <t>0006258/2024</t>
  </si>
  <si>
    <t>TC 827 C</t>
  </si>
  <si>
    <t>Substituição de Disjuntor DJ6538 138 kV, arranjo BS, associado ao AT03 na SE CAMPINAS.</t>
  </si>
  <si>
    <t>EL 138 kV CAMPINAS LT 138 kV TANQUINHO /CAMPINAS C-3 SP</t>
  </si>
  <si>
    <t>0006262/2024</t>
  </si>
  <si>
    <t>DJ6538</t>
  </si>
  <si>
    <t>Substituição de Transformador de Corrente 138 kV, fase A, arranjo BS, associado ao AT01 na SE CAMPINAS. Capacidade mínima para o novo equipamento: 50 kA.</t>
  </si>
  <si>
    <t>0001877/2024</t>
  </si>
  <si>
    <t>TC LITQCA1 A</t>
  </si>
  <si>
    <t>Substituição de Transformador de Corrente 138 kV, fase B, arranjo BS, associado ao AT01 na SE CAMPINAS. Capacidade mínima para o novo equipamento: 50 kA.</t>
  </si>
  <si>
    <t>0001882/2024</t>
  </si>
  <si>
    <t>TC LITQCA1 B</t>
  </si>
  <si>
    <t>Substituição de Transformador de Corrente 138 kV, fase C, arranjo BS, associado ao AT01 na SE CAMPINAS. Capacidade mínima para o novo equipamento: 50 kA.</t>
  </si>
  <si>
    <t>0001904/2024</t>
  </si>
  <si>
    <t>TC LITQCA1 C</t>
  </si>
  <si>
    <t>Substituição de Chave Seccionadora SC803 345 kV, arranjo BD5, associada à IB 345 kV na SE CAMPINAS. Capacidade mínima para o novo equipamento: 50 kA e 3.150 A.</t>
  </si>
  <si>
    <t>MG1 SP</t>
  </si>
  <si>
    <t>0001977/2024</t>
  </si>
  <si>
    <t>SC801</t>
  </si>
  <si>
    <t>Substituição de Chave Seccionadora SC801 345 kV, arranjo BD5, associada à IB 345 kV na SE CAMPINAS. Capacidade mínima para o novo equipamento: 50 kA e 3.150 A.</t>
  </si>
  <si>
    <t>0001978/2024</t>
  </si>
  <si>
    <t>SC803</t>
  </si>
  <si>
    <t>Substituição do Sistema de Proteção de Barras (cadeias principal e alternada) 8A e 8B no setor de 345 kV da SE Guarulhos, abrangendo todos os vãos da subestação conectados a estas barras.</t>
  </si>
  <si>
    <t>MG GUARULHOS / CCO-2001-062 - RB</t>
  </si>
  <si>
    <t>0002015/2024</t>
  </si>
  <si>
    <t>SPCS345 Barra RT1</t>
  </si>
  <si>
    <t>Instalação de Para-raios 750 kV, fase B, arranjo DJM, associado ao BSFIIV1, na SE IVAIPORÃ.</t>
  </si>
  <si>
    <t>0001802/2024</t>
  </si>
  <si>
    <t>PR750 BFIIVC1-B</t>
  </si>
  <si>
    <t>Instalação de Para-raios 750 kV, fase C, arranjo DJM, associado ao BSFIIV1, na SE IVAIPORÃ.</t>
  </si>
  <si>
    <t>0001976/2024</t>
  </si>
  <si>
    <t>PR750 BFIIVC1-C</t>
  </si>
  <si>
    <t>Instalação de Para-raios 750 kV, fase A, associado ao BSFIIV2, na SE de IVAIPORÃ.</t>
  </si>
  <si>
    <t>0001806/2024</t>
  </si>
  <si>
    <t>Instalação de Para-raios 750 kV, fase B, associado ao BSFIIV2, na SE de IVAIPORÃ.</t>
  </si>
  <si>
    <t>0001809/2024</t>
  </si>
  <si>
    <t>Instalação de Para-raios 750 kV, fase C, associado ao BSFIIV2, na SE de IVAIPORÃ.</t>
  </si>
  <si>
    <t>0001995/2024</t>
  </si>
  <si>
    <t>PR750 BFIIVC2-C</t>
  </si>
  <si>
    <t>Instalação de Para-raios 750 kV, fase A, associado ao BSFIIV3, na SE de IVAIPORÃ.</t>
  </si>
  <si>
    <t>0001814/2024</t>
  </si>
  <si>
    <t>Instalação de Para-raios 750 kV, fase B, associado ao BSFIIV3, na SE de IVAIPORÃ.</t>
  </si>
  <si>
    <t>0001816/2024</t>
  </si>
  <si>
    <t>Instalação de Para-raios 750 kV, fase C, associado ao BSFIIV3, na SE de IVAIPORÃ.</t>
  </si>
  <si>
    <t>0001818/2024</t>
  </si>
  <si>
    <t>Instalação de Para-raios 750 kV, fase A, arranjo DJM, associado ao BSIAIV1, na SE de IVAIPORÃ.</t>
  </si>
  <si>
    <t>0001813/2024</t>
  </si>
  <si>
    <t>PR750 BFIAIVC1-A</t>
  </si>
  <si>
    <t>Instalação de Para-raios 750 kV, fase B, arranjo DJM, associado ao BSIAIV1, na SE de IVAIPORÃ.</t>
  </si>
  <si>
    <t>0001787/2024</t>
  </si>
  <si>
    <t>PR750 BFIAIVC1-B</t>
  </si>
  <si>
    <t>Instalação de Para-raios 750 kV, fase C, arranjo DJM, associado ao BSIAIV1, na SE de IVAIPORÃ</t>
  </si>
  <si>
    <t>0001791/2024</t>
  </si>
  <si>
    <t>PR750 BFIAIVC1-C</t>
  </si>
  <si>
    <t>Instalação de Para-raios 750 kV, fase A, arranjo DJM, associado ao BSIAIV2, na SE de IVAIPORÃ.</t>
  </si>
  <si>
    <t>0001795/2024</t>
  </si>
  <si>
    <t>Instalação de Para-raios 750 kV, fase B, arranjo DJM, associado ao BSIAIV2, na SE de IVAIPORÃ.</t>
  </si>
  <si>
    <t>0001798/2024</t>
  </si>
  <si>
    <t>Substituição de 01 (uma) Seccionadora 13,8 kV posição operacional 31Y1-6 da Subestação TERESINA, por outra com corrente suportável de curta duração mínima de 25kA/1s</t>
  </si>
  <si>
    <t>EL 13,8 kV TERESINA DIST1 (01Y1)</t>
  </si>
  <si>
    <t>0001663/2024</t>
  </si>
  <si>
    <t>31Y1-6</t>
  </si>
  <si>
    <t>Substituição de 01 (uma) Seccionadora 13,8 kV posição operacional 31Y2-5 da Subestação TERESINA, por outra com corrente suportável de curta duração mínima de 25kA/1s</t>
  </si>
  <si>
    <t>EL 13,8 kV TERESINA DIST2 (01Y2)</t>
  </si>
  <si>
    <t>0001664/2024</t>
  </si>
  <si>
    <t>31Y2-5</t>
  </si>
  <si>
    <t>Substituição de 01 (uma) Seccionadora 13,8 kV posição operacional 31Y2-6 da Subestação TERESINA, por outra com corrente suportável de curta duração mínima de 25kA/1s</t>
  </si>
  <si>
    <t>0001665/2024</t>
  </si>
  <si>
    <t>31Y2-6</t>
  </si>
  <si>
    <t>Substituição de 01 (um) TC 13,8 kV posição operacional 91Y2-2-A da Subestação TERESINA, por outro com corrente suportável de curta duração mínima de 25kA/1s</t>
  </si>
  <si>
    <t>0001666/2024</t>
  </si>
  <si>
    <t>91Y1-2.A</t>
  </si>
  <si>
    <t>Substituição de 01 (um) TC 13,8 kV posição operacional 91Y2-2-B da Subestação TERESINA, por outro com corrente suportável de curta duração mínima de 25kA/1s</t>
  </si>
  <si>
    <t>0001667/2024</t>
  </si>
  <si>
    <t>91Y1-2.B</t>
  </si>
  <si>
    <t>Substituição de 01 (um) TC 13,8 kV posição operacional 91Y2-2-C da Subestação TERESINA, por outro com corrente suportável de curta duração mínima de 25kA/1s</t>
  </si>
  <si>
    <t>0001668/2024</t>
  </si>
  <si>
    <t>91Y1-2.C</t>
  </si>
  <si>
    <t>Substituição de 01 (um) TC 13,8 kV posição operacional 91Y4-2-A da Subestação TERESINA, por outro com corrente suportável de curta duração mínima de 25kA/1s</t>
  </si>
  <si>
    <t>EL 13,8 kV TERESINA DIST4 (01Y4)</t>
  </si>
  <si>
    <t>0001669/2024</t>
  </si>
  <si>
    <t>91Y4-2.A</t>
  </si>
  <si>
    <t>Substituição de 01 (um) TC 13,8 kV posição operacional 91Y4-2-B da Subestação TERESINA, por outro com corrente suportável de curta duração mínima de 25kA/1s</t>
  </si>
  <si>
    <t>0001671/2024</t>
  </si>
  <si>
    <t>91Y4-2.B</t>
  </si>
  <si>
    <t>Substituição de 01 (um) TC 13,8 kV posição operacional 91Y4-2-C da Subestação TERESINA, por outro com corrente suportável de curta duração mínima de 25kA/1s</t>
  </si>
  <si>
    <t>0001673/2024</t>
  </si>
  <si>
    <t>91Y4-2.C</t>
  </si>
  <si>
    <t>Substituição de 01 (um) TC 13,8 kV posição operacional 91Y5-2-A da Subestação TERESINA, por outro com corrente suportável de curta duração mínima de 25kA/1s</t>
  </si>
  <si>
    <t>EL 13,8 kV TERESINA DIST5 (01Y5)</t>
  </si>
  <si>
    <t>0001674/2024</t>
  </si>
  <si>
    <t>91Y5-2.A</t>
  </si>
  <si>
    <t>Substituição de 01 (um) TC 13,8 kV posição operacional 91Y5-2-B da Subestação TERESINA, por outro com corrente suportável de curta duração mínima de 25kA/1s</t>
  </si>
  <si>
    <t>0001675/2024</t>
  </si>
  <si>
    <t>91Y5-2.B</t>
  </si>
  <si>
    <t>Substituição de 01 (um) TC 13,8 kV posição operacional 91Y5-2-C da Subestação TERESINA, por outro com corrente suportável de curta duração mínima de 25kA/1s</t>
  </si>
  <si>
    <t>0001676/2024</t>
  </si>
  <si>
    <t>91Y5-2.C</t>
  </si>
  <si>
    <t>Substituição de 01 (um) TC 69 kV posição operacional 92T3 fase A da Subestação CATU.</t>
  </si>
  <si>
    <t>0001670/2024</t>
  </si>
  <si>
    <t>11325035</t>
  </si>
  <si>
    <t>Substituição de 01 (uma) Seccionadora 13,8 kV posição operacional 31Y2-4 da Subestação TERESINA, por outra com capacidade nominal de curto-circuito mínima de 31,5 kA.</t>
  </si>
  <si>
    <t>0001730/2024</t>
  </si>
  <si>
    <t>31Y2-4</t>
  </si>
  <si>
    <t>Substituição de 01 (um) TC 69 kV posição operacional 92T1 fase B da Subestação CAUIPE.</t>
  </si>
  <si>
    <t>0001780/2024</t>
  </si>
  <si>
    <t>92T1.B</t>
  </si>
  <si>
    <t>Substituição de 01 (um) TC 69 kV posição operacional 92T1 fase C da Subestação CAUIPE.</t>
  </si>
  <si>
    <t>0001783/2024</t>
  </si>
  <si>
    <t>92T1.C</t>
  </si>
  <si>
    <t>Substituição de 01 (um) TC 69 kV posição operacional 92T3 fase B da Subestação CATU.</t>
  </si>
  <si>
    <t>0001797/2024</t>
  </si>
  <si>
    <t>92T3.B</t>
  </si>
  <si>
    <t>Substituição de 01 (um) TC 69 kV posição operacional 92T3 fase C da Subestação CATU.</t>
  </si>
  <si>
    <t>0001934/2024</t>
  </si>
  <si>
    <t>92T3.C</t>
  </si>
  <si>
    <t>Instalação de Para-raios 750 kV, fase C, arranjo DJM, associado ao BSIAIV2, na SE de IVAIPORÃ.</t>
  </si>
  <si>
    <t>0001954/2024</t>
  </si>
  <si>
    <t>PR750 BFIAIVC2-C</t>
  </si>
  <si>
    <t>Adequação do arranjo do barramento compartilhado 230kV de BPT (barra principal e transferência) para BD4 (barra dupla 4 chaves), referente ao módulo da LT Salto Osório C-1 (IdeMdl 2759). A obra consiste na instalação da quarta Seccionadora, substituição da Seccionadora CS731 e deslocamento dos Transformadores de Corrente para fora do BD4. Também são esperadas instalação/substituição de pórticos, fundações, suportes, cabos de controle/potência, barramento, conectores e conexão do aterramento.</t>
  </si>
  <si>
    <t>0001834/2024</t>
  </si>
  <si>
    <t>Adequação do arranjo do barramento compartilhado 230kV de BPT (barra principal e transferência) para BD4 (barra dupla 4 chaves), referente ao módulo da LT Salto Osório C-2 (IdeMdl 2762). A obra consiste na instalação da quarta Seccionadora, substituição da Seccionadora CS751 e deslocamento dos Transformadores de Corrente para fora do BD4. Também são esperadas instalação/substituição de pórticos, fundações, suportes, cabos de controle/potência, barramento, conectores e conexão do aterramento.</t>
  </si>
  <si>
    <t>0001835/2024</t>
  </si>
  <si>
    <t>Adequação do arranjo do barramento compartilhado 230kV de BPT (barra principal e transferência) para BD4 (barra dupla 4 chaves), referente ao módulo da LT Apucarana C-1 (IdeMdl 2753). A obra consiste na instalação da quarta Seccionadora, substituição da Seccionadora CS741 e deslocamento dos Transformadores de Corrente para fora do BD4. Também são esperadas instalação/substituição de pórticos, fundações, suportes, cabos de controle/potência, barramento, conectores e conexão do aterramento.</t>
  </si>
  <si>
    <t>0001836/2024</t>
  </si>
  <si>
    <t>Adequação do arranjo do barramento compartilhado 230kV de BPT (barra principal e transferência) para BD4 (barra dupla 4 chaves), referente ao módulo da LT Maringá C-1 (IdeMdl 2756). A obra consiste na instalação da quarta Seccionadora, substituição da Seccionadora CS761 e deslocamento dos Transformadores de Corrente para fora do BD4. Também são esperadas instalação/substituição de pórticos, fundações, suportes, cabos de controle/potência, barramento, conectores e conexão do aterramento.</t>
  </si>
  <si>
    <t>0001837/2024</t>
  </si>
  <si>
    <t>Instalação de Para-raios 750 kV, fase A, arranjo DJM, associado ao BSIAIV3, na SE de IVAIPORÃ.</t>
  </si>
  <si>
    <t>0001957/2024</t>
  </si>
  <si>
    <t>PR750 BFIAIVC3-A</t>
  </si>
  <si>
    <t>Adequação do arranjo do barramento compartilhado 230 kV de BPT (barra principal e transferência) para BD4 (barra dupla 4 chaves), referente ao módulo do TF1 (IdeMdl 9777). A obra consiste na instalação da quarta Chave Seccionadora e substituição da Chave Seccionadora CS781. Associado a obra são esperadas instalação/substituição de pórticos metálicos, fundações, suportes, cabos de controle e potência, barramento, conectores e conexão do aterramento.</t>
  </si>
  <si>
    <t>TR 230/138 kV C.MOURAO TR1 PR</t>
  </si>
  <si>
    <t>0001838/2024</t>
  </si>
  <si>
    <t>Instalação de Transformadores de Potencial Capacitivo (TPC) 230kV na barra T (IdeMdl 6052) da SE Campo Mourão, Fases A, B, C, bem como dos cabos de potência e controle associados.</t>
  </si>
  <si>
    <t>0001839/2024</t>
  </si>
  <si>
    <t>Instalação de Para-raios 750 kV, fase B, arranjo DJM, associado ao BSIAIV3, na SE de IVAIPORÃ.</t>
  </si>
  <si>
    <t>0001960/2024</t>
  </si>
  <si>
    <t>PR750 BFIAIVC3-B</t>
  </si>
  <si>
    <t>Instalação de Para-raios 750 kV, fase C, arranjo DJM, associado ao BSIAIV3, na SE de IVAIPORÃ.</t>
  </si>
  <si>
    <t>0001962/2024</t>
  </si>
  <si>
    <t>PR750 BFIAIVC3-C</t>
  </si>
  <si>
    <t>Instalação de proteção de Falha de Disjuntor DJ12876 alternado do IB, arranjo DJM, na SE IVAIPORA.</t>
  </si>
  <si>
    <t>0001967/2024</t>
  </si>
  <si>
    <t>SPCS DJ12876</t>
  </si>
  <si>
    <t>Substituição de proteção 500kV, arranjo DJM, associado ao reator RTB1, na SE RESENDE.</t>
  </si>
  <si>
    <t>MG 500 kV RESENDE MG1 RJ</t>
  </si>
  <si>
    <t>0002105/2024</t>
  </si>
  <si>
    <t>SPCS500 RTB1</t>
  </si>
  <si>
    <t>Instalação do Transformador de Corrente 94D1-A, 230kV, fase A, arranjo BD4, associado ao DJ14D1 na SE MESSIAS.</t>
  </si>
  <si>
    <t>0002024/2024</t>
  </si>
  <si>
    <t>TC94D1-A</t>
  </si>
  <si>
    <t>Instalação do Transformador de Corrente 94D1-B, 230kV, fase B, arranjo BD4, associado ao DJ14D1 na SE MESSIAS.</t>
  </si>
  <si>
    <t>0002026/2024</t>
  </si>
  <si>
    <t>TC94D1-B</t>
  </si>
  <si>
    <t>Instalação do Transformador de Corrente 94D1-C, 230kV, fase C, arranjo BD4, associado ao DJ14D1 na SE MESSIAS.</t>
  </si>
  <si>
    <t>0002028/2024</t>
  </si>
  <si>
    <t>TC94D1-C</t>
  </si>
  <si>
    <t>Instalação do Transformador de Corrente 94D1-A, 230kV, arranjo BD5, associado ao DJ14D1 na SE TERESINA.</t>
  </si>
  <si>
    <t>IB 230 kV MG 230 kV TERESINA MG1 PI IB2</t>
  </si>
  <si>
    <t>0001991/2024</t>
  </si>
  <si>
    <t>TC230 94D1-A</t>
  </si>
  <si>
    <t>Instalação do Transformador de Corrente 94D1-B, 230kV, arranjo BD5, associado ao DJ14D1 na SE TERESINA I.</t>
  </si>
  <si>
    <t>0001996/2024</t>
  </si>
  <si>
    <t>TC230 94D1-B</t>
  </si>
  <si>
    <t>Instalação do Transformador de Corrente 94D1-C, 230kV, arranjo BD5, associado ao DJ14D1 na SE TERESINA.</t>
  </si>
  <si>
    <t>0001999/2024</t>
  </si>
  <si>
    <t>TC230 94D1-C</t>
  </si>
  <si>
    <t>Instalação do Transformador de Corrente 94W1-A, 230kV, arranjo BD5, associado ao DJ14W1 na SE TERESINA.</t>
  </si>
  <si>
    <t>TR 230/13,8 kV TERESINA TR2 PI</t>
  </si>
  <si>
    <t>0002007/2024</t>
  </si>
  <si>
    <t>TC230 94W1-A</t>
  </si>
  <si>
    <t>Instalação do Transformador de Corrente 94W1-B, 230kV, arranjo BD5, associado ao DJ14W1 na SE TERESINA.</t>
  </si>
  <si>
    <t>TR 230/13,8 kV TERESINA TR2 PI TR1</t>
  </si>
  <si>
    <t>0002008/2024</t>
  </si>
  <si>
    <t>TC230 94W1-B</t>
  </si>
  <si>
    <t>Instalação do Transformador de Corrente 94W1-C, 230kV, arranjo BD5, associado ao DJ14W1 na SE TERESINA.</t>
  </si>
  <si>
    <t>0002011/2024</t>
  </si>
  <si>
    <t>TC230 94W1-C</t>
  </si>
  <si>
    <t>Instalação de Transformador de Corrente 94D1-A, 230kV, arranjo BD5, associado ao DJ14D1, na SE DELM. GOUVEIA</t>
  </si>
  <si>
    <t>FT MG 230 kV DELM. GOUVEIA MG1</t>
  </si>
  <si>
    <t>0001875/2024</t>
  </si>
  <si>
    <t>Instalação de Transformador de Corrente 94D1-B, 230kV, arranjo BD5, associado ao DJ14D1, na SE DELM. GOUVEIA</t>
  </si>
  <si>
    <t>FT MG 230 kV DELM. GOUVEIA MG1 CE</t>
  </si>
  <si>
    <t>0001880/2024</t>
  </si>
  <si>
    <t>Instalação de Transformador de Corrente 94D1-C, 230kV, arranjo BD5, associado ao DJ14D1, na SE DELM. GOUVEIA</t>
  </si>
  <si>
    <t>0001881/2024</t>
  </si>
  <si>
    <t>Instalação de Transformador de Corrente 94D1-A, 230kV, associado ao DJ14D1, na SE JARDIM</t>
  </si>
  <si>
    <t>0002019/2024</t>
  </si>
  <si>
    <t>Instalação de Transformador de Corrente 94D1-B, 230kV, associado ao DJ14D1, na SE JARDIM</t>
  </si>
  <si>
    <t>0002022/2024</t>
  </si>
  <si>
    <t>Instalação de Transformador de Corrente 94D1-C, 230kV, associado ao DJ14D1, na SE JARDIM</t>
  </si>
  <si>
    <t>0002025/2024</t>
  </si>
  <si>
    <t>Instalação de Transformador de Corrente 94E1-A, 230kV, arranjo BPT, associado ao RT04E1, na SE GOIANINHA</t>
  </si>
  <si>
    <t>FT RTB 230 kV 10 MVAr GOIANINHA RT1 PE</t>
  </si>
  <si>
    <t>0001911/2024</t>
  </si>
  <si>
    <t>TC94E1-A</t>
  </si>
  <si>
    <t>Instalação de Transformador de Corrente 94E1-B, 230kV, arranjo BPT, associado ao RT04E1, na SE GOIANINHA</t>
  </si>
  <si>
    <t>0001914/2024</t>
  </si>
  <si>
    <t>TC94E1-B</t>
  </si>
  <si>
    <t>Instalação de Transformador de Corrente 94E1-C, 230kV, arranjo BPT, associado ao RT04E1, na SE GOIANINHA</t>
  </si>
  <si>
    <t>0001915/2024</t>
  </si>
  <si>
    <t>TC94E1-C</t>
  </si>
  <si>
    <t>Instalação de Transformador de Corrente 94E1-A, 230kV, arranjo BPT, associado ao RT04E1, na SE NATAL II</t>
  </si>
  <si>
    <t>RT 230 kV 30 Mvar NATAL II RT1 RN</t>
  </si>
  <si>
    <t>0002073/2024</t>
  </si>
  <si>
    <t>Instalação de Transformador de Corrente 94E1-B, 230kV, arranjo BPT, associado ao RT04E1, na SE NATAL II</t>
  </si>
  <si>
    <t>0002079/2024</t>
  </si>
  <si>
    <t>Instalação de Transformador de Corrente 94E1-C, 230kV, arranjo BPT, associado ao RT04E1, na SE NATAL II</t>
  </si>
  <si>
    <t>0002083/2024</t>
  </si>
  <si>
    <t>Remanejamento de Transformador de Aterramento, 69 kV, 20 Ohms do vão 02A1 para operar em conjunto com Reator de Barra, 69KV, 20 Ohms no vão 02A2, arranjo BPT, na SE BONGI.</t>
  </si>
  <si>
    <t>TT 69/13,8 kV BONGI TA1 PE</t>
  </si>
  <si>
    <t>0002018/2024</t>
  </si>
  <si>
    <t>RTB69 TA2 (02A2)</t>
  </si>
  <si>
    <t>Instalação de Transformador de Potencial 345 kV fase B, arranjo BD5, associada ao AT01 na SE CAMPINAS.</t>
  </si>
  <si>
    <t>TR 345/138 kV CAMPINAS TR1 SP</t>
  </si>
  <si>
    <t>0001862/2024</t>
  </si>
  <si>
    <t>TP345 AT01-B</t>
  </si>
  <si>
    <t>Instalação de Transformador de Potencial 345 kV fase B, associada ao AT02 na SE CAMPINAS.</t>
  </si>
  <si>
    <t>0001867/2024</t>
  </si>
  <si>
    <t>TP345 AT02-B</t>
  </si>
  <si>
    <t>Instalação de Transformador de Potencial 345 kV fase B, associada ao AT03 na SE CAMPINAS.</t>
  </si>
  <si>
    <t>0001868/2024</t>
  </si>
  <si>
    <t>TP345 AT03-B</t>
  </si>
  <si>
    <t>Instalação de Transformador de Potencial 345 kV fase B, associada ao AT04 na SE CAMPINAS.</t>
  </si>
  <si>
    <t>0001870/2024</t>
  </si>
  <si>
    <t>TPC345 AT04-B</t>
  </si>
  <si>
    <t>Instalação de Para-raios 345 kV, associado ao novo transformador reserva na SE CAMPINAS.</t>
  </si>
  <si>
    <t>TR 345/138 kV CAMPINAS TRR1 SP</t>
  </si>
  <si>
    <t>0001876/2024</t>
  </si>
  <si>
    <t>PR345 ATRR1</t>
  </si>
  <si>
    <t>Instalação de Para-raios 138 kV, associado ao novo transformador reserva na SE CAMPINAS.</t>
  </si>
  <si>
    <t>0001879/2024</t>
  </si>
  <si>
    <t>PR138 ATRR1</t>
  </si>
  <si>
    <t>Instalação de Para-raios 13,8 kV, associado ao novo transformador reserva na SE CAMPINAS.</t>
  </si>
  <si>
    <t>TRR 346/138 kV CAMPINAS TRR1 SP</t>
  </si>
  <si>
    <t>0001850/2024</t>
  </si>
  <si>
    <t>PR13,8 ATRR1</t>
  </si>
  <si>
    <t>Substituição de seccionadora (32J7-6) 69kV por uma nova com corrente suportável de 40kA e corrente nominal 2.500A, arranjo BPT, associada a EL GAZÔMETRO-PINA, na SE BONGI.</t>
  </si>
  <si>
    <t>LT 69 kV GAZ-PINA 02J7</t>
  </si>
  <si>
    <t>0001961/2024</t>
  </si>
  <si>
    <t>32J7-6</t>
  </si>
  <si>
    <t>Substituição de seccionadora (32L2-6) 69kV por uma nova com corrente suportável de 40kA e corrente nominal 2.500A, arranjo BPT, associada a EL IMBIRIBEIRA 02L2, na SE BONGI.</t>
  </si>
  <si>
    <t>LT 69 kV BONGI IMBIRI 02L2</t>
  </si>
  <si>
    <t>0001964/2024</t>
  </si>
  <si>
    <t>32L2-6</t>
  </si>
  <si>
    <t>Substituição de seccionadora (32L2-5) 69kV por uma nova com corrente suportável de 40kA e corrente nominal 2.500A, arranjo BPT, associada a EL IMBIRIBEIRA 02L2, na SE BONGI.</t>
  </si>
  <si>
    <t>0001965/2024</t>
  </si>
  <si>
    <t>32L2-5</t>
  </si>
  <si>
    <t>Substituição de seccionadora (32L2-4) 69kV por uma nova com corrente suportável de 40kA e corrente nominal 2.500A, arranjo BPT, associada a EL IMBIRIBEIRA 02L2, na SE BONGI.</t>
  </si>
  <si>
    <t>0001966/2024</t>
  </si>
  <si>
    <t>32L2-4</t>
  </si>
  <si>
    <t>Instalação do SPCS das Barras 230 kV , na subestação DELMIRO GOUVEIA, composto por: 04 painéis, 02 unidade central de proteção de barras (principal e alternada), do tipo adaptativa e distribuída, com capacidade para atender, no mínimo, 08 vãos mais 02 reservas e infraestrutura de comunicação associados.</t>
  </si>
  <si>
    <t>MG1 CE</t>
  </si>
  <si>
    <t>0001908/2024</t>
  </si>
  <si>
    <t>Instalação do SPCS das Barras 230 kV , na subestação GOIANINHA, composto por: 06 painéis, 02 unidade central de proteção de barras (principal e alternada), do tipo adaptativa e distribuída, com capacidade para atender, no mínimo, 13 vãos mais 02 reservas.</t>
  </si>
  <si>
    <t>FT MG 230 kV GOIANINHA MG1 PE</t>
  </si>
  <si>
    <t>0001918/2024</t>
  </si>
  <si>
    <t>Substituição do serviço auxiliar do prédio e da GIS 500kV, (transformadores auxiliares, cubículos, quadros, painéis, GMG), na SE GRAJAU.</t>
  </si>
  <si>
    <t>MG 500 kV GRAJAU MG1 RJ</t>
  </si>
  <si>
    <t>0001946/2024</t>
  </si>
  <si>
    <t>SAUX500 GIS</t>
  </si>
  <si>
    <t>Instalação do SPCS das Barras 230 kV , na subestação  JARDIM, composto por: 06 painéis, 02 unidade central de proteção de barras (principal e alternada), do tipo adaptativa e distribuída, com capacidade para atender, no mínimo, 14 vãos mais 02 reservas e infraestrutura de comunicação associados.</t>
  </si>
  <si>
    <t>0002030/2024</t>
  </si>
  <si>
    <t>Instalação do SPCS das Barras 230 kV , na subestação  MESSIAS, composto por: 02 painéis, 02 unidade central de proteção de barras (principal e alternada), do tipo adaptativa e distribuída, com capacidade para atender, no mínimo, 15 vãos mais 02 reservas, infraestrutura de comunicação associados e infraestrutura auxiliar associada.</t>
  </si>
  <si>
    <t>0002029/2024</t>
  </si>
  <si>
    <t>Instalação do SPCS das Barras 230 kV , na subestação Natal II, composto por: 02 painéis, 02 unidade central de proteção de barras (principal e alternada), do tipo adaptativa e distribuída, com capacidade para atender, no mínimo, 10 vãos mais 02 reservas e infraestrutura de comunicação associados.</t>
  </si>
  <si>
    <t>0002096/2024</t>
  </si>
  <si>
    <t>Instalação do SPCS das Barras 230 kV , na subestação  TERESINA, composto por: 06 painéis, 02 unidade central de proteção de barras (principal e alternada), do tipo adaptativa e distribuída, com capacidade para atender, no mínimo, 14 vãos mais 02 reservas e infraestrutura de comunicação associados.</t>
  </si>
  <si>
    <t>MG 230 kV TERESINA MG1 PI</t>
  </si>
  <si>
    <t>0002016/2024</t>
  </si>
  <si>
    <t>Instalação da cadeia de proteção de barras alternada, referente às barras P e PT de 230 kV da SE Caxias, incluindo uma Unidade Central e onze unidades de Bay (vãos TF 1 525/230 kV, TF 2 525/230 kV, TF 3 525/230 kV, Interligador de Barras - IB, LT 230 kV Caxias do Sul 5 C-1, Farroupilha C-1, Farroupilha C-2, Campo Bom C-1, Campo Bom C-2, N. Petrópolis 2 C-1 e Caxias do Sul 6 C-1), painéis e cabos de controle e potência associados.</t>
  </si>
  <si>
    <t>0001840/2024</t>
  </si>
  <si>
    <t>Instalação da cadeia de proteção de barras alternada, referente às barras A e B de 525 kV da SE Nova Santa Rita, incluindo Unidade Central e doze unidades de Bay (vãos TF 1 525/230 kV, TF 2 525/230 kV, TF 3 525/230 kV, TF 4 525/230 kV, LT Gravataí C-1, LT Guaíba 3 C-1, LT Guaíba 3 C-2, LT C.Novos C-1, LT Itá C-1, LT Itá C-2, IB DJ1110 e IB DJ1090), painéis e cabos de controle e potência associados.</t>
  </si>
  <si>
    <t>0001841/2024</t>
  </si>
  <si>
    <t>Instalação da cadeia de proteção de barras alternada, referente às barras P e PT de 230 kV da SE Nova Santa Rita, incluindo Unidade Central e quinze unidades de Bay (vãos TF 1 525/230kV, TF 2 525/230kV, TF 3 525/230kV, TF 4 525/230kV, LT Scharlau 2 C-1, LT Scharlau 2 C-2, LT C.Industrial C-1, LT C.Industrial C-2, LT C.Industrial C-3, LT P.Alegre 9 C-1, LT Camaquã 3 C-1, LT P.Petroquímico C-1, LT Candelária 2 C-1, LT Lajeado 2 C-1 e IB 230kV), painéis e cabos de controle e potência associados.</t>
  </si>
  <si>
    <t>0001843/2024</t>
  </si>
  <si>
    <t>Instalação da cadeia de proteção de barras alternada, referente às barras P e PT de 230 kV da SE Caxias 5, incluindo uma Unidade Central e sete unidades de Bay (vãos TF 1 230/13,8 kV, TF 2 230/13,8 kV, TF 3 230/69 kV, Interligador de Barras - IB, LT Caxias C-1, LT Farroupilha C-1 e LT Lajeado Grande C-1), painéis e cabos de controle e potência associados.</t>
  </si>
  <si>
    <t>0001845/2024</t>
  </si>
  <si>
    <t>Adequação das fontes de alimentação em corrente alternada dos Serviços Auxiliares da SE P. Médici (associada ao módulo da LT 230kV P.Médici - S.Cruz 1 C-1), incluindo a implantação da segunda fonte de alimentação e do Grupo Motor Gerador. A obra consiste na instalação de um quadro de derivação no secundário do transformador da CPFL (QDA1) e contratação junto à concessionária local de distribuição de ramal 23 kV, Grupo Motor Gerador, sistema de controle (2UASA), substituição do painel 380 VCA (2PD01) e lançamento de cabos associados.</t>
  </si>
  <si>
    <t>0001846/2024</t>
  </si>
  <si>
    <t>Instalação da cadeia de proteção de barras alternada, referente às barras de 230 kV (IdeMdl 6052) da SE Campo Mourão, incluindo uma Unidade Central e sete unidades de Bay (vãos LT S.Osório C-1, S.Osório C-2, Apucarana C-1, Maringá C-1, TF 1 230/138 kV, TF 2 230/138 kV e Interligador de Barras - IB), painéis e cabos de controle e potência associados.</t>
  </si>
  <si>
    <t>0001848/2024</t>
  </si>
  <si>
    <t>Instalação da cadeia de proteção de barras alternada, referente às barras de 230 kV da SE Canoinhas, incluindo uma Unidade Central e sete unidades de Bay (vãos TF 1 230/138 kV, TF 2 230/138 kV, TF 3 230/138 kV, Interligador de Barras - IB, Banco de Capacitor 1, LT 230 kV São Mateus do Sul C-1 e São Mateus do Sul C-2), painéis e cabos de controle e potência associados.</t>
  </si>
  <si>
    <t>0001851/2024</t>
  </si>
  <si>
    <t>Instalação de Para-raios 750 kV, fase A, arranjo DJM, associado ao BSFIIV1, na SE IVAIPORÃ.</t>
  </si>
  <si>
    <t>0001986/2024</t>
  </si>
  <si>
    <t>PR750 BFIIVC1-A</t>
  </si>
  <si>
    <t>Substituição do barramento 04BP 230 kV compostos por dois cabos CAA Rail 954 MCM por fase (2 x 954 MCM – Rail) de SE Bom Nome.
Capacidade mínima para o novo equipamento: no mínimo 50 kA e 2800 A.</t>
  </si>
  <si>
    <t>0002153/2024</t>
  </si>
  <si>
    <t>04BP</t>
  </si>
  <si>
    <t>Prolongamento do barramento de 138 kV e remanejamento da LT 230 kV Ji-Paraná – Pimenta Bueno C1 do vão F para o G.</t>
  </si>
  <si>
    <t>0002166/2024</t>
  </si>
  <si>
    <t>Remanejamento da EL 230 kV Coxipó C1 e obras associadas e a ampliação dos barramentos 230 e 138 kV.</t>
  </si>
  <si>
    <t>0002189/2024</t>
  </si>
  <si>
    <t>Substituição de Barramento BR6A1 138 kV, na SE SAO JOSE.
Capacidade mínima para o novo equipamento: 7500 A.</t>
  </si>
  <si>
    <t>MG SAO JOSE / CCO-2001-062 - RB</t>
  </si>
  <si>
    <t>0002326/2024</t>
  </si>
  <si>
    <t>BR6A1</t>
  </si>
  <si>
    <t>Substituição de barramento BR6B1 138 kV, na SE SAO JOSE.
Capacidade mínima para o novo equipamento: 7500 A.</t>
  </si>
  <si>
    <t>0002327/2024</t>
  </si>
  <si>
    <t>BR6B1</t>
  </si>
  <si>
    <t>Substituição da proteção de barras e proteção de falhas de disjuntores 601, 642, 652, 662, 6032, 6042 no setor 138 kV, na SE S.DA MESA</t>
  </si>
  <si>
    <t>0002313/2024</t>
  </si>
  <si>
    <t>Proteção B138</t>
  </si>
  <si>
    <t>Substituição da proteção da entrada de linha Tanquinhos/Campinas C1 138 kV, na SE CAMPINAS</t>
  </si>
  <si>
    <t>0002316/2024</t>
  </si>
  <si>
    <t>SPCS138 LTTQCMP-C1</t>
  </si>
  <si>
    <t>Substituição da proteção da entrada de linha Tanquinhos/Campinas C2 138 kV, na SE CAMPINAS</t>
  </si>
  <si>
    <t>0002317/2024</t>
  </si>
  <si>
    <t>SPCS138 LTTQCMP-C2</t>
  </si>
  <si>
    <t>Substituição da proteção da entrada de linha Tanquinhos/Campinas C3 138 kV, na SE CAMPINAS</t>
  </si>
  <si>
    <t>0002318/2024</t>
  </si>
  <si>
    <t>SPCS138 LTTQCMP-C3</t>
  </si>
  <si>
    <t>Substituição da proteção da entrada de linha Tanquinhos/Campinas C4 138 kV, na SE CAMPINAS</t>
  </si>
  <si>
    <t>0002319/2024</t>
  </si>
  <si>
    <t>SPCS138 LTTQCMP-C4</t>
  </si>
  <si>
    <t>Substituição da proteção do AT01 lado de alta (345 kV) e baixa (138 kV), com instalação de proteção principal e alternada, na SE CAMPINAS</t>
  </si>
  <si>
    <t>0002320/2024</t>
  </si>
  <si>
    <t>SPCS345 TR1</t>
  </si>
  <si>
    <t>Substituição da proteção do AT02 lado de alta (345 kV) e baixa (138 kV), com instalação de proteção principal e alternada, na SE CAMPINAS</t>
  </si>
  <si>
    <t>0002321/2024</t>
  </si>
  <si>
    <t>SPCS345 TR2</t>
  </si>
  <si>
    <t>Substituição da proteção do AT03 lado de alta (345 kV) e baixa (138 kV), com instalação de proteção principal e alternada, na SE CAMPINAS</t>
  </si>
  <si>
    <t>0002322/2024</t>
  </si>
  <si>
    <t>SPCS345 TR3</t>
  </si>
  <si>
    <t>Substituição da proteção do AT04 lado de alta (345 kV) e baixa (138 kV), com instalação de proteção principal e alternada, na SE CAMPINAS</t>
  </si>
  <si>
    <t>0002323/2024</t>
  </si>
  <si>
    <t>SPCS345 TR4</t>
  </si>
  <si>
    <t>Substituição do RDP do AT01, na SE CAMPINAS</t>
  </si>
  <si>
    <t>0002324/2024</t>
  </si>
  <si>
    <t>RDP345 TR1</t>
  </si>
  <si>
    <t>Substituição do RDP do AT02, na SE CAMPINAS</t>
  </si>
  <si>
    <t>0002325/2024</t>
  </si>
  <si>
    <t>RDP345 TR2</t>
  </si>
  <si>
    <t>Substituição de para-raios 138 kV referente a LT Joinville - São Bento do Sul C-1, Fase A. Associado a obra são esperadas substituições/adaptações de fundações, suportes, cabos de controle e potência, barramento, conectores e conexão do aterramento.</t>
  </si>
  <si>
    <t>0002676/2024</t>
  </si>
  <si>
    <t>PRA</t>
  </si>
  <si>
    <t>Substituição de para-raios 138 kV referente a LT Joinville - São Bento do Sul C-1, Fase C. Associado a obra são esperadas substituições/adaptações de fundações, suportes, cabos de controle e potência, barramento, conectores e conexão do aterramento.</t>
  </si>
  <si>
    <t>0002677/2024</t>
  </si>
  <si>
    <t>PRC</t>
  </si>
  <si>
    <t>Substituição de para-raios 230 kV referente ao TF 6 230/138 kV da SE Joinville, Fase A. Associado a obra são esperadas substituições/adaptações de fundações, suportes, cabos de controle e potência, barramento, conectores e conexão do aterramento.</t>
  </si>
  <si>
    <t>TR 230/138 kV JOINVILLE TR6 SC</t>
  </si>
  <si>
    <t>0002678/2024</t>
  </si>
  <si>
    <t>Substituição de para-raios 230 kV referente ao TF 6 230/138 kV da SE Joinville, Fase C. Associado a obra são esperadas substituições/adaptações de fundações, suportes, cabos de controle e potência, barramento, conectores e conexão do aterramento.</t>
  </si>
  <si>
    <t>0002680/2024</t>
  </si>
  <si>
    <t>Substituição de para-raios 138 kV referente a LT Joinville - São Bento do Sul C-1, Fase B. Associado a obra são esperadas substituições/adaptações de fundações, suportes, cabos de controle e potência, barramento, conectores e conexão do aterramento.</t>
  </si>
  <si>
    <t>0002683/2024</t>
  </si>
  <si>
    <t>PRB</t>
  </si>
  <si>
    <t>Substituição de para-raios 230 kV referente ao TF 6 230/138 kV da SE Joinville, Fase B. Associado a obra são esperadas substituições/adaptações de fundações, suportes, cabos de controle e potência, barramento, conectores e conexão do aterramento.</t>
  </si>
  <si>
    <t>0002685/2024</t>
  </si>
  <si>
    <t>Substituição de Chave Seccionadora tripolar 230 kV, CS743, referente a LT Campo Mourão - Apucarana C-1. Associado à obra são esperadas substituições/adaptações de fundações, suportes, cabos de controle/potência, barramento, conectores e conexão de aterramento.</t>
  </si>
  <si>
    <t>0003475/2024</t>
  </si>
  <si>
    <t>Substituição de Chave Seccionadora tripolar 230 kV, CS771, referente ao Interligador de Barras (IB) da SE Campo Mourão. Associado à obra são esperadas substituições/adaptações de fundações, suportes, cabos de controle/potência, barramento, conectores e conexão de aterramento.</t>
  </si>
  <si>
    <t>0003476/2024</t>
  </si>
  <si>
    <t>Substituição de Chave Seccionadora tripolar 230 kV, CS763, referente a LT Campo Mourão - Maringá C-1. Associado à obra são esperadas substituições/adaptações de fundações, suportes, cabos de controle/potência, barramento, conectores e conexão de aterramento.</t>
  </si>
  <si>
    <t>0003479/2024</t>
  </si>
  <si>
    <t>Substituição de Chave Seccionadora tripolar 230 kV, CS733, referente a LT Campo Mourão - Salto Osório C-1. Associado à obra são esperadas substituições/adaptações de fundações, suportes, cabos de controle/potência, barramento, conectores e conexão de aterramento.</t>
  </si>
  <si>
    <t>0003482/2024</t>
  </si>
  <si>
    <t>Substituição de Chave Seccionadora tripolar 230 kV, CS753, referente a LT Campo Mourão - Salto Osório C-2. Associado à obra são esperadas substituições/adaptações de fundações, suportes, cabos de controle/potência, barramento, conectores e conexão de aterramento.</t>
  </si>
  <si>
    <t>0003483/2024</t>
  </si>
  <si>
    <t>Substituição de Chave Seccionadora tripolar 230 kV, CS783, referente ao TR1 230/138 kV da SE Campo Mourão. Associado à obra são esperadas substituições/adaptações de fundações, suportes, cabos de controle/potência, barramento, conectores e conexão de aterramento.</t>
  </si>
  <si>
    <t>0003487/2024</t>
  </si>
  <si>
    <t>CS783</t>
  </si>
  <si>
    <t>Substituição de Chave Seccionadora tripolar 138 kV, CS547, referente a LT Campo Grande - C. G. Cuiabá C-2. Associado à obra são esperadas substituições/adaptações de fundações, suportes, cabos de controle/potência, barramento, conectores e conexão de aterramento.</t>
  </si>
  <si>
    <t>LT 138 kV CAMPO GRANDE / C.G.CUIABÁ C-2 MS</t>
  </si>
  <si>
    <t>0003489/2024</t>
  </si>
  <si>
    <t>CS547</t>
  </si>
  <si>
    <t>Substituição de Chave Seccionadora tripolar 138 kV, CS647, referente a LT Campo Grande - Águas Guariroba C-1. Associado à obra são esperadas substituições/adaptações de fundações, suportes, cabos de controle/potência, barramento, conectores e conexão de aterramento.</t>
  </si>
  <si>
    <t>0003491/2024</t>
  </si>
  <si>
    <t>Substituição de Chave Seccionadora tripolar 138 kV, CS557, referente a LT Campo Grande - Mimoso 2 C-3. Associado à obra são esperadas substituições/adaptações de fundações, suportes, cabos de controle/potência, barramento, conectores e conexão de aterramento.</t>
  </si>
  <si>
    <t>LT 138 kV CAMPO GRANDE / MIMOSO 2 C-3 MS</t>
  </si>
  <si>
    <t>0003493/2024</t>
  </si>
  <si>
    <t>CS557</t>
  </si>
  <si>
    <t>Substituição de Chave Seccionadora tripolar 138 kV, CS651, referente a LT Joinville - Joinville GM C-1. Associado à obra são esperadas substituições/adaptações de fundações, suportes, cabos de controle/potência, barramento, conectores e conexão de aterramento.</t>
  </si>
  <si>
    <t>LT 138 kV JOINVILLE / JOINVILLE GM C-1 SC</t>
  </si>
  <si>
    <t>0003495/2024</t>
  </si>
  <si>
    <t>CS651</t>
  </si>
  <si>
    <t>Substituição de Chave Seccionadora tripolar 138 kV, CS653, referente a LT Joinville - Joinville GM C-1. Associado à obra são esperadas substituições/adaptações de fundações, suportes, cabos de controle/potência, barramento, conectores e conexão de aterramento.</t>
  </si>
  <si>
    <t>0003497/2024</t>
  </si>
  <si>
    <t>CS653</t>
  </si>
  <si>
    <t>Substituição de Chave Seccionadora tripolar 138 kV, CS641, referente a LT Joinville - Joinville SC C-1. Associado à obra são esperadas substituições/adaptações de fundações, suportes, cabos de controle/potência, barramento, conectores e conexão de aterramento.</t>
  </si>
  <si>
    <t>LT 138 kV JOINVILLE / JOINVILLE SC C-1 SC</t>
  </si>
  <si>
    <t>0003498/2024</t>
  </si>
  <si>
    <t>Substituição de Chave Seccionadora tripolar 138 kV, CS645, referente a LT Joinville - Joinville SC C-1. Associado à obra são esperadas substituições/adaptações de fundações, suportes, cabos de controle/potência, barramento, conectores e conexão de aterramento.</t>
  </si>
  <si>
    <t>0003501/2024</t>
  </si>
  <si>
    <t>Substituição de Chave Seccionadora tripolar 138 kV, CS683, referente a LT Joinville - São Bento do Sul C-1. Associado à obra são esperadas substituições/adaptações de fundações, suportes, cabos de controle/potência, barramento, conectores e conexão de aterramento.</t>
  </si>
  <si>
    <t>0003502/2024</t>
  </si>
  <si>
    <t>CS683</t>
  </si>
  <si>
    <t>Substituição de Chave Seccionadora tripolar 138 kV, CS613, referente ao TR1 138/69 kV da SE Joinville. Associado à obra são esperadas substituições/adaptações de fundações, suportes, cabos de controle/potência, barramento, conectores e conexão de aterramento.</t>
  </si>
  <si>
    <t>TR 138/69 kV JOINVILLE TR1 SC</t>
  </si>
  <si>
    <t>0003503/2024</t>
  </si>
  <si>
    <t>Substituição de Chave Seccionadora tripolar 138 kV, CS621, referente ao TR2 138/69 kV da SE Joinville. Associado à obra são esperadas substituições/adaptações de fundações, suportes, cabos de controle/potência, barramento, conectores e conexão de aterramento.</t>
  </si>
  <si>
    <t>TR 138/69 kV JOINVILLE TR2 SC</t>
  </si>
  <si>
    <t>0003505/2024</t>
  </si>
  <si>
    <t>Substituição de Chave Seccionadora tripolar 138 kV, CS623, referente ao TR2 138/69 kV da SE Joinville. Associado à obra são esperadas substituições/adaptações de fundações, suportes, cabos de controle/potência, barramento, conectores e conexão de aterramento.</t>
  </si>
  <si>
    <t>0003508/2024</t>
  </si>
  <si>
    <t>Substituição de Chave Seccionadora tripolar 138 kV, CS513, referente ao TR6 230/138 kV da SE Joinville. Associado à obra são esperadas substituições/adaptações de fundações, suportes, cabos de controle/potência, barramento, conectores e conexão de aterramento.</t>
  </si>
  <si>
    <t>0003509/2024</t>
  </si>
  <si>
    <t>CS513</t>
  </si>
  <si>
    <t>Substituição de Chave Seccionadora tripolar 138 kV, CS633, referente ao TR4 230/138 kV da SE Joinville. Associado à obra são esperadas substituições/adaptações de fundações, suportes, cabos de controle/potência, barramento, conectores e conexão de aterramento.</t>
  </si>
  <si>
    <t>0003516/2024</t>
  </si>
  <si>
    <t>Substituição de Chave Seccionadora tripolar 69 kV, CS333, referente ao TR2 138/69 kV da SE Joinville. Associado à obra são esperadas substituições/adaptações de fundações, suportes, cabos de controle/potência, barramento, conectores e conexão de aterramento.</t>
  </si>
  <si>
    <t>0003517/2024</t>
  </si>
  <si>
    <t>CS333</t>
  </si>
  <si>
    <t>Substituição de Chave Seccionadora tripolar 230 kV, CS721, referente ao TR6 230/138 kV da SE Joinville. Associado à obra são esperadas substituições/adaptações de fundações, suportes, cabos de controle/potência, barramento, conectores e conexão de aterramento.</t>
  </si>
  <si>
    <t>0003520/2024</t>
  </si>
  <si>
    <t>Substituição de Chave Seccionadora tripolar 138 kV, CS671, referente a LT Joinville - Tigre C-1. Associado à obra são esperadas substituições/adaptações de fundações, suportes, cabos de controle/potência, barramento, conectores e conexão de aterramento.</t>
  </si>
  <si>
    <t>LT 138 kV JOINVILLE - TIGRE C-1 SC</t>
  </si>
  <si>
    <t>0003522/2024</t>
  </si>
  <si>
    <t>CS671</t>
  </si>
  <si>
    <t>Substituição de Chave Seccionadora tripolar 230 kV, CS713, referente ao TR4 230/138 kV da SE Joinville. Associado à obra são esperadas substituições/adaptações de fundações, suportes, cabos de controle/potência, barramento, conectores e conexão de aterramento.</t>
  </si>
  <si>
    <t>0003525/2024</t>
  </si>
  <si>
    <t>Substituição de Chave Seccionadora tripolar 230 kV, CS815, referente a LT Joinville - Vega do Sul C-1. Associado à obra são esperadas substituições/adaptações de fundações, suportes, cabos de controle/potência, barramento, conectores e conexão de aterramento.</t>
  </si>
  <si>
    <t>LT 230 kV JOINVILLE / VEGA DO SUL C-1 SC</t>
  </si>
  <si>
    <t>0003527/2024</t>
  </si>
  <si>
    <t>CS815</t>
  </si>
  <si>
    <t>Substituição de Chave Seccionadora tripolar 230 kV, CS753, referente ao Interligador de Barras (IB) da SE Joinville. Associado à obra são esperadas substituições/adaptações de fundações, suportes, cabos de controle/potência, barramento, conectores e conexão de aterramento.</t>
  </si>
  <si>
    <t>0003528/2024</t>
  </si>
  <si>
    <t>Substituição de Chave Seccionadora tripolar 230 kV, CS745, referente a LT Campo Mourão - Apucarana C-1. Associado à obra são esperadas substituições/adaptações de fundações, suportes, cabos de controle/potência, barramento, conectores e conexão de aterramento.</t>
  </si>
  <si>
    <t>0003539/2024</t>
  </si>
  <si>
    <t>Substituição de Chave Seccionadora tripolar 230 kV, CS773, referente ao Interligador de Barras (IB) da SE Campo Mourão. Associado à obra são esperadas substituições/adaptações de fundações, suportes, cabos de controle/potência, barramento, conectores e conexão de aterramento.</t>
  </si>
  <si>
    <t>0003541/2024</t>
  </si>
  <si>
    <t>CS773</t>
  </si>
  <si>
    <t>Substituição de Chave Seccionadora tripolar 230 kV, CS765, referente a LT Campo Mourão - Maringá C-1. Associado à obra são esperadas substituições/adaptações de fundações, suportes, cabos de controle/potência, barramento, conectores e conexão de aterramento.</t>
  </si>
  <si>
    <t>0003542/2024</t>
  </si>
  <si>
    <t>CS765</t>
  </si>
  <si>
    <t>Substituição de Chave Seccionadora tripolar 230 kV, CS735, referente a LT Campo Mourão - Salto Osório C-1. Associado à obra são esperadas substituições/adaptações de fundações, suportes, cabos de controle/potência, barramento, conectores e conexão de aterramento.</t>
  </si>
  <si>
    <t>0003544/2024</t>
  </si>
  <si>
    <t>Substituição de Chave Seccionadora tripolar 230 kV, CS755, referente a LT Campo Mourão - Salto Osório C-2. Associado à obra são esperadas substituições/adaptações de fundações, suportes, cabos de controle/potência, barramento, conectores e conexão de aterramento.</t>
  </si>
  <si>
    <t>0003545/2024</t>
  </si>
  <si>
    <t>Substituição de Chave Seccionadora tripolar 230 kV, CS785, referente ao TR1 230/138 kV da SE Campo Mourão. Associado à obra são esperadas substituições/adaptações de fundações, suportes, cabos de controle/potência, barramento, conectores e conexão de aterramento.</t>
  </si>
  <si>
    <t>0003547/2024</t>
  </si>
  <si>
    <t>CS785</t>
  </si>
  <si>
    <t>Substituição de Chave Seccionadora tripolar 138 kV, CS549, referente a LT Campo Grande - C. G. Cuiabá C-2. Associado à obra são esperadas substituições/adaptações de fundações, suportes, cabos de controle/potência, barramento, conectores e conexão de aterramento.</t>
  </si>
  <si>
    <t>0003548/2024</t>
  </si>
  <si>
    <t>CS549</t>
  </si>
  <si>
    <t>Substituição de Chave Seccionadora tripolar 138 kV, CS649, referente a LT Campo Grande - Águas Guariroba C-1. Associado à obra são esperadas substituições/adaptações de fundações, suportes, cabos de controle/potência, barramento, conectores e conexão de aterramento.</t>
  </si>
  <si>
    <t>0003549/2024</t>
  </si>
  <si>
    <t>CS649</t>
  </si>
  <si>
    <t>Substituição de Chave Seccionadora tripolar 138 kV, CS559, referente a LT Campo Grande - Mimoso 2 C-3. Associado à obra são esperadas substituições/adaptações de fundações, suportes, cabos de controle/potência, barramento, conectores e conexão de aterramento.</t>
  </si>
  <si>
    <t>0003550/2024</t>
  </si>
  <si>
    <t>CS559</t>
  </si>
  <si>
    <t>Substituição de Chave Seccionadora tripolar 138 kV, CS655, referente a LT Joinville - Joinville GM C-1. Associado à obra são esperadas substituições/adaptações de fundações, suportes, cabos de controle/potência, barramento, conectores e conexão de aterramento.</t>
  </si>
  <si>
    <t>0003551/2024</t>
  </si>
  <si>
    <t>CS655</t>
  </si>
  <si>
    <t>Substituição de Chave Seccionadora tripolar 138 kV, CS643, referente a LT Joinville - Joinville SC C-1. Associado à obra são esperadas substituições/adaptações de fundações, suportes, cabos de controle/potência, barramento, conectores e conexão de aterramento.</t>
  </si>
  <si>
    <t>0003552/2024</t>
  </si>
  <si>
    <t>Substituição de Chave Seccionadora tripolar 138 kV, CS681, referente a LT Joinville - São Bento do Sul C-1. Associado à obra são esperadas substituições/adaptações de fundações, suportes, cabos de controle/potência, barramento, conectores e conexão de aterramento.</t>
  </si>
  <si>
    <t>0003553/2024</t>
  </si>
  <si>
    <t>CS681</t>
  </si>
  <si>
    <t>Substituição de Chave Seccionadora tripolar 138 kV, CS611, referente ao TR1 138/69 kV da SE Joinville. Associado à obra são esperadas substituições/adaptações de fundações, suportes, cabos de controle/potência, barramento, conectores e conexão de aterramento.</t>
  </si>
  <si>
    <t>0003554/2024</t>
  </si>
  <si>
    <t>Substituição de Chave Seccionadora tripolar 69 kV, CS313, referente a LT Joinville - Joinville 1 C-1. Associado à obra são esperadas substituições/adaptações de fundações, suportes, cabos de controle/potência, barramento, conectores e conexão de aterramento.</t>
  </si>
  <si>
    <t>LT 69 kV JOINVILLE / JOINVILLE 1 C-1 SC</t>
  </si>
  <si>
    <t>0003556/2024</t>
  </si>
  <si>
    <t>CS313</t>
  </si>
  <si>
    <t>Substituição de Chave Seccionadora tripolar 69 kV, CS321, referente ao TR1 138/69 kV da SE Joinville. Associado à obra são esperadas substituições/adaptações de fundações, suportes, cabos de controle/potência, barramento, conectores e conexão de aterramento.</t>
  </si>
  <si>
    <t>0003559/2024</t>
  </si>
  <si>
    <t>CS321</t>
  </si>
  <si>
    <t>Substituição de Chave Seccionadora tripolar 69 kV, CS331, referente ao TR2 138/69 kV da SE Joinville. Associado à obra são esperadas substituições/adaptações de fundações, suportes, cabos de controle/potência, barramento, conectores e conexão de aterramento.</t>
  </si>
  <si>
    <t>0003561/2024</t>
  </si>
  <si>
    <t>CS331</t>
  </si>
  <si>
    <t>Substituição de Chave Seccionadora tripolar 138 kV, CS631, referente ao TR4 230/138 kV da SE Joinville. Associado à obra são esperadas substituições/adaptações de fundações, suportes, cabos de controle/potência, barramento, conectores e conexão de aterramento.</t>
  </si>
  <si>
    <t>0003563/2024</t>
  </si>
  <si>
    <t>Substituição de Chave Seccionadora tripolar 230 kV, CS811, referente a LT Joinville - Vega do Sul C-1. Associado à obra são esperadas substituições/adaptações de fundações, suportes, cabos de controle/potência, barramento, conectores e conexão de aterramento.</t>
  </si>
  <si>
    <t>0003572/2024</t>
  </si>
  <si>
    <t>Substituição de Chave Seccionadora tripolar 230 kV, CS813, referente a LT Joinville - Vega do Sul C-1. Associado à obra são esperadas substituições/adaptações de fundações, suportes, cabos de controle/potência, barramento, conectores e conexão de aterramento.</t>
  </si>
  <si>
    <t>0003575/2024</t>
  </si>
  <si>
    <t>Substituição de Chave Seccionadora tripolar 230 kV, CS723, referente ao TR6 230/138 kV da SE Joinville. Associado à obra são esperadas substituições/adaptações de fundações, suportes, cabos de controle/potência, barramento, conectores e conexão de aterramento.</t>
  </si>
  <si>
    <t>0003577/2024</t>
  </si>
  <si>
    <t>CS723</t>
  </si>
  <si>
    <t>Substituição de Chave Seccionadora tripolar 230 kV, CS725, referente ao TR6 230/138 kV da SE Joinville. Associado à obra são esperadas substituições/adaptações de fundações, suportes, cabos de controle/potência, barramento, conectores e conexão de aterramento.</t>
  </si>
  <si>
    <t>0003580/2024</t>
  </si>
  <si>
    <t>Substituição de Chave Seccionadora tripolar 69 kV, CS351, referente a LT Joinville - Joinville 1 C-2. Associado à obra são esperadas substituições/adaptações de fundações, suportes, cabos de controle/potência, barramento, conectores e conexão de aterramento.</t>
  </si>
  <si>
    <t>0003581/2024</t>
  </si>
  <si>
    <t>CS351</t>
  </si>
  <si>
    <t>Substituição de Chave Seccionadora tripolar 138 kV, CS673, referente a LT Joinville - Tigre C-1. Associado à obra são esperadas substituições/adaptações de fundações, suportes, cabos de controle/potência, barramento, conectores e conexão de aterramento.</t>
  </si>
  <si>
    <t>0003582/2024</t>
  </si>
  <si>
    <t>CS673</t>
  </si>
  <si>
    <t>Substituição de Chave Seccionadora tripolar 138 kV, CS675, referente a LT Joinville - Tigre C-1. Associado à obra são esperadas substituições/adaptações de fundações, suportes, cabos de controle/potência, barramento, conectores e conexão de aterramento.</t>
  </si>
  <si>
    <t>0003584/2024</t>
  </si>
  <si>
    <t>CS675</t>
  </si>
  <si>
    <t>Substituição de Chave Seccionadora tripolar 230 kV, CS711, referente ao TR4 230/138 kV da SE Joinville. Associado à obra são esperadas substituições/adaptações de fundações, suportes, cabos de controle/potência, barramento, conectores e conexão de aterramento.</t>
  </si>
  <si>
    <t>0003585/2024</t>
  </si>
  <si>
    <t>Substituição de Chave Seccionadora tripolar 230 kV, CS715, referente ao TR4 230/138 kV da SE Joinville. Associado à obra são esperadas substituições/adaptações de fundações, suportes, cabos de controle/potência, barramento, conectores e conexão de aterramento.</t>
  </si>
  <si>
    <t>0003587/2024</t>
  </si>
  <si>
    <t>Substituição de Chave Seccionadora tripolar 138 kV, CS511, referente ao TR6 230/138 kV da SE Joinville. Associado à obra são esperadas substituições/adaptações de fundações, suportes, cabos de controle/potência, barramento, conectores e conexão de aterramento.</t>
  </si>
  <si>
    <t>0003590/2024</t>
  </si>
  <si>
    <t>CS511</t>
  </si>
  <si>
    <t>Substituição de Chave Seccionadora tripolar 230 kV, CS763, referente a LT Joinville - Blumenau C-1. Associado à obra são esperadas substituições/adaptações de fundações, suportes, cabos de controle/potência, barramento, conectores e conexão de aterramento.</t>
  </si>
  <si>
    <t>0003594/2024</t>
  </si>
  <si>
    <t>Substituição de Chave Seccionadora tripolar 230 kV, CS765, referente a LT Joinville - Blumenau C-1. Associado à obra são esperadas substituições/adaptações de fundações, suportes, cabos de controle/potência, barramento, conectores e conexão de aterramento.</t>
  </si>
  <si>
    <t>0003602/2024</t>
  </si>
  <si>
    <t>Substituição de Chave Seccionadora tripolar 230 kV, CS751, referente ao Interligador de Barras (IB) da SE Joinville. Associado à obra são esperadas substituições/adaptações de fundações, suportes, cabos de controle/potência, barramento, conectores e conexão de aterramento.</t>
  </si>
  <si>
    <t>0003604/2024</t>
  </si>
  <si>
    <t>Substituição de Chave Seccionadora tripolar 230 kV, CS803, referente a LT Joinville - Vega do Sul C-2. Associado à obra são esperadas substituições/adaptações de fundações, suportes, cabos de controle/potência, barramento, conectores e conexão de aterramento.</t>
  </si>
  <si>
    <t>0003607/2024</t>
  </si>
  <si>
    <t>CS803</t>
  </si>
  <si>
    <t>Substituição de Chave Seccionadora tripolar 230 kV, CS805, referente a LT Joinville - Vega do Sul C-2. Associado à obra são esperadas substituições/adaptações de fundações, suportes, cabos de controle/potência, barramento, conectores e conexão de aterramento.</t>
  </si>
  <si>
    <t>0003609/2024</t>
  </si>
  <si>
    <t>CS805</t>
  </si>
  <si>
    <t>Substituição de Transformador de Potencial Capacitivo 138 kV, referente a LT Blumenau - Gaspar C-1, Fase C. Associado à obra são esperadas substituições/adaptações de fundações, suportes, caixa de junção, cabos de controle/potência, barramento, conectores e conexão de aterramento.</t>
  </si>
  <si>
    <t>0003710/2024</t>
  </si>
  <si>
    <t>TPCC</t>
  </si>
  <si>
    <t>Substituição de Transformador de Potencial Capacitivo 230 kV, referente a LT Campo Mourão - Apucarana C-1, Fase A. Associado à obra são esperadas substituições/adaptações de fundações, suportes, caixa de junção, cabos de controle/potência, barramento, conectores e conexão de aterramento.</t>
  </si>
  <si>
    <t>0003711/2024</t>
  </si>
  <si>
    <t>Substituição de Transformador de Potencial Capacitivo 230 kV, referente a LT Campo Mourão - Apucarana C-1, Fase B. Associado à obra são esperadas substituições/adaptações de fundações, suportes, caixa de junção, cabos de controle/potência, barramento, conectores e conexão de aterramento.</t>
  </si>
  <si>
    <t>0003712/2024</t>
  </si>
  <si>
    <t>TPCB</t>
  </si>
  <si>
    <t>Substituição de Transformador de Potencial Capacitivo 230 kV, referente a LT Campo Mourão - Apucarana C-1, Fase C. Associado à obra são esperadas substituições/adaptações de fundações, suportes, caixa de junção, cabos de controle/potência, barramento, conectores e conexão de aterramento.</t>
  </si>
  <si>
    <t>0003713/2024</t>
  </si>
  <si>
    <t>Substituição de Transformador de Potencial Capacitivo 230 kV, referente a LT Campo Mourão - Maringá C-1, Fase A. Associado à obra são esperadas substituições/adaptações de fundações, suportes, caixa de junção, cabos de controle/potência, barramento, conectores e conexão de aterramento.</t>
  </si>
  <si>
    <t>0003714/2024</t>
  </si>
  <si>
    <t>Substituição de Transformador de Potencial Capacitivo 230 kV, referente a LT Campo Mourão - Maringá C-1, Fase B. Associado à obra são esperadas substituições/adaptações de fundações, suportes, caixa de junção, cabos de controle/potência, barramento, conectores e conexão de aterramento.</t>
  </si>
  <si>
    <t>0003715/2024</t>
  </si>
  <si>
    <t>Substituição de Transformador de Potencial Capacitivo 230 kV, referente a LT Campo Mourão - Maringá C-1, Fase C. Associado à obra são esperadas substituições/adaptações de fundações, suportes, caixa de junção, cabos de controle/potência, barramento, conectores e conexão de aterramento.</t>
  </si>
  <si>
    <t>0003777/2024</t>
  </si>
  <si>
    <t>Substituição de Transformador de Potencial Capacitivo 230 kV, referente a LT Campo Mourão - S.Osório C-1, Fase B. Associado à obra são esperadas substituições/adaptações de fundações, suportes, caixa de junção, cabos de controle/potência, barramento, conectores e conexão de aterramento.</t>
  </si>
  <si>
    <t>0003779/2024</t>
  </si>
  <si>
    <t>Substituição de Transformador de Potencial Capacitivo 230 kV, referente a LT Campo Mourão - S.Osório C-2, Fase A. Associado à obra são esperadas substituições/adaptações de fundações, suportes, caixa de junção, cabos de controle/potência, barramento, conectores e conexão de aterramento.</t>
  </si>
  <si>
    <t>0003780/2024</t>
  </si>
  <si>
    <t>Substituição de Transformador de Potencial Capacitivo 230 kV, referente a LT Campo Mourão - S.Osório C-2, Fase C. Associado à obra são esperadas substituições/adaptações de fundações, suportes, caixa de junção, cabos de controle/potência, barramento, conectores e conexão de aterramento.</t>
  </si>
  <si>
    <t>0003781/2024</t>
  </si>
  <si>
    <t>Substituição de Transformador de Potencial Capacitivo 230 kV, referente a Barra P da SE Campo Mourão, Fase C. Associado à obra são esperadas substituições/adaptações de fundações, suportes, caixa de junção, cabos de controle/potência, barramento, conectores e conexão de aterramento.</t>
  </si>
  <si>
    <t>0003783/2024</t>
  </si>
  <si>
    <t>Substituição de Transformador de Potencial Capacitivo 138 kV, referente ao TR4 230/138 kV da SE Campos Novos, Fase A. Associado à obra são esperadas substituições/adaptações de fundações, suportes, caixa de junção, cabos de controle/potência, barramento, conectores e conexão de aterramento.</t>
  </si>
  <si>
    <t>0003784/2024</t>
  </si>
  <si>
    <t>Substituição de Transformador de Potencial Capacitivo 230 kV, referente ao TR2 525/230 kV da SE Campos Novos, Fase A. Associado à obra são esperadas substituições/adaptações de fundações, suportes, caixa de junção, cabos de controle/potência, barramento, conectores e conexão de aterramento.</t>
  </si>
  <si>
    <t>TR 525/230 kV C.NOVOS TR2 SC</t>
  </si>
  <si>
    <t>0003785/2024</t>
  </si>
  <si>
    <t>Substituição de Transformador de Potencial Capacitivo 230 kV, referente ao TR2 525/230 kV da SE Campos Novos, Fase C. Associado à obra são esperadas substituições/adaptações de fundações, suportes, caixa de junção, cabos de controle/potência, barramento, conectores e conexão de aterramento.</t>
  </si>
  <si>
    <t>0003788/2024</t>
  </si>
  <si>
    <t>Substituição de Transformador de Potencial 138 kV, referente a LT Campos Novos - Herval D'Oeste / Lages V.Ramos Jr C-1, Fase A. Associado à obra são esperadas substituições/adaptações de fundações, suportes, caixa de junção, cabos de controle/potência, barramento, conectores e conexão de aterramento.</t>
  </si>
  <si>
    <t>LT 138 kV C.NOVOS / H.OESTE-LAGES V.RAMOS JR C-1 SC</t>
  </si>
  <si>
    <t>0003789/2024</t>
  </si>
  <si>
    <t>Substituição de Transformador de Potencial 138 kV, referente a LT Campos Novos - Herval D'Oeste / Lages V.Ramos Jr C-1, Fase C. Associado à obra são esperadas substituições/adaptações de fundações, suportes, caixa de junção, cabos de controle/potência, barramento, conectores e conexão de aterramento.</t>
  </si>
  <si>
    <t>0003791/2024</t>
  </si>
  <si>
    <t>TPC</t>
  </si>
  <si>
    <t>Substituição de Transformador de Potencial 138 kV, referente a LT Campos Novos - Herval D'Oeste / S.J.Cerrito Itararé C-1, Fase C. Associado à obra são esperadas substituições/adaptações de fundações, suportes, caixa de junção, cabos de controle/potência, barramento, conectores e conexão de aterramento.</t>
  </si>
  <si>
    <t>LT 138 kV C.NOVOS / H.OESTE-S.J.CERRITO ITARARE C-1 SC</t>
  </si>
  <si>
    <t>0003792/2024</t>
  </si>
  <si>
    <t>Substituição de Transformador de Potencial Capacitivo 230 kV, referente ao TR3 230/138 kV da SE Canoinhas, Fase A. Associado à obra são esperadas substituições/adaptações de fundações, suportes, caixa de junção, cabos de controle/potência, barramento, conectores e conexão de aterramento.</t>
  </si>
  <si>
    <t>TR 230/138 kV CANOINHAS ESU TR3 SC</t>
  </si>
  <si>
    <t>0003793/2024</t>
  </si>
  <si>
    <t>Substituição de Transformador de Potencial 138 kV, referente ao TR1 230/138 kV da SE Canoinhas, Fase C. Associado à obra são esperadas substituições/adaptações de fundações, suportes, caixa de junção, cabos de controle/potência, barramento, conectores e conexão de aterramento.</t>
  </si>
  <si>
    <t>TR 230/138 kV CANOINHAS ESU TR1 SC</t>
  </si>
  <si>
    <t>0003796/2024</t>
  </si>
  <si>
    <t>Substituição de Transformador de Potencial 138 kV, referente ao TR1 230/138 kV da SE Canoinhas, Fase B. Associado à obra são esperadas substituições/adaptações de fundações, suportes, caixa de junção, cabos de controle/potência, barramento, conectores e conexão de aterramento.</t>
  </si>
  <si>
    <t>0003797/2024</t>
  </si>
  <si>
    <t>TPB</t>
  </si>
  <si>
    <t>Substituição de Transformador de Potencial Capacitivo 230 kV, referente a Barra PT da SE Dourados, Fase C. Associado à obra são esperadas substituições/adaptações de fundações, suportes, caixa de junção, cabos de controle/potência, barramento, conectores e conexão de aterramento.</t>
  </si>
  <si>
    <t>0003798/2024</t>
  </si>
  <si>
    <t>Substituição de Transformador de Potencial Capacitivo 230 kV, referente a Barra PT da SE Dourados, Fase A. Associado à obra são esperadas substituições/adaptações de fundações, suportes, caixa de junção, cabos de controle/potência, barramento, conectores e conexão de aterramento.</t>
  </si>
  <si>
    <t>0003799/2024</t>
  </si>
  <si>
    <t>Substituição de Transformador de Potencial Capacitivo 230 kV, referente ao TR2 525/230 kV da SE Gravataí, Fase C. Associado à obra são esperadas substituições/adaptações de fundações, suportes, caixa de junção, cabos de controle/potência, barramento, conectores e conexão de aterramento.</t>
  </si>
  <si>
    <t>0003800/2024</t>
  </si>
  <si>
    <t>Substituição de Transformador de Potencial Capacitivo 230 kV, referente ao TR2 525/230 kV da SE Gravataí, Fase A. Associado à obra são esperadas substituições/adaptações de fundações, suportes, caixa de junção, cabos de controle/potência, barramento, conectores e conexão de aterramento.</t>
  </si>
  <si>
    <t>0003802/2024</t>
  </si>
  <si>
    <t>Substituição de Transformador de Potencial Capacitivo 230 kV, referente ao TR3 525/230 kV da SE Gravataí, Fase C. Associado à obra são esperadas substituições/adaptações de fundações, suportes, caixa de junção, cabos de controle/potência, barramento, conectores e conexão de aterramento.</t>
  </si>
  <si>
    <t>0003804/2024</t>
  </si>
  <si>
    <t>Substituição de Transformador de Potencial Capacitivo 525 kV, referente a LT Itá - Nova Santa Rita C-1, Fase A. Associado à obra são esperadas substituições/adaptações de fundações, suportes, caixa de junção, cabos de controle/potência, barramento, conectores e conexão de aterramento.</t>
  </si>
  <si>
    <t>0003806/2024</t>
  </si>
  <si>
    <t>Substituição de Transformador de Potencial Capacitivo 525 kV, referente a LT Itá - Nova Santa Rita C-1, Fase C. Associado à obra são esperadas substituições/adaptações de fundações, suportes, caixa de junção, cabos de controle/potência, barramento, conectores e conexão de aterramento.</t>
  </si>
  <si>
    <t>0003807/2024</t>
  </si>
  <si>
    <t>Substituição de Transformador de Potencial Capacitivo 525 kV, referente a LT Itá - Salto Santiago C-1, Fase C. Associado à obra são esperadas substituições/adaptações de fundações, suportes, caixa de junção, cabos de controle/potência, barramento, conectores e conexão de aterramento.</t>
  </si>
  <si>
    <t>0003809/2024</t>
  </si>
  <si>
    <t>Substituição de Transformador de Potencial Capacitivo 525 kV, referente a LT Itá - Machadinho C-1, Fase A. Associado à obra são esperadas substituições/adaptações de fundações, suportes, caixa de junção, cabos de controle/potência, barramento, conectores e conexão de aterramento.</t>
  </si>
  <si>
    <t>0003812/2024</t>
  </si>
  <si>
    <t>Substituição de Transformador de Potencial Capacitivo 525 kV, referente a LT Itá - Machadinho C-1, Fase C. Associado à obra são esperadas substituições/adaptações de fundações, suportes, caixa de junção, cabos de controle/potência, barramento, conectores e conexão de aterramento.</t>
  </si>
  <si>
    <t>0003815/2024</t>
  </si>
  <si>
    <t>Substituição de Transformador de Potencial Capacitivo 230 kV, referente a LT Passo Fundo - Vila Maria C-1, Fase B. Associado à obra são esperadas substituições/adaptações de fundações, suportes, caixa de junção, cabos de controle/potência, barramento, conectores e conexão de aterramento.</t>
  </si>
  <si>
    <t>LT 230 kV PASSO FUNDO / VILA MARIA C 1 RS</t>
  </si>
  <si>
    <t>0003818/2024</t>
  </si>
  <si>
    <t>Substituição de Transformador de Potencial Capacitivo 230 kV, referente a LT Passo Fundo - Vila Maria C-1, Fase A. Associado à obra são esperadas substituições/adaptações de fundações, suportes, caixa de junção, cabos de controle/potência, barramento, conectores e conexão de aterramento.</t>
  </si>
  <si>
    <t>0003820/2024</t>
  </si>
  <si>
    <t>Substituição de Transformador de Potencial 138 kV, referente a Barra P da SE Passo Fundo, Fase B. Associado à obra são esperadas substituições/adaptações de fundações, suportes, caixa de junção, cabos de controle/potência, barramento, conectores e conexão de aterramento.</t>
  </si>
  <si>
    <t>0003821/2024</t>
  </si>
  <si>
    <t>Substituição de Transformador de Potencial 138 kV, referente a Barra P da SE Passo Fundo, Fase C. Associado à obra são esperadas substituições/adaptações de fundações, suportes, caixa de junção, cabos de controle/potência, barramento, conectores e conexão de aterramento.</t>
  </si>
  <si>
    <t>0003822/2024</t>
  </si>
  <si>
    <t>Substituição de Transformador de Potencial 69 kV, referente a saída do TR7 230/69 kV da SE Salto Osório, Fase B. Associado à obra são esperadas substituições/adaptações de fundações, suportes, caixa de junção, cabos de controle/potência, barramento, conectores e conexão de aterramento.</t>
  </si>
  <si>
    <t>TR 230/69 kV S.OSORIO TR7 PR</t>
  </si>
  <si>
    <t>0003823/2024</t>
  </si>
  <si>
    <t>Substituição de Transformador de Potencial Capacitivo 230 kV, referente a LT Siderópolis - J.Lacerda-B C-1, Fase A. Associado à obra são esperadas substituições/adaptações de fundações, suportes, caixa de junção, cabos de controle/potência, barramento, conectores e conexão de aterramento.</t>
  </si>
  <si>
    <t>0003824/2024</t>
  </si>
  <si>
    <t>Substituição de Transformador de Potencial Capacitivo 230 kV, referente a LT Siderópolis - J.Lacerda-B C-1, Fase C. Associado à obra são esperadas substituições/adaptações de fundações, suportes, caixa de junção, cabos de controle/potência, barramento, conectores e conexão de aterramento.</t>
  </si>
  <si>
    <t>0003825/2024</t>
  </si>
  <si>
    <t>Substituição de Transformador de Potencial Capacitivo 230 kV, referente a Barra P da SE Xanxerê, Fase B. Associado à obra são esperadas substituições/adaptações de fundações, suportes, caixa de junção, cabos de controle/potência, barramento, conectores e conexão de aterramento.</t>
  </si>
  <si>
    <t>0003826/2024</t>
  </si>
  <si>
    <t>Substituição de Transformador de Potencial Capacitivo 230 kV, referente a Barra P da SE Xanxerê, Fase C. Associado à obra são esperadas substituições/adaptações de fundações, suportes, caixa de junção, cabos de controle/potência, barramento, conectores e conexão de aterramento.</t>
  </si>
  <si>
    <t>0003827/2024</t>
  </si>
  <si>
    <t>Substituição de Transformador de Potencial Capacitivo 230 kV, referente a Barra PT da SE Xanxerê, Fase A. Associado à obra são esperadas substituições/adaptações de fundações, suportes, caixa de junção, cabos de controle/potência, barramento, conectores e conexão de aterramento.</t>
  </si>
  <si>
    <t>0003828/2024</t>
  </si>
  <si>
    <t>Substituição de Transformador de Potencial Capacitivo 230 kV, referente a Barra PT da SE Xanxerê, Fase C. Associado à obra são esperadas substituições/adaptações de fundações, suportes, caixa de junção, cabos de controle/potência, barramento, conectores e conexão de aterramento.</t>
  </si>
  <si>
    <t>0003829/2024</t>
  </si>
  <si>
    <t>Substituição de Transformador de Potencial Capacitivo 230 kV, referente a LT Campo Mourão - S.Osório C-1, Fase A. Associado à obra são esperadas substituições/adaptações de fundações, suportes, caixa de junção, cabos de controle/potência, barramento, conectores e conexão de aterramento.</t>
  </si>
  <si>
    <t>0003845/2024</t>
  </si>
  <si>
    <t>Substituição de Transformador de Potencial Capacitivo 230 kV, referente a LT Campo Mourão - S.Osório C-1, Fase C. Associado à obra são esperadas substituições/adaptações de fundações, suportes, caixa de junção, cabos de controle/potência, barramento, conectores e conexão de aterramento.</t>
  </si>
  <si>
    <t>0003848/2024</t>
  </si>
  <si>
    <t>Substituição de Transformador de Potencial Capacitivo 230 kV, referente a LT Campo Mourão - S.Osório C-2, Fase B. Associado à obra são esperadas substituições/adaptações de fundações, suportes, caixa de junção, cabos de controle/potência, barramento, conectores e conexão de aterramento.</t>
  </si>
  <si>
    <t>0003852/2024</t>
  </si>
  <si>
    <t>Substituição de Transformador de Potencial Capacitivo 230 kV, referente a Barra P da SE Campo Mourão, Fase B. Associado à obra são esperadas substituições/adaptações de fundações, suportes, caixa de junção, cabos de controle/potência, barramento, conectores e conexão de aterramento.</t>
  </si>
  <si>
    <t>0003856/2024</t>
  </si>
  <si>
    <t>Substituição de Transformador de Potencial Capacitivo 138 kV, referente ao TR3 230/138 kV da SE Campos Novos, Fase A. Associado à obra são esperadas substituições/adaptações de fundações, suportes, caixa de junção, cabos de controle/potência, barramento, conectores e conexão de aterramento.</t>
  </si>
  <si>
    <t>0003858/2024</t>
  </si>
  <si>
    <t>Substituição de Transformador de Potencial Capacitivo 230 kV, referente ao TR4 230/138 kV da SE Campos Novos, Fase A. Associado à obra são esperadas substituições/adaptações de fundações, suportes, caixa de junção, cabos de controle/potência, barramento, conectores e conexão de aterramento.</t>
  </si>
  <si>
    <t>0003859/2024</t>
  </si>
  <si>
    <t>Substituição de Transformador de Potencial 138 kV, referente a LT Campos Novos - Herval D'Oeste / Lages V.Ramos Jr C-1, Fase B. Associado à obra são esperadas substituições/adaptações de fundações, suportes, caixa de junção, cabos de controle/potência, barramento, conectores e conexão de aterramento.</t>
  </si>
  <si>
    <t>0003860/2024</t>
  </si>
  <si>
    <t>Substituição de Transformador de Potencial Capacitivo 230 kV, referente a Barra P da SE Campo Mourão, Fase A. Associado à obra são esperadas substituições/adaptações de fundações, suportes, caixa de junção, cabos de controle/potência, barramento, conectores e conexão de aterramento.</t>
  </si>
  <si>
    <t>0003863/2024</t>
  </si>
  <si>
    <t>Substituição de Transformador de Potencial Capacitivo 230 kV, referente ao TR2 525/230 kV da SE Campos Novos, Fase B. Associado à obra são esperadas substituições/adaptações de fundações, suportes, caixa de junção, cabos de controle/potência, barramento, conectores e conexão de aterramento.</t>
  </si>
  <si>
    <t>0003865/2024</t>
  </si>
  <si>
    <t>Substituição de Transformador de Potencial 138 kV, referente ao TR1 230/138 kV da SE Canoinhas, Fase A. Associado à obra são esperadas substituições/adaptações de fundações, suportes, caixa de junção, cabos de controle/potência, barramento, conectores e conexão de aterramento.</t>
  </si>
  <si>
    <t>0003868/2024</t>
  </si>
  <si>
    <t>Substituição de Transformador de Potencial Capacitivo 230 kV, referente ao TR2 525/230 kV da SE Caxias, Fase A. Associado à obra são esperadas substituições/adaptações de fundações, suportes, caixa de junção, cabos de controle/potência, barramento, conectores e conexão de aterramento.</t>
  </si>
  <si>
    <t>TR 525/230 kV CAXIAS TR2 RS</t>
  </si>
  <si>
    <t>0003880/2024</t>
  </si>
  <si>
    <t>Substituição de Transformador de Potencial 138 kV, referente a LT Campos Novos - Herval D'Oeste / S.J.Cerrito Itararé C-1, Fase B. Associado à obra são esperadas substituições/adaptações de fundações, suportes, caixa de junção, cabos de controle/potência, barramento, conectores e conexão de aterramento.</t>
  </si>
  <si>
    <t>0003882/2024</t>
  </si>
  <si>
    <t>Substituição de Transformador de Potencial Capacitivo 230 kV, referente a Barra PT da SE Dourados, Fase B. Associado à obra são esperadas substituições/adaptações de fundações, suportes, caixa de junção, cabos de controle/potência, barramento, conectores e conexão de aterramento.</t>
  </si>
  <si>
    <t>0003884/2024</t>
  </si>
  <si>
    <t>Substituição de Transformador de Potencial Capacitivo 230 kV, referente ao TR3 525/230 kV da SE Gravataí, Fase A. Associado à obra são esperadas substituições/adaptações de fundações, suportes, caixa de junção, cabos de controle/potência, barramento, conectores e conexão de aterramento.</t>
  </si>
  <si>
    <t>0003885/2024</t>
  </si>
  <si>
    <t>Substituição de Transformador de Potencial Capacitivo 230 kV, referente ao TR2 525/230 kV da SE Gravataí, Fase B. Associado à obra são esperadas substituições/adaptações de fundações, suportes, caixa de junção, cabos de controle/potência, barramento, conectores e conexão de aterramento.</t>
  </si>
  <si>
    <t>0003887/2024</t>
  </si>
  <si>
    <t>Substituição de Transformador de Potencial Capacitivo 525 kV, referente a LT Itá - Nova Santa Rita C-1, Fase B. Associado à obra são esperadas substituições/adaptações de fundações, suportes, caixa de junção, cabos de controle/potência, barramento, conectores e conexão de aterramento.</t>
  </si>
  <si>
    <t>0003889/2024</t>
  </si>
  <si>
    <t>Substituição de Transformador de Potencial Capacitivo 525 kV, referente a LT Itá - Salto Santiago C-1, Fase A. Associado à obra são esperadas substituições/adaptações de fundações, suportes, caixa de junção, cabos de controle/potência, barramento, conectores e conexão de aterramento.</t>
  </si>
  <si>
    <t>0003891/2024</t>
  </si>
  <si>
    <t>Substituição de Transformador de Potencial Capacitivo 525 kV, referente a LT Itá - Salto Santiago C-1, Fase B. Associado à obra são esperadas substituições/adaptações de fundações, suportes, caixa de junção, cabos de controle/potência, barramento, conectores e conexão de aterramento.</t>
  </si>
  <si>
    <t>0003895/2024</t>
  </si>
  <si>
    <t>Substituição de Transformador de Potencial Capacitivo 525 kV, referente a LT Itá - Machadinho C-1, Fase B. Associado à obra são esperadas substituições/adaptações de fundações, suportes, caixa de junção, cabos de controle/potência, barramento, conectores e conexão de aterramento.</t>
  </si>
  <si>
    <t>0003896/2024</t>
  </si>
  <si>
    <t>Substituição de Transformador de Potencial Capacitivo 230 kV, referente ao TR3 525/230 kV da SE Londrina, Fase A. Associado à obra são esperadas substituições/adaptações de fundações, suportes, caixa de junção, cabos de controle/potência, barramento, conectores e conexão de aterramento.</t>
  </si>
  <si>
    <t>0003898/2024</t>
  </si>
  <si>
    <t>Substituição de Transformador de Potencial Capacitivo 230 kV, referente a LT Passo Fundo - Vila Maria C-1, Fase C. Associado à obra são esperadas substituições/adaptações de fundações, suportes, caixa de junção, cabos de controle/potência, barramento, conectores e conexão de aterramento.</t>
  </si>
  <si>
    <t>0003900/2024</t>
  </si>
  <si>
    <t>Substituição de Transformador de Potencial 138 kV, referente a Barra P da SE Passo Fundo, Fase A. Associado à obra são esperadas substituições/adaptações de fundações, suportes, caixa de junção, cabos de controle/potência, barramento, conectores e conexão de aterramento.</t>
  </si>
  <si>
    <t>0003901/2024</t>
  </si>
  <si>
    <t>Substituição de Transformador de Potencial 69 kV, referente a saída do TR7 230/69 kV da SE Salto Osório, Fase A. Associado à obra são esperadas substituições/adaptações de fundações, suportes, caixa de junção, cabos de controle/potência, barramento, conectores e conexão de aterramento.</t>
  </si>
  <si>
    <t>0003902/2024</t>
  </si>
  <si>
    <t>Substituição de Transformador de Potencial 69 kV, referente a saída do TR7 230/69 kV da SE Salto Osório, Fase C. Associado à obra são esperadas substituições/adaptações de fundações, suportes, caixa de junção, cabos de controle/potência, barramento, conectores e conexão de aterramento.</t>
  </si>
  <si>
    <t>0003903/2024</t>
  </si>
  <si>
    <t>Substituição de Transformador de Potencial Capacitivo 230 kV, referente a LT Siderópolis - J.Lacerda-B C-1, Fase B. Associado à obra são esperadas substituições/adaptações de fundações, suportes, caixa de junção, cabos de controle/potência, barramento, conectores e conexão de aterramento.</t>
  </si>
  <si>
    <t>0003904/2024</t>
  </si>
  <si>
    <t>Substituição de Transformador de Potencial Capacitivo 230 kV, referente ao TR1 230/69 kV da SE Siderópolis, Fase A. Associado à obra são esperadas substituições/adaptações de fundações, suportes, caixa de junção, cabos de controle/potência, barramento, conectores e conexão de aterramento.</t>
  </si>
  <si>
    <t>TR 230/69 kV SIDEROPOL.ESU TR1 SC</t>
  </si>
  <si>
    <t>0003905/2024</t>
  </si>
  <si>
    <t>Substituição de Transformador de Potencial Capacitivo 230 kV, referente a Barra P da SE Xanxerê, Fase A. Associado à obra são esperadas substituições/adaptações de fundações, suportes, caixa de junção, cabos de controle/potência, barramento, conectores e conexão de aterramento.</t>
  </si>
  <si>
    <t>0003907/2024</t>
  </si>
  <si>
    <t>Substituição de Transformador de Potencial Capacitivo 230 kV, referente a Barra PT da SE Xanxerê, Fase B. Associado à obra são esperadas substituições/adaptações de fundações, suportes, caixa de junção, cabos de controle/potência, barramento, conectores e conexão de aterramento.</t>
  </si>
  <si>
    <t>0003908/2024</t>
  </si>
  <si>
    <t>Substituição de Transformador de Corrente 230 kV, referente a LT Anastácio - Dourados C-1, DJ742, Fase A. Associado à obra, são esperadas substituições/adaptações de fundações e suportes, caixa de junção, cabos de controle/potência, barramento, conectores e conexão de aterramento. Funções do TC: proteção e medição.</t>
  </si>
  <si>
    <t>LT 230 kV ANASTACIO /DOURADOS C-1 MS</t>
  </si>
  <si>
    <t>0004116/2024</t>
  </si>
  <si>
    <t>TCA</t>
  </si>
  <si>
    <t>Substituição de Transformador de Corrente 230 kV, referente a LT Anastácio - Dourados C-1, DJ742, Fase C. Associado à obra, são esperadas substituições/adaptações de fundações e suportes, caixa de junção, cabos de controle/potência, barramento, conectores e conexão de aterramento. Funções do TC: proteção e medição.</t>
  </si>
  <si>
    <t>0004117/2024</t>
  </si>
  <si>
    <t>TCC</t>
  </si>
  <si>
    <t>Substituição de Transformador de Corrente 230 kV, referente a LT Anastácio - Dourados C-1, DJ742, Fase B. Associado à obra, são esperadas substituições/adaptações de fundações e suportes, caixa de junção, cabos de controle/potência, barramento, conectores e conexão de aterramento. Funções do TC: proteção e medição.</t>
  </si>
  <si>
    <t>0004118/2024</t>
  </si>
  <si>
    <t>TCB</t>
  </si>
  <si>
    <t>Substituição de Transformador de Corrente 230 kV, referente ao TR1 230/138 kV da SE Campo Mourão, DJ782, Fase B. Associado à obra, são esperadas substituições/adaptações de fundações e suportes, caixa de junção, cabos de controle/potência, barramento, conectores e conexão de aterramento. Funções do TC: proteção e medição.</t>
  </si>
  <si>
    <t>0004155/2024</t>
  </si>
  <si>
    <t>Substituição de Transformador de Corrente 230 kV, referente ao TR1 230/138 kV da SE Campo Mourão, DJ782, Fase C. Associado à obra, são esperadas substituições/adaptações de fundações e suportes, caixa de junção, cabos de controle/potência, barramento, conectores e conexão de aterramento. Funções do TC: proteção e medição.</t>
  </si>
  <si>
    <t>0004156/2024</t>
  </si>
  <si>
    <t>Substituição de Disjuntor tripolar 525 kV, DJ1002, referente a LT Blumenau - Biguaçu C-1. Associado à obra, são esperadas substituições/adaptações de fundações e suportes, cabos de controle e potência, barramento, conectores e conexão de aterramento.</t>
  </si>
  <si>
    <t>0004310/2024</t>
  </si>
  <si>
    <t>Substituição de Disjuntor tripolar 525 kV, DJ1010, referente ao Interligador de Barras entre as LT Biguaçu C-1 e Curitiba Leste C-1. Associado à obra, são esperadas substituições/adaptações de fundações e suportes, cabos de controle e potência, barramento, conectores e conexão de aterramento.</t>
  </si>
  <si>
    <t>MG BLUMENAU / CCO-2005-010 - RB</t>
  </si>
  <si>
    <t>0004311/2024</t>
  </si>
  <si>
    <t>Substituição de Disjuntor tripolar 525 kV, DJ1042, referente a LT Campos Novos - Machadinho C-1. Associado à obra, são esperadas substituições/adaptações de fundações e suportes, cabos de controle e potência, barramento, conectores e conexão de aterramento.</t>
  </si>
  <si>
    <t>0004312/2024</t>
  </si>
  <si>
    <t>Substituição de Disjuntor tripolar 525 kV, DJ1050, referente ao Interligador de Barras entre as LT Areia C-1 e Machadinho C-1. Associado à obra, são esperadas substituições/adaptações de fundações e suportes, cabos de controle e potência, barramento, conectores e conexão de aterramento.</t>
  </si>
  <si>
    <t>0004313/2024</t>
  </si>
  <si>
    <t>Substituição de Disjuntor tripolar 525 kV, DJ1082, referente a LT Campos Novos - Nova Santa Rita C-1. Associado à obra, são esperadas substituições/adaptações de fundações e suportes, cabos de controle e potência, barramento, conectores e conexão de aterramento.</t>
  </si>
  <si>
    <t>LT 525 kV C.NOVOS /NOVA STA RITA C-1 SC/RS</t>
  </si>
  <si>
    <t>0004314/2024</t>
  </si>
  <si>
    <t>Substituição de Disjuntor tripolar 138 kV, DJ552, referente a LT Campo Grande - Mimoso 2 C-3. Associado à obra, são esperadas substituições/adaptações de fundações e suportes, cabos de controle e potência, barramento, conectores e conexão de aterramento.</t>
  </si>
  <si>
    <t>0004315/2024</t>
  </si>
  <si>
    <t>DJ552</t>
  </si>
  <si>
    <t>Substituição de Disjuntor tripolar 525 kV, DJ1052, referente a LT Caxias - Gravataí C-1. Associado à obra, são esperadas substituições/adaptações de fundações e suportes, cabos de controle e potência, barramento, conectores e conexão de aterramento.</t>
  </si>
  <si>
    <t>LT 525 kV CAXIAS /GRAVATAI C-1 RS</t>
  </si>
  <si>
    <t>0004316/2024</t>
  </si>
  <si>
    <t>Substituição de Disjuntor tripolar 13,8 kV, DJ52/10, referente ao  TR2 230/13,8 kV da SE Caxias 5. Associado à obra, são esperadas substituições/adaptações de fundações e suportes, cabos de controle e potência, barramento, conectores e conexão de aterramento.</t>
  </si>
  <si>
    <t>0004317/2024</t>
  </si>
  <si>
    <t>DJ52-10</t>
  </si>
  <si>
    <t>Substituição de Disjuntor tripolar 138 kV, DJ532, referente ao Interligador de Barras (IB) da SE Desterro. Associado à obra, são esperadas substituições/adaptações de fundações e suportes, cabos de controle e potência, barramento, conectores e conexão de aterramento.</t>
  </si>
  <si>
    <t>0004318/2024</t>
  </si>
  <si>
    <t>Substituição de Disjuntor tripolar 230 kV, DJ822, referente a LT Gravataí 3 - Atlântida 2 C-1. Associado à obra, são esperadas substituições/adaptações de fundações e suportes, cabos de controle e potência, barramento, conectores e conexão de aterramento.</t>
  </si>
  <si>
    <t>LT 230 kV ATLANTIDA 2 /GRAVATAI3 C-1 RS</t>
  </si>
  <si>
    <t>0004319/2024</t>
  </si>
  <si>
    <t>DJ822</t>
  </si>
  <si>
    <t>Substituição de Disjuntor tripolar 525 kV, DJ1062, referente a LT Itá - Nova Santa Rita C-1. Associado à obra, são esperadas substituições/adaptações de fundações e suportes, cabos de controle e potência, barramento, conectores e conexão de aterramento.</t>
  </si>
  <si>
    <t>0004320/2024</t>
  </si>
  <si>
    <t>Substituição de Disjuntor tripolar 525 kV, DJ1110, referente ao Interligador de Barras entre as LT Machadinho C-1 e UH Itá C-1. Associado à obra, são esperadas substituições/adaptações de fundações e suportes, cabos de controle e potência, barramento, conectores e conexão de aterramento.</t>
  </si>
  <si>
    <t>0004321/2024</t>
  </si>
  <si>
    <t>Substituição de Disjuntor tripolar 230 kV, DJ772, referente a LT Joinville - Curitiba C-1. Associado à obra, são esperadas substituições/adaptações de fundações e suportes, cabos de controle e potência, barramento, conectores e conexão de aterramento.</t>
  </si>
  <si>
    <t>0004322/2024</t>
  </si>
  <si>
    <t>Substituição de Disjuntor tripolar 230 kV, DJ782, referente ao  TR8 230/69 kV da SE Joinville. Associado à obra, são esperadas substituições/adaptações de fundações e suportes, cabos de controle e potência, barramento, conectores e conexão de aterramento.</t>
  </si>
  <si>
    <t>TR 230/69 kV JOINVILLE TR8 SC</t>
  </si>
  <si>
    <t>0004323/2024</t>
  </si>
  <si>
    <t>Substituição de Disjuntor tripolar 138 kV, DJ692, referente ao Interligador de Barras (IB) da SE Joinville. Associado à obra, são esperadas substituições/adaptações de fundações e suportes, cabos de controle e potência, barramento, conectores e conexão de aterramento.</t>
  </si>
  <si>
    <t>0004324/2024</t>
  </si>
  <si>
    <t>DJ692</t>
  </si>
  <si>
    <t>Substituição de Disjuntor tripolar 525 kV, DJ1062, referente a LT Nova Santa Rita - Campos Novos C-1. Associado à obra, são esperadas substituições/adaptações de fundações e suportes, cabos de controle e potência, barramento, conectores e conexão de aterramento.</t>
  </si>
  <si>
    <t>0004326/2024</t>
  </si>
  <si>
    <t>Substituição de Disjuntor tripolar 230 kV, DJ742, referente a LT Passo Fundo - Vila Maria C-1. Associado à obra, são esperadas substituições/adaptações de fundações e suportes, cabos de controle e potência, barramento, conectores e conexão de aterramento.</t>
  </si>
  <si>
    <t>0004327/2024</t>
  </si>
  <si>
    <t>Substituição de 01 (uma) Seccionadora 69 KV posição operacional 32F1-4 da Subestação ACD</t>
  </si>
  <si>
    <t>EL 69 kV ACU II DIST1 (12F1)</t>
  </si>
  <si>
    <t>0004459/2024</t>
  </si>
  <si>
    <t>32F1-4</t>
  </si>
  <si>
    <t>Substituição de 01 (uma) Seccionadora com lâmina de terra 69 kV, posição operacional 32F1-5/7 da Subestação ACD</t>
  </si>
  <si>
    <t>0004460/2024</t>
  </si>
  <si>
    <t>32F1-5</t>
  </si>
  <si>
    <t>Substituição de 01 (uma) Seccionadora 69 KV posição operacional 32F1-6 da Subestação ACD</t>
  </si>
  <si>
    <t>0004464/2024</t>
  </si>
  <si>
    <t>32F1-6</t>
  </si>
  <si>
    <t>Substituição de 01 (uma) Seccionadora 69 KV posição operacional 32F2-4 da Subestação ACD</t>
  </si>
  <si>
    <t>EL 69 kV ACU II DIST2 (12F2)</t>
  </si>
  <si>
    <t>0004465/2024</t>
  </si>
  <si>
    <t>32F2-4</t>
  </si>
  <si>
    <t>Substituição de 01 (uma) Seccionadora com lâmina de terra 69 kV, posição operacional 32F2-5/7 da Subestação ACD</t>
  </si>
  <si>
    <t>0004466/2024</t>
  </si>
  <si>
    <t>32F2-5</t>
  </si>
  <si>
    <t>Substituição de 01 (uma) Seccionadora 69 KV posição operacional 32F2-6 da Subestação ACD</t>
  </si>
  <si>
    <t>0004468/2024</t>
  </si>
  <si>
    <t>32F2-6</t>
  </si>
  <si>
    <t>Substituição de 01 (uma) Seccionadora 69 KV posição operacional 32F3-4 da Subestação ACD</t>
  </si>
  <si>
    <t>EL 69 kV ACU II DIST3 (12F3)</t>
  </si>
  <si>
    <t>0004469/2024</t>
  </si>
  <si>
    <t>32F3-4</t>
  </si>
  <si>
    <t>Substituição de 01 (uma) Seccionadora 69 KV posição operacional 32F4-4 da Subestação ACD</t>
  </si>
  <si>
    <t>EL 69 kV ACU II DIST4 (12F4)</t>
  </si>
  <si>
    <t>0004470/2024</t>
  </si>
  <si>
    <t>32F4-4</t>
  </si>
  <si>
    <t>Substituição de 01 (uma) Seccionadora com lâmina de terra 69 kV, posição operacional 32F4-5/7 da Subestação ACD</t>
  </si>
  <si>
    <t>0004472/2024</t>
  </si>
  <si>
    <t>32F4-5</t>
  </si>
  <si>
    <t>Substituição de 01 (uma) Seccionadora 69 KV posição operacional 32F4-6 da Subestação ACD</t>
  </si>
  <si>
    <t>0004474/2024</t>
  </si>
  <si>
    <t>32F4-6</t>
  </si>
  <si>
    <t>Substituição de 01 (uma) Seccionadora 69 KV posição operacional 32F5-4 da Subestação ACD</t>
  </si>
  <si>
    <t>EL 69 kV ACU II DIST5 (12F5)</t>
  </si>
  <si>
    <t>0004475/2024</t>
  </si>
  <si>
    <t>32F5-4</t>
  </si>
  <si>
    <t>Substituição de 01 (uma) Seccionadora com lâmina de terra 69 kV, posição operacional 32F5-5/7 da Subestação ACD</t>
  </si>
  <si>
    <t>0004477/2024</t>
  </si>
  <si>
    <t>32F5-5</t>
  </si>
  <si>
    <t>Substituição de 01 (uma) Seccionadora 69 KV posição operacional 32F5-6 da Subestação ACD</t>
  </si>
  <si>
    <t>0004479/2024</t>
  </si>
  <si>
    <t>32F5-6</t>
  </si>
  <si>
    <t>Substituição de 01 (uma) Seccionadora 138 KV posição operacional 33C4-4 da Subestação ACD</t>
  </si>
  <si>
    <t>EL 138 kV ACU II DIST4 (13C4)</t>
  </si>
  <si>
    <t>0004481/2024</t>
  </si>
  <si>
    <t>33C4-4</t>
  </si>
  <si>
    <t>Substituição de 01 (uma) Seccionadora 69 KV posição operacional 32T5-4 da Subestação ACD</t>
  </si>
  <si>
    <t>0004484/2024</t>
  </si>
  <si>
    <t>32T5-4</t>
  </si>
  <si>
    <t>Substituição de 01 (uma) Seccionadora 69 KV posição operacional 32T5-5 da Subestação ACD</t>
  </si>
  <si>
    <t>0004486/2024</t>
  </si>
  <si>
    <t>32T5-5</t>
  </si>
  <si>
    <t>Substituição de 01 (uma) Seccionadora 69 KV posição operacional 32T5-6 da Subestação ACD</t>
  </si>
  <si>
    <t>0004487/2024</t>
  </si>
  <si>
    <t>32T5-6</t>
  </si>
  <si>
    <t>Substituição de 01 (uma) Seccionadora 69 KV posição operacional 32D1-1 da Subestação ACD</t>
  </si>
  <si>
    <t>IB 69 kV MG 230 kV ACU II MG1 RN IB2 (12D1)</t>
  </si>
  <si>
    <t>0004490/2024</t>
  </si>
  <si>
    <t>32D1-1</t>
  </si>
  <si>
    <t>Substituição de 01 (uma) Seccionadora 69 KV posição operacional 32D1-2 da Subestação ACD</t>
  </si>
  <si>
    <t>0004491/2024</t>
  </si>
  <si>
    <t>32D1-2</t>
  </si>
  <si>
    <t>Substituição de 01 (um) TP  posição operacional 84S1.A da Subestação BNO</t>
  </si>
  <si>
    <t>0004498/2024</t>
  </si>
  <si>
    <t>84S1.A</t>
  </si>
  <si>
    <t>Substituição de 01 (um) TP  posição operacional 84S1.B da Subestação BNO</t>
  </si>
  <si>
    <t>0004501/2024</t>
  </si>
  <si>
    <t>84S1.B</t>
  </si>
  <si>
    <t>Substituição de 01 (um) TP  69kV, posição operacional 82J1.A da Subestação ABX</t>
  </si>
  <si>
    <t>EL 69 kV ABAIXADORA DELMIRO GOUVEIA (12J1)</t>
  </si>
  <si>
    <t>0004528/2024</t>
  </si>
  <si>
    <t>82J1.A</t>
  </si>
  <si>
    <t>Substituição de 01 (um) TP  69kV, posição operacional 82J1.C da Subestação ABX</t>
  </si>
  <si>
    <t>0004535/2024</t>
  </si>
  <si>
    <t>82J1.C</t>
  </si>
  <si>
    <t>Substituição de 01 (um) TP  230kV, posição operacional 84BP-2.A da Subestação CTU</t>
  </si>
  <si>
    <t>0004546/2024</t>
  </si>
  <si>
    <t>84BP-2.A</t>
  </si>
  <si>
    <t>Substituição de 01 (um) TP  230kV, posição operacional 84BP-2.B da Subestação CTU</t>
  </si>
  <si>
    <t>0004548/2024</t>
  </si>
  <si>
    <t>84BP-2.B</t>
  </si>
  <si>
    <t>Substituição de 01 (um) TP  posição operacional 82T1.A da Subestação ITB</t>
  </si>
  <si>
    <t>TR 230/69 kV ITABAIANA TR1 SE</t>
  </si>
  <si>
    <t>0004551/2024</t>
  </si>
  <si>
    <t>82T1.A</t>
  </si>
  <si>
    <t>Substituição de 01 (um) TP  posição operacional 82T1.B da Subestação ITB</t>
  </si>
  <si>
    <t>0004553/2024</t>
  </si>
  <si>
    <t>82T1.B</t>
  </si>
  <si>
    <t>Substituição de 01 (um) TP  posição operacional 82T1.C da Subestação ITB</t>
  </si>
  <si>
    <t>0004555/2024</t>
  </si>
  <si>
    <t>82T1.C</t>
  </si>
  <si>
    <t>Substituição de 01 (um) TP  230kV, posição operacional 84S3.A da Subestação MSI</t>
  </si>
  <si>
    <t>0004561/2024</t>
  </si>
  <si>
    <t>84S3.A</t>
  </si>
  <si>
    <t>Substituição de 01 (um) TP  230kV, posição operacional 84S3.B da Subestação MSI</t>
  </si>
  <si>
    <t>0004563/2024</t>
  </si>
  <si>
    <t>84S3.B</t>
  </si>
  <si>
    <t>Substituição de Transformador de Corrente 525 kV, referente a LT Areia - Segredo C-1, DJ1002, Fase A. Associado à obra, são esperadas substituições/adaptações de fundações e suportes, caixa de junção, cabos de controle/potência, barramento, conectores e conexão de aterramento. Funções do TC: proteção e medição.</t>
  </si>
  <si>
    <t>0004564/2024</t>
  </si>
  <si>
    <t>Substituição de 01 (um) TP  230kV, posição operacional 84S3.C da Subestação MSI</t>
  </si>
  <si>
    <t>0004565/2024</t>
  </si>
  <si>
    <t>84S3.C</t>
  </si>
  <si>
    <t>Substituição de Transformador de Corrente 525 kV, referente a LT Areia - Segredo C-1, DJ1002, Fase B. Associado à obra, são esperadas substituições/adaptações de fundações e suportes, caixa de junção, cabos de controle/potência, barramento, conectores e conexão de aterramento. Funções do TC: proteção e medição.</t>
  </si>
  <si>
    <t>0004566/2024</t>
  </si>
  <si>
    <t>Substituição de 01 (um) TP  230kV, posição operacional 84S5.A da Subestação MSI</t>
  </si>
  <si>
    <t>LT 230 kV MESSIAS /RIO LARGO II C-3 AL</t>
  </si>
  <si>
    <t>0004568/2024</t>
  </si>
  <si>
    <t>84S5.A</t>
  </si>
  <si>
    <t>Substituição de Transformador de Corrente 525 kV, referente a LT Areia - Segredo C-1, DJ1002, Fase C. Associado à obra, são esperadas substituições/adaptações de fundações e suportes, caixa de junção, cabos de controle/potência, barramento, conectores e conexão de aterramento. Funções do TC: proteção e medição.</t>
  </si>
  <si>
    <t>0004569/2024</t>
  </si>
  <si>
    <t>Substituição de 01 (um) TP  230kV, posição operacional 84S5.B da Subestação MSI</t>
  </si>
  <si>
    <t>0004571/2024</t>
  </si>
  <si>
    <t>84S5.B</t>
  </si>
  <si>
    <t>Substituição de Transformador de Corrente 230 kV, referente ao TR1 230/138 kV da SE Campo Mourão, DJ782, Fase A. Associado à obra, são esperadas substituições/adaptações de fundações e suportes, caixa de junção, cabos de controle/potência, barramento, conectores e conexão de aterramento. Funções do TC: proteção e medição.</t>
  </si>
  <si>
    <t>0004572/2024</t>
  </si>
  <si>
    <t>Substituição de 01 (um) TP  230kV, posição operacional 84S5.C da Subestação MSI</t>
  </si>
  <si>
    <t>0004573/2024</t>
  </si>
  <si>
    <t>84S5.C</t>
  </si>
  <si>
    <t>Substituição de Transformador de Corrente 230 kV, referente a LT Canoinhas - São Mateus do Sul C-1, DJ732, Fase A. Associado à obra, são esperadas substituições/adaptações de fundações e suportes, caixa de junção, cabos de controle/potência, barramento, conectores e conexão de aterramento. Funções do TC: proteção e medição.</t>
  </si>
  <si>
    <t>0004574/2024</t>
  </si>
  <si>
    <t>Substituição de 01 (um) TP  230kV, posição operacional 84S6.A da Subestação MSI</t>
  </si>
  <si>
    <t>0004576/2024</t>
  </si>
  <si>
    <t>84S6.A</t>
  </si>
  <si>
    <t>Substituição de Transformador de Corrente 230 kV, referente a LT Canoinhas - São Mateus do Sul C-1, DJ732, Fase B. Associado à obra, são esperadas substituições/adaptações de fundações e suportes, caixa de junção, cabos de controle/potência, barramento, conectores e conexão de aterramento. Funções do TC: proteção e medição.</t>
  </si>
  <si>
    <t>0004577/2024</t>
  </si>
  <si>
    <t>Substituição de 01 (um) TP  230kV, posição operacional 84S7.A da Subestação MSI</t>
  </si>
  <si>
    <t>0004578/2024</t>
  </si>
  <si>
    <t>84S7.A</t>
  </si>
  <si>
    <t>Substituição de Transformador de Corrente 230 kV, referente a LT Canoinhas - São Mateus do Sul C-1, DJ732, Fase C. Associado à obra, são esperadas substituições/adaptações de fundações e suportes, caixa de junção, cabos de controle/potência, barramento, conectores e conexão de aterramento. Funções do TC: proteção e medição.</t>
  </si>
  <si>
    <t>0004579/2024</t>
  </si>
  <si>
    <t>SMS 1</t>
  </si>
  <si>
    <t>Substituição de 01 (um) TP  230kV, posição operacional 84S7.B da Subestação MSI</t>
  </si>
  <si>
    <t>0004580/2024</t>
  </si>
  <si>
    <t>84S7.B</t>
  </si>
  <si>
    <t>Substituição de Transformador de Corrente 230 kV, referente ao TR1 230/138 kV da SE Canoinhas, DJ742, Fase A. Associado à obra, são esperadas substituições/adaptações de fundações e suportes, caixa de junção, cabos de controle/potência, barramento, conectores e conexão de aterramento. Funções do TC: proteção e medição.</t>
  </si>
  <si>
    <t>0004581/2024</t>
  </si>
  <si>
    <t>Substituição de 01 (um) TP  230kV, posição operacional 84S7.C da Subestação MSI</t>
  </si>
  <si>
    <t>0004582/2024</t>
  </si>
  <si>
    <t>84S7.C</t>
  </si>
  <si>
    <t>Substituição de Transformador de Corrente 230 kV, referente ao TR1 230/138 kV da SE Canoinhas, DJ742, Fase C. Associado à obra, são esperadas substituições/adaptações de fundações e suportes, caixa de junção, cabos de controle/potência, barramento, conectores e conexão de aterramento. Funções do TC: proteção e medição.</t>
  </si>
  <si>
    <t>0004583/2024</t>
  </si>
  <si>
    <t>Substituição de Transformador de Corrente 230 kV, referente ao TR1 230/138 kV da SE Canoinhas, DJ742, Fase B. Associado à obra, são esperadas substituições/adaptações de fundações e suportes, caixa de junção, cabos de controle/potência, barramento, conectores e conexão de aterramento. Funções do TC: proteção e medição.</t>
  </si>
  <si>
    <t>0004584/2024</t>
  </si>
  <si>
    <t>Substituição de Disjuntor tripolar 230 kV, DJ752, referente ao Interligador de Barras (IB) da SE Santo Ângelo. Associado à obra, são esperadas substituições/adaptações de fundações e suportes, cabos de controle e potência, barramento, conectores e conexão de aterramento.</t>
  </si>
  <si>
    <t>0004585/2024</t>
  </si>
  <si>
    <t>Substituição de Disjuntor tripolar 230 kV, DJ772, referente ao TR2 525/230 kV da SE Santo Ângelo. Associado à obra, são esperadas substituições/adaptações de fundações e suportes, cabos de controle e potência, barramento, conectores e conexão de aterramento.</t>
  </si>
  <si>
    <t>0004586/2024</t>
  </si>
  <si>
    <t>Substituição de 01 (um) TP  69kV, posição operacional 82T3.A da Subestação RIB</t>
  </si>
  <si>
    <t>0004587/2024</t>
  </si>
  <si>
    <t>82T3.A</t>
  </si>
  <si>
    <t>Substituição de 01 (um) TP  69kV, posição operacional 82T3.B da Subestação RIB</t>
  </si>
  <si>
    <t>0004588/2024</t>
  </si>
  <si>
    <t>82T3.B</t>
  </si>
  <si>
    <t>Substituição de 01 (um) TP  69kV, posição operacional 82T3.C da Subestação RIB</t>
  </si>
  <si>
    <t>0004589/2024</t>
  </si>
  <si>
    <t>82T3.C</t>
  </si>
  <si>
    <t>Substituição de 01 (um) TP 13,8kV posição operacional 81T4 fase A da Subestação ACD.</t>
  </si>
  <si>
    <t>0004590/2024</t>
  </si>
  <si>
    <t>81T4.A</t>
  </si>
  <si>
    <t>Substituição de 01 (um) TP 13,8kV posição operacional 81T4 fase C da Subestação ACD.</t>
  </si>
  <si>
    <t>0004591/2024</t>
  </si>
  <si>
    <t>81T4.C</t>
  </si>
  <si>
    <t>Substituição de 01 (um) TP 13,8kV posição operacional 81T5 fase A da Subestação ACD.</t>
  </si>
  <si>
    <t>0004592/2024</t>
  </si>
  <si>
    <t>81T5.A</t>
  </si>
  <si>
    <t>Substituição de 01 (um) TP 13,8kV posição operacional 81T5 fase C da Subestação ACD.</t>
  </si>
  <si>
    <t>0004593/2024</t>
  </si>
  <si>
    <t>81T5.C</t>
  </si>
  <si>
    <t>Substituição de 01 (uma) Seccionadora 230 kV posição operacional 34E1-8 da Subestação PIC</t>
  </si>
  <si>
    <t>LT 230 kV S.JOAO PIAUI /PICOS C-1 PI</t>
  </si>
  <si>
    <t>0004598/2024</t>
  </si>
  <si>
    <t>34E1-8</t>
  </si>
  <si>
    <t>Substituição de 01 (uma) Seccionadora 230 kV posição operacional 34M3-4 da Subestação PIC</t>
  </si>
  <si>
    <t>0004600/2024</t>
  </si>
  <si>
    <t>34M3-4</t>
  </si>
  <si>
    <t>Substituição de 01 (uma) Seccionadora 230 kV posição operacional 34T1-5 da Subestação PIC</t>
  </si>
  <si>
    <t>TR 230/69 kV PICOS TR1 PI</t>
  </si>
  <si>
    <t>0004601/2024</t>
  </si>
  <si>
    <t>34T1-5</t>
  </si>
  <si>
    <t>Substituição de 01 (uma) Seccionadora 230 kV, posição operacional 34T1-4 da Subestação PRI</t>
  </si>
  <si>
    <t>0004602/2024</t>
  </si>
  <si>
    <t>34T1-4</t>
  </si>
  <si>
    <t>Substituição de 01 (uma) Seccionadora 230 kV, posição operacional 34T1-5 da Subestação PRI</t>
  </si>
  <si>
    <t>0004603/2024</t>
  </si>
  <si>
    <t>Substituição de 01 (uma) Seccionadora 69 kV, posição operacional 32A1-8 da Subestação SJI</t>
  </si>
  <si>
    <t>MC 69 kV TT 69/13,8 kV S.JOAO PIAUI TA1 PI (32A1)</t>
  </si>
  <si>
    <t>0004604/2024</t>
  </si>
  <si>
    <t>32A1-8</t>
  </si>
  <si>
    <t>Substituição de 01 (uma) Seccionadora 69 kV, posição operacional 32D1-2 da Subestação SJI</t>
  </si>
  <si>
    <t>IB 69 kV MG 500 kV S.JOAO PIAUI MG1 PI IB1 (12D1)</t>
  </si>
  <si>
    <t>0004605/2024</t>
  </si>
  <si>
    <t>Substituição de 01 (uma) Seccionadora 69 kV, posição operacional 32T3-4 da Subestação SJI</t>
  </si>
  <si>
    <t>TR 230/69 kV S.JOAO PIAUI TR3 PI</t>
  </si>
  <si>
    <t>0004606/2024</t>
  </si>
  <si>
    <t>32T3-4</t>
  </si>
  <si>
    <t>Substituição de 01 (uma) Seccionadora 69 kV, posição operacional 32T3-5 da Subestação SJI</t>
  </si>
  <si>
    <t>0004607/2024</t>
  </si>
  <si>
    <t>32T3-5</t>
  </si>
  <si>
    <t>Substituição de 01 (uma) Seccionadora 69 kV, posição operacional 32T3-6 da Subestação SJI</t>
  </si>
  <si>
    <t>0004608/2024</t>
  </si>
  <si>
    <t>32T3-6</t>
  </si>
  <si>
    <t>Substituição de 01 (uma) Seccionadora 69 kV, posição operacional 32T4-6 da Subestação SJI</t>
  </si>
  <si>
    <t>TR 230/69 kV S.JOAO PIAUI TR4 PI</t>
  </si>
  <si>
    <t>0004609/2024</t>
  </si>
  <si>
    <t>32T4-6</t>
  </si>
  <si>
    <t>Substituição de 01 (uma) Seccionadora 230 kV posição operacional 34D1-1 da Subestação SJI</t>
  </si>
  <si>
    <t>0004610/2024</t>
  </si>
  <si>
    <t>34D1-1</t>
  </si>
  <si>
    <t>Substituição de 01 (uma) Seccionadora 230 kV posição operacional 34D1-2 da Subestação SJI</t>
  </si>
  <si>
    <t>0004611/2024</t>
  </si>
  <si>
    <t>34D1-2</t>
  </si>
  <si>
    <t>Substituição de 01 (uma) Seccionadora 230 kV posição operacional 34M1-1 da Subestação SJI</t>
  </si>
  <si>
    <t>0004612/2024</t>
  </si>
  <si>
    <t>34M1-1</t>
  </si>
  <si>
    <t>Substituição de 01 (uma) Seccionadora 230 kV posição operacional 34M1-2 da Subestação SJI</t>
  </si>
  <si>
    <t>0004613/2024</t>
  </si>
  <si>
    <t>34M1-2</t>
  </si>
  <si>
    <t>Substituição de 01 (uma) Seccionadora 230 kV posição operacional 34M1-6 da Subestação SJI</t>
  </si>
  <si>
    <t>0004614/2024</t>
  </si>
  <si>
    <t>34M1-6</t>
  </si>
  <si>
    <t>Substituição de 01 (uma) Seccionadora 230 kV posição operacional 34T1-1A da Subestação SJI</t>
  </si>
  <si>
    <t>0004615/2024</t>
  </si>
  <si>
    <t>34T1-1A</t>
  </si>
  <si>
    <t>Substituição de 01 (uma) Seccionadora 230 kV posição operacional 34T1-1B da Subestação SJI</t>
  </si>
  <si>
    <t>0004616/2024</t>
  </si>
  <si>
    <t>34T1-1B</t>
  </si>
  <si>
    <t>Substituição de 01 (uma) Seccionadora 230 kV posição operacional 34T1-2A da Subestação SJI</t>
  </si>
  <si>
    <t>0004617/2024</t>
  </si>
  <si>
    <t>34T1-2A</t>
  </si>
  <si>
    <t>Substituição de 01 (uma) Seccionadora 230 kV posição operacional 34T1-2B da Subestação SJI</t>
  </si>
  <si>
    <t>0004618/2024</t>
  </si>
  <si>
    <t>34T1-2B</t>
  </si>
  <si>
    <t>Substituição de 01 (uma) Seccionadora 230 kV posição operacional 34T1-5A da Subestação SJI</t>
  </si>
  <si>
    <t>0004619/2024</t>
  </si>
  <si>
    <t>34T1-5A</t>
  </si>
  <si>
    <t>Substituição de 01 (uma) Seccionadora 230 kV posição operacional 34T1-5B da Subestação SJI</t>
  </si>
  <si>
    <t>0004620/2024</t>
  </si>
  <si>
    <t>34T1-5B</t>
  </si>
  <si>
    <t>Substituição de 01 (uma) Seccionadora 230 kV posição operacional 34T3-1 da Subestação SJI</t>
  </si>
  <si>
    <t>0004621/2024</t>
  </si>
  <si>
    <t>34T3-1</t>
  </si>
  <si>
    <t>Substituição de 01 (uma) Seccionadora 230 kV posição operacional 34T3-2 da Subestação SJI</t>
  </si>
  <si>
    <t>0004622/2024</t>
  </si>
  <si>
    <t>34T3-2</t>
  </si>
  <si>
    <t>Substituição de 01 (uma) Seccionadora 230 kV posição operacional 34T3-4 da Subestação SJI</t>
  </si>
  <si>
    <t>0004623/2024</t>
  </si>
  <si>
    <t>34T3-4</t>
  </si>
  <si>
    <t>Substituição de 01 (uma) Seccionadora 230 kV posição operacional 34T3-5 da Subestação SJI</t>
  </si>
  <si>
    <t>0004624/2024</t>
  </si>
  <si>
    <t>34T3-5</t>
  </si>
  <si>
    <t>Substituição de 01 (uma) Seccionadora 230 kV posição operacional 34T3-6 da Subestação SJI</t>
  </si>
  <si>
    <t>0004625/2024</t>
  </si>
  <si>
    <t>34T3-6</t>
  </si>
  <si>
    <t>Substituição de 01 (uma) Seccionadora 230 kV posição operacional 34T4-1 da Subestação SJI</t>
  </si>
  <si>
    <t>0004626/2024</t>
  </si>
  <si>
    <t>34T4-1</t>
  </si>
  <si>
    <t>Substituição de 01 (uma) Seccionadora 230 kV posição operacional 34T4-2 da Subestação SJI</t>
  </si>
  <si>
    <t>0004627/2024</t>
  </si>
  <si>
    <t>34T4-2</t>
  </si>
  <si>
    <t>Substituição de 01 (uma) Seccionadora 230 kV posição operacional 34T4-4 da Subestação SJI</t>
  </si>
  <si>
    <t>0004628/2024</t>
  </si>
  <si>
    <t>34T4-4</t>
  </si>
  <si>
    <t>Substituição de 01 (uma) Seccionadora 230 kV posição operacional 34T4-5 da Subestação SJI</t>
  </si>
  <si>
    <t>0004629/2024</t>
  </si>
  <si>
    <t>34T4-5</t>
  </si>
  <si>
    <t>Substituição de 01 (uma) Seccionadora 230 kV posição operacional 34T4-6 da Subestação SJI</t>
  </si>
  <si>
    <t>0004630/2024</t>
  </si>
  <si>
    <t>34T4-6</t>
  </si>
  <si>
    <t>Substituição de 01 (uma) Seccionadora 230 kV posição operacional 34D1-1 da Subestação TSA</t>
  </si>
  <si>
    <t>MG TERESINA / CCO-2001-061 - RB</t>
  </si>
  <si>
    <t>0004631/2024</t>
  </si>
  <si>
    <t>Substituição de 01 (uma) Seccionadora 230 kV posição operacional 34D1-2 da Subestação TSA</t>
  </si>
  <si>
    <t>0004632/2024</t>
  </si>
  <si>
    <t>Substituição de 01 (uma) Seccionadora 230 kV, posição operacional 34T3-1 da Subestação TSA</t>
  </si>
  <si>
    <t>TR 230/69 kV TERESINA TR3 PI</t>
  </si>
  <si>
    <t>0004633/2024</t>
  </si>
  <si>
    <t>Substituição de 01 (uma) Seccionadora 230 kV posição operacional 34T3-2 da Subestação TSA</t>
  </si>
  <si>
    <t>0004634/2024</t>
  </si>
  <si>
    <t>Substituição de 01 (uma) Seccionadora 230 kV, posição operacional 34T3-4 da Subestação TSA</t>
  </si>
  <si>
    <t>0004635/2024</t>
  </si>
  <si>
    <t>Substituição de 01 (uma) Seccionadora 230 kV posição operacional 34T3-5 da Subestação TSA</t>
  </si>
  <si>
    <t>0004636/2024</t>
  </si>
  <si>
    <t>Substituição de 01 (uma) Seccionadora 69 kV, posição operacional 32A1-8 da Subestação RSD</t>
  </si>
  <si>
    <t>MC 69 kV TT 69/13,8 kV RUSSAS II TA1 CE (32A1)</t>
  </si>
  <si>
    <t>0004637/2024</t>
  </si>
  <si>
    <t>Substituição de 01 (uma) Seccionadora 69 kV, posição operacional 32A1-8 da Subestação PRD</t>
  </si>
  <si>
    <t>MC 69 kV TT 69/13,8 kV PIRAPAMA II TA1 PE (32A1)</t>
  </si>
  <si>
    <t>0004640/2024</t>
  </si>
  <si>
    <t>Substituição de 01 (uma) Seccionadora com lâmina de terra 69 kV, posição operacional 32J1-6/7 da Subestação PRD</t>
  </si>
  <si>
    <t>EL 69 kV PIRAPAMA II SIMISA-02J1 (12J1)</t>
  </si>
  <si>
    <t>0004641/2024</t>
  </si>
  <si>
    <t>32J1-6</t>
  </si>
  <si>
    <t>Substituição de 01 (uma) Seccionadora 69 kV posição operacional 32T1-4 da Subestação PRD</t>
  </si>
  <si>
    <t>0004642/2024</t>
  </si>
  <si>
    <t>Substituição de 01 (uma) Seccionadora 69 kV posição operacional 32T1-5 da Subestação PRD</t>
  </si>
  <si>
    <t>0004643/2024</t>
  </si>
  <si>
    <t>32T1-5</t>
  </si>
  <si>
    <t>Substituição de 01 (uma) Seccionadora 69 kV, posição operacional 32T1-6 da Subestação PRD</t>
  </si>
  <si>
    <t>0004644/2024</t>
  </si>
  <si>
    <t>32T1-6</t>
  </si>
  <si>
    <t>Substituição de 01 (uma) Seccionadora 69 kV, posição operacional 32D1-1 da Subestação SJI</t>
  </si>
  <si>
    <t>0004646/2024</t>
  </si>
  <si>
    <t>Substituição de 01 (uma) Seccionadora 69 kV, posição operacional 32J1-4 da Subestação TSA</t>
  </si>
  <si>
    <t>EL 69 kV TERESINA DIST1 (12J1)</t>
  </si>
  <si>
    <t>0004678/2024</t>
  </si>
  <si>
    <t>32J1-4</t>
  </si>
  <si>
    <t>Substituição de 01 (uma) Seccionadora com lâmina de terra 69 kV, posição operacional 32J1-5/7 da Subestação TSA</t>
  </si>
  <si>
    <t>0004679/2024</t>
  </si>
  <si>
    <t>32J1-5</t>
  </si>
  <si>
    <t>Substituição de 01 (uma) Seccionadora 69 kV, posição operacional 32J1-6 da Subestação TSA</t>
  </si>
  <si>
    <t>0004680/2024</t>
  </si>
  <si>
    <t>Substituição de 01 (uma) Seccionadora 69 kV, posição operacional 32J2-4 da Subestação TSA</t>
  </si>
  <si>
    <t>EL 69 kV TERESINA DIST2 (12J2)</t>
  </si>
  <si>
    <t>0004681/2024</t>
  </si>
  <si>
    <t>32J2-4</t>
  </si>
  <si>
    <t>Substituição de 01 (uma) Seccionadora com lâmina de terra 69 kV, posição operacional 32J2-5/7 da Subestação TSA</t>
  </si>
  <si>
    <t>0004682/2024</t>
  </si>
  <si>
    <t>32J2-5</t>
  </si>
  <si>
    <t>Substituição de 01 (uma) Seccionadora 69 kV, posição operacional 32J2-6 da Subestação TSA</t>
  </si>
  <si>
    <t>0004683/2024</t>
  </si>
  <si>
    <t>32J2-6</t>
  </si>
  <si>
    <t>Substituição de 01 (uma) Seccionadora 69 kV, posição operacional 32J3-4 da Subestação TSA</t>
  </si>
  <si>
    <t>EL 69 kV TERESINA DIST3 (12J3)</t>
  </si>
  <si>
    <t>0004684/2024</t>
  </si>
  <si>
    <t>32J3-4</t>
  </si>
  <si>
    <t>Substituição de 01 (uma) Seccionadora com lâmina de terra 69 kV, posição operacional 32J3-5/7 da Subestação TSA</t>
  </si>
  <si>
    <t>0004685/2024</t>
  </si>
  <si>
    <t>32J3-5</t>
  </si>
  <si>
    <t>Substituição de 01 (uma) Seccionadora 69 kV, posição operacional 32J3-6 da Subestação TSA</t>
  </si>
  <si>
    <t>0004686/2024</t>
  </si>
  <si>
    <t>32J3-6</t>
  </si>
  <si>
    <t>Substituição de 01 (uma) Seccionadora 69 kV, posição operacional 32J4-4 da Subestação TSA</t>
  </si>
  <si>
    <t>EL 69 kV TERESINA DIST4 (12J4)</t>
  </si>
  <si>
    <t>0004687/2024</t>
  </si>
  <si>
    <t>32J4-4</t>
  </si>
  <si>
    <t>Substituição de 01 (uma) Seccionadora com lâmina de terra 69 kV, posição operacional 32J4-5/7 da Subestação TSA</t>
  </si>
  <si>
    <t>0004688/2024</t>
  </si>
  <si>
    <t>32J4-5</t>
  </si>
  <si>
    <t>Substituição de 01 (uma) Seccionadora 69 kV, posição operacional 32J4-6 da Subestação TSA</t>
  </si>
  <si>
    <t>0004689/2024</t>
  </si>
  <si>
    <t>32J4-6</t>
  </si>
  <si>
    <t>Substituição de 01 (uma) Seccionadora 69 kV, posição operacional 32J5-4 da Subestação TSA</t>
  </si>
  <si>
    <t>EL 69 kV TERESINA DIST5 (12J5)</t>
  </si>
  <si>
    <t>0004690/2024</t>
  </si>
  <si>
    <t>32J5-4</t>
  </si>
  <si>
    <t>Substituição de 01 (uma) Seccionadora com lâmina de terra 69 kV, posição operacional 32J5-5/7 da Subestação TSA</t>
  </si>
  <si>
    <t>0004691/2024</t>
  </si>
  <si>
    <t>32J5-5</t>
  </si>
  <si>
    <t>Substituição de 01 (uma) Seccionadora 69 kV, posição operacional 32J5-6 da Subestação TSA</t>
  </si>
  <si>
    <t>0004692/2024</t>
  </si>
  <si>
    <t>32J5-6</t>
  </si>
  <si>
    <t>Substituição de 01 (uma) Seccionadora 69 kV, posição operacional 32J6-4 da Subestação TSA</t>
  </si>
  <si>
    <t>EL 69 kV TERESINA DIST6 (12J6)</t>
  </si>
  <si>
    <t>0004693/2024</t>
  </si>
  <si>
    <t>32J6-4</t>
  </si>
  <si>
    <t>Substituição de 01 (uma) Seccionadora com lâmina de terra 69 kV, posição operacional 32J6-5/7 da Subestação TSA</t>
  </si>
  <si>
    <t>0004694/2024</t>
  </si>
  <si>
    <t>32J6-5</t>
  </si>
  <si>
    <t>Substituição de 01 (uma) Seccionadora 69 kV, posição operacional 32J6-6 da Subestação TSA</t>
  </si>
  <si>
    <t>0004695/2024</t>
  </si>
  <si>
    <t>32J6-6</t>
  </si>
  <si>
    <t>Substituição de 01 (uma) Seccionadora 69 kV, posição operacional 32J1-4 da Subestação RSD</t>
  </si>
  <si>
    <t>EL 69 kV RUSSAS II DIST1 (12J1)</t>
  </si>
  <si>
    <t>0004696/2024</t>
  </si>
  <si>
    <t>Substituição de 01 (uma) Seccionadora com lâmina de terra 69 kV, posição operacional 32J1-5/7 da Subestação RSD</t>
  </si>
  <si>
    <t>0004697/2024</t>
  </si>
  <si>
    <t>Substituição de 01 (uma) Seccionadora 69 kV, posição operacional 32J1-6 da Subestação RSD</t>
  </si>
  <si>
    <t>0004698/2024</t>
  </si>
  <si>
    <t>Substituição de 01 (uma) Seccionadora com lâmina de terra 69 kV, posição operacional 32J2-5/7 da Subestação RSD</t>
  </si>
  <si>
    <t>EL 69 kV RUSSAS II DIST2 (12J2)</t>
  </si>
  <si>
    <t>0004699/2024</t>
  </si>
  <si>
    <t>Substituição de 01 (uma) Seccionadora com lâmina de terra 69 kV,  posição operacional 32J4-5/7 da Subestação RSD</t>
  </si>
  <si>
    <t>EL 69 kV RUSSAS II DIST3 (12J4)</t>
  </si>
  <si>
    <t>0004700/2024</t>
  </si>
  <si>
    <t>Substituição de 01 (uma) Seccionadora 69 kV, posição operacional 32J4-6 da Subestação RSD</t>
  </si>
  <si>
    <t>0004701/2024</t>
  </si>
  <si>
    <t>Substituição de 01 (uma) Seccionadora 69 kV, posição operacional 32J5-4 da Subestação RSD</t>
  </si>
  <si>
    <t>EL 69 kV RUSSAS II DIST4 (12J5)</t>
  </si>
  <si>
    <t>0004702/2024</t>
  </si>
  <si>
    <t>Substituição de 01 (uma) Seccionadora com lâmina de terra 69 kV, posição operacional 32J5-5/7 da Subestação RSD</t>
  </si>
  <si>
    <t>0004703/2024</t>
  </si>
  <si>
    <t>Substituição de 01 (uma) Seccionadora 69 kV, posição operacional 32J6-4 da Subestação RSD</t>
  </si>
  <si>
    <t>EL 69 kV RUSSAS II DIST5 (12J6)</t>
  </si>
  <si>
    <t>0004704/2024</t>
  </si>
  <si>
    <t>Substituição de 01 (uma) Seccionadora com lâmina de terra 69 kV, posição operacional 32J6-5/7 da Subestação RSD</t>
  </si>
  <si>
    <t>0004705/2024</t>
  </si>
  <si>
    <t>Substituição de 01 (uma) Seccionadora 230 kV posição operacional 34C1-1 da Subestação RSD</t>
  </si>
  <si>
    <t>LT 230 kV BANABUIU /RUSSAS II C-1 CE</t>
  </si>
  <si>
    <t>0004706/2024</t>
  </si>
  <si>
    <t>34C1-1</t>
  </si>
  <si>
    <t>Substituição de 01 (uma) Seccionadora 230 kV posição operacional 34C1-2 da Subestação RSD</t>
  </si>
  <si>
    <t>0004707/2024</t>
  </si>
  <si>
    <t>34C1-2</t>
  </si>
  <si>
    <t>Substituição de 01 (uma) Seccionadora 230 kV posição operacional 34C1-4 da Subestação RSD</t>
  </si>
  <si>
    <t>0004708/2024</t>
  </si>
  <si>
    <t>34C1-4</t>
  </si>
  <si>
    <t>Substituição de 01 (uma) Seccionadora com lâmina de terra 230 kV, posição operacional 34C1-5/7 da Subestação RSD</t>
  </si>
  <si>
    <t>0004709/2024</t>
  </si>
  <si>
    <t>34C1-5</t>
  </si>
  <si>
    <t>Substituição de 01 (uma) Seccionadora 230 kV posição operacional 34C1-6 da Subestação RSD</t>
  </si>
  <si>
    <t>0004710/2024</t>
  </si>
  <si>
    <t>34C1-6</t>
  </si>
  <si>
    <t>Substituição de 01 (uma) Seccionadora 230 kV posição operacional 34C2-1 da Subestação RSD</t>
  </si>
  <si>
    <t>0004711/2024</t>
  </si>
  <si>
    <t>34C2-1</t>
  </si>
  <si>
    <t>Substituição de 01 (uma) Seccionadora 230 kV posição operacional 34C2-2 da Subestação RSD</t>
  </si>
  <si>
    <t>0004712/2024</t>
  </si>
  <si>
    <t>34C2-2</t>
  </si>
  <si>
    <t>Substituição de 01 (uma) Seccionadora 230 kV posição operacional 34C2-4 da Subestação RSD</t>
  </si>
  <si>
    <t>0004713/2024</t>
  </si>
  <si>
    <t>34C2-4</t>
  </si>
  <si>
    <t>Substituição de 01 (uma) Seccionadora com lâmina de terra 230 kV, posição operacional 34C2-5/7 da Subestação RSD</t>
  </si>
  <si>
    <t>0004714/2024</t>
  </si>
  <si>
    <t>34C2-5</t>
  </si>
  <si>
    <t>Substituição de 01 (uma) Seccionadora 230 kV posição operacional 34C2-6 da Subestação RSD</t>
  </si>
  <si>
    <t>0004715/2024</t>
  </si>
  <si>
    <t>34C2-6</t>
  </si>
  <si>
    <t>Substituição de 01 (uma) Seccionadora 230 kV posição operacional 34T1-1 da Subestação RSD</t>
  </si>
  <si>
    <t>TR 230/69 kV RUSSAS II TR1 CE</t>
  </si>
  <si>
    <t>0004716/2024</t>
  </si>
  <si>
    <t>34T1-1</t>
  </si>
  <si>
    <t>Substituição de 01 (uma) Seccionadora 230 kV posição operacional 34T1-2 da Subestação RSD</t>
  </si>
  <si>
    <t>0004717/2024</t>
  </si>
  <si>
    <t>34T1-2</t>
  </si>
  <si>
    <t>Substituição de 01 (uma) Seccionadora 230 kV posição operacional 34T1-4 da Subestação RSD</t>
  </si>
  <si>
    <t>0004718/2024</t>
  </si>
  <si>
    <t>Substituição de 01 (uma) Seccionadora 230 kV posição operacional 34T1-5 da Subestação RSD</t>
  </si>
  <si>
    <t>0004719/2024</t>
  </si>
  <si>
    <t>Substituição de 01 (uma) Seccionadora 230 kV posição operacional 34T1-6 da Subestação RSD</t>
  </si>
  <si>
    <t>0004720/2024</t>
  </si>
  <si>
    <t>34T1-6</t>
  </si>
  <si>
    <t>Substituição de 01 (uma) Seccionadora 69 kV, posição operacional 32D1-1 da Subestação SBD</t>
  </si>
  <si>
    <t>IB 69 kV MG 230 kV SOBRAL II MG1 CE IB1 (12D1)</t>
  </si>
  <si>
    <t>0004721/2024</t>
  </si>
  <si>
    <t>Substituição de 01 (uma) Seccionadora 69 kV, posição operacional 32D1-2 da Subestação SBD</t>
  </si>
  <si>
    <t>0004722/2024</t>
  </si>
  <si>
    <t>Substituição de 01 (uma) Seccionadora 69 kV, posição operacional 32H1-4 da Subestação SBD</t>
  </si>
  <si>
    <t>MC 69 kV BC 69 kV 24,4 Mvar SOBRAL II BC1 CE (12H1)</t>
  </si>
  <si>
    <t>0004723/2024</t>
  </si>
  <si>
    <t>32H1-4</t>
  </si>
  <si>
    <t>Substituição de 01 (uma) Seccionadora 69 kV, posição operacional 32H1-7 da Subestação SBD</t>
  </si>
  <si>
    <t>0004724/2024</t>
  </si>
  <si>
    <t>32H1-7</t>
  </si>
  <si>
    <t>Substituição de 01 (uma) Seccionadora 69 kV, posição operacional 32H2-4 da Subestação SBD</t>
  </si>
  <si>
    <t>MC 69 kV BC 69 kV 24,4 Mvar SOBRAL II BC2 CE (12H2)</t>
  </si>
  <si>
    <t>0004725/2024</t>
  </si>
  <si>
    <t>32H2-4</t>
  </si>
  <si>
    <t>Substituição de 01 (uma) Seccionadora 69 kV, posição operacional 32H2-7 da Subestação SBD</t>
  </si>
  <si>
    <t>0004726/2024</t>
  </si>
  <si>
    <t>32H2-7</t>
  </si>
  <si>
    <t>Substituição de 01 (uma) Seccionadora 69 kV, posição operacional 32J6-4 da Subestação SBD</t>
  </si>
  <si>
    <t>EL 69 kV SOBRAL II DIST6 (12J6)</t>
  </si>
  <si>
    <t>0004727/2024</t>
  </si>
  <si>
    <t>Substituição de 01 (uma) Seccionadora com lâmina de terra 69 kV, posição operacional 32J6-5/7 da Subestação SBD</t>
  </si>
  <si>
    <t>0004728/2024</t>
  </si>
  <si>
    <t>Substituição de 01 (uma) Seccionadora 69 kV, posição operacional 32J6-6 da Subestação SBD</t>
  </si>
  <si>
    <t>0004729/2024</t>
  </si>
  <si>
    <t>Substituição de 01 (uma) Seccionadora 69 kV, posição operacional 32T1-4 da Subestação SBD</t>
  </si>
  <si>
    <t>0004730/2024</t>
  </si>
  <si>
    <t>32T1-4</t>
  </si>
  <si>
    <t>Substituição de 01 (uma) Seccionadora 69 kV, posição operacional 32T1-5 da Subestação SBD</t>
  </si>
  <si>
    <t>0004731/2024</t>
  </si>
  <si>
    <t>Substituição de 01 (uma) Seccionadora 69 kV, posição operacional 32T1-6 da Subestação SBD</t>
  </si>
  <si>
    <t>0004732/2024</t>
  </si>
  <si>
    <t>Substituição de 01 (uma) Seccionadora 69 kV, posição operacional 32T2-4 da Subestação SBD</t>
  </si>
  <si>
    <t>0004733/2024</t>
  </si>
  <si>
    <t>32T2-4</t>
  </si>
  <si>
    <t>Substituição de 01 (uma) Seccionadora 69 kV, posição operacional 32T2-5 da Subestação SBD</t>
  </si>
  <si>
    <t>0004734/2024</t>
  </si>
  <si>
    <t>32T2-5</t>
  </si>
  <si>
    <t>Substituição de 01 (uma) Seccionadora 69 kV, posição operacional 32T2-6 da Subestação SBD</t>
  </si>
  <si>
    <t>0004735/2024</t>
  </si>
  <si>
    <t>32T2-6</t>
  </si>
  <si>
    <t>Substituição de 01 (uma) Seccionadora 69 kV, posição operacional 32A2-8 da Subestação PRD</t>
  </si>
  <si>
    <t>MC 69 kV TT 69/13,8 kV PIRAPAMA II TA2 PE (32A2)</t>
  </si>
  <si>
    <t>0004736/2024</t>
  </si>
  <si>
    <t>32A2-8</t>
  </si>
  <si>
    <t>Substituição de 01 (uma) Seccionadora 69 kV posição operacional 32D1-1 da Subestação PRD</t>
  </si>
  <si>
    <t>IB 69 kV MG 230 kV PIRAPAMA II MG1 PE IB1 (12D1)</t>
  </si>
  <si>
    <t>0004737/2024</t>
  </si>
  <si>
    <t>Substituição de 01 (uma) Seccionadora 69 kV posição operacional 32D1-2 da Subestação PRD</t>
  </si>
  <si>
    <t>0004738/2024</t>
  </si>
  <si>
    <t>Substituição de 01 (uma) Seccionadora 69 kV, posição operacional 32H1-4 da Subestação PRD</t>
  </si>
  <si>
    <t>MC 69 kV BC 69 kV 20,3 Mvar PIRAPAMA II BC1 PE (02H1)</t>
  </si>
  <si>
    <t>0004739/2024</t>
  </si>
  <si>
    <t>Substituição de 01 (uma) Seccionadora 69 kV, posição operacional 32H1-7 da Subestação PRD</t>
  </si>
  <si>
    <t>0004740/2024</t>
  </si>
  <si>
    <t>Substituição de 01 (uma) Seccionadora 69 kV, posição operacional 32T2-5 da Subestação PRD</t>
  </si>
  <si>
    <t>0004742/2024</t>
  </si>
  <si>
    <t>Substituição de 01 (uma) Seccionadora 69 kV, posição operacional 32T2-6 da Subestação PRD</t>
  </si>
  <si>
    <t>0004743/2024</t>
  </si>
  <si>
    <t>Substituição de 01 (uma) Seccionadora 69 kV, posição operacional 32T3-4 da Subestação PRD</t>
  </si>
  <si>
    <t>0004744/2024</t>
  </si>
  <si>
    <t>Substituição de 01 (uma) Seccionadora 69 kV, posição operacional 32T3-5 da Subestação PRD</t>
  </si>
  <si>
    <t>0004745/2024</t>
  </si>
  <si>
    <t>Substituição de 01 (uma) Seccionadora 69 kV, posição operacional 32T3-6 da Subestação PRD</t>
  </si>
  <si>
    <t>0004746/2024</t>
  </si>
  <si>
    <t>Substituição de 01 (uma) Seccionadora 230 kV posição operacional 34D1-2 da Subestação PRD</t>
  </si>
  <si>
    <t>0004747/2024</t>
  </si>
  <si>
    <t>Substituição do disjuntor de 230 KV - SMDJ6-08 - 06CY.</t>
  </si>
  <si>
    <t>0004749/2024</t>
  </si>
  <si>
    <t>SMDJ608</t>
  </si>
  <si>
    <t>Substituição de 01 (uma) Seccionadora 230 kV, posição operacional 34T2-5 da Subestação PRD</t>
  </si>
  <si>
    <t>0004748/2024</t>
  </si>
  <si>
    <t>34T2-5</t>
  </si>
  <si>
    <t>Substituição de 01 (uma) Seccionadora 230 kV posição operacional 34M1-4 da Subestação RIB</t>
  </si>
  <si>
    <t>0004750/2024</t>
  </si>
  <si>
    <t>34M1-4</t>
  </si>
  <si>
    <t>Substituição do Disjuntor de 500KV - MCDJ7-13 - VÃO C.</t>
  </si>
  <si>
    <t>RTB 500 kV 136 MVAr MIRACEMA RT3 TO</t>
  </si>
  <si>
    <t>0004751/2024</t>
  </si>
  <si>
    <t>MCDJ713</t>
  </si>
  <si>
    <t>Substituição de 01 (uma) Seccionadora com lâmina de terra 230kV, posição operacional 34M1-5/7 da Subestação RIB</t>
  </si>
  <si>
    <t>0004752/2024</t>
  </si>
  <si>
    <t>34M1-5</t>
  </si>
  <si>
    <t>Substituição de 01 (uma) Seccionadora 230 kV posição operacional 34M1-6 da Subestação RIB</t>
  </si>
  <si>
    <t>0004753/2024</t>
  </si>
  <si>
    <t>Substituição do disjuntor de 230 KV - VCDJ6-30 - C2.</t>
  </si>
  <si>
    <t>TR 230/69 kV UTINGA TF2 PA</t>
  </si>
  <si>
    <t>0004754/2024</t>
  </si>
  <si>
    <t>VCDJ630</t>
  </si>
  <si>
    <t>Substituição de 01 (uma) Seccionadora 69 kV, posição operacional 32H1-4 da Subestação NTD</t>
  </si>
  <si>
    <t>MC 69 kV BC 69 kV 21,3 Mvar NATAL II BC1 RN (12H1)</t>
  </si>
  <si>
    <t>0004755/2024</t>
  </si>
  <si>
    <t>Substituição de 01 (uma) Seccionadora 69 kV, posição operacional 32H1-7 da Subestação NTD</t>
  </si>
  <si>
    <t>0004756/2024</t>
  </si>
  <si>
    <t>Substituição de 01 (uma) Seccionadora 69 kV, posição operacional 32H2-4 da Subestação NTD</t>
  </si>
  <si>
    <t>MC 69 kV BC 69 kV 21,3 Mvar NATAL II BC2 RN (12H2)</t>
  </si>
  <si>
    <t>0004757/2024</t>
  </si>
  <si>
    <t>Substituição do disjuntor de 230 KV - LDDJ6-19 - Da Linha São Luis II - Miranda - LDMRLT6-01 - C1.</t>
  </si>
  <si>
    <t>0004758/2024</t>
  </si>
  <si>
    <t>LDDJ619</t>
  </si>
  <si>
    <t>Substituição de 01 (uma) Seccionadora 69 kV, posição operacional 32H2-7 da Subestação NTD</t>
  </si>
  <si>
    <t>0004759/2024</t>
  </si>
  <si>
    <t>Substituição de 01 (uma) Seccionadora 69 kV, posição operacional 32H3-4 da Subestação NTD</t>
  </si>
  <si>
    <t>MC 69 kV BC 69 kV 21,3 Mvar NATAL II BC3 RN (12H3)</t>
  </si>
  <si>
    <t>0004760/2024</t>
  </si>
  <si>
    <t>32H3-4</t>
  </si>
  <si>
    <t>Substituição do disjuntor de 230 KV - SMDB6-01.</t>
  </si>
  <si>
    <t>0004761/2024</t>
  </si>
  <si>
    <t>SMDB601</t>
  </si>
  <si>
    <t>Substituição de 01 (uma) Seccionadora 69 kV, posição operacional 32H3-7 da Subestação NTD</t>
  </si>
  <si>
    <t>0004762/2024</t>
  </si>
  <si>
    <t>32H3-7</t>
  </si>
  <si>
    <t>Substituição de 01 (uma) Seccionadora 69 kV, posição operacional 32D1-1 da Subestação ITB</t>
  </si>
  <si>
    <t>IB 69 kV MG 230 kV ITABAIANA MG1 SE IB1 (12D1)</t>
  </si>
  <si>
    <t>0004763/2024</t>
  </si>
  <si>
    <t>Substituição de 01 (uma) Seccionadora 69 kV, posição operacional 32D1-2 da Subestação ITB</t>
  </si>
  <si>
    <t>0004764/2024</t>
  </si>
  <si>
    <t>Substituição do disjuntor de 230 KV - SMDJ6-09.</t>
  </si>
  <si>
    <t>0004766/2024</t>
  </si>
  <si>
    <t>SMDJ609</t>
  </si>
  <si>
    <t>Substituição de 01 (uma) Seccionadora 69 kV, posição operacional 32T2-6 da Subestação ITB</t>
  </si>
  <si>
    <t>TR 230/69 kV ITABAIANA TR2 SE</t>
  </si>
  <si>
    <t>0004767/2024</t>
  </si>
  <si>
    <t>Substituição do disjuntor de 230 KV - SMDJ6-10.</t>
  </si>
  <si>
    <t>0004769/2024</t>
  </si>
  <si>
    <t>SMDJ610</t>
  </si>
  <si>
    <t>Substituição de 01 (uma) Seccionadora 69 kV, posição operacional 32D1-1 da subestação JDM</t>
  </si>
  <si>
    <t>IB 69 kV MG 500 kV JARDIM MG1 SE IB1 (12D1)</t>
  </si>
  <si>
    <t>0004770/2024</t>
  </si>
  <si>
    <t>Substituição de 01 (uma) Seccionadora 69 kV, posição operacional 32D1-2 da subestação JDM</t>
  </si>
  <si>
    <t>0004772/2024</t>
  </si>
  <si>
    <t>Substituição do Disjuntor de 230 KV - LDDJ6-05.</t>
  </si>
  <si>
    <t>0004773/2024</t>
  </si>
  <si>
    <t>LDDJ605</t>
  </si>
  <si>
    <t>Substituição de 01 (uma) Seccionadora 230 kV, posição operacional 34D1-1 da subestação JDM</t>
  </si>
  <si>
    <t>0004774/2024</t>
  </si>
  <si>
    <t>Substituição de 01 (uma) Seccionadora 230 kV, posição operacional 34D1-2 da subestação JDM</t>
  </si>
  <si>
    <t>0004775/2024</t>
  </si>
  <si>
    <t>Substituição do Disjuntor de 230 KV - LDDJ6-06.</t>
  </si>
  <si>
    <t>0004776/2024</t>
  </si>
  <si>
    <t>LDDJ606</t>
  </si>
  <si>
    <t>Substituição de 01 (uma) Seccionadora 69 kV, posição operacional 32A2-8 da subestação JDM</t>
  </si>
  <si>
    <t>MC 69 kV TT 69/13,8 kV JARDIM TA2 SE (32A2)</t>
  </si>
  <si>
    <t>0004777/2024</t>
  </si>
  <si>
    <t>Substituição do Disjuntor de 230 KV - LDDJ6-10.</t>
  </si>
  <si>
    <t>0004778/2024</t>
  </si>
  <si>
    <t>LDDJ610</t>
  </si>
  <si>
    <t>Substituição do Disjuntor de 230KV - LDDJ6-15.</t>
  </si>
  <si>
    <t>0004779/2024</t>
  </si>
  <si>
    <t>LDDJ615</t>
  </si>
  <si>
    <t>Substituição de 01 (uma) Seccionadora 69 kV, posição operacional 32T1-4 da subestação JDM</t>
  </si>
  <si>
    <t>0009019/2024</t>
  </si>
  <si>
    <t>Substituição do Disjuntor de 500KV - LDDJ7-07.</t>
  </si>
  <si>
    <t>0005513/2024</t>
  </si>
  <si>
    <t>LDDJ707</t>
  </si>
  <si>
    <t>Substituição de 01 (uma) Seccionadora 69 kV, posição operacional 32T1-5 da subestação JDM</t>
  </si>
  <si>
    <t>0004783/2024</t>
  </si>
  <si>
    <t>Substituição de 01 (uma) Seccionadora 69 kV, posição operacional 32T1-6 da subestação JDM</t>
  </si>
  <si>
    <t>0004785/2024</t>
  </si>
  <si>
    <t>Substituição de 01 (uma) Seccionadora 69 kV, posição operacional 32T2-4 da subestação JDM</t>
  </si>
  <si>
    <t>TR 230/69 kV JARDIM TR2 SE</t>
  </si>
  <si>
    <t>0004786/2024</t>
  </si>
  <si>
    <t>Substituição de 01 (uma) Seccionadora 69 kV, posição operacional 32T2-5 da subestação JDM</t>
  </si>
  <si>
    <t>0004787/2024</t>
  </si>
  <si>
    <t>Substituição de 01 (uma) Seccionadora 69 kV, posição operacional 32T2-6 da subestação JDM</t>
  </si>
  <si>
    <t>0004789/2024</t>
  </si>
  <si>
    <t>Substituição do Disjuntor de 500KV - VCDJ7-09.</t>
  </si>
  <si>
    <t>TR 500/230 kV VILA DO CONDE TR3 PA</t>
  </si>
  <si>
    <t>0004790/2024</t>
  </si>
  <si>
    <t>VCDJ709</t>
  </si>
  <si>
    <t>Substituição do Disjuntor de 500KV -VCDJ7-08.</t>
  </si>
  <si>
    <t>0004792/2024</t>
  </si>
  <si>
    <t>VCDJ708</t>
  </si>
  <si>
    <t>Substituição de 01 (uma) Seccionadora 69 kV, posição operacional 32V2-4 da subestação JDM</t>
  </si>
  <si>
    <t>EL 69 kV JARDIM TAICOCA (12V2)</t>
  </si>
  <si>
    <t>0004793/2024</t>
  </si>
  <si>
    <t>32V2-4</t>
  </si>
  <si>
    <t>Substituição de 01 (uma) Seccionadora 69 kV, posição operacional 32V2-5 da subestação JDM</t>
  </si>
  <si>
    <t>0004795/2024</t>
  </si>
  <si>
    <t>32V2-5</t>
  </si>
  <si>
    <t>Substituição do disjuntor de 230 KV - ANDJ6-02.</t>
  </si>
  <si>
    <t>LT 230 kV ABUNA /PORTO VELHO C-1 RO</t>
  </si>
  <si>
    <t>0004796/2024</t>
  </si>
  <si>
    <t>ANDJ602</t>
  </si>
  <si>
    <t>Substituição de 01 (uma) Seccionadora com lâmina de terra 69 kV, posição operacional 32V2-6/7 da subestação JDM</t>
  </si>
  <si>
    <t>0004798/2024</t>
  </si>
  <si>
    <t>32V2-6</t>
  </si>
  <si>
    <t>Substituição do disjuntor de 230 KV - ANDJ6-03.</t>
  </si>
  <si>
    <t>0004799/2024</t>
  </si>
  <si>
    <t>ANDJ603</t>
  </si>
  <si>
    <t>Substituição do disjuntor de 230 KV - ANDJ6-09.</t>
  </si>
  <si>
    <t>TR 230/138 kV ABUNA TR1 RO</t>
  </si>
  <si>
    <t>0004801/2024</t>
  </si>
  <si>
    <t>ANDJ609</t>
  </si>
  <si>
    <t>Substituição de 01 (uma) Seccionadora 230 kV, posição operacional 34C2-1 da subestação JDM</t>
  </si>
  <si>
    <t>0004803/2024</t>
  </si>
  <si>
    <t>Substituição do Disjuntor de 69KV - AQDJ4-01.</t>
  </si>
  <si>
    <t>TR 230/69 kV ARIQUEMES TR1 RO</t>
  </si>
  <si>
    <t>0005527/2024</t>
  </si>
  <si>
    <t>AQDJ401</t>
  </si>
  <si>
    <t>Substituição de 01 (uma) Seccionadora 230 kV, posição operacional 34C2-2 da subestação JDM</t>
  </si>
  <si>
    <t>0004804/2024</t>
  </si>
  <si>
    <t>Substituição do Disjuntor de 69KV - AQDJ4-04.</t>
  </si>
  <si>
    <t>TR 230/69 kV ARIQUEMES TR2 RO</t>
  </si>
  <si>
    <t>0005530/2024</t>
  </si>
  <si>
    <t>AQDJ404</t>
  </si>
  <si>
    <t>Substituição de 01 (uma) Seccionadora 230 kV, posição operacional 34C2-4 da subestação JDM</t>
  </si>
  <si>
    <t>0004805/2024</t>
  </si>
  <si>
    <t>Substituição de 01 (uma) Seccionadora 230 kV, posição operacional 34C2-5 da subestação JDM</t>
  </si>
  <si>
    <t>0004806/2024</t>
  </si>
  <si>
    <t>Substituição de 01 (uma) Seccionadora com lâmina de terra 230 kV, posição operacional 34C2-6/7 da subestação JDM</t>
  </si>
  <si>
    <t>0004807/2024</t>
  </si>
  <si>
    <t>Substituição de 01 (uma) Seccionadora 230 kV, posição operacional 34T1-1 da subestação JDM</t>
  </si>
  <si>
    <t>0004808/2024</t>
  </si>
  <si>
    <t>Substituição de 01 (uma) Seccionadora 230 kV, posição operacional 34T1-2 da subestação JDM</t>
  </si>
  <si>
    <t>0004809/2024</t>
  </si>
  <si>
    <t>Substituição de 01 (uma) Seccionadora 230 kV, posição operacional 34T1-4 da subestação JDM</t>
  </si>
  <si>
    <t>0004810/2024</t>
  </si>
  <si>
    <t>Substituição de 01 (uma) Seccionadora 230 kV, posição operacional 34T1-5 da subestação JDM</t>
  </si>
  <si>
    <t>0004811/2024</t>
  </si>
  <si>
    <t>Substituição de 01 (uma) Seccionadora 230 kV, posição operacional 34T1-6 da subestação JDM</t>
  </si>
  <si>
    <t>0004812/2024</t>
  </si>
  <si>
    <t>Substituição de 01 (uma) Seccionadora 230 kV, posição operacional 34T2-1 da subestação JDM</t>
  </si>
  <si>
    <t>0004813/2024</t>
  </si>
  <si>
    <t>34T2-1</t>
  </si>
  <si>
    <t>Substituição de 01 (uma) Seccionadora 230 kV, posição operacional 34T2-2 da subestação JDM</t>
  </si>
  <si>
    <t>0004814/2024</t>
  </si>
  <si>
    <t>34T2-2</t>
  </si>
  <si>
    <t>Substituição do Disjuntor de 69KV - JRDJ4-04.</t>
  </si>
  <si>
    <t>TR 230/69 kV JARU 2 RO</t>
  </si>
  <si>
    <t>0005532/2024</t>
  </si>
  <si>
    <t>JRDJ404</t>
  </si>
  <si>
    <t>Substituição de 01 (uma) Seccionadora 230 kV, posição operacional 34T2-4 da subestação JDM</t>
  </si>
  <si>
    <t>0004815/2024</t>
  </si>
  <si>
    <t>34T2-4</t>
  </si>
  <si>
    <t>Substituição de 01 (uma) Seccionadora 230 kV, posição operacional 34T2-5 da subestação JDM</t>
  </si>
  <si>
    <t>0004816/2024</t>
  </si>
  <si>
    <t>Substituição do Disjuntor de 69KV - MMDB4-01.</t>
  </si>
  <si>
    <t>0004817/2024</t>
  </si>
  <si>
    <t>MMDB401</t>
  </si>
  <si>
    <t>Substituição de 01 (uma) Seccionadora 230 kV, posição operacional 34T2-6 da subestação JDM</t>
  </si>
  <si>
    <t>0004818/2024</t>
  </si>
  <si>
    <t>34T2-6</t>
  </si>
  <si>
    <t>Substituição de 01 (uma) Seccionadora 69 kV, posição operacional 32D1-2 da Subestação NTD</t>
  </si>
  <si>
    <t>IB 69 kV MG 230 kV NATAL II MG1 RN IB1 (12D1)</t>
  </si>
  <si>
    <t>0004819/2024</t>
  </si>
  <si>
    <t>Substituição do Disjuntor de 69KV - MMDJ4-04.</t>
  </si>
  <si>
    <t>0004820/2024</t>
  </si>
  <si>
    <t>MMDJ404</t>
  </si>
  <si>
    <t>Substituição de 01 (uma) chave seccionadora de 69 kV, posição operacional 32H1-4, da subestação de BGI.</t>
  </si>
  <si>
    <t>MC 69 kV BC 69 kV 20,3 Mvar BONGI BC1 PE (02H1)</t>
  </si>
  <si>
    <t>0004821/2024</t>
  </si>
  <si>
    <t>Substituição do Disjuntor de 69KV - MMDJ4-07.</t>
  </si>
  <si>
    <t>0004822/2024</t>
  </si>
  <si>
    <t>MMDJ407</t>
  </si>
  <si>
    <t>Substituição de 01 (uma) chave seccionadora de 69 kV, posição operacional 32H1-7, da subestação de BGI.</t>
  </si>
  <si>
    <t>0004823/2024</t>
  </si>
  <si>
    <t>Substituição do disjuntor de 230 KV - NMDJ6-01.</t>
  </si>
  <si>
    <t>0004824/2024</t>
  </si>
  <si>
    <t>NMDJ601</t>
  </si>
  <si>
    <t>Substituição do Disjuntor de 69KV - PDDJ4-04.</t>
  </si>
  <si>
    <t>0004825/2024</t>
  </si>
  <si>
    <t>PDDJ404</t>
  </si>
  <si>
    <t>Substituição do Disjuntor de 500KV - PDDJ7-05.</t>
  </si>
  <si>
    <t>0004827/2024</t>
  </si>
  <si>
    <t>PDDJ705</t>
  </si>
  <si>
    <t>Substituição do Disjuntor de 500KV - PDDJ7-14.</t>
  </si>
  <si>
    <t>0004829/2024</t>
  </si>
  <si>
    <t>PDDJ714</t>
  </si>
  <si>
    <t>Substituição do Disjuntor de 69KV - RBDJ4-01.</t>
  </si>
  <si>
    <t>TR 230/69 kV RIO BRANCO 1 TR3 AC</t>
  </si>
  <si>
    <t>0004832/2024</t>
  </si>
  <si>
    <t>RBDJ401</t>
  </si>
  <si>
    <t>Substituição de 01 (uma) chave seccionadora de 230 kV, posição operacional 34T6-6, da subestação de BGI.</t>
  </si>
  <si>
    <t>TR 230/13,8 kV BONGI TR6 PE</t>
  </si>
  <si>
    <t>0004834/2024</t>
  </si>
  <si>
    <t>34T6-6</t>
  </si>
  <si>
    <t>Substituição de 01 (uma) chave seccionadora de 230 kV, posição operacional 34C1-4, da subestação de BGI.</t>
  </si>
  <si>
    <t>EL 230 kV BONGI LT 230 kV BONGI /ACONORTE C-1 PE (14C1)</t>
  </si>
  <si>
    <t>0004836/2024</t>
  </si>
  <si>
    <t>Substituição do Disjuntor de 69KV - TJDJ4-01.</t>
  </si>
  <si>
    <t>TR 230 / 69 kV TAPE DE JIRAU TF1 RO</t>
  </si>
  <si>
    <t>0006255/2024</t>
  </si>
  <si>
    <t>TJDJ401</t>
  </si>
  <si>
    <t>Substituição de 01 (uma) chave seccionadora de 230 kV, posição operacional 34C1-5, da subestação de BGI.</t>
  </si>
  <si>
    <t>0004837/2024</t>
  </si>
  <si>
    <t>Substituição de 01 (uma) chave seccionadora de 230 kV, posição operacional 34T6-4, da subestação de BGI.</t>
  </si>
  <si>
    <t>0004839/2024</t>
  </si>
  <si>
    <t>34T6-4</t>
  </si>
  <si>
    <t>Substituição de 01 (uma) chave seccionadora de 230 kV, posição operacional 34T7-5, da subestação de BGI.</t>
  </si>
  <si>
    <t>TR 230/13,8 kV BONGI TR7 PE</t>
  </si>
  <si>
    <t>0004840/2024</t>
  </si>
  <si>
    <t>34T7-5</t>
  </si>
  <si>
    <t>Substituição de 01 (uma) chave seccionadora de 230 kV, posição operacional 34T7-4, da subestação de BGI.</t>
  </si>
  <si>
    <t>0004841/2024</t>
  </si>
  <si>
    <t>34T7-4</t>
  </si>
  <si>
    <t>Substituição do disjuntor de 230 KV - RUDJ6-01.</t>
  </si>
  <si>
    <t>0004842/2024</t>
  </si>
  <si>
    <t>RUDJ601</t>
  </si>
  <si>
    <t>Substituição de 01 (uma) chave seccionadora de 230 kV, posição operacional 34T7-6, da subestação de BGI.</t>
  </si>
  <si>
    <t>0004843/2024</t>
  </si>
  <si>
    <t>34T7-6</t>
  </si>
  <si>
    <t>Substituição de 01 (uma) chave seccionadora de 230 kV, posição operacional 34V6-4, da subestação de BGI.</t>
  </si>
  <si>
    <t>0004844/2024</t>
  </si>
  <si>
    <t>34V6-4</t>
  </si>
  <si>
    <t>Substituição de 01 (uma) chave seccionadora de 230 kV, posição operacional 34V4-5, da subestação de BGI.</t>
  </si>
  <si>
    <t>0004845/2024</t>
  </si>
  <si>
    <t>34V4-5</t>
  </si>
  <si>
    <t>Substituição do disjuntor de 230 KV - RUDJ6-03.</t>
  </si>
  <si>
    <t>0004847/2024</t>
  </si>
  <si>
    <t>RUDJ603</t>
  </si>
  <si>
    <t>Substituição de 01 (uma) chave seccionadora de 230 kV, posição operacional 34V5-5, da subestação de BGI.</t>
  </si>
  <si>
    <t>0004848/2024</t>
  </si>
  <si>
    <t>34V5-5</t>
  </si>
  <si>
    <t>Substituição de 01 (uma) chave seccionadora de 230 kV, posição operacional 34V4-4, da subestação de BGI.</t>
  </si>
  <si>
    <t>0004849/2024</t>
  </si>
  <si>
    <t>34V4-4</t>
  </si>
  <si>
    <t>Substituição de 01 (uma) chave seccionadora de 230 kV, posição operacional 34V5-4, da subestação de BGI.</t>
  </si>
  <si>
    <t>0004851/2024</t>
  </si>
  <si>
    <t>34V5-4</t>
  </si>
  <si>
    <t>Substituição de 01 (uma) chave seccionadora com lâmina de terra de 230 kV, posição operacional 34C1-6, da subestação de BGI.</t>
  </si>
  <si>
    <t>0004852/2024</t>
  </si>
  <si>
    <t>Substituição de 01 (uma) chave seccionadora de 230 kV, posição operacional 34D1-1, da subestação de BEA.</t>
  </si>
  <si>
    <t>MG B. ESPERANCA / CCO-2001-061 - RB</t>
  </si>
  <si>
    <t>0004853/2024</t>
  </si>
  <si>
    <t>Substituição de 01 (uma) chave seccionadora de 230 kV, posição operacional 34D1-2, da subestação de BEA.</t>
  </si>
  <si>
    <t>0004854/2024</t>
  </si>
  <si>
    <t>Substituição de 01 (uma) chave seccionadora de 230 kV, posição operacional 34L1-1, da subestação de BEA.</t>
  </si>
  <si>
    <t>LT 230 kV B. ESPERANCA /TERESINA C-1 PI</t>
  </si>
  <si>
    <t>0004855/2024</t>
  </si>
  <si>
    <t>34L1-1</t>
  </si>
  <si>
    <t>Substituição de 01 (uma) chave seccionadora de 230 kV, posição operacional 34L1-2, da subestação de BEA.</t>
  </si>
  <si>
    <t>0004856/2024</t>
  </si>
  <si>
    <t>34L1-2</t>
  </si>
  <si>
    <t>Substituição de 01 (uma) chave seccionadora de 230 kV, posição operacional 34L1-4, da subestação de BEA.</t>
  </si>
  <si>
    <t>0004858/2024</t>
  </si>
  <si>
    <t>34L1-4</t>
  </si>
  <si>
    <t>Substituição de 01 (uma) chave seccionadora com lâmina de terra de 230 kV, posição operacional 34L1-5/7, da subestação de BEA.</t>
  </si>
  <si>
    <t>0004860/2024</t>
  </si>
  <si>
    <t>34L1-5</t>
  </si>
  <si>
    <t>Substituição do disjuntor de 230 KV - RUDJ6-05.</t>
  </si>
  <si>
    <t>0004861/2024</t>
  </si>
  <si>
    <t>RUDJ605</t>
  </si>
  <si>
    <t>Substituição de 01 (uma) chave seccionadora de 230 kV, posição operacional 34L1-6, da subestação de BEA.</t>
  </si>
  <si>
    <t>0004862/2024</t>
  </si>
  <si>
    <t>34L1-6</t>
  </si>
  <si>
    <t>Substituição de 01 (uma) chave seccionadora de 230 kV, posição operacional 34L1-7, da subestação de BEA.</t>
  </si>
  <si>
    <t>0004864/2024</t>
  </si>
  <si>
    <t>34L1-7</t>
  </si>
  <si>
    <t>Substituição do disjuntor de 230 KV - SPDJ6-04.</t>
  </si>
  <si>
    <t>TR 230/138 kV SINOP TR1 MT</t>
  </si>
  <si>
    <t>0004865/2024</t>
  </si>
  <si>
    <t>SPDJ604</t>
  </si>
  <si>
    <t>Substituição de 01 (uma) chave seccionadora de 230 kV, posição operacional 34L2-1, da subestação de BEA.</t>
  </si>
  <si>
    <t>LT 230 kV B. ESPERANCA /TERESINA C-2 PI</t>
  </si>
  <si>
    <t>0004867/2024</t>
  </si>
  <si>
    <t>34L2-1</t>
  </si>
  <si>
    <t>Substituição de 01 (uma) chave seccionadora de 230 kV, posição operacional 34L2-2, da subestação de BEA.</t>
  </si>
  <si>
    <t>0004868/2024</t>
  </si>
  <si>
    <t>34L2-2</t>
  </si>
  <si>
    <t>Substituição de 01 (uma) chave seccionadora de 230 kV, posição operacional 34L2-4, da subestação de BEA.</t>
  </si>
  <si>
    <t>0004870/2024</t>
  </si>
  <si>
    <t>34L2-4</t>
  </si>
  <si>
    <t>Substituição do disjuntor de 230 KV - SSDJ6-03.</t>
  </si>
  <si>
    <t>0005544/2024</t>
  </si>
  <si>
    <t>SSDJ603</t>
  </si>
  <si>
    <t>Substituição de 01 (uma) chave seccionadora com lâmina de terra de 230 kV, posição operacional 34L2-5/7, da subestação de BEA.</t>
  </si>
  <si>
    <t>0004871/2024</t>
  </si>
  <si>
    <t>34L2-5</t>
  </si>
  <si>
    <t>Substituição de 01 (uma) chave seccionadora de 230 kV, posição operacional 34L2-6, da subestação de BEA.</t>
  </si>
  <si>
    <t>0004872/2024</t>
  </si>
  <si>
    <t>34L2-6</t>
  </si>
  <si>
    <t>Substituição de 01 (uma) chave seccionadora de 230 kV, posição operacional 34L2-7, da subestação de BEA.</t>
  </si>
  <si>
    <t>0004873/2024</t>
  </si>
  <si>
    <t>34L2-7</t>
  </si>
  <si>
    <t>Substituição do disjuntor de 230 KV - TMDJ6-02.</t>
  </si>
  <si>
    <t>0004874/2024</t>
  </si>
  <si>
    <t>TMDJ602</t>
  </si>
  <si>
    <t>Substituição de 01 (uma) chave seccionadora de 230 kV, posição operacional 34T1-1A, da subestação de BEA.</t>
  </si>
  <si>
    <t>0004875/2024</t>
  </si>
  <si>
    <t>Substituição de 01 (uma) chave seccionadora de 230 kV, posição operacional 34T1-1B, da subestação de BEA.</t>
  </si>
  <si>
    <t>0004876/2024</t>
  </si>
  <si>
    <t>Substituição de 01 (uma) chave seccionadora de 230 kV, posição operacional 34T1-2A, da subestação de BEA.</t>
  </si>
  <si>
    <t>0004877/2024</t>
  </si>
  <si>
    <t>Substituição de 01 (uma) chave seccionadora de 230 kV, posição operacional 34T1-2B, da subestação de BEA.</t>
  </si>
  <si>
    <t>0004878/2024</t>
  </si>
  <si>
    <t>Substituição do Disjuntor de 69KV - TCDJ403.</t>
  </si>
  <si>
    <t>TR 69/13,8 kV TUCURUI TF1 PA</t>
  </si>
  <si>
    <t>0006263/2024</t>
  </si>
  <si>
    <t>TCDJ403</t>
  </si>
  <si>
    <t>Substituição de 01 (uma) chave seccionadora de 230 kV, posição operacional 34T1-5A, da subestação de BEA.</t>
  </si>
  <si>
    <t>0004879/2024</t>
  </si>
  <si>
    <t>Substituição de 01 (uma) chave seccionadora de 230 kV, posição operacional 34T1-5B, da subestação de BEA.</t>
  </si>
  <si>
    <t>0004880/2024</t>
  </si>
  <si>
    <t>Substituição de 01 (uma) chave seccionadora de 230 kV, posição operacional 34V1-1, da subestação de BEA.</t>
  </si>
  <si>
    <t>LT 230 kV UB.ESPERANCA /B. ESPERANCA C-1 PI</t>
  </si>
  <si>
    <t>0004881/2024</t>
  </si>
  <si>
    <t>34V1-1</t>
  </si>
  <si>
    <t>Substituição de 01 (uma) chave seccionadora de 230 kV, posição operacional 34V1-2, da subestação de BEA.</t>
  </si>
  <si>
    <t>0004882/2024</t>
  </si>
  <si>
    <t>34V1-2</t>
  </si>
  <si>
    <t>Substituição de 01 (uma) chave seccionadora de 230 kV, posição operacional 34V1-4, da subestação de BEA.</t>
  </si>
  <si>
    <t>0004883/2024</t>
  </si>
  <si>
    <t>34V1-4</t>
  </si>
  <si>
    <t>Substituição de 01 (uma) chave seccionadora com lâmina de terra de 230 kV, posição operacional 34V1-5/7, da subestação de BEA.</t>
  </si>
  <si>
    <t>0004884/2024</t>
  </si>
  <si>
    <t>34V1-5</t>
  </si>
  <si>
    <t>Substituição do Disjuntor de 69KV - TCDJ4-05.</t>
  </si>
  <si>
    <t>TR 69/13,8 kV TUCURUI TF2 PA</t>
  </si>
  <si>
    <t>0006266/2024</t>
  </si>
  <si>
    <t>TCDJ405</t>
  </si>
  <si>
    <t>Substituição de 01 (uma) chave seccionadora de 230 kV, posição operacional 34V1-6, da subestação de BEA.</t>
  </si>
  <si>
    <t>0004885/2024</t>
  </si>
  <si>
    <t>34V1-6</t>
  </si>
  <si>
    <t>Substituição de 01 (uma) chave seccionadora de 230 kV, posição operacional 34V1-7, da subestação de BEA.</t>
  </si>
  <si>
    <t>0004886/2024</t>
  </si>
  <si>
    <t>34V1-7</t>
  </si>
  <si>
    <t>Substituição do Disjuntor de 69KV - TCDJ4-06.</t>
  </si>
  <si>
    <t>0004887/2024</t>
  </si>
  <si>
    <t>TCDJ406</t>
  </si>
  <si>
    <t>Substituição do disjuntor de 230 KV - PVDJ6-02.</t>
  </si>
  <si>
    <t>0004888/2024</t>
  </si>
  <si>
    <t>PVDJ602</t>
  </si>
  <si>
    <t>Substituição do disjuntor de 230 KV - PVDJ6-07.</t>
  </si>
  <si>
    <t>TR 230/69 kV PORTO VELHO TR2 RO</t>
  </si>
  <si>
    <t>0004889/2024</t>
  </si>
  <si>
    <t>PVDJ607</t>
  </si>
  <si>
    <t>Substituição do disjuntor de 230 KV - PVDJ6-03.</t>
  </si>
  <si>
    <t>0004890/2024</t>
  </si>
  <si>
    <t>PVDJ603</t>
  </si>
  <si>
    <t>Substituição de 01 (uma) Seccionadora 69 KV posição operacional 32T1-4 da Subestação BNB</t>
  </si>
  <si>
    <t>0004891/2024</t>
  </si>
  <si>
    <t>Substituição do disjuntor de 230 KV - PVDJ6-05.</t>
  </si>
  <si>
    <t>TR 230/69 kV PORTO VELHO TR1 RO</t>
  </si>
  <si>
    <t>0004892/2024</t>
  </si>
  <si>
    <t>PVDJ605</t>
  </si>
  <si>
    <t>Substituição de 01 (uma) Seccionadora 69 KV posição operacional 32T1-5 da Subestação BNB</t>
  </si>
  <si>
    <t>0004893/2024</t>
  </si>
  <si>
    <t>Substituição de 01 (uma) Seccionadora 69 KV posição operacional 32T1-6 da Subestação BNB</t>
  </si>
  <si>
    <t>0004894/2024</t>
  </si>
  <si>
    <t>Substituição do Disjuntor de 69KV - ATDB4-01.</t>
  </si>
  <si>
    <t>0004895/2024</t>
  </si>
  <si>
    <t>ATDB401</t>
  </si>
  <si>
    <t>Substituição de 01 (uma) Seccionadora 69 KV posição operacional 32W1-4 da Subestação BNB</t>
  </si>
  <si>
    <t>0004896/2024</t>
  </si>
  <si>
    <t>32W1-4</t>
  </si>
  <si>
    <t>Substituição de 01 (uma) Seccionadora 69 KV posição operacional 32W1-5 da Subestação BNB</t>
  </si>
  <si>
    <t>0004897/2024</t>
  </si>
  <si>
    <t>32W1-5</t>
  </si>
  <si>
    <t>Substituição de 01 (uma) Seccionadora 69 KV posição operacional 32W1-6 da Subestação BNB</t>
  </si>
  <si>
    <t>0004898/2024</t>
  </si>
  <si>
    <t>32W1-6</t>
  </si>
  <si>
    <t>Substituição do Disjuntor de 69KV - ATDJ4-01.</t>
  </si>
  <si>
    <t>0004899/2024</t>
  </si>
  <si>
    <t>ATDJ401</t>
  </si>
  <si>
    <t>Substituição de 01 (uma) Seccionadora 230 KV posição operacional 34C1-4 da Subestação BNB</t>
  </si>
  <si>
    <t>0004900/2024</t>
  </si>
  <si>
    <t>Substituição do Disjuntor de 69KV - ATDJ4-04.</t>
  </si>
  <si>
    <t>0004901/2024</t>
  </si>
  <si>
    <t>ATDJ404</t>
  </si>
  <si>
    <t>Substituição de 01 (uma) Seccionadora 230 KV posição operacional 34C1-5 da Subestação BNB</t>
  </si>
  <si>
    <t>0004902/2024</t>
  </si>
  <si>
    <t>Substituição de 01 (uma) Seccionadora com lâmina de terra 230 kV, posição operacional 34C1-6/7 da Subestação BNB</t>
  </si>
  <si>
    <t>0004903/2024</t>
  </si>
  <si>
    <t>Substituição do disjuntor de 230 KV - ATDJ6-01.</t>
  </si>
  <si>
    <t>0004904/2024</t>
  </si>
  <si>
    <t>ATDJ601</t>
  </si>
  <si>
    <t>Substituição de 01 (uma) Seccionadora 230 KV posição operacional 34C2-5 da Subestação BNB</t>
  </si>
  <si>
    <t>LT 230 kV BANABUIU /ICO C-1 CE</t>
  </si>
  <si>
    <t>0004905/2024</t>
  </si>
  <si>
    <t>Substituição do disjuntor de 230 KV - ATDJ6-02.</t>
  </si>
  <si>
    <t>0004906/2024</t>
  </si>
  <si>
    <t>ATDJ602</t>
  </si>
  <si>
    <t>Substituição de 01 (uma) Seccionadora com lâmina de terra 230 kV, posição operacional 34C2-6/7 da Subestação BNB</t>
  </si>
  <si>
    <t>0004907/2024</t>
  </si>
  <si>
    <t>Substituição do disjuntor de 230 KV - ATDJ6-07.</t>
  </si>
  <si>
    <t>0004908/2024</t>
  </si>
  <si>
    <t>ATDJ607</t>
  </si>
  <si>
    <t>Substituição de 01 (uma) Seccionadora 230 KV posição operacional 34C8-4 da Subestação BNB</t>
  </si>
  <si>
    <t>LT 230 kV BANABUIU /AQUIRAZ II C-1 CE</t>
  </si>
  <si>
    <t>0004909/2024</t>
  </si>
  <si>
    <t>34C8-4</t>
  </si>
  <si>
    <t>Substituição de 01 (uma) Seccionadora 230 KV posição operacional 34C8-5 da Subestação BNB</t>
  </si>
  <si>
    <t>0004910/2024</t>
  </si>
  <si>
    <t>34C8-5</t>
  </si>
  <si>
    <t>Substituição de 01 (uma) Seccionadora com lâmina de terra 230 kV, posição operacional 34C8-6/7 da Subestação BNB</t>
  </si>
  <si>
    <t>0004911/2024</t>
  </si>
  <si>
    <t>34C8-6</t>
  </si>
  <si>
    <t>Substituição de 01 (uma) Seccionadora 230 KV posição operacional 34M1-4 da Subestação BNB</t>
  </si>
  <si>
    <t>LT 230 kV MILAGRES /BANABUIU C-1 CE</t>
  </si>
  <si>
    <t>0004912/2024</t>
  </si>
  <si>
    <t>Substituição de 01 (uma) Seccionadora 230 KV posição operacional 34M1-5 da Subestação BNB</t>
  </si>
  <si>
    <t>0004913/2024</t>
  </si>
  <si>
    <t>Substituição de 01 (uma) Seccionadora com lâmina de terra 230 kV, posição operacional 34M1-6/7 da Subestação BNB</t>
  </si>
  <si>
    <t>0004914/2024</t>
  </si>
  <si>
    <t>Substituição de 01 (uma) Seccionadora com lâmina de terra 230 kV, posição operacional 34M3-6/7 da Subestação BNB</t>
  </si>
  <si>
    <t>LT 230 kV MILAGRES /BANABUIU C-2 CE</t>
  </si>
  <si>
    <t>0004915/2024</t>
  </si>
  <si>
    <t>34M3-6</t>
  </si>
  <si>
    <t>Substituição de 01 (uma) Seccionadora 230 KV posição operacional 34T1-4 da Subestação BNB</t>
  </si>
  <si>
    <t>0004916/2024</t>
  </si>
  <si>
    <t>Substituição de 01 (uma) Seccionadora 230 KV posição operacional 34T1-6 da Subestação BNB</t>
  </si>
  <si>
    <t>0004917/2024</t>
  </si>
  <si>
    <t>Substituição de 01 (uma) Seccionadora 230 KV posição operacional 34T2-5 da Subestação BNB</t>
  </si>
  <si>
    <t>TR 230/69 kV BANABUIU TR2 CE</t>
  </si>
  <si>
    <t>0004918/2024</t>
  </si>
  <si>
    <t>Substituição de 01 (uma) Seccionadora 230 KV posição operacional 34T2-6 da Subestação BNB</t>
  </si>
  <si>
    <t>0004919/2024</t>
  </si>
  <si>
    <t>Substituição de 01 (uma) Seccionadora 69 KV posição operacional 32H1-7 da Subestação FTZ</t>
  </si>
  <si>
    <t>MC 69 kV BC 69 kV 20,3 Mvar FORTALEZA BC3 CE (12H1)</t>
  </si>
  <si>
    <t>0004920/2024</t>
  </si>
  <si>
    <t>Substituição de 01 (uma) Seccionadora 69 KV posição operacional 32H2-7 da Subestação FTZ</t>
  </si>
  <si>
    <t>MC 69 kV BC 69 kV 20,3 Mvar FORTALEZA BC4 CE (12H2)</t>
  </si>
  <si>
    <t>0004921/2024</t>
  </si>
  <si>
    <t>Substituição de 01 (uma) Seccionadora 69 KV posição operacional 32H3-7 da Subestação FTZ</t>
  </si>
  <si>
    <t>MC 69 kV BC 69 kV 20,3 Mvar FORTALEZA BC5 CE (12H3)</t>
  </si>
  <si>
    <t>0004922/2024</t>
  </si>
  <si>
    <t>Substituição de 01 (uma) Seccionadora 69 KV posição operacional 32H4-7 da Subestação FTZ</t>
  </si>
  <si>
    <t>MC 69 kV BC 69 kV 20,3 Mvar FORTALEZA BC6 CE (12H4)</t>
  </si>
  <si>
    <t>0004923/2024</t>
  </si>
  <si>
    <t>32H4-7</t>
  </si>
  <si>
    <t>Substituição de 01 (uma) Seccionadora 230 KV posição operacional 34E2-8 da Subestação FTZ</t>
  </si>
  <si>
    <t>RTL 230 kV 10 Mvar FORTALEZA RT2 CE</t>
  </si>
  <si>
    <t>0004924/2024</t>
  </si>
  <si>
    <t>34E2-8</t>
  </si>
  <si>
    <t>Substituição de 01 (uma) Seccionadora 69 KV posição operacional 32D1-1 da Subestação MSD</t>
  </si>
  <si>
    <t>IB 69 kV MG 230 kV MOSSORO II MG1 RN IB1 (12D1)</t>
  </si>
  <si>
    <t>0004925/2024</t>
  </si>
  <si>
    <t>Substituição de 01 (uma) Seccionadora 69 KV posição operacional 32D1-2 da Subestação MSD</t>
  </si>
  <si>
    <t>0004926/2024</t>
  </si>
  <si>
    <t>Substituição do Disjuntor de 69KV - PRDJ4-03.</t>
  </si>
  <si>
    <t>0004927/2024</t>
  </si>
  <si>
    <t>PRDJ403</t>
  </si>
  <si>
    <t>Substituição do Disjuntor de 69KV - PRDJ4-05.</t>
  </si>
  <si>
    <t>TR 230/69 kV PERITORO TR3 MA</t>
  </si>
  <si>
    <t>0004928/2024</t>
  </si>
  <si>
    <t>PRDJ405</t>
  </si>
  <si>
    <t>Substituição de 01 (uma) Seccionadora 69 KV posição operacional 32D1-1 da Subestação GNN</t>
  </si>
  <si>
    <t>IB 69 kV MG 230 kV GOIANINHA MG1 PE IB1 (12D1)</t>
  </si>
  <si>
    <t>0004929/2024</t>
  </si>
  <si>
    <t>Substituição de 01 (uma) Seccionadora 69 KV posição operacional 32D1-2 da Subestação GNN</t>
  </si>
  <si>
    <t>0004930/2024</t>
  </si>
  <si>
    <t>Substituição de 01 (uma) Seccionadora 69 KV posição operacional 32H2-7 da Subestação MRR</t>
  </si>
  <si>
    <t>MC 69 kV BC 69 kV 20,3 Mvar MIRUEIRA BC2 PE (02H2)</t>
  </si>
  <si>
    <t>0004931/2024</t>
  </si>
  <si>
    <t>Substituição de 01 (uma) Seccionadora 69 KV posição operacional 32H1-7 da Subestação MRR</t>
  </si>
  <si>
    <t>MC 69 kV BC 69 kV 20,3 Mvar MIRUEIRA BC1 PE (02H1)</t>
  </si>
  <si>
    <t>0004932/2024</t>
  </si>
  <si>
    <t>Substituição do Disjuntor de 230KV - PRDJ6-01.</t>
  </si>
  <si>
    <t>0005516/2024</t>
  </si>
  <si>
    <t>PRDJ601</t>
  </si>
  <si>
    <t>Substituição de 01 (uma) Seccionadora 230 KV posição operacional 34T3-4 da Subestação MRD</t>
  </si>
  <si>
    <t>0004933/2024</t>
  </si>
  <si>
    <t>Substituição de 01 (uma) Seccionadora 230 KV posição operacional 34T3-6 da Subestação MRD</t>
  </si>
  <si>
    <t>0004934/2024</t>
  </si>
  <si>
    <t>Substituição de 01 (uma) Seccionadora 69 KV posição operacional 32T4-6 da Subestação AGL</t>
  </si>
  <si>
    <t>0004935/2024</t>
  </si>
  <si>
    <t>Substituição de 01 (uma) Seccionadora 69 kV, posição 32T2-5 da subestação IRE</t>
  </si>
  <si>
    <t>TR 230/69 kV IRECE TR2 BA</t>
  </si>
  <si>
    <t>0004936/2024</t>
  </si>
  <si>
    <t>Substituição de 01 (uma) Seccionadora 69 kV, posição 32T2-4 da subestação PTU</t>
  </si>
  <si>
    <t>0004937/2024</t>
  </si>
  <si>
    <t>Substituição de 01 (uma) Seccionadora 69 kV, posição 32T2-5 da subestação PTU</t>
  </si>
  <si>
    <t>0004938/2024</t>
  </si>
  <si>
    <t>Substituição de 01 (uma) Seccionadora 69 kV, posição operacional 32J1-4 da Subestação SJI</t>
  </si>
  <si>
    <t>EL 69 kV S.JOAO PIAUI S.MENDES-02J1 (12J1)</t>
  </si>
  <si>
    <t>0004939/2024</t>
  </si>
  <si>
    <t>Substituição de 01 (uma) Seccionadora com lâmina de terra 69 kV, posição operacional 32J1-5/7 da Subestação SJI</t>
  </si>
  <si>
    <t>0004940/2024</t>
  </si>
  <si>
    <t>Substituição de 01 (uma) Seccionadora 69 kV, posição operacional 32J1-6 da Subestação SJI</t>
  </si>
  <si>
    <t>0004941/2024</t>
  </si>
  <si>
    <t>Substituição de 01 (uma) Seccionadora 69 kV, posição operacional 32J2-4 da Subestação SJI</t>
  </si>
  <si>
    <t>EL 69 kV S.JOAO PIAUI C.BURITI-02J2 (12J2)</t>
  </si>
  <si>
    <t>0004942/2024</t>
  </si>
  <si>
    <t>Substituição de 01 (uma) Seccionadora com lâmina de terra 69 kV, posição operacional 32J2-5/7 da Subestação SJI</t>
  </si>
  <si>
    <t>0004943/2024</t>
  </si>
  <si>
    <t>Substituição de 01 (uma) Seccionadora 69 kV, posição operacional 32J2-6 da Subestação SJI</t>
  </si>
  <si>
    <t>0004944/2024</t>
  </si>
  <si>
    <t>Substituição de 01 (uma) Seccionadora 69 kV, posição operacional 32J1-4 da Subestação PRD</t>
  </si>
  <si>
    <t>0004945/2024</t>
  </si>
  <si>
    <t>Substituição de 01 (uma) Seccionadora 69 kV, posição operacional 32J1-5 da Subestação PRD</t>
  </si>
  <si>
    <t>0004946/2024</t>
  </si>
  <si>
    <t>Substituição de 01 (uma) Seccionadora 69 kV posição operacional 32J2-4 da Subestação PRD</t>
  </si>
  <si>
    <t>EL 69 kV PIRAPAMA II TERMOCABO-02P1 (12J2)</t>
  </si>
  <si>
    <t>0004947/2024</t>
  </si>
  <si>
    <t>Substituição de 01 (uma) Seccionadora 69 kV, posição operacional 32J2-5 da Subestação PRD</t>
  </si>
  <si>
    <t>0004948/2024</t>
  </si>
  <si>
    <t>Substituição de 01 (uma) Seccionadora com lâmina de terra 69 kV, posição operacional 32J2-6/7 da Subestação PRD</t>
  </si>
  <si>
    <t>0004949/2024</t>
  </si>
  <si>
    <t>Substituição de 01 (uma) Seccionadora 69 kV, posição operacional 32J3-4 da Subestação PRD</t>
  </si>
  <si>
    <t>EL 69 kV PIRAPAMA II W MARTINS-02J3 (12J3)</t>
  </si>
  <si>
    <t>0004950/2024</t>
  </si>
  <si>
    <t>Substituição de 01 (uma) Seccionadora 69 kV, posição operacional 32J3-5 da Subestação PRD</t>
  </si>
  <si>
    <t>0004951/2024</t>
  </si>
  <si>
    <t>Substituição de 01 (uma) Seccionadora com lâmina de terra 69 kV, posição operacional 32J3-6/7 da Subestação PRD</t>
  </si>
  <si>
    <t>0004952/2024</t>
  </si>
  <si>
    <t>Substituição de 01 (uma) Seccionadora 69 kV, posição operacional 32J4-4 da Subestação PRD</t>
  </si>
  <si>
    <t>EL 69 kV PIRAPAMA II RHODIA-02J4 (12J4)</t>
  </si>
  <si>
    <t>0004953/2024</t>
  </si>
  <si>
    <t>Substituição de 01 (uma) Seccionadora 69 kV, posição operacional 32J4-5 da Subestação PRD</t>
  </si>
  <si>
    <t>0004954/2024</t>
  </si>
  <si>
    <t>Substituição de 01 (uma) Seccionadora com lâmina de terra 69 kV, posição operacional 32J4-6/7 da Subestação PRD</t>
  </si>
  <si>
    <t>0004955/2024</t>
  </si>
  <si>
    <t>Substituição de 01 (uma) Seccionadora 69 kV, posição operacional 32J5-4 da Subestação PRD</t>
  </si>
  <si>
    <t>EL 69 kV PIRAPAMA II JUCARAL-02J5 (12J5)</t>
  </si>
  <si>
    <t>0004956/2024</t>
  </si>
  <si>
    <t>Substituição de 01 (uma) Seccionadora 69 kV, posição operacional 32J6-4 da Subestação PRD</t>
  </si>
  <si>
    <t>EL 69 kV PIRAPAMA II CABO-02J6 (12J6)</t>
  </si>
  <si>
    <t>0004957/2024</t>
  </si>
  <si>
    <t>Substituição de 01 (uma) Seccionadora 69 kV posição operacional 32J6-5 da Subestação PRD</t>
  </si>
  <si>
    <t>0004958/2024</t>
  </si>
  <si>
    <t>Substituição de 01 (uma) Seccionadora com lâmina de terra 69 kV, posição operacional 32J6-6/7 da Subestação PRD</t>
  </si>
  <si>
    <t>0004959/2024</t>
  </si>
  <si>
    <t>Substituição de 01 (uma) Seccionadora 69 kV, posição operacional 32J7-4 da Subestação PRD</t>
  </si>
  <si>
    <t>EL 69 kV PIRAPAMA II SUAPE-02J7 (12J7)</t>
  </si>
  <si>
    <t>0004960/2024</t>
  </si>
  <si>
    <t>32J7-4</t>
  </si>
  <si>
    <t>Substituição de 01 (uma) Seccionadora 69 kV, posição operacional 32J7-5 da Subestação PRD</t>
  </si>
  <si>
    <t>0004961/2024</t>
  </si>
  <si>
    <t>32J7-5</t>
  </si>
  <si>
    <t>Substituição de 01 (uma) Seccionadora com lâmina de terra 69 kV, posição operacional 32J7-6/7 da Subestação PRD</t>
  </si>
  <si>
    <t>0004962/2024</t>
  </si>
  <si>
    <t>Substituição de 01 (uma) Seccionadora 69 kV, posição operacional 32J8-4 da Subestação PRD</t>
  </si>
  <si>
    <t>EL 69 kV PIRAPAMA II PIEDADE-02J8 (12J8)</t>
  </si>
  <si>
    <t>0004963/2024</t>
  </si>
  <si>
    <t>32J8-4</t>
  </si>
  <si>
    <t>Substituição de 01 (uma) Seccionadora 69 kV, posição operacional 32J9-4 da Subestação PRD</t>
  </si>
  <si>
    <t>EL 69 kV PIRAPAMA II PONTEZINHA-02J9 (12J9)</t>
  </si>
  <si>
    <t>0004964/2024</t>
  </si>
  <si>
    <t>32J9-4</t>
  </si>
  <si>
    <t>Substituição de 01 (uma) Seccionadora 69 kV, posição operacional 32J9-5 da Subestação PRD</t>
  </si>
  <si>
    <t>0004965/2024</t>
  </si>
  <si>
    <t>32J9-5</t>
  </si>
  <si>
    <t>Substituição de 01 (uma) Seccionadora com lâmina de terra 69 kV, posição operacional 32J9-6/7 da Subestação PRD</t>
  </si>
  <si>
    <t>0004966/2024</t>
  </si>
  <si>
    <t>32J9-6</t>
  </si>
  <si>
    <t>Substituição de 01 (uma) Seccionadora 69 kV, posição operacional 32V1-4 da Subestação PRD</t>
  </si>
  <si>
    <t>EL 69 kV PIRAPAMA II RECIFE-II-02V1 (12V1)</t>
  </si>
  <si>
    <t>0004967/2024</t>
  </si>
  <si>
    <t>32V1-4</t>
  </si>
  <si>
    <t>Substituição de 01 (uma) Seccionadora 69 kV, posição operacional 32V1-5 da Subestação PRD</t>
  </si>
  <si>
    <t>0004968/2024</t>
  </si>
  <si>
    <t>32V1-5</t>
  </si>
  <si>
    <t>Substituição de 01 (uma) Seccionadora com lâmina de terra 69 kV, posição operacional 32V1-6/7 da Subestação PRD</t>
  </si>
  <si>
    <t>0004969/2024</t>
  </si>
  <si>
    <t>32V1-6</t>
  </si>
  <si>
    <t>Substituição de 01 (uma) Seccionadora com lâmina de terra 69 kV, posição operacional 32V2-6/7 da Subestação PRD</t>
  </si>
  <si>
    <t>EL 69 kV PIRAPAMA II AMBEV-02V2 (12V2)</t>
  </si>
  <si>
    <t>0004970/2024</t>
  </si>
  <si>
    <t>Substituição de 01 (uma) Seccionadora 69 kV, posição operacional 32V3-4 da Subestação PRD</t>
  </si>
  <si>
    <t>EL 69 kV PIRAPAMA II SUAPE-02V3 (12V3)</t>
  </si>
  <si>
    <t>0004971/2024</t>
  </si>
  <si>
    <t>32V3-4</t>
  </si>
  <si>
    <t>Substituição de 01 (uma) Seccionadora 69 kV, posição operacional 32V3-5 da Subestação PRD</t>
  </si>
  <si>
    <t>0004972/2024</t>
  </si>
  <si>
    <t>32V3-5</t>
  </si>
  <si>
    <t>Substituição de 01 (uma) Seccionadora com lâmina de terra 69 kV, posição operacional 32V3-6/7 da Subestação PRD</t>
  </si>
  <si>
    <t>0004973/2024</t>
  </si>
  <si>
    <t>32V3-6</t>
  </si>
  <si>
    <t>Substituição de 01 (uma) Seccionadora com lâmina de terra 69 kV, posição operacional 32J8-6/7 da Subestação NTD</t>
  </si>
  <si>
    <t>EL 69 kV NATAL II PARNAMIRIM-02J8 (12J8)</t>
  </si>
  <si>
    <t>0004974/2024</t>
  </si>
  <si>
    <t>32J8-7</t>
  </si>
  <si>
    <t>Substituição de 01 (uma) Seccionadora com lâmina de terra 69 kV, posição operacional 32J1-6/7 da Subestação ITB</t>
  </si>
  <si>
    <t>EL 69 kV ITABAIANA DIST1 (12J1)</t>
  </si>
  <si>
    <t>0004975/2024</t>
  </si>
  <si>
    <t>Substituição de 01 (uma) Seccionadora com lâmina de terra 69 kV, posição operacional 32J4-6/7 da Subestação ITB</t>
  </si>
  <si>
    <t>EL 69 kV ITABAIANA DIST3 (12J4)</t>
  </si>
  <si>
    <t>0004976/2024</t>
  </si>
  <si>
    <t>Substituição de 01 (uma) Seccionadora com lâmina de terra 69 kV, posição operacional 32J7-6/7 da Subestação ITB</t>
  </si>
  <si>
    <t>EL 69 kV ITABAIANA DIST6 (12J7)</t>
  </si>
  <si>
    <t>0004977/2024</t>
  </si>
  <si>
    <t>Substituição de 01 (uma) Seccionadora 69 kV, posição operacional 32C1-4 da subestação JDM</t>
  </si>
  <si>
    <t>EL 69 kV JARDIM GRAGERU C-1 (12C1)</t>
  </si>
  <si>
    <t>0004978/2024</t>
  </si>
  <si>
    <t>32C1-4</t>
  </si>
  <si>
    <t>Substituição de 01 (uma) Seccionadora 69 kV, posição operacional 32C1-5 da subestação JDM</t>
  </si>
  <si>
    <t>0004979/2024</t>
  </si>
  <si>
    <t>32C1-5</t>
  </si>
  <si>
    <t>Substituição de 01 (uma) Seccionadora com lâmina de terra 69 kV, posição operacional 32C1-6/7 da subestação JDM</t>
  </si>
  <si>
    <t>0004980/2024</t>
  </si>
  <si>
    <t>32C1-6</t>
  </si>
  <si>
    <t>Substituição de 01 (uma) Seccionadora 69 kV, posição operacional 32C7-4 da subestação JDM</t>
  </si>
  <si>
    <t>EL 69 kV JARDIM SAO CRISTOVAO (12C7)</t>
  </si>
  <si>
    <t>0004981/2024</t>
  </si>
  <si>
    <t>32C7-4</t>
  </si>
  <si>
    <t>Substituição de 01 (uma) Seccionadora 69 kV, posição operacional 32C7-5 da subestação JDM</t>
  </si>
  <si>
    <t>0004982/2024</t>
  </si>
  <si>
    <t>32C7-5</t>
  </si>
  <si>
    <t>Substituição de 01 (uma) Seccionadora com lâmina de terra 69 kV, posição operacional 32C7-6/7 da subestação JDM</t>
  </si>
  <si>
    <t>0004983/2024</t>
  </si>
  <si>
    <t>32C7-6</t>
  </si>
  <si>
    <t>Substituição de 01 (uma) Seccionadora 69 kV, posição operacional 32V1-4 da subestação JDM</t>
  </si>
  <si>
    <t>EL 69 kV JARDIM CARMOPOLIS C-1 (12V1)</t>
  </si>
  <si>
    <t>0004984/2024</t>
  </si>
  <si>
    <t>Substituição de 01 (uma) Seccionadora 69 kV, posição operacional 32V1-5 da subestação JDM</t>
  </si>
  <si>
    <t>0004985/2024</t>
  </si>
  <si>
    <t>Substituição de 01 (uma) Seccionadora com lâmina de terra 69 kV, posição operacional 32V1-6/7 da subestação JDM</t>
  </si>
  <si>
    <t>0004986/2024</t>
  </si>
  <si>
    <t>Substituição de 01 (uma) chave seccionadora de 69 kV, posição operacional 32A1-8, da subestação de BGI.</t>
  </si>
  <si>
    <t>MC 69 kV TT 69/13,8 kV BONGI TA1 PE (32A1)</t>
  </si>
  <si>
    <t>0004987/2024</t>
  </si>
  <si>
    <t>Substituição de 01 (uma) chave seccionadora de 69 kV, posição operacional 32A2-8, da subestação de BGI.</t>
  </si>
  <si>
    <t>MC 69 kV TT 69/13,8 kV BONGI TA2 PE (32A2)</t>
  </si>
  <si>
    <t>0004988/2024</t>
  </si>
  <si>
    <t>Substituição de 01 (uma) chave seccionadora de 69 kV, posição operacional 32J1-4, da subestação de BGI.</t>
  </si>
  <si>
    <t>EL 69 kV BONGI RETIRO 02J1 (12J1)</t>
  </si>
  <si>
    <t>0004989/2024</t>
  </si>
  <si>
    <t>Substituição de 01 (uma) chave seccionadora de 69 kV, posição operacional 32J1-5, da subestação de BGI.</t>
  </si>
  <si>
    <t>0004990/2024</t>
  </si>
  <si>
    <t>Substituição de 01 (uma) chave seccionadora de 69 kV, posição operacional 32J1-6, da subestação de BGI.</t>
  </si>
  <si>
    <t>0004991/2024</t>
  </si>
  <si>
    <t>Substituição de 01 (uma) chave seccionadora de 69 kV, posição operacional 32J1-7, da subestação de BGI.</t>
  </si>
  <si>
    <t>0004992/2024</t>
  </si>
  <si>
    <t>32J1-7</t>
  </si>
  <si>
    <t>Substituição de 01 (uma) chave seccionadora de 69 kV, posição operacional 32J7-4, da subestação de BGI.</t>
  </si>
  <si>
    <t>EL 69 kV BONGI GAZ-PINA 02J7 (12J7)</t>
  </si>
  <si>
    <t>0004993/2024</t>
  </si>
  <si>
    <t>Substituição de 01 (uma) chave seccionadora com lâmina de terra de 69 kV, posição operacional 32J7-5/7, da subestação de BGI.</t>
  </si>
  <si>
    <t>0004994/2024</t>
  </si>
  <si>
    <t>Substituição de 01 (uma) chave seccionadora de 69 kV, posição operacional 32L1-4, da subestação de BGI.</t>
  </si>
  <si>
    <t>EL 69 kV BONGI IMBIRI 02L1 (12L1)</t>
  </si>
  <si>
    <t>0004996/2024</t>
  </si>
  <si>
    <t>32L1-4</t>
  </si>
  <si>
    <t>Substituição de 01 (uma) chave seccionadora de 69 kV, posição operacional 32L5-4, da subestação de BGI.</t>
  </si>
  <si>
    <t>EL 69 kV BONGI GAZ 02L5 (12L5)</t>
  </si>
  <si>
    <t>0005000/2024</t>
  </si>
  <si>
    <t>32L5-4</t>
  </si>
  <si>
    <t>Substituição de 01 (uma) chave seccionadora de 69 kV, posição operacional 32L5-6, da subestação de BGI.</t>
  </si>
  <si>
    <t>0005001/2024</t>
  </si>
  <si>
    <t>32L5-6</t>
  </si>
  <si>
    <t>Substituição de 01 (uma) chave seccionadora de 69 kV, posição operacional 32L6-4, da subestação de BGI.</t>
  </si>
  <si>
    <t>EL 69 kV BONGI GAZ-PORT 02L6 (12L6)</t>
  </si>
  <si>
    <t>0005002/2024</t>
  </si>
  <si>
    <t>32L6-4</t>
  </si>
  <si>
    <t>Substituição de 01 (uma) chave seccionadora com lâmina de terra de 69 kV, posição operacional 32L6-5/7, da subestação de BGI.</t>
  </si>
  <si>
    <t>0005003/2024</t>
  </si>
  <si>
    <t>32L6-5</t>
  </si>
  <si>
    <t>Substituição de 01 (uma) chave seccionadora de 69 kV, posição operacional 32L6-6, da subestação de BGI.</t>
  </si>
  <si>
    <t>0005004/2024</t>
  </si>
  <si>
    <t>32L6-6</t>
  </si>
  <si>
    <t>Substituição de 01 (uma) chave seccionadora de 69 kV, posição operacional 32T8-4, da subestação de BGI.</t>
  </si>
  <si>
    <t>MC 69 kV TR 69/13,8 kV BONGI TR1-A PE (12T8)</t>
  </si>
  <si>
    <t>0005005/2024</t>
  </si>
  <si>
    <t>32T8-4</t>
  </si>
  <si>
    <t>Substituição de 01 (uma) chave seccionadora de 69 kV, posição operacional 32T8-5, da subestação de BGI.</t>
  </si>
  <si>
    <t>0005006/2024</t>
  </si>
  <si>
    <t>32T8-5</t>
  </si>
  <si>
    <t>Substituição de 01 (uma) chave seccionadora com lâmina de 69 kV, posição operacional 32T8-6/7, da subestação de BGI.</t>
  </si>
  <si>
    <t>0005007/2024</t>
  </si>
  <si>
    <t>32T8-6</t>
  </si>
  <si>
    <t>Substituição de 01 (uma) Seccionadora 69 KV posição operacional 32J1-4 da Subestação BES</t>
  </si>
  <si>
    <t>EL 69 kV UB.ESPERANCA PARAIBANO-02J3 (12J1)</t>
  </si>
  <si>
    <t>0005008/2024</t>
  </si>
  <si>
    <t>Substituição de 01 (uma) Seccionadora com lâmina de terra 69 kV, posição operacional 32J1-5/7 da Subestação BES</t>
  </si>
  <si>
    <t>0005009/2024</t>
  </si>
  <si>
    <t>Substituição de 01 (uma) Seccionadora 69 KV posição operacional 32J2-4 da Subestação BES</t>
  </si>
  <si>
    <t>EL 69 kV UB.ESPERANCA BERTOLINEA-02J2 (12J2)</t>
  </si>
  <si>
    <t>0005010/2024</t>
  </si>
  <si>
    <t>Substituição de 01 (uma) Seccionadora com lâmina de terra 69 kV, posição operacional 32J2-5/7 da Subestação BES</t>
  </si>
  <si>
    <t>0005011/2024</t>
  </si>
  <si>
    <t>Substituição de 01 (uma) Seccionadora 69 KV posição operacional 32J3-4 da Subestação BES</t>
  </si>
  <si>
    <t>EL 69 kV UB.ESPERANCA S.J.PATOS-02J3 (12J3)</t>
  </si>
  <si>
    <t>0005012/2024</t>
  </si>
  <si>
    <t>Substituição de 01 (uma) Seccionadora 69 KV posição operacional 32J3-5 da Subestação BES</t>
  </si>
  <si>
    <t>0005013/2024</t>
  </si>
  <si>
    <t>Substituição de 01 (uma) Seccionadora com lâmina de terra 69 kV, posição operacional 32J1-6/7 da Subestação BNB</t>
  </si>
  <si>
    <t>EL 69 kV BANABUIU DIST6 (12J1)</t>
  </si>
  <si>
    <t>0005014/2024</t>
  </si>
  <si>
    <t>32J1-6/7</t>
  </si>
  <si>
    <t>Substituição de 01 (uma) Seccionadora 69 KV posição operacional 32J2-4 da Subestação BNB</t>
  </si>
  <si>
    <t>0005015/2024</t>
  </si>
  <si>
    <t>Substituição de 01 (uma) Seccionadora 69 KV posição operacional 32J2-5 da Subestação BNB</t>
  </si>
  <si>
    <t>0005016/2024</t>
  </si>
  <si>
    <t>Substituição de 01 (uma) Seccionadora com lâmina de terra 69 kV, posição operacional 32J2-6/7 da Subestação BNB</t>
  </si>
  <si>
    <t>0005017/2024</t>
  </si>
  <si>
    <t>Substituição de 01 (uma) Seccionadora 69 KV posição operacional 32J4-4 da Subestação BNB</t>
  </si>
  <si>
    <t>0005018/2024</t>
  </si>
  <si>
    <t>Substituição de 01 (uma) Seccionadora 69 KV posição operacional 32J4-5 da Subestação BNB</t>
  </si>
  <si>
    <t>0005019/2024</t>
  </si>
  <si>
    <t>Substituição de 01 (uma) Seccionadora com lâmina de terra 69 kV, posição operacional 32J4-6/7 da Subestação BNB</t>
  </si>
  <si>
    <t>0005020/2024</t>
  </si>
  <si>
    <t>Substituição de 01 (uma) Seccionadora 69 KV posição operacional 32J8-4 da Subestação FTZ</t>
  </si>
  <si>
    <t>0005021/2024</t>
  </si>
  <si>
    <t>Substituição de 01 (uma) Seccionadora 69 KV posição operacional 32J9-4 da Subestação FTZ</t>
  </si>
  <si>
    <t>0005022/2024</t>
  </si>
  <si>
    <t>Substituição de 01 (uma) Seccionadora 69 KV posição operacional 32J9-6 da Subestação FTZ</t>
  </si>
  <si>
    <t>0005023/2024</t>
  </si>
  <si>
    <t>Substituição de 01 (uma) Seccionadora 69 KV posição operacional 32J1-6 da Subestação MSD</t>
  </si>
  <si>
    <t>EL 69 kV MOSSORO II ROSADO-02J1 (12J1)</t>
  </si>
  <si>
    <t>0005024/2024</t>
  </si>
  <si>
    <t>Substituição de 01 (uma) Seccionadora com lâmina de terra 69 kV, posição operacional 32J3-5/7 da Subestação MSD</t>
  </si>
  <si>
    <t>EL 69 kV MOSSORO II MOSSORO I-02J3 (12J3)</t>
  </si>
  <si>
    <t>0005025/2024</t>
  </si>
  <si>
    <t>Substituição de 01 (uma) Seccionadora 69 KV posição operacional 32J5-4 da Subestação MSD</t>
  </si>
  <si>
    <t>EL 69 kV MOSSORO II C.AMARO-02J5 (12J5)</t>
  </si>
  <si>
    <t>0005026/2024</t>
  </si>
  <si>
    <t>Substituição de 01 (uma) Seccionadora com lâmina de terra 69 kV, posição operacional 32J5-5/7 da Subestação MSD</t>
  </si>
  <si>
    <t>0005027/2024</t>
  </si>
  <si>
    <t>Substituição de 01 (uma) Seccionadora 69 KV posição operacional 32J5-6 da Subestação MSD</t>
  </si>
  <si>
    <t>0005028/2024</t>
  </si>
  <si>
    <t>Substituição de 01 (uma) Seccionadora 69 KV posição operacional 32J6-4 da Subestação MSD</t>
  </si>
  <si>
    <t>EL 69 kV MOSSORO II GROSSOS-02J6 (12J6)</t>
  </si>
  <si>
    <t>0005029/2024</t>
  </si>
  <si>
    <t>Substituição de 01 (uma) Seccionadora com lâmina de terra 69 kV, posição operacional 32J6-5/7 da Subestação MSD</t>
  </si>
  <si>
    <t>0005030/2024</t>
  </si>
  <si>
    <t>Substituição de 01 (uma) Seccionadora 69 KV posição operacional 32A1-8 da Subestação AGL</t>
  </si>
  <si>
    <t>0005031/2024</t>
  </si>
  <si>
    <t>Substituição de 01 (uma) Seccionadora 69 KV posição operacional 32J1-4 da Subestação AGL</t>
  </si>
  <si>
    <t>0005032/2024</t>
  </si>
  <si>
    <t>Substituição de 01 (uma) Seccionadora 69 KV posição operacional 32J1-5 da Subestação AGL</t>
  </si>
  <si>
    <t>0005033/2024</t>
  </si>
  <si>
    <t>Substituição de 01 (uma) Seccionadora com lâmina de terra 69 kV, posição operacional 32J1-6/7 da Subestação AGL</t>
  </si>
  <si>
    <t>0005034/2024</t>
  </si>
  <si>
    <t>Substituição de 01 (uma) Seccionadora 69 KV posição operacional 32J6-4 da Subestação AGL</t>
  </si>
  <si>
    <t>0005035/2024</t>
  </si>
  <si>
    <t>Substituição de 01 (uma) Seccionadora 69 KV posição operacional 32J6-5 da Subestação AGL</t>
  </si>
  <si>
    <t>0005036/2024</t>
  </si>
  <si>
    <t>Substituição de 01 (uma) Seccionadora com lâmina de terra 69 kV, posição operacional 32J6-6/7 da Subestação AGL</t>
  </si>
  <si>
    <t>0005037/2024</t>
  </si>
  <si>
    <t>Substituição de 01 (uma) Seccionadora 69 KV posição operacional 32J7-4 da Subestação AGL</t>
  </si>
  <si>
    <t>0005038/2024</t>
  </si>
  <si>
    <t>Substituição de 01 (uma) Seccionadora 69 KV posição operacional 32J7-5 da Subestação AGL</t>
  </si>
  <si>
    <t>0005039/2024</t>
  </si>
  <si>
    <t>Substituição de 150 cadeias de isolador em 34 estrutura(s) da LT 230 kV STO.A.JESUS /FUNIL C-1 BA-04F2 (001/1;001/2;001/3;002/1;002/2;002/3;003/1;003/2;004/1;004/2;005/1;005/2;006/1;006/2;007/1;007/2;007/3;008/1;008/2;009/1;009/2;009/3;010/1;010/2;011/1;011/2;011/3;012/1;012/2;013/1;013/2;014/1;014/2;015/1).</t>
  </si>
  <si>
    <t>0005040/2024</t>
  </si>
  <si>
    <t>d-sstjsfnl-04f2-cade-1</t>
  </si>
  <si>
    <t>Substituição de 126 cadeias de isolador em 34 estrutura(s) da LT 230 kV STO.A.JESUS /FUNIL C-1 BA-04F2 (015/2;015/3;016/1;016/2;016/3;017/1;017/2;018/1;018/2;018/3;019/1;019/2;020/1;020/2;020/3;021/1;021/2;022/1;022/2;022/3;023/1;023/2;023/3;024/1;025/1;025/2;025/3;025/4;026/1;026/2;027/1;027/2;028/1;028/2).</t>
  </si>
  <si>
    <t>0005041/2024</t>
  </si>
  <si>
    <t>d-sstjsfnl-04f2-cade-2</t>
  </si>
  <si>
    <t>Substituição de 102 cadeias de isolador em 34 estrutura(s) da LT 230 kV STO.A.JESUS /FUNIL C-1 BA-04F2 (028/3;029/1;029/2;030/1;030/2;030/3;031/1;031/2;032/1;032/2;032/3;033/1;033/2;033/3;034/1;034/2;035/1;035/2;036/1;036/2;037/1;037/2;038/1;038/2;039/1;039/2;039/3;040/1;040/2;041/1;041/2;042/1;042/2;043/1).</t>
  </si>
  <si>
    <t>0005042/2024</t>
  </si>
  <si>
    <t>d-sstjsfnl-04f2-cade-3</t>
  </si>
  <si>
    <t>Substituição de 150 cadeias de isolador em 34 estrutura(s) da LT 230 kV STO.A.JESUS /FUNIL C-1 BA-04F2 (043/2;043/3;044/1;044/2;045/1;046/1;047/1;047/2;048/1;048/2;049/1;049/2;050/1;050/2;051/1;051/2;051/3;052/1;052/2;052/3;053/1;053/2;054/1;054/2;055/1;055/2;055/3;056/1;056/2;057/1;057/2;057/3;058/1;058/2).</t>
  </si>
  <si>
    <t>0005043/2024</t>
  </si>
  <si>
    <t>d-sstjsfnl-04f2-cade-4</t>
  </si>
  <si>
    <t>Substituição de 102 cadeias de isolador em 34 estrutura(s) da LT 230 kV STO.A.JESUS /FUNIL C-1 BA-04F2 (059/1;059/2;060/1;061/1;061/2;062/1;062/2;063/1;063/2;063/3;064/1;064/2;065/1;065/2;066/1;066/2;067/1;067/2;067/3;068/1;068/2;069/1;069/2;070/1;070/2;071/1;071/2;072/1;072/2;073/1;073/2;074/1;074/2;075/1).</t>
  </si>
  <si>
    <t>0005044/2024</t>
  </si>
  <si>
    <t>d-sstjsfnl-04f2-cade-5</t>
  </si>
  <si>
    <t>Substituição de 138 cadeias de isolador em 34 estrutura(s) da LT 230 kV STO.A.JESUS /FUNIL C-1 BA-04F2 (075/2;076/1;076/2;076/3;077/1;077/2;078/1;078/2;079/1;079/2;080/1;080/2;081/1;082/1;082/2;083/1;083/2;084/1;084/2;084/3;085/1;085/2;086/1;086/2;086/3;087/1;087/2;088/1;088/2;089/1;089/2;090/1;090/2;091/1).</t>
  </si>
  <si>
    <t>0005045/2024</t>
  </si>
  <si>
    <t>d-sstjsfnl-04f2-cade-6</t>
  </si>
  <si>
    <t>Substituição de 162 cadeias de isolador em 34 estrutura(s) da LT 230 kV STO.A.JESUS /FUNIL C-1 BA-04F2 (091/2;092/1;092/2;093/1;093/2;094/1;095/1;096/1;096/2;097/1;098/1;098/2;099/1;099/2;100/1;100/2;101/1;102/1;103/1;103/2;104/1;104/2;105/1;105/2;106/1;106/2;107/1;107/2;108/1;108/2;109/1;109/2;110/1;110/2).</t>
  </si>
  <si>
    <t>0005046/2024</t>
  </si>
  <si>
    <t>d-sstjsfnl-04f2-cade-7</t>
  </si>
  <si>
    <t>Substituição de 126 cadeias de isolador em 34 estrutura(s) da LT 230 kV STO.A.JESUS /FUNIL C-1 BA-04F2 (110/3;111/1;111/2;112/1;112/2;113/1;113/2;114/1;114/2;115/1;115/2;115/3;116/1;116/2;117/1;118/1;118/2;118/3;119/1;119/2;120/1;120/2;121/1;121/2;121/3;122/1;122/2;123/1;123/2;124/1;125/1;125/2;126/1;126/2).</t>
  </si>
  <si>
    <t>0005047/2024</t>
  </si>
  <si>
    <t>d-sstjsfnl-04f2-cade-8</t>
  </si>
  <si>
    <t>Substituição de 162 cadeias de isolador em 34 estrutura(s) da LT 230 kV STO.A.JESUS /FUNIL C-1 BA-04F2 (127/1;127/2;128/1;128/2;129/1;129/2;130/1;130/2;130/3;131/1;131/2;131/3;132/1;132/2;133/1;133/2;134/1;135/1;135/2;136/1;136/2;137/1;138/1;138/2;138/3;138/4;139/1;139/2;139/3;140/1;140/2;141/1;141/2;141/3).</t>
  </si>
  <si>
    <t>0005048/2024</t>
  </si>
  <si>
    <t>d-sstjsfnl-04f2-cade-9</t>
  </si>
  <si>
    <t>Substituição de 162 cadeias de isolador em 34 estrutura(s) da LT 230 kV STO.A.JESUS /FUNIL C-1 BA-04F2 (142/1;142/2;143/1;144/1;144/2;145/1;146/1;146/2;147/1;147/2;148/1;148/2;148/3;149/1;149/2;150/1;150/2;151/1;151/2;152/1;152/2;152/3;153/1;153/2;154/1;154/2;154/3;154/4;155/1;155/2;156/1;156/2;157/1;157/2).</t>
  </si>
  <si>
    <t>0005049/2024</t>
  </si>
  <si>
    <t>d-sstjsfnl-04f2-cade-10</t>
  </si>
  <si>
    <t>Substituição de 126 cadeias de isolador em 34 estrutura(s) da LT 230 kV STO.A.JESUS /FUNIL C-2 BA-04L3 (015/2;015/3;016/1;016/2;016/3;017/1;017/2;018/1;018/2;018/3;019/1;019/2;020/1;020/2;020/3;021/1;021/2;022/1;022/2;022/3;023/1;023/2;023/3;024/1;025/1;025/2;025/3;025/4;026/1;026/2;027/1;027/2;028/1;028/2).</t>
  </si>
  <si>
    <t>LT 230 kV STO.A.JESUS /FUNIL C-2 BA</t>
  </si>
  <si>
    <t>0005050/2024</t>
  </si>
  <si>
    <t>d-sstjsfnl-04l3-cade-1</t>
  </si>
  <si>
    <t>Substituição de 102 cadeias de isolador em 34 estrutura(s) da LT 230 kV STO.A.JESUS /FUNIL C-2 BA-04L3 (028/3;029/1;029/2;030/1;030/2;030/3;031/1;031/2;032/1;032/2;032/3;033/1;033/2;033/3;034/1;034/2;035/1;035/2;036/1;036/2;037/1;037/2;038/1;038/2;039/1;039/2;039/3;040/1;040/2;041/1;041/2;042/1;042/2;043/1).</t>
  </si>
  <si>
    <t>0005051/2024</t>
  </si>
  <si>
    <t>d-sstjsfnl-04l3-cade-2</t>
  </si>
  <si>
    <t>Substituição de 150 cadeias de isolador em 34 estrutura(s) da LT 230 kV STO.A.JESUS /FUNIL C-2 BA-04L3 (043/2;043/3;044/1;044/2;045/1;046/1;047/1;047/2;048/1;048/2;049/1;049/2;050/1;050/2;051/1;051/2;051/3;052/1;052/2;052/3;053/1;053/2;054/1;054/2;055/1;055/2;055/3;056/1;056/2;057/1;057/2;057/3;058/1;058/2).</t>
  </si>
  <si>
    <t>0005052/2024</t>
  </si>
  <si>
    <t>d-sstjsfnl-04l3-cade-3</t>
  </si>
  <si>
    <t>Substituição de 102 cadeias de isolador em 34 estrutura(s) da LT 230 kV STO.A.JESUS /FUNIL C-2 BA-04L3 (059/1;059/2;060/1;061/1;061/2;062/1;062/2;063/1;063/2;063/3;064/1;064/2;065/1;065/2;066/1;066/2;067/1;067/2;067/3;068/1;068/2;069/1;069/2;070/1;070/2;071/1;071/2;072/1;072/2;073/1;073/2;074/1;074/2;075/1).</t>
  </si>
  <si>
    <t>0005053/2024</t>
  </si>
  <si>
    <t>d-sstjsfnl-04l3-cade-4</t>
  </si>
  <si>
    <t>Substituição de 138 cadeias de isolador em 34 estrutura(s) da LT 230 kV STO.A.JESUS /FUNIL C-2 BA-04L3 (075/2;076/1;076/2;076/3;077/1;077/2;078/1;078/2;079/1;079/2;080/1;080/2;081/1;082/1;082/2;083/1;083/2;084/1;084/2;084/3;085/1;085/2;086/1;086/2;086/3;087/1;087/2;088/1;088/2;089/1;089/2;090/1;090/2;091/1).</t>
  </si>
  <si>
    <t>0005054/2024</t>
  </si>
  <si>
    <t>d-sstjsfnl-04l3-cade-5</t>
  </si>
  <si>
    <t>Substituição de 162 cadeias de isolador em 34 estrutura(s) da LT 230 kV STO.A.JESUS /FUNIL C-2 BA-04L3 (091/2;092/1;092/2;093/1;093/2;094/1;095/1;096/1;096/2;097/1;098/1;098/2;099/1;099/2;100/1;100/2;101/1;102/1;103/1;103/2;104/1;104/2;105/1;105/2;106/1;106/2;107/1;107/2;108/1;108/2;109/1;109/2;110/1;110/2).</t>
  </si>
  <si>
    <t>0005055/2024</t>
  </si>
  <si>
    <t>d-sstjsfnl-04l3-cade-6</t>
  </si>
  <si>
    <t>Substituição de 126 cadeias de isolador em 34 estrutura(s) da LT 230 kV STO.A.JESUS /FUNIL C-2 BA-04L3 (110/3;111/1;111/2;112/1;112/2;113/1;113/2;114/1;114/2;115/1;115/2;115/3;116/1;116/2;117/1;118/1;118/2;118/3;119/1;119/2;120/1;120/2;121/1;121/2;121/3;122/1;122/2;123/1;123/2;124/1;125/1;125/2;126/1;126/2).</t>
  </si>
  <si>
    <t>0005056/2024</t>
  </si>
  <si>
    <t>d-sstjsfnl-04l3-cade-7</t>
  </si>
  <si>
    <t>Substituição de 162 cadeias de isolador em 34 estrutura(s) da LT 230 kV STO.A.JESUS /FUNIL C-2 BA-04L3 (127/1;127/2;128/1;128/2;129/1;129/2;130/1;130/2;130/3;131/1;131/2;131/3;132/1;132/2;133/1;133/2;134/1;135/1;135/2;136/1;136/2;137/1;138/1;138/2;138/3;138/4;139/1;139/2;139/3;140/1;140/2;141/1;141/2;141/3).</t>
  </si>
  <si>
    <t>0005057/2024</t>
  </si>
  <si>
    <t>d-sstjsfnl-04l3-cade-8</t>
  </si>
  <si>
    <t>Substituição de 162 cadeias de isolador em 34 estrutura(s) da LT 230 kV STO.A.JESUS /FUNIL C-2 BA-04L3 (142/1;142/2;143/1;144/1;144/2;145/1;146/1;146/2;147/1;147/2;148/1;148/2;148/3;149/1;149/2;150/1;150/2;151/1;151/2;152/1;152/2;152/3;153/1;153/2;154/1;154/2;154/3;154/4;155/1;155/2;156/1;156/2;157/1;157/2).</t>
  </si>
  <si>
    <t>0005058/2024</t>
  </si>
  <si>
    <t>d-sstjsfnl-04l3-cade-9</t>
  </si>
  <si>
    <t>Substituição de 111 cadeias de isolador em 17 estrutura(s) da LT 230 kV STO.A.JESUS /FUNIL C-2 BA-04L3 (158/1;158/2;158/3;159/1;159/2;159/3;160/1;160/2;161/1;161/2;162/1;162/2;163/1;163/2;163/3;163/4;164/1).</t>
  </si>
  <si>
    <t>0005059/2024</t>
  </si>
  <si>
    <t>d-sstjsfnl-04l3-cade-10</t>
  </si>
  <si>
    <t>LT 230 kV ANGELIM /MESSIAS PE/AL</t>
  </si>
  <si>
    <t>Substituição de 204 cadeias de isolador em 34 estrutura(s) da LT 230 kV ANGELIM /MESSIAS C-1 PE/AL-04M7 (017/1;017/2;018/1;018/2;019/1;019/2;020/1;020/2;021/1;021/2;022/1;022/2;023/1;023/2;024/1;024/2;025/1;025/2;026/1;026/2;027/2;028/1;028/2;029/1;029/2;030/1;030/2;031/1;031/2;032/2;033/1;034/1;035/1;036/1).</t>
  </si>
  <si>
    <t>0005060/2024</t>
  </si>
  <si>
    <t>d-saglsmsi-04m7-cade-2</t>
  </si>
  <si>
    <t>Substituição de 222 cadeias de isolador em 34 estrutura(s) da LT 230 kV ANGELIM /MESSIAS C-1 PE/AL-04M7 (036/2;036/3;037/1;037/2;037/3;038/1;038/2;039/1;039/2;040/1;040/2;040/3;040/4;043/1;043/2;043/4;044/1;044/2;044/3;045/1;045/2;045/3;046/1;046/2;047/1;048/1;048/2;048/3;049/1;051/1;051/2;052/2;053/1;053/2).</t>
  </si>
  <si>
    <t>0005061/2024</t>
  </si>
  <si>
    <t>d-saglsmsi-04m7-cade-3</t>
  </si>
  <si>
    <t>Substituição de 213 cadeias de isolador em 34 estrutura(s) da LT 230 kV ANGELIM /MESSIAS C-1 PE/AL-04M7 (054/1;054/2;055/1;055/2;055/3;056/1;056/2;057/1;058/1;058/2;059/1;059/2;060/1;060/2;061/1;061/2;061/3;062/1;062/2;063/1;063/2;064/1;064/2;064/3;065/1;065/2;066/1;067/1;067/2;068/1;068/2;069/1;070/1;071/1).</t>
  </si>
  <si>
    <t>0005062/2024</t>
  </si>
  <si>
    <t>d-saglsmsi-04m7-cade-4</t>
  </si>
  <si>
    <t>Substituição de 198 cadeias de isolador em 23 estrutura(s) da LT 230 kV ANGELIM /MESSIAS C-1 PE/AL-04M7 (071/2;071/3;072/1;072/2;073/1;074/1;074/2;074/3;075/1;075/2;076/1;076/2;076/3;077/1;077/2;077/2A;078/1;078/2;078/2A;078/4;078/5;AGL;MSI).</t>
  </si>
  <si>
    <t>0005063/2024</t>
  </si>
  <si>
    <t>d-saglsmsi-04m7-cade-5</t>
  </si>
  <si>
    <t>Substituição de 180 cadeias de isolador em 34 estrutura(s) da LT 230 kV ANGELIM /MESSIAS C-3 PE/AL-04M9 (001/1;001/2;001/3;001/4;001/5;001/6;002/1;003/1;003/2;004/1;004/2;004/3;005/2;006/1;006/2;007/1;007/2;008/1;008/2;009/1;010/1;010/2;011/2;012/1;012/2;013/1;013/2;014/1;015/3;016/1;016/2;017/1;018/1;018/2).</t>
  </si>
  <si>
    <t>0005064/2024</t>
  </si>
  <si>
    <t>d-saglsmsi-04m9-cade-1</t>
  </si>
  <si>
    <t>Substituição de 102 cadeias de isolador em 34 estrutura(s) da LT 230 kV ANGELIM /MESSIAS C-3 PE/AL-04M9 (019/1;019/2;019/3;020/1;021/1;021/2;021/3;022/1;022/2;023/1;024/2;025/1;025/2;026/1;026/2;027/1;027/2;028/1;028/2;029/1;029/2;030/1;031/1;031/2;032/2;033/1;033/2;034/1;034/2;035/1;035/2;036/1;036/2;037/1).</t>
  </si>
  <si>
    <t>0005065/2024</t>
  </si>
  <si>
    <t>d-saglsmsi-04m9-cade-2</t>
  </si>
  <si>
    <t>Substituição de 141 cadeias de isolador em 34 estrutura(s) da LT 230 kV ANGELIM /MESSIAS C-3 PE/AL-04M9 (038/1;038/2;039/1;039/2;040/1;040/2;040/3;041/1;041/2;042/1;042/2;043/1;043/2;044/2;045/1;045/3;047/1;047/2;048/1;049/2;050/1;051/1;052/1;052/2;053/2;054/2;054/3;055/1;055/2;056/1;057/1;057/2;058/1;058/2).</t>
  </si>
  <si>
    <t>0005066/2024</t>
  </si>
  <si>
    <t>d-saglsmsi-04m9-cade-3</t>
  </si>
  <si>
    <t>Substituição de 102 cadeias de isolador em 34 estrutura(s) da LT 230 kV ANGELIM /MESSIAS C-3 PE/AL-04M9 (059/1;059/2;060/1;060/2;061/1;061/2;062/1;062/2;063/1;063/2;064/2;064/3;065/1;065/2;066/1;066/2;067/1;067/2;068/1;068/2;069/1;070/1;070/2;071/1;072/1;072/2;072/3;073/1;073/2;074/1;074/2;074/3;075/1;075/2).</t>
  </si>
  <si>
    <t>0005067/2024</t>
  </si>
  <si>
    <t>d-saglsmsi-04m9-cade-4</t>
  </si>
  <si>
    <t>Substituição de 192 cadeias de isolador em 29 estrutura(s) da LT 230 kV ANGELIM /MESSIAS C-3 PE/AL-04M9 (076/1;076/2;077/1;078/2;079/1;079/2;079/3;079/4;079/5;079/6;079/7;005/1;011/1;015/1;015/2;023/2;024/1;032/1;044/1;045/2;046/1;049/1;050/2;053/1;054/1;064/1;078/1;AGL;MSI).</t>
  </si>
  <si>
    <t>0005068/2024</t>
  </si>
  <si>
    <t>d-saglsmsi-04m9-cade-5</t>
  </si>
  <si>
    <t>Substituição de 255 cadeias de isolador em 37 estrutura(s) da LT 230 kV RIO LARGO II /BRASKEM C-1 AL-04S2 (001/1;001/2;001/3;002/1;002/2;002/3;003/1;003/2;004/1;004/2;004/3;005/1;005/2;005/3;005/4;006/1;006/2;006/3;007/1;007/2;007/3;008/1;008/2;010/1;010/2;010/3;010/4;011/1;011/2;011/3;012/1;012/2;012/3;013/1;RLD;BSK1;BSK2).</t>
  </si>
  <si>
    <t>0005069/2024</t>
  </si>
  <si>
    <t>d-srldsbsk-04s2-cade-1</t>
  </si>
  <si>
    <t>Substituição de 252 cadeias de isolador em 33 estrutura(s) da LT 230 kV RIO LARGO II /BRASKEM C-1 AL-04S2 (013/2;013/3;014/1;014/2;014/3;015/1;015/2;015/3;015/4;016/1;016/2;016/3;017/1;017/2;017/3;018/1;018/2;018/3;019/1;019/2;019/3;019/4;020/1;020/2;020/3;021/1;021/2;022/1;022/2;023/1;023/2;024/1A;024/1B).</t>
  </si>
  <si>
    <t>0005070/2024</t>
  </si>
  <si>
    <t>d-srldsbsk-04s2-cade-2</t>
  </si>
  <si>
    <t>Substituição de 175 cadeias de isolador em 27 estrutura(s) da LT 230 kV BONGI /ACONORTE C-1 PE-04C1 (BGI;001/1;001/2;001/3;001/4;001/5;002/1;002/2;002/3;002/4;002/5;003/1;004/1;004/2;004/3;005/1;005/2;005/3;005/4;005/5;005/6;006/1;006/2;006/3;006/4;006/5;006/6).</t>
  </si>
  <si>
    <t>0005071/2024</t>
  </si>
  <si>
    <t>d-sbgisacn-04c1-cade-1</t>
  </si>
  <si>
    <t>LT 230 kV GOIANINHA /JOAO PESSOA II PE/PB</t>
  </si>
  <si>
    <t>Substituição de 210 cadeias de isolador em 35 estrutura(s) da LT 230 kV GOIANINHA /JOAO PESSOA II C-2 PE/PB-04N3 (GNN;000/1;000/2;000/3;001/1;001/2;001/3;001/4;002/1;002/2;003/1;003/2;003/3;004/1;004/2;005/1;005/2;006/1;006/2;007/1;007/2;007/3;008/1;008/2;008/3;009/1;009/2;010/1;010/2;010/3;011/1;012/1;012/2;012/3;013/1).</t>
  </si>
  <si>
    <t>LT 230 kV GOIANINHA /JOAO PESSOA II C-2 PE/PB</t>
  </si>
  <si>
    <t>0005072/2024</t>
  </si>
  <si>
    <t>d-sgnnsjpd-04n3-cade-1</t>
  </si>
  <si>
    <t>Substituição de 150 cadeias de isolador em 35 estrutura(s) da LT 230 kV GOIANINHA /JOAO PESSOA II C-2 PE/PB-04N3 (013/2;014/1;015/1;015/2;016/1;016/2;017/1;017/2;018/1;018/2;019/1;019/2;020/1;020/2;021/1;022/1;022/2;023/1;023/2;024/1;024/2;024/3;025/1;025/2;026/1;026/2;027/1;027/2;028/1;028/2;029/1;029/2;030/1;030/2;030/3).</t>
  </si>
  <si>
    <t>0005073/2024</t>
  </si>
  <si>
    <t>d-sgnnsjpd-04n3-cade-2</t>
  </si>
  <si>
    <t>Substituição de 168 cadeias de isolador em 33 estrutura(s) da LT 230 kV GOIANINHA /JOAO PESSOA II C-2 PE/PB-04N3 (031/1;031/2;032/1;032/2;033/1;033/2;034/1;034/2;035/1;035/2;035/3;036/1;036/2;037/1;037/2;038/1;038/2;039/1;039/2;040/1;041/1;041/2;041/3;042/1;042/2;043/1;043/2;043/3;044/1;044/2;044/3;045/1;045/2).</t>
  </si>
  <si>
    <t>0005074/2024</t>
  </si>
  <si>
    <t>d-sgnnsjpd-04n3-cade-3</t>
  </si>
  <si>
    <t>Substituição de 198 cadeias de isolador em 35 estrutura(s) da LT 230 kV GOIANINHA /JOAO PESSOA II C-1 PE/PB-04N2 (GNN;000/1;000/2;000/3;001/1;001/2;001/3;001/4;002/1;002/2;003/1;003/2;003/3;004/1;004/2;005/1;005/2;006/1;006/2;007/1;007/2;007/3;008/1;008/2;008/3;009/1;009/2;010/1;010/2;010/3;011/1;012/1;012/2;012/3;013/1).</t>
  </si>
  <si>
    <t>0005075/2024</t>
  </si>
  <si>
    <t>d-sgnnsjpd-04n2-cade-1</t>
  </si>
  <si>
    <t>Substituição de 150 cadeias de isolador em 35 estrutura(s) da LT 230 kV GOIANINHA /JOAO PESSOA II C-1 PE/PB-04N2 (013/2;014/1;015/1;015/2;016/1;016/2;017/1;017/2;018/1;018/2;019/1;019/2;020/1;020/2;021/1;022/1;022/2;023/1;023/2;024/1;024/2;024/3;025/1;025/2;026/1;026/2;027/1;027/2;028/1;028/2;029/1;029/2;030/1;030/2;030/3).</t>
  </si>
  <si>
    <t>0005076/2024</t>
  </si>
  <si>
    <t>d-sgnnsjpd-04n2-cade-2</t>
  </si>
  <si>
    <t>Substituição de 168 cadeias de isolador em 35 estrutura(s) da LT 230 kV GOIANINHA /JOAO PESSOA II C-1 PE/PB-04N2 (031/1;031/2;032/1;032/2;033/1;033/2;034/1;034/2;035/1;035/2;035/3;036/1;036/2;037/1;037/2;038/1;038/2;039/1;039/2;040/1;041/1;041/2;041/3;042/1;042/2;043/1;043/2;043/3;044/1;044/2;044/3;045/1;045/2;046/1;046/2).</t>
  </si>
  <si>
    <t>0005077/2024</t>
  </si>
  <si>
    <t>d-sgnnsjpd-04n2-cade-3</t>
  </si>
  <si>
    <t>Substituição de 252 cadeias de isolador em 35 estrutura(s) da LT 230 kV RECIFE II /GOIANINHA C-1 PE-04C8 (RCD;001/1;001/2;001/3;001/4;002/1;002/2;002/3;003/1;003/2;003/3;003/4;004/1;004/2;004/3;004/4;004/5;005/1;005/2;005/3;005/4;006/1;006/2;006/3;007/1;007/2;007/3;007/4;007/5;008/1;008/2;008/3;008/4;009/1;009/2).</t>
  </si>
  <si>
    <t>0005078/2024</t>
  </si>
  <si>
    <t>d-srcdsgnn-04c8-cade-1</t>
  </si>
  <si>
    <t>Substituição de 234 cadeias de isolador em 35 estrutura(s) da LT 230 kV RECIFE II /GOIANINHA C-1 PE-04C8 (009/3;009/4;010/1;010/2;010/3;011/1;011/2;011/3;012/1;012/2;013/1;013/2;013/3;013/4;014/1;014/2;015/1;015/2;016/1;016/2;016/3;017/1;017/2;017/3;017/4;018/1;018/2;018/3;019/1;019/2;020/1;020/2;020/3;020/4;021/1).</t>
  </si>
  <si>
    <t>0005079/2024</t>
  </si>
  <si>
    <t>d-srcdsgnn-04c8-cade-2</t>
  </si>
  <si>
    <t>Substituição de 174 cadeias de isolador em 35 estrutura(s) da LT 230 kV RECIFE II /GOIANINHA C-1 PE-04C8 (021/2;021/3;021/4;022/1;022/2;022/3;023/1;023/2;023/3;024/1;024/2;024/3;025/1;025/2;025/3;026/1;026/2;026/3;027/1;027/2;027/3;027/4;028/1;029/1;029/2;029/3;030/1;030/2;031/1;031/2;032/1;032/2;033/1;034/1;034/2).</t>
  </si>
  <si>
    <t>0005080/2024</t>
  </si>
  <si>
    <t>d-srcdsgnn-04c8-cade-3</t>
  </si>
  <si>
    <t>Substituição de 171 cadeias de isolador em 35 estrutura(s) da LT 230 kV RECIFE II /GOIANINHA C-1 PE-04C8 (035/1;035/2;035/3;036/1;036/2;036/3;037/1;038/1;039/1;039/2;040/1;040/2;040/3;041/1;042/1;042/2;043/1;043/2;044/1;045/1;045/2;046/1;046/2;047/1;047/2;048/1;048/2;049/1;049/2;050/1;050/2;050/3;051/1;051/2;052/1).</t>
  </si>
  <si>
    <t>0005081/2024</t>
  </si>
  <si>
    <t>d-srcdsgnn-04c8-cade-4</t>
  </si>
  <si>
    <t>Substituição de 147 cadeias de isolador em 35 estrutura(s) da LT 230 kV RECIFE II /GOIANINHA C-1 PE-04C8 (053/1;053/2;053/3;054/1;055/1;055/2;056/1;056/2;057/1;058/1;058/2;058/3;059/1;059/2;060/1;060/2;061/1;061/2;062/1;062/2;063/1;063/2;064/1;064/2;065/1;065/2;066/1;066/2;066/3;067/1;067/2;068/1;068/2;069/1;069/2).</t>
  </si>
  <si>
    <t>0005082/2024</t>
  </si>
  <si>
    <t>d-srcdsgnn-04c8-cade-5</t>
  </si>
  <si>
    <t>Substituição de 252 cadeias de isolador em 35 estrutura(s) da LT 230 kV RECIFE II /MIRUEIRA C-1 PE-04C4 (RCD;001/1;001/2;001/2A;001/3;002/1;002/2;002/3;003/1;003/2;003/3;004/1;004/2;005/1;005/2;006/1;006/2;007/1;008/1;008/2;008/3;009/1;010/1;010/2;010/3;011/1;011/2;012/1;012/2;013/1;013/2;013/3;014/1;014/2;014/3).</t>
  </si>
  <si>
    <t>0005083/2024</t>
  </si>
  <si>
    <t>d-srcdsmrr-04c4-cade-1</t>
  </si>
  <si>
    <t>Substituição de 160 cadeias de isolador em 35 estrutura(s) da LT 230 kV RECIFE II /MIRUEIRA C-1 PE-04C4 (014/4;015/1;015/2;015/3;015/4;016/1;016/2;016/3;017/1;017/2;017/3;018/1;018/2;018/3;019/1;019/2;019/3;020/1;020/2;020/3;020/4;021/1;021/2;021/3;021/4;022/1;022/2;023/1;023/2;023/3;024/1;024/2;024/3;025/1;025/2).</t>
  </si>
  <si>
    <t>0005084/2024</t>
  </si>
  <si>
    <t>d-srcdsmrr-04c4-cade-2</t>
  </si>
  <si>
    <t>Substituição de 189 cadeias de isolador em 35 estrutura(s) da LT 230 kV RECIFE II /MIRUEIRA C-2 PE-04C5 (RCD;001/1;001/2;001/2A;001/3;002/1;002/2;002/3;003/1;003/2;003/3;004/1;004/2;005/1;005/2;006/1;006/2;007/1;008/1;008/2;008/3;009/1;010/1;010/2;011/1;011/2;011/3;012/1;012/2;013/1;013/2;014/1;014/2;015/1;015/2).</t>
  </si>
  <si>
    <t>0005085/2024</t>
  </si>
  <si>
    <t>d-srcdsmrr-04c5-cade-1</t>
  </si>
  <si>
    <t>Substituição de 141 cadeias de isolador em 35 estrutura(s) da LT 230 kV RECIFE II /MIRUEIRA C-2 PE-04C5 (015/3;016/1;016/2;016/3;017/1;017/2;017/3;018/1;018/2;019/1;019/2;019/3;020/1;020/2;020/3;021/1;021/2;021/3;022/1;022/2;023/1;023/2;023/3;024/1;024/2;025/1;025/2;025/3;026/1;026/2;027/1;027/2;028/1;028/2;029/1).</t>
  </si>
  <si>
    <t>0005086/2024</t>
  </si>
  <si>
    <t>d-srcdsmrr-04c5-cade-2</t>
  </si>
  <si>
    <t>Substituição de 45 cadeias de isolador em 8 estrutura(s) da LT 230 kV RECIFE II /MIRUEIRA C-2 PE-04C5 (029/2;030/1;030/2;031/1;031/2;032/1;032/2;MRR).</t>
  </si>
  <si>
    <t>0005087/2024</t>
  </si>
  <si>
    <t>d-srcdsmrr-04c5-cade-3</t>
  </si>
  <si>
    <t>Substituição de 180 cadeias de isolador em 35 estrutura(s) da LT 230 kV RECIFE II /PIRAPAMA II C-2 PE-04C1 (RCD;001/1;001/2;001/3;001/4;002/1;002/2;003/1;003/2;004/1;004/2;004/3;005/1;005/2;005/3;006/1;006/2;007/1;007/2;008/1;008/2;009/1;010/1;010/2;011/1;011/2;012/1;012/2;013/1;013/2;014/1;015/1;015/2;015/3;016/1).</t>
  </si>
  <si>
    <t>0005088/2024</t>
  </si>
  <si>
    <t>d-srcdsprd-04c1-cade-1</t>
  </si>
  <si>
    <t>Substituição de 117 cadeias de isolador em 29 estrutura(s) da LT 230 kV RECIFE II /PIRAPAMA II C-2 PE-04C1 (016/2;016/3;017/1;017/2;018/1;018/2;019/1;019/2;020/1;020/2;021/1;021/2;022/1;022/2;022/3;023/1;023/2;024/1;025/1;025/2;026/1;026/2;026/3;027/1;027/2;027/3;028/1;028/2;PRD).</t>
  </si>
  <si>
    <t>0005089/2024</t>
  </si>
  <si>
    <t>d-srcdsprd-04c1-cade-2</t>
  </si>
  <si>
    <t>Substituição de 117 cadeias de isolador em 34 estrutura(s) da LT 230 kV RIBEIRAO /RECIFE II C-1 PE-04M1 (037/1;037/2;037/3;038/1;039/1;040/1;040/2;041/2;042/1;042/3;043/1;043/2;043/3;044/2;045/1;045/2;046/1;047/1;047/2;048/1;048/2;049/1;050/1;050/2;050/3;051/1;051/2;051/3;052/1;052/2;052/3;053/1;053/2;053/3).</t>
  </si>
  <si>
    <t>0005090/2024</t>
  </si>
  <si>
    <t>d-sribsrcd-04m1-cade-1</t>
  </si>
  <si>
    <t>Substituição de 60 cadeias de isolador em 10 estrutura(s) da LT 230 kV RIBEIRAO /RECIFE II C-1 PE-04M1 (054/1;054/2;055/1;055/2;056/2;056/3;057/1;057/2;057/3;RCD).</t>
  </si>
  <si>
    <t>0005091/2024</t>
  </si>
  <si>
    <t>d-sribsrcd-04m1-cade-2</t>
  </si>
  <si>
    <t>Substituição de 240 cadeias de isolador em 34 estrutura(s) da LT 230 kV ANGELIM /MESSIAS C-2 PE/AL-04M8 (000/1;000/2;000/3;001/1;001/2;002/1;002/2;003/1;004/1;004/2;004/3;005/1;006/1;006/2;006/3;007/1;007/2;008/1;009/1;009/2;010/1;010/2;011/1;011/2;012/1;013/1;013/2;014/1;014/2;015/1;015/2;016/1;016/2;016/3).</t>
  </si>
  <si>
    <t>0005092/2024</t>
  </si>
  <si>
    <t>d-saglsmsi-04m8-cade-1</t>
  </si>
  <si>
    <t>Substituição de 222 cadeias de isolador em 34 estrutura(s) da LT 230 kV ANGELIM /MESSIAS C-2 PE/AL-04M8 (017/1;017/2;018/1;018/2;019/1;019/2;020/1;020/2;021/1;021/2;022/1;022/2;023/1;023/2;024/1;024/2;025/1;025/2;026/1;026/2;027/2;028/1;028/2;029/1;029/2;030/1;030/2;031/1;031/2;032/2;033/1;034/1;035/1;036/1).</t>
  </si>
  <si>
    <t>0005093/2024</t>
  </si>
  <si>
    <t>d-saglsmsi-04m8-cade-2</t>
  </si>
  <si>
    <t>Substituição de 222 cadeias de isolador em 34 estrutura(s) da LT 230 kV ANGELIM /MESSIAS C-2 PE/AL-04M8 (036/2;036/3;037/1;037/2;037/3;038/1;038/2;039/1;039/2;040/1;040/2;040/3;040/4;043/1;043/2;043/4;044/1;044/2;044/3;045/1;045/2;045/3;046/1;046/2;047/1;048/1;048/2;048/3;049/1;051/1;051/2;052/2;053/1;053/2).</t>
  </si>
  <si>
    <t>0005094/2024</t>
  </si>
  <si>
    <t>d-saglsmsi-04m8-cade-3</t>
  </si>
  <si>
    <t>Substituição de 213 cadeias de isolador em 34 estrutura(s) da LT 230 kV ANGELIM /MESSIAS C-2 PE/AL-04M8 (054/1;054/2;055/1;055/2;055/3;056/1;056/2;057/1;058/1;058/2;059/1;059/2;060/1;060/2;061/1;061/2;061/3;062/1;062/2;063/1;063/2;064/1;064/2;064/3;065/1;065/2;066/1;067/1;067/2;068/1;068/2;069/1;070/1;071/1).</t>
  </si>
  <si>
    <t>0005095/2024</t>
  </si>
  <si>
    <t>d-saglsmsi-04m8-cade-4</t>
  </si>
  <si>
    <t>Substituição de 198 cadeias de isolador em 23 estrutura(s) da LT 230 kV ANGELIM /MESSIAS C-2 PE/AL-04M8 (071/2;071/3;072/1;072/2;073/1;074/1;074/2;074/3;075/1;075/2;076/1;076/2;076/3;077/1;077/2;077/2A;078/1;078/2;078/2A;078/4;078/5;AGL;MSI).</t>
  </si>
  <si>
    <t>0005096/2024</t>
  </si>
  <si>
    <t>d-saglsmsi-04m8-cade-5</t>
  </si>
  <si>
    <t>Substituição de 150 cadeias de isolador em 34 estrutura(s) da LT 230 kV ANGELIM /RECIFE II C-1 PE-04M3 (001/1;001/1A;001/2;001/3;002/1;002/2;003/1;003/2;003/3;004/1;004/2;005/1;005/2;006/1;006/2;007/1;007/2;008/1;008/2;009/1;009/2;010/1;010/2;011/1;011/2;012/1;012/2;013/1;013/2;013/3;014/1;014/2;014/3;015/1).</t>
  </si>
  <si>
    <t>0005097/2024</t>
  </si>
  <si>
    <t>d-saglsrcd-04m3-cade-1</t>
  </si>
  <si>
    <t>Substituição de 153 cadeias de isolador em 34 estrutura(s) da LT 230 kV ANGELIM /RECIFE II C-1 PE-04M3 (015/2;016/1;016/2;016/3;017/1;017/2;017/3;018/1;018/2;019/1;019/2;020/1;020/2;021/1;021/2;022/1;022/2;022/3;022/4;023/1;023/2;023/3;024/1;024/2;024/3;025/1;025/2;026/1;026/2;027/1;027/2;027/3;028/1;028/2).</t>
  </si>
  <si>
    <t>0005098/2024</t>
  </si>
  <si>
    <t>d-saglsrcd-04m3-cade-2</t>
  </si>
  <si>
    <t>Substituição de 176 cadeias de isolador em 34 estrutura(s) da LT 230 kV ANGELIM /RECIFE II C-1 PE-04M3 (028/3;029/1;029/2;029/3;030/1;030/2;031/1;031/2;032/1;032/2;032/3;033/1;034/1;034/2;035/1;035/2;036/1;036/2;037/1;037/2;038/1;038/2;039/1;039/2;040/1;040/2;040/3;041/1;041/2;041/3;042/1;042/2;043/1;044/1).</t>
  </si>
  <si>
    <t>0005099/2024</t>
  </si>
  <si>
    <t>d-saglsrcd-04m3-cade-3</t>
  </si>
  <si>
    <t>Substituição de 143 cadeias de isolador em 34 estrutura(s) da LT 230 kV ANGELIM /RECIFE II C-1 PE-04M3 (044/2;044/3;045/1;046/1;046/2;047/1;047/2;048/1;048/2;049/1;049/2;050/1;050/2;051/1;051/2;052/1;052/2;053/1;053/2;053/3;054/1;054/2;054/3;055/1;055/2;056/1;056/2;057/1;057/2;058/1;058/2;059/1;059/2;059/3).</t>
  </si>
  <si>
    <t>0005100/2024</t>
  </si>
  <si>
    <t>d-saglsrcd-04m3-cade-4</t>
  </si>
  <si>
    <t>Substituição de 150 cadeias de isolador em 34 estrutura(s) da LT 230 kV ANGELIM /RECIFE II C-1 PE-04M3 (060/1;060/2;061/1;061/2;062/1;062/2;063/1;063/2;064/1;064/2;064/3;065/1;065/2;066/1;066/2;067/1;067/2;068/1;068/2;069/1;069/2;070/1;070/2;071/1;071/2;071/3;072/1;072/2;073/1;073/2;074/1;074/2;075/1;075/2).</t>
  </si>
  <si>
    <t>0005101/2024</t>
  </si>
  <si>
    <t>d-saglsrcd-04m3-cade-5</t>
  </si>
  <si>
    <t>Substituição de 54 cadeias de isolador em 12 estrutura(s) da LT 230 kV ANGELIM /RECIFE II C-1 PE-04M3 (076/1;077/1;077/2;078/1;078/2;078/3;079/1;079/2;080/1;080/2;080/3;AGL).</t>
  </si>
  <si>
    <t>0005102/2024</t>
  </si>
  <si>
    <t>d-saglsrcd-04m3-cade-6</t>
  </si>
  <si>
    <t>Substituição de 162 cadeias de isolador em 34 estrutura(s) da LT 230 kV ANGELIM /RIBEIRAO C-1 PE-04S1 (002/1;002/2;003/1;003/2;003/3;004/1;004/2;007/1;008/1;008/2;008/3;009/1;010/1;010/2;011/2;012/1;012/2;013/2;014/1;015/1;015/2;016/2;017/1;017/2;018/1;018/2;019/1;019/2;021/1;021/2;022/1;022/2;023/1;023/2).</t>
  </si>
  <si>
    <t>0005103/2024</t>
  </si>
  <si>
    <t>d-saglsrib-04s1-cade-1</t>
  </si>
  <si>
    <t>Substituição de 132 cadeias de isolador em 34 estrutura(s) da LT 230 kV ANGELIM /RIBEIRAO C-1 PE-04S1 (023/3;024/1;025/1;025/2;026/1;026/2;027/2;029/2;030/1;030/2;031/1;031/2;032/1;032/2;033/1;034/1;034/2;035/1;036/1;037/1;038/1;039/1;039/2;040/1;040/2;041/2;042/1;043/1;044/1;044/2;045/2;046/1;046/2;047/1).</t>
  </si>
  <si>
    <t>0005104/2024</t>
  </si>
  <si>
    <t>d-saglsrib-04s1-cade-2</t>
  </si>
  <si>
    <t>Substituição de 168 cadeias de isolador em 34 estrutura(s) da LT 230 kV ANGELIM /RIBEIRAO C-1 PE-04S1 (047/2;048/1;048/2;049/1;049/2;050/1;050/2;051/1;052/1;052/2;052/3;053/1;053/2;054/1;055/1;055/2;055/3;057/1;057/2;058/2;059/1;059/2;060/1;060/2;060/3;061/1;061/2;062/1;062/2;064/1;064/2;064/3;065/2;066/1).</t>
  </si>
  <si>
    <t>0005105/2024</t>
  </si>
  <si>
    <t>d-saglsrib-04s1-cade-3</t>
  </si>
  <si>
    <t>Substituição de 150 cadeias de isolador em 34 estrutura(s) da LT 230 kV ANGELIM /RIBEIRAO C-2 PE-04S2 (001/1;001/1A;001/2;001/3;002/1;002/2;003/1;003/2;003/3;004/1;004/2;005/1;005/2;006/1;006/2;007/1;007/2;008/1;008/2;009/1;009/2;010/1;010/2;011/1;011/2;012/1;012/2;013/1;013/2;013/3;014/1;014/2;014/3;015/1).</t>
  </si>
  <si>
    <t>0005106/2024</t>
  </si>
  <si>
    <t>d-saglsrib-04s2-cade-1</t>
  </si>
  <si>
    <t>Substituição de 153 cadeias de isolador em 34 estrutura(s) da LT 230 kV ANGELIM /RIBEIRAO C-2 PE-04S2 (015/2;016/1;016/2;016/3;017/1;017/2;017/3;018/1;018/2;019/1;019/2;020/1;020/2;021/1;021/2;022/1;022/2;022/3;022/4;023/1;023/2;023/3;024/1;024/2;024/3;025/1;025/2;026/1;026/2;027/1;027/2;027/3;028/1;028/2).</t>
  </si>
  <si>
    <t>0005107/2024</t>
  </si>
  <si>
    <t>d-saglsrib-04s2-cade-2</t>
  </si>
  <si>
    <t>Substituição de 176 cadeias de isolador em 34 estrutura(s) da LT 230 kV ANGELIM /RIBEIRAO C-2 PE-04S2 (028/3;029/1;029/2;029/3;030/1;030/2;031/1;031/2;032/1;032/2;032/3;033/1;034/1;034/2;035/1;035/2;036/1;036/2;037/1;037/2;038/1;038/2;039/1;039/2;040/1;040/2;040/3;041/1;041/2;041/3;042/1;042/2;043/1;044/1).</t>
  </si>
  <si>
    <t>0005108/2024</t>
  </si>
  <si>
    <t>d-saglsrib-04s2-cade-3</t>
  </si>
  <si>
    <t>Substituição de 150 cadeias de isolador em 34 estrutura(s) da LT 230 kV ANGELIM /RIBEIRAO C-2 PE-04S2 (060/1;060/2;061/1;061/2;062/1;062/2;063/1;063/2;064/1;064/2;064/3;065/1;065/2;066/1;066/2;067/1;067/2;068/1;068/2;069/1;069/2;070/1;070/2;071/1;071/2;071/3;072/1;072/2;073/1;073/2;074/1;074/2;075/1;075/2).</t>
  </si>
  <si>
    <t>0005109/2024</t>
  </si>
  <si>
    <t>d-saglsrib-04s2-cade-4</t>
  </si>
  <si>
    <t>Substituição de 54 cadeias de isolador em 12 estrutura(s) da LT 230 kV ANGELIM /RIBEIRAO C-2 PE-04S2 (076/1;077/1;077/2;078/1;078/2;078/3;079/1;079/2;080/1;080/2;080/3;AGL).</t>
  </si>
  <si>
    <t>0005110/2024</t>
  </si>
  <si>
    <t>d-saglsrib-04s2-cade-5</t>
  </si>
  <si>
    <t>Substituição de 258 cadeias de isolador em 35 estrutura(s) da LT 230 kV RECIFE II /GOIANINHA C-2 PE-04C9 (RCD;001/1;001/2;001/3;001/4;002/1;002/2;002/3;003/1;003/2;003/3;003/4;004/1;004/2;004/3;004/4;004/5;005/1;005/2;005/3;005/4;006/1;006/2;006/3;007/1;007/2;007/3;007/4;007/5;008/1;008/2;008/3;008/4;009/1;009/2).</t>
  </si>
  <si>
    <t>0005111/2024</t>
  </si>
  <si>
    <t>d-srcdsgnn-04c9-cade-1</t>
  </si>
  <si>
    <t>Substituição de 264 cadeias de isolador em 35 estrutura(s) da LT 230 kV RECIFE II /GOIANINHA C-2 PE-04C9 (009/3;009/4;010/1;010/2;010/3;011/1;011/2;012/1;011/3;012/2;013/1;013/2;013/3;013/4;014/1;014/2;015/1;015/2;016/1;016/2;016/3;017/1;017/2;017/3;017/4;018/1;018/2;018/3;019/1;019/2;020/1;020/2;020/3;020/4;021/1).</t>
  </si>
  <si>
    <t>0005112/2024</t>
  </si>
  <si>
    <t>d-srcdsgnn-04c9-cade-2</t>
  </si>
  <si>
    <t>Substituição de 174 cadeias de isolador em 35 estrutura(s) da LT 230 kV RECIFE II /GOIANINHA C-2 PE-04C9 (021/2;021/3;021/4;022/1;022/2;022/3;023/1;023/2;023/3;024/1;024/2;024/3;025/1;025/2;025/3;026/1;026/2;026/3;027/1;027/2;027/4;027/3;028/1;029/1;029/2;029/3;030/1;030/2;031/1;031/2;032/1;032/2;033/1;034/1;034/2).</t>
  </si>
  <si>
    <t>0005113/2024</t>
  </si>
  <si>
    <t>d-srcdsgnn-04c9-cade-3</t>
  </si>
  <si>
    <t>Substituição de 171 cadeias de isolador em 35 estrutura(s) da LT 230 kV RECIFE II /GOIANINHA C-2 PE-04C9 (035/1;035/2;035/3;036/1;036/2;036/3;037/1;038/1;039/1;039/2;040/1;040/2;040/3;041/1;042/1;042/2;043/1;043/2;044/1;045/1;045/2;046/1;046/2;047/1;047/2;048/1;048/2;049/1;049/2;050/1;050/2;050/3;051/1;051/2;052/1).</t>
  </si>
  <si>
    <t>0005114/2024</t>
  </si>
  <si>
    <t>d-srcdsgnn-04c9-cade-4</t>
  </si>
  <si>
    <t>Substituição de 147 cadeias de isolador em 35 estrutura(s) da LT 230 kV RECIFE II /GOIANINHA C-2 PE-04C9 (053/1;053/2;053/3;054/1;055/1;055/2;056/1;056/2;057/1;058/1;058/2;058/3;059/1;059/2;060/1;060/2;061/1;061/2;062/1;062/2;063/1;063/2;064/1;064/2;065/1;065/2;066/1;066/2;066/3;067/1;067/2;068/1;068/2;069/1;069/2).</t>
  </si>
  <si>
    <t>0005115/2024</t>
  </si>
  <si>
    <t>d-srcdsgnn-04c9-cade-5</t>
  </si>
  <si>
    <t>Substituição de 189 cadeias de isolador em 35 estrutura(s) da LT 230 kV RECIFE II /MIRUEIRA C-3 PE-04C6 (RCD;001/1;001/2;001/3;002/1;002/2;002/3;003/1;003/2;003/3;004/1;004/2;005/1;005/2;006/1;006/2;007/1;008/1;008/2;008/3;009/1;010/1;010/2;011/1;011/2;011/3;012/1;012/2;013/1;013/2;014/1;014/2;015/1;015/2;015/3).</t>
  </si>
  <si>
    <t>0005116/2024</t>
  </si>
  <si>
    <t>d-srcdsmrr-04c6-cade-1</t>
  </si>
  <si>
    <t>Substituição de 132 cadeias de isolador em 35 estrutura(s) da LT 230 kV RECIFE II /MIRUEIRA C-3 PE-04C6 (016/1;016/2;016/3;017/1;017/2;017/3;018/1;018/2;019/1;019/2;019/3;020/1;020/2;020/3;021/1;021/2;021/3;022/1;022/2;023/1;023/2;023/3;024/1;024/2;025/1;025/2;026/1;026/2;027/1;027/2;028/1;028/2;029/1;029/2;030/1).</t>
  </si>
  <si>
    <t>0005117/2024</t>
  </si>
  <si>
    <t>d-srcdsmrr-04c6-cade-2</t>
  </si>
  <si>
    <t>LT 230 kV BANABUIU /AQUIRAZ II CE</t>
  </si>
  <si>
    <t>Substituição de 141 cadeias de isolador em 35 estrutura(s) da LT 230 kV BANABUIU /AQUIRAZ II C-1 CE-04C8 (001/0;001/1;001/2;001/3;001/4;002/1;002/2;002/3;003/1;003/2;003/3;004/1;004/2;005/1;005/2;005/3;006/1;006/2;007/1;007/2;008/1;008/2;008/3;009/1;009/2;010/1;010/2;010/3;011/1;011/2;011/3;012/1;012/2;013/1;013/2 ).</t>
  </si>
  <si>
    <t>0005118/2024</t>
  </si>
  <si>
    <t>d-saqdsbnb-04c8-cade-1</t>
  </si>
  <si>
    <t>Substituição de 105 cadeias de isolador em 35 estrutura(s) da LT 230 kV BANABUIU /AQUIRAZ II C-1 CE-04C8 (043/1;043/2;043/3;043/4;044/1;044/2;045/1;045/2;045/3;046/1;046/2;047/1;047/2;047/3;048/1;048/2;049/1;049/2;050/1;050/2;050/3;051/1;051/2;051/3;052/1;052/2;052/3;053/1;053/2;053/3;054/1;054/2;055/1;055/2;056/1 ).</t>
  </si>
  <si>
    <t>0005119/2024</t>
  </si>
  <si>
    <t>d-saqdsbnb-04c8-cade-4</t>
  </si>
  <si>
    <t>Substituição de 105 cadeias de isolador em 35 estrutura(s) da LT 230 kV BANABUIU /AQUIRAZ II C-1 CE-04C8 (056/2;057/1;057/2;058/1;058/2;058/3;059/1;059/2;060/1;060/2;061/1;061/2;061/3;062/1;062/2;063/1;063/2;063/3;064/1;064/2;065/1;065/2;065/3;066/1;066/2;067/1;067/2;067/3;068/1;068/2;069/1;069/2;070/1;070/2;071/1 ).</t>
  </si>
  <si>
    <t>0005120/2024</t>
  </si>
  <si>
    <t>d-saqdsbnb-04c8-cade-5</t>
  </si>
  <si>
    <t>Substituição de 105 cadeias de isolador em 35 estrutura(s) da LT 230 kV BANABUIU /AQUIRAZ II C-1 CE-04C8 (085/1;085/2;085/3;086/1;086/2;087/1;087/2;088/1;088/2;088/3;089/1;089/2;089/3;089/4;090/1;090/2;090/3;091/1;091/2;091/3;092/1;092/2;093/1;093/2;094/1;094/2;095/1;095/2;096/1;096/2;097/1;097/2;098/1;098/2;098/3 ).</t>
  </si>
  <si>
    <t>0005121/2024</t>
  </si>
  <si>
    <t>d-saqdsbnb-04c8-cade-6</t>
  </si>
  <si>
    <t>Substituição de 105 cadeias de isolador em 35 estrutura(s) da LT 230 kV BANABUIU /AQUIRAZ II C-1 CE-04C8 (099/1;099/2;100/1;100/2;101/1;101/2;101/3;102/1;102/2;103/1;103/2;104/1;104/2;104/3;105/1;105/2;106/1;106/2;106/3;107/1;107/2;108/1;108/2;108/3;109/1;109/2;110/1;110/2;110/3;111/1;111/2;112/1;112/2;112/3;113/1 ).</t>
  </si>
  <si>
    <t>0005122/2024</t>
  </si>
  <si>
    <t>d-saqdsbnb-04c8-cade-7</t>
  </si>
  <si>
    <t>Substituição de 117 cadeias de isolador em 35 estrutura(s) da LT 230 kV BANABUIU /AQUIRAZ II C-1 CE-04C8 (113/2;114/1;114/2;114/3;115/1;115/2;116/1;116/2;116/3;117/1;117/2;118/1;118/2;118/3;119/1;119/2;120/1;120/2;120/3;121/1;121/2;122/1;122/2;122/3;123/1;123/2;124/1;124/2;125/1;125/2;125/3;126/1;126/2;127/1;127/2 ).</t>
  </si>
  <si>
    <t>0005123/2024</t>
  </si>
  <si>
    <t>d-saqdsbnb-04c8-cade-8</t>
  </si>
  <si>
    <t>Substituição de 141 cadeias de isolador em 35 estrutura(s) da LT 230 kV BANABUIU /AQUIRAZ II C-1 CE-04C8 (127/3;128/1;128/2;129/1;129/2;129/3;130/1;130/2;131/1;131/2;131/3;132/1;132/2;133/1;133/2;134/1;134/2;134/3;135/1;135/2;135/3;136/1;136/2;137/1;137/2;137/3;138/1;138/2;139/1;139/2;139/3;140/1;140/2;140/3;141/1 ).</t>
  </si>
  <si>
    <t>0005124/2024</t>
  </si>
  <si>
    <t>d-saqdsbnb-04c8-cade-9</t>
  </si>
  <si>
    <t>Substituição de 141 cadeias de isolador em 35 estrutura(s) da LT 230 kV BANABUIU /AQUIRAZ II C-1 CE-04C8 (141/2;141/3;142/1;142/2;142/3;143/1;143/2;144/1;144/2;145/1;145/2;146/1;146/2;146/3;147/1;147/2;148/1;148/2;149/1;149/2;150/1;150/2;151/1;151/2;151/3;152/1;152/2;153/1;153/2;154/1;154/2;155/1;155/2;155/3;156/1 ).</t>
  </si>
  <si>
    <t>0005125/2024</t>
  </si>
  <si>
    <t>d-saqdsbnb-04c8-cade-10</t>
  </si>
  <si>
    <t>Substituição de 177 cadeias de isolador em 35 estrutura(s) da LT 230 kV BANABUIU /AQUIRAZ II C-3 CE-04C6 (001/1;001/2;001/3;001/4;002/1;002/2;002/3;003/1;003/2;003/3;004/1;004/2;004/3;005/1;005/2;006/1;006/2;006/3;007/1;007/2;007/3;007/4;008/1;008/2;008/3;009/1;009/2;010/1;010/2;010/3;011/1;011/2;011/3;011/4;012/1 ).</t>
  </si>
  <si>
    <t>LT 230 kV BANABUIU /AQUIRAZ II C-3 CE</t>
  </si>
  <si>
    <t>0005126/2024</t>
  </si>
  <si>
    <t>d-saqdsbnb-04c6-cade-1</t>
  </si>
  <si>
    <t>Substituição de 141 cadeias de isolador em 35 estrutura(s) da LT 230 kV BANABUIU /AQUIRAZ II C-3 CE-04C6 (012/2;012/3;013/1;013/2;013/3;014/1;014/2;014/3;015/1;015/2;015/3;016/1;016/2;016/3;016/4;017/1;017/2;017/3;018/1;018/2;018/3;019/1;019/2;019/3;019/4;020/1;020/2;020/3;021/1;021/2;021/3;022/1;022/2;022/3;023/1 ).</t>
  </si>
  <si>
    <t>0005127/2024</t>
  </si>
  <si>
    <t>d-saqdsbnb-04c6-cade-2</t>
  </si>
  <si>
    <t>Substituição de 129 cadeias de isolador em 35 estrutura(s) da LT 230 kV BANABUIU /AQUIRAZ II C-3 CE-04C6 (023/2;023/3;024/1;024/2;024/3;024/4;025/1;025/2;025/3;026/1;026/2;026/3;026/4;027/1;027/2;027/3;028/1;028/2;028/3;028/4;029/1;029/2;030/1;030/2;030/3;030/4;031/1;031/2;032/1;032/2;032/3;032/4;033/1;033/2;033/3 ).</t>
  </si>
  <si>
    <t>0005128/2024</t>
  </si>
  <si>
    <t>d-saqdsbnb-04c6-cade-3</t>
  </si>
  <si>
    <t>Substituição de 141 cadeias de isolador em 35 estrutura(s) da LT 230 kV BANABUIU /AQUIRAZ II C-2 CE-04C7 (128/1;128/2;129/1;129/2;129/3;130/1;130/2;131/1;131/2;131/3;132/1;132/2;133/1;133/2;134/1;134/2;134/3;135/1;135/2;135/3;136/1;136/2;137/1;137/2;137/3;138/1;138/2;139/1;139/2;139/3;140/1;140/2;140/3;141/1;141/2 ).</t>
  </si>
  <si>
    <t>LT 230 kV BANABUIU /AQUIRAZ II C-2 CE</t>
  </si>
  <si>
    <t>0005129/2024</t>
  </si>
  <si>
    <t>d-saqdsbnb-04c7-cade-10</t>
  </si>
  <si>
    <t>Substituição de 153 cadeias de isolador em 35 estrutura(s) da LT 230 kV BANABUIU /AQUIRAZ II C-2 CE-04C7 (141/3;142/1;142/2;142/3;143/1;143/2;144/1;144/2;145/1;145/2;146/1;146/2;146/3;147/1;147/2;148/1;148/2;149/1;149/2;150/1;150/2;151/1;151/2;151/3;152/1;152/2;153/1;153/2;154/1;154/2;155/1;155/2;155/3;156/1;156/2 ).</t>
  </si>
  <si>
    <t>0005130/2024</t>
  </si>
  <si>
    <t>d-saqdsbnb-04c7-cade-11</t>
  </si>
  <si>
    <t>LT 230 kV BANABUIU /RUSSAS II CE</t>
  </si>
  <si>
    <t>Substituição de 153 cadeias de isolador em 37 estrutura(s) da LT 230 kV BANABUIU /RUSSAS II C-1 CE-04C1 (020/1;020/2;020/3;020/4;020/5;022/1;022/2;022/3;022/4;023/3;024/3;024/4;027/3;028/2;029/3;030/2;030/4;031/3;033/2;034/1;034/3;035/1;035/3;038/1;038/2;039/2;039/3;040/2;041/1;043/2;044/1;046/2;047/1;048/3;049/1;049/2;050/1 ).</t>
  </si>
  <si>
    <t>0005131/2024</t>
  </si>
  <si>
    <t>d-sbnbsrsd-04c1-cade-2</t>
  </si>
  <si>
    <t>Substituição de 105 cadeias de isolador em 37 estrutura(s) da LT 230 kV BANABUIU /RUSSAS II C-1 CE-04C1 (050/2;052/1;053/2;054/1;054/3;055/1;055/2;056/2;057/1;057/2;058/1;058/2;058/3;058/4;059/2;059/3;059/4;060/1;060/2;060/3;061/2;061/4;062/1;062/2;063/2;063/4;064/1;064/3;065/1;066/1;066/2;067/1;068/2;068/3;068/4;069/2;070/1 ).</t>
  </si>
  <si>
    <t>0005132/2024</t>
  </si>
  <si>
    <t>d-sbnbsrsd-04c1-cade-3</t>
  </si>
  <si>
    <t>Substituição de 105 cadeias de isolador em 37 estrutura(s) da LT 230 kV BANABUIU /RUSSAS II C-1 CE-04C1 (070/3;071/1;072/1;072/2;072/3;074/1;074/2;074/4;075/2;076/1;077/1;077/3;077/4;079/4;080/3;081/1;081/4;082/1;083/1;083/2;083/4;084/3;085/2;086/2;086/3;088/2;088/3;088/4;089/3;092/3;093/2;093/3;095/1;095/2;095/3;096/2;097/1 ).</t>
  </si>
  <si>
    <t>0005133/2024</t>
  </si>
  <si>
    <t>d-sbnbsrsd-04c1-cade-4</t>
  </si>
  <si>
    <t>Substituição de 54 cadeias de isolador em 18 estrutura(s) da LT 230 kV BANABUIU /RUSSAS II C-1 CE-04C1 (097/2;097/3;098/1;098/3;099/2;100/3;100/4;101/2;101/3;102/1;102/2;102/4;103/2;104/2;104/3;108/4;110/3;111/1).</t>
  </si>
  <si>
    <t>0005134/2024</t>
  </si>
  <si>
    <t>d-sbnbsrsd-04c1-cade-5</t>
  </si>
  <si>
    <t>LT 230 kV MILAGRES /BANABUIU CE</t>
  </si>
  <si>
    <t>Substituição de 201 cadeias de isolador em 35 estrutura(s) da LT 230 kV MILAGRES /BANABUIU C-1 CE-04M1 (001/1;001/2;001/3;001/4;002/1;002/2;002/3;003/1;003/2;003/3;004/1;004/2;004/3;005/1;005/2;005/3;006/1;006/2;006/3;007/1;007/2;007/3;008/1;008/2;008/3;009/1;009/2;009/3;010/1;010/2;011/1;011/2;011/3;011/4;012/1 ).</t>
  </si>
  <si>
    <t>0005135/2024</t>
  </si>
  <si>
    <t>d-smlgsbnb-04m1-cade-1</t>
  </si>
  <si>
    <t>Substituição de 141 cadeias de isolador em 35 estrutura(s) da LT 230 kV MILAGRES /BANABUIU C-1 CE-04M1 (012/2;012/3;013/1;013/2;014/1;014/2;014/3;015/1;015/2;015/3;016/1;016/2;016/3;016/4;017/1;017/2;017/3;018/1;018/2;018/3;019/1;019/2;019/3;020/1;020/2;020/3;021/1;021/2;021/3;021/4;022/1;022/2;022/3;023/1;023/2 ).</t>
  </si>
  <si>
    <t>0005136/2024</t>
  </si>
  <si>
    <t>d-smlgsbnb-04m1-cade-2</t>
  </si>
  <si>
    <t>Substituição de 129 cadeias de isolador em 35 estrutura(s) da LT 230 kV MILAGRES /BANABUIU C-1 CE-04M1 (024/1;024/2;024/3;025/1;025/2;026/1;026/2;026/3;027/1;027/2;028/1;028/2;028/3;028/4;029/1;029/2;030/1;030/2;030/3;030/4;031/1;031/2;031/3;032/1;032/2;032/3;033/1;033/2;033/3;033/4;034/1;034/2;035/1;035/2;035/3 ).</t>
  </si>
  <si>
    <t>0005137/2024</t>
  </si>
  <si>
    <t>d-smlgsbnb-04m1-cade-3</t>
  </si>
  <si>
    <t>Substituição de 177 cadeias de isolador em 35 estrutura(s) da LT 230 kV MILAGRES /BANABUIU C-1 CE-04M1 (036/1;036/2;036/3;037/1;037/2;037/3;037/4;038/1;038/2;038/3;039/1;039/2;040/1;040/2;040/3;041/1;041/2;041/3;042/1;042/2;042/3;042/4;043/1;043/2;043/3;044/1;044/2;044/3;045/1;045/2;045/3;046/1;046/2;046/3;046/4 ).</t>
  </si>
  <si>
    <t>0005138/2024</t>
  </si>
  <si>
    <t>d-smlgsbnb-04m1-cade-4</t>
  </si>
  <si>
    <t>Substituição de 177 cadeias de isolador em 35 estrutura(s) da LT 230 kV MILAGRES /BANABUIU C-1 CE-04M1 (047/1;047/2;047/3;047/4;048/1;048/2;048/3;049/1;049/2;049/3;049/4;050/1;050/2;050/3;051/1;051/2;051/3;051/4;052/1;052/2;053/1;053/2;053/3;054/1;054/2;054/3;055/1;055/2;055/3;055/4;056/1;056/2;056/3;057/1;057/2 ).</t>
  </si>
  <si>
    <t>0005139/2024</t>
  </si>
  <si>
    <t>d-smlgsbnb-04m1-cade-5</t>
  </si>
  <si>
    <t>Substituição de 141 cadeias de isolador em 35 estrutura(s) da LT 230 kV MILAGRES /BANABUIU C-1 CE-04M1 (057/3;058/1;058/2;058/3;059/1;059/2;059/3;060/1;060/2;060/3;061/1;061/2;061/3;061/4;062/1;062/2;062/3;062/4;063/1;063/2;063/3;063/4;063/5;064/1;064/2;064/3;065/1;065/2;066/1;066/2;066/3;067/1;067/2;067/3;068/1 ).</t>
  </si>
  <si>
    <t>0005140/2024</t>
  </si>
  <si>
    <t>d-smlgsbnb-04m1-cade-6</t>
  </si>
  <si>
    <t>Substituição de 42 cadeias de isolador em 6 estrutura(s) da LT 230 kV RECIFE II /MIRUEIRA C-3 PE-04C6 (030/2;031/1;031/2;032/1;032/2;MRR).</t>
  </si>
  <si>
    <t>0005141/2024</t>
  </si>
  <si>
    <t>d-srcdsmrr-04c6-cade-3</t>
  </si>
  <si>
    <t>Substituição de 87 cadeias de isolador em 29 estrutura(s) da LT 230 kV MILAGRES /BANABUIU C-1 CE-04M1 (218/3;218/4;219/1;219/2;219/3;220/1;220/2;220/3;220/4;221/1;221/2;221/3;222/1;222/2;222/3;222/4;223/1;223/2;223/3;224/1;224/2;224/3;225/1;225/2;225/3;226/1;226/2;226/3;226/4).</t>
  </si>
  <si>
    <t>0005142/2024</t>
  </si>
  <si>
    <t>d-smlgsbnb-04m1-cade-7</t>
  </si>
  <si>
    <t>Substituição de 153 cadeias de isolador em 35 estrutura(s) da LT 230 kV MILAGRES /BANABUIU C-2 CE-04M3 (001/1;001/2;001/3;001/4;002/1;002/2;002/3;003/1;003/2;004/1;004/2;005/1;005/2;006/1;006/2;007/1;007/2;008/1;008/2;009/1;009/2;009/3;010/1;011/1;011/2;012/1;012/2;013/1;013/2;014/1;014/2;015/1;015/2;015/3;016/1 ).</t>
  </si>
  <si>
    <t>0005143/2024</t>
  </si>
  <si>
    <t>d-smlgsbnb-04m3-cade-1</t>
  </si>
  <si>
    <t>Substituição de 165 cadeias de isolador em 35 estrutura(s) da LT 230 kV MILAGRES /BANABUIU C-2 CE-04M3 (017/1;017/2;017/3;018/1;018/2;019/1;019/2;020/1;020/2;020/3;021/1;021/2;021/3;022/1;023/1;023/2;023/3;024/1;024/2;024/3;025/1;026/1;026/2;027/1;027/2;028/1;028/2;029/1;029/2;029/3;030/1;030/2;030/3;031/1;031/2 ).</t>
  </si>
  <si>
    <t>0005145/2024</t>
  </si>
  <si>
    <t>d-smlgsbnb-04m3-cade-2</t>
  </si>
  <si>
    <t>Substituição de 117 cadeias de isolador em 35 estrutura(s) da LT 230 kV MILAGRES /BANABUIU C-2 CE-04M3 (032/1;032/2;033/1;033/2;033/3;034/1;034/2;035/1;035/2;035/3;036/1;036/2;037/1;037/2;038/1;038/2;039/1;039/2;040/1;040/2;040/3;041/1;041/2;041/3;042/1;042/2;043/1;043/2;044/1;044/2;044/3;045/1;045/2;045/3;046/1 ).</t>
  </si>
  <si>
    <t>0005146/2024</t>
  </si>
  <si>
    <t>d-smlgsbnb-04m3-cade-3</t>
  </si>
  <si>
    <t>Substituição de 153 cadeias de isolador em 35 estrutura(s) da LT 230 kV MILAGRES /BANABUIU C-2 CE-04M3 (046/2;047/1;047/2;048/1;048/2;048/3;049/1;049/2;050/1;050/2;051/1;051/2;052/1;052/2;053/1;054/1;054/2;055/1;055/2;055/3;056/1;056/2;057/1;057/2;057/3;058/1;058/2;059/1;059/2;060/1;060/2;061/1;061/2;061/3;062/1 ).</t>
  </si>
  <si>
    <t>0005150/2024</t>
  </si>
  <si>
    <t>d-smlgsbnb-04m3-cade-4</t>
  </si>
  <si>
    <t>Substituição de 129 cadeias de isolador em 35 estrutura(s) da LT 230 kV MILAGRES /BANABUIU C-2 CE-04M3 (062/2;063/1;063/2;064/1;064/2;064/3;065/1;065/2;065/3;066/1;066/2;067/1;067/2;068/1;069/1;069/2;070/1;070/2;070/3;071/1;071/2;071/3;072/1;072/2;073/1;073/2;074/1;074/2;074/3;075/1;075/2;076/1;076/2;077/1;077/2 ).</t>
  </si>
  <si>
    <t>0005153/2024</t>
  </si>
  <si>
    <t>d-smlgsbnb-04m3-cade-5</t>
  </si>
  <si>
    <t>Substituição de 129 cadeias de isolador em 35 estrutura(s) da LT 230 kV MILAGRES /BANABUIU C-2 CE-04M3 (094/1;094/2;095/1;095/2;095/3;096/1;096/2;096/3;097/1;097/2;098/1;098/2;099/1;099/2;100/1;100/2;100/3;101/1;101/2;102/1;102/2;102/3;103/1;103/2;104/1;104/2;105/1;105/2;105/3;106/1;106/2;107/1;107/2;108/1;108/2 ).</t>
  </si>
  <si>
    <t>0005155/2024</t>
  </si>
  <si>
    <t>d-smlgsbnb-04m3-cade-7</t>
  </si>
  <si>
    <t>Substituição de 129 cadeias de isolador em 35 estrutura(s) da LT 230 kV MILAGRES /BANABUIU C-2 CE-04M3 (108/3;109/1;109/2;110/1;110/2;110/3;111/1;111/2;111/3;112/1;112/2;112/3;113/1;113/2;114/1;114/2;115/1;115/2;116/1;116/2;117/1;117/2;118/1;118/2;119/1;119/2;119/3;120/1;120/2;120/3;121/1;121/2;122/1;122/2;123/1 ).</t>
  </si>
  <si>
    <t>0005159/2024</t>
  </si>
  <si>
    <t>d-smlgsbnb-04m3-cade-8</t>
  </si>
  <si>
    <t>Substituição de 165 cadeias de isolador em 35 estrutura(s) da LT 230 kV MILAGRES /BANABUIU C-2 CE-04M3 (123/2;123/3;124/1;124/2;124/3;125/1;125/2;125/3;126/1;126/2;127/1;127/2;128/1;128/2;129/1;129/2;130/1;130/2;131/1;131/2;132/1;132/2;132/3;133/1;133/2;134/1;135/1;135/2;136/1;136/2;136/3;137/1;137/2;137/3;138/1 ).</t>
  </si>
  <si>
    <t>0005162/2024</t>
  </si>
  <si>
    <t>d-smlgsbnb-04m3-cade-9</t>
  </si>
  <si>
    <t>Substituição de 165 cadeias de isolador em 35 estrutura(s) da LT 230 kV MILAGRES /BANABUIU C-2 CE-04M3 (138/2;139/1;139/2;139/3;140/1;141/1;141/2;141/3;142/1;142/2;143/1;143/2;144/1;144/2;145/1;145/2;146/1;146/2;147/1;147/2;147/3;148/1;148/2;148/3;149/1;149/2;150/1;151/1;151/2;152/1;152/2;152/3;153/1;153/2;154/1 ).</t>
  </si>
  <si>
    <t>0005167/2024</t>
  </si>
  <si>
    <t>d-smlgsbnb-04m3-cade-10</t>
  </si>
  <si>
    <t>Substituição de 105 cadeias de isolador em 35 estrutura(s) da LT 230 kV MILAGRES /BANABUIU C-2 CE-04M3 (154/2;154/3;155/1;155/2;156/1;156/2;156/3;157/1;157/2;158/1;158/2;159/1;159/2;159/3;160/1;160/2;161/1;161/2;162/1;162/2;163/1;163/2;164/1;164/2;164/3;165/1;165/2;166/1;166/2;167/1;167/2;167/3;168/1;168/2;169/1 ).</t>
  </si>
  <si>
    <t>0005170/2024</t>
  </si>
  <si>
    <t>d-smlgsbnb-04m3-cade-11</t>
  </si>
  <si>
    <t>Substituição de 105 cadeias de isolador em 35 estrutura(s) da LT 230 kV MILAGRES /BANABUIU C-2 CE-04M3 (169/2;170/1;170/2;170/3;171/1;171/2;172/1;172/2;172/3;173/1;173/2;174/1;174/2;174/3;175/1;175/2;176/1;176/2;177/1;177/2;177/3;177/4;178/1;178/2;179/1;179/2;180/1;180/2;181/1;181/2;182/1;182/2;182/3;183/1;183/2 ).</t>
  </si>
  <si>
    <t>0005172/2024</t>
  </si>
  <si>
    <t>d-smlgsbnb-04m3-cade-12</t>
  </si>
  <si>
    <t>Substituição de 105 cadeias de isolador em 35 estrutura(s) da LT 230 kV MILAGRES /BANABUIU C-2 CE-04M3 (184/1;184/2;184/3;185/1;185/2;185/3;186/1;186/2;187/1;187/2;188/1;188/2;189/1;189/2;190/1;190/2;190/3;191/1;191/2;192/1;192/2;192/3;193/1;193/2;194/1;194/2;195/1;195/2;195/3;196/1;196/2;196/3;197/1;197/2;197/3 ).</t>
  </si>
  <si>
    <t>0005173/2024</t>
  </si>
  <si>
    <t>d-smlgsbnb-04m3-cade-13</t>
  </si>
  <si>
    <t>Substituição de 141 cadeias de isolador em 35 estrutura(s) da LT 230 kV MILAGRES /BANABUIU C-2 CE-04M3 (198/1;198/2;199/1;199/2;200/1;200/2;201/1;201/2;201/3;202/1;202/2;203/1;203/2;203/3;204/1;204/2;204/3;205/1;205/2;205/3;206/1;206/2;206/3;207/1;207/2;208/1;208/2;208/3;208/4;209/1;209/2;209/3;210/1;210/2;210/3 ).</t>
  </si>
  <si>
    <t>0005175/2024</t>
  </si>
  <si>
    <t>d-smlgsbnb-04m3-cade-14</t>
  </si>
  <si>
    <t>Substituição de 6 cadeias de isolador em 2 estrutura(s) da LT 230 kV MILAGRES /BANABUIU C-2 CE-04M3 (225/4;226/1 ).</t>
  </si>
  <si>
    <t>0005176/2024</t>
  </si>
  <si>
    <t>d-smlgsbnb-04m3-cade-15</t>
  </si>
  <si>
    <t>Substituição de 117 cadeias de isolador em 35 estrutura(s) da LT 230 kV MILAGRES /BANABUIU C-2 CE-04M3 (211/1;211/2;212/1;212/2;212/3;213/1;213/2;213/3;214/1;214/2;215/1;215/2;216/1;216/2;216/3;217/1;217/2;218/1;218/2;218/3;219/1;219/2;220/1;220/2;220/3;221/1;221/2;222/1;223/1;223/2;223/3;224/1;225/1;225/2;225/3 ).</t>
  </si>
  <si>
    <t>0005178/2024</t>
  </si>
  <si>
    <t>d-smlgsbnb-04m3-cade-16</t>
  </si>
  <si>
    <t>LT 230 kV BANABUIU /ICO CE</t>
  </si>
  <si>
    <t>Substituição de 60 cadeias de isolador em 16 estrutura(s) da LT 230 kV BANABUIU /ICO C-1 CE-04C2 (219/2;220/1;220/2;220/3;221/1;221/2;222/1;223/1;223/2;223/3;224/1;225/1;225/2;225/3;225/4;226/1 ).</t>
  </si>
  <si>
    <t>0005179/2024</t>
  </si>
  <si>
    <t>d-sicosbnb-04c2-cade-1</t>
  </si>
  <si>
    <t>Substituição de 105 cadeias de isolador em 35 estrutura(s) da LT 230 kV QUIXERE /MOSSORO II C-1 CE/RN-04L1 (026/1;026/2;026/3;026/4;027/1;027/2;027/3;027/4;028/1;028/2;028/3;028/4;029/1;029/2;029/3;029/4;030/1;030/2;030/3;030/4;031/1;031/2;031/3;031/4;032/1;032/2;032/3;032/4;033/1;033/2;033/3;033/4;034/1;034/2;034/3 ).</t>
  </si>
  <si>
    <t>0005180/2024</t>
  </si>
  <si>
    <t>d-sqxrsmsd-04l1-cade-1</t>
  </si>
  <si>
    <t>Substituição de 117 cadeias de isolador em 35 estrutura(s) da LT 230 kV QUIXERE /MOSSORO II C-1 CE/RN-04L1 (034/4;035/1;035/2;035/3;035/4;036/1;036/2;036/3;036/4;037/1;037/2;037/3;037/4;038/1;038/2;038/3;038/4;039/1;039/2;039/3;039/4;039/5;040/1;040/2;040/3;040/4;041/1;041/2;041/3;042/1;042/2;042/3;042/4;043/1;043/2 ).</t>
  </si>
  <si>
    <t>0005181/2024</t>
  </si>
  <si>
    <t>d-sqxrsmsd-04l1-cade-2</t>
  </si>
  <si>
    <t>Substituição de 117 cadeias de isolador em 35 estrutura(s) da LT 230 kV QUIXERE /MOSSORO II C-1 CE/RN-04L1 (043/3;043/4;044/1;044/2;044/3;044/4;045/1;045/2;045/3;045/4;046/1;046/2;046/3;046/4;047/1;047/2;047/3;047/4;048/1;048/2;048/3;048/4;049/1;049/2;049/3;049/4;050/1;050/2;050/3;050/4;051/1;051/2;051/3;051/4;052/1 ).</t>
  </si>
  <si>
    <t>0005183/2024</t>
  </si>
  <si>
    <t>d-sqxrsmsd-04l1-cade-3</t>
  </si>
  <si>
    <t>Substituição de 105 cadeias de isolador em 35 estrutura(s) da LT 230 kV QUIXERE /MOSSORO II C-1 CE/RN-04L1 (052/2;052/3;053/1;053/2;053/3;053/4;054/1;054/2;054/3;054/4;054/5;055/1;055/2;055/3;055/4;056/1;056/2;056/3;056/4;057/1;057/2;057/3;057/4;058/1;058/2;058/3;058/4;059/1;059/2;059/3;059/4;060/1;060/2;060/3;060/4 ).</t>
  </si>
  <si>
    <t>0005185/2024</t>
  </si>
  <si>
    <t>d-sqxrsmsd-04l1-cade-4</t>
  </si>
  <si>
    <t>Substituição de 117 cadeias de isolador em 35 estrutura(s) da LT 230 kV QUIXERE /MOSSORO II C-1 CE/RN-04L1 (061/1;061/2;061/3;061/4;062/1;062/2;062/3;062/4;063/1;063/2;063/3;063/4;064/1;064/2;064/3;064/4;065/1;065/2;065/3;065/4;066/1;066/2;066/3;066/4;067/1;067/2;067/3;068/1;068/2;068/3;068/4;068/5;069/1;069/2;069/3 ).</t>
  </si>
  <si>
    <t>0005191/2024</t>
  </si>
  <si>
    <t>d-sqxrsmsd-04l1-cade-5</t>
  </si>
  <si>
    <t>Substituição de 78 cadeias de isolador em 22 estrutura(s) da LT 230 kV QUIXERE /MOSSORO II C-1 CE/RN-04L1 (070/1;070/2;070/3;070/4;070/5;071/1;071/2;071/3;071/4;072/1;072/2;072/3;073/1;073/2;073/3;073/4;074/1;074/2;074/3;075/1;075/2;075/3 ).</t>
  </si>
  <si>
    <t>0005196/2024</t>
  </si>
  <si>
    <t>d-sqxrsmsd-04l1-cade-6</t>
  </si>
  <si>
    <t>Substituição de 129 cadeias de isolador em 35 estrutura(s) da LT 230 kV RUSSAS II /QUIXERE C-1 CE-04C2 (001/0;001/1;001/2;001/3;001/4;001/5;002/1;002/2;002/3;002/4;002/5;003/1;003/2;003/3;003/4;004/1;004/2;004/3;004/4;004/5;005/1;005/2;005/3;005/4;005/5;006/1;006/2;006/3;006/4;006/5;007/1;007/2;007/3;007/4;008/1 ).</t>
  </si>
  <si>
    <t>0005199/2024</t>
  </si>
  <si>
    <t>d-srsdsqxr-04c2-cade-1</t>
  </si>
  <si>
    <t>Substituição de 141 cadeias de isolador em 35 estrutura(s) da LT 230 kV RUSSAS II /QUIXERE C-1 CE-04C2 (008/2;008/3;008/4;009/1;009/2;009/3;009/4;010/1;010/2;010/3;011/1;012/1;012/2;012/3;012/4;013/1;013/2;013/3;013/4;014/1;014/2;014/3;014/4;015/1;015/2;015/3;015/4;016/1;016/2;016/3;017/1;017/2;017/3;017/4;018/1 ).</t>
  </si>
  <si>
    <t>0005203/2024</t>
  </si>
  <si>
    <t>d-srsdsqxr-04c2-cade-2</t>
  </si>
  <si>
    <t>Substituição de 93 cadeias de isolador em 31 estrutura(s) da LT 230 kV RUSSAS II /QUIXERE C-1 CE-04C2 (018/2;018/3;018/4;019/1;019/2;019/3;019/4;020/1;020/2;020/3;020/4;021/1;021/2;021/3;021/4;022/1;022/2;022/3;022/4;022/5;023/1;023/2;023/3;023/4;024/1;024/2;024/3;024/4;025/1;025/2;025/3 ).</t>
  </si>
  <si>
    <t>0005208/2024</t>
  </si>
  <si>
    <t>d-srsdsqxr-04c2-cade-3</t>
  </si>
  <si>
    <t>Substituição de 36 cadeias de isolador em 7 estrutura(s) da LT 230 kV RECIFE II /GOIANINHA C-2 PE-04C9 (070/1;070/2;070/3;071/1;071/2;071/3;GNN).</t>
  </si>
  <si>
    <t>0005210/2024</t>
  </si>
  <si>
    <t>d-srcdsgnn-04c9-cade-6</t>
  </si>
  <si>
    <t>Substituição de 36 cadeias de isolador em 7 estrutura(s) da LT 230 kV RECIFE II /GOIANINHA C-1 PE-04C8 (070/1;070/2;070/3;071/1;071/2;071/3;GNN).</t>
  </si>
  <si>
    <t>0005213/2024</t>
  </si>
  <si>
    <t>d-srcdsgnn-04c8-cade-6</t>
  </si>
  <si>
    <t>Substituição de 117 cadeias de isolador em 35 estrutura(s) da LT 230 kV BANABUIU /ICO C-1 CE-04C2 (102/3;103/1;103/2;104/1;104/2;105/1;105/2;105/3;106/1;106/2;107/1;107/2;108/1;108/2;108/3;109/1;109/2;110/1;110/2;110/3;111/1;111/2;111/3;112/1;112/2;112/3;113/1;113/2;114/1;114/2;115/1;115/2;116/1;116/2;117/1 ).</t>
  </si>
  <si>
    <t>0005217/2024</t>
  </si>
  <si>
    <t>d-sicosbnb-04c2-cade-2</t>
  </si>
  <si>
    <t>Substituição de 153 cadeias de isolador em 35 estrutura(s) da LT 230 kV BANABUIU /ICO C-1 CE-04C2 (117/2;118/1;118/2;119/1;119/2;119/3;120/1;120/2;120/3;121/1;121/2;122/1;122/2;123/1;123/2;123/3;124/1;124/2;124/3;125/1;125/2;125/3;126/1;126/2;127/1;127/2;128/1;128/2;129/1;129/2;130/1;130/2;131/1;131/2;132/1 ).</t>
  </si>
  <si>
    <t>0005222/2024</t>
  </si>
  <si>
    <t>d-sicosbnb-04c2-cade-3</t>
  </si>
  <si>
    <t>Substituição de 153 cadeias de isolador em 35 estrutura(s) da LT 230 kV BANABUIU /ICO C-1 CE-04C2 (132/2;132/3;133/1;133/2;134/1;135/1;135/2;136/1;136/2;136/3;137/1;137/2;137/3;138/1;138/2;139/1;139/2;139/3;140/1;141/1;141/2;141/3;142/1;142/2;143/1;143/2;144/1;144/2;145/1;145/2;146/1;146/2;147/1;147/2;147/3 ).</t>
  </si>
  <si>
    <t>0005225/2024</t>
  </si>
  <si>
    <t>d-sicosbnb-04c2-cade-4</t>
  </si>
  <si>
    <t>Substituição de 129 cadeias de isolador em 35 estrutura(s) da LT 230 kV BANABUIU /ICO C-1 CE-04C2 (148/1;148/2;148/3;149/1;149/2;150/1;151/1;151/2;152/1;152/2;152/3;153/1;153/2;154/1;154/2;154/3;155/1;155/2;156/1;156/2;156/3;157/1;157/2;158/1;158/2;159/1;159/2;159/3;160/1;160/2;161/1;161/2;162/1;162/2;163/1 ).</t>
  </si>
  <si>
    <t>0005228/2024</t>
  </si>
  <si>
    <t>d-sicosbnb-04c2-cade-5</t>
  </si>
  <si>
    <t>Substituição de 105 cadeias de isolador em 35 estrutura(s) da LT 230 kV BANABUIU /ICO C-1 CE-04C2 (163/2;164/1;164/2;164/3;165/1;165/2;166/1;166/2;167/1;167/2;167/3;168/1;168/2;169/1;169/2;170/1;170/2;170/3;171/1;171/2;172/1;172/2;172/3;173/1;173/2;174/1;174/2;174/3;175/1;175/2;176/1;176/2;177/1;177/2;177/3 ).</t>
  </si>
  <si>
    <t>0005229/2024</t>
  </si>
  <si>
    <t>d-sicosbnb-04c2-cade-6</t>
  </si>
  <si>
    <t>Substituição de 105 cadeias de isolador em 35 estrutura(s) da LT 230 kV BANABUIU /ICO C-1 CE-04C2 (177/4;178/1;178/2;179/1;179/2;180/1;180/2;181/1;181/2;182/1;182/2;182/3;183/1;183/2;184/1;184/2;184/3;185/1;185/2;185/3;186/1;186/2;187/1;187/2;188/1;188/2;189/1;189/2;190/1;190/2;190/3;191/1;191/2;192/1;192/2 ).</t>
  </si>
  <si>
    <t>0005230/2024</t>
  </si>
  <si>
    <t>d-sicosbnb-04c2-cade-7</t>
  </si>
  <si>
    <t>Substituição de 129 cadeias de isolador em 35 estrutura(s) da LT 230 kV BANABUIU /ICO C-1 CE-04C2 (192/3;193/1;193/2;194/1;194/2;195/1;195/2;195/3;196/1;196/2;196/3;197/1;197/2;197/3;198/1;198/2;199/1;199/2;200/1;200/2;201/1;201/2;201/3;202/1;202/2;203/1;203/2;203/3;204/1;204/2;204/3;205/1;205/2;205/3;206/1 ).</t>
  </si>
  <si>
    <t>0005231/2024</t>
  </si>
  <si>
    <t>d-sicosbnb-04c2-cade-8</t>
  </si>
  <si>
    <t>Substituição de 117 cadeias de isolador em 35 estrutura(s) da LT 230 kV BANABUIU /ICO C-1 CE-04C2 (206/2;206/3;207/1;207/2;208/1;208/2;208/3;208/4;209/1;209/2;209/3;210/1;210/2;210/3;211/1;211/2;212/1;212/2;212/3;213/1;213/2;213/3;214/1;214/2;215/1;215/2;216/1;216/2;216/3;217/1;217/2;218/1;218/2;218/3;219/1 ).</t>
  </si>
  <si>
    <t>0005232/2024</t>
  </si>
  <si>
    <t>d-sicosbnb-04c2-cade-9</t>
  </si>
  <si>
    <t>LT 230 kV MOSSORO II /ACU III RN</t>
  </si>
  <si>
    <t>Substituição de 81 cadeias de isolador em 27 estrutura(s) da LT 230 kV MOSSORO II /ACU III C-1 RN-04Z7 (046/2;047/1;047/2;048/1;048/2;049/1;049/2;050/1;050/2;051/1;051/2;052/1;053/1;053/2;054/1;054/2;055/1;055/2;056/1;056/2;057/1;057/2;058/1;058/2;059/1;060/1;060/2 ).</t>
  </si>
  <si>
    <t>LT 230 kV MOSSORO II /ACU III C-1 RN</t>
  </si>
  <si>
    <t>0005233/2024</t>
  </si>
  <si>
    <t>d-smsdsact-04z7-cade-1</t>
  </si>
  <si>
    <t>Substituição de 140 cadeias de isolador em 35 estrutura(s) da LT 500 kV P. AFONSO IV /JEREMOABO C-1 BA-05S5 (048/1;048/2;049/1;049/2;049/3;050/1;050/2;051/1;051/2;052/1;052/2;053/1;053/2;054/1;054/2;054/3;055/1;055/2;056/1;056/2;057/1;057/2;058/1;058/2;058/3;059/1;059/2;060/1;060/2;061/1;061/2;062/1;062/2;062/3;063/1).</t>
  </si>
  <si>
    <t>0005237/2024</t>
  </si>
  <si>
    <t>d-spaqsjer-05s5-cade-1</t>
  </si>
  <si>
    <t>Substituição de 152 cadeias de isolador em 44 estrutura(s) da LT 500 kV P. AFONSO IV /JEREMOABO C-1 BA-05S5 (063/2;064/1;064/2;065/1;065/2;066/1;066/2;067/1;067/2;068/1;068/2;069/1;069/2;069/3;070/1;070/2;071/1;071/2;072/1;073/1;073/2;074/1;074/2;075/1;075/2;076/1;076/2;076/3;077/1;077/2;078/1;078/2;079/1;079/2;079/3;080/1;080/2;081/1;081/2;082/1;082/2;083/1;083/2;).</t>
  </si>
  <si>
    <t>0005239/2024</t>
  </si>
  <si>
    <t>d-spaqsjer-05s5-cade-2</t>
  </si>
  <si>
    <t>Substituição de 164 cadeias de isolador em 23 estrutura(s) da LT 500 kV JEREMOABO /OLINDINA C-1 BA-05L9 (085/2;086/1;086/2;087/1;087/2;088/1;088/2;089/1;089/2;090/1;090/2;091/1;091/2;092/1;092/2;093/1;093/2;093/3;094/1;094/2;095/1;095/2;096/1).</t>
  </si>
  <si>
    <t>0005241/2024</t>
  </si>
  <si>
    <t>d-sjersold-05l9-cade-1</t>
  </si>
  <si>
    <t>Substituição de 158 cadeias de isolador em 35 estrutura(s) da LT 500 kV OLINDINA /US. L.GONZAGA C-1 BA/PE-05S4 (181/4;182/1;182/2;182/4;183/1;183/2;183/3;184/1;184/2;184/3;185/1;185/2;185/3;185/4;186/1;186/2;187/1;187/2;188/1;189/1;189/2;189/3;189/4;190/1;190/2;191/1;191/3;192/2;192/3;193/1;193/3;194/1;194/3;195/1;196/2).</t>
  </si>
  <si>
    <t>0005247/2024</t>
  </si>
  <si>
    <t>d-slgzsold-05s4-cade-1</t>
  </si>
  <si>
    <t>Substituição de 176 cadeias de isolador em 35 estrutura(s) da LT 500 kV OLINDINA /US. L.GONZAGA C-1 BA/PE-05S4 (196/4;197/1;197/2;197/3;198/3;199/2;199/3;199/4;200/1;200/2;200/3;201/1;201/2;201/4;202/1;203/1;203/2;203/4;204/1;204/2;204/3;205/2;205/3;206/1;206/2;206/3;207/1;207/3;208/1;208/2;209/1;209/3;210/1;210/2;210/3).</t>
  </si>
  <si>
    <t>0005249/2024</t>
  </si>
  <si>
    <t>d-slgzsold-05s4-cade-2</t>
  </si>
  <si>
    <t>Substituição de 124 cadeias de isolador em 22 estrutura(s) da LT 500 kV OLINDINA /US. L.GONZAGA C-1 BA/PE-05S4 (210/4;211/1;211/3;212/3;213/2;214/2;216/2;216/4;217/1;217/3;218/2;219/3;220/3;221/2;221/3;222/3;223/2;223/4;225/2;225/3;225/4;226/2).</t>
  </si>
  <si>
    <t>0005254/2024</t>
  </si>
  <si>
    <t>d-slgzsold-05s4-cade-3</t>
  </si>
  <si>
    <t>Substituição de 141 cadeias de isolador em 35 estrutura(s) da LT 230 kV MILAGRES /BANABUIU C-1 CE-04M1 (068/2;068/3;069/1;069/2;070/1;070/2;070/3;070/4;071/1;071/2;071/3;072/1;072/2;072/3;073/1;073/2;073/3;073/4;074/1;074/2;074/3;075/1;075/2;075/3;076/1;076/2;076/3;077/1;077/2;077/3;078/1;078/2;078/3;079/1;079/2 ).</t>
  </si>
  <si>
    <t>0005258/2024</t>
  </si>
  <si>
    <t>d-smlgsbnb-04m1-cade-8</t>
  </si>
  <si>
    <t>Substituição de 153 cadeias de isolador em 35 estrutura(s) da LT 230 kV MILAGRES /BANABUIU C-1 CE-04M1 (079/3;079/4;080/1;080/2;080/3;081/1;081/2;082/1;082/2;082/3;082/4;083/1;083/2;083/3;084/1;084/2;084/3;084/4;085/1;085/2;086/1;086/2;086/3;087/1;087/2;087/3;088/1;088/2;088/3;089/1;089/2;089/3;090/1;090/2;090/3 ).</t>
  </si>
  <si>
    <t>0005263/2024</t>
  </si>
  <si>
    <t>d-smlgsbnb-04m1-cade-9</t>
  </si>
  <si>
    <t>Substituição de 129 cadeias de isolador em 35 estrutura(s) da LT 230 kV MILAGRES /BANABUIU C-1 CE-04M1 (090/4;091/1;091/2;091/3;092/1;092/2;092/3;092/4;093/1;093/2;093/3;094/1;094/2;094/3;094/4;095/1;095/2;095/3;095/4;096/1;096/2;096/3;097/1;097/2;097/3;098/1;098/2;098/3;099/1;099/2;099/3;099/4;100/1;100/2;101/1 ).</t>
  </si>
  <si>
    <t>0005265/2024</t>
  </si>
  <si>
    <t>d-smlgsbnb-04m1-cade-10</t>
  </si>
  <si>
    <t>Substituição de 189 cadeias de isolador em 35 estrutura(s) da LT 230 kV MILAGRES /BANABUIU C-1 CE-04M1 (101/2;101/3;101/4;102/1;102/2;102/3;103/1;103/2;103/3;104/1;104/2;104/3;104/4;105/1;105/2;105/3;106/1;106/2;106/3;106/4;107/1;107/2;107/3;107/4;108/1;108/2;108/3;109/1;109/2;109/3;110/1;110/2;110/3;111/1;111/2 ).</t>
  </si>
  <si>
    <t>0005266/2024</t>
  </si>
  <si>
    <t>d-smlgsbnb-04m1-cade-11</t>
  </si>
  <si>
    <t>Substituição de 177 cadeias de isolador em 35 estrutura(s) da LT 230 kV MILAGRES /BANABUIU C-1 CE-04M1 (111/3;112/1;112/2;112/3;112/4;113/1;113/2;113/3;114/1;114/2;114/3;115/1;115/2;115/3;116/1;116/2;116/3;116/4;117/1;117/2;117/3;117/4;118/1;118/2;118/3;119/1;119/2;119/3;119/4;120/1;120/2;121/1;121/2;121/3;121/4 ).</t>
  </si>
  <si>
    <t>0005267/2024</t>
  </si>
  <si>
    <t>d-smlgsbnb-04m1-cade-12</t>
  </si>
  <si>
    <t>Substituição de 177 cadeias de isolador em 35 estrutura(s) da LT 230 kV MILAGRES /BANABUIU C-1 CE-04M1 (122/1;122/2;122/3;122/4;123/1;123/2;123/3;124/1;124/2;124/3;125/1;125/2;125/3;126/1;126/2;126/3;127/1;127/2;127/3;128/1;128/2;128/3;128/4;129/1;129/2;130/1;130/2;130/3;131/1;131/2;131/3;132/1;132/2;132/3;133/1 ).</t>
  </si>
  <si>
    <t>0005269/2024</t>
  </si>
  <si>
    <t>d-smlgsbnb-04m1-cade-13</t>
  </si>
  <si>
    <t>Substituição de 141 cadeias de isolador em 35 estrutura(s) da LT 230 kV MILAGRES /BANABUIU C-1 CE-04M1 (133/2;133/3;133/4;133/5;134/1;134/2;135/1;135/2;135/3;136/1;136/2;136/3;137/1;137/2;137/3;138/1;138/2;138/3;139/1;139/2;139/3;139/4;140/1;140/2;140/3;141/1;141/2;141/3;141/4;142/1;142/2;142/3;143/1;143/2;143/3 ).</t>
  </si>
  <si>
    <t>0005270/2024</t>
  </si>
  <si>
    <t>d-smlgsbnb-04m1-cade-14</t>
  </si>
  <si>
    <t>Substituição de 129 cadeias de isolador em 35 estrutura(s) da LT 230 kV MILAGRES /BANABUIU C-1 CE-04M1 (144/1;144/2;144/3;144/4;145/1;145/2;145/3;146/1;146/2;146/3;147/1;147/2;147/3;147/4;148/1;148/2;149/1;149/2;149/3;149/4;150/1;150/2;150/3;151/1;151/2;151/3;152/1;152/2;152/3;152/4;153/1;153/2;153/3;154/1;154/2 ).</t>
  </si>
  <si>
    <t>0005271/2024</t>
  </si>
  <si>
    <t>d-smlgsbnb-04m1-cade-15</t>
  </si>
  <si>
    <t>Substituição de 117 cadeias de isolador em 35 estrutura(s) da LT 230 kV MILAGRES /BANABUIU C-1 CE-04M1 (154/3;155/1;155/2;155/3;156/1;156/2;156/3;157/1;157/2;157/3;158/1;158/2;158/3;159/1;159/2;160/1;160/2;160/3;161/1;161/2;161/3;161/4;162/1;162/2;162/3;163/1;163/2;163/3;163/4;164/1;164/2;164/3;165/1;165/2;165/3 ).</t>
  </si>
  <si>
    <t>0005273/2024</t>
  </si>
  <si>
    <t>d-smlgsbnb-04m1-cade-16</t>
  </si>
  <si>
    <t>Substituição de 105 cadeias de isolador em 35 estrutura(s) da LT 230 kV MILAGRES /BANABUIU C-1 CE-04M1 (165/4;166/1;166/2;167/1;167/2;167/3;167/4;168/1;168/2;168/3;169/1;169/2;169/3;170/1;170/2;170/3;171/1;171/2;171/3;172/1;172/2;172/3;173/1;173/2;173/3;174/1;174/2;174/3;174/4;175/1;175/2;175/3;175/4;176/1;176/2 ).</t>
  </si>
  <si>
    <t>0005275/2024</t>
  </si>
  <si>
    <t>d-smlgsbnb-04m1-cade-17</t>
  </si>
  <si>
    <t>Substituição de 105 cadeias de isolador em 35 estrutura(s) da LT 230 kV MILAGRES /BANABUIU C-1 CE-04M1 (176/3;177/1;177/2;177/3;177/4;178/1;178/2;178/3;179/1;179/2;179/3;180/1;180/2;180/3;181/1;181/2;181/3;182/1;182/2;182/3;183/1;183/2;183/3;183/4;184/1;184/2;184/3;185/1;185/2;185/3;185/4;186/1;186/2;186/3;187/1 ).</t>
  </si>
  <si>
    <t>0005276/2024</t>
  </si>
  <si>
    <t>d-smlgsbnb-04m1-cade-18</t>
  </si>
  <si>
    <t>Substituição de 105 cadeias de isolador em 35 estrutura(s) da LT 230 kV MILAGRES /BANABUIU C-1 CE-04M1 (187/2;187/3;188/1;188/2;188/3;188/4;189/1;189/2;189/3;190/1;190/2;190/3;191/1;191/2;191/3;192/1;192/2;192/3;192/4;193/1;193/2;193/3;194/1;194/2;194/3;195/1;195/2;195/3;196/1;196/2;196/3;196/4;197/1;197/2;197/3).</t>
  </si>
  <si>
    <t>0005277/2024</t>
  </si>
  <si>
    <t>d-smlgsbnb-04m1-cade-19</t>
  </si>
  <si>
    <t>Substituição de 129 cadeias de isolador em 35 estrutura(s) da LT 230 kV MILAGRES /BANABUIU C-1 CE-04M1 (198/1;198/2;198/3;198/4;199/1;199/2;199/3;200/1;200/2;200/3;201/1;201/2;201/3;202/1;202/2;202/3;202/4;203/1;203/2;203/3;204/1;204/2;204/3;204/4;205/1;205/2;205/3;206/1;206/2;206/3;206/4;207/1;207/2;207/3;207/4).</t>
  </si>
  <si>
    <t>0005278/2024</t>
  </si>
  <si>
    <t>d-smlgsbnb-04m1-cade-20</t>
  </si>
  <si>
    <t>Substituição de 105 cadeias de isolador em 35 estrutura(s) da LT 230 kV MILAGRES /BANABUIU C-1 CE-04M1 (208/1;208/2;208/3;208/4;209/1;209/2;209/3;210/1;210/2;210/3;211/1;211/2;211/3;212/1;212/2;212/3;213/1;213/2;213/3;213/4;214/1;214/2;214/3;214/4;215/1;215/2;215/3;216/1;216/2;216/3;217/1;217/2;217/3;218/1;218/2).</t>
  </si>
  <si>
    <t>0005279/2024</t>
  </si>
  <si>
    <t>d-smlgsbnb-04m1-cade-21</t>
  </si>
  <si>
    <t>Substituição de 105 cadeias de isolador em 35 estrutura(s) da LT 230 kV BANABUIU /AQUIRAZ II C-1 CE-04C8 (071/2;071/3;072/1;072/2;073/1;073/2;074/1;074/2;075/1;075/2;075/3;076/1;076/2;077/1;077/2;077/3;078/1;078/2;079/1;079/2;079/3;080/1;080/2;081/1;081/2;081/3;082/1;082/2;082/3;082/4;083/1;083/2;084/1;084/2;084/3 ).</t>
  </si>
  <si>
    <t>0005280/2024</t>
  </si>
  <si>
    <t>d-saqdsbnb-04c8-cade-11</t>
  </si>
  <si>
    <t>Substituição de 129 cadeias de isolador em 35 estrutura(s) da LT 230 kV MOSSORO II /ACU III C-1 RN-04Z7 (001/1;002/1;002/2;002/3;002/4;002/5;003/1;003/2;003/3;003/4;004/1;004/2;004/3;005/1;005/2;005/3;005/4;006/1;006/2;006/3;006/4;007/1;007/2;007/3;008/1;008/2;008/3;008/4;009/1;009/2;009/3;009/4;010/1;010/2;010/3 ).</t>
  </si>
  <si>
    <t>0005281/2024</t>
  </si>
  <si>
    <t>d-smsdsact-04z7-cade-2</t>
  </si>
  <si>
    <t>Substituição de 129 cadeias de isolador em 35 estrutura(s) da LT 230 kV MOSSORO II /ACU III C-1 RN-04Z7 (010/4;011/1;011/2;011/3;012/1;012/2;012/3;013/1;014/1;014/2;014/3;015/1;016/1;016/2;017/1;017/2;018/1;018/2;019/1;019/2;020/1;020/2;021/1;021/2;022/1;022/2;023/1;023/2;024/1;024/2;025/1;025/2;026/1;026/2;027/1 ).</t>
  </si>
  <si>
    <t>0005282/2024</t>
  </si>
  <si>
    <t>d-smsdsact-04z7-cade-3</t>
  </si>
  <si>
    <t>Substituição de 105 cadeias de isolador em 35 estrutura(s) da LT 230 kV MOSSORO II /ACU III C-1 RN-04Z7 (028/1;028/2;029/1;029/2;030/1;030/2;031/1;031/2;032/1;033/1;033/2;034/1;034/2;035/1;035/2;036/1;036/2;037/1;037/2;037/3;038/1;039/1;039/2;040/1;040/2;041/1;041/2;042/1;042/2;043/1;043/2;044/1;045/1;045/2;046/1 ).</t>
  </si>
  <si>
    <t>0005283/2024</t>
  </si>
  <si>
    <t>d-smsdsact-04z7-cade-4</t>
  </si>
  <si>
    <t>Substituição de 143 cadeias de isolador em 34 estrutura(s) da LT 230 kV ANGELIM /RIBEIRAO C-2 PE-04S2 (044/2;044/3;045/1;046/1;046/2;047/1;047/2;048/1;048/2;049/1;049/2;050/1;050/2;051/1;051/2;052/1;052/2;053/1;053/2;053/3;054/1;054/2;054/3;055/1;055/2;056/1;056/2;057/1;057/2;058/1;058/2;059/1;059/2;059/3).</t>
  </si>
  <si>
    <t>0005285/2024</t>
  </si>
  <si>
    <t>d-saglsrib-04s2-cade-6</t>
  </si>
  <si>
    <t>Substituição de 96 cadeias de isolador em 24 estrutura(s) da LT 230 kV BANABUIU /AQUIRAZ II C-1 CE-04C8 (156/2;156/3;156/4;157/1;157/2;157/3;158/1;158/2;158/3;159/1;159/2;160/1;160/2;160/3;161/1;161/2;162/1;162/2;162/3;163/1;163/2;164/1;164/2;164/3 ).</t>
  </si>
  <si>
    <t>0005289/2024</t>
  </si>
  <si>
    <t>d-saqdsbnb-04c8-cade-12</t>
  </si>
  <si>
    <t>Substituição de 93 cadeias de isolador em 21 estrutura(s) da LT 230 kV RECIFE II /MIRUEIRA C-1 PE-04C4 (025/3;025/4;026/1;026/2;026/3;027/1;027/2;027/3;028/1;028/2;028/3;029/1;029/2;029/3;030/1;030/2;030/3;031/1;031/2;032/1;MRR).</t>
  </si>
  <si>
    <t>0005292/2024</t>
  </si>
  <si>
    <t>d-srcdsmrr-04c4-cade-3</t>
  </si>
  <si>
    <t>Substituição de 42 cadeias de isolador em 10 estrutura(s) da LT 230 kV BANABUIU /AQUIRAZ II C-3 CE-04C6 (162/2;162/3;162/4;163/1;163/2;164/1;164/2;164/3;165/1;165/2 ).</t>
  </si>
  <si>
    <t>0005296/2024</t>
  </si>
  <si>
    <t>d-saqdsbnb-04c6-cade-16</t>
  </si>
  <si>
    <t>Substituição de 3 cadeias de isolador em 1 estrutura(s) da LT 230 kV RECIFE II /GOIANINHA C-1 PE-04C8 (040/1).</t>
  </si>
  <si>
    <t>0005299/2024</t>
  </si>
  <si>
    <t>d-srcdsgnn-04c8-cade-7</t>
  </si>
  <si>
    <t>Substituição de 6 cadeias de isolador em 2 estrutura(s) da LT 230 kV RECIFE II /GOIANINHA C-1 PE-04C8 (046/1;046/2).</t>
  </si>
  <si>
    <t>0005303/2024</t>
  </si>
  <si>
    <t>d-srcdsgnn-04c8-cade-8</t>
  </si>
  <si>
    <t>LT 230 kV ITABAIANA /JARDIM SE</t>
  </si>
  <si>
    <t>Substituição de 18 cadeias de isolador em 6 estrutura(s) da LT 230 kV ITABAIANA /JARDIM C-1 SE-04C1 (015/2;016/1;016/2;028/2;016/3;016/4).</t>
  </si>
  <si>
    <t>0005304/2024</t>
  </si>
  <si>
    <t>d-sitbsjdm-04c1-cade-1</t>
  </si>
  <si>
    <t>LT 230 kV ITABAIANINHA /CATU SE/BA</t>
  </si>
  <si>
    <t>Substituição de 57 cadeias de isolador em 19 estrutura(s) da LT 230 kV ITABAIANINHA /CATU C-1 SE/BA-04L1 (004/3;004/4;005/1;007/2;009/1;009/2;024/1;027/2;029/2;029/3;030/1;031/3;035/2;044/2;016/2;018/1;019/1;021/1;021/2).</t>
  </si>
  <si>
    <t>0005305/2024</t>
  </si>
  <si>
    <t>d-sithsctu-04l1-cade-1</t>
  </si>
  <si>
    <t>Substituição de 4 cadeias de isolador em 1 estrutura(s) da LT 500 kV OLINDINA /US. L.GONZAGA C-1 BA/PE-05S4 (117/1).</t>
  </si>
  <si>
    <t>0005307/2024</t>
  </si>
  <si>
    <t>d-slgzsold-05s4-cade-4</t>
  </si>
  <si>
    <t>Substituição de 17,3 km de cabos condutores (Hawk) em 2 vão(s) da LT 500 kV ANGELIM II /PAU FERRO C-1 PE-05L3 (042/1;043/1).</t>
  </si>
  <si>
    <t>0005310/2024</t>
  </si>
  <si>
    <t>d-sagdspfe-05l3-cndt-1</t>
  </si>
  <si>
    <t>LT 69 kV ABAIXADORA /MULUNGU BA</t>
  </si>
  <si>
    <t>Substituição de 3 km de cabos condutores (Grosbeak) em 1 vão(s) da LT 69 kV ABAIXADORA /MULUNGU C-1 BA-02M2 (3).</t>
  </si>
  <si>
    <t>LT 69 kV ABAIXADORA /MULUNGU C-1 BA</t>
  </si>
  <si>
    <t>0005311/2024</t>
  </si>
  <si>
    <t>d-sabxsmlu-02m2-cndt-1</t>
  </si>
  <si>
    <t>Substituição de 9 cadeias de isolador em 1 estrutura(s) da LT 69 kV ABAIXADORA /MULUNGU C-1 BA-02M2 (3).</t>
  </si>
  <si>
    <t>0005312/2024</t>
  </si>
  <si>
    <t>d-sabxsmlu-02m2-cade-1</t>
  </si>
  <si>
    <t>Substituição de 108 cadeias de isolador em 36 estrutura(s) da LT 230 kV C.GRANDE II /PARAISO C-1 PB/RN-04V2 (001/3;011/1;011/2;012/2;013/2;014/1;014/2;015/1;015/2;016/1;016/2;017/1;021/2;022/2;023/1;023/2;023/3;024/1;024/2;025/1;025/2;026/1;026/2;027/2;027/3;028/1;028/2;028/3;029/2;029/3;030/2;031/2;031/3;032/1;032/2;034/2).</t>
  </si>
  <si>
    <t>0005313/2024</t>
  </si>
  <si>
    <t>d-scgdsprs-04v2-cade-1</t>
  </si>
  <si>
    <t>Substituição de 01 (um) sistema de monitoramento para Transformador de Força 500kV posição operacional 05T1 da subestação SJI</t>
  </si>
  <si>
    <t>0005314/2024</t>
  </si>
  <si>
    <t>12627623</t>
  </si>
  <si>
    <t>Substituição de 01 (um) sistema de monitoramento para Transformador de Força 500kV posição operacional 05T1.C da subestação BEA</t>
  </si>
  <si>
    <t>0005315/2024</t>
  </si>
  <si>
    <t>12627628</t>
  </si>
  <si>
    <t>Substituição de um mancal do compensador síncrono 13,8 kv, posição 01k2 da substação de RCD</t>
  </si>
  <si>
    <t>0005316/2024</t>
  </si>
  <si>
    <t>12622075</t>
  </si>
  <si>
    <t>Substituição de um anel coletor do compensador síncrono 13,8 kv, posição 01k1 da substação de CMD</t>
  </si>
  <si>
    <t>0005317/2024</t>
  </si>
  <si>
    <t>12622076</t>
  </si>
  <si>
    <t>Substituição de um anel coletor do compensador síncrono 13,8 kv, posição 01k2 da substação de CMD</t>
  </si>
  <si>
    <t>0005318/2024</t>
  </si>
  <si>
    <t>12622077</t>
  </si>
  <si>
    <t>Substituição de 01 Relé de gás para Transformador de posição operacional 04T6 da Subestação FNL</t>
  </si>
  <si>
    <t>0005319/2024</t>
  </si>
  <si>
    <t>11348083</t>
  </si>
  <si>
    <t>Substituição de 01 (uma) Seccionadora com lâmina de terra 69 kV, posição operacional 32J7-6/7 da Subestação AGL</t>
  </si>
  <si>
    <t>0005320/2024</t>
  </si>
  <si>
    <t>Substituição de 01 (uma) Seccionadora 69 KV posição operacional 32J2-4 da Subestação AGL</t>
  </si>
  <si>
    <t>0005321/2024</t>
  </si>
  <si>
    <t>Substituição de 01 (uma) Seccionadora 69 KV posição operacional 32J2-5 da Subestação AGL</t>
  </si>
  <si>
    <t>0005322/2024</t>
  </si>
  <si>
    <t>Substituição de 01 (uma) Seccionadora com lâmina de terra 69 kV, posição operacional 32J2-6/7 da Subestação AGL</t>
  </si>
  <si>
    <t>0005323/2024</t>
  </si>
  <si>
    <t>Substituição de 01 (uma) Seccionadora 69 KV posição operacional 32J4-4 da Subestação AGL</t>
  </si>
  <si>
    <t>0005324/2024</t>
  </si>
  <si>
    <t>Substituição de 01 (uma) Seccionadora 69 KV posição operacional 32J4-5 da Subestação AGL</t>
  </si>
  <si>
    <t>0005325/2024</t>
  </si>
  <si>
    <t>Substituição de 01 (uma) Seccionadora com lâmina de terra 69 kV, posição operacional 32J4-6/7 da Subestação AGL</t>
  </si>
  <si>
    <t>0005326/2024</t>
  </si>
  <si>
    <t>Substituição de 01 (uma) Seccionadora 69 KV posição operacional 32J3-4 da Subestação AGL</t>
  </si>
  <si>
    <t>0005327/2024</t>
  </si>
  <si>
    <t>Substituição de 01 (uma) Seccionadora 69 KV posição operacional 32J3-5 da Subestação AGL</t>
  </si>
  <si>
    <t>0005328/2024</t>
  </si>
  <si>
    <t>Substituição de 01 (uma) Seccionadora com lâmina de terra 69 kV, posição operacional 32J3-6/7 da Subestação AGL</t>
  </si>
  <si>
    <t>0005329/2024</t>
  </si>
  <si>
    <t>Substituição de 01 (uma) Seccionadora 69 KV posição operacional 32J5-4 da Subestação AGL</t>
  </si>
  <si>
    <t>0005330/2024</t>
  </si>
  <si>
    <t>Substituição de 01 (uma) Seccionadora 69 KV posição operacional 32J5-5 da Subestação AGL</t>
  </si>
  <si>
    <t>0005331/2024</t>
  </si>
  <si>
    <t>Substituição de 01 (uma) Seccionadora 69 KV posição operacional 32A1-8 da Subestação ACD</t>
  </si>
  <si>
    <t>MC 69 kV TT 69/13,8 kV ACU II TA1 RN (32A1)</t>
  </si>
  <si>
    <t>0005332/2024</t>
  </si>
  <si>
    <t>Substituição de 01 (um) disjuntor de 230 KV, posição operacional 14T1-A da Subestação BEA</t>
  </si>
  <si>
    <t>0005342/2024</t>
  </si>
  <si>
    <t>14T1-A</t>
  </si>
  <si>
    <t>Substituição de 01 (um) disjuntor de 230 KV, posição operacional 14T1-B da Subestação BEA</t>
  </si>
  <si>
    <t>0005345/2024</t>
  </si>
  <si>
    <t>14T1-B</t>
  </si>
  <si>
    <t>Substituição de 01 (um) disjuntor de 230 KV, posição operacional 14T1-A da Subestação SJI</t>
  </si>
  <si>
    <t>0005347/2024</t>
  </si>
  <si>
    <t>Substituição de 01 (um) disjuntor de 230 KV, posição operacional 14T1-B da Subestação SJI</t>
  </si>
  <si>
    <t>0005349/2024</t>
  </si>
  <si>
    <t>Substituição de 01 (um) disjuntor de 230 KV, posição operacional 14T3 da Subestação SJI</t>
  </si>
  <si>
    <t>0005350/2024</t>
  </si>
  <si>
    <t>14T3</t>
  </si>
  <si>
    <t>Substituição de 01 (um) disjuntor de 230 KV, posição operacional 14T4 da Subestação SJI</t>
  </si>
  <si>
    <t>0005351/2024</t>
  </si>
  <si>
    <t>14T4</t>
  </si>
  <si>
    <t>Substituição de 01 (um) disjuntor de 230 KV, posição operacional 14F3 da Subestação FTZ</t>
  </si>
  <si>
    <t>0005352/2024</t>
  </si>
  <si>
    <t>14F3</t>
  </si>
  <si>
    <t>Substituição de 01 (um) disjuntor de 230 KV, posição operacional 14Z4 da Subestação FTZ</t>
  </si>
  <si>
    <t>0005353/2024</t>
  </si>
  <si>
    <t>14Z4</t>
  </si>
  <si>
    <t>Substituição de 01 (um) disjuntor de 230 KV, posição operacional 14Z6 da Subestação FTZ</t>
  </si>
  <si>
    <t>0005355/2024</t>
  </si>
  <si>
    <t>14Z6</t>
  </si>
  <si>
    <t>Substituição de 01 (um) disjuntor de 230 KV, posição operacional 14C2 da Subestação RSD</t>
  </si>
  <si>
    <t>0005357/2024</t>
  </si>
  <si>
    <t>14C2</t>
  </si>
  <si>
    <t>Substituição de 01 (um) disjuntor de 230 KV, posição operacional 14D1 da Subestação RSD</t>
  </si>
  <si>
    <t>0005359/2024</t>
  </si>
  <si>
    <t>14D1</t>
  </si>
  <si>
    <t>Substituição de 01 (um) disjuntor de 230 KV, posição operacional 14T1 da Subestação RSD</t>
  </si>
  <si>
    <t>0005360/2024</t>
  </si>
  <si>
    <t>14T1</t>
  </si>
  <si>
    <t>Substituição de 01 (um) disjuntor de 230 KV, posição operacional 14T3 da Subestação PRD</t>
  </si>
  <si>
    <t>0005361/2024</t>
  </si>
  <si>
    <t>Substituição de 01 (um) disjuntor de 230 KV, posição operacional 14C2 da Subestação JDM</t>
  </si>
  <si>
    <t>0005363/2024</t>
  </si>
  <si>
    <t>Substituição de 01 (um) disjuntor de 69 kV, posição operacional 12J1 da Subestação BNB</t>
  </si>
  <si>
    <t>0005364/2024</t>
  </si>
  <si>
    <t>12J1</t>
  </si>
  <si>
    <t>Substituição de Transformador de Corrente 230 kV, referente ao TR2 525/230 kV da SE Caxias, DJ782, Fase B. Associado à obra, são esperadas substituições/adaptações de fundações e suportes, caixa de junção, cabos de controle/potência, barramento, conectores e conexão de aterramento. Funções do TC: proteção e medição.</t>
  </si>
  <si>
    <t>0005365/2024</t>
  </si>
  <si>
    <t>Substituição de 01 (um) PR 500kV,  posição operacional 75T5.A da Subestação SOB</t>
  </si>
  <si>
    <t>TR 500/230 kV U.SOBRADINHO TR5 BA</t>
  </si>
  <si>
    <t>0005366/2024</t>
  </si>
  <si>
    <t>75T5.A</t>
  </si>
  <si>
    <t>Substituição de Transformador de Corrente 230 kV, referente ao TR2 525/230 kV da SE Caxias, DJ782, Fase A. Associado à obra, são esperadas substituições/adaptações de fundações e suportes, caixa de junção, cabos de controle/potência, barramento, conectores e conexão de aterramento. Funções do TC: proteção e medição.</t>
  </si>
  <si>
    <t>0005367/2024</t>
  </si>
  <si>
    <t>Substituição de 01 (um) PR 500kV,  posição operacional 75T5.B da Subestação SOB</t>
  </si>
  <si>
    <t>0005368/2024</t>
  </si>
  <si>
    <t>75T5.B</t>
  </si>
  <si>
    <t>Substituição de Transformador de Corrente 230 kV, referente ao TR2 525/230 kV da SE Caxias, DJ782, Fase C. Associado à obra, são esperadas substituições/adaptações de fundações e suportes, caixa de junção, cabos de controle/potência, barramento, conectores e conexão de aterramento. Funções do TC: proteção e medição.</t>
  </si>
  <si>
    <t>0005370/2024</t>
  </si>
  <si>
    <t>Substituição de 01 (um) PR 500kV,  posição operacional 75T5.C da Subestação SOB</t>
  </si>
  <si>
    <t>0005371/2024</t>
  </si>
  <si>
    <t>75T5.C</t>
  </si>
  <si>
    <t>Substituição de 01 (um) PR 230kV,  posição operacional 74Z9.A da Subestação AGL</t>
  </si>
  <si>
    <t>0005372/2024</t>
  </si>
  <si>
    <t>74Z9.A</t>
  </si>
  <si>
    <t>Substituição de Transformador de Corrente 230 kV, referente a LT Dourados - Anastácio C-1, DJ792, Fase A. Associado à obra, são esperadas substituições/adaptações de fundações e suportes, caixa de junção, cabos de controle/potência, barramento, conectores e conexão de aterramento. Funções do TC: proteção e medição.</t>
  </si>
  <si>
    <t>0005373/2024</t>
  </si>
  <si>
    <t>Substituição de 01 (um) PR 230kV,  posição operacional 74Z9.B da Subestação AGL</t>
  </si>
  <si>
    <t>0005374/2024</t>
  </si>
  <si>
    <t>74Z9.B</t>
  </si>
  <si>
    <t>Substituição de Transformador de Corrente 230 kV, referente a LT Dourados - Anastácio C-1, DJ792, Fase B. Associado à obra, são esperadas substituições/adaptações de fundações e suportes, caixa de junção, cabos de controle/potência, barramento, conectores e conexão de aterramento. Funções do TC: proteção e medição.</t>
  </si>
  <si>
    <t>0005375/2024</t>
  </si>
  <si>
    <t>Substituição de 01 (um) PR 230kV,  posição operacional 74Z9.C da Subestação AGL</t>
  </si>
  <si>
    <t>0005376/2024</t>
  </si>
  <si>
    <t>74Z9.C</t>
  </si>
  <si>
    <t>Substituição de Transformador de Corrente 230 kV, referente a LT Dourados - Anastácio C-1, DJ792, Fase C. Associado à obra, são esperadas substituições/adaptações de fundações e suportes, caixa de junção, cabos de controle/potência, barramento, conectores e conexão de aterramento. Funções do TC: proteção e medição.</t>
  </si>
  <si>
    <t>0005377/2024</t>
  </si>
  <si>
    <t>Substituição de 01 (um) PR 230kV,  posição operacional 74S1.A da Subestação BNO</t>
  </si>
  <si>
    <t>0005378/2024</t>
  </si>
  <si>
    <t>74S1.A</t>
  </si>
  <si>
    <t>Substituição de Transformador de Corrente 525 kV, referente a LT Itá - Nova Santa Rita C-1, DJ1062, Fase B. Associado à obra, são esperadas substituições/adaptações de fundações e suportes, caixa de junção, cabos de controle/potência, barramento, conectores e conexão de aterramento. Funções do TC: proteção e medição.</t>
  </si>
  <si>
    <t>0005379/2024</t>
  </si>
  <si>
    <t>Substituição de Transformador de Corrente 525 kV, referente ao Reator 1 (RT1) da SE Itá, DJ1072, Fase A. Associado à obra, são esperadas substituições/adaptações de fundações e suportes, caixa de junção, cabos de controle/potência, barramento, conectores e conexão de aterramento. Funções do TC: proteção e medição.</t>
  </si>
  <si>
    <t>0005381/2024</t>
  </si>
  <si>
    <t>Substituição de Transformador de Corrente 525 kV, referente ao Reator 1 (RT1) da SE Itá, DJ1072, Fase B. Associado à obra, são esperadas substituições/adaptações de fundações e suportes, caixa de junção, cabos de controle/potência, barramento, conectores e conexão de aterramento. Funções do TC: proteção e medição.</t>
  </si>
  <si>
    <t>0005382/2024</t>
  </si>
  <si>
    <t>Substituição de Transformador de Corrente 525 kV, referente ao Interligador de Barras, DJ1070, SE Itá, Fase B. Associado à obra são esperadas substituições/adaptações de fundações e suportes, caixa de junção, cabos de controle/potência, barramento, conectores e conexão de aterramento.</t>
  </si>
  <si>
    <t>0005385/2024</t>
  </si>
  <si>
    <t>Substituição de 01 (um) PR 230kV,  posição operacional 74S1.C da Subestação BNO</t>
  </si>
  <si>
    <t>0005386/2024</t>
  </si>
  <si>
    <t>74S1.C</t>
  </si>
  <si>
    <t>Substituição de Transformador de Corrente 525 kV, referente ao Interligador de Barras, DJ1070, SE Itá, Fase A. Associado à obra são esperadas substituições/adaptações de fundações e suportes, caixa de junção, cabos de controle/potência, barramento, conectores e conexão de aterramento.</t>
  </si>
  <si>
    <t>0005387/2024</t>
  </si>
  <si>
    <t>Substituição de 01 (um) PR 138kV posição operacional 73C4 fase A da Subestação ACD.</t>
  </si>
  <si>
    <t>0005388/2024</t>
  </si>
  <si>
    <t>73C4.A</t>
  </si>
  <si>
    <t>Substituição de Transformador de Corrente 525 kV, referente ao Interligador de Barras, DJ1070, SE Itá, Fase C. Associado à obra são esperadas substituições/adaptações de fundações e suportes, caixa de junção, cabos de controle/potência, barramento, conectores e conexão de aterramento.</t>
  </si>
  <si>
    <t>0005389/2024</t>
  </si>
  <si>
    <t>Substituição de 01 (um) PR 138kV posição operacional 73C4 fase B da Subestação ACD.</t>
  </si>
  <si>
    <t>0005390/2024</t>
  </si>
  <si>
    <t>73C4.B</t>
  </si>
  <si>
    <t>Substituição de Transformador de Corrente 525 kV, referente a LT Itá - Nova Santa Rita C-1, DJ1062, Fase C. Associado à obra, são esperadas substituições/adaptações de fundações e suportes, caixa de junção, cabos de controle/potência, barramento, conectores e conexão de aterramento. Funções do TC: proteção e medição.</t>
  </si>
  <si>
    <t>0005392/2024</t>
  </si>
  <si>
    <t>Registrador de Perturbação</t>
  </si>
  <si>
    <t>Substituição do Sistema de Registro de Perturbação associado ao vão de Entrada de Linha 04N4 (LT 230 kV GARANHUNS II /ANGELIM C-2), na subestação ANGELIM, composto por: 01 Oscilógrafo e infraestrutura de comunicação associada.</t>
  </si>
  <si>
    <t>0005393/2024</t>
  </si>
  <si>
    <t>11449214</t>
  </si>
  <si>
    <t>Substituição de Transformador de Corrente 525 kV, referente ao Reator 1 (RT1) da SE Itá, DJ1072, Fase C. Associado à obra, são esperadas substituições/adaptações de fundações e suportes, caixa de junção, cabos de controle/potência, barramento, conectores e conexão de aterramento. Funções do TC: proteção e medição.</t>
  </si>
  <si>
    <t>0005394/2024</t>
  </si>
  <si>
    <t>Substituição de Transformador de Corrente 525 kV, referente a LT Itá - Nova Santa Rita C-1, DJ1062, Fase A. Associado à obra, são esperadas substituições/adaptações de fundações e suportes, caixa de junção, cabos de controle/potência, barramento, conectores e conexão de aterramento. Funções do TC: proteção e medição.</t>
  </si>
  <si>
    <t>0005396/2024</t>
  </si>
  <si>
    <t>Substituição de Transformador de Corrente 230 kV, referente ao TR3 230/138 kV da SE Passo Fundo, DJ772, Fase A. Associado à obra, são esperadas substituições/adaptações de fundações e suportes, caixa de junção, cabos de controle/potência, barramento, conectores e conexão de aterramento. Funções do TC: proteção e medição.</t>
  </si>
  <si>
    <t>0005404/2024</t>
  </si>
  <si>
    <t>Substituição de Transformador de Corrente 230 kV, referente ao TR3 230/138 kV da SE Passo Fundo, DJ772, Fase C. Associado à obra, são esperadas substituições/adaptações de fundações e suportes, caixa de junção, cabos de controle/potência, barramento, conectores e conexão de aterramento. Funções do TC: proteção e medição.</t>
  </si>
  <si>
    <t>0005407/2024</t>
  </si>
  <si>
    <t>Substituição de Transformador de Corrente 230 kV, referente a LT Passo Fundo - Vila  Maria C-1, DJ742, Fase C. Associado à obra, são esperadas substituições/adaptações de fundações e suportes, caixa de junção, cabos de controle/potência, barramento, conectores e conexão de aterramento. Funções do TC: proteção e medição.</t>
  </si>
  <si>
    <t>0005408/2024</t>
  </si>
  <si>
    <t>Substituição de Transformador de Corrente 230 kV, referente a LT Passo Fundo - Vila  Maria C-1, DJ742, Fase B. Associado à obra, são esperadas substituições/adaptações de fundações e suportes, caixa de junção, cabos de controle/potência, barramento, conectores e conexão de aterramento. Funções do TC: proteção e medição.</t>
  </si>
  <si>
    <t>0005409/2024</t>
  </si>
  <si>
    <t>Substituição de Transformador de Corrente 230 kV, referente a LT Passo Fundo - Vila  Maria C-1, DJ742, Fase A. Associado à obra, são esperadas substituições/adaptações de fundações e suportes, caixa de junção, cabos de controle/potência, barramento, conectores e conexão de aterramento. Funções do TC: proteção e medição.</t>
  </si>
  <si>
    <t>0005411/2024</t>
  </si>
  <si>
    <t>Substituição do Sistema de Registro de Perturbação associado ao vão de Entrada de Linha  04C4 (LT 230 kV BANABUIU /MOSSORO II C-2), na subestação MOSSORO II, composto por: 01 Oscilógrafo e infraestrutura de comunicação associada.</t>
  </si>
  <si>
    <t>LT 230 kV ALEX /MOSSORO II C-1 CE/RN</t>
  </si>
  <si>
    <t>0005452/2024</t>
  </si>
  <si>
    <t>11446255</t>
  </si>
  <si>
    <t>Substituição do Sistema de Registro de Perturbação associado ao vão de Entrada de Linha  04L3 (LT 230 kV COTEGIPE /JACARACANGA C-1), na subestação JACARACANGA, composto por: 01 Oscilógrafo e infraestrutura de comunicação associada.</t>
  </si>
  <si>
    <t>0005457/2024</t>
  </si>
  <si>
    <t>11449335</t>
  </si>
  <si>
    <t>Substituição do Sistema de Registro de Perturbação associado ao vão de Entrada de Linha  04L4 (LT 230 kV COTEGIPE /MATATU C-1), na subestação MATATU, composto por: 01 Oscilógrafo e infraestrutura de comunicação associada.</t>
  </si>
  <si>
    <t>0005460/2024</t>
  </si>
  <si>
    <t>11446324</t>
  </si>
  <si>
    <t>Substituição do Sistema de Registro de Perturbação associado ao vão de Entrada de Linha  04V2 (LT 230 kV C.GRANDE II /PARAISO C-1 ), na subestação C.GRANDE II, composto por: 01 Oscilógrafo e infraestrutura de comunicação associada.</t>
  </si>
  <si>
    <t>0005463/2024</t>
  </si>
  <si>
    <t>11446239</t>
  </si>
  <si>
    <t>Substituição do Sistema de Registro de Perturbação associado ao vão de Entrada de Linha  04C7 (LT 230 kV CAMACARI II /G.MANGABEIRA C-1), na subestação CAMACARI II, composto por: 01 Oscilógrafo e infraestrutura de comunicação associada.</t>
  </si>
  <si>
    <t>0005465/2024</t>
  </si>
  <si>
    <t>11449340</t>
  </si>
  <si>
    <t>Substituição do Sistema de Registro de Perturbação associado ao vão de Entrada de Linha 04C8 (LT 230 kV CAMACARI II /CARAIBAS C-1), na subestação CAMACARI II, composto por: 01 Oscilógrafo e infraestrutura de comunicação associada.</t>
  </si>
  <si>
    <t>0005469/2024</t>
  </si>
  <si>
    <t>11449344</t>
  </si>
  <si>
    <t>Substituição do Sistema de Registro de Perturbação associado ao vão de Entrada de Linha 04C9 (LT 230 kV CAMACARI II /BRAS.C.SODA C-1), na subestação CAMACARI II, composto por: 01 Oscilógrafo e infraestrutura de comunicação associada.</t>
  </si>
  <si>
    <t>EL 230 kV CAMACARI II LT 230 kV CAMACARI II /BRAS.C.SODA C-1 BA (14C9)</t>
  </si>
  <si>
    <t>0005471/2024</t>
  </si>
  <si>
    <t>11449354</t>
  </si>
  <si>
    <t>Substituição do Sistema de Registro de Perturbação associado ao vão de Entrada de Linha 04M5 (LT 230 kV CAMACARI II /COTEGIPE C-1), na subestação CAMACARI II, composto por: 01 Oscilógrafo e infraestrutura de comunicação associada.</t>
  </si>
  <si>
    <t>0005472/2024</t>
  </si>
  <si>
    <t>11449342</t>
  </si>
  <si>
    <t>Substituição de Transformador de Corrente 230 kV, referente ao TR2 230/138 kV da SE Xanxerê, DJ792, Fase A. Associado à obra, são esperadas substituições/adaptações de fundações e suportes, caixa de junção, cabos de controle/potência, barramento, conectores e conexão de aterramento. Funções do TC: proteção e medição.</t>
  </si>
  <si>
    <t>0005478/2024</t>
  </si>
  <si>
    <t>Substituição de Transformador de Corrente 230 kV, referente ao TR2 230/138 kV da SE Xanxerê, DJ792, Fase C. Associado à obra, são esperadas substituições/adaptações de fundações e suportes, caixa de junção, cabos de controle/potência, barramento, conectores e conexão de aterramento. Funções do TC: proteção e medição.</t>
  </si>
  <si>
    <t>0005480/2024</t>
  </si>
  <si>
    <t>Substituição de Transformador de Corrente 230 kV, referente ao TR2 230/138 kV da SE Xanxerê, DJ792, Fase B. Associado à obra, são esperadas substituições/adaptações de fundações e suportes, caixa de junção, cabos de controle/potência, barramento, conectores e conexão de aterramento. Funções do TC: proteção e medição.</t>
  </si>
  <si>
    <t>0005481/2024</t>
  </si>
  <si>
    <t>TCb</t>
  </si>
  <si>
    <t>Substituição do Sistema de Registro de Perturbação associado ao Banco de Capacitores 04H2, na subestação MILAGRES, composto por: 01 Oscilógrafo e infraestrutura de comunicação associada.</t>
  </si>
  <si>
    <t>BC 230 kV 50,5 MVAr MILAGRES BC2 CE</t>
  </si>
  <si>
    <t>0005483/2024</t>
  </si>
  <si>
    <t>11446247</t>
  </si>
  <si>
    <t>Substituição do Sistema de Registro de Perturbação associado ao vão de Entrada de Linha 04M1 (LT 230 kV MILAGRES /BANABUIU C-1), na subestação MILAGRES, composto por: 01 Oscilógrafo e infraestrutura de comunicação associada.</t>
  </si>
  <si>
    <t>0005485/2024</t>
  </si>
  <si>
    <t>11449266</t>
  </si>
  <si>
    <t>Substituição do Sistema de Registro de Perturbação associado ao vão de Entrada de Linha 04M2 (LT 230 kV ICO /MILAGRES C-1), na subestação MILAGRES, composto por: 01 Oscilógrafo e infraestrutura de comunicação associada.</t>
  </si>
  <si>
    <t>0005488/2024</t>
  </si>
  <si>
    <t>11449267</t>
  </si>
  <si>
    <t>Substituição de 6 esferas de sinalização em 2 vão(s) da LT 230 kV RIO LARGO II /BRASKEM C-1 AL-04S2 (004/2;004/3).</t>
  </si>
  <si>
    <t>0005538/2024</t>
  </si>
  <si>
    <t>d-srldsbsk-04s2-esfe-1</t>
  </si>
  <si>
    <t>Substituição de 3 esferas de sinalização em 1 vão(s) da LT 230 kV ANGELIM /MESSIAS C-1 PE/AL-04M7 (077/2A).</t>
  </si>
  <si>
    <t>0005543/2024</t>
  </si>
  <si>
    <t>d-saglsmsi-04m7-esfe-1</t>
  </si>
  <si>
    <t>Substituição de 6 esferas de sinalização em 2 vão(s) da LT 230 kV ANGELIM /MESSIAS C-2 PE/AL-04M8 (000/2;077/2A).</t>
  </si>
  <si>
    <t>0005548/2024</t>
  </si>
  <si>
    <t>d-saglsmsi-04m8-esfe-1</t>
  </si>
  <si>
    <t>Substituição de 3 esferas de sinalização em 1 vão(s) da LT 230 kV ANGELIM /MESSIAS C-3 PE/AL-04M9 (001/3).</t>
  </si>
  <si>
    <t>0005554/2024</t>
  </si>
  <si>
    <t>d-saglsmsi-04m9-esfe-1</t>
  </si>
  <si>
    <t>Substituição de 6 esferas de sinalização em 2 vão(s) da LT 500 kV GARANHUNS II /ANGELIM II C-1 PE-05L5 (002/2;002/3).</t>
  </si>
  <si>
    <t>0005557/2024</t>
  </si>
  <si>
    <t>d-sgrdsagd-05l5-esfe-1</t>
  </si>
  <si>
    <t>Substituição de 6 esferas de sinalização em 2 vão(s) da LT 500 kV US. L.GONZAGA /GARANHUNS II C-2 PE-05Z1 (237/2;238/1).</t>
  </si>
  <si>
    <t>0005561/2024</t>
  </si>
  <si>
    <t>d-slgzsgrd-05z1-esfe-1</t>
  </si>
  <si>
    <t>Substituição de 6 esferas de sinalização em 2 vão(s) da LT 230 kV CIC. DANTAS /CATU C-1 BA-04L2 (041/2;072/3).</t>
  </si>
  <si>
    <t>0005563/2024</t>
  </si>
  <si>
    <t>d-sccdsctu-04l2-esfe-1</t>
  </si>
  <si>
    <t>Substituição de 33 esferas de sinalização em 11 vão(s) da LT 500 kV JEREMOABO /OLINDINA C-1 BA-05L9 (020/3;024/2;030/2;032/2;040/2;044/2;047/2;049/1;054/2;090/1;121/1).</t>
  </si>
  <si>
    <t>0005568/2024</t>
  </si>
  <si>
    <t>d-sjersold-05l9-esfe-1</t>
  </si>
  <si>
    <t>Substituição de 12 esferas de sinalização em 4 vão(s) da LT 500 kV US. L.GONZAGA /JUAZEIRO III C-1 PE/BA-05C5 (001/2;001/7;007/2;092/2).</t>
  </si>
  <si>
    <t>0005572/2024</t>
  </si>
  <si>
    <t>d-slgzsjzt-05c5-esfe-1</t>
  </si>
  <si>
    <t>Substituição de 3 esferas de sinalização em 1 vão(s) da LT 500 kV US. L.GONZAGA /U.SOBRADINHO C-2 PE/BA-05C4 (315/3).</t>
  </si>
  <si>
    <t>0005576/2024</t>
  </si>
  <si>
    <t>d-slgzssob-05c4-esfe-1</t>
  </si>
  <si>
    <t>Substituição de 3 esferas de sinalização em 1 vão(s) da LT 230 kV P.AFONSO III /CIC. DANTAS C-2 AL/BA-04S3 (418).</t>
  </si>
  <si>
    <t>LT 230 kV P.AFONSO III /CIC. DANTAS C-2 AL/BA</t>
  </si>
  <si>
    <t>0005583/2024</t>
  </si>
  <si>
    <t>d-spafsccd-04s3-esfe-1</t>
  </si>
  <si>
    <t>Substituição de 6 esferas de sinalização em 2 vão(s) da LT 230 kV P.AFONSO III /ITABAIANA C-1 AL/SE-04S6 (007/2;081/1).</t>
  </si>
  <si>
    <t>0005586/2024</t>
  </si>
  <si>
    <t>d-spafsitb-04s6-esfe-1</t>
  </si>
  <si>
    <t>Substituição de 1 estrutura metálica autoportante 046/1 por outra com altura de 37,5 m e carregamento/esforço de 7236,6 DAN) e componentes e 04 fundações associadas da LT 230 kV RECIFE II /GOIANINHA C-1 PE-04C8.</t>
  </si>
  <si>
    <t>0005589/2024</t>
  </si>
  <si>
    <t>11531574</t>
  </si>
  <si>
    <t>Substituição de 1 estrutura metálica autoportante 046/2 por outra com altura de 40,5 m e carregamento/esforço de 5926,8 DAN) e componentes e 04 fundações associadas da LT 230 kV RECIFE II /GOIANINHA C-1 PE-04C8.</t>
  </si>
  <si>
    <t>0005595/2024</t>
  </si>
  <si>
    <t>11531584</t>
  </si>
  <si>
    <t>Substituição de 1 estrutura metálica autoportante 015/2 por outra com altura de 40,5 m e carregamento/esforço de 5926,8 DAN) e componentes e 04 fundações associadas da LT 230 kV ITABAIANA /JARDIM C-1 SE-04C1.</t>
  </si>
  <si>
    <t>0005597/2024</t>
  </si>
  <si>
    <t>11934726</t>
  </si>
  <si>
    <t>Substituição de 1 estrutura metálica autoportante 016/1 por outra com altura de 36 m e carregamento/esforço de 4985,1 DAN) e componentes e 04 fundações associadas da LT 230 kV ITABAIANA /JARDIM C-1 SE-04C1.</t>
  </si>
  <si>
    <t>0005598/2024</t>
  </si>
  <si>
    <t>11934746</t>
  </si>
  <si>
    <t>Substituição de 1 estrutura metálica autoportante 016/2 por outra com altura de 33 m e carregamento/esforço de 4543,1 DAN) e componentes e 04 fundações associadas da LT 230 kV ITABAIANA /JARDIM C-1 SE-04C1.</t>
  </si>
  <si>
    <t>0005599/2024</t>
  </si>
  <si>
    <t>11934766</t>
  </si>
  <si>
    <t>Substituição de 1 estrutura metálica autoportante 028/2 por outra com altura de 51 m e carregamento/esforço de 9971,4 DAN) e componentes e 04 fundações associadas da LT 230 kV ITABAIANA /JARDIM C-1 SE-04C1.</t>
  </si>
  <si>
    <t>0005600/2024</t>
  </si>
  <si>
    <t>11935349</t>
  </si>
  <si>
    <t>Substituição da cadeia de proteção de barras principal, referente às barras de 230 kV da SE Campo Mourão, incluindo uma Unidade Central e sete unidades de Bay (vãos LT S.Osório C-1, S.Osório C-2, Apucarana C-1, Maringá C-1, TF 1 230/138 kV, TF 2 230/138 kV e Interligador de Barras - IB), painéis e cabos de controle e potência associados.</t>
  </si>
  <si>
    <t>0005602/2024</t>
  </si>
  <si>
    <t>Substituição de 1 estrutura metálica autoportante 016/3 por outra com altura de 33 m e carregamento/esforço de 4543,1 DAN) e componentes e 04 fundações associadas da LT 230 kV ITABAIANA /JARDIM C-1 SE-04C1.</t>
  </si>
  <si>
    <t>0005603/2024</t>
  </si>
  <si>
    <t>11934786</t>
  </si>
  <si>
    <t>Substituição da proteção Falha de Disjuntor, referente ao Interligador de Barras (IB) 230 kV da SE Campo Mourão, DJ772.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</si>
  <si>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0005604/2024</t>
  </si>
  <si>
    <t>BF - DJ772</t>
  </si>
  <si>
    <t>Substituição das proteções Principal, Alternada e Falha de Disjuntor, referentes a LT 230 kV Campo Mourão - Apucarana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</si>
  <si>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0005607/2024</t>
  </si>
  <si>
    <t>PP, PA, BF - LT APA C-1</t>
  </si>
  <si>
    <t>Substituição das proteções Principal, Alternada e Falha de Disjuntor, referentes a LT 230 kV Campo Mourão - Maringá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</si>
  <si>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0005610/2024</t>
  </si>
  <si>
    <t>PP, PA, BF - LT MGA C-1</t>
  </si>
  <si>
    <t>Substiuição da Seccionadora de Neutro (13,8kV) - MBST2-05 - Fase A.</t>
  </si>
  <si>
    <t>0006316/2024</t>
  </si>
  <si>
    <t>MBCB205</t>
  </si>
  <si>
    <t>Substituição do sistema de controle e supervisão (com unidade redundante) da LT 230 kV Campo Mourão - Apucarana C-1, incluindo painéis e cabos de controle e potência associados.</t>
  </si>
  <si>
    <t>0005612/2024</t>
  </si>
  <si>
    <t>Controle - LT APA C-1</t>
  </si>
  <si>
    <t>Substituição de 1 estrutura metálica autoportante 009/1 por outra com altura de 27 m e carregamento/esforço de 4342,4 DAN) e componentes e 04 fundações associadas da LT 230 kV ITABAIANINHA /CATU C-1 SE/BA-04L1.</t>
  </si>
  <si>
    <t>0005615/2024</t>
  </si>
  <si>
    <t>11937258</t>
  </si>
  <si>
    <t>Substituição do sistema de controle e supervisão (com unidade redundante) da LT 230 kV Campo Mourão - Maringá C-1, incluindo painéis e cabos de controle e potência associados.</t>
  </si>
  <si>
    <t>0005616/2024</t>
  </si>
  <si>
    <t>Controle - LT MGA C-1</t>
  </si>
  <si>
    <t>Substituição do sistema de controle e supervisão (com unidade redundante) da LT 230 kV Campo Mourão - Salto Osório C-1, incluindo painéis e cabos de controle e potência associados.</t>
  </si>
  <si>
    <t>0005619/2024</t>
  </si>
  <si>
    <t>Controle - LT SOS C-1</t>
  </si>
  <si>
    <t>Substituição de 1 estrutura metálica autoportante 009/2 por outra com altura de 22,5 m e carregamento/esforço de 3437,2 DAN) e componentes e 04 fundações associadas da LT 230 kV ITABAIANINHA /CATU C-1 SE/BA-04L1.</t>
  </si>
  <si>
    <t>0005620/2024</t>
  </si>
  <si>
    <t>11937278</t>
  </si>
  <si>
    <t>Substituição do sistema de controle e supervisão (com unidade redundante) da LT 230 kV Campo Mourão - Salto Osório C-2, incluindo painéis e cabos de controle e potência associados.</t>
  </si>
  <si>
    <t>0005622/2024</t>
  </si>
  <si>
    <t>Controle - LT SOS C-2</t>
  </si>
  <si>
    <t>Substituição de 1 estrutura metálica autoportante 024/1 por outra com altura de 31,5 m e carregamento/esforço de 5103,4 DAN) e componentes e 04 fundações associadas da LT 230 kV ITABAIANINHA /CATU C-1 SE/BA-04L1.</t>
  </si>
  <si>
    <t>0005624/2024</t>
  </si>
  <si>
    <t>11937999</t>
  </si>
  <si>
    <t>Substituição do sistema de controle e supervisão (com unidade redundante) do Interligador de Barras (IB) 230 kV da SE Campo Mourão, DJ772, incluindo painéis e cabos de controle e potência associados.</t>
  </si>
  <si>
    <t>0005626/2024</t>
  </si>
  <si>
    <t>Controle - DJ772</t>
  </si>
  <si>
    <t>Substituição de 1 estrutura metálica autoportante 027/2 por outra com altura de 30 m e carregamento/esforço de 4641,2 DAN) e componentes e 04 fundações associadas da LT 230 kV ITABAIANINHA /CATU C-1 SE/BA-04L1.</t>
  </si>
  <si>
    <t>0005628/2024</t>
  </si>
  <si>
    <t>11938139</t>
  </si>
  <si>
    <t>Substituição do sistema de controle e supervisão (com unidade redundante) do TR1 230/138 kV da SE Campo Mourão, lado de 230 kV, incluindo painéis e cabos de controle e potência associados.</t>
  </si>
  <si>
    <t>0005629/2024</t>
  </si>
  <si>
    <t>Controle - TF1 230 kV</t>
  </si>
  <si>
    <t>Substituição de 1 estrutura metálica autoportante 029/2 por outra com altura de 21 m e carregamento/esforço de 3231,2 DAN) e componentes e 04 fundações associadas da LT 230 kV ITABAIANINHA /CATU C-1 SE/BA-04L1.</t>
  </si>
  <si>
    <t>0005630/2024</t>
  </si>
  <si>
    <t>11938239</t>
  </si>
  <si>
    <t>Substituição da cadeia de proteção de barras (única), referente às barras A e B de 138 kV da SE Campo Grande, incluindo uma Unidade Central e quinze unidades de Bay (vãos BC1, Interligador de Barras - IB, LT Mimoso 2 C-1, LT Mimoso 2 C-2, LT Mimoso 2 C-3, LT Mimoso C-4, LT C.Grande 2 C-1, LT C.Grande 2 C-2, LT  A.Guariroba C-1, LT C.Grande Cuiabá C-1, LT C.Grande Cuiabá C-2, LT C.Grande M.Couto C-1, LT C.Grande M.Couto C-2, LT Assis Scaffa C-1, LT Sidrolândia C-1), painéis e cabos de controle e</t>
  </si>
  <si>
    <t>0005631/2024</t>
  </si>
  <si>
    <t>Substituição de 1 estrutura metálica autoportante 029/3 por outra com altura de 22,5 m e carregamento/esforço de 3437,2 DAN) e componentes e 04 fundações associadas da LT 230 kV ITABAIANINHA /CATU C-1 SE/BA-04L1.</t>
  </si>
  <si>
    <t>0005632/2024</t>
  </si>
  <si>
    <t>11938259</t>
  </si>
  <si>
    <t>Substituição da proteção Falha de Disjuntor, referente ao Interligador de Barras (IB) 138 kV da SE Campo Grande, DJ532.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</si>
  <si>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0005633/2024</t>
  </si>
  <si>
    <t>BF - DJ532</t>
  </si>
  <si>
    <t>Substituição de 1 estrutura metálica autoportante 030/1 por outra com altura de 24 m e carregamento/esforço de 3686,8 DAN) e componentes e 04 fundações associadas da LT 230 kV ITABAIANINHA /CATU C-1 SE/BA-04L1.</t>
  </si>
  <si>
    <t>0005634/2024</t>
  </si>
  <si>
    <t>11938279</t>
  </si>
  <si>
    <t>Substituição das proteções Principal, Alternada e Falha de Disjuntor, referentes a LT 138 kV Campo Grande - A. Guariroba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</si>
  <si>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0005635/2024</t>
  </si>
  <si>
    <t>PP, PA, BF - LT AGU C-1</t>
  </si>
  <si>
    <t>Substituição de 1 estrutura metálica autoportante 031/3 por outra com altura de 28,5 m e carregamento/esforço de 4391,6 DAN) e componentes e 04 fundações associadas da LT 230 kV ITABAIANINHA /CATU C-1 SE/BA-04L1.</t>
  </si>
  <si>
    <t>0005636/2024</t>
  </si>
  <si>
    <t>11938379</t>
  </si>
  <si>
    <t>Substituição das proteções Principal, Alternada e Falha de Disjuntor, referentes a LT 138 kV Campo Grande - Campo Grande Cuiabá C-2.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</si>
  <si>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138 kV CAMPO GRANDE / C. GRANDE CUIABÁ C-2 MS</t>
  </si>
  <si>
    <t>0005637/2024</t>
  </si>
  <si>
    <t>PP, PA, BF - LT CGB C-2</t>
  </si>
  <si>
    <t>Substituição das proteções Principal, Alternada e Falha de Disjuntor, referentes a LT 138 kV Campo Grande - Campo Grande M. Couto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</si>
  <si>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138 kV CAMPO GRANDE / C. GRANDE M. COUTO C-1 MS</t>
  </si>
  <si>
    <t>0005640/2024</t>
  </si>
  <si>
    <t>PP, PA, BF - LT CGM C-1</t>
  </si>
  <si>
    <t>Substituição de 1 estrutura metálica autoportante 044/2 por outra com altura de 36 m e carregamento/esforço de 5716,6 DAN) e componentes e 04 fundações associadas da LT 230 kV ITABAIANINHA /CATU C-1 SE/BA-04L1.</t>
  </si>
  <si>
    <t>0005642/2024</t>
  </si>
  <si>
    <t>11938977</t>
  </si>
  <si>
    <t>Substituição das proteções Principal, Alternada e Falha de Disjuntor, referentes a LT 138 kV Campo Grande - Campo Grande M. Couto C-2.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</si>
  <si>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138 kV CAMPO GRANDE / C. GRANDE M. COUTO C-2 MS</t>
  </si>
  <si>
    <t>0005643/2024</t>
  </si>
  <si>
    <t>PP, PA, BF - LT CGM C-2</t>
  </si>
  <si>
    <t>Substituição de 1 estrutura metálica autoportante 016/2 por outra com altura de 27 m e carregamento/esforço de 4342,4 DAN) e componentes e 04 fundações associadas da LT 230 kV ITABAIANINHA /CATU C-1 SE/BA-04L1.</t>
  </si>
  <si>
    <t>0005645/2024</t>
  </si>
  <si>
    <t>11937599</t>
  </si>
  <si>
    <t>Substituição das proteções Principal, Alternada e Falha de Disjuntor, referentes a LT 138 kV Campo Grande - Sidrolândia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</si>
  <si>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0005646/2024</t>
  </si>
  <si>
    <t>PP, PA, BF - LT SIA C-1</t>
  </si>
  <si>
    <t>Substituição de 1 estrutura metálica autoportante 018/1 por outra com altura de 22,5 m e carregamento/esforço de 3437,2 DAN) e componentes e 04 fundações associadas da LT 230 kV ITABAIANINHA /CATU C-1 SE/BA-04L1.</t>
  </si>
  <si>
    <t>0005648/2024</t>
  </si>
  <si>
    <t>11937699</t>
  </si>
  <si>
    <t>Substituição das proteções Principal, Alternada e Falha de Disjuntor, referentes a LT 138 kV Campo Grande - U.Mimoso C-4.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</si>
  <si>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0005650/2024</t>
  </si>
  <si>
    <t>PP, PA, BF - LT MIM C-4</t>
  </si>
  <si>
    <t>Substituição de 1 estrutura metálica autoportante 019/1 por outra com altura de 21 m e carregamento/esforço de 3231,2 DAN) e componentes e 04 fundações associadas da LT 230 kV ITABAIANINHA /CATU C-1 SE/BA-04L1.</t>
  </si>
  <si>
    <t>0005653/2024</t>
  </si>
  <si>
    <t>11937759</t>
  </si>
  <si>
    <t>Substituição das proteções Principal, Alternada e Falha de Disjuntor, referentes ao Banco de Capacitor 138 kV - BC1 - da SE Campo Grande.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</si>
  <si>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0005654/2024</t>
  </si>
  <si>
    <t>Substituição do sistema de controle e supervisão da LT 138 kV Campo Grande - A. Guariroba C-1, incluindo painéis e cabos de controle e potência associados.</t>
  </si>
  <si>
    <t>0005658/2024</t>
  </si>
  <si>
    <t>Controle - LT AGU C-1</t>
  </si>
  <si>
    <t>Substituição de 1 estrutura metálica autoportante 021/1 por outra com altura de 21 m e carregamento/esforço de 3231,2 DAN) e componentes e 04 fundações associadas da LT 230 kV ITABAIANINHA /CATU C-1 SE/BA-04L1.</t>
  </si>
  <si>
    <t>0005659/2024</t>
  </si>
  <si>
    <t>11937859</t>
  </si>
  <si>
    <t>Substituição do sistema de controle e supervisão da LT 138 kV Campo Grande - Campo Grande Cuiabá C-2, incluindo painéis e cabos de controle e potência associados.</t>
  </si>
  <si>
    <t>0005662/2024</t>
  </si>
  <si>
    <t>Controle - LT CGB C-2</t>
  </si>
  <si>
    <t>Substituição de 1 estrutura metálica autoportante 021/2 por outra com altura de 21 m e carregamento/esforço de 3231,2 DAN) e componentes e 04 fundações associadas da LT 230 kV ITABAIANINHA /CATU C-1 SE/BA-04L1.</t>
  </si>
  <si>
    <t>0005663/2024</t>
  </si>
  <si>
    <t>11937879</t>
  </si>
  <si>
    <t>Substituição do sistema de controle e supervisão da LT 138 kV Campo Grande - Campo Grande M. Couto C-1, incluindo painéis e cabos de controle e potência associados.</t>
  </si>
  <si>
    <t>0005665/2024</t>
  </si>
  <si>
    <t>Controle - LT CGM C-1</t>
  </si>
  <si>
    <t>Substituição de 1 estrutura metálica autoportante 117/1 por outra com altura de 41,5 m e carregamento/esforço de 8272,6 DAN) e componentes e 04 fundações associadas da LT 500 kV OLINDINA /US. L.GONZAGA C-1 BA/PE-05S4.</t>
  </si>
  <si>
    <t>0005667/2024</t>
  </si>
  <si>
    <t>11798959</t>
  </si>
  <si>
    <t>Substituição do sistema de controle e supervisão da LT 138 kV Campo Grande - Campo Grande M. Couto C-2, incluindo painéis e cabos de controle e potência associados.</t>
  </si>
  <si>
    <t>0005669/2024</t>
  </si>
  <si>
    <t>Controle - LT CGM C-2</t>
  </si>
  <si>
    <t>LT 500 kV OLINDINA /CAMACARI II BA</t>
  </si>
  <si>
    <t>Substituição de 9 esferas de sinalização em 3 vão(s) da LT 500 kV OLINDINA /CAMACARI II C-1 BA-05L4 (17;59;116).</t>
  </si>
  <si>
    <t>LT 500 kV OLINDINA /CAMACARI II C-1 BA</t>
  </si>
  <si>
    <t>0005671/2024</t>
  </si>
  <si>
    <t>d-soldscmd-05l4-esfe-1</t>
  </si>
  <si>
    <t>Substituição do sistema de controle e supervisão da LT 138 kV Campo Grande - Mimoso 2 C-1, incluindo painéis e cabos de controle e potência associados.</t>
  </si>
  <si>
    <t>LT 138 kV CAMPO GRANDE / MIMOSO 2 C-1 MS</t>
  </si>
  <si>
    <t>0005674/2024</t>
  </si>
  <si>
    <t>Controle - LT MIM2 C-1</t>
  </si>
  <si>
    <t>Substituição de 27 esferas de sinalização em 9 vão(s) da LT 230 kV SAPEACU /FUNIL C-1 BA-04F1 (006/3;013/2;023/2;028/1;029/3;030/3;031/1;031/3;033/2).</t>
  </si>
  <si>
    <t>0005676/2024</t>
  </si>
  <si>
    <t>d-sspusfnl-04f1-esfe-1</t>
  </si>
  <si>
    <t>Substituição do sistema de controle e supervisão da LT 138 kV Campo Grande - Mimoso 2 C-2, incluindo painéis e cabos de controle e potência associados.</t>
  </si>
  <si>
    <t>LT 138 kV CAMPO GRANDE / MIMOSO 2 C-2 MS</t>
  </si>
  <si>
    <t>0005677/2024</t>
  </si>
  <si>
    <t>Controle - LT MIM2 C-2</t>
  </si>
  <si>
    <t>Substituição de 102 esferas de sinalização em 34 vão(s) da LT 230 kV SAPEACU /FUNIL C-1 BA-04F1 (038/1;064/1;071/2;077/1;080/2;089/3;094/1;113/1;123/2;125/1;134/2;135/1;141/2;142/1;142/2;144/1;144/3;149/1;150/2;151/2;155/1;156/3;157/1;158/1;162/1;164/1;167/1;167/2;174/2;178/1;183/2;189/2;191/1;196/2).</t>
  </si>
  <si>
    <t>0005679/2024</t>
  </si>
  <si>
    <t>d-sspusfnl-04f1-esfe-2</t>
  </si>
  <si>
    <t>Substituição do sistema de controle e supervisão da LT 138 kV Campo Grande - Mimoso 2 C-3, incluindo painéis e cabos de controle e potência associados.</t>
  </si>
  <si>
    <t>0005681/2024</t>
  </si>
  <si>
    <t>Controle - LT MIM2 C-3</t>
  </si>
  <si>
    <t>Substituição de 1 estrutura metálica autoportante 3 por outra com altura de 42,65 m e carregamento/esforço de 12682 DAN) e componentes e 04 fundações associadas da LT 69 kV ABAIXADORA /MULUNGU C-1 BA-02M2.</t>
  </si>
  <si>
    <t>0005683/2024</t>
  </si>
  <si>
    <t>11781644</t>
  </si>
  <si>
    <t>Substituição do sistema de controle e supervisão da LT 138 kV Campo Grande - Sidrolândia C-1, incluindo painéis e cabos de controle e potência associados.</t>
  </si>
  <si>
    <t>0005686/2024</t>
  </si>
  <si>
    <t>Controle - LT SIA C-1</t>
  </si>
  <si>
    <t>LT 230 kV RIO LARGO II /ARAPIRACA III AL</t>
  </si>
  <si>
    <t>Substituição de 3 esferas de sinalização em 1 vão(s) da LT 230 kV RIO LARGO II /ARAPIRACA III C-1 AL-04F1 (123/2).</t>
  </si>
  <si>
    <t>0005688/2024</t>
  </si>
  <si>
    <t>d-srldsart-04f1-esfe-1</t>
  </si>
  <si>
    <t>Substituição do sistema de controle e supervisão da LT 138 kV Campo Grande - U.Mimoso C-4, incluindo painéis e cabos de controle e potência associados.</t>
  </si>
  <si>
    <t>0005690/2024</t>
  </si>
  <si>
    <t>Controle - LT MIM C-4</t>
  </si>
  <si>
    <t>Substituição de 12 esferas de sinalização em 4 vão(s) da LT 500 kV USINA XINGO /JARDIM C-1 AL/SE-05V5 (003/1;003/2;018/1;051/2).</t>
  </si>
  <si>
    <t>0005691/2024</t>
  </si>
  <si>
    <t>d-sxgosjdm-05v5-esfe-1</t>
  </si>
  <si>
    <t>Substituição do sistema de controle e supervisão do Banco de Capacitor 138 kV - BC1 - da SE Campo Grande, incluindo painéis e cabos de controle e potência associados.</t>
  </si>
  <si>
    <t>0005692/2024</t>
  </si>
  <si>
    <t>LT 230 kV ARAPIRACA III /PENEDO AL</t>
  </si>
  <si>
    <t>Substituição de 1 estrutura metálica autoportante 047/1 por outra com altura de 33 m e carregamento/esforço de 5554 DAN) e componentes e 04 fundações associadas da LT 230 kV ARAPIRACA III /PENEDO C-1 AL-04S9.</t>
  </si>
  <si>
    <t>0005693/2024</t>
  </si>
  <si>
    <t>11575116</t>
  </si>
  <si>
    <t>Substituição do sistema de controle e supervisão do Interligador de Barras (IB) 138 kV da SE Campo Grande, DJ532, incluindo painéis e cabos de controle e potência associados.</t>
  </si>
  <si>
    <t>0005694/2024</t>
  </si>
  <si>
    <t>Controle - DJ532</t>
  </si>
  <si>
    <t>Substituição de 1 estrutura metálica autoportante 049/2 por outra com altura de 37,5 m e carregamento/esforço de 6389,9 DAN) e componentes e 04 fundações associadas da LT 230 kV ARAPIRACA III /PENEDO C-1 AL-04S9.</t>
  </si>
  <si>
    <t>0005695/2024</t>
  </si>
  <si>
    <t>11575176</t>
  </si>
  <si>
    <t>Substituição do Sistema de Proteção, Controle e Supervisão (SPCS) dos serviços auxiliares CA / CC, da SE Campo Grande, incluindo painéis e cabos associados.</t>
  </si>
  <si>
    <t>0005696/2024</t>
  </si>
  <si>
    <t>Substituição de 1 estrutura metálica autoportante 051/1 por outra com altura de 37,5 m e carregamento/esforço de 6389,9 DAN) e componentes e 04 fundações associadas da LT 230 kV ARAPIRACA III /PENEDO C-1 AL-04S9.</t>
  </si>
  <si>
    <t>0005697/2024</t>
  </si>
  <si>
    <t>11575206</t>
  </si>
  <si>
    <t>Substituição da cadeia de proteção de barras principal, referente às barras de 230 kV da SE Canoinhas, incluindo uma Unidade Central e sete unidades de Bay (vãos TF 1 230/138 kV, TF 2 230/138 kV, TF 3 230/138 kV, Interligador de Barras - IB, Banco de Capacitor 1, LT 230 kV São Mateus do Sul C-1 e São Mateus do Sul C-2), painéis e cabos de controle e potência associados.</t>
  </si>
  <si>
    <t>0005698/2024</t>
  </si>
  <si>
    <t>Substituição de 1 estrutura metálica autoportante 062/2 por outra com altura de 34,5 m e carregamento/esforço de 5819,5 DAN) e componentes e 04 fundações associadas da LT 230 kV ARAPIRACA III /PENEDO C-1 AL-04S9.</t>
  </si>
  <si>
    <t>0005699/2024</t>
  </si>
  <si>
    <t>11575446</t>
  </si>
  <si>
    <t>Substituição da proteção Falha de Disjuntor, referente ao Interligador de Barras (IB) 230 kV da SE Canoinhas, DJ722.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</si>
  <si>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0005700/2024</t>
  </si>
  <si>
    <t>BF - DJ722</t>
  </si>
  <si>
    <t>Substituição de 1 estrutura metálica autoportante 064/1 por outra com altura de 34,5 m e carregamento/esforço de 5819,5 DAN) e componentes e 04 fundações associadas da LT 230 kV ARAPIRACA III /PENEDO C-1 AL-04S9.</t>
  </si>
  <si>
    <t>0005702/2024</t>
  </si>
  <si>
    <t>11575486</t>
  </si>
  <si>
    <t>Substituição das proteções Principal, Alternada e Falha de Disjuntor, referentes a LT 230 kV Canoinhas - São Mateus do Sul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</si>
  <si>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0005703/2024</t>
  </si>
  <si>
    <t>Substituição de 1 estrutura metálica autoportante 072/2 por outra com altura de 36 m e carregamento/esforço de 6046,7 DAN) e componentes e 04 fundações associadas da LT 230 kV ARAPIRACA III /PENEDO C-1 AL-04S9.</t>
  </si>
  <si>
    <t>0005705/2024</t>
  </si>
  <si>
    <t>11575686</t>
  </si>
  <si>
    <t>Substituição do sistema de controle e supervisão (com unidade redundante) da LT 230 kV Canoinhas - São Mateus do Sul C-1, incluindo painéis e cabos de controle e potência associados.</t>
  </si>
  <si>
    <t>0005704/2024</t>
  </si>
  <si>
    <t>Substituição do sistema de controle e supervisão (com unidade redundante) do Interligador de Barras (IB) 230 kV da SE Canoinhas, DJ722, incluindo painéis e cabos de controle e potência associados.</t>
  </si>
  <si>
    <t>0005706/2024</t>
  </si>
  <si>
    <t>Controle - DJ722</t>
  </si>
  <si>
    <t>LT 230 kV PAU FERRO /GOIANINHA PE</t>
  </si>
  <si>
    <t>Substituição de 1 estrutura metálica autoportante 040/1 por outra com altura de 39 m e carregamento/esforço de 6372,2 DAN) e componentes e 04 fundações associadas da LT 230 kV PAU FERRO /GOIANINHA C-1 PE-04C7.</t>
  </si>
  <si>
    <t>LT 230 kV PAU FERRO /GOIANINHA C-1 PE</t>
  </si>
  <si>
    <t>0005707/2024</t>
  </si>
  <si>
    <t>11525104</t>
  </si>
  <si>
    <t>Substituição do sistema de controle e supervisão (com unidade redundante) do TR1 230/69 kV da SE Canoinhas, lados de 230 e 69 kV, incluindo painéis e cabos de controle e potência associados.</t>
  </si>
  <si>
    <t>0005708/2024</t>
  </si>
  <si>
    <t>Controle - TF1</t>
  </si>
  <si>
    <t>Substituição de 1 estrutura metálica autoportante 048/2 por outra com altura de 34,5 m e carregamento/esforço de 5819,5 DAN) e componentes e 04 fundações associadas da LT 230 kV RIO LARGO II /ARAPIRACA III C-1 AL-04F1.</t>
  </si>
  <si>
    <t>0005709/2024</t>
  </si>
  <si>
    <t>11575066</t>
  </si>
  <si>
    <t>Substituição do sistema de controle e supervisão (com unidade redundante) do TR2 230/69 kV da SE Canoinhas, lados de 230 e 69 kV, incluindo painéis e cabos de controle e potência associados.</t>
  </si>
  <si>
    <t>TR 230/138 kV CANOINHAS ESU TR2 SC</t>
  </si>
  <si>
    <t>0005710/2024</t>
  </si>
  <si>
    <t>Controle - TF2</t>
  </si>
  <si>
    <t>Substituição de 1 estrutura metálica autoportante 052/2 por outra com altura de 34,5 m e carregamento/esforço de 5819,5 DAN) e componentes e 04 fundações associadas da LT 230 kV RIO LARGO II /ARAPIRACA III C-1 AL-04F1.</t>
  </si>
  <si>
    <t>0005712/2024</t>
  </si>
  <si>
    <t>11574976</t>
  </si>
  <si>
    <t>Substituição do sistema de controle e supervisão (com unidade redundante) do TR3 230/69 kV da SE Canoinhas, lados de 230 e 69 kV, incluindo painéis e cabos de controle e potência associados.</t>
  </si>
  <si>
    <t>0005713/2024</t>
  </si>
  <si>
    <t>Controle - TF3</t>
  </si>
  <si>
    <t>Substituição de 1 estrutura metálica autoportante 055/3 por outra com altura de 37,5 m e carregamento/esforço de 6389,9 DAN) e componentes e 04 fundações associadas da LT 230 kV RIO LARGO II /ARAPIRACA III C-1 AL-04F1.</t>
  </si>
  <si>
    <t>0005714/2024</t>
  </si>
  <si>
    <t>11574896</t>
  </si>
  <si>
    <t>Substituição do Sistema de Proteção, Controle e Supervisão (SPCS) dos serviços auxiliares CA / CC, da SE Canoinhas, incluindo painéis e cabos associados.</t>
  </si>
  <si>
    <t>0005715/2024</t>
  </si>
  <si>
    <t>Substituição de 1 estrutura metálica autoportante 058/1 por outra com altura de 36 m e carregamento/esforço de 6046,7 DAN) e componentes e 04 fundações associadas da LT 230 kV RIO LARGO II /ARAPIRACA III C-1 AL-04F1.</t>
  </si>
  <si>
    <t>0005717/2024</t>
  </si>
  <si>
    <t>11574846</t>
  </si>
  <si>
    <t>Substituição da cadeia de proteção de barras principal, referente às barras P e PT de 230 kV da SE Caxias, incluindo uma Unidade Central e onze unidades de Bay (vãos TF 1 525/230 kV, TF 2 525/230 kV, TF 3 525/230 kV, Interligador de Barras - IB, LT 230 kV Caxias do Sul 5 C-1, Farroupilha C-1, Farroupilha C-2, Campo Bom C-1, Campo Bom C-2, N. Petrópolis 2 C-1 e Caxias do Sul 6 C-1), painéis e cabos de controle e potência associados.</t>
  </si>
  <si>
    <t>0005719/2024</t>
  </si>
  <si>
    <t>Substituição de 1 estrutura metálica autoportante 065/3 por outra com altura de 37,5 m e carregamento/esforço de 6389,9 DAN) e componentes e 04 fundações associadas da LT 230 kV RIO LARGO II /ARAPIRACA III C-1 AL-04F1.</t>
  </si>
  <si>
    <t>0005720/2024</t>
  </si>
  <si>
    <t>11574676</t>
  </si>
  <si>
    <t>Substituição da proteção Falha de Disjuntor, referente ao Interligador de Barras (IB) 230 kV da SE Caxias, DJ802.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</si>
  <si>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0005722/2024</t>
  </si>
  <si>
    <t>BF - DJ802</t>
  </si>
  <si>
    <t>Substituição de 1 estrutura metálica autoportante 066/2 por outra com altura de 31,5 m e carregamento/esforço de 5457,5 DAN) e componentes e 04 fundações associadas da LT 230 kV RIO LARGO II /ARAPIRACA III C-1 AL-04F1.</t>
  </si>
  <si>
    <t>0005723/2024</t>
  </si>
  <si>
    <t>11574656</t>
  </si>
  <si>
    <t>Substituição da proteção Falha de Disjuntor, referente ao Interligador de Barras (IB) 525 kV da SE Caxias, D1010 (vão da LT Itá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</si>
  <si>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0005724/2024</t>
  </si>
  <si>
    <t>Substituição de 1 estrutura metálica autoportante 072/2 por outra com altura de 34,5 m e carregamento/esforço de 5819,5 DAN) e componentes e 04 fundações associadas da LT 230 kV RIO LARGO II /ARAPIRACA III C-1 AL-04F1.</t>
  </si>
  <si>
    <t>0005725/2024</t>
  </si>
  <si>
    <t>11574526</t>
  </si>
  <si>
    <t>Substituição da proteção Falha de Disjuntor, referente ao Interligador de Barras (IB) 525 kV da SE Caxias, DJ1030 (vão entre o TF1 e a LT C.Novos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</si>
  <si>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0005726/2024</t>
  </si>
  <si>
    <t>Substituição de 1 estrutura metálica autoportante 077/2 por outra com altura de 34,5 m e carregamento/esforço de 5819,5 DAN) e componentes e 04 fundações associadas da LT 230 kV RIO LARGO II /ARAPIRACA III C-1 AL-04F1.</t>
  </si>
  <si>
    <t>0005728/2024</t>
  </si>
  <si>
    <t>11574456</t>
  </si>
  <si>
    <t>Substituição da proteção Falha de Disjuntor, referente ao Interligador de Barras (IB) 525 kV da SE Caxias, DJ1050 (vão entre o TF2 e a LT Gravataí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</si>
  <si>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0005729/2024</t>
  </si>
  <si>
    <t>Substituição de 1 estrutura metálica autoportante 081/3 por outra com altura de 36 m e carregamento/esforço de 6046,7 DAN) e componentes e 04 fundações associadas da LT 230 kV RIO LARGO II /ARAPIRACA III C-1 AL-04F1.</t>
  </si>
  <si>
    <t>0005730/2024</t>
  </si>
  <si>
    <t>11574296</t>
  </si>
  <si>
    <t>Substituição da proteção Falha de Disjuntor, referente ao Interligador de Barras (IB) 525 kV da SE Caxias, DJ1070 (vão entre o TF3 e o Reator 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</si>
  <si>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0005731/2024</t>
  </si>
  <si>
    <t>Substituição das proteções Principal, Alternada e Falha de Disjuntor, referentes a LT 230 kV Caxias - Caxias 5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</si>
  <si>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230 kV CAXIAS /CAXIAS SUL 5 C-1 RS</t>
  </si>
  <si>
    <t>0005733/2024</t>
  </si>
  <si>
    <t>PP, PA, BF - LT CAX5 C-1</t>
  </si>
  <si>
    <t>Substituição das proteções Principal, Alternada e Falha de Disjuntor, referentes ao Reator 1 525 kV (RT1) da SE Caxias.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</si>
  <si>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RT 525 kV 150 Mvar CAXIAS 1 RS</t>
  </si>
  <si>
    <t>0005734/2024</t>
  </si>
  <si>
    <t>Substituição de 1 estrutura metálica autoportante 093/3 por outra com altura de 33 m e carregamento/esforço de 5554 DAN) e componentes e 04 fundações associadas da LT 230 kV RIO LARGO II /ARAPIRACA III C-1 AL-04F1.</t>
  </si>
  <si>
    <t>0005736/2024</t>
  </si>
  <si>
    <t>11574016</t>
  </si>
  <si>
    <t>Substituição das proteções Principal, Alternada e Falha de Disjuntor, referentes ao TR1 525/230 kV da SE Caxias, lados de 525 e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</si>
  <si>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TR 525/230 kV CAXIAS TR1 RS</t>
  </si>
  <si>
    <t>0005737/2024</t>
  </si>
  <si>
    <t>PP, PA, BF - TF1</t>
  </si>
  <si>
    <t>Substituição de 1 estrutura metálica autoportante 114/1 por outra com altura de 37,5 m e carregamento/esforço de 6389,9 DAN) e componentes e 04 fundações associadas da LT 230 kV RIO LARGO II /ARAPIRACA III C-1 AL-04F1.</t>
  </si>
  <si>
    <t>0005738/2024</t>
  </si>
  <si>
    <t>11573546</t>
  </si>
  <si>
    <t>Substituição das proteções Principal, Alternada e Falha de Disjuntor, referentes ao TR2 525/230 kV da SE Caxias, lados de 525 e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</si>
  <si>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0005739/2024</t>
  </si>
  <si>
    <t>PP, PA, BF - TF2</t>
  </si>
  <si>
    <t>Substituição das proteções Principal, Alternada e Falha de Disjuntor, referentes ao TR3 525/230 kV da SE Caxias, lados de 525 e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</si>
  <si>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TR 525/230 kV CAXIAS TR3 RS</t>
  </si>
  <si>
    <t>0005740/2024</t>
  </si>
  <si>
    <t>PP, PA, BF - TF3</t>
  </si>
  <si>
    <t>LT 230 kV LAGOA DO CARRO /PAU FERRO PE</t>
  </si>
  <si>
    <t>Substituição de 22 esferas de sinalização em 8 vão(s) da LT 230 kV LAGOA DO CARRO /PAU FERRO C-1 PE-04F8 (002/1;005/1;006/1;030/1;030/2;031/1;031/2;032/1).</t>
  </si>
  <si>
    <t>LT 230 kV LAGOA DO CARRO /PAU FERRO C-1 PE</t>
  </si>
  <si>
    <t>0005741/2024</t>
  </si>
  <si>
    <t>d-spfeslac-04f8-esfe-1</t>
  </si>
  <si>
    <t>Substituição do sistema de controle e supervisão (com unidade redundante) da LT 230 kV Caxias - Caxias 5 C-1, incluindo painéis e cabos de controle e potência associados.</t>
  </si>
  <si>
    <t>0005743/2024</t>
  </si>
  <si>
    <t>Controle - LT CAX5 C-1</t>
  </si>
  <si>
    <t>Substituição de 35 esferas de sinalização em 16 vão(s) da LT 230 kV COTEMINAS /LAGOA DO CARRO C-1 PB/PE-04F9 (055/2;056/1;056/2;060/2;062/1;063/1;110/1;117/3;118/1;118/2;119/1;120/1;120/2;120/3;121/1;121/2).</t>
  </si>
  <si>
    <t>0005744/2024</t>
  </si>
  <si>
    <t>d-slacsctm-04f9-esfe-1</t>
  </si>
  <si>
    <t>Substituição do sistema de controle e supervisão (com unidade redundante) da LT 525 kV Caxias - Campos Novos C-1, incluindo painéis e cabos de controle e potência associados.</t>
  </si>
  <si>
    <t>LT 525 kV C.NOVOS /CAXIAS C-1 SC/RS</t>
  </si>
  <si>
    <t>0005745/2024</t>
  </si>
  <si>
    <t>Substituição de 1 estrutura metálica estaiada 206/1 por outra com altura de 51,5 m e carregamento/esforço de 13161,4 DAN) e componentes e 04 fundações associadas da LT 500 kV PECEM II /FORTALEZA II C-1 CE-05C2.</t>
  </si>
  <si>
    <t>0005747/2024</t>
  </si>
  <si>
    <t>11691624</t>
  </si>
  <si>
    <t>Substituição do sistema de controle e supervisão (com unidade redundante) da LT 525 kV Caxias - Gravataí C-1, incluindo painéis e cabos de controle e potência associados.</t>
  </si>
  <si>
    <t>0005748/2024</t>
  </si>
  <si>
    <t>Controle - LT GRA C-1</t>
  </si>
  <si>
    <t>Substituição de 1 estrutura metálica estaiada 207/1 por outra com altura de 51,5 m e carregamento/esforço de 13161,4 DAN) e componentes e 04 fundações associadas da LT 500 kV PECEM II /FORTALEZA II C-1 CE-05C2.</t>
  </si>
  <si>
    <t>0005749/2024</t>
  </si>
  <si>
    <t>11691634</t>
  </si>
  <si>
    <t>Substituição do sistema de controle e supervisão (com unidade redundante) da LT 525 kV Caxias - Itá C-1, incluindo painéis e cabos de controle e potência associados.</t>
  </si>
  <si>
    <t>LT 525 kV CAXIAS /ITA C-1 RS/SC</t>
  </si>
  <si>
    <t>0005750/2024</t>
  </si>
  <si>
    <t>Substituição de 1 estrutura metálica estaiada 207/2 por outra com altura de 51,5 m e carregamento/esforço de 13161,4 DAN) e componentes e 04 fundações associadas da LT 500 kV PECEM II /FORTALEZA II C-1 CE-05C2.</t>
  </si>
  <si>
    <t>0005751/2024</t>
  </si>
  <si>
    <t>11691644</t>
  </si>
  <si>
    <t>Substituição do sistema de controle e supervisão (com unidade redundante) do Interligador de Barras (IB) 230 kV da SE Caxias, DJ802, incluindo painéis e cabos de controle e potência associados.</t>
  </si>
  <si>
    <t>0005753/2024</t>
  </si>
  <si>
    <t>Controle - DJ802</t>
  </si>
  <si>
    <t>Substituição de 1 estrutura metálica autoportante 034/2 por outra com altura de 37,5 m e carregamento/esforço de 5453,5 DAN) e componentes e 04 fundações associadas da LT 230 kV C.GRANDE II /PARAISO C-1 PB/RN-04V2.</t>
  </si>
  <si>
    <t>0005754/2024</t>
  </si>
  <si>
    <t>11592078</t>
  </si>
  <si>
    <t>Substituição do sistema de controle e supervisão (com unidade redundante) do Interligador de Barras (IB) 525 kV da SE Caxias, D1010 (vão da LT Itá C-1), incluindo painéis e cabos de controle e potência associados.</t>
  </si>
  <si>
    <t>0005755/2024</t>
  </si>
  <si>
    <t>Substituição de 1 estrutura metálica autoportante 001/3 por outra com altura de 31,5 m e carregamento/esforço de 4770 DAN) e componentes e 04 fundações associadas da LT 230 kV C.GRANDE II /PARAISO C-1 PB/RN-04V2.</t>
  </si>
  <si>
    <t>0005756/2024</t>
  </si>
  <si>
    <t>11591238</t>
  </si>
  <si>
    <t>Substituição do sistema de controle e supervisão (com unidade redundante) do Interligador de Barras (IB) 525 kV da SE Caxias, DJ1030 (vão entre o TF1 e a LT C.Novos C-1), incluindo painéis e cabos de controle e potência associados.</t>
  </si>
  <si>
    <t>0005757/2024</t>
  </si>
  <si>
    <t>Substituição do sistema de controle e supervisão (com unidade redundante) do Interligador de Barras (IB) 525 kV da SE Caxias, DJ1050 (vão entre o TF2 e a LT Gravataí C-1), incluindo painéis e cabos de controle e potência associados.</t>
  </si>
  <si>
    <t>0005758/2024</t>
  </si>
  <si>
    <t>Substituição de 1 estrutura metálica autoportante 011/1 por outra com altura de 48 m e carregamento/esforço de 7268,6 DAN) e componentes e 04 fundações associadas da LT 230 kV C.GRANDE II /PARAISO C-1 PB/RN-04V2.</t>
  </si>
  <si>
    <t>0005759/2024</t>
  </si>
  <si>
    <t>11591498</t>
  </si>
  <si>
    <t>Substituição do sistema de controle e supervisão (com unidade redundante) do Interligador de Barras (IB) 525 kV da SE Caxias, DJ1070 (vão entre o TF3 e o Reator 1), incluindo painéis e cabos de controle e potência associados.</t>
  </si>
  <si>
    <t>0005761/2024</t>
  </si>
  <si>
    <t>Substituição de 1 estrutura metálica autoportante 013/2 por outra com altura de 34,5 m e carregamento/esforço de 5224,3 DAN) e componentes e 04 fundações associadas da LT 230 kV C.GRANDE II /PARAISO C-1 PB/RN-04V2.</t>
  </si>
  <si>
    <t>0005762/2024</t>
  </si>
  <si>
    <t>11591548</t>
  </si>
  <si>
    <t>Substituição do sistema de controle e supervisão (com unidade redundante) do Reator 1 525 kV (RT1) da SE Caxias, incluindo painéis e cabos de controle e potência associados.</t>
  </si>
  <si>
    <t>0005763/2024</t>
  </si>
  <si>
    <t>Substituição de 1 estrutura metálica autoportante 015/1 por outra com altura de 37,5 m e carregamento/esforço de 5678,6 DAN) e componentes e 04 fundações associadas da LT 230 kV C.GRANDE II /PARAISO C-1 PB/RN-04V2.</t>
  </si>
  <si>
    <t>0005765/2024</t>
  </si>
  <si>
    <t>11591578</t>
  </si>
  <si>
    <t>Substituição do sistema de controle e supervisão (com unidade redundante) do Reator Unidade Reserva 1 525 kV (RTR1) da SE Caxias, incluindo painéis e cabos de controle e potência associados.</t>
  </si>
  <si>
    <t>RTR 525 kV 50 MVAr CAXIAS RTR1 RS</t>
  </si>
  <si>
    <t>0005766/2024</t>
  </si>
  <si>
    <t>Controle - RTR1</t>
  </si>
  <si>
    <t>Substituição de 1 estrutura metálica autoportante 015/2 por outra com altura de 37,5 m e carregamento/esforço de 5678,6 DAN) e componentes e 04 fundações associadas da LT 230 kV C.GRANDE II /PARAISO C-1 PB/RN-04V2.</t>
  </si>
  <si>
    <t>0005767/2024</t>
  </si>
  <si>
    <t>11591588</t>
  </si>
  <si>
    <t>Substituição do sistema de controle e supervisão (com unidade redundante) do TR1 525/230 kV da SE Caxias, lados de 525 e 230 kV, incluindo painéis e cabos de controle e potência associados.</t>
  </si>
  <si>
    <t>0005768/2024</t>
  </si>
  <si>
    <t>Substituição de 1 estrutura metálica autoportante 016/1 por outra com altura de 37,5 m e carregamento/esforço de 5678,6 DAN) e componentes e 04 fundações associadas da LT 230 kV C.GRANDE II /PARAISO C-1 PB/RN-04V2.</t>
  </si>
  <si>
    <t>0005770/2024</t>
  </si>
  <si>
    <t>11591608</t>
  </si>
  <si>
    <t>Substituição do sistema de controle e supervisão (com unidade redundante) do TR2 525/230 kV da SE Caxias, lados de 525 e 230 kV, incluindo painéis e cabos de controle e potência associados.</t>
  </si>
  <si>
    <t>0005771/2024</t>
  </si>
  <si>
    <t>Substituição do sistema de controle e supervisão (com unidade redundante) do TR3 525/230 kV da SE Caxias, lados de 525 e 230 kV, incluindo painéis e cabos de controle e potência associados.</t>
  </si>
  <si>
    <t>0005773/2024</t>
  </si>
  <si>
    <t>Substituição de 1 estrutura metálica autoportante 021/2 por outra com altura de 39 m e carregamento/esforço de 5905,8 DAN) e componentes e 04 fundações associadas da LT 230 kV C.GRANDE II /PARAISO C-1 PB/RN-04V2.</t>
  </si>
  <si>
    <t>0005774/2024</t>
  </si>
  <si>
    <t>11591748</t>
  </si>
  <si>
    <t>Substituição do sistema de controle e supervisão (com unidade redundante) do TRR1 525/230 kV Unidade Reserva da SE Caxias, lados de 525 e 230 kV, incluindo painéis e cabos de controle e potência associados.</t>
  </si>
  <si>
    <t>TRR 525/230 kV CAXIAS TRR1 RS</t>
  </si>
  <si>
    <t>0005775/2024</t>
  </si>
  <si>
    <t>Controle - TRR1</t>
  </si>
  <si>
    <t>Substituição de 1 estrutura metálica autoportante 022/2 por outra com altura de 37,5 m e carregamento/esforço de 5678,6 DAN) e componentes e 04 fundações associadas da LT 230 kV C.GRANDE II /PARAISO C-1 PB/RN-04V2.</t>
  </si>
  <si>
    <t>0005776/2024</t>
  </si>
  <si>
    <t>11591768</t>
  </si>
  <si>
    <t>Substituição do Sistema de Proteção, Controle e Supervisão (SPCS) dos cubículos e serviços auxiliares CA / CC, da SE Caxias, pátio de 230 kV, incluindo painéis e cabos associados.</t>
  </si>
  <si>
    <t>0005777/2024</t>
  </si>
  <si>
    <t>Controle - Serv. Aux. 230 kV</t>
  </si>
  <si>
    <t>Substituição de 1 estrutura metálica autoportante 023/1 por outra com altura de 34,5 m e carregamento/esforço de 5224,3 DAN) e componentes e 04 fundações associadas da LT 230 kV C.GRANDE II /PARAISO C-1 PB/RN-04V2.</t>
  </si>
  <si>
    <t>0005778/2024</t>
  </si>
  <si>
    <t>11591778</t>
  </si>
  <si>
    <t>Substituição do Sistema de Proteção, Controle e Supervisão (SPCS) dos cubículos e serviços auxiliares CA / CC, da SE Caxias, pátio de 525 kV, incluindo painéis e cabos associados.</t>
  </si>
  <si>
    <t>0005779/2024</t>
  </si>
  <si>
    <t>Controle - Serv. Aux. 525 kV</t>
  </si>
  <si>
    <t>Substituição de 1 estrutura metálica autoportante 023/2 por outra com altura de 34,5 m e carregamento/esforço de 5224,3 DAN) e componentes e 04 fundações associadas da LT 230 kV C.GRANDE II /PARAISO C-1 PB/RN-04V2.</t>
  </si>
  <si>
    <t>0005780/2024</t>
  </si>
  <si>
    <t>11591788</t>
  </si>
  <si>
    <t>Substituição de 1 estrutura metálica autoportante 023/3 por outra com altura de 40,5 m e carregamento/esforço de 6132,9 DAN) e componentes e 04 fundações associadas da LT 230 kV C.GRANDE II /PARAISO C-1 PB/RN-04V2.</t>
  </si>
  <si>
    <t>0005781/2024</t>
  </si>
  <si>
    <t>11591798</t>
  </si>
  <si>
    <t>Substituição de 1 estrutura metálica autoportante 024/1 por outra com altura de 34,5 m e carregamento/esforço de 5224,3 DAN) e componentes e 04 fundações associadas da LT 230 kV C.GRANDE II /PARAISO C-1 PB/RN-04V2.</t>
  </si>
  <si>
    <t>0005782/2024</t>
  </si>
  <si>
    <t>11591808</t>
  </si>
  <si>
    <t>Substituição de 1 estrutura metálica autoportante 024/2 por outra com altura de 48 m e carregamento/esforço de 7268,6 DAN) e componentes e 04 fundações associadas da LT 230 kV C.GRANDE II /PARAISO C-1 PB/RN-04V2.</t>
  </si>
  <si>
    <t>0005783/2024</t>
  </si>
  <si>
    <t>11591818</t>
  </si>
  <si>
    <t>Substituição de 1 estrutura metálica autoportante 025/1 por outra com altura de 48 m e carregamento/esforço de 7268,6 DAN) e componentes e 04 fundações associadas da LT 230 kV C.GRANDE II /PARAISO C-1 PB/RN-04V2.</t>
  </si>
  <si>
    <t>0005784/2024</t>
  </si>
  <si>
    <t>11591828</t>
  </si>
  <si>
    <t>Substituição de 1 estrutura metálica autoportante 025/2 por outra com altura de 33 m e carregamento/esforço de 4997,2 DAN) e componentes e 04 fundações associadas da LT 230 kV C.GRANDE II /PARAISO C-1 PB/RN-04V2.</t>
  </si>
  <si>
    <t>0005785/2024</t>
  </si>
  <si>
    <t>11591838</t>
  </si>
  <si>
    <t>Substituição de 1 estrutura metálica autoportante 026/1 por outra com altura de 42 m e carregamento/esforço de 6360,1 DAN) e componentes e 04 fundações associadas da LT 230 kV C.GRANDE II /PARAISO C-1 PB/RN-04V2.</t>
  </si>
  <si>
    <t>0005786/2024</t>
  </si>
  <si>
    <t>11591858</t>
  </si>
  <si>
    <t>Substituição da proteção Falha de Disjuntor, referente ao Interligador de Barras (IB) 230 kV da SE Caxias 5, DJ742.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</si>
  <si>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0005787/2024</t>
  </si>
  <si>
    <t>Substituição de 1 estrutura metálica autoportante 027/3 por outra com altura de 39 m e carregamento/esforço de 5905,8 DAN) e componentes e 04 fundações associadas da LT 230 kV C.GRANDE II /PARAISO C-1 PB/RN-04V2.</t>
  </si>
  <si>
    <t>0005788/2024</t>
  </si>
  <si>
    <t>11591898</t>
  </si>
  <si>
    <t>Substituição das proteções Principal, Alternada e Falha de Disjuntor, referentes a LT 230 kV Caxias 5 - Caxias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</si>
  <si>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0005789/2024</t>
  </si>
  <si>
    <t>PP, PA, BF - LT CAX C-1</t>
  </si>
  <si>
    <t>Substituição de 1 estrutura metálica autoportante 028/2 por outra com altura de 37,5 m e carregamento/esforço de 5678,6 DAN) e componentes e 04 fundações associadas da LT 230 kV C.GRANDE II /PARAISO C-1 PB/RN-04V2.</t>
  </si>
  <si>
    <t>0005790/2024</t>
  </si>
  <si>
    <t>11591918</t>
  </si>
  <si>
    <t>Substituição das proteções Principal, Alternada e Falha de Disjuntor, referentes ao TR2 230/13,8 kV da SE Caxias 5, lados de 230 e 13,8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</si>
  <si>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0005791/2024</t>
  </si>
  <si>
    <t>Substituição de 1 estrutura metálica autoportante 028/3 por outra com altura de 37,5 m e carregamento/esforço de 5678,6 DAN) e componentes e 04 fundações associadas da LT 230 kV C.GRANDE II /PARAISO C-1 PB/RN-04V2.</t>
  </si>
  <si>
    <t>0005792/2024</t>
  </si>
  <si>
    <t>11591928</t>
  </si>
  <si>
    <t>Substituição do sistema de controle e supervisão (com unidade redundante) da LT 230 kV Caxias 5 - Caxias C-1, incluindo painéis e cabos de controle e potência associados.</t>
  </si>
  <si>
    <t>0005793/2024</t>
  </si>
  <si>
    <t>Controle - LT CAX C-1</t>
  </si>
  <si>
    <t>Substituição de 1 estrutura metálica autoportante 029/2 por outra com altura de 37,5 m e carregamento/esforço de 5678,6 DAN) e componentes e 04 fundações associadas da LT 230 kV C.GRANDE II /PARAISO C-1 PB/RN-04V2.</t>
  </si>
  <si>
    <t>0005794/2024</t>
  </si>
  <si>
    <t>11591948</t>
  </si>
  <si>
    <t>Substituição do sistema de controle e supervisão (com unidade redundante) da LT 230 kV Caxias 5 - Farroupilha C-1, incluindo painéis e cabos de controle e potência associados.</t>
  </si>
  <si>
    <t>0005795/2024</t>
  </si>
  <si>
    <t>Controle - LT FAR C-1</t>
  </si>
  <si>
    <t>Substituição de 1 estrutura metálica autoportante 029/3 por outra com altura de 34,5 m e carregamento/esforço de 5224,3 DAN) e componentes e 04 fundações associadas da LT 230 kV C.GRANDE II /PARAISO C-1 PB/RN-04V2.</t>
  </si>
  <si>
    <t>0005796/2024</t>
  </si>
  <si>
    <t>11591958</t>
  </si>
  <si>
    <t>Substituição do sistema de controle e supervisão (com unidade redundante) do Interligador de Barras (IB) 230 kV da SE Caxias 5, DJ742, incluindo painéis e cabos de controle e potência associados.</t>
  </si>
  <si>
    <t>0005797/2024</t>
  </si>
  <si>
    <t>Substituição de 1 estrutura metálica autoportante 031/2 por outra com altura de 39 m e carregamento/esforço de 5905,8 DAN) e componentes e 04 fundações associadas da LT 230 kV C.GRANDE II /PARAISO C-1 PB/RN-04V2.</t>
  </si>
  <si>
    <t>0005798/2024</t>
  </si>
  <si>
    <t>11591998</t>
  </si>
  <si>
    <t>Substituição do sistema de controle e supervisão (com unidade redundante) do TR2 230/13,8 kV da SE Caxias 5, lados de 230 e 13,8 kV, incluindo painéis e cabos de controle e potência associados.</t>
  </si>
  <si>
    <t>0005799/2024</t>
  </si>
  <si>
    <t>Substituição de 1 estrutura metálica autoportante 031/3 por outra com altura de 33 m e carregamento/esforço de 4997,2 DAN) e componentes e 04 fundações associadas da LT 230 kV C.GRANDE II /PARAISO C-1 PB/RN-04V2.</t>
  </si>
  <si>
    <t>0005800/2024</t>
  </si>
  <si>
    <t>11592008</t>
  </si>
  <si>
    <t>Substituição do sistema de controle e supervisão do Interligador de Barras (IB - P1 e P2) 13,8 kV da SE Caxias 5, DJ52-22, incluindo painéis e cabos de controle e potência associados.</t>
  </si>
  <si>
    <t>0005801/2024</t>
  </si>
  <si>
    <t>Controle - DJ52-22</t>
  </si>
  <si>
    <t>Substituição de 1 estrutura metálica autoportante 032/2 por outra com altura de 36 m e carregamento/esforço de 5451,5 DAN) e componentes e 04 fundações associadas da LT 230 kV C.GRANDE II /PARAISO C-1 PB/RN-04V2.</t>
  </si>
  <si>
    <t>0005802/2024</t>
  </si>
  <si>
    <t>11592028</t>
  </si>
  <si>
    <t>Substituição do sistema de controle e supervisão do Interligador de Barras (IB - P1 e T1) 13,8 kV da SE Caxias 5, DJ24-1, incluindo painéis e cabos de controle e potência associados.</t>
  </si>
  <si>
    <t>0005803/2024</t>
  </si>
  <si>
    <t>Controle - DJ24-1</t>
  </si>
  <si>
    <t>Substituição do Sistema de Proteção, Controle e Supervisão (SPCS) dos serviços auxiliares CA / CC, da SE Caxias 5, incluindo painéis e cabos associados.</t>
  </si>
  <si>
    <t>0005804/2024</t>
  </si>
  <si>
    <t>Substituição de 50 esferas de sinalização em 16 vão(s) da LT 230 kV C.GRANDE II /PARAISO C-1 PB/RN-04V2 (001/1;001/2;002/1;004/1;007/2;008/2;013/1;026/2;028/2;026/2;044/1;069/1;113/2;116/3;117/2;118/1).</t>
  </si>
  <si>
    <t>0005805/2024</t>
  </si>
  <si>
    <t>d-scgdsprs-04v2-esfe-1</t>
  </si>
  <si>
    <t>Substituição do sistema de proteção, controle e supervisão, referente ao Alimentador 13, 8 kV - AL-108 - da SE Caxias 5, incluindo painéis e cabos de controle e potência associados.</t>
  </si>
  <si>
    <t>LT 13,8 kV CAXIAS 5 / AL-108 RS</t>
  </si>
  <si>
    <t>0005806/2024</t>
  </si>
  <si>
    <t>SPCS - AL-108</t>
  </si>
  <si>
    <t>Substituição do sistema de proteção, controle e supervisão, referente ao Alimentador 13, 8 kV - AL-109 - da SE Caxias 5, incluindo painéis e cabos de controle e potência associados.</t>
  </si>
  <si>
    <t>LT 13,8 kV CAXIAS 5 / AL-109 RS</t>
  </si>
  <si>
    <t>0005807/2024</t>
  </si>
  <si>
    <t>SPCS - AL-109</t>
  </si>
  <si>
    <t>Substituição do sistema de proteção, controle e supervisão, referente ao Alimentador 13, 8 kV - AL-110 - da SE Caxias 5, incluindo painéis e cabos de controle e potência associados.</t>
  </si>
  <si>
    <t>LT 13,8 kV CAXIAS 5 / AL-110 RS</t>
  </si>
  <si>
    <t>0005808/2024</t>
  </si>
  <si>
    <t>SPCS - AL-110</t>
  </si>
  <si>
    <t>Substituição de 36 cadeias de isolador em 12 estrutura(s) da LT 230 kV AQUIRAZ II /FORTALEZA C-2 CE-04F2 (164/4;165/1;165/2;166/1;166/2;166/3;167/1;167/2;167/3;168/1;168/2;169/1).</t>
  </si>
  <si>
    <t>LT 230 kV AQUIRAZ II /FORTALEZA C-2 CE</t>
  </si>
  <si>
    <t>0005809/2024</t>
  </si>
  <si>
    <t>d-saqdsftz-04f2-cade-1</t>
  </si>
  <si>
    <t>Substituição do sistema de proteção, controle e supervisão, referente ao Alimentador 13, 8 kV - AL-111 - da SE Caxias 5, incluindo painéis e cabos de controle e potência associados.</t>
  </si>
  <si>
    <t>LT 13,8 kV CAXIAS 5 / AL-111 RS</t>
  </si>
  <si>
    <t>0005810/2024</t>
  </si>
  <si>
    <t>SPCS - AL-111</t>
  </si>
  <si>
    <t>Substituição de 147 cadeias de isolador em 34 estrutura(s) da LT 230 kV SAPEACU /FUNIL C-1 BA-04F1 (034/1;034/2;035/1;036/1;036/2;036/3;037/1;037/2;037/3;038/1;038/3;038/4;038/5;039/1;039/2;040/1;040/2;040/3;041/1;041/2;041/3;042/1;042/2;043/1;043/2;043/3;044/1;044/2;044/3;045/1;045/2;045/3;045/4;046/1).</t>
  </si>
  <si>
    <t>0005811/2024</t>
  </si>
  <si>
    <t>d-sspusfnl-04f1-cade-2</t>
  </si>
  <si>
    <t>Substituição do sistema de proteção, controle e supervisão, referente ao Alimentador 13, 8 kV - AL-112 - da SE Caxias 5, incluindo painéis e cabos de controle e potência associados.</t>
  </si>
  <si>
    <t>LT 13,8 kV CAXIAS 5 / AL-112 RS</t>
  </si>
  <si>
    <t>0005812/2024</t>
  </si>
  <si>
    <t>SPCS - AL-112</t>
  </si>
  <si>
    <t>Substituição de 141 cadeias de isolador em 34 estrutura(s) da LT 230 kV SAPEACU /FUNIL C-1 BA-04F1 (046/2;046/3;046/4;047/1;047/2;047/3;048/1;048/2;048/3;049/1;049/2;049/3;049/4;050/1;050/2;051/1;051/2;051/3;052/1;052/3;053/1;053/2;053/3;054/1;054/2;054/3;055/1;055/2;055/3;056/1;056/2;056/3;057/1;057/2).</t>
  </si>
  <si>
    <t>0005813/2024</t>
  </si>
  <si>
    <t>d-sspusfnl-04f1-cade-3</t>
  </si>
  <si>
    <t>Substituição do sistema de proteção, controle e supervisão, referente ao Alimentador 13, 8 kV - AL-113 - da SE Caxias 5, incluindo painéis e cabos de controle e potência associados.</t>
  </si>
  <si>
    <t>LT 13,8 kV CAXIAS 5 / AL-113 RS</t>
  </si>
  <si>
    <t>0005814/2024</t>
  </si>
  <si>
    <t>SPCS - AL-113</t>
  </si>
  <si>
    <t>Substituição do sistema de proteção, controle e supervisão, referente ao Alimentador 13, 8 kV - AL-114 - da SE Caxias 5, incluindo painéis e cabos de controle e potência associados.</t>
  </si>
  <si>
    <t>LT 13,8 kV CAXIAS 5 / AL-114 RS</t>
  </si>
  <si>
    <t>0005816/2024</t>
  </si>
  <si>
    <t>SPCS - AL-114</t>
  </si>
  <si>
    <t>Substituição de 126 cadeias de isolador em 34 estrutura(s) da LT 230 kV SAPEACU /FUNIL C-1 BA-04F1 (057/3;057/4;058/1;058/2;058/3;059/1;059/2;059/3;060/1;060/2;060/3;060/4;061/1;061/2;061/3;062/1;062/2;062/3;062/4;063/1;063/2;063/3;063/4;064/1;064/2;064/3;065/1;065/2;065/3;066/1;066/2;066/3;067/1;067/2).</t>
  </si>
  <si>
    <t>0005817/2024</t>
  </si>
  <si>
    <t>d-sspusfnl-04f1-cade-4</t>
  </si>
  <si>
    <t>Substituição do sistema de proteção, controle e supervisão, referente ao Alimentador 13, 8 kV dos Bancos de Capacitores BC1 e BC2 da SE Caxias 5, incluindo painéis e cabos de controle e potência associados.</t>
  </si>
  <si>
    <t>LT 13,8 kV CAXIAS 5 / BC1 e BC2 RS</t>
  </si>
  <si>
    <t>0005819/2024</t>
  </si>
  <si>
    <t>SPCS - AL-BC1-BC2</t>
  </si>
  <si>
    <t>Substituição do sistema de proteção, controle e supervisão, referente ao Alimentador 13, 8 kV dos Bancos de Capacitores BC3 e BC4 da SE Caxias 5, incluindo painéis e cabos de controle e potência associados.</t>
  </si>
  <si>
    <t>LT 13,8 kV CAXIAS 5 / BC3 e BC4 RS</t>
  </si>
  <si>
    <t>0005821/2024</t>
  </si>
  <si>
    <t>SPCS - AL-BC3-BC4</t>
  </si>
  <si>
    <t>Substituição das proteções Principal, Alternada e Falha de Disjuntor, referentes a LT 138 kV U.Mimoso - Campo Grande C-4.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</si>
  <si>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0005822/2024</t>
  </si>
  <si>
    <t>PP, PA, BF - LT CGR C-4</t>
  </si>
  <si>
    <t>Substituição de 01 (um) TP  posição operacional 85L7_B da Subestação RCD</t>
  </si>
  <si>
    <t>0005823/2024</t>
  </si>
  <si>
    <t>85L7.B</t>
  </si>
  <si>
    <t>Substituição das proteções Principal, Alternada e Falha de Disjuntor, referentes a LT 138 kV U.Mimoso - Jupiá C-3.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</si>
  <si>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138 kV U.MIMOSO / JUPIA C-3 MS</t>
  </si>
  <si>
    <t>0005825/2024</t>
  </si>
  <si>
    <t>PP, PA, BF - LT JUP C-3</t>
  </si>
  <si>
    <t>Substituição das proteções Principal, Alternada e Falha de Disjuntor, referentes a LT 138 kV U.Mimoso - Jupiá C-4.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</si>
  <si>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138 kV U.MIMOSO / JUPIA C-4 MS</t>
  </si>
  <si>
    <t>0005826/2024</t>
  </si>
  <si>
    <t>PP, PA, BF - LT JUP C-4</t>
  </si>
  <si>
    <t>Substituição do sistema de controle e supervisão da LT 138 kV U.Mimoso - Campo Grande C-4, incluindo painéis e cabos de controle e potência associados.</t>
  </si>
  <si>
    <t>0005827/2024</t>
  </si>
  <si>
    <t>Controle - LT CGR C-4</t>
  </si>
  <si>
    <t>Substituição do sistema de controle e supervisão da LT 138 kV U.Mimoso - Jupiá C-3, incluindo painéis e cabos de controle e potência associados.</t>
  </si>
  <si>
    <t>0005828/2024</t>
  </si>
  <si>
    <t>Controle - LT JUP C-3</t>
  </si>
  <si>
    <t>Substituição de 117 cadeias de isolador em 35 estrutura(s) da LT 230 kV BANABUIU /AQUIRAZ II C-1 CE-04C8 (028/1;028/2;029/1;029/2;030/1;030/2;031/1;031/2;031/3;032/1;032/2;033/1;033/2;034/1;034/2;034/3;035/1;035/2;036/1;036/2;036/3;037/1;037/2;038/1;038/2;038/3;039/1;039/2;040/1;040/2;041/1;041/2;042/1;042/2;042/3 ).</t>
  </si>
  <si>
    <t>0005829/2024</t>
  </si>
  <si>
    <t>d-saqdsbnb-04c8-cade-3</t>
  </si>
  <si>
    <t>Substituição do sistema de controle e supervisão da LT 138 kV U.Mimoso - Jupiá C-4, incluindo painéis e cabos de controle e potência associados.</t>
  </si>
  <si>
    <t>0005830/2024</t>
  </si>
  <si>
    <t>Controle - LT JUP C-4</t>
  </si>
  <si>
    <t>Substituição de 153 cadeias de isolador em 35 estrutura(s) da LT 230 kV BANABUIU /AQUIRAZ II C-3 CE-04C6 (034/1;034/2;034/3;034/4;035/1;035/2;035/3;035/4;036/1;036/2;036/3;037/1;037/2;037/3;038/1;038/2;038/3;038/4;039/1;039/2;039/3;040/1;040/2;040/3;041/1;041/2;041/3;041/4;042/1;042/2;043/1;043/2;043/3;043/4;044/1 ).</t>
  </si>
  <si>
    <t>0005831/2024</t>
  </si>
  <si>
    <t>d-saqdsbnb-04c6-cade-4</t>
  </si>
  <si>
    <t>Substituição do sistema de controle e supervisão da LT 138 kV U.Mimoso - Mimoso 2 C-3, incluindo painéis e cabos de controle e potência associados.</t>
  </si>
  <si>
    <t>LT 138 kV U.MIMOSO / MIMOSO 2 C-3 MS</t>
  </si>
  <si>
    <t>0005832/2024</t>
  </si>
  <si>
    <t>Substituição de 01 (um) TP  230kV, posição operacional 84BP-2.C da Subestação CTU</t>
  </si>
  <si>
    <t>0005833/2024</t>
  </si>
  <si>
    <t>84BP-2.C</t>
  </si>
  <si>
    <t>Substituição de 105 cadeias de isolador em 35 estrutura(s) da LT 230 kV BANABUIU /AQUIRAZ II C-3 CE-04C6 (044/2;044/3;045/1;045/2;045/3;046/1;046/2;046/3;047/1;047/2;047/3;047/4;047/5;048/1;048/2;048/3;049/1;049/2;049/3;049/4;050/1;050/2;051/1;051/2;051/3;052/1;052/2;052/3;053/1;053/2;053/3;053/4;054/1;054/2;055/1 ).</t>
  </si>
  <si>
    <t>0005834/2024</t>
  </si>
  <si>
    <t>d-saqdsbnb-04c6-cade-5</t>
  </si>
  <si>
    <t>Substituição de 01 (um) TP 138kV,  posição operacional 83P2.A da Subestação FNL</t>
  </si>
  <si>
    <t>EL 138 kV FUNIL DIST5 (13P2)</t>
  </si>
  <si>
    <t>0005835/2024</t>
  </si>
  <si>
    <t>83P2.A</t>
  </si>
  <si>
    <t>Substituição de 105 cadeias de isolador em 35 estrutura(s) da LT 230 kV BANABUIU /AQUIRAZ II C-3 CE-04C6 (055/2;055/3;056/1;056/2;056/3;057/1;057/2;057/3;058/1;058/2;058/3;059/1;059/2;059/3;060/1;060/2;060/3;060/4;061/1;061/2;061/3;062/1;062/2;062/3;063/1;063/2;063/3;063/4;064/1;064/2;064/3;065/1;065/2;065/3;066/1 ).</t>
  </si>
  <si>
    <t>0005836/2024</t>
  </si>
  <si>
    <t>d-saqdsbnb-04c6-cade-6</t>
  </si>
  <si>
    <t>Substituição de 117 cadeias de isolador em 35 estrutura(s) da LT 230 kV BANABUIU /AQUIRAZ II C-3 CE-04C6 (066/2;066/3;067/1;067/2;067/3;068/1;068/2;068/3;069/1;069/2;069/3;069/4;070/1;070/2;070/3;071/1;071/2;071/3;071/4;072/1;072/2;072/3;073/1;073/2;073/3;073/4;074/1;074/2;074/3;075/1;075/2;075/3;076/1;076/2;076/3 ).</t>
  </si>
  <si>
    <t>0005838/2024</t>
  </si>
  <si>
    <t>d-saqdsbnb-04c6-cade-7</t>
  </si>
  <si>
    <t>Substituição de 01 (um) TP 138kV,  posição operacional 83P2.B da Subestação FNL</t>
  </si>
  <si>
    <t>0005837/2024</t>
  </si>
  <si>
    <t>83P2.B</t>
  </si>
  <si>
    <t>Substituição de 01 (um) TP 138kV,  posição operacional 83P2.C da Subestação FNL</t>
  </si>
  <si>
    <t>0005839/2024</t>
  </si>
  <si>
    <t>83P2.C</t>
  </si>
  <si>
    <t>Substituição de 105 cadeias de isolador em 35 estrutura(s) da LT 230 kV BANABUIU /AQUIRAZ II C-3 CE-04C6 (077/1;077/2;077/3;078/1;078/2;078/3;079/1;079/2;079/3;079/4;080/1;080/2;080/3;081/1;081/2;081/3;082/1;082/2;082/3;083/1;083/2;083/3;084/1;084/2;084/3;084/4;085/1;085/2;085/3;086/1;086/2;086/3;087/1;087/2;087/3 ).</t>
  </si>
  <si>
    <t>0005840/2024</t>
  </si>
  <si>
    <t>d-saqdsbnb-04c6-cade-8</t>
  </si>
  <si>
    <t>Substituição de 117 cadeias de isolador em 35 estrutura(s) da LT 230 kV BANABUIU /AQUIRAZ II C-3 CE-04C6 (088/1;088/2;088/3;088/4;089/1;089/2;089/3;090/1;090/2;090/3;091/1;091/2;091/3;092/1;092/2;092/3;093/1;093/2;093/3;094/1;094/2;094/3;095/1;095/2;095/3;096/1;096/2;096/3;097/1;097/2;097/3;097/4;098/1;098/2;098/3 ).</t>
  </si>
  <si>
    <t>0005841/2024</t>
  </si>
  <si>
    <t>d-saqdsbnb-04c6-cade-9</t>
  </si>
  <si>
    <t>Substituição de 01 (um) TP 138kV,  posição operacional 83N1.A da Subestação IRE</t>
  </si>
  <si>
    <t>EL 138 kV IRECE AGUAS BELAS (13N1)</t>
  </si>
  <si>
    <t>0005842/2024</t>
  </si>
  <si>
    <t>83N1.A</t>
  </si>
  <si>
    <t>Substituição de chave-seccionadora SC811, 345kV, arranjo BD5, associado ao AT01, na SE CAMPINAS.</t>
  </si>
  <si>
    <t>0006151/2024</t>
  </si>
  <si>
    <t>SC 811</t>
  </si>
  <si>
    <t>Substituição chave-seccionadora SC813, 345kV, arranjo BD5, associado ao AT01, na SE CAMPINAS.</t>
  </si>
  <si>
    <t>MC 345 kV TR 345/138 kV CAMPINAS TR1 SP</t>
  </si>
  <si>
    <t>0006197/2024</t>
  </si>
  <si>
    <t>SC 813</t>
  </si>
  <si>
    <t>Substituição de 105 cadeias de isolador em 35 estrutura(s) da LT 230 kV BANABUIU /AQUIRAZ II C-3 CE-04C6 (099/1;099/2;099/3;100/1;100/2;100/3;101/1;101/2;101/3;101/4;102/1;102/2;102/3;103/1;103/2;103/3;104/1;104/2;104/3;105/1;105/2;105/3;105/4;106/1;106/2;106/3;107/1;107/2;108/1;108/2;108/3;109/1;109/2;109/3;109/4 ).</t>
  </si>
  <si>
    <t>0005843/2024</t>
  </si>
  <si>
    <t>d-saqdsbnb-04c6-cade-10</t>
  </si>
  <si>
    <t>Substituição de 01 (um) TP 138kV,  posição operacional 83N1.B da Subestação IRE</t>
  </si>
  <si>
    <t>0005844/2024</t>
  </si>
  <si>
    <t>83N1.B</t>
  </si>
  <si>
    <t>Substituição chave-seccionadora SC815, 345kV, arranjo BD5, associado ao AT01, na SE CAMPINAS.</t>
  </si>
  <si>
    <t>0006203/2024</t>
  </si>
  <si>
    <t>SC 815</t>
  </si>
  <si>
    <t>Substituição chave-seccionadora SC817, 345kV, arranjo BD5, associado ao AT01, na SE CAMPINAS.</t>
  </si>
  <si>
    <t>0006207/2024</t>
  </si>
  <si>
    <t>SC 817</t>
  </si>
  <si>
    <t>Substituição de 105 cadeias de isolador em 35 estrutura(s) da LT 230 kV BANABUIU /AQUIRAZ II C-3 CE-04C6 (110/1;110/2;110/3;111/1;111/2;111/3;111/4;112/1;112/2;112/3;113/1;113/2;113/3;114/1;114/2;114/3;114/4;115/1;115/2;115/3;116/1;116/2;116/3;116/4;117/1;117/2;117/3;118/1;118/2;118/3;119/1;119/2;119/3;120/1;120/2 ).</t>
  </si>
  <si>
    <t>0005845/2024</t>
  </si>
  <si>
    <t>d-saqdsbnb-04c6-cade-11</t>
  </si>
  <si>
    <t>Substituição de 01 (um) TP 138kV,  posição operacional 83N1.C da Subestação IRE</t>
  </si>
  <si>
    <t>0005846/2024</t>
  </si>
  <si>
    <t>83N1.C</t>
  </si>
  <si>
    <t>Substituição chave-seccionadora SC819, 345kV, arranjo BD5, associado ao AT01, na SE CAMPINAS.</t>
  </si>
  <si>
    <t>0006213/2024</t>
  </si>
  <si>
    <t>SC819</t>
  </si>
  <si>
    <t>Substituição de 129 cadeias de isolador em 35 estrutura(s) da LT 230 kV BANABUIU /AQUIRAZ II C-3 CE-04C6 (120/3;120/4;121/1;121/2;121/3;122/1;122/2;122/3;123/1;123/2;123/3;123/4;124/1;124/2;124/3;125/1;125/2;125/3;126/1;126/2;126/3;126/4;127/1;127/2;127/3;128/1;128/2;128/3;129/1;129/2;129/3;129/4;130/1;130/2;130/3 ).</t>
  </si>
  <si>
    <t>0005847/2024</t>
  </si>
  <si>
    <t>d-saqdsbnb-04c6-cade-12</t>
  </si>
  <si>
    <t>Substituição chave-seccionadora SC821, 345kV, arranjo BD5, associado ao AT02, na SE CAMPINAS.</t>
  </si>
  <si>
    <t>0006216/2024</t>
  </si>
  <si>
    <t>SC821</t>
  </si>
  <si>
    <t>Substituição chave-seccionadora SC823, 345kV, arranjo BD5, associado ao AT02, na SE CAMPINAS.</t>
  </si>
  <si>
    <t>0006218/2024</t>
  </si>
  <si>
    <t>SC823</t>
  </si>
  <si>
    <t>Substituição chave-seccionadora SC825, 345kV, arranjo BD5, associado ao AT02, na SE CAMPINAS.</t>
  </si>
  <si>
    <t>0006225/2024</t>
  </si>
  <si>
    <t>SC825</t>
  </si>
  <si>
    <t>Substituição chave-seccionadora SC827, 345kV, arranjo BD5, associado ao AT02, na SE CAMPINAS.</t>
  </si>
  <si>
    <t>0006228/2024</t>
  </si>
  <si>
    <t>SC827</t>
  </si>
  <si>
    <t>Substituição chave-seccionadora SC829, 345kV, arranjo BD5, associado ao AT02, na SE CAMPINAS.</t>
  </si>
  <si>
    <t>MC 345 kV TR 345/138 kV CAMPINAS TR2 SP</t>
  </si>
  <si>
    <t>0006229/2024</t>
  </si>
  <si>
    <t>SC829</t>
  </si>
  <si>
    <t>Substituição de 153 cadeias de isolador em 35 estrutura(s) da LT 230 kV BANABUIU /AQUIRAZ II C-2 CE-04C7 (001/1;001/2;001/3;001/4;002/1;002/2;002/3;003/1;003/2;003/3;004/1;004/2;005/1;005/2;005/3;006/1;006/2;007/1;007/2;008/1;008/2;008/3;009/1;009/2;010/1;010/2;010/3;011/1;011/2;011/3;012/1;012/2;013/1;013/2;014/1 ).</t>
  </si>
  <si>
    <t>0005848/2024</t>
  </si>
  <si>
    <t>d-saqdsbnb-04c7-cade-1</t>
  </si>
  <si>
    <t>Substituição transformador de corrente fase A, 345kV, arranjo BD5, associado ao AT01, na SE CAMPINAS.</t>
  </si>
  <si>
    <t>0006232/2024</t>
  </si>
  <si>
    <t>TC 817 A</t>
  </si>
  <si>
    <t>Substituição de 01 (um) TP  230kV, posição operacional 84S4.B da Subestação MSI</t>
  </si>
  <si>
    <t>LT 230 kV MESSIAS /RIO LARGO II C-2 AL</t>
  </si>
  <si>
    <t>0005849/2024</t>
  </si>
  <si>
    <t>84S4.B</t>
  </si>
  <si>
    <t>Substituição transformador de corrente fase B, 345kV, arranjo BD5, associado ao AT01, na SE CAMPINAS.</t>
  </si>
  <si>
    <t>0006235/2024</t>
  </si>
  <si>
    <t>TC 817 B</t>
  </si>
  <si>
    <t>Substituição de 105 cadeias de isolador em 35 estrutura(s) da LT 230 kV BANABUIU /AQUIRAZ II C-2 CE-04C7 (014/2;014/3;015/1;015/2;016/1;016/2;016/3;017/1;017/2;017/3;018/1;018/2;018/3;019/1;019/2;020/1;020/2;021/1;021/2;021/3;022/1;022/2;023/1;023/2;023/3;024/1;024/2;025/1;025/2;025/3;026/1;026/2;027/1;027/2;028/1 ).</t>
  </si>
  <si>
    <t>0005850/2024</t>
  </si>
  <si>
    <t>d-saqdsbnb-04c7-cade-2</t>
  </si>
  <si>
    <t>Substituição transformador de Corrente fase C, 345kV, arranjo BD5, associado ao AT01, na SE CAMPINAS.</t>
  </si>
  <si>
    <t>0006239/2024</t>
  </si>
  <si>
    <t>TC 817 C</t>
  </si>
  <si>
    <t>Substituição de 01 (um) TP  230kV, posição operacional 84S4.C da Subestação MSI</t>
  </si>
  <si>
    <t>0005851/2024</t>
  </si>
  <si>
    <t>84S4.C</t>
  </si>
  <si>
    <t>Substituição de Transformador Potencial EL fase A, 138kV, arranjo BS, associado ao AT01, na SE CAMPINAS.</t>
  </si>
  <si>
    <t>0006243/2024</t>
  </si>
  <si>
    <t>TPC 6515 A</t>
  </si>
  <si>
    <t>Substituição de 129 cadeias de isolador em 35 estrutura(s) da LT 230 kV BANABUIU /AQUIRAZ II C-2 CE-04C7 (028/2;029/1;029/2;030/1;030/2;031/1;031/2;031/3;032/1;032/2;033/1;033/2;034/1;034/2;034/3;035/1;035/2;036/1;036/2;036/3;037/1;037/2;038/1;038/2;038/3;039/1;039/2;040/1;040/2;041/1;041/2;042/1;042/2;042/3;043/1 ).</t>
  </si>
  <si>
    <t>0005852/2024</t>
  </si>
  <si>
    <t>d-saqdsbnb-04c7-cade-3</t>
  </si>
  <si>
    <t>Substituição de Transformador Potencial EL fase C, 138kV, arranjo BS, associado ao AT01, na SE CAMPINAS.</t>
  </si>
  <si>
    <t>0006185/2024</t>
  </si>
  <si>
    <t>TPC 6515 C</t>
  </si>
  <si>
    <t>Substituição de 01 (um) TP  230kV, posição operacional 84S6.B da Subestação MSI</t>
  </si>
  <si>
    <t>0005853/2024</t>
  </si>
  <si>
    <t>84S6.B</t>
  </si>
  <si>
    <t>0006190/2024</t>
  </si>
  <si>
    <t>TPC 6525 A</t>
  </si>
  <si>
    <t>Substituição de 141 cadeias de isolador em 35 estrutura(s) da LT 230 kV BANABUIU /AQUIRAZ II C-2 CE-04C7 (043/2;043/3;043/4;044/1;044/2;045/1;045/2;045/3;046/1;046/2;047/1;047/2;047/3;048/1;048/2;049/1;049/2;050/1;050/2;050/3;051/1;051/2;051/3;052/1;052/2;052/3;053/1;053/2;053/3;054/1;054/2;055/1;055/2;056/1;056/2 ).</t>
  </si>
  <si>
    <t>0005854/2024</t>
  </si>
  <si>
    <t>d-saqdsbnb-04c7-cade-4</t>
  </si>
  <si>
    <t>Substituição de Transformador Potencial EL fase B, 138kV, arranjo BS, associado ao AT02, na SE CAMPINAS.</t>
  </si>
  <si>
    <t>EL 138 kV CAMPINAS LT 138 kV TANQUINHO /CAMPINAS C-2 SP</t>
  </si>
  <si>
    <t>0006244/2024</t>
  </si>
  <si>
    <t>TPC 6515 B</t>
  </si>
  <si>
    <t>Substituição de 01 (um) TP  230kV, posição operacional 84S6.C da Subestação MSI</t>
  </si>
  <si>
    <t>0005855/2024</t>
  </si>
  <si>
    <t>84S6.C</t>
  </si>
  <si>
    <t>Substituição de 105 cadeias de isolador em 35 estrutura(s) da LT 230 kV BANABUIU /AQUIRAZ II C-2 CE-04C7 (057/1;057/2;058/1;058/2;058/3;059/1;059/2;060/1;060/2;061/1;061/2;061/3;062/1;062/2;063/1;063/2;063/3;064/1;064/2;065/1;065/2;065/3;066/1;066/2;067/1;067/2;067/3;068/1;068/2;069/1;069/2;070/1;070/2;071/1;071/2 ).</t>
  </si>
  <si>
    <t>0005856/2024</t>
  </si>
  <si>
    <t>d-saqdsbnb-04c7-cade-5</t>
  </si>
  <si>
    <t>0006198/2024</t>
  </si>
  <si>
    <t>TPC 6525 B</t>
  </si>
  <si>
    <t>Substituição de Transformador Potencial EL fase C, 138kV, arranjo BS, associado ao AT02, na SE CAMPINAS.</t>
  </si>
  <si>
    <t>0006200/2024</t>
  </si>
  <si>
    <t>TPC 6525 C</t>
  </si>
  <si>
    <t>Substituição de 105 cadeias de isolador em 35 estrutura(s) da LT 230 kV BANABUIU /AQUIRAZ II C-2 CE-04C7 (071/3;072/1;072/2;073/1;073/2;074/1;074/2;075/1;075/2;075/3;076/1;076/2;077/1;077/2;077/3;078/1;078/2;079/1;079/2;079/3;080/1;080/2;081/1;081/2;081/3;082/1;082/2;082/3;082/4;083/1;083/2;084/1;084/2;084/3;085/1 ).</t>
  </si>
  <si>
    <t>0005858/2024</t>
  </si>
  <si>
    <t>d-saqdsbnb-04c7-cade-6</t>
  </si>
  <si>
    <t>Substituição de Transformador Potencial TP Lado AT01 fase C, 138kV, arranjo BS, associado ao AT01, na SE CAMPINAS.</t>
  </si>
  <si>
    <t>0006204/2024</t>
  </si>
  <si>
    <t>TP 6515 C</t>
  </si>
  <si>
    <t>Substituição de Transformador Potencial DCPS 9305 fase B, 500kV, arranjo AN, associado a EL, na SE CAMPINAS.</t>
  </si>
  <si>
    <t>0006209/2024</t>
  </si>
  <si>
    <t>TPC 9305B</t>
  </si>
  <si>
    <t>Substituição de Transformador Potencial DCP - LICAMFDI fase A, 500kV, arranjo AN, associado a EL, na SE CAMPINAS.</t>
  </si>
  <si>
    <t>0006212/2024</t>
  </si>
  <si>
    <t>TPC LICAMFDI A</t>
  </si>
  <si>
    <t>Substituição de Transformador Potencial DCP - LICAMFDI fase B, 500kV, arranjo AN, associado a EL, na SE CAMPINAS.</t>
  </si>
  <si>
    <t>0006215/2024</t>
  </si>
  <si>
    <t>TPC LICAMFDI B</t>
  </si>
  <si>
    <t>Substituição de 105 cadeias de isolador em 35 estrutura(s) da LT 230 kV BANABUIU /AQUIRAZ II C-2 CE-04C7 (099/2;100/1;100/2;101/1;101/2;101/3;102/1;102/2;103/1;103/2;104/1;104/2;104/3;105/1;105/2;106/1;106/2;106/3;107/1;107/2;108/1;108/2;108/3;109/1;109/2;110/1;110/2;110/3;111/1;111/2;112/1;112/2;112/3;113/1;113/2 ).</t>
  </si>
  <si>
    <t>0005861/2024</t>
  </si>
  <si>
    <t>d-saqdsbnb-04c7-cade-8</t>
  </si>
  <si>
    <t>Substituição de Transformador Potencial DCP - LICAMFDI fase C, 500kV, arranjo AN, associado a EL, na SE CAMPINAS.</t>
  </si>
  <si>
    <t>EL 500 kV CAMPINAS LT 500 kV FERNAO DIAS /CAMPINAS C-1 SP</t>
  </si>
  <si>
    <t>0006188/2024</t>
  </si>
  <si>
    <t>TPC LICAMFDI C</t>
  </si>
  <si>
    <t>Substituição de Transformador Potencial DCP - LTARCA fase A, 500kV, arranjo AN, associado a EL, na SE CAMPINAS.</t>
  </si>
  <si>
    <t>EL 500 kV CAMPINAS LT 500 kV ARARAQUARA FURNAS /CAMPINAS C-1 SP</t>
  </si>
  <si>
    <t>0006193/2024</t>
  </si>
  <si>
    <t>TPC LTARCA A</t>
  </si>
  <si>
    <t>Substituição de 117 cadeias de isolador em 35 estrutura(s) da LT 230 kV BANABUIU /AQUIRAZ II C-2 CE-04C7 (114/1;114/2;114/3;115/1;115/2;116/1;116/2;116/3;117/1;117/2;118/1;118/2;118/3;119/1;119/2;120/1;120/2;120/3;121/1;121/2;122/1;122/2;122/3;123/1;123/2;124/1;124/2;125/1;125/2;125/3;126/1;126/2;127/1;127/2;127/3 ).</t>
  </si>
  <si>
    <t>0005863/2024</t>
  </si>
  <si>
    <t>d-saqdsbnb-04c7-cade-9</t>
  </si>
  <si>
    <t>Substituição de Transformador Potencial DCP - LTARCA fase B, 500kV, arranjo AN, associado a EL, na SE CAMPINAS.</t>
  </si>
  <si>
    <t>0006194/2024</t>
  </si>
  <si>
    <t>TPC LTARCA B</t>
  </si>
  <si>
    <t>Substituição de Transformador Potencial DCP - LTARCA fase C, 500kV, arranjo AN, associado a EL, na SE CAMPINAS.</t>
  </si>
  <si>
    <t>0006195/2024</t>
  </si>
  <si>
    <t>TPC LTARCA C</t>
  </si>
  <si>
    <t>Substituição de 69 cadeias de isolador em 23 estrutura(s) da LT 230 kV BANABUIU /AQUIRAZ II C-2 CE-04C7 (156/3;156/4;157/1;157/2;157/3;158/1;158/2;158/3;159/1;159/2;160/1;160/2;160/3;161/1;161/2;162/1;162/2;162/3;163/1;163/2;164/1;164/2;164/3).</t>
  </si>
  <si>
    <t>0005865/2024</t>
  </si>
  <si>
    <t>d-saqdsbnb-04c7-cade-12</t>
  </si>
  <si>
    <t>Substituição de Transformador Potencial DCPS 9207 fase B, 500kV, arranjo AN, associado a EL, na SE CAMPINAS.</t>
  </si>
  <si>
    <t>0006199/2024</t>
  </si>
  <si>
    <t>TPC 9207 B</t>
  </si>
  <si>
    <t>Substituição de Chave Seccionadora CS721, 230 kV, arranjo BD4, associado ao RT1, na SE DOURADOS.</t>
  </si>
  <si>
    <t>0006265/2024</t>
  </si>
  <si>
    <t>Substituição de 141 cadeias de isolador em 36 estrutura(s) da LT 230 kV BANABUIU /RUSSAS II C-1 CE-04C1 (001/1;001/2;001/4;002/1;002/2;002/3;003/1;004/1;004/2;005/1;006/3;006/4;006/5;007/2;007/3;008/2;009/1;009/2;010/4;012/1;012/2;012/3;013/2;014/1;014/3;015/1;015/2;016/1;016/4;017/2;017/3;018/1;018/2;019/2;019/3;019/4 ).</t>
  </si>
  <si>
    <t>0005867/2024</t>
  </si>
  <si>
    <t>d-sbnbsrsd-04c1-cade-1</t>
  </si>
  <si>
    <t>Substituição de Chave Seccionadora CS723, 230 kV, arranjo BD4, associado ao RT1, na SE DOURADOS.</t>
  </si>
  <si>
    <t>0006269/2024</t>
  </si>
  <si>
    <t>Substituição de Chave Seccionadora CS725, 230 kV, arranjo BD4, associado ao RT1, na SE DOURADOS.</t>
  </si>
  <si>
    <t>MC 230 kV RTB 230 kV 27 Mvar DOURADOS RT1 MS</t>
  </si>
  <si>
    <t>0006275/2024</t>
  </si>
  <si>
    <t>Substituição de 249 cadeias de isolador em 35 estrutura(s) da LT 230 kV MILAGRES /BANABUIU C-2 CE-04M3 (078/1;078/2;078/3;079/1;079/2;080/1;080/2;081/1;081/2;081/3;082/1;083/1;083/2;083/3;084/1;084/2;085/1;085/2;086/1;087/1;087/2;087/3;088/1;088/2;089/1;089/2;090/1;090/2;091/1;091/2;091/3;092/1;092/2;093/1;093/2 ).</t>
  </si>
  <si>
    <t>0005869/2024</t>
  </si>
  <si>
    <t>d-smlgsbnb-04m3-cade-6</t>
  </si>
  <si>
    <t>Substituição de Chave Seccionadora CS727, 230 kV, arranjo BD4, associado ao RT1, na SE DOURADOS.</t>
  </si>
  <si>
    <t>0006280/2024</t>
  </si>
  <si>
    <t>Substituição de Para-raios 230 kV fase A, arranjo BD4, associado ao RT1, na SE DOURADOS.</t>
  </si>
  <si>
    <t>0006285/2024</t>
  </si>
  <si>
    <t>Substituição de 156 cadeias de isolador em 35 estrutura(s) da LT 230 kV PAU FERRO /GOIANINHA C-1 PE-04C7 (009/1;009/2;010/1;010/2;010/3;011/1;011/2;012/1;012/2;013/1;013/2;014/1;014/2;015/1;015/2;016/1;016/2;017/1;018/1;018/2;019/1;019/2;020/1;020/2;021/1;021/2;021/3;022/1;023/1;023/2;024/1;024/2;025/1;025/2;026/1).</t>
  </si>
  <si>
    <t>0005871/2024</t>
  </si>
  <si>
    <t>d-spfesgnn-04c7-cade-1</t>
  </si>
  <si>
    <t>Substituição de 01 (um) TP 230kV,  posição operacional 84C8.A da Subestação CMD</t>
  </si>
  <si>
    <t>0005872/2024</t>
  </si>
  <si>
    <t>84C8.A</t>
  </si>
  <si>
    <t>Substituição de Para-raios 230 kV fase B, arranjo BD4, associado ao RT1, na SE DOURADOS.</t>
  </si>
  <si>
    <t>0006294/2024</t>
  </si>
  <si>
    <t>Substituição de Para-raios 230 kV fase C, arranjo BD4, associado ao RT1, na SE DOURADOS.</t>
  </si>
  <si>
    <t>0006304/2024</t>
  </si>
  <si>
    <t>Substituição de 117 cadeias de isolador em 35 estrutura(s) da LT 230 kV PAU FERRO /GOIANINHA C-1 PE-04C7 (026/2;026/3;027/1;028/1;028/2;028/3;029/1;030/1;030/2;030/3;031/1;031/2;032/1;032/2;033/1;033/2;033/3;034/1;035/1;035/2;036/1;036/2;036/3;037/1;037/2;037/3;038/1;038/2;039/1;039/2;039/3;040/1;040/2;041/1;041/2).</t>
  </si>
  <si>
    <t>0005873/2024</t>
  </si>
  <si>
    <t>d-spfesgnn-04c7-cade-2</t>
  </si>
  <si>
    <t>Substituição de 01 (um) TP 230kV,  posição operacional 84F2.A da Subestação IRE</t>
  </si>
  <si>
    <t>0005875/2024</t>
  </si>
  <si>
    <t>84F2.A</t>
  </si>
  <si>
    <t>Substituição de Disjuntor (DJ722) 230 kV, 50Mvar, arranjo BD4, associado ao RT1, na SE DOURADOS.</t>
  </si>
  <si>
    <t>0006308/2024</t>
  </si>
  <si>
    <t>Substituição de 33 cadeias de isolador em 4 estrutura(s) da LT 230 kV PAU FERRO /GOIANINHA C-1 PE-04C7 (042/1;042/2;042/3;GNN).</t>
  </si>
  <si>
    <t>0005876/2024</t>
  </si>
  <si>
    <t>d-spfesgnn-04c7-cade-3</t>
  </si>
  <si>
    <t>Substituição de disjuntor (DJ572) 138 kV, arranjo BPT, associado a EL, na SE J.LACERDA-A.</t>
  </si>
  <si>
    <t>0006186/2024</t>
  </si>
  <si>
    <t>Substituição de 01 (um) TP 230kV,  posição operacional 84C3.A da Subestação ITH</t>
  </si>
  <si>
    <t>LT 230 kV ITABAIANA /ITABAIANINHA C-1 SE</t>
  </si>
  <si>
    <t>0005877/2024</t>
  </si>
  <si>
    <t>84C3.A</t>
  </si>
  <si>
    <t>Substituição de chave seccionadora (CS571) 138 kV, arranjo BPT, associado a EL, na SE J.LACERDA-A.</t>
  </si>
  <si>
    <t>EL 138 kV J.LACERDA-A LT 138 kV J.LACERDA-A /U.JLACERDA-A C-2 SC</t>
  </si>
  <si>
    <t>0006125/2024</t>
  </si>
  <si>
    <t>Substituição de 01 (um) TP 230kV,  posição operacional 84C3.C da Subestação ITH</t>
  </si>
  <si>
    <t>0005880/2024</t>
  </si>
  <si>
    <t>84C3.C</t>
  </si>
  <si>
    <t>Substituição de chave seccionadora (CS573) 138 kV, arranjo BPT, associado a EL, na SE J.LACERDA-A.</t>
  </si>
  <si>
    <t>0006192/2024</t>
  </si>
  <si>
    <t>Substituição de  Transformador de Corrente (TC572) 138kV fase A, arranjo BPT, associado a EL, na SE J.LACERDA-A.</t>
  </si>
  <si>
    <t>0006202/2024</t>
  </si>
  <si>
    <t>Substituição de 176 cadeias de isolador em 35 estrutura(s) da LT 500 kV P. AFONSO IV /USINA XINGO C-1 BA/AL-05V6 (001/1;001/2;001/3;002/1;002/2;002/3;003/1;003/2;004/1;004/2;005/1;006/1;006/2;006/3;007/1;008/1;008/2;008/3;009/1;009/2;010/1;010/2;011/1;011/2;012/1;012/2;013/1;013/2;014/1;014/2;015/1;015/2;016/1;016/2;017/1).</t>
  </si>
  <si>
    <t>0005881/2024</t>
  </si>
  <si>
    <t>d-spaqsxgo-05v6-cade-1</t>
  </si>
  <si>
    <t>Substituição de 01 (um) TP 230kV,  posição operacional 84F2.B da Subestação JDM</t>
  </si>
  <si>
    <t>0005882/2024</t>
  </si>
  <si>
    <t>84F2.B</t>
  </si>
  <si>
    <t>Substituição de  Transformador de Corrente (TC572) 138kV fase B, arranjo BPT, associado a EL, na SE J.LACERDA-A.</t>
  </si>
  <si>
    <t>0006206/2024</t>
  </si>
  <si>
    <t>Substituição de  Transformador de Corrente (TC572) 138kV fase C, arranjo BPT, associado a EL, na SE J.LACERDA-A.</t>
  </si>
  <si>
    <t>0006210/2024</t>
  </si>
  <si>
    <t>Substituição de 176 cadeias de isolador em 35 estrutura(s) da LT 500 kV P. AFONSO IV /USINA XINGO C-1 BA/AL-05V6 (017/2;018/1;018/2;019/1;020/1;020/2;021/1;021/2;022/1;022/2;023/1;023/2;024/1;024/2;025/1;025/2;026/1;026/2;027/1;027/2;028/1;028/2;029/1;029/2;030/1;030/2;031/1;031/2;032/1;032/2;033/1;033/2;034/1;034/2;035/1).</t>
  </si>
  <si>
    <t>0005883/2024</t>
  </si>
  <si>
    <t>d-spaqsxgo-05v6-cade-2</t>
  </si>
  <si>
    <t>Substituição de 01 (um) TP 500kV,  posição operacional 85L7.A da Subestação RCD</t>
  </si>
  <si>
    <t>0005884/2024</t>
  </si>
  <si>
    <t>85L7.A</t>
  </si>
  <si>
    <t>Substituição de 188 cadeias de isolador em 35 estrutura(s) da LT 500 kV P. AFONSO IV /USINA XINGO C-1 BA/AL-05V6 (035/2;036/1;036/2;036/3;036/4;037/1;037/2;038/1;038/2;039/1;039/2;040/1;040/2;041/1;041/2;042/1;042/2;043/1;043/2;044/1;044/2;045/1;045/2;046/1;046/2;047/1;047/2;048/1;048/2;049/1;050/1;050/2;051/1;051/2;052/1).</t>
  </si>
  <si>
    <t>0005885/2024</t>
  </si>
  <si>
    <t>d-spaqsxgo-05v6-cade-3</t>
  </si>
  <si>
    <t>Substituição de 01 (um) TP 500kV,  posição operacional 85L7.C da Subestação RCD</t>
  </si>
  <si>
    <t>0005886/2024</t>
  </si>
  <si>
    <t>85L7.C</t>
  </si>
  <si>
    <t>Substituição da cadeia de proteção de Barras principal, referente às barras P e PT de 230 kV, incluindo uma Unidade Central e nove unidades de Bay (vãos TF 5, TF 7, TF 10, TF 11, LT J.Lacerda-B C-1, LT J.Lacerda-B C-2, LT UT J.Lacerda-A C-4,UT J.Lacerda-A C-6 e Interligador de Barras (IB - DJ792)), painéis e cabos de controle e potência associados, da SE J.Lacerda-A.</t>
  </si>
  <si>
    <t>0006219/2024</t>
  </si>
  <si>
    <t>10386778</t>
  </si>
  <si>
    <t>Substituição da proteção Falha de Disjuntor (DJ792), referente ao Interligador de Barras (IB)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 na SE J.Lacerda-A.</t>
  </si>
  <si>
    <t>0006223/2024</t>
  </si>
  <si>
    <t>10386780</t>
  </si>
  <si>
    <t>Substituição das proteções Primária e Secundária e Falha de Disjuntor, referentes a LT 138 kV J.Lacerda-A - Bom Jardim da Serra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</si>
  <si>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0006273/2024</t>
  </si>
  <si>
    <t>10356586</t>
  </si>
  <si>
    <t>Substituição das proteções Primária e Secundária, referentes a LT 69 kV J.Lacerda-A - Tubarão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</si>
  <si>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0006242/2024</t>
  </si>
  <si>
    <t>10356995</t>
  </si>
  <si>
    <t>Substituição das proteções Primária e Secundária, referentes a LT 69 kV J.Lacerda-A - Tubarão C-2.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</si>
  <si>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0006247/2024</t>
  </si>
  <si>
    <t>10357002</t>
  </si>
  <si>
    <t>Substituição das proteções Primária e Secundária, referentes a LT 69 kV J.Lacerda-A - Tubarão C-3.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</si>
  <si>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0006252/2024</t>
  </si>
  <si>
    <t>10357008</t>
  </si>
  <si>
    <t>Substituição das proteções Primária, Secundária e Falha de Disjuntor, referentes a LT 138 kV J.Lacerda-A - Imbituba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</si>
  <si>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0006268/2024</t>
  </si>
  <si>
    <t>10354819</t>
  </si>
  <si>
    <t>Substituição das proteções Principal, Alternada e Falha de Disjuntor, referentes a LT 138 kV J.Lacerda-A - UT J.Lacerda-A C-1. Associada a obra estão previstos serviços de engenharia de especificações técnicas, projeto, teleproteção, adequações no sistema</t>
  </si>
  <si>
    <t>LT 138 kV J.LACERDA-A / UT J.LACERDA-A C-1 SC</t>
  </si>
  <si>
    <t>0006292/2024</t>
  </si>
  <si>
    <t>10399939</t>
  </si>
  <si>
    <t>Substituição das proteções Principal, Alternada e Falha de Disjuntor, referentes a LT 138 kV J.Lacerda-A - UT J.Lacerda-A C-2.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</si>
  <si>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0006300/2024</t>
  </si>
  <si>
    <t>10399944</t>
  </si>
  <si>
    <t>Substituição das proteções Principal, Alternada e Falha de Disjuntor, referentes a LT 138 kV J.Lacerda-A - UT J.Lacerda-A C-3.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</si>
  <si>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0006310/2024</t>
  </si>
  <si>
    <t>10399942</t>
  </si>
  <si>
    <t>Substituição das proteções Principal, Alternada e Falha de Disjuntor, referentes a LT 230 kV J.Lacerda-A - UT J.Lacerda-A C-4.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</si>
  <si>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0006313/2024</t>
  </si>
  <si>
    <t>10399935</t>
  </si>
  <si>
    <t>Substituição das proteções Principal, Alternada e Falha de Disjuntor, referentes a LT 230 kV J.Lacerda-A - UT J.Lacerda-A C-6.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</si>
  <si>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0006318/2024</t>
  </si>
  <si>
    <t>10399937</t>
  </si>
  <si>
    <t>Substituição das proteções Principal, Alternada e Falha de Disjuntor, referentes ao TR10 230/69 kV da SE J.Lacerda-A, lados de 230 e 69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</si>
  <si>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0006322/2024</t>
  </si>
  <si>
    <t>10386783</t>
  </si>
  <si>
    <t>Substituição das proteções Principal, Alternada e Falha de Disjuntor, referentes ao TR11 230/69 kV da SE J.Lacerda-A, lados de 230 e 69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</si>
  <si>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TR 230/69 kV J.LACERDA-A TR11 SC</t>
  </si>
  <si>
    <t>0006324/2024</t>
  </si>
  <si>
    <t>10386785</t>
  </si>
  <si>
    <t>Substituição do sistema de controle e supervisão (com unidade redundante) da LT 230 kV J.Lacerda-A - J.Lacerda-B C-1, incluindo painéis e cabos de controle e potência associados, e adaptações na casa de controle.</t>
  </si>
  <si>
    <t>0006327/2024</t>
  </si>
  <si>
    <t>12480806</t>
  </si>
  <si>
    <t>Substituição do Sistema de Registro de Perturbação associado ao vão de Entrada de Linha 04M7 (LT 230 kV CAMACARI II /MATATU C-1), na subestação CAMACARI II, composto por: 01 Oscilógrafo e infraestrutura de comunicação associada.</t>
  </si>
  <si>
    <t>0005887/2024</t>
  </si>
  <si>
    <t>11449346</t>
  </si>
  <si>
    <t>Substituição do sistema de controle e supervisão (com unidade redundante) da LT 230 kV J.Lacerda-A - J.Lacerda-B C-2, incluindo painéis e cabos de controle e potência associados, e adaptações na casa de controle.</t>
  </si>
  <si>
    <t>LT 230 kV J.LACERDA-A / J.LACERDA-B C-2 SC</t>
  </si>
  <si>
    <t>0006329/2024</t>
  </si>
  <si>
    <t>12480807</t>
  </si>
  <si>
    <t>Substituição do sistema de controle e supervisão (com unidade redundante) da LT 230 kV J.Lacerda-A - UT J.Lacerda-A C-4, incluindo painéis e cabos de controle e potência associados, e adaptações na casa de controle.</t>
  </si>
  <si>
    <t>LT 230 kV J.LACERDA-A / UT J.LACERDA-A C-4 SC</t>
  </si>
  <si>
    <t>0006208/2024</t>
  </si>
  <si>
    <t>SPCS230 LT230 JLA-UTJLA C4</t>
  </si>
  <si>
    <t>Substituição do Sistema de Registro de Perturbação associado ao vão de Entrada de Linha 04V1 (LT 230 kV CAMACARI II /US.CAMACARI C-1), na subestação CAMACARI II, composto por: 01 Oscilógrafo e infraestrutura de comunicação associada.</t>
  </si>
  <si>
    <t>0005888/2024</t>
  </si>
  <si>
    <t>11450216</t>
  </si>
  <si>
    <t>Substituição do sistema de controle e supervisão (com unidade redundante) da LT 230 kV J.Lacerda-A - UT J.Lacerda-A C-6, incluindo painéis e cabos de controle e potência associados, e adaptações na casa de controle.</t>
  </si>
  <si>
    <t>LT 230 kV J.LACERDA-A / UT J.LACERDA-A C-6 SC</t>
  </si>
  <si>
    <t>0006214/2024</t>
  </si>
  <si>
    <t>SPCS230 LT230 JLA-UTJLA C6</t>
  </si>
  <si>
    <t>Substituição do sistema de controle e supervisão (com unidade redundante) do Interligador de Barras (IB) 230 kV da SE J.Lacerda-A, DJ792, incluindo painéis e cabos de controle e potência associados, e adaptações na casa de controle.</t>
  </si>
  <si>
    <t>IB 230 kV MG 230 kV J.LACERDA-A MG1 SC IB2</t>
  </si>
  <si>
    <t>0006220/2024</t>
  </si>
  <si>
    <t>SPCS230 IB2</t>
  </si>
  <si>
    <t>Substituição do Sistema de Registro de Perturbação associado ao vão de Entrada de Linha 05L4 (LT 500 kV OLINDINA /CAMACARI II C-1), na subestação CAMACARI II, composto por: 01 Oscilógrafo e infraestrutura de comunicação associada.</t>
  </si>
  <si>
    <t>0005889/2024</t>
  </si>
  <si>
    <t>11446332</t>
  </si>
  <si>
    <t>Substituição do sistema de controle e supervisão (com unidade redundante) do TR10 230/69 kV da SE J.Lacerda-A, lados de 230 e 69 kV, incluindo painéis e cabos de controle e potência associados, e adaptações na casa de controle.</t>
  </si>
  <si>
    <t>0006222/2024</t>
  </si>
  <si>
    <t>SPCS230 TR10</t>
  </si>
  <si>
    <t>Substituição do sistema de controle e supervisão (com unidade redundante) do TR11 230/69 kV da SE J.Lacerda-A, lados de 230 e 69 kV, incluindo painéis e cabos de controle e potência associados, e adaptações na casa de controle.</t>
  </si>
  <si>
    <t>0006226/2024</t>
  </si>
  <si>
    <t>SPCS230 TR11</t>
  </si>
  <si>
    <t>Substituição do Sistema de Registro de Perturbação associado ao vão de Entrada de Linha 05L5 (LT 500 kV OLINDINA /CAMACARI II C-2), na subestação CAMACARI II, composto por: 01 Oscilógrafo e infraestrutura de comunicação associada.</t>
  </si>
  <si>
    <t>0005890/2024</t>
  </si>
  <si>
    <t>11446333</t>
  </si>
  <si>
    <t>Substituição do sistema de controle e supervisão da LT 138 kV J.Lacerda-A - Bom Jardim da Serra C-1, incluindo painéis e cabos de controle e potência associados, e adaptações na casa de controle.</t>
  </si>
  <si>
    <t>LT 138 kV BOM JARDIM DA SERRA/J.LACERDA-A C-1 SC</t>
  </si>
  <si>
    <t>0006302/2024</t>
  </si>
  <si>
    <t>SPCS138 LT138 JLA-BJS C1</t>
  </si>
  <si>
    <t>Substituição do sistema de controle e supervisão da LT 138 kV J.Lacerda-A - Imbituba C-1, incluindo painéis e cabos de controle e potência associados, e adaptações na casa de controle.</t>
  </si>
  <si>
    <t>LT 138 kV IMBITUBA /J.LACERDA-A C-1 SC</t>
  </si>
  <si>
    <t>0006240/2024</t>
  </si>
  <si>
    <t>SPCS138 LT138 JLA-IBA C1</t>
  </si>
  <si>
    <t>Substituição do Sistema de Registro de Perturbação associado ao vão de Entrada de Linha 05L6 (LT 500 kV CAMACARI VI /CAMACARI II C-1), na subestação CAMACARI II, composto por: 01 Oscilógrafo e infraestrutura de comunicação associada.</t>
  </si>
  <si>
    <t>LT 500 kV CAMACARI IV /CAMACARI II C-1 BA</t>
  </si>
  <si>
    <t>0005891/2024</t>
  </si>
  <si>
    <t>11446336</t>
  </si>
  <si>
    <t>Substituição do sistema de controle e supervisão da LT 138 kV J.Lacerda-A - UT J.Lacerda-A C-1, incluindo painéis e cabos de controle e potência associados, e adaptações na casa de controle.</t>
  </si>
  <si>
    <t>0006245/2024</t>
  </si>
  <si>
    <t>SPCS138 LT138 JLA-UTJLA C1</t>
  </si>
  <si>
    <t>Substituição do Sistema de Registro de Perturbação associado ao vão de Entrada de Linha 04C4 (LT 230 kV RECIFE II /MIRUEIRA C-1), na subestação RECIFE II, composto por: 01 Oscilógrafo e infraestrutura de comunicação associada.</t>
  </si>
  <si>
    <t>0005892/2024</t>
  </si>
  <si>
    <t>11449203</t>
  </si>
  <si>
    <t>Substituição do sistema de controle e supervisão da LT 138 kV J.Lacerda-A - UT J.Lacerda-A C-2, incluindo painéis e cabos de controle e potência associados, e adaptações na casa de controle.</t>
  </si>
  <si>
    <t>LT 138 kV J.LACERDA-A / UT J.LACERDA-A C-2 SC</t>
  </si>
  <si>
    <t>0006256/2024</t>
  </si>
  <si>
    <t>SPCS138 LT138 JLA-UTJLA C2</t>
  </si>
  <si>
    <t>Substituição do sistema de controle e supervisão da LT 138 kV J.Lacerda-A - UT J.Lacerda-A C-3, incluindo painéis e cabos de controle e potência associados, e adaptações na casa de controle.</t>
  </si>
  <si>
    <t>LT 138 kV J.LACERDA-A / UT J.LACERDA-A C-3 SC</t>
  </si>
  <si>
    <t>0006260/2024</t>
  </si>
  <si>
    <t>SPCS138 LT138 JLA-UTJLA C3</t>
  </si>
  <si>
    <t>Substituição do Sistema de Registro de Perturbação associado ao vão de Entrada de Linha 04V1 (LT 230 kV RECIFE II /JOAIRAM C-1), na subestação RECIFE II, composto por: 01 Oscilógrafo e infraestrutura de comunicação associada.</t>
  </si>
  <si>
    <t>0005893/2024</t>
  </si>
  <si>
    <t>12365342</t>
  </si>
  <si>
    <t>Substituição do sistema de controle e supervisão da LT 69 kV J.Lacerda-A - Tubarão C-1, incluindo painéis e cabos de controle e potência associados, e adaptações na casa de controle.</t>
  </si>
  <si>
    <t>LT 69 kV J.LACERDA-A / TUBARAO C-1 SC</t>
  </si>
  <si>
    <t>0006267/2024</t>
  </si>
  <si>
    <t>SPCS69 LT69 JLA-TRO C1</t>
  </si>
  <si>
    <t>Substituição do sistema de controle e supervisão da LT 69 kV J.Lacerda-A - Tubarão C-2, incluindo painéis e cabos de controle e potência associados, e adaptações na casa de controle.</t>
  </si>
  <si>
    <t>LT 69 kV J.LACERDA-A / TUBARAO C-2 SC</t>
  </si>
  <si>
    <t>0006270/2024</t>
  </si>
  <si>
    <t>SPCS69 LT69 JLA-TRO C2</t>
  </si>
  <si>
    <t>Substituição do Sistema de Registro de Perturbação associado ao vão de Entrada de Linha 05L7 (LT 500 kV SUAPE II /RECIFE II C-1), na subestação RECIFE II, composto por: 01 Oscilógrafo e infraestrutura de comunicação associada.</t>
  </si>
  <si>
    <t>0005894/2024</t>
  </si>
  <si>
    <t>11446204</t>
  </si>
  <si>
    <t>Substituição do sistema de controle e supervisão da LT 69 kV J.Lacerda-A - Tubarão C-3, incluindo painéis e cabos de controle e potência associados, e adaptações na casa de controle.</t>
  </si>
  <si>
    <t>LT 69 kV J.LACERDA-A / TUBARAO C-3 SC</t>
  </si>
  <si>
    <t>0006272/2024</t>
  </si>
  <si>
    <t>SPCS69 LT69 JLA-TRO C3</t>
  </si>
  <si>
    <t>Substituição do sistema de controle e supervisão do Interligador de Barras (IB) 138 kV da SE J.Lacerda-A, DJ552, incluindo painéis e cabos de controle e potência associados, e adaptações na casa de controle.</t>
  </si>
  <si>
    <t>IB 138 kV MG 230 kV J.LACERDA-A MG1 SC IB1</t>
  </si>
  <si>
    <t>0006281/2024</t>
  </si>
  <si>
    <t>SPCS138 IB1</t>
  </si>
  <si>
    <t>Substituição do Sistema de Registro de Perturbação associado ao vão de Entrada de Linha 05L8 (LT 500 kV PAU FERRO /RECIFE II C-1), na subestação RECIFE II, composto por: 01 Oscilógrafo e infraestrutura de comunicação associada.</t>
  </si>
  <si>
    <t>0005895/2024</t>
  </si>
  <si>
    <t>11446218</t>
  </si>
  <si>
    <t>Substituição do Sistema de Proteção, Controle e Supervisão (SPCS) dos cubículos e serviços auxiliares CA / CC, incluindo painéis e cabos associados, e adaptações na casa de controle, da SE J.Lacerda-A.</t>
  </si>
  <si>
    <t>MG 230 kV J.LACERDA-A MG1 SC</t>
  </si>
  <si>
    <t>0006288/2024</t>
  </si>
  <si>
    <t>SPCS13,8 MIG1</t>
  </si>
  <si>
    <t>Restauração de pórticos metálicos das Funções Transmissão 230 kV da Subestação Jorge Lacerda A. Associados a este item, são esperadas a substituição/restauração de peças metálicas componentes das vigas e colunas, desmontagem de estruturas a serem removida</t>
  </si>
  <si>
    <t>0006293/2024</t>
  </si>
  <si>
    <t>PÓRTICOS 230</t>
  </si>
  <si>
    <t>Substituição do Sistema de Registro de Perturbação associado ao vão de Entrada de Linha 04C1 (LT 230 kV RECIFE II /PIRAPAMA II C-2), na subestação PIRAPAMA II, composto por: 01 Oscilógrafo e infraestrutura de comunicação associada.</t>
  </si>
  <si>
    <t>0005896/2024</t>
  </si>
  <si>
    <t>11449209</t>
  </si>
  <si>
    <t>Restauração de pórticos metálicos das Funções Transmissão 138 kV da Subestação Jorge Lacerda A. Associados a este item, são esperadas a substituição de estruturas completas (vigas e colunas) quando necessário, desmontagem de estruturas a serem removidas p</t>
  </si>
  <si>
    <t>MC 138 kV TR 230/138 kV J.LACERDA-A TR7 SC</t>
  </si>
  <si>
    <t>0006297/2024</t>
  </si>
  <si>
    <t>PÓRTICOS 138</t>
  </si>
  <si>
    <t>Substituição completa dos pórticos metálicos das Funções Transmissão 69 kV da Subestação Jorge Lacerda A. Associados a este item, são esperadas a restauração e recuperação estrutural das respectivas bases e demais adaptações necessárias.</t>
  </si>
  <si>
    <t>MC 69 kV TR 230/69 kV J.LACERDA-A TR10 SC</t>
  </si>
  <si>
    <t>0006299/2024</t>
  </si>
  <si>
    <t>PÓRTICOS 69</t>
  </si>
  <si>
    <t>Substituição do Sistema de Registro de Perturbação associado ao vão de Entrada de Linha 04M1 (LT 230 kV RIBEIRAO /RECIFE II C-1), na subestação RIBEIRAO, composto por: 01 Oscilógrafo e infraestrutura de comunicação associada.</t>
  </si>
  <si>
    <t>0005897/2024</t>
  </si>
  <si>
    <t>11446206</t>
  </si>
  <si>
    <t>Substituição do Sistema de Registro de Perturbação associado ao vão de Entrada de Linha 04V1 (LT 230 kV RECIFE II /JOAIRAM C-1), na subestação JOAIRAM, composto por: 01 Oscilógrafo e infraestrutura de comunicação associada.</t>
  </si>
  <si>
    <t>0005898/2024</t>
  </si>
  <si>
    <t>11447641</t>
  </si>
  <si>
    <t>Substituição do Sistema de Registro de Perturbação associado ao vão de Entrada de Linha 04V2 (LT 230 kV RECIFE II /JOAIRAM C-2), na subestação JOAIRAM, composto por: 01 Oscilógrafo e infraestrutura de comunicação associada.</t>
  </si>
  <si>
    <t>0005899/2024</t>
  </si>
  <si>
    <t>11449240</t>
  </si>
  <si>
    <t>Substituição do Sistema de Registro de Perturbação associado ao vão de Entrada de Linha 04V3 (LT 230 kV RECIFE II /JOAIRAM C-3), na subestação JOAIRAM, composto por: 01 Oscilógrafo e infraestrutura de comunicação associada.</t>
  </si>
  <si>
    <t>0005900/2024</t>
  </si>
  <si>
    <t>11449241</t>
  </si>
  <si>
    <t>Substituição do Sistema de Registro de Perturbação associado ao Banco de Capacitores 04H1, na subestação MILAGRES, composto por: 01 Oscilógrafo e infraestrutura de comunicação associada.</t>
  </si>
  <si>
    <t>BC 230 kV 50,5 MVAr MILAGRES BC1 CE</t>
  </si>
  <si>
    <t>0005901/2024</t>
  </si>
  <si>
    <t>11446246</t>
  </si>
  <si>
    <t>Substituição do Sistema de Registro de Perturbação associado ao vão de Entrada de Linha 04M5 (LT 230 kV MILAGRES /COREMAS C-2), na subestação MILAGRES, composto por: 01 Oscilógrafo e infraestrutura de comunicação associada.</t>
  </si>
  <si>
    <t>0005902/2024</t>
  </si>
  <si>
    <t>11449298</t>
  </si>
  <si>
    <t>Substituição do Sistema de Registro de Perturbação associado ao vão de Entrada de Linha 04M6 (LT 230 kV MILAGRES /COREMAS C-1), na subestação MILAGRES, composto por: 01 Oscilógrafo e infraestrutura de comunicação associada.</t>
  </si>
  <si>
    <t>0005903/2024</t>
  </si>
  <si>
    <t>11449262</t>
  </si>
  <si>
    <t>Substituição do Sistema de Registro de Perturbação associado ao vão de Entrada de Linha 05V3 (LT 500 kV MILAGRES /QUIXADA C-1), na subestação MILAGRES, composto por: 01 Oscilógrafo e infraestrutura de comunicação associada.</t>
  </si>
  <si>
    <t>0005904/2024</t>
  </si>
  <si>
    <t>11446244</t>
  </si>
  <si>
    <t>Substituição do Sistema de Registro de Perturbação associado ao vão de Entrada de Linha 04M6 (LT 230 kV MILAGRES /COREMAS C-1), na subestação COREMAS, composto por: 01 Oscilógrafo e infraestrutura de comunicação associada.</t>
  </si>
  <si>
    <t>0005905/2024</t>
  </si>
  <si>
    <t>11446256</t>
  </si>
  <si>
    <t>Substituição do Sistema de Registro de Perturbação associado ao Transformador 04T3, na subestação CAUIPE, composto por: 01 Oscilógrafo e infraestrutura de comunicação associada.</t>
  </si>
  <si>
    <t>TR 230/69 kV CAUIPE TR3 CE</t>
  </si>
  <si>
    <t>0005906/2024</t>
  </si>
  <si>
    <t>12613401</t>
  </si>
  <si>
    <t>Substituição do Sistema de Registro de Perturbação associado ao vão de Entrada de Linha  04C2 (LT 230 kV BANABUIU /MOSSORO II), na subestação BANABUIU, composto por: 01 Oscilógrafo e infraestrutura de comunicação associada.</t>
  </si>
  <si>
    <t>0005907/2024</t>
  </si>
  <si>
    <t>11449302</t>
  </si>
  <si>
    <t>Substituição do Sistema de Registro de Perturbação associada ao vão de Entrada de Linha  04C4 (LT 230 kV BANABUIU /MOSORO II C-2), na subestação BANABUIU, composto por: 01 Oscilógrafo e infraestrutura de comunicação associada.</t>
  </si>
  <si>
    <t>LT 230 kV BANABUIU /ALEX C-1 CE</t>
  </si>
  <si>
    <t>0005908/2024</t>
  </si>
  <si>
    <t>12446956</t>
  </si>
  <si>
    <t>Substituição do Sistema de Registro de Perturbação associado ao vão de Entrada de Linha  04C5 (LT 230 kV BANABUIU /ALEX C-1), na subestação BANABUIU, composto por: 01 Oscilógrafo e infraestrutura de comunicação associada.</t>
  </si>
  <si>
    <t>LT 230 kV BANABUIU /MOSSORO II C-2 CE/RN</t>
  </si>
  <si>
    <t>0005909/2024</t>
  </si>
  <si>
    <t>11444179</t>
  </si>
  <si>
    <t>Substituição do Sistema de Registro de Perturbação associada ao vão de Entrada de Linha  04M1 (LT 230 kV MILAGRES /BANABUIU C-1), na subestação BANABUIU, composto por: 01 Oscilógrafo e infraestrutura de comunicação associada.</t>
  </si>
  <si>
    <t>0005910/2024</t>
  </si>
  <si>
    <t>12446953</t>
  </si>
  <si>
    <t>Substituição do Sistema de Registro de Perturbação associado ao vão de Entrada de Linha  04C2 (LT 230 kV BANABUIU /ICO C-1), na subestação ICO, composto por: 01 Oscilógrafo e infraestrutura de comunicação associada.</t>
  </si>
  <si>
    <t>0005911/2024</t>
  </si>
  <si>
    <t>12362807</t>
  </si>
  <si>
    <t>Substituição do Sistema de Registro de Perturbação associado ao vão de Entrada de Linha  04L1 (LT 230 kV COTEGIPE /USIBA C-1), na subestação COTEGIPE, composto por: 01 Oscilógrafo e infraestrutura de comunicação associada.</t>
  </si>
  <si>
    <t>EL 230 kV COTEGIPE LT 230 kV COTEGIPE /USIBA C-1 BA (14L1)</t>
  </si>
  <si>
    <t>0005912/2024</t>
  </si>
  <si>
    <t>11449351</t>
  </si>
  <si>
    <t>Substituição do Sistema de Registro de Perturbação associado ao vão de Entrada de Linha  04L2 (LT 230 kV COTEGIPE /SIBRA C-1), na subestação COTEGIPE, composto por: 01 Oscilógrafo e infraestrutura de comunicação associada.</t>
  </si>
  <si>
    <t>EL 230 kV COTEGIPE LT 230 kV COTEGIPE /SIBRA C-1 BA (14L2)</t>
  </si>
  <si>
    <t>0005913/2024</t>
  </si>
  <si>
    <t>11449352</t>
  </si>
  <si>
    <t>Substituição do SPCS do Reator de Linha não-manobrável 05E1, na subestação FORTALEZA II, composto por: 02 painéis, 02 proteções (principal e alternada), 01 unidade de controle, cabos de controle e infraestrutura de comunicação associados.</t>
  </si>
  <si>
    <t>0005914/2024</t>
  </si>
  <si>
    <t>11366572</t>
  </si>
  <si>
    <t>Substituição do Sistema de Registro de Perturbação associado ao vão de Entrada de Linha  04M6 (LT 230 kV CAMACARI IV /COTEGIPE C-1), na subestação COTEGIPE, composto por: 01 Oscilógrafo e infraestrutura de comunicação associada.</t>
  </si>
  <si>
    <t>0005915/2024</t>
  </si>
  <si>
    <t>12365304</t>
  </si>
  <si>
    <t>Substituição do Sistema de Registro de Perturbação associado ao vão de Entrada de Linha 04C7 (LT 230 kV CAMACARI II /G.MANGABEIRA C-1), na subestação G.MANGABEIRA, composto por: 01 Oscilógrafo e infraestrutura de comunicação associada.</t>
  </si>
  <si>
    <t>0005916/2024</t>
  </si>
  <si>
    <t>12448353</t>
  </si>
  <si>
    <t>Substituição do Sistema de Registro de Perturbação associado ao vão de Entrada de Linha 04S1 (LT 230 kV TOMBA /G.MANGABEIRA C-1), na subestação G.MANGABEIRA, composto por: 01 Oscilógrafo e infraestrutura de comunicação associada.</t>
  </si>
  <si>
    <t>LT 230 kV TOMBA /G.MANGABEIRA C-1 BA</t>
  </si>
  <si>
    <t>0005917/2024</t>
  </si>
  <si>
    <t>11449334</t>
  </si>
  <si>
    <t>Substituição do Sistema de Registro de Perturbação associado ao vão de Entrada de Linha 04S4 (LT 230 kV P.DO CAVALO /G.MANGABEIRA C-1), na subestação G.MANGABEIRA, composto por: 01 Oscilógrafo e infraestrutura de comunicação associada.</t>
  </si>
  <si>
    <t>EL 230 kV G.MANGABEIRA LT 230 kV P.DO CAVALO /G.MANGABEIRA C-1 BA (14S4)</t>
  </si>
  <si>
    <t>0005918/2024</t>
  </si>
  <si>
    <t>12448325</t>
  </si>
  <si>
    <t>Substituição do Sistema de Registro de Perturbação associado ao Transformador 04T2, na subestação G.MANGABEIRA, composto por: 01 Oscilógrafo e infraestrutura de comunicação associada.</t>
  </si>
  <si>
    <t>TR 230/69 kV G.MANGABEIRA TR2 BA</t>
  </si>
  <si>
    <t>0005919/2024</t>
  </si>
  <si>
    <t>11444236</t>
  </si>
  <si>
    <t>Substituição do Sistema de Registro de Perturbação associado ao vão de Entrada de Linha 04F2 (LT 230 kV IRECE /BROT.MACAUBAS C-1), na subestação IRECE, composto por: 01 Oscilógrafo e infraestrutura de comunicação associada.</t>
  </si>
  <si>
    <t>0005920/2024</t>
  </si>
  <si>
    <t>12405597</t>
  </si>
  <si>
    <t>Substituição do Sistema de Registro de Perturbação associado ao vão de Entrada de Linha 03N1 (LT 138 kV IRECE /AGUAS BELAS), na subestação IRECE, composto por: 01 Oscilógrafo e infraestrutura de comunicação associada.</t>
  </si>
  <si>
    <t>0005921/2024</t>
  </si>
  <si>
    <t>11444061</t>
  </si>
  <si>
    <t>Substituição do SPCS do Reator de Barra 04E4, na subestação BANABUIU, composto por: 02 painéis, 02 proteções (principal e alternada), 01 unidade de controle, 02 falhas de disjuntor (principal e alternada), cabos de controle e infraestrutura de comunicação associados.</t>
  </si>
  <si>
    <t>RTB 230 kV 20 MVAr BANABUIU RT4 CE</t>
  </si>
  <si>
    <t>0005922/2024</t>
  </si>
  <si>
    <t>11363019</t>
  </si>
  <si>
    <t>Substituição do SPCS do Disjuntor de Interligação de Barras 12D2, na subestação COTEGIPE, composto por: 01 painel, 02 proteções (principal e alternada), 01 unidade de controle, cabos de controle e infraestrutura de comunicação associados.</t>
  </si>
  <si>
    <t>0005923/2024</t>
  </si>
  <si>
    <t>11353171</t>
  </si>
  <si>
    <t>Substituição do Sistema de Registro de Perturbação associado ao vão de Entrada de Linha 03C1 (LT 138 kV BOM NOME /FLORES), na subestação BOM NOME, composto por: 01 Oscilógrafo e infraestrutura de comunicação associada.</t>
  </si>
  <si>
    <t>0005924/2024</t>
  </si>
  <si>
    <t>11446408</t>
  </si>
  <si>
    <t>Substituição do SPCS do Transformador 04T3, na subestação COTEGIPE, composto por: 02 painéis, 02 proteções (principal e alternada), 02 unidades de controle, 02 falhas de disjuntor (principal e alternada), cabos de controle e infraestrutura de comunicação associados.</t>
  </si>
  <si>
    <t>0005925/2024</t>
  </si>
  <si>
    <t>11361200</t>
  </si>
  <si>
    <t>Substituição do Sistema de Registro de Perturbação associado ao vão de Entrada de Linha 03C2 (LT 138 kV BOM NOME /SALGUEIRO), na subestação BOM NOME, composto por: 01 Oscilógrafo e infraestrutura de comunicação associada.</t>
  </si>
  <si>
    <t>0005926/2024</t>
  </si>
  <si>
    <t>11446409</t>
  </si>
  <si>
    <t>Substituição do SPCS do Transformador de Aterramento 02A1, na subestação G.MANGABEIRA, composto por: 01 painel, 02 proteções (principal e alternada), 01 unidade de controle, cabos de controle e infraestrutura de comunicação associados.</t>
  </si>
  <si>
    <t>MC 69 kV TT 69/13,8 kV G.MANGABEIRA TA1 BA (32A1)</t>
  </si>
  <si>
    <t>0005927/2024</t>
  </si>
  <si>
    <t>11367398</t>
  </si>
  <si>
    <t>Substituição do Sistema de Registro de Perturbação associado ao vão de Entrada de Linha 03C3 (LT 138 kV BOM NOME /SALGUEIRO), na subestação BOM NOME, composto por: 01 Oscilógrafo e infraestrutura de comunicação associada.</t>
  </si>
  <si>
    <t>0005928/2024</t>
  </si>
  <si>
    <t>11446412</t>
  </si>
  <si>
    <t>Substituição do SPCS associado ao vão da Entrada de Linha 04C1 (LT 230 kV G.MANGABEIRA /SAPEACU C-1), na subestação SAPEACU, composto por: 02 painéis, 02 proteções (principal e alternada), 01 unidade de controle, 02 falhas de disjuntor (principal e alternada), cabos de controle e infraestrutura de comunicação associados.</t>
  </si>
  <si>
    <t>0005929/2024</t>
  </si>
  <si>
    <t>11365377</t>
  </si>
  <si>
    <t>Substituição do Sistema de Registro de Perturbação associado ao vão de Entrada de Linha 04C1 (LT 230 kV TACAIMBO /C.GRANDE II C-1), na subestação C.GRANDE II, composto por: 01 Oscilógrafo e infraestrutura de comunicação associada.</t>
  </si>
  <si>
    <t>0005930/2024</t>
  </si>
  <si>
    <t>11446377</t>
  </si>
  <si>
    <t>Substituição do SPCS associado ao vão da Entrada de Linha 04C2 (LT 230 kV G.MANGABEIRA /SAPEACU C-2), na subestação SAPEACU, composto por: 02 painéis, 02 proteções (principal e alternada), 01 unidade de controle, 02 falhas de disjuntor (principal e alternada), cabos de controle e infraestrutura de comunicação associados.</t>
  </si>
  <si>
    <t>LT 230 kV G.MANGABEIRA /SAPEACU C-2 BA</t>
  </si>
  <si>
    <t>0005931/2024</t>
  </si>
  <si>
    <t>11365378</t>
  </si>
  <si>
    <t>Substituição do Sistema de Registro de Perturbação associado ao vão de Entrada de Linha 04C2 (LT 230 kV TACAIMBO /C.GRANDE II C-2), na subestação C.GRANDE II, composto por: 01 Oscilógrafo e infraestrutura de comunicação associada.</t>
  </si>
  <si>
    <t>0005932/2024</t>
  </si>
  <si>
    <t>11446378</t>
  </si>
  <si>
    <t>Substituição do SPCS associado ao vão da Entrada de Linha 04C3 (LT 230 kV G.MANGABEIRA /SAPEACU C-3), na subestação SAPEACU, composto por: 02 painéis, 02 proteções (principal e alternada), 01 unidade de controle, 02 falhas de disjuntor (principal e alternada), cabos de controle e infraestrutura de comunicação associados.</t>
  </si>
  <si>
    <t>LT 230 kV G.MANGABEIRA /SAPEACU C-3 BA</t>
  </si>
  <si>
    <t>0005933/2024</t>
  </si>
  <si>
    <t>11365379</t>
  </si>
  <si>
    <t>Substituição do Sistema de Registro de Perturbação associado ao vão de Entrada de Linha 04C3 (LT 230 kV C.GRANDE II /COTEMINAS C-1), na subestação C.GRANDE II, composto por: 01 Oscilógrafo e infraestrutura de comunicação associada.</t>
  </si>
  <si>
    <t>0005934/2024</t>
  </si>
  <si>
    <t>11446372</t>
  </si>
  <si>
    <t>Substituição do SPCS do Reator de Barra 01E2, na subestação IRECE, composto por: 01 painel, 01 unidade de proteção e controle, cabos de controle e infraestrutura de comunicação associados.</t>
  </si>
  <si>
    <t>RTB 13,8 kV 5 MVAr IRECE RT2 BA</t>
  </si>
  <si>
    <t>0005935/2024</t>
  </si>
  <si>
    <t>11360763</t>
  </si>
  <si>
    <t>Substituição do Sistema de Registro de Perturbação associada ao vão de Entrada de Linha  04L3 (LT 230 kV GOIANINHA /C.GRANDE II C-1), na subestação C.GRANDE II, composto por: 01 Oscilógrafo e infraestrutura de comunicação associada.</t>
  </si>
  <si>
    <t>LT 230 kV GOIANINHA /C.GRANDE II C-1 PE/PB</t>
  </si>
  <si>
    <t>0005936/2024</t>
  </si>
  <si>
    <t>12479839</t>
  </si>
  <si>
    <t>Substituição do SPCS associado ao vão da Entrada de Linha 02J1 (LT 69 kV IRECE /CDI), na subestação IRECE, composto por: 01 painel, 02 proteções (principal e alternada), 01 unidade de controle, cabos de controle e infraestrutura de comunicação associados.</t>
  </si>
  <si>
    <t>EL 69 kV IRECE DIST1 (12J1)</t>
  </si>
  <si>
    <t>0005937/2024</t>
  </si>
  <si>
    <t>11357013</t>
  </si>
  <si>
    <t>Substituição do Sistema de Registro de Perturbação associado ao vão de Entrada de Linha  04V3 (LT 230 kV C.GRANDE III /C.GRANDE II C-2), na subestação C.GRANDE II, composto por: 01 Oscilógrafo e infraestrutura de comunicação associada.</t>
  </si>
  <si>
    <t>0005938/2024</t>
  </si>
  <si>
    <t>11446380</t>
  </si>
  <si>
    <t>Substituição do SPCS associado ao vão da Entrada de Linha 02J2 (LT 69 kV IRECE /IRECE-COELBA), na subestação IRECE, composto por: 01 painel, 02 proteções (principal e alternada), 01 unidade de controle, cabos de controle e infraestrutura de comunicação associados.</t>
  </si>
  <si>
    <t>0005939/2024</t>
  </si>
  <si>
    <t>11357014</t>
  </si>
  <si>
    <t>Substituição do Sistema de Registro de Perturbação associado ao vão de Entrada de Linha  04V4 (LT 230 kV C.GRANDE III /C.GRANDE II C-3), na subestação C.GRANDE II, composto por: 01 Oscilógrafo e infraestrutura de comunicação associada.</t>
  </si>
  <si>
    <t>LT 230 kV C.GRANDE III /C.GRANDE II C-3 PB</t>
  </si>
  <si>
    <t>0005940/2024</t>
  </si>
  <si>
    <t>11446381</t>
  </si>
  <si>
    <t>Substituição do SPCS associado ao vão da Entrada de Linha 02J3 (LT 69 kV IRECE /MORRO DO CHAPEU), na subestação IRECE, composto por: 01 painel, 02 proteções (principal e alternada), 01 unidade de controle, cabos de controle e infraestrutura de comunicação associados.</t>
  </si>
  <si>
    <t>EL 69 kV IRECE DIST3 (12J3)</t>
  </si>
  <si>
    <t>0005941/2024</t>
  </si>
  <si>
    <t>11359021</t>
  </si>
  <si>
    <t>Substituição do Sistema de Registro de Perturbação associado ao vão de Entrada de Linha 04C1 (LT 230 kV TACAIMBO /C.GRANDE II C-1), na subestação TACAIMBO, composto por: 01 Oscilógrafo e infraestrutura de comunicação associada.</t>
  </si>
  <si>
    <t>0005942/2024</t>
  </si>
  <si>
    <t>11446349</t>
  </si>
  <si>
    <t>Substituição do SPCS associado ao vão da Entrada de Linha 02J4 (LT 69 kV IRECE /IRECE ASA SUL), na subestação IRECE, composto por: 01 painel, 02 proteções (principal e alternada), 01 unidade de controle, cabos de controle e infraestrutura de comunicação associados.</t>
  </si>
  <si>
    <t>EL 69 kV IRECE DIST4 (12J4)</t>
  </si>
  <si>
    <t>0005943/2024</t>
  </si>
  <si>
    <t>11359022</t>
  </si>
  <si>
    <t>Substituição do Sistema de Registro de Perturbação associado ao vão de Entrada de Linha 04C2 (LT 230 kV TACAIMBO /C.GRANDE II C-2), na subestação TACAIMBO, composto por: 01 Oscilógrafo e infraestrutura de comunicação associada.</t>
  </si>
  <si>
    <t>0005944/2024</t>
  </si>
  <si>
    <t>11446348</t>
  </si>
  <si>
    <t>Substituição do SPCS do Disjuntor de Interligação de Barras 12D1, na subestação IRECE, composto por: 01 painel, 02 proteções (principal e alternada), 01 unidade de controle, cabos de controle e infraestrutura de comunicação associados.</t>
  </si>
  <si>
    <t>0005945/2024</t>
  </si>
  <si>
    <t>11357092</t>
  </si>
  <si>
    <t>COTEMINAS</t>
  </si>
  <si>
    <t>Substituição do Sistema de Registro de Perturbação associado ao vão de Entrada de Linha 04C3 (LT 230 kV C.GRANDE II /COTEMINAS C-1), na subestação COTEMINAS, composto por: 01 Oscilógrafo e infraestrutura de comunicação associada.</t>
  </si>
  <si>
    <t>0005946/2024</t>
  </si>
  <si>
    <t>12479835</t>
  </si>
  <si>
    <t>Substituição do SPCS associado ao vão da Entrada de Linha 03N1 (LT 138 kV IRECE /AGUAS BELAS), na subestação IRECE, composto por: 01 painel, 02 proteções (principal e alternada), 01 unidade de controle, cabos de controle e infraestrutura de comunicação associados.</t>
  </si>
  <si>
    <t>0005947/2024</t>
  </si>
  <si>
    <t>11360306</t>
  </si>
  <si>
    <t>Substituição do Sistema de Registro de Perturbação associado ao vão de Entrada de Linha  04V1 (LT 230 kV C.GRANDE II /PARAISO C-2 ), na subestação PARAISO, composto por: 01 Oscilógrafo e infraestrutura de comunicação associada.</t>
  </si>
  <si>
    <t>0005948/2024</t>
  </si>
  <si>
    <t>11446373</t>
  </si>
  <si>
    <t>Substituição do SPCS do Transformador 04T1, na subestação IRECE, composto por: 02 painéis, 02 proteções (principal e alternada), 02 unidades de controle, 02 falhas de disjuntor (principal e alternada), cabos de controle e infraestrutura de comunicação associados.</t>
  </si>
  <si>
    <t>0005949/2024</t>
  </si>
  <si>
    <t>11357791</t>
  </si>
  <si>
    <t>Substituição do Sistema de Registro de Perturbação associado ao vão de Entrada de Linha  04V3 (LT 230 kV C.GRANDE III /C.GRANDE II C-2), na subestação C.GRANDE III, composto por: 01 Oscilógrafo e infraestrutura de comunicação associada.</t>
  </si>
  <si>
    <t>0005950/2024</t>
  </si>
  <si>
    <t>12362653</t>
  </si>
  <si>
    <t>Substituição do SPCS do Transformador 04T3, na subestação IRECE, composto por: 02 painéis, 02 proteções (principal e alternada), 02 unidades de controle, 02 falhas de disjuntor (principal e alternada), cabos de controle e infraestrutura de comunicação associados.</t>
  </si>
  <si>
    <t>TR 230/69 kV IRECE TR3 BA</t>
  </si>
  <si>
    <t>0005951/2024</t>
  </si>
  <si>
    <t>11360665</t>
  </si>
  <si>
    <t>Substituição do Sistema de Registro de Perturbação associado ao vão de Entrada de Linha  04V4 (LT 230 kV C.GRANDE III /C.GRANDE II C-3), na subestação C.GRANDE III, composto por: 01 Oscilógrafo e infraestrutura de comunicação associada.</t>
  </si>
  <si>
    <t>0005952/2024</t>
  </si>
  <si>
    <t>11444115</t>
  </si>
  <si>
    <t>Substituição do SPCS do Disjuntor de Interligação de Barras 14D1, na subestação IRECE, composto por: 01 painel, 01 unidade de controle, 02 falhas de disjuntor (principal e alternada), cabos de controle e infraestrutura de comunicação associados.</t>
  </si>
  <si>
    <t>0005953/2024</t>
  </si>
  <si>
    <t>11348590</t>
  </si>
  <si>
    <t>Substituição do Sistema de Registro de Perturbação associado ao vão de Entrada de Linha 04M9 (LT 230 kV CAMACARI II /PITUACU C-1), na subestação CAMACARI II, composto por: 01 Oscilógrafo e infraestrutura de comunicação associada.</t>
  </si>
  <si>
    <t>0005954/2024</t>
  </si>
  <si>
    <t>11449343</t>
  </si>
  <si>
    <t>Substituição do SPCS do Reator de Barra 04E1, na subestação C.GRANDE II, composto por: 02 painéis, 02 proteções (principal e alternada), 01 unidade de controle, 02 falhas de disjuntor (principal e alternada), cabos de controle e infraestrutura de comunicação associados.</t>
  </si>
  <si>
    <t>0005955/2024</t>
  </si>
  <si>
    <t>11363010</t>
  </si>
  <si>
    <t>Substituição do Sistema de Registro de Perturbação associado ao vão de Entrada de Linha 05L4 (LT 500 kV OLINDINA /CAMACARI II C-1), na subestação OLINDINA, composto por: 01 Oscilógrafo e infraestrutura de comunicação associada.</t>
  </si>
  <si>
    <t>0005956/2024</t>
  </si>
  <si>
    <t>11446317</t>
  </si>
  <si>
    <t>Substituição do SPCS do Reator de Barra 04E2, na subestação C.GRANDE II, composto por: 02 painéis, 02 proteções (principal e alternada), 01 unidade de controle, 02 falhas de disjuntor (principal e alternada), cabos de controle e infraestrutura de comunicação associados.</t>
  </si>
  <si>
    <t>0005957/2024</t>
  </si>
  <si>
    <t>11359896</t>
  </si>
  <si>
    <t>Substituição do Sistema de Registro de Perturbação associado ao vão de Entrada de Linha 05L5 (LT 500 kV OLINDINA /CAMACARI II C-2), na subestação OLINDINA, composto por: 01 Oscilógrafo e infraestrutura de comunicação associada.</t>
  </si>
  <si>
    <t>0005958/2024</t>
  </si>
  <si>
    <t>11446319</t>
  </si>
  <si>
    <t>Substituição do SPCS do Banco de Capacitores 04H1, na subestação C.GRANDE II, composto por: 02 painéis, 02 proteções (principal e alternada), 01 unidade de controle, 02 falhas de disjuntor (principal e alternada), cabos de controle e infraestrutura de comunicação associados.</t>
  </si>
  <si>
    <t>BC 230 kV 50,5 MVAr C.GRANDE II BC1 PB</t>
  </si>
  <si>
    <t>0005959/2024</t>
  </si>
  <si>
    <t>11364320</t>
  </si>
  <si>
    <t>Substituição do Sistema de Registro de Perturbação associado ao vão de Entrada de Linha 05L6 (LT 500 kV CAMACARI VI /CAMACARI II C-1), na subestação CAMACARI IV, composto por: 01 Oscilógrafo e infraestrutura de comunicação associada.</t>
  </si>
  <si>
    <t>0005960/2024</t>
  </si>
  <si>
    <t>12658938</t>
  </si>
  <si>
    <t>Substituição do Sistema de Registro de Perturbação associado ao vão de Entrada de Linha 05L7 (LT 500 kV SUAPE II /RECIFE II C-1), na subestação SUAPE II, composto por: 01 Oscilógrafo e infraestrutura de comunicação associada.</t>
  </si>
  <si>
    <t>0005961/2024</t>
  </si>
  <si>
    <t>11446361</t>
  </si>
  <si>
    <t>Substituição do SPCS associado ao vão da Entrada de Linha 04L3 (LT 230 kV GOIANINHA /C.GRANDE II C-1), na subestação C.GRANDE II, composto por: 02 painéis, 02 proteções (principal e alternada), 01 unidade de controle, 02 falhas de disjuntor (principal e alternada), cabos de controle e infraestrutura de comunicação associados.</t>
  </si>
  <si>
    <t>0005962/2024</t>
  </si>
  <si>
    <t>11353350</t>
  </si>
  <si>
    <t>Substituição do Sistema de Registro de Perturbação associado ao vão de Entrada de Linha 05L8 (LT 500 kV PAU FERRO /RECIFE II C-1), na subestação PAU FERRO, composto por: 01 Oscilógrafo e infraestrutura de comunicação associada.</t>
  </si>
  <si>
    <t>0005963/2024</t>
  </si>
  <si>
    <t>12335630</t>
  </si>
  <si>
    <t>Substituição do SPCS associado ao vão da Entrada de Linha 04V2 (LT 230 kV C.GRANDE II /PARAISO C-1), na subestação C.GRANDE II, composto por: 02 painéis, 02 proteções (principal e alternada), 01 unidade de controle, 02 falhas de disjuntor (principal e alternada), cabos de controle e infraestrutura de comunicação associados.</t>
  </si>
  <si>
    <t>0005964/2024</t>
  </si>
  <si>
    <t>11362491</t>
  </si>
  <si>
    <t>Substituição do Sistema de Registro de Perturbação associado ao Transformador 04T2, na subestação MILAGRES, composto por: 01 Oscilógrafo e infraestrutura de comunicação associada.</t>
  </si>
  <si>
    <t>TR 230/69 kV MILAGRES TR9 CE</t>
  </si>
  <si>
    <t>0005965/2024</t>
  </si>
  <si>
    <t>11446393</t>
  </si>
  <si>
    <t>Substituição do SPCS associado ao vão da Entrada de Linha 04V2 (LT 230 kV C.GRANDE II /PARAISO C-1), na subestação PARAISO, composto por: 02 painéis, 02 proteções (principal e alternada), 01 unidade de controle, 02 falhas de disjuntor (principal e alternada), cabos de controle e infraestrutura de comunicação associados.</t>
  </si>
  <si>
    <t>0005966/2024</t>
  </si>
  <si>
    <t>11362493</t>
  </si>
  <si>
    <t>Substituição do SPCS do Transformador de Aterramento 02A1, na subestação CAMACARI II, composto por: 01 painel, 02 proteções (principal e alternada), 01 unidade de controle, cabos de controle e infraestrutura de comunicação associados.</t>
  </si>
  <si>
    <t>0005967/2024</t>
  </si>
  <si>
    <t>11357338</t>
  </si>
  <si>
    <t>Substituição do Sistema de Registro de Perturbação associado ao vão de Entrada de Linha 04M5 (LT 230 kV MILAGRES /COREMAS C-2), na subestação COREMAS, composto por: 01 Oscilógrafo e infraestrutura de comunicação associada.</t>
  </si>
  <si>
    <t>0005968/2024</t>
  </si>
  <si>
    <t>11449299</t>
  </si>
  <si>
    <t>Substituição do SPCS do Transformador de Aterramento 02A2, na subestação CAMACARI II, composto por: 01 painel, 02 proteções (principal e alternada), 01 unidade de controle, cabos de controle e infraestrutura de comunicação associados.</t>
  </si>
  <si>
    <t>0005969/2024</t>
  </si>
  <si>
    <t>11357341</t>
  </si>
  <si>
    <t>Substituição do Sistema de Registro de Perturbação associado ao vão de Entrada de Linha 05V3 (LT 500 kV MILAGRES /QUIXADA C-1), na subestação QUIXADA, composto por: 01 Oscilógrafo e infraestrutura de comunicação associada.</t>
  </si>
  <si>
    <t>0005970/2024</t>
  </si>
  <si>
    <t>11444185</t>
  </si>
  <si>
    <t>Substituição do SPCS associado ao vão da Entrada de Linha 02V2 (LT 69 kV JABOATAO /RECIFE II C-1), na subestação RECIFE II, composto por: 01 painel, 02 proteções (principal e alternada), 01 unidade de controle, cabos de controle e infraestrutura de comunicação associados.</t>
  </si>
  <si>
    <t>EL 69 kV RECIFE II LT 69 kV JABOATAO /RECIFE II C-1 RJ/PE (12V2)</t>
  </si>
  <si>
    <t>0005971/2024</t>
  </si>
  <si>
    <t>11360346</t>
  </si>
  <si>
    <t>Substituição do SPCS do Transformador 02T1, na subestação RECIFE II, composto por: 01 painel, 02 proteções (principal e alternada), 01 unidade de controle, cabos de controle e infraestrutura de comunicação associados.</t>
  </si>
  <si>
    <t>0005972/2024</t>
  </si>
  <si>
    <t>11360325</t>
  </si>
  <si>
    <t>Substituição do SPCS do Transformador 02T2, na subestação RECIFE II, composto por: 01 painel, 02 proteções (principal e alternada), 01 unidade de controle, cabos de controle e infraestrutura de comunicação associados.</t>
  </si>
  <si>
    <t>0005973/2024</t>
  </si>
  <si>
    <t>11360328</t>
  </si>
  <si>
    <t>Substituição do SPCS do Disjuntor de Interligação de Barras 14D1, na subestação RECIFE II, composto por: 01 painel, 01 unidade de controle, 02 falhas de disjuntor (principal e alternada), cabos de controle e infraestrutura de comunicação associados.</t>
  </si>
  <si>
    <t>0005974/2024</t>
  </si>
  <si>
    <t>11363041</t>
  </si>
  <si>
    <t>Substituição do SPCS do Disjuntor de Interligação de Barras 15D2, na subestação RECIFE II, composto por: 01 painel, 01 unidade de controle, 02 falhas de disjuntor (principal e alternada), cabos de controle e infraestrutura de comunicação associados.</t>
  </si>
  <si>
    <t>0005975/2024</t>
  </si>
  <si>
    <t>11363326</t>
  </si>
  <si>
    <t>Substituição do SPCS associado ao vão da Entrada de Linha 04C1 (LT 230 kV RECIFE II /PIRAPAMA II C-2), na subestação RECIFE II, composto por: 02 painéis, 02 proteções (principal e alternada), 01 unidade de controle, 02 falhas de disjuntor (principal e alternada), cabos de controle e infraestrutura de comunicação associados.</t>
  </si>
  <si>
    <t>0005976/2024</t>
  </si>
  <si>
    <t>11353296</t>
  </si>
  <si>
    <t>Substituição do SPCS do Disjuntor de Interligação de Barras 15D3, na subestação RECIFE II, composto por: 01 painel, 01 unidade de controle, 02 falhas de disjuntor (principal e alternada), cabos de controle e infraestrutura de comunicação associados.</t>
  </si>
  <si>
    <t>0005977/2024</t>
  </si>
  <si>
    <t>11356317</t>
  </si>
  <si>
    <t>Substituição do SPCS do Disjuntor de Interligação de Barras 15D4, na subestação RECIFE II, composto por: 01 painel, 01 unidade de controle, 02 falhas de disjuntor (principal e alternada), cabos de controle e infraestrutura de comunicação associados.</t>
  </si>
  <si>
    <t>0005978/2024</t>
  </si>
  <si>
    <t>11349897</t>
  </si>
  <si>
    <t>Substituição do SPCS associado ao vão da Entrada de Linha 04C1 (LT 230 kV RECIFE II /PIRAPAMA II C-2), na subestação PIRAPAMA II, composto por: 02 painéis, 02 proteções (principal e alternada), 01 unidade de controle, 02 falhas de disjuntor (principal e alternada), cabos de controle e infraestrutura de comunicação associados.</t>
  </si>
  <si>
    <t>0005979/2024</t>
  </si>
  <si>
    <t>11353320</t>
  </si>
  <si>
    <t>Substituição do SPCS associado ao vão da Entrada de Linha 04C6 (LT 230 kV RECIFE II /MIRUEIRA C-3), na subestação RECIFE II, composto por: 02 painéis, 02 proteções (principal e alternada), 01 unidade de controle, 02 falhas de disjuntor (principal e alternada), cabos de controle e infraestrutura de comunicação associados.</t>
  </si>
  <si>
    <t>0005980/2024</t>
  </si>
  <si>
    <t>11365442</t>
  </si>
  <si>
    <t>Substituição do SPCS associado ao vão da Entrada de Linha 04V1 (LT 230 kV RECIFE II /JOAIRAM C-1), na subestação JOAIRAM, composto por: 02 painéis, 02 proteções (principal e alternada), 01 unidade de controle, 02 falhas de disjuntor (principal e alternada), cabos de controle e infraestrutura de comunicação associados.</t>
  </si>
  <si>
    <t>0005981/2024</t>
  </si>
  <si>
    <t>11364936</t>
  </si>
  <si>
    <t>Substituição do SPCS associado ao vão da Entrada de Linha 01Y2 (LD 13,8 kV MILAGRES /MAURITY), na subestação MILAGRES, composto por: 01 painel, 01 unidade de proteção e controle, cabos de controle e infraestrutura de comunicação associados.</t>
  </si>
  <si>
    <t>EL 13,8 kV MILAGRES DIST2 (21Y2)</t>
  </si>
  <si>
    <t>0005982/2024</t>
  </si>
  <si>
    <t>11366345</t>
  </si>
  <si>
    <t>Substituição do SPCS associado ao vão da Entrada de Linha 02C2 (LT 69 kV MILAGRES /J. DO NORTE II), na subestação MILAGRES, composto por: 01 painel, 02 proteções (principal e alternada), 01 unidade de controle, cabos de controle e infraestrutura de comunicação associados.</t>
  </si>
  <si>
    <t>EL 69 kV MILAGRES DIST2 (12C2)</t>
  </si>
  <si>
    <t>0005983/2024</t>
  </si>
  <si>
    <t>11358147</t>
  </si>
  <si>
    <t>Substituição do SPCS associado ao vão da Entrada de Linha 02C3 (LT 69 kV MILAGRES /J. DO NORTE), na subestação MILAGRES, composto por: 01 painel, 02 proteções (principal e alternada), 01 unidade de controle, cabos de controle e infraestrutura de comunicação associados.</t>
  </si>
  <si>
    <t>EL 69 kV MILAGRES DIST3 (12C3)</t>
  </si>
  <si>
    <t>0005984/2024</t>
  </si>
  <si>
    <t>11358156</t>
  </si>
  <si>
    <t>Substituição do SPCS associado ao vão da Entrada de Linha 02C4 (LT 69 kV MILAGRES /J. DO NORTE), na subestação MILAGRES, composto por: 01 painel, 02 proteções (principal e alternada), 01 unidade de controle, cabos de controle e infraestrutura de comunicação associados.</t>
  </si>
  <si>
    <t>EL 69 kV MILAGRES DIST4 (12C4)</t>
  </si>
  <si>
    <t>0005985/2024</t>
  </si>
  <si>
    <t>11358159</t>
  </si>
  <si>
    <t>Substituição do SPCS associado ao vão da Entrada de Linha 02C8 (LT 69 kV MILAGRES /MAURITY), na subestação MILAGRES, composto por: 01 painel, 02 proteções (principal e alternada), 01 unidade de controle, cabos de controle e infraestrutura de comunicação associados.</t>
  </si>
  <si>
    <t>EL 69 kV MILAGRES DIST8 (12C8)</t>
  </si>
  <si>
    <t>0005986/2024</t>
  </si>
  <si>
    <t>12360684</t>
  </si>
  <si>
    <t>Substituição do SPCS do Banco de Capacitores 04H1, na subestação MILAGRES, composto por: 02 painéis, 02 proteções (principal e alternada), 01 unidade de controle, 02 falhas de disjuntor (principal e alternada), cabos de controle e infraestrutura de comunicação associados.</t>
  </si>
  <si>
    <t>0005987/2024</t>
  </si>
  <si>
    <t>11366397</t>
  </si>
  <si>
    <t>Substituição do SPCS associado ao vão da Entrada de Linha 04M5 (LT 230 kV MILAGRES /COREMAS C-2), na subestação MILAGRES, composto por: 02 painéis, 02 proteções (principal e alternada), 01 unidade de controle, 02 falhas de disjuntor (principal e alternada), cabos de controle e infraestrutura de comunicação associados.</t>
  </si>
  <si>
    <t>0005988/2024</t>
  </si>
  <si>
    <t>11366833</t>
  </si>
  <si>
    <t>Substituição do SPCS do Transformador 05T1, na subestação RECIFE II, composto por: 02 painéis, 02 proteções (principal e alternada), 02 unidades de controle, 02 falhas de disjuntor (principal e alternada), cabos de controle e infraestrutura de comunicação associados.</t>
  </si>
  <si>
    <t>0005989/2024</t>
  </si>
  <si>
    <t>11359995</t>
  </si>
  <si>
    <t>Substituição do SPCS do Reator de Barra 05E2, na subestação MILAGRES, composto por: 02 painéis, 02 proteções (principal e alternada), 01 unidade de controle, 02 falhas de disjuntor (principal e alternada), cabos de controle e infraestrutura de comunicação associados.</t>
  </si>
  <si>
    <t>RTB 500 kV 99,1 MVAr MILAGRES RT2 CE</t>
  </si>
  <si>
    <t>0005990/2024</t>
  </si>
  <si>
    <t>11364776</t>
  </si>
  <si>
    <t>Substituição do SPCS do Transformador 05T2, na subestação RECIFE II, composto por: 02 painéis, 02 proteções (principal e alternada), 02 unidades de controle, 02 falhas de disjuntor (principal e alternada), cabos de controle e infraestrutura de comunicação associados.</t>
  </si>
  <si>
    <t>0005991/2024</t>
  </si>
  <si>
    <t>11359998</t>
  </si>
  <si>
    <t>Substituição do SPCS associado ao vão da Entrada de Linha 05V3 (LT 500 kV MILAGRES /QUIXADA C-1), na subestação MILAGRES, composto por: 02 painéis, 02 proteções (principal e alternada), 01 unidade de controle, 02 falhas de disjuntor (principal e alternada), cabos de controle e infraestrutura de comunicação associados.</t>
  </si>
  <si>
    <t>0005992/2024</t>
  </si>
  <si>
    <t>11364307</t>
  </si>
  <si>
    <t>Substituição do SPCS do Transformador 05T3, na subestação RECIFE II, composto por: 02 painéis, 02 proteções (principal e alternada), 02 unidades de controle, 02 falhas de disjuntor (principal e alternada), cabos de controle e infraestrutura de comunicação associados.</t>
  </si>
  <si>
    <t>0005993/2024</t>
  </si>
  <si>
    <t>11357800</t>
  </si>
  <si>
    <t>Substituição do SPCS do Disjuntor de Interligação de Barras 15D2, na subestação MILAGRES, composto por: 01 painel, 01 unidade de controle, 02 falhas de disjuntor (principal e alternada), cabos de controle e infraestrutura de comunicação associados.</t>
  </si>
  <si>
    <t>0005994/2024</t>
  </si>
  <si>
    <t>11364697</t>
  </si>
  <si>
    <t>Substituição do SPCS do Transformador 05T4, na subestação RECIFE II, composto por: 02 painéis, 02 proteções (principal e alternada), 02 unidades de controle, 02 falhas de disjuntor (principal e alternada), cabos de controle e infraestrutura de comunicação associados.</t>
  </si>
  <si>
    <t>0005995/2024</t>
  </si>
  <si>
    <t>11358828</t>
  </si>
  <si>
    <t>Substituição do Sistema de Proteção do Transformador 230 kV, posição operacional 04T7, na subestação IRECE, composto por: 01 painel exclusivo, 01 relé digital PP, 01 relé digital PA, 01 UC.</t>
  </si>
  <si>
    <t>0005996/2024</t>
  </si>
  <si>
    <t>11461962</t>
  </si>
  <si>
    <t>Substituição do SPCS do Disjuntor de Interligação de Barras 15D1, na subestação RECIFE II, composto por: 01 painel, 01 unidade de controle, 02 falhas de disjuntor (principal e alternada), cabos de controle e infraestrutura de comunicação associados.</t>
  </si>
  <si>
    <t>0005997/2024</t>
  </si>
  <si>
    <t>11363325</t>
  </si>
  <si>
    <t>Substituição do SPCS associado ao vão da Entrada de Linha  01Y3 (LT 13,8 kV ANGELIM/ PALMEIRINHA), na subestação ANGELIM, composto por: 01 painel, 01 unidade de proteção e controle, cabos de controle e infraestrutura de comunicação associados.</t>
  </si>
  <si>
    <t>EL 13,8 kV ANGELIM PALMERINA (01Y3)</t>
  </si>
  <si>
    <t>0005998/2024</t>
  </si>
  <si>
    <t>11365390</t>
  </si>
  <si>
    <t>Substituição do SPCS associado ao vão da Entrada de Linha 04M1 (LT 230 kV RIBEIRAO /RECIFE II C-1), na subestação RIBEIRAO, composto por: 02 painéis, 02 proteções (principal e alternada), 01 unidade de controle, 02 falhas de disjuntor (principal e alternada), cabos de controle e infraestrutura de comunicação associados.</t>
  </si>
  <si>
    <t>0005999/2024</t>
  </si>
  <si>
    <t>11365444</t>
  </si>
  <si>
    <t>Substituição do Sistema de Controle associado ao vão da Entrada de Linha 04N2 (LT 230 kV GARANHUNS II /ANGELIM C-1), na subestação ANGELIM, composto por: 02 painéis,  01 unidade de controle, cabos e infraestrutura de comunicação associados.</t>
  </si>
  <si>
    <t>0006000/2024</t>
  </si>
  <si>
    <t>11361517</t>
  </si>
  <si>
    <t>Substituição do SPCS associado ao vão da Entrada de Linha 04C4 (LT 230 kV RECIFE II /MIRUEIRA C-1), na subestação MIRUEIRA, composto por: 02 painéis, 02 proteções (principal e alternada), 01 unidade de controle, 02 falhas de disjuntor (principal e alternada), cabos de controle e infraestrutura de comunicação associados.</t>
  </si>
  <si>
    <t>0006001/2024</t>
  </si>
  <si>
    <t>11365435</t>
  </si>
  <si>
    <t>Substituição do Sistema de Controle associado ao vão da Entrada de Linha 04N4 (LT 230 kV GARANHUNS II /ANGELIM C-2), na subestação ANGELIM, composto por: 02 painéis,  01 unidade de controle, cabos e infraestrutura de comunicação associados.</t>
  </si>
  <si>
    <t>0006002/2024</t>
  </si>
  <si>
    <t>11361518</t>
  </si>
  <si>
    <t>Substituição do SPCS associado ao vão da Entrada de Linha 04C5 (LT 230 kV RECIFE II /MIRUEIRA C-2), na subestação MIRUEIRA, composto por: 02 painéis, 02 proteções (principal e alternada), 01 unidade de controle, 02 falhas de disjuntor (principal e alternada), cabos de controle e infraestrutura de comunicação associados.</t>
  </si>
  <si>
    <t>0006003/2024</t>
  </si>
  <si>
    <t>11365436</t>
  </si>
  <si>
    <t>Substituição do SPCS associado ao vão da Entrada de Linha  01Y1 (LT 13,8 kV CATU/COELBA - CATU), na subestação CATU, composto por: 01 painel, 01 unidade de proteção e controle, cabos de controle e infraestrutura de comunicação associados.</t>
  </si>
  <si>
    <t>EL 13,8 kV CATU CATU 01Y1 (11Y1)</t>
  </si>
  <si>
    <t>0006004/2024</t>
  </si>
  <si>
    <t>11365400</t>
  </si>
  <si>
    <t>Substituição do SPCS associado ao vão da Entrada de Linha 04C6 (LT 230 kV RECIFE II /MIRUEIRA C-3), na subestação MIRUEIRA, composto por: 02 painéis, 02 proteções (principal e alternada), 01 unidade de controle, 02 falhas de disjuntor (principal e alternada), cabos de controle e infraestrutura de comunicação associados.</t>
  </si>
  <si>
    <t>0006005/2024</t>
  </si>
  <si>
    <t>11365438</t>
  </si>
  <si>
    <t>Substituição do SPCS associado ao vão da Entrada de Linha  01Y2 (LT 13,8 kV CATU/COELBA - CIDADE CATU), na subestação CATU, composto por: 01 painel, 01 unidade de proteção e controle, cabos de controle e infraestrutura de comunicação associados.</t>
  </si>
  <si>
    <t>EL 13,8 kV CATU CID. CATU (11Y2)</t>
  </si>
  <si>
    <t>0006006/2024</t>
  </si>
  <si>
    <t>11366874</t>
  </si>
  <si>
    <t>Substituição do SPCS associado ao vão da Entrada de Linha 04V2 (LT 230 kV RECIFE II /JOAIRAM C-2), na subestação JOAIRAM, composto por: 02 painéis, 02 proteções (principal e alternada), 01 unidade de controle, 02 falhas de disjuntor (principal e alternada), cabos de controle e infraestrutura de comunicação associados.</t>
  </si>
  <si>
    <t>0006007/2024</t>
  </si>
  <si>
    <t>11364937</t>
  </si>
  <si>
    <t>Substituição do SPCS associado ao vão da Entrada de Linha 04M1 (LT 230 kV CATU /CAMACARI IV C-1), na subestação CATU, composto por: 02 painéis, 02 proteções (principal e alternada), 01 unidade de controle, 02 falhas de disjuntor (principal e alternada), cabos de controle e infraestrutura de comunicação associados.</t>
  </si>
  <si>
    <t>0006008/2024</t>
  </si>
  <si>
    <t>11367757</t>
  </si>
  <si>
    <t>Substituição do SPCS associado ao vão da Entrada de Linha 04V3 (LT 230 kV RECIFE II /JOAIRAM C-3), na subestação JOAIRAM, composto por: 02 painéis, 02 proteções (principal e alternada), 01 unidade de controle, 02 falhas de disjuntor (principal e alternada), cabos de controle e infraestrutura de comunicação associados.</t>
  </si>
  <si>
    <t>0006009/2024</t>
  </si>
  <si>
    <t>11364940</t>
  </si>
  <si>
    <t>Substituição do SPCS associado ao vão da Entrada de Linha 04M2 (LT 230 kV CATU /CAMACARI IV C-2), na subestação CATU, composto por: 02 painéis, 02 proteções (principal e alternada), 01 unidade de controle, 02 falhas de disjuntor (principal e alternada), cabos de controle e infraestrutura de comunicação associados.</t>
  </si>
  <si>
    <t>0006010/2024</t>
  </si>
  <si>
    <t>11367759</t>
  </si>
  <si>
    <t>Substituição do SPCS associado ao vão da Entrada de Linha 05L7 (LT 500 kV SUAPE II /RECIFE II C-1), na subestação SUAPE II, composto por: 02 painéis, 02 proteções (principal e alternada), 01 unidade de controle, 02 falhas de disjuntor (principal e alternada), cabos de controle e infraestrutura de comunicação associados.</t>
  </si>
  <si>
    <t>0006011/2024</t>
  </si>
  <si>
    <t>11365352</t>
  </si>
  <si>
    <t>Substituição do SPCS do Disjuntor de Interligação de Barras 15D2, na subestação CAMACARI IV, composto por: 01 painel, 01 unidade de controle, 02 falhas de disjuntor (principal e alternada), cabos de controle e infraestrutura de comunicação associados.</t>
  </si>
  <si>
    <t>0006012/2024</t>
  </si>
  <si>
    <t>11366793</t>
  </si>
  <si>
    <t>Substituição do SPCS associado ao vão da Entrada de Linha 05L8 (LT 500 kV PAU FERRO /RECIFE II C-1), na subestação PAU FERRO, composto por: 02 painéis, 02 proteções (principal e alternada), 01 unidade de controle, 02 falhas de disjuntor (principal e alternada), cabos de controle e infraestrutura de comunicação associados.</t>
  </si>
  <si>
    <t>0006013/2024</t>
  </si>
  <si>
    <t>12335628</t>
  </si>
  <si>
    <t>Substituição do SPCS associado ao disjuntor 11W1 (Serv. Auxiliares 13,8 kV), na subestação MILAGRES, composto por: 01 painel, 01 unidade de proteção e controle, cabos de controle e infraestrutura de comunicação associados.</t>
  </si>
  <si>
    <t>0006014/2024</t>
  </si>
  <si>
    <t>11363630</t>
  </si>
  <si>
    <t>Substituição do SPCS do Reator de Linha não-manobrável 04E1, na subestação BANABUIU, composto por: 02 painéis, 02 proteções (principal e alternada), 01 unidade de controle, cabos de controle e infraestrutura de comunicação associados.</t>
  </si>
  <si>
    <t>0006015/2024</t>
  </si>
  <si>
    <t>11359937</t>
  </si>
  <si>
    <t>Substituição do SPCS associado ao disjuntor 11W2 (Serv. Auxiliares 13,8 kV), na subestação MILAGRES, composto por: 01 painel, 01 unidade de proteção e controle, cabos de controle e infraestrutura de comunicação associados.</t>
  </si>
  <si>
    <t>0006016/2024</t>
  </si>
  <si>
    <t>11360358</t>
  </si>
  <si>
    <t>Substituição do SPCS associado ao vão da Entrada de Linha 04C4 (LT 230 kV BANABUIU /MOSSORO II C-2), na subestação BANABUIU, composto por: 02 painéis, 02 proteções (principal e alternada), 01 unidade de controle, 02 falhas de disjuntor (principal e alternada), cabos de controle e infraestrutura de comunicação associados.</t>
  </si>
  <si>
    <t>0006017/2024</t>
  </si>
  <si>
    <t>11365506</t>
  </si>
  <si>
    <t>Substituição do SPCS associado ao disjuntor 11W3 (Serv. Auxiliares 13,8 kV), na subestação MILAGRES, composto por: 01 painel, 01 unidade de proteção e controle, cabos de controle e infraestrutura de comunicação associados.</t>
  </si>
  <si>
    <t>0006018/2024</t>
  </si>
  <si>
    <t>11360364</t>
  </si>
  <si>
    <t>Substituição do SPCS associado ao vão da Entrada de Linha 04C5 (LT 230 kV BANABUIU /ALEX C-1), na subestação BANABUIU, composto por: 02 painéis, 02 proteções (principal e alternada), 01 unidade de controle, 02 falhas de disjuntor (principal e alternada), cabos de controle e infraestrutura de comunicação associados.</t>
  </si>
  <si>
    <t>0006019/2024</t>
  </si>
  <si>
    <t>11360694</t>
  </si>
  <si>
    <t>Substituição do SPCS associado ao vão da Entrada de Linha 01Y1 (LD 13,8 kV MILAGRES /MAURITY), na subestação MILAGRES, composto por: 01 painel, 01 unidade de proteção e controle, cabos de controle e infraestrutura de comunicação associados.</t>
  </si>
  <si>
    <t>EL 13,8 kV MILAGRES DIST1 (21Y1)</t>
  </si>
  <si>
    <t>0006020/2024</t>
  </si>
  <si>
    <t>12360694</t>
  </si>
  <si>
    <t>Substituição do SPCS associado ao vão da Entrada de Linha 04C8 (LT 230 kV BANABUIU /AQUIRAZ II C-1), na subestação BANABUIU, composto por: 02 painéis, 02 proteções (principal e alternada), 01 unidade de controle, 02 falhas de disjuntor (principal e alternada), cabos de controle e infraestrutura de comunicação associados.</t>
  </si>
  <si>
    <t>0006021/2024</t>
  </si>
  <si>
    <t>11361994</t>
  </si>
  <si>
    <t>Substituição do SPCS associado ao vão da Entrada de Linha 01Y3 (LD 13,8 kV MILAGRES /BREJO SANTO), na subestação MILAGRES, composto por: 01 painel, 01 unidade de proteção e controle, cabos de controle e infraestrutura de comunicação associados.</t>
  </si>
  <si>
    <t>EL 13,8 kV MILAGRES DIST3 (21Y3)</t>
  </si>
  <si>
    <t>0006022/2024</t>
  </si>
  <si>
    <t>11364353</t>
  </si>
  <si>
    <t>Substituição do SPCS do Disjuntor de Interligação de Barras 14D1, na subestação BANABUIU, composto por: 01 painel, 01 unidade de controle, 02 falhas de disjuntor (principal e alternada), cabos de controle e infraestrutura de comunicação associados.</t>
  </si>
  <si>
    <t>0006023/2024</t>
  </si>
  <si>
    <t>11351197</t>
  </si>
  <si>
    <t>Substituição do SPCS associado ao vão da Entrada de Linha 01Y4 (LD 13,8 kV MILAGRES /MILAGRES-ENEL), na subestação MILAGRES, composto por: 01 painel, 01 unidade de proteção e controle, cabos de controle e infraestrutura de comunicação associados.</t>
  </si>
  <si>
    <t>EL 13,8 kV MILAGRES DIST4 (21Y4)</t>
  </si>
  <si>
    <t>0006024/2024</t>
  </si>
  <si>
    <t>11363304</t>
  </si>
  <si>
    <t>Substituição do SPCS associado ao vão da Entrada de Linha 04C2 (LT 230 kV BANABUIU /ICO C-1), na subestação ICO, composto por: 02 painéis, 02 proteções (principal e alternada), 01 unidade de controle, 02 falhas de disjuntor (principal e alternada), cabos de controle e infraestrutura de comunicação associados.</t>
  </si>
  <si>
    <t>0006025/2024</t>
  </si>
  <si>
    <t>11361335</t>
  </si>
  <si>
    <t>Substituição do SPCS do Transformador de Aterramento 02A2, na subestação MILAGRES, composto por: 01 painel, 02 proteções (principal e alternada), 01 unidade de controle, cabos de controle e infraestrutura de comunicação associados.</t>
  </si>
  <si>
    <t>MC 69 kV TT 69/13,8 kV MILAGRES TA2 CE (32A2)</t>
  </si>
  <si>
    <t>0006026/2024</t>
  </si>
  <si>
    <t>11366780</t>
  </si>
  <si>
    <t>Substituição do SPCS associado ao vão da Entrada de Linha 04C4 (LT 230 kV BANABUIU /MOSSORO II C-2), na subestação MOSSORO II, composto por: 02 painéis, 02 proteções (principal e alternada), 01 unidade de controle, 02 falhas de disjuntor (principal e alternada), cabos de controle e infraestrutura de comunicação associados.</t>
  </si>
  <si>
    <t>0006027/2024</t>
  </si>
  <si>
    <t>11365543</t>
  </si>
  <si>
    <t>Substituição do SPCS associado ao vão da Entrada de Linha 02C1 (LT 69 kV MILAGRES /BREJO SANTO), na subestação MILAGRES, composto por: 01 painel, 02 proteções (principal e alternada), 01 unidade de controle, cabos de controle e infraestrutura de comunicação associados.</t>
  </si>
  <si>
    <t>EL 69 kV MILAGRES DIST1 (12C1)</t>
  </si>
  <si>
    <t>0006028/2024</t>
  </si>
  <si>
    <t>11357743</t>
  </si>
  <si>
    <t>Substituição do SPCS associado ao vão da Entrada de Linha 02C5 (LT 69 kV MILAGRES /BARBALHA), na subestação MILAGRES, composto por: 01 painel, 02 proteções (principal e alternada), 01 unidade de controle, cabos de controle e infraestrutura de comunicação associados.</t>
  </si>
  <si>
    <t>EL 69 kV MILAGRES DIST5 (12C5)</t>
  </si>
  <si>
    <t>0006029/2024</t>
  </si>
  <si>
    <t>11365234</t>
  </si>
  <si>
    <t>Substituição do SPCS associado ao vão da Entrada de Linha 04C8 (LT 230 kV BANABUIU /AQUIRAZ II C-1), na subestação AQUIRAZ II, composto por: 02 painéis, 02 proteções (principal e alternada), 01 unidade de controle, 02 falhas de disjuntor (principal e alternada), cabos de controle e infraestrutura de comunicação associados.</t>
  </si>
  <si>
    <t>0006030/2024</t>
  </si>
  <si>
    <t>11361996</t>
  </si>
  <si>
    <t>Substituição do SPCS associado ao vão da Entrada de Linha 02C6 (LT 69 kV MILAGRES /BALANÇOS), na subestação MILAGRES, composto por: 01 painel, 02 proteções (principal e alternada), 01 unidade de controle, cabos de controle e infraestrutura de comunicação associados.</t>
  </si>
  <si>
    <t>EL 69 kV MILAGRES DIST6 (12C6)</t>
  </si>
  <si>
    <t>0006031/2024</t>
  </si>
  <si>
    <t>11357744</t>
  </si>
  <si>
    <t>Substituição do SPCS associado ao vão da Entrada de Linha 02C7 (LT 69 kV MILAGRES /BALANÇOS), na subestação MILAGRES, composto por: 01 painel, 02 proteções (principal e alternada), 01 unidade de controle, cabos de controle e infraestrutura de comunicação associados.</t>
  </si>
  <si>
    <t>EL 69 kV MILAGRES DIST7 (12C7)</t>
  </si>
  <si>
    <t>0006032/2024</t>
  </si>
  <si>
    <t>11360927</t>
  </si>
  <si>
    <t>Substituição do SPCS do Transform2dor de Aterramento 02A2, na subestação COTEGIPE, composto por: 01 painel, 02 proteções (principal e alternada), 01 unidade de controle, cabos de controle e infraestrutura de comunicação associados.</t>
  </si>
  <si>
    <t>MC 69 kV TT 69/69 kV COTEGIPE TA2 BA (32A2)</t>
  </si>
  <si>
    <t>0006033/2024</t>
  </si>
  <si>
    <t>11361228</t>
  </si>
  <si>
    <t>Substituição do SPCS do Banco de Capacitores 02H1, na subestação MILAGRES, composto por: 01 painel, 02 proteções (principal e alternada), 01 unidade de controle, cabos de controle e infraestrutura de comunicação associados.</t>
  </si>
  <si>
    <t>MC 69 kV BC 69 kV 20,3 Mvar MILAGRES BC1 CE (12H1)</t>
  </si>
  <si>
    <t>0006034/2024</t>
  </si>
  <si>
    <t>11358720</t>
  </si>
  <si>
    <t>Substituição do SPCS associado ao vão da Entrada de Linha 02C1 (LT 69 kV COTEGIPE /MILLENIUM), na subestação COTEGIPE, composto por: 01 painel, 02 proteções (principal e alternada), 01 unidade de controle, cabos de controle e infraestrutura de comunicação associados.</t>
  </si>
  <si>
    <t>0006035/2024</t>
  </si>
  <si>
    <t>11357754</t>
  </si>
  <si>
    <t>Substituição do SPCS associado ao disjuntor 12W1 (02T6, 02T7 e 02T8), na subestação MILAGRES, composto por: 01 painel, 02 proteções (principal e alternada), 01 unidade de controle, cabos de controle e infraestrutura de comunicação associados.</t>
  </si>
  <si>
    <t>MC 69 kV TR 69/13,8 kV MILAGRES TR6 CE TR7 e TR8 (12W1)</t>
  </si>
  <si>
    <t>0006036/2024</t>
  </si>
  <si>
    <t>11358777</t>
  </si>
  <si>
    <t>Substituição do SPCS associado ao vão da Entrada de Linha 02C2 (LT 69 kV COTEGIPE /MILLENIUM), na subestação COTEGIPE, composto por: 01 painel, 02 proteções (principal e alternada), 01 unidade de controle, cabos de controle e infraestrutura de comunicação associados.</t>
  </si>
  <si>
    <t>0006037/2024</t>
  </si>
  <si>
    <t>11357756</t>
  </si>
  <si>
    <t>Substituição do SPCS do Disjuntor de Interligação de Barras 12D1, na subestação MILAGRES, composto por: 01 painel, 02 proteções (principal e alternada), 01 unidade de controle, cabos de controle e infraestrutura de comunicação associados.</t>
  </si>
  <si>
    <t>IB 69 kV MG 230 kV MILAGRES MG1 CE IB1 (12D1)</t>
  </si>
  <si>
    <t>0006038/2024</t>
  </si>
  <si>
    <t>11357947</t>
  </si>
  <si>
    <t>Substituição do SPCS do Banco de Capacitores 04H2, na subestação MILAGRES, composto por: 02 painéis, 02 proteções (principal e alternada), 01 unidade de controle, 02 falhas de disjuntor (principal e alternada), cabos de controle e infraestrutura de comunicação associados.</t>
  </si>
  <si>
    <t>0006039/2024</t>
  </si>
  <si>
    <t>11366403</t>
  </si>
  <si>
    <t>Substituição do SPCS associado ao vão da Entrada de Linha 02C6 (LT 69 kV COTEGIPE /CIA I), na subestação COTEGIPE, composto por: 01 painel, 02 proteções (principal e alternada), 01 unidade de controle, cabos de controle e infraestrutura de comunicação associados.</t>
  </si>
  <si>
    <t>EL 69 kV COTEGIPE CIA I 02C6 (12C6)</t>
  </si>
  <si>
    <t>0006040/2024</t>
  </si>
  <si>
    <t>11365522</t>
  </si>
  <si>
    <t>Substituição do SPCS associado ao vão da Entrada de Linha 04M1 (LT 230 kV MILAGRES /BANABUIU C-1), na subestação MILAGRES, composto por: 02 painéis, 02 proteções (principal e alternada), 01 unidade de controle, 02 falhas de disjuntor (principal e alternada), cabos de controle e infraestrutura de comunicação associados.</t>
  </si>
  <si>
    <t>0006041/2024</t>
  </si>
  <si>
    <t>11365547</t>
  </si>
  <si>
    <t>Substituição do SPCS associado ao vão da Entrada de Linha 02C9 (LT 69 kV COTEGIPE /CIA I), na subestação COTEGIPE, composto por: 01 painel, 02 proteções (principal e alternada), 01 unidade de controle, cabos de controle e infraestrutura de comunicação associados.</t>
  </si>
  <si>
    <t>EL 69 kV COTEGIPE CIA I 02C9 (12C9)</t>
  </si>
  <si>
    <t>0006042/2024</t>
  </si>
  <si>
    <t>11365524</t>
  </si>
  <si>
    <t>Substituição do SPCS associado ao vão da Entrada de Linha 04M2 (LT 230 kV ICO /MILAGRES C-1), na subestação MILAGRES, composto por: 02 painéis, 02 proteções (principal e alternada), 01 unidade de controle, 02 falhas de disjuntor (principal e alternada), cabos de controle e infraestrutura de comunicação associados.</t>
  </si>
  <si>
    <t>0006043/2024</t>
  </si>
  <si>
    <t>11365236</t>
  </si>
  <si>
    <t>Substituição do SPCS associado ao vão da Entrada de Linha 02J2 (LT 69 kV PITUACU /COTEGIPE C-1), na subestação COTEGIPE, composto por: 01 painel, 02 proteções (principal e alternada), 01 unidade de controle, cabos de controle e infraestrutura de comunicação associados.</t>
  </si>
  <si>
    <t>EL 69 kV COTEGIPE LT 69 kV PITUACU /COTEGIPE C-1 BA (12J2)</t>
  </si>
  <si>
    <t>0006044/2024</t>
  </si>
  <si>
    <t>11365519</t>
  </si>
  <si>
    <t>Substituição do SPCS associado ao vão da Entrada de Linha 04M6 (LT 230 kV MILAGRES /COREMAS C-1), na subestação MILAGRES, composto por: 02 painéis, 02 proteções (principal e alternada), 01 unidade de controle, 02 falhas de disjuntor (principal e alternada), cabos de controle e infraestrutura de comunicação associados.</t>
  </si>
  <si>
    <t>0006045/2024</t>
  </si>
  <si>
    <t>11365551</t>
  </si>
  <si>
    <t>Substituição do SPCS associado ao vão da Entrada de Linha 02J3 (LT 69 kV COTEGIPE /CAMACARI I), na subestação COTEGIPE, composto por: 01 painel, 02 proteções (principal e alternada), 01 unidade de controle, cabos de controle e infraestrutura de comunicação associados.</t>
  </si>
  <si>
    <t>0006046/2024</t>
  </si>
  <si>
    <t>11357770</t>
  </si>
  <si>
    <t>Substituição do SPCS do Transformador 04T2, na subestação MILAGRES, composto por: 02 painéis, 02 proteções (principal e alternada), 02 unidades de controle, 02 falhas de disjuntor (principal e alternada), cabos de controle e infraestrutura de comunicação associados.</t>
  </si>
  <si>
    <t>0006047/2024</t>
  </si>
  <si>
    <t>11366808</t>
  </si>
  <si>
    <t>Substituição do SPCS associado ao vão da Entrada de Linha 02J5 (LT 69 kV CATU /COTEGIPE C-1), na subestação COTEGIPE, composto por: 01 painel, 02 proteções (principal e alternada), 01 unidade de controle, cabos de controle e infraestrutura de comunicação associados.</t>
  </si>
  <si>
    <t>0006048/2024</t>
  </si>
  <si>
    <t>11357774</t>
  </si>
  <si>
    <t>Substituição do SPCS do Transformador 04T3, na subestação MILAGRES, composto por: 02 painéis, 02 proteções (principal e alternada), 02 unidades de controle, 02 falhas de disjuntor (principal e alternada), cabos de controle e infraestrutura de comunicação associados.</t>
  </si>
  <si>
    <t>TR 230/69 kV MILAGRES TR3 CE</t>
  </si>
  <si>
    <t>0006049/2024</t>
  </si>
  <si>
    <t>11358840</t>
  </si>
  <si>
    <t>Substituição do SPCS associado ao vão da Entrada de Linha 02L1 (LT 69 kV COTEGIPE /CIM-ARATU), na subestação COTEGIPE, composto por: 01 painel, 02 proteções (principal e alternada), 01 unidade de controle, cabos de controle e infraestrutura de comunicação associados.</t>
  </si>
  <si>
    <t>0006050/2024</t>
  </si>
  <si>
    <t>11365517</t>
  </si>
  <si>
    <t>Substituição do SPCS do Transformador 04T4, na subestação MILAGRES, composto por: 02 painéis, 02 proteções (principal e alternada), 02 unidades de controle, 02 falhas de disjuntor (principal e alternada), cabos de controle e infraestrutura de comunicação associados.</t>
  </si>
  <si>
    <t>0006051/2024</t>
  </si>
  <si>
    <t>11358842</t>
  </si>
  <si>
    <t>Substituição do SPCS associado ao vão da Entrada de Linha 02L2 (LT 69 kV COTEGIPE /PARIPE), na subestação COTEGIPE, composto por: 01 painel, 02 proteções (principal e alternada), 01 unidade de controle, cabos de controle e infraestrutura de comunicação associados.</t>
  </si>
  <si>
    <t>0006052/2024</t>
  </si>
  <si>
    <t>11365518</t>
  </si>
  <si>
    <t>Substituição do SPCS principal das barras 500 kV, na subestação MILAGRES, composto por: 01 painel, 01 unidade central de proteção de barras (principal), do tipo adaptativa e distribuída, com capacidade para atender, no mínimo, 08 vãos, 08 unidades de bay de proteção de barras (principal) e infraestrutura de comunicação associados.</t>
  </si>
  <si>
    <t>0006053/2024</t>
  </si>
  <si>
    <t>11366601</t>
  </si>
  <si>
    <t>Substituição do SPCS associado ao vão da Entrada de Linha 02L3 (LT 69 kV COTEGIPE /EMBASA), na subestação COTEGIPE, composto por: 01 painel, 02 proteções (principal e alternada), 01 unidade de controle, cabos de controle e infraestrutura de comunicação associados.</t>
  </si>
  <si>
    <t>0006054/2024</t>
  </si>
  <si>
    <t>11365520</t>
  </si>
  <si>
    <t>Substituição do SPCS do Reator de Linha não-manobrável 05E3, na subestação MILAGRES, composto por: 02 painéis, 02 proteções (principal e alternada), 01 unidade de controle, cabos de controle e infraestrutura de comunicação associados.</t>
  </si>
  <si>
    <t>0006055/2024</t>
  </si>
  <si>
    <t>11364775</t>
  </si>
  <si>
    <t>Substituição do SPCS associado ao vão da Entrada de Linha 02L7 (LT 69 kV COTEGIPE /CIA II), na subestação COTEGIPE, composto por: 01 painel, 02 proteções (principal e alternada), 01 unidade de controle, cabos de controle e infraestrutura de comunicação associados.</t>
  </si>
  <si>
    <t>EL 69 kV COTEGIPE CIA II 02L7 (12L7)</t>
  </si>
  <si>
    <t>0006056/2024</t>
  </si>
  <si>
    <t>11353474</t>
  </si>
  <si>
    <t>Substituição do SPCS associado ao vão da Entrada de Linha 02L8 (LT 69 kV COTEGIPE /CIA II), na subestação COTEGIPE, composto por: 01 painel, 02 proteções (principal e alternada), 01 unidade de controle, cabos de controle e infraestrutura de comunicação associados.</t>
  </si>
  <si>
    <t>EL 69 kV COTEGIPE CIA II 02L8 (12L8)</t>
  </si>
  <si>
    <t>0006057/2024</t>
  </si>
  <si>
    <t>11353475</t>
  </si>
  <si>
    <t>Substituição do SPCS do Transformador 05T6, na subestação MILAGRES, composto por: 02 painéis, 02 proteções (principal e alternada), 02 unidades de controle, 02 falhas de disjuntor (principal e alternada), cabos de controle e infraestrutura de comunicação associados.</t>
  </si>
  <si>
    <t>TR 500/230 kV MILAGRES TR2 CE</t>
  </si>
  <si>
    <t>0006058/2024</t>
  </si>
  <si>
    <t>11361800</t>
  </si>
  <si>
    <t>Substituição do SPCS do Banco de Capacitores 02H1, na subestação COTEGIPE, composto por: 01 painel, 02 proteções (principal e alternada), 01 unidade de controle, cabos de controle e infraestrutura de comunicação associados.</t>
  </si>
  <si>
    <t>0006059/2024</t>
  </si>
  <si>
    <t>11364689</t>
  </si>
  <si>
    <t>Substituição do SPCS do Disjuntor de Interligação de Barras 15D1, na subestação MILAGRES, composto por: 01 painel, 01 unidade de controle, 02 falhas de disjuntor (principal e alternada), cabos de controle e infraestrutura de comunicação associados.</t>
  </si>
  <si>
    <t>0006060/2024</t>
  </si>
  <si>
    <t>11364696</t>
  </si>
  <si>
    <t>Substituição do SPCS do Banco de Capacitores 02H2, na subestação COTEGIPE, composto por: 01 painel, 02 proteções (principal e alternada), 01 unidade de controle, cabos de controle e infraestrutura de comunicação associados.</t>
  </si>
  <si>
    <t>0006061/2024</t>
  </si>
  <si>
    <t>11363033</t>
  </si>
  <si>
    <t>Substituição do SPCS associado ao vão da Entrada de Linha 04M2 (LT 230 kV ICO /MILAGRES C-1), na subestação ICO, composto por: 02 painéis, 02 proteções (principal e alternada), 01 unidade de controle, 02 falhas de disjuntor (principal e alternada), cabos de controle e infraestrutura de comunicação associados.</t>
  </si>
  <si>
    <t>0006062/2024</t>
  </si>
  <si>
    <t>11365227</t>
  </si>
  <si>
    <t>Substituição do SPCS do Transformador 02T8, na subestação COTEGIPE, composto por: 01 painel, 02 proteções (principal e alternada), 01 unidade de controle, cabos de controle e infraestrutura de comunicação associados.</t>
  </si>
  <si>
    <t>0006063/2024</t>
  </si>
  <si>
    <t>11363034</t>
  </si>
  <si>
    <t>Substituição do SPCS associado ao vão da Entrada de Linha 04M5 (LT 230 kV MILAGRES /COREMAS C-2), na subestação COREMAS, composto por: 02 painéis, 02 proteções (principal e alternada), 01 unidade de controle, 02 falhas de disjuntor (principal e alternada), cabos de controle e infraestrutura de comunicação associados.</t>
  </si>
  <si>
    <t>0006064/2024</t>
  </si>
  <si>
    <t>11360690</t>
  </si>
  <si>
    <t>Substituição do SPCS do Disjuntor de Interligação de Barras 12D1, na subestação COTEGIPE, composto por: 01 painel, 02 proteções (principal e alternada), 01 unidade de controle, cabos de controle e infraestrutura de comunicação associados.</t>
  </si>
  <si>
    <t>IB 69 kV MG 230 kV COTEGIPE MG1 BA IB1 (12D1)</t>
  </si>
  <si>
    <t>0006065/2024</t>
  </si>
  <si>
    <t>11366736</t>
  </si>
  <si>
    <t>Substituição do SPCS associado ao vão da Entrada de Linha 04M6 (LT 230 kV MILAGRES /COREMAS C-1), na subestação COREMAS, composto por: 02 painéis, 02 proteções (principal e alternada), 01 unidade de controle, 02 falhas de disjuntor (principal e alternada), cabos de controle e infraestrutura de comunicação associados.</t>
  </si>
  <si>
    <t>0006066/2024</t>
  </si>
  <si>
    <t>11365541</t>
  </si>
  <si>
    <t>Substituição do SPCS associado ao vão da Entrada de Linha 04L1 (LT 230 kV COTEGIPE /USIBA C-1), na subestação COTEGIPE, composto por: 02 painéis, 02 proteções (principal e alternada), 01 unidade de controle, 02 falhas de disjuntor (principal e alternada), cabos de controle e infraestrutura de comunicação associados.</t>
  </si>
  <si>
    <t>0006067/2024</t>
  </si>
  <si>
    <t>11353462</t>
  </si>
  <si>
    <t>Substituição do SPCS associado ao vão da Entrada de Linha 05V3 (LT 500 kV MILAGRES /QUIXADA C-1), na subestação QUIXADA, composto por: 02 painéis, 02 proteções (principal e alternada), 01 unidade de controle, 02 falhas de disjuntor (principal e alternada), cabos de controle e infraestrutura de comunicação associados.</t>
  </si>
  <si>
    <t>0006068/2024</t>
  </si>
  <si>
    <t>11353395</t>
  </si>
  <si>
    <t>Substituição do SPCS associado ao vão da Entrada de Linha 04L2 (LT 230 kV COTEGIPE /SIBRA C-1), na subestação COTEGIPE, composto por: 02 painéis, 02 proteções (principal e alternada), 01 unidade de controle, 02 falhas de disjuntor (principal e alternada), cabos de controle e infraestrutura de comunicação associados.</t>
  </si>
  <si>
    <t>0006069/2024</t>
  </si>
  <si>
    <t>11353465</t>
  </si>
  <si>
    <t>Substituição do SPCS do Reator de Linha não-manobrável 05E1, na subestação QUIXADA, composto por: 02 painéis, 02 proteções (principal e alternada), 01 unidade de controle, cabos de controle e infraestrutura de comunicação associados.</t>
  </si>
  <si>
    <t>0006070/2024</t>
  </si>
  <si>
    <t>11365622</t>
  </si>
  <si>
    <t>Substituição do SPCS associado ao vão da Entrada de Linha 04L3 (LT 230 kV COTEGIPE /JACARACANGA C-1), na subestação COTEGIPE, composto por: 02 painéis, 02 proteções (principal e alternada), 01 unidade de controle, 02 falhas de disjuntor (principal e alternada), cabos de controle e infraestrutura de comunicação associados.</t>
  </si>
  <si>
    <t>0006071/2024</t>
  </si>
  <si>
    <t>11353466</t>
  </si>
  <si>
    <t>Substituição do SPCS associado ao vão da Entrada de Linha 04L4 (LT 230 kV COTEGIPE /MATATU C-1), na subestação COTEGIPE, composto por: 02 painéis, 02 proteções (principal e alternada), 01 unidade de controle, 02 falhas de disjuntor (principal e alternada), cabos de controle e infraestrutura de comunicação associados.</t>
  </si>
  <si>
    <t>0006072/2024</t>
  </si>
  <si>
    <t>11353471</t>
  </si>
  <si>
    <t>Substituição do SPCS associado ao vão da Entrada de Linha 04M5 (LT 230 kV CAMACARI II /COTEGIPE C-1), na subestação COTEGIPE, composto por: 02 painéis, 02 proteções (principal e alternada), 01 unidade de controle, 02 falhas de disjuntor (principal e alternada), cabos de controle e infraestrutura de comunicação associados.</t>
  </si>
  <si>
    <t>0006073/2024</t>
  </si>
  <si>
    <t>11353468</t>
  </si>
  <si>
    <t>Substituição do SPCS associado ao vão da Entrada de Linha 04M6 (LT 230 kV CAMACARI IV /COTEGIPE C-1), na subestação COTEGIPE, composto por: 02 painéis, 02 proteções (principal e alternada), 01 unidade de controle, 02 falhas de disjuntor (principal e alternada), cabos de controle e infraestrutura de comunicação associados.</t>
  </si>
  <si>
    <t>0006074/2024</t>
  </si>
  <si>
    <t>11360705</t>
  </si>
  <si>
    <t>Substituição do SPCS do Transformador 04T4, na subestação COTEGIPE, composto por: 02 painéis, 02 proteções (principal e alternada), 02 unidades de controle, 02 falhas de disjuntor (principal e alternada), cabos de controle e infraestrutura de comunicação associados.</t>
  </si>
  <si>
    <t>0006075/2024</t>
  </si>
  <si>
    <t>11359145</t>
  </si>
  <si>
    <t>Substituição do SPCS do Disjuntor de Interligação de Barras 14D1, na subestação COTEGIPE, composto por: 01 painel, 01 unidade de controle, 02 falhas de disjuntor (principal e alternada), cabos de controle e infraestrutura de comunicação associados.</t>
  </si>
  <si>
    <t>0006076/2024</t>
  </si>
  <si>
    <t>11353170</t>
  </si>
  <si>
    <t>Substituição do SPCS associado ao vão da Entrada de Linha 04L3 (LT 230 kV COTEGIPE /JACARACANGA C-1), na subestação JACARACANGA, composto por: 02 painéis, 02 proteções (principal e alternada), 01 unidade de controle, 02 falhas de disjuntor (principal e alternada), cabos de controle e infraestrutura de comunicação associados.</t>
  </si>
  <si>
    <t>0006077/2024</t>
  </si>
  <si>
    <t>11365515</t>
  </si>
  <si>
    <t>Substituição do SPCS associado ao vão da Entrada de Linha 04L4 (LT 230 kV COTEGIPE /MATATU C-1), na subestação MATATU, composto por: 02 painéis, 02 proteções (principal e alternada), 01 unidade de controle, 02 falhas de disjuntor (principal e alternada), cabos de controle e infraestrutura de comunicação associados.</t>
  </si>
  <si>
    <t>0006078/2024</t>
  </si>
  <si>
    <t>11353864</t>
  </si>
  <si>
    <t>Substituição do SPCS do Transformador de Aterramento 02A1, na subestação GOIANINHA, composto por: 01 painel, 02 proteções (principal e alternada), 01 unidade de controle, cabos de controle e infraestrutura de comunicação associados.</t>
  </si>
  <si>
    <t>MC 69 kV TT 69/0 kV GOIANINHA TA1 PE (32A1)</t>
  </si>
  <si>
    <t>0006079/2024</t>
  </si>
  <si>
    <t>11361084</t>
  </si>
  <si>
    <t>Substituição do SPCS do Transformador de Aterramento 02A2, na subestação GOIANINHA, composto por: 01 painel, 02 proteções (principal e alternada), 01 unidade de controle, cabos de controle e infraestrutura de comunicação associados.</t>
  </si>
  <si>
    <t>MC 69 kV TT 69/0 kV GOIANINHA TA2 PE (32A2)</t>
  </si>
  <si>
    <t>0006080/2024</t>
  </si>
  <si>
    <t>11361086</t>
  </si>
  <si>
    <t>Substituição do SPCS do Banco de Capacitores 02H1, na subestação GOIANINHA, composto por: 01 painel, 02 proteções (principal e alternada), 01 unidade de controle, cabos de controle e infraestrutura de comunicação associados.</t>
  </si>
  <si>
    <t>MC 69 kV BC 69 kV 21,3 Mvar GOIANINHA BC1 PE (02H1)</t>
  </si>
  <si>
    <t>0006081/2024</t>
  </si>
  <si>
    <t>11362189</t>
  </si>
  <si>
    <t>Substituição do SPCS associado ao vão da Entrada de Linha 02J2 (LT 69 kV GOIANINHA /CONDADO), na subestação GOIANINHA, composto por: 01 painel, 02 proteções (principal e alternada), 01 unidade de controle, cabos de controle e infraestrutura de comunicação associados.</t>
  </si>
  <si>
    <t>EL 69 kV GOIANINHA DIST1 (12J2)</t>
  </si>
  <si>
    <t>0006082/2024</t>
  </si>
  <si>
    <t>11364016</t>
  </si>
  <si>
    <t>Substituição do SPCS associado ao vão da Entrada de Linha 02M2 (LT 69 kV GOIANINHA /POTY), na subestação GOIANINHA, composto por: 01 painel, 02 proteções (principal e alternada), 01 unidade de controle, cabos de controle e infraestrutura de comunicação associados.</t>
  </si>
  <si>
    <t>EL 69 kV GOIANINHA DIST8 (12M2)</t>
  </si>
  <si>
    <t>0006083/2024</t>
  </si>
  <si>
    <t>11353347</t>
  </si>
  <si>
    <t>Substituição do SPCS do Transformador 04T2, na subestação GOIANINHA, composto por: 02 painéis, 02 proteções (principal e alternada), 02 unidades de controle, 02 falhas de disjuntor (principal e alternada), cabos de controle e infraestrutura de comunicação associados.</t>
  </si>
  <si>
    <t>TR 230/69 kV GOIANINHA TR2 PE</t>
  </si>
  <si>
    <t>0006084/2024</t>
  </si>
  <si>
    <t>11359118</t>
  </si>
  <si>
    <t>Substituição do SPCS do Transformador 04T3, na subestação GOIANINHA, composto por: 02 painéis, 02 proteções (principal e alternada), 02 unidades de controle, 02 falhas de disjuntor (principal e alternada), cabos de controle e infraestrutura de comunicação associados.</t>
  </si>
  <si>
    <t>TR 230/69 kV GOIANINHA TR3 PE</t>
  </si>
  <si>
    <t>0006085/2024</t>
  </si>
  <si>
    <t>11365035</t>
  </si>
  <si>
    <t>AQUIDAUANA</t>
  </si>
  <si>
    <t>Substituição de bateria - 48 Vcc - SACC48-BAT1 na SE Aquidauana (vinculada a LT 138 kV Aquidauana - Anastácio).</t>
  </si>
  <si>
    <t>LT 138 kV ANASTACIO /AQUIDAUANA C-1 MS</t>
  </si>
  <si>
    <t>0006086/2024</t>
  </si>
  <si>
    <t>Substituição do SPCS do Disjuntor de Interligação de Barras 14D1, na subestação GOIANINHA, composto por: 01 painel, 01 unidade de controle, 02 falhas de disjuntor (principal e alternada), cabos de controle e infraestrutura de comunicação associados.</t>
  </si>
  <si>
    <t>0006087/2024</t>
  </si>
  <si>
    <t>11360111</t>
  </si>
  <si>
    <t>Substituição de bateria - 48 Vcc - SACC48-BAT2 na SE Aquidauana  (vinculada a LT 138 kV Aquidauana - Anastácio).</t>
  </si>
  <si>
    <t>0006088/2024</t>
  </si>
  <si>
    <t>Substituição do SPCS do Transformador de Aterramento 02A2, na subestação G.MANGABEIRA, composto por: 01 painel, 02 proteções (principal e alternada), 01 unidade de controle, cabos de controle e infraestrutura de comunicação associados.</t>
  </si>
  <si>
    <t>MC 69 kV TT 69/0 kV G.MANGABEIRA TA2 BA (32A2)</t>
  </si>
  <si>
    <t>0006090/2024</t>
  </si>
  <si>
    <t>11356627</t>
  </si>
  <si>
    <t>Substituição de Retificador (Carregador de Baterias) 48 Vcc - SACC48-RET1, da SE Aquidauana (vinculada a LT 138 kV Aquidauana - Anastácio).</t>
  </si>
  <si>
    <t>0006092/2024</t>
  </si>
  <si>
    <t>Substituição do SPCS associado ao vão da Entrada de Linha 02V1 (LT 69 kV G.MANGABEIRA /ANGÉLICA), na subestação G.MANGABEIRA, composto por: 01 painel, 02 proteções (principal e alternada), 01 unidade de controle, cabos de controle e infraestrutura de comunicação associados.</t>
  </si>
  <si>
    <t>0006094/2024</t>
  </si>
  <si>
    <t>11363203</t>
  </si>
  <si>
    <t>Substituição de bateria - 125 Vcc - SACC125-BAT1 na SE Atlântida 2.</t>
  </si>
  <si>
    <t>0006096/2024</t>
  </si>
  <si>
    <t>Substituição do SPCS associado ao vão da Entrada de Linha 02V2 (LT 69 kV G.MANGABEIRA /TOMBA), na subestação G.MANGABEIRA, composto por: 01 painel, 02 proteções (principal e alternada), 01 unidade de controle, cabos de controle e infraestrutura de comunicação associados.</t>
  </si>
  <si>
    <t>EL 69 kV G.MANGABEIRA DIST2 (12V2)</t>
  </si>
  <si>
    <t>0006097/2024</t>
  </si>
  <si>
    <t>11363210</t>
  </si>
  <si>
    <t>Substituição de bateria - 125 Vcc - SACC125-BAT2 na SE Atlântida 2.</t>
  </si>
  <si>
    <t>0006098/2024</t>
  </si>
  <si>
    <t>Substituição do SPCS associado ao vão da Entrada de Linha 02V5 (LT 69 kV G.MANGABEIRA /SERRA), na subestação G.MANGABEIRA, composto por: 01 painel, 02 proteções (principal e alternada), 01 unidade de controle, cabos de controle e infraestrutura de comunicação associados.</t>
  </si>
  <si>
    <t>EL 69 kV G.MANGABEIRA DIST3 (12V5)</t>
  </si>
  <si>
    <t>0006099/2024</t>
  </si>
  <si>
    <t>11364148</t>
  </si>
  <si>
    <t>Substituição de bateria - 48 Vcc - SACC48-BAT1 na SE Atlântida 2.</t>
  </si>
  <si>
    <t>0006100/2024</t>
  </si>
  <si>
    <t>Substituição do SPCS associado ao vão da Entrada de Linha 02V6 (LT 69 kV G.MANGABEIRA /MURITIBA), na subestação G.MANGABEIRA, composto por: 01 painel, 02 proteções (principal e alternada), 01 unidade de controle, cabos de controle e infraestrutura de comunicação associados.</t>
  </si>
  <si>
    <t>EL 69 kV G.MANGABEIRA DIST4 (12V6)</t>
  </si>
  <si>
    <t>0006102/2024</t>
  </si>
  <si>
    <t>11364149</t>
  </si>
  <si>
    <t>Substituição de bateria - 48 Vcc - SACC48-BAT2 na SE Atlântida 2.</t>
  </si>
  <si>
    <t>0006103/2024</t>
  </si>
  <si>
    <t>Substituição do SPCS associado ao vão da Entrada de Linha 02V7 (LT 69 kV G.MANGABEIRA /SÃO FELIPE), na subestação G.MANGABEIRA, composto por: 01 painel, 02 proteções (principal e alternada), 01 unidade de controle, cabos de controle e infraestrutura de comunicação associados.</t>
  </si>
  <si>
    <t>EL 69 kV G.MANGABEIRA DIST5 (12V7)</t>
  </si>
  <si>
    <t>0006104/2024</t>
  </si>
  <si>
    <t>11358190</t>
  </si>
  <si>
    <t>Substituição de Retificador (Carregador de Baterias) 125 Vcc - SACC125-RET1, da SE Atlântida 2.</t>
  </si>
  <si>
    <t>0006106/2024</t>
  </si>
  <si>
    <t>Substituição do SPCS associado ao vão da Entrada de Linha 02V8 (LT 69 kV G.MANGABEIRA /CRUZ DAS ALMAS), na subestação G.MANGABEIRA, composto por: 01 painel, 02 proteções (principal e alternada), 01 unidade de controle, cabos de controle e infraestrutura de comunicação associados.</t>
  </si>
  <si>
    <t>EL 69 kV G.MANGABEIRA DIST6 (12V8)</t>
  </si>
  <si>
    <t>0006108/2024</t>
  </si>
  <si>
    <t>11358193</t>
  </si>
  <si>
    <t>Substituição do SPCS associado ao vão da Entrada de Linha 04C1 (LT 230 kV TACAIMBO /C.GRANDE II C-1), na subestação C.GRANDE II, composto por: 02 painéis, 02 proteções (principal e alternada), 01 unidade de controle, 02 falhas de disjuntor (principal e alternada), cabos de controle e infraestrutura de comunicação associados.</t>
  </si>
  <si>
    <t>0006115/2024</t>
  </si>
  <si>
    <t>11365316</t>
  </si>
  <si>
    <t>Substituição do SPCS associado ao vão da Entrada de Linha 04C2 (LT 230 kV TACAIMBO /C.GRANDE II C-2), na subestação C.GRANDE II, composto por: 02 painéis, 02 proteções (principal e alternada), 01 unidade de controle, 02 falhas de disjuntor (principal e alternada), cabos de controle e infraestrutura de comunicação associados.</t>
  </si>
  <si>
    <t>0006118/2024</t>
  </si>
  <si>
    <t>11365314</t>
  </si>
  <si>
    <t>Substituição do SPCS associado ao vão da Entrada de Linha 04C3 (LT 230 kV C.GRANDE II /COTEMINAS C-1), na subestação C.GRANDE II, composto por: 02 painéis, 02 proteções (principal e alternada), 01 unidade de controle, 02 falhas de disjuntor (principal e alternada), cabos de controle e infraestrutura de comunicação associados.</t>
  </si>
  <si>
    <t>0006121/2024</t>
  </si>
  <si>
    <t>11364960</t>
  </si>
  <si>
    <t>Substituição do SPCS associado ao vão da Entrada de Linha 04V1 (LT 230 kV C.GRANDE II /PARAISO C-2 ), na subestação C.GRANDE II, composto por: 02 painéis, 02 proteções (principal e alternada), 01 unidade de controle, 02 falhas de disjuntor (principal e alternada), cabos de controle e infraestrutura de comunicação associados.</t>
  </si>
  <si>
    <t>0006123/2024</t>
  </si>
  <si>
    <t>11365322</t>
  </si>
  <si>
    <t>Substituição do SPCS associado ao vão da Entrada de Linha 04V3 (LT 230 kV C.GRANDE III /C.GRANDE II C-2), na subestação C.GRANDE II, composto por: 02 painéis, 02 proteções (principal e alternada), 01 unidade de controle, 02 falhas de disjuntor (principal e alternada), cabos de controle e infraestrutura de comunicação associados.</t>
  </si>
  <si>
    <t>0006126/2024</t>
  </si>
  <si>
    <t>11365536</t>
  </si>
  <si>
    <t>Substituição do SPCS associado ao vão da Entrada de Linha 04V4 (LT 230 kV C.GRANDE III /C.GRANDE II C-3), na subestação C.GRANDE II, composto por: 02 painéis, 02 proteções (principal e alternada), 01 unidade de controle, 02 falhas de disjuntor (principal e alternada), cabos de controle e infraestrutura de comunicação associados.</t>
  </si>
  <si>
    <t>0006128/2024</t>
  </si>
  <si>
    <t>11365538</t>
  </si>
  <si>
    <t>Substituição do SPCS do Transformador 04T5, na subestação C.GRANDE II, composto por: 02 painéis, 02 proteções (principal e alternada), 02 unidades de controle, 02 falhas de disjuntor (principal e alternada), cabos de controle e infraestrutura de comunicação associados.</t>
  </si>
  <si>
    <t>0006130/2024</t>
  </si>
  <si>
    <t>11361190</t>
  </si>
  <si>
    <t>Substituição do SPCS do Disjuntor de Interligação de Barras 14D2, na subestação C.GRANDE II, composto por: 01 painel, 01 unidade de controle, 02 falhas de disjuntor (principal e alternada), cabos de controle e infraestrutura de comunicação associados.</t>
  </si>
  <si>
    <t>0006133/2024</t>
  </si>
  <si>
    <t>11365150</t>
  </si>
  <si>
    <t>Substituição do SPCS associado ao vão da Entrada de Linha 04C1 (LT 230 kV TACAIMBO /C.GRANDE II C-1), na subestação TACAIMBO, composto por: 02 painéis, 02 proteções (principal e alternada), 01 unidade de controle, 02 falhas de disjuntor (principal e alternada), cabos de controle e infraestrutura de comunicação associados.</t>
  </si>
  <si>
    <t>0006135/2024</t>
  </si>
  <si>
    <t>11353322</t>
  </si>
  <si>
    <t>Substituição do SPCS associado ao vão da Entrada de Linha 04C2 (LT 230 kV TACAIMBO /C.GRANDE II C-2), na subestação TACAIMBO, composto por: 02 painéis, 02 proteções (principal e alternada), 01 unidade de controle, 02 falhas de disjuntor (principal e alternada), cabos de controle e infraestrutura de comunicação associados.</t>
  </si>
  <si>
    <t>0006139/2024</t>
  </si>
  <si>
    <t>11353324</t>
  </si>
  <si>
    <t>Substituição do SPCS associado ao vão da Entrada de Linha 04C3 (LT 230 kV C.GRANDE II /COTEMINAS C-1), na subestação COTEMINAS, composto por: 02 painéis, 02 proteções (principal e alternada), 01 unidade de controle, 02 falhas de disjuntor (principal e alternada), cabos de controle e infraestrutura de comunicação associados.</t>
  </si>
  <si>
    <t>0006142/2024</t>
  </si>
  <si>
    <t>11364962</t>
  </si>
  <si>
    <t>Substituição do SPCS associado ao vão da Entrada de Linha 04V1 (LT 230 kV C.GRANDE II /PARAISO C-2 ), na subestação PARAISO, composto por: 02 painéis, 02 proteções (principal e alternada), 01 unidade de controle, 02 falhas de disjuntor (principal e alternada), cabos de controle e infraestrutura de comunicação associados.</t>
  </si>
  <si>
    <t>0006143/2024</t>
  </si>
  <si>
    <t>11353354</t>
  </si>
  <si>
    <t>Substituição do SPCS associado ao vão da Entrada de Linha 04V3 (LT 230 kV C.GRANDE III /C.GRANDE II C-2), na subestação C.GRANDE III, composto por: 02 painéis, 02 proteções (principal e alternada), 01 unidade de controle, 02 falhas de disjuntor (principal e alternada), cabos de controle e infraestrutura de comunicação associados.</t>
  </si>
  <si>
    <t>0006144/2024</t>
  </si>
  <si>
    <t>12362649</t>
  </si>
  <si>
    <t>Substituição do SPCS associado ao disjuntor 11C1 (Serv. Auxiliares 13,8 kV), na subestação CAMACARI II, composto por: 01 painel, 01 unidade de proteção e controle, cabos de controle e infraestrutura de comunicação associados.</t>
  </si>
  <si>
    <t>0006145/2024</t>
  </si>
  <si>
    <t>11356754</t>
  </si>
  <si>
    <t>Substituição do SPCS associado ao disjuntor 11C2 (Serv. Auxiliares 13,8 kV), na subestação CAMACARI II, composto por: 01 painel, 01 unidade de proteção e controle, cabos de controle e infraestrutura de comunicação associados.</t>
  </si>
  <si>
    <t>0006146/2024</t>
  </si>
  <si>
    <t>11367115</t>
  </si>
  <si>
    <t>Substituição do SPCS do Transformador 02T8, na subestação CAMACARI II, composto por: 01 painel, 02 proteções (principal e alternada), 01 unidade de controle, cabos de controle e infraestrutura de comunicação associados.</t>
  </si>
  <si>
    <t>0006150/2024</t>
  </si>
  <si>
    <t>11356541</t>
  </si>
  <si>
    <t>Substituição do SPCS associado ao vão da Entrada de Linha 04C9 (LT 230 kV CAMACARI II /BRAS.C.SODA C-1), na subestação CAMACARI II, composto por: 02 painéis, 02 proteções (principal e alternada), 01 unidade de controle, 02 falhas de disjuntor (principal e alternada), cabos de controle e infraestrutura de comunicação associados.</t>
  </si>
  <si>
    <t>0006153/2024</t>
  </si>
  <si>
    <t>11361729</t>
  </si>
  <si>
    <t>Substituição do SPCS associado ao vão da Entrada de Linha 04M5 (LT 230 kV CAMACARI II /COTEGIPE C-1), na subestação CAMACARI II, composto por: 02 painéis, 02 proteções (principal e alternada), 01 unidade de controle, 02 falhas de disjuntor (principal e alternada), cabos de controle e infraestrutura de comunicação associados.</t>
  </si>
  <si>
    <t>0006156/2024</t>
  </si>
  <si>
    <t>11365567</t>
  </si>
  <si>
    <t>Substituição do SPCS associado ao vão da Entrada de Linha 04M7 (LT 230 kV CAMACARI II /MATATU C-1), na subestação CAMACARI II, composto por: 02 painéis, 02 proteções (principal e alternada), 01 unidade de controle, 02 falhas de disjuntor (principal e alternada), cabos de controle e infraestrutura de comunicação associados.</t>
  </si>
  <si>
    <t>0006159/2024</t>
  </si>
  <si>
    <t>11353476</t>
  </si>
  <si>
    <t>Substituição do SPCS associado ao vão da Entrada de Linha 04M9 (LT 230 kV CAMACARI II /PITUACU C-1), na subestação CAMACARI II, composto por: 02 painéis, 02 proteções (principal e alternada), 01 unidade de controle, 02 falhas de disjuntor (principal e alternada), cabos de controle e infraestrutura de comunicação associados.</t>
  </si>
  <si>
    <t>0006162/2024</t>
  </si>
  <si>
    <t>11365569</t>
  </si>
  <si>
    <t>Substituição do SPCS associado ao vão da Entrada de Linha 04N2 (LT 230 kV CAMACARI II /BRASKEM C-2), na subestação CAMACARI II, composto por: 02 painéis, 02 proteções (principal e alternada), 01 unidade de controle, 02 falhas de disjuntor (principal e alternada), cabos de controle e infraestrutura de comunicação associados.</t>
  </si>
  <si>
    <t>0006163/2024</t>
  </si>
  <si>
    <t>11363472</t>
  </si>
  <si>
    <t>Substituição do SPCS associado ao vão da Entrada de Linha 04V1 (LT 230 kV CAMACARI II /US.CAMACARI C-1), na subestação CAMACARI II, composto por: 02 painéis, 02 proteções (principal e alternada), 01 unidade de controle, 02 falhas de disjuntor (principal e alternada), cabos de controle e infraestrutura de comunicação associados.</t>
  </si>
  <si>
    <t>0006164/2024</t>
  </si>
  <si>
    <t>11353435</t>
  </si>
  <si>
    <t>Substituição do SPCS do Transformador 04T6, na subestação CAMACARI II, composto por: 02 painéis, 02 proteções (principal e alternada), 02 unidades de controle, 02 falhas de disjuntor (principal e alternada), cabos de controle e infraestrutura de comunicação associados.</t>
  </si>
  <si>
    <t>0006166/2024</t>
  </si>
  <si>
    <t>11358866</t>
  </si>
  <si>
    <t>Substituição do SPCS do Disjuntor de Interligação de Barras 14D2, na subestação CAMACARI II, composto por: 01 painel, 01 unidade de controle, 02 falhas de disjuntor (principal e alternada), cabos de controle e infraestrutura de comunicação associados.</t>
  </si>
  <si>
    <t>0006168/2024</t>
  </si>
  <si>
    <t>11357242</t>
  </si>
  <si>
    <t>Substituição do SPCS do Disjuntor de Interligação de Barras 14D3, na subestação CAMACARI II, composto por: 01 painel, 01 unidade de controle, 02 falhas de disjuntor (principal e alternada), cabos de controle e infraestrutura de comunicação associados.</t>
  </si>
  <si>
    <t>0006169/2024</t>
  </si>
  <si>
    <t>11360172</t>
  </si>
  <si>
    <t>Substituição do SPCS principal das barras 500 kV, na subestação CAMACARI II, composto por: 01 painel, 01 unidade central de proteção de barras (principal), do tipo adaptativa e distribuída, com capacidade para atender, no mínimo, 08 vãos, 08 unidades de bay de proteção de barras (principal) e infraestrutura de comunicação associados.</t>
  </si>
  <si>
    <t>0006171/2024</t>
  </si>
  <si>
    <t>11356911</t>
  </si>
  <si>
    <t>Substituição do SPCS do Reator de Linha manobrável 05E1, na subestação CAMACARI II, composto por: 02 painéis, 02 proteções (principal e alternada), 01 unidade de controle, 02 falhas de disjuntor (principal e alternada), cabos de controle e infraestrutura de comunicação associados.</t>
  </si>
  <si>
    <t>RTL 500 kV 100 Mvar CAMACARI II RT1 BA</t>
  </si>
  <si>
    <t>0006173/2024</t>
  </si>
  <si>
    <t>11356604</t>
  </si>
  <si>
    <t>Substituição do SPCS associado ao vão da Entrada de Linha 05L4 (LT 500 kV OLINDINA /CAMACARI II C-1), na subestação CAMACARI II, composto por: 02 painéis, 02 proteções (principal e alternada), 01 unidade de controle, 02 falhas de disjuntor (principal e alternada), cabos de controle e infraestrutura de comunicação associados.</t>
  </si>
  <si>
    <t>0006174/2024</t>
  </si>
  <si>
    <t>11361699</t>
  </si>
  <si>
    <t>Substituição do SPCS associado ao vão da Entrada de Linha 05L5 (LT 500 kV OLINDINA /CAMACARI II C-2), na subestação CAMACARI II, composto por: 02 painéis, 02 proteções (principal e alternada), 01 unidade de controle, 02 falhas de disjuntor (principal e alternada), cabos de controle e infraestrutura de comunicação associados.</t>
  </si>
  <si>
    <t>0006176/2024</t>
  </si>
  <si>
    <t>11361701</t>
  </si>
  <si>
    <t>Substituição do SPCS associado ao vão da Entrada de Linha 05L6 (LT 500 kV CAMACARI VI /CAMACARI II C-1), na subestação CAMACARI II, composto por: 02 painéis, 02 proteções (principal e alternada), 01 unidade de controle, 02 falhas de disjuntor (principal e alternada), cabos de controle e infraestrutura de comunicação associados.</t>
  </si>
  <si>
    <t>0006177/2024</t>
  </si>
  <si>
    <t>11366153</t>
  </si>
  <si>
    <t>Substituição do SPCS do Transformador 05T1, na subestação CAMACARI II, composto por: 02 painéis, 02 proteções (principal e alternada), 02 unidades de controle, 02 falhas de disjuntor (principal e alternada), cabos de controle e infraestrutura de comunicação associados.</t>
  </si>
  <si>
    <t>0006179/2024</t>
  </si>
  <si>
    <t>11356882</t>
  </si>
  <si>
    <t>Substituição do SPCS do Transformador 05T2, na subestação CAMACARI II, composto por: 02 painéis, 02 proteções (principal e alternada), 02 unidades de controle, 02 falhas de disjuntor (principal e alternada), cabos de controle e infraestrutura de comunicação associados.</t>
  </si>
  <si>
    <t>0006180/2024</t>
  </si>
  <si>
    <t>11356885</t>
  </si>
  <si>
    <t>Substituição do SPCS do Transformador 05T4, na subestação CAMACARI II, composto por: 02 painéis, 02 proteções (principal e alternada), 02 unidades de controle, 02 falhas de disjuntor (principal e alternada), cabos de controle e infraestrutura de comunicação associados.</t>
  </si>
  <si>
    <t>0006238/2024</t>
  </si>
  <si>
    <t>11358856</t>
  </si>
  <si>
    <t>Substituição de Retificador (Carregador de Baterias) 125 Vcc - SACC125-RET2, da SE Atlântida 2.</t>
  </si>
  <si>
    <t>0006249/2024</t>
  </si>
  <si>
    <t>Substituição de Retificador (Carregador de Baterias) 125 Vcc - SACC125-RET1, da SE Biguaçu.</t>
  </si>
  <si>
    <t>0006251/2024</t>
  </si>
  <si>
    <t>Substituição de Retificador (Carregador de Baterias) 125 Vcc - SACC125-RET2, da SE Biguaçu.</t>
  </si>
  <si>
    <t>0006253/2024</t>
  </si>
  <si>
    <t>Substituição de bateria - 48 Vcc - SACC48-BAT2 na SE Blumenau.</t>
  </si>
  <si>
    <t>0006257/2024</t>
  </si>
  <si>
    <t>Substituição de Retificador (Carregador de Baterias) 125 Vcc - SACC125-RET11 (setor de 138 kV), da SE Campos Novos.</t>
  </si>
  <si>
    <t>0006261/2024</t>
  </si>
  <si>
    <t>RET11 - 125 VCC</t>
  </si>
  <si>
    <t>Substituição de Retificador (Carregador de Baterias) 125 Vcc - SACC125-RET12 (setor de 138 kV), da SE Campos Novos.</t>
  </si>
  <si>
    <t>0006264/2024</t>
  </si>
  <si>
    <t>RET12 - 125 VCC</t>
  </si>
  <si>
    <t>Substituição de Retificador (Carregador de Baterias) 48 Vcc - SACC48-RET1, da SE Caxias.</t>
  </si>
  <si>
    <t>0006271/2024</t>
  </si>
  <si>
    <t>Substituição de bateria - 125 Vcc - SACC125-BAT2 na SE Caxias 6.</t>
  </si>
  <si>
    <t>0006274/2024</t>
  </si>
  <si>
    <t>Substituição de bateria - 48 Vcc - SACC48-BAT2 na SE Caxias 6.</t>
  </si>
  <si>
    <t>0006277/2024</t>
  </si>
  <si>
    <t>Substituição de bateria - 125 Vcc - SACC125-BAT52 (setor de 525 kV) na SE Curitiba.</t>
  </si>
  <si>
    <t>0006282/2024</t>
  </si>
  <si>
    <t>BAT52 - 125 VCC</t>
  </si>
  <si>
    <t>Substituição de Retificador (Carregador de Baterias) 125 Vcc - SACC125-RET1, da SE Foz do Chapecó.</t>
  </si>
  <si>
    <t>0006284/2024</t>
  </si>
  <si>
    <t>Substituição de Retificador (Carregador de Baterias) 125 Vcc - SACC125-RET2, da SE Foz do Chapecó.</t>
  </si>
  <si>
    <t>0006287/2024</t>
  </si>
  <si>
    <t>Substituição de Retificador (Carregador de Baterias) 48 Vcc - SACC48-RET1, da SE Foz do Chapecó.</t>
  </si>
  <si>
    <t>0006291/2024</t>
  </si>
  <si>
    <t>GARIBALDI 1</t>
  </si>
  <si>
    <t>Substituição de bateria - 125 Vcc - SACC125-BAT1 na SE Garibaldi 1 (vinculada a LT 230 kV Garibaldi 1 - Vinhedos).</t>
  </si>
  <si>
    <t>LT 230 kV GARIBALDI 1 / VINHEDOS C 1 RS</t>
  </si>
  <si>
    <t>0006295/2024</t>
  </si>
  <si>
    <t>Substituição de bateria - 125 Vcc - SACC125-BAT2 na SE Garibaldi 1 (vinculada a LT 230 kV Garibaldi 1 - Vinhedos).</t>
  </si>
  <si>
    <t>0006298/2024</t>
  </si>
  <si>
    <t>Substituição de bateria - 48 Vcc - SACC48-BAT1 na SE Garibaldi 1 (vinculada a LT 230 kV Garibaldi 1 - Vinhedos).</t>
  </si>
  <si>
    <t>0006301/2024</t>
  </si>
  <si>
    <t>Substituição do SPCS do Disjuntor de Interligação de Barras 15D3, na subestação CAMACARI II, composto por: 01 painel, 01 unidade de controle, 02 falhas de disjuntor (principal e alternada), cabos de controle e infraestrutura de comunicação associados.</t>
  </si>
  <si>
    <t>0006321/2024</t>
  </si>
  <si>
    <t>11367713</t>
  </si>
  <si>
    <t>Substituição do SPCS do Disjuntor de Interligação de Barras 15D4, na subestação CAMACARI II, composto por: 01 painel, 01 unidade de controle, 02 falhas de disjuntor (principal e alternada), cabos de controle e infraestrutura de comunicação associados.</t>
  </si>
  <si>
    <t>0006323/2024</t>
  </si>
  <si>
    <t>11352983</t>
  </si>
  <si>
    <t>Substituição do SPCS associado ao vão da Entrada de Linha 04M7 (LT 230 kV CAMACARI II /MATATU C-1), na subestação MATATU, composto por: 02 painéis, 02 proteções (principal e alternada), 01 unidade de controle, 02 falhas de disjuntor (principal e alternada), cabos de controle e infraestrutura de comunicação associados.</t>
  </si>
  <si>
    <t>0006325/2024</t>
  </si>
  <si>
    <t>11367358</t>
  </si>
  <si>
    <t>Substituição do SPCS associado ao vão da Entrada de Linha 04M9 (LT 230 kV CAMACARI II /PITUACU C-1), na subestação PITUACU, composto por: 02 painéis, 02 proteções (principal e alternada), 01 unidade de controle, 02 falhas de disjuntor (principal e alternada), cabos de controle e infraestrutura de comunicação associados.</t>
  </si>
  <si>
    <t>0006326/2024</t>
  </si>
  <si>
    <t>11367360</t>
  </si>
  <si>
    <t>Substituição do SPCS associado ao vão da Entrada de Linha 05L4 (LT 500 kV OLINDINA /CAMACARI II C-1), na subestação OLINDINA, composto por: 02 painéis, 02 proteções (principal e alternada), 01 unidade de controle, 02 falhas de disjuntor (principal e alternada), cabos de controle e infraestrutura de comunicação associados.</t>
  </si>
  <si>
    <t>0006328/2024</t>
  </si>
  <si>
    <t>11361695</t>
  </si>
  <si>
    <t>Substituição do SPCS associado ao vão da Entrada de Linha 05L5 (LT 500 kV OLINDINA /CAMACARI II C-2), na subestação OLINDINA, composto por: 02 painéis, 02 proteções (principal e alternada), 01 unidade de controle, 02 falhas de disjuntor (principal e alternada), cabos de controle e infraestrutura de comunicação associados.</t>
  </si>
  <si>
    <t>0006330/2024</t>
  </si>
  <si>
    <t>11361698</t>
  </si>
  <si>
    <t>Substituição do Sistema de Registro de Perturbação na Entrada de Linha 03C3, na subestação ACU II, composto por: 01 Oscilógrafo.</t>
  </si>
  <si>
    <t>EL 138 kV ACU II DIST3 (13C3)</t>
  </si>
  <si>
    <t>0006331/2024</t>
  </si>
  <si>
    <t>11446240</t>
  </si>
  <si>
    <t>Substituição do SPCS associado ao vão da Entrada de Linha 05L6 (LT 500 kV CAMACARI VI /CAMACARI II C-1), na subestação CAMACARI IV, composto por: 02 painéis, 02 proteções (principal e alternada), 01 unidade de controle, 02 falhas de disjuntor (principal e alternada), cabos de controle e infraestrutura de comunicação associados.</t>
  </si>
  <si>
    <t>0006332/2024</t>
  </si>
  <si>
    <t>11366151</t>
  </si>
  <si>
    <t>Substituição do Sistema de Registro de Perturbação na Entrada de Linha 05L5, na subestação ANGELIM II, composto por: 01 Oscilógrafo.</t>
  </si>
  <si>
    <t>0006333/2024</t>
  </si>
  <si>
    <t>11446210</t>
  </si>
  <si>
    <t>Substituição do Sistema de Registro de Perturbação na Entrada de Linha 05L6, na subestação ANGELIM II, composto por: 01 Oscilógrafo.</t>
  </si>
  <si>
    <t>0006334/2024</t>
  </si>
  <si>
    <t>11446211</t>
  </si>
  <si>
    <t>Substituição do Sistema de Registro de Perturbação na Entrada de Linha 05L3, na subestação ANGELIM II, composto por: 01 Oscilógrafo.</t>
  </si>
  <si>
    <t>0006335/2024</t>
  </si>
  <si>
    <t>11446215</t>
  </si>
  <si>
    <t>Substituição do Sistema de Registro de Perturbação na Entrada de Linha 04S1, na subestação ANGELIM, composto por: 01 Oscilógrafo.</t>
  </si>
  <si>
    <t>0006336/2024</t>
  </si>
  <si>
    <t>11449220</t>
  </si>
  <si>
    <t>Substituição de bateria - 48 Vcc - SACC48-BAT2 na SE Garibaldi 1 (vinculada a LT 230 kV Garibaldi 1 - Vinhedos).</t>
  </si>
  <si>
    <t>0006337/2024</t>
  </si>
  <si>
    <t>Substituição do Sistema de Registro de Perturbação na Entrada de Linha 05C6, na subestação B. ESPERANCA, composto por: 01 Oscilógrafo.</t>
  </si>
  <si>
    <t>LT 500 kV S.JOAO PIAUI /B. ESPERANCA C-1 PI</t>
  </si>
  <si>
    <t>0006338/2024</t>
  </si>
  <si>
    <t>11446281</t>
  </si>
  <si>
    <t>GUARITA</t>
  </si>
  <si>
    <t>Substituição de Retificador (Carregador de Baterias) 125 Vcc - SACC125-RET1, da SE Guarita.</t>
  </si>
  <si>
    <t>MG GUARITA / CCO-2011-002 - RB</t>
  </si>
  <si>
    <t>0006341/2024</t>
  </si>
  <si>
    <t>Substituição do Sistema de Registro de Perturbação na Entrada de Linha 05C7, na subestação B. ESPERANCA, composto por: 01 Oscilógrafo.</t>
  </si>
  <si>
    <t>0006342/2024</t>
  </si>
  <si>
    <t>11446282</t>
  </si>
  <si>
    <t>Substituição de Retificador (Carregador de Baterias) 125 Vcc - SACC125-RET2, da SE Guarita.</t>
  </si>
  <si>
    <t>0006344/2024</t>
  </si>
  <si>
    <t>Substituição do Sistema de Registro de Perturbação na Entrada de Linha 04C1, na subestação BONGI, composto por: 01 Oscilógrafo.</t>
  </si>
  <si>
    <t>0006345/2024</t>
  </si>
  <si>
    <t>11446221</t>
  </si>
  <si>
    <t>Substituição de Retificador (Carregador de Baterias) 48 Vcc - SACC48-RET1, da SE Guarita.</t>
  </si>
  <si>
    <t>0006348/2024</t>
  </si>
  <si>
    <t>Substituição do Sistema de Registro de Perturbação na Entrada de Linha 04V4, na subestação BONGI, composto por: 01 Oscilógrafo.</t>
  </si>
  <si>
    <t>0006349/2024</t>
  </si>
  <si>
    <t>11449247</t>
  </si>
  <si>
    <t>Substituição de bateria - 125 Vcc - SACC125-BAT2 na SE Itá.</t>
  </si>
  <si>
    <t>0006350/2024</t>
  </si>
  <si>
    <t>Substituição do Sistema de Registro de Perturbação na Entrada de Linha 04V5, na subestação BONGI, composto por: 01 Oscilógrafo.</t>
  </si>
  <si>
    <t>0006351/2024</t>
  </si>
  <si>
    <t>11449245</t>
  </si>
  <si>
    <t>Substituição de bateria - 48 Vcc - SACC48-BAT2 na SE Itá.</t>
  </si>
  <si>
    <t>0006353/2024</t>
  </si>
  <si>
    <t>Substituição do Sistema de Registro de Perturbação na Entrada de Linha 04V6, na subestação BONGI, composto por: 01 Oscilógrafo.</t>
  </si>
  <si>
    <t>0006354/2024</t>
  </si>
  <si>
    <t>11449246</t>
  </si>
  <si>
    <t>Substituição de bateria - 48 Vcc - SACC48-BAT2 na SE Itajaí.</t>
  </si>
  <si>
    <t>0006355/2024</t>
  </si>
  <si>
    <t>Substituição do Sistema de Registro de Perturbação na Entrada de Linha 02L1, na subestação ELISEU MARTIN, composto por: 01 Oscilógrafo.</t>
  </si>
  <si>
    <t>EL 69 kV ELISEU MARTIN BERTOLINEA-02L1 (12L1)</t>
  </si>
  <si>
    <t>0006357/2024</t>
  </si>
  <si>
    <t>11449307</t>
  </si>
  <si>
    <t>Substituição de bateria - 125 Vcc - SACC125-BAT2 na SE J.Lacerda-B.</t>
  </si>
  <si>
    <t>0006358/2024</t>
  </si>
  <si>
    <t>Substituição do Sistema de Registro de Perturbação na Entrada de Linha 02L2, na subestação ELISEU MARTIN, composto por: 01 Oscilógrafo.</t>
  </si>
  <si>
    <t>EL 69 kV ELISEU MARTIN BOM JESUS-02L2 (12L2)</t>
  </si>
  <si>
    <t>0006359/2024</t>
  </si>
  <si>
    <t>11449306</t>
  </si>
  <si>
    <t>Substituição de bateria - 48 Vcc - SACC48-BAT2 na SE J.Lacerda-B.</t>
  </si>
  <si>
    <t>0006360/2024</t>
  </si>
  <si>
    <t>Substituição do Sistema de Registro de Perturbação na Entrada de Linha 04M2, na subestação ELISEU MARTIN, composto por: 01 Oscilógrafo.</t>
  </si>
  <si>
    <t>LT 230 kV S.JOAO PIAUI /ELISEU MARTIN C-1 PI</t>
  </si>
  <si>
    <t>0006362/2024</t>
  </si>
  <si>
    <t>11449305</t>
  </si>
  <si>
    <t>Substituição de Retificador (Carregador de Baterias) 125 Vcc - SACC125-RET1, da SE J.Lacerda-B.</t>
  </si>
  <si>
    <t>0006363/2024</t>
  </si>
  <si>
    <t>Substituição do Sistema de Registro de Perturbação na Entrada de Linha 03V1, na subestação EUNAPOLIS, composto por: 01 Oscilógrafo.</t>
  </si>
  <si>
    <t>LT 138 kV EUNAPOLIS DIST1 (13V1)</t>
  </si>
  <si>
    <t>0006364/2024</t>
  </si>
  <si>
    <t>11446335</t>
  </si>
  <si>
    <t>Substituição de Retificador (Carregador de Baterias) 125 Vcc - SACC125-RET2, da SE J.Lacerda-B.</t>
  </si>
  <si>
    <t>0006366/2024</t>
  </si>
  <si>
    <t>Substituição do Sistema de Registro de Perturbação na Entrada de Linha 03J1, na subestação FUNIL, composto por: 01 Oscilógrafo.</t>
  </si>
  <si>
    <t>EL 138 kV FUNIL DIST1 (13J1)</t>
  </si>
  <si>
    <t>0006367/2024</t>
  </si>
  <si>
    <t>11446329</t>
  </si>
  <si>
    <t>Substituição de Retificador (Carregador de Baterias) 125 Vcc - SACC125-RET1, da SE Joinville Norte.</t>
  </si>
  <si>
    <t>0006368/2024</t>
  </si>
  <si>
    <t>Substituição do Sistema de Registro de Perturbação na Entrada de Linha 03J2, na subestação FUNIL, composto por: 01 Oscilógrafo.</t>
  </si>
  <si>
    <t>EL 138 kV FUNIL DIST2 (13J2)</t>
  </si>
  <si>
    <t>0006369/2024</t>
  </si>
  <si>
    <t>11446322</t>
  </si>
  <si>
    <t>Substituição de Retificador (Carregador de Baterias) 125 Vcc - SACC125-RET2, da SE Joinville Norte.</t>
  </si>
  <si>
    <t>0006370/2024</t>
  </si>
  <si>
    <t>Substituição de 01 (um) disjuntor 13,8 KV, posição operacional 11K1-a da subestação BJS</t>
  </si>
  <si>
    <t>CS 30/-15 MVAr B.JESUS LAPA CS1 BA</t>
  </si>
  <si>
    <t>0006371/2024</t>
  </si>
  <si>
    <t>11K1-A</t>
  </si>
  <si>
    <t>Substituição do Sistema de Registro de Perturbação na Entrada de Linha 04F2, na subestação FUNIL, composto por: 01 Oscilógrafo.</t>
  </si>
  <si>
    <t>0006372/2024</t>
  </si>
  <si>
    <t>11446321</t>
  </si>
  <si>
    <t>LIVRAMENTO 2</t>
  </si>
  <si>
    <t>Substituição de Retificador (Carregador de Baterias) 125 Vcc - SACC125-RET1, da SE Livramento 2 (vinculada a LT 230 kV Livramento 2 - Rivera).</t>
  </si>
  <si>
    <t>LT 230 kV LIVRAMENTO 2 / RIVERA C-1 RS</t>
  </si>
  <si>
    <t>0006374/2024</t>
  </si>
  <si>
    <t>Substituição do Sistema de Registro de Perturbação na Entrada de Linha 04C3, na subestação ITABAIANA, composto por: 01 Oscilógrafo.</t>
  </si>
  <si>
    <t>0009020/2024</t>
  </si>
  <si>
    <t>11449339</t>
  </si>
  <si>
    <t>Substituição de 01 (um) disjuntor 13,8 KV, posição operacional 11K1-b da subestação BJS</t>
  </si>
  <si>
    <t>0006377/2024</t>
  </si>
  <si>
    <t>11K1-B</t>
  </si>
  <si>
    <t>Substituição de Retificador (Carregador de Baterias) 125 Vcc - SACC125-RET2, da SE Livramento 2  (vinculada a LT 230 kV Livramento 2 - Rivera).</t>
  </si>
  <si>
    <t>0006378/2024</t>
  </si>
  <si>
    <t>Substituição do Sistema de Registro de Perturbação na Entrada de Linha 04C3, na subestação ITABAIANINHA, composto por: 01 Oscilógrafo.</t>
  </si>
  <si>
    <t>0006379/2024</t>
  </si>
  <si>
    <t>11446323</t>
  </si>
  <si>
    <t>Substituição de 01 (um) disjuntor de 230 KV, posição operacional 14S1 da Subestação PRI</t>
  </si>
  <si>
    <t>LT 230 kV TERESINA /PIRIPIRI C-1 PI</t>
  </si>
  <si>
    <t>0006380/2024</t>
  </si>
  <si>
    <t>14S1</t>
  </si>
  <si>
    <t>Substituição do Sistema de Registro de Perturbação na Entrada de Linha 04N3, na subestação JACARACANGA, composto por: 01 Oscilógrafo.</t>
  </si>
  <si>
    <t>EL 230 kV JACARACANGA LT 230 kV JACARACANGA /DOW QUIMICA C-1 BA (14N3)</t>
  </si>
  <si>
    <t>0006381/2024</t>
  </si>
  <si>
    <t>11449336</t>
  </si>
  <si>
    <t>Substituição de 01 (um) disjuntor de 230 KV, posição operacional 14D1 da Subestação SJI</t>
  </si>
  <si>
    <t>0006382/2024</t>
  </si>
  <si>
    <t>Substituição do Sistema de Registro de Perturbação na Entrada de Linha 04N4, na subestação JACARACANGA, composto por: 01 Oscilógrafo.</t>
  </si>
  <si>
    <t>EL 230 kV JACARACANGA LT 230 kV JACARACANGA /DOW QUIMICA C-2 BA (14N4)</t>
  </si>
  <si>
    <t>0006383/2024</t>
  </si>
  <si>
    <t>11449337</t>
  </si>
  <si>
    <t>Substituição de 01 (um) disjuntor de 230 KV, posição operacional 14L1 da Subestação TSA</t>
  </si>
  <si>
    <t>0006384/2024</t>
  </si>
  <si>
    <t>14L1</t>
  </si>
  <si>
    <t>Substituição do Sistema de Registro de Perturbação na Entrada de Linha 04V4, na subestação JOAIRAM, composto por: 01 Oscilógrafo.</t>
  </si>
  <si>
    <t>0006482/2024</t>
  </si>
  <si>
    <t>11449242</t>
  </si>
  <si>
    <t>MISSOES</t>
  </si>
  <si>
    <t>Substituição de bateria - 48 Vcc - SACC48-BAT1 na SE Missões.</t>
  </si>
  <si>
    <t>MG MISSOES / CCO-2009-005 - RB</t>
  </si>
  <si>
    <t>0006385/2024</t>
  </si>
  <si>
    <t>Substituição de 01 (um) disjuntor de 230 KV, posição operacional 14T3 da Subestação TSA</t>
  </si>
  <si>
    <t>0006386/2024</t>
  </si>
  <si>
    <t>Substituição do Sistema de Registro de Perturbação na Entrada de Linha 04V5, na subestação JOAIRAM, composto por: 01 Oscilógrafo.</t>
  </si>
  <si>
    <t>0006387/2024</t>
  </si>
  <si>
    <t>11449243</t>
  </si>
  <si>
    <t>Substituição de bateria - 48 Vcc - SACC48-BAT2 na SE Missões.</t>
  </si>
  <si>
    <t>0006388/2024</t>
  </si>
  <si>
    <t>Substituição do Sistema de Registro de Perturbação na Entrada de Linha 04V6, na subestação JOAIRAM, composto por: 01 Oscilógrafo.</t>
  </si>
  <si>
    <t>0006389/2024</t>
  </si>
  <si>
    <t>11449244</t>
  </si>
  <si>
    <t>Substituição de 01 (um) disjuntor de 230 KV, posição operacional 14F2 da Subestação FTZ</t>
  </si>
  <si>
    <t>0006390/2024</t>
  </si>
  <si>
    <t>14F2</t>
  </si>
  <si>
    <t>Substituição de Retificador (Carregador de Baterias) 125 Vcc - SACC125-RET1, da SE Missões.</t>
  </si>
  <si>
    <t>0006391/2024</t>
  </si>
  <si>
    <t>Substituição do Sistema de Registro de Perturbação na Entrada de Linha 04S1, na subestação JUAZEIRO II, composto por: 01 Oscilógrafo.</t>
  </si>
  <si>
    <t>0006392/2024</t>
  </si>
  <si>
    <t>11446191</t>
  </si>
  <si>
    <t>Substituição de Retificador (Carregador de Baterias) 125 Vcc - SACC125-RET2, da SE Missões.</t>
  </si>
  <si>
    <t>0006393/2024</t>
  </si>
  <si>
    <t>Substituição de 01 (um) disjuntor de 230 KV, posição operacional 14C1 da Subestação RSD</t>
  </si>
  <si>
    <t>0006395/2024</t>
  </si>
  <si>
    <t>14C1</t>
  </si>
  <si>
    <t>Substituição do Sistema de Registro de Perturbação na Entrada de Linha 05C5, na subestação US. L.GONZAGA, composto por: 01 Oscilógrafo.</t>
  </si>
  <si>
    <t>0006396/2024</t>
  </si>
  <si>
    <t>11446303</t>
  </si>
  <si>
    <t>Substituição de bateria - 125 Vcc - SACC125-BAT2 na SE Nova Petrópolis 2.</t>
  </si>
  <si>
    <t>0006397/2024</t>
  </si>
  <si>
    <t>Substituição de 01 (um) disjuntor de 230 KV, posição operacional 14T3 da Subestação RSD</t>
  </si>
  <si>
    <t>0006398/2024</t>
  </si>
  <si>
    <t>Substituição do Sistema de Registro de Perturbação na Entrada de Linha 05Z1, na subestação US. L.GONZAGA, composto por: 01 Oscilógrafo.</t>
  </si>
  <si>
    <t>0006400/2024</t>
  </si>
  <si>
    <t>11446304</t>
  </si>
  <si>
    <t>Substituição de bateria - 48 Vcc - SACC48-BAT2 na SE Nova Petrópolis 2.</t>
  </si>
  <si>
    <t>0006401/2024</t>
  </si>
  <si>
    <t>Substituição de 01 (um) disjuntor de 230 KV, posição operacional 14L3 da Subestação GNN</t>
  </si>
  <si>
    <t>0006402/2024</t>
  </si>
  <si>
    <t>14L3</t>
  </si>
  <si>
    <t>Substituição do Sistema de Registro de Perturbação na Entrada de Linha 05S4, na subestação US. L.GONZAGA, composto por: 01 Oscilógrafo.</t>
  </si>
  <si>
    <t>0006403/2024</t>
  </si>
  <si>
    <t>11446299</t>
  </si>
  <si>
    <t>Substituição de Retificador (Carregador de Baterias) 48 Vcc - SACC48-RET2, da SE Nova Santa Rita.</t>
  </si>
  <si>
    <t>0006404/2024</t>
  </si>
  <si>
    <t>Substituição de 01 (um) disjuntor de 230 KV, posição operacional 14D1 da Subestação MRR</t>
  </si>
  <si>
    <t>0006408/2024</t>
  </si>
  <si>
    <t>Substituição do Sistema de Registro de Perturbação na Entrada de Linha 05V1, na subestação US. L.GONZAGA, composto por: 01 Oscilógrafo.</t>
  </si>
  <si>
    <t>0006409/2024</t>
  </si>
  <si>
    <t>11446300</t>
  </si>
  <si>
    <t>Substituição de Retificador (Carregador de Baterias) 48 Vcc - SACC48-RET1, da SE Nova Santa Rita.</t>
  </si>
  <si>
    <t>0006410/2024</t>
  </si>
  <si>
    <t>Substituição do Grupo Moto Gerador 480 VCA - SACA480-MG1. Associado à obra, são esperadas substituições/adaptações de fundações e suportes, caixa de junção, cabos de controle/potência, barramento, conectores e conexão de aterramento.</t>
  </si>
  <si>
    <t>0006411/2024</t>
  </si>
  <si>
    <t>Substituição do Sistema de Registro de Perturbação na Entrada de Linha 04L1, na subestação MILAGRES, composto por: 01 Oscilógrafo.</t>
  </si>
  <si>
    <t>0006414/2024</t>
  </si>
  <si>
    <t>11449279</t>
  </si>
  <si>
    <t>Substituição do Sistema de Registro de Perturbação na Entrada de Linha 04L3, na subestação MILAGRES, composto por: 01 Oscilógrafo.</t>
  </si>
  <si>
    <t>0006416/2024</t>
  </si>
  <si>
    <t>11449272</t>
  </si>
  <si>
    <t>Substituição de 01 (um) disjuntor de 69 kV, posição operacional 12V2, da Subestação de RCD.</t>
  </si>
  <si>
    <t>0008414/2024</t>
  </si>
  <si>
    <t>11341781</t>
  </si>
  <si>
    <t>Substituição do Sistema de Registro de Perturbação na Entrada de Linha 04M3, na subestação MILAGRES, composto por: 01 Oscilógrafo.</t>
  </si>
  <si>
    <t>0006418/2024</t>
  </si>
  <si>
    <t>11449261</t>
  </si>
  <si>
    <t>Substituição do Sistema de Registro de Perturbação na Entrada de Linha 05V1, na subestação MILAGRES, composto por: 01 Oscilógrafo.</t>
  </si>
  <si>
    <t>0006419/2024</t>
  </si>
  <si>
    <t>11446265</t>
  </si>
  <si>
    <t>Substituição do Sistema de Registro de Perturbação na Entrada de Linha 05V2, na subestação MESSIAS, composto por: 01 Oscilógrafo.</t>
  </si>
  <si>
    <t>0006421/2024</t>
  </si>
  <si>
    <t>11446208</t>
  </si>
  <si>
    <t>Substituição do Sistema de Registro de Perturbação na Entrada de Linha 05V4, na subestação MESSIAS, composto por: 01 Oscilógrafo.</t>
  </si>
  <si>
    <t>0006422/2024</t>
  </si>
  <si>
    <t>11446209</t>
  </si>
  <si>
    <t>Substituição do Sistema de Registro de Perturbação na Entrada de Linha 04S3, na subestação MESSIAS, composto por: 01 Oscilógrafo.</t>
  </si>
  <si>
    <t>0006425/2024</t>
  </si>
  <si>
    <t>11446214</t>
  </si>
  <si>
    <t>Substituição do Sistema de Registro de Perturbação na Entrada de Linha 04F2, na subestação P.AFONSO III, composto por: 01 Oscilógrafo.</t>
  </si>
  <si>
    <t>0006428/2024</t>
  </si>
  <si>
    <t>11449311</t>
  </si>
  <si>
    <t>Substituição de 01 (um) TC de 230 kV, posição operacional, 94M1.B da subestação de RIB.</t>
  </si>
  <si>
    <t>0006429/2024</t>
  </si>
  <si>
    <t>94M1.B</t>
  </si>
  <si>
    <t>Substituição do Sistema de Registro de Perturbação na Entrada de Linha 04F3, na subestação P.AFONSO III, composto por: 01 Oscilógrafo.</t>
  </si>
  <si>
    <t>0006430/2024</t>
  </si>
  <si>
    <t>11449312</t>
  </si>
  <si>
    <t>Substituição do Sistema de Registro de Perturbação na Entrada de Linha 04G13, na subestação P.AFONSO III, composto por: 01 Oscilógrafo.</t>
  </si>
  <si>
    <t>EL 230 kV P.AFONSO III LT 230 kV P.AFONSO III /USINA PA-III C-4 AL/BA (14G13)</t>
  </si>
  <si>
    <t>0006433/2024</t>
  </si>
  <si>
    <t>11449322</t>
  </si>
  <si>
    <t>Substituição do Sistema de Registro de Perturbação na Entrada de Linha 04J1, na subestação P.AFONSO III, composto por: 01 Oscilógrafo.</t>
  </si>
  <si>
    <t>EL 230 kV P.AFONSO III LT 230 kV P.AFONSO III /USINA PA-I C-2 AL/BA (14J1)</t>
  </si>
  <si>
    <t>0006487/2024</t>
  </si>
  <si>
    <t>11449320</t>
  </si>
  <si>
    <t>Substituição de 01 (um) TC 13,8kV posição operacional 91H2 da Subestação ACD.</t>
  </si>
  <si>
    <t>BC 13,8 kV 3,1 MVAr ACU II BC2 RN</t>
  </si>
  <si>
    <t>0006436/2024</t>
  </si>
  <si>
    <t>91H2.N</t>
  </si>
  <si>
    <t>Substituição do Sistema de Registro de Perturbação na Entrada de Linha 04J2, na subestação P.AFONSO III, composto por: 01 Oscilógrafo.</t>
  </si>
  <si>
    <t>0006489/2024</t>
  </si>
  <si>
    <t>11449325</t>
  </si>
  <si>
    <t>Substituição do Sistema de Registro de Perturbação na Entrada de Linha 04L2, na subestação P.AFONSO III, composto por: 01 Oscilógrafo.</t>
  </si>
  <si>
    <t>LT 230 kV P.AFONSO III /GARANHUNS II C-2 AL/PE</t>
  </si>
  <si>
    <t>0006438/2024</t>
  </si>
  <si>
    <t>11449314</t>
  </si>
  <si>
    <t>Substituição de 01 (um) TC 13,8kV posição operacional 91T424 fase A da Subestação ACD.</t>
  </si>
  <si>
    <t>0006439/2024</t>
  </si>
  <si>
    <t>91T424.A</t>
  </si>
  <si>
    <t>Substituição do Sistema de Registro de Perturbação na Entrada de Linha 04L3, na subestação P.AFONSO III, composto por: 01 Oscilógrafo.</t>
  </si>
  <si>
    <t>0006440/2024</t>
  </si>
  <si>
    <t>11449315</t>
  </si>
  <si>
    <t>Substituição de 01 (um) TC 13,8kV posição operacional 91T425 fase B da Subestação ACD.</t>
  </si>
  <si>
    <t>0006441/2024</t>
  </si>
  <si>
    <t>91T425.B</t>
  </si>
  <si>
    <t>Substituição do Sistema de Registro de Perturbação na Entrada de Linha 04L4, na subestação P.AFONSO III, composto por: 01 Oscilógrafo.</t>
  </si>
  <si>
    <t>0006443/2024</t>
  </si>
  <si>
    <t>11449316</t>
  </si>
  <si>
    <t>Substituição de 01 (um) TC 13,8kV posição operacional 91T426 fase C da Subestação ACD.</t>
  </si>
  <si>
    <t>0006444/2024</t>
  </si>
  <si>
    <t>91T426.C</t>
  </si>
  <si>
    <t>Substituição do Sistema de Registro de Perturbação na Entrada de Linha 04S2, na subestação P.AFONSO III, composto por: 01 Oscilógrafo.</t>
  </si>
  <si>
    <t>0006445/2024</t>
  </si>
  <si>
    <t>11449317</t>
  </si>
  <si>
    <t>Substituição de 01 (um) TC 13,8kV posição operacional 91T524 fase A da Subestação ACD.</t>
  </si>
  <si>
    <t>0006447/2024</t>
  </si>
  <si>
    <t>91T524.C</t>
  </si>
  <si>
    <t>Substituição do Sistema de Registro de Perturbação na Entrada de Linha 04S3, na subestação P.AFONSO III, composto por: 01 Oscilógrafo.</t>
  </si>
  <si>
    <t>0006448/2024</t>
  </si>
  <si>
    <t>11449318</t>
  </si>
  <si>
    <t>Substituição de 01 (um) TC 13,8kV posição operacional 91T525 fase B da Subestação ACD.</t>
  </si>
  <si>
    <t>0006449/2024</t>
  </si>
  <si>
    <t>91T525.A</t>
  </si>
  <si>
    <t>Substituição do Sistema de Registro de Perturbação na Entrada de Linha 05L6, na subestação P. AFONSO IV, composto por: 01 Oscilógrafo.</t>
  </si>
  <si>
    <t>0006451/2024</t>
  </si>
  <si>
    <t>11446297</t>
  </si>
  <si>
    <t>Substituição de 01 (um) TC 13,8kV posição operacional 91T526 fase C da Subestação ACD.</t>
  </si>
  <si>
    <t>0006452/2024</t>
  </si>
  <si>
    <t>91T526.B</t>
  </si>
  <si>
    <t>Substituição do Sistema de Registro de Perturbação na Entrada de Linha 05V6, na subestação P. AFONSO IV, composto por: 01 Oscilógrafo.</t>
  </si>
  <si>
    <t>0006453/2024</t>
  </si>
  <si>
    <t>11446301</t>
  </si>
  <si>
    <t>Substituição do Sistema de Registro de Perturbação na Entrada de Linha 04M3, na subestação PICOS, composto por: 01 Oscilógrafo.</t>
  </si>
  <si>
    <t>0006455/2024</t>
  </si>
  <si>
    <t>11446402</t>
  </si>
  <si>
    <t>Substituição de 01 (um) TC 69kV, posição operacional 92J6-1.A da Subestação de ITB</t>
  </si>
  <si>
    <t>EL 69 kV ITABAIANA DIST5 (12J6)</t>
  </si>
  <si>
    <t>0006456/2024</t>
  </si>
  <si>
    <t>92J6-1.A</t>
  </si>
  <si>
    <t>Substituição do Sistema de Registro de Perturbação na Entrada de Linha 04S1, na subestação PIRAPAMA II, composto por: 01 Oscilógrafo.</t>
  </si>
  <si>
    <t>0006457/2024</t>
  </si>
  <si>
    <t>11449223</t>
  </si>
  <si>
    <t>Substituição de 01 (um) TC 69kV, posição operacional 92J6-1.B da Subestação de ITB</t>
  </si>
  <si>
    <t>0006458/2024</t>
  </si>
  <si>
    <t>92J6-1.B</t>
  </si>
  <si>
    <t>Substituição do Sistema de Registro de Perturbação na Entrada de Linha 03C1, na subestação PIRIPIRI, composto por: 01 Oscilógrafo.</t>
  </si>
  <si>
    <t>EL 138 kV PIRIPIRI TABULEIRO-03C1 (13C1)</t>
  </si>
  <si>
    <t>0006460/2024</t>
  </si>
  <si>
    <t>11446279</t>
  </si>
  <si>
    <t>Substituição de 01 (um) TC 69kV, posição operacional 92J6-2.C da Subestação de ITB</t>
  </si>
  <si>
    <t>0006461/2024</t>
  </si>
  <si>
    <t>92J6-1.C</t>
  </si>
  <si>
    <t>Substituição do Sistema de Registro de Perturbação na Entrada de Linha 04S2, na subestação RIO LARGO II, composto por: 01 Oscilógrafo.</t>
  </si>
  <si>
    <t>EL 230 kV RIO LARGO II LT 230 kV RIO LARGO II /BRASKEM C-1 AL (14S2)</t>
  </si>
  <si>
    <t>0006462/2024</t>
  </si>
  <si>
    <t>11449205</t>
  </si>
  <si>
    <t>Substituição do Sistema de Registro de Perturbação na Entrada de Linha 04S3, na subestação RIO LARGO II, composto por: 01 Oscilógrafo.</t>
  </si>
  <si>
    <t>0006464/2024</t>
  </si>
  <si>
    <t>11449206</t>
  </si>
  <si>
    <t>Substituição do Sistema de Registro de Perturbação na Entrada de Linha 04S4, na subestação RIO LARGO II, composto por: 01 Oscilógrafo.</t>
  </si>
  <si>
    <t>0006466/2024</t>
  </si>
  <si>
    <t>11449207</t>
  </si>
  <si>
    <t>Substituição do Sistema de Registro de Perturbação na Entrada de Linha 04S5, na subestação RIO LARGO II, composto por: 01 Oscilógrafo.</t>
  </si>
  <si>
    <t>0006467/2024</t>
  </si>
  <si>
    <t>11449208</t>
  </si>
  <si>
    <t>Substituição do Sistema de Registro de Perturbação na Entrada de Linha 04L2, na subestação SOBRAL II, composto por: 01 Oscilógrafo.</t>
  </si>
  <si>
    <t>LT 230 kV SOBRAL II /SOBRAL III C-1 CE</t>
  </si>
  <si>
    <t>0006468/2024</t>
  </si>
  <si>
    <t>11449283</t>
  </si>
  <si>
    <t>Substituição do Sistema de Registro de Perturbação na Entrada de Linha 04L3, na subestação SOBRAL II, composto por: 01 Oscilógrafo.</t>
  </si>
  <si>
    <t>LT 230 kV SOBRAL II /SOBRAL III C-2 CE</t>
  </si>
  <si>
    <t>0006469/2024</t>
  </si>
  <si>
    <t>11449284</t>
  </si>
  <si>
    <t>Substituição do Sistema de Registro de Perturbação na Entrada de Linha 04L2, na subestação SOBRAL III, composto por: 01 Oscilógrafo.</t>
  </si>
  <si>
    <t>0006470/2024</t>
  </si>
  <si>
    <t>11449289</t>
  </si>
  <si>
    <t>Substituição de 01 (um) disjuntor de 230 KV, posição operacional 14D1 da Subestação JCD</t>
  </si>
  <si>
    <t>0006471/2024</t>
  </si>
  <si>
    <t>Substituição do Sistema de Registro de Perturbação na Entrada de Linha 04L3, na subestação SOBRAL III, composto por: 01 Oscilógrafo.</t>
  </si>
  <si>
    <t>0006472/2024</t>
  </si>
  <si>
    <t>11449290</t>
  </si>
  <si>
    <t>Substituição do Sistema de Registro de Perturbação na Entrada de Linha 04M1, na subestação S.JOAO PIAUI, composto por: 01 Oscilógrafo.</t>
  </si>
  <si>
    <t>0006473/2024</t>
  </si>
  <si>
    <t>11446280</t>
  </si>
  <si>
    <t>Substituição do Sistema de Registro de Perturbação na Entrada de Linha 05C5, na subestação S.JOAO PIAUI, composto por: 01 Oscilógrafo.</t>
  </si>
  <si>
    <t>0006474/2024</t>
  </si>
  <si>
    <t>11446284</t>
  </si>
  <si>
    <t>Substituição do Sistema de Registro de Perturbação na Entrada de Linha 05C6, na subestação S.JOAO PIAUI, composto por: 01 Oscilógrafo.</t>
  </si>
  <si>
    <t>0006476/2024</t>
  </si>
  <si>
    <t>11446285</t>
  </si>
  <si>
    <t>Substituição de 01 (um) TC de 230 kV, posição operacional, 94M1.A da subestação de RIB.</t>
  </si>
  <si>
    <t>0006477/2024</t>
  </si>
  <si>
    <t>94M1.A</t>
  </si>
  <si>
    <t>Substituição do Sistema de Registro de Perturbação na Entrada de Linha 05C3, na subestação U.SOBRADINHO, composto por: 01 Oscilógrafo.</t>
  </si>
  <si>
    <t>LT 500 kV JUAZEIRO III /U.SOBRADINHO C-1 BA</t>
  </si>
  <si>
    <t>0006478/2024</t>
  </si>
  <si>
    <t>11446195</t>
  </si>
  <si>
    <t>Substituição do Sistema de Registro de Perturbação na Entrada de Linha 05C5, na subestação U.SOBRADINHO, composto por: 01 Oscilógrafo.</t>
  </si>
  <si>
    <t>0006480/2024</t>
  </si>
  <si>
    <t>11446197</t>
  </si>
  <si>
    <t>Substituição do Sistema de Registro de Perturbação na Entrada de Linha 04F2, na subestação STO.A.JESUS, composto por: 01 Oscilógrafo.</t>
  </si>
  <si>
    <t>0006481/2024</t>
  </si>
  <si>
    <t>11449328</t>
  </si>
  <si>
    <t>Substituição de 01 (um) TC de 230 kV, posição operacional, 94M1.C da subestação de RIB.</t>
  </si>
  <si>
    <t>0006493/2024</t>
  </si>
  <si>
    <t>94M1.C</t>
  </si>
  <si>
    <t>ZEBU 138_69</t>
  </si>
  <si>
    <t>Substituição do Sistema de Registro de Perturbação na Entrada de Linha 02V3, na subestação ZEBU*, composto por: 01 Oscilógrafo.</t>
  </si>
  <si>
    <t>EL 69 kV ZEBU LT 69 kV ZEBU /ITAPARICA C-1 BA/PE (12V3)</t>
  </si>
  <si>
    <t>0006483/2024</t>
  </si>
  <si>
    <t>11446306</t>
  </si>
  <si>
    <t>Substituição de 01 (um) TC 13,8kV posição operacional 91H1-2 da Subestação ACD.</t>
  </si>
  <si>
    <t>BC 13,8 kV 3,1 MVAr ACU II BC1 RN</t>
  </si>
  <si>
    <t>0006484/2024</t>
  </si>
  <si>
    <t>91H1-2.N</t>
  </si>
  <si>
    <t>Substituição do Sistema de Registro de Perturbação associado ao vão de Entrada de Linha  04C8 (LT 230 kV BANABUIU /AQUIRAZ II C-1), na subestação BANABUIU, composto por: 01 Oscilógrafo e infraestrutura de comunicação associada.</t>
  </si>
  <si>
    <t>0006485/2024</t>
  </si>
  <si>
    <t>11449294</t>
  </si>
  <si>
    <t>Substituição do Sistema de Registro de Perturbação na Entrada de Linha 04L4, na subestação ACU II, composto por: 01 Oscilógrafo.</t>
  </si>
  <si>
    <t>LT 230 kV PARAISO /ACU II C-2 RN</t>
  </si>
  <si>
    <t>0006486/2024</t>
  </si>
  <si>
    <t>11446384</t>
  </si>
  <si>
    <t>Substituição do Sistema de Registro de Perturbação na Entrada de Linha 04L1, na subestação B. ESPERANCA, composto por: 01 Oscilógrafo.</t>
  </si>
  <si>
    <t>0006488/2024</t>
  </si>
  <si>
    <t>11446292</t>
  </si>
  <si>
    <t>Substituição do Sistema de Registro de Perturbação na Entrada de Linha 03C2, na subestação BARREIRAS, composto por: 01 Oscilógrafo.</t>
  </si>
  <si>
    <t>EL 138 kV BARREIRAS DIST2 (13C2)</t>
  </si>
  <si>
    <t>0006490/2024</t>
  </si>
  <si>
    <t>11446346</t>
  </si>
  <si>
    <t>Substituição do Sistema de Registro de Perturbação na Entrada de Linha 03P1, na subestação FUNIL, composto por: 01 Oscilógrafo.</t>
  </si>
  <si>
    <t>EL 138 kV FUNIL DIST6 (13P1)</t>
  </si>
  <si>
    <t>0006491/2024</t>
  </si>
  <si>
    <t>11446417</t>
  </si>
  <si>
    <t>Substituição de 01 (um) Painel de serviço auxiliar posição operacional AUX-DC da subestação PAQ.</t>
  </si>
  <si>
    <t>0006492/2024</t>
  </si>
  <si>
    <t>11420279</t>
  </si>
  <si>
    <t>Substituição do Sistema de Registro de Perturbação na Entrada de Linha 04N2, na subestação NATAL II, composto por: 01 Oscilógrafo.</t>
  </si>
  <si>
    <t>0006494/2024</t>
  </si>
  <si>
    <t>11449260</t>
  </si>
  <si>
    <t>Substituição de 01 (um) Painel de serviço auxiliar posição operacional AUX-AC da subestação PAQ.</t>
  </si>
  <si>
    <t>0006497/2024</t>
  </si>
  <si>
    <t>11420280</t>
  </si>
  <si>
    <t>Substituição de 01 (um) Painel de serviço auxiliar posição operacional QFR1 da subestação PAQ.</t>
  </si>
  <si>
    <t>0006498/2024</t>
  </si>
  <si>
    <t>12587113</t>
  </si>
  <si>
    <t>Substituição de 01 (um) Painel de serviço auxiliar posição operacional QFR2 da subestação PAQ.</t>
  </si>
  <si>
    <t>0006500/2024</t>
  </si>
  <si>
    <t>12587114</t>
  </si>
  <si>
    <t>Substituição de 01 (um) Painel de serviço auxiliar posição operacional QFR3 da subestação PAQ.</t>
  </si>
  <si>
    <t>0006502/2024</t>
  </si>
  <si>
    <t>12587115</t>
  </si>
  <si>
    <t>Substituição de 01 (um) Painel de serviço auxiliar posição operacional QCC1 da subestação PAQ.</t>
  </si>
  <si>
    <t>0006503/2024</t>
  </si>
  <si>
    <t>12587116</t>
  </si>
  <si>
    <t>Substituição do Sistema de Registro de Perturbação na Entrada de Linha 04N1, na subestação NATAL II, composto por: 01 Oscilógrafo.</t>
  </si>
  <si>
    <t>0007248/2024</t>
  </si>
  <si>
    <t>11446242</t>
  </si>
  <si>
    <t>Substituição de 01 (um) Painel de serviço auxiliar posição operacional QCC2 da subestação PAQ.</t>
  </si>
  <si>
    <t>0006506/2024</t>
  </si>
  <si>
    <t>12587117</t>
  </si>
  <si>
    <t>Substituição do Sistema de Registro de Perturbação na Entrada de Linha 04N3, na subestação NATAL II, composto por: 01 Oscilógrafo.</t>
  </si>
  <si>
    <t>0006507/2024</t>
  </si>
  <si>
    <t>11446376</t>
  </si>
  <si>
    <t>Substituição de 01 (um) Painel de serviço auxiliar posição operacional QCC3 da subestação PAQ.</t>
  </si>
  <si>
    <t>0006509/2024</t>
  </si>
  <si>
    <t>12587118</t>
  </si>
  <si>
    <t>Substituição do Sistema de Registro de Perturbação na Entrada de Linha 04N4, na subestação NATAL II, composto por: 01 Oscilógrafo.</t>
  </si>
  <si>
    <t>0007260/2024</t>
  </si>
  <si>
    <t>11446387</t>
  </si>
  <si>
    <t>Substituição de 01 (um) Painel de serviço auxiliar posição operacional AUX-DC da subestação SOB.</t>
  </si>
  <si>
    <t>0006510/2024</t>
  </si>
  <si>
    <t>11420111</t>
  </si>
  <si>
    <t>Substituição do Sistema de Registro de Perturbação na Entrada de Linha 05S4, na subestação OLINDINA, composto por: 01 Oscilógrafo.</t>
  </si>
  <si>
    <t>0006512/2024</t>
  </si>
  <si>
    <t>11446316</t>
  </si>
  <si>
    <t>Substituição de 01 (um) Painel de serviço auxiliar posição operacional AUX-AC da subestação SOB.</t>
  </si>
  <si>
    <t>0006513/2024</t>
  </si>
  <si>
    <t>11420112</t>
  </si>
  <si>
    <t>Substituição do Sistema de Registro de Perturbação na Entrada de Linha 04G11, na subestação P.AFONSO III, composto por: 01 Oscilógrafo.</t>
  </si>
  <si>
    <t>EL 230 kV P.AFONSO III LT 230 kV P.AFONSO III /USINA PA-III C-2 AL/BA (14G11)</t>
  </si>
  <si>
    <t>0006514/2024</t>
  </si>
  <si>
    <t>11449326</t>
  </si>
  <si>
    <t>Substituição de 01 (um) Painel de serviço auxiliar posição operacional AUX-DC da subestação AGD.</t>
  </si>
  <si>
    <t>0006515/2024</t>
  </si>
  <si>
    <t>11420155</t>
  </si>
  <si>
    <t>Substituição do Sistema de Registro de Perturbação na Entrada de Linha 04J3, na subestação P.AFONSO III, composto por: 01 Oscilógrafo.</t>
  </si>
  <si>
    <t>EL 230 kV P.AFONSO III LT 230 kV P.AFONSO III /USINA PA-II C-3 AL/BA (14J3)</t>
  </si>
  <si>
    <t>0007263/2024</t>
  </si>
  <si>
    <t>11449323</t>
  </si>
  <si>
    <t>Substituição de 01 (um) Painel de serviço auxiliar posição operacional AUX-AC da subestação AGD.</t>
  </si>
  <si>
    <t>0006517/2024</t>
  </si>
  <si>
    <t>11420156</t>
  </si>
  <si>
    <t>PILOES II</t>
  </si>
  <si>
    <t>Substituição do Sistema de Registro de Perturbação na Entrada de Linha 03L2, na subestação PILOES, composto por: 01 Oscilógrafo.</t>
  </si>
  <si>
    <t>EL 138 kV PILOES LT 138 kV C.GRANDE II /PILOES C-1 PB (13L2)</t>
  </si>
  <si>
    <t>0006518/2024</t>
  </si>
  <si>
    <t>11449581</t>
  </si>
  <si>
    <t>Substituição de 01 (um) Painel de serviço auxiliar posição operacional AUX-DC da subestação RCD.</t>
  </si>
  <si>
    <t>0006520/2024</t>
  </si>
  <si>
    <t>11420193</t>
  </si>
  <si>
    <t>Substituição do Sistema de Registro de Perturbação na Entrada de Linha 03M3, na subestação PILOES, composto por: 01 Oscilógrafo.</t>
  </si>
  <si>
    <t>EL 138 kV PILOES LT 138 kV PILOES /PARAISO C-1 PB/RN (13M3)</t>
  </si>
  <si>
    <t>0006521/2024</t>
  </si>
  <si>
    <t>11449582</t>
  </si>
  <si>
    <t>Substituição de 01 (um) Painel de serviço auxiliar posição operacional AUX-AC da subestação RCD.</t>
  </si>
  <si>
    <t>0006522/2024</t>
  </si>
  <si>
    <t>11420194</t>
  </si>
  <si>
    <t>Substituição do Sistema de Registro de Perturbação na Entrada de Linha 04N1, na subestação PARAISO, composto por: 01 Oscilógrafo.</t>
  </si>
  <si>
    <t>0006524/2024</t>
  </si>
  <si>
    <t>11446374</t>
  </si>
  <si>
    <t>Substituição de 01 (um) Painel de serviço auxiliar posição operacional AUX-DC da subestação MLG.</t>
  </si>
  <si>
    <t>0006525/2024</t>
  </si>
  <si>
    <t>11420207</t>
  </si>
  <si>
    <t>Substituição do Sistema de Registro de Perturbação na Entrada de Linha 04L4, na subestação PARAISO, composto por: 01 Oscilógrafo.</t>
  </si>
  <si>
    <t>0006526/2024</t>
  </si>
  <si>
    <t>11446375</t>
  </si>
  <si>
    <t>Substituição de 01 (um) Painel de serviço auxiliar posição operacional AUX-AC da subestação MLG.</t>
  </si>
  <si>
    <t>0006527/2024</t>
  </si>
  <si>
    <t>11420208</t>
  </si>
  <si>
    <t>Substituição do Sistema de Registro de Perturbação na Entrada de Linha 04M2, na subestação S.JOAO PIAUI, composto por: 01 Oscilógrafo.</t>
  </si>
  <si>
    <t>0006529/2024</t>
  </si>
  <si>
    <t>11449304</t>
  </si>
  <si>
    <t>Substituição de 01 (um) Painel de serviço auxiliar posição operacional AUX-DC da subestação SJI.</t>
  </si>
  <si>
    <t>0006530/2024</t>
  </si>
  <si>
    <t>11420257</t>
  </si>
  <si>
    <t>Substituição do Sistema de Registro de Perturbação na Entrada de Linha 03S1, na subestação SR.BONFIM II, composto por: 01 Oscilógrafo.</t>
  </si>
  <si>
    <t>EL 138 kV SR.BONFIM II JACOBINA (13S1)</t>
  </si>
  <si>
    <t>0006531/2024</t>
  </si>
  <si>
    <t>11446344</t>
  </si>
  <si>
    <t>Substituição de 01 (um) Painel de serviço auxiliar posição operacional AUX-AC da subestação SJI.</t>
  </si>
  <si>
    <t>0006532/2024</t>
  </si>
  <si>
    <t>11420258</t>
  </si>
  <si>
    <t>Substituição do Sistema de Registro de Perturbação na Entrada de Linha 04M3, na subestação TAUA II, composto por: 01 Oscilógrafo.</t>
  </si>
  <si>
    <t>0006534/2024</t>
  </si>
  <si>
    <t>11446397</t>
  </si>
  <si>
    <t>Substituição de 01 (um) Painel de serviço auxiliar posição operacional AUX-DC da subestação LGZ.</t>
  </si>
  <si>
    <t>MG US. L.GONZAGA / CCO-2001-061 - RB</t>
  </si>
  <si>
    <t>0006535/2024</t>
  </si>
  <si>
    <t>11420289</t>
  </si>
  <si>
    <t>Substituição do Sistema de Registro de Perturbação na Entrada de Linha 04M4, na subestação TAUA II, composto por: 01 Oscilógrafo.</t>
  </si>
  <si>
    <t>0006536/2024</t>
  </si>
  <si>
    <t>11446270</t>
  </si>
  <si>
    <t>Substituição de 01 (um) Painel de serviço auxiliar posição operacional AUX-AC da subestação LGZ.</t>
  </si>
  <si>
    <t>0006537/2024</t>
  </si>
  <si>
    <t>11420290</t>
  </si>
  <si>
    <t>Substituição de 01 (um) Painel de serviço auxiliar posição operacional AUX-DC da subestação OLD.</t>
  </si>
  <si>
    <t>0006538/2024</t>
  </si>
  <si>
    <t>11420311</t>
  </si>
  <si>
    <t>Substituição de 01 (um) Painel de serviço auxiliar posição operacional AUX-AC da subestação OLD.</t>
  </si>
  <si>
    <t>0006539/2024</t>
  </si>
  <si>
    <t>11420312</t>
  </si>
  <si>
    <t>Substituição de 01 (um) Painel de serviço auxiliar posição operacional AUX-DC da subestação CMD.</t>
  </si>
  <si>
    <t>0006541/2024</t>
  </si>
  <si>
    <t>11420336</t>
  </si>
  <si>
    <t>Substituição de 01 (um) Painel de serviço auxiliar posição operacional AUX-AC da subestação CMD.</t>
  </si>
  <si>
    <t>0006542/2024</t>
  </si>
  <si>
    <t>11420337</t>
  </si>
  <si>
    <t>Substituição de 01 (um) Retificador de serviço auxiliar posição operacional 400R2 da subestação RCD.</t>
  </si>
  <si>
    <t>0006544/2024</t>
  </si>
  <si>
    <t>11455504</t>
  </si>
  <si>
    <t>Substituição de 01 (um) Retificador de serviço auxiliar posição operacional 400R5 440 Vac 125 Vcc da subestação RCD.</t>
  </si>
  <si>
    <t>0006545/2024</t>
  </si>
  <si>
    <t>11455507</t>
  </si>
  <si>
    <t>11,9</t>
  </si>
  <si>
    <t>Substituição do Sistema de Registro de Perturbação na IB 11D1, na subestação MATATU, composto por: 01 Oscilógrafo.</t>
  </si>
  <si>
    <t>IB 11,9 kV MG 230 kV MATATU MG1 BA IB1 (11D1)</t>
  </si>
  <si>
    <t>0006547/2024</t>
  </si>
  <si>
    <t>11446444</t>
  </si>
  <si>
    <t>Substituição de 01 (um) Retificador de serviço auxiliar posição operacional 400R6 440 Vac 125 Vcc da subestação RCD.</t>
  </si>
  <si>
    <t>0006548/2024</t>
  </si>
  <si>
    <t>11455508</t>
  </si>
  <si>
    <t>Substituição de 01 (um) Retificador de serviço auxiliar posição operacional 400RR1 440 Vac 125 Vcc da subestação RCD.</t>
  </si>
  <si>
    <t>0006550/2024</t>
  </si>
  <si>
    <t>11455509</t>
  </si>
  <si>
    <t>Substituição de 01 (um) Retificador de serviço auxiliar posição operacional 400R1 440 Vac 125 Vcc da subestação OLD.</t>
  </si>
  <si>
    <t>0006551/2024</t>
  </si>
  <si>
    <t>11455680</t>
  </si>
  <si>
    <t>Substituição de 01 (um) Retificador de serviço auxiliar posição operacional 400R2 440 Vac 125 Vcc da subestação OLD.</t>
  </si>
  <si>
    <t>0006553/2024</t>
  </si>
  <si>
    <t>11455681</t>
  </si>
  <si>
    <t>Substituição de 01 (um) Retificador de serviço auxiliar posição operacional 400R5 440 Vac 125 Vcc da subestação CMD.</t>
  </si>
  <si>
    <t>0006554/2024</t>
  </si>
  <si>
    <t>11455714</t>
  </si>
  <si>
    <t>Substituição de Multiplexador Rádio na U. A. SALES, composto por: 01 Multiplexador.</t>
  </si>
  <si>
    <t>0006555/2024</t>
  </si>
  <si>
    <t>11371535</t>
  </si>
  <si>
    <t>Substituição de 01 (um) Retificador de serviço auxiliar posição operacional 400R6 440 Vac 125 Vcc da subestação CMD.</t>
  </si>
  <si>
    <t>0006557/2024</t>
  </si>
  <si>
    <t>11455715</t>
  </si>
  <si>
    <t>US.COREMAS</t>
  </si>
  <si>
    <t>Substituição de Remota ECIL, na USINA PCH CUREMAS, composto por: 01 UTR.</t>
  </si>
  <si>
    <t>MDL GERACAO EQUIVALENTE A MG EM PCH CUREMAS (UCR)</t>
  </si>
  <si>
    <t>0006558/2024</t>
  </si>
  <si>
    <t>11451401</t>
  </si>
  <si>
    <t>Substituição de 01 (um) Retificador de serviço auxiliar posição operacional 400R1 440 Vac 125 Vcc da subestação CMD.</t>
  </si>
  <si>
    <t>0006559/2024</t>
  </si>
  <si>
    <t>11455719</t>
  </si>
  <si>
    <t>USINA BOA ESPERANCA*</t>
  </si>
  <si>
    <t>Substituição de 01 (uma) Seccionadora 230 kV, posição operacional 34T1-8 da Usina UBE</t>
  </si>
  <si>
    <t>MDL GERACAO EQUIVALENTE A MG EM USINA BOA ESPERANCA (UBE)</t>
  </si>
  <si>
    <t>0006561/2024</t>
  </si>
  <si>
    <t>Substituição de 01 (um) Retificador de serviço auxiliar posição operacional 400R2 440 Vac 125 Vcc da subestação CMD.</t>
  </si>
  <si>
    <t>0006562/2024</t>
  </si>
  <si>
    <t>11455720</t>
  </si>
  <si>
    <t>Substituição de 01 (uma) Seccionadora 230 kV, posição operacional 34T2-8 da Usina UBE</t>
  </si>
  <si>
    <t>0006563/2024</t>
  </si>
  <si>
    <t>Substituição de 01 (um) Retificador de serviço auxiliar posição operacional 400R1 440 Vac 125 Vcc da subestação AGD.</t>
  </si>
  <si>
    <t>0006564/2024</t>
  </si>
  <si>
    <t>11455838</t>
  </si>
  <si>
    <t>Substituição de 01 (uma) Seccionadora 230 kV posição operacional 34T3-8 da Usina UBE</t>
  </si>
  <si>
    <t>0006566/2024</t>
  </si>
  <si>
    <t>Substituição de 01 (um) Retificador de serviço auxiliar posição operacional 400R2 440 Vac 125 Vcc da subestação AGD.</t>
  </si>
  <si>
    <t>0006567/2024</t>
  </si>
  <si>
    <t>11455839</t>
  </si>
  <si>
    <t>Substituição de 01 (uma) Seccionadora 230 kV posição operacional 34T4-8 da Usina UBE</t>
  </si>
  <si>
    <t>0006569/2024</t>
  </si>
  <si>
    <t>Substituição de 01 (um) Painel de serviço auxiliar posição operacional QFR1 da subestação OLD.</t>
  </si>
  <si>
    <t>0006570/2024</t>
  </si>
  <si>
    <t>12587119</t>
  </si>
  <si>
    <t>P. AFONSO II</t>
  </si>
  <si>
    <t>Substituição de 01 (um) PR 138 kV  posição operacional 73T2.A da Usina USD</t>
  </si>
  <si>
    <t>MDL GERACAO EQUIVALENTE A MG EM USINA PA-II (USD)</t>
  </si>
  <si>
    <t>0006571/2024</t>
  </si>
  <si>
    <t>Substituição de 01 (um) Painel de serviço auxiliar posição operacional QCC1 da subestação OLD.</t>
  </si>
  <si>
    <t>0006572/2024</t>
  </si>
  <si>
    <t>12587120</t>
  </si>
  <si>
    <t>Substituição de 01 (um) PR 138 kV  posição operacional 73T2.B da Usina USD</t>
  </si>
  <si>
    <t>0006574/2024</t>
  </si>
  <si>
    <t>Substituição de 01 (um) Painel de serviço auxiliar posição operacional QFR1 da subestação CMD.</t>
  </si>
  <si>
    <t>0006575/2024</t>
  </si>
  <si>
    <t>12587123</t>
  </si>
  <si>
    <t>Substituição de 01 (um) PR 138 kV  posição operacional 73T2.C da Usina USD</t>
  </si>
  <si>
    <t>0006576/2024</t>
  </si>
  <si>
    <t>Substituição de 01 (um) Painel de serviço auxiliar posição operacional QFR2 da subestação CMD.</t>
  </si>
  <si>
    <t>0006577/2024</t>
  </si>
  <si>
    <t>12587124</t>
  </si>
  <si>
    <t>Substituição de 01 (um) PR 138 kV  posição operacional 73T4.A da Usina USD</t>
  </si>
  <si>
    <t>0006578/2024</t>
  </si>
  <si>
    <t>Substituição de 01 (um) Painel de serviço auxiliar posição operacional QFR3 da subestação CMD.</t>
  </si>
  <si>
    <t>0006579/2024</t>
  </si>
  <si>
    <t>12587125</t>
  </si>
  <si>
    <t>Substituição de 01 (um) PR 138 kV  posição operacional 73T4.B da Usina USD</t>
  </si>
  <si>
    <t>0006580/2024</t>
  </si>
  <si>
    <t>Substituição de 01 (um) Painel de serviço auxiliar posição operacional QCC1 da subestação CMD.</t>
  </si>
  <si>
    <t>0006581/2024</t>
  </si>
  <si>
    <t>12587126</t>
  </si>
  <si>
    <t>Substituição de 01 (um) PR 138 kV  posição operacional 73T4.C da Usina USD</t>
  </si>
  <si>
    <t>0006582/2024</t>
  </si>
  <si>
    <t>Substituição de 01 (um) Painel de serviço auxiliar posição operacional QCC2 da subestação CMD.</t>
  </si>
  <si>
    <t>0006583/2024</t>
  </si>
  <si>
    <t>12587127</t>
  </si>
  <si>
    <t>Substituição de 01 (um) Painel de serviço auxiliar posição operacional QCC3 da subestação CMD.</t>
  </si>
  <si>
    <t>0006586/2024</t>
  </si>
  <si>
    <t>12587128</t>
  </si>
  <si>
    <t>Substituição de 01 (um) Painel de serviço auxiliar posição operacional QA1CS da subestação CMD.</t>
  </si>
  <si>
    <t>0006588/2024</t>
  </si>
  <si>
    <t>12587134</t>
  </si>
  <si>
    <t>Substituição de 01 (um) Painel de serviço auxiliar posição operacional QA2CS da subestação CMD.</t>
  </si>
  <si>
    <t>0006590/2024</t>
  </si>
  <si>
    <t>12587135</t>
  </si>
  <si>
    <t>Substituição de 01 (um) Painel de serviço auxiliar posição operacional QDA11 da subestação LGZ.</t>
  </si>
  <si>
    <t>0006592/2024</t>
  </si>
  <si>
    <t>12587136</t>
  </si>
  <si>
    <t>Substituição de 01 (um) Painel de serviço auxiliar posição operacional QDA21 da subestação LGZ.</t>
  </si>
  <si>
    <t>0006594/2024</t>
  </si>
  <si>
    <t>12587137</t>
  </si>
  <si>
    <t>Substituição de 01 (um) Painel de serviço auxiliar posição operacional QDA31 da subestação LGZ.</t>
  </si>
  <si>
    <t>0006596/2024</t>
  </si>
  <si>
    <t>12587138</t>
  </si>
  <si>
    <t>Substituição de 01 (um) Painel de serviço auxiliar posição operacional QDB11 da subestação LGZ.</t>
  </si>
  <si>
    <t>0006598/2024</t>
  </si>
  <si>
    <t>12587139</t>
  </si>
  <si>
    <t>Substituição de 01 (um) Painel de serviço auxiliar posição operacional QDB21 da subestação LGZ.</t>
  </si>
  <si>
    <t>0006600/2024</t>
  </si>
  <si>
    <t>12587140</t>
  </si>
  <si>
    <t>Substituição de 01 (um) Painel de serviço auxiliar posição operacional QDB31 da subestação LGZ.</t>
  </si>
  <si>
    <t>0006602/2024</t>
  </si>
  <si>
    <t>12587141</t>
  </si>
  <si>
    <t>Substituição de 01 (um) Painel de serviço auxiliar posição operacional QFR1 da subestação RCD.</t>
  </si>
  <si>
    <t>0006603/2024</t>
  </si>
  <si>
    <t>12587142</t>
  </si>
  <si>
    <t>Substituição de 01 (um) Painel de serviço auxiliar posição operacional QFR2 da subestação RCD.</t>
  </si>
  <si>
    <t>0006604/2024</t>
  </si>
  <si>
    <t>12587143</t>
  </si>
  <si>
    <t>Substituição de 01 (um) Painel de serviço auxiliar posição operacional QCC1 da subestação RCD.</t>
  </si>
  <si>
    <t>0006605/2024</t>
  </si>
  <si>
    <t>12587144</t>
  </si>
  <si>
    <t>Substituição de 01 (um) Painel de serviço auxiliar posição operacional QCC2 da subestação RCD.</t>
  </si>
  <si>
    <t>0006606/2024</t>
  </si>
  <si>
    <t>12587145</t>
  </si>
  <si>
    <t>Substituição de 01 (um) Painel de serviço auxiliar posição operacional QA3 da subestação RCD.</t>
  </si>
  <si>
    <t>0006607/2024</t>
  </si>
  <si>
    <t>12587146</t>
  </si>
  <si>
    <t>Substituição de 01 (um) Painel de serviço auxiliar posição operacional QA4 da subestação RCD.</t>
  </si>
  <si>
    <t>0006608/2024</t>
  </si>
  <si>
    <t>12587147</t>
  </si>
  <si>
    <t>Substituição de 01 (um) Painel de serviço auxiliar posição operacional QFG da subestação SOB.</t>
  </si>
  <si>
    <t>0006609/2024</t>
  </si>
  <si>
    <t>12587152</t>
  </si>
  <si>
    <t>LT 230 kV GARANHUNS II /ANGELIM PE</t>
  </si>
  <si>
    <t>Substituição de 6 esferas de sinalização em 2 vão(s) da LT 230 kV GARANHUNS II /ANGELIM C-2 PE-04N2 (001/2;010/2).</t>
  </si>
  <si>
    <t>0006610/2024</t>
  </si>
  <si>
    <t>d-sgrdsagl-04n2-esfe-1</t>
  </si>
  <si>
    <t>Substituição de 01 (um) Painel de serviço auxiliar posição operacional SU7 da subestação SOB.</t>
  </si>
  <si>
    <t>0006612/2024</t>
  </si>
  <si>
    <t>12587153</t>
  </si>
  <si>
    <t>Substituição de 6 esferas de sinalização em 2 vão(s) da LT 230 kV GARANHUNS II /ANGELIM C-3 PE-04N4 (001/2;010/3).</t>
  </si>
  <si>
    <t>LT 230 kV GARANHUNS II /ANGELIM C-3 PE</t>
  </si>
  <si>
    <t>0006613/2024</t>
  </si>
  <si>
    <t>d-sgrdsagl-04n4-esfe-1</t>
  </si>
  <si>
    <t>Substituição de 01 (um) Painel de serviço auxiliar posição operacional SUC1 da subestação SOB.</t>
  </si>
  <si>
    <t>0006614/2024</t>
  </si>
  <si>
    <t>12587154</t>
  </si>
  <si>
    <t>Substituição de 1 estrutura metálica autoportante 016/4 por outra com altura de 31,5 m e carregamento/esforço de 4372,7 DAN) e componentes e 04 fundações associadas da LT 230 kV ITABAIANA /JARDIM C-1 SE-04C1.</t>
  </si>
  <si>
    <t>0006615/2024</t>
  </si>
  <si>
    <t>11934806</t>
  </si>
  <si>
    <t>Substituição de 01 (um) Painel de serviço auxiliar posição operacional QDF2 da subestação SOB.</t>
  </si>
  <si>
    <t>0006617/2024</t>
  </si>
  <si>
    <t>12587155</t>
  </si>
  <si>
    <t>Substituição de 1 estrutura metálica autoportante 004/3 por outra com altura de 27 m e carregamento/esforço de 4185,6 DAN) e componentes e 04 fundações associadas da LT 230 kV ITABAIANINHA /CATU C-1 SE/BA-04L1.</t>
  </si>
  <si>
    <t>0006618/2024</t>
  </si>
  <si>
    <t>11937058</t>
  </si>
  <si>
    <t>Substituição de 01 (um) Painel de serviço auxiliar posição operacional QDF3 da subestação SOB.</t>
  </si>
  <si>
    <t>0006619/2024</t>
  </si>
  <si>
    <t>12587156</t>
  </si>
  <si>
    <t>Substituição de 1 estrutura metálica autoportante 004/4 por outra com altura de 25,5 m e carregamento/esforço de 4028,9 DAN) e componentes e 04 fundações associadas da LT 230 kV ITABAIANINHA /CATU C-1 SE/BA-04L1.</t>
  </si>
  <si>
    <t>0006621/2024</t>
  </si>
  <si>
    <t>11937078</t>
  </si>
  <si>
    <t>Substituição de 01 (um) Painel de serviço auxiliar posição operacional QDF4 da subestação SOB.</t>
  </si>
  <si>
    <t>0006622/2024</t>
  </si>
  <si>
    <t>12587157</t>
  </si>
  <si>
    <t>Substituição de 01 (um) Painel de serviço auxiliar posição operacional QDF5 da subestação SOB.</t>
  </si>
  <si>
    <t>0006623/2024</t>
  </si>
  <si>
    <t>12587158</t>
  </si>
  <si>
    <t>Substituição de 1 estrutura metálica autoportante 005/1 por outra com altura de 34,5 m e carregamento/esforço de 5471 DAN) e componentes e 04 fundações associadas da LT 230 kV ITABAIANINHA /CATU C-1 SE/BA-04L1.</t>
  </si>
  <si>
    <t>0006625/2024</t>
  </si>
  <si>
    <t>11937098</t>
  </si>
  <si>
    <t>Substituição de 01 (um) Painel de serviço auxiliar posição operacional QDCC11 da subestação SOB.</t>
  </si>
  <si>
    <t>0006626/2024</t>
  </si>
  <si>
    <t>12587159</t>
  </si>
  <si>
    <t>Substituição de 1 estrutura metálica autoportante 007/2 por outra com altura de 28,5 m e carregamento/esforço de 4391,6 DAN) e componentes e 04 fundações associadas da LT 230 kV ITABAIANINHA /CATU C-1 SE/BA-04L1.</t>
  </si>
  <si>
    <t>0006627/2024</t>
  </si>
  <si>
    <t>11937198</t>
  </si>
  <si>
    <t>Substituição de 01 (um) Painel de serviço auxiliar posição operacional QDCC12 da subestação SOB.</t>
  </si>
  <si>
    <t>0006629/2024</t>
  </si>
  <si>
    <t>12587160</t>
  </si>
  <si>
    <t>Substituição de 1 estrutura metálica autoportante 035/2 por outra com altura de 27 m e carregamento/esforço de 5744,9 DAN) e componentes e 04 fundações associadas da LT 230 kV ITABAIANINHA /CATU C-1 SE/BA-04L1.</t>
  </si>
  <si>
    <t>0006630/2024</t>
  </si>
  <si>
    <t>11938539</t>
  </si>
  <si>
    <t>Substituição de 01 (um) Painel de serviço auxiliar posição operacional QDCC13 da subestação SOB.</t>
  </si>
  <si>
    <t>0006631/2024</t>
  </si>
  <si>
    <t>12587161</t>
  </si>
  <si>
    <t>Substituição de 1 estrutura metálica autoportante 085/2 por outra com altura de 33 m e carregamento/esforço de 5554 DAN) e componentes e 04 fundações associadas da LT 230 kV RIO LARGO II /ARAPIRACA III C-1 AL-04F1.</t>
  </si>
  <si>
    <t>0006633/2024</t>
  </si>
  <si>
    <t>11574216</t>
  </si>
  <si>
    <t>Substituição de 01 (um) Painel de serviço auxiliar posição operacional QFR1 da subestação SJI.</t>
  </si>
  <si>
    <t>0006634/2024</t>
  </si>
  <si>
    <t>12587166</t>
  </si>
  <si>
    <t>Substituição de 1 estrutura metálica autoportante 087/2 por outra com altura de 31,5 m e carregamento/esforço de 5457,5 DAN) e componentes e 04 fundações associadas da LT 230 kV RIO LARGO II /ARAPIRACA III C-1 AL-04F1.</t>
  </si>
  <si>
    <t>0006635/2024</t>
  </si>
  <si>
    <t>11574166</t>
  </si>
  <si>
    <t>Substituição de 01 (um) Painel de serviço auxiliar posição operacional QFR2 da subestação SJI.</t>
  </si>
  <si>
    <t>0006636/2024</t>
  </si>
  <si>
    <t>12587167</t>
  </si>
  <si>
    <t>Substituição de 1 estrutura metálica autoportante 089/2 por outra com altura de 36 m e carregamento/esforço de 6046,7 DAN) e componentes e 04 fundações associadas da LT 230 kV RIO LARGO II /ARAPIRACA III C-1 AL-04F1.</t>
  </si>
  <si>
    <t>0006637/2024</t>
  </si>
  <si>
    <t>11574116</t>
  </si>
  <si>
    <t>Substituição de 01 (um) Painel de serviço auxiliar posição operacional QCC1 da subestação SJI.</t>
  </si>
  <si>
    <t>0006638/2024</t>
  </si>
  <si>
    <t>12587168</t>
  </si>
  <si>
    <t>Substituição de 01 (um) Painel de serviço auxiliar posição operacional QCC2 da subestação SJI.</t>
  </si>
  <si>
    <t>0006639/2024</t>
  </si>
  <si>
    <t>12587169</t>
  </si>
  <si>
    <t>Substituição de 01 (um) painel de automatismos e distribuição em corrente alternada da subestação JDM.</t>
  </si>
  <si>
    <t>0006640/2024</t>
  </si>
  <si>
    <t>11420314</t>
  </si>
  <si>
    <t>Substituição de 01 (um) painel de automatismos e distribuição em corrente Contínua da subestação JDM.</t>
  </si>
  <si>
    <t>0006642/2024</t>
  </si>
  <si>
    <t>11420313</t>
  </si>
  <si>
    <t>Substituição do SPCS associado ao vão da Entrada de Linha 01Y2 (LD 13,8 kV BANABUIU /COELCE), na subestação BANABUIU, composto por: 01 painel, 01 unidade de proteção e controle, cabos de controle e infraestrutura de comunicação associados.</t>
  </si>
  <si>
    <t>EL 13,8 kV BANABUIU DIST1 (21Y2)</t>
  </si>
  <si>
    <t>0006644/2024</t>
  </si>
  <si>
    <t>11363021</t>
  </si>
  <si>
    <t>Substituição do SPCS do Transform2dor de Aterramento 02A2, na subestação BANABUIU, composto por: 01 painel, 02 proteções (principal e alternada), 01 unidade de controle, cabos de controle e infraestrutura de comunicação associados.</t>
  </si>
  <si>
    <t>MC 69 kV TT 69/0 kV BANABUIU TT2 CE (32A2)</t>
  </si>
  <si>
    <t>0006646/2024</t>
  </si>
  <si>
    <t>12368746</t>
  </si>
  <si>
    <t>Substituição do SPCS do Transformador 01T6, na subestação IRECE, composto por: 01 painel, 01 unidade de proteção e controle, cabos de controle e infraestrutura de comunicação associados.</t>
  </si>
  <si>
    <t>0006647/2024</t>
  </si>
  <si>
    <t>11361274</t>
  </si>
  <si>
    <t>Substituição do SPCS associado ao disjuntor 11S1 (Serv. Auxiliares 13,8 kV), na subestação CAMACARI II, composto por: 01 painel, 01 unidade de proteção e controle, cabos de controle e infraestrutura de comunicação associados.</t>
  </si>
  <si>
    <t>0006649/2024</t>
  </si>
  <si>
    <t>11356751</t>
  </si>
  <si>
    <t>Substituição do SPCS associado ao vão da Entrada de Linha 02V1 (LT 69 kV RECIFE II /PIRAPAMA C-1), na subestação RECIFE II, composto por: 01 painel, 02 proteções (principal e alternada), 01 unidade de controle, cabos de controle e infraestrutura de comunicação associados.</t>
  </si>
  <si>
    <t>EL 69 kV RECIFE II PIRAPAMA C1 (12V1)</t>
  </si>
  <si>
    <t>0007482/2024</t>
  </si>
  <si>
    <t>11360343</t>
  </si>
  <si>
    <t>Substituição do SPCS do Reator de Linha manobrável 05E2, na subestação CAMACARI IV, composto por: 02 painéis, 02 proteções (principal e alternada), 01 unidade de controle, 02 falhas de disjuntor (principal e alternada), cabos de controle e infraestrutura de comunicação associados.</t>
  </si>
  <si>
    <t>RTL 500 kV 148 Mvar CAMACARI IV RT1 BA</t>
  </si>
  <si>
    <t>0006651/2024</t>
  </si>
  <si>
    <t>11367721</t>
  </si>
  <si>
    <t>Substituição do SPCS do Transformador de Aterramento 02A1, na subestação BANABUIU, composto por: 01 painel, 02 proteções (principal e alternada), 01 unidade de controle, cabos de controle e infraestrutura de comunicação associados.</t>
  </si>
  <si>
    <t>TT 69/13,8 kV BANABUIU TA1 CE</t>
  </si>
  <si>
    <t>0007486/2024</t>
  </si>
  <si>
    <t>12406167</t>
  </si>
  <si>
    <t>Substituição de 01 (um) PR 230kV,  posição operacional 74S1.B da Subestação BNO</t>
  </si>
  <si>
    <t>0006654/2024</t>
  </si>
  <si>
    <t>74S1.B</t>
  </si>
  <si>
    <t>Substituição de 01 (um) Disjuntor de 69 kV, posição operacional 12T3 da subestação MRD.</t>
  </si>
  <si>
    <t>0006655/2024</t>
  </si>
  <si>
    <t>12T3</t>
  </si>
  <si>
    <t>Substituição do SPCS associado ao vão da Entrada de Linha 02M6 (LT 69 kV GOIANINHA /AGROINDÚSTRIA), na subestação GOIANINHA, composto por: 01 painel, 02 proteções (principal e alternada), 01 unidade de controle, cabos de controle e infraestrutura de comunicação associados.</t>
  </si>
  <si>
    <t>EL 69 kV GOIANINHA DIST5 (12M6)</t>
  </si>
  <si>
    <t>0006657/2024</t>
  </si>
  <si>
    <t>11364103</t>
  </si>
  <si>
    <t>Substituição do SPCS associado ao vão da Entrada de Linha 02M7 (LT 69 kV GOIANINHA /GOIANA II), na subestação GOIANINHA, composto por: 01 painel, 02 proteções (principal e alternada), 01 unidade de controle, cabos de controle e infraestrutura de comunicação associados.</t>
  </si>
  <si>
    <t>EL 69 kV GOIANINHA DIST6 (12M7)</t>
  </si>
  <si>
    <t>0006658/2024</t>
  </si>
  <si>
    <t>11353345</t>
  </si>
  <si>
    <t>Substituição de 01 (um) disjuntor de 69 kV, posição operacional 12J2 da subestação de RSD.</t>
  </si>
  <si>
    <t>0006659/2024</t>
  </si>
  <si>
    <t>12J2</t>
  </si>
  <si>
    <t>Substituição do SPCS do Disjuntor de Interligação de Barras 12D1, na subestação GOIANINHA, composto por: 01 painel, 02 proteções (principal e alternada), 01 unidade de controle, cabos de controle e infraestrutura de comunicação associados.</t>
  </si>
  <si>
    <t>0006660/2024</t>
  </si>
  <si>
    <t>11358502</t>
  </si>
  <si>
    <t>Substituição de 01 (um) disjuntor de 69 kV, posição operacional 12J5 da subestação de RSD.</t>
  </si>
  <si>
    <t>0006661/2024</t>
  </si>
  <si>
    <t>12J5</t>
  </si>
  <si>
    <t>Substituição do SPCS do Reator de Barra 04E1, na subestação GOIANINHA, composto por: 02 painéis, 02 proteções (principal e alternada), 01 unidade de controle, 02 falhas de disjuntor (principal e alternada), cabos de controle e infraestrutura de comunicação associados.</t>
  </si>
  <si>
    <t>RTB 230 kV 10 MVAr GOIANINHA RT1 PE</t>
  </si>
  <si>
    <t>0006662/2024</t>
  </si>
  <si>
    <t>11362940</t>
  </si>
  <si>
    <t>Substituição de 01 (um) disjuntor de 69 kV, posição operacional 12L1 da subestação de PIC.</t>
  </si>
  <si>
    <t>EL 69 kV PICOS DIST1 (12L1)</t>
  </si>
  <si>
    <t>0006663/2024</t>
  </si>
  <si>
    <t>12L1</t>
  </si>
  <si>
    <t>Substituição do SPCS associado ao vão da Entrada de Linha 04C8 (LT 230 kV RECIFE II /GOIANINHA C-1), na subestação GOIANINHA, composto por: 02 painéis, 02 proteções (principal e alternada), 01 unidade de controle, 02 falhas de disjuntor (principal e alternada), cabos de controle e infraestrutura de comunicação associados.</t>
  </si>
  <si>
    <t>0006664/2024</t>
  </si>
  <si>
    <t>11353314</t>
  </si>
  <si>
    <t>Substituição de 01 (um) disjuntor de 69 kV, posição operacional 12L2 da subestação de PIC.</t>
  </si>
  <si>
    <t>EL 69 kV PICOS DIST2 (12L2)</t>
  </si>
  <si>
    <t>0006666/2024</t>
  </si>
  <si>
    <t>12L2</t>
  </si>
  <si>
    <t>Substituição do SPCS associado ao vão da Entrada de Linha 04C9 (LT 230 kV RECIFE II /GOIANINHA C-2), na subestação GOIANINHA, composto por: 02 painéis, 02 proteções (principal e alternada), 01 unidade de controle, 02 falhas de disjuntor (principal e alternada), cabos de controle e infraestrutura de comunicação associados.</t>
  </si>
  <si>
    <t>0006667/2024</t>
  </si>
  <si>
    <t>11353310</t>
  </si>
  <si>
    <t>Substituição de 01 (um) disjuntor de 69 kV, posição operacional 12J1 da subestação de TSA.</t>
  </si>
  <si>
    <t>0006668/2024</t>
  </si>
  <si>
    <t>Substituição do SPCS associado ao vão da Entrada de Linha 04L3 (LT 230 kV GOIANINHA /C.GRANDE II C-1), na subestação GOIANINHA, composto por: 02 painéis, 02 proteções (principal e alternada), 01 unidade de controle, 02 falhas de disjuntor (principal e alternada), cabos de controle e infraestrutura de comunicação associados.</t>
  </si>
  <si>
    <t>0006669/2024</t>
  </si>
  <si>
    <t>11353316</t>
  </si>
  <si>
    <t>Substituição de 01 (um) disjuntor de 69 kV, posição operacional 12J2 da subestação de FTZ.</t>
  </si>
  <si>
    <t>EL 69 kV FORTALEZA MESSEJANA 02J2 (12J2)</t>
  </si>
  <si>
    <t>0006671/2024</t>
  </si>
  <si>
    <t>Substituição do SPCS do Transformador 04T1, na subestação GOIANINHA, composto por: 02 painéis, 02 proteções (principal e alternada), 02 unidades de controle, 02 falhas de disjuntor (principal e alternada), cabos de controle e infraestrutura de comunicação associados.</t>
  </si>
  <si>
    <t>TR 230/69 kV GOIANINHA TR1 PE</t>
  </si>
  <si>
    <t>0006672/2024</t>
  </si>
  <si>
    <t>11359115</t>
  </si>
  <si>
    <t>Substituição do SPCS associado ao vão da Entrada de Linha 04C1 (LT 230 kV G.MANGABEIRA /SAPEACU C-1), na subestação G.MANGABEIRA, composto por: 02 painéis, 02 proteções (principal e alternada), 01 unidade de controle, 02 falhas de disjuntor (principal e alternada), cabos de controle e infraestrutura de comunicação associados.</t>
  </si>
  <si>
    <t>0006674/2024</t>
  </si>
  <si>
    <t>11366161</t>
  </si>
  <si>
    <t>Substituição do SPCS associado ao vão da Entrada de Linha 04C2 (LT 230 kV G.MANGABEIRA /SAPEACU C-2), na subestação G.MANGABEIRA, composto por: 02 painéis, 02 proteções (principal e alternada), 01 unidade de controle, 02 falhas de disjuntor (principal e alternada), cabos de controle e infraestrutura de comunicação associados.</t>
  </si>
  <si>
    <t>0006676/2024</t>
  </si>
  <si>
    <t>11365374</t>
  </si>
  <si>
    <t>Substituição de 01 (um) disjuntor de 69 kV, posição operacional 12J3 da subestação de FTZ.</t>
  </si>
  <si>
    <t>EL 69 kV FORTALEZA D. GOUVEIA 02J3 (12J3)</t>
  </si>
  <si>
    <t>0006677/2024</t>
  </si>
  <si>
    <t>12J3</t>
  </si>
  <si>
    <t>Substituição do SPCS associado ao vão da Entrada de Linha 04C3 (LT 230 kV G.MANGABEIRA /SAPEACU C-3), na subestação G.MANGABEIRA, composto por: 02 painéis, 02 proteções (principal e alternada), 01 unidade de controle, 02 falhas de disjuntor (principal e alternada), cabos de controle e infraestrutura de comunicação associados.</t>
  </si>
  <si>
    <t>0006679/2024</t>
  </si>
  <si>
    <t>11365373</t>
  </si>
  <si>
    <t>Substituição de 01 (um) disjuntor de 69 kV, posição operacional 12J4 da subestação de FTZ.</t>
  </si>
  <si>
    <t>EL 69 kV FORTALEZA D. GOUVEIA 02J4 (12J4)</t>
  </si>
  <si>
    <t>0006680/2024</t>
  </si>
  <si>
    <t>Substituição do SPCS associado ao vão da Entrada de Linha 04C7 (LT 230 kV CAMACARI II /G.MANGABEIRA C-1), na subestação G.MANGABEIRA, composto por: 02 painéis, 02 proteções (principal e alternada), 01 unidade de controle, 02 falhas de disjuntor (principal e alternada), cabos de controle e infraestrutura de comunicação associados.</t>
  </si>
  <si>
    <t>0006681/2024</t>
  </si>
  <si>
    <t>11367764</t>
  </si>
  <si>
    <t>Substituição de 01 (um) disjuntor de 69 kV, posição operacional 12J5 da subestação de FTZ.</t>
  </si>
  <si>
    <t>EL 69 kV FORTALEZA TBM 02J5 (12J5)</t>
  </si>
  <si>
    <t>0006683/2024</t>
  </si>
  <si>
    <t>Substituição do SPCS associado ao vão da Entrada de Linha 04S1 (LT 230 kV TOMBA /G.MANGABEIRA C-1), na subestação G.MANGABEIRA, composto por: 02 painéis, 02 proteções (principal e alternada), 01 unidade de controle, 02 falhas de disjuntor (principal e alternada), cabos de controle e infraestrutura de comunicação associados.</t>
  </si>
  <si>
    <t>0006684/2024</t>
  </si>
  <si>
    <t>11365575</t>
  </si>
  <si>
    <t>Substituição de 01 (um) disjuntor de 69 kV, posição operacional 12J7 da subestação de FTZ.</t>
  </si>
  <si>
    <t>EL 69 kV FORTALEZA PARANGABA 02J7 (12J7)</t>
  </si>
  <si>
    <t>0006685/2024</t>
  </si>
  <si>
    <t>12J7</t>
  </si>
  <si>
    <t>Substituição do SPCS associado ao vão da Entrada de Linha 04S4 (LT 230 kV P.DO CAVALO /G.MANGABEIRA C-1), na subestação G.MANGABEIRA, composto por: 02 painéis, 02 proteções (principal e alternada), 01 unidade de controle, 02 falhas de disjuntor (principal e alternada), cabos de controle e infraestrutura de comunicação associados.</t>
  </si>
  <si>
    <t>0006687/2024</t>
  </si>
  <si>
    <t>11365572</t>
  </si>
  <si>
    <t>Substituição de 01 (um) disjuntor de 69 kV, posição operacional 12J8 da subestação de FTZ.</t>
  </si>
  <si>
    <t>0006688/2024</t>
  </si>
  <si>
    <t>12J8</t>
  </si>
  <si>
    <t>Substituição do SPCS do Transformador 04T2, na subestação G.MANGABEIRA, composto por: 02 painéis, 02 proteções (principal e alternada), 02 unidades de controle, 02 falhas de disjuntor (principal e alternada), cabos de controle e infraestrutura de comunicação associados.</t>
  </si>
  <si>
    <t>0006689/2024</t>
  </si>
  <si>
    <t>11361833</t>
  </si>
  <si>
    <t>Substituição do SPCS do Disjuntor de Interligação de Barras 14D1, na subestação G.MANGABEIRA, composto por: 01 painel, 01 unidade de controle, 02 falhas de disjuntor (principal e alternada), cabos de controle e infraestrutura de comunicação associados.</t>
  </si>
  <si>
    <t>0006691/2024</t>
  </si>
  <si>
    <t>11352667</t>
  </si>
  <si>
    <t>Substituição de 01 (um) disjuntor de 69 kV, posição operacional 12J9 da subestação de FTZ.</t>
  </si>
  <si>
    <t>0006692/2024</t>
  </si>
  <si>
    <t>12J9</t>
  </si>
  <si>
    <t>Substituição do SPCS associado ao vão da Entrada de Linha 04L4 (LT 230 kV PITUACU /RL (COTEGIPE / MATATU) C-1), na subestação PITUACU, composto por: 02 painéis, 02 proteções (principal e alternada), 01 unidade de controle, 02 falhas de disjuntor (principal e alternada), cabos de controle e infraestrutura de comunicação associados.</t>
  </si>
  <si>
    <t>LT 230 kV PITUACU /RL (COTEGIPE/MATATU) C-1 BA/PE</t>
  </si>
  <si>
    <t>0006693/2024</t>
  </si>
  <si>
    <t>11365460</t>
  </si>
  <si>
    <t>Substituição de 01 (um) disjuntor de 69 kV, posição operacional 12L3 da subestação de FTZ.</t>
  </si>
  <si>
    <t>EL 69 kV FORTALEZA DISTR. II 02L3 (12L3)</t>
  </si>
  <si>
    <t>0006694/2024</t>
  </si>
  <si>
    <t>12L3</t>
  </si>
  <si>
    <t>Substituição do SPCS do Reator de Barra 01E1, na subestação IRECE, composto por: 01 painel, 01 unidade de proteção e controle, cabos de controle e infraestrutura de comunicação associados.</t>
  </si>
  <si>
    <t>RTB 13,8 kV 5 MVAr IRECE RT1 BA</t>
  </si>
  <si>
    <t>0006696/2024</t>
  </si>
  <si>
    <t>11360764</t>
  </si>
  <si>
    <t>Substituição de 01 (um) disjuntor de 230 KV, posição operacional 14M1 da Subestação RIB</t>
  </si>
  <si>
    <t>0006697/2024</t>
  </si>
  <si>
    <t>14M1</t>
  </si>
  <si>
    <t>Substituição do SPCS do Transformador de Aterramento 02A1, na subestação IRECE, composto por: 01 painel, 02 proteções (principal e alternada), 01 unidade de controle, cabos de controle e infraestrutura de comunicação associados.</t>
  </si>
  <si>
    <t>MC 69 kV TT 69/13,8 kV IRECE TA1 BA (32A1)</t>
  </si>
  <si>
    <t>0006698/2024</t>
  </si>
  <si>
    <t>11361542</t>
  </si>
  <si>
    <t>Substituição de 01 (um) disjuntor de 230 KV, posição operacional 14C1 da Subestação JDM</t>
  </si>
  <si>
    <t>0006700/2024</t>
  </si>
  <si>
    <t>Substituição do SPCS associado ao vão da Entrada de Linha 03N2 (LT 138 kV IRECE /BAIXIOS), na subestação IRECE, composto por: 01 painel, 02 proteções (principal e alternada), 01 unidade de controle, cabos de controle e infraestrutura de comunicação associados.</t>
  </si>
  <si>
    <t>EL 138 kV IRECE BAIXIOS 03N2 (13N2)</t>
  </si>
  <si>
    <t>0006701/2024</t>
  </si>
  <si>
    <t>12479364</t>
  </si>
  <si>
    <t>Substituição de 01 (um) TC de posição operacional 94H2-2.B da Subestação FNL</t>
  </si>
  <si>
    <t>0006702/2024</t>
  </si>
  <si>
    <t>94H2-2.B</t>
  </si>
  <si>
    <t>Substituição do SPCS do Disjuntor de Interligação de Barras 13D1, na subestação IRECE, composto por: 01 painel, 02 proteções (principal e alternada), 01 unidade de controle, cabos de controle e infraestrutura de comunicação associados.</t>
  </si>
  <si>
    <t>IB 138 kV MG 230 kV IRECE MG1 BA IB1 (13D1)</t>
  </si>
  <si>
    <t>0006703/2024</t>
  </si>
  <si>
    <t>11348594</t>
  </si>
  <si>
    <t>Substituição de 01 (um) TC de posição operacional 94H2-2.C da Subestação FNL</t>
  </si>
  <si>
    <t>0006704/2024</t>
  </si>
  <si>
    <t>94H2-2.C</t>
  </si>
  <si>
    <t>Substituição do SPCS do Transformador 04T2, na subestação IRECE, composto por: 02 painéis, 02 proteções (principal e alternada), 02 unidades de controle, 02 falhas de disjuntor (principal e alternada), cabos de controle e infraestrutura de comunicação associados.</t>
  </si>
  <si>
    <t>0006705/2024</t>
  </si>
  <si>
    <t>11357794</t>
  </si>
  <si>
    <t>Substituição de 01 (um) TC de posição operacional 94F2.A da Subestação FNL</t>
  </si>
  <si>
    <t>0006706/2024</t>
  </si>
  <si>
    <t>94F2.A</t>
  </si>
  <si>
    <t>Substituição do SPCS do Transformador 04T4, na subestação IRECE, composto por: 02 painéis, 02 proteções (principal e alternada), 02 unidades de controle, 02 falhas de disjuntor (principal e alternada), cabos de controle e infraestrutura de comunicação associados.</t>
  </si>
  <si>
    <t>0006707/2024</t>
  </si>
  <si>
    <t>11359112</t>
  </si>
  <si>
    <t>Substituição de 01 (um) TC de posição operacional 
94F2.B da Subestação FNL</t>
  </si>
  <si>
    <t>0006708/2024</t>
  </si>
  <si>
    <t>94F2.B</t>
  </si>
  <si>
    <t>Substituição do SPCS do Transformador 04T5, na subestação IRECE, composto por: 02 painéis, 02 proteções (principal e alternada), 02 unidades de controle, 02 falhas de disjuntor (principal e alternada), cabos de controle e infraestrutura de comunicação associados.</t>
  </si>
  <si>
    <t>TR 230/138 kV IRECE TR5 BA</t>
  </si>
  <si>
    <t>0006709/2024</t>
  </si>
  <si>
    <t>11361066</t>
  </si>
  <si>
    <t>Substituição do SPCS associado ao vão da Entrada de Linha 04C8 (LT 230 kV CAMACARI II /CARAIBAS C-1), na subestação CAMACARI II, composto por: 02 painéis, 02 proteções (principal e alternada), 01 unidade de controle, 02 falhas de disjuntor (principal e alternada), cabos de controle e infraestrutura de comunicação associados.</t>
  </si>
  <si>
    <t>0006710/2024</t>
  </si>
  <si>
    <t>11353434</t>
  </si>
  <si>
    <t>Substituição de 01 (um) TC de posição operacional 
94F2.C da Subestação FNL</t>
  </si>
  <si>
    <t>0006711/2024</t>
  </si>
  <si>
    <t>94F2.C</t>
  </si>
  <si>
    <t>Substituição de 01 (um) TC de posição operacional 94T6.A da Subestação FNL</t>
  </si>
  <si>
    <t>0006712/2024</t>
  </si>
  <si>
    <t>94T6.A</t>
  </si>
  <si>
    <t>Substituição do SPCS do Disjuntor de Interligação de Barras 15D1, na subestação CAMACARI II, composto por: 01 painel, 01 unidade de controle, 02 falhas de disjuntor (principal e alternada), cabos de controle e infraestrutura de comunicação associados.</t>
  </si>
  <si>
    <t>0006892/2024</t>
  </si>
  <si>
    <t>11357324</t>
  </si>
  <si>
    <t>Substituição de 01 (um) TC de posição operacional 94T6.B da Subestação FNL</t>
  </si>
  <si>
    <t>0006713/2024</t>
  </si>
  <si>
    <t>94T6.B</t>
  </si>
  <si>
    <t>Substituição do SPCS associado ao vão da Entrada de Linha 04C4 (LT 230 kV RECIFE II /MIRUEIRA C-1), na subestação RECIFE II, composto por: 02 painéis, 02 proteções (principal e alternada), 01 unidade de controle, 02 falhas de disjuntor (principal e alternada), cabos de controle e infraestrutura de comunicação associados.</t>
  </si>
  <si>
    <t>0006714/2024</t>
  </si>
  <si>
    <t>11365432</t>
  </si>
  <si>
    <t>Substituição de 01 (um) TC de posição operacional 94T6.C da Subestação FNL</t>
  </si>
  <si>
    <t>0006715/2024</t>
  </si>
  <si>
    <t>94T6.C</t>
  </si>
  <si>
    <t>Substituição do SPCS associado ao vão da Entrada de Linha 04C5 (LT 230 kV RECIFE II /MIRUEIRA C-2), na subestação RECIFE II, composto por: 02 painéis, 02 proteções (principal e alternada), 01 unidade de controle, 02 falhas de disjuntor (principal e alternada), cabos de controle e infraestrutura de comunicação associados.</t>
  </si>
  <si>
    <t>0006716/2024</t>
  </si>
  <si>
    <t>11365440</t>
  </si>
  <si>
    <t>Substituição de 01 (um) TC de posição operacional 94T2.A da Subestação FNL</t>
  </si>
  <si>
    <t>0006717/2024</t>
  </si>
  <si>
    <t>94T2.A</t>
  </si>
  <si>
    <t>Substituição do SPCS associado ao vão da Entrada de Linha 04C8 (LT 230 kV RECIFE II /GOIANINHA C-1), na subestação RECIFE II, composto por: 02 painéis, 02 proteções (principal e alternada), 01 unidade de controle, 02 falhas de disjuntor (principal e alternada), cabos de controle e infraestrutura de comunicação associados.</t>
  </si>
  <si>
    <t>0006718/2024</t>
  </si>
  <si>
    <t>11353312</t>
  </si>
  <si>
    <t>Substituição do SPCS associado ao vão da Entrada de Linha 04C9 (LT 230 kV RECIFE II /GOIANINHA C-2), na subestação RECIFE II, composto por: 02 painéis, 02 proteções (principal e alternada), 01 unidade de controle, 02 falhas de disjuntor (principal e alternada), cabos de controle e infraestrutura de comunicação associados.</t>
  </si>
  <si>
    <t>0006719/2024</t>
  </si>
  <si>
    <t>11353308</t>
  </si>
  <si>
    <t>Substituição de 01 (um) TC de posição operacional 94T2.B da Subestação FNL</t>
  </si>
  <si>
    <t>0006720/2024</t>
  </si>
  <si>
    <t>94T2.B</t>
  </si>
  <si>
    <t>Substituição do SPCS associado ao vão da Entrada de Linha 04M1 (LT 230 kV RIBEIRAO /RECIFE II C-1), na subestação RECIFE II, composto por: 02 painéis, 02 proteções (principal e alternada), 01 unidade de controle, 02 falhas de disjuntor (principal e alternada), cabos de controle e infraestrutura de comunicação associados.</t>
  </si>
  <si>
    <t>0006721/2024</t>
  </si>
  <si>
    <t>11353300</t>
  </si>
  <si>
    <t>Substituição de 01 (um) TC de posição operacional 94T8.A da Subestação FNL</t>
  </si>
  <si>
    <t>CE 200/-100 MvAr FUNIL CE1 BA</t>
  </si>
  <si>
    <t>0006904/2024</t>
  </si>
  <si>
    <t>94T8.A</t>
  </si>
  <si>
    <t>Substituição do SPCS associado ao vão da Entrada de Linha 04V1 (LT 230 kV RECIFE II /JOAIRAM C-1), na subestação RECIFE II, composto por: 02 painéis, 02 proteções (principal e alternada), 01 unidade de controle, 02 falhas de disjuntor (principal e alternada), cabos de controle e infraestrutura de comunicação associados.</t>
  </si>
  <si>
    <t>0006722/2024</t>
  </si>
  <si>
    <t>11364954</t>
  </si>
  <si>
    <t>Substituição de 01 (um) TC de posição operacional 94T8.B da Subestação FNL</t>
  </si>
  <si>
    <t>0006905/2024</t>
  </si>
  <si>
    <t>94T8.B</t>
  </si>
  <si>
    <t>Substituição do SPCS associado ao vão da Entrada de Linha 04V2 (LT 230 kV RECIFE II /JOAIRAM C-2), na subestação RECIFE II, composto por: 02 painéis, 02 proteções (principal e alternada), 01 unidade de controle, 02 falhas de disjuntor (principal e alternada), cabos de controle e infraestrutura de comunicação associados.</t>
  </si>
  <si>
    <t>0006723/2024</t>
  </si>
  <si>
    <t>11364956</t>
  </si>
  <si>
    <t>Substituição de 01 (um) TC de posição operacional 94T8.C da Subestação FNL</t>
  </si>
  <si>
    <t>0006908/2024</t>
  </si>
  <si>
    <t>94T8.C</t>
  </si>
  <si>
    <t>Substituição do SPCS associado ao vão da Entrada de Linha 04V3 (LT 230 kV RECIFE II /JOAIRAM C-3), na subestação RECIFE II, composto por: 02 painéis, 02 proteções (principal e alternada), 01 unidade de controle, 02 falhas de disjuntor (principal e alternada), cabos de controle e infraestrutura de comunicação associados.</t>
  </si>
  <si>
    <t>0006725/2024</t>
  </si>
  <si>
    <t>11364958</t>
  </si>
  <si>
    <t>Substituição de 01 (um) TC de posição operacional 93T1.B da Subestação FNL</t>
  </si>
  <si>
    <t>0006726/2024</t>
  </si>
  <si>
    <t>93T1.B</t>
  </si>
  <si>
    <t>Substituição do SPCS associado ao Banco de Capacitores 04H1, na subestação RECIFE II, composto por: 02 painéis, 02 proteções (principal e alternada), 01 unidade de controle, 02 falhas de disjuntor (principal e alternada), cabos de controle e infraestrutura de comunicação associados.</t>
  </si>
  <si>
    <t>BC 230 kV 50,5 MVAr RECIFE II BC1 PE</t>
  </si>
  <si>
    <t>0006727/2024</t>
  </si>
  <si>
    <t>11365006</t>
  </si>
  <si>
    <t>Substituição de 01 (um) TC de posição operacional 93T2.C da Subestação FNL</t>
  </si>
  <si>
    <t>0006729/2024</t>
  </si>
  <si>
    <t>93T2.C</t>
  </si>
  <si>
    <t>Substituição do SPCS associado ao Banco de Capacitores 04H2, na subestação RECIFE II, composto por: 02 painéis, 02 proteções (principal e alternada), 01 unidade de controle, 02 falhas de disjuntor (principal e alternada), cabos de controle e infraestrutura de comunicação associados.</t>
  </si>
  <si>
    <t>BC 230 kV 50,5 MVAr RECIFE II BC2 PE</t>
  </si>
  <si>
    <t>0006730/2024</t>
  </si>
  <si>
    <t>11365007</t>
  </si>
  <si>
    <t>Substituição do SPCS do Disjuntor de Interligação de Barras 14D2, na subestação RECIFE II, composto por: 01 painel, 01 unidade de controle, 02 falhas de disjuntor (principal e alternada), cabos de controle e infraestrutura de comunicação associados.</t>
  </si>
  <si>
    <t>0006732/2024</t>
  </si>
  <si>
    <t>11362908</t>
  </si>
  <si>
    <t>Substituição do SPCS principal das barras 500 kV, na subestação RECIFE II, composto por: 01 painel, 01 unidade central de proteção de barras (principal), do tipo adaptativa e distribuída, com capacidade para atender, no mínimo, 08 vãos, 08 unidades de bay de proteção de barras (principal) e infraestrutura de comunicação associados.</t>
  </si>
  <si>
    <t>0006734/2024</t>
  </si>
  <si>
    <t>11356815</t>
  </si>
  <si>
    <t>Substituição do SPCS do Reator de Linha manobrável 05E1, na subestação RECIFE II, composto por: 02 painéis, 02 proteções (principal e alternada), 01 unidade de controle, 02 falhas de disjuntor (principal e alternada), cabos de controle e infraestrutura de comunicação associados.</t>
  </si>
  <si>
    <t>RTL 500 kV 100 Mvar RECIFE II RT1 PE</t>
  </si>
  <si>
    <t>0006913/2024</t>
  </si>
  <si>
    <t>11356824</t>
  </si>
  <si>
    <t>Substituição do SPCS associado ao vão da Entrada de Linha 05L7 (LT 500 kV SUAPE II /RECIFE II C-1), na subestação RECIFE II, composto por: 02 painéis, 02 proteções (principal e alternada), 01 unidade de controle, 02 falhas de disjuntor (principal e alternada), cabos de controle e infraestrutura de comunicação associados.</t>
  </si>
  <si>
    <t>0006736/2024</t>
  </si>
  <si>
    <t>11363989</t>
  </si>
  <si>
    <t>Substituição do SPCS associado ao vão da Entrada de Linha 05L8 (LT 500 kV PAU FERRO /RECIFE II C-1), na subestação RECIFE II, composto por: 02 painéis, 02 proteções (principal e alternada), 01 unidade de controle, 02 falhas de disjuntor (principal e alternada), cabos de controle e infraestrutura de comunicação associados.</t>
  </si>
  <si>
    <t>0006738/2024</t>
  </si>
  <si>
    <t>11361950</t>
  </si>
  <si>
    <t>Substituição do SPCS do Transformador 05T1, na subestação MILAGRES, composto por: 02 painéis, 02 proteções (principal e alternada), 02 unidades de controle, 02 falhas de disjuntor (principal e alternada), cabos de controle e infraestrutura de comunicação associados.</t>
  </si>
  <si>
    <t>TR 500/230 kV MILAGRES TR1 CE</t>
  </si>
  <si>
    <t>0006916/2024</t>
  </si>
  <si>
    <t>11366590</t>
  </si>
  <si>
    <t>Substituição de 01 (uma) Seccionadora 230 kV, posição operacional 34C1-1 da subestação JDM</t>
  </si>
  <si>
    <t>0009393/2024</t>
  </si>
  <si>
    <t>Substituição de 01 (uma) Seccionadora 13.8 kV posição operacional 31K1-8 da Subestação IRE</t>
  </si>
  <si>
    <t>0006749/2024</t>
  </si>
  <si>
    <t>31K1-8</t>
  </si>
  <si>
    <t>Substituição de 01 (uma) Seccionadora 13.8 kV posição operacional 31K1-9 da Subestação IRE</t>
  </si>
  <si>
    <t>0006750/2024</t>
  </si>
  <si>
    <t>31K1-9</t>
  </si>
  <si>
    <t>Substituição de 01 (uma) chave seccionadora de 69 kV, posição operacional 32J2-4, da subestação de BGI.</t>
  </si>
  <si>
    <t>EL 69 kV BONGI TAMARIN 02J2 (12J2)</t>
  </si>
  <si>
    <t>0006752/2024</t>
  </si>
  <si>
    <t>Substituição de 01 (uma) chave seccionadora de 69 kV, posição operacional 32J2-5, da subestação de BGI.</t>
  </si>
  <si>
    <t>0006754/2024</t>
  </si>
  <si>
    <t>Substituição de 01 (uma) Seccionadora com lâmina de terra 69 kV, posição operacional 32J2-6/7, da subestação de BGI.</t>
  </si>
  <si>
    <t>0006755/2024</t>
  </si>
  <si>
    <t>32J2-6/7</t>
  </si>
  <si>
    <t>Substituição de 01 (uma) Seccionadora 69 kV, posição 32T3-5 da subestação JDM</t>
  </si>
  <si>
    <t>0006757/2024</t>
  </si>
  <si>
    <t>Substituição de 01 (uma) Seccionadora 69 kV, posição 32J8-5 da subestação PTU</t>
  </si>
  <si>
    <t>EL 69 kV PITUACU S.CRIST. 02J8 (12J8)</t>
  </si>
  <si>
    <t>0006759/2024</t>
  </si>
  <si>
    <t>32J8-5</t>
  </si>
  <si>
    <t>Substituição de 01 (uma) Seccionadora 69 kV, posição 32J8-4 da subestação PTU</t>
  </si>
  <si>
    <t>0006760/2024</t>
  </si>
  <si>
    <t>Substituição do Sistema de Registro de Perturbação na Interconexão de Barra 14J4, na subestação ABAIXADORA, composto por: 01 Oscilógrafo.</t>
  </si>
  <si>
    <t>0006773/2024</t>
  </si>
  <si>
    <t>11449321</t>
  </si>
  <si>
    <t>Substituição do Sistema de Registro de Perturbação na Interconexão de Barra 14D1, na subestação ANGELIM, composto por: 01 Oscilógrafo.</t>
  </si>
  <si>
    <t>0006775/2024</t>
  </si>
  <si>
    <t>11449211</t>
  </si>
  <si>
    <t>Substituição do Sistema de Registro de Perturbação no Módulo de Conexão 01K1, na subestação IRECE, composto por: 01 Oscilógrafo.</t>
  </si>
  <si>
    <t>0006777/2024</t>
  </si>
  <si>
    <t>11446200</t>
  </si>
  <si>
    <t>Substituição do Sistema de Registro de Perturbação no Módulo de Conexão 15G3 na USINA XINGO, composto por: 01 Oscilógrafo.</t>
  </si>
  <si>
    <t>MC 500 kV TR 18/500 kV USINA XINGO TR3 AL (15G3)</t>
  </si>
  <si>
    <t>0006778/2024</t>
  </si>
  <si>
    <t>11446311</t>
  </si>
  <si>
    <t>Substituição do Sistema de Registro de Perturbação associado ao Transformador 05T1, na subestação MILAGRES, composto por: 01 Oscilógrafo e infraestrutura de comunicação associada.</t>
  </si>
  <si>
    <t>0006802/2024</t>
  </si>
  <si>
    <t>11446260</t>
  </si>
  <si>
    <t>Substituição do Sistema de Registro de Perturbação associado ao Reator de Barra 05E2, na subestação MILAGRES, composto por: 01 Oscilógrafo e infraestrutura de comunicação associada.</t>
  </si>
  <si>
    <t>0006779/2024</t>
  </si>
  <si>
    <t>11446271</t>
  </si>
  <si>
    <t>Substituição do Sistema de Registro de Perturbação associado ao vão de Entrada de Linha 04M2 (LT 230 kV ICO /MILAGRES C-1), na subestação ICO, composto por: 01 Oscilógrafo e infraestrutura de comunicação associada.</t>
  </si>
  <si>
    <t>0006781/2024</t>
  </si>
  <si>
    <t>12362808</t>
  </si>
  <si>
    <t>Substituição de 156 cadeias de isolador em 34 estrutura(s) da LT 230 kV SAPEACU /FUNIL C-1 BA-04F1 (068/1;068/2;068/3;069/1;069/2;069/3;069/4;070/1;070/2;070/3;071/1;071/2;071/3;071/4;072/1;072/2;072/3;073/1;073/2;073/3;073/4;074/1;074/2;075/1;075/2;076/1;076/2;077/1;078/1;078/2;078/3;079/1;079/2;079/3).</t>
  </si>
  <si>
    <t>0006782/2024</t>
  </si>
  <si>
    <t>d-sspusfnl-04f1-cade-5</t>
  </si>
  <si>
    <t>Substituição de 132 cadeias de isolador em 34 estrutura(s) da LT 230 kV SAPEACU /FUNIL C-1 BA-04F1 (080/1;080/2;080/3;081/1;081/2;081/3;082/1;082/2;083/1;083/2;083/3;084/1;084/2;084/3;085/1;085/2;085/4;086/1;086/2;086/3;087/1;087/2;087/3;087/4;088/1;088/2;088/3;089/1;089/2;089/3;090/1;090/2;090/3;091/1).</t>
  </si>
  <si>
    <t>0006784/2024</t>
  </si>
  <si>
    <t>d-sspusfnl-04f1-cade-6</t>
  </si>
  <si>
    <t>Substituição de 138 cadeias de isolador em 34 estrutura(s) da LT 230 kV SAPEACU /FUNIL C-1 BA-04F1 (091/2;091/3;092/1;092/2;093/1;093/2;094/1;094/2;094/3;095/1;095/2;095/3;096/1;096/2;097/2;098/1;098/2;098/3;099/1;099/2;099/3;100/1;100/2;100/3;100/4;101/1;101/2;102/1;102/2;102/3;103/2;103/3;104/1;104/2).</t>
  </si>
  <si>
    <t>0006787/2024</t>
  </si>
  <si>
    <t>d-sspusfnl-04f1-cade-7</t>
  </si>
  <si>
    <t>Substituição de 156 cadeias de isolador em 34 estrutura(s) da LT 230 kV SAPEACU /FUNIL C-1 BA-04F1 (105/1;105/2;106/1;106/2;107/1;107/2;107/3;108/1;109/1;109/2;110/1;110/2;110/3;111/1;111/2;112/1;112/2;113/1;113/2;114/1;114/2;115/1;115/2;115/3;116/1;116/2;117/1;117/2;117/3;118/1;118/2;119/1;119/2;120/1).</t>
  </si>
  <si>
    <t>0006789/2024</t>
  </si>
  <si>
    <t>d-sspusfnl-04f1-cade-8</t>
  </si>
  <si>
    <t>Substituição de 189 cadeias de isolador em 35 estrutura(s) da LT 230 kV SAPEACU /FUNIL C-1 BA-04F1 (120/2;121/1;121/2;122/1;122/2;123/1;123/2;124/1;125/1;126/1;127/1;127/2;128/1;129/1;130/1;130/2;131/1;132/1;132/2;133/1;134/1;134/2;135/1;135/2;136/1;136/2;137/1;138/1;138/2;138/3;139/1;140/1;140/2;140/3;168/1).</t>
  </si>
  <si>
    <t>0006790/2024</t>
  </si>
  <si>
    <t>d-sspusfnl-04f1-cade-9</t>
  </si>
  <si>
    <t>Substituição de 162 cadeias de isolador em 34 estrutura(s) da LT 230 kV SAPEACU /FUNIL C-1 BA-04F1 (141/1;141/2;142/1;142/2;143/1;143/2;144/1;144/2;144/3;145/1;145/2;145/3;146/1;146/2;147/1;147/2;147/3;148/1;148/2;149/1;149/2;150/1;150/2;150/3;151/1;151/2;151/3;152/1;153/1;153/2;153/3;154/1;154/2;155/1).</t>
  </si>
  <si>
    <t>0006792/2024</t>
  </si>
  <si>
    <t>d-sspusfnl-04f1-cade-10</t>
  </si>
  <si>
    <t>Substituição de Transformador de Potencial Capacitivo 230 kV, referente a EL da LT Charqueadas - Santa Cruz C-1, Fase B. 
Associado à obra são esperadas substituições/adaptações de fundações, suportes, caixa de junção, cabos de controle/potência, barramento, conectores e conexão de aterramento.</t>
  </si>
  <si>
    <t>LT 230 kV CHARQUEADAS /SANTA CRUZ1 C-1 RS</t>
  </si>
  <si>
    <t>0008192/2024</t>
  </si>
  <si>
    <t>Substituição de 174 cadeias de isolador em 34 estrutura(s) da LT 230 kV SAPEACU /FUNIL C-1 BA-04F1 (156/1;156/2;156/3;157/1;157/2;158/1;158/2;159/1;159/2;160/1;160/2;160/3;161/1;162/1;162/2;163/1;163/2;164/1;164/2;164/3;165/1;166/1;167/1;167/2;168/2;169/1;169/2;170/1;170/2;170/3;171/1;171/2;171/3;172/1).</t>
  </si>
  <si>
    <t>0006794/2024</t>
  </si>
  <si>
    <t>d-sspusfnl-04f1-cade-11</t>
  </si>
  <si>
    <t>Substituição de 240 cadeias de isolador em 34 estrutura(s) da LT 230 kV ANGELIM /MESSIAS C-1 PE/AL-04M7 (000/1;000/2;000/3;001/1;001/2;002/1;002/2;003/1;004/1;004/2;004/3;005/1;006/1;006/2;006/3;007/1;007/2;008/1;009/1;009/2;010/1;010/2;011/1;011/2;012/1;013/1;013/2;014/1;014/2;015/1;015/2;016/1;016/2;016/3).</t>
  </si>
  <si>
    <t>0006796/2024</t>
  </si>
  <si>
    <t>d-saglsmsi-04m7-cade-1</t>
  </si>
  <si>
    <t>Substituição chave-seccionadora SC837, 345kV, arranjo BD5, associado ao AT03, na SE CAMPINAS.</t>
  </si>
  <si>
    <t>0006800/2024</t>
  </si>
  <si>
    <t>SC837</t>
  </si>
  <si>
    <t>LT 230 kV JOAO PESSOA II /MUSSURE II PB</t>
  </si>
  <si>
    <t>Substituição de 80 cadeias de isolador em 15 estrutura(s) da LT 230 kV JOAO PESSOA II /MUSSURE II C-2 PB-04F2 (046/1;046/2;047/1;047/2;047/3;048/1;048/2;048/3;049/1;049/2;050/1;050/2;050/3;051/1;MRD).</t>
  </si>
  <si>
    <t>LT 230 kV JOAO PESSOA II /MUSSURE II C-2 PB</t>
  </si>
  <si>
    <t>0006799/2024</t>
  </si>
  <si>
    <t>d-smrdsjpd-04f2-cade-1</t>
  </si>
  <si>
    <t>LT 69 kV RECIFE II/ PIRAPAMA II PE</t>
  </si>
  <si>
    <t>Substituição de 159 cadeias de isolador em 32 estrutura(s) da LT 69 kV RECIFE II/ PIRAPAMA II C-1 PE-02V1 (001/1;001/2;001/3;001/4;001/5;001/6;001/7;002/1;003/2;003/3;003/4;004/1;004/2;004/3;004/4;004/5;005/1;005/2;006/1;006/2;006/3;007/1;008/3;009/1;009/2;009/3;010/1;010/2;010/3;011/1;011/2;011/3).</t>
  </si>
  <si>
    <t>LT 69 kV RECIFE II/ PIRAPAMA II C-1 PE (02V1)</t>
  </si>
  <si>
    <t>0006805/2024</t>
  </si>
  <si>
    <t>d-srcdsprd-02v1-cade-1</t>
  </si>
  <si>
    <t>Substituição de 144 cadeias de isolador em 35 estrutura(s) da LT 69 kV RECIFE II/ PIRAPAMA II C-1 PE-02V1 (011/4;011/5;012/1;012/2;012/3;012/4;013/1;013/2;013/3;013/4;014/1;014/2;014/3;014/4;015/1;015/2;015/3;016/1;016/2;016/3;016/4;017/1;017/2;017/3;018/1;018/2;018/3;019/1;019/2;019/3;020/1;020/2;020/3;020/4;021/1).</t>
  </si>
  <si>
    <t>0006808/2024</t>
  </si>
  <si>
    <t>d-srcdsprd-02v1-cade-2</t>
  </si>
  <si>
    <t>Substituição de 84 cadeias de isolador em 14 estrutura(s) da LT 230 kV JOAO PESSOA II /MUSSURE II C-1 PB-04F1 (046/2;047/1;047/2;047/3;048/1;048/2;048/3;049/1;049/2;050/1;050/2;050/3;051/1;MRD).</t>
  </si>
  <si>
    <t>LT 230 kV JOAO PESSOA II /MUSSURE II C-1 PB</t>
  </si>
  <si>
    <t>0006812/2024</t>
  </si>
  <si>
    <t>d-smrdsjpd-04f1-cade-1</t>
  </si>
  <si>
    <t>Substituição chave-seccionadora SC839, 345kV, arranjo BD5, associado ao AT03, na SE CAMPINAS.</t>
  </si>
  <si>
    <t>0006813/2024</t>
  </si>
  <si>
    <t>SC839</t>
  </si>
  <si>
    <t>Substituição de Transformador de Aterramento (Banco 1)  13,8 kV, 0,25MVA, fase A, arranjo BS, associado ao TR1 na SE GRAVATAI.</t>
  </si>
  <si>
    <t>MG 13,8 kV GRAVATAI MG1 RS</t>
  </si>
  <si>
    <t>0006824/2024</t>
  </si>
  <si>
    <t>TFAT13,8 TF1-A (Banco 1)</t>
  </si>
  <si>
    <t>Substituição de 105 cadeias de isolador em 35 estrutura(s) da LT 230 kV BANABUIU /AQUIRAZ II C-1 CE-04C8 (014/1;014/2;014/3;015/1;015/2;016/1;016/2;016/3;017/1;017/2;017/3;018/1;018/2;018/3;019/1;019/2;020/1;020/2;021/1;021/2;021/3;022/1;022/2;023/1;023/2;023/3;024/1;024/2;025/1;025/2;025/3;026/1;026/2;027/1;027/2).</t>
  </si>
  <si>
    <t>0006815/2024</t>
  </si>
  <si>
    <t>d-saqdsbnb-04c8-cade-2</t>
  </si>
  <si>
    <t>Substituição de Transformador de Corrente 230 kV, referente ao TR3 230/138 kV da SE Passo Fundo, DJ772, Fase B. Associado à obra, são esperadas substituições/adaptações de fundações e suportes, caixa de junção, cabos de controle/potência, barramento, conectores e conexão de aterramento. Funções do TC: proteção e medição.</t>
  </si>
  <si>
    <t>0006817/2024</t>
  </si>
  <si>
    <t>Substituição de 129 cadeias de isolador em 35 estrutura(s) da LT 230 kV BANABUIU /AQUIRAZ II C-3 CE-04C6 (130/4;131/1;131/2;131/3;131/4;132/1;132/2;132/3;133/1;133/2;133/3;133/4;134/1;134/2;134/3;134/4;135/1;135/2;135/3;136/1;136/2;137/1;137/2;137/3;137/4;138/1;138/2;138/3;139/1;139/2;139/3;140/1;140/2;140/3;140/4).</t>
  </si>
  <si>
    <t>0006818/2024</t>
  </si>
  <si>
    <t>d-saqdsbnb-04c6-cade-13</t>
  </si>
  <si>
    <t>Substituição de 129 cadeias de isolador em 35 estrutura(s) da LT 230 kV BANABUIU /AQUIRAZ II C-3 CE-04C6 (141/1;141/2;141/3;141/4;142/1;142/2;142/3;142/4;143/1;143/2;143/3;144/1;144/2;144/3;144/4;145/1;145/2;145/3;146/1;146/2;147/1;147/2;148/1;148/2;148/3;148/4;149/1;149/2;149/3;150/1;150/2;150/3;151/1;151/2;151/3).</t>
  </si>
  <si>
    <t>0006821/2024</t>
  </si>
  <si>
    <t>d-saqdsbnb-04c6-cade-14</t>
  </si>
  <si>
    <t>Substituição das Unidades Centrais do sistema de registro de perturbações (RDP), MIMRDP_138_1 e MIMRDP_138_2, para monitoração de variáveis associadas a SE U. Mimoso. Atualmente estas unidades monitoram os seguintes bays: LT Mimoso 2 C-3, C.Grande C-4, Jupiá C-3 e Jupiá C-4.</t>
  </si>
  <si>
    <t>MG U.MIMOSO / CCO-2001-057 - DIT</t>
  </si>
  <si>
    <t>0006822/2024</t>
  </si>
  <si>
    <t>Substituição de 153 cadeias de isolador em 35 estrutura(s) da LT 230 kV BANABUIU /AQUIRAZ II C-3 CE-04C6 (151/4;152/1;152/2;152/3;152/4;153/1;153/2;153/3;154/1;154/2;155/1;155/2;155/3;156/1;156/2;156/3;157/1;157/2;157/3;157/4;158/1;158/2;158/3;159/1;159/2;159/3;159/4;160/1;160/2;160/3;161/1;161/2;161/3;161/4;162/1).</t>
  </si>
  <si>
    <t>0006825/2024</t>
  </si>
  <si>
    <t>d-saqdsbnb-04c6-cade-15</t>
  </si>
  <si>
    <t>Substituição do sistema de registro de perturbações (RDP - unidade de bay), para monitoração das variáveis associadas a LT 138 kV U. Mimoso - Campo Grande C-4.</t>
  </si>
  <si>
    <t>0006826/2024</t>
  </si>
  <si>
    <t>RDP - LT CGR C-4</t>
  </si>
  <si>
    <t>Substituição de 105 cadeias de isolador em 35 estrutura(s) da LT 230 kV BANABUIU /AQUIRAZ II C-2 CE-04C7 (085/2;085/3;086/1;086/2;087/1;087/2;088/1;088/2;088/3;089/1;089/2;089/3;089/4;090/1;090/2;090/3;091/1;091/2;091/3;092/1;092/2;093/1;093/2;094/1;094/2;095/1;095/2;096/1;096/2;097/1;097/2;098/1;098/2;098/3;099/1).</t>
  </si>
  <si>
    <t>0006828/2024</t>
  </si>
  <si>
    <t>d-saqdsbnb-04c7-cade-7</t>
  </si>
  <si>
    <t>Substituição de Transformador de Aterramento (Banco 1) 13,8 kV, 0,25MVA, fase C, arranjo BS, associado ao TR2 na SE GRAVATAI.</t>
  </si>
  <si>
    <t>0006830/2024</t>
  </si>
  <si>
    <t>TFAT13,8 TF2-C (Banco 1)</t>
  </si>
  <si>
    <t>Substituição de 36 cadeias de isolador em 6 estrutura(s) da LT 69 kV RECIFE II/ PIRAPAMA II C-1 PE-02V1 (021/2;021/3;021/4;022/1;021/5;022/2).</t>
  </si>
  <si>
    <t>0006831/2024</t>
  </si>
  <si>
    <t>d-srcdsprd-02v1-cade-3</t>
  </si>
  <si>
    <t>Substituição de 84 cadeias de isolador em 6 estrutura(s) da LT 500 kV P. AFONSO IV /USINA XINGO C-1 BA/AL-05V6 (052/2;052/3;053/1;053/2;053/3;053/4).</t>
  </si>
  <si>
    <t>0006834/2024</t>
  </si>
  <si>
    <t>d-spaqsxgo-05v6-cade-4</t>
  </si>
  <si>
    <t>Substituição de Transformador de Aterramento (Banco 1)  13,8 kV, 0,25MVA, fase B, arranjo BS, associado ao TR1 na  SE GRAVATAI.</t>
  </si>
  <si>
    <t>0006840/2024</t>
  </si>
  <si>
    <t>TFAT13,8 TF1-B (Banco 1)</t>
  </si>
  <si>
    <t>Substituição de 18 cadeias de isolador em 6 estrutura(s) da LT 230 kV ARAPIRACA III /PENEDO C-1 AL-04S9 (047/1;049/2;051/1;062/2;064/1;072/2).</t>
  </si>
  <si>
    <t>0006836/2024</t>
  </si>
  <si>
    <t>d-sartspen-04s9-cade-1</t>
  </si>
  <si>
    <t>Substituição do sistema de registro de perturbações (RDP - unidade de bay), para monitoração das variáveis associadas a LT 138 kV U. Mimoso - Jupiá C-3.</t>
  </si>
  <si>
    <t>0006841/2024</t>
  </si>
  <si>
    <t>RDP - LT JUP C-3</t>
  </si>
  <si>
    <t>Substituição de 42 cadeias de isolador em 14 estrutura(s) da LT 230 kV RIO LARGO II /ARAPIRACA III C-1 AL-04F1 (048/2;052/2;055/3;058/1;065/3;066/2;072/2;077/2;081/3;085/2;087/2;089/2;093/3;114/1).</t>
  </si>
  <si>
    <t>0006842/2024</t>
  </si>
  <si>
    <t>d-srldsart-04f1-cade-1</t>
  </si>
  <si>
    <t>Substituição do sistema de registro de perturbações (RDP - unidade de bay), para monitoração das variáveis associadas a LT 138 kV U. Mimoso - Jupiá C-4.</t>
  </si>
  <si>
    <t>0006843/2024</t>
  </si>
  <si>
    <t>RDP - LT JUP C-4</t>
  </si>
  <si>
    <t>Substituição de 9 cadeias de isolador em 3 estrutura(s) da LT 500 kV PECEM II /FORTALEZA II C-1 CE-05C2 (206/1;207/1;207/2).</t>
  </si>
  <si>
    <t>0006845/2024</t>
  </si>
  <si>
    <t>d-spedsfzd-05c2-cade-1</t>
  </si>
  <si>
    <t>Substituição do sistema de registro de perturbações (RDP - unidade de bay), para monitoração das variáveis associadas a LT 138 kV U. Mimoso - Mimoso 2 C-3.</t>
  </si>
  <si>
    <t>0006846/2024</t>
  </si>
  <si>
    <t>RDP - LT MIM2 C-3</t>
  </si>
  <si>
    <t>Substituição de 27 cadeias de isolador em 9 estrutura(s) da LT 500 kV MILAGRES /QUIXADA C-1 CE-05V3 (039/2;040/1;040/2;041/1;064/2;065/1;085/1;085/2;118/2).</t>
  </si>
  <si>
    <t>0006847/2024</t>
  </si>
  <si>
    <t>d-smlgsqxa-05v3-cade-1</t>
  </si>
  <si>
    <t>Substituição de Transformador de Aterramento (Banco 1) 13,8 kV, 0,25MVA, fase C, arranjo BS, associado ao TR1 na  SE GRAVATAI.</t>
  </si>
  <si>
    <t>0006849/2024</t>
  </si>
  <si>
    <t>TFAT13,8 TF1-C (Banco 1)</t>
  </si>
  <si>
    <t>Substituição de 01 (um) conjunto de Isolador Pedestal 69kV posição operacional 02J4 da Subestação ITB</t>
  </si>
  <si>
    <t>0006850/2024</t>
  </si>
  <si>
    <t>12627516</t>
  </si>
  <si>
    <t>MACHADINHO</t>
  </si>
  <si>
    <t>Substituição da Unidade Central do sistema de registro de perturbações (RDP), MCHRDP_525_1, para monitoração de variáveis associadas a SE Machadinho. Atualmente esta unidade monitora os seguintes bays: LT Itá C-1, LT C.Novos C-1 e IB DJ1132.</t>
  </si>
  <si>
    <t>MG MACHADINHO / CCO-2001-057 - RB</t>
  </si>
  <si>
    <t>0006851/2024</t>
  </si>
  <si>
    <t>Substituição de 11 (onze) conjuntos de Isoladores Pedestal 69kV posição operacional 02BP da Subestação MRD</t>
  </si>
  <si>
    <t>0006854/2024</t>
  </si>
  <si>
    <t>12627518</t>
  </si>
  <si>
    <t>Substituição do sistema de registro de perturbações (RDP - unidade de bay), para monitoração das variáveis associadas a LT 525 kV Machadinho - Itá C-1.</t>
  </si>
  <si>
    <t>0006855/2024</t>
  </si>
  <si>
    <t>RDP - LT YTA C-1</t>
  </si>
  <si>
    <t>Substituição de 11 (onze) conjuntos de Isoladores Pedestal 69kV posição operacional 02BA da Subestação MRD</t>
  </si>
  <si>
    <t>0006857/2024</t>
  </si>
  <si>
    <t>12627519</t>
  </si>
  <si>
    <t>Substituição do sistema de registro de perturbações (RDP - unidade de bay), para monitoração das variáveis associadas a LT 525 kV Machadinho - Campos Novos C-1.</t>
  </si>
  <si>
    <t>0006859/2024</t>
  </si>
  <si>
    <t>RDP - LT CNO C-1</t>
  </si>
  <si>
    <t>Substituição de 02 (dois) conjuntos de Isoladores Pedestal 230kV posição operacional 04BP da Subestação MRD</t>
  </si>
  <si>
    <t>0006860/2024</t>
  </si>
  <si>
    <t>12627520</t>
  </si>
  <si>
    <t>Substituição do sistema de registro de perturbações (RDP - unidade de bay), para monitoração das variáveis associadas ao Interligador de Barras 525 kV, IB DJ1132, da SE Machadinho.</t>
  </si>
  <si>
    <t>0006861/2024</t>
  </si>
  <si>
    <t>RDP - DJ1132</t>
  </si>
  <si>
    <t>Substituição de 02 (dois) conjuntos de Isoladores Pedestal 230kV posição operacional 04BA da Subestação MRD</t>
  </si>
  <si>
    <t>0006865/2024</t>
  </si>
  <si>
    <t>12627521</t>
  </si>
  <si>
    <t>Substituição de 06 (seis) conjuntos de Isoladores Pedestal 69kV posição operacional 02BP-1 da Subestação CGD</t>
  </si>
  <si>
    <t>0006867/2024</t>
  </si>
  <si>
    <t>12627522</t>
  </si>
  <si>
    <t>Substituição de conjunto de Resistor de Aterramento (Banco 1) associado ao TR1 na SE GRAVATAI.</t>
  </si>
  <si>
    <t>0007063/2024</t>
  </si>
  <si>
    <t>RAT13,8 TF1 (Banco 1)</t>
  </si>
  <si>
    <t>Substituição de Transformador de Potencial Capacitivo 230 kV, referente a EL da LT Charqueadas - Santa Cruz C-1, Fase A. Associado à obra são esperadas substituições/adaptações de fundações, suportes, caixa de junção, cabos de controle/potência, barramento, conectores e conexão de aterramento</t>
  </si>
  <si>
    <t>0006869/2024</t>
  </si>
  <si>
    <t>Substituição de 07 (sete) conjuntos de Isoladores Pedestal 69kV posição operacional 02BA-1 da Subestação CGD</t>
  </si>
  <si>
    <t>0006870/2024</t>
  </si>
  <si>
    <t>12627523</t>
  </si>
  <si>
    <t>LT 230 kV FORQUILHINHA / L.GRANDE C-1</t>
  </si>
  <si>
    <t>Substituição de 01 torre metálica completa da LT 230 kV Forquilhinha - Lajeado Grande C-1. A torre envolvida é a de número de operação: 060.</t>
  </si>
  <si>
    <t>LT 230 kV FORQUILHINHA / L.GRANDE C-1 SC</t>
  </si>
  <si>
    <t>0006872/2024</t>
  </si>
  <si>
    <t>Substituição de 11 (onze) conjuntos de Isoladores Pedestal 230kV posição operacional 04BP da Subestação CGD</t>
  </si>
  <si>
    <t>0006873/2024</t>
  </si>
  <si>
    <t>12627524</t>
  </si>
  <si>
    <t>LT 230 kV FORQUILHINHA / SIDEROPOLIS ESU C-1</t>
  </si>
  <si>
    <t>Substituição de 01 torre metálica (somente Estrutura) da LT 230 kV Forquilhinha - Siderópolis C-1. A torre envolvida é a de número de operação: 021.</t>
  </si>
  <si>
    <t>LT 230 kV FORQUILHINHA / SIDEROPOLIS ESU C-1 SC</t>
  </si>
  <si>
    <t>0006877/2024</t>
  </si>
  <si>
    <t>Substituição de 11 (onze) conjuntos de Isoladores Pedestal 230kV posição operacional 04BA da Subestação CGD</t>
  </si>
  <si>
    <t>0006878/2024</t>
  </si>
  <si>
    <t>12627525</t>
  </si>
  <si>
    <t>Substituição de Transformador de Aterramento (Banco 2) 13,8 kV, 0,25MVA, fase A, arranjo BS, associado ao TR1 na  SE GRAVATAI.</t>
  </si>
  <si>
    <t>0006881/2024</t>
  </si>
  <si>
    <t>TFAT13,8 TF1-A (Banco 2)</t>
  </si>
  <si>
    <t>Substituição de 04 (quatro) conjuntos de Isoladores Pedestal 69kV posição operacional 02BP-1 da Subestação JDM</t>
  </si>
  <si>
    <t>0006883/2024</t>
  </si>
  <si>
    <t>12627527</t>
  </si>
  <si>
    <t>Substituição de 08 (oito) conjuntos de Isoladores Pedestal 69kV posição operacional 02BP-2 da Subestação JDM</t>
  </si>
  <si>
    <t>0006889/2024</t>
  </si>
  <si>
    <t>12627528</t>
  </si>
  <si>
    <t>Substituição dos cubículos e disjuntores 13,8 kV, referentes aos Serviços Auxiliares da SE Nova Santa Rita, e dos cabos associados.</t>
  </si>
  <si>
    <t>0006893/2024</t>
  </si>
  <si>
    <t>SKO1 / SKO2 / SKO3 / SKO4 / SKO5</t>
  </si>
  <si>
    <t>Substituição de 01 (um) conjunto de Isoladores Pedestal 69kV posição operacional 02BP-3 da Subestação JDM</t>
  </si>
  <si>
    <t>0006895/2024</t>
  </si>
  <si>
    <t>12627517</t>
  </si>
  <si>
    <t>Substituição de Transformador de Aterramento (Banco 2) 13,8 kV, 0,25MVA, fase B, arranjo BS, associado ao TR1 na  SE GRAVATAI.</t>
  </si>
  <si>
    <t>0006896/2024</t>
  </si>
  <si>
    <t>TFAT13,8 TF1-B (Banco 2)</t>
  </si>
  <si>
    <t>Substituição de 15 (quinze) conjuntos de Isoladores Pedestal 69kV posição operacional 02BA da Subestação JDM</t>
  </si>
  <si>
    <t>0006899/2024</t>
  </si>
  <si>
    <t>12627529</t>
  </si>
  <si>
    <t>Substituição dos Painéis de Distribuição 125 VCC (2PD01, 5PD34, 5PD56, 5SC1, 5SC2) e cabos associados, referentes aos Serviços Auxiliares da SE Nova Santa Rita.</t>
  </si>
  <si>
    <t>0006900/2024</t>
  </si>
  <si>
    <t>Substituição dos Painéis de Distribuição 380 VCA (5SA4A, 5SA4B) e cabos associados, referentes aos Serviços Auxiliares da SE Nova Santa Rita.</t>
  </si>
  <si>
    <t>0009022/2024</t>
  </si>
  <si>
    <t>Substituição de Transformador de Aterramento (Banco 2) 13,8 kV, 0,25MVA, fase C, arranjo BS, associado ao TR1 na  SE GRAVATAI.</t>
  </si>
  <si>
    <t>0006906/2024</t>
  </si>
  <si>
    <t>TFAT13,8 TF1-C (Banco 2)</t>
  </si>
  <si>
    <t>Substituição de 01 (uma) Seccionadora 6.9 kV posição operacional 36H1-8 da Subestação NTD</t>
  </si>
  <si>
    <t>CE 20/-0 Mvar NATAL II CE1 RN (06Q1)</t>
  </si>
  <si>
    <t>0006909/2024</t>
  </si>
  <si>
    <t>11338477</t>
  </si>
  <si>
    <t>Substituição chave-seccionadora SC831, 345kV, arranjo BD5, associado ao AT03, na SE CAMPINAS.</t>
  </si>
  <si>
    <t>0006910/2024</t>
  </si>
  <si>
    <t>SC831</t>
  </si>
  <si>
    <t>Substituição de 01 (uma) Seccionadora 6,9 kV posição operacional 36H2-7 da Subestação NTD</t>
  </si>
  <si>
    <t>0006911/2024</t>
  </si>
  <si>
    <t>11343412</t>
  </si>
  <si>
    <t>Substituição do Sistema de Registro de Perturbação das posições operacionais 02M2 e 02V2, na subestação ABAIXADORA, composto por: 01 Oscilógrafo.</t>
  </si>
  <si>
    <t>0006915/2024</t>
  </si>
  <si>
    <t>11446307</t>
  </si>
  <si>
    <t>Substituição chave-seccionadora SC833, 345kV, arranjo BD5, associado ao AT03, na SE CAMPINAS.</t>
  </si>
  <si>
    <t>0006917/2024</t>
  </si>
  <si>
    <t>SC833</t>
  </si>
  <si>
    <t>Substituição do Sistema de Registro de Perturbação das posições operacionais 04T3 e 04T5, na subestação ACU II, composto por: 01 Oscilógrafo.</t>
  </si>
  <si>
    <t>0006921/2024</t>
  </si>
  <si>
    <t>11446241</t>
  </si>
  <si>
    <t>Substituição chave-seccionadora SC835, 345kV, arranjo BD5, associado ao AT03, na SE CAMPINAS.</t>
  </si>
  <si>
    <t>0006922/2024</t>
  </si>
  <si>
    <t>SC835</t>
  </si>
  <si>
    <t>Substituição de 01 (uma) Seccionadora 6.9 kV posição operacional 36H2-8 da Subestação NTD</t>
  </si>
  <si>
    <t>0006925/2024</t>
  </si>
  <si>
    <t>11338478</t>
  </si>
  <si>
    <t>Substituição dos cubículos de 15 kV, na SE GRAVATAÍ.</t>
  </si>
  <si>
    <t>MG 525 kV GRAVATAI MG1 RS</t>
  </si>
  <si>
    <t>0006927/2024</t>
  </si>
  <si>
    <t>Substituição de 01 (uma) Seccionadora 6,9 kV posição operacional 36H3-7 da Subestação NTD</t>
  </si>
  <si>
    <t>0006928/2024</t>
  </si>
  <si>
    <t>11343413</t>
  </si>
  <si>
    <t>Substituição de 01 (uma) Seccionadora 6.9 kV posição operacional 36H3-8 da Subestação NTD</t>
  </si>
  <si>
    <t>0006931/2024</t>
  </si>
  <si>
    <t>11338479</t>
  </si>
  <si>
    <t>Substituição de 01 (uma) Seccionadora 6,9 kV posição operacional 36H4-7 da Subestação NTD</t>
  </si>
  <si>
    <t>0006932/2024</t>
  </si>
  <si>
    <t>11343414</t>
  </si>
  <si>
    <t>Substituição do Sistema de Registro de Perturbação da posição operacional 03T1, na subestação PILOES, composto por: 01 Oscilógrafo.</t>
  </si>
  <si>
    <t>MG 138 kV PILOES MG1 PB</t>
  </si>
  <si>
    <t>0006933/2024</t>
  </si>
  <si>
    <t>11449583</t>
  </si>
  <si>
    <t>Substituição de 01 (uma) Seccionadora 6.9 kV posição operacional 36H4-8 da Subestação NTD</t>
  </si>
  <si>
    <t>0006934/2024</t>
  </si>
  <si>
    <t>11338480</t>
  </si>
  <si>
    <t>Substituição de 01 (uma) Seccionadora 6,9 kV posição operacional 36H5-7 da Subestação NTD</t>
  </si>
  <si>
    <t>CE 20/-0 Mvar NATAL II CE2 RN (06Q2)</t>
  </si>
  <si>
    <t>0006935/2024</t>
  </si>
  <si>
    <t>11343415</t>
  </si>
  <si>
    <t>Substituição de 01 (uma) Seccionadora 6.9 kV posição operacional 36H5-8 da Subestação NTD</t>
  </si>
  <si>
    <t>0006936/2024</t>
  </si>
  <si>
    <t>11338481</t>
  </si>
  <si>
    <t>Dispositivo de Proteção Relé</t>
  </si>
  <si>
    <t>Substituição do sistema de SPCS do Banco de Capacitor 2 de 13,8kV da SE Sinop (SPBC202).</t>
  </si>
  <si>
    <t>0007126/2024</t>
  </si>
  <si>
    <t>SPBC202</t>
  </si>
  <si>
    <t>Substituição de bateria - 125 Vcc - SACC125-BAT52 (setor de 525 kV) na SE Santo Ângelo.</t>
  </si>
  <si>
    <t>0006938/2024</t>
  </si>
  <si>
    <t>Substituição de sistema de oscilógrafa Registrador digital de perturbações - RDP-4 - CE201.</t>
  </si>
  <si>
    <t>BC 13,8 kV 9,6 MVAr COXIPO BC2 MT</t>
  </si>
  <si>
    <t>0007322/2024</t>
  </si>
  <si>
    <t>CXSPR01-AY</t>
  </si>
  <si>
    <t>Substituição de 01 (uma) Seccionadora 6,9 kV posição operacional 36H6-7 da Subestação NTD</t>
  </si>
  <si>
    <t>0006939/2024</t>
  </si>
  <si>
    <t>11343416</t>
  </si>
  <si>
    <t>Substituição do sistema de SPCS do Banco de Capacitores 1 da SE Ji-Paraná ( JPBC6-01.) Será necessário o desligamento da FT do banco JPBC6-01, JPBC6-02 e JPBC6-03</t>
  </si>
  <si>
    <t>0007130/2024</t>
  </si>
  <si>
    <t>JPSPR01-06FX</t>
  </si>
  <si>
    <t>Substituição do sistema de SPCS do Banco de Capacitores 2 da SE Ji-Paraná ( JPBC6-02.) Será necessário o desligamento da FT do banco JPBC6-01, JPBC6-02 e JPBC6-03</t>
  </si>
  <si>
    <t>0007326/2024</t>
  </si>
  <si>
    <t>Substituição de bateria - 48 Vcc - SACC48-BAT1 na SE Siderópolis.</t>
  </si>
  <si>
    <t>0006941/2024</t>
  </si>
  <si>
    <t>Substituição de 01 (uma) Seccionadora 6.9 kV posição operacional 36H6-8 da Subestação NTD</t>
  </si>
  <si>
    <t>0006942/2024</t>
  </si>
  <si>
    <t>11338482</t>
  </si>
  <si>
    <t>Substituição do sistema de SPCS do Banco de Capacitores 3 da SE Ji-Paraná ( JPBC6-03.) Será necessário o desligamento da FT do banco JPBC6-01, JPBC6-02 e JPBC6-03</t>
  </si>
  <si>
    <t>0007327/2024</t>
  </si>
  <si>
    <t>Substituição do sistema de SPCS do Banco de Capacitores 1 da SE Sinop (SPBC6-01.) Será necessário o desligamento da FT do banco SPBC6-01</t>
  </si>
  <si>
    <t>BC 230 kV 30 MVAr SINOP BC1 MT</t>
  </si>
  <si>
    <t>0007331/2024</t>
  </si>
  <si>
    <t>SPBC6-01</t>
  </si>
  <si>
    <t>Substituição de bateria - 48 Vcc - SACC48-BAT2 na SE Siderópolis.</t>
  </si>
  <si>
    <t>0006944/2024</t>
  </si>
  <si>
    <t>Substituição do sistemas da instrumentação e do sistema de controle e proteção do Compensador Estático 1 da SE Sinop - SPCE1-01.</t>
  </si>
  <si>
    <t>0007332/2024</t>
  </si>
  <si>
    <t>SPCE1-01</t>
  </si>
  <si>
    <t>Substituição de 01 (uma) Seccionadora 6,9 kV posição operacional 36H7-7 da Subestação NTD</t>
  </si>
  <si>
    <t>0006945/2024</t>
  </si>
  <si>
    <t>11343417</t>
  </si>
  <si>
    <t>Substituição do sistema de SPCS do vão da linha de Transmissão de Sinop DIST1 (SNSPLI501) na SE SINOP.</t>
  </si>
  <si>
    <t>0007337/2024</t>
  </si>
  <si>
    <t>SNSPLI501</t>
  </si>
  <si>
    <t>Substituição de Multiplexador Óptico SDH, na subestação B. ESPERANCA, composto por: 01 Multiplexador.</t>
  </si>
  <si>
    <t>0006946/2024</t>
  </si>
  <si>
    <t>11373020</t>
  </si>
  <si>
    <t>Substituir sistema de SPCS do linha Abunã Rio Branco 230kV C2 na SE Abunã (ANRBLT6-02-ANRE605-ANSPR01). Será necessário o desligamento da própria linha ANRBLT6-02 e do reator ANRE6-05.</t>
  </si>
  <si>
    <t>0007342/2024</t>
  </si>
  <si>
    <t>ANSPR01-06BY</t>
  </si>
  <si>
    <t>Substituição de bateria - 125 Vcc - SACC125-BAT2 na SE Santa Vitória do Palmar 2.</t>
  </si>
  <si>
    <t>0006947/2024</t>
  </si>
  <si>
    <t>Substituir o RDP - ECIL OSC-1000 que contemplam a linha RVBP-LI6-0.</t>
  </si>
  <si>
    <t>LT 230 kV RIB.GONCALVES /BALSAS C-1 PI/MA</t>
  </si>
  <si>
    <t>0007346/2024</t>
  </si>
  <si>
    <t>RVBPLI6-01</t>
  </si>
  <si>
    <t>Substituição de 01 (uma) Seccionadora 6.9 kV posição operacional 36H7-8 da Subestação NTD</t>
  </si>
  <si>
    <t>0006948/2024</t>
  </si>
  <si>
    <t>11338483</t>
  </si>
  <si>
    <t>Substituição de sistema de oscilógrafa Registrador digital de perturbações - RPV 310 - CXNBLT601.</t>
  </si>
  <si>
    <t>0007347/2024</t>
  </si>
  <si>
    <t>CXSPRLT-B1Y</t>
  </si>
  <si>
    <t>Substituição de Multiplexador Óptico SDH, na subestação DELM. GOUVEIA, composto por: 01 Multiplexador.</t>
  </si>
  <si>
    <t>0006949/2024</t>
  </si>
  <si>
    <t>11374707</t>
  </si>
  <si>
    <t>Substituição de bateria - 48 Vcc - SACC48-BAT2 na SE Santa Vitória do Palmar 2.</t>
  </si>
  <si>
    <t>0006950/2024</t>
  </si>
  <si>
    <t>Substituição de 01 (uma) Seccionadora 6,9 kV posição operacional 36H8-7 da Subestação NTD</t>
  </si>
  <si>
    <t>0006952/2024</t>
  </si>
  <si>
    <t>11343418</t>
  </si>
  <si>
    <t>Substituição de sistema de oscilógrafa Registrador digital de perturbações - RPV 310 - RPCXLT601.</t>
  </si>
  <si>
    <t>0007352/2024</t>
  </si>
  <si>
    <t>CXSPRPP-CX</t>
  </si>
  <si>
    <t>Substituição de Multiplexador Óptico SDH, na subestação STO.A.JESUS, composto por: 01 Multiplexador.</t>
  </si>
  <si>
    <t>0006954/2024</t>
  </si>
  <si>
    <t>11374134</t>
  </si>
  <si>
    <t>Substituição de sistema de oscilógrafa Registrador digital de perturbações - RPV 310 - RPCXLT602.</t>
  </si>
  <si>
    <t>0007353/2024</t>
  </si>
  <si>
    <t>CXSPR01-DX</t>
  </si>
  <si>
    <t>Substituição de bateria - 48 Vcc - SACC48-BAT2 na SE Tapera 2.</t>
  </si>
  <si>
    <t>0006955/2024</t>
  </si>
  <si>
    <t>Substituição de sistema de oscilógrafa Registrador digital de perturbações - RPV 310 - JUVDLI601.</t>
  </si>
  <si>
    <t>0007355/2024</t>
  </si>
  <si>
    <t>JUVDLI6-01</t>
  </si>
  <si>
    <t>Substituição de 01 (uma) Seccionadora 6.9 kV posição operacional 36H8-8 da Subestação NTD</t>
  </si>
  <si>
    <t>0006956/2024</t>
  </si>
  <si>
    <t>11338484</t>
  </si>
  <si>
    <t>Substituição de sistema de oscilógrafa Registrador digital de perturbações - RPV 310 - JUVDLI602</t>
  </si>
  <si>
    <t>0007357/2024</t>
  </si>
  <si>
    <t>JUVDLI6-02</t>
  </si>
  <si>
    <t>Substituição de Multiplexador Óptico SDH, na subestação EUNAPOLIS, composto por: 01 Multiplexador.</t>
  </si>
  <si>
    <t>0006959/2024</t>
  </si>
  <si>
    <t>11374139</t>
  </si>
  <si>
    <t>Substituição de Retificador (Carregador de Baterias) 125 Vcc - SACC125-RET1, da SE Tapera 2.</t>
  </si>
  <si>
    <t>0006960/2024</t>
  </si>
  <si>
    <t>Substituição do Sistema de Proteção e Controle (SPCS) da linha Nova Mutum - Sorriso circuito 1, na SE Nova Mutum, (QPC1-6CY - UCD1-2).</t>
  </si>
  <si>
    <t>LT 230 kV NOVA MUTUM /SORRISO C-1 MT</t>
  </si>
  <si>
    <t>0007367/2024</t>
  </si>
  <si>
    <t>NMSPRLT-6CY</t>
  </si>
  <si>
    <t>Substituição de 01 (uma) Seccionadora 13.8 kV posição operacional 41T8-8 da Subestação IRE</t>
  </si>
  <si>
    <t>0006961/2024</t>
  </si>
  <si>
    <t>12621037</t>
  </si>
  <si>
    <t>Substituição de sistema de oscilógrafa Registrador digital de perturbações - RPV 310 - AQTC6-01 - Vão 06AX</t>
  </si>
  <si>
    <t>MG 230 kV ARIQUEMES MG1 RO</t>
  </si>
  <si>
    <t>0007368/2024</t>
  </si>
  <si>
    <t>AQTC601-06AX</t>
  </si>
  <si>
    <t>Substituição de sistema de oscilografia Registrador digital de perturbações - RPV 310 - AQTC601 - Vão 06CX.</t>
  </si>
  <si>
    <t>0007370/2024</t>
  </si>
  <si>
    <t>AQTC601-06CX</t>
  </si>
  <si>
    <t>Substituição de Retificador (Carregador de Baterias) 125 Vcc - SACC125-RET2, da SE Tapera 2.</t>
  </si>
  <si>
    <t>0006964/2024</t>
  </si>
  <si>
    <t>Substituição de sistema de oscilógrafa Registrador digital de perturbações - RPV 310 - AQTC601 - Vão 06AY</t>
  </si>
  <si>
    <t>0007371/2024</t>
  </si>
  <si>
    <t>AQTC601-06AY</t>
  </si>
  <si>
    <t>Substituição de 01 (um) conjunto de TP de medição 13.8 kV posição operacional 81k1 da Subestação IRE</t>
  </si>
  <si>
    <t>0006966/2024</t>
  </si>
  <si>
    <t>12621102</t>
  </si>
  <si>
    <t>Substituição do SPCS da Unidade de Controle do vão de transferência (interligação de barras) da SE Ji-Paraná (JPSPR01). Será necessário do desligamento das barras JPBR6-01 e JPBR6-02.</t>
  </si>
  <si>
    <t>0007372/2024</t>
  </si>
  <si>
    <t>JPSPR01</t>
  </si>
  <si>
    <t>Substituir da proteção de Barras da SE Pimenta Bueno (UPDB-UNID. Prot. Barra 7SS52 siemens) . Para execução desta melhoria será necessário a indisponibilidade de atuação da proteção de barras 01 e 02 da SE Pimenta Bueno e de todos os vãos da SE Pimenta Bueno.</t>
  </si>
  <si>
    <t>MG 230 kV PIMENTA BUENO MG1 RO</t>
  </si>
  <si>
    <t>0007375/2024</t>
  </si>
  <si>
    <t>PBSPR01</t>
  </si>
  <si>
    <t>Substituição de 01 (um) TC 13.8 kV posição operacional 91k1-2 da Subestação IRE</t>
  </si>
  <si>
    <t>0006968/2024</t>
  </si>
  <si>
    <t>12621103</t>
  </si>
  <si>
    <t>Substituição de 02 Monitores De 50" para substituir as telas do SAGE na SE Abunã (ANAUS00).</t>
  </si>
  <si>
    <t>0007376/2024</t>
  </si>
  <si>
    <t>ANAUS00</t>
  </si>
  <si>
    <t>Substituir sistema de SPCS do Serviço Auxiliar CC da SE Abunã (ANSPR00 - SSC01). Será necessário o desligamento do proprio Serviço Auxiliar CC da SE Abunã.</t>
  </si>
  <si>
    <t>0007377/2024</t>
  </si>
  <si>
    <t>ANSPR00 - SSC01</t>
  </si>
  <si>
    <t>Substituir sistema de SPCS do Serviço Auxiliar CA da SE Abunã (ANSPR00 - SSA01). Será necessário o desligamento do proprio Serviço Auxiliar CA da SE Abunã.</t>
  </si>
  <si>
    <t>0007378/2024</t>
  </si>
  <si>
    <t>ANSPR00 - SSA01</t>
  </si>
  <si>
    <t>Substituição de 01 (um) TC 13.8 kV posição operacional 91k1-3.A da Subestação IRE</t>
  </si>
  <si>
    <t>0006969/2024</t>
  </si>
  <si>
    <t>12621104</t>
  </si>
  <si>
    <t>Substituição de bateria - 125 Vcc - SACC125-BAT2 na SE Mimoso (vinculada a LT 138 kV Mimoso - Campo Grande C-4).</t>
  </si>
  <si>
    <t>0006970/2024</t>
  </si>
  <si>
    <t>Substituição de 02 Monitores De 50" para substituir as telas do SAGE na SE Ariquemes. Será necessário o desligamento de toda supervisão da SE Ariquemes.</t>
  </si>
  <si>
    <t>0007380/2024</t>
  </si>
  <si>
    <t>MG (AQAUS00)</t>
  </si>
  <si>
    <t>Substituição do Sistema de Registro de Perturbação na Entrada de Linha 04S1, na subestação CEARA MIRIM II, composto por: 01 Oscilógrafo.</t>
  </si>
  <si>
    <t>LT 230 kV TOUROS /CEARA MIRIM II C-1 RN</t>
  </si>
  <si>
    <t>0006971/2024</t>
  </si>
  <si>
    <t>12445133</t>
  </si>
  <si>
    <t>Substituição SPCS do vão de transferência (- CJBR6-01-SPR01). Com desligamento do próprio vão de transferência e disjuntor e seccionadoras.</t>
  </si>
  <si>
    <t>0007390/2024</t>
  </si>
  <si>
    <t>CJBR6-01</t>
  </si>
  <si>
    <t>Substituição de 01 (um) TC 13.8 kV posição operacional 91k1-3.B da Subestação IRE</t>
  </si>
  <si>
    <t>0006973/2024</t>
  </si>
  <si>
    <t>12621105</t>
  </si>
  <si>
    <t>Substituição de 02 Monitores De 50" para substituir as telas do SAGE da SE Jaru. Será necessário o desligamento de toda supervisão da SE Jaru.</t>
  </si>
  <si>
    <t>MG 230 kV JARU MG1 RO</t>
  </si>
  <si>
    <t>0007389/2024</t>
  </si>
  <si>
    <t>MG (JRAUS01)</t>
  </si>
  <si>
    <t>Substituição de bateria - 48 Vcc - SACC48-BAT1 na SE Mimoso (vinculada a LT 138 kV Mimoso - Campo Grande C-4).</t>
  </si>
  <si>
    <t>0006974/2024</t>
  </si>
  <si>
    <t>Substituição do Sistema de proteção e controle de Barra única (JUSPRAT01 - BR201) de 13.8KV - . Como existe apenas uma barra única de 13,8 KV, haverá necessidade de desligameno do lado de baixa das FT JUAT601, JUAT602 e todo o barramento de 13,8kV.</t>
  </si>
  <si>
    <t>0007387/2024</t>
  </si>
  <si>
    <t>JUSPRAT01</t>
  </si>
  <si>
    <t>Substituição do Sistema de Registro de Perturbação na Entrada de Linha 04S4, na subestação MESSIAS, composto por: 01 Oscilógrafo.</t>
  </si>
  <si>
    <t>0006975/2024</t>
  </si>
  <si>
    <t>12445621</t>
  </si>
  <si>
    <t>Substituição do sistema de proteção e controle do sistema de 13.8KV ( JUSPRAT6-02 - BR202.) Como existe apenas uma barra única de 13,8 KV, haverá necessidade de desligameno do lado de baixa das FT JUAT6-01, JUAT6-02 e todo o barramento de 13,8kV.</t>
  </si>
  <si>
    <t>0007385/2024</t>
  </si>
  <si>
    <t>JUSPRAT02</t>
  </si>
  <si>
    <t>Substituição de 01 (um) TC 13.8 kV posição operacional 91k1-3.C da Subestação IRE</t>
  </si>
  <si>
    <t>0006978/2024</t>
  </si>
  <si>
    <t>12621106</t>
  </si>
  <si>
    <t>Substituição do sistema de proteção e controle do sistema (SPCS) do serviço auxiliar 1 (JUSPRAT - SSA01). Será necessário o desligamento do proprio Serviço Auxiliar CC e CA da SE Jauru.</t>
  </si>
  <si>
    <t>0007384/2024</t>
  </si>
  <si>
    <t>JUSPRAT - SSA01</t>
  </si>
  <si>
    <t>Substituição de bateria - 48 Vcc - SACC48-BAT2 na SE Mimoso (vinculada a LT 138 kV Mimoso - Campo Grande C-4).</t>
  </si>
  <si>
    <t>0006980/2024</t>
  </si>
  <si>
    <t>Substituição do Sistema de Registro de Perturbação associado ao vão de Entrada de Linha 04N2 (LT 230 kV GARANHUNS II /ANGELIM C-1), na subestação ANGELIM, composto por: 01 Oscilógrafo e infraestrutura de comunicação associada.</t>
  </si>
  <si>
    <t>0006982/2024</t>
  </si>
  <si>
    <t>12442036</t>
  </si>
  <si>
    <t>Substituição do microcomputador 2 (SICAM PAS 1-UIN MG230-AUS00) interface das unidades de controle e proteção para o SAGE da SE Ji-Paraná. Será necessário o desligamento de toda supervisão da SE Jí-Paraná.</t>
  </si>
  <si>
    <t>0007397/2024</t>
  </si>
  <si>
    <t>MG230-AUS00</t>
  </si>
  <si>
    <t>Substituição de 01 (um) TC 13.8 kV posição operacional 91k1-4.A da Subestação IRE</t>
  </si>
  <si>
    <t>0006985/2024</t>
  </si>
  <si>
    <t>12621107</t>
  </si>
  <si>
    <t>Substituição do microcomputador 1 (SICAM PAS 2-UIN- MG230-AUS00) da SE Ji-Paraná. interface entre as unidades de controle e proteção para o SAGE. Será necessário o desligamento de toda supervisão da SE Jí-Paraná.</t>
  </si>
  <si>
    <t>0007398/2024</t>
  </si>
  <si>
    <t>0006986/2024</t>
  </si>
  <si>
    <t>Substituir sistema de SPCS do Serviço Auxiliar CC da SE Ji-Paraná (JPSPR00 - SSA01).</t>
  </si>
  <si>
    <t>0007399/2024</t>
  </si>
  <si>
    <t>JPSPR00 - SSA01</t>
  </si>
  <si>
    <t>Substituição do Sistema de Registro de Perturbação associado ao vão de Entrada de Linha 04M1 (LT 230 kV CATU /CAMACARI IV C-1), na subestação CATU, composto por: 01 Oscilógrafo e infraestrutura de comunicação associada.</t>
  </si>
  <si>
    <t>0006987/2024</t>
  </si>
  <si>
    <t>12447625</t>
  </si>
  <si>
    <t>Substituir sistema de SPCS do Serviço Auxiliar CA da SE Jiparaná (JPSPR00- SSA01). Será necessário o desligamento de toda supervisão da SE Jí-Paraná.</t>
  </si>
  <si>
    <t>0007401/2024</t>
  </si>
  <si>
    <t>JPSPR00- SSA01</t>
  </si>
  <si>
    <t>Substituição de 01 (um) TC 13.8 kV posição operacional 91k1-4.B da Subestação IRE</t>
  </si>
  <si>
    <t>0006990/2024</t>
  </si>
  <si>
    <t>12621108</t>
  </si>
  <si>
    <t>Substituição de 02 Monitores De 50" para substituir as telas do SAGE na SE Ji-Paraná.</t>
  </si>
  <si>
    <t>0007403/2024</t>
  </si>
  <si>
    <t>Substituição do SPCS da Unidade de Controle do vão de transferência - (NBSPRBR601). Será necessário o desligamento barra 01.</t>
  </si>
  <si>
    <t>0007407/2024</t>
  </si>
  <si>
    <t>NBSPRBR601</t>
  </si>
  <si>
    <t>Substituição do Sistema de Registro de Perturbação associado ao vão de Entrada de Linha  04M2 (LT 230 kV CATU /CAMACARI IV C-2), na subestação CATU, composto por: 01 Oscilógrafo e infraestrutura de comunicação associada.</t>
  </si>
  <si>
    <t>0006992/2024</t>
  </si>
  <si>
    <t>12447633</t>
  </si>
  <si>
    <t>Substituição de 01 (um) TC 13.8 kV posição operacional 91k1-4.C da Subestação IRE</t>
  </si>
  <si>
    <t>0006994/2024</t>
  </si>
  <si>
    <t>12621109</t>
  </si>
  <si>
    <t>Substituição de 02 Monitores De 50" para substituir as telas do SAGE da SE Pimenta Bueno (PBSPR01). Será necessário o desligamento de toda supervisão da SE Pimenta Bueno.</t>
  </si>
  <si>
    <t>0007408/2024</t>
  </si>
  <si>
    <t>MG (PBSPR01)</t>
  </si>
  <si>
    <t>Substituição do Microcomputador 1 (Sicam PAS 1-UIN-1) interface das unidades de controle e proteção para o SAGE da SE Pimenta Bueno. Será necessário o desligamento de toda supervisão da SE Pimenta Bueno.</t>
  </si>
  <si>
    <t>0007409/2024</t>
  </si>
  <si>
    <t>AUS01</t>
  </si>
  <si>
    <t>Substituição do Sistema de Registro de Perturbação associado ao vão de Entrada de Linha 04M1 (LT 230 kV CATU /CAMACARI IV C-1), na subestação CAMACARI IV, composto por: 01 Oscilógrafo e infraestrutura de comunicação associada.</t>
  </si>
  <si>
    <t>0007157/2024</t>
  </si>
  <si>
    <t>12447743</t>
  </si>
  <si>
    <t>Substituição de 01 (um) TC 13.8 kV posição operacional 91k1-5.A da Subestação IRE</t>
  </si>
  <si>
    <t>0006997/2024</t>
  </si>
  <si>
    <t>12621110</t>
  </si>
  <si>
    <t>Substituição do Microcomputador 2 (Sicam PAS 2-UIN-2) interface das unidades de controle e proteção para o SAGE da SE Pimenta Bueno. Será necessário o desligamento de toda supervisão da SE Pimenta Bueno.</t>
  </si>
  <si>
    <t>0007411/2024</t>
  </si>
  <si>
    <t>Substituição de 02 Monitores De 50" para substituir as telas do SAGE -na SE Porto Velho (U29PBVSPR01). Será necessário o desligamento de toda supervisão da SE Porto Velho.</t>
  </si>
  <si>
    <t>0007412/2024</t>
  </si>
  <si>
    <t>MG (PVAUS00)</t>
  </si>
  <si>
    <t>Substituição do microcomputador 1 (Sicam PAS 1-UIN-1 MG230-SSA01) interface entre as unidades de controle e proteção para o SAGE na SE Porto Velho. Será necessário o desligamento de toda supervisão da SE Porto Velho.</t>
  </si>
  <si>
    <t>0007418/2024</t>
  </si>
  <si>
    <t>AUS00</t>
  </si>
  <si>
    <t>Substituição de 01 (um) TC 13.8 kV posição operacional 91k1-5.B da Subestação IRE</t>
  </si>
  <si>
    <t>0006999/2024</t>
  </si>
  <si>
    <t>12621111</t>
  </si>
  <si>
    <t>Substituição do Sistema de Registro de Perturbação associado ao vão de Entrada de Linha  04M2 (LT 230 kV CATU /CAMACARI IV C-2), na subestação CAMACARI IV, composto por: 01 Oscilógrafo e infraestrutura de comunicação associada.</t>
  </si>
  <si>
    <t>0007000/2024</t>
  </si>
  <si>
    <t>12447741</t>
  </si>
  <si>
    <t>Substituição de Microcomputador 3 (Sicam PAS 2-UIN-2 MG230-SSA01) interface entre as unidades de controle e proteção para o SAGE na SE Porto Velho. Será necessário o desligamento de toda supervisão da SE Porto Velho.</t>
  </si>
  <si>
    <t>0007428/2024</t>
  </si>
  <si>
    <t>SSA01</t>
  </si>
  <si>
    <t>Substituição de Microcomputador 2 (Sicam PAS 1-UIN-1 - PVAUS00) interface entre as unidades de controle e proteção para o SAGE. Será necessário o desligamento de toda supervisão da SE Porto Velho.</t>
  </si>
  <si>
    <t>0007419/2024</t>
  </si>
  <si>
    <t>Substituição de 01 (um) TC 13.8 kV posição operacional 91k1-5.C da Subestação IRE</t>
  </si>
  <si>
    <t>0007003/2024</t>
  </si>
  <si>
    <t>12621112</t>
  </si>
  <si>
    <t>Substituição de Microcomputador 4 (Sicam PAS 2-UIN-2 - PVAUS00) interface entre as unidades de controle e proteção para o SAGE, na SE Porto Velho. Será necessário o desligamento de toda supervisão da SE Porto Velho.</t>
  </si>
  <si>
    <t>0007420/2024</t>
  </si>
  <si>
    <t>Substituição de 02 Monitores De 50" para substituir as telas do SAGE da SE Samuel (SMAUS00). Será necessário o desligamento de toda supervisão da SE Samuel.</t>
  </si>
  <si>
    <t>0007422/2024</t>
  </si>
  <si>
    <t>MG (SMAUS00)</t>
  </si>
  <si>
    <t>Substituição da Unidade de Controle do vão de transferência. BR601-SPSPRBR. Será necessário o desligamento do vão de transferência e disjunto e seccionadoras.</t>
  </si>
  <si>
    <t>MG 230 kV SINOP MG1 MT</t>
  </si>
  <si>
    <t>0007430/2024</t>
  </si>
  <si>
    <t>SPSPRBR-CY</t>
  </si>
  <si>
    <t>Substituição de 01 (um) TC 13.8 kV posição operacional 91T9.A da Subestação IRE</t>
  </si>
  <si>
    <t>0007005/2024</t>
  </si>
  <si>
    <t>12621113</t>
  </si>
  <si>
    <t>Substituição de 01 (um) TC 13.8 kV posição operacional 91T9.B da Subestação IRE</t>
  </si>
  <si>
    <t>0007009/2024</t>
  </si>
  <si>
    <t>12621114</t>
  </si>
  <si>
    <t>Substituição do Sistema de Registro de Perturbação associado ao vão de Entrada de Linha  04L3 (LT 230 kV COTEGIPE /JACARACANGA C-1), na subestação COTEGIPE, composto por: 01 Oscilógrafo e infraestrutura de comunicação associada.</t>
  </si>
  <si>
    <t>0007010/2024</t>
  </si>
  <si>
    <t>12448378</t>
  </si>
  <si>
    <t>Substituição de 01 (um) TC 13.8 kV posição operacional 91T9.C da Subestação IRE</t>
  </si>
  <si>
    <t>0007013/2024</t>
  </si>
  <si>
    <t>12621115</t>
  </si>
  <si>
    <t>Substituição do Sistema de Registro de Perturbação associado ao vão de Entrada de Linha  04L4 (LT 230 kV COTEGIPE /MATATU C-1), na subestação COTEGIPE, composto por: 01 Oscilógrafo e infraestrutura de comunicação associada.</t>
  </si>
  <si>
    <t>0007154/2024</t>
  </si>
  <si>
    <t>12448382</t>
  </si>
  <si>
    <t>Substituição de 01 (um) TC 13.8 kV posição operacional 96k1-1.A da Subestação IRE</t>
  </si>
  <si>
    <t>0007015/2024</t>
  </si>
  <si>
    <t>12621116</t>
  </si>
  <si>
    <t>Substituição do Sistema de Registro de Perturbação associado ao vão de Entrada de Linha  04M5 (LT 230 kV CAMACARI II /COTEGIPE C-1), na subestação COTEGIPE, composto por: 01 Oscilógrafo e infraestrutura de comunicação associada.</t>
  </si>
  <si>
    <t>0007016/2024</t>
  </si>
  <si>
    <t>12448380</t>
  </si>
  <si>
    <t>Substituição de conjunto de Resistor de Aterramento (Banco 2) associado ao TR1 na SE GRAVATAI.</t>
  </si>
  <si>
    <t>0007068/2024</t>
  </si>
  <si>
    <t>RAT13,8 TF1 (Banco 2)</t>
  </si>
  <si>
    <t>Substituição do sistema de SPCS do SERVIÇO AUXILIAR (QCD-02) SETOR 13,8KV.</t>
  </si>
  <si>
    <t>0007431/2024</t>
  </si>
  <si>
    <t>SPSPRCA</t>
  </si>
  <si>
    <t>Substituição de 01 (um) TC 13.8 kV posição operacional 96k1-1.B da Subestação IRE</t>
  </si>
  <si>
    <t>0007019/2024</t>
  </si>
  <si>
    <t>12621117</t>
  </si>
  <si>
    <t>Substituição do Sistema de Registro de Perturbação associado ao vão de Entrada de Linha  04M6 (LT 230 kV CAMACARI IV /COTEGIPE C-1), na subestação CAMACARI IV, composto por: 01 Oscilógrafo e infraestrutura de comunicação associada.</t>
  </si>
  <si>
    <t>0007020/2024</t>
  </si>
  <si>
    <t>12447738</t>
  </si>
  <si>
    <t>Substituição da Proteção e Controle - SPCS do Reator 2 de 230kV (RBRE6-02) da SE Rio Branco.</t>
  </si>
  <si>
    <t>RTB 230 kV 20 Mvar RIO BRANCO 1 RT2 AC</t>
  </si>
  <si>
    <t>0007436/2024</t>
  </si>
  <si>
    <t>RBSPR01-06DX</t>
  </si>
  <si>
    <t>Substituição dos Painéis de Distribuição 220 VCA (5SA5) e cabos associados, referentes aos Serviços Auxiliares da SE Nova Santa Rita.</t>
  </si>
  <si>
    <t>0007022/2024</t>
  </si>
  <si>
    <t>Substituição do sistema de SPCS do Reator 2 da SE Sinop (SPRE6-02). Será necessário o desligamento da FT da linha LT 230 kV SINOP /SORRISO C-1 MT .</t>
  </si>
  <si>
    <t>0007438/2024</t>
  </si>
  <si>
    <t>SPRE6-02</t>
  </si>
  <si>
    <t>Substituição de 01 (um) TC 13.8 kV posição operacional 96k1-1.C da Subestação IRE</t>
  </si>
  <si>
    <t>0007023/2024</t>
  </si>
  <si>
    <t>12621118</t>
  </si>
  <si>
    <t>Substituição de Pára-raios fase A, 138kV, arranjo BS, associado ao AT03, na SE CAMPINAS.</t>
  </si>
  <si>
    <t>0007024/2024</t>
  </si>
  <si>
    <t>PR LITQCA3 STCAM FASE A</t>
  </si>
  <si>
    <t>Substituição do sistema de SPCS do Reator 1 da linha Sorriso/Sinop C1 na SE Sinop (SPRE6-01). Será necessário o desligamento da FT do reator SPRE6-01 e da linha Sorriso/Sinop C1.</t>
  </si>
  <si>
    <t>0007443/2024</t>
  </si>
  <si>
    <t>SPRE6-01</t>
  </si>
  <si>
    <t>Substituição do Sistema de Registro de Perturbação associado ao Transformador 04T3, na subestação GOIANINHA, composto por: 01 Oscilógrafo e infraestrutura de comunicação associada.</t>
  </si>
  <si>
    <t>0007026/2024</t>
  </si>
  <si>
    <t>12441505</t>
  </si>
  <si>
    <t>Substituir sistema de SPCS do Autotransformador 230/138kV numero 1 da SE Abunã (ANAT6-01-ANSPR01). Será necessário o desligamento do autotransformador ANAT602.</t>
  </si>
  <si>
    <t>0007445/2024</t>
  </si>
  <si>
    <t>ANAT601</t>
  </si>
  <si>
    <t>Substituição de Retificador (Carregador de Baterias) 48 Vcc - SACC48-RET1, da SE Osório 2.</t>
  </si>
  <si>
    <t>0007027/2024</t>
  </si>
  <si>
    <t>Substituir sistema de SPCS do Autotransformador 1 da SE Ji-Paraná ( JPAT6-01). Será necessário desligamento do auto-transformador JPAT602</t>
  </si>
  <si>
    <t>0007447/2024</t>
  </si>
  <si>
    <t>JPAT601-06DY</t>
  </si>
  <si>
    <t>Substituição de 01 (um) TC 13.8 kV posição operacional 96k1-2.A da Subestação IRE</t>
  </si>
  <si>
    <t>0007029/2024</t>
  </si>
  <si>
    <t>12621119</t>
  </si>
  <si>
    <t>Substituição do Sistema de Registro de Perturbação associado ao vão de Entrada de Linha  04C7 (LT 230 kV PAU FERRO /GOIANINHA C-1), na subestação PAU FERRO, composto por: 01 Oscilógrafo e infraestrutura de comunicação associada.</t>
  </si>
  <si>
    <t>0007031/2024</t>
  </si>
  <si>
    <t>12442122</t>
  </si>
  <si>
    <t>Substituição do sistema de SPCS do Autotransformador 2 da SE Sinop ( SPAT6-02). Será necessário o desligamento da FT do autotransformador SPAT6-01.</t>
  </si>
  <si>
    <t>TR 230/138 kV SINOP TR2 MT</t>
  </si>
  <si>
    <t>0007448/2024</t>
  </si>
  <si>
    <t>SPAT6-02</t>
  </si>
  <si>
    <t>Substituição de Pára-raios fase B, 138kV, arranjo BS, associado ao AT03, na SE CAMPINAS.</t>
  </si>
  <si>
    <t>0007032/2024</t>
  </si>
  <si>
    <t>PR LITQCA3 STCAM FASE B</t>
  </si>
  <si>
    <t>Substituição de Retificador (Carregador de Baterias) 125 Vcc - SACC125-RET1, da SE Osório 2.</t>
  </si>
  <si>
    <t>0007034/2024</t>
  </si>
  <si>
    <t>Substituição do Sistema de Proteção e Controle da proteção de barras associada ao Transformador 1 da SE Nova Mutum (QPC1-6BX - UPD3(BU)). Será necessário desligar o proprio transformador NMTF601. Para a substituição da UPD3 precisa desligar as barras NMBR6-01 e NMBR6-02.</t>
  </si>
  <si>
    <t>0007449/2024</t>
  </si>
  <si>
    <t>NMSPRTF - 6BX</t>
  </si>
  <si>
    <t>Substituição de 01 (um) TC 13.8 kV posição operacional 96k1-2.B da Subestação IRE</t>
  </si>
  <si>
    <t>0007036/2024</t>
  </si>
  <si>
    <t>12621120</t>
  </si>
  <si>
    <t>Substituição do comando do OLTC do trafo TR58-A (cod. Furnas: 10182450 - COD. OBRA: F00451).</t>
  </si>
  <si>
    <t>TR 500 / 138 kV ANGRA FUR 58 RJ</t>
  </si>
  <si>
    <t>0007105/2024</t>
  </si>
  <si>
    <t>TR58-A</t>
  </si>
  <si>
    <t>Substituição do Sistema de Registro de Perturbação associado ao vão de Entrada de Linha 04C1 (LT 230 kV G.MANGABEIRA /SAPEACU C-1), na subestação G.MANGABEIRA, composto por: 01 Oscilógrafo e infraestrutura de comunicação associada.</t>
  </si>
  <si>
    <t>0007038/2024</t>
  </si>
  <si>
    <t>12448309</t>
  </si>
  <si>
    <t>Substituição do Sistema de Proteção e Controle (SPCS) QPC1-6AX - UCD2. Será necessário desligar o próprio transformador NMTF6-02.</t>
  </si>
  <si>
    <t>0007478/2024</t>
  </si>
  <si>
    <t>NMSPRTF-6AX</t>
  </si>
  <si>
    <t>Substituição de Retificador (Carregador de Baterias) 125 Vcc - SACC125-RET2, da SE Osório 2.</t>
  </si>
  <si>
    <t>0007039/2024</t>
  </si>
  <si>
    <t>Substituição da Proteção e Controle do Transformador 1 230/69kV (RBTF6-01) da SE Rio Branco.</t>
  </si>
  <si>
    <t>TR 230/69 kV RIO BRANCO 1 TR1 AC</t>
  </si>
  <si>
    <t>0007479/2024</t>
  </si>
  <si>
    <t>RBSPR01-06EX</t>
  </si>
  <si>
    <t>Substituição de 01 (um) TC 13.8 kV posição operacional 96k1-2.C da Subestação IRE</t>
  </si>
  <si>
    <t>0007040/2024</t>
  </si>
  <si>
    <t>12621121</t>
  </si>
  <si>
    <t>Substituição da proteção da LT 230 kV Sorriso - Sorriso II na SE Sorriso (QPC1-6DY - UPD1 referente ao SSSX-LT6-01). Será necessário o desligamento da LT 230 kV Sorriso - Sorriso II.</t>
  </si>
  <si>
    <t>LT 230 kV SORRISO II /SORRISO C-1 MT</t>
  </si>
  <si>
    <t>0007483/2024</t>
  </si>
  <si>
    <t>SSSPRLT-06DY</t>
  </si>
  <si>
    <t>Substituição de Transformador de Aterramento (Banco 1) 13,8 kV, 0,25MVA, fase A, arranjo BS, associado ao TR2 na SE GRAVATAI.</t>
  </si>
  <si>
    <t>0007042/2024</t>
  </si>
  <si>
    <t>TFAT13,8 TF2-A (Banco 1)</t>
  </si>
  <si>
    <t>Substituição do Sistema de Registro de Perturbação associado ao vão de Entrada de Linha 04C2 (LT 230 kV G.MANGABEIRA /SAPEACU C-2), na subestação G.MANGABEIRA, composto por: 01 Oscilógrafo e infraestrutura de comunicação associada.</t>
  </si>
  <si>
    <t>0007043/2024</t>
  </si>
  <si>
    <t>12448308</t>
  </si>
  <si>
    <t>Substituição de 01 (um) TC 13.8 kV posição operacional 96k1-3.A da Subestação IRE</t>
  </si>
  <si>
    <t>0007044/2024</t>
  </si>
  <si>
    <t>12621122</t>
  </si>
  <si>
    <t>Substituição de Pára-raios fase C, 138kV, arranjo BS, associado ao AT03, na SE CAMPINAS.</t>
  </si>
  <si>
    <t>0007046/2024</t>
  </si>
  <si>
    <t>PR LITQCA3 STCAM FASE C</t>
  </si>
  <si>
    <t>Substituição do Sistema de Registro de Perturbação associado ao vão de Entrada de Linha 04C3 (LT 230 kV G.MANGABEIRA /SAPEACU C-3), na subestação G.MANGABEIRA, composto por: 01 Oscilógrafo e infraestrutura de comunicação associada.</t>
  </si>
  <si>
    <t>0007047/2024</t>
  </si>
  <si>
    <t>12448307</t>
  </si>
  <si>
    <t>POVO NOVO</t>
  </si>
  <si>
    <t>Substituição de bateria - 125 Vcc - SACC125-BAT2 na SE Povo Novo.</t>
  </si>
  <si>
    <t>MG POVO NOVO / CCO-2012-020 - RB</t>
  </si>
  <si>
    <t>0007048/2024</t>
  </si>
  <si>
    <t>Substituição do comando do OLTC do trafo TR58-B (cod. Furnas: 10182451 - COD. OBRA: F00452).</t>
  </si>
  <si>
    <t>0007106/2024</t>
  </si>
  <si>
    <t>TR58-B</t>
  </si>
  <si>
    <t>Substituição de 01 (um) TC 13.8 kV posição operacional 96k1-3.B da Subestação IRE</t>
  </si>
  <si>
    <t>0007049/2024</t>
  </si>
  <si>
    <t>12621123</t>
  </si>
  <si>
    <t>Substituição de Transformador de Aterramento (Banco 1) 13,8 kV, 0,25MVA, fase B, arranjo BS, associado ao TR2 na SE GRAVATAI.</t>
  </si>
  <si>
    <t>0007052/2024</t>
  </si>
  <si>
    <t>TFAT13,8 TF2-B (Banco 1)</t>
  </si>
  <si>
    <t>Substituição do Sistema de Registro de Perturbação associado ao vão de Entrada de Linha 04C3 (LT 230 kV G.MANGABEIRA /SAPEACU C-3), na subestação SAPEACU, composto por: 01 Oscilógrafo e infraestrutura de comunicação associada.</t>
  </si>
  <si>
    <t>0007053/2024</t>
  </si>
  <si>
    <t>12447399</t>
  </si>
  <si>
    <t>Substituição de bateria - 48 Vcc - SACC48-BAT2 na SE Povo Novo.</t>
  </si>
  <si>
    <t>0007054/2024</t>
  </si>
  <si>
    <t>Substituição de 01 (um) TC 13.8 kV posição operacional 96k1-3.C da Subestação IRE</t>
  </si>
  <si>
    <t>0007055/2024</t>
  </si>
  <si>
    <t>12621124</t>
  </si>
  <si>
    <t>Substituição de bateria - 220 Vcc - SACC220-BAT1 na SE P. Médici (vinculada a LT 230 kV P.Médici - Santa Cruz 1).</t>
  </si>
  <si>
    <t>0007056/2024</t>
  </si>
  <si>
    <t>BAT1 - 220 VCC</t>
  </si>
  <si>
    <t>BROTAS.MACAUBAS</t>
  </si>
  <si>
    <t>Substituição do Sistema de Registro de Perturbação associado ao vão de Entrada de Linha 04F2 (LT 230 kV IRECE /BROT.MACAUBAS C-1), na subestação BROT.MACAUBAS, composto por: 01 Oscilógrafo e infraestrutura de comunicação associada.</t>
  </si>
  <si>
    <t>0007057/2024</t>
  </si>
  <si>
    <t>12441172</t>
  </si>
  <si>
    <t>Substituição de 01 (um) TC 13.8 kV posição operacional 96k1-4.A da Subestação IRE</t>
  </si>
  <si>
    <t>0007062/2024</t>
  </si>
  <si>
    <t>12621125</t>
  </si>
  <si>
    <t>Substituição de bateria - 125 Vcc - SACC125/CS1/2-BAT2 na SE Marmeleiro 2 (vinculada aos Compensadores Síncronos).</t>
  </si>
  <si>
    <t>0007064/2024</t>
  </si>
  <si>
    <t>BAT2 - CS1/2 - 125 VCC</t>
  </si>
  <si>
    <t>Substituição do Sistema de Registro de Perturbação associado ao vão de Entrada de Linha 03N2 (LT 138 kV IRECE /BAIXIOS), na subestação IRECE, composto por: 01 Oscilógrafo e infraestrutura de comunicação associada.</t>
  </si>
  <si>
    <t>0007065/2024</t>
  </si>
  <si>
    <t>12479366</t>
  </si>
  <si>
    <t>Substituição de 01 (um) TC 13.8 kV posição operacional 96k1-4.B da Subestação IRE</t>
  </si>
  <si>
    <t>0007067/2024</t>
  </si>
  <si>
    <t>12621126</t>
  </si>
  <si>
    <t>Substituição do comando do OLTC do trafo TR58-C (cod. Furnas: 10182453 - COD. OBRA: F00453).</t>
  </si>
  <si>
    <t>0007121/2024</t>
  </si>
  <si>
    <t>TR58-C</t>
  </si>
  <si>
    <t>Substituição de bateria - 125 Vcc - SACC125-BAT2 na SE Marmeleiro 2.</t>
  </si>
  <si>
    <t>0007069/2024</t>
  </si>
  <si>
    <t>Substituição do Sistema de Registro de Perturbação associado ao vão de Entrada de Linha  04V1 (LT 230 kV C.GRANDE II /PARAISO C-2 ), na subestação C.GRANDE II, composto por: 01 Oscilógrafo e infraestrutura de comunicação associada.</t>
  </si>
  <si>
    <t>0007071/2024</t>
  </si>
  <si>
    <t>12446745</t>
  </si>
  <si>
    <t>Substituição de 01 (um) TC 13.8 kV posição operacional 96k1-4.C da Subestação IRE</t>
  </si>
  <si>
    <t>0007073/2024</t>
  </si>
  <si>
    <t>12621127</t>
  </si>
  <si>
    <t>Substituição de bateria - 48 Vcc - SACC48-BAT2 na SE Salto Osório.</t>
  </si>
  <si>
    <t>0007074/2024</t>
  </si>
  <si>
    <t>Substituição de bateria - 48 Vcc - SACC48-BAT2 na SE Marmeleiro 2.</t>
  </si>
  <si>
    <t>0007075/2024</t>
  </si>
  <si>
    <t>Substituição de 01 (um) TC 13.8 kV posição operacional 96k1-5.A da Subestação IRE</t>
  </si>
  <si>
    <t>0007077/2024</t>
  </si>
  <si>
    <t>12621128</t>
  </si>
  <si>
    <t>Substituição do Sistema de Registro de Perturbação associado ao vão de Entrada de Linha  04V2 (LT 230 kV C.GRANDE II /PARAISO C-1), na subestação PARAISO, composto por: 01 Oscilógrafo e infraestrutura de comunicação associada.</t>
  </si>
  <si>
    <t>0007145/2024</t>
  </si>
  <si>
    <t>12445675</t>
  </si>
  <si>
    <t>Substituição do comando do OLTC do trafo TRR1 (cod. Furnas: 10182452 - COD. OBRA: F00454).</t>
  </si>
  <si>
    <t>TRR 500 / 138 kV ANGRA FUR TRR1 RJ</t>
  </si>
  <si>
    <t>0007122/2024</t>
  </si>
  <si>
    <t>TRR1</t>
  </si>
  <si>
    <t>Substituição de 01 (um) TC 13.8 kV posição operacional 96k1-5.B da Subestação IRE</t>
  </si>
  <si>
    <t>0007079/2024</t>
  </si>
  <si>
    <t>12621129</t>
  </si>
  <si>
    <t>Substituição do Sistema de Registro de Perturbação associado ao vão de Entrada de Linha 04M7 (LT 230 kV CAMACARI II /MATATU C-1), na subestação MATATU, composto por: 01 Oscilógrafo e infraestrutura de comunicação associada.</t>
  </si>
  <si>
    <t>0007081/2024</t>
  </si>
  <si>
    <t>12447557</t>
  </si>
  <si>
    <t>Substituição de conjunto de Resistor de Aterramento (Banco 1) associado ao TR3 na SE GRAVATAI.</t>
  </si>
  <si>
    <t>0007083/2024</t>
  </si>
  <si>
    <t>RAT13,8 TF3 (Banco 1)</t>
  </si>
  <si>
    <t>Substituição de 01 (um) TC 13.8 kV posição operacional 96k1-5.C da Subestação IRE</t>
  </si>
  <si>
    <t>0007085/2024</t>
  </si>
  <si>
    <t>12621130</t>
  </si>
  <si>
    <t>Substituição do Sistema de Registro de Perturbação associada ao vão de Entrada de Linha 04M1 (LT 230 kV RIBEIRAO /RECIFE II C-1), na subestação RECIFE II, composto por: 01 Oscilógrafo e infraestrutura de comunicação associada.</t>
  </si>
  <si>
    <t>0007086/2024</t>
  </si>
  <si>
    <t>12444345</t>
  </si>
  <si>
    <t>Substituição de bombas do circuito aberto do Sistema de Resfriamento de Equipamentos, referentes aos Compensadores Síncronos da SE Marmeleiro 2.</t>
  </si>
  <si>
    <t>0007087/2024</t>
  </si>
  <si>
    <t>Bomba</t>
  </si>
  <si>
    <t>Substituição do Sistema de Registro de Perturbação associado ao vão de Entrada de Linha 04V2 (LT 230 kV RECIFE II /JOAIRAM C-2), na subestação RECIFE II, composto por: 01 Oscilógrafo e infraestrutura de comunicação associada.</t>
  </si>
  <si>
    <t>0007088/2024</t>
  </si>
  <si>
    <t>12444312</t>
  </si>
  <si>
    <t>Substituição de bombas do circuito fechado do Sistema de Resfriamento de Equipamentos, referentes aos Compensadores Síncronos da SE Marmeleiro 2.</t>
  </si>
  <si>
    <t>0007089/2024</t>
  </si>
  <si>
    <t>Substituição do Sistema de Registro de Perturbação associada ao vão de Entrada de Linha 04V3 (LT 230 kV RECIFE II /JOAIRAM C-3), na subestação RECIFE II, composto por: 01 Oscilógrafo e infraestrutura de comunicação associada.</t>
  </si>
  <si>
    <t>0007090/2024</t>
  </si>
  <si>
    <t>12444317</t>
  </si>
  <si>
    <t>Substituição do Painel de Controle MVW1 do Ponymotor (Compensador de Partida), referente aos Compensadores Síncronos da SE Marmeleiro 2.</t>
  </si>
  <si>
    <t>0007092/2024</t>
  </si>
  <si>
    <t>Painel de Controle</t>
  </si>
  <si>
    <t>Substituição do Sistema de Registro de Perturbação associada ao Banco de Capacitores 04H1, na subestação RECIFE II, composto por: 01 Oscilógrafo e infraestrutura de comunicação associada.</t>
  </si>
  <si>
    <t>0007093/2024</t>
  </si>
  <si>
    <t>12444306</t>
  </si>
  <si>
    <t>Substituição do Painel de Controle MVW2 do Ponymotor (Compensador de Partida), referente aos Compensadores Síncronos da SE Marmeleiro 2.</t>
  </si>
  <si>
    <t>0007095/2024</t>
  </si>
  <si>
    <t>Substituição do Sistema de Registro de Perturbação associado ao vão de Entrada de Linha 04C5 (LT 230 kV RECIFE II /MIRUEIRA C-2), na subestação MIRUEIRA, composto por: 01 Oscilógrafo e infraestrutura de comunicação associada.</t>
  </si>
  <si>
    <t>0007096/2024</t>
  </si>
  <si>
    <t>12441608</t>
  </si>
  <si>
    <t>Substituição dos Painéis de Distribuição 480 VCA (5SA1, 5SA2A, 5SA2B, 5SA3) e cabos associados, referentes aos Serviços Auxiliares da SE Nova Santa Rita.</t>
  </si>
  <si>
    <t>0007098/2024</t>
  </si>
  <si>
    <t>Substituir o RDP - ECIL OSC-1000 que contemplam a linha RVBP-LI6-02.</t>
  </si>
  <si>
    <t>0007481/2024</t>
  </si>
  <si>
    <t>RVBP-LI6-02</t>
  </si>
  <si>
    <t>Substituição de Ponymotor (Compensador de Partida), referente aos Compensadores Síncronos da SE Marmeleiro 2.</t>
  </si>
  <si>
    <t>0007099/2024</t>
  </si>
  <si>
    <t>Ponymotor</t>
  </si>
  <si>
    <t>Substituição de sistema de oscilografia Registrador digital de perturbações - RPV 310 - PVANLT601</t>
  </si>
  <si>
    <t>0007484/2024</t>
  </si>
  <si>
    <t>PVANLT601-06BY</t>
  </si>
  <si>
    <t>Substituição do Sistema de Registro de Perturbação associado ao vão de Entrada de Linha 04C6 (LT 230 kV RECIFE II /MIRUEIRA C-3), na subestação MIRUEIRA, composto por: 01 Oscilógrafo e infraestrutura de comunicação associada.</t>
  </si>
  <si>
    <t>0007140/2024</t>
  </si>
  <si>
    <t>12441599</t>
  </si>
  <si>
    <t>Substituição do Transformador IGTF3-02 34,5KV/380V.</t>
  </si>
  <si>
    <t>MG 230 kV INTEGRADORA MG1 PA</t>
  </si>
  <si>
    <t>0007489/2024</t>
  </si>
  <si>
    <t>IGTF3-02</t>
  </si>
  <si>
    <t>Substituição do comando do OLTC do trafo TRTD01 (cod. Furnas: 10232004 - COD. OBRA: F00739).</t>
  </si>
  <si>
    <t>0007133/2024</t>
  </si>
  <si>
    <t>TRTD01</t>
  </si>
  <si>
    <t>Substituição de sistema de oscilógrafa Registrador digital de perturbações - RPV 310 JP-MG601.</t>
  </si>
  <si>
    <t>0007490/2024</t>
  </si>
  <si>
    <t>AUS00-06AY</t>
  </si>
  <si>
    <t>Substituição de sistema de oscilógrafa Registrador digital de perturbações - RPV 310 - JP-MG601.</t>
  </si>
  <si>
    <t>0007491/2024</t>
  </si>
  <si>
    <t>JP-MG601-06BY</t>
  </si>
  <si>
    <t>Substituição de sistema de oscilografia Registrador digital de perturbações - RPV 310 - ROPB-MG601 - 06DY.</t>
  </si>
  <si>
    <t>0007492/2024</t>
  </si>
  <si>
    <t>OSC01-06DY</t>
  </si>
  <si>
    <t>Substituição de sistema de oscilografia Registrador digital de perturbações - RPV 310 - ROPB-MG601 - 06DX</t>
  </si>
  <si>
    <t>0007493/2024</t>
  </si>
  <si>
    <t>OSC01-06DX</t>
  </si>
  <si>
    <t>Substituição de sistema de oscilografia Registrador digital de perturbações - RPV 310 - ROPB-MG601 - 06BY.</t>
  </si>
  <si>
    <t>0007495/2024</t>
  </si>
  <si>
    <t>OSC01-06BY</t>
  </si>
  <si>
    <t>Substituição de sistema de oscilografia Registrador digital de perturbações - RPV 310 - ROPB-MG601 - 06CY.</t>
  </si>
  <si>
    <t>0007496/2024</t>
  </si>
  <si>
    <t>OSC01-06CY</t>
  </si>
  <si>
    <t>Substituição de sistema de oscilografia Registrador digital de perturbações - RPV 310 - MG230-OSC01.</t>
  </si>
  <si>
    <t>0007497/2024</t>
  </si>
  <si>
    <t>MG230-OSC01</t>
  </si>
  <si>
    <t>Substituição de sistema de oscilografia Registrador digital de perturbações - RPV 310 -MG230-OSC01- VAO 06AX.</t>
  </si>
  <si>
    <t>0007498/2024</t>
  </si>
  <si>
    <t>OSC01-06AX</t>
  </si>
  <si>
    <t>Substituição de sistema de oscilografia Registrador digital de perturbações - RPV 310 -MG230-OSC01 VAO-06BX.</t>
  </si>
  <si>
    <t>0007499/2024</t>
  </si>
  <si>
    <t>OSC01-06BX</t>
  </si>
  <si>
    <t>Substituição de sistema de oscilografia Registrador digital de perturbações - RPV 310 - MG230-OSC01 VAO-06DX</t>
  </si>
  <si>
    <t>0007507/2024</t>
  </si>
  <si>
    <t>Substituição de sistema de oscilografia Registrador digital de perturbações - RPV 310 -MG230-OSC01VAO-06EX</t>
  </si>
  <si>
    <t>0007506/2024</t>
  </si>
  <si>
    <t>OSC01-06EX</t>
  </si>
  <si>
    <t>Substituição de sistema de oscilografia Registrador digital de perturbações - RPV 310 -MG230-OSC01VAO-06FX.</t>
  </si>
  <si>
    <t>0007508/2024</t>
  </si>
  <si>
    <t>OSC01-06FX</t>
  </si>
  <si>
    <t>Substituição de sistema de oscilografia Registrador digital de perturbações - RPV 310 - MG230-OSC01 - VAO 06CY.</t>
  </si>
  <si>
    <t>0007503/2024</t>
  </si>
  <si>
    <t>Substituição de sistema de oscilografia Registrador digital de perturbações - RPV 310 - MG230-OSC01-VAO-06DY.</t>
  </si>
  <si>
    <t>0007505/2024</t>
  </si>
  <si>
    <t>SUBSTITUIÇÃO DO SPCS (SISTEMA DE PROTEÇÃO, CONTROLE E SUPERVISÃO) DOS RV (REGULADORES DE VELOCIDADE) E RT (REGULADORES DE TENSÃO) DA UG01 DA UHE ITUMBIARA</t>
  </si>
  <si>
    <t>UG01 UHITB</t>
  </si>
  <si>
    <t>0007163/2024</t>
  </si>
  <si>
    <t>Substituição de sistema de oscilografia Registrador digital de perturbações - RPV 310 - ROVN-MG601 - 06EX.</t>
  </si>
  <si>
    <t>0007502/2024</t>
  </si>
  <si>
    <t>MG230-06EX</t>
  </si>
  <si>
    <t>Substituição de sistema de oscilografia Registrador digital de perturbações - RPV 310 - ROVN-MG601 - 06GY.</t>
  </si>
  <si>
    <t>0007510/2024</t>
  </si>
  <si>
    <t>MG230-06GY</t>
  </si>
  <si>
    <t>SUBSTITUIÇÃO DO SPCS (SISTEMA DE PROTEÇÃO, CONTROLE E SUPERVISÃO) DOS RV (REGULADORES DE VELOCIDADE) E RT (REGULADORES DE TENSÃO) DA UG02 DA UHE ITUMBIARA</t>
  </si>
  <si>
    <t>UG02 UHITB</t>
  </si>
  <si>
    <t>0007168/2024</t>
  </si>
  <si>
    <t>Substituição de sistema de oscilografia Registrador digital de perturbações - RPV 310 - ROVN-MG601 - 06BY.</t>
  </si>
  <si>
    <t>0007511/2024</t>
  </si>
  <si>
    <t>MG230-06BY</t>
  </si>
  <si>
    <t>SUBSTITUIÇÃO DO SPCS (SISTEMA DE PROTEÇÃO, CONTROLE E SUPERVISÃO) DOS RV (REGULADORES DE VELOCIDADE) E RT (REGULADORES DE TENSÃO) DA UG03 DA UHE ITUMBIARA</t>
  </si>
  <si>
    <t>UG03 UHITB</t>
  </si>
  <si>
    <t>0007171/2024</t>
  </si>
  <si>
    <t>Substituição de Buchas, Vedação, Painel de instrumentação/ventilação, Válvulas, Indicador de nivel de óleo, Relés de Gás e Bolsa de expansão, Etc, do Autotransformadores MRAT6-01.</t>
  </si>
  <si>
    <t>0007512/2024</t>
  </si>
  <si>
    <t>MRAT601</t>
  </si>
  <si>
    <t>M. MORAES</t>
  </si>
  <si>
    <t>SUBSTITUIÇÃO DO DO SPCS (SISTEMA DE PROTEÇÃO, CONTROLE E SUPERVISÃO), RV (REGULADOR DE TENSÃO) E RDP (REGISTRADOR DIGITAL DE PERTURBAÇÕES) DA UG01 DA UHE MASCARENHAS DE MORAES.</t>
  </si>
  <si>
    <t>UG01 UHMMO</t>
  </si>
  <si>
    <t>0007172/2024</t>
  </si>
  <si>
    <t>SUBSTITUIÇÃO DO SPCS (SISTEMA DE PROTEÇÃO, CONTROLE E SUPERVISÃO) DOS RV (REGULADORES DE VELOCIDADE) E RT (REGULADORES DE TENSÃO) DA UG04 DA UHE ITUMBIARA</t>
  </si>
  <si>
    <t>UG04 UHITB</t>
  </si>
  <si>
    <t>0007174/2024</t>
  </si>
  <si>
    <t>Substituição de buchas 230kV fase V do transformador PFTF6-01</t>
  </si>
  <si>
    <t>0007513/2024</t>
  </si>
  <si>
    <t>PFAT601</t>
  </si>
  <si>
    <t>Substituição de Transformador de Corrente 69 kV, referente ao ramal de atendimento aos Serviços Auxiliares, LT Salto Osório - Salto Santiago C-1, Fase B. Associado à obra, são esperadas substituições/adaptações de fundações e suportes, caixa de junção, cabos de controle/potência, barramento, conectores e conexão de aterramento. Funções do TC: proteção e medição.</t>
  </si>
  <si>
    <t>LT 69 kV S.OSORIO/ S.SANTIAGO C-1 PR</t>
  </si>
  <si>
    <t>0007176/2024</t>
  </si>
  <si>
    <t>SUBSTITUIÇÃO DO SPCS (SISTEMA DE PROTEÇÃO, CONTROLE E SUPERVISÃO) DOS RV (REGULADORES DE VELOCIDADE) E RT (REGULADORES DE TENSÃO) DA UG05 DA UHE ITUMBIARA</t>
  </si>
  <si>
    <t>UG05 UHITB</t>
  </si>
  <si>
    <t>0007175/2024</t>
  </si>
  <si>
    <t>Revitalização do SPAT6-01. Substituição de Buchas 138 KV, Vedações, Relé de Gás e Bolsa de Expansão, Etc.</t>
  </si>
  <si>
    <t>0007516/2024</t>
  </si>
  <si>
    <t>SPAT601</t>
  </si>
  <si>
    <t>SUBSTITUIÇÃO DO SPCS (SISTEMA DE PROTEÇÃO, CONTROLE E SUPERVISÃO) DOS RV (REGULADORES DE VELOCIDADE) E RT (REGULADORES DE TENSÃO) DA UG06 DA UHE ITUMBIARA</t>
  </si>
  <si>
    <t>UG06 UHITB</t>
  </si>
  <si>
    <t>0007177/2024</t>
  </si>
  <si>
    <t>Substituição de buchas 230kV fase A do transformador PFTF6-01.</t>
  </si>
  <si>
    <t>0007524/2024</t>
  </si>
  <si>
    <t>PFTF601</t>
  </si>
  <si>
    <t>SUBSTITUIÇÃO DO DO SPCS (SISTEMA DE PROTEÇÃO, CONTROLE E SUPERVISÃO), RV (REGULADOR DE TENSÃO) E RDP (REGISTRADOR DIGITAL DE PERTURBAÇÕES) DA UG02 DA UHE MASCARENHAS DE MORAES.</t>
  </si>
  <si>
    <t>UG02 UHMMO</t>
  </si>
  <si>
    <t>0007179/2024</t>
  </si>
  <si>
    <t>Substituição de buchas 230kV fase B do transformador PFTF6-01.</t>
  </si>
  <si>
    <t>0007518/2024</t>
  </si>
  <si>
    <t>Substituição de Transformador de Corrente 69 kV, referente ao ramal de atendimento aos Serviços Auxiliares, LT Salto Osório - Salto Santiago C-1, Fase A. Associado à obra, são esperadas substituições/adaptações de fundações e suportes, caixa de junção, cabos de controle/potência, barramento, conectores e conexão de aterramento. Funções do TC: proteção e medição.</t>
  </si>
  <si>
    <t>0007180/2024</t>
  </si>
  <si>
    <t>SUBSTITUIÇÃO DO DO SPCS (SISTEMA DE PROTEÇÃO, CONTROLE E SUPERVISÃO), RV (REGULADOR DE TENSÃO) E RDP (REGISTRADOR DIGITAL DE PERTURBAÇÕES) DA UG03 DA UHE MASCARENHAS DE MORAES.</t>
  </si>
  <si>
    <t>UG03 UHMMO</t>
  </si>
  <si>
    <t>0007181/2024</t>
  </si>
  <si>
    <t>Substituição de buchas 69kV fase A do transformador PFTF6-01</t>
  </si>
  <si>
    <t>0007520/2024</t>
  </si>
  <si>
    <t>SUBSTITUIÇÃO DO DO ESTATOR DO GERADOR DA UG07 E DO DISTRIBUIDOR DA TURBINA DA UG07 DA UHE FURNAS.</t>
  </si>
  <si>
    <t>UG07 UHFUR</t>
  </si>
  <si>
    <t>0007182/2024</t>
  </si>
  <si>
    <t>Substituição de buchas 69kV fase B do transformador PFTF6-01</t>
  </si>
  <si>
    <t>0007535/2024</t>
  </si>
  <si>
    <t>SUBSTITUIÇÃO DO DO SPCS (SISTEMA DE PROTEÇÃO, CONTROLE E SUPERVISÃO), RV (REGULADOR DE TENSÃO) E RDP (REGISTRADOR DIGITAL DE PERTURBAÇÕES) DA UG04 DA UHE MASCARENHAS DE MORAES.</t>
  </si>
  <si>
    <t>UG04 UHMMO</t>
  </si>
  <si>
    <t>0007184/2024</t>
  </si>
  <si>
    <t>Substituição de Transformador de Corrente 69 kV, referente ao ramal de atendimento aos Serviços Auxiliares, LT Salto Osório - Salto Santiago C-1, Fase C. Associado à obra, são esperadas substituições/adaptações de fundações e suportes, caixa de junção, cabos de controle/potência, barramento, conectores e conexão de aterramento. Funções do TC: proteção e medição.</t>
  </si>
  <si>
    <t>0007185/2024</t>
  </si>
  <si>
    <t>SUBSTITUIÇÃO DO DO ESTATOR DO GERADOR DA UG08 E DO DISTRIBUIDOR DA TURBINA DA UG08 DA UHE FURNAS.</t>
  </si>
  <si>
    <t>UG08 UHFUR</t>
  </si>
  <si>
    <t>0007186/2024</t>
  </si>
  <si>
    <t>SUBSTITUIÇÃO DO DO SPCS (SISTEMA DE PROTEÇÃO, CONTROLE E SUPERVISÃO), RV (REGULADOR DE TENSÃO) E RDP (REGISTRADOR DIGITAL DE PERTURBAÇÕES) DA UG05 DA UHE MASCARENHAS DE MORAES.</t>
  </si>
  <si>
    <t>UG05 UHMMO</t>
  </si>
  <si>
    <t>0007187/2024</t>
  </si>
  <si>
    <t>Substituição de buchas 69kV fase V do transformador PFTF6-01</t>
  </si>
  <si>
    <t>0007537/2024</t>
  </si>
  <si>
    <t>Substituição  de buchas 69kV fase B do transformador PFTF6-02</t>
  </si>
  <si>
    <t>0007538/2024</t>
  </si>
  <si>
    <t>PFTF602</t>
  </si>
  <si>
    <t>SUBSTITUIÇÃO DO DO SPCS (SISTEMA DE PROTEÇÃO, CONTROLE E SUPERVISÃO), RV (REGULADOR DE TENSÃO) E RDP (REGISTRADOR DIGITAL DE PERTURBAÇÕES) DA UG06 DA UHE MASCARENHAS DE MORAES.</t>
  </si>
  <si>
    <t>UG06 UHMMO</t>
  </si>
  <si>
    <t>0007190/2024</t>
  </si>
  <si>
    <t>Substituição de Transformador de Potencial 69 kV, referente ao ramal de atendimento aos Serviços Auxiliares, LT Salto Osório - Salto Santiago C-1, Fase A. Associado à obra são esperadas substituições/adaptações de fundações, suportes, caixa de junção, cabos de controle/potência, barramento, conectores e conexão de aterramento.</t>
  </si>
  <si>
    <t>0007191/2024</t>
  </si>
  <si>
    <t>SUBSTITUIÇÃO DO DO SPCS (SISTEMA DE PROTEÇÃO, CONTROLE E SUPERVISÃO) DA UG 01 DA UHE FURNAS.</t>
  </si>
  <si>
    <t>UG01 UHFUR</t>
  </si>
  <si>
    <t>0007192/2024</t>
  </si>
  <si>
    <t>Substituição de buchas 69kV fase V do transformador PFTF6-02</t>
  </si>
  <si>
    <t>0007540/2024</t>
  </si>
  <si>
    <t>SUBSTITUIÇÃO DO DO SPCS (SISTEMA DE PROTEÇÃO, CONTROLE E SUPERVISÃO), RV (REGULADOR DE TENSÃO) E RDP (REGISTRADOR DIGITAL DE PERTURBAÇÕES) DA UG07 DA UHE MASCARENHAS DE MORAES.</t>
  </si>
  <si>
    <t>UG07 UHMMO</t>
  </si>
  <si>
    <t>0007193/2024</t>
  </si>
  <si>
    <t>Substituição de buchas 230kV fase A do transformador PFTF6-02</t>
  </si>
  <si>
    <t>0007541/2024</t>
  </si>
  <si>
    <t>SUBSTITUIÇÃO DO DO SPCS (SISTEMA DE PROTEÇÃO, CONTROLE E SUPERVISÃO), RV (REGULADOR DE TENSÃO) E RDP (REGISTRADOR DIGITAL DE PERTURBAÇÕES) DA UG08 DA UHE MASCARENHAS DE MORAES.</t>
  </si>
  <si>
    <t>UG08 UHMMO</t>
  </si>
  <si>
    <t>0007194/2024</t>
  </si>
  <si>
    <t>SUBSTITUIÇÃO DO DO SPCS (SISTEMA DE PROTEÇÃO, CONTROLE E SUPERVISÃO) DA UG 02 DA UHE FURNAS.</t>
  </si>
  <si>
    <t>UG02 UHFUR</t>
  </si>
  <si>
    <t>0007195/2024</t>
  </si>
  <si>
    <t>Substituição  de buchas 230kV fase B do transformador PFTF6-02</t>
  </si>
  <si>
    <t>0007549/2024</t>
  </si>
  <si>
    <t>SUBSTITUIÇÃO DO DO SPCS (SISTEMA DE PROTEÇÃO, CONTROLE E SUPERVISÃO), RV (REGULADOR DE TENSÃO) E RDP (REGISTRADOR DIGITAL DE PERTURBAÇÕES) DA UG09 DA UHE MASCARENHAS DE MORAES.</t>
  </si>
  <si>
    <t>UG09 UHMMO</t>
  </si>
  <si>
    <t>0007198/2024</t>
  </si>
  <si>
    <t>SUBSTITUIÇÃO DO DO SPCS (SISTEMA DE PROTEÇÃO, CONTROLE E SUPERVISÃO) DA UG 03 DA UHE FURNAS.</t>
  </si>
  <si>
    <t>UG03 UHFUR</t>
  </si>
  <si>
    <t>0007199/2024</t>
  </si>
  <si>
    <t>Substituição de buchas 230kV fase V do transformador PFTF6-02</t>
  </si>
  <si>
    <t>0007528/2024</t>
  </si>
  <si>
    <t>SUBSTITUIÇÃO DO DO SPCS (SISTEMA DE PROTEÇÃO, CONTROLE E SUPERVISÃO) DA UG 04 DA UHE FURNAS.</t>
  </si>
  <si>
    <t>UG04 UHFUR</t>
  </si>
  <si>
    <t>0007200/2024</t>
  </si>
  <si>
    <t>SUBSTITUIÇÃO DO DO SPCS (SISTEMA DE PROTEÇÃO, CONTROLE E SUPERVISÃO), RV (REGULADOR DE TENSÃO) E RDP (REGISTRADOR DIGITAL DE PERTURBAÇÕES) DA UG10 DA UHE MASCARENHAS DE MORAES.</t>
  </si>
  <si>
    <t>UG10 UHMMO</t>
  </si>
  <si>
    <t>0007201/2024</t>
  </si>
  <si>
    <t>Substituição de conjunto de Resistor de Aterramento (Banco 1) associado ao TR2 na SE GRAVATAI.</t>
  </si>
  <si>
    <t>0007202/2024</t>
  </si>
  <si>
    <t>RAT13,8 TF2 (Banco 1)</t>
  </si>
  <si>
    <t>0007529/2024</t>
  </si>
  <si>
    <t>SUBSTITUIÇÃO DO DO SPCS (SISTEMA DE PROTEÇÃO, CONTROLE E SUPERVISÃO) DA UG 05 DA UHE FURNAS.</t>
  </si>
  <si>
    <t>UG05 UHFUR</t>
  </si>
  <si>
    <t>0007203/2024</t>
  </si>
  <si>
    <t>0007548/2024</t>
  </si>
  <si>
    <t>PVSPRTF-06DY</t>
  </si>
  <si>
    <t>SUBSTITUIÇÃO DO DO SPCS (SISTEMA DE PROTEÇÃO, CONTROLE E SUPERVISÃO) DA UG 06 DA UHE FURNAS.</t>
  </si>
  <si>
    <t>UG06 UHFUR</t>
  </si>
  <si>
    <t>0007205/2024</t>
  </si>
  <si>
    <t>Substituição de sistema de oscilografia Registrador digital de perturbações - RPV 310 -MG230-OSC01.</t>
  </si>
  <si>
    <t>TR 230/69 kV PORTO VELHO TR3 RO</t>
  </si>
  <si>
    <t>0007547/2024</t>
  </si>
  <si>
    <t>PVSPRTF-06EY</t>
  </si>
  <si>
    <t>SUBSTITUIÇÃO DO DO SPCS (SISTEMA DE PROTEÇÃO, CONTROLE E SUPERVISÃO) DA UG 07 DA UHE FURNAS.</t>
  </si>
  <si>
    <t>0007206/2024</t>
  </si>
  <si>
    <t>Substituição de Buchas, Vedação, Painel de instrumentação/ventilação, Válvulas, Indicador de nivel de óleo, Relés de Gás e Bolsa de expansão, Etc, do Transformador MCTF7-01 Fase A - Vão C.</t>
  </si>
  <si>
    <t>0007532/2024</t>
  </si>
  <si>
    <t>MCTF7-01</t>
  </si>
  <si>
    <t>SUBSTITUIÇÃO DO DO SPCS (SISTEMA DE PROTEÇÃO, CONTROLE E SUPERVISÃO) DA UG 08 DA UHE FURNAS.</t>
  </si>
  <si>
    <t>0007208/2024</t>
  </si>
  <si>
    <t>Substituição de Buchas, Vedação, Painel de instrumentação/ventilação, Válvulas, Indicador de nivel de óleo, Relés de Gás e Bolsa de expansão, Etc, do Transformador MCTF7-01 Fase B - Vão C.</t>
  </si>
  <si>
    <t>0007527/2024</t>
  </si>
  <si>
    <t>MCTF701</t>
  </si>
  <si>
    <t>Substituição de Buchas, Vedação, Painel de instrumentação/ventilação, Válvulas, Indicador de nivel de óleo, Relés de Gás e Bolsa de expansão, Etc, do Transformador MCTF7-01 Fase V - Vão C.</t>
  </si>
  <si>
    <t>0007546/2024</t>
  </si>
  <si>
    <t>Substituição de Vedações, Válvulas, Indicador de nivel de óleo e Relé de Gás do Autotransformador - MRTF6-03.</t>
  </si>
  <si>
    <t>TR 230/69 kV MIRANDA II TR3 MA</t>
  </si>
  <si>
    <t>0007545/2024</t>
  </si>
  <si>
    <t>MRTF603</t>
  </si>
  <si>
    <t>Substituição da bucha de neutro fase A do IZRE7-04 - Necessário desligamento da função LT 500 kV IMPERATRIZ /P.DUTRA C-2 MA.</t>
  </si>
  <si>
    <t>0007569/2024</t>
  </si>
  <si>
    <t>IZRE7-04-FASE A</t>
  </si>
  <si>
    <t>Substituir o relé do sistema de proteção da linha Porto Velho Abunã 230kV C2 na SE Abunã (Relés REF545 (UPD4) da PVANLT6-02-ANSPPR) e como consequencia eliminação do sistema MicroScada desta função, migrando para o sistema SAGE. Será necessário o desligamento da própria linha e do reator da linha.</t>
  </si>
  <si>
    <t>0007578/2024</t>
  </si>
  <si>
    <t>ANSPPR-06BX</t>
  </si>
  <si>
    <t>Substituição do SPCS principal das Barras 500 kV , na subestação SOBRAL III, composto por: 01 painel, 01 unidade central de proteção de barras (principal), do tipo adaptativa e distribuída, com capacidade para atender, no mínimo, 08 vãos, 08 unidades de bay de proteção de barras (principal) e infraestrutura de comunicação associados.</t>
  </si>
  <si>
    <t>0007218/2024</t>
  </si>
  <si>
    <t>12442606</t>
  </si>
  <si>
    <t>LT 230 kV MIRANDA II /PERITORO MA</t>
  </si>
  <si>
    <t>Substituição Cabo para raio MRPR-LT601  - Substituir em toda a Linha de Transmissão.</t>
  </si>
  <si>
    <t>0007586/2024</t>
  </si>
  <si>
    <t>MRPRLT601</t>
  </si>
  <si>
    <t>LT 230 kV SAO LUIS II /MIRANDA II MA</t>
  </si>
  <si>
    <t>Substituição Cabo para raio LDMR-LT601  -  Substituir em toda a Linha de Transmissão</t>
  </si>
  <si>
    <t>0007584/2024</t>
  </si>
  <si>
    <t>LDMR-LT601</t>
  </si>
  <si>
    <t>Substituição de sistema de oscilografia Registrador digital de perturbações - RPV 310 - ROVN-MG601 - 06CY.</t>
  </si>
  <si>
    <t>0007577/2024</t>
  </si>
  <si>
    <t>MG230-06CY</t>
  </si>
  <si>
    <t>Substituição do SPCS do Transformador 01T3, na subestação GOIANINHA, composto por: 01 painel, 01 unidade de proteção e controle, cabos de controle e infraestrutura de comunicação associados.</t>
  </si>
  <si>
    <t>0007220/2024</t>
  </si>
  <si>
    <t>11364018</t>
  </si>
  <si>
    <t>SUBSTITUIÇÃO DO DO SISTEMA DE ESVAZIAMENTO E DRENAGEM DA CASA DE FORÇA DA UHE MASCARENHAS DE MORAES</t>
  </si>
  <si>
    <t>UHMMO</t>
  </si>
  <si>
    <t>0007221/2024</t>
  </si>
  <si>
    <t>Substituição das proteções Principal, Alternada e Falha de Disjuntor, referentes a LT 525 kV Campos Novos - Nova Santa Rita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</si>
  <si>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0007222/2024</t>
  </si>
  <si>
    <t>PP, PA, BF - LT NSR C-1</t>
  </si>
  <si>
    <t>Substituição de sistema de oscilografia Registrador digital de perturbações - RPV 310 - ROVN-MG601 - 06DX.</t>
  </si>
  <si>
    <t>0007576/2024</t>
  </si>
  <si>
    <t>MG230-06DX</t>
  </si>
  <si>
    <t>REFORMA DA COMPORTA DE MANUTENÇÃO (STOP LOG) DA UG01 DA UHE MASCARENHAS DE MORAES</t>
  </si>
  <si>
    <t>UHMMO UG01</t>
  </si>
  <si>
    <t>0007223/2024</t>
  </si>
  <si>
    <t>Substituição de 5Km de Cabo Para-Raio por OPGW na LT 04F2 AQD/FZD C-2</t>
  </si>
  <si>
    <t>0007224/2024</t>
  </si>
  <si>
    <t>d-saqdsftz-04f2-cprr</t>
  </si>
  <si>
    <t>Substituição de bucha de 230kV - BSTF6-01 - Fases A</t>
  </si>
  <si>
    <t>0007571/2024</t>
  </si>
  <si>
    <t>BSTF601</t>
  </si>
  <si>
    <t>Substituição do SPCS do Transformador 01T5, na subestação GOIANINHA, composto por: 01 painel, 01 unidade de proteção e controle, cabos de controle e infraestrutura de comunicação associados.</t>
  </si>
  <si>
    <t>0007225/2024</t>
  </si>
  <si>
    <t>11362999</t>
  </si>
  <si>
    <t>Substituição de bucha de 230kV - BSTF6-01 - Fases B</t>
  </si>
  <si>
    <t>0007567/2024</t>
  </si>
  <si>
    <t>Substituição da cadeia de proteção de barras principal, referente às barras P e PT de 230 kV da SE Caxias 5, incluindo uma Unidade Central e sete unidades de Bay (vãos TF 1 230/13,8 kV, TF 2 230/13,8 kV, TF 3 230/69 kV, Interligador de Barras - IB, LT Caxias C-1, LT Farroupilha C-1 e LT Lajeado Grande C-1), painéis e cabos de controle e potência associados.</t>
  </si>
  <si>
    <t>0007227/2024</t>
  </si>
  <si>
    <t>Substituição de bucha de 230kV - BSTF6-01 - Fases V</t>
  </si>
  <si>
    <t>0007564/2024</t>
  </si>
  <si>
    <t>Substituição de bucha de 230kV - RGTF601 - Fase A</t>
  </si>
  <si>
    <t>TR 230/69 kV RIB.GONCALVES TR1 PI</t>
  </si>
  <si>
    <t>0007563/2024</t>
  </si>
  <si>
    <t>RGTF601</t>
  </si>
  <si>
    <t>Substituição do SPCS do Disjuntor de Interligação de Barras 12D1, na subestação G.MANGABEIRA, composto por: 01 painel, 02 proteções (principal e alternada), 01 unidade de controle, cabos de controle e infraestrutura de comunicação associados.</t>
  </si>
  <si>
    <t>IB 69 kV MG 230 kV G.MANGABEIRA MG1 BA IB1 (12D1)</t>
  </si>
  <si>
    <t>0007230/2024</t>
  </si>
  <si>
    <t>12448310</t>
  </si>
  <si>
    <t>Substituição das proteções Principal, Alternada e Falha de Disjuntor, referentes a LT 525 kV Gravataí - Nova Santa Rita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</si>
  <si>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525 kV GRAVATAI /NOVA STA RITA C-1 RS</t>
  </si>
  <si>
    <t>0007231/2024</t>
  </si>
  <si>
    <t>LT 500 kV SAO LUIS II /BACABEIRA MA</t>
  </si>
  <si>
    <t>Substituição Cabo para raio LDBC-LI701 - Substituir em toda a Linha de Transmissão</t>
  </si>
  <si>
    <t>0007595/2024</t>
  </si>
  <si>
    <t>LDBCLI701</t>
  </si>
  <si>
    <t>Substituição do SPCS do Reator de Barra 01E1, na subestação MILAGRES, composto por: 01 painel, 01 unidade de proteção e controle, cabos de controle e infraestrutura de comunicação associados.</t>
  </si>
  <si>
    <t>RTB 13,8 kV 5 MVAr MILAGRES RT1 CE</t>
  </si>
  <si>
    <t>0007232/2024</t>
  </si>
  <si>
    <t>11350864</t>
  </si>
  <si>
    <t>Substituição de 5Km de Cabo Para-Raio por OPGW na LT 04N2 PRS/NTD C-1</t>
  </si>
  <si>
    <t>0007233/2024</t>
  </si>
  <si>
    <t>d-sprssntd-04n2-cprr</t>
  </si>
  <si>
    <t>Substituição Cabo para raio LDBC-LI702 -Substituir em toda a Linha de Transmissão</t>
  </si>
  <si>
    <t>0007594/2024</t>
  </si>
  <si>
    <t>LDBCLI702</t>
  </si>
  <si>
    <t>Substituição das proteções Principal, Alternada e Falha de Disjuntor, referentes a LT 525 kV Itá - Nova Santa Rita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</si>
  <si>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0007234/2024</t>
  </si>
  <si>
    <t>REFORMA DA COMPORTA DE MANUTENÇÃO (STOP LOG) DA UG06 DA UHE MASCARENHAS DE MORAES</t>
  </si>
  <si>
    <t>UHMMO UG06</t>
  </si>
  <si>
    <t>0007235/2024</t>
  </si>
  <si>
    <t>LT 500kV  MIRANDA II / BACABEIRA - C1</t>
  </si>
  <si>
    <t>Substituição Cabo para raio MRBC-LI701 -Substituir em toda a Linha de Transmissão</t>
  </si>
  <si>
    <t>LT 500 kV BACABEIRA /MIRANDA II C-1 MA</t>
  </si>
  <si>
    <t>0007593/2024</t>
  </si>
  <si>
    <t>MRBCLI701</t>
  </si>
  <si>
    <t>REFORMA DA COMPORTA DE MANUTENÇÃO (STOP LOG) DA UG02 DA UHE MASCARENHAS DE MORAES</t>
  </si>
  <si>
    <t>UHMMO UG02</t>
  </si>
  <si>
    <t>0007236/2024</t>
  </si>
  <si>
    <t>Substituição do SPCS do Reator de Barra 01E2, na subestação MILAGRES, composto por: 01 painel, 01 unidade de proteção e controle, cabos de controle e infraestrutura de comunicação associados.</t>
  </si>
  <si>
    <t>RTB 13,8 kV 10 Mvar MILAGRES RT2 CE</t>
  </si>
  <si>
    <t>0007237/2024</t>
  </si>
  <si>
    <t>11350865</t>
  </si>
  <si>
    <t>LT 500kV  MIRANDA II / BACABEIRA-C2</t>
  </si>
  <si>
    <t>Substituição Cabo para raio  MRBC-LI702 -Substituir em toda a Linha de Transmissão</t>
  </si>
  <si>
    <t>0007590/2024</t>
  </si>
  <si>
    <t>MRBCLI702</t>
  </si>
  <si>
    <t>Substituição de 5Km de Cabo Para-Raio por OPGW na LT 04V4 CGT/CGD C-3</t>
  </si>
  <si>
    <t>0007243/2024</t>
  </si>
  <si>
    <t>d-scgdscgt-04v4-cprr</t>
  </si>
  <si>
    <t>Substituição das proteções Principal, Alternada e Falha de Disjuntor, referentes a LT 525 kV Itá - Nova Santa Rita C-2.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</si>
  <si>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525 kV ITA /NOVA STA RITA C-2 SC/RS</t>
  </si>
  <si>
    <t>0007238/2024</t>
  </si>
  <si>
    <t>PP, PA, BF - LT NSR C-2</t>
  </si>
  <si>
    <t>LT 500 kV IMPERATRIZ /P.DUTRA MA</t>
  </si>
  <si>
    <t>Substituição 6 Fundações Grelha IZPD-LT701 - Torre: 290.</t>
  </si>
  <si>
    <t>0007598/2024</t>
  </si>
  <si>
    <t>Substituição do SPCS principal das Barras 230 kV , na subestação SOBRAL III, composto por: 01 painel, 01 unidade central de proteção de barras (principal), do tipo adaptativa e distribuída, com capacidade para atender, no mínimo, 09 vãos, 09 unidades de bay de proteção de barras (principal) e infraestrutura de comunicação associados.</t>
  </si>
  <si>
    <t>0007239/2024</t>
  </si>
  <si>
    <t>11366650</t>
  </si>
  <si>
    <t>LT 500 kV TUCURUI /VILA DO CONDE PA</t>
  </si>
  <si>
    <t>Substituição de isoladores de suspensão e ancoragem, incluindo ferragens TCVCLT701</t>
  </si>
  <si>
    <t>0007600/2024</t>
  </si>
  <si>
    <t>TCVCLT701</t>
  </si>
  <si>
    <t>REFORMA DA COMPORTA DE MANUTENÇÃO (STOP LOG) DA UG03 DA UHE MASCARENHAS DE MORAES</t>
  </si>
  <si>
    <t>UHMMO UG03</t>
  </si>
  <si>
    <t>0007240/2024</t>
  </si>
  <si>
    <t>REFORMA DA COMPORTA DE MANUTENÇÃO (STOP LOG) DA UG07 DA UHE MASCARENHAS DE MORAES</t>
  </si>
  <si>
    <t>UHMMO UG07</t>
  </si>
  <si>
    <t>0007241/2024</t>
  </si>
  <si>
    <t>Substituição do SPCS do Transformador 04T3, na subestação CAUIPE, composto por: 02 painéis, 02 proteções (principal e alternada), 02 unidades de controle, 02 falhas de disjuntor (principal e alternada), cabos de controle e infraestrutura de comunicação associados.</t>
  </si>
  <si>
    <t>0007242/2024</t>
  </si>
  <si>
    <t>11365418</t>
  </si>
  <si>
    <t>REFORMA DA COMPORTA DE MANUTENÇÃO (STOP LOG) DA UG04 DA UHE MASCARENHAS DE MORAES</t>
  </si>
  <si>
    <t>UHMMO UG04</t>
  </si>
  <si>
    <t>0007245/2024</t>
  </si>
  <si>
    <t>REFORMA DA COMPORTA DE MANUTENÇÃO (STOP LOG) DA UG08 DA UHE MASCARENHAS DE MORAES</t>
  </si>
  <si>
    <t>UHMMO UG08</t>
  </si>
  <si>
    <t>0007246/2024</t>
  </si>
  <si>
    <t>Substituição do SPCS associado ao vão da Entrada de Linha 04M1 (LT 230 kV CATU /CAMACARI IV C-1), na subestação CAMACARI IV, composto por: 02 painéis, 02 proteções (principal e alternada), 01 unidade de controle, 02 falhas de disjuntor (principal e alternada), cabos de controle e infraestrutura de comunicação associados.</t>
  </si>
  <si>
    <t>0007247/2024</t>
  </si>
  <si>
    <t>11360711</t>
  </si>
  <si>
    <t>REFORMA DA COMPORTA DE MANUTENÇÃO (STOP LOG) DA UG05 DA UHE MASCARENHAS DE MORAES</t>
  </si>
  <si>
    <t>UHMMO UG05</t>
  </si>
  <si>
    <t>0007249/2024</t>
  </si>
  <si>
    <t>Substituição do SPCS associado ao vão da Entrada de Linha 04M2 (LT 230 kV CATU /CAMACARI IV C-2), na subestação CAMACARI IV, composto por: 02 painéis, 02 proteções (principal e alternada), 01 unidade de controle, 02 falhas de disjuntor (principal e alternada), cabos de controle e infraestrutura de comunicação associados.</t>
  </si>
  <si>
    <t>0007251/2024</t>
  </si>
  <si>
    <t>11360713</t>
  </si>
  <si>
    <t>REFORMA DA COMPORTA DE MANUTENÇÃO (STOP LOG) DA UG09 DA UHE MASCARENHAS DE MORAES</t>
  </si>
  <si>
    <t>UHMMO UG09</t>
  </si>
  <si>
    <t>0007252/2024</t>
  </si>
  <si>
    <t>Substituição do SPCS associado ao vão da Entrada de Linha 04C2 (LT 230 kV BANABUIU /ICO C-1), na subestação BANABUIU, composto por: 02 painéis, 02 proteções (principal e alternada), 01 unidade de controle, 02 falhas de disjuntor (principal e alternada), cabos de controle e infraestrutura de comunicação associados.</t>
  </si>
  <si>
    <t>0007253/2024</t>
  </si>
  <si>
    <t>11361337</t>
  </si>
  <si>
    <t>AQUISIÇÃO DE SISTEMA DE MONITORAMENTO DE ÓLEO PARA O POÇO DE DRENAGEM DA UHE MASCARENHAS DE MORAES</t>
  </si>
  <si>
    <t>0007254/2024</t>
  </si>
  <si>
    <t>REFORMA DA COMPORTA DE MANUTENÇÃO (STOP LOG) DA UG10 DA UHE MASCARENHAS DE MORAES</t>
  </si>
  <si>
    <t>UHMMO UG10</t>
  </si>
  <si>
    <t>0007258/2024</t>
  </si>
  <si>
    <t>Substituição do SPCS associado ao vão da Entrada de Linha 04M1 (LT 230 kV MILAGRES /BANABUIU C-1), na subestação BANABUIU, composto por: 02 painéis, 02 proteções (principal e alternada), 01 unidade de controle, 02 falhas de disjuntor (principal e alternada), cabos de controle e infraestrutura de comunicação associados.</t>
  </si>
  <si>
    <t>0007256/2024</t>
  </si>
  <si>
    <t>11365231</t>
  </si>
  <si>
    <t>Substituição do SPCS do Banco de Capacitores 04H1, na subestação BANABUIU, composto por: 02 painéis, 02 proteções (principal e alternada), 01 unidade de controle, 02 falhas de disjuntor (principal e alternada), cabos de controle e infraestrutura de comunicação associados.</t>
  </si>
  <si>
    <t>BC 230 kV 50,5 MVAr BANABUIU BC1 CE</t>
  </si>
  <si>
    <t>0007257/2024</t>
  </si>
  <si>
    <t>11364873</t>
  </si>
  <si>
    <t>Substituição de 01 (um) Transformador de serviço auxiliar posição operacional 400T3 da subestação PAQ.</t>
  </si>
  <si>
    <t>0007261/2024</t>
  </si>
  <si>
    <t>11456568</t>
  </si>
  <si>
    <t>Substituição do SPCS do Banco de Capacitores 04H2, na subestação BANABUIU, composto por: 02 painéis, 02 proteções (principal e alternada), 01 unidade de controle, 02 falhas de disjuntor (principal e alternada), cabos de controle e infraestrutura de comunicação associados.</t>
  </si>
  <si>
    <t>BC 230 kV 50,5 MVAr BANABUIU BC2 CE</t>
  </si>
  <si>
    <t>0007262/2024</t>
  </si>
  <si>
    <t>11364875</t>
  </si>
  <si>
    <t>Substituição de 01 (um) Transformador de serviço auxiliar posição operacional 400T4 da subestação PAQ.</t>
  </si>
  <si>
    <t>0007264/2024</t>
  </si>
  <si>
    <t>11456569</t>
  </si>
  <si>
    <t>Substituição de 01 (um) Transformador de serviço auxiliar posição operacional 01T1 da subestação RCD.</t>
  </si>
  <si>
    <t>0007266/2024</t>
  </si>
  <si>
    <t>11347957</t>
  </si>
  <si>
    <t>Substituição de 01 (um) Transformador de serviço auxiliar posição operacional RCD_01T2 da subestação RCD.</t>
  </si>
  <si>
    <t>0007267/2024</t>
  </si>
  <si>
    <t>11347958</t>
  </si>
  <si>
    <t>Substituição do SPCS associado ao vão da Entrada de Linha 02C5 (LT 69 kV COTEGIPE /CIA III), na subestação COTEGIPE, composto por: 01 painel, 02 proteções (principal e alternada), 01 unidade de controle, cabos de controle e infraestrutura de comunicação associados.</t>
  </si>
  <si>
    <t>EL 69 kV COTEGIPE LT 69 kV PITUACU /COTEGIPE C-2 BA (12C5)</t>
  </si>
  <si>
    <t>0007269/2024</t>
  </si>
  <si>
    <t>11365521</t>
  </si>
  <si>
    <t>Substituição de 01 (um) Transformador de serviço auxiliar posição operacional 01T2 da subestação OLD.</t>
  </si>
  <si>
    <t>0007471/2024</t>
  </si>
  <si>
    <t>11347961</t>
  </si>
  <si>
    <t>Substituição do SPCS associado ao vão da Entrada de Linha 02J4 (LT 69 kV COTEGIPE /CAMACARI I), na subestação COTEGIPE, composto por: 01 painel, 02 proteções (principal e alternada), 01 unidade de controle, cabos de controle e infraestrutura de comunicação associados.</t>
  </si>
  <si>
    <t>0007270/2024</t>
  </si>
  <si>
    <t>11357772</t>
  </si>
  <si>
    <t>Substituição do SPCS associado ao vão da Entrada de Linha 02J6 (LT 69 kV CATU /COTEGIPE C-2), na subestação COTEGIPE, composto por: 01 painel, 02 proteções (principal e alternada), 01 unidade de controle, cabos de controle e infraestrutura de comunicação associados.</t>
  </si>
  <si>
    <t>EL 69 kV COTEGIPE LT 69 kV CATU /COTEGIPE C-2 BA (12J6)</t>
  </si>
  <si>
    <t>0007469/2024</t>
  </si>
  <si>
    <t>11357776</t>
  </si>
  <si>
    <t>Substituição do SPCS do Transformador 04T2, na subestação COTEGIPE, composto por: 02 painéis, 02 proteções (principal e alternada), 02 unidades de controle, 02 falhas de disjuntor (principal e alternada), cabos de controle e infraestrutura de comunicação associados.</t>
  </si>
  <si>
    <t>0007271/2024</t>
  </si>
  <si>
    <t>11359142</t>
  </si>
  <si>
    <t>Substituição do SPCS associado ao vão da Entrada de Linha 04M6 (LT 230 kV CAMACARI IV /COTEGIPE C-1), na subestação CAMACARI IV, composto por: 02 painéis, 02 proteções (principal e alternada), 01 unidade de controle, 02 falhas de disjuntor (principal e alternada), cabos de controle e infraestrutura de comunicação associados.</t>
  </si>
  <si>
    <t>0007273/2024</t>
  </si>
  <si>
    <t>11360703</t>
  </si>
  <si>
    <t>Substituição do SPCS associado ao vão da Entrada de Linha 02M3 (LT 69 kV GOIANINHA /GOIANA), na subestação GOIANINHA, composto por: 01 painel, 02 proteções (principal e alternada), 01 unidade de controle, cabos de controle e infraestrutura de comunicação associados.</t>
  </si>
  <si>
    <t>EL 69 kV GOIANINHA DIST2 (12M3)</t>
  </si>
  <si>
    <t>0007274/2024</t>
  </si>
  <si>
    <t>11362942</t>
  </si>
  <si>
    <t>Substituição de 01 (um) Transformador de serviço auxiliar posição operacional 01T7 da subestação SJI.</t>
  </si>
  <si>
    <t>0007275/2024</t>
  </si>
  <si>
    <t>11348059</t>
  </si>
  <si>
    <t>Substituição do SPCS associado ao vão da Entrada de Linha 02M4 (LT 69 kV GOIANINHA /GOIANA), na subestação GOIANINHA, composto por: 01 painel, 02 proteções (principal e alternada), 01 unidade de controle, cabos de controle e infraestrutura de comunicação associados.</t>
  </si>
  <si>
    <t>EL 69 kV GOIANINHA DIST3 (12M4)</t>
  </si>
  <si>
    <t>0007276/2024</t>
  </si>
  <si>
    <t>11362944</t>
  </si>
  <si>
    <t>Substituição de Transformador de Corrente de Neutro, referente ao TR2 138/69 kV da SE Joinville.</t>
  </si>
  <si>
    <t>0007277/2024</t>
  </si>
  <si>
    <t>TCN</t>
  </si>
  <si>
    <t>Substituição de 01 (um) Transformador de serviço auxiliar posição operacional 01T9 da subestação RCD.</t>
  </si>
  <si>
    <t>0007278/2024</t>
  </si>
  <si>
    <t>11456489</t>
  </si>
  <si>
    <t>Substituição do SPCS associado ao vão da Entrada de Linha 02M5 (LT 69 kV GOIANINHA /MONJOPE), na subestação GOIANINHA, composto por: 01 painel, 02 proteções (principal e alternada), 01 unidade de controle, cabos de controle e infraestrutura de comunicação associados.</t>
  </si>
  <si>
    <t>EL 69 kV GOIANINHA DIST4 (12M5)</t>
  </si>
  <si>
    <t>0007279/2024</t>
  </si>
  <si>
    <t>11364102</t>
  </si>
  <si>
    <t>Substituição da cadeia de proteção de barras principal, referente às barras A e B de 525 kV da SE Nova Santa Rita, incluindo Unidade Central e doze unidades de Bay (vãos TF 1 525/230 kV, TF 2 525/230 kV, TF 3 525/230 kV, TF 4 525/230 kV, LT Gravataí C-1, LT Guaíba 3 C-1, LT Guaíba 3 C-2, LT C.Novos C-1, LT Itá C-1, LT Itá C-2, IB DJ1110 e IB DJ1090), painéis e cabos de controle e potência associados.</t>
  </si>
  <si>
    <t>0007280/2024</t>
  </si>
  <si>
    <t>Substituição de 01 (um) Transformador de serviço auxiliar posição operacional 01T1 da subestação MLG.</t>
  </si>
  <si>
    <t>0007281/2024</t>
  </si>
  <si>
    <t>11456496</t>
  </si>
  <si>
    <t>Substituição do SPCS associado ao vão da Entrada de Linha 04C7 (LT 230 kV PAU FERRO /GOIANINHA C-1), na subestação GOIANINHA, composto por: 02 painéis, 02 proteções (principal e alternada), 01 unidade de controle, 02 falhas de disjuntor (principal e alternada), cabos de controle e infraestrutura de comunicação associados.</t>
  </si>
  <si>
    <t>0007282/2024</t>
  </si>
  <si>
    <t>11353304</t>
  </si>
  <si>
    <t>Substituição de 01 (um) Transformador de serviço auxiliar posição operacional 01T2 da subestação MLG.</t>
  </si>
  <si>
    <t>0007283/2024</t>
  </si>
  <si>
    <t>11456497</t>
  </si>
  <si>
    <t>Substituição da cadeia de proteção de barras principal, referente às barras P e PT de 230 kV da SE Nova Santa Rita, incluindo Unidade Central e quinze unidades de Bay (vãos TF 1 525/230 kV, TF 2 525/230 kV, TF 3 525/230 kV, TF 4 525/230 kV, LT Scharlau 2 C-1, LT Scharlau 2 C-2, LT C.Industrial C-1, LT C.Industrial C-2, LT C.Industrial C-3, LT P.Alegre 9 C-1, LT Camaquã 3 C-1, LT P.Petroquímico C-1, LT Candelária 2 C-1, LT Lajeado 2 C-1 e IB 230 kV), painéis e cabos de controle e potência associa</t>
  </si>
  <si>
    <t>0007284/2024</t>
  </si>
  <si>
    <t>Substituição do SPCS associado ao vão da Entrada de Linha 04C7 (LT 230 kV PAU FERRO /GOIANINHA C-1), na subestação PAU FERRO, composto por: 02 painéis, 02 proteções (principal e alternada), 01 unidade de controle, 02 falhas de disjuntor (principal e alternada), cabos de controle e infraestrutura de comunicação associados.</t>
  </si>
  <si>
    <t>0007285/2024</t>
  </si>
  <si>
    <t>12402674</t>
  </si>
  <si>
    <t>Substituição de 01 (um) Transformador de serviço auxiliar posição operacional 01T6 da subestação LGZ.</t>
  </si>
  <si>
    <t>0007286/2024</t>
  </si>
  <si>
    <t>11456563</t>
  </si>
  <si>
    <t>Substituição da proteção Falha de Disjuntor, referente ao Interligador de Barras (IB) 230 kV da SE Nova Santa Rita, DJ812.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</si>
  <si>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0007287/2024</t>
  </si>
  <si>
    <t>BF - DJ812</t>
  </si>
  <si>
    <t>Substituição do SPCS associado ao vão da Entrada de Linha 04F2 (LT 230 kV IRECE /BROT.MACAUBAS C-1), na subestação IRECE, composto por: 02 painéis, 02 proteções (principal e alternada), 01 unidade de controle, 02 falhas de disjuntor (principal e alternada), cabos de controle e infraestrutura de comunicação associados.</t>
  </si>
  <si>
    <t>0007288/2024</t>
  </si>
  <si>
    <t>11361424</t>
  </si>
  <si>
    <t>Substituição de 01 (um) Transformador de serviço auxiliar posição operacional 01T7 da subestação LGZ.</t>
  </si>
  <si>
    <t>0007289/2024</t>
  </si>
  <si>
    <t>11456564</t>
  </si>
  <si>
    <t>Substituição da proteção Falha de Disjuntor, referente ao Interligador de Barras (IB) 525 kV da SE Nova Santa Rita, DJ1010 (vão entre o TF1 e a LT Guaíba 3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</si>
  <si>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0007290/2024</t>
  </si>
  <si>
    <t>Substituição do SPCS associado ao vão da Entrada de Linha 04F2 (LT 230 kV IRECE /BROT.MACAUBAS C-1), na subestação BROT.MACAUBAS, composto por: 02 painéis, 02 proteções (principal e alternada), 01 unidade de controle, 02 falhas de disjuntor (principal e alternada), cabos de controle e infraestrutura de comunicação associados.</t>
  </si>
  <si>
    <t>0007291/2024</t>
  </si>
  <si>
    <t>11361406</t>
  </si>
  <si>
    <t>Substituição de 01 (um) Transformador de serviço auxiliar posição operacional 400T8 da subestação LGZ.</t>
  </si>
  <si>
    <t>0007292/2024</t>
  </si>
  <si>
    <t>11456565</t>
  </si>
  <si>
    <t>Substituição da proteção Falha de Disjuntor, referente ao Interligador de Barras (IB) 525 kV da SE Nova Santa Rita, DJ1030 (vão entre o TF2 e a LT Itá C-2).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</si>
  <si>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0007293/2024</t>
  </si>
  <si>
    <t>Substituição de 01 (um) Transformador de serviço auxiliar posição operacional 400T9 da subestação LGZ.</t>
  </si>
  <si>
    <t>0007296/2024</t>
  </si>
  <si>
    <t>11456567</t>
  </si>
  <si>
    <t>Substituição da proteção Falha de Disjuntor, referente ao Interligador de Barras (IB) 525 kV da SE Nova Santa Rita, DJ1050 (vão entre o TF3 e a LT Itá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</si>
  <si>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0007298/2024</t>
  </si>
  <si>
    <t>Substituição do SPCS associado ao vão da Entrada de Linha 04V4 (LT 230 kV C.GRANDE III /C.GRANDE II C-3), na subestação C.GRANDE III, composto por: 02 painéis, 02 proteções (principal e alternada), 01 unidade de controle, 02 falhas de disjuntor (principal e alternada), cabos de controle e infraestrutura de comunicação associados.</t>
  </si>
  <si>
    <t>0007465/2024</t>
  </si>
  <si>
    <t>12361202</t>
  </si>
  <si>
    <t>Substituição de 01 (um) Transformador de serviço auxiliar posição operacional 01T3 da subestação CMD.</t>
  </si>
  <si>
    <t>0007303/2024</t>
  </si>
  <si>
    <t>11456612</t>
  </si>
  <si>
    <t>Substituição da proteção Falha de Disjuntor, referente ao Interligador de Barras (IB) 525 kV da SE Nova Santa Rita, DJ1070 (vão entre o TF4 e a LT C.Novos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</si>
  <si>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0007304/2024</t>
  </si>
  <si>
    <t>Substituição do SPCS associado ao vão da Entrada de Linha 04C7 (LT 230 kV CAMACARI II /G.MANGABEIRA C-1), na subestação CAMACARI II, composto por: 02 painéis, 02 proteções (principal e alternada), 01 unidade de controle, 02 falhas de disjuntor (principal e alternada), cabos de controle e infraestrutura de comunicação associados.</t>
  </si>
  <si>
    <t>0007307/2024</t>
  </si>
  <si>
    <t>11365573</t>
  </si>
  <si>
    <t>Substituição de 01 (um) Transformador de serviço auxiliar posição operacional 01T4 da subestação CMD.</t>
  </si>
  <si>
    <t>0007308/2024</t>
  </si>
  <si>
    <t>11456613</t>
  </si>
  <si>
    <t>Substituição da proteção Falha de Disjuntor, referente ao Interligador de Barras (IB) 525 kV da SE Nova Santa Rita, DJ1110 (vão da LT Gravataí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</si>
  <si>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0007310/2024</t>
  </si>
  <si>
    <t>Substituição de 01 (um) Transformador de serviço auxiliar posição operacional 400T5 da subestação AGD.</t>
  </si>
  <si>
    <t>0007314/2024</t>
  </si>
  <si>
    <t>11456666</t>
  </si>
  <si>
    <t>Substituição do SPCS associado ao vão da Entrada de Linha 04N1 (LT 230 kV CAMACARI II /BRASKEM C-1), na subestação CAMACARI II, composto por: 02 painéis, 02 proteções (principal e alternada), 01 unidade de controle, 02 falhas de disjuntor (principal e alternada), cabos de controle e infraestrutura de comunicação associados.</t>
  </si>
  <si>
    <t>EL 230 kV CAMACARI II LT 230 kV CAMACARI II /BRASKEM C-1 BA (14N1)</t>
  </si>
  <si>
    <t>0007315/2024</t>
  </si>
  <si>
    <t>11361725</t>
  </si>
  <si>
    <t>Substituição das proteções Principal, Alternada e Falha de Disjuntor, referentes a LT 230 kV Nova Santa Rita - Camaquã 3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</si>
  <si>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230 kV CAMAQUA 3 /NOVA STA RITA C-1 RS</t>
  </si>
  <si>
    <t>0007317/2024</t>
  </si>
  <si>
    <t>PP, PA, BF - LT CAM3 C-1</t>
  </si>
  <si>
    <t>Substituição de 01 (um) Transformador de serviço auxiliar posição operacional 400T6 da subestação AGD.</t>
  </si>
  <si>
    <t>0007319/2024</t>
  </si>
  <si>
    <t>11456667</t>
  </si>
  <si>
    <t>Substituição do SPCS do Transformador 04T5, na subestação CAMACARI II, composto por: 02 painéis, 02 proteções (principal e alternada), 02 unidades de controle, 02 falhas de disjuntor (principal e alternada), cabos de controle e infraestrutura de comunicação associados.</t>
  </si>
  <si>
    <t>0007320/2024</t>
  </si>
  <si>
    <t>11358865</t>
  </si>
  <si>
    <t>Substituição das proteções Principal, Alternada e Falha de Disjuntor, referentes a LT 525 kV Nova Santa Rita - Campos Novos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</si>
  <si>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0007321/2024</t>
  </si>
  <si>
    <t>PP, PA, BF - LT CNO C-1</t>
  </si>
  <si>
    <t>Substituição de 01 (um) Transformador de serviço auxiliar posição operacional 400T4 da subestação OLD.</t>
  </si>
  <si>
    <t>0007323/2024</t>
  </si>
  <si>
    <t>12587121</t>
  </si>
  <si>
    <t>Substituição do SPCS do Transformador 05T3, na subestação CAMACARI II, composto por: 02 painéis, 02 proteções (principal e alternada), 02 unidades de controle, 02 falhas de disjuntor (principal e alternada), cabos de controle e infraestrutura de comunicação associados.</t>
  </si>
  <si>
    <t>0007324/2024</t>
  </si>
  <si>
    <t>11359710</t>
  </si>
  <si>
    <t>Substituição das proteções Principal, Alternada e Falha de Disjuntor, referentes a LT 525 kV Nova Santa Rita - Gravataí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</si>
  <si>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0007325/2024</t>
  </si>
  <si>
    <t>PP, PA, BF - LT GRA C-1</t>
  </si>
  <si>
    <t>Substituição de 01 (um) Transformador de serviço auxiliar posição operacional 400T5 da subestação OLD.</t>
  </si>
  <si>
    <t>0007328/2024</t>
  </si>
  <si>
    <t>12587122</t>
  </si>
  <si>
    <t>Substituição do SPCS do Disjuntor de Interligação de Barras 15D2, na subestação CAMACARI II, composto por: 01 painel, 01 unidade de controle, 02 falhas de disjuntor (principal e alternada), cabos de controle e infraestrutura de comunicação associados.</t>
  </si>
  <si>
    <t>0007329/2024</t>
  </si>
  <si>
    <t>11357323</t>
  </si>
  <si>
    <t>Substituição das proteções Principal, Alternada e Falha de Disjuntor, referentes a LT 525 kV Nova Santa Rita - Guaíba 3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</si>
  <si>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525 kV GUAIBA 3 / NOVA STA RITA C 1 RS</t>
  </si>
  <si>
    <t>0007330/2024</t>
  </si>
  <si>
    <t>PP, PA, BF - LT GUA3 C-1</t>
  </si>
  <si>
    <t>Substituição de 01 (um) Transformador de serviço auxiliar posição operacional 400T3 da subestação CMD.</t>
  </si>
  <si>
    <t>0007334/2024</t>
  </si>
  <si>
    <t>12587130</t>
  </si>
  <si>
    <t>Substituição das proteções Principal, Alternada e Falha de Disjuntor, referentes a LT 525 kV Nova Santa Rita - Itá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</si>
  <si>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0007335/2024</t>
  </si>
  <si>
    <t>PP, PA, BF - LT YTA C-1</t>
  </si>
  <si>
    <t>Substituição de 01 (um) Transformador de serviço auxiliar posição operacional 400T4 da subestação CMD.</t>
  </si>
  <si>
    <t>0007336/2024</t>
  </si>
  <si>
    <t>12587131</t>
  </si>
  <si>
    <t>Substituição das proteções Principal, Alternada e Falha de Disjuntor, referentes a LT 525 kV Nova Santa Rita - Itá C-2.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</si>
  <si>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0007338/2024</t>
  </si>
  <si>
    <t>PP, PA, BF - LT YTA C-2</t>
  </si>
  <si>
    <t>Substituição de 01 (um) Transformador de serviço auxiliar posição operacional 400T5 da subestação CMD.</t>
  </si>
  <si>
    <t>0007339/2024</t>
  </si>
  <si>
    <t>12587132</t>
  </si>
  <si>
    <t>Substituição das proteções Principal, Alternada e Falha de Disjuntor, referentes ao Reator 1 (RT1) da SE Nova Santa Rita.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</si>
  <si>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RT 525 kV 150 Mvar NOVA STA RITA RT1 RS</t>
  </si>
  <si>
    <t>0007340/2024</t>
  </si>
  <si>
    <t>Substituição de 01 (um) Transformador de serviço auxiliar posição operacional 400T6 da subestação CMD.</t>
  </si>
  <si>
    <t>0007343/2024</t>
  </si>
  <si>
    <t>12587133</t>
  </si>
  <si>
    <t>Substituição das proteções Principal, Alternada e Falha de Disjuntor, referentes ao Reator 2 (RT2) da SE Nova Santa Rita.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</si>
  <si>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RT 525 kV 150 Mvar NOVA STA RITA RT2 RS</t>
  </si>
  <si>
    <t>0007344/2024</t>
  </si>
  <si>
    <t>Substituição do Sistema de Registro de Perturbação no Reator 05E1, na subestação ANGELIM II, composto por: 01 Oscilógrafo.</t>
  </si>
  <si>
    <t>RTB 500 kV 150 MVAr ANGELIM II RT1 PE</t>
  </si>
  <si>
    <t>0007345/2024</t>
  </si>
  <si>
    <t>11446225</t>
  </si>
  <si>
    <t>Substituição de 01 (um) Transformador de serviço auxiliar posição operacional 400T3 da subestação RCD.</t>
  </si>
  <si>
    <t>0007349/2024</t>
  </si>
  <si>
    <t>12587148</t>
  </si>
  <si>
    <t>Substituição das proteções Principal, Alternada e Falha de Disjuntor, referentes ao Reator 3 (RT3) da SE Nova Santa Rita.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</si>
  <si>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RT 525 kV 150 Mvar NOVA STA RITA RT3 RS</t>
  </si>
  <si>
    <t>0007350/2024</t>
  </si>
  <si>
    <t>PP, PA, BF - RT3</t>
  </si>
  <si>
    <t>Substituição do Sistema de Registro de Perturbação no Trafo 04T1, na subestação ELISEU MARTIN, composto por: 01 Oscilógrafo.</t>
  </si>
  <si>
    <t>0007351/2024</t>
  </si>
  <si>
    <t>11446286</t>
  </si>
  <si>
    <t>Substituição de 01 (um) Transformador de serviço auxiliar posição operacional 400T4 da subestação RCD.</t>
  </si>
  <si>
    <t>0007354/2024</t>
  </si>
  <si>
    <t>12587149</t>
  </si>
  <si>
    <t>Substituição das proteções Principal, Alternada e Falha de Disjuntor, referentes ao TR1 525/230 kV da SE Nova Santa Rita, lados de 525 e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</si>
  <si>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TR 525 / 230 kV NOVA STA RITA 1 RS</t>
  </si>
  <si>
    <t>0007356/2024</t>
  </si>
  <si>
    <t>Substituição do Sistema de Registro de Perturbação no Trafo 04T2, na subestação ELISEU MARTIN, composto por: 01 Oscilógrafo.</t>
  </si>
  <si>
    <t>TR 230/69 kV ELISEU MARTIN TR2 PI</t>
  </si>
  <si>
    <t>0007358/2024</t>
  </si>
  <si>
    <t>11446287</t>
  </si>
  <si>
    <t>Substituição de 01 (um) Transformador de serviço auxiliar posição operacional 400T11 da subestação RCD.</t>
  </si>
  <si>
    <t>0007360/2024</t>
  </si>
  <si>
    <t>12587150</t>
  </si>
  <si>
    <t>Substituição das proteções Principal, Alternada e Falha de Disjuntor, referentes ao TR2 525/230 kV da SE Nova Santa Rita, lados de 525 e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</si>
  <si>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0007361/2024</t>
  </si>
  <si>
    <t>Substituição do Sistema de Registro de Perturbação no Trafo 04T1 230 kV, na subestação JOAIRAM, composto por: 01 Oscilógrafo.</t>
  </si>
  <si>
    <t>0007362/2024</t>
  </si>
  <si>
    <t>11449237</t>
  </si>
  <si>
    <t>Substituição de 01 (um) Transformador de serviço auxiliar posição operacional 400T12 da subestação RCD.</t>
  </si>
  <si>
    <t>0007363/2024</t>
  </si>
  <si>
    <t>12587151</t>
  </si>
  <si>
    <t>Substituição das proteções Principal, Alternada e Falha de Disjuntor, referentes ao TR3 525/230 kV da SE Nova Santa Rita, lados de 525 e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</si>
  <si>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0007364/2024</t>
  </si>
  <si>
    <t>Substituição do Sistema de Registro de Perturbação no Trafo 04T2 230 kV, na subestação JOAIRAM, composto por: 01 Oscilógrafo.</t>
  </si>
  <si>
    <t>0007365/2024</t>
  </si>
  <si>
    <t>11449238</t>
  </si>
  <si>
    <t>Substituição de 01 (um) Transformador de serviço auxiliar posição operacional 400T6 da subestação SOB.</t>
  </si>
  <si>
    <t>0007366/2024</t>
  </si>
  <si>
    <t>12587162</t>
  </si>
  <si>
    <t>Substituição das proteções Principal, Alternada e Falha de Disjuntor, referentes ao TR4 525/230 kV da SE Nova Santa Rita, lados de 525 e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</si>
  <si>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0007369/2024</t>
  </si>
  <si>
    <t>PP, PA, BF - TF4</t>
  </si>
  <si>
    <t>12,3</t>
  </si>
  <si>
    <t>Substituição do Sistema de Registro de Perturbação no Compensador Estático 01Q1, na subestação MILAGRES, composto por: 01 Oscilógrafo.</t>
  </si>
  <si>
    <t>0007474/2024</t>
  </si>
  <si>
    <t>11462601</t>
  </si>
  <si>
    <t>Substituição de 01 (um) Transformador de serviço auxiliar posição operacional 400T7 da subestação SOB.</t>
  </si>
  <si>
    <t>0007373/2024</t>
  </si>
  <si>
    <t>12587163</t>
  </si>
  <si>
    <t>Substituição do sistema de controle e supervisão (com unidade redundante) da LT 230 kV Nova Santa Rita - Camaquã 3 C-1, incluindo painéis e cabos de controle e potência associados.</t>
  </si>
  <si>
    <t>0007374/2024</t>
  </si>
  <si>
    <t>Controle - LT CAM3 C-1</t>
  </si>
  <si>
    <t>Substituição do Sistema de Registro de Perturbação no Compensador Estático 01Q2, na subestação MILAGRES, composto por: 01 Oscilógrafo.</t>
  </si>
  <si>
    <t>CE 58/-35 MvAr MILAGRES CE2 CE</t>
  </si>
  <si>
    <t>0007475/2024</t>
  </si>
  <si>
    <t>11462602</t>
  </si>
  <si>
    <t>Substituição de 01 (um) Transformador de serviço auxiliar posição operacional 400T8 da subestação SOB.</t>
  </si>
  <si>
    <t>0007379/2024</t>
  </si>
  <si>
    <t>12587164</t>
  </si>
  <si>
    <t>Substituição do sistema de controle e supervisão (com unidade redundante) da LT 525 kV Nova Santa Rita - Campos Novos C-1, incluindo painéis e cabos de controle e potência associados.</t>
  </si>
  <si>
    <t>0007381/2024</t>
  </si>
  <si>
    <t>Substituição do Sistema de Registro de Perturbação na RTB04E2, na subestação PICOS, composto por: 01 Oscilógrafo.</t>
  </si>
  <si>
    <t>RTB 230 kV 15 Mvar PICOS RT1 PI</t>
  </si>
  <si>
    <t>0007382/2024</t>
  </si>
  <si>
    <t>11446401</t>
  </si>
  <si>
    <t>Substituição de 01 (um) Transformador de serviço auxiliar posição operacional 400T9 da subestação SOB.</t>
  </si>
  <si>
    <t>0007383/2024</t>
  </si>
  <si>
    <t>12587165</t>
  </si>
  <si>
    <t>Substituição do sistema de controle e supervisão (com unidade redundante) da LT 525 kV Nova Santa Rita - Gravataí C-1, incluindo painéis e cabos de controle e potência associados.</t>
  </si>
  <si>
    <t>0007386/2024</t>
  </si>
  <si>
    <t>Substituição do Sistema de Registro de Perturbação no Trafo 04T2, na subestação RUSSAS II, composto por: 01 Oscilógrafo.</t>
  </si>
  <si>
    <t>TR 230/69 kV RUSSAS II TR4 CE</t>
  </si>
  <si>
    <t>0007388/2024</t>
  </si>
  <si>
    <t>11449263</t>
  </si>
  <si>
    <t>Substituição de 01 (um) Transformador de serviço auxiliar posição operacional 400T8 da subestação SJI.</t>
  </si>
  <si>
    <t>0007391/2024</t>
  </si>
  <si>
    <t>12587170</t>
  </si>
  <si>
    <t>Substituição do sistema de controle e supervisão (com unidade redundante) da LT 525 kV Nova Santa Rita - Guaíba 3 C-1, incluindo painéis e cabos de controle e potência associados.</t>
  </si>
  <si>
    <t>0007392/2024</t>
  </si>
  <si>
    <t>Controle - LT GUA3 C-1</t>
  </si>
  <si>
    <t>Substituição do Sistema de Registro de Perturbação no Trafo 04T3, na subestação RUSSAS II, composto por: 01 Oscilógrafo.</t>
  </si>
  <si>
    <t>0007393/2024</t>
  </si>
  <si>
    <t>11446262</t>
  </si>
  <si>
    <t>Substituição de 01 (um) Transformador de serviço auxiliar posição operacional 400T9 da subestação SJI.</t>
  </si>
  <si>
    <t>0007394/2024</t>
  </si>
  <si>
    <t>12587171</t>
  </si>
  <si>
    <t>Substituição do sistema de controle e supervisão (com unidade redundante) da LT 525 kV Nova Santa Rita - Itá C-1, incluindo painéis e cabos de controle e potência associados.</t>
  </si>
  <si>
    <t>0007395/2024</t>
  </si>
  <si>
    <t>Substituição do Sistema de Registro de Perturbação no Trafo 05T1, na subestação SOBRAL III, composto por: 01 Oscilógrafo.</t>
  </si>
  <si>
    <t>0007396/2024</t>
  </si>
  <si>
    <t>11446259</t>
  </si>
  <si>
    <t>Substituição de 01 (um) Transformador de serviço auxiliar posição operacional 01T1 da subestação AGD.</t>
  </si>
  <si>
    <t>0007400/2024</t>
  </si>
  <si>
    <t>11347955</t>
  </si>
  <si>
    <t>Substituição do sistema de controle e supervisão (com unidade redundante) da LT 525 kV Nova Santa Rita - Itá C-2, incluindo painéis e cabos de controle e potência associados.</t>
  </si>
  <si>
    <t>0007402/2024</t>
  </si>
  <si>
    <t>Controle - LT YTA C-2</t>
  </si>
  <si>
    <t>Substituição do Sistema de Registro de Perturbação no Trafo 05T4, na subestação U.SOBRADINHO, composto por: 01 Oscilógrafo.</t>
  </si>
  <si>
    <t>0007404/2024</t>
  </si>
  <si>
    <t>11446192</t>
  </si>
  <si>
    <t>Substituição de 01 (um) Transformador de serviço auxiliar posição operacional 01T2 da subestação AGD.</t>
  </si>
  <si>
    <t>0007405/2024</t>
  </si>
  <si>
    <t>11347956</t>
  </si>
  <si>
    <t>Substituição do sistema de controle e supervisão (com unidade redundante) do Interligador de Barras (IB) 230 kV da SE Nova Santa Rita, DJ812, incluindo painéis e cabos de controle e potência associados.</t>
  </si>
  <si>
    <t>0007406/2024</t>
  </si>
  <si>
    <t>Controle - DJ812</t>
  </si>
  <si>
    <t>Substituição do Sistema de Registro de Perturbação no Trafo 05T5, na subestação U.SOBRADINHO, composto por: 01 Oscilógrafo.</t>
  </si>
  <si>
    <t>0007410/2024</t>
  </si>
  <si>
    <t>11446193</t>
  </si>
  <si>
    <t>Substituição de 01 (um) Transformador de serviço auxiliar posição operacional 01T4 da subestação BEA</t>
  </si>
  <si>
    <t>0007413/2024</t>
  </si>
  <si>
    <t>11348060</t>
  </si>
  <si>
    <t>Substituição do sistema de controle e supervisão (com unidade redundante) do Interligador de Barras (IB) 525 kV da SE Nova Santa Rita, DJ1010 (vão entre o TF1 e a LT Guaíba 3 C-1), incluindo painéis e cabos de controle e potência associados.</t>
  </si>
  <si>
    <t>0007414/2024</t>
  </si>
  <si>
    <t>Substituição do Sistema de Registro de Perturbação no Trafo 04T1, na subestação TAUA II, composto por: 01 Oscilógrafo.</t>
  </si>
  <si>
    <t>TR 230/69 kV TAUA II TR1 CE</t>
  </si>
  <si>
    <t>0007415/2024</t>
  </si>
  <si>
    <t>11446264</t>
  </si>
  <si>
    <t>Substituição de 01 (um) Transformador de serviço auxiliar posição operacional 01T3 da subestação BEA</t>
  </si>
  <si>
    <t>0007416/2024</t>
  </si>
  <si>
    <t>11348058</t>
  </si>
  <si>
    <t>Substituição do sistema de controle e supervisão (com unidade redundante) do Interligador de Barras (IB) 525 kV da SE Nova Santa Rita, DJ1030 (vão entre o TF2 e a LT Itá C-2), incluindo painéis e cabos de controle e potência associados.</t>
  </si>
  <si>
    <t>0007417/2024</t>
  </si>
  <si>
    <t>Substituição do Sistema de Registro de Perturbação no Trafo 05T6, na subestação JARDIM, composto por: 01 Oscilógrafo.</t>
  </si>
  <si>
    <t>0007421/2024</t>
  </si>
  <si>
    <t>11446341</t>
  </si>
  <si>
    <t>Substituição de 01 (um) Transformador de serviço auxiliar posição operacional 01T8-A da subestação TSA</t>
  </si>
  <si>
    <t>0007423/2024</t>
  </si>
  <si>
    <t>11456550</t>
  </si>
  <si>
    <t>Substituição do sistema de controle e supervisão (com unidade redundante) do Interligador de Barras (IB) 525 kV da SE Nova Santa Rita, DJ1050 (vão entre o TF3 e a LT Itá C-1), incluindo painéis e cabos de controle e potência associados.</t>
  </si>
  <si>
    <t>0007424/2024</t>
  </si>
  <si>
    <t>Substituição do Sistema de Registro de Perturbação no Reator 04E3, na subestação NATAL II, composto por: 01 Oscilógrafo.</t>
  </si>
  <si>
    <t>RTL 230 kV 9,9 MVAr NATAL II RT3 RN</t>
  </si>
  <si>
    <t>0007425/2024</t>
  </si>
  <si>
    <t>11446388</t>
  </si>
  <si>
    <t>Substituição de 01 (um) Transformador de serviço auxiliar posição operacional 01T6 da subestação DMG</t>
  </si>
  <si>
    <t>0007426/2024</t>
  </si>
  <si>
    <t>11456503</t>
  </si>
  <si>
    <t>Substituição do sistema de controle e supervisão (com unidade redundante) do Interligador de Barras (IB) 525 kV da SE Nova Santa Rita, DJ1070 (vão entre o TF4 e a LT C.Novos C-1), incluindo painéis e cabos de controle e potência associados.</t>
  </si>
  <si>
    <t>0007427/2024</t>
  </si>
  <si>
    <t>Substituição do Sistema de Registro de Perturbação no Trafo 05T4, na subestação RECIFE II, composto por: 01 Oscilógrafo.</t>
  </si>
  <si>
    <t>0007429/2024</t>
  </si>
  <si>
    <t>11446205</t>
  </si>
  <si>
    <t>Substituição de 01 (um) Transformador de serviço auxiliar posição operacional 01T4 da subestação SBD</t>
  </si>
  <si>
    <t>0007432/2024</t>
  </si>
  <si>
    <t>11348311</t>
  </si>
  <si>
    <t>Substituição do sistema de controle e supervisão (com unidade redundante) do Interligador de Barras (IB) 525 kV da SE Nova Santa Rita, DJ1110 (vão da LT Gravataí C-1), incluindo painéis e cabos de controle e potência associados.</t>
  </si>
  <si>
    <t>0007433/2024</t>
  </si>
  <si>
    <t>Substituição do Sistema de Registro de Perturbação no Reator 04E1, na subestação TAUA II, composto por: 01 Oscilógrafo.</t>
  </si>
  <si>
    <t>RTB 230 kV 15 Mvar TAUA II RT1 CE</t>
  </si>
  <si>
    <t>0007434/2024</t>
  </si>
  <si>
    <t>11446391</t>
  </si>
  <si>
    <t>Substituição de 01 (um) Transformador de serviço auxiliar posição operacional 01T7 da subestação AGL</t>
  </si>
  <si>
    <t>0007435/2024</t>
  </si>
  <si>
    <t>11456669</t>
  </si>
  <si>
    <t>Substituição do sistema de controle e supervisão (com unidade redundante) do Reator 1 (RT1) da SE Nova Santa Rita, incluindo painéis e cabos de controle e potência associados.</t>
  </si>
  <si>
    <t>0007437/2024</t>
  </si>
  <si>
    <t>Substituição do Sistema de Registro de Perturbação associado ao Banco de Capacitores 04H2, na subestação RECIFE II, composto por: 01 Oscilógrafo e infraestrutura de comunicação associada.</t>
  </si>
  <si>
    <t>0007439/2024</t>
  </si>
  <si>
    <t>11444085</t>
  </si>
  <si>
    <t>Substituição do sistema de controle e supervisão (com unidade redundante) do Reator 2 (RT2) da SE Nova Santa Rita, incluindo painéis e cabos de controle e potência associados.</t>
  </si>
  <si>
    <t>0009023/2024</t>
  </si>
  <si>
    <t>Substituição de 01 (um) Transformador de serviço auxiliar posição operacional 01T8 da subestação AGL</t>
  </si>
  <si>
    <t>0007441/2024</t>
  </si>
  <si>
    <t>11456668</t>
  </si>
  <si>
    <t>Substituição do Sistema de Registro de Perturbação associado ao Transformador 05T6, na subestação MILAGRES, composto por: 01 Oscilógrafo e infraestrutura de comunicação associada.</t>
  </si>
  <si>
    <t>0007442/2024</t>
  </si>
  <si>
    <t>11444170</t>
  </si>
  <si>
    <t>Substituição de 01 (um) Transformador de serviço auxiliar posição operacional 01T1 da subestação NTD.</t>
  </si>
  <si>
    <t>0007444/2024</t>
  </si>
  <si>
    <t>11456453</t>
  </si>
  <si>
    <t>Substituição do sistema de controle e supervisão (com unidade redundante) do Reator 3 (RT3) da SE Nova Santa Rita, incluindo painéis e cabos de controle e potência associados.</t>
  </si>
  <si>
    <t>0007446/2024</t>
  </si>
  <si>
    <t>Controle - RT3</t>
  </si>
  <si>
    <t>Substituição do Sistema de Registro de Perturbação dos vãos 04G10 e o4G12 na subestação P.AFONSO III, composto por: 01 Oscilógrafo.</t>
  </si>
  <si>
    <t>0007450/2024</t>
  </si>
  <si>
    <t>11446314</t>
  </si>
  <si>
    <t>Substituição do sistema de controle e supervisão (com unidade redundante) do Reator Reserva 1 (RER 1) da SE Nova Santa Rita, incluindo painéis e cabos de controle e potência associados.</t>
  </si>
  <si>
    <t>RTR 525 kV 50 Mvar NOVA STA RITA RTR1 RS</t>
  </si>
  <si>
    <t>0007451/2024</t>
  </si>
  <si>
    <t>Substituição de 01 (um) Transformador de serviço auxiliar posição operacional 01T2 da subestação NTD.</t>
  </si>
  <si>
    <t>0007452/2024</t>
  </si>
  <si>
    <t>11456456</t>
  </si>
  <si>
    <t>Substituição do Sistema de Registro de Perturbação dos vãos 04T3, 04T4, 02BP e 02A1, na subestação S.JOAO PIAUI, composto por: 01 Oscilógrafo.</t>
  </si>
  <si>
    <t>0007453/2024</t>
  </si>
  <si>
    <t>11446291</t>
  </si>
  <si>
    <t>Substituição do sistema de controle e supervisão (com unidade redundante) do Reator Reserva 3 (RER 3) da SE Nova Santa Rita, incluindo painéis e cabos de controle e potência associados.</t>
  </si>
  <si>
    <t>RTR 525 kV 50 Mvar NOVA STA RITA RTR3 RS</t>
  </si>
  <si>
    <t>0007454/2024</t>
  </si>
  <si>
    <t>Controle - RTR3</t>
  </si>
  <si>
    <t>Substituição do Sistema de Registro de Perturbação dos vãos 04T3, 04T4 e 04B1, na subestação S.JOAO PIAUI, composto por: 01 Oscilógrafo.</t>
  </si>
  <si>
    <t>0007455/2024</t>
  </si>
  <si>
    <t>11446290</t>
  </si>
  <si>
    <t>Substituição do sistema de controle e supervisão (com unidade redundante) do TR1 525/230 kV da SE Nova Santa Rita, lados de 525 e 230 kV, incluindo painéis e cabos de controle e potência associados.</t>
  </si>
  <si>
    <t>0007456/2024</t>
  </si>
  <si>
    <t>Substituição do Sistema de Registro de Perturbação dos vãos 05G1 e 05G2 na USINA XINGO, composto por: 01 Oscilógrafo.</t>
  </si>
  <si>
    <t>0007457/2024</t>
  </si>
  <si>
    <t>11446312</t>
  </si>
  <si>
    <t>Substituição do sistema de controle e supervisão (com unidade redundante) do TR2 525/230 kV da SE Nova Santa Rita, lados de 525 e 230 kV, incluindo painéis e cabos de controle e potência associados.</t>
  </si>
  <si>
    <t>0007458/2024</t>
  </si>
  <si>
    <t>Substituição do Sistema de Registro de Perturbação dos vãos 05G4 e 05V4 na USINA XINGO, composto por: 01 Oscilógrafo.</t>
  </si>
  <si>
    <t>0007459/2024</t>
  </si>
  <si>
    <t>11446310</t>
  </si>
  <si>
    <t>Substituição do sistema de controle e supervisão (com unidade redundante) do TR3 525/230 kV da SE Nova Santa Rita, lados de 525 e 230 kV, incluindo painéis e cabos de controle e potência associados.</t>
  </si>
  <si>
    <t>0007460/2024</t>
  </si>
  <si>
    <t>Substituição do Sistema de Registro de Perturbação dos vãos 05G6 e 05V6 na USINA XINGO, composto por: 01 Oscilógrafo.</t>
  </si>
  <si>
    <t>0007461/2024</t>
  </si>
  <si>
    <t>11446308</t>
  </si>
  <si>
    <t>Substituição do sistema de controle e supervisão (com unidade redundante) do TR4 525/230 kV da SE Nova Santa Rita, lados de 525 e 230 kV, incluindo painéis e cabos de controle e potência associados.</t>
  </si>
  <si>
    <t>0007462/2024</t>
  </si>
  <si>
    <t>Controle - TF4</t>
  </si>
  <si>
    <t>Substituição do sistema de controle e supervisão (com unidade redundante) do TRR1 525/230 kV Unidade Reserva da SE Nova Santa Rita, lados de 525 e 230 kV, incluindo painéis e cabos de controle e potência associados.</t>
  </si>
  <si>
    <t>TRR 525/230 kV NOVA STA RITA TRR1 RS</t>
  </si>
  <si>
    <t>0007463/2024</t>
  </si>
  <si>
    <t>Substituição do Sistema de Registro de Perturbação dos vãos 04M1 e 04M2, na subestação P.AFONSO III, composto por: 01 Oscilógrafo.</t>
  </si>
  <si>
    <t>0007464/2024</t>
  </si>
  <si>
    <t>11446315</t>
  </si>
  <si>
    <t>Substituição do Sistema de Proteção, Controle e Supervisão (SPCS) dos cubículos e serviços auxiliares CA / CC, da SE Nova Santa Rita, pátio de 525 kV, incluindo painéis e cabos associados.</t>
  </si>
  <si>
    <t>0007466/2024</t>
  </si>
  <si>
    <t>Substituição do Sistema de Registro de Perturbação associado ao vão de Entrada de Linha 04C1 (LT 230 kV G.MANGABEIRA /SAPEACU C-1), na subestação SAPEACU, composto por: 01 Oscilógrafo e infraestrutura de comunicação associada.</t>
  </si>
  <si>
    <t>0007468/2024</t>
  </si>
  <si>
    <t>11444223</t>
  </si>
  <si>
    <t>Substituição do Sistema de Registro de Perturbação associado ao vão de Entrada de Linha 04L4 (LT 230 kV PITUACU /RL (COTEGIPE / MATATU) C-1), na subestação PITUACU, composto por: 01 Oscilógrafo e infraestrutura de comunicação associada.</t>
  </si>
  <si>
    <t>0007470/2024</t>
  </si>
  <si>
    <t>11446328</t>
  </si>
  <si>
    <t>Substituição do Sistema de Registro de Perturbação associado ao vão de Entrada de Linha 04N1 (LT 230 kV CAMACARI II /BRASKEM C-1), na subestação CAMACARI II, composto por: 01 Oscilógrafo e infraestrutura de comunicação associada.</t>
  </si>
  <si>
    <t>0007472/2024</t>
  </si>
  <si>
    <t>12451436</t>
  </si>
  <si>
    <t>Substituição do Sistema de Registro de Perturbação associado ao vão de Entrada de Linha 04C5 (LT 230 kV RECIFE II /MIRUEIRA C-2), na subestação RECIFE II, composto por: 01 Oscilógrafo e infraestrutura de comunicação associada.</t>
  </si>
  <si>
    <t>0007473/2024</t>
  </si>
  <si>
    <t>11446207</t>
  </si>
  <si>
    <t>Substituição do Sistema de Registro de Perturbação associado ao vão de Entrada de Linha  04C8 (LT 230 kV BANABUIU /AQUIRAZ II C-1), na subestação AQUIRAZ II, composto por: 01 Oscilógrafo e infraestrutura de comunicação associada.</t>
  </si>
  <si>
    <t>0007485/2024</t>
  </si>
  <si>
    <t>12441358</t>
  </si>
  <si>
    <t>Substituição do Sistema de Registro de Perturbação associado ao vão de Entrada de Linha  04C7 (LT 230 kV PAU FERRO /GOIANINHA C-1), na subestação GOIANINHA, composto por: 01 Oscilógrafo e infraestrutura de comunicação associada.</t>
  </si>
  <si>
    <t>0007488/2024</t>
  </si>
  <si>
    <t>11446229</t>
  </si>
  <si>
    <t>Substituição do Sistema de Registro de Perturbação associado ao vão de Entrada de Linha  04C8 (LT 230 kV RECIFE II /GOIANINHA C-1), na subestação GOIANINHA, composto por: 01 Oscilógrafo e infraestrutura de comunicação associada.</t>
  </si>
  <si>
    <t>0007494/2024</t>
  </si>
  <si>
    <t>11446228</t>
  </si>
  <si>
    <t>Substituição do Sistema de Registro de Perturbação associado ao vão de Entrada de Linha 04C1 (LT 230 kV RECIFE II /PIRAPAMA II C-2), na subestação RECIFE II, composto por: 01 Oscilógrafo e infraestrutura de comunicação associada.</t>
  </si>
  <si>
    <t>0007500/2024</t>
  </si>
  <si>
    <t>11444083</t>
  </si>
  <si>
    <t>Substituição do Sistema de Registro de Perturbação associado ao vão de Entrada de Linha 04C8 (LT 230 kV RECIFE II /GOIANINHA C-1), na subestação RECIFE II, composto por: 01 Oscilógrafo e infraestrutura de comunicação associada.</t>
  </si>
  <si>
    <t>0007501/2024</t>
  </si>
  <si>
    <t>11444089</t>
  </si>
  <si>
    <t>Substituição do Sistema de Registro de Perturbação associado ao vão de Entrada de Linha 04C4 (LT 230 kV RECIFE II /MIRUEIRA C-1), na subestação MIRUEIRA, composto por: 01 Oscilógrafo e infraestrutura de comunicação associada.</t>
  </si>
  <si>
    <t>0007504/2024</t>
  </si>
  <si>
    <t>12365326</t>
  </si>
  <si>
    <t>Substituição de 01 (um) PR 69 kV  posição operacional 72W1-2.A da Subestação STD</t>
  </si>
  <si>
    <t>MC 69 kV TR 69/13,8 kV SANTA CRUZ II TR2A RN (12T2-A)</t>
  </si>
  <si>
    <t>0007517/2024</t>
  </si>
  <si>
    <t>72W1-2.A</t>
  </si>
  <si>
    <t>Substituição de 01 (um) PR 69 kV  posição operacional 72W1-2.B da Subestação STD</t>
  </si>
  <si>
    <t>0007521/2024</t>
  </si>
  <si>
    <t>72W1-2.B</t>
  </si>
  <si>
    <t>Substituição de 01 (um) PR 69 kV  posição operacional 72W1-2.C da Subestação STD</t>
  </si>
  <si>
    <t>0007523/2024</t>
  </si>
  <si>
    <t>72W1-2.C</t>
  </si>
  <si>
    <t>Substituição de 01 (uma) Seccionadora 6.9 kV posição operacional 36T7-8 da Subestação IRE</t>
  </si>
  <si>
    <t>0007525/2024</t>
  </si>
  <si>
    <t>36T7-8</t>
  </si>
  <si>
    <t>Substituição de Retificador (Carregador de Baterias) 125 Vcc - SACC125-RET1, da SE Santa Cruz 1 (vinculada a LT 230 kV P.Médici - S.Cruz 1).</t>
  </si>
  <si>
    <t>0007526/2024</t>
  </si>
  <si>
    <t>Substituição de 01 (uma) Seccionadora 6.9 kV posição operacional 36K1-8 da Subestação IRE</t>
  </si>
  <si>
    <t>0007530/2024</t>
  </si>
  <si>
    <t>36K1-8</t>
  </si>
  <si>
    <t>Substituição de Retificador (Carregador de Baterias) 125 Vcc - SACC125-RET2, da SE Santa Cruz 1 (vinculada a LT 230 kV P.Médici - S.Cruz 1).</t>
  </si>
  <si>
    <t>0007531/2024</t>
  </si>
  <si>
    <t>Substituição de 01 (um) disjuntor 13,8 KV, posição operacional 11T7 da subestação BJS</t>
  </si>
  <si>
    <t>0007533/2024</t>
  </si>
  <si>
    <t>11T7</t>
  </si>
  <si>
    <t>SANTA MARIA 3</t>
  </si>
  <si>
    <t>Substituição de bateria - 125 Vcc - SACC125-BAT2 na SE Santa Maria 3.</t>
  </si>
  <si>
    <t>MG SANTA MARIA 3 / CCO-2014-007 - RB</t>
  </si>
  <si>
    <t>0007534/2024</t>
  </si>
  <si>
    <t>Substituição de bateria - 125 Vcc - SACC125-BAT51 (setor de 525 kV) na SE Santo Ângelo.</t>
  </si>
  <si>
    <t>0007536/2024</t>
  </si>
  <si>
    <t>Substituição de 01 (um) disjuntor 13,8 KV, posição operacional 11T9 da subestação BJS</t>
  </si>
  <si>
    <t>0007774/2024</t>
  </si>
  <si>
    <t>11T9</t>
  </si>
  <si>
    <t>Substituição de bateria - 125 Vcc - SACC125-BAT1 na SE Mimoso (vinculada a LT 138 kV Mimoso - Campo Grande C-4).</t>
  </si>
  <si>
    <t>0007539/2024</t>
  </si>
  <si>
    <t>Substituição de Retificador (Carregador de Baterias) 125 Vcc - SACC125-RET1, da SE Xanxerê.</t>
  </si>
  <si>
    <t>0007542/2024</t>
  </si>
  <si>
    <t>Substituição de Retificador (Carregador de Baterias) 125 Vcc - SACC125-RET2, da SE Xanxerê.</t>
  </si>
  <si>
    <t>0007543/2024</t>
  </si>
  <si>
    <t>Substituição de 01 (um) TP 13.8 kV posição operacional 01K1/BAB42 fase B da Subestação TSD</t>
  </si>
  <si>
    <t>CS 150/-105 MVAr TERESINA II CS1 PI</t>
  </si>
  <si>
    <t>0007544/2024</t>
  </si>
  <si>
    <t>12621985</t>
  </si>
  <si>
    <t>Substituição da cadeia de proteção de barras principal, referente às barras P e PT de 230 kV da SE Londrina, incluindo uma Unidade Central e quatorze unidades de Bay (vãos TF 1, TF 3, TF 4, IBP C2, IBP C1, LNA C1, LNA C2, SDI C1, LNS C1, MGA C2, FRA C1, FRA C2, APA C2 e Interligador de Barras (IB - DJ762)), painéis e cabos de controle e potência associados.</t>
  </si>
  <si>
    <t>0007550/2024</t>
  </si>
  <si>
    <t>Substituição de 01 (um) TP 13.8 kV posição operacional 01K1/BAB42 fase C da Subestação TSD</t>
  </si>
  <si>
    <t>0007552/2024</t>
  </si>
  <si>
    <t>12621986</t>
  </si>
  <si>
    <t>Substituição do sistema de teleproteção com comunicação do tipo OPLAT, para a LT 230 kV Anastácio - Dourados C-1, no terminal da SE Anastácio.</t>
  </si>
  <si>
    <t>0007553/2024</t>
  </si>
  <si>
    <t>Sistema de Teleproteção</t>
  </si>
  <si>
    <t>Substituição de 01 (um) TC 13.8 kV posição operacional 01K1/BAB25 fase A da Subestação TSD</t>
  </si>
  <si>
    <t>0007555/2024</t>
  </si>
  <si>
    <t>12621987</t>
  </si>
  <si>
    <t>Substituição do sistema de teleproteção com comunicação do tipo OPLAT, para a LT 230 kV Anastácio - Dourados C-1, no terminal da SE Dourados.</t>
  </si>
  <si>
    <t>0007556/2024</t>
  </si>
  <si>
    <t>Substituição de 01 (um) TC 13.8 kV posição operacional 01K1/BAB25 fase B da Subestação TSD</t>
  </si>
  <si>
    <t>0007558/2024</t>
  </si>
  <si>
    <t>12621988</t>
  </si>
  <si>
    <t>Substituição do sistema de teleproteção com comunicação do tipo OPLAT, para a LT 525 kV Areia - Segredo C-1, no terminal da SE Areia.</t>
  </si>
  <si>
    <t>0007560/2024</t>
  </si>
  <si>
    <t>Substituição de 01 (um) TC 13.8 kV posição operacional 01K1/BAB25 fase C da Subestação TSD</t>
  </si>
  <si>
    <t>0007562/2024</t>
  </si>
  <si>
    <t>12621989</t>
  </si>
  <si>
    <t>SEGREDO</t>
  </si>
  <si>
    <t>Substituição do sistema de teleproteção com comunicação do tipo OPLAT, para a LT 525 kV Areia - Segredo C-1, no terminal da SE Segredo.</t>
  </si>
  <si>
    <t>0007565/2024</t>
  </si>
  <si>
    <t>Substituição de 01 (um) TC 13.8 kV posição operacional 01K1/BAC20 fase A da Subestação TSD</t>
  </si>
  <si>
    <t>0007566/2024</t>
  </si>
  <si>
    <t>12621990</t>
  </si>
  <si>
    <t>Substituição do sistema de teleproteção com comunicação do tipo OPLAT, para a LT 525 kV Cascavel Oeste - Guaíra C-1, no terminal da SE Cascavel Oeste.</t>
  </si>
  <si>
    <t>LT 525 kV GUAIRA / CASCAVEL OEST C 1 PR</t>
  </si>
  <si>
    <t>0007568/2024</t>
  </si>
  <si>
    <t>Substituição de 01 (um) TC 13.8 kV posição operacional 01K1/BAC20 fase B da Subestação TSD</t>
  </si>
  <si>
    <t>0007570/2024</t>
  </si>
  <si>
    <t>12621991</t>
  </si>
  <si>
    <t>GUAIRA</t>
  </si>
  <si>
    <t>Substituição do sistema de teleproteção com comunicação do tipo OPLAT, para a LT 525 kV Cascavel Oeste - Guaíra C-1, no terminal da SE Guaíra.</t>
  </si>
  <si>
    <t>0007572/2024</t>
  </si>
  <si>
    <t>Substituição de 01 (um) TC 13.8 kV posição operacional 01K1/BAC20 fase C da Subestação TSD</t>
  </si>
  <si>
    <t>0007574/2024</t>
  </si>
  <si>
    <t>12621992</t>
  </si>
  <si>
    <t>Substituição do sistema de teleproteção com comunicação do tipo OPLAT, para a LT 525 kV Machadinho - Itá C-1, no terminal da SE Machadinho.</t>
  </si>
  <si>
    <t>0007575/2024</t>
  </si>
  <si>
    <t>Substituição de 01 (um) TC 13.8 kV posição operacional 01K1/BAX10 fase A da Subestação TSD</t>
  </si>
  <si>
    <t>0007580/2024</t>
  </si>
  <si>
    <t>12621993</t>
  </si>
  <si>
    <t>Substituição do sistema de teleproteção com comunicação do tipo OPLAT, para a LT 525 kV Machadinho - Itá C-1, no terminal da SE Itá.</t>
  </si>
  <si>
    <t>0007581/2024</t>
  </si>
  <si>
    <t>Substituição de 01 (um) TC 13.8 kV posição operacional 01K1/BAX10 fase B da Subestação TSD</t>
  </si>
  <si>
    <t>0007583/2024</t>
  </si>
  <si>
    <t>12621994</t>
  </si>
  <si>
    <t>Substituição do sistema de teleproteção com comunicação do tipo OPLAT, para a LT 230 kV Presidente Médici - Santa Cruz 1 C-1, no terminal da SE Presidente Médici.</t>
  </si>
  <si>
    <t>0007585/2024</t>
  </si>
  <si>
    <t>Substituição de 01 (um) TC 13.8 kV posição operacional 01K1/BAX10 fase C da Subestação TSD</t>
  </si>
  <si>
    <t>0007588/2024</t>
  </si>
  <si>
    <t>12621995</t>
  </si>
  <si>
    <t>Substituição do sistema de teleproteção com comunicação do tipo OPLAT, para a LT 230 kV Presidente Médici - Santa Cruz 1 C-1, no terminal da SE Santa Cruz 1.</t>
  </si>
  <si>
    <t>0007589/2024</t>
  </si>
  <si>
    <t>Substituição de 01 (um) TC 13.8 kV posição operacional 01K1/BBA14 fase A da Subestação TSD</t>
  </si>
  <si>
    <t>0007591/2024</t>
  </si>
  <si>
    <t>12621996</t>
  </si>
  <si>
    <t>Substituição do sistema de teleproteção com comunicação do tipo OPLAT, para a LT 525 kV Salto Santiago - Segredo C-1, no terminal da SE Salto Santiago.</t>
  </si>
  <si>
    <t>0007596/2024</t>
  </si>
  <si>
    <t>Substituição do sistema de teleproteção com comunicação do tipo OPLAT, para a LT 525 kV Salto Santiago - Segredo C-1, no terminal da SE Segredo.</t>
  </si>
  <si>
    <t>0007599/2024</t>
  </si>
  <si>
    <t>Substituição de 01 (um) TC 69kV, posição operacional 92H1.N da Subestação CTG</t>
  </si>
  <si>
    <t>0007601/2024</t>
  </si>
  <si>
    <t>92H1.N</t>
  </si>
  <si>
    <t>Substituição de 01 (um) TC 69kV, posição operacional 92H2.N da Subestação CTG</t>
  </si>
  <si>
    <t>0007602/2024</t>
  </si>
  <si>
    <t>92H2.N</t>
  </si>
  <si>
    <t>CAMAQUA 3</t>
  </si>
  <si>
    <t>Substituição das proteções Principal, Alternada e Falha de Disjuntor, referentes a LT 230 kV Camaquã 3 - Nova Santa Rita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</si>
  <si>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0007603/2024</t>
  </si>
  <si>
    <t>Substituição de UTR, na subestação SOBRAL II, composto por: 01 Unidade Remota.</t>
  </si>
  <si>
    <t>0007607/2024</t>
  </si>
  <si>
    <t>12434637</t>
  </si>
  <si>
    <t>Substituição de UTR, na subestação ITABAIANA, composto por: 01 Unidade Remota.</t>
  </si>
  <si>
    <t>0007609/2024</t>
  </si>
  <si>
    <t>11444265</t>
  </si>
  <si>
    <t>Substituição de UTR, na subestação RIBEIRAO, composto por: 01 Unidade Remota.</t>
  </si>
  <si>
    <t>0007610/2024</t>
  </si>
  <si>
    <t>11444250</t>
  </si>
  <si>
    <t>Substituição de UTR, na subestação IRECE, composto por: 01 Unidade Remota.</t>
  </si>
  <si>
    <t>0007612/2024</t>
  </si>
  <si>
    <t>11444685</t>
  </si>
  <si>
    <t>Substituição de UTR, na subestação FUNIL, composto por: 01 Unidade Remota.</t>
  </si>
  <si>
    <t>0007613/2024</t>
  </si>
  <si>
    <t>11444694</t>
  </si>
  <si>
    <t>Substituição de UTR, na subestação COREMAS, composto por: 01 Unidade Remota.</t>
  </si>
  <si>
    <t>0007615/2024</t>
  </si>
  <si>
    <t>11444260</t>
  </si>
  <si>
    <t>Substituição de 01 (um) TC 13.8 kV posição operacional 01K1/BBA14 fase C da Subestação TSD</t>
  </si>
  <si>
    <t>0007616/2024</t>
  </si>
  <si>
    <t>12621998</t>
  </si>
  <si>
    <t>Substituição de UTR, na subestação TERESINA, composto por: 01 Unidade Remota.</t>
  </si>
  <si>
    <t>0007617/2024</t>
  </si>
  <si>
    <t>11444689</t>
  </si>
  <si>
    <t>Substituição de 01 (um) TC 13.8 kV posição operacional 01K1/BBA11 fase A da Subestação TSD</t>
  </si>
  <si>
    <t>0007619/2024</t>
  </si>
  <si>
    <t>12621999</t>
  </si>
  <si>
    <t>Substituição de UTR, na subestação BARREIRAS, composto por: 01 Unidade Remota.</t>
  </si>
  <si>
    <t>0007620/2024</t>
  </si>
  <si>
    <t>11444684</t>
  </si>
  <si>
    <t>Substituição de 01 (um) TC 13.8 kV posição operacional 01K1/BBA11 fase B da Subestação TSD</t>
  </si>
  <si>
    <t>0007621/2024</t>
  </si>
  <si>
    <t>12622000</t>
  </si>
  <si>
    <t>Substituição de UTR, na subestação EUNAPOLIS, composto por: 01 Unidade Remota.</t>
  </si>
  <si>
    <t>0007622/2024</t>
  </si>
  <si>
    <t>11444272</t>
  </si>
  <si>
    <t>Substituição de 01 (um) TC 13.8 kV posição operacional 01K1/BBA11 fase C da Subestação TSD</t>
  </si>
  <si>
    <t>0007624/2024</t>
  </si>
  <si>
    <t>12622001</t>
  </si>
  <si>
    <t>Substituição de 01 (um) pólo de disjuntor 230 KV, posição operacional 15D4 da Subestação PED</t>
  </si>
  <si>
    <t>0007625/2024</t>
  </si>
  <si>
    <t>12660018</t>
  </si>
  <si>
    <t>Substituição de 01 (um) TC 13.8 kV posição operacional 01K1/BBA12 fase A da Subestação TSD</t>
  </si>
  <si>
    <t>0007626/2024</t>
  </si>
  <si>
    <t>12622002</t>
  </si>
  <si>
    <t>Substituição de 01 (um) pólo de disjuntor 230 KV, posição operacional 15T2 da Subestação PED</t>
  </si>
  <si>
    <t>TR 500/230 kV PECEM II TR2 CE</t>
  </si>
  <si>
    <t>0007628/2024</t>
  </si>
  <si>
    <t>12660022</t>
  </si>
  <si>
    <t>Substituição de 01 (um) TC 13.8 kV posição operacional 01K1/BBA12 fase B da Subestação TSD</t>
  </si>
  <si>
    <t>0007629/2024</t>
  </si>
  <si>
    <t>12622003</t>
  </si>
  <si>
    <t>Substituição de 01 (um) pólo de disjuntor 500 KV, posição operacional 15V7 da Subestação SBT</t>
  </si>
  <si>
    <t>0007630/2024</t>
  </si>
  <si>
    <t>12660023</t>
  </si>
  <si>
    <t>Substituição de 01 (um) TC 13.8 kV posição operacional 01K1/BBA12 fase C da Subestação TSD</t>
  </si>
  <si>
    <t>0007632/2024</t>
  </si>
  <si>
    <t>12622004</t>
  </si>
  <si>
    <t>Substituição de 01 (um) pólo de disjuntor 500 KV, posição operacional 15D1 da Subestação SBT</t>
  </si>
  <si>
    <t>0007633/2024</t>
  </si>
  <si>
    <t>12660024</t>
  </si>
  <si>
    <t>Substituição de 01 (um) TC 13.8 kV posição operacional 01K1/BBA13 fase A da Subestação TSD</t>
  </si>
  <si>
    <t>0007634/2024</t>
  </si>
  <si>
    <t>12622005</t>
  </si>
  <si>
    <t>Substituição de 01 (um) pólo de disjuntor 500 KV, posição operacional 15D1 da Subestação QXA</t>
  </si>
  <si>
    <t>0007635/2024</t>
  </si>
  <si>
    <t>12660119</t>
  </si>
  <si>
    <t>Substituição de 01 (um) pólo de disjuntor 500 KV, posição operacional 15V5 da Subestação QXA</t>
  </si>
  <si>
    <t>0007637/2024</t>
  </si>
  <si>
    <t>12660120</t>
  </si>
  <si>
    <t>Substituição de 01 (um) TC 13.8 kV posição operacional 01K1/BBA13 fase B da Subestação TSD</t>
  </si>
  <si>
    <t>0007638/2024</t>
  </si>
  <si>
    <t>12622006</t>
  </si>
  <si>
    <t>Substituição de 01 (um) pólo de disjuntor 500 KV, posição operacional 15D1 da Subestação FZD</t>
  </si>
  <si>
    <t>0007639/2024</t>
  </si>
  <si>
    <t>12660122</t>
  </si>
  <si>
    <t>Substituição de 01 (um) TC 13.8 kV posição operacional 01K1/BBA13 fase C da Subestação TSD</t>
  </si>
  <si>
    <t>0007641/2024</t>
  </si>
  <si>
    <t>12622007</t>
  </si>
  <si>
    <t>Substituição de 01 (um) pólo de disjuntor 230 KV, posição operacional 14Z5 da Subestação FZD</t>
  </si>
  <si>
    <t>0007642/2024</t>
  </si>
  <si>
    <t>12660124</t>
  </si>
  <si>
    <t>Substituição de 01 (um) pólo de disjuntor 500 KV, posição operacional 15C2 da Subestação FZD</t>
  </si>
  <si>
    <t>0007644/2024</t>
  </si>
  <si>
    <t>12660126</t>
  </si>
  <si>
    <t>Substituição de 01 (um) pólo de disjuntor 500 KV, posição operacional 15T2 da Subestação FZD</t>
  </si>
  <si>
    <t>0007645/2024</t>
  </si>
  <si>
    <t>12660127</t>
  </si>
  <si>
    <t>Substituição do Sistema de Regulação dos ATRs , na subestação U.SOBRADINHO, composto por: 04 painéis; 03 unidades remotas de aquisição de dados; 02 CLPs, 01 IHM, 08 conversores óptos, 04 DIOS, 10 Transdutores de TAP.</t>
  </si>
  <si>
    <t>0007646/2024</t>
  </si>
  <si>
    <t>11445768</t>
  </si>
  <si>
    <t>Substituição do Sistema de Regulação dos ATRs , na subestação CAMACARI II, composto por: 05 painéis, 04 unidades remotas de aquisição de dados, 02 CLPs, 01 IHM, 10 conversores óptos, 05 DIOS, 13 Transdutores de TAP.</t>
  </si>
  <si>
    <t>0007647/2024</t>
  </si>
  <si>
    <t>12367799</t>
  </si>
  <si>
    <t>Substituição de 01 (um) Transformador de serviço auxiliar posição operacional 01T3 da subestação OLD.</t>
  </si>
  <si>
    <t>0007648/2024</t>
  </si>
  <si>
    <t>11347962</t>
  </si>
  <si>
    <t>Substituição de 01 (um) Transformador de serviço auxiliar posição operacional 01T1 da subestação CMD.</t>
  </si>
  <si>
    <t>0007649/2024</t>
  </si>
  <si>
    <t>11347963</t>
  </si>
  <si>
    <t>Substituição de 01 (um) Transformador de serviço auxiliar posição operacional 01T2 da subestação CMD.</t>
  </si>
  <si>
    <t>0007650/2024</t>
  </si>
  <si>
    <t>11347964</t>
  </si>
  <si>
    <t>Substituição de 01 (um) Transformador de serviço auxiliar posição operacional 01T6 da subestação SJI.</t>
  </si>
  <si>
    <t>0007651/2024</t>
  </si>
  <si>
    <t>11348057</t>
  </si>
  <si>
    <t>Substituição de estruturas de concreto armado do Isolador de Pedestal dos barramentos 05B1 (110 un), na SE JDM, composto por: Desmontagem e/ou demolição de peça desgastada e implantação de novo suporte, completo (coluna+capitél) ou apenas capitel dos IPs.</t>
  </si>
  <si>
    <t>0007652/2024</t>
  </si>
  <si>
    <t>12658554</t>
  </si>
  <si>
    <t>Substituição de estruturas de concreto armado do Isolador de Pedestal dos barramentos 05B2 (110 un), na SE JDM, composto por: Desmontagem e/ou demolição de peça desgastada e implantação de novo suporte, completo (coluna+capitél) ou apenas capitel dos IPs.</t>
  </si>
  <si>
    <t>0007653/2024</t>
  </si>
  <si>
    <t>12658556</t>
  </si>
  <si>
    <t>Substituição estruturas de concreto armado do Isolador Pedestal dos barramentos 05D1 (36 und) na USINA XINGO, composto por: Desmontagem e/ou demolição de peça desgastada e implantação de novo suporte, completo (coluna+capitél) ou apenas capitel dos IPs.</t>
  </si>
  <si>
    <t>0007654/2024</t>
  </si>
  <si>
    <t>12658568</t>
  </si>
  <si>
    <t>Substituição estruturas de concreto armado do Isolador Pedestal dos barramentos 05D2 (36 und) na USINA XINGO, composto por: Desmontagem e/ou demolição de peça desgastada e implantação de novo suporte, completo (coluna+capitél) ou apenas capitel dos IPs.</t>
  </si>
  <si>
    <t>0007655/2024</t>
  </si>
  <si>
    <t>12658570</t>
  </si>
  <si>
    <t>Substituição estruturas de concreto armado do Isolador Pedestal dos barramentos 05D3 (37 und) na USINA XINGO, composto por: Desmontagem e/ou demolição de peça desgastada e implantação de novo suporte, completo (coluna+capitél) ou apenas capitel dos IPs.</t>
  </si>
  <si>
    <t>0007656/2024</t>
  </si>
  <si>
    <t>12658572</t>
  </si>
  <si>
    <t>Substituição estruturas de concreto armado do Isolador Pedestal dos barramentos 05D4 (37 und) na USINA XINGO, composto por: Desmontagem e/ou demolição de peça desgastada e implantação de novo suporte, completo (coluna+capitél) ou apenas capitel dos IPs.</t>
  </si>
  <si>
    <t>0007657/2024</t>
  </si>
  <si>
    <t>12658574</t>
  </si>
  <si>
    <t>Substituição estruturas de concreto armado do Isolador Pedestal dos barramentos 05D5 (37 und) na USINA XINGO, composto por: Desmontagem e/ou demolição de peça desgastada e implantação de novo suporte, completo (coluna+capitél) ou apenas capitel dos IPs.</t>
  </si>
  <si>
    <t>0007658/2024</t>
  </si>
  <si>
    <t>12658576</t>
  </si>
  <si>
    <t>Substituição estruturas de concreto armado do Isolador Pedestal dos barramentos 05D6 (37 und) na USINA XINGO, composto por: Desmontagem e/ou demolição de peça desgastada e implantação de novo suporte, completo (coluna+capitél) ou apenas capitel dos IPs.</t>
  </si>
  <si>
    <t>0007659/2024</t>
  </si>
  <si>
    <t>12658578</t>
  </si>
  <si>
    <t>Substituição dos suportes de concreto de eqptos que compõem o módulo de manobras do 04H1 (90 sup.), na SE IRE, composto por: Desmontagem e/ou demolição de peça desgastada e implantação de novo suporte, completo (coluna+capitél) ou apenas capitel dos IPs.</t>
  </si>
  <si>
    <t>CR 230 kV 81 MVAr IRECE BC1 BA</t>
  </si>
  <si>
    <t>0007660/2024</t>
  </si>
  <si>
    <t>12658582</t>
  </si>
  <si>
    <t>Substituição do Disjuntor de 69KV - MBDB4-01.</t>
  </si>
  <si>
    <t>0008784/2024</t>
  </si>
  <si>
    <t>MBDB401</t>
  </si>
  <si>
    <t>Substituição do Disjuntor de 69KV - MBDJ4-01.</t>
  </si>
  <si>
    <t>0008785/2024</t>
  </si>
  <si>
    <t>MBDJ401</t>
  </si>
  <si>
    <t>Substituição do Disjuntor de 69KV - MBDJ4-04.</t>
  </si>
  <si>
    <t>0008786/2024</t>
  </si>
  <si>
    <t>MBDJ404</t>
  </si>
  <si>
    <t>Substituição  de buchas 69kV fase A do transformador PFTF6-02</t>
  </si>
  <si>
    <t>0008544/2024</t>
  </si>
  <si>
    <t>ROCHA LEAO</t>
  </si>
  <si>
    <t>Substituição dos sistemas de proteção da LLT 138 kV IRIRI /ROCHA LEAO C-2 RJ (Nome Furnas LTIRRL) e instalação de controle do vão, incluindo rearmes dos relés de bloqueio (86) e de seleção de transferência de proteção (43T), e validação das lógicas de comandos e intertravamentos das UACs da linha (LTIRRL) LT 138 kV IRIRI /ROCHA LEAO C-2 RJ</t>
  </si>
  <si>
    <t>LT 138 kV IRIRI /ROCHA LEAO C-2 RJ</t>
  </si>
  <si>
    <t>0007754/2024</t>
  </si>
  <si>
    <t>Substituição de bucha de 230kV - RGTF601 - Fase B</t>
  </si>
  <si>
    <t>0008546/2024</t>
  </si>
  <si>
    <t>Substituição de bucha de 230kV - RGTF601 - Fase V</t>
  </si>
  <si>
    <t>0008552/2024</t>
  </si>
  <si>
    <t>Substituição de Retificador (Carregador de Baterias) 125 Vcc - SACC125-RET51 (setor de 525 kV), da SE Campos Novos.</t>
  </si>
  <si>
    <t>0007765/2024</t>
  </si>
  <si>
    <t>RET51 - 125 VCC</t>
  </si>
  <si>
    <t>Substituição dos sistemas de proteção do BC 138 kV 75 Mvar ROCHA LEAO BC1 RJ e instalação de controle do vão, incluindo rearmes dos relés de bloqueio (86) e de seleção de transferência de proteção (43T), e validação das lógicas de comandos e intertravamentos das UACs do Banco de Capacitores (BC01) BC 138 kV 75 Mvar ROCHA LEAO BC1 RJ</t>
  </si>
  <si>
    <t>BC 138 kV 75 Mvar ROCHA LEAO BC1 RJ</t>
  </si>
  <si>
    <t>0007766/2024</t>
  </si>
  <si>
    <t>Instalação de 1 (um) módulo de conexão em 230kV, arranjo BPT associado ao atual transformador 04T3-B na SE Eunápolis.</t>
  </si>
  <si>
    <t>TR 230 / 138 kV EUNAPOLIS T3A BA</t>
  </si>
  <si>
    <t>0008213/2024</t>
  </si>
  <si>
    <t>Substituição do Transformador de corrente de 230KV - MCMBLI6-01 - Fase A - Linha Marabá / D. Industrial.</t>
  </si>
  <si>
    <t>0008487/2024</t>
  </si>
  <si>
    <t>MBTC601</t>
  </si>
  <si>
    <t>Substituição do Transformador de corrente de 230KV - MCMBLI6-01 - Fase B - Linha Marabá / D. Industrial.</t>
  </si>
  <si>
    <t>0008488/2024</t>
  </si>
  <si>
    <t>Substituição do Transformador de corrente de 500KV - TCMBLT7-02 - Fase A.</t>
  </si>
  <si>
    <t>0008489/2024</t>
  </si>
  <si>
    <t>MBTC701</t>
  </si>
  <si>
    <t>Substituição do Transformador de corrente de 500KV - TCMBLT7-02 - Fase B.</t>
  </si>
  <si>
    <t>0008491/2024</t>
  </si>
  <si>
    <t>Substituição do Transformador de Serviço Auxiliar TSA1 13,8/0,48 kV, 1.000 kVA, arranjo BS, na SE AREIA. Associado à obra são esperadas adaptações/substituições da base existente, da caixa separadora de óleo, e cabos associados.</t>
  </si>
  <si>
    <t>0008011/2024</t>
  </si>
  <si>
    <t>Substituição de Transformador de Corrente 345 kV, fase C, arranjo AN, associado ao IB DJ8718 - Vão 71 na SE VITORIA.</t>
  </si>
  <si>
    <t>MG VITORIA / CCO-2001-062 - RB</t>
  </si>
  <si>
    <t>0008096/2024</t>
  </si>
  <si>
    <t>TC8718 C</t>
  </si>
  <si>
    <t>Instalação de 1 (um) módulo de conexão em 138kV, arranjo BPT associado ao atual transformador 04T3-B na SE Eunápolis.</t>
  </si>
  <si>
    <t>0008233/2024</t>
  </si>
  <si>
    <t>Substituição do Transformador de Serviço Auxiliar TSA2 13,8/0,48 kV, 1.000 kVA, arranjo BS, na SE AREIA. Associado à obra são esperadas adaptações/substituições da base existente, da caixa separadora de óleo, e cabos associados.</t>
  </si>
  <si>
    <t>0008017/2024</t>
  </si>
  <si>
    <t>Substituição de Retificador (Carregador de Baterias) 125 Vcc - SACC125-RET52 (setor de 525 kV), da SE Campos Novos.</t>
  </si>
  <si>
    <t>0007813/2024</t>
  </si>
  <si>
    <t>RET52 - 125 VCC</t>
  </si>
  <si>
    <t>Substituição dos sistemas de proteção do BC 138 kV 75 Mvar ROCHA LEAO BC2 RJ e instalação de controle do vão, incluindo rearmes dos relés de bloqueio (86) e de seleção de transferência de proteção (43T), e validação das lógicas de comandos e intertravamentos das UACs do Banco de Capacitores (BC02) BC 138 kV 75 Mvar ROCHA LEAO BC2 RJ</t>
  </si>
  <si>
    <t>BC 138 kV 75 Mvar ROCHA LEAO BC2 RJ</t>
  </si>
  <si>
    <t>0007804/2024</t>
  </si>
  <si>
    <t>Substituição de Grupo Motor Gerador Diesel, 480 Vca, e cabos associados, referente aos Serviços Auxiliares da SE AREIA.</t>
  </si>
  <si>
    <t>0008028/2024</t>
  </si>
  <si>
    <t>GMGD 480Vca</t>
  </si>
  <si>
    <t>Substituição de Transformador de Potencial 138 kV, fase A, arranjo BS, associado a EL VITORIA/PITANGA C-1  na SE VITORIA.</t>
  </si>
  <si>
    <t>0008110/2024</t>
  </si>
  <si>
    <t>TP LIVITPIT 1 A</t>
  </si>
  <si>
    <t>Substituição de Retificador (Carregador de Baterias) 125 Vcc - SACC220-RET1, da SE P. Médici (vinculada a LT 230 kV P.Médici - S.Cruz 1).</t>
  </si>
  <si>
    <t>0007821/2024</t>
  </si>
  <si>
    <t>RET1 - 220 VCC</t>
  </si>
  <si>
    <t>Substituição do Transformador Auxiliar TFAX 1, 480/220/127 Vca, arranjo BS, na SE AREIA.</t>
  </si>
  <si>
    <t>0008035/2024</t>
  </si>
  <si>
    <t>TFAX1</t>
  </si>
  <si>
    <t>Substituição dos sistemas de proteção da BR6I, BR6O1, BR6O2 e BR6O3 e substituição da UAC7, referente ao vão de Amarre e Barras</t>
  </si>
  <si>
    <t>MG 138 kV ROCHA LEAO MG1 RJ</t>
  </si>
  <si>
    <t>0007831/2024</t>
  </si>
  <si>
    <t>BR6I BR6O1 BR6O2 BR6O3</t>
  </si>
  <si>
    <t>LT 230 kV GASPAR 2 / PALHOCA ESU C-1</t>
  </si>
  <si>
    <t>Substituição de 01 torre metálica (somente Estrutura) da LT 230 kV Gaspar 2 - Palhoça C-1. A torre envolvida é a de número de operação: 103.</t>
  </si>
  <si>
    <t>LT 230 kV GASPAR 2 / PALHOCA ESU C-1 SC</t>
  </si>
  <si>
    <t>0007834/2024</t>
  </si>
  <si>
    <t>Substituição do Sistema de Registro de Perturbação no Compenasador Estático 09Q1, na subestação C.GRANDE II, composto por: 01 Oscilógrafo.</t>
  </si>
  <si>
    <t>CE 100/-0 Mvar C.GRANDE II CE1 PB</t>
  </si>
  <si>
    <t>0007839/2024</t>
  </si>
  <si>
    <t>11446238</t>
  </si>
  <si>
    <t>LT 230 kV J.LACERDA-B / PALHOCA ESU C-1</t>
  </si>
  <si>
    <t>Substituição de 01 torre metálica completa da LT 230 kV J. Lacerda B - Palhoça C-1. A torre envolvida é a de número de operação: 005.</t>
  </si>
  <si>
    <t>LT 230 kV J.LACERDA-B / PALHOCA ESU C-1 SC</t>
  </si>
  <si>
    <t>0007842/2024</t>
  </si>
  <si>
    <t>Substituição de Transformador de Potencial 138 kV, fase B, arranjo BS, associado a EL VITORIA/PITANGA C-1  na SE VITORIA.</t>
  </si>
  <si>
    <t>0008115/2024</t>
  </si>
  <si>
    <t>TP LIVITPIT 1 B</t>
  </si>
  <si>
    <t>Substituição do Sistema de Registro de Perturbação no Compensador Estático 01Q1-1, na subestação FUNIL, composto por: 01 Oscilógrafo.</t>
  </si>
  <si>
    <t>0007846/2024</t>
  </si>
  <si>
    <t>11462607</t>
  </si>
  <si>
    <t>Substituição de 01 torre metálica completa da LT 230 kV J. Lacerda B - Palhoça C-1. A torre envolvida é a de número de operação: 007.</t>
  </si>
  <si>
    <t>0007847/2024</t>
  </si>
  <si>
    <t>Substituição do Transformador de corrente de 230KV - MRBC6-01 - Fase B.</t>
  </si>
  <si>
    <t>BC 230 kV 20 Mvar MIRANDA II BC1 MA</t>
  </si>
  <si>
    <t>0008492/2024</t>
  </si>
  <si>
    <t>MRTC601</t>
  </si>
  <si>
    <t>Substituição do Sistema de Registro de Perturbação no Compensador Estático 01Q1-2, na subestação FUNIL, composto por: 01 Oscilógrafo.</t>
  </si>
  <si>
    <t>0007852/2024</t>
  </si>
  <si>
    <t>11462606</t>
  </si>
  <si>
    <t>LT 230 kV BIGUACU / J.LACERDA-B C-1</t>
  </si>
  <si>
    <t>Substituição de 01 torre metálica completa da LT 230 kV Biguaçu - J. Lacerda B C-1. A torre envolvida é a de número de operação: 003.</t>
  </si>
  <si>
    <t>0007853/2024</t>
  </si>
  <si>
    <t>Substituição do Cubículo e Disjuntor de 13,8KV MBDJ2-02.</t>
  </si>
  <si>
    <t>[SEM FT]</t>
  </si>
  <si>
    <t>0008787/2024</t>
  </si>
  <si>
    <t>MBDJ202</t>
  </si>
  <si>
    <t>Substituição do Cubículo e Disjuntor de 13,8KV MBDJ2-10.</t>
  </si>
  <si>
    <t>0008789/2024</t>
  </si>
  <si>
    <t>MBDJ210</t>
  </si>
  <si>
    <t>Substituição do Transformador Auxiliar TFAX 2, 480/220/127 Vca, arranjo BS, na SE AREIA.</t>
  </si>
  <si>
    <t>0008041/2024</t>
  </si>
  <si>
    <t>TFAX2</t>
  </si>
  <si>
    <t>Substituição dos sistemas de proteção de Falha de Disjuntor DJ604.</t>
  </si>
  <si>
    <t>0007855/2024</t>
  </si>
  <si>
    <t>DJ604</t>
  </si>
  <si>
    <t>Substituição do Transformador de corrente de 230KV - MCMBLI6-01 - Fase V - Linha Marabá / D. Industrial.</t>
  </si>
  <si>
    <t>TR 230/69 kV MARABA TR3 PA</t>
  </si>
  <si>
    <t>0008500/2024</t>
  </si>
  <si>
    <t>3,3</t>
  </si>
  <si>
    <t>Substituição do Sistema de Registro de Perturbação no Módulo de Conexão 06Q1, na subestação MOSSORO II, composto por: 01 Oscilógrafo.</t>
  </si>
  <si>
    <t>MC 3,3 kV CE MOSSORO II CE1 RN (06Q1)</t>
  </si>
  <si>
    <t>0007904/2024</t>
  </si>
  <si>
    <t>11446245</t>
  </si>
  <si>
    <t>Substituição do Transformador de corrente de 500KV - TCMBLT7-02 - Fase V.</t>
  </si>
  <si>
    <t>0008497/2024</t>
  </si>
  <si>
    <t>Substituição do Transformador Auxiliar TFAX 3, 480/220/127 Vca, arranjo BS, na SE AREIA.</t>
  </si>
  <si>
    <t>0008048/2024</t>
  </si>
  <si>
    <t>TFAX3</t>
  </si>
  <si>
    <t>Substituição do Cubículo e Disjuntor de 13,8KV MBDJ2-08.</t>
  </si>
  <si>
    <t>0008799/2024</t>
  </si>
  <si>
    <t>MBDJ208</t>
  </si>
  <si>
    <t>Substituição do Sistema de Registro de Perturbação no Compensador Estático 06Q1, na subestação NATAL II, composto por: 01 Oscilógrafo.</t>
  </si>
  <si>
    <t>MC 3,3 kV CE 20/-0 Mvar NATAL II CE1 RN (06B1)</t>
  </si>
  <si>
    <t>0007900/2024</t>
  </si>
  <si>
    <t>11446235</t>
  </si>
  <si>
    <t>Substituição do SPCS (Sistema de proteção, controle e supervisão), dos RV (Reguladores de velocidade) e RT (Reguladores de tensão) da UG01 da UHE APOLÔNIO SALES.</t>
  </si>
  <si>
    <t>UAS UG01</t>
  </si>
  <si>
    <t>0007858/2024</t>
  </si>
  <si>
    <t>Substituição do Cubículo e Disjuntor de 13,8KV MBDJ2-09.</t>
  </si>
  <si>
    <t>0008798/2024</t>
  </si>
  <si>
    <t>MBDJ209</t>
  </si>
  <si>
    <t>Substituição dos sistemas de proteção do RTB 345 kV 60 Mvar ITUTINGA RT1 MG</t>
  </si>
  <si>
    <t>RT 345 kV 60 Mvar ITUTINGA RT1 MG</t>
  </si>
  <si>
    <t>0007860/2024</t>
  </si>
  <si>
    <t>Substituição do Cubículo e Disjuntor de 13,8KV MBDJ2-11.</t>
  </si>
  <si>
    <t>0008796/2024</t>
  </si>
  <si>
    <t>MBDJ211</t>
  </si>
  <si>
    <t>Substituição do Sistema de Registro de Perturbação no Compensador Estático 06Q2, na subestação NATAL II, composto por: 01 Oscilógrafo.</t>
  </si>
  <si>
    <t>MC 3,3 kV CE 20/-0 Mvar NATAL II CE2 RN (06B2)</t>
  </si>
  <si>
    <t>0007901/2024</t>
  </si>
  <si>
    <t>11446236</t>
  </si>
  <si>
    <t>Substituição do Cubículo e Disjuntor de 13,8KV MBDJ2-12.</t>
  </si>
  <si>
    <t>0008795/2024</t>
  </si>
  <si>
    <t>MBDJ212</t>
  </si>
  <si>
    <t>Substituição do Transformador Auxiliar TFAX 4, 480/220/127 Vca, arranjo BS, na SE AREIA.</t>
  </si>
  <si>
    <t>0008057/2024</t>
  </si>
  <si>
    <t>TFAX4</t>
  </si>
  <si>
    <t>Substituição do registrador de perturbações digital do RTB 345 kV 60 Mvar ITUTINGA RT1 MG</t>
  </si>
  <si>
    <t>0007864/2024</t>
  </si>
  <si>
    <t>Substituição do Sistema de Registro de Perturbação no Compensador 05H1, na subestação S.JOAO PIAUI, composto por: 01 Oscilógrafo.</t>
  </si>
  <si>
    <t>CR 500 kV 436 MVAr S.JOAO PIAUI BC1 PI</t>
  </si>
  <si>
    <t>0007903/2024</t>
  </si>
  <si>
    <t>11446276</t>
  </si>
  <si>
    <t>Substituição de 01 torre metálica completa da LT 230 kV Biguaçu - J. Lacerda B C-1. A torre envolvida é a de número de operação: 005.</t>
  </si>
  <si>
    <t>0007865/2024</t>
  </si>
  <si>
    <t>Substituição de 01 (uma) Seccionadora 69 kV, posição operacional 32T1-4 da Subestação RCD</t>
  </si>
  <si>
    <t>0007866/2024</t>
  </si>
  <si>
    <t>Substituição do Transformador Auxiliar TFAX 5, 480/220/127 Vca, arranjo BS, na SE AREIA.</t>
  </si>
  <si>
    <t>0008062/2024</t>
  </si>
  <si>
    <t>TFAX5</t>
  </si>
  <si>
    <t>Substituição do Sistema de Registro de Perturbação no Compensador 05H2, na subestação S.JOAO PIAUI, composto por: 01 Oscilógrafo.</t>
  </si>
  <si>
    <t>CR 500 kV 484 MVAr S.JOAO PIAUI BC2 PI</t>
  </si>
  <si>
    <t>0007902/2024</t>
  </si>
  <si>
    <t>11446277</t>
  </si>
  <si>
    <t>Substituição de 01 (uma) Seccionadora 69 kV, posição operacional 32T1-5 da Subestação RCD</t>
  </si>
  <si>
    <t>0007871/2024</t>
  </si>
  <si>
    <t>Substituição do SPCS (Sistema de proteção, controle e supervisão), dos RV (Reguladores de velocidade) e RT (Reguladores de tensão) da UG02 da UHE APOLÔNIO SALES.</t>
  </si>
  <si>
    <t>UAS UG02</t>
  </si>
  <si>
    <t>0007872/2024</t>
  </si>
  <si>
    <t>Substituição do Transformador Auxiliar TFAX 1, 460/380/220 Vca, arranjo BS, na SE AREIA.</t>
  </si>
  <si>
    <t>0008068/2024</t>
  </si>
  <si>
    <t>Substituição do SPCS (Sistema de proteção, controle e supervisão), dos RV (Reguladores de velocidade) e RT (Reguladores de tensão) da UG03 da UHE APOLÔNIO SALES.</t>
  </si>
  <si>
    <t>UAS UG03</t>
  </si>
  <si>
    <t>0007874/2024</t>
  </si>
  <si>
    <t>Substituição de 01 (uma) Seccionadora 69 kV, posição operacional 32T2-4 da Subestação RCD</t>
  </si>
  <si>
    <t>0007876/2024</t>
  </si>
  <si>
    <t>Substituição do SPCS (Sistema de proteção, controle e supervisão), dos RV (Reguladores de velocidade) e RT (Reguladores de tensão) da UG04 da UHE APOLÔNIO SALES.</t>
  </si>
  <si>
    <t>UAS UG04</t>
  </si>
  <si>
    <t>0007879/2024</t>
  </si>
  <si>
    <t>Substituição do Transformador Auxiliar TFAX 4, 460/380/220 Vca, arranjo BS, na SE AREIA.</t>
  </si>
  <si>
    <t>0008074/2024</t>
  </si>
  <si>
    <t>Substituição de 01 (uma) Seccionadora 69 kV, posição operacional 32T2-5 da Subestação RCD</t>
  </si>
  <si>
    <t>0007883/2024</t>
  </si>
  <si>
    <t>Substituição de Transformador de Potencial 138 kV, fase C, arranjo BS, associado a EL VITORIA/PITANGA C-1  na SE VITORIA.</t>
  </si>
  <si>
    <t>0008130/2024</t>
  </si>
  <si>
    <t>TP LIVITPIT 1 C</t>
  </si>
  <si>
    <t>Substituição dos sistemas de proteção da LT 345 kV FURNAS /ITUTINGA C-1 MG</t>
  </si>
  <si>
    <t>0007888/2024</t>
  </si>
  <si>
    <t>Substituição de 01 (uma) Seccionadora 69 kV, posição operacional 32V1-4 da Subestação RCD</t>
  </si>
  <si>
    <t>0008027/2024</t>
  </si>
  <si>
    <t>Substituição de 01 torre metálica completa da LT 230 kV Biguaçu - J. Lacerda B C-1. A torre envolvida é a de número de operação: 006.</t>
  </si>
  <si>
    <t>0007891/2024</t>
  </si>
  <si>
    <t>Substituição de 01 (uma) Seccionadora com lâmina de terra 69 kV, posição operacional 32V1-5/7 da Subestação RCD</t>
  </si>
  <si>
    <t>0008029/2024</t>
  </si>
  <si>
    <t>0007896/2024</t>
  </si>
  <si>
    <t>Substituição do registrador de perturbações digital com localizador de faltas por ondas viajantes (TW)  da  LT 345 kV FURNAS /ITUTINGA C-1 MG</t>
  </si>
  <si>
    <t>0007899/2024</t>
  </si>
  <si>
    <t>Substituição de Transformador de Potencial Capacitivo 345 kV, fase A, arranjo AN, associado a EL VIANA/VITORIA na SE VITORIA.</t>
  </si>
  <si>
    <t>0008136/2024</t>
  </si>
  <si>
    <t>TP LTVIAVIT A</t>
  </si>
  <si>
    <t>SUBSTITUIÇÃO DO ESTATOR DA UG08 DA UHE PAULO AFONSO II</t>
  </si>
  <si>
    <t>USD UG08</t>
  </si>
  <si>
    <t>0007914/2024</t>
  </si>
  <si>
    <t>SUBSTITUIÇÃO DO ESTATOR DA UG09 DA UHE PAULO AFONSO II</t>
  </si>
  <si>
    <t>USD UG09</t>
  </si>
  <si>
    <t>0007918/2024</t>
  </si>
  <si>
    <t>Substituição do registrador de perturbações digital da LT 138 kV IRIRI /ROCHA LEAO C-2 RJ (Nome Furnas LTIRRL)</t>
  </si>
  <si>
    <t>0007905/2024</t>
  </si>
  <si>
    <t>RDP LT138 kV IRIRI /ROCHA LEAO C-2 RJ</t>
  </si>
  <si>
    <t>Substituição do Transformador Auxiliar TFAX 2, 460/220/127 Vca, arranjo BS, na SE AREIA.</t>
  </si>
  <si>
    <t>0008079/2024</t>
  </si>
  <si>
    <t>Substituição dos sistemas de proteção da LT 345 kV ADRIANOPOLIS /ITUTINGA C-1 RJ/MG</t>
  </si>
  <si>
    <t>0007906/2024</t>
  </si>
  <si>
    <t>Substituição de Transformador de Potencial Capacitivo 345 kV, fase B, arranjo AN, associado a EL VIANA/VITORIA na SE VITORIA.</t>
  </si>
  <si>
    <t>0008139/2024</t>
  </si>
  <si>
    <t>TP LTVIAVIT B</t>
  </si>
  <si>
    <t>Substituição dos sistemas de proteção da LT 345 kV ADRIANOPOLIS /ITUTINGA C-2 RJ/MG</t>
  </si>
  <si>
    <t>0007908/2024</t>
  </si>
  <si>
    <t>Substituição do registrador de perturbações digital do BC 138 kV 75 Mvar ROCHA LEAO BC1 RJ</t>
  </si>
  <si>
    <t>0007910/2024</t>
  </si>
  <si>
    <t>RDP BC 138 kV 75 Mvar ROCHA LEAO BC1</t>
  </si>
  <si>
    <t>Substituição de Transformador de Potencial Capacitivo 345 kV, fase C, arranjo AN, associado a EL VIANA/VITORIA na SE VITORIA.</t>
  </si>
  <si>
    <t>0008145/2024</t>
  </si>
  <si>
    <t>TP LTVIAVIT C</t>
  </si>
  <si>
    <t>Substituição do registrador de perturbações digital do BC 138 kV 75 Mvar ROCHA LEAO BC2 RJ</t>
  </si>
  <si>
    <t>0007915/2024</t>
  </si>
  <si>
    <t>RDP BC 138 kV 75 Mvar ROCHA LEAO BC2</t>
  </si>
  <si>
    <t>PINHALZINHO</t>
  </si>
  <si>
    <t>Substituição de bateria - 125 Vcc - SACC125-BAT2 na SE Pinhalzinho 2.</t>
  </si>
  <si>
    <t>MG PINHALZINHO 2 / CCO-2014-007 - RB</t>
  </si>
  <si>
    <t>0007919/2024</t>
  </si>
  <si>
    <t>Substituição de Transformador de Potencial Capacitivo 345 kV, fase B, arranjo AN, associado a EL VIANA/VITORIA (BARRA) na SE VITORIA.</t>
  </si>
  <si>
    <t>0008149/2024</t>
  </si>
  <si>
    <t>TPC345 EL VIA/VIT (BARRA)-B</t>
  </si>
  <si>
    <t>Substituição do Módulo Concentrador de Informações de oscilografia (MCRDP) na SE ITUTINGA</t>
  </si>
  <si>
    <t>0007920/2024</t>
  </si>
  <si>
    <t>Substituição de 01 (uma) Seccionadora 69 kV, posição operacional 32V2-4 da Subestação RCD</t>
  </si>
  <si>
    <t>0007922/2024</t>
  </si>
  <si>
    <t>Substituição do Módulo de Sincronização das informações (RARP) na SE ITUTINGA</t>
  </si>
  <si>
    <t>0007925/2024</t>
  </si>
  <si>
    <t>Substituição de bateria - 48 Vcc - SACC48-BAT2 na SE Quinta (vinculada a LT 230 kV Quinta - Povo Novo).</t>
  </si>
  <si>
    <t>LT 230 kV POVO NOVO /QUINTA C-1 RS</t>
  </si>
  <si>
    <t>0007923/2024</t>
  </si>
  <si>
    <t>Substituição de 01 (uma) Seccionadora com lâmina de terra 69 kV, posição operacional 32V2-5/7 da Subestação RCD</t>
  </si>
  <si>
    <t>0007926/2024</t>
  </si>
  <si>
    <t>Substituição dos painel de intertravamento do setor de 345kV (barra dupla cinco chaves). Para substituição deste painel será necessário realizar o desligamento das barras e de cada vão do setor de 345kV.</t>
  </si>
  <si>
    <t>0007928/2024</t>
  </si>
  <si>
    <t>Substituição de 01 (uma) Seccionadora 230 kV, posição operacional 34C1-2 da subestação JDM</t>
  </si>
  <si>
    <t>0007929/2024</t>
  </si>
  <si>
    <t>Substituição de 01 (uma) Seccionadora 230 kV, posição operacional 34C1-4 da subestação JDM</t>
  </si>
  <si>
    <t>0007931/2024</t>
  </si>
  <si>
    <t>Substituição da UAC - SICAM eRTU de supervisão do BANCO DE REATORES (RT01) RTB 345 kV 60 Mvar ITUTINGA RT1</t>
  </si>
  <si>
    <t>0007933/2024</t>
  </si>
  <si>
    <t>10218611</t>
  </si>
  <si>
    <t>Substituição de 01 (uma) Seccionadora 230 kV, posição operacional 34C1-5 da subestação JDM</t>
  </si>
  <si>
    <t>0007934/2024</t>
  </si>
  <si>
    <t>Substituição de 01 (uma) Seccionadora com lâmina de terra 230 kV, posição operacional 34C1-6/7 da subestação JDM</t>
  </si>
  <si>
    <t>0007935/2024</t>
  </si>
  <si>
    <t>Substituição de Teleproteção Principal na LT PARAISO /NATAL II C-2 (04N1), na subestação PARAISO, composto por: 01 Transceptor de dados.</t>
  </si>
  <si>
    <t>0007936/2024</t>
  </si>
  <si>
    <t>11369882</t>
  </si>
  <si>
    <t>Substituição de Teleproteção Alternada na LT PARAISO /NATAL II C-2 (04N1), na subestação PARAISO, composto por: 01 Transceptor de dados.</t>
  </si>
  <si>
    <t>0007937/2024</t>
  </si>
  <si>
    <t>11369883</t>
  </si>
  <si>
    <t>NATAL III</t>
  </si>
  <si>
    <t>Substituição de Teleproteção Principal na LT NATAL III /NATAL II C-1 (04N3), na subestação NATAL III, composto por: 01 Transceptor de dados.</t>
  </si>
  <si>
    <t>0007938/2024</t>
  </si>
  <si>
    <t>11373891</t>
  </si>
  <si>
    <t>Substituição de 01 (um) disjuntor de 69 kV, posição operacional 12V1, da Subestação de RCD.</t>
  </si>
  <si>
    <t>0008032/2024</t>
  </si>
  <si>
    <t>12V1</t>
  </si>
  <si>
    <t>Substituição de Teleproteção Alternada na LT NATAL III /NATAL II C-1 (04N3), na subestação NATAL III, composto por: 01 Transceptor de dados.</t>
  </si>
  <si>
    <t>0007940/2024</t>
  </si>
  <si>
    <t>11373892</t>
  </si>
  <si>
    <t>Substituição de 01 (um) disjuntor de 69 kV, posição operacional 12T1, da Subestação de RCD.</t>
  </si>
  <si>
    <t>0007941/2024</t>
  </si>
  <si>
    <t>12T1</t>
  </si>
  <si>
    <t>Substituição de Teleproteção Principal na LT SOBRAL III /PECEM II C-1 (05V7), na subestação SOBRAL III, composto por: 01 Transceptor de dados.</t>
  </si>
  <si>
    <t>0007943/2024</t>
  </si>
  <si>
    <t>11373864</t>
  </si>
  <si>
    <t>Substituição de Teleproteção Alternada na LT SOBRAL III /PECEM II C-1 (05V7), na subestação SOBRAL III, composto por: 01 Transceptor de dados.</t>
  </si>
  <si>
    <t>0007945/2024</t>
  </si>
  <si>
    <t>11373865</t>
  </si>
  <si>
    <t>Substituição de 01 (um) disjuntor de 69 kV, posição operacional 12T2, da Subestação de RCD.</t>
  </si>
  <si>
    <t>0008507/2024</t>
  </si>
  <si>
    <t>12T2</t>
  </si>
  <si>
    <t>Substituição de Teleproteção Principal na LT PARAISO /NATAL II C-2 (04N1), na subestação NATAL II, composto por: 01 Transceptor de dados.</t>
  </si>
  <si>
    <t>0007948/2024</t>
  </si>
  <si>
    <t>11369884</t>
  </si>
  <si>
    <t>Substituição de Teleproteção Alternada na LT PARAISO /NATAL II C-2 (04N1), na subestação NATAL II, composto por: 01 Transceptor de dados.</t>
  </si>
  <si>
    <t>0007950/2024</t>
  </si>
  <si>
    <t>11369885</t>
  </si>
  <si>
    <t>Substituição de Teleproteção Principal na LT NATAL III /NATAL II C-1 (04N3), na subestação NATAL II, composto por: 01 Transceptor de dados.</t>
  </si>
  <si>
    <t>0007952/2024</t>
  </si>
  <si>
    <t>11373886</t>
  </si>
  <si>
    <t>Substituição de Teleproteção Alternada na LT NATAL III /NATAL II C-1 (04N3), na subestação NATAL II, composto por: 01 Transceptor de dados.</t>
  </si>
  <si>
    <t>0007954/2024</t>
  </si>
  <si>
    <t>11373888</t>
  </si>
  <si>
    <t>Substituição de 01 (um) Transformador 13,8kV posição operacional 01T1 da subestação PAQ.</t>
  </si>
  <si>
    <t>0007957/2024</t>
  </si>
  <si>
    <t>11347959</t>
  </si>
  <si>
    <t>Substituição de Teleproteção Principal na LT SOBRAL III /PECEM II C-1 (05V7), na subestação PECEM II, composto por: 01 Transceptor de dados.</t>
  </si>
  <si>
    <t>0007958/2024</t>
  </si>
  <si>
    <t>11373866</t>
  </si>
  <si>
    <t>Substituição de 01 (um) Transformador 13,8kV posição operacional 01T2 da subestação PAQ.</t>
  </si>
  <si>
    <t>0007960/2024</t>
  </si>
  <si>
    <t>11347960</t>
  </si>
  <si>
    <t>Substituição de Teleproteção Alternada na LT SOBRAL III /PECEM II C-1 (05V7), na subestação PECEM II, composto por: 01 Transceptor de dados.</t>
  </si>
  <si>
    <t>0007961/2024</t>
  </si>
  <si>
    <t>11373867</t>
  </si>
  <si>
    <t>Substituição de 01 (um) sistema de monitoramento para transformador de força 13,8kV, posição operacional 01T4, da subestação BEA.</t>
  </si>
  <si>
    <t>0007964/2024</t>
  </si>
  <si>
    <t>12627627</t>
  </si>
  <si>
    <t>LT 230 kV CANOINHAS ESU / S.MATEUS SUL C-1</t>
  </si>
  <si>
    <t>Substituição de 01 (um) dos cabos para-raios da LT 230 kV Canoinhas - São Mateus do Sul C-1, em toda a sua extensão (47,7 km), por cabos tipo OPGW.</t>
  </si>
  <si>
    <t>LT 230 kV CANOINHAS ESU / S.MATEUS SUL C-1 SC</t>
  </si>
  <si>
    <t>0007970/2024</t>
  </si>
  <si>
    <t>LT 230 kV ANASTACIO / DOURADOS C-1</t>
  </si>
  <si>
    <t>Substituição de 01 (um) dos cabos para-raios da LT 230 kV Anastácio - Dourados C-1, em toda a sua extensão (210,9 km), por cabos tipo OPGW.</t>
  </si>
  <si>
    <t>LT 230 kV ANASTACIO / DOURADOS C-1 MS</t>
  </si>
  <si>
    <t>0007973/2024</t>
  </si>
  <si>
    <t>Substituição de 01 (um) Retificador, posição operacional 200R1 da subestação QXR</t>
  </si>
  <si>
    <t>0007974/2024</t>
  </si>
  <si>
    <t>11420059</t>
  </si>
  <si>
    <t>LT 230 kV DOURADOS / GUAIRA C-1</t>
  </si>
  <si>
    <t>Substituição de 01 (um) dos cabos para-raios da LT 230 kV Dourados - Guaíra C-1, por cabos tipo OPGW. O trecho a ser substituído será a partir da SE Dourados até o ponto de seccionamento da linha na nova SE Iguatemi 2 (aproximadamente 173 km).</t>
  </si>
  <si>
    <t>LT 230 kV DOURADOS / GUAIRA C-1 MS</t>
  </si>
  <si>
    <t>0007975/2024</t>
  </si>
  <si>
    <t>Substituição de 01 (um) Retificador, posição operacional 200R2 da subestação QXR</t>
  </si>
  <si>
    <t>0007976/2024</t>
  </si>
  <si>
    <t>11420060</t>
  </si>
  <si>
    <t>LT 525 kV CASCAVEL OEST / GUAIRA C-1</t>
  </si>
  <si>
    <t>Substituição de 01 (um) dos cabos para-raios da LT 525 kV Cascavel Oeste - Guaíra C-1, em toda a sua extensão (126 km), por cabos tipo OPGW.</t>
  </si>
  <si>
    <t>0007979/2024</t>
  </si>
  <si>
    <t>LT 525 kV S.SANTIAGO / UH S.SANTIAGO C-1</t>
  </si>
  <si>
    <t>Substituição de 01 (um) dos cabos para-raios da LT 525 kV Salto Santiago - UH. Salto Santiago C-1, em toda a sua extensão (0,6 km), por cabos tipo OPGW.</t>
  </si>
  <si>
    <t>LT 525 kV S.SANTIAGO / UH S.SANTIAGO C-1 PR</t>
  </si>
  <si>
    <t>0007980/2024</t>
  </si>
  <si>
    <t>Substituição do registrador de perturbações digital da BR6O1</t>
  </si>
  <si>
    <t>0007982/2024</t>
  </si>
  <si>
    <t>RDP BR601</t>
  </si>
  <si>
    <t>LT 525 kV S.SANTIAGO / UH S.SANTIAGO C-2</t>
  </si>
  <si>
    <t>Substituição de 01 (um) dos cabos para-raios da LT 525 kV Salto Santiago - UH. Salto Santiago C-2, em toda a sua extensão (0,7 km), por cabos tipo OPGW.</t>
  </si>
  <si>
    <t>LT 525 kV S.SANTIAGO / UH S.SANTIAGO C-2 PR</t>
  </si>
  <si>
    <t>0007983/2024</t>
  </si>
  <si>
    <t>Substituição do registrador de perturbações digital da BR6O2</t>
  </si>
  <si>
    <t>0007985/2024</t>
  </si>
  <si>
    <t>RDP BR602</t>
  </si>
  <si>
    <t>Substituição do Módulo Concentrador de Informações de oscilografia (MCRDP) na SE ROCHA LEAO</t>
  </si>
  <si>
    <t>0007988/2024</t>
  </si>
  <si>
    <t>MCRDP</t>
  </si>
  <si>
    <t>Substituição do Módulo de Sincronização das informações (RARP) na SE ROCHA LEAO</t>
  </si>
  <si>
    <t>0007990/2024</t>
  </si>
  <si>
    <t>RARP</t>
  </si>
  <si>
    <t>Substituição do Disjuntor de 230KV - IZDJ6-04.</t>
  </si>
  <si>
    <t>0008794/2024</t>
  </si>
  <si>
    <t>IZDJ604</t>
  </si>
  <si>
    <t>Substituição do Disjuntor de 230KV - PRDJ6-02.</t>
  </si>
  <si>
    <t>0008810/2024</t>
  </si>
  <si>
    <t>PRDJ602</t>
  </si>
  <si>
    <t>Substituição do Disjuntor de 230KV - PRDJ6-03.</t>
  </si>
  <si>
    <t>LT 230 kV PERITORO /CAXIAS II C-1 MA</t>
  </si>
  <si>
    <t>0008811/2024</t>
  </si>
  <si>
    <t>PRDJ603</t>
  </si>
  <si>
    <t>Substituição do Disjuntor de 230KV - PRDJ6-04.</t>
  </si>
  <si>
    <t>0008812/2024</t>
  </si>
  <si>
    <t>PRDJ604</t>
  </si>
  <si>
    <t>Substituição do Disjuntor de 230KV - PFDB6-01.</t>
  </si>
  <si>
    <t>0008813/2024</t>
  </si>
  <si>
    <t>PFDB601</t>
  </si>
  <si>
    <t>Substituição do Disjuntor de 230KV - PFDJ6-01.</t>
  </si>
  <si>
    <t>0008814/2024</t>
  </si>
  <si>
    <t>PFDJ601</t>
  </si>
  <si>
    <t>Substituição do Disjuntor de 230KV - PFDJ6-02.</t>
  </si>
  <si>
    <t>0008816/2024</t>
  </si>
  <si>
    <t>PFDJ602</t>
  </si>
  <si>
    <t>Substituição do Disjuntor de 230KV - PFDJ6-03.</t>
  </si>
  <si>
    <t>0008818/2024</t>
  </si>
  <si>
    <t>PFDJ603</t>
  </si>
  <si>
    <t>Substituição do Disjuntor de 230KV - PFDJ6-04.</t>
  </si>
  <si>
    <t>0008820/2024</t>
  </si>
  <si>
    <t>PFDJ604</t>
  </si>
  <si>
    <t>Substituição do Disjuntor de 69KV - PFDJ5-02.</t>
  </si>
  <si>
    <t>0008821/2024</t>
  </si>
  <si>
    <t>PFDJ502</t>
  </si>
  <si>
    <t>Substituição do Disjuntor de 69KV - PFDJ5-03.</t>
  </si>
  <si>
    <t>0008822/2024</t>
  </si>
  <si>
    <t>PFDJ503</t>
  </si>
  <si>
    <t>Substituição do Transformador de Corrente 230kV - IZPF-LT601 - Fase V.</t>
  </si>
  <si>
    <t>0008458/2024</t>
  </si>
  <si>
    <t>IZTC601</t>
  </si>
  <si>
    <t>Substituição do Disjuntor de 69KV - PFDJ5-01.</t>
  </si>
  <si>
    <t>0008826/2024</t>
  </si>
  <si>
    <t>PFDJ501</t>
  </si>
  <si>
    <t>Substituição do Transformador de corrente de 230KV - MRBC6-01 - Fase V.</t>
  </si>
  <si>
    <t>0008457/2024</t>
  </si>
  <si>
    <t>Substituição do Transformador de corrente de 230KV - MRBC6-02 - Fase A.</t>
  </si>
  <si>
    <t>BC 230 kV 20 Mvar MIRANDA II BC2 MA</t>
  </si>
  <si>
    <t>0008456/2024</t>
  </si>
  <si>
    <t>Substituição dos Painel de Distribuição QD1, 460 Vca e cabos associados, referentes aos Serviços Auxiliares da SE CURITIBA.</t>
  </si>
  <si>
    <t>MG 500 kV CURITIBA MG1 PR</t>
  </si>
  <si>
    <t>0008025/2024</t>
  </si>
  <si>
    <t>QD1</t>
  </si>
  <si>
    <t>Substituição do Transformador de corrente de 230KV - MRBC6-02 - Fase V.</t>
  </si>
  <si>
    <t>0008455/2024</t>
  </si>
  <si>
    <t>Substituição do Transformador de Corrente 230kV - PDCS201-TC601 - Fase A.</t>
  </si>
  <si>
    <t>0008453/2024</t>
  </si>
  <si>
    <t>PDTC601</t>
  </si>
  <si>
    <t>Substituição do Transformador de Corrente 230kV - PDCS201-TC601 - Fase B.</t>
  </si>
  <si>
    <t>0008466/2024</t>
  </si>
  <si>
    <t>Substituição dos Painel de Distribuição QD2, 460 Vca e cabos associados, referentes aos Serviços Auxiliares da SE CURITIBA.</t>
  </si>
  <si>
    <t>0008038/2024</t>
  </si>
  <si>
    <t>QD2</t>
  </si>
  <si>
    <t>Substituição do Transformador de Corrente 230kV - PDCS201-TC601 - Fase V.</t>
  </si>
  <si>
    <t>0008465/2024</t>
  </si>
  <si>
    <t>Substituição do Transformador de corrente 230kV - TF604-IZTC601 - Fase A.</t>
  </si>
  <si>
    <t>0008475/2024</t>
  </si>
  <si>
    <t>Substituição do Transformador de corrente 230kV - TF604-IZTC601 - Fase V.</t>
  </si>
  <si>
    <t>0008469/2024</t>
  </si>
  <si>
    <t>Substituição do Transformador de corrente 230kV - IZDJ603-TC601 - Fase V.</t>
  </si>
  <si>
    <t>0008470/2024</t>
  </si>
  <si>
    <t>Substituição do Transformador de corrente 230kV - IZDJ604-TC601 - Fase V</t>
  </si>
  <si>
    <t>0008477/2024</t>
  </si>
  <si>
    <t>Substituição dos Painel de Distribuição QD1/2, 460 Vca e cabos associados, referentes aos Serviços Auxiliares da SE CURITIBA.</t>
  </si>
  <si>
    <t>0008053/2024</t>
  </si>
  <si>
    <t>QD1/2</t>
  </si>
  <si>
    <t>Substituição do Transformador de Corrente 230kV - PDDJ601-TC601 - Fase A.</t>
  </si>
  <si>
    <t>0008478/2024</t>
  </si>
  <si>
    <t>Substituição do Transformador de Corrente 230kV - PDDJ601-TC601 - Fase B.</t>
  </si>
  <si>
    <t>0008479/2024</t>
  </si>
  <si>
    <t>Substituição do Transformador de Corrente 230kV - PDDJ601-TC601 - Fase V.</t>
  </si>
  <si>
    <t>0008481/2024</t>
  </si>
  <si>
    <t>Substituição do Transformador de Corrente 500kV - PDRE709-TC701 - Fase V.</t>
  </si>
  <si>
    <t>0008504/2024</t>
  </si>
  <si>
    <t>PDTC701</t>
  </si>
  <si>
    <t>Substituição Para-raios 500KV - Do Transformador IZAT7-01 - Fase V.</t>
  </si>
  <si>
    <t>0008858/2024</t>
  </si>
  <si>
    <t>IZPR701</t>
  </si>
  <si>
    <t>Substituição do Painel de Distribuição QD1, 380 Vca, e cabos associados, referente aos Serviços Auxiliares da SE CURITIBA.</t>
  </si>
  <si>
    <t>0008061/2024</t>
  </si>
  <si>
    <t>Substituição Para-raios 500KV - Do Transformador IZAT7-01 - Fase B.</t>
  </si>
  <si>
    <t>0008857/2024</t>
  </si>
  <si>
    <t>Substituição do Disjuntor de 69KV - PFDJ4-02.</t>
  </si>
  <si>
    <t>0008827/2024</t>
  </si>
  <si>
    <t>PFDJ402</t>
  </si>
  <si>
    <t>Substituição dos Painel de Distribuição QD1, 220 Vca e cabos associados, referentes aos Serviços Auxiliares da SE CURITIBA.</t>
  </si>
  <si>
    <t>0008067/2024</t>
  </si>
  <si>
    <t>Substituição dos Painel de Distribuição QPD9, 480 Vca e cabos associados, referentes aos Serviços Auxiliares da SE Blumenau.</t>
  </si>
  <si>
    <t>MG BLUMENAU / CCO-2000-088 - RB</t>
  </si>
  <si>
    <t>0008073/2024</t>
  </si>
  <si>
    <t>QPD9</t>
  </si>
  <si>
    <t>Substituição dos Painel de Distribuição QPD1, 220 Vca e cabos associados, referentes aos Serviços Auxiliares da SE CURITIBA.</t>
  </si>
  <si>
    <t>0008071/2024</t>
  </si>
  <si>
    <t>QPD1</t>
  </si>
  <si>
    <t>Substituição do Disjuntor de 230KV - IZDJ6-05.</t>
  </si>
  <si>
    <t>0008828/2024</t>
  </si>
  <si>
    <t>IZDJ605</t>
  </si>
  <si>
    <t>Substituição do Disjuntor de 230KV - IZDJ6-07.</t>
  </si>
  <si>
    <t>0008829/2024</t>
  </si>
  <si>
    <t>IZDJ607</t>
  </si>
  <si>
    <t>Substituição do Disjuntor de 230KV - IZDJ6-08.</t>
  </si>
  <si>
    <t>0008832/2024</t>
  </si>
  <si>
    <t>IZDJ608</t>
  </si>
  <si>
    <t>Substituição dos Painel de Distribuição QPD2, 220 Vca e cabos associados, referentes aos Serviços Auxiliares da SE CURITIBA.</t>
  </si>
  <si>
    <t>0008077/2024</t>
  </si>
  <si>
    <t>QPD2</t>
  </si>
  <si>
    <t>Substituição do Disjuntor de 69KV - IZDJ4-02.</t>
  </si>
  <si>
    <t>0008837/2024</t>
  </si>
  <si>
    <t>IZDJ402</t>
  </si>
  <si>
    <t>Substituição do Disjuntor de 69KV - IZDJ4-07.</t>
  </si>
  <si>
    <t>0008838/2024</t>
  </si>
  <si>
    <t>IZDJ407</t>
  </si>
  <si>
    <t>Substituição do Disjuntor de 500KV - IZDJ7-11.</t>
  </si>
  <si>
    <t>0008840/2024</t>
  </si>
  <si>
    <t>IZDJ711</t>
  </si>
  <si>
    <t>Substituição do Disjuntor de 500KV - IZDJ7-10.</t>
  </si>
  <si>
    <t>0008841/2024</t>
  </si>
  <si>
    <t>IZDJ710</t>
  </si>
  <si>
    <t>Substituição dos Painel de Distribuição QD1, 125 Vcc e cabos associados, referentes aos Serviços Auxiliares da SE CURITIBA.</t>
  </si>
  <si>
    <t>0008083/2024</t>
  </si>
  <si>
    <t>Substituição do Disjuntor de 500KV - MBDJ7-09.</t>
  </si>
  <si>
    <t>0008842/2024</t>
  </si>
  <si>
    <t>MBDJ709</t>
  </si>
  <si>
    <t>Substituição do Transformador de Potencial (TP) 69kV - do Transformador IZTF6-03 - Fase A.</t>
  </si>
  <si>
    <t>0008505/2024</t>
  </si>
  <si>
    <t>IZTP401</t>
  </si>
  <si>
    <t>Substituição do Transformador de Potencial (TP) 69kV - do Transformador IZTF6-04 - Fase A.</t>
  </si>
  <si>
    <t>0008506/2024</t>
  </si>
  <si>
    <t>Substituição do Transformador de Potencial (TP) 69kV - do Transformador IZTF6-04 - Fase B.</t>
  </si>
  <si>
    <t>0008515/2024</t>
  </si>
  <si>
    <t>Substituição do Transformador de Potencial (TP) 69kV - do Transformador IZTF6-04 - Fase V.</t>
  </si>
  <si>
    <t>0008516/2024</t>
  </si>
  <si>
    <t>Substituição dos Painel de Distribuição QD2, 125 Vcc e cabos associados, referentes aos Serviços Auxiliares da SE CURITIBA.</t>
  </si>
  <si>
    <t>0008088/2024</t>
  </si>
  <si>
    <t>Substituição da proteção de Falha de Disjuntor DJ12876 principal do IB, arranjo DJM, na SE IVAIPORA.</t>
  </si>
  <si>
    <t>0008259/2024</t>
  </si>
  <si>
    <t>Substituição do Disjuntor de 500KV - IZDJ7-19.</t>
  </si>
  <si>
    <t>0008846/2024</t>
  </si>
  <si>
    <t>IZDJ719</t>
  </si>
  <si>
    <t>Substituição do Transformador de Potencial (TP) 69kV - do Transformador IZTF6-03 - Fase B.</t>
  </si>
  <si>
    <t>0008517/2024</t>
  </si>
  <si>
    <t>Substituição dos Painel de Distribuição QD3, 125 Vcc e cabos associados, referentes aos Serviços Auxiliares da SE CURITIBA.</t>
  </si>
  <si>
    <t>0008093/2024</t>
  </si>
  <si>
    <t>QD3</t>
  </si>
  <si>
    <t>Substituição do Transformador de Potencial (TP) 69kV - do Transformador IZTF6-03 - Fase V.</t>
  </si>
  <si>
    <t>0008518/2024</t>
  </si>
  <si>
    <t>Substituição dos Painel de Distribuição QPD1, 125 Vcc e cabos associados, referentes aos Serviços Auxiliares da SE CURITIBA.</t>
  </si>
  <si>
    <t>0008098/2024</t>
  </si>
  <si>
    <t>Substituição do Transformador de Potencial (TP) 69kV - do Transformador PFTF6-01 - Fase A.</t>
  </si>
  <si>
    <t>0008521/2024</t>
  </si>
  <si>
    <t>PFTP401</t>
  </si>
  <si>
    <t>Substituição de Transformador de Corrente 345 kV, fase C, arranjo AN, associado ao IB DJ8728 - Vão 72 na SE VITORIA.</t>
  </si>
  <si>
    <t>0008099/2024</t>
  </si>
  <si>
    <t>TC8728 C</t>
  </si>
  <si>
    <t>Substituição de Retificador (Carregador de Baterias) SACC125-RET21, 125 Vcc, na SE BLUMENAU.</t>
  </si>
  <si>
    <t>0008100/2024</t>
  </si>
  <si>
    <t>RET21</t>
  </si>
  <si>
    <t>Substituição de Transformador de Corrente 345 kV, fase B, arranjo AN, associado ao IB DJ8728 - Vão 72 na SE VITORIA.</t>
  </si>
  <si>
    <t>0008102/2024</t>
  </si>
  <si>
    <t>TC8728 B</t>
  </si>
  <si>
    <t>Substituição do Transformador de Potencial (TP) 69kV - do Transformador PFTF6-01 - Fase B.</t>
  </si>
  <si>
    <t>0008526/2024</t>
  </si>
  <si>
    <t>Substituição de 01 (uma) Seccionadora 230 kV posição operacional 34T2-8 da Subestação TSA</t>
  </si>
  <si>
    <t>0008103/2024</t>
  </si>
  <si>
    <t>34T2-8</t>
  </si>
  <si>
    <t>Substituição de Transformador de Corrente 345 kV, fase A, arranjo AN, associado ao IB DJ8728 - Vão 72 na SE VITORIA.</t>
  </si>
  <si>
    <t>0008104/2024</t>
  </si>
  <si>
    <t>TC8728 A</t>
  </si>
  <si>
    <t>Substituição do Transformador de potencial (TP) 69kV - do Transformador PFTF6-01 - Fase V.</t>
  </si>
  <si>
    <t>0008527/2024</t>
  </si>
  <si>
    <t>Substituição dos Painel de Distribuição QPD2, 125 Vcc e cabos associados, referentes aos Serviços Auxiliares da SE CURITIBA.</t>
  </si>
  <si>
    <t>0008109/2024</t>
  </si>
  <si>
    <t>Substituição de 01 (uma) Seccionadora 69 kV posição operacional 32T2-4 da Subestação PRD</t>
  </si>
  <si>
    <t>0008113/2024</t>
  </si>
  <si>
    <t>Substituição do Transformador de potencial (TP) 69kV - do Transformador PFTF6-02- Fase A.</t>
  </si>
  <si>
    <t>0008528/2024</t>
  </si>
  <si>
    <t>Substituição de 01 (uma) Seccionadora 230 kV, posição operacional 34S1-5 da Subestação PRD</t>
  </si>
  <si>
    <t>0008121/2024</t>
  </si>
  <si>
    <t>34S1-5</t>
  </si>
  <si>
    <t>Substituição do Transformador de potencial (TP) 69kV - do Transformador PFTF6-02- Fase B.</t>
  </si>
  <si>
    <t>0008529/2024</t>
  </si>
  <si>
    <t>Substituição de Retificador (Carregador de Baterias) SACC125-RET22, 125 Vcc, na SE BLUMENAU.</t>
  </si>
  <si>
    <t>0008123/2024</t>
  </si>
  <si>
    <t>RET22</t>
  </si>
  <si>
    <t>Substituição do Transformador de potencial (TP) 69kV - do Transformador PFTF6-02- Fase V.</t>
  </si>
  <si>
    <t>0008531/2024</t>
  </si>
  <si>
    <t>Substituição dos Painel de Distribuição QPD1, 48 Vcc e cabos associados, referentes aos Serviços Auxiliares da SE CURITIBA.</t>
  </si>
  <si>
    <t>0008126/2024</t>
  </si>
  <si>
    <t>Substituição do Painel de Distribuição QPD1, 480 Vca, e cabos associados, referentes aos Serviços Auxiliares da SE AREIA.</t>
  </si>
  <si>
    <t>0008129/2024</t>
  </si>
  <si>
    <t>Substituição do Disjuntor de 500KV - MBDJ7-08.</t>
  </si>
  <si>
    <t>0008844/2024</t>
  </si>
  <si>
    <t>MBDJ708</t>
  </si>
  <si>
    <t>Substituição dos Painel de Distribuição QPD2, 48 Vcc e cabos associados, referentes aos Serviços Auxiliares da SE CURITIBA.</t>
  </si>
  <si>
    <t>0008135/2024</t>
  </si>
  <si>
    <t>Substituição do Painel de Distribuição QPD2, 480 Vca, e cabos associados, referentes aos Serviços Auxiliares da SE AREIA.</t>
  </si>
  <si>
    <t>0008140/2024</t>
  </si>
  <si>
    <t>Substituição dos Painel de Distribuição QPD3, 48 Vcc e cabos associados, referentes aos Serviços Auxiliares da SE CURITIBA.</t>
  </si>
  <si>
    <t>0008141/2024</t>
  </si>
  <si>
    <t>QPD3</t>
  </si>
  <si>
    <t>Substituição do Transformador de Serviço Auxiliar TSA5, 13,8/0,48 kV, 1.000 kVA, na SE BLUMENAU. Associado à obra são esperadas adaptações/substituições da base existente, da caixa separadora de óleo, e cabos associados.</t>
  </si>
  <si>
    <t>0008146/2024</t>
  </si>
  <si>
    <t>TSA5</t>
  </si>
  <si>
    <t>Substituição do Painel de Distribuição QPD3, 480 Vca, e cabos associados, referentes aos Serviços Auxiliares da SE AREIA.</t>
  </si>
  <si>
    <t>0008148/2024</t>
  </si>
  <si>
    <t>Substituição do Transformador de Serviço Auxiliar TSA6, 13,8/0,48 kV, 1.000 kVA, na SE BLUMENAU. Associado à obra são esperadas adaptações/substituições da base existente, da caixa separadora de óleo, e cabos associados.</t>
  </si>
  <si>
    <t>0008151/2024</t>
  </si>
  <si>
    <t>TSA6</t>
  </si>
  <si>
    <t>Substituição do Painel de Distribuição QPD4, 480 Vca, e cabos associados, referentes aos Serviços Auxiliares da SE AREIA.</t>
  </si>
  <si>
    <t>0008152/2024</t>
  </si>
  <si>
    <t>QPD4</t>
  </si>
  <si>
    <t>Substituição Para-raios 500KV - MCPR7-DX - Fase B.</t>
  </si>
  <si>
    <t>0008873/2024</t>
  </si>
  <si>
    <t>MCPR701</t>
  </si>
  <si>
    <t>Substituição Para-raios 500KV - MCPR7-DX - Fase V.</t>
  </si>
  <si>
    <t>0008876/2024</t>
  </si>
  <si>
    <t>Substituição de Transformador de Corrente 345 kV, fase A, arranjo AN, associado ao IB DJ8718 - Vão 71 na SE VITORIA.</t>
  </si>
  <si>
    <t>0008157/2024</t>
  </si>
  <si>
    <t>TC8718 A</t>
  </si>
  <si>
    <t>Substituição de Transformador de Corrente 345 kV, fase B, arranjo AN, associado ao IB DJ8718 - Vão 71 na SE VITORIA.</t>
  </si>
  <si>
    <t>0008158/2024</t>
  </si>
  <si>
    <t>TC8718 B</t>
  </si>
  <si>
    <t>Substituição Para-raios 500KV - MCPR7-DX - Fase A.</t>
  </si>
  <si>
    <t>0008877/2024</t>
  </si>
  <si>
    <t>Substituição do Painel de Distribuição QPD5, 480 Vca, e cabos associados, referentes aos Serviços Auxiliares da SE AREIA.</t>
  </si>
  <si>
    <t>0008160/2024</t>
  </si>
  <si>
    <t>QPD5</t>
  </si>
  <si>
    <t>LT 230 kV GUAMA /MARITUBA PA</t>
  </si>
  <si>
    <t>Substituição de isoladores de suspensão e ancoragem, incluindo ferragens UGMTLT6-01</t>
  </si>
  <si>
    <t>LT 230 kV GUAMA /MARITUBA C-1 PA</t>
  </si>
  <si>
    <t>0008676/2024</t>
  </si>
  <si>
    <t>UGMTLT6-01</t>
  </si>
  <si>
    <t>Substituição de isoladores de suspensão e ancoragem, incluindo ferragens UGMMLT6-01</t>
  </si>
  <si>
    <t>0008679/2024</t>
  </si>
  <si>
    <t>UGMMLT6-01</t>
  </si>
  <si>
    <t>Substituição de isoladores de suspensão e ancoragem, incluindo ferragens UGMTLT6-02</t>
  </si>
  <si>
    <t>0008680/2024</t>
  </si>
  <si>
    <t>UGMTLT6-02</t>
  </si>
  <si>
    <t>Substituição de isoladores de suspensão e ancoragem, incluindo ferragens UGMMLT6-02</t>
  </si>
  <si>
    <t>0008683/2024</t>
  </si>
  <si>
    <t>UGMMLT6-02</t>
  </si>
  <si>
    <t>LT 230 kV VILA DO CONDE /GUAMA PA</t>
  </si>
  <si>
    <t>Substituição de isoladores de suspensão e ancoragem, incluindo ferragens VCGMLT6-01</t>
  </si>
  <si>
    <t>0008685/2024</t>
  </si>
  <si>
    <t>VCGMLT6-01</t>
  </si>
  <si>
    <t>Substituição de isoladores de suspensão e ancoragem, incluindo ferragens VCGMLT6-02</t>
  </si>
  <si>
    <t>0008689/2024</t>
  </si>
  <si>
    <t>VCGMLT6-02</t>
  </si>
  <si>
    <t>Substituição do Painel de Distribuição QPD6, 480 Vca, e cabos associados, referentes aos Serviços Auxiliares da SE AREIA.</t>
  </si>
  <si>
    <t>0008167/2024</t>
  </si>
  <si>
    <t>QPD6</t>
  </si>
  <si>
    <t>Substituição Para-raios 230KV - TF601 - Fase A - revestimento cerâmico por polimérico.</t>
  </si>
  <si>
    <t>0008878/2024</t>
  </si>
  <si>
    <t>CHPR601</t>
  </si>
  <si>
    <t>Substituição Para-raios 230KV - TF601 - Fase B - revestimento cerâmico por polimérico.</t>
  </si>
  <si>
    <t>0008880/2024</t>
  </si>
  <si>
    <t>Substituição Para-raios 230KV - TF601 - Fase V - revestimento cerâmico por polimérico.</t>
  </si>
  <si>
    <t>0008881/2024</t>
  </si>
  <si>
    <t>Substituição Para-raios 500KV - PDRE7-09 - Fase A - De  carboneto de silicio por oxido de zinco.</t>
  </si>
  <si>
    <t>0008882/2024</t>
  </si>
  <si>
    <t>PDPR701</t>
  </si>
  <si>
    <t>Substituição Para-raios 500KV - PDRE7-09 - Fase B - De  carboneto de silicio por oxido de zinco</t>
  </si>
  <si>
    <t>0008883/2024</t>
  </si>
  <si>
    <t>Substituição Para-raios 500KV - PDRE7-09 - Fase V - De  carboneto de silicio por oxido de zinco.</t>
  </si>
  <si>
    <t>0008884/2024</t>
  </si>
  <si>
    <t>Substituição Para-raios 500KV - PDMR-LT702 - Fase B - com revesimento cerâmico por polimerico.</t>
  </si>
  <si>
    <t>0008885/2024</t>
  </si>
  <si>
    <t>Substituição Para-raios 500KV - PDMR-LT702 - Fase V - com revesimento cerâmico por polimerico.</t>
  </si>
  <si>
    <t>0008886/2024</t>
  </si>
  <si>
    <t>Substituição de isoladores de suspensão e ancoragem, incluindo ferragens GMMTLT6-01</t>
  </si>
  <si>
    <t>0008690/2024</t>
  </si>
  <si>
    <t>GMMTLT6-01</t>
  </si>
  <si>
    <t>Substituição de isoladores de suspensão e ancoragem, incluindo ferragens GMMTLT6-02</t>
  </si>
  <si>
    <t>0008691/2024</t>
  </si>
  <si>
    <t>GMMTLT6-02</t>
  </si>
  <si>
    <t>Substituição do Painel de Distribuição QPD6, 380 Vca e cabos associados, referente aos Serviços Auxiliares da SE Blumenau.</t>
  </si>
  <si>
    <t>0008176/2024</t>
  </si>
  <si>
    <t>Substituição do Transformador de Serviço Auxiliar TSA1 13,8/0,48 kV, 1.000 kVA, arranjo BS, na SE CURITIBA. Associado à obra são esperadas adaptações/substituições da base existente, da caixa separadora de óleo, e cabos associados.</t>
  </si>
  <si>
    <t>0008182/2024</t>
  </si>
  <si>
    <t>Substituição dos Painéis de Distribuição QPD16, 220 Vca e cabos associados, referentes aos Serviços Auxiliares da SE Blumenau.</t>
  </si>
  <si>
    <t>0008184/2024</t>
  </si>
  <si>
    <t>QPD16</t>
  </si>
  <si>
    <t>Substituição Para-raios 500KV - COPR7-CZ - Fase A.</t>
  </si>
  <si>
    <t>0008888/2024</t>
  </si>
  <si>
    <t>COPR701</t>
  </si>
  <si>
    <t>Substituição de 01 transformador Elevador 525/13,8 kV e serviços complementares da Fase A da UG01 da UHE Itumbiara.</t>
  </si>
  <si>
    <t>F-U-UHITB-UG01-TRUG01</t>
  </si>
  <si>
    <t>0008185/2024</t>
  </si>
  <si>
    <t>Substituição de 01 transformador Elevador 525/13,8 kV e serviços complementares da Fase A da UG04 da UHE Itumbiara.</t>
  </si>
  <si>
    <t>F-U-UHITB-UG04-TRUG04</t>
  </si>
  <si>
    <t>0008186/2024</t>
  </si>
  <si>
    <t>Substituição do Transformador de Serviço Auxiliar TSA2 13,8/0,48 kV, 1.000 kVA, arranjo BS, na SE CURITIBA. Associado à obra são esperadas adaptações/substituições da base existente, da caixa separadora de óleo, e cabos associados.</t>
  </si>
  <si>
    <t>0008187/2024</t>
  </si>
  <si>
    <t>Substituição Para-raios 69KV - MCPR4-DX - MCMCRN4-01 - 11916750.</t>
  </si>
  <si>
    <t>0008889/2024</t>
  </si>
  <si>
    <t>MCPR401</t>
  </si>
  <si>
    <t>Substituição Para-raios 69KV - MCPR4-DZ - MCMCRN4-02 FASE A - 11981495.</t>
  </si>
  <si>
    <t>0008890/2024</t>
  </si>
  <si>
    <t>Substituição do Transformador Auxiliar TFAX 3, 460/220/127 Vca, arranjo BS, na SE AREIA.</t>
  </si>
  <si>
    <t>0008188/2024</t>
  </si>
  <si>
    <t>Substituição dos Painéis de Distribuição QPD17, 220 Vca e cabos associados, referentes aos Serviços Auxiliares da SE Blumenau.</t>
  </si>
  <si>
    <t>0008189/2024</t>
  </si>
  <si>
    <t>QPD17</t>
  </si>
  <si>
    <t>Substituição de 01 transformador Elevador 525/13,8 kV e serviços complementares da Fase B da UG04 da UHE Itumbiara.</t>
  </si>
  <si>
    <t>0008190/2024</t>
  </si>
  <si>
    <t>Substituição de 01 transformador Elevador 525/13,8 kV e serviços complementares da Fase B da UG01 da UHE Itumbiara.</t>
  </si>
  <si>
    <t>0008191/2024</t>
  </si>
  <si>
    <t>Substituição Para-raios 500KV - COPR7-CL701 - Fase A.</t>
  </si>
  <si>
    <t>0008891/2024</t>
  </si>
  <si>
    <t>Substituição Para-raios 500KV - MCPR2-TF2 - Fase A.</t>
  </si>
  <si>
    <t>0008892/2024</t>
  </si>
  <si>
    <t>MCPR201</t>
  </si>
  <si>
    <t>Substituição de 01 transformador Elevador 525/13,8 kV e serviços complementares da Fase C da UG01 da UHE Itumbiara.</t>
  </si>
  <si>
    <t>0008193/2024</t>
  </si>
  <si>
    <t>Substituição Para-raios 500KV - MCPR7-RE1 - Fase A.</t>
  </si>
  <si>
    <t>0008893/2024</t>
  </si>
  <si>
    <t>Substituição de 01 transformador Elevador 525/13,8 kV e serviços complementares da Fase C da UG04 da UHE Itumbiara.</t>
  </si>
  <si>
    <t>0008194/2024</t>
  </si>
  <si>
    <t>Substituição de 01 transformador Elevador 525/13,8 kV e serviços complementares da Fase A da UG02 da UHE Itumbiara.</t>
  </si>
  <si>
    <t>F-U-UHITB-UG02-TRUG02</t>
  </si>
  <si>
    <t>0008195/2024</t>
  </si>
  <si>
    <t>Substituição Para-raios 500KV - MCPR7-RR - Fase R.</t>
  </si>
  <si>
    <t>TR 500/138 kV ANGRA FUR TR58 RJ</t>
  </si>
  <si>
    <t>0008894/2024</t>
  </si>
  <si>
    <t>MCPR7RR</t>
  </si>
  <si>
    <t>Substituição de 01 transformador Elevador 525/13,8 kV e serviços complementares da Fase B da UG02 da UHE Itumbiara.</t>
  </si>
  <si>
    <t>0008197/2024</t>
  </si>
  <si>
    <t>Substituição Para-raios 500KV - PDRE7-09 - Fase R - De  carboneto de silicio por oxido de zinco.</t>
  </si>
  <si>
    <t>0008896/2024</t>
  </si>
  <si>
    <t>PDRE7-09</t>
  </si>
  <si>
    <t>Substituição de Grupo Motor Gerador Diesel, 480 Vca, e cabos associados, referente aos Serviços Auxiliares da SE CURITIBA.</t>
  </si>
  <si>
    <t>0008198/2024</t>
  </si>
  <si>
    <t>Substituição de 01 transformador Elevador 525/13,8 kV e serviços complementares da Fase C da UG02 da UHE Itumbiara.</t>
  </si>
  <si>
    <t>0008199/2024</t>
  </si>
  <si>
    <t>Substituição dos Painel de Distribuição PD01, 125 Vcc e cabos associados, referentes aos Serviços Auxiliares da SE Blumenau.</t>
  </si>
  <si>
    <t>0008200/2024</t>
  </si>
  <si>
    <t>PD01</t>
  </si>
  <si>
    <t>Substituição de 01 transformador Elevador 525/13,8 kV e serviços complementares da Fase A da UG05 da UHE Itumbiara.</t>
  </si>
  <si>
    <t>F-U-UHITB-UG05-TRUG05</t>
  </si>
  <si>
    <t>0008202/2024</t>
  </si>
  <si>
    <t>Substituição de 01 transformador Elevador 525/13,8 kV e serviços complementares da Fase A da UG03 da UHE Itumbiara.</t>
  </si>
  <si>
    <t>F-U-UHITB-UG03-TRUG03</t>
  </si>
  <si>
    <t>0008204/2024</t>
  </si>
  <si>
    <t>Substituição de 01 transformador Elevador 525/13,8 kV e serviços complementares da Fase B da UG05 da UHE Itumbiara.</t>
  </si>
  <si>
    <t>0008205/2024</t>
  </si>
  <si>
    <t>Substituição de 01 transformador Elevador 525/13,8 kV e serviços complementares da Fase B da UG03 da UHE Itumbiara.</t>
  </si>
  <si>
    <t>0008207/2024</t>
  </si>
  <si>
    <t>Substituição de Retificador (Carregador de Baterias) SACC125-RET21, 125 Vcc, na SE AREIA.</t>
  </si>
  <si>
    <t>0008208/2024</t>
  </si>
  <si>
    <t>Substituição de 01 transformador Elevador 525/13,8 kV e serviços complementares da Fase C da UG05 da UHE Itumbiara.</t>
  </si>
  <si>
    <t>0008209/2024</t>
  </si>
  <si>
    <t>Substituição de 01 transformador Elevador 525/13,8 kV e serviços complementares da Fase C da UG03 da UHE Itumbiara.</t>
  </si>
  <si>
    <t>0008211/2024</t>
  </si>
  <si>
    <t>Substituição de 01 transformador Elevador 525/13,8 kV e serviços complementares da Fase A da UG06 da UHE Itumbiara.</t>
  </si>
  <si>
    <t>F-U-UHITB-UG06-TRUG06</t>
  </si>
  <si>
    <t>0008215/2024</t>
  </si>
  <si>
    <t>Substituição de isoladores de suspensão e ancoragem, incluindo ferragens SRCNLI6-02</t>
  </si>
  <si>
    <t>0008692/2024</t>
  </si>
  <si>
    <t>SRCNLI6-02</t>
  </si>
  <si>
    <t>Substituição do Transformador Auxiliar TFAX 11, 480/220/127 Vca, arranjo BS, na SE CURITIBA.</t>
  </si>
  <si>
    <t>0008220/2024</t>
  </si>
  <si>
    <t>TFAX11</t>
  </si>
  <si>
    <t>Substituição Para-raios 500KV - COPR7-CX - Fase A.</t>
  </si>
  <si>
    <t>0008897/2024</t>
  </si>
  <si>
    <t>Substituição de 01 transformador Elevador 525/13,8 kV e serviços complementares da Fase C da UG06 da UHE Itumbiara.</t>
  </si>
  <si>
    <t>0008222/2024</t>
  </si>
  <si>
    <t>Substituição de 01 transformador Elevador 525/13,8 kV e serviços complementares da Fase B da UG06 da UHE Itumbiara.</t>
  </si>
  <si>
    <t>0008223/2024</t>
  </si>
  <si>
    <t>Substituição dos Painel de Distribuição QPD1, 480 Vca, e cabos associados, referentes aos Serviços Auxiliares da SE CURITIBA.</t>
  </si>
  <si>
    <t>MG 230 kV C.I.CURITIBA MG1 PR</t>
  </si>
  <si>
    <t>0008224/2024</t>
  </si>
  <si>
    <t>Substituição de isoladores de suspensão e ancoragem, incluindo ferragens UGCNLT6-01</t>
  </si>
  <si>
    <t>LT 230 kV UTINGA /CASTANHAL C-1 PA</t>
  </si>
  <si>
    <t>0008698/2024</t>
  </si>
  <si>
    <t>UGCNLT6-01</t>
  </si>
  <si>
    <t>Substituição Fundação Grelha MRPR-LT601 - Torre: 5.</t>
  </si>
  <si>
    <t>0008569/2024</t>
  </si>
  <si>
    <t>MRPR-LT601</t>
  </si>
  <si>
    <t>Substituição de Fundações Grelha de LDMR-LT601</t>
  </si>
  <si>
    <t>0008672/2024</t>
  </si>
  <si>
    <t>Substituição Para-raios 500KV - MCPR7-RE4 - Fase A.</t>
  </si>
  <si>
    <t>RTB 500 kV 165 Mvar COLINAS RT4 TO</t>
  </si>
  <si>
    <t>0008905/2024</t>
  </si>
  <si>
    <t>COPR704</t>
  </si>
  <si>
    <t>Substituição de Retificador (Carregador de Baterias) SACC125-RET22, 125 Vcc, na SE AREIA.</t>
  </si>
  <si>
    <t>0008227/2024</t>
  </si>
  <si>
    <t>Substituição dos Painel de Distribuição QPD2, 480 Vca, e cabos associados, referentes aos Serviços Auxiliares da SE CURITIBA.</t>
  </si>
  <si>
    <t>0008228/2024</t>
  </si>
  <si>
    <t>Substituição Para-raios 500KV - COPR7-RE1 - Fase A.</t>
  </si>
  <si>
    <t>0008906/2024</t>
  </si>
  <si>
    <t>Substituição Para-raios 500KV - COPR7-RE2 - Fase A.</t>
  </si>
  <si>
    <t>0008907/2024</t>
  </si>
  <si>
    <t>Substituição Para-raios 500KV - COPR7-RR2 - Fase R.</t>
  </si>
  <si>
    <t>0008908/2024</t>
  </si>
  <si>
    <t>COPR702</t>
  </si>
  <si>
    <t>Substituição de Retificador (Carregador de Baterias) SACC125-RET21, 125 Vcc, na SE CURITIBA.</t>
  </si>
  <si>
    <t>0008235/2024</t>
  </si>
  <si>
    <t>Substituição para-raios 500KV - Do Transformador IZAT7-01 - Fase R.</t>
  </si>
  <si>
    <t>0008910/2024</t>
  </si>
  <si>
    <t>IZATR7-01</t>
  </si>
  <si>
    <t>Substituição dos Painel de Distribuição QPD3, 480 Vca, e cabos associados, referentes aos Serviços Auxiliares da SE CURITIBA.</t>
  </si>
  <si>
    <t>0008236/2024</t>
  </si>
  <si>
    <t>Substituição Para-raios 500KV - COPR7-RR1 - Fase R.</t>
  </si>
  <si>
    <t>RTL 500 kV 40 Mvar JARDIM RTR1 SE</t>
  </si>
  <si>
    <t>0008911/2024</t>
  </si>
  <si>
    <t>Substituição dos Painel de Distribuição PS125, 125 Vcc e cabos associados, referentes aos Serviços Auxiliares da SE Blumenau.</t>
  </si>
  <si>
    <t>0008239/2024</t>
  </si>
  <si>
    <t>PS125</t>
  </si>
  <si>
    <t>Substituição dos Painel de Distribuição QPD4, 480 Vca, e cabos associados, referentes aos Serviços Auxiliares da SE CURITIBA.</t>
  </si>
  <si>
    <t>0008240/2024</t>
  </si>
  <si>
    <t>Substituição de Retificador (Carregador de Baterias) SACC125-RET22, 125 Vcc, na SE CURITIBA.</t>
  </si>
  <si>
    <t>0008242/2024</t>
  </si>
  <si>
    <t>Substituição dos Painel de Distribuição QPD5, 480 Vca, e cabos associados, referentes aos Serviços Auxiliares da SE CURITIBA.</t>
  </si>
  <si>
    <t>0008244/2024</t>
  </si>
  <si>
    <t>Substituição de Retificador (Carregador de Baterias) SACC125-RET51, 125 Vcc, na SE AREIA.</t>
  </si>
  <si>
    <t>0008246/2024</t>
  </si>
  <si>
    <t>RET51</t>
  </si>
  <si>
    <t>Substituição de Retificador (Carregador de Baterias) SACC48-RET1, 48 Vcc, na SE CURITIBA.</t>
  </si>
  <si>
    <t>0008247/2024</t>
  </si>
  <si>
    <t>Substituição dos Painel de Distribuição QPD6, 480 Vca, e cabos associados, referentes aos Serviços Auxiliares da SE CURITIBA.</t>
  </si>
  <si>
    <t>0008250/2024</t>
  </si>
  <si>
    <t>Substituição de Retificador (Carregador de Baterias) SACC48-RET2, 48 Vcc, na SE CURITIBA.</t>
  </si>
  <si>
    <t>0008251/2024</t>
  </si>
  <si>
    <t>Substituição do reator de neutro CORN4-01 à óleo, por núcleo ar - Necessário desligamento da função LT 500 kV IMPERATRIZ /COLINAS C-1 MA/TO</t>
  </si>
  <si>
    <t>0008750/2024</t>
  </si>
  <si>
    <t>CORN401</t>
  </si>
  <si>
    <t>Substituição do reator de neutro MCRN4-01 à óleo, por núcleo ar - Necessário desligamento da função LT 500 kV COLINAS /MIRACEMA C-1 TO.</t>
  </si>
  <si>
    <t>0008748/2024</t>
  </si>
  <si>
    <t>MCRN401</t>
  </si>
  <si>
    <t>Substituição do reator de neutro MCRN4-02 à óleo, por núcleo ar - Necessário desligamento da função LT 500 kV GURUPI /MIRACEMA C-1 TO</t>
  </si>
  <si>
    <t>0008749/2024</t>
  </si>
  <si>
    <t>MCRN402</t>
  </si>
  <si>
    <t>Substituição dos Painel de Distribuição QPD7, 480 Vca, e cabos associados, referentes aos Serviços Auxiliares da SE CURITIBA.</t>
  </si>
  <si>
    <t>0008253/2024</t>
  </si>
  <si>
    <t>QPD7</t>
  </si>
  <si>
    <t>Compensador síncrono</t>
  </si>
  <si>
    <t>Substituição dos sistema de excitação, proteção e controle de partida e parada do compensador síncrono CS01 da SE Vítoria</t>
  </si>
  <si>
    <t>CS 60/-30 Mvar VITORIA CS1 + TR1A ES</t>
  </si>
  <si>
    <t>0008255/2024</t>
  </si>
  <si>
    <t>CS01</t>
  </si>
  <si>
    <t>Substituição do Sistema de Registro de Perturbação do vão 02T3 , na subestação BOM NOME, composto por: 01 Oscilógrafo.</t>
  </si>
  <si>
    <t>MC 69 kV TR 69/13,8 kV BOM NOME TR3A PE (32T3-8A)</t>
  </si>
  <si>
    <t>0008258/2024</t>
  </si>
  <si>
    <t>11446313</t>
  </si>
  <si>
    <t>Substituição dos sistema de excitação, proteção e controle de partida e parada do compensador síncrono CS02 da SE Vítoria</t>
  </si>
  <si>
    <t>0008261/2024</t>
  </si>
  <si>
    <t>CS02</t>
  </si>
  <si>
    <t>Substituição do Sistema de Registro de Perturbação dos vãos  03C1 e 04T3, na subestação BARREIRAS, composto por: 01 Oscilógrafo.</t>
  </si>
  <si>
    <t>0008262/2024</t>
  </si>
  <si>
    <t>11446190</t>
  </si>
  <si>
    <t>Substituição de Retificador (Carregador de Baterias) SACC125-RET52, 125 Vcc, na SE AREIA.</t>
  </si>
  <si>
    <t>0008264/2024</t>
  </si>
  <si>
    <t>RET52</t>
  </si>
  <si>
    <t>Substituição do Sistema de Registro de Perturbação do vão 04BP, na subestação C.GRANDE II, composto por: 01 Oscilógrafo.</t>
  </si>
  <si>
    <t>0008267/2024</t>
  </si>
  <si>
    <t>11446382</t>
  </si>
  <si>
    <t>Substituição do Sistema de Registro de Perturbação dos vãos 02BP1 e 02BP2, na subestação COTEGIPE, composto por: 01 Oscilógrafo.</t>
  </si>
  <si>
    <t>0008412/2024</t>
  </si>
  <si>
    <t>11446337</t>
  </si>
  <si>
    <t>Substituição Fundação Grelha MRPR-LT601 - Torre: 7.</t>
  </si>
  <si>
    <t>0008571/2024</t>
  </si>
  <si>
    <t>Substituição Fundação Grelha MRPR-LT601 - Torre: 8.</t>
  </si>
  <si>
    <t>0008572/2024</t>
  </si>
  <si>
    <t>Substituição dos Painel de Distribuição QPD1, 125 Vcc e cabos associados, referentes aos Serviços Auxiliares da SE Blumenau.</t>
  </si>
  <si>
    <t>0008270/2024</t>
  </si>
  <si>
    <t>Substituição Fundação Grelha MRPR-LT601 - Torre: 9.</t>
  </si>
  <si>
    <t>0008575/2024</t>
  </si>
  <si>
    <t>Substituição do reator de neutro CORN4-02 à óleo, por núcleo ar - Necessário desligamento da função LT 500 kV IMPERATRIZ /COLINAS C-1 MA/TO.</t>
  </si>
  <si>
    <t>0008751/2024</t>
  </si>
  <si>
    <t>CORN402</t>
  </si>
  <si>
    <t>Substituição de Retificador (Carregador de Baterias) SACC48-RET1, 48 Vcc, na SE AREIA.</t>
  </si>
  <si>
    <t>0008271/2024</t>
  </si>
  <si>
    <t>Substituição do reator de neutro PDRE4-02 à óleo, por núcleo ar - Necessário desligamento da função LT 500 kV SANTO A. DOS LOPES /P.DUTRA C-1 MA.</t>
  </si>
  <si>
    <t>0008754/2024</t>
  </si>
  <si>
    <t>PDRE702</t>
  </si>
  <si>
    <t>Substituição dos Painel de Distribuição QPD2, 125 Vcc e cabos associados, referentes aos Serviços Auxiliares da SE Blumenau.</t>
  </si>
  <si>
    <t>0008275/2024</t>
  </si>
  <si>
    <t>Substituição de Retificador (Carregador de Baterias) SACC48-RET2, 48 Vcc, na SE AREIA.</t>
  </si>
  <si>
    <t>0008276/2024</t>
  </si>
  <si>
    <t>Substituição do Painel de Distribuição QD3, 125 Vcc, e cabos associados, referentes aos Serviços Auxiliares da SE AREIA.</t>
  </si>
  <si>
    <t>MG 230 kV AREIA MG1 PR</t>
  </si>
  <si>
    <t>0008278/2024</t>
  </si>
  <si>
    <t>Substituição dos Painel de Distribuição QPD7, 125 Vcc e cabos associados, referentes aos Serviços Auxiliares da SE Blumenau.</t>
  </si>
  <si>
    <t>0008279/2024</t>
  </si>
  <si>
    <t>Substituição do Painel de Distribuição QPD7, 480 Vca, e cabos associados, referentes aos Serviços Auxiliares da SE AREIA.</t>
  </si>
  <si>
    <t>0008280/2024</t>
  </si>
  <si>
    <t>Substituição do Painel de Distribuição QPD1, 125 Vcc, e cabos associados, referentes aos Serviços Auxiliares da SE AREIA.</t>
  </si>
  <si>
    <t>0008282/2024</t>
  </si>
  <si>
    <t>Substituição dos Painel de Distribuição QPD8, 125 Vcc e cabos associados, referentes aos Serviços Auxiliares da SE Blumenau.</t>
  </si>
  <si>
    <t>0008285/2024</t>
  </si>
  <si>
    <t>QPD8</t>
  </si>
  <si>
    <t>Substituição Fundação Grelha MRPR-LT601 - Torre: 10.</t>
  </si>
  <si>
    <t>0008582/2024</t>
  </si>
  <si>
    <t>Substituição do Painel de Distribuição QPD2, 125 Vcc, e cabos associados, referentes aos Serviços Auxiliares da SE AREIA.</t>
  </si>
  <si>
    <t>0008284/2024</t>
  </si>
  <si>
    <t>Substituição de Transformador de Potencial Capacitivo 230 kV, referente a EL da LT Charqueadas - Santa Cruz C-1, Fase C. Associado à obra são esperadas substituições/adaptações de fundações, suportes, caixa de junção, cabos de controle/potência, barramento, conectores e conexão de aterramento</t>
  </si>
  <si>
    <t>0008286/2024</t>
  </si>
  <si>
    <t>Substituição dos Painéis de Distribuição QPD1, 48 Vcc, e cabos associados, referentes aos Serviços Auxiliares da SE AREIA.</t>
  </si>
  <si>
    <t>0008288/2024</t>
  </si>
  <si>
    <t>Substituição Fundação Grelha MRPR-LT601 - Torre: 11.</t>
  </si>
  <si>
    <t>0008583/2024</t>
  </si>
  <si>
    <t>Substituição dos Painéis de Distribuição QPD2, 48 Vcc, e cabos associados, referentes aos Serviços Auxiliares da SE AREIA.</t>
  </si>
  <si>
    <t>0008289/2024</t>
  </si>
  <si>
    <t>Substituição do Painel de Distribuição QPD1, 220 Vca, e cabos associados, referente aos Serviços Auxiliares da SE AREIA.</t>
  </si>
  <si>
    <t>0008291/2024</t>
  </si>
  <si>
    <t>Substituição dos Painel de Distribuição QPD18, 48 Vcc e cabos associados, referentes aos Serviços Auxiliares da SE Blumenau.</t>
  </si>
  <si>
    <t>0008292/2024</t>
  </si>
  <si>
    <t>QPD18</t>
  </si>
  <si>
    <t>Substituição do Sistema de Registro de Perturbação do vão 04BP, na subestação G.MANGABEIRA, composto por: 01 Oscilógrafo.</t>
  </si>
  <si>
    <t>0008293/2024</t>
  </si>
  <si>
    <t>11449327</t>
  </si>
  <si>
    <t>Substituição dos Painéis de Distribuição QPD3, 48 Vcc, e cabos associados, referentes aos Serviços Auxiliares da SE AREIA.</t>
  </si>
  <si>
    <t>0008294/2024</t>
  </si>
  <si>
    <t>Substituição do Sistema de Registro de Perturbação dos vãos 05T2 e 05T3, na subestação MESSIAS, composto por: 01 Oscilógrafo.</t>
  </si>
  <si>
    <t>0008411/2024</t>
  </si>
  <si>
    <t>11446212</t>
  </si>
  <si>
    <t>Substituição dos Painel de Distribuição QPD19, 48 Vcc e cabos associados, referentes aos Serviços Auxiliares da SE Blumenau.</t>
  </si>
  <si>
    <t>0008295/2024</t>
  </si>
  <si>
    <t>QPD19</t>
  </si>
  <si>
    <t>Substituição do Painel de Distribuição QD1, 125 Vcc, e cabos associados, referentes aos Serviços Auxiliares da SE AREIA.</t>
  </si>
  <si>
    <t>0008296/2024</t>
  </si>
  <si>
    <t>Substituição do Sistema de Registro de Perturbação dos vãos 02M1 e 02V1, na subestação MOXOTO, composto por: 01 Oscilógrafo.</t>
  </si>
  <si>
    <t>MG 69 kV MOXOTO MG1 BA</t>
  </si>
  <si>
    <t>0008297/2024</t>
  </si>
  <si>
    <t>11446305</t>
  </si>
  <si>
    <t>Substituição dos Painel de Distribuição QPD5, 440 Vca e cabos associados, referentes aos Serviços Auxiliares da SE Blumenau.</t>
  </si>
  <si>
    <t>0008300/2024</t>
  </si>
  <si>
    <t>Substituição do Sistema de Registro de Perturbação do vão 04BP, na subestação PIRAPAMA II, composto por: 01 Oscilógrafo.</t>
  </si>
  <si>
    <t>0008298/2024</t>
  </si>
  <si>
    <t>11446234</t>
  </si>
  <si>
    <t>Substituição dos Painel de Distribuição QPD20, 48 Vcc e cabos associados, referentes aos Serviços Auxiliares da SE Blumenau.</t>
  </si>
  <si>
    <t>0008299/2024</t>
  </si>
  <si>
    <t>QPD20</t>
  </si>
  <si>
    <t>Substituição do Painel de Distribuição QD2, 125 Vcc, e cabos associados, referentes aos Serviços Auxiliares da SE AREIA.</t>
  </si>
  <si>
    <t>0008301/2024</t>
  </si>
  <si>
    <t>Substituição do Sistema de Registro de Perturbação dos vãos 05V7 e 05E2, na subestação SOBRAL III, composto por: 01 Oscilógrafo.</t>
  </si>
  <si>
    <t>0008302/2024</t>
  </si>
  <si>
    <t>11446263</t>
  </si>
  <si>
    <t>Substituição dos Painel de Distribuição QPD10, 480 Vca e cabos associados, referentes aos Serviços Auxiliares da SE Blumenau.</t>
  </si>
  <si>
    <t>0008303/2024</t>
  </si>
  <si>
    <t>QPD10</t>
  </si>
  <si>
    <t>ALEX</t>
  </si>
  <si>
    <t>Substituição do Sistema de Registro de Perturbação associado ao vão de Entrada de Linha  04C5 (LT 230 kV BANABUIU /ALEX C-1), na subestação ALEX, composto por: 01 Oscilógrafo e infraestrutura de comunicação associada.</t>
  </si>
  <si>
    <t>0008305/2024</t>
  </si>
  <si>
    <t>12389804</t>
  </si>
  <si>
    <t>Substituição dos Painel de Distribuição QPD4, 440 Vca e cabos associados, referentes aos Serviços Auxiliares da SE Blumenau.</t>
  </si>
  <si>
    <t>0008306/2024</t>
  </si>
  <si>
    <t>Substituição dos Painel de Distribuição QPD3, 440 Vca e cabos associados, referentes aos Serviços Auxiliares da SE Blumenau.</t>
  </si>
  <si>
    <t>0008308/2024</t>
  </si>
  <si>
    <t>Substituição Fundação Grelha MRPR-LT601 - Torre: 12.</t>
  </si>
  <si>
    <t>0008585/2024</t>
  </si>
  <si>
    <t>Substituição dos Painel de Distribuição QPD12, 480 Vca e cabos associados, referentes aos Serviços Auxiliares da SE Blumenau.</t>
  </si>
  <si>
    <t>0008310/2024</t>
  </si>
  <si>
    <t>QPD12</t>
  </si>
  <si>
    <t>Substituição dos Painel de Distribuição QPD15, 480 Vca e cabos associados, referentes aos Serviços Auxiliares da SE Blumenau.</t>
  </si>
  <si>
    <t>0008311/2024</t>
  </si>
  <si>
    <t>QPD15</t>
  </si>
  <si>
    <t>Substituição dos Painel de Distribuição QPD14, 480 Vca e cabos associados, referentes aos Serviços Auxiliares da SE Blumenau.</t>
  </si>
  <si>
    <t>0008312/2024</t>
  </si>
  <si>
    <t>QPD14</t>
  </si>
  <si>
    <t>Substituição dos Painel de Distribuição QPD11, 480 Vca e cabos associados, referentes aos Serviços Auxiliares da SE Blumenau.</t>
  </si>
  <si>
    <t>0008313/2024</t>
  </si>
  <si>
    <t>QPD11</t>
  </si>
  <si>
    <t>Substituição dos Painel de Distribuição QPD13, 480 Vca e cabos associados, referentes aos Serviços Auxiliares da SE Blumenau.</t>
  </si>
  <si>
    <t>0008314/2024</t>
  </si>
  <si>
    <t>QPD13</t>
  </si>
  <si>
    <t>Troca de 30 cadeias de isoladores ao longo da LT.</t>
  </si>
  <si>
    <t>0008331/2024</t>
  </si>
  <si>
    <t>GUPMIC1</t>
  </si>
  <si>
    <t>Substituição Fundação Grelha MRPR-LT601 - Torre: 15.</t>
  </si>
  <si>
    <t>0008586/2024</t>
  </si>
  <si>
    <t>Substituição Fundação Grelha MRPR-LT601 - Torre: 16.</t>
  </si>
  <si>
    <t>0008587/2024</t>
  </si>
  <si>
    <t>Substituição Fundação Grelha MRPR-LT601 - Torre: 17.</t>
  </si>
  <si>
    <t>0008591/2024</t>
  </si>
  <si>
    <t>Substituição Fundação Grelha MRPR-LT601 - Torre: 18.</t>
  </si>
  <si>
    <t>0008592/2024</t>
  </si>
  <si>
    <t>Substituição Fundação Grelha MRPR-LT601 - Torre: 19.</t>
  </si>
  <si>
    <t>0008594/2024</t>
  </si>
  <si>
    <t>Troca de 3 cadeias de isoladores ao longo da LT.</t>
  </si>
  <si>
    <t>0008345/2024</t>
  </si>
  <si>
    <t>BSLALI</t>
  </si>
  <si>
    <t>Substituição Fundação Grelha MRPR-LT601 - Torre: 56.</t>
  </si>
  <si>
    <t>0008595/2024</t>
  </si>
  <si>
    <t>Substituição Fundação Grelha MRPR-LT601 - Torre: 58.</t>
  </si>
  <si>
    <t>0008596/2024</t>
  </si>
  <si>
    <t>Troca de 5 cadeias de isoladores ao longo da LT.</t>
  </si>
  <si>
    <t>0008353/2024</t>
  </si>
  <si>
    <t>BTOALI</t>
  </si>
  <si>
    <t>Substituição Fundação Grelha MRPR-LT601 - Torre: 59.</t>
  </si>
  <si>
    <t>0008598/2024</t>
  </si>
  <si>
    <t>Substituição Fundação Grelha MRPR-LT601 - Torre: 68.</t>
  </si>
  <si>
    <t>0008599/2024</t>
  </si>
  <si>
    <t>Substituição Fundação Grelha MRPR-LT601 - Torre: 78.</t>
  </si>
  <si>
    <t>0008602/2024</t>
  </si>
  <si>
    <t>Substituição Fundação Grelha MRPR-LT601 - Torre: 32.</t>
  </si>
  <si>
    <t>0008603/2024</t>
  </si>
  <si>
    <t>Substituição Fundação Grelha MRPR-LT601 - Torre: 37.</t>
  </si>
  <si>
    <t>0008605/2024</t>
  </si>
  <si>
    <t>Substituição Fundação Grelha MRPR-LT601 - Torre: 47.</t>
  </si>
  <si>
    <t>0008611/2024</t>
  </si>
  <si>
    <t>Substituição Fundação Grelha MRPR-LT601 - Torre: 51.</t>
  </si>
  <si>
    <t>0008612/2024</t>
  </si>
  <si>
    <t>Substituição Fundação Grelha MRPR-LT601 - Torre: 53.</t>
  </si>
  <si>
    <t>0008613/2024</t>
  </si>
  <si>
    <t>Substituição Fundação Grelha MRPR-LT601 - Torre: 20.</t>
  </si>
  <si>
    <t>0008614/2024</t>
  </si>
  <si>
    <t>Substituição Fundação Grelha MRPR-LT601 - Torre: 22.</t>
  </si>
  <si>
    <t>0008617/2024</t>
  </si>
  <si>
    <t>Substituição Fundação Grelha MRPR-LT601 - Torre: 23.</t>
  </si>
  <si>
    <t>0008620/2024</t>
  </si>
  <si>
    <t>Substituição Fundação Grelha MRPR-LT601 - Torre: 27.</t>
  </si>
  <si>
    <t>0008623/2024</t>
  </si>
  <si>
    <t>Substituição Fundação Grelha MRPR-LT601 - Torre: 30.</t>
  </si>
  <si>
    <t>0008624/2024</t>
  </si>
  <si>
    <t>Substituição Fundação Grelha MRPR-LT601 - Torre: 31.</t>
  </si>
  <si>
    <t>0008625/2024</t>
  </si>
  <si>
    <t>Substituição Fundação Grelha MRPR-LT601 - Torre: 86.</t>
  </si>
  <si>
    <t>0008626/2024</t>
  </si>
  <si>
    <t>Substituição Fundação Grelha MRPR-LT601 - Torre: 90.</t>
  </si>
  <si>
    <t>0008633/2024</t>
  </si>
  <si>
    <t>Substituição Fundação Grelha MRPR-LT601 - Torre: 100.</t>
  </si>
  <si>
    <t>0008634/2024</t>
  </si>
  <si>
    <t>Substituição Fundação Grelha MRPR-LT601 - Torre: 134.</t>
  </si>
  <si>
    <t>0008636/2024</t>
  </si>
  <si>
    <t>Substituição Fundação Grelha MRPR-LT601 - Torre: 135.</t>
  </si>
  <si>
    <t>0008637/2024</t>
  </si>
  <si>
    <t>Substituição Fundação Grelha MRPR-LT601 - Torre: 85.</t>
  </si>
  <si>
    <t>0008639/2024</t>
  </si>
  <si>
    <t>Substituição Fundação Grelha MRPR-LT601 - Torre: 145.</t>
  </si>
  <si>
    <t>0008644/2024</t>
  </si>
  <si>
    <t>Substituição Fundação Grelha MRPR-LT601 - Torre: 139.</t>
  </si>
  <si>
    <t>0008646/2024</t>
  </si>
  <si>
    <t>Substituição de 01 (um) sistema de monitoramento do Transformador de Força 230kV posição operacional 04T7 da subestação TSA</t>
  </si>
  <si>
    <t>TR 230/69 kV TERESINA TRX PI</t>
  </si>
  <si>
    <t>0008359/2024</t>
  </si>
  <si>
    <t>12627618</t>
  </si>
  <si>
    <t>LT 500kV IMPERATRIZ / PRESIDENTE DUTRA-C1</t>
  </si>
  <si>
    <t>Substituição 6 Fundações Grelha IZPD-LT701 - Torre: 96.</t>
  </si>
  <si>
    <t>0008647/2024</t>
  </si>
  <si>
    <t>IZPDLT701</t>
  </si>
  <si>
    <t>Substituição de 01 (um) sistema de monitoramento do Transformador de Força 230kV posição operacional 04T3 da subestação PIC</t>
  </si>
  <si>
    <t>TR 230/69 kV PICOS TR3 PI</t>
  </si>
  <si>
    <t>0008360/2024</t>
  </si>
  <si>
    <t>12627619</t>
  </si>
  <si>
    <t>Substituição de 01 (um) sistema de monitoramento do Transformador de Força 230kV posição operacional 04T1 da subestação PRI</t>
  </si>
  <si>
    <t>0008362/2024</t>
  </si>
  <si>
    <t>12627620</t>
  </si>
  <si>
    <t>Substituição de 01 (um) sistema de monitoramento do Reator 230kV posição operacional 04E1 da subestação PIC</t>
  </si>
  <si>
    <t>0008364/2024</t>
  </si>
  <si>
    <t>12627621</t>
  </si>
  <si>
    <t>LT 230 kV PIRINEUS /XAVANTES C-1 GO</t>
  </si>
  <si>
    <t>Substituição de 4 esferas ao longo da LT</t>
  </si>
  <si>
    <t>0008365/2024</t>
  </si>
  <si>
    <t>PRSXAV1</t>
  </si>
  <si>
    <t>Substituição 6 Fundações Grelha IZPD-LT701 - Torre: 168.</t>
  </si>
  <si>
    <t>0008648/2024</t>
  </si>
  <si>
    <t>Substituição de 01 (um) sistema de monitoramento do Transformador de Força 230kV posição operacional 04T5 da subestação PRI</t>
  </si>
  <si>
    <t>TR 230/138 kV PIRIPIRI TR5 PI</t>
  </si>
  <si>
    <t>0008367/2024</t>
  </si>
  <si>
    <t>12627622</t>
  </si>
  <si>
    <t>LT 345 kV BRAS. SUL /SAMAMBAIA C-2 DF</t>
  </si>
  <si>
    <t>0008368/2024</t>
  </si>
  <si>
    <t>BSLSBA2</t>
  </si>
  <si>
    <t>Substituição de 01 (um) sistema de monitoramento do Transformador de Força 500kV posição operacional 05T2.B da subestação TSD</t>
  </si>
  <si>
    <t>0008369/2024</t>
  </si>
  <si>
    <t>12627624</t>
  </si>
  <si>
    <t>Substituição de 01 (um) sistema de monitoramento do Reator 500kV posição operacional 05ER-2.M da subestação TSD</t>
  </si>
  <si>
    <t>RTL 500 kV 60 Mvar TERESINA II RTR1 PI</t>
  </si>
  <si>
    <t>0008371/2024</t>
  </si>
  <si>
    <t>12627625</t>
  </si>
  <si>
    <t>LT MIRANDA-PERITORÓ, C1</t>
  </si>
  <si>
    <t>Substituição Fundação Grelha MRPR-LT601 - Torre: 55.</t>
  </si>
  <si>
    <t>0008663/2024</t>
  </si>
  <si>
    <t>LT 345 kV BRAS. SUL /SAMAMBAIA C-1 DF</t>
  </si>
  <si>
    <t>Troca de 2 cadeias de isoladores ao longo da LT</t>
  </si>
  <si>
    <t>0008372/2024</t>
  </si>
  <si>
    <t>BSLSBA1</t>
  </si>
  <si>
    <t>Substituição de 01 (um) sistema de monitoramento do Reator 500kV posição operacional 05E3.C da subestação TSD</t>
  </si>
  <si>
    <t>0008373/2024</t>
  </si>
  <si>
    <t>12627626</t>
  </si>
  <si>
    <t>Substituição 6 Fundações Grelha IZPD-LT701 - Torre: 175.</t>
  </si>
  <si>
    <t>0008649/2024</t>
  </si>
  <si>
    <t>Substituição 6 Fundações Grelha IZPD-LT701 - Torre: 182.</t>
  </si>
  <si>
    <t>0008652/2024</t>
  </si>
  <si>
    <t>Substituição 6 Fundações Grelha IZPD-LT701 - Torre: 197.</t>
  </si>
  <si>
    <t>0008653/2024</t>
  </si>
  <si>
    <t>Substituição 6 Fundações Grelha IZPD-LT701 - Torre: 217.</t>
  </si>
  <si>
    <t>0008654/2024</t>
  </si>
  <si>
    <t>Substituição de 01 (um) sistema de monitoramento do Transformador de Força 230 kV posição operacional 04T2 da Subestação ENP</t>
  </si>
  <si>
    <t>0008376/2024</t>
  </si>
  <si>
    <t>12656901</t>
  </si>
  <si>
    <t>Substituição 6 Fundações Grelha IZPD-LT701 - Torre: 275.</t>
  </si>
  <si>
    <t>0008656/2024</t>
  </si>
  <si>
    <t>Substituição de 7 esferas ao longo da LT.</t>
  </si>
  <si>
    <t>0008377/2024</t>
  </si>
  <si>
    <t>BSLPRS</t>
  </si>
  <si>
    <t>Substituição de 01 (um) sistema de monitoramento do Transformador de Força 230 kV  posição operacional 04T2 da Subestação ICA</t>
  </si>
  <si>
    <t>0008378/2024</t>
  </si>
  <si>
    <t>11348275</t>
  </si>
  <si>
    <t>Substituição SPCS(cadeia alternada), Instrumentação (Um monitor de variáveis (temperatura, pressão etc)) e Sistema de Regulação de velocidade e de tensão do Compensador Síncrono 02 da SE Vila do Conde (VCSPR02 (CS202) (Alternada))</t>
  </si>
  <si>
    <t>0008769/2024</t>
  </si>
  <si>
    <t>VCSPR01</t>
  </si>
  <si>
    <t>Substituição SPCS(cadeia principal), Instrumentação (Um monitor de variáveis (temperatura, pressão etc)) e Sistema de Regulação de velocidade e de tensão do Compensador Síncrono 01 da SE Vila do Conde (VCSPR01 (CS201) (principal))</t>
  </si>
  <si>
    <t>CS 150/-90 MVAr VILA DO CONDE CS1 PA</t>
  </si>
  <si>
    <t>0008770/2024</t>
  </si>
  <si>
    <t>Substituição de 01 (um) sistema de monitoramento do Transformador de Força 230 kV posição operacional 04T4 da Subestação ENP</t>
  </si>
  <si>
    <t>0008380/2024</t>
  </si>
  <si>
    <t>11348276</t>
  </si>
  <si>
    <t>Substituição SPCS(cadeia alternada), Instrumentação (Um monitor de variáveis (temperatura, pressão etc)) e Sistema de Regulação de velocidade e de tensão do Compensador Síncrono 01 da SE Vila do Conde (VCSPR02 (CS201) (Alternada))</t>
  </si>
  <si>
    <t>0008771/2024</t>
  </si>
  <si>
    <t>VCSPR02</t>
  </si>
  <si>
    <t>Substituição SPCS(cadeia principal), Instrumentação (Um monitor de variáveis (temperatura, pressão etc)) e Sistema de Regulação de velocidade e de tensão do Compensador Síncrono 02 da SE Vila do Conde (VCSPR01 (CS202) (principal))</t>
  </si>
  <si>
    <t>0008773/2024</t>
  </si>
  <si>
    <t>Substituição da bucha de neutro fase B do IZRE7-04 - Necessário desligamento da função LT 500 kV IMPERATRIZ /P.DUTRA C-2 MA.</t>
  </si>
  <si>
    <t>0008746/2024</t>
  </si>
  <si>
    <t>IZRR714</t>
  </si>
  <si>
    <t>LT 500 kV IBIUNA /ITATIBA C-1 SP</t>
  </si>
  <si>
    <t>Substituição de 12 esferas de sinalização em atendimento a legislação pertinente.</t>
  </si>
  <si>
    <t>0008385/2024</t>
  </si>
  <si>
    <t>IBNTBA</t>
  </si>
  <si>
    <t>Substituição de Buchas, Vedação, Painel de instrumentação/ventilação, Válvulas, Indicador de nivel de óleo, Relés de Gás e Bolsa de expansão, Etc, do Reator MCRE7-01 Fase R.</t>
  </si>
  <si>
    <t>0008742/2024</t>
  </si>
  <si>
    <t>MCRE701</t>
  </si>
  <si>
    <t>Substituição de Buchas, Vedação, Painel de instrumentação/ventilação, Válvulas, Indicador de nivel de óleo, Relés de Gás e Bolsa de expansão, Etc, do Reator MCRE7-01 Fase A.</t>
  </si>
  <si>
    <t>0008743/2024</t>
  </si>
  <si>
    <t>LT 345 kV ESTREITO/M. MORAES C-1 MG</t>
  </si>
  <si>
    <t>Substituição de 4 cadeias de isoladores completas ao longo da LT 345 kV ESTREITO/M. MORAES C-1.</t>
  </si>
  <si>
    <t>0008386/2024</t>
  </si>
  <si>
    <t>MMOEST</t>
  </si>
  <si>
    <t>Substituição de 4 cadeias de isoladores completas ao longo da LT 345 kV FURNAS/POCOS CALDAS C-2.</t>
  </si>
  <si>
    <t>0008387/2024</t>
  </si>
  <si>
    <t>FURPCA2</t>
  </si>
  <si>
    <t>750</t>
  </si>
  <si>
    <t>Substituição de 30 Esferas de Sinalização.</t>
  </si>
  <si>
    <t>0008388/2024</t>
  </si>
  <si>
    <t>IABIVP1</t>
  </si>
  <si>
    <t>Substituição de Buchas, Vedação, Painel de instrumentação/ventilação, Válvulas, Indicador de nivel de óleo, Relés de Gás e Bolsa de expansão, Etc, do Reator MCRE7-01 Fase B.</t>
  </si>
  <si>
    <t>0008744/2024</t>
  </si>
  <si>
    <t>Substituição de Buchas, Vedação, Painel de instrumentação/ventilação, Válvulas, Indicador de nivel de óleo, Relés de Gás e Bolsa de expansão, Etc, do Reator MCRE7-01 Fase V.</t>
  </si>
  <si>
    <t>0008745/2024</t>
  </si>
  <si>
    <t>Substituição de Buchas, Vedação, Painel de instrumentação/ventilação, Válvulas, Indicador de nivel de óleo, Relés de Gás e Bolsa de expansão, Etc, do Reator MCRE7-02 Fase R.</t>
  </si>
  <si>
    <t>0008738/2024</t>
  </si>
  <si>
    <t>MCRE702</t>
  </si>
  <si>
    <t>Substituição completa de 340 pencas de isoladores (equivalente a 41 cadeias) da LT 750 kV ITABERA /IVAIPORA C-2</t>
  </si>
  <si>
    <t>0008389/2024</t>
  </si>
  <si>
    <t>IABIVP2</t>
  </si>
  <si>
    <t>Substituição de Buchas, Vedação, Painel de instrumentação/ventilação, Válvulas, Indicador de nivel de óleo, Relés de Gás e Bolsa de expansão, Etc, do Reator MCRE7-02 Fase A.</t>
  </si>
  <si>
    <t>0008737/2024</t>
  </si>
  <si>
    <t>LT 345 kV FURNAS/POCOS CALDAS C-1 MG</t>
  </si>
  <si>
    <t>Substituição de 5 cadeias de isoladores completas ao longo da LT 345 kV FURNAS/POCOS CALDAS C-1.</t>
  </si>
  <si>
    <t>0008390/2024</t>
  </si>
  <si>
    <t>FURPCA1</t>
  </si>
  <si>
    <t>Substituição de Buchas, Vedação, Painel de instrumentação/ventilação, Válvulas, Indicador de nivel de óleo, Relés de Gás e Bolsa de expansão, Etc, do Reator MCRE7-02 Fase B.</t>
  </si>
  <si>
    <t>0008736/2024</t>
  </si>
  <si>
    <t>Substituição de Buchas, Vedação, Painel de instrumentação/ventilação, Válvulas, Indicador de nivel de óleo, Relés de Gás e Bolsa de expansão, Etc, do Reator MCRE7-02 Fase V.</t>
  </si>
  <si>
    <t>0008735/2024</t>
  </si>
  <si>
    <t>Substituição de Buchas, Vedação, Painel de instrumentação/ventilação, Válvulas, Indicador de nivel de óleo, Relés de Gás e Bolsa de expansão, Etc, do Reator MCRE7-03 Fase A.</t>
  </si>
  <si>
    <t>0008739/2024</t>
  </si>
  <si>
    <t>MCRE703</t>
  </si>
  <si>
    <t>Substituição de Buchas, Vedação, Painel de instrumentação/ventilação, Válvulas, Indicador de nivel de óleo, Relés de Gás e Bolsa de expansão, Etc, do Reator MCRE7-03 Fase B.</t>
  </si>
  <si>
    <t>0008740/2024</t>
  </si>
  <si>
    <t>Substituição de Buchas, Vedação, Painel de instrumentação/ventilação, Válvulas, Indicador de nivel de óleo, Relés de Gás e Bolsa de expansão, Etc, do Reator MCRE7-03 Fase V.</t>
  </si>
  <si>
    <t>0008741/2024</t>
  </si>
  <si>
    <t>LT 345 kV FURNAS/ITUTINGA C-1 MG</t>
  </si>
  <si>
    <t>Substituição de 2 cadeias de isoladores completas ao longo da LT 345 kV FURNAS/ITUTINGA C-1.</t>
  </si>
  <si>
    <t>0008391/2024</t>
  </si>
  <si>
    <t>FURITU1</t>
  </si>
  <si>
    <t>LT 345 kV VARGINHA 4/ITUTINGA C-1 MG</t>
  </si>
  <si>
    <t>Substituição de 1 cadeias de isoladores completas ao longo da LT 345 kV VARGINHA 4/ITUTINGA C-1.</t>
  </si>
  <si>
    <t>0008392/2024</t>
  </si>
  <si>
    <t>ITUVGA</t>
  </si>
  <si>
    <t>LT 345 kV GUARULHOS/POCOS CALDAS C-1 SP/MG</t>
  </si>
  <si>
    <t>Substituição de 4 cadeias de isoladores completas ao longo da LT 345 kV GUARULHOS/POCOS CALDAS C-1.</t>
  </si>
  <si>
    <t>0008393/2024</t>
  </si>
  <si>
    <t>GARPCA1</t>
  </si>
  <si>
    <t>LT 345 kV GUARULHOS/POCOS CALDAS C-2 SP/MG</t>
  </si>
  <si>
    <t>Substituição de 3 cadeias de isoladores completas ao longo da LT 345 kV GUARULHOS/POCOS CALDAS C-2.</t>
  </si>
  <si>
    <t>0008394/2024</t>
  </si>
  <si>
    <t>GARPCA2</t>
  </si>
  <si>
    <t>LT 345 kV L.C.BARRETO/POCOS CALDAS C-1 SP/MG</t>
  </si>
  <si>
    <t>Substituição de 3 cadeias de isoladores completas ao longo da LT 345 kV L.C.BARRETO/POCOS CALDAS C-1.</t>
  </si>
  <si>
    <t>0008395/2024</t>
  </si>
  <si>
    <t>LBAPCA1</t>
  </si>
  <si>
    <t>LT 345 kV L.C.BARRETO/POCOS CALDAS C-2 SP/MG</t>
  </si>
  <si>
    <t>Substituição de 4 cadeias de isoladores completas ao longo da LT 345 kV L.C.BARRETO/POCOS CALDAS C-2 .</t>
  </si>
  <si>
    <t>0008396/2024</t>
  </si>
  <si>
    <t>LBAPCA2</t>
  </si>
  <si>
    <t>LT 345 kV ADRIANOPOLIS/ITUTINGA C-2 RJ/MG</t>
  </si>
  <si>
    <t>Substituição de 2 cadeias de isoladores completas ao longo da LT 345 kV ADRIANOPOLIS/ITUTINGA C-2.</t>
  </si>
  <si>
    <t>0008397/2024</t>
  </si>
  <si>
    <t>ADRITU2</t>
  </si>
  <si>
    <t>LT 345 kV ATIBAIA 2/POCOS CALDAS C-1 SP/MG</t>
  </si>
  <si>
    <t>Substituição de 2 cadeias de isoladores completas ao longo da LT 345 kV ATIBAIA 2/POCOS CALDAS C-1.</t>
  </si>
  <si>
    <t>0008398/2024</t>
  </si>
  <si>
    <t>PCAABA</t>
  </si>
  <si>
    <t>Substituição de 01 (um) sistema de monitoramento do Reator 500kV posição operacional 05E2.B da subestação SBT</t>
  </si>
  <si>
    <t>0008400/2024</t>
  </si>
  <si>
    <t>11344094</t>
  </si>
  <si>
    <t>LT 138 kV IRIRI/ROCHA LEAO C-1 RJ</t>
  </si>
  <si>
    <t>Substituição de 08 cadeias de isoladores completas ao longo da LT.</t>
  </si>
  <si>
    <t>0008401/2024</t>
  </si>
  <si>
    <t>Substituição de 01 (um) sistema de monitoramento do Reator 500kV posição operacional 05E2.C da subestação SBT</t>
  </si>
  <si>
    <t>0008402/2024</t>
  </si>
  <si>
    <t>11344095</t>
  </si>
  <si>
    <t>0008403/2024</t>
  </si>
  <si>
    <t>IABTPR2</t>
  </si>
  <si>
    <t>0008404/2024</t>
  </si>
  <si>
    <t>Substituição de 01 (um) sistema de monitoramento do Reator 500kV posição operacional 05ER da subestação SBT</t>
  </si>
  <si>
    <t>RTL 500 kV 60 Mvar SOBRAL III RTR1 CE</t>
  </si>
  <si>
    <t>0008405/2024</t>
  </si>
  <si>
    <t>11344096</t>
  </si>
  <si>
    <t>Substituição de 01 (um) sistema de monitoramento do Reator 230kV posição operacional 04E1 fase B da Subestação NTD.</t>
  </si>
  <si>
    <t>0008406/2024</t>
  </si>
  <si>
    <t>11344116</t>
  </si>
  <si>
    <t>Substituição de 30 cadeias de isoladores completas ao longo da LT.</t>
  </si>
  <si>
    <t>0008408/2024</t>
  </si>
  <si>
    <t>LT 345 kV CAMPOS/MACAE MERCHAN C-1 RJ</t>
  </si>
  <si>
    <t>Substituição de 100 cadeias de isoladores completas ao longo da LT.</t>
  </si>
  <si>
    <t>0008409/2024</t>
  </si>
  <si>
    <t>Substituição de alambrado banco de capacitores (100m) 02H1, na subestação GOIANINHA, composto por: Remoção do alambrado existente, implantação de novo alambrado do perímetro do banco e de novo portão de acesso.</t>
  </si>
  <si>
    <t>BC 69 kV 21,3 Mvar GOIANINHA BC1 PE (02H1)</t>
  </si>
  <si>
    <t>0008410/2024</t>
  </si>
  <si>
    <t>12658410</t>
  </si>
  <si>
    <t>Substituição de alambrado banco de capacitores 02H1 (75m), na subestação MIRUEIRA, composto por: Remoção do alambrado existente, implantação de novo alambrado do perímetro do banco e de novo portão de acesso.</t>
  </si>
  <si>
    <t>BC 69 kV 20,3 Mvar MIRUEIRA BC1 PE (02H1)</t>
  </si>
  <si>
    <t>0008413/2024</t>
  </si>
  <si>
    <t>12658412</t>
  </si>
  <si>
    <t>Substituição da pavimentação dos bancos de capacitores 04H2 230 kV (250m² ), na subestação RECIFE II.</t>
  </si>
  <si>
    <t>BC 230 kV 50,5 Mvar RECIFE II BC2 PE</t>
  </si>
  <si>
    <t>0008485/2024</t>
  </si>
  <si>
    <t>12658423</t>
  </si>
  <si>
    <t>Substituição de 01 (um) relé de fluxo para comutador da posição operacional 05T4-B da Subestação IGT</t>
  </si>
  <si>
    <t>0008424/2024</t>
  </si>
  <si>
    <t>12627617</t>
  </si>
  <si>
    <t>Substituição de 01 (um) disjuntor de 230 KV, posição operacional 14D1 da Subestação PRD</t>
  </si>
  <si>
    <t>0008425/2024</t>
  </si>
  <si>
    <t>Substituição de 01 (um) TP  posição operacional 85C1.C da Subestação PAQ</t>
  </si>
  <si>
    <t>0008426/2024</t>
  </si>
  <si>
    <t>85C1.C</t>
  </si>
  <si>
    <t>Substituição de 01 (uma) Seccionadora 69 KV posição operacional 32J6-6 da Subestação MSD</t>
  </si>
  <si>
    <t>0008430/2024</t>
  </si>
  <si>
    <t>Substituição do SPCS associado ao vão da Entrada de Linha 04C5 (LT 230 kV BANABUIU /ALEX C-1), na subestação ALEX, composto por: 02 painéis, 02 proteções (principal e alternada), 01 unidade de controle, 02 falhas de disjuntor (principal e alternada), cabos de controle e infraestrutura de comunicação associados.</t>
  </si>
  <si>
    <t>0008431/2024</t>
  </si>
  <si>
    <t>12389828</t>
  </si>
  <si>
    <t>Substituição de 01 (uma) Seccionadora 69 KV posição operacional 32J1-4 da Subestação GNN</t>
  </si>
  <si>
    <t>EL 69 kV GOIANINHA DIST7 (12J1)</t>
  </si>
  <si>
    <t>0008432/2024</t>
  </si>
  <si>
    <t>Substituição do SPCS do Transformador de Aterramento 02A1, na subestação COTEGIPE, composto por: 01 painel, 02 proteções (principal e alternada), 01 unidade de controle, cabos de controle e infraestrutura de comunicação associados.</t>
  </si>
  <si>
    <t>MC 69 kV TT 69/13,8 kV COTEGIPE TA1 BA (32A1)</t>
  </si>
  <si>
    <t>0008474/2024</t>
  </si>
  <si>
    <t>11361229</t>
  </si>
  <si>
    <t>Substituição de um anel coletor do compensador síncrono 13,8 kv, posição 01k1 da substação de RCD</t>
  </si>
  <si>
    <t>0008433/2024</t>
  </si>
  <si>
    <t>12622074</t>
  </si>
  <si>
    <t>Substituição de 01 (uma) Seccionadora 69 KV posição operacional 32J2-5 da Subestação GNN</t>
  </si>
  <si>
    <t>0008434/2024</t>
  </si>
  <si>
    <t>Substituição de 01 (uma) Seccionadora 69 KV posição operacional 32M2-4 da Subestação GNN</t>
  </si>
  <si>
    <t>0008435/2024</t>
  </si>
  <si>
    <t>32M2-4</t>
  </si>
  <si>
    <t>Substituição de 01 (uma) Seccionadora 69 KV posição operacional 32M4-5 da Subestação GNN</t>
  </si>
  <si>
    <t>0008436/2024</t>
  </si>
  <si>
    <t>32M4-5</t>
  </si>
  <si>
    <t>Substituição de 01 (uma) Seccionadora 69 KV posição operacional 32M5-4 da Subestação GNN</t>
  </si>
  <si>
    <t>0008437/2024</t>
  </si>
  <si>
    <t>32M5-4</t>
  </si>
  <si>
    <t>Substituição de 01 (uma) Seccionadora 69 KV posição operacional 32M5-5 da Subestação GNN</t>
  </si>
  <si>
    <t>0008438/2024</t>
  </si>
  <si>
    <t>32M5-5</t>
  </si>
  <si>
    <t>Substituição de 01 (uma) Seccionadora com lâmina de terra 69 kV, posição operacional 32M5-6/7 da Subestação GNN</t>
  </si>
  <si>
    <t>0008439/2024</t>
  </si>
  <si>
    <t>32M5-6</t>
  </si>
  <si>
    <t>Substituição de 01 (uma) Seccionadora 69 KV posição operacional 32A1-8 da Subestação BNB</t>
  </si>
  <si>
    <t>MC 69 kV TT 69/13,8 kV BANABUIU TA1 CE</t>
  </si>
  <si>
    <t>0008473/2024</t>
  </si>
  <si>
    <t>LT 345 kV COMPERJ/LAGOS C-1 RJ</t>
  </si>
  <si>
    <t>0008440/2024</t>
  </si>
  <si>
    <t>Substituição de 01 (uma) Seccionadora 69 KV posição operacional 32J2-4 da Subestação GNN</t>
  </si>
  <si>
    <t>0008441/2024</t>
  </si>
  <si>
    <t>Substituição de 01 (uma) Seccionadora 69 KV posição operacional 32M1-4 da Subestação GNN</t>
  </si>
  <si>
    <t>EL 69 kV GOIANINHA DIST9 (12M1)</t>
  </si>
  <si>
    <t>0008443/2024</t>
  </si>
  <si>
    <t>32M1-4</t>
  </si>
  <si>
    <t>LT 345 kV CAMPOS/MACAE MERCHAN C-2 RJ</t>
  </si>
  <si>
    <t>Substituição de 60 cadeias de isoladores completas ao longo da LT.</t>
  </si>
  <si>
    <t>0008444/2024</t>
  </si>
  <si>
    <t>LT 345 kV CAMPOS/RIO NOVO DO SUL C-1 RJ/ES</t>
  </si>
  <si>
    <t>0008445/2024</t>
  </si>
  <si>
    <t>Substituição de 01 (uma) Seccionadora 69 KV posição operacional 32M2-5 da Subestação GNN</t>
  </si>
  <si>
    <t>0008446/2024</t>
  </si>
  <si>
    <t>32M2-5</t>
  </si>
  <si>
    <t>Substituição de 01 (uma) Seccionadora 69 KV posição operacional 32M4-4 da Subestação GNN</t>
  </si>
  <si>
    <t>0008448/2024</t>
  </si>
  <si>
    <t>32M4-4</t>
  </si>
  <si>
    <t>Substituição de 01 (um) dispositivo de proteção (relé de gás) para autotransformador da posição operacional 05TR-M da Subestação FZD.</t>
  </si>
  <si>
    <t>TR 500/230 kV FORTALEZA II TRR1 CE</t>
  </si>
  <si>
    <t>0008450/2024</t>
  </si>
  <si>
    <t>12627684</t>
  </si>
  <si>
    <t>Substituição de 01 (um) dispositivo de proteção posição operacional 05T1-B da Subestação ICA</t>
  </si>
  <si>
    <t>0008451/2024</t>
  </si>
  <si>
    <t>12656897</t>
  </si>
  <si>
    <t>Substituição de 01 (um) dispositivo de proteção posição operacional 05T1-C da Subestação ICA</t>
  </si>
  <si>
    <t>0008452/2024</t>
  </si>
  <si>
    <t>12657695</t>
  </si>
  <si>
    <t>Substituição de 01  (um) dispositivo de proteção posição operacional 04T8-A da Subestação FNL</t>
  </si>
  <si>
    <t>0008468/2024</t>
  </si>
  <si>
    <t>12656902</t>
  </si>
  <si>
    <t>Substituição de 01  (um) dispositivo de proteção posição operacional 04T8-B da Subestação FNL</t>
  </si>
  <si>
    <t>0008471/2024</t>
  </si>
  <si>
    <t>12656903</t>
  </si>
  <si>
    <t>Substituição de 01  (um) dispositivo de proteção posição operacional 04T8-C da Subestação FNL</t>
  </si>
  <si>
    <t>0008472/2024</t>
  </si>
  <si>
    <t>12656904</t>
  </si>
  <si>
    <t>Substituição de 01  (um) dispositivo de proteção posição operacional 04T1 da Subestação ENP</t>
  </si>
  <si>
    <t>TR 230/138 kV EUNAPOLIS TR1 BA</t>
  </si>
  <si>
    <t>0008454/2024</t>
  </si>
  <si>
    <t>12656905</t>
  </si>
  <si>
    <t>Substituição de 01 (um) dispositivo de proteção posição operacional 04T1 da Subestação FNL</t>
  </si>
  <si>
    <t>0008461/2024</t>
  </si>
  <si>
    <t>12656906</t>
  </si>
  <si>
    <t>Substituição de 01 (um) TP  posição operacional 84D1.A da Subestação CMD</t>
  </si>
  <si>
    <t>0008462/2024</t>
  </si>
  <si>
    <t>84D1.A</t>
  </si>
  <si>
    <t>Substituição de 01 (um) dispositivo de proteção posição operacional 04T3 da Subestação FNL</t>
  </si>
  <si>
    <t>0008463/2024</t>
  </si>
  <si>
    <t>12656895</t>
  </si>
  <si>
    <t>Substituição de 01  (um) dispositivo de proteção posição operacional 04T6 da Subestação FNL</t>
  </si>
  <si>
    <t>0008467/2024</t>
  </si>
  <si>
    <t>12656907</t>
  </si>
  <si>
    <t>Substituição de 1.500m de cabos OPGW da LT 750 kV ITABERA /TIJUCO PRETO C-3</t>
  </si>
  <si>
    <t>0008480/2024</t>
  </si>
  <si>
    <t>IABTPR3</t>
  </si>
  <si>
    <t>Substituição de 1.500m de cabos OPGW da LT 750 kV ITABERA /TIJUCO PRETO C-2</t>
  </si>
  <si>
    <t>0008483/2024</t>
  </si>
  <si>
    <t>Substituição dos cabos para raios do trecho total da OOTSA.F entre as torres 543 (primeira ancoragem de PR trecho OOTSA.F) à 727 (76,639 km).</t>
  </si>
  <si>
    <t>0008486/2024</t>
  </si>
  <si>
    <t>Substituição de 01 (um) TP  posição operacional 84D1.C da Subestação CMD</t>
  </si>
  <si>
    <t>0008494/2024</t>
  </si>
  <si>
    <t>84D1.C</t>
  </si>
  <si>
    <t>Substituição de 60 esferas de sinalização em atendimento a legislação pertinente.</t>
  </si>
  <si>
    <t>0008498/2024</t>
  </si>
  <si>
    <t>TPRTAU</t>
  </si>
  <si>
    <t>Substituição de 01 (um) TP  69kV, posição operacional 82BP-1.A da Subestação CTU</t>
  </si>
  <si>
    <t>0008499/2024</t>
  </si>
  <si>
    <t>82BP-1.A</t>
  </si>
  <si>
    <t>Substituição de 01 (um) TP  posição operacional 82BP-1.B da Subestação CTU</t>
  </si>
  <si>
    <t>0008503/2024</t>
  </si>
  <si>
    <t>82BP-1.B</t>
  </si>
  <si>
    <t>Substituição de 01 (um) TP  posição operacional 82BP-1.C da Subestação CTU</t>
  </si>
  <si>
    <t>0008509/2024</t>
  </si>
  <si>
    <t>82BP-1.C</t>
  </si>
  <si>
    <t>Substituição de 01 Unidade de Controle na Entrada de Linha 04F1, na subestação ARAPIRACA III.</t>
  </si>
  <si>
    <t>0008510/2024</t>
  </si>
  <si>
    <t>11444738</t>
  </si>
  <si>
    <t>Substituição de 01 (um) TP  69kV, posição operacional 82BP-1.A da Subestação JCR</t>
  </si>
  <si>
    <t>0008511/2024</t>
  </si>
  <si>
    <t>Substituição de 01 Unidade de Controle no Banco Capactor 04H1, na subestação ARAPIRACA III.</t>
  </si>
  <si>
    <t>BC 230 kV 30 Mvar ARAPIRACA III BC1 AL</t>
  </si>
  <si>
    <t>0008513/2024</t>
  </si>
  <si>
    <t>11444731</t>
  </si>
  <si>
    <t>Substituição de 01 (um) TP  69kV, posição operacional 82BP-1.B da Subestação JCR</t>
  </si>
  <si>
    <t>0008514/2024</t>
  </si>
  <si>
    <t>Substituição de 01 Unidade de Controle no Banco Capacitor 04H2, na subestação ARAPIRACA III.</t>
  </si>
  <si>
    <t>BC 230 kV 30 Mvar ARAPIRACA III BC2 AL</t>
  </si>
  <si>
    <t>0008519/2024</t>
  </si>
  <si>
    <t>11444732</t>
  </si>
  <si>
    <t>Substituição de 01 (um) TP  69kV, posição operacional 82BP-1.C da Subestação JCR</t>
  </si>
  <si>
    <t>0008520/2024</t>
  </si>
  <si>
    <t>LT 500 kV ITATIBA /CAMPINAS C-1 SP</t>
  </si>
  <si>
    <t>Substituição de 27 esferas de sinalização em atendimento a legislação pertinente.</t>
  </si>
  <si>
    <t>0008522/2024</t>
  </si>
  <si>
    <t>CAMTBA</t>
  </si>
  <si>
    <t>Substituição de 01 (um) TP  69kV, posição operacional 82BP-1.A da Subestação MRR</t>
  </si>
  <si>
    <t>0008523/2024</t>
  </si>
  <si>
    <t>Substituição de 01 Unidade de Controle na Entrada de Linha 04S9, na subestação ARAPIRACA III.</t>
  </si>
  <si>
    <t>0008524/2024</t>
  </si>
  <si>
    <t>11444739</t>
  </si>
  <si>
    <t>Substituição de 43 esferas de sinalização em atendimento a legislação pertinente.</t>
  </si>
  <si>
    <t>0008525/2024</t>
  </si>
  <si>
    <t>Substituição de 01 (um) TP  69kV, posição operacional 82BP-1.C da Subestação MRR</t>
  </si>
  <si>
    <t>0008532/2024</t>
  </si>
  <si>
    <t>Substituição de 01 Unidade de Controle no Trafo 04T1, na subestação ARAPIRACA III.</t>
  </si>
  <si>
    <t>TR 230/69 kV ARAPIRACA III TR1 AL</t>
  </si>
  <si>
    <t>0008533/2024</t>
  </si>
  <si>
    <t>11444735</t>
  </si>
  <si>
    <t>Substituição de 01 (um) TP  230kV, posição operacional 84B1.B da Subestação MSI</t>
  </si>
  <si>
    <t>0008535/2024</t>
  </si>
  <si>
    <t>84B1.B</t>
  </si>
  <si>
    <t>Substituição de 01 Unidade de Controle na Entrada de Linha 03C2, na subestação BARREIRAS.</t>
  </si>
  <si>
    <t>0008536/2024</t>
  </si>
  <si>
    <t>11445677</t>
  </si>
  <si>
    <t>Substituição de 01 (um) TP  69kV, posição operacional 82BP-1.A da Subestação RIB</t>
  </si>
  <si>
    <t>0008537/2024</t>
  </si>
  <si>
    <t>Substituição de 01 Unidade de Controle no Trafo 04T2, na subestação BARREIRAS.</t>
  </si>
  <si>
    <t>TR 230/69 kV BARREIRAS TR2 BA</t>
  </si>
  <si>
    <t>0008538/2024</t>
  </si>
  <si>
    <t>11444699</t>
  </si>
  <si>
    <t>Substituição de 01 (um) TP  69kV, posição operacional 82BP-1.B da Subestação RIB</t>
  </si>
  <si>
    <t>0008539/2024</t>
  </si>
  <si>
    <t>Substituição de 01 Unidade de Controle na Trafo 04T4, na subestação BARREIRAS.</t>
  </si>
  <si>
    <t>TR 230/138 kV BARREIRAS TR4 BA</t>
  </si>
  <si>
    <t>0008540/2024</t>
  </si>
  <si>
    <t>11445675</t>
  </si>
  <si>
    <t>Substituição de 01 (um) TP  69kV, posição operacional 82BP-1.C da Subestação RIB</t>
  </si>
  <si>
    <t>0008541/2024</t>
  </si>
  <si>
    <t>Substituição de 01 Unidade de Controle na Interconexão de Barra 13D1, na subestação BARREIRAS.</t>
  </si>
  <si>
    <t>IB 138 kV MG 230 kV BARREIRAS MG1 BA IB2 (13D1)</t>
  </si>
  <si>
    <t>0008542/2024</t>
  </si>
  <si>
    <t>11445678</t>
  </si>
  <si>
    <t>Substituição de 01 (um) PR 230kV,  posição operacional 74TR.M da Subestação MSI</t>
  </si>
  <si>
    <t>TR 500/230 kV MESSIAS TRR1 AL</t>
  </si>
  <si>
    <t>0008543/2024</t>
  </si>
  <si>
    <t>74TR.M</t>
  </si>
  <si>
    <t>Substituição de 01 Unidade de Controle no Trafo 04T3, na subestação MOSSORO II.</t>
  </si>
  <si>
    <t>TR 230/69 kV MOSSORO II TR3 RN</t>
  </si>
  <si>
    <t>0008545/2024</t>
  </si>
  <si>
    <t>11365164</t>
  </si>
  <si>
    <t>Substituição de 01 (um) TP posição operacional 83B2-C da Subestação FNL</t>
  </si>
  <si>
    <t>0008547/2024</t>
  </si>
  <si>
    <t>83B2.C</t>
  </si>
  <si>
    <t>Substituição de 01 Unidade de Controle no Trafo 04T1, na subestação PICI II.</t>
  </si>
  <si>
    <t>0008548/2024</t>
  </si>
  <si>
    <t>11444751</t>
  </si>
  <si>
    <t>LT 345 kV VIANA/VITORIA C-1 ES</t>
  </si>
  <si>
    <t>Substituição de 57 cadeias de isoladores completas ao logo da LT.</t>
  </si>
  <si>
    <t>0008551/2024</t>
  </si>
  <si>
    <t>Substituição de 01 (um) TP 13,8kV posição operacional 81B1 fase A da Subestação ACD.</t>
  </si>
  <si>
    <t>0008553/2024</t>
  </si>
  <si>
    <t>81B1.A</t>
  </si>
  <si>
    <t>Substituição de 01 Unidade de Controle no Reator de Linha 04E1, na subestação PENEDO.</t>
  </si>
  <si>
    <t>RTL 230 kV 10 Mvar PENEDO RT1 AL</t>
  </si>
  <si>
    <t>0008554/2024</t>
  </si>
  <si>
    <t>11444740</t>
  </si>
  <si>
    <t>Substituição de 01 (um) TP 13,8kV posição operacional 81B1 fase C da Subestação ACD.</t>
  </si>
  <si>
    <t>0008555/2024</t>
  </si>
  <si>
    <t>81B1.C</t>
  </si>
  <si>
    <t>Substituição de 49 cadeias de isoladores completas ao logo da LT.</t>
  </si>
  <si>
    <t>0008556/2024</t>
  </si>
  <si>
    <t>Substituição de 01 Unidade de Controle na Entrada de Linha 04S9, na subestação PENEDO.</t>
  </si>
  <si>
    <t>0008557/2024</t>
  </si>
  <si>
    <t>11444741</t>
  </si>
  <si>
    <t>Substituição de 01 Unidade de Controle no Trafo 04T3, na subestação PENEDO.</t>
  </si>
  <si>
    <t>0008559/2024</t>
  </si>
  <si>
    <t>11448988</t>
  </si>
  <si>
    <t>LT 345 kV RIO NOVO DO SUL/VITORIA C-1 ES</t>
  </si>
  <si>
    <t>Substituição de 137 cadeias de isoladores completas ao logo da LT.</t>
  </si>
  <si>
    <t>0008561/2024</t>
  </si>
  <si>
    <t>VITRNS1</t>
  </si>
  <si>
    <t>Substituição de 01 Unidade de Controle no Trafo 04T3, na subestação PICOS.</t>
  </si>
  <si>
    <t>0008562/2024</t>
  </si>
  <si>
    <t>11444754</t>
  </si>
  <si>
    <t>Substituição de 01 (um) disjuntor de 13,8 KV, posição operacional 11Y3 da Subestação TSA.</t>
  </si>
  <si>
    <t>EL 13,8 kV TERESINA DIST3 (01Y3)</t>
  </si>
  <si>
    <t>0008563/2024</t>
  </si>
  <si>
    <t>11Y3</t>
  </si>
  <si>
    <t>LT 345 kV CAMPOS/RIO NOVO DO SUL C-2 RJ/ES</t>
  </si>
  <si>
    <t>Substituição de 93 cadeias de isoladores completas ao logo da LT.</t>
  </si>
  <si>
    <t>0008564/2024</t>
  </si>
  <si>
    <t>Substituição de 01 Unidade de Controle na Entrada de Linha 04L1, na subestação SOBRAL II.</t>
  </si>
  <si>
    <t>0008565/2024</t>
  </si>
  <si>
    <t>11444753</t>
  </si>
  <si>
    <t>Substituição de 100 cadeias de isoladores completas ao longo da LT 500 kV ADRIANOPOLIS /GRAJAU C-1</t>
  </si>
  <si>
    <t>0008568/2024</t>
  </si>
  <si>
    <t>ADRGRA</t>
  </si>
  <si>
    <t>LT 345 kV RIO NOVO DO SUL/VIANA C-1 ES</t>
  </si>
  <si>
    <t>0008570/2024</t>
  </si>
  <si>
    <t>Substituição de 01 Unidade de Controle na Entrada de Linha 04S1, na subestação PIRAPAMA II.</t>
  </si>
  <si>
    <t>0008573/2024</t>
  </si>
  <si>
    <t>12276444</t>
  </si>
  <si>
    <t>0008574/2024</t>
  </si>
  <si>
    <t>ADRSJS</t>
  </si>
  <si>
    <t>LT 500 kV ANGRA FUR /ZONA OESTE C-1 RJ</t>
  </si>
  <si>
    <t>0008576/2024</t>
  </si>
  <si>
    <t>ANGZOE</t>
  </si>
  <si>
    <t>Substituição de 01 Unidade de Controle no Trafo 04T4, na subestação PIRAPAMA II.</t>
  </si>
  <si>
    <t>0008577/2024</t>
  </si>
  <si>
    <t>11444705</t>
  </si>
  <si>
    <t>LT 500 kV B. FLUMINENSE / C. PAULISTA C 1 RJ/SP</t>
  </si>
  <si>
    <t>Substituição de 25 cadeias de isoladores completas ao longo da LT.</t>
  </si>
  <si>
    <t>0008578/2024</t>
  </si>
  <si>
    <t>BFLCHP</t>
  </si>
  <si>
    <t>Substituição de 01 Unidade de Controle no Trafo 04T3, na subestação PIRIPIRI.</t>
  </si>
  <si>
    <t>0008580/2024</t>
  </si>
  <si>
    <t>11444759</t>
  </si>
  <si>
    <t>Substituição de 10 cadeias de isoladores completas ao longo da LT.</t>
  </si>
  <si>
    <t>0008581/2024</t>
  </si>
  <si>
    <t>CHPRSD</t>
  </si>
  <si>
    <t>Substituição de 01 Unidade de Controle na Interconexão de Barra 13D1, na subestação PIRIPIRI.</t>
  </si>
  <si>
    <t>IB 138 kV MG 230 kV PIRIPIRI MG1 PI IB1 (13D1)</t>
  </si>
  <si>
    <t>0008589/2024</t>
  </si>
  <si>
    <t>11444758</t>
  </si>
  <si>
    <t>0008590/2024</t>
  </si>
  <si>
    <t>CHPTAU</t>
  </si>
  <si>
    <t>Substituição de 01 (um) seccionador de 230 KV, posição operacional 34N1-2 da Subestação PRS.</t>
  </si>
  <si>
    <t>0008677/2024</t>
  </si>
  <si>
    <t>34N1-2</t>
  </si>
  <si>
    <t>Substituição de 01 Unidade de Controle no Trafo 04T2, na subestação STO.A.JESUS.</t>
  </si>
  <si>
    <t>0008640/2024</t>
  </si>
  <si>
    <t>11444773</t>
  </si>
  <si>
    <t>Substituição do Sistema de Registro de Perturbação no Compensador Estático 09Q2, na subestação FORTALEZA, composto por: 01 Oscilógrafo.</t>
  </si>
  <si>
    <t>CE 100/-70 MvAr FORTALEZA CE1 CE</t>
  </si>
  <si>
    <t>0008600/2024</t>
  </si>
  <si>
    <t>11462603</t>
  </si>
  <si>
    <t>Substituição de 01 Unidade de Controle na Entrada de Linha 04F3, na subestação STO.A.JESUS.</t>
  </si>
  <si>
    <t>LT 230 kV SAPEACU /STO.A.JESUS C-2 BA</t>
  </si>
  <si>
    <t>0008601/2024</t>
  </si>
  <si>
    <t>11444774</t>
  </si>
  <si>
    <t>Substituição do Sistema de Registro de Perturbação no Trafo 04T1 69 kV, na subestação JOAIRAM, composto por: 01 Oscilógrafo.</t>
  </si>
  <si>
    <t>0008604/2024</t>
  </si>
  <si>
    <t>11449235</t>
  </si>
  <si>
    <t>Substituição de 01 Unidade de Controle na Entrada de Linha 04L2, na subestação STO.A.JESUS.</t>
  </si>
  <si>
    <t>LT 230 kV SAPEACU /STO.A.JESUS C-1 BA</t>
  </si>
  <si>
    <t>0008607/2024</t>
  </si>
  <si>
    <t>11444769</t>
  </si>
  <si>
    <t>Substituição do Sistema de Registro de Perturbação no Trafo 04T2 69 kV, na subestação JOAIRAM, composto por: 01 Oscilógrafo.</t>
  </si>
  <si>
    <t>0008608/2024</t>
  </si>
  <si>
    <t>11449236</t>
  </si>
  <si>
    <t>Substituição de 01 Unidade de Controle na Entrada de Linha 04L3, na subestação STO.A.JESUS.</t>
  </si>
  <si>
    <t>0008609/2024</t>
  </si>
  <si>
    <t>11444771</t>
  </si>
  <si>
    <t>Substituição de 01 (um) dispositivo de proteção posição operacional 05T1-A da Subestação ICA</t>
  </si>
  <si>
    <t>0008610/2024</t>
  </si>
  <si>
    <t>12660407</t>
  </si>
  <si>
    <t>Substituição do Sistema de Automação e Controle dos equipamentos de pátio do CS 01K1, na subestação IRECE, composto por: 01 Painel Exclusivo, 01 CLP, 01 IHM, 01 Medidor, 01 Switch, 01 GPS, 01 distribuidor ótico.</t>
  </si>
  <si>
    <t>0008615/2024</t>
  </si>
  <si>
    <t>12364426</t>
  </si>
  <si>
    <t>Substituição de 01 (um) dispositivo de proteção posição operacional 04T2 da Subestação FNL</t>
  </si>
  <si>
    <t>0008616/2024</t>
  </si>
  <si>
    <t>Substituição do Sistema de Controle de tensão do CS 01K1, na subestação IRECE, composto por: 01 Painel Exclusivo, 01 CLP, 01 IHM, 01 Medidor, 01 Switch.</t>
  </si>
  <si>
    <t>0008618/2024</t>
  </si>
  <si>
    <t>12627689</t>
  </si>
  <si>
    <t>Substituição de 01 (um) dispositivo de proteção posição operacional 04E2-A da Subestação FNL</t>
  </si>
  <si>
    <t>0008619/2024</t>
  </si>
  <si>
    <t>12660408</t>
  </si>
  <si>
    <t>LT 500 kV TERMINAL RIO /C. PAULISTA C-1 RJ/SPP RJ</t>
  </si>
  <si>
    <t>0008621/2024</t>
  </si>
  <si>
    <t>CHPTMR</t>
  </si>
  <si>
    <t>Substituição de 01 (um) dispositivo de proteção posição operacional 04E2-B da Subestação FNL</t>
  </si>
  <si>
    <t>0008622/2024</t>
  </si>
  <si>
    <t>12660409</t>
  </si>
  <si>
    <t>LT 500 kV NOVA IGUACU /GRAJAU C-1 RJ</t>
  </si>
  <si>
    <t>Substituição de 60 cadeias de isoladores completas ao longo da LT 500 kV NOVA IGUACU /GRAJAU C-1.</t>
  </si>
  <si>
    <t>0008628/2024</t>
  </si>
  <si>
    <t>GRANIG</t>
  </si>
  <si>
    <t>Substituição de 01 (um) dispositivo de proteção posição operacional 04E2-C da Subestação FNL</t>
  </si>
  <si>
    <t>0008629/2024</t>
  </si>
  <si>
    <t>12660410</t>
  </si>
  <si>
    <t>LT 500 kV NOVA IGUACU /SAO JOSE C-1 RJ</t>
  </si>
  <si>
    <t>0008630/2024</t>
  </si>
  <si>
    <t>SJSNIG</t>
  </si>
  <si>
    <t>Substituição de 01  (um) dispositivo de proteção posição operacional 04E1-A da Subestação ENP</t>
  </si>
  <si>
    <t>0008632/2024</t>
  </si>
  <si>
    <t>12660411</t>
  </si>
  <si>
    <t>Substituição de 01 (um) TP  posição operacional 84BP-1.A da Subestação FTZ</t>
  </si>
  <si>
    <t>0008635/2024</t>
  </si>
  <si>
    <t>84BP-1.A</t>
  </si>
  <si>
    <t>Substituição de 01  (um) dispositivo de proteção posição operacional 04E1-B da Subestação ENP</t>
  </si>
  <si>
    <t>0008638/2024</t>
  </si>
  <si>
    <t>12660412</t>
  </si>
  <si>
    <t>Substituição de 01 (um) TP 13,8kV posição operacional 81Y1 fase B da Subestação NTD.</t>
  </si>
  <si>
    <t>MG 230 kV NATAL II MG1 RN</t>
  </si>
  <si>
    <t>0008641/2024</t>
  </si>
  <si>
    <t>81Y1.B</t>
  </si>
  <si>
    <t>Substituição de 01  (um) dispositivo de proteção posição operacional 04E1-C da Subestação ENP</t>
  </si>
  <si>
    <t>0008642/2024</t>
  </si>
  <si>
    <t>12660413</t>
  </si>
  <si>
    <t>Substituição de 01 (um) TP 13,8kV posição operacional 81Y1 fase C da Subestação NTD.</t>
  </si>
  <si>
    <t>0008643/2024</t>
  </si>
  <si>
    <t>81Y1.C</t>
  </si>
  <si>
    <t>Substituição de 01  (um) dispositivo de proteção posição operacional 04T2 da Subestação ENP</t>
  </si>
  <si>
    <t>0008645/2024</t>
  </si>
  <si>
    <t>12657429</t>
  </si>
  <si>
    <t>Substituição de 01 (um) TP 13,8kV posição operacional 81B1 fase B da Subestação NTD.</t>
  </si>
  <si>
    <t>0008650/2024</t>
  </si>
  <si>
    <t>LT 500 kV ZONA OESTE /NOVA IGUACU C-1 RJ</t>
  </si>
  <si>
    <t>0008651/2024</t>
  </si>
  <si>
    <t>ZOENIG</t>
  </si>
  <si>
    <t>Substituição de 01 (um) TP 13,8kV posição operacional 81B1 fase C da Subestação NTD.</t>
  </si>
  <si>
    <t>0008655/2024</t>
  </si>
  <si>
    <t>LT 345 kV ADRIANOPOLIS /VENDA PEDRAS C-1 RJ</t>
  </si>
  <si>
    <t>0008657/2024</t>
  </si>
  <si>
    <t>ADRVDP</t>
  </si>
  <si>
    <t>Substituição de 01 (um) TP 13,8kV, posição operacional 81B1-A SE PTU</t>
  </si>
  <si>
    <t>MG PITUACU / CCO-2001-061 - RB</t>
  </si>
  <si>
    <t>0008658/2024</t>
  </si>
  <si>
    <t>Substituição de 01 (um) TP 13,8kV, posição operacional 81B1-B SE PTU</t>
  </si>
  <si>
    <t>0008660/2024</t>
  </si>
  <si>
    <t>81B1.B</t>
  </si>
  <si>
    <t>LT 500 kV ADRIANOPOLIS / B. FLUMINENSE C 1 RJ</t>
  </si>
  <si>
    <t>Substituição de 03 cadeias de isoladores completas ao longo da LT.</t>
  </si>
  <si>
    <t>0008661/2024</t>
  </si>
  <si>
    <t>ADRBFL</t>
  </si>
  <si>
    <t>LT  345 KV JACAREPAGUA / NOVA IGUACU C 1  RJ</t>
  </si>
  <si>
    <t>Substituição de 12 cadeias de isoladores completas ao longo da LT.</t>
  </si>
  <si>
    <t>0008662/2024</t>
  </si>
  <si>
    <t>Substituição de 01 (um) TP 13,8kV, posição operacional 81B1-C SE PTU</t>
  </si>
  <si>
    <t>0008664/2024</t>
  </si>
  <si>
    <t>LT 345 kV MACAE MERCHAN /VENDA PEDRAS C-1 RJ</t>
  </si>
  <si>
    <t>0008666/2024</t>
  </si>
  <si>
    <t>LT RIBEIRO GONÇALVES - BALSAS, C1</t>
  </si>
  <si>
    <t>Substituição de 01 Torre - 171 - RGBS-LT601.</t>
  </si>
  <si>
    <t>0008667/2024</t>
  </si>
  <si>
    <t>RGBS-LT601</t>
  </si>
  <si>
    <t>Substituição de 01 Torre - 172 - RGBS-LT601.</t>
  </si>
  <si>
    <t>0008669/2024</t>
  </si>
  <si>
    <t>Substituição de 05 cadeias de isoladores completas ao longo da LT.</t>
  </si>
  <si>
    <t>0008670/2024</t>
  </si>
  <si>
    <t>LT 345 kV COMPERJ / LAGOS C 1 RJ</t>
  </si>
  <si>
    <t>0008671/2024</t>
  </si>
  <si>
    <t>Substituição de 01 (um) Transformador do Serviços Auxiliares posição operacional 01T1 da Subestação  PCD.</t>
  </si>
  <si>
    <t>0008678/2024</t>
  </si>
  <si>
    <t>11456530</t>
  </si>
  <si>
    <t>Substituição do Sistema de Registro de Perturbação no Compensador Estático 09Q2, na subestação C.GRANDE II, composto por: 01 Oscilógrafo.</t>
  </si>
  <si>
    <t>0008681/2024</t>
  </si>
  <si>
    <t>11462600</t>
  </si>
  <si>
    <t>Substituição do Sistema de Proteção do CS 01K1, na subestação IRECE, composto por: 01 painel exclusivo , 01 relé digital PP, 01 relé digital PA.</t>
  </si>
  <si>
    <t>0008682/2024</t>
  </si>
  <si>
    <t>11360952</t>
  </si>
  <si>
    <t>Substituição de alambrado banco de capacitores 02H2 (75m), na subestação MIRUEIRA, composto por: Remoção do alambrado existente, implantação de novo alambrado do perímetro do banco e de novo portão de acesso.</t>
  </si>
  <si>
    <t>0008684/2024</t>
  </si>
  <si>
    <t>12658414</t>
  </si>
  <si>
    <t>Substituição da pavimentação dos bancos de capacitores 04H1 230 kV (250m² ), na subestação RECIFE II.</t>
  </si>
  <si>
    <t>0008686/2024</t>
  </si>
  <si>
    <t>12658421</t>
  </si>
  <si>
    <t>Substituição de UTR, na subestação B. ESPERANCA, composto por: 03 Unidades Remotas.</t>
  </si>
  <si>
    <t>0008687/2024</t>
  </si>
  <si>
    <t>11444690</t>
  </si>
  <si>
    <t>Substituição de 01 Unidade de Controle no Trafo 04T5, na subestação PIRIPIRI.</t>
  </si>
  <si>
    <t>0008688/2024</t>
  </si>
  <si>
    <t>11444756</t>
  </si>
  <si>
    <t>Substituição de 17 cadeias de isoladores completas ao longo da LT, incluindo pórticos e demais estruturas.</t>
  </si>
  <si>
    <t>0008694/2024</t>
  </si>
  <si>
    <t>CLOVGR</t>
  </si>
  <si>
    <t>0008697/2024</t>
  </si>
  <si>
    <t>ITBCLO</t>
  </si>
  <si>
    <t>LT 345 kV L.C.BARRETO /VOLTA GRANDE C-1 SP/MG</t>
  </si>
  <si>
    <t>LT 345 kV L.C.BARRETO /VOLTA GRANDE C-1 SP/MGC 1 SP/MG</t>
  </si>
  <si>
    <t>0008700/2024</t>
  </si>
  <si>
    <t>LBAVGR1</t>
  </si>
  <si>
    <t>LT 345 kV MARIMBONDO /P. COLOMBIA C-1 MGG</t>
  </si>
  <si>
    <t>0008702/2024</t>
  </si>
  <si>
    <t>MRICLO</t>
  </si>
  <si>
    <t>Substituição de 01 (uma) Seccionadora 69 kV, posição operacional 32T7-4 da Subestação TSA</t>
  </si>
  <si>
    <t>0008703/2024</t>
  </si>
  <si>
    <t>32T7-4</t>
  </si>
  <si>
    <t>LT 500 kV ARARAQUARA FURNAS /CAMPINAS C-1 SP</t>
  </si>
  <si>
    <t>0008705/2024</t>
  </si>
  <si>
    <t>ARACAM</t>
  </si>
  <si>
    <t>Substituição de 01 (uma) Seccionadora 69 kV, posição operacional 32T7-5 da Subestação TSA</t>
  </si>
  <si>
    <t>0008707/2024</t>
  </si>
  <si>
    <t>32T7-5</t>
  </si>
  <si>
    <t>Substituição de 01 (uma) Seccionadora 69 kV, posição operacional 32T7-6 da Subestação TSA</t>
  </si>
  <si>
    <t>0008710/2024</t>
  </si>
  <si>
    <t>32T7-6</t>
  </si>
  <si>
    <t>0008711/2024</t>
  </si>
  <si>
    <t>ARAMAR1</t>
  </si>
  <si>
    <t>0008713/2024</t>
  </si>
  <si>
    <t>ARAMAR2</t>
  </si>
  <si>
    <t>Substituição de 01 (uma) Seccionadora 69 KV posição operacional 32D2-1 da Subestação GNN</t>
  </si>
  <si>
    <t>0008715/2024</t>
  </si>
  <si>
    <t>32D2-1</t>
  </si>
  <si>
    <t>0008716/2024</t>
  </si>
  <si>
    <t>Substituição de sistema de oscilografia Registrador digital de perturbações - RPV 310 -MG230-OSC01-VAO-06EY.</t>
  </si>
  <si>
    <t>0008717/2024</t>
  </si>
  <si>
    <t>OSC01-06EY</t>
  </si>
  <si>
    <t>Substituição de 01 (uma) Seccionadora 69 KV posição operacional 32D2-2 da Subestação GNN</t>
  </si>
  <si>
    <t>0008719/2024</t>
  </si>
  <si>
    <t>32D2-2</t>
  </si>
  <si>
    <t>0008720/2024</t>
  </si>
  <si>
    <t>MRIAVE1</t>
  </si>
  <si>
    <t>LT 500 kV MARIMBONDO /MARIMBONDO II C-1 MG</t>
  </si>
  <si>
    <t>0008721/2024</t>
  </si>
  <si>
    <t>MRIMAR1</t>
  </si>
  <si>
    <t>Substituição de 01 (uma) Seccionadora 69 KV posição operacional 32M6-4 da Subestação GNN</t>
  </si>
  <si>
    <t>0008723/2024</t>
  </si>
  <si>
    <t>32M6-4</t>
  </si>
  <si>
    <t>Substituição de Buchas, Vedação, Painel de instrumentação/ventilação, Válvulas, Indicador de nivel de óleo, Relés de Gás e Bolsa de expansão, Etc, do Transformador MCTF7-01 Fase R - Vão C.</t>
  </si>
  <si>
    <t>0008724/2024</t>
  </si>
  <si>
    <t>LT 500 kV MARIMBONDO /MARIMBONDO II C-2 MG</t>
  </si>
  <si>
    <t>0008725/2024</t>
  </si>
  <si>
    <t>MRIMAR2</t>
  </si>
  <si>
    <t>LT 345 kV VITORIA /PADRE FIALHO C-1 ES/MG</t>
  </si>
  <si>
    <t>Substituição de 17 cadeias de isoladores completas ao longo da LT 345 kV VITORIA /PADRE FIALHO C-1, incluindo pórticos e demais estruturas.</t>
  </si>
  <si>
    <t>0008726/2024</t>
  </si>
  <si>
    <t>VITPFI</t>
  </si>
  <si>
    <t>Substituição de 01 (uma) Seccionadora com lâmina de terra 69 kV, posição operacional 32M6-6/7 da Subestação GNN</t>
  </si>
  <si>
    <t>0008727/2024</t>
  </si>
  <si>
    <t>32M6-6</t>
  </si>
  <si>
    <t>Substituição de 17 cadeias de isoladores completas ao longo da LT 345 kV ADRIANOPOLIS /ITUTINGA C-1, incluindo pórticos e demais estruturas.</t>
  </si>
  <si>
    <t>0008728/2024</t>
  </si>
  <si>
    <t>ADRITU1</t>
  </si>
  <si>
    <t>LT  345 KV BARREIRO 1 / SARZEDO  C 1  MG</t>
  </si>
  <si>
    <t>Substituição de 17 cadeias de isoladores completas ao longo da LT 345 KV BARREIRO 1 / SARZEDO C 1, incluindo pórticos e demais estruturas.</t>
  </si>
  <si>
    <t>0008729/2024</t>
  </si>
  <si>
    <t>BARSZD</t>
  </si>
  <si>
    <t>LT 345 kV BARRO BRANCO /OURO PRETO 2 C-1 MG</t>
  </si>
  <si>
    <t>Substituição de 17 cadeias de isoladores completas ao longo da LT 345 kV BARRO BRANCO /OURO PRETO 2, incluindo pórticos e demais estruturas.</t>
  </si>
  <si>
    <t>0008730/2024</t>
  </si>
  <si>
    <t>BBROPR</t>
  </si>
  <si>
    <t>Substituição de bucha 230kV Fase B do Autotransformador PFAT6-01</t>
  </si>
  <si>
    <t>0008731/2024</t>
  </si>
  <si>
    <t>PFAT6-01</t>
  </si>
  <si>
    <t>LT 345 kV PADRE FIALHO /BARRO BRANCO C-1 MG</t>
  </si>
  <si>
    <t>Substituição de 17 cadeias de isoladores completas ao longo da LT 345 kV PADRE FIALHO /BARRO BRANCO C-1, incluindo pórticos e demais estruturas.</t>
  </si>
  <si>
    <t>0008732/2024</t>
  </si>
  <si>
    <t>BBRPFI</t>
  </si>
  <si>
    <t>LT 345 kV CAMPINAS /POCOS CALDAS C-1 SP/MG</t>
  </si>
  <si>
    <t>Substituição de 17 cadeias de isoladores completas ao longo da LT 345 kV CAMPINAS /POCOS CALDAS C-1, incluindo pórticos e demais estruturas.</t>
  </si>
  <si>
    <t>0008733/2024</t>
  </si>
  <si>
    <t>CAMPCA</t>
  </si>
  <si>
    <t>LT 345 kV ESTREITO /FURNAS C-1 MG</t>
  </si>
  <si>
    <t>Substituição de 17 cadeias de isoladores completas ao longo da LT 345 kV ESTREITO /FURNAS C-1, incluindo pórticos e demais estruturas.</t>
  </si>
  <si>
    <t>0008734/2024</t>
  </si>
  <si>
    <t>FUREST</t>
  </si>
  <si>
    <t>Substituição de 17 cadeias de isoladores completas ao longo da LT 345 kV FURNAS /M. MORAES C-1, incluindo pórticos e demais estruturas.</t>
  </si>
  <si>
    <t>0008752/2024</t>
  </si>
  <si>
    <t>FURMMO</t>
  </si>
  <si>
    <t>LT 345 kV FURNAS /VARGINHA 4 C-1 MG</t>
  </si>
  <si>
    <t>Substituição de 17 cadeias de isoladores completas ao longo da LT 345 kV FURNAS /VARGINHA 4 C-1, incluindo pórticos e demais estruturas.</t>
  </si>
  <si>
    <t>0008756/2024</t>
  </si>
  <si>
    <t>FURVGA</t>
  </si>
  <si>
    <t>LT 345 kV PIMENTA / SARZEDO C 1 MG</t>
  </si>
  <si>
    <t>Substituição de 17 cadeias de isoladores completas ao longo da LT 345 kV PIMENTA / SARZEDO C 1, incluindo pórticos e demais estruturas.</t>
  </si>
  <si>
    <t>0008758/2024</t>
  </si>
  <si>
    <t>PIMSZD</t>
  </si>
  <si>
    <t>LT 345 kV ESTREITO /L.C.BARRETO C-1 MG/SP</t>
  </si>
  <si>
    <t>Substituição de 17 cadeias de isoladores completas ao longo da LT 345 kV ESTREITO /L.C.BARRETO C-1, incluindo pórticos e demais estruturas.</t>
  </si>
  <si>
    <t>LT 345 kV ESTREITO /L.C.BARRETO C-1 MG/SP/SP</t>
  </si>
  <si>
    <t>0008760/2024</t>
  </si>
  <si>
    <t>LBAEST1</t>
  </si>
  <si>
    <t>Substituição do reator de neutro PDRE4-03 à óleo, por núcleo ar - Necessário desligamento da função LT 500 kV MIRANDA II /P.DUTRA C-2 MA.</t>
  </si>
  <si>
    <t>0008762/2024</t>
  </si>
  <si>
    <t>PDRE403</t>
  </si>
  <si>
    <t>LT 345 kV ESTREITO /L.C.BARRETO C-2 MG/SP</t>
  </si>
  <si>
    <t>Substituição de 17 cadeias de isoladores completas ao longo da LT 345 kV ESTREITO /L.C.BARRETO C-2, incluindo pórticos e demais estruturas.</t>
  </si>
  <si>
    <t>LT 345 kV ESTREITO /L.C.BARRETO C-2 MG/SPSP</t>
  </si>
  <si>
    <t>0008764/2024</t>
  </si>
  <si>
    <t>LBAEST2</t>
  </si>
  <si>
    <t>LT 500 kV ARARAQUARA FURNAS /POCOS CALDAS C-1 SP/MG</t>
  </si>
  <si>
    <t>Substituição de 17 cadeias de isoladores completas ao longo da LT 500 kV ARARAQUARA FURNAS /POCOS CALDAS C-1, incluindo pórticos e demais estruturas.</t>
  </si>
  <si>
    <t>0008766/2024</t>
  </si>
  <si>
    <t>ARAPCA1</t>
  </si>
  <si>
    <t>Substituição de 01 (uma) Seccionadora 230 KV posição operacional 34E2-8 da Subestação BNB</t>
  </si>
  <si>
    <t>0008895/2024</t>
  </si>
  <si>
    <t>Substituição de 17 cadeias de isoladores completas ao longo da LT 500 kV POCOS CALDAS /ITAJUBA 3 C-1, incluindo pórticos e demais estruturas.</t>
  </si>
  <si>
    <t>0008767/2024</t>
  </si>
  <si>
    <t>PCAIJU</t>
  </si>
  <si>
    <t>Recuperação de erosão - 2ª etapa Linha Barro Branco Ouro Preto</t>
  </si>
  <si>
    <t>0008774/2024</t>
  </si>
  <si>
    <t>Substituição de 01 (um) TC 13,8kV posição operacional 91Y1 fase A da Subestação NTD.</t>
  </si>
  <si>
    <t>0008792/2024</t>
  </si>
  <si>
    <t>91Y1-1.A</t>
  </si>
  <si>
    <t>Substituição de 01 (um) TC 13,8kV posição operacional 91Y1 fase B da Subestação NTD.</t>
  </si>
  <si>
    <t>0008797/2024</t>
  </si>
  <si>
    <t>91Y1-1.B</t>
  </si>
  <si>
    <t>Substituição de 01 (um) TC 13,8kV posição operacional 91Y1 fase C da Subestação NTD.</t>
  </si>
  <si>
    <t>0008801/2024</t>
  </si>
  <si>
    <t>91Y1-1.C</t>
  </si>
  <si>
    <t>Substituição de 01 (um) TC 69kV, posição operacional 92C2-1.A da Subestação de JDM</t>
  </si>
  <si>
    <t>EL 69 kV JARDIM 02X2 (VAGO) (12C2)</t>
  </si>
  <si>
    <t>0008901/2024</t>
  </si>
  <si>
    <t>92C2-1.A</t>
  </si>
  <si>
    <t>Substituição de 01 (um) TC 69kV, posição operacional 92C2-1.B da Subestação de JDM</t>
  </si>
  <si>
    <t>0008902/2024</t>
  </si>
  <si>
    <t>92C2-1.B</t>
  </si>
  <si>
    <t>Substituição de 01 (um) TC 69kV, posição operacional 92C2-1.C da Subestação de JDM</t>
  </si>
  <si>
    <t>0008903/2024</t>
  </si>
  <si>
    <t>92C2-1.C</t>
  </si>
  <si>
    <t>Substituição do Disjuntor de 69KV - PFDJ4-07.</t>
  </si>
  <si>
    <t>TR 230/69 kV PORTO FRANCO TF3 MA</t>
  </si>
  <si>
    <t>0008849/2024</t>
  </si>
  <si>
    <t>PFDJ407</t>
  </si>
  <si>
    <t>Recuperação de erosão no "Taludes" na LT 345 kV VITORIA /PADRE FIALHO C-1</t>
  </si>
  <si>
    <t>0008872/2024</t>
  </si>
  <si>
    <t>Substituição de 01 (um) disjuntor 13,8 KV, posição operacional 11E1 da subestação BJS</t>
  </si>
  <si>
    <t>RTB 13,8 kV 5 MVAr B.JESUS LAPA RT1 BA</t>
  </si>
  <si>
    <t>0008904/2024</t>
  </si>
  <si>
    <t>11E1</t>
  </si>
  <si>
    <t>Substituição de 01 (um) disjuntor 13,8 KV, posição operacional 11E2 da subestação BJS</t>
  </si>
  <si>
    <t>RTB 13,8 kV 5 MVAr B.JESUS LAPA RT2 BA</t>
  </si>
  <si>
    <t>0008909/2024</t>
  </si>
  <si>
    <t>LT 345 kV IBIÚNA/TIJUCO PRETO C1 SP</t>
  </si>
  <si>
    <t>Recuperação da fundação da torre n° 144 danificada por processo erosivo da LT 345 kV IBIÚNA/TIJUCO PRETO C1</t>
  </si>
  <si>
    <t>0008916/2024</t>
  </si>
  <si>
    <t>IBNTPR1</t>
  </si>
  <si>
    <t>LT 750 kV ITABERÁ/TIJUCO PRETO C1 SP</t>
  </si>
  <si>
    <t>Substituição de 30 esferas de sinalização, referentes a 10 vãos da LT 750 kV ITABERÁ/TIJUCO PRETO C1</t>
  </si>
  <si>
    <t>0008918/2024</t>
  </si>
  <si>
    <t>IABTPR1</t>
  </si>
  <si>
    <t>LT 500 kV CACHOEIRA PAULISTA/TIJUCO PRETO C1 SP</t>
  </si>
  <si>
    <t>Substituição de 442 metros de cabo contrapeso, referentes a 5 torres da LT 500 kV CACHOEIRA PAULISTA/TIJUCO PRETO C1</t>
  </si>
  <si>
    <t>0008919/2024</t>
  </si>
  <si>
    <t>CHPTPR1</t>
  </si>
  <si>
    <t>LT 500 KV TIJUCO PRETO/TAUBATÉ SP</t>
  </si>
  <si>
    <t>Substituição de 557,6 metros de cabo contrapeso, referente a 7 torres da LT 500 KV TIJUCO PRETO/TAUBATÉ</t>
  </si>
  <si>
    <t>0008920/2024</t>
  </si>
  <si>
    <t>LT 345 kV IBIÚNA/TIJUCO PRETO C2 SP</t>
  </si>
  <si>
    <t>Substituição completa de 309 pencas de isoladores (equivalente a 170 cadeias) da LT 345 kV IBIÚNA/TIJUCO PRETO C2</t>
  </si>
  <si>
    <t>0008921/2024</t>
  </si>
  <si>
    <t>IBNTPR2</t>
  </si>
  <si>
    <t>Substituição completa de 38 pencas de isoladores (equivalente a 9 cadeias) da LT 750 kV ITABERÁ/TIJUCO PRETO C1</t>
  </si>
  <si>
    <t>0008922/2024</t>
  </si>
  <si>
    <t>Substituição de 01 (uma) Seccionadora 6,9 kV posição operacional 36H1-7 da Subestação NTD</t>
  </si>
  <si>
    <t>0008923/2024</t>
  </si>
  <si>
    <t>36H1-7</t>
  </si>
  <si>
    <t>Substituição de 01 (uma) Seccionadora 69 kV posição operacional 32B1-1 da Subestação NTD</t>
  </si>
  <si>
    <t>0008924/2024</t>
  </si>
  <si>
    <t>32B1-1</t>
  </si>
  <si>
    <t>Substituição completa de 908 pencas de isoladores (equivalente a 483 cadeias) da LT 750 kV ITABERÁ/TIJUCO PRETO C1</t>
  </si>
  <si>
    <t>0008925/2024</t>
  </si>
  <si>
    <t>Substituição de 01 (uma) Seccionadora 69 kV, posição operacional 32BP-1 da subestação JDM</t>
  </si>
  <si>
    <t>0008926/2024</t>
  </si>
  <si>
    <t>32BP-1</t>
  </si>
  <si>
    <t>LT 750 kV ITABERÁ/TIJUCO PRETO C2 SP</t>
  </si>
  <si>
    <t>Substituição completa de 340 pencas de isoladores (equivalente a 41 cadeias)</t>
  </si>
  <si>
    <t>0008927/2024</t>
  </si>
  <si>
    <t>Substituição de 01 (uma) Seccionadora 69 kV, posição operacional 32BP-2 da subestação JDM</t>
  </si>
  <si>
    <t>0008928/2024</t>
  </si>
  <si>
    <t>32BP-2</t>
  </si>
  <si>
    <t>Substituição completa de 789 pencas de isoladores (equivalente a 463 cadeias).</t>
  </si>
  <si>
    <t>0008929/2024</t>
  </si>
  <si>
    <t>Substituição de 01 (um) TP 3,3kV posição operacional 86B1 fase B da Subestação NTD.</t>
  </si>
  <si>
    <t>0008930/2024</t>
  </si>
  <si>
    <t>86B1.B</t>
  </si>
  <si>
    <t>Substituição de 01 (um) TP 3,3kV posição operacional 86B1 fase C da Subestação NTD.</t>
  </si>
  <si>
    <t>0008931/2024</t>
  </si>
  <si>
    <t>86B1.C</t>
  </si>
  <si>
    <t>Substituição de 01 (um) TP 3,3kV posição operacional 86B2 fase A da Subestação NTD.</t>
  </si>
  <si>
    <t>0008932/2024</t>
  </si>
  <si>
    <t>86B2.A</t>
  </si>
  <si>
    <t>Substituição de 01 (um) TP 3,3kV posição operacional 86B2 fase B da Subestação NTD.</t>
  </si>
  <si>
    <t>0008933/2024</t>
  </si>
  <si>
    <t>86B2.B</t>
  </si>
  <si>
    <t>Substituição de 01 (um) disjuntor 13,8 KV, posição operacional 11T2 da subestação CGD</t>
  </si>
  <si>
    <t>0008945/2024</t>
  </si>
  <si>
    <t>11T2</t>
  </si>
  <si>
    <t>Substituição de 01 (um) TP 3,3kV posição operacional 86B2 fase C da Subestação NTD.</t>
  </si>
  <si>
    <t>0008934/2024</t>
  </si>
  <si>
    <t>86B2.C</t>
  </si>
  <si>
    <t>Substituição de 01 (um) disjuntor 13,8 KV, posição operacional 11T1 da subestação MSD</t>
  </si>
  <si>
    <t>0008946/2024</t>
  </si>
  <si>
    <t>11T1</t>
  </si>
  <si>
    <t>Substituição da Excitatriz CS 01K1, na subestação IRECE, composto por: 01 Excitatriz, 01 disjuntor de campo.</t>
  </si>
  <si>
    <t>0008935/2024</t>
  </si>
  <si>
    <t>12627687</t>
  </si>
  <si>
    <t>Substituição de 01 (um) conjunto de TC de medição 13.8 kV posição operacional 91K1-1 da Subestação IRE</t>
  </si>
  <si>
    <t>0008936/2024</t>
  </si>
  <si>
    <t>12621101</t>
  </si>
  <si>
    <t>Substituição de 01 (um) TC 13.8 kV posição operacional 01K1/BAB42 fase A da Subestação TSD</t>
  </si>
  <si>
    <t>0008937/2024</t>
  </si>
  <si>
    <t>12621984</t>
  </si>
  <si>
    <t>Substituição de 01 (um) TC 13.8 kV posição operacional 01K1/BBA14 fase B da Subestação TSD</t>
  </si>
  <si>
    <t>0008938/2024</t>
  </si>
  <si>
    <t>12621997</t>
  </si>
  <si>
    <t>Substituição de motor do aeroventilador (superior a 7,5  CV) do trocador de calor água/ar do CS 01k1 da TSD.</t>
  </si>
  <si>
    <t>0008939/2024</t>
  </si>
  <si>
    <t>12622071</t>
  </si>
  <si>
    <t>Substituição de uma motobomba (motor&gt;7,5 cv) de água do trocador de calor água/ar do CS 01k1 da TSD</t>
  </si>
  <si>
    <t>0008940/2024</t>
  </si>
  <si>
    <t>12622072</t>
  </si>
  <si>
    <t>Substituição do transformador de partida de 13,8/6,9 kV, posição 04T7 da subestação BJS</t>
  </si>
  <si>
    <t>0008941/2024</t>
  </si>
  <si>
    <t>12574413</t>
  </si>
  <si>
    <t>Substituição do transformador de excitação de 13,8/0,46 kV, posição 04T8 da subestação BJS</t>
  </si>
  <si>
    <t>0008942/2024</t>
  </si>
  <si>
    <t>11456640</t>
  </si>
  <si>
    <t>Substituição de 12 células capacitivas do Banco de capacitores filtro 7ª Harmônica 01H7 CID.</t>
  </si>
  <si>
    <t>0008943/2024</t>
  </si>
  <si>
    <t>12623287</t>
  </si>
  <si>
    <t>Substituição de 01 (um) sistema de monitoramento do Reator 500kV posição operacional 05E2.A da subestação SBT</t>
  </si>
  <si>
    <t>0008944/2024</t>
  </si>
  <si>
    <t>11344092</t>
  </si>
  <si>
    <t>Substituição de 01 (um) TP 3,3kV posição operacional 86B1 fase A da Subestação NTD.</t>
  </si>
  <si>
    <t>0008949/2024</t>
  </si>
  <si>
    <t>86B1.A</t>
  </si>
  <si>
    <t>Substituição de 01 (um) pólo de disjuntor 69 kV, posição operacional 12T2 da subestação de RSD.</t>
  </si>
  <si>
    <t>0008950/2024</t>
  </si>
  <si>
    <t>12660414</t>
  </si>
  <si>
    <t>Substituição de 01 (um) mecanismo de operação do disjuntor de 230 KV, posição operacional 14S4 da Subestação GVM.</t>
  </si>
  <si>
    <t>0008952/2024</t>
  </si>
  <si>
    <t>12628802</t>
  </si>
  <si>
    <t>Substituição de 01 (um) armário de comando do seccionador, posição operacional 34F2-4 da Subestação FTZ.</t>
  </si>
  <si>
    <t>0008954/2024</t>
  </si>
  <si>
    <t>12658274</t>
  </si>
  <si>
    <t>IBIAPINA II</t>
  </si>
  <si>
    <t>Substituição de 01 (um) Dispositivo de Proteção do Transformador 230 kV posição operacional 04T1 da Subestação IBD.</t>
  </si>
  <si>
    <t>TR 230/69 kV IBIAPINA II TR1 CE</t>
  </si>
  <si>
    <t>0008955/2024</t>
  </si>
  <si>
    <t>12611437</t>
  </si>
  <si>
    <t>Substituição de 01 (um) conjunto de contatos fixos do seccionador, posição operacional 34Z1-4 da Subestação PAF.</t>
  </si>
  <si>
    <t>0008957/2024</t>
  </si>
  <si>
    <t>12612174</t>
  </si>
  <si>
    <t>Substituição de 01 (um) conjunto de contatos móveis do seccionador, posição operacional 34Z1-4 da Subestação PAF.</t>
  </si>
  <si>
    <t>0008958/2024</t>
  </si>
  <si>
    <t>12612176</t>
  </si>
  <si>
    <t>Substituir 20,26 km de cabos para-raios (EHS 3/8") em 43 vãos da LT 230 kV LAGOA DO CARRO /PAU FERRO C-1 PE-04F8 (PFE;001/1;001/2;002/1;002/2;003/1;003/2;003/3;004/1;004/2;004/3;005/1;006/1;006/2;007/1;007/2;008/1;008/2;008/3;009/1;009/2;010/1;010/2;011/1;011/2;012/1;012/2;013/1;013/2;014/1;015/1;015/2;016/1;016/2;016/3;017/1;017/2;018/1;018/2;019/1;019/2;020/1;020/2).</t>
  </si>
  <si>
    <t>0008960/2024</t>
  </si>
  <si>
    <t>d-spfeslac-04f8-cprr-000128/2024</t>
  </si>
  <si>
    <t>Substituir 19,05 km de cabos para-raios (EHS 3/8") em 42 vãos da LT 230 kV LAGOA DO CARRO /PAU FERRO C-1 PE-04F8 (021/1;021/2;022/1;022/2;022/3;023/1;023/2;024/1;024/2;025/1;025/2;026/1;026/2;027/1;028/1;028/2;029/1;029/2;029/3;030/1;030/2;031/1;031/2;032/1;032/2;033/1;033/2;034/1;034/2;035/1;035/2;035/3;036/1;036/2;037/1;037/2;037/3;038/1;038/2;039/1;039/2;040/1).</t>
  </si>
  <si>
    <t>0008961/2024</t>
  </si>
  <si>
    <t>d-spfeslac-04f8-cprr-000129/2024</t>
  </si>
  <si>
    <t>Substituir 10,7 km de cabos para-raios (EHS 3/8") em 23 vãos da LT 230 kV COTEMINAS /LAGOA DO CARRO C-1 PB/PE-04F9 (040/2;041/1;041/2;042/1;042/2;042/3;043/1;044/1;044/2;045/1;045/2;046/1;046/2;047/1;047/2;047/3;048/1;048/2;048/3;049/1;049/2;050/1;050/2).</t>
  </si>
  <si>
    <t>0008962/2024</t>
  </si>
  <si>
    <t>d-slacsctm-04f9-cprr-000130/2024</t>
  </si>
  <si>
    <t>Substituir 25 km de cabos para-raios (EHS 3/8") em 45 vãos da LT 230 kV COTEMINAS /LAGOA DO CARRO C-1 PB/PE-04F9 (051/1;052/1;052/2;053/1;053/2;053/3;054/1;055/1;055/2;056/1;056/2;057/1;057/2;058/1;059/1;059/2;060/1;060/2;061/1;061/2;062/1;063/1;063/2;063/3;064/1;065/1;065/2;066/1;067/1;068/1;068/2;069/1;069/2;070/1;071/1;071/2;072/1;072/2;073/1;073/2;074/1;074/2;075/1;075/2;075/3).</t>
  </si>
  <si>
    <t>0008963/2024</t>
  </si>
  <si>
    <t>d-slacsctm-04f9-cprr-000131/2024</t>
  </si>
  <si>
    <t>Substituir 22,55 km de cabos para-raios (EHS 3/8") em 45 vãos da LT 230 kV COTEMINAS /LAGOA DO CARRO C-1 PB/PE-04F9 (076/1;076/2;077/1;077/2;078/1;078/2;079/1;079/2;079/3;080/1;081/1;082/1;083/1;083/2;083/3;084/1;084/2;085/1;085/2;086/1;086/2;087/1;087/2;088/1;088/2;089/1;089/2;090/1;090/2;091/1;091/2;092/1;093/1;093/2;094/1;094/2;094/3;095/1;095/2;096/1;096/2;097/1;097/2;098/1;098/2).</t>
  </si>
  <si>
    <t>0008964/2024</t>
  </si>
  <si>
    <t>d-slacsctm-04f9-cprr-000132/2024</t>
  </si>
  <si>
    <t>Substituir 23,73 km de cabos para-raios (EHS 3/8") em 46 vãos da LT 230 kV COTEMINAS /LAGOA DO CARRO C-1 PB/PE-04F9 (098/3;099/1;099/2;100/1;100/2;101/1;101/2;102/1;102/2;103/1;104/1;104/2;105/1;106/1;106/2;107/1;108/1;108/2;109/1;109/2;110/1;110/2;111/1;111/2;112/1;112/2;113/1;113/2;113/3;114/1;115/1;115/2;116/1;116/2;117/1;117/2;117/3;118/1;118/2;119/1;119/2;120/1;120/2;120/3;121/1;121/2).</t>
  </si>
  <si>
    <t>0008965/2024</t>
  </si>
  <si>
    <t>d-slacsctm-04f9-cprr-000133/2024</t>
  </si>
  <si>
    <t>Substituir 55,73 km de cabos para-raios (Alumoweld) em 60 vãos da LT 500 kV ANGELIM II /PAU FERRO C-1 PE-05L3 (AGD;000/1;000/2;000/3;001/1;002/1;002/2;002/3;003/1;003/2;003/3;003/4;004/1;004/2;005/1;005/2;005/3;005/4;006/1;006/2;006/3;007/1;007/2;008/1;008/2;009/1;009/2;010/1;010/2;011/1;011/2;012/1;012/2;013/1;013/2;014/1;015/1;016/1;016/2;017/1;018/1;018/2;019/1;019/2;020/1;020/2;021/1;021/2;021/3;022/1;022/2;023/1;024/1;024/2;025/1;025/2;026/1;026/2;027/1;027/2).</t>
  </si>
  <si>
    <t>0008966/2024</t>
  </si>
  <si>
    <t>d-sagdspfe-05l3-cprr-000134/2024</t>
  </si>
  <si>
    <t>Substituir 60,03 km de cabos para-raios (Alumoweld) em 60 vãos da LT 500 kV ANGELIM II /PAU FERRO C-1 PE-05L3 (028/1;028/2;028/3;029/1;030/1;030/2;031/1;031/2;032/1;033/1;033/2;033/3;034/1;035/1;035/2;036/1;036/2;037/1;037/2;038/1;039/1;039/2;039/3;040/1;040/2;041/1;041/2;042/1;043/1;043/2;043/3;044/1;044/2;045/1;045/2;046/1;047/1;047/2;048/1;048/2;049/1;049/2;050/1;050/2;051/1;051/2;052/1;052/2;052/3;053/1;053/2;054/1;054/2;055/1;055/2;056/1;056/2;057/1;057/2;057/3).</t>
  </si>
  <si>
    <t>0008967/2024</t>
  </si>
  <si>
    <t>d-sagdspfe-05l3-cprr-000135/2024</t>
  </si>
  <si>
    <t>Substituir 44,88 km de cabos para-raios (Alumoweld) em 52 vãos da LT 500 kV ANGELIM II /PAU FERRO C-1 PE-05L3 (057/4;058/1;058/2;059/1;059/2;060/1;060/2;061/1;061/2;061/3;062/1;063/1;063/2;064/1;064/2;064/3;065/1;065/2;066/1;066/2;066/3;067/1;067/2;067/3;068/1;068/2;068/3;069/1;070/1;070/2;070/3;071/1;071/2;072/1;072/2;073/1;073/2;073/3;074/1;074/2;074/3;075/1;075/2;076/1;076/2;077/1;077/2;078/1;078/2;079/1;079/2;079/3).</t>
  </si>
  <si>
    <t>0008968/2024</t>
  </si>
  <si>
    <t>d-sagdspfe-05l3-cprr-000136/2024</t>
  </si>
  <si>
    <t>Substituir 49,14 km de cabos para-raios (Alumoweld) em 60 vãos da LT 500 kV ANGELIM II /PAU FERRO C-1 PE-05L3 (080/1;080/2;081/1;081/2;081/3;082/1;082/2;082/3;083/1;083/2;083/3;084/1;084/2;085/1;085/2;085/3;086/1;086/2;087/1;087/2;088/1;088/2;088/3;089/1;089/2;090/1;090/2;091/1;092/1;092/2;093/1;093/2;093/3;094/1;094/2;095/1;096/1;096/2;096/3;097/1;097/2;098/1;098/2;098/3;098/4;099/1;099/2;100/1;100/2;100/3;100/4;101/1;101/2;101/3;102/1;102/2;103/1;103/2;103/3;104/1).</t>
  </si>
  <si>
    <t>0008969/2024</t>
  </si>
  <si>
    <t>d-sagdspfe-05l3-cprr-000137/2024</t>
  </si>
  <si>
    <t>Substituir 46,16 km de cabos para-raios (Alumoweld) em 60 vãos da LT 500 kV ANGELIM II /PAU FERRO C-1 PE-05L3 (104/2;105/1;105/2;106/1;106/2;107/1;107/2;107/3;108/1;108/2;109/1;109/2;109/3;110/1;110/2;110/3;111/1;111/2;111/3;112/1;112/2;112/3;113/1;113/2;114/1;114/2;115/1;115/2;115/3;115/4;116/1;116/2;117/1;117/2;118/1;118/2;118/3;119/1;119/2;119/3;120/1;121/1;121/2;121/3;122/1;122/2;122/3;123/1;123/2;123/3;124/1;124/2;124/3;125/1;125/2;126/1;126/2;126/3;127/1;127/2).</t>
  </si>
  <si>
    <t>0008970/2024</t>
  </si>
  <si>
    <t>d-sagdspfe-05l3-cprr-000138/2024</t>
  </si>
  <si>
    <t>Substituir 21,99 km de cabos para-raios (Alumoweld) em 27 vãos da LT 500 kV ANGELIM II /PAU FERRO C-1 PE-05L3 (127/3;128/1;128/2;128/3;128/4;129/1;129/2;129/3;130/1;130/2;130/3;131/1;131/2;132/1;132/2;132/3;133/1;133/2;133/3;134/1;135/1;136/1;136/2;136/3;137/1;137/2;138/1).</t>
  </si>
  <si>
    <t>0008971/2024</t>
  </si>
  <si>
    <t>d-sagdspfe-05l3-cprr-000139/2024</t>
  </si>
  <si>
    <t>Substituir 48,75 km de cabos para-raios (Alumoweld) em 82 vãos da LT 500 kV OLINDINA /CAMACARI II C-1 BA-05L4 (OLD;1;2;3;4;5;6;7;8;9;10;11;12;13;14;15;16;17;18;19;20;21;22;23;24;25;26;27;28;29;30;31;32;33;34;35;36;37;38;39;40;41;42;43;44;45;46;47;48;49;50;51;52;53;54;55;56;57;58;59;60;61;62;63;64;65;66;67;68;69;70;71;72;73;74;75;76;77;78;79;80;81).</t>
  </si>
  <si>
    <t>0008972/2024</t>
  </si>
  <si>
    <t>d-soldscmd-05l4-cprr-000141/2024</t>
  </si>
  <si>
    <t>Substituir 54,16 km de cabos para-raios (Alumoweld) em 82 vãos da LT 500 kV OLINDINA /CAMACARI II C-1 BA-05L4 (82;83;84;85;86;87;88;89;90;91;92;93;94;95;96;97;98;99;100;101;102;103;104;105;106;107;108;109;110;111;112;113;114;115;116;117;118;119;120;121;122;123;124;125;126;127;128;129;130;131;132;133;134;135;136;137;138;139;140;141;142;143;144;145;146;147;148;149;150;151;152;153;154;155;156;157;158;159;160;161;162;163).</t>
  </si>
  <si>
    <t>0008973/2024</t>
  </si>
  <si>
    <t>d-soldscmd-05l4-cprr-000142/2024</t>
  </si>
  <si>
    <t>Substituir 52,95 km de cabos para-raios (EHS 3/8") em 82 vãos da LT 500 kV OLINDINA /CAMACARI II C-1 BA-05L4 (164;165;166;167;168;169;170;171;172;173;174;175;176;177;178;179;180;181;182;183;184;185;186;187;188;189;190;191;192;193;194;195;196;197;198;199;200;201;202;203;204;205;206;207;208;209;210;211;212;213;214;215;216;217;218;219;220;221;222;223;224;225;226;227;228;229;230;231;232;233;234;235;236;237;238;239;240;241;242;243;244;245).</t>
  </si>
  <si>
    <t>0008974/2024</t>
  </si>
  <si>
    <t>d-soldscmd-05l4-cprr-000143/2024</t>
  </si>
  <si>
    <t>Substituir 50,37 km de cabos para-raios (EHS 3/8") em 82 vãos da LT 500 kV OLINDINA /CAMACARI II C-1 BA-05L4 (246;247;248;249;250;251;252;253;254;255;256;257;258;259;260;261;262;263;264;265;266;267;268;269;270;271;272;273;274;275;276;277;278;279;280;281;282;283;284;285;286;287;288;289;290;291;292;293;294;295;296;297;298;299;300;301;302;303;304;305;306;307;308;309;310;311;312;313;314;315;316;317;318;319;320;321;322;323;324;325;326;327).</t>
  </si>
  <si>
    <t>0008975/2024</t>
  </si>
  <si>
    <t>d-soldscmd-05l4-cprr-000144/2024</t>
  </si>
  <si>
    <t>Substituir 67,33 km de cabos para-raios (EHS 3/8") em 82 vãos da LT 500 kV OLINDINA /CAMACARI II C-1 BA-05L4 (328;329;330;331;332;333;334;335;336;337;338;339;340;341;342;343;344;345;346;347;348;349;350;351;352;353;354;355;356;357;358;359;360;361;362;363;364;365;366;367;368;369;370;371;372;373;374;375;376;377;378;379;380;381;382;383;384;385;386;387;388;389;390;391;392;393;394;395;396;397;398;399;400;401;402;403;404;405;406;407;408;409).</t>
  </si>
  <si>
    <t>0008976/2024</t>
  </si>
  <si>
    <t>d-soldscmd-05l4-cprr-000145/2024</t>
  </si>
  <si>
    <t>Substituir 20,92 km de cabos para-raios (EHS 3/8") em 29 vãos da LT 500 kV OLINDINA /CAMACARI II C-1 BA-05L4 (410;411;412;413;414;415;416;417;418;419;420;421;422;423;424;425;426;427;428;429;430;431;432;433;434;435;436;437;438).</t>
  </si>
  <si>
    <t>0008977/2024</t>
  </si>
  <si>
    <t>d-soldscmd-05l4-cprr-000146/2024</t>
  </si>
  <si>
    <t>Substituir 32,74 km de cabos para-raios (EHS 3/8") em 55 vãos da LT 230 kV SAPEACU /FUNIL C-1 BA-04F1 (SPU;001/1;001/2;001/3;002/1;002/2;002/3;002/4;002/5;002/6;003/1;003/2;004/1;004/2;004/3;004/4;005/1;005/2;005/3;006/1;006/2;006/3;007/1;007/2;007/3;008/1;008/2;008/3;008/4;009/1;009/2;009/3;010/1;010/2;010/3;010/4;011/1;011/2;012/1;012/2;012/3;013/1;013/2;013/3;013/4;014/1;014/2;014/3;015/1;015/2;015/3;016/1;016/2;016/3;016/4).</t>
  </si>
  <si>
    <t>0008978/2024</t>
  </si>
  <si>
    <t>d-sspusfnl-04f1-cprr-000147/2024</t>
  </si>
  <si>
    <t>Substituir 33,53 km de cabos para-raios (EHS 3/8") em 55 vãos da LT 230 kV SAPEACU /FUNIL C-1 BA-04F1 (017/1;017/2;017/3;018/1;018/2;019/1;019/2;019/3;020/1;020/2;020/3;021/1;021/2;021/3;022/1;022/2;022/3;022/4;023/1;023/2;023/3;023/4;023/5;024/1;024/2;024/3;024/4;025/1;025/2;025/3;025/4;026/1;026/2;026/3;027/1;027/2;027/3;028/1;028/2;028/3;029/1;029/2;029/3;030/1;030/2;030/3;031/1;031/2;031/3;032/1;032/2;032/3;033/1;033/2;033/3).</t>
  </si>
  <si>
    <t>0008979/2024</t>
  </si>
  <si>
    <t>d-sspusfnl-04f1-cprr-000148/2024</t>
  </si>
  <si>
    <t>Substituir 38,16 km de cabos para-raios (EHS 3/8") em 60 vãos da LT 230 kV SAPEACU /FUNIL C-1 BA-04F1 (033/4;034/1;034/2;035/1;035/2;035/3;036/1;036/2;036/3;037/1;037/2;037/3;038/1;038/2;038/3;038/4;038/5;039/1;039/2;039/3;040/1;040/2;040/3;041/1;041/2;041/3;042/1;042/2;043/1;043/2;043/3;044/1;044/2;044/3;045/1;045/2;045/3;045/4;046/1;046/2;046/3;046/4;047/1;047/2;047/3;048/1;048/2;048/3;049/1;049/2;049/3;049/4;050/1;050/2;051/1;051/2;051/3;052/1;052/2;052/3).</t>
  </si>
  <si>
    <t>0008980/2024</t>
  </si>
  <si>
    <t>d-sspusfnl-04f1-cprr-000149/2024</t>
  </si>
  <si>
    <t>Substituir 37,01 km de cabos para-raios (EHS 3/8") em 60 vãos da LT 230 kV SAPEACU /FUNIL C-1 BA-04F1 (053/1;053/2;053/3;054/1;054/2;054/3;055/1;055/2;055/3;056/1;056/2;056/3;057/1;057/2;057/3;057/4;058/1;058/2;058/3;059/1;059/2;059/3;060/1;060/2;060/3;060/4;061/1;061/2;061/3;062/1;062/2;062/3;062/4;063/1;063/2;063/3;063/4;064/1;064/2;064/3;065/1;065/2;065/3;066/1;066/2;066/3;067/1;067/2;068/1;068/2;068/3;069/1;069/2;069/3;069/4;070/1;070/2;070/3;071/1;071/2).</t>
  </si>
  <si>
    <t>0008981/2024</t>
  </si>
  <si>
    <t>d-sspusfnl-04f1-cprr-000150/2024</t>
  </si>
  <si>
    <t>Substituir 42,88 km de cabos para-raios (EHS 3/8") em 60 vãos da LT 230 kV SAPEACU /FUNIL C-1 BA-04F1 (071/3;071/4;072/1;072/2;072/3;073/1;073/2;073/3;073/4;074/1;074/2;075/1;075/2;076/1;076/2;077/1;078/1;078/2;078/3;079/1;079/2;079/3;080/1;080/2;080/3;081/1;081/2;081/3;082/1;082/2;083/1;083/2;083/3;084/1;084/2;084/3;085/1;085/2;085/3;085/4;086/1;086/2;086/3;087/1;087/2;087/3;087/4;088/1;088/2;088/3;089/1;089/2;089/3;090/1;090/2;090/3;091/1;091/2;091/3;092/1).</t>
  </si>
  <si>
    <t>0008982/2024</t>
  </si>
  <si>
    <t>d-sspusfnl-04f1-cprr-000151/2024</t>
  </si>
  <si>
    <t>Substituir 49,21 km de cabos para-raios (EHS 3/8") em 60 vãos da LT 230 kV SAPEACU /FUNIL C-1 BA-04F1 (092/2;093/1;093/2;094/1;094/2;094/3;095/1;095/2;095/3;096/1;096/2;097/1;097/2;098/1;098/2;098/3;099/1;099/2;099/3;100/1;100/2;100/3;100/4;101/1;101/2;102/1;102/2;102/3;103/1;103/2;103/3;104/1;104/2;105/1;105/2;106/1;106/2;107/1;107/2;107/3;108/1;109/1;109/2;110/1;110/2;110/3;111/1;111/2;112/1;112/2;113/1;113/2;114/1;114/2;115/1;115/2;115/3;116/1;116/2;117/1).</t>
  </si>
  <si>
    <t>0008983/2024</t>
  </si>
  <si>
    <t>d-sspusfnl-04f1-cprr-000152/2024</t>
  </si>
  <si>
    <t>Substituir 60,99 km de cabos para-raios (EHS 3/8") em 60 vãos da LT 230 kV SAPEACU /FUNIL C-1 BA-04F1 (117/2;117/3;118/1;118/2;119/1;119/2;119/3;120/1;120/2;121/1;121/2;122/1;122/2;123/1;123/2;124/1;125/1;126/1;127/1;127/2;127/3;128/1;129/1;130/1;130/2;131/1;132/1;132/2;133/1;134/1;134/2;135/1;135/2;136/1;136/2;137/1;138/1;138/2;138/3;139/1;140/1;140/2;140/3;141/1;141/2;142/1;142/2;143/1;143/2;144/1;144/2;144/3;145/1;145/2;145/3;146/1;146/2;147/1;147/2;147/3).</t>
  </si>
  <si>
    <t>0008984/2024</t>
  </si>
  <si>
    <t>d-sspusfnl-04f1-cprr-000153/2024</t>
  </si>
  <si>
    <t>Substituir 58,41 km de cabos para-raios (EHS 3/8") em 60 vãos da LT 230 kV SAPEACU /FUNIL C-1 BA-04F1 (148/1;148/2;149/1;149/2;150/1;150/2;150/3;151/1;151/2;151/3;152/1;153/1;153/2;153/3;154/1;154/2;155/1;156/1;156/2;156/3;157/1;157/2;158/1;158/2;159/1;159/2;160/1;160/2;160/3;161/1;162/1;162/2;163/1;163/2;164/1;164/2;164/3;165/1;166/1;167/1;167/2;168/1;168/2;169/1;169/2;170/1;170/2;170/3;171/1;171/2;171/3;172/1;172/2;173/1;173/2;174/1;174/2;175/1;175/2;176/1).</t>
  </si>
  <si>
    <t>0008985/2024</t>
  </si>
  <si>
    <t>d-sspusfnl-04f1-cprr-000154/2024</t>
  </si>
  <si>
    <t>Substituir 37,91 km de cabos para-raios (EHS 3/8") em 41 vãos da LT 230 kV SAPEACU /FUNIL C-1 BA-04F1 (177/1;177/2;178/1;179/1;180/1;180/2;181/1;181/2;182/1;182/2;183/1;183/2;184/1;184/2;185/1;185/2;186/1;186/2;187/1;187/2;187/3;188/1;188/2;189/1;189/2;190/1;190/2;191/1;191/2;192/1;192/2;192/3;193/1;193/2;194/1;194/2;194/3;195/1;196/1;196/2;196/3).</t>
  </si>
  <si>
    <t>0008986/2024</t>
  </si>
  <si>
    <t>d-sspusfnl-04f1-cprr-000155/2024</t>
  </si>
  <si>
    <t>Substituição de Teleproteção Principal na LT SAPEACU /STO.A.JESUS C-2 (04F3), na subestação SAPEACU, composto por: 01 Transceptor de dados.</t>
  </si>
  <si>
    <t>0008987/2024</t>
  </si>
  <si>
    <t>11373911</t>
  </si>
  <si>
    <t>Substituição de Teleproteção Alternada na LT SAPEACU /STO.A.JESUS C-2 (04F3), na subestação SAPEACU, composto por: 01 Transceptor de dados.</t>
  </si>
  <si>
    <t>0008988/2024</t>
  </si>
  <si>
    <t>11373913</t>
  </si>
  <si>
    <t>Substituição de Teleproteção Principal na LT PARAISO /ACU II C-2 (04L4), na subestação PARAISO, composto por: 01 Transceptor de dados.</t>
  </si>
  <si>
    <t>0008989/2024</t>
  </si>
  <si>
    <t>11369890</t>
  </si>
  <si>
    <t>Substituição de Teleproteção Alternada na LT PARAISO /ACU II C-2 (04L4), na subestação PARAISO, composto por: 01 Transceptor de dados.</t>
  </si>
  <si>
    <t>0008990/2024</t>
  </si>
  <si>
    <t>11369891</t>
  </si>
  <si>
    <t>Substituição de Teleproteção Principal na LT SAPEACU /STO.A.JESUS C-2 (04F3), na subestação STO.A.JESUS, composto por: 01 Transceptor de dados.</t>
  </si>
  <si>
    <t>0008991/2024</t>
  </si>
  <si>
    <t>11372998</t>
  </si>
  <si>
    <t>Substituição de Teleproteção Alternada na LT SAPEACU /STO.A.JESUS C-2 (04F3), na subestação STO.A.JESUS, composto por: 01 Transceptor de dados.</t>
  </si>
  <si>
    <t>0008992/2024</t>
  </si>
  <si>
    <t>11372994</t>
  </si>
  <si>
    <t>Substituição de Teleproteção Principal na LT PARAISO /ACU II C-2 (04L4), na subestação ACU II, composto por: 01 Transceptor de dados.</t>
  </si>
  <si>
    <t>0008993/2024</t>
  </si>
  <si>
    <t>11369888</t>
  </si>
  <si>
    <t>Substituição de Teleproteção Alternada na LT PARAISO /ACU II C-2 (04L4), na subestação ACU II, composto por: 01 Transceptor de dados.</t>
  </si>
  <si>
    <t>0008994/2024</t>
  </si>
  <si>
    <t>11369889</t>
  </si>
  <si>
    <t>Substituição de 01 (um) disjuntor 13,8 KV, posição operacional 11BP da subestação FNL</t>
  </si>
  <si>
    <t>0008995/2024</t>
  </si>
  <si>
    <t>11BP</t>
  </si>
  <si>
    <t>Substituição de 01 (um) disjuntor 13,8 KV, posição operacional 11E2 da subestação IRE</t>
  </si>
  <si>
    <t>0008996/2024</t>
  </si>
  <si>
    <t>Substituição de 01 (um) disjuntor 13,8 KV, posição operacional 11T5 da subestação MLG</t>
  </si>
  <si>
    <t>0008997/2024</t>
  </si>
  <si>
    <t>11T5</t>
  </si>
  <si>
    <t>Substituição de 01 (um) disjuntor 13,8 KV, posição operacional 11T6 da subestação MLG</t>
  </si>
  <si>
    <t>MC 13,8 kV TR 69/13,8 kV MILAGRES TR6 CE (31T6-9)</t>
  </si>
  <si>
    <t>0009001/2024</t>
  </si>
  <si>
    <t>11T6</t>
  </si>
  <si>
    <t>Substituição de 01 (um) disjuntor 13,8 KV, posição operacional 11E1 da subestação PRI</t>
  </si>
  <si>
    <t>0008998/2024</t>
  </si>
  <si>
    <t>Substituição de 01 (um) disjuntor 13,8 KV, posição operacional 11E1 da subestação MSD</t>
  </si>
  <si>
    <t>RTB 13,8 kV 5 MVAr MOSSORO II RT1 RN</t>
  </si>
  <si>
    <t>0008999/2024</t>
  </si>
  <si>
    <t>Substituição de 01 (um) disjuntor 13,8 KV, posição operacional 11T2 da subestação MSD</t>
  </si>
  <si>
    <t>TR 230/69 kV MOSSORO II TR2 RN</t>
  </si>
  <si>
    <t>0009000/2024</t>
  </si>
  <si>
    <t>Substituição de 01 (um) disjuntor 13,8 KV, posição operacional 11T3 da subestação MLG</t>
  </si>
  <si>
    <t>0009002/2024</t>
  </si>
  <si>
    <t>11T3</t>
  </si>
  <si>
    <t>Substituição de 01 (um) disjuntor 13,8 KV, posição operacional 11T4 da subestação MLG</t>
  </si>
  <si>
    <t>0009003/2024</t>
  </si>
  <si>
    <t>11T4</t>
  </si>
  <si>
    <t>Substituição de 01 (uma) seccionadora 13,8 KV, posição operacional 31T3-4 da subestação MLG</t>
  </si>
  <si>
    <t>0009004/2024</t>
  </si>
  <si>
    <t>31T3-4</t>
  </si>
  <si>
    <t>Substituição de 01 (uma) seccionadora 13,8 KV, posição operacional 31T3-5 da subestação MLG</t>
  </si>
  <si>
    <t>0009005/2024</t>
  </si>
  <si>
    <t>31T3-5</t>
  </si>
  <si>
    <t>Substituição de 01 (um) disjuntor 13,8 KV, posição operacional 11Y1 da subestação FNL</t>
  </si>
  <si>
    <t>EL 13,8 kV FUNIL GER1 (11Y1)</t>
  </si>
  <si>
    <t>0009006/2024</t>
  </si>
  <si>
    <t>11Y1</t>
  </si>
  <si>
    <t>Substituição do Sistema de Registro de Perturbação, na subestação ACU II, composto por: 01 Oscilógrafo.</t>
  </si>
  <si>
    <t>0009007/2024</t>
  </si>
  <si>
    <t>12445253</t>
  </si>
  <si>
    <t>Substituição do Sistema de Registro de Perturbação, na subestação COTEGIPE, composto por: 01 Oscilógrafo.</t>
  </si>
  <si>
    <t>0009008/2024</t>
  </si>
  <si>
    <t>11449349</t>
  </si>
  <si>
    <t>Substituição do Sistema de Registro de Perturbação, na subestação DELM. GOUVEIA, composto por: 01 Oscilógrafo.</t>
  </si>
  <si>
    <t>0009009/2024</t>
  </si>
  <si>
    <t>11449278</t>
  </si>
  <si>
    <t>Substituição do Sistema de Registro de Perturbação, na subestação PICOS, composto por: 01 Oscilógrafo.</t>
  </si>
  <si>
    <t>0009010/2024</t>
  </si>
  <si>
    <t>11446278</t>
  </si>
  <si>
    <t>Substituição do Sistema de Registro de Perturbação, na subestação STO.A.JESUS, composto por: 01 Oscilógrafo.</t>
  </si>
  <si>
    <t>0009011/2024</t>
  </si>
  <si>
    <t>11446326</t>
  </si>
  <si>
    <t>Substituição de 01 Unidade de Controle no Módulo Geral, na subestação PICOS.</t>
  </si>
  <si>
    <t>0009012/2024</t>
  </si>
  <si>
    <t>12406411</t>
  </si>
  <si>
    <t>Substituição de 01 (um) pólo de disjuntor 230 KV, posição operacional 14T2 da Subestação RSD</t>
  </si>
  <si>
    <t>0009013/2024</t>
  </si>
  <si>
    <t>12660128</t>
  </si>
  <si>
    <t>Substituição de 01 (uma) seccionadora 13,8 KV, posição operacional 31T4-4 da subestação MLG</t>
  </si>
  <si>
    <t>0009017/2024</t>
  </si>
  <si>
    <t>31T4-4</t>
  </si>
  <si>
    <t>Substituição de 01 (uma) seccionadora 13,8 KV, posição operacional 31T4-5 da subestação MLG</t>
  </si>
  <si>
    <t>0009018/2024</t>
  </si>
  <si>
    <t>31T4-5</t>
  </si>
  <si>
    <t>Substituição de 01 (um) transformador de corrente 13,8 KV, posição operacional 91T3.A da subestação MLG</t>
  </si>
  <si>
    <t>0009027/2024</t>
  </si>
  <si>
    <t>91T3.A</t>
  </si>
  <si>
    <t>Substituição de 01 (um) transformador de corrente 13,8 KV, posição operacional 91T3.B da subestação MLG</t>
  </si>
  <si>
    <t>0009028/2024</t>
  </si>
  <si>
    <t>91T3.B</t>
  </si>
  <si>
    <t>Substituição de 01 (um) transformador de corrente 13,8 KV, posição operacional 91T3.C da subestação MLG</t>
  </si>
  <si>
    <t>0009029/2024</t>
  </si>
  <si>
    <t>91T3.C</t>
  </si>
  <si>
    <t>Substituição de 01 (um) transformador de corrente 13,8 KV, posição operacional 91T4.A da subestação MLG</t>
  </si>
  <si>
    <t>0009030/2024</t>
  </si>
  <si>
    <t>91T4.A</t>
  </si>
  <si>
    <t>Substituição de 01 (um) transformador de corrente 13,8 KV, posição operacional 91T4.B da subestação MLG</t>
  </si>
  <si>
    <t>0009031/2024</t>
  </si>
  <si>
    <t>91T4-A.B</t>
  </si>
  <si>
    <t>Substituição de 01 (um) transformador de corrente 13,8 KV, posição operacional 91T4.C da subestação MLG</t>
  </si>
  <si>
    <t>0009032/2024</t>
  </si>
  <si>
    <t>91T4-A.C</t>
  </si>
  <si>
    <t>Substituição de 01 (um) transformador de corrente 13,8 KV, posição operacional 91T4.A-A da subestação MLG</t>
  </si>
  <si>
    <t>0009033/2024</t>
  </si>
  <si>
    <t>91T4-A.A</t>
  </si>
  <si>
    <t>Substituição de 01 (um) disjuntor 13,8 KV, posição operacional 11E1 da subestação IRE.</t>
  </si>
  <si>
    <t>0009034/2024</t>
  </si>
  <si>
    <t>Substituição de 2000 metros de Cabo Isolado de 13,8 kV, posição operacional 11T3 da subestação MLG</t>
  </si>
  <si>
    <t>0009035/2024</t>
  </si>
  <si>
    <t>12660134</t>
  </si>
  <si>
    <t>Substituição de 2000 metros de Cabo Isolado de 13,8 kV, posição operacional 11T4 da subestação MLG</t>
  </si>
  <si>
    <t>0009036/2024</t>
  </si>
  <si>
    <t>12660135</t>
  </si>
  <si>
    <t>Substituição de 01 (um) painel de fechamento de delta de 13,8 KV, posição operacional 05T1 da subestação CMD</t>
  </si>
  <si>
    <t>0009037/2024</t>
  </si>
  <si>
    <t>12658281</t>
  </si>
  <si>
    <t>Substituição de 01 (um) painel de fechamento de delta de 13,8 KV, posição operacional 05T2 da subestação CMD</t>
  </si>
  <si>
    <t>0009038/2024</t>
  </si>
  <si>
    <t>12658282</t>
  </si>
  <si>
    <t>Substituição de 01 (um) painel de fechamento de delta de 13,8 KV, posição operacional 05T3 da subestação CMD</t>
  </si>
  <si>
    <t>0009039/2024</t>
  </si>
  <si>
    <t>12658283</t>
  </si>
  <si>
    <t>Substituição de 01 (um) painel de ventilação 13,8 KV, posição operacional 05T1 da subestação CMD</t>
  </si>
  <si>
    <t>0009040/2024</t>
  </si>
  <si>
    <t>12660138</t>
  </si>
  <si>
    <t>Substituição de 01 (um) painel de ventilação 13,8 KV, posição operacional 05T2 da subestação CMD</t>
  </si>
  <si>
    <t>0009041/2024</t>
  </si>
  <si>
    <t>12660139</t>
  </si>
  <si>
    <t>Substituição de 01 (um) painel de ventilação 13,8 KV, posição operacional 05T3 da subestação CMD</t>
  </si>
  <si>
    <t>0009042/2024</t>
  </si>
  <si>
    <t>12660137</t>
  </si>
  <si>
    <t>Substituição de proteção de Barra Principal e Alternada da barra BR8B e BR8D, na SE Ibiúna.</t>
  </si>
  <si>
    <t>MG IBIUNA / CCO-2001-062 - RB</t>
  </si>
  <si>
    <t>0009179/2024</t>
  </si>
  <si>
    <t>SPCS345 Barra BR8B e BR8D</t>
  </si>
  <si>
    <t>Substituição do Reator de 500KV - PDRE7-09 - Fase V - 11991554.</t>
  </si>
  <si>
    <t>0000044/2025</t>
  </si>
  <si>
    <t>PDRE709</t>
  </si>
  <si>
    <t>Substituição do Reator de 500KV - PDRE7-09 - Fase R - 11991549.</t>
  </si>
  <si>
    <t>0000067/2025</t>
  </si>
  <si>
    <t>PDRE709 FASE R</t>
  </si>
  <si>
    <t>Substituição do Autotransformador Regulador Trifásico de 230kV - BPAT6-03 - 50MVA - 230/138/13,8 kV - 11912442</t>
  </si>
  <si>
    <t>0000106/2025</t>
  </si>
  <si>
    <t>BPAT603</t>
  </si>
  <si>
    <t>Substituição de 1 (um) Disjuntor 500 kV posição operacional 15D4 da Subestação PAQ</t>
  </si>
  <si>
    <t>0000484/2025</t>
  </si>
  <si>
    <t>15D4</t>
  </si>
  <si>
    <t>TR 765/500 kV F.IGUACU 60HZ TR2 PR</t>
  </si>
  <si>
    <t>0000651/2025</t>
  </si>
  <si>
    <t>AT02 A</t>
  </si>
  <si>
    <t>0000700/2025</t>
  </si>
  <si>
    <t>PRTF601</t>
  </si>
  <si>
    <t>TR 500/230 kV BLUMENAU TR6 SC</t>
  </si>
  <si>
    <t>0000709/2025</t>
  </si>
  <si>
    <t>TF6-A</t>
  </si>
  <si>
    <t>0000710/2025</t>
  </si>
  <si>
    <t>TF6-B</t>
  </si>
  <si>
    <t>RTB 500 kV 150 Mvar BLUMENAU RT1 SC</t>
  </si>
  <si>
    <t>0000711/2025</t>
  </si>
  <si>
    <t>RE1-A</t>
  </si>
  <si>
    <t>0000712/2025</t>
  </si>
  <si>
    <t>RE1-B</t>
  </si>
  <si>
    <t>0000713/2025</t>
  </si>
  <si>
    <t>RE1-C</t>
  </si>
  <si>
    <t>RTB 500 kV 50 Mvar BLUMENAU RTR1 SC</t>
  </si>
  <si>
    <t>0000714/2025</t>
  </si>
  <si>
    <t>RE1-R</t>
  </si>
  <si>
    <t>BC 230 kV 100 Mvar XANXERE ESU BC1 SC</t>
  </si>
  <si>
    <t>0000715/2025</t>
  </si>
  <si>
    <t>TR 230/69 kV S. OSORIO TR7 PR</t>
  </si>
  <si>
    <t>0000716/2025</t>
  </si>
  <si>
    <t>TF7</t>
  </si>
  <si>
    <t>RTB 500 kV 150 Mvar CURITIBA RT1 PR</t>
  </si>
  <si>
    <t>0000717/2025</t>
  </si>
  <si>
    <t>0000718/2025</t>
  </si>
  <si>
    <t>0000719/2025</t>
  </si>
  <si>
    <t>TF2</t>
  </si>
  <si>
    <t>0000720/2025</t>
  </si>
  <si>
    <t>0000721/2025</t>
  </si>
  <si>
    <t>PDRE708</t>
  </si>
  <si>
    <t>0000722/2025</t>
  </si>
  <si>
    <t>RTL 500 kV 50 Mvar P.DUTRA RTR1 MA</t>
  </si>
  <si>
    <t>0000723/2025</t>
  </si>
  <si>
    <t>PDRR708</t>
  </si>
  <si>
    <t>0000724/2025</t>
  </si>
  <si>
    <t>0000725/2025</t>
  </si>
  <si>
    <t>RTB 230 kV 10 MVAr MIRANDA II RT1 MA</t>
  </si>
  <si>
    <t>0000726/2025</t>
  </si>
  <si>
    <t>MRRE601</t>
  </si>
  <si>
    <t>RTB 230 kV 10 MVAr MIRANDA II RT2 MA</t>
  </si>
  <si>
    <t>0000727/2025</t>
  </si>
  <si>
    <t>MRRE602</t>
  </si>
  <si>
    <t>BC 13,8 kV 3,6 MVAr SORRISO BC1 MT</t>
  </si>
  <si>
    <t>0000728/2025</t>
  </si>
  <si>
    <t>SSBC201</t>
  </si>
  <si>
    <t>BC 13,8 kV 3,6 MVAr SORRISO BC2 MT</t>
  </si>
  <si>
    <t>0000729/2025</t>
  </si>
  <si>
    <t>SSBC202</t>
  </si>
  <si>
    <t>BC 230 kV 30 MVAr CARAJAS BC1 PA</t>
  </si>
  <si>
    <t>0000730/2025</t>
  </si>
  <si>
    <t>CJBC601</t>
  </si>
  <si>
    <t>BC 230 kV 18,5 Mvar VILHENA BC3 RO</t>
  </si>
  <si>
    <t>0000731/2025</t>
  </si>
  <si>
    <t>VNBC603</t>
  </si>
  <si>
    <t>0000732/2025</t>
  </si>
  <si>
    <t>IZRE704</t>
  </si>
  <si>
    <t>0000733/2025</t>
  </si>
  <si>
    <t>0000734/2025</t>
  </si>
  <si>
    <t>0000735/2025</t>
  </si>
  <si>
    <t>IZRE7-14 A</t>
  </si>
  <si>
    <t>0000736/2025</t>
  </si>
  <si>
    <t>IZRE714</t>
  </si>
  <si>
    <t>0000737/2025</t>
  </si>
  <si>
    <t>RTB 500 kV 54,4 Mvar IMPERATRIZ RTR14 MA</t>
  </si>
  <si>
    <t>0000738/2025</t>
  </si>
  <si>
    <t>0000739/2025</t>
  </si>
  <si>
    <t>IZRE711</t>
  </si>
  <si>
    <t>0000740/2025</t>
  </si>
  <si>
    <t>0000741/2025</t>
  </si>
  <si>
    <t>Substituição do Banco de Capacitor Derivação BC2 (JPBC6-02) 230KV, 18,5MVAR, arranjo BD3, na SE JI-PARANA.</t>
  </si>
  <si>
    <t>BC 230 kV 18,5 Mvar JI-PARANA BC2 RO</t>
  </si>
  <si>
    <t>0000742/2025</t>
  </si>
  <si>
    <t>JPBC602</t>
  </si>
  <si>
    <t>Substituição do Banco de Capacitor Derivação BC1 (JPBC6-01) 230KV, 18,5MVAR, arranjo BD3, na SE JI-PARANA.</t>
  </si>
  <si>
    <t>0000743/2025</t>
  </si>
  <si>
    <t>JPBC601</t>
  </si>
  <si>
    <t>RTL 230 kV 20 Mvar JI-PARANA RT1 RO</t>
  </si>
  <si>
    <t>0000744/2025</t>
  </si>
  <si>
    <t>JPRE601</t>
  </si>
  <si>
    <t>TR 230/138 kV BARRA PEIXE TRR1 MT</t>
  </si>
  <si>
    <t>0000745/2025</t>
  </si>
  <si>
    <t>BPATR601</t>
  </si>
  <si>
    <t>0000746/2025</t>
  </si>
  <si>
    <t>BPRE601</t>
  </si>
  <si>
    <t>TR 230/138 kV BARRA PEIXE TR1 MT</t>
  </si>
  <si>
    <t>0000747/2025</t>
  </si>
  <si>
    <t>BPAT601</t>
  </si>
  <si>
    <t>0000748/2025</t>
  </si>
  <si>
    <t>0000749/2025</t>
  </si>
  <si>
    <t>0000750/2025</t>
  </si>
  <si>
    <t>0000751/2025</t>
  </si>
  <si>
    <t>CORE702</t>
  </si>
  <si>
    <t>0000752/2025</t>
  </si>
  <si>
    <t>LITF601</t>
  </si>
  <si>
    <t>0000753/2025</t>
  </si>
  <si>
    <t>AQTF601</t>
  </si>
  <si>
    <t>0000754/2025</t>
  </si>
  <si>
    <t>AQTF602</t>
  </si>
  <si>
    <t>0000755/2025</t>
  </si>
  <si>
    <t>TVTF402</t>
  </si>
  <si>
    <t>BC 13,8 kV 3 Mvar TUCURUI VILA BC1 PA</t>
  </si>
  <si>
    <t>0000756/2025</t>
  </si>
  <si>
    <t>TVBC202</t>
  </si>
  <si>
    <t>BC 13,8 kV 3,6 Mvar BOA VISTA BC1 RR</t>
  </si>
  <si>
    <t>0000757/2025</t>
  </si>
  <si>
    <t>BVBC201</t>
  </si>
  <si>
    <t>BC 13,8 kV 3,6 Mvar BOA VISTA BC2 RR</t>
  </si>
  <si>
    <t>0000758/2025</t>
  </si>
  <si>
    <t>BVBC202</t>
  </si>
  <si>
    <t>BC 13,8 kV 3,6 Mvar BOA VISTA BC3 RR</t>
  </si>
  <si>
    <t>0000759/2025</t>
  </si>
  <si>
    <t>BVBC203</t>
  </si>
  <si>
    <t>BC 13,8 kV 3,6 Mvar BOA VISTA BC4 RR</t>
  </si>
  <si>
    <t>0000760/2025</t>
  </si>
  <si>
    <t>BVBC204</t>
  </si>
  <si>
    <t>BC 13,8 kV 3,6 Mvar BOA VISTA BC5 RR</t>
  </si>
  <si>
    <t>0000761/2025</t>
  </si>
  <si>
    <t>BVBC205</t>
  </si>
  <si>
    <t>BC 13,8 kV 3,6 Mvar BOA VISTA BC6 RR</t>
  </si>
  <si>
    <t>0000762/2025</t>
  </si>
  <si>
    <t>BVBC206</t>
  </si>
  <si>
    <t>BC 13,8 kV 3,6 Mvar BOA VISTA BC7 RR</t>
  </si>
  <si>
    <t>0000763/2025</t>
  </si>
  <si>
    <t>BVBC207</t>
  </si>
  <si>
    <t>BC 13,8 kV 3,6 Mvar BOA VISTA BC8 RR</t>
  </si>
  <si>
    <t>0000764/2025</t>
  </si>
  <si>
    <t>BVBC208</t>
  </si>
  <si>
    <t>BC 13,8 kV 3,6 Mvar BOA VISTA BC9 RR</t>
  </si>
  <si>
    <t>0000765/2025</t>
  </si>
  <si>
    <t>BVBC209</t>
  </si>
  <si>
    <t>BC 13,8 kV 3,6 Mvar BOA VISTA BC10 RR</t>
  </si>
  <si>
    <t>0000766/2025</t>
  </si>
  <si>
    <t>BVBC210</t>
  </si>
  <si>
    <t>0000767/2025</t>
  </si>
  <si>
    <t>RPRE604</t>
  </si>
  <si>
    <t>0000768/2025</t>
  </si>
  <si>
    <t>RPRR602</t>
  </si>
  <si>
    <t>RTB 230 kV 30 MVAr RONDONOPOLIS RT3 MT</t>
  </si>
  <si>
    <t>0000769/2025</t>
  </si>
  <si>
    <t>RPRE603</t>
  </si>
  <si>
    <t>LT 230 kV SINOP /SORRISO II C-1 MT</t>
  </si>
  <si>
    <t>0000770/2025</t>
  </si>
  <si>
    <t>SPRE602</t>
  </si>
  <si>
    <t>RTL 138 kV 5 Mvar COXIPO RT2 MT</t>
  </si>
  <si>
    <t>0000771/2025</t>
  </si>
  <si>
    <t>CXRE502</t>
  </si>
  <si>
    <t>0000772/2025</t>
  </si>
  <si>
    <t>RTL 230 kV 20 Mvar ARIQUEMES RT1 RO</t>
  </si>
  <si>
    <t>0000773/2025</t>
  </si>
  <si>
    <t>AQRE601</t>
  </si>
  <si>
    <t>Substituição do Transformador Trifásico TR2 (04T2 ) 230/69 kV, 100 MVA, na SE COTEGIPE.</t>
  </si>
  <si>
    <t>TR  230/69   kV COTEGIPE       TR2 BA</t>
  </si>
  <si>
    <t>0000774/2025</t>
  </si>
  <si>
    <t>04T2</t>
  </si>
  <si>
    <t>Substituição do Transformador Trifásico Reserva TRR1 (04TR) 230/13,8/13,8 kV, 40 MVA,  na SE MATATU.</t>
  </si>
  <si>
    <t>TR 230/11,9 kV MATATU TRR1 BA</t>
  </si>
  <si>
    <t>0000775/2025</t>
  </si>
  <si>
    <t>04T4R</t>
  </si>
  <si>
    <t>Substituição do Reator de Barra Monofásico RTR1 (04ER) 230 kV, 3,33 MVAr, na SE BANABUIU.</t>
  </si>
  <si>
    <t>RTB 230 kV 3,33 MVAr BANABUIU RTR1 CE</t>
  </si>
  <si>
    <t>0000776/2025</t>
  </si>
  <si>
    <t>04ER</t>
  </si>
  <si>
    <t>Substituição do Transformador Trifásico TR1 (04T1) 230/69 kV, 33 MVA, na SE BANABUIU.</t>
  </si>
  <si>
    <t>0000777/2025</t>
  </si>
  <si>
    <t>0000778/2025</t>
  </si>
  <si>
    <t>04E1</t>
  </si>
  <si>
    <t>Substituição de Transformador Trifásico TR1 (04T1) 230/69 kV, 100 MVA, arranjo BPT, na SE MUSSURE II.</t>
  </si>
  <si>
    <t>TR  230/69   kV MUSSURE II     TR1 PB</t>
  </si>
  <si>
    <t>0000779/2025</t>
  </si>
  <si>
    <t>Substituição do Transformador Trifásico TR7 (04T7)  230/13,8 kV, 40 MVA, na SE BONGI.</t>
  </si>
  <si>
    <t>0000780/2025</t>
  </si>
  <si>
    <t>04T7</t>
  </si>
  <si>
    <t>Substituição do Transformador Trifásico TR6 (04T6) 230/13,8 kV, 40 MVA, na SE BONGI.</t>
  </si>
  <si>
    <t>0000781/2025</t>
  </si>
  <si>
    <t>04T6</t>
  </si>
  <si>
    <t>Substituição do Reator de Barra Trifásico RT1 (04E1) 230 kV, 10 MVAr, na SE GOIANINHA.</t>
  </si>
  <si>
    <t>0000782/2025</t>
  </si>
  <si>
    <t>Substituição do Transformador Monofásico TR2 (05T2.A) 500/230 kV, 200 MVA, fase A, na SE RECIFE II.</t>
  </si>
  <si>
    <t>TR  500/230  kV RECIFE II      TR2 PE</t>
  </si>
  <si>
    <t>0000783/2025</t>
  </si>
  <si>
    <t>05T2.A</t>
  </si>
  <si>
    <t>Substituição do Transformador Monofásico TR2 (05T2.B) 500/230 kV, 200 MVA, fase B, na SE RECIFE II.</t>
  </si>
  <si>
    <t>0000784/2025</t>
  </si>
  <si>
    <t>05T2.B</t>
  </si>
  <si>
    <t>Substituição do Transformador Monofásico TR2 (05T2.C) 500/230 kV, 200 MVA, fase C, na SE RECIFE II.</t>
  </si>
  <si>
    <t>0000785/2025</t>
  </si>
  <si>
    <t>05T2.C</t>
  </si>
  <si>
    <t>Substituição do Reator de Barra Trifásico RT1 (01E1) 13,8 kV, 5 MVAr, na SE PIRIPIRI.</t>
  </si>
  <si>
    <t>0000786/2025</t>
  </si>
  <si>
    <t>01E1</t>
  </si>
  <si>
    <t>Substituição do Transformador Trifásico TR4 (04T4) 230/69 kV, 100 MVA, arranjo BD5, na SE TERESINA.</t>
  </si>
  <si>
    <t>TR  230/69   kV TERESINA       TR4 PI</t>
  </si>
  <si>
    <t>0000787/2025</t>
  </si>
  <si>
    <t>04T4</t>
  </si>
  <si>
    <t>Substituição do Reator de Linha Monofásico RTR1 (04ER.M) 230 kV, 3,33 MVAr, fase reserva, na SE TERESINA.</t>
  </si>
  <si>
    <t>RTL 230 kV 3,33 Mvar TERESINA RTR1 PI</t>
  </si>
  <si>
    <t>0000788/2025</t>
  </si>
  <si>
    <t>04ER.M</t>
  </si>
  <si>
    <t>Substituição de Reator de Linha Monofásico RT2 (04E2) 230 kV, 3,3 MVAr, fase A, na SE NATAL II.</t>
  </si>
  <si>
    <t>RTL 230 kV 9,9 MVAr NATAL II RT2 RN</t>
  </si>
  <si>
    <t>0000789/2025</t>
  </si>
  <si>
    <t>04E2.A</t>
  </si>
  <si>
    <t>Substituição de Reator de Linha Monofásico RT2 (04E2) 230 kV, 3,3 MVAr, fase B, na SE NATAL II.</t>
  </si>
  <si>
    <t>0000790/2025</t>
  </si>
  <si>
    <t>04E2.B</t>
  </si>
  <si>
    <t>Substituição de Reator de Linha Monofásico RT2 (04E2) 230 kV, 3,3 MVAr, fase C, na SE NATAL II.</t>
  </si>
  <si>
    <t>0000791/2025</t>
  </si>
  <si>
    <t>04E2.C</t>
  </si>
  <si>
    <t>Substituição do Reator de Linha Monofásico RTR1 (04ER) 230 kV, 5 MVAr, arranjo BPT, na SE B.JESUS LAPA.</t>
  </si>
  <si>
    <t>RTL 230 kV 5 Mvar B.JESUS LAPA RTR1 BA</t>
  </si>
  <si>
    <t>0000792/2025</t>
  </si>
  <si>
    <t>Substituição do Reator de Barra Trifásico RT3 (04E3) 230 kV, 3,33 MVAr, na SE B.JESUS LAPA.</t>
  </si>
  <si>
    <t>RTB 230 kV 10 Mvar B.JESUS LAPA RT3 BA</t>
  </si>
  <si>
    <t>0000793/2025</t>
  </si>
  <si>
    <t>04E3</t>
  </si>
  <si>
    <t>Substituição do Transformador Trifásico TR8 (02T8) 69/13,8 kV, 5 MVA, na SE CAMACARI II.</t>
  </si>
  <si>
    <t>0000794/2025</t>
  </si>
  <si>
    <t>02T8</t>
  </si>
  <si>
    <t>Substituição do Transformador Monofásico TR7 (04T7) 230/13,8 kV, 100 MVA, fase C, na SE CAMACARI II.</t>
  </si>
  <si>
    <t>0000795/2025</t>
  </si>
  <si>
    <t>04T7.C</t>
  </si>
  <si>
    <t>Substituição do Transformador Monofásico TRR1 (04TR) 230/13,8 kV, 100 MVA, fase reserva, na SE CAMACARI II.</t>
  </si>
  <si>
    <t>TR 230/13,8 kV CAMACARI II TRR1 BA</t>
  </si>
  <si>
    <t>0000796/2025</t>
  </si>
  <si>
    <t>04TR.M</t>
  </si>
  <si>
    <t>Substituição do Transformador Monofásico TR2 (05T2.A) 500/230 kV, 200 MVA, fase A, na SE CAMACARI II.</t>
  </si>
  <si>
    <t>TR  500/230  kV CAMACARI II    TR2 BA</t>
  </si>
  <si>
    <t>0000797/2025</t>
  </si>
  <si>
    <t>Substituição do Transformador Monofásico TR2 (05T2.B) 500/230 kV, 200 MVA, fase B, na SE CAMACARI II.</t>
  </si>
  <si>
    <t>0000798/2025</t>
  </si>
  <si>
    <t>Substituição do Transformador Monofásico TR2 (05T2.C) 500/230 kV, 200 MVA, fase C, na SE CAMACARI II.</t>
  </si>
  <si>
    <t>0000799/2025</t>
  </si>
  <si>
    <t>Substituição do Reator de Linha Trifásico RTR1 (04ER) 230 kV, 5 MVAr, na SE IRECE.</t>
  </si>
  <si>
    <t>RTL 230 kV 5 Mvar IRECE RTR1 BA</t>
  </si>
  <si>
    <t>0000800/2025</t>
  </si>
  <si>
    <t>Substituição do Transformador Regulador de Potência TREG2 (02R2) 69/69 kV, 40 MVA, na IRECE.</t>
  </si>
  <si>
    <t>TR  230/69   kV IRECE          TR2 BA</t>
  </si>
  <si>
    <t>0000801/2025</t>
  </si>
  <si>
    <t>02R2</t>
  </si>
  <si>
    <t>Substituição do Reator de Linha Monofásico RT3 (05E3.A) 500 kV, 50 MVA, fase A, na SE U.SOBRADINHO.</t>
  </si>
  <si>
    <t>LT 500 kV FUTURA /U.SOBRADINHO C-1 BA</t>
  </si>
  <si>
    <t>0000802/2025</t>
  </si>
  <si>
    <t>05E3.A</t>
  </si>
  <si>
    <t>Substituição do Reator de Linha Monofásico RT3 (05E3.B) 500 kV, 50 MVA, fase B, na SE U.SOBRADINHO.</t>
  </si>
  <si>
    <t>0000803/2025</t>
  </si>
  <si>
    <t>05E3.B</t>
  </si>
  <si>
    <t>Substituição do Reator de Linha Monofásico RT3 (05E3.C) 500 kV, 50 MVA, fase C, na SE U.SOBRADINHO.</t>
  </si>
  <si>
    <t>0000804/2025</t>
  </si>
  <si>
    <t>05E3.C</t>
  </si>
  <si>
    <t>Substituição do Transformador Monofásico TRR1 (05TR) 500/230 kV, 100 MVA, na SE U.SOBRADINHO.</t>
  </si>
  <si>
    <t>TR 500/230 kV U.SOBRADINHO TRR1 BA</t>
  </si>
  <si>
    <t>0000805/2025</t>
  </si>
  <si>
    <t>05T4R.M</t>
  </si>
  <si>
    <t>Substituição do Transformador Monofásico TR4 (05T4.A) 500/230 kV, 100 MVA, fase A, na SE U.SOBRADINHO.</t>
  </si>
  <si>
    <t>TR  500/230  kV U.SOBRADINHO   TR4 BA</t>
  </si>
  <si>
    <t>0000806/2025</t>
  </si>
  <si>
    <t>05T4.A</t>
  </si>
  <si>
    <t>Substituição do Transformador Monofásico TR4 (05T4.B) 500/230 kV, 100 MVA, fase B, na SE U.SOBRADINHO.</t>
  </si>
  <si>
    <t>0000807/2025</t>
  </si>
  <si>
    <t>05T4.B</t>
  </si>
  <si>
    <t>Substituição do Transformador Monofásico TR4 (05T4.C) 500/230 kV, 100 MVA, fase C, na SE U.SOBRADINHO.</t>
  </si>
  <si>
    <t>0000808/2025</t>
  </si>
  <si>
    <t>05T4.C</t>
  </si>
  <si>
    <t>Substituição do Reator de Linha Monofásico RT5 (05E5.A) 500 kV, 33,3 MVAr, fase A, na SE U.SOBRADINHO.</t>
  </si>
  <si>
    <t>LT  500 kV U.SOBRADINHO /S.JOAO PIAUI  C-1 BA/PI</t>
  </si>
  <si>
    <t>0000809/2025</t>
  </si>
  <si>
    <t>05E5.A</t>
  </si>
  <si>
    <t>Substituição do Reator de Linha Monofásico RT5 (05E5.B) 500 kV, 33,3 MVAr, fase B, na SE U.SOBRADINHO.</t>
  </si>
  <si>
    <t>0000810/2025</t>
  </si>
  <si>
    <t>05E5.B</t>
  </si>
  <si>
    <t>Substituição do Reator de Linha Monofásico RT5 (05E5.C) 500 kV, 33,3 MVAr, fase C, na SE U.SOBRADINHO.</t>
  </si>
  <si>
    <t>0000811/2025</t>
  </si>
  <si>
    <t>05E5.C</t>
  </si>
  <si>
    <t>Substituição do Reator de Linha Monofásico RT4 (05E4.A) 500 kV, 33,3 MVAr, fase A, na SE U.SOBRADINHO.</t>
  </si>
  <si>
    <t>0000812/2025</t>
  </si>
  <si>
    <t>05E4.A</t>
  </si>
  <si>
    <t>Substituição do Reator de Linha Monofásico RT4 (05E4.B) 500 kV, 33,3 MVAr, fase B, na SE U.SOBRADINHO.</t>
  </si>
  <si>
    <t>0000813/2025</t>
  </si>
  <si>
    <t>05E4.B</t>
  </si>
  <si>
    <t>Substituição do Reator de Linha Monofásico RT4 (05E4.C) 500 kV, 33,3 MVAr, fase C, na SE U.SOBRADINHO.</t>
  </si>
  <si>
    <t>0000814/2025</t>
  </si>
  <si>
    <t>05E4.C</t>
  </si>
  <si>
    <t>Substituição do Transformador Monofásico TRR1 (05TR.M) 500/230 kV, 200 MVA, fase Reserva, na SE P. AFONSO IV.</t>
  </si>
  <si>
    <t>0000815/2025</t>
  </si>
  <si>
    <t>05TR.M</t>
  </si>
  <si>
    <t>Substituição do Transformador Monofásico TR8 (05T8.A) 500/230 kV, 200 MVA, fase A, na SE P. AFONSO IV.</t>
  </si>
  <si>
    <t>TR  500/230  kV P. AFONSO IV   TR8 BA</t>
  </si>
  <si>
    <t>0000816/2025</t>
  </si>
  <si>
    <t>05T8.A</t>
  </si>
  <si>
    <t>Substituição do Transformador Monofásico TR8 (05T8.B) 500/230 kV, 200 MVA, fase B, na SE P. AFONSO IV.</t>
  </si>
  <si>
    <t>0000817/2025</t>
  </si>
  <si>
    <t>05T8.B</t>
  </si>
  <si>
    <t>Substituição do Transformador Monofásico TR8 (05T8.C) 500/230 kV, 200 MVA, fase C, na SE P. AFONSO IV.</t>
  </si>
  <si>
    <t>0000818/2025</t>
  </si>
  <si>
    <t>05T8.C</t>
  </si>
  <si>
    <t>Substituição do Transformador Trifásico TR1 (04T1) 230/13,8 kV, 40 MVA na SE OLINDINA.</t>
  </si>
  <si>
    <t>TR  230/13,8 kV OLINDINA       TR1 BA</t>
  </si>
  <si>
    <t>0000819/2025</t>
  </si>
  <si>
    <t>Substituição do Transformador Trifásico TR5 (02T5) 69/13,8 kV, 1 MVA, na SE S.JOAO PIAUI.</t>
  </si>
  <si>
    <t>0000820/2025</t>
  </si>
  <si>
    <t>02T5</t>
  </si>
  <si>
    <t>Substituição do Reator de Linha Monofásico RT1 (05E1.A) 500 kV, 33,3 MVAr, fase A, na SE S.JOAO PIAUI.</t>
  </si>
  <si>
    <t>RTL 500 kV 100 MVAr S.JOAO PIAUI RT1 PI</t>
  </si>
  <si>
    <t>0000821/2025</t>
  </si>
  <si>
    <t>05E1.A</t>
  </si>
  <si>
    <t>Substituição do Reator de Linha Monofásico RT1 (05E1.B) 500 kV, 33,3 MVAr, fase B, na SE S.JOAO PIAUI.</t>
  </si>
  <si>
    <t>0000822/2025</t>
  </si>
  <si>
    <t>05E1.B</t>
  </si>
  <si>
    <t>Substituição do Reator de Linha Monofásico RT1 (05E1.C) 500 kV, 33,3 MVAr, fase C, na SE S.JOAO PIAUI.</t>
  </si>
  <si>
    <t>0000823/2025</t>
  </si>
  <si>
    <t>05E1.C</t>
  </si>
  <si>
    <t>Substituição do Transformador Trifásico TR2 (04T2) 230/69/13,8 kV, 39 MVA, na SE PICOS.</t>
  </si>
  <si>
    <t>TR  230/69   kV PICOS          TR2 PI</t>
  </si>
  <si>
    <t>0000824/2025</t>
  </si>
  <si>
    <t>Substituição do Transformador Trifásico TR6 (04T6) 230/69/13,8 kV, 33,34 MVA na SE UB.ESPERANCA.</t>
  </si>
  <si>
    <t>TR  230/69   kV UB.ESPERANCA   TR6 PI</t>
  </si>
  <si>
    <t>0000825/2025</t>
  </si>
  <si>
    <t>Substituição do Transformador Trifásico TR7 (02T7) 69/13,8 kV, 5 MVA, na SE UB.ESPERANCA.</t>
  </si>
  <si>
    <t>TR 69/13,8 kV UB.ESPERANCA TR7 PI</t>
  </si>
  <si>
    <t>0000826/2025</t>
  </si>
  <si>
    <t>02T7</t>
  </si>
  <si>
    <t>0000829/2025</t>
  </si>
  <si>
    <t>MCTF5-01</t>
  </si>
  <si>
    <t>Substituição de Transformador Trifásico TR3 (04T3) 230/69 kV, 100 MVA, arranjo BPT, na SE MUSSURE II.</t>
  </si>
  <si>
    <t>TR  230/69   kV MUSSURE II     TR3 PB</t>
  </si>
  <si>
    <t>0000830/2025</t>
  </si>
  <si>
    <t>04T3</t>
  </si>
  <si>
    <t>Substituição do Transformador Monofásico TR7 (04T7) 230/13,8 kV, 100 MVA, fase A, na SE CAMACARI II.</t>
  </si>
  <si>
    <t>0000831/2025</t>
  </si>
  <si>
    <t>04T7.A</t>
  </si>
  <si>
    <t>Substituição de Reator de Linha Monofásico RT1 (05E1.A) 500 kV, 33,3 MVAr, fase A, arranjo DJM, associado a EL de S.J Piauí, na SE B. ESPERANCA.</t>
  </si>
  <si>
    <t>LT  500 kV S.JOAO PIAUI /B. ESPERANCA  C-1 PI</t>
  </si>
  <si>
    <t>0000832/2025</t>
  </si>
  <si>
    <t>TR 69/13,8 kV S.SANTIAGO TR4 PR</t>
  </si>
  <si>
    <t>0000872/2025</t>
  </si>
  <si>
    <t>TR 345/230 kV BANDEIRANTES TR2 GO</t>
  </si>
  <si>
    <t>0000918/2025</t>
  </si>
  <si>
    <t>0000919/2025</t>
  </si>
  <si>
    <t>AT02 B</t>
  </si>
  <si>
    <t>0000920/2025</t>
  </si>
  <si>
    <t>AT02 C</t>
  </si>
  <si>
    <t>RTL 345 kV 20 Mvar BANDEIRANTES RTR1 GO</t>
  </si>
  <si>
    <t>0000921/2025</t>
  </si>
  <si>
    <t>RT8V1</t>
  </si>
  <si>
    <t>RTL 345 kV 60 MVAr CAMPOS RT6 RJ</t>
  </si>
  <si>
    <t>0000922/2025</t>
  </si>
  <si>
    <t>RTL 6 A</t>
  </si>
  <si>
    <t>0000923/2025</t>
  </si>
  <si>
    <t>RTL 6 B</t>
  </si>
  <si>
    <t>0000924/2025</t>
  </si>
  <si>
    <t>RTL 6 C</t>
  </si>
  <si>
    <t>RTL 345 kV 20 Mvar CAMPOS RTR1 RJ</t>
  </si>
  <si>
    <t>0000925/2025</t>
  </si>
  <si>
    <t>RTL RS</t>
  </si>
  <si>
    <t>TR 345/230 kV BRAS. SUL TR3 DF</t>
  </si>
  <si>
    <t>0000926/2025</t>
  </si>
  <si>
    <t>AT87V1</t>
  </si>
  <si>
    <t>0000927/2025</t>
  </si>
  <si>
    <t>AT03 A</t>
  </si>
  <si>
    <t>0000928/2025</t>
  </si>
  <si>
    <t>AT03 B</t>
  </si>
  <si>
    <t>TR 345/230 kV BRAS. SUL TRR2 DF</t>
  </si>
  <si>
    <t>0000929/2025</t>
  </si>
  <si>
    <t>AT03 C</t>
  </si>
  <si>
    <t>TR 500/345 kV SAMAMBAIA TR3 DF</t>
  </si>
  <si>
    <t>0000930/2025</t>
  </si>
  <si>
    <t>TR 500/345 kV SAMAMBAIA TR7 DF</t>
  </si>
  <si>
    <t>0000931/2025</t>
  </si>
  <si>
    <t>AT08 C</t>
  </si>
  <si>
    <t>TR 500/345 kV SAMAMBAIA TR2 DF</t>
  </si>
  <si>
    <t>0000932/2025</t>
  </si>
  <si>
    <t>STSB_AT02 (FASE A)</t>
  </si>
  <si>
    <t>Capacitor série</t>
  </si>
  <si>
    <t>Substituição do Banco de Capacitor de Série BC1A (BSINBC1A) 500kV, 127,5MVAr, fases A, B e C, arranjo DJM, na SE IBIUNA</t>
  </si>
  <si>
    <t>CR 500 kV 382 MVAr IBIUNA BC1A SP</t>
  </si>
  <si>
    <t>0000933/2025</t>
  </si>
  <si>
    <t>10251958</t>
  </si>
  <si>
    <t>Substituição do Banco de Capacitor de Série BC2A (BSINBC2A) 500kV, 127,5MVAr, fases A, B e C, arranjo DJM, na SE IBIUNA</t>
  </si>
  <si>
    <t>CR 500 kV 382 MVAr IBIUNA BC2A SP</t>
  </si>
  <si>
    <t>0000934/2025</t>
  </si>
  <si>
    <t>10251957</t>
  </si>
  <si>
    <t>TR 345/138 kV JACAREPAGUA TR2B RJ</t>
  </si>
  <si>
    <t>0000935/2025</t>
  </si>
  <si>
    <t>TR96V2</t>
  </si>
  <si>
    <t>TR 345/138 kV JACAREPAGUA TRR2 RJ</t>
  </si>
  <si>
    <t>0000936/2025</t>
  </si>
  <si>
    <t>TR RES</t>
  </si>
  <si>
    <t>BC 138 kV 100 Mvar SAO JOSE BC2 RJ</t>
  </si>
  <si>
    <t>0000937/2025</t>
  </si>
  <si>
    <t>BC02</t>
  </si>
  <si>
    <t>BC 138 kV 150 Mvar SAO JOSE BC1 RJ</t>
  </si>
  <si>
    <t>0000938/2025</t>
  </si>
  <si>
    <t>BC01</t>
  </si>
  <si>
    <t>BC 138 kV 150 Mvar SAO JOSE BC3 RJ</t>
  </si>
  <si>
    <t>0000939/2025</t>
  </si>
  <si>
    <t>BC03</t>
  </si>
  <si>
    <t>BC 138 kV 100 Mvar SAO JOSE BC4 RJ</t>
  </si>
  <si>
    <t>0000940/2025</t>
  </si>
  <si>
    <t>BC04</t>
  </si>
  <si>
    <t>BC 345 kV 200 Mvar TIJUCO PRETO BC5 SP</t>
  </si>
  <si>
    <t>0000941/2025</t>
  </si>
  <si>
    <t>BC05</t>
  </si>
  <si>
    <t>BC 345 kV 200 MVAr TIJUCO PRETO BC2 SP</t>
  </si>
  <si>
    <t>0000942/2025</t>
  </si>
  <si>
    <t>BC 345 kV 200 MVAr TIJUCO PRETO BC6 SP</t>
  </si>
  <si>
    <t>0000943/2025</t>
  </si>
  <si>
    <t>BC06</t>
  </si>
  <si>
    <t>BC 345 kV 200 MVAr TIJUCO PRETO BC9 SP</t>
  </si>
  <si>
    <t>0000944/2025</t>
  </si>
  <si>
    <t>BC09</t>
  </si>
  <si>
    <t>BC 345 kV 200 MVAr TIJUCO PRETO BC4 SP</t>
  </si>
  <si>
    <t>0000945/2025</t>
  </si>
  <si>
    <t xml:space="preserve">BC04 </t>
  </si>
  <si>
    <t>0000946/2025</t>
  </si>
  <si>
    <t>RTL 500 kV 37 Mvar ITUMBIARA RTR4 MG</t>
  </si>
  <si>
    <t>0000947/2025</t>
  </si>
  <si>
    <t>RTEBIM FASE A</t>
  </si>
  <si>
    <t>0000948/2025</t>
  </si>
  <si>
    <t>RTEBIM FASE B</t>
  </si>
  <si>
    <t>0000949/2025</t>
  </si>
  <si>
    <t>RTEBIM FASE C</t>
  </si>
  <si>
    <t>0000950/2025</t>
  </si>
  <si>
    <t>AT49 FASE A</t>
  </si>
  <si>
    <t>0000951/2025</t>
  </si>
  <si>
    <t>AT49 FASE B</t>
  </si>
  <si>
    <t>0000952/2025</t>
  </si>
  <si>
    <t>AT49 FASE C</t>
  </si>
  <si>
    <t>CR 230 kV 33,9 Mvar ITUMBIARA BC1 MG</t>
  </si>
  <si>
    <t>0000953/2025</t>
  </si>
  <si>
    <t>10252478</t>
  </si>
  <si>
    <t>CR 230 kV 183 Mvar ITUMBIARA BC2 MG</t>
  </si>
  <si>
    <t>0000954/2025</t>
  </si>
  <si>
    <t>10252474</t>
  </si>
  <si>
    <t>0000955/2025</t>
  </si>
  <si>
    <t>10252475</t>
  </si>
  <si>
    <t>0000956/2025</t>
  </si>
  <si>
    <t>10252476</t>
  </si>
  <si>
    <t>0000957/2025</t>
  </si>
  <si>
    <t>10252473</t>
  </si>
  <si>
    <t>CR 230 kV 37,2 Mvar RIO VERDE FUR BC1 GO</t>
  </si>
  <si>
    <t>0000958/2025</t>
  </si>
  <si>
    <t>10251386</t>
  </si>
  <si>
    <t>0000959/2025</t>
  </si>
  <si>
    <t>RT04</t>
  </si>
  <si>
    <t>CR 230 kV 34 Mvar RIO VERDE FUR BC3 GO</t>
  </si>
  <si>
    <t>0000960/2025</t>
  </si>
  <si>
    <t>10251389</t>
  </si>
  <si>
    <t>TR 750/500 kV F.IGUACU 60HZ TR2 PR</t>
  </si>
  <si>
    <t>0000961/2025</t>
  </si>
  <si>
    <t>0000962/2025</t>
  </si>
  <si>
    <t>0000963/2025</t>
  </si>
  <si>
    <t>TR 750/500 kV F.IGUACU 60HZ TRR5 PR</t>
  </si>
  <si>
    <t>0000964/2025</t>
  </si>
  <si>
    <t>AT912V</t>
  </si>
  <si>
    <t>SANTA CRUZ</t>
  </si>
  <si>
    <t>TR 138/34,5 kV SANTA CRUZ TR12 RJ</t>
  </si>
  <si>
    <t>0000965/2025</t>
  </si>
  <si>
    <t>TR-12</t>
  </si>
  <si>
    <t>TR 138/34,5 kV SANTA CRUZ TR34 RJ</t>
  </si>
  <si>
    <t>0000966/2025</t>
  </si>
  <si>
    <t>TR-34</t>
  </si>
  <si>
    <t>0000967/2025</t>
  </si>
  <si>
    <t>10252477</t>
  </si>
  <si>
    <t>LT 230 kV PIRIPIRI /IBIAPINA II PI/CE</t>
  </si>
  <si>
    <t>Desativação de Linha de Transmissão, LT 230 kV Ibiapina II - Piripiri, C1, CS, posição operacional 04N1, extensão 86,21km, 1 x 636 MCM (GROSBEAK/Flint OPGW).</t>
  </si>
  <si>
    <t>LT 230 kV PIRIPIRI /IBIAPINA II C-1 PI/CE</t>
  </si>
  <si>
    <t>0000968/2025</t>
  </si>
  <si>
    <t>11402868</t>
  </si>
  <si>
    <t>Desativação do Reator de Linha  Monosáfico RT1 (04E1.A) 230 kV, 3,33MVAr,  fase A, associado a EL BOM NOME C1, na SE MILAGRES</t>
  </si>
  <si>
    <t>LT  230 kV BOM NOME     /MILAGRES      C-1 PE/CE</t>
  </si>
  <si>
    <t>0000970/2025</t>
  </si>
  <si>
    <t>11343917</t>
  </si>
  <si>
    <t>Desativação do Reator de Linha  Monosáfico RT1 (04E1.B) 230 kV, 3,33MVAr,  fase B, ssociado a EL BOM NOME C1, na SE MILAGRES</t>
  </si>
  <si>
    <t>0000971/2025</t>
  </si>
  <si>
    <t>11343916</t>
  </si>
  <si>
    <t>Desativação do Reator de Linha Monosáfico RT1 (04E1.C) 230 kV, 3,33MVAr,  fase C, ssociado a EL BOM NOME C1, na SE MILAGRES</t>
  </si>
  <si>
    <t>0000972/2025</t>
  </si>
  <si>
    <t>11343918</t>
  </si>
  <si>
    <t>Desativação de Reator de Linha Monosáfico RT2 (04E2) 230kV, 3,3Mvar fase B , associado a EL ABAIARA C1, na SE MILAGRES.</t>
  </si>
  <si>
    <t>LT 230 kV ABAIARA /MILAGRES C-1 CE</t>
  </si>
  <si>
    <t>0000973/2025</t>
  </si>
  <si>
    <t>11343872</t>
  </si>
  <si>
    <t>Desativação de Reator de Linha  Monosáfico RT2  (04E2) 230kV, 3,3Mvar fase C, associado a EL ABAIARA C1, na SE MILAGRES.</t>
  </si>
  <si>
    <t>0000974/2025</t>
  </si>
  <si>
    <t>11343873</t>
  </si>
  <si>
    <t>Desativação de Reator de Linha  Monosáfico RT2  (04E2) 230kV, 3,3Mvar fase A, associado a EL ABAIARA C1, na SE MILAGRES.</t>
  </si>
  <si>
    <t>0000975/2025</t>
  </si>
  <si>
    <t>11343871</t>
  </si>
  <si>
    <t>Desativação de Reator de Linha Trifásico RT3 (04E3) 230kV, 10 Mvar, associado a EL ARATICUM C1, na SE MILAGRES.</t>
  </si>
  <si>
    <t>LT  230 kV BOM NOME     /MILAGRES      C-3 PE/CE</t>
  </si>
  <si>
    <t>0000976/2025</t>
  </si>
  <si>
    <t>11344038</t>
  </si>
  <si>
    <t>CURRAIS NOVOS 2</t>
  </si>
  <si>
    <t>Desativação do Banco Capacitor 13,8 kV, posição operacional 01H1, na SE Currais Novos II 138/69 kV.</t>
  </si>
  <si>
    <t>BC 13,8 kV 3,6 Mvar CUR.NOVOS II BC1 RN (01H1)</t>
  </si>
  <si>
    <t>0000977/2025</t>
  </si>
  <si>
    <t>11342811</t>
  </si>
  <si>
    <t>Desativação do Banco Capacitor 13,8 kV, posição operacional 01H2, na SE Currais Novos II 138/69 kV.</t>
  </si>
  <si>
    <t>BC 13,8 kV 3,6 Mvar CUR.NOVOS II BC2 RN (01H2)</t>
  </si>
  <si>
    <t>0000978/2025</t>
  </si>
  <si>
    <t>11342812</t>
  </si>
  <si>
    <t>Desativação do Banco Capacitor 13,8 kV, posição operacional 01H3, na SE Currais Novos II 138/69 kV.</t>
  </si>
  <si>
    <t>BC 13,8 kV 3,6 Mvar CUR.NOVOS II BC3 RN (01H3)</t>
  </si>
  <si>
    <t>0000979/2025</t>
  </si>
  <si>
    <t>11342813</t>
  </si>
  <si>
    <t>Desativação de Entrada de Linha 138 kV, da LT 138kV Santana dos Matos II / Currais Novos II C-1 RN, posição operacional 13C1, na SE Currais Novos II 138/69 kV</t>
  </si>
  <si>
    <t>EL 138 kV CUR.NOVOS II LT 138 kV SAN.MATOS II /CUR.NOVOS II C-1 RN (13C1)</t>
  </si>
  <si>
    <t>0000980/2025</t>
  </si>
  <si>
    <t>11341741</t>
  </si>
  <si>
    <t>Desativação do Módulo de Conexão do Banco Capacitor 13,8 kV, posição operacional 01H1, na SE Currais Novos II 138/69 kV.</t>
  </si>
  <si>
    <t>MC 13,8 kV BC 13,8 kV 3,6 Mvar CUR.NOVOS II BC1 RN (11H1)</t>
  </si>
  <si>
    <t>0000981/2025</t>
  </si>
  <si>
    <t>11341820</t>
  </si>
  <si>
    <t>Desativação do Módulo de Conexão do Banco Capacitor 13,8 kV, posição operacional 01H2, na SE Currais Novos II 138/69 kV.</t>
  </si>
  <si>
    <t>MC 13,8 kV BC 13,8 kV 3,6 Mvar CUR.NOVOS II BC2 RN (11H2)</t>
  </si>
  <si>
    <t>0000982/2025</t>
  </si>
  <si>
    <t>11457461</t>
  </si>
  <si>
    <t>Desativação do Módulo de Conexão do Banco Capacitor 13,8 kV, posição operacional 01H3, na SE Currais Novos II 138/69 kV.</t>
  </si>
  <si>
    <t>MC 13,8 kV BC 13,8 kV 3,6 Mvar CUR.NOVOS II BC3 RN (11H3)</t>
  </si>
  <si>
    <t>0000983/2025</t>
  </si>
  <si>
    <t>11457462</t>
  </si>
  <si>
    <t>Desativação do Módulo de Conexão do Transformador Trifásico 138kV, posição operacional 13T1, na SE Currais Novos II 138/69 kV.</t>
  </si>
  <si>
    <t>TR 138/69 kV CUR.NOVOS II TR1 RN</t>
  </si>
  <si>
    <t>0000984/2025</t>
  </si>
  <si>
    <t>11338530</t>
  </si>
  <si>
    <t>Desativação do Módulo de Conexão do Transformador Trifásico 138kV, posição operacional 13T2, na SE Currais Novos II 138/69 kV.</t>
  </si>
  <si>
    <t>TR 138/69 kV CUR.NOVOS II TR2 RN</t>
  </si>
  <si>
    <t>0000985/2025</t>
  </si>
  <si>
    <t>11338448</t>
  </si>
  <si>
    <t>Desativação do Módulo de Conexão do Transformador de Aterramento 69kV, posição operacional 32A1, na SE Currais Novos II 138/69 kV.</t>
  </si>
  <si>
    <t>MC 69 kV TT 69/13,8 kV CUR.NOVOS II TA1 RN (32A1)</t>
  </si>
  <si>
    <t>0000986/2025</t>
  </si>
  <si>
    <t>11338514</t>
  </si>
  <si>
    <t>Desativação do Módulo Geral 138 kV, na SE Currais Novos II 138/69 kV.</t>
  </si>
  <si>
    <t>MG 138 kV CUR.NOVOS II MG1 RN</t>
  </si>
  <si>
    <t>0000987/2025</t>
  </si>
  <si>
    <t>12365899</t>
  </si>
  <si>
    <t>Desativação do Regulador Série 69 kV, posição operacional 02R1, potência 40 Mvar, na SE Currais Novos II 138/69 kV.</t>
  </si>
  <si>
    <t>RTS 69 kV 40 Mvar CUR.NOVOS II RT1 RN (02R1)</t>
  </si>
  <si>
    <t>0000988/2025</t>
  </si>
  <si>
    <t>traf8.00013-3</t>
  </si>
  <si>
    <t>Desativação do Transformador Trifásico, 138 kV, posição operacional 03T1, na SE Currais Novos II 138/69 kV.</t>
  </si>
  <si>
    <t>0000989/2025</t>
  </si>
  <si>
    <t>11347651</t>
  </si>
  <si>
    <t>Desativação do Transformador Trifásico, 138 kV, posição operacional 03T2, na SE Currais Novos II 138/69 kV.</t>
  </si>
  <si>
    <t>0000990/2025</t>
  </si>
  <si>
    <t>11348017</t>
  </si>
  <si>
    <t>Desativação do Transformador de Aterramento, 69 kV, posição operacional 02A1, na SE Currais Novos II 138/69 kV.</t>
  </si>
  <si>
    <t>TT 69/13,8 kV CUR.NOVOS II TA1 RN (02A1)</t>
  </si>
  <si>
    <t>0000991/2025</t>
  </si>
  <si>
    <t>11344307</t>
  </si>
  <si>
    <t>Desativação do Modulo Geral 69 k, obras no pátio de 69 kV, na SE Currais Novos II.</t>
  </si>
  <si>
    <t>0000992/2025</t>
  </si>
  <si>
    <t>12365898</t>
  </si>
  <si>
    <t>LT 138 kV CUR.NOVOS II /SANTA CRUZ II RN</t>
  </si>
  <si>
    <t>Desativação da Linha de transmissão LT 138kV Currais Novos II /Santa Cruz II, posição operacional 03M2.</t>
  </si>
  <si>
    <t>LT 138 kV CUR.NOVOS II /SANTA CRUZ II C-1 RN</t>
  </si>
  <si>
    <t>0000993/2025</t>
  </si>
  <si>
    <t>11387625</t>
  </si>
  <si>
    <t>LT 138 kV SAN.MATOS II /CUR.NOVOS II RN</t>
  </si>
  <si>
    <t>Desativação da Linha de transmissão LT 138kV Santana dos Matos II / Currais Novos II, posição operacional 03C1.</t>
  </si>
  <si>
    <t>LT 138 kV SAN.MATOS II /CUR.NOVOS II C-1 RN</t>
  </si>
  <si>
    <t>0000994/2025</t>
  </si>
  <si>
    <t>11386009</t>
  </si>
  <si>
    <t>Desativação de Reator de Linha Trifasico, posição operacional 04E3, 230kV, 10Mvar, associado a LT 230 kV MILAGRES /BANABUIU C-2, na SE BANABUIU.</t>
  </si>
  <si>
    <t>LT  230 kV MILAGRES     /BANABUIU      C-2 CE</t>
  </si>
  <si>
    <t>0000995/2025</t>
  </si>
  <si>
    <t>11343876</t>
  </si>
  <si>
    <t>Desativação de Entrada de Linha 69 kV, posição operacional 12F1, na SE Currais Novos II 138/69 kV</t>
  </si>
  <si>
    <t>EL 69 kV CUR.NOVOS II  DIST1 (12F1)</t>
  </si>
  <si>
    <t>0000996/2025</t>
  </si>
  <si>
    <t>11338554</t>
  </si>
  <si>
    <t>Desativação da Entrada de linha 69 kV, posição operacional 12F2, na SE Currais Novos II 138/69 kV.</t>
  </si>
  <si>
    <t>EL 69 kV CUR.NOVOS II  DIST2 (12F2)</t>
  </si>
  <si>
    <t>0000997/2025</t>
  </si>
  <si>
    <t>11342076</t>
  </si>
  <si>
    <t>Desativação do Módulo de Conexão 69 kV, posição operacional 12T1, na SE Currais Novos II 138/69 kV.</t>
  </si>
  <si>
    <t>0000998/2025</t>
  </si>
  <si>
    <t>11338490</t>
  </si>
  <si>
    <t>Desativação do Módulo de Conexão do Transformador Trifásico 69kV, posição operacional 12T2, na SE Currais Novos II 138/69 kV.</t>
  </si>
  <si>
    <t>0000999/2025</t>
  </si>
  <si>
    <t>11338513</t>
  </si>
  <si>
    <t>Desativação de Entrada de Linha 138 kV, da LT 138kV Currais Novos II / Santa Cruz II C-1 RN, posição operacional 13M2, na SE Currais Novos II 138/69 kV</t>
  </si>
  <si>
    <t>EL 138 kV CUR.NOVOS II LT 138 kV CUR.NOVOS II /SANTA CRUZ II C-1 RN  (13M2)</t>
  </si>
  <si>
    <t>0001000/2025</t>
  </si>
  <si>
    <t>11341652</t>
  </si>
  <si>
    <t>Instalação de painel e cabos do SEP 345kV AD-RNS na SE Adrianópolis, para monitoramento dos vãos das LT 345kV Adrianópolis -  Comperj e LT 345kV Adrianópolis - Venda das Pedras.</t>
  </si>
  <si>
    <t>MG 500 kV ADRIANOPOLIS MG1 RJ</t>
  </si>
  <si>
    <t>Solicitado</t>
  </si>
  <si>
    <t>0001102/2025</t>
  </si>
  <si>
    <t>na</t>
  </si>
  <si>
    <t>Instalação dos painéis de rede/segurança do SEP 345kV AD-RNS na SE Adrianópolis.</t>
  </si>
  <si>
    <t>0001103/2025</t>
  </si>
  <si>
    <t>Modernização do sistema de transmissão optico para atendimento ao requisitos  do SEP 345kV AD-RNS na SE Adrianópolis, consistindo na substituição de um painel com equipamentos SDH e serviços relacionados. (PNL1)</t>
  </si>
  <si>
    <t>0001104/2025</t>
  </si>
  <si>
    <t>10206851 / 10206852 / 10256125</t>
  </si>
  <si>
    <t>Modernização do sistema de transmissão optico para atendimento ao requisitos  do SEP 345kV AD-RNS na SE Adrianópolis, consistindo na substituição de um painel com equipamentos SDH e serviços relacionados. (PNL2)</t>
  </si>
  <si>
    <t>0001105/2025</t>
  </si>
  <si>
    <t>Instalação do Disjuntor 9144 em nova localização no anel de 500 kV, visando atender a configuração proposta na NT-ONS DPL 0046/2024. Na nova configuração o DJ9144 passa a conectar a UNE Angra 2 à UNE Angra 1. Essa obra está associada ao empreendimento autorizado pela ReA ANEEL 6787/2017 (T2017-068 - remanejamento de vãos 500 kV).</t>
  </si>
  <si>
    <t>LT 500 kV ANGRA FUR /NOVA IGUACU C-1 RJ</t>
  </si>
  <si>
    <t>0001106/2025</t>
  </si>
  <si>
    <t>Substituição do disjuntor do anel de 500 kV - DJ 9124 (COD_SAP: 10191536; NUM_SERIE: 1133-4R-016).</t>
  </si>
  <si>
    <t>MC 500 kV TR 500/25 kV ANGRA FUR TRG2 RJ</t>
  </si>
  <si>
    <t>Substituição da chave seccionadora do anel de 500 kV - SC9125 (COD_SAP: 10195259; NUM_SERIE: 986).</t>
  </si>
  <si>
    <t>Substituição da chave seccionadora do anel de 500 kV - SC9127 (COD_SAP: 10195258; NUM_SERIE: M972).</t>
  </si>
  <si>
    <t>Substituição da fase A do TC do disjuntor do anel - DJ9124 (TC DJ9124 FASE A; COD_SAP: 10187371; NUM_SERIE: GDP40385).</t>
  </si>
  <si>
    <t>ND</t>
  </si>
  <si>
    <t>Substituição da fase B do TC do disjuntor do anel - DJ9124 (TC DJ9124 FASE B; COD_SAP: 10187372; NUM_SERIE: GDP40382).</t>
  </si>
  <si>
    <t>Substituição da fase C do TC do disjuntor do anel - DJ9124 (TC DJ9124 FASE C; COD_SAP: 10187373; NUM_SERIE: GDP40381).</t>
  </si>
  <si>
    <t>Substituição da fase A do TC do disjuntor do anel - DJ9144 (TC DJ9144 FASE A; COD_SAP: 10187365; NUM_SERIE: GDP-40383).</t>
  </si>
  <si>
    <t>Substituição da fase B do TC do disjuntor do anel - DJ9144 (TC DJ9144 FASE B; COD_SAP: 10187366; NUM_SERIE: GDP-40384).</t>
  </si>
  <si>
    <t>Substituição da fase C do TC do disjuntor do anel - DJ9144 (TC DJ9144 FASE C; COD_SAP: 10187367; NUM_SERIE: GDP-40386).</t>
  </si>
  <si>
    <t>Modernização do sistema de transmissão optico da SE Campos para atendimento ao requisitos  do SEP 345kV AD-RNS, consistindo na substituição de um painel com equipamentos SDH e serviços relacionados.</t>
  </si>
  <si>
    <t>MG 345 kV CAMPOS MG1 RJ</t>
  </si>
  <si>
    <t>0001107/2025</t>
  </si>
  <si>
    <t>10206881</t>
  </si>
  <si>
    <t>Modernização do sistema de transmissão optico da SE Macaé para atendimento ao requisitos  do SEP 345kV AD-RNS, consistindo na substituição de um painel com equipamentos SDH e serviços relacionados.</t>
  </si>
  <si>
    <t>0001108/2025</t>
  </si>
  <si>
    <t>12687968</t>
  </si>
  <si>
    <t>Modernização do sistema de transmissão optico da SE Rocha Leão e Rocha Leão ENEL  para atendimento ao requisitos  do SEP 345kV AD-RNS, consistindo na substituição de um painel com equipamentos SDH e serviços relacionados.(PNL1)</t>
  </si>
  <si>
    <t>0001109/2025</t>
  </si>
  <si>
    <t>10206879</t>
  </si>
  <si>
    <t>Modernização do sistema de transmissão optico da SE Rocha Leão e Rocha Leão ENEL  para atendimento ao requisitos  do SEP 345kV AD-RNS, consistindo na substituição de um painel com equipamentos SDH e serviços relacionados. (PNL2)</t>
  </si>
  <si>
    <t>0001110/2025</t>
  </si>
  <si>
    <t>12595325</t>
  </si>
  <si>
    <t>Modernização do sistema de transmissão optico da SE Iriri para atendimento ao requisitos  do SEP 345kV AD-RNS, consistindo na substituição de um painel com equipamentos SDH e serviços relacionados.</t>
  </si>
  <si>
    <t>0001111/2025</t>
  </si>
  <si>
    <t>12687967</t>
  </si>
  <si>
    <t>VENDA PEDRAS</t>
  </si>
  <si>
    <t>Modernização do sistema de transmissão optico da SE Venda das Pedras para atendimento ao requisitos  do SEP 345kV AD-RNS, consistindo na substituição de um painel com equipamentos SDH e serviços relacionados.</t>
  </si>
  <si>
    <t>0001112/2025</t>
  </si>
  <si>
    <t>10247038</t>
  </si>
  <si>
    <t>LAGOS</t>
  </si>
  <si>
    <t>Instalação de painel e cabos do SEP 345kV AD-RNS na SE Lagos, para monitoramento dos vãos das LT 345kV Adrianópolis -  Comperj e LT 345kV Lagos - Comperj.</t>
  </si>
  <si>
    <t>MG 345 kV LAGOS MG3 RJ</t>
  </si>
  <si>
    <t>0001113/2025</t>
  </si>
  <si>
    <t>Instalação dos painéis rede/seguranças do SEP 345kV AD-RNS na SE Lagos.</t>
  </si>
  <si>
    <t>0001114/2025</t>
  </si>
  <si>
    <t>Modernização do sistema de transmissão optico da SE Lagos para atendimento ao requisitos  do SEP 345kV AD-RNS, consistindo na substituição de um painel com equipamentos SDH e serviços relacionados.</t>
  </si>
  <si>
    <t>0001115/2025</t>
  </si>
  <si>
    <t>12687965</t>
  </si>
  <si>
    <t>COMPERJ</t>
  </si>
  <si>
    <t>Instalação de painel e cabos do SEP 345kV AD-RNS na SE Comperj, para monitoramento dos vãos das LT 345kV Adrianópolis -  Comperj e LT 345kV Lagos - Comperj.</t>
  </si>
  <si>
    <t>MG 345 kV COMPERJ MG2 RJ</t>
  </si>
  <si>
    <t>0001116/2025</t>
  </si>
  <si>
    <t>Modernização do sistema de transmissão optico da SE Comperj para atendimento ao requisitos  do SEP 345kV AD-RNS, consistindo na substituição de um painel com equipamentos SDH e serviços relacionados.</t>
  </si>
  <si>
    <t>0001117/2025</t>
  </si>
  <si>
    <t>12480781</t>
  </si>
  <si>
    <t>LT 345 kV ADRIANOPOLIS /COMPERJ RJ</t>
  </si>
  <si>
    <t>Instalação de 67km de cabo OPGW na LT 345kV Adrianópolis - Comperj</t>
  </si>
  <si>
    <t>LT 345 kV ADRIANOPOLIS /COMPERJ C-1 RJ</t>
  </si>
  <si>
    <t>CaboOticoNovoLT-Adr-Comp</t>
  </si>
  <si>
    <t>LT 345 kV COMPERJ /LAGOS RJ</t>
  </si>
  <si>
    <t>Instalação de 97km cabo OPGW na LT 345kV Comperj - Lagos, incluindo derivação de fibras para a SE Rocha Leão</t>
  </si>
  <si>
    <t>FT LT 345 kV COMPERJ /LAGOS C-1 RJ</t>
  </si>
  <si>
    <t>Instalação dos painéis rede/segurança do SEP 345kV AD-RNS na SE Comperj.</t>
  </si>
  <si>
    <t>0001137/2025</t>
  </si>
  <si>
    <t>RIO NOVO SUL</t>
  </si>
  <si>
    <t>Modernização do sistema de transmissão optico da SE Rio Novo do Sul para atendimento ao requisitos  do SEP 345kV AD-RNS, consistindo na substituição de um painel com equipamentos SDH e serviços relacionados.</t>
  </si>
  <si>
    <t>MG 345 kV RIO NOVO DO SUL MG3 ES</t>
  </si>
  <si>
    <t>0001139/2025</t>
  </si>
  <si>
    <t>12687969</t>
  </si>
  <si>
    <t>Substituição de 1300 m de cabo para-raio, do tipo OPGW, no trecho compreendido entre estruturas 73-76 e 82-84 na LT 230 kV PITUACU /RL (COTEGIPE / MATATU) C-1 BA/PE (04L4) no trecho PITUACU/MATATU.</t>
  </si>
  <si>
    <t>RL 230 kV PITUACU C-1 LT COTEGIPE /MATATU C-1 BA</t>
  </si>
  <si>
    <t>0001141/2025</t>
  </si>
  <si>
    <t>11898927</t>
  </si>
  <si>
    <t>Substituição de 01 (um) TC 230 kV posição operacional 94H1-2 fase A, na subestação TERESINA (TSA).</t>
  </si>
  <si>
    <t>BC  230 kV 50,5 Mvar TERESINA       BC1 PI</t>
  </si>
  <si>
    <t>0001216/2025</t>
  </si>
  <si>
    <t>94H1-2.A</t>
  </si>
  <si>
    <t>Substituição de 01 (um) TC 230 kV posição operacional 94H1-2 fase B, na subestação TERESINA (TSA).</t>
  </si>
  <si>
    <t>0001217/2025</t>
  </si>
  <si>
    <t>94H1-2.B</t>
  </si>
  <si>
    <t>Substituição de 01 (um) TC 230 kV posição operacional 94H1-2 fase C, na subestação TERESINA (TSA).</t>
  </si>
  <si>
    <t>0001218/2025</t>
  </si>
  <si>
    <t>94H1-2.C</t>
  </si>
  <si>
    <t>Substituição de 01 (um) TC 230 kV posição operacional 94H2-2 fase A, na subestação TERESINA (TSA).</t>
  </si>
  <si>
    <t>BC  230 kV 50,5 Mvar TERESINA       BC2 PI</t>
  </si>
  <si>
    <t>0001219/2025</t>
  </si>
  <si>
    <t>94H2-2.A</t>
  </si>
  <si>
    <t>Substituição de 01 (um) TC 230 kV posição operacional 94H2-2 fase B, na subestação TERESINA (TSA).</t>
  </si>
  <si>
    <t>0001220/2025</t>
  </si>
  <si>
    <t>Substituição de 01 (um) TC 230 kV posição operacional 94H2-2 fase C, na subestação TERESINA (TSA).</t>
  </si>
  <si>
    <t>0001221/2025</t>
  </si>
  <si>
    <t>Substituição de 01 (um) TC 69 kV posição operacional 92T4.A fase A, na subestação MIRUEIRA (MRR).</t>
  </si>
  <si>
    <t>TR  230/69   kV MIRUEIRA       TR4 PE</t>
  </si>
  <si>
    <t>0001222/2025</t>
  </si>
  <si>
    <t>92T4.A</t>
  </si>
  <si>
    <t>Substituição de 01 (um) TC 69 kV posição operacional 92T4.B fase B, na subestação MIRUEIRA (MRR).</t>
  </si>
  <si>
    <t>0001223/2025</t>
  </si>
  <si>
    <t>92T4.B</t>
  </si>
  <si>
    <t>Substituição de 01 (um) TC 69 kV posição operacional 92T4.C fase C, na subestação MIRUEIRA (MRR).</t>
  </si>
  <si>
    <t>0001224/2025</t>
  </si>
  <si>
    <t>92T4.C</t>
  </si>
  <si>
    <t>Substituição de 01 (um) TC 69 kV posição operacional 92T3.A fase A, na subestação IRECE (IRE).</t>
  </si>
  <si>
    <t>TR  230/69   kV IRECE          TR3 BA</t>
  </si>
  <si>
    <t>0001225/2025</t>
  </si>
  <si>
    <t>92T3.A</t>
  </si>
  <si>
    <t>Substituição de 01 (um) TC 69 kV posição operacional 92T3.B fase B, na subestação IRECE (IRE).</t>
  </si>
  <si>
    <t>0001226/2025</t>
  </si>
  <si>
    <t>Substituição de 01 (um) TC 69 kV posição operacional 92T3.C fase C, na subestação IRECE (IRE).</t>
  </si>
  <si>
    <t>0001227/2025</t>
  </si>
  <si>
    <t>Substituição de 01 (um) TC 138 kV posição operacional 93T4 fase A, na subestação IRECE (IRE).</t>
  </si>
  <si>
    <t>TR  230/138  kV IRECE          TR4 BA</t>
  </si>
  <si>
    <t>0001229/2025</t>
  </si>
  <si>
    <t>93T4.A</t>
  </si>
  <si>
    <t>Substituição de 01 (um) TC 138 kV posição operacional 93T4 fase B, na subestação IRECE (IRE).</t>
  </si>
  <si>
    <t>0001230/2025</t>
  </si>
  <si>
    <t>93T4.B</t>
  </si>
  <si>
    <t>Substituição de 01 (um) TC 138 kV posição operacional 93T4 fase C, na subestação IRECE (IRE).</t>
  </si>
  <si>
    <t>0001231/2025</t>
  </si>
  <si>
    <t>93T4.C</t>
  </si>
  <si>
    <t>Substituição de 01 (um) TC 138 kV posição operacional 93T5 fase A, na subestação IRECE (IRE).</t>
  </si>
  <si>
    <t>TR  230/138  kV IRECE          TR5 BA</t>
  </si>
  <si>
    <t>0001232/2025</t>
  </si>
  <si>
    <t>93T5.A</t>
  </si>
  <si>
    <t>Substituição de 01 (um) TC 138 kV posição operacional 93T5 fase B, na subestação IRECE (IRE).</t>
  </si>
  <si>
    <t>0001233/2025</t>
  </si>
  <si>
    <t>93T5.B</t>
  </si>
  <si>
    <t>Substituição de 01 (um) TC 138 kV posição operacional 93T5 fase C, na subestação IRECE (IRE).</t>
  </si>
  <si>
    <t>0001234/2025</t>
  </si>
  <si>
    <t>93T5.C</t>
  </si>
  <si>
    <t>Substituição de 01 (um) TC 69 kV posição operacional 92D1.A fase A, na subestação ANGELIM (AGL).</t>
  </si>
  <si>
    <t>0001235/2025</t>
  </si>
  <si>
    <t>92D1.A</t>
  </si>
  <si>
    <t>Substituição de 01 (um) TC 69 kV posição operacional 92D1.B fase B, na subestação ANGELIM (AGL).</t>
  </si>
  <si>
    <t>0001236/2025</t>
  </si>
  <si>
    <t>92D1.B</t>
  </si>
  <si>
    <t>Substituição de 01 (um) TC 69 kV posição operacional 92D1.C fase C, na subestação ANGELIM (AGL).</t>
  </si>
  <si>
    <t>0001237/2025</t>
  </si>
  <si>
    <t>92D1.C</t>
  </si>
  <si>
    <t>Substituição de 01 (um) TC 69 kV posição operacional 92T5.A fase A, na subestação ANGELIM (AGL).</t>
  </si>
  <si>
    <t>TR  230/69   kV ANGELIM        TR5 PE</t>
  </si>
  <si>
    <t>0001238/2025</t>
  </si>
  <si>
    <t>92T5.A</t>
  </si>
  <si>
    <t>Substituição de 01 (um) TC 230 kV posição operacional 94M4 fase A, na subestação ANGELIM (AGL).</t>
  </si>
  <si>
    <t>0001239/2025</t>
  </si>
  <si>
    <t>94M4.A</t>
  </si>
  <si>
    <t>Substituição de 01 (um) TC 230 kV posição operacional 94M4 fase B, na subestação ANGELIM (AGL).</t>
  </si>
  <si>
    <t>0001240/2025</t>
  </si>
  <si>
    <t>94M4.B</t>
  </si>
  <si>
    <t>Substituição de 01 (um) TC 230 kV posição operacional 94M4 fase C, na subestação ANGELIM (AGL).</t>
  </si>
  <si>
    <t>0001241/2025</t>
  </si>
  <si>
    <t>94M4.C</t>
  </si>
  <si>
    <t>Substituição de 01 (um) TC 230 kV posição operacional 94M5 fase A, na subestação ANGELIM (AGL).</t>
  </si>
  <si>
    <t>0001242/2025</t>
  </si>
  <si>
    <t>94M5.A</t>
  </si>
  <si>
    <t>Substituição de 01 (um) TC 230 kV posição operacional 94M5 fase B, na subestação ANGELIM (AGL).</t>
  </si>
  <si>
    <t>0001243/2025</t>
  </si>
  <si>
    <t>94M5.B</t>
  </si>
  <si>
    <t>Substituição de 01 (um) TC 230 kV posição operacional 94M5 fase C, na subestação ANGELIM (AGL).</t>
  </si>
  <si>
    <t>0001244/2025</t>
  </si>
  <si>
    <t>94M5.C</t>
  </si>
  <si>
    <t>Substituição de 01 (um) TC 69 kV posição operacional 92T5.B fase B, na subestação ANGELIM (AGL).</t>
  </si>
  <si>
    <t>0001245/2025</t>
  </si>
  <si>
    <t>92T5.B</t>
  </si>
  <si>
    <t>Substituição de 01 (um) TC 69 kV posição operacional 92T5.C fase C, na subestação ANGELIM (AGL).</t>
  </si>
  <si>
    <t>0001246/2025</t>
  </si>
  <si>
    <t>92T5.C</t>
  </si>
  <si>
    <t>Substituição de 01 (um) TC 69 kV posição operacional 92T3.A fase A, na subestação PICI II (PCD).</t>
  </si>
  <si>
    <t>TR  230/69   kV PICI II        TR3 CE</t>
  </si>
  <si>
    <t>0001247/2025</t>
  </si>
  <si>
    <t>Substituição de 01 (um) TC 69 kV posição operacional 92T3.B fase B, na subestação PICI II (PCD).</t>
  </si>
  <si>
    <t>0001248/2025</t>
  </si>
  <si>
    <t>Substituição de 01 (um) TC 69 kV posição operacional 92T3.C fase C, na subestação PICI II (PCD).</t>
  </si>
  <si>
    <t>0001249/2025</t>
  </si>
  <si>
    <t>Substituição de 01 (um) TC 69 kV posição operacional 92T2 fase A, na subestação PICI II (PCD).</t>
  </si>
  <si>
    <t>TR  230/69   kV PICI II        TR2 CE</t>
  </si>
  <si>
    <t>0001250/2025</t>
  </si>
  <si>
    <t>92T2.A</t>
  </si>
  <si>
    <t>Substituição de 01 (um) TC 69 kV posição operacional 92T2 fase B, na subestação PICI II (PCD).</t>
  </si>
  <si>
    <t>0001251/2025</t>
  </si>
  <si>
    <t>92T2.B</t>
  </si>
  <si>
    <t>Substituição de 01 (um) TC 69 kV posição operacional 92T2 fase C, na subestação PICI II (PCD).</t>
  </si>
  <si>
    <t>0001252/2025</t>
  </si>
  <si>
    <t>92T2.C</t>
  </si>
  <si>
    <t>Instalação de 01 Cubículo de Disjuntor 15KV. (Cubículo 1)</t>
  </si>
  <si>
    <t>MG 500 kV GURUPI MG2 TO</t>
  </si>
  <si>
    <t>0001306/2025</t>
  </si>
  <si>
    <t>Instalação de 01 Cubículo de Disjuntor 15KV. (Cubículo 2)</t>
  </si>
  <si>
    <t>0001307/2025</t>
  </si>
  <si>
    <t>Instalação do sistema de proteção de barra alternado BR9A e BR9B, 500 kV , arranjo DJM, na SE SAO JOSE.</t>
  </si>
  <si>
    <t>0001309/2025</t>
  </si>
  <si>
    <t>Instalação do sistema de proteção de Falha de Disjuntor alternado DJ9158, 500kV, arranjo DJM, associado a Entrada de Linha Adrianópolis, na SE SAO JOSE.</t>
  </si>
  <si>
    <t>0001310/2025</t>
  </si>
  <si>
    <t>Instalação do sistema de proteção de Falha de Disjuntor alternado DJ9168, 500kV, arranjo DJM, associado a Entrada de Linha Nova Iguaçu, na SE SAO JOSE.</t>
  </si>
  <si>
    <t>0001311/2025</t>
  </si>
  <si>
    <t>Instalação do sistema de proteção de Falha de Disjuntor alternado DJ9178, 500kV, arranjo DJM, associado ao TR14, na SE SAO JOSE.</t>
  </si>
  <si>
    <t>TR  500/138  kV SAO JOSE      TR14 RJ</t>
  </si>
  <si>
    <t>0001312/2025</t>
  </si>
  <si>
    <t>Instalação do sistema de proteção de Falha de Disjuntor alternado DJ9358, 500kV, arranjo DJM, associado ao TR11, na SE SAO JOSE.</t>
  </si>
  <si>
    <t>TR  500/138  kV SAO JOSE      TR11 RJ</t>
  </si>
  <si>
    <t>0001315/2025</t>
  </si>
  <si>
    <t>Instalação do sistema de proteção de Falha de Disjuntor alternado DJ9368, 500kV, arranjo DJM, associado ao TR12, na SE SAO JOSE.</t>
  </si>
  <si>
    <t>TR  500/138  kV SAO JOSE      TR12 RJ</t>
  </si>
  <si>
    <t>0001319/2025</t>
  </si>
  <si>
    <t>Instalação do sistema de proteção de Falha de Disjuntor alternado DJ9378, 500kV, arranjo DJM, associado ao TR13, na SE SAO JOSE.</t>
  </si>
  <si>
    <t>TR  500/138  kV SAO JOSE      TR13 RJ</t>
  </si>
  <si>
    <t>0001320/2025</t>
  </si>
  <si>
    <t>Instalação de 01 (um) Cubículo de 13,8kV Nº03, 01 (um) painel de proteção e controle, todos os cabos de força e comando e respectiva obra civil  na subestação Carajás.</t>
  </si>
  <si>
    <t>0001339/2025</t>
  </si>
  <si>
    <t>Instalação de 01 (um) Cubículo de 13,8kV Nº04, 01 (um) painel de proteção e controle, todos os cabos de força e comando e respectiva obra civil  na subestação Carajás.</t>
  </si>
  <si>
    <t>0001340/2025</t>
  </si>
  <si>
    <t>Instalação de 01 (um) Cubículo de 13,8kV  Nº 01,  01 (um) painel de proteção e controle, todos os cabos de força e comando e respectiva obra civil  na subestação Colinas.</t>
  </si>
  <si>
    <t>0001341/2025</t>
  </si>
  <si>
    <t>Instalação de 01 (um) Cubículo de 13,8kV Nº 02,  01 (um) painel de proteção e controle, todos os cabos de força e comando e respectiva obra civil  na subestação Colinas.</t>
  </si>
  <si>
    <t>0001342/2025</t>
  </si>
  <si>
    <t>Instalação de 01 (um) Cubículo de 13,8kV Nº01, 01 (um) painel de proteção e controle, todos os cabos de força e comando e respectiva obra civil  na subestação Integradora.</t>
  </si>
  <si>
    <t>0001343/2025</t>
  </si>
  <si>
    <t>Instalação de 01 (um) Cubículo de 13,8kV Nº02, 01 (um) painel de proteção e controle, todos os cabos de força e comando e respectiva obra civil  na subestação Integradora.</t>
  </si>
  <si>
    <t>0001345/2025</t>
  </si>
  <si>
    <t>Substituição do transformador de 34,5kV/0,38kV/0,22kV 200kVA (IGTF3-01) por um de 13,8kV/0,38kV/0,22kV 200kVA da subestação Integradora.</t>
  </si>
  <si>
    <t>0001346/2025</t>
  </si>
  <si>
    <t>12336951</t>
  </si>
  <si>
    <t>Substituição do transformador de 34,5kV/0,38kV/0,22kV 200kVA (IGTF3-02) por um de 13,8kV/0,38kV/0,22kV 200kVA da subestação Integradora.</t>
  </si>
  <si>
    <t>0001347/2025</t>
  </si>
  <si>
    <t>12336956</t>
  </si>
  <si>
    <t>Instalação de proteção alternada de falha do disjuntor  ANDJ6-06 230kV, associado à Entrada de Linha Porto Velho C2, na SE ABUNA.</t>
  </si>
  <si>
    <t>0001364/2025</t>
  </si>
  <si>
    <t>Instalação de proteção alternada de falha do disjuntor  ANDJ6-07 230kV, associado à Entrada de Linha Rio Branco C2, na ABUNA.</t>
  </si>
  <si>
    <t>0001365/2025</t>
  </si>
  <si>
    <t>Instalação de proteção alternada de falha do disjuntor  ANDJ6-01 230kV, associado à Interligação de Barras IB1. na SE ABUNA.</t>
  </si>
  <si>
    <t>0001366/2025</t>
  </si>
  <si>
    <t>Instalação de proteção alternada de falha do disjuntor  ANDJ6-09 230kV, associado ao TR1, na SE ABUNA.</t>
  </si>
  <si>
    <t>0001367/2025</t>
  </si>
  <si>
    <t>Instalação de proteção alternada de falha do disjuntor  ANDJ6-08 230kV, associado ao RT4, na ABUNA.</t>
  </si>
  <si>
    <t>RTB 230 kV 30 Mvar ABUNA RT4 RO</t>
  </si>
  <si>
    <t>0001368/2025</t>
  </si>
  <si>
    <t>Instalação de proteção alternada de falha do disjuntor  ANDJ6-10 230kV, associado ao TR2, na SE ABUNA.</t>
  </si>
  <si>
    <t>TR 230/138 kV ABUNA TR2 RO</t>
  </si>
  <si>
    <t>0001369/2025</t>
  </si>
  <si>
    <t>Instalação de 01 (um) TC 230 kV posição operacional 94E1 fase C, na subestação BANABUIU (BNB).</t>
  </si>
  <si>
    <t>0001378/2025</t>
  </si>
  <si>
    <t>Instalação de 01 (um) TC 230 kV posição operacional 94E3 fase A, na subestação BANABUIU (BNB).</t>
  </si>
  <si>
    <t>0001379/2025</t>
  </si>
  <si>
    <t>Instalação de 01 (um) TC 230 kV posição operacional 94E3 fase C, na subestação BANABUIU (BNB).</t>
  </si>
  <si>
    <t>0001380/2025</t>
  </si>
  <si>
    <t>Instalação de 01 (um) TC 230 kV posição operacional 94E1 fase A, na subestação GOIANINHA (GNN).</t>
  </si>
  <si>
    <t>0001381/2025</t>
  </si>
  <si>
    <t>Implantação da proteção diferencial de barras Unidade de Bay Principal e Alternada e dos cabos de controle e potência associados (1000 m), referente a LT 230 kV Osório 2 - Atlântida 2.</t>
  </si>
  <si>
    <t>LT 230 kV ATLANTIDA 2 /OSORIO 2 C-1 RS</t>
  </si>
  <si>
    <t>0001382/2025</t>
  </si>
  <si>
    <t>Implantação da proteção diferencial de barras Unidade de Bay Principal e Alternada e dos cabos de controle e potência associados (1000 m), referente a LT 230 kV Presidente Médici  - Santa Cruz 1.</t>
  </si>
  <si>
    <t>LT 230 kV PRE.MEDICI /SANTA CRUZ 1 C-1 RS</t>
  </si>
  <si>
    <t>0001383/2025</t>
  </si>
  <si>
    <t>Instalação de 01 (um) TC 230 kV posição operacional 94E1 fase B, na subestação GOIANINHA (GNN).</t>
  </si>
  <si>
    <t>0001384/2025</t>
  </si>
  <si>
    <t>Instalação de 01 (um) TC 230 kV posição operacional 94E1 fase C, na subestação GOIANINHA (GNN).</t>
  </si>
  <si>
    <t>0001385/2025</t>
  </si>
  <si>
    <t>Instalação de 01 (um) TC 69 kV posição operacional 92T1 fase A, na subestação GOIANINHA (GNN).</t>
  </si>
  <si>
    <t>0001386/2025</t>
  </si>
  <si>
    <t>Implantação da proteção diferencial de barras Unidade de Bay Principal e Alternada e dos cabos de controle e potência associados (1000 m), referente a TF 6 setor 230 kV .</t>
  </si>
  <si>
    <t>TR 230/138 kV SANTA MARIA 3 TR4 RS</t>
  </si>
  <si>
    <t>0001387/2025</t>
  </si>
  <si>
    <t>Instalação de 01 (um) TC 69 kV posição operacional 92T1 fase B, na subestação GOIANINHA (GNN).</t>
  </si>
  <si>
    <t>0001388/2025</t>
  </si>
  <si>
    <t>Implantação da proteção diferencial de barras Unidade de Bay Principal e Alternada e dos cabos de controle e potência associados (1000 m), referente a TF 7 setor 230 kV .</t>
  </si>
  <si>
    <t>TR 230/138 kV SANTA MARIA 3 TR3 RS</t>
  </si>
  <si>
    <t>0001389/2025</t>
  </si>
  <si>
    <t>Instalação de 01 (um) TC 69 kV posição operacional 92T1 fase C, na subestação GOIANINHA (GNN).</t>
  </si>
  <si>
    <t>0001390/2025</t>
  </si>
  <si>
    <t>Instalação de 01 (um) TC 230 kV posição operacional 94H1-3 fase A, na subestação B.JESUS LAPA (BJS).</t>
  </si>
  <si>
    <t>CR 230 kV 34,9 Mvar B.JESUS LAPA BC1 BA</t>
  </si>
  <si>
    <t>0001391/2025</t>
  </si>
  <si>
    <t>Instalação de 01 (um) TC 230 kV posição operacional 94H1-3 fase B, na subestação B.JESUS LAPA (BJS).</t>
  </si>
  <si>
    <t>0001392/2025</t>
  </si>
  <si>
    <t>Instalação de 01 (um) TC 230 kV posição operacional 94H1-3 fase C, na subestação B.JESUS LAPA (BJS).</t>
  </si>
  <si>
    <t>0001393/2025</t>
  </si>
  <si>
    <t>Substituição do Registrador Digital de Perturbações (RDP) de 13,8 KV com integração ao SPERT, codigo operacional CS13CS1, Vão DX da subestação Imperatriz.</t>
  </si>
  <si>
    <t>0001394/2025</t>
  </si>
  <si>
    <t>119846</t>
  </si>
  <si>
    <t>Substituição do Registrador Digital de Perturbações (RDP) de 13,8 KV com integração ao SPERT, codigo operacional CS13CS2, Vão DX da subestação Imperatriz.</t>
  </si>
  <si>
    <t>CS 100/-70 Mvar IMPERATRIZ CS2 MA</t>
  </si>
  <si>
    <t>0001395/2025</t>
  </si>
  <si>
    <t>11984699</t>
  </si>
  <si>
    <t>Instalação de 01 (um) TC 230 kV posição operacional 94H1-3 fase A, na subestação IRECE (IRE).</t>
  </si>
  <si>
    <t>CR 230 kV 81 Mvar IRECE BC1 BA</t>
  </si>
  <si>
    <t>0001396/2025</t>
  </si>
  <si>
    <t>Instalação de 01 (um) TC 230 kV posição operacional 94H1-3 fase B, na subestação IRECE (IRE).</t>
  </si>
  <si>
    <t>0001397/2025</t>
  </si>
  <si>
    <t>Instalação de 01 (um) TC 230 kV posição operacional 94H1-3 fase C, na subestação IRECE (IRE).</t>
  </si>
  <si>
    <t>0001398/2025</t>
  </si>
  <si>
    <t>Substituição do Registrador Digital de Perturbações (RDP) de 13,8 KV com integração ao SPERT, codigo operacional CS201 - PDSPR01, Vão AX da subestação Presidente Dutra.</t>
  </si>
  <si>
    <t>0001399/2025</t>
  </si>
  <si>
    <t>11990226</t>
  </si>
  <si>
    <t>Instalação de OPLAT e equipamentos associados, relacionados à teleproteção alternada do vão da Entrada de Linha 04L3 (LT 230 kV GOIANINHA /C.GRANDE II C-1), na subestação C.GRANDE II, composto por: 01 sistema de teleproteção alternado.</t>
  </si>
  <si>
    <t>0001400/2025</t>
  </si>
  <si>
    <t>Substituição do Registrador Digital de Perturbações (RDP) de 13,8 KV com integração ao SPERT, codigo operacional CS202 - PDSPR01, Vão AX da subestação Presidente Dutra.</t>
  </si>
  <si>
    <t>CS 100/-70 Mvar P.DUTRA CS2 MA</t>
  </si>
  <si>
    <t>0001401/2025</t>
  </si>
  <si>
    <t>11990436</t>
  </si>
  <si>
    <t>Instalação de equipamentos de teleproteção associados ao vão da Entrada de Linha 04L3 (LT 230 kV GOIANINHA /C.GRANDE II C-1), na subestação C.GRANDE II, composto por: 02 Bobinas de Bloqueio.</t>
  </si>
  <si>
    <t>0001402/2025</t>
  </si>
  <si>
    <t>Instalação de OPLAT e equipamentos associados, relacionados à teleproteção alternada do vão da Entrada de Linha 04C7 (LT 230 kV PAU FERRO /GOIANINHA C-1), na subestação GOIANINHA, composto por: 01 sistema de teleproteção alternado.</t>
  </si>
  <si>
    <t>0001404/2025</t>
  </si>
  <si>
    <t>Instalação de OPLAT e equipamentos associados, relacionados à teleproteção alternada do vão da Entrada de Linha 04C8 (LT 230 kV RECIFE II /GOIANINHA C-1), na subestação GOIANINHA, composto por: 01 sistema de teleproteção alternado.</t>
  </si>
  <si>
    <t>0001405/2025</t>
  </si>
  <si>
    <t>Instalação de OPLAT e equipamentos associados, relacionados à teleproteção alternada do vão da Entrada de Linha 04C9 (LT 230 kV RECIFE II /GOIANINHA C-2), na subestação GOIANINHA, composto por: 01 sistema de teleproteção alternado.</t>
  </si>
  <si>
    <t>0001406/2025</t>
  </si>
  <si>
    <t>Instalação de OPLAT e equipamentos associados, relacionados à teleproteção alternada do vão da Entrada de Linha 04L3 (LT 230 kV GOIANINHA /C.GRANDE II C-1), na subestação GOIANINHA, composto por: 01 sistema de teleproteção alternado.</t>
  </si>
  <si>
    <t>0001407/2025</t>
  </si>
  <si>
    <t>Instalação de equipamentos de teleproteção associados ao vão da Entrada de Linha 04C7 (LT 230 kV PAU FERRO /GOIANINHA C-1), na subestação GOIANINHA, composto por: 02 Bobinas de Bloqueio.</t>
  </si>
  <si>
    <t>0001409/2025</t>
  </si>
  <si>
    <t>Instalação de equipamentos de teleproteção associados ao vão da Entrada de Linha 04C8 (LT 230 kV RECIFE II /GOIANINHA C-1), na subestação GOIANINHA, composto por: 02 Bobinas de Bloqueio.</t>
  </si>
  <si>
    <t>lt 230 Kv recife ii /goianinha c-1 pe</t>
  </si>
  <si>
    <t>0001410/2025</t>
  </si>
  <si>
    <t>Instalação de equipamentos de teleproteção associados ao vão da Entrada de Linha 04C9 (LT 230 kV RECIFE II /GOIANINHA C-2), na subestação GOIANINHA, composto por: 02 Bobinas de Bloqueio.</t>
  </si>
  <si>
    <t>0001411/2025</t>
  </si>
  <si>
    <t>Instalação de equipamentos de teleproteção associados ao vão da Entrada de Linha 04L3 (LT 230 kV GOIANINHA /C.GRANDE II C-1), na subestação GOIANINHA, composto por: 02 Bobinas de Bloqueio.</t>
  </si>
  <si>
    <t>0001412/2025</t>
  </si>
  <si>
    <t>Instalação de OPLAT e equipamentos associados, relacionados à teleproteção alternada do vão da Entrada de Linha 04C8 (LT 230 kV RECIFE II /GOIANINHA C-1), na subestação RECIFE II, composto por: 01 sistema de teleproteção alternado.</t>
  </si>
  <si>
    <t>0001413/2025</t>
  </si>
  <si>
    <t>Instalação de OPLAT e equipamentos associados, relacionados à teleproteção alternada do vão da Entrada de Linha 04C9 (LT 230 kV RECIFE II /GOIANINHA C-2), na subestação RECIFE II, composto por: 01 sistema de teleproteção alternado.</t>
  </si>
  <si>
    <t>0001414/2025</t>
  </si>
  <si>
    <t>Instalação de equipamentos de teleproteção associados ao vão da Entrada de Linha 04C8 (LT 230 kV RECIFE II /GOIANINHA C-1), na subestação RECIFE II, composto por: 02 Bobinas de Bloqueio.</t>
  </si>
  <si>
    <t>0001415/2025</t>
  </si>
  <si>
    <t>Instalação de equipamentos de teleproteção associados ao vão da Entrada de Linha 04C9 (LT 230 kV RECIFE II /GOIANINHA C-2), na subestação RECIFE II, composto por: 02 Bobinas de Bloqueio.</t>
  </si>
  <si>
    <t>0001416/2025</t>
  </si>
  <si>
    <t>Instalação de OPLAT e equipamentos associados, relacionados à teleproteção alternada do vão da Entrada de Linha 04C7 (LT 230 kV PAU FERRO /GOIANINHA C-1), na subestação PAU FERRO, composto por: 01 sistema de teleproteção alternado.</t>
  </si>
  <si>
    <t>0001417/2025</t>
  </si>
  <si>
    <t>Instalação de equipamentos de teleproteção associados ao vão da Entrada de Linha 04C7 (LT 230 kV PAU FERRO /GOIANINHA C-1), na subestação PAU FERRO, composto por: 02 Bobinas de Bloqueio.</t>
  </si>
  <si>
    <t>0001419/2025</t>
  </si>
  <si>
    <t>Instalação de lógica de transferência automática de carga, na contingência transferência entre os transformadores TR1, TR2 e TR3 de 230/13,8 kV, na SE CAXIAS SUL 5.</t>
  </si>
  <si>
    <t>MG 230 kV CAXIAS SUL 5 MG1 RS</t>
  </si>
  <si>
    <t>0001422/2025</t>
  </si>
  <si>
    <t>Instalação de Interligação de Barras 13,8 kV para interligar as barras P3 e P1 (existente), arranjo BPT, na SE CAXIAS SUL 5.</t>
  </si>
  <si>
    <t>IB 13,8 kV MG 230 kV CAXIAS SUL 5 RS P3 e P1</t>
  </si>
  <si>
    <t>0001423/2025</t>
  </si>
  <si>
    <t>Instalação de Interligação de Barras 13,8 kV para interligar as barras P3 e T3, arranjo BPT, na SE CAXIAS SUL 5.</t>
  </si>
  <si>
    <t>IB 13,8 kV MG 230 kV CAXIAS SUL 5 RS P3 e T3</t>
  </si>
  <si>
    <t>0001424/2025</t>
  </si>
  <si>
    <t>Instalação de Módulo de Conexão Transformador 13,8kV, arranjo BPT,  associado ao TR3, na SE CAXIAS SUL 5.</t>
  </si>
  <si>
    <t>MC 13,8 kV TR 230/13,8 kV CAXIAS SUL 5 TR3 RS</t>
  </si>
  <si>
    <t>0001425/2025</t>
  </si>
  <si>
    <t>Instalação  da proteção alternada contra falha de disjuntor do módulo de conexão do reator RE1 de 230 kV (DJ722) na SE DOURADOS</t>
  </si>
  <si>
    <t>RTB 230 kV 27 Mvar DOURADOS RT1 MS</t>
  </si>
  <si>
    <t>0001426/2025</t>
  </si>
  <si>
    <t>Instalação da proteção alternada contra falha de disjuntor do módulo de conexão do TR3 230kV (DJ752) na SE DOURADOS</t>
  </si>
  <si>
    <t>0001427/2025</t>
  </si>
  <si>
    <t>Instalação  da proteção alternada contra falha de disjuntor do módulo de conexão do TR4 230kV (DJ772) na SE DOURADOS</t>
  </si>
  <si>
    <t>0001428/2025</t>
  </si>
  <si>
    <t>Instalação da proteção alternada contra falha de disjuntor (DJ 862) 230 kV, arranjo BD4, associado ao TR3, na SE LONDRINA ESU</t>
  </si>
  <si>
    <t>TR 500/230 kV LONDRINA ESU TR3 PR</t>
  </si>
  <si>
    <t>0001429/2025</t>
  </si>
  <si>
    <t>Instalação do sistema de proteção e controle alternado para as barras  230kV, na SE ABUNA.</t>
  </si>
  <si>
    <t>0001430/2025</t>
  </si>
  <si>
    <t>Instalação de Registrador Digital de Perturbações RDP 230kV, arranjo BD4, associado a Entrada de Linha Jauru C2, na SE VARZEA GRANDE.</t>
  </si>
  <si>
    <t>0001440/2025</t>
  </si>
  <si>
    <t>Substituição da proteção de Barras BR7A e BR7B 230kV, arranjo BD4, na SE NIQUELÂNDIA.</t>
  </si>
  <si>
    <t>0001441/2025</t>
  </si>
  <si>
    <t>10217226</t>
  </si>
  <si>
    <t>Substituição da proteção de Falha do disjuntor DJ7116, 230kV (S.da Mesa-Niquelândia C2),  arranjo BD4, na SE NIQUELÂNDIA.</t>
  </si>
  <si>
    <t>LT 230 kV S.DA MESA /NIQUELANDIA C-2 GO</t>
  </si>
  <si>
    <t>0001442/2025</t>
  </si>
  <si>
    <t>10255812</t>
  </si>
  <si>
    <t>Substituição da proteção de Falha do disjuntor DJ7106, 230kV (S.da Mesa-Niquelândia C1), arranjo BD4, na SE NIQUELÂNDIA.</t>
  </si>
  <si>
    <t>LT 230 kV S.DA MESA /NIQUELANDIA C-1 GO</t>
  </si>
  <si>
    <t>0001443/2025</t>
  </si>
  <si>
    <t>12673951</t>
  </si>
  <si>
    <t>Substituição da proteção de Falha do disjuntor DJ706, 230kV, arranjo BD4, na SE NIQUELÂNDIA.</t>
  </si>
  <si>
    <t>0001444/2025</t>
  </si>
  <si>
    <t>10256745</t>
  </si>
  <si>
    <t>Substituição da proteção de Falha do disjuntor DJ7626, 230kV (Niquelândia-Codemin C1), arranjo BD4, na NIQUELÂNDIA.</t>
  </si>
  <si>
    <t>EL 230 kV NIQUELANDIA LT 230 kV NIQUELANDIA /CODEMIN C-1 GO</t>
  </si>
  <si>
    <t>0001445/2025</t>
  </si>
  <si>
    <t>12595809</t>
  </si>
  <si>
    <t>Substituição da proteção de Falha do disjuntor DJ7546, 230kV (Barro Alto-Niquelândia C2), arranjo BD4, na NIQUELÂNDIA.</t>
  </si>
  <si>
    <t>LT 230 kV BARRO ALTO /NIQUELANDIA C-2 GO</t>
  </si>
  <si>
    <t>0001446/2025</t>
  </si>
  <si>
    <t>10255808</t>
  </si>
  <si>
    <t>Substituição da proteção de Falha do disjuntor DJ7526, 230kV  (Barro Alto-Niquelândia C1), arranjo BD4, na SE NIQUELÂNDIA.</t>
  </si>
  <si>
    <t>LT 230 kV BARRO ALTO /NIQUELANDIA C-1 GO</t>
  </si>
  <si>
    <t>0001447/2025</t>
  </si>
  <si>
    <t>12595707</t>
  </si>
  <si>
    <t>Substituição da proteção de Falha do disjuntor DJ7616, 230kV (Niquelândia Dist 1), arranjo BD4, na NIQUELÂNDIA.</t>
  </si>
  <si>
    <t>EL 230 kV NIQUELANDIA DIST1</t>
  </si>
  <si>
    <t>0001448/2025</t>
  </si>
  <si>
    <t>12595793</t>
  </si>
  <si>
    <t>Instalação de 04 (quatro) Merging Units nos novos painéis no pátio de 500 kV e 08 (oito) pares de fibras óticas para conecta-las aos DIOs, localização operacional IZPD-LT7-01 da subestação Imperatiz.</t>
  </si>
  <si>
    <t>0001455/2025</t>
  </si>
  <si>
    <t>Instalação de 04 (quatro) DIOs nos novos painéis no pátio de 500 kV e cordões de fibras óticas conectando-os aos DIOs na casa de relés Nº 507 realizando a conexão das Merging Units ao barramento de processo e aos relés de proteção dos equipamentos da linha, localização operacional IZPD-LT7-01 da subestação Imperatiz.</t>
  </si>
  <si>
    <t>0001456/2025</t>
  </si>
  <si>
    <t>Instalação de 02 (dois) painéis no pátio de 500kV, 01 (um) junto ao reator IZRE7-01 Fase R e 01 (um) junto ao banco de reatores IZRE7-02, para instalação das Merging Units e dos DIOs, localização operacional IZPD-LT7-01 da subestação Imperatiz.</t>
  </si>
  <si>
    <t>0001458/2025</t>
  </si>
  <si>
    <t>Instalação de 04 (quatro) Merging Units nos novos painéis no pátio de 500 kV e 08 (oito) pares de fibras óticas para conecta-las aos DIOs, localização operacional IZPD-LT7-02 da subestação Imperatiz.</t>
  </si>
  <si>
    <t>0001459/2025</t>
  </si>
  <si>
    <t>Instalação de 04 (quatro) DIOs nos novos painéis no pátio de 500 kV e cordões de fibras óticas conectando-os aos DIOs na casa de relés Nº 507 realizando a conexão das Merging Units ao barramento de processo e aos relés de proteção dos equipamentos da linha, localização operacional IZPD-LT7-02 da subestação Imperatiz.</t>
  </si>
  <si>
    <t>0001460/2025</t>
  </si>
  <si>
    <t>Instalação de 02 (dois) painéis no pátio de 500kV, 1 (um) junto ao reator IZRE7-01 Fase R e 01 (um) junto ao banco de reatores IZRE7-04, para instalação das Merging Units e dos DIOs, localização operacional IZPD-LT7-01 da subestação Imperatiz.</t>
  </si>
  <si>
    <t>0001461/2025</t>
  </si>
  <si>
    <t>Instalação de 02 (duas) unidades de controle no novo painél de automatismo na casa de relés Nº 502 e 08 (oito) pares de fibras óticas para conexão com os barramentos de estação e processo.</t>
  </si>
  <si>
    <t>0001463/2025</t>
  </si>
  <si>
    <t>Substituição 01 (uma) secionadora IZSR7-02  de 500 kV pela chave seccionadora de 750 kV semi pantográfica com abertura vertical e fechamento horizontal, com  adequações civis, eletromecânicas e de controle, para transferência de fase do banco de reatores de linha IZRE7-02 da subestação Imperatriz.</t>
  </si>
  <si>
    <t>0001464/2025</t>
  </si>
  <si>
    <t>IZSR702</t>
  </si>
  <si>
    <t>Substituição 01 (uma) secionadora IZSR7-04 pela chave seccionadora de 750 kV semi pantográfica com abertura vertical e fechamento horizontal, com  adequações civis, eletromecânicas e de controle, para transferência de fase do banco de reatores de linha IZRE7-04 da subestação Imperatriz.</t>
  </si>
  <si>
    <t>0001465/2025</t>
  </si>
  <si>
    <t>IZSR704</t>
  </si>
  <si>
    <t>Instalação de 01 (um) novo secionador para neutro de 69, adequações civis, eletromecânicas e de controle, para transferência de fase do banco de reatores de linha IZRE7-02 - aplicação no neutropara adequação de projeto de substituição de secionadores conjugados semi-pantográficos da subestação Imperatriz.</t>
  </si>
  <si>
    <t>0001467/2025</t>
  </si>
  <si>
    <t>516</t>
  </si>
  <si>
    <t>Instalação de 01 (um) novo secionador para neutro de 69 kV, adequações civis, eletromecânicas e de controle, para transferência de fase do banco de reatores de linha IZRE7-04 - aplicação no neutro, para adequação de projeto de substituição de secionadores conjugados semi-pantográficos da subestação Imperatriz.</t>
  </si>
  <si>
    <t>0001468/2025</t>
  </si>
  <si>
    <t>517</t>
  </si>
  <si>
    <t>Instalação de 01 (um) painel de automatismo na casa de relés 502 para instalação das unidades de controle.</t>
  </si>
  <si>
    <t>0001469/2025</t>
  </si>
  <si>
    <t>Substituição de 01 (uma) secionadora PDSR7-03 de 500 kV pela chave seccionadora de 750 kV semi pantográfica com abertura vertical e fechamento horizontal, com  adequações civis, eletromecânicas e de controle, para transferência de fase do banco de reatores de linha PDRE7-04 da subestação Presidente Dutra.</t>
  </si>
  <si>
    <t>0001471/2025</t>
  </si>
  <si>
    <t>PDSR703</t>
  </si>
  <si>
    <t>Substituição 01 (uma) secionadora PDSR7-05 de 500 kV pela chave seccionadora de 750 kV semi pantográfica com abertura vertical e fechamento horizontal, com  adequações civis, eletromecânicas e de controle, para transferência de fase do banco de reatores de linha PDRE7-07 da subestação Presidente Dutra.</t>
  </si>
  <si>
    <t>0001472/2025</t>
  </si>
  <si>
    <t>PDSR705</t>
  </si>
  <si>
    <t>Instalação de 01 (um) novo secionador para neutro de 69 kV, adequações civis, eletromecânicas e de controle, para transferência de fase do banco de reatores de linha PDRE7-04 - aplicação no neutro, para adequação de projeto de substituição de secionadores conjugados semi-pantográficos  da subestação Presidente Dutra.</t>
  </si>
  <si>
    <t>0001473/2025</t>
  </si>
  <si>
    <t>514</t>
  </si>
  <si>
    <t>Instalação de 01 (um) novo secionador para neutro de 69 kV, adequações civis, eletromecânicas e de controle, para transferência de fase do banco de reatores de linha PDRE7-07 - aplicação no neutropara adequação de projeto de substituição de secionadores conjugados semi-pantográficos da subestação Presidente Dutra.</t>
  </si>
  <si>
    <t>0001474/2025</t>
  </si>
  <si>
    <t>515</t>
  </si>
  <si>
    <t>Instalação de sistema completo de Grupo Gerador de Emergência Nº 02 para atender o Serviço Auxiliar da subestação Porto Velho.</t>
  </si>
  <si>
    <t>0001475/2025</t>
  </si>
  <si>
    <t>Instalação de 01 (um) TC 230 kV posição operacional 94E3 fase B, na subestação BANABUIU (BNB).</t>
  </si>
  <si>
    <t>0001476/2025</t>
  </si>
  <si>
    <t>Instalação de OPLAT e equipamentos associados, relacionados à teleproteção alternada do vão da Entrada de Linha 04F6 (LT 230 kV FUNIL /ITAPEBI C-1), na subestação FUNIL, composto por: 01 sistema de teleproteção alternado.</t>
  </si>
  <si>
    <t>LT 230 kV FUNIL /ITAPEBI C-1 BA</t>
  </si>
  <si>
    <t>0001477/2025</t>
  </si>
  <si>
    <t>Instalação de equipamentos de teleproteção associados ao vão da Entrada de Linha 04F6 (LT 230 kV FUNIL /ITAPEBI C-1), na subestação FUNIL, composto por: 02 Bobinas de Bloqueio.</t>
  </si>
  <si>
    <t>0001478/2025</t>
  </si>
  <si>
    <t>Instalação de OPLAT e equipamentos associados, relacionados à teleproteção alternada do vão da Entrada de Linha 04M2 (LT 230 kV ICO /MILAGRES C-1), na subestação MILAGRES, composto por: 01 sistema de teleproteção alternado.</t>
  </si>
  <si>
    <t>0001479/2025</t>
  </si>
  <si>
    <t>Instalação de OPLAT e equipamentos associados, relacionados à teleproteção alternada do vão da Entrada de Linha 04M5 (LT 230 kV MILAGRES /COREMAS C-2), na subestação MILAGRES, composto por: 01 sistema de teleproteção alternado.</t>
  </si>
  <si>
    <t>0001480/2025</t>
  </si>
  <si>
    <t>Instalação de OPLAT e equipamentos associados, relacionados à teleproteção alternada do vão da Entrada de Linha 04M6 (LT 230 kV MILAGRES /COREMAS C-1), na subestação MILAGRES, composto por: 01 sistema de teleproteção alternado.</t>
  </si>
  <si>
    <t>0001481/2025</t>
  </si>
  <si>
    <t>Instalação de OPLAT e equipamentos associados, relacionados à teleproteção alternada do vão da Entrada de Linha 05V3 (MILAGRES /QUIXADA C-1), na subestação MILAGRES, composto por: 01 sistema de teleproteção alternado.</t>
  </si>
  <si>
    <t>0001482/2025</t>
  </si>
  <si>
    <t>Instalação de equipamentos de teleproteção associados ao vão da Entrada de Linha 04M2 (LT 230 kV ICO /MILAGRES C-1), na subestação MILAGRES, composto por: 02 Bobinas de Bloqueio.</t>
  </si>
  <si>
    <t>0001483/2025</t>
  </si>
  <si>
    <t>Instalação de equipamentos de teleproteção associados ao vão da Entrada de Linha 04M5 (LT 230 kV MILAGRES /COREMAS C-2), na subestação MILAGRES, composto por: 02 Bobinas de Bloqueio.</t>
  </si>
  <si>
    <t>0001484/2025</t>
  </si>
  <si>
    <t>Instalação de equipamentos de teleproteção associados ao vão da Entrada de Linha 04M6 (LT 230 kV MILAGRES /COREMAS C-1), na subestação MILAGRES, composto por: 02 Bobinas de Bloqueio.</t>
  </si>
  <si>
    <t>0001485/2025</t>
  </si>
  <si>
    <t>Instalação de equipamentos de teleproteção associados ao vão da Entrada de Linha 05V3 (LT 500 kV MILAGRES /QUIXADA C-1), na subestação MILAGRES, composto por: 02 Bobinas de Bloqueio.</t>
  </si>
  <si>
    <t>0001486/2025</t>
  </si>
  <si>
    <t>ITAPEBI SE</t>
  </si>
  <si>
    <t>Instalação de OPLAT e equipamentos associados, relacionados à teleproteção alternada do vão da Entrada de Linha 04F6 (LT 230 kV FUNIL /ITAPEBI C-1), na subestação ITAPEBI, composto por: 01 sistema de teleproteção alternado.</t>
  </si>
  <si>
    <t>0001487/2025</t>
  </si>
  <si>
    <t>Instalação de OPLAT e equipamentos associados, relacionados à teleproteção alternada do vão da Entrada de Linha 04N1 (LT 230 kV ITAPEBI /EUNAPOLIS C-1), na subestação ITAPEBI, composto por: 01 sistema de teleproteção alternado.</t>
  </si>
  <si>
    <t>0001488/2025</t>
  </si>
  <si>
    <t>Instalação de OPLAT e equipamentos associados, relacionados à teleproteção alternada do vão da Entrada de Linha 04N2 (LT 230 kV ITAPEBI /EUNAPOLIS C-2), na subestação ITAPEBI, composto por: 01 sistema de teleproteção alternado.</t>
  </si>
  <si>
    <t>LT 230 kV ITAPEBI /EUNAPOLIS C-2 BA</t>
  </si>
  <si>
    <t>0001489/2025</t>
  </si>
  <si>
    <t>Descricao</t>
  </si>
  <si>
    <t>Corporativo_SPE</t>
  </si>
  <si>
    <t>Ambiental</t>
  </si>
  <si>
    <t>Infraestrutura</t>
  </si>
  <si>
    <t>VP Operações e Segurança</t>
  </si>
  <si>
    <t>Ampliação</t>
  </si>
  <si>
    <t>Bens Móveis</t>
  </si>
  <si>
    <t>VP Engenharia de Expansão</t>
  </si>
  <si>
    <t>Bens Imóveis</t>
  </si>
  <si>
    <t>Investimento de Apoio</t>
  </si>
  <si>
    <t>VCM</t>
  </si>
  <si>
    <t>VP Comercialização e Soluções em Energia</t>
  </si>
  <si>
    <t>Tecnologia da Informação</t>
  </si>
  <si>
    <t>Melhoria Grande Porte</t>
  </si>
  <si>
    <t>VED</t>
  </si>
  <si>
    <t>VP Estratégia e Desenvolvimento de Negócios</t>
  </si>
  <si>
    <t>VRR</t>
  </si>
  <si>
    <t>VP Regulação e Relações Institucionais</t>
  </si>
  <si>
    <t>Reforço Pequeno Porte</t>
  </si>
  <si>
    <t>VFR</t>
  </si>
  <si>
    <t>VP Financeira e de Relações com Investidores</t>
  </si>
  <si>
    <t>VGR</t>
  </si>
  <si>
    <t>VP Governança, Riscos, Compliance e Sustentabilidade</t>
  </si>
  <si>
    <t>VSS</t>
  </si>
  <si>
    <t>VP Suprimentos e Serviços</t>
  </si>
  <si>
    <t>VGC</t>
  </si>
  <si>
    <t xml:space="preserve">VP Gente, Gestão e Cultura </t>
  </si>
  <si>
    <t>VJR</t>
  </si>
  <si>
    <t>VP Jurídica</t>
  </si>
  <si>
    <t>x</t>
  </si>
  <si>
    <t>VID</t>
  </si>
  <si>
    <t xml:space="preserve">VP Inovação, P&amp;D, Digital e TI </t>
  </si>
  <si>
    <t>Ampliação_G</t>
  </si>
  <si>
    <t>Investimentos de Apoio</t>
  </si>
  <si>
    <t>Melhoria_Grande_Porte</t>
  </si>
  <si>
    <t>Reforço_Grande_Porte</t>
  </si>
  <si>
    <t>Reforço_Pequeno_Porte</t>
  </si>
  <si>
    <t>Melhoria_Pequeno_Porte</t>
  </si>
  <si>
    <t>GeraçãoMelhoriaPequenoPorte</t>
  </si>
  <si>
    <t>Ampliação_T</t>
  </si>
  <si>
    <t>Reforços_E_Melhorias</t>
  </si>
  <si>
    <t>Segurança_de_Barragem</t>
  </si>
  <si>
    <t>Ambiental_</t>
  </si>
  <si>
    <t>Bens_Móveis</t>
  </si>
  <si>
    <t>Bens_Imóveis</t>
  </si>
  <si>
    <t>Tecnologia_da_Informação</t>
  </si>
  <si>
    <t>DCO</t>
  </si>
  <si>
    <t>Diretoria de Comunicação</t>
  </si>
  <si>
    <t>Outras obrigações Não Regulatórias</t>
  </si>
  <si>
    <t>Reforço</t>
  </si>
  <si>
    <t>Veículos leves</t>
  </si>
  <si>
    <t>Software de tecnologia</t>
  </si>
  <si>
    <t>AUD</t>
  </si>
  <si>
    <t>Auditoria</t>
  </si>
  <si>
    <t>A Contratar</t>
  </si>
  <si>
    <t>Cibersegurança Operacional</t>
  </si>
  <si>
    <t>Máquinas pesadas</t>
  </si>
  <si>
    <t>Nova instalação</t>
  </si>
  <si>
    <t>Software de TO operação</t>
  </si>
  <si>
    <t>ESG</t>
  </si>
  <si>
    <t>Mobiliário</t>
  </si>
  <si>
    <t>Equipamento de TI (notebooks, monitores, periféricos etc.)</t>
  </si>
  <si>
    <t>Bens móveis diversos</t>
  </si>
  <si>
    <t>Equipamentos de TO operação</t>
  </si>
  <si>
    <t>Baguari</t>
  </si>
  <si>
    <t>Ajuste de Meta</t>
  </si>
  <si>
    <t>Brasil Ventos</t>
  </si>
  <si>
    <t>20OJ - Reforços e Melhorias no Sistema de Transmissão de Energia Elétrica</t>
  </si>
  <si>
    <t>04 - Reforços de Pequeno Porte - Novos Projetos</t>
  </si>
  <si>
    <t>Colíder</t>
  </si>
  <si>
    <t>2D61 - Reforços e Melhorias no Sistema de Transmissão de Energia Elétrica na Região Nordeste</t>
  </si>
  <si>
    <t>07 - Reforços de Grande Porte - Projetos em Carteira</t>
  </si>
  <si>
    <t>Ibirapuitã</t>
  </si>
  <si>
    <t>2D94 - Reforços e Melhorias do Sistema de Transmissão de Energia na Região Sul e Mato Grosso do Sul</t>
  </si>
  <si>
    <t>01 - Melhorias de Pequeno Porte - Projetos em Carteira</t>
  </si>
  <si>
    <t>NE Catarina</t>
  </si>
  <si>
    <t>05 - Melhorias de Grande Porte - Projetos em Carteira</t>
  </si>
  <si>
    <t>NE Ceará</t>
  </si>
  <si>
    <t>NE Integração</t>
  </si>
  <si>
    <t>4478- Manutenção do Sistema de Transmissão de Energia Elétrica nas Regiões Sudeste e Centro-Oeste</t>
  </si>
  <si>
    <t>NE Janapú</t>
  </si>
  <si>
    <t>2C47 - Reforços e Melhorias no Sistema de Transmissão da Região Norte</t>
  </si>
  <si>
    <t>NE Teresina</t>
  </si>
  <si>
    <t>Reiro Baixo</t>
  </si>
  <si>
    <t>Saesa</t>
  </si>
  <si>
    <t>03 - Reforços de Pequeno Porte - Projetos em Carteira</t>
  </si>
  <si>
    <t>Teles Pires</t>
  </si>
  <si>
    <t>TMT - Triângulo Mineiro Transmissora</t>
  </si>
  <si>
    <t>TNE</t>
  </si>
  <si>
    <t>Vale São Bartolomeu</t>
  </si>
  <si>
    <t>15L6 - Ampliação do Sistema de Transmissão de Energia Elétrica na Região Norte</t>
  </si>
  <si>
    <t>24 - Ampliação no sistema de Transmissão</t>
  </si>
  <si>
    <t>08 - Reforços de Grande Porte - Novos Projetos</t>
  </si>
  <si>
    <t xml:space="preserve">FT01 - Revitalização do sistema HVDC </t>
  </si>
  <si>
    <t>Projeto novo - Nova ação orçamentária</t>
  </si>
  <si>
    <t>5107 - Ampliação do Sistema de Transmissão de Energia Elétrica na Região Nordeste - PAC</t>
  </si>
  <si>
    <t>09 -  Outros projetos em transissão - Sem receita</t>
  </si>
  <si>
    <t>06 - Melhorias de Grande Porte - Novos Projetos</t>
  </si>
  <si>
    <t>02 - Melhorias de Pequeno Porte - Novos Projetos</t>
  </si>
  <si>
    <t xml:space="preserve">22 - Reforços do Tipo X (Contratos/Conexão com Acessantes) aprovados pelo ONS no SGPMR  </t>
  </si>
  <si>
    <t>Aporte em operação</t>
  </si>
  <si>
    <t>0,4</t>
  </si>
  <si>
    <t>0,24719999999999998</t>
  </si>
  <si>
    <t>0,5038</t>
  </si>
  <si>
    <t>Construção</t>
  </si>
  <si>
    <t>1</t>
  </si>
  <si>
    <t>0,5056</t>
  </si>
  <si>
    <t>0,2472</t>
  </si>
  <si>
    <t>0,49</t>
  </si>
  <si>
    <t>0,67946815293856666</t>
  </si>
  <si>
    <t>8549 - Preservação e Conservação Ambiental em Empreendimentos de Geração e Transmissão de Energia Elétrica</t>
  </si>
  <si>
    <t xml:space="preserve">19 -  Ações ambientais- Condicionante </t>
  </si>
  <si>
    <t>21 -  Ações ambientais- Preservação e conservação</t>
  </si>
  <si>
    <t xml:space="preserve">20 -  Ações ambientais- Exigência legal </t>
  </si>
  <si>
    <t>4101 - Manutenção e Adequação de Bens Imóveis</t>
  </si>
  <si>
    <t>23 - Infraestrutura</t>
  </si>
  <si>
    <t>20OM - Manutenção do Sistema de Geração de Energia Elétrica</t>
  </si>
  <si>
    <t>17 - Manutenção de Usinas Não Cotizadas - Novos Projetos</t>
  </si>
  <si>
    <t>4476 - Manutenção do Sistema de Geração de Energia Elétrica na Região Nordeste</t>
  </si>
  <si>
    <t>14 - Manutenção de Usinas Cotizadas - Projetos em Carteira</t>
  </si>
  <si>
    <t>215U - Melhorias e Ampliações em Instalações de Geração de Energia Elétrica - Nacional</t>
  </si>
  <si>
    <t>16 - Manutenção de Usinas Não Cotizadas - Projetos em Carteira</t>
  </si>
  <si>
    <t>15 - Manutenção de Usinas Cotizadas - Novos Projetos</t>
  </si>
  <si>
    <t>12OR - Implantação do Parque de Geração de Energia Eólica Casa Nova (BA) - 180 MW - PAC</t>
  </si>
  <si>
    <t>12 - Implantação de Usinas - Projetos em Carteira</t>
  </si>
  <si>
    <t>14NB - Ampliação do Sistema de Geração de Energia Elétrica</t>
  </si>
  <si>
    <t>3414 - Ampliação da Capacidade da Usina Termelétrica Santa Cruz - Fase 1 - com acréscimo de 350 MW , através de Ciclo Combinado (RJ)</t>
  </si>
  <si>
    <t>N17E - Implantação de Usina de Energia Eólica - FD</t>
  </si>
  <si>
    <t>13 - Implantação de Usinas - Novos Projetos</t>
  </si>
  <si>
    <t>N17F - Implantação de Usina Fotovoltaica - L</t>
  </si>
  <si>
    <t>25 - Desenvolvimento de Pipeline</t>
  </si>
  <si>
    <t>1H19 - Ampliação da Capacidade de Geração da Usina Hidrelétrica de Coaracy Nunes (AP) - 2ª Casa de Força - de 78 MW para 182 MW</t>
  </si>
  <si>
    <t>14N8 - Ampliação do Sistema de Geração de Energia Elétrica</t>
  </si>
  <si>
    <t>15BD - Ampliação do Sistema de Geração de Energia Elétrica na Região Sul e Mato Grosso do Sul</t>
  </si>
  <si>
    <t>15SO - Implantação de sistemas de geração de energia elétrica utilizando fonte fotovoltáica em geração distribuída - fase 1</t>
  </si>
  <si>
    <t>12  radiadores para UG´s da UHE Itumbiara - 1cj/2025, 01cj 2026, 1cj2027</t>
  </si>
  <si>
    <t>Sistema de monitoramento de vibração e de descargas parciais UGs de Furnas</t>
  </si>
  <si>
    <t>Reserva Técnica para atividades emergenciais</t>
  </si>
  <si>
    <t>Aquisição de Radiadores e Trocadores de Calor de Mancais para os Geradores das Usinas</t>
  </si>
  <si>
    <t>05 conjuntos de radiadores para as UGs da UHE Marimbondo - 01cj/2024, 02cj/2025, 02cj/2026</t>
  </si>
  <si>
    <t>Modernização dos Sistemas de Incêndio de CO2 dos Geradores para Usinas</t>
  </si>
  <si>
    <t>Modernização em Sistemas de Esvaziamento das UGs da UHE FURNAS</t>
  </si>
  <si>
    <t>Substituição de baterias, retificadores e inversores de várias áreas de Furnas</t>
  </si>
  <si>
    <t>Melhoria e ampliação de usinas hidrelétricas.</t>
  </si>
  <si>
    <t>Modernização de Sistema de Incêndio de CO2 de várias áreas de Furnas</t>
  </si>
  <si>
    <t>Modernização de Sistemas de Esvaziamento e Drenagem de Usinas</t>
  </si>
  <si>
    <t>Substituição de grupos diesel de emergência de serviço auxiliar de várias instalações de Furnas</t>
  </si>
  <si>
    <t>Bombas de drenagem e esvaziamento</t>
  </si>
  <si>
    <t>Fornecimento de 12  radiadores para as unidades geradoras da UHE itumbiara, nova contratação.</t>
  </si>
  <si>
    <t>Fornecimento de conjuntos de trocadores dos mancais para as unidades geradoras da  UHE Marimbondo</t>
  </si>
  <si>
    <t>Aquisição de Compressores e vasos de pressão para as Usinas</t>
  </si>
  <si>
    <t>Atualização do sistema supervisório t3000 das turbinas a gás da UTE Santa Cruz</t>
  </si>
  <si>
    <t>buchas e sistema de lubrificação das palhetas das ugs 07 e 08</t>
  </si>
  <si>
    <t>Modernização Sistemas de Dosagem Química para o controle de bioincrustração Ugs das Usinas</t>
  </si>
  <si>
    <t>Aquisição de Compressores e vasos de pressão para Usinas</t>
  </si>
  <si>
    <t>Retrofit do sistema de comportas e bombas da captação rio/lagoa da UTE Campos</t>
  </si>
  <si>
    <t>Implantação de defensas metálicas</t>
  </si>
  <si>
    <t>Modernização dos Sistemas de Incêndio de CO2 dos Geradores das UHE Corumbá</t>
  </si>
  <si>
    <t>Conjunto de sapatas  para os mancais de escora e guia das unidades geradoras da UHE Simplício</t>
  </si>
  <si>
    <t>Projeto SOMA de Monitoramento do CEPEL</t>
  </si>
  <si>
    <t>sistema dc para bombas drenagem</t>
  </si>
  <si>
    <t>Central de ar condicionado  da casa de força da UHE Itumbiara.</t>
  </si>
  <si>
    <t>Filtros separadores de sedimentos</t>
  </si>
  <si>
    <t>Substituição dos cabos dos terciários do AT01 e AT02 da Usina de Campos</t>
  </si>
  <si>
    <t>Substituição dos radiadores de ar dos Geradores da Usina de Manso</t>
  </si>
  <si>
    <t>sistema de esvaziamento e esgotamento</t>
  </si>
  <si>
    <t>trocadores de calor da cuba do mancal combinado</t>
  </si>
  <si>
    <t>Modernização do sistema SMARTRUNK</t>
  </si>
  <si>
    <t>Sistema de Dosagem Química nos sitemas de resfriamento das Ugs de Funil</t>
  </si>
  <si>
    <t>Sistema de retro lavagem dos filtros separadores de sedimento</t>
  </si>
  <si>
    <t>bombas e reservatórios de óleo</t>
  </si>
  <si>
    <t>Rede externa alimentação Serviço auxiliar da UHE Batalha</t>
  </si>
  <si>
    <t>Modernização do sistema de CO2 das unidades geradoras da UHE Itumbiara</t>
  </si>
  <si>
    <t>sistema de bombas do regulador de velocidade</t>
  </si>
  <si>
    <t>SPCI das Unidades Geradoras</t>
  </si>
  <si>
    <t>Substituição dos compressores de ar de serviço da UHE Itumbiara</t>
  </si>
  <si>
    <t>Modernização dos RDP's da UHE Manso</t>
  </si>
  <si>
    <t>Alocação de hora atividade nas atividades de manutenção - Gedral DRT.O.</t>
  </si>
  <si>
    <t>Aquisição de central de ar condicionado - UHE Marimbondo</t>
  </si>
  <si>
    <t>bacia de contenção de óleo</t>
  </si>
  <si>
    <t>Compressores de ar de regulação</t>
  </si>
  <si>
    <t>Iluminação de acessos</t>
  </si>
  <si>
    <t>Instrumentação de supervisão dos mancais dos geradores</t>
  </si>
  <si>
    <t>Modernização do sistema de indicação de posição das comportas de serviço da UHE Itumbiara</t>
  </si>
  <si>
    <t>Sistema de iluminação - UHE Corumbá</t>
  </si>
  <si>
    <t>Substituição das vedações das comportas do vertedouro da UHE CORUMBÁ</t>
  </si>
  <si>
    <t>Substituição dos trocadores de calor do mancal guia turbina UG's da UHE Itumbiara</t>
  </si>
  <si>
    <t>Substituição dos trocadores de calor do regulador de velocidade das UG's da UHE Itumbiara</t>
  </si>
  <si>
    <t>bacia de contenção para centrais hidráulicas da tomada d'água</t>
  </si>
  <si>
    <t>banco de baterias de 125vcc- 600ah</t>
  </si>
  <si>
    <t>Modernização do Sistema de resfriamento dos mancais das UG's da UHE Manso</t>
  </si>
  <si>
    <t>reforma de 2 conjuntos (4 stop-logs) das comportas de manutenção</t>
  </si>
  <si>
    <t>Substituição dos compressores de ar de regulação da UHE Manso</t>
  </si>
  <si>
    <t>complementos das plataformas dos mancais das turbinas</t>
  </si>
  <si>
    <t>trocadores de calor mancal guia da turbina ug07 e 08</t>
  </si>
  <si>
    <t>Aquisição de Sistema de Registro de Perturbações - UHE Batalha</t>
  </si>
  <si>
    <t>Aquisição de Sistema de Registro de Perturbações - UHE Corumbá</t>
  </si>
  <si>
    <t>servomotor tomada dagua</t>
  </si>
  <si>
    <t>Sistema de iluminação da UHE Batalha</t>
  </si>
  <si>
    <t>Sistema de rebaixamento das turbinas</t>
  </si>
  <si>
    <t>Aquisição sistema eletrônico de segurança patrimonial - UHE Marimbondo / UHE Porto Colômbia</t>
  </si>
  <si>
    <t>Sistema de alimentação de emergência</t>
  </si>
  <si>
    <t>vasos de pressão</t>
  </si>
  <si>
    <t>Aquisição de tiristores para Sistema de Excitação da Unidades Geradoras</t>
  </si>
  <si>
    <t>Serviços de implementação de CFTV - UHITB</t>
  </si>
  <si>
    <t>Substituição de tubulação - Sistema de alimentação de água potável - UHMR/UHCL.</t>
  </si>
  <si>
    <t>Aquisição de câmeras e acessórios para reposição do CITV do DRG</t>
  </si>
  <si>
    <t>Modernização do sistema de monitoramento de temperatura dos mancais</t>
  </si>
  <si>
    <t>Modernização do sistema dos bicos de injeção da caixa de vedação UHE Manso</t>
  </si>
  <si>
    <t>trocador de calor regulador de velocidade</t>
  </si>
  <si>
    <t>Serviços de implementação de CFTV - UHBHA</t>
  </si>
  <si>
    <t>Modernização do sistema de lubrificação dos mancais</t>
  </si>
  <si>
    <t>Modernização do sistema de monitoramento do nível d'água de vedação da tampa das UG's da UHE Manso</t>
  </si>
  <si>
    <t>Sistema de iluminação da SE 230 kV</t>
  </si>
  <si>
    <t>Aquisição de Inversor de Potência - UHE Marimbondo</t>
  </si>
  <si>
    <t>Modernização do Sistema de Destilação de água tratada.</t>
  </si>
  <si>
    <t>Atualização parcial Sistema de Esvaziamento/Drenagem</t>
  </si>
  <si>
    <t>Atualização Sistema de Medição de Níveis</t>
  </si>
  <si>
    <t>banco de baterias de 125vcc</t>
  </si>
  <si>
    <t>Extratores de Vapor das Unidades Geradoras</t>
  </si>
  <si>
    <t>Modernização do sistema de indicação de posição das comportas de serviço da UHE Manso</t>
  </si>
  <si>
    <t>sistema de controle de nível</t>
  </si>
  <si>
    <t>Aquisição de nobreaks, inversores e equipamentos para rede corporativa e operativa.</t>
  </si>
  <si>
    <t>Modernização da talha do Vertedouro e da Sucção</t>
  </si>
  <si>
    <t>Modernização do Sistema de medição de Nível Jusante</t>
  </si>
  <si>
    <t>Modernização/ampliação do sistema de CITV na Usina de Manso</t>
  </si>
  <si>
    <t>Alimentação do serviço auxiliar da Usina pelo terciário AT01 (CNT)</t>
  </si>
  <si>
    <t>sistema de drenagem da galeria da tomada d'água</t>
  </si>
  <si>
    <t>sistema de drenagem da galeria do vertedouro</t>
  </si>
  <si>
    <t>Aquisição de terminais de operação - Uso Geral DRT.O.</t>
  </si>
  <si>
    <t>Melhoria no Sistema de Interligação Óptica entre a usina e subestação</t>
  </si>
  <si>
    <t>terminais server para se furnas</t>
  </si>
  <si>
    <t>ihm uacs de vão</t>
  </si>
  <si>
    <t>inversor - grm.o geral</t>
  </si>
  <si>
    <t>4467 - O&amp;M de Geração</t>
  </si>
  <si>
    <t>UTE Mauá 3 - O&amp;M e Melhorias</t>
  </si>
  <si>
    <t>UTE Aparecida - O&amp;M e Melhorias</t>
  </si>
  <si>
    <t>UHE Tucuruí - O&amp;M e Melhorias</t>
  </si>
  <si>
    <t>UHE Balbina - O&amp;M e Melhorias</t>
  </si>
  <si>
    <t>UHE Samuel - O&amp;M e Melhorias</t>
  </si>
  <si>
    <t>UHE Coaracy Nunes - O&amp;M e Melhorias</t>
  </si>
  <si>
    <t>UTE Interior - O&amp;M e Melhorias</t>
  </si>
  <si>
    <t>UHE Curuá-una - O&amp;M e Melhorias</t>
  </si>
  <si>
    <t>Projetos futuros - Modernização de sistemas eletromecânicos de usinas</t>
  </si>
  <si>
    <t>Modernização de sistemas eletromecânicos de usinas</t>
  </si>
  <si>
    <t>WLAN das Usinas</t>
  </si>
  <si>
    <t>Aquisição de Switches Rede LAN (2023) - Usinas para segregação de redes</t>
  </si>
  <si>
    <t>Melhorias em estruturas civis e sinalização das barragens e usinas . Obras decorrentes - Segurança de barragens.</t>
  </si>
  <si>
    <t>Projeto Previnir+ em UPA</t>
  </si>
  <si>
    <t>Projeto Previnir+ em ULG</t>
  </si>
  <si>
    <t>Projeto Previnir+ em UAS</t>
  </si>
  <si>
    <t>Projeto Previnir+ em USQ</t>
  </si>
  <si>
    <t xml:space="preserve">Modernização de Sistemas de controle, proteção e automação de unidades geradoras </t>
  </si>
  <si>
    <t>Projeto Previnir+ em UBE</t>
  </si>
  <si>
    <t>Projeto Previnir+ em UXG</t>
  </si>
  <si>
    <t>Implantação de SDHs Usinas Fase 2</t>
  </si>
  <si>
    <t>Projeto Previnir+ em UFL/UPE</t>
  </si>
  <si>
    <t>Contrato SPAT Regionais (Ação 4476)</t>
  </si>
  <si>
    <t>Desenvolvimento de modelo de Despacho Diário de Geração das Usinas da Chesf</t>
  </si>
  <si>
    <t>Modernização de posto hidrométrico</t>
  </si>
  <si>
    <t>Implantação do posto hidrométrico Exu do Gavião</t>
  </si>
  <si>
    <t>Implantação do posto hidrométrico Jacaré</t>
  </si>
  <si>
    <t>Implantação do posto hidrométrico Sincorá</t>
  </si>
  <si>
    <t>Implantação do posto hidrométrico Tocadas</t>
  </si>
  <si>
    <t>Implantação de MUX SDH NGN - USINAS</t>
  </si>
  <si>
    <t>20OG - Manutenção do Sistema de Geração de Energia Elétrica na Região Sul</t>
  </si>
  <si>
    <t>Demais manutenções de Usinas</t>
  </si>
  <si>
    <t>Pá sobressalente para aerogerador Weg4.2</t>
  </si>
  <si>
    <t>Sistema de monitoramento online de vibração</t>
  </si>
  <si>
    <t>PPCI`S da Usina de Passo São João</t>
  </si>
  <si>
    <t>Manutenção do Sistema de Geração de Energia Elétrica</t>
  </si>
  <si>
    <t>Solução de Cibersegurança de TO para aumentar o grau de maturuidade</t>
  </si>
  <si>
    <t>Construção da Edificação Industrial para Realização de Ensaios em Alta Tensão (800 kV)</t>
  </si>
  <si>
    <t>4102 - Manutenção e Adequação de Bens Móveis, Veículos, Máquinas e Equipamentos</t>
  </si>
  <si>
    <t>Termovisor</t>
  </si>
  <si>
    <t>reserva técnica aquisições emergenciais pv - uso geral</t>
  </si>
  <si>
    <t>Banco de Imagens.</t>
  </si>
  <si>
    <t>Pickup 4x4 3.0 em Substituição aos veículos</t>
  </si>
  <si>
    <t>Fonte ressonante de alta tensão para 800 kV</t>
  </si>
  <si>
    <t>4102 - Aquisição de veículos</t>
  </si>
  <si>
    <t>Veículo Picape</t>
  </si>
  <si>
    <t>Veiculos pick-up 3.0 4x4</t>
  </si>
  <si>
    <t>Aquisição de equipamento central telefônica VoIP</t>
  </si>
  <si>
    <t>Repintura de estruturas metálicas e equipamentos eletromecânicos em geral da UHE Manso.</t>
  </si>
  <si>
    <t>Plataforma Elevatória - 18 metros para uso geral na Usina e nas subestações.</t>
  </si>
  <si>
    <t>Aquisição de veículo tipo caminhonete pickup 4x4</t>
  </si>
  <si>
    <t>Caminhão Guindaste e demais acessórios, para trabalhos nas LTs do DRG.O. (DMEG.O)</t>
  </si>
  <si>
    <t>Guindaste 30 TONELADAS para uso geral na Usina e nas subestações.</t>
  </si>
  <si>
    <t>Caminhão Munk</t>
  </si>
  <si>
    <t>Maquina de Regeneração/Tratamento de Óleo Isolante (totalmente automatizada)</t>
  </si>
  <si>
    <t>CPC 100</t>
  </si>
  <si>
    <t>Aquisição de camionete</t>
  </si>
  <si>
    <t>Pick-up cabine dupla 4x4 DMER.O</t>
  </si>
  <si>
    <t>picape cabine dupla 4x4</t>
  </si>
  <si>
    <t>Guindaste  43T
(madal md 600 ou similar )</t>
  </si>
  <si>
    <t>Plataforma elevatória (PTA) de 28 mts.</t>
  </si>
  <si>
    <t>Aquisição de plataforma para trabalho em altura tipo PTA</t>
  </si>
  <si>
    <t>Pickup 4x4 3.0 em Substituição aos veículos (3 unidades ) 2 DMER.O e 1 DMLR.O</t>
  </si>
  <si>
    <t xml:space="preserve"> Caixa de testes de relés, com 4 saídas de tensão e 6 saídas de corrente, CMC-356, OMICRON</t>
  </si>
  <si>
    <t>Aquisição de caminhão</t>
  </si>
  <si>
    <t>Arruamento com pavimentação asfáltica ETEL Mendanha - DMLR.O</t>
  </si>
  <si>
    <t>PTA - Plataforma de Trabalho em Altura para a SE Itaberá.</t>
  </si>
  <si>
    <t>Aquisição de Plataforma de Trabalho em Altura - PTA - UHE Marimbondo; UHE Porto Colômbia.</t>
  </si>
  <si>
    <t>Torno Vertical CNC</t>
  </si>
  <si>
    <t>Aquisição de Veículos Padronizados</t>
  </si>
  <si>
    <t>Aquisição de veículos tipo camionetes 4x4 cabine dupla</t>
  </si>
  <si>
    <t>Purificadora de óleo (DMES.O)</t>
  </si>
  <si>
    <t>Aquisição de veículos picapes</t>
  </si>
  <si>
    <t>Aquisição de Guindauto - Linhas de Transmissão e Subestações</t>
  </si>
  <si>
    <t>Plataforma de Trabalho Aéreo (PTA) de 40 mts.</t>
  </si>
  <si>
    <t>Pick-up cabine dupla 4x4 DMLR.O</t>
  </si>
  <si>
    <t>Aquisição de Equipamentos - CPCIE - Termovisor e outros</t>
  </si>
  <si>
    <t xml:space="preserve"> PTA - Plataforma de Trabalho em Altura para a SE Itaberá.</t>
  </si>
  <si>
    <t>Aquisição de - Cavalo mecânico + prancha -Uso geral DRT.O.</t>
  </si>
  <si>
    <t>Aquisição de equipamentos diversos (equipamentos específicos e de pequeno porte)</t>
  </si>
  <si>
    <t>Duas Pontes Rolantes para movimentação de cargas na Central de Manutenção de Disjuntores II</t>
  </si>
  <si>
    <t>Modernização do pavimeno da estrada Usina Serra da Mesa/ Trevo GO-241</t>
  </si>
  <si>
    <t>Plataformas aérea de lança articulada 15 metros F-4000</t>
  </si>
  <si>
    <t>PTA a diesel, altura trabalho mínima de 15 mts, altura mínima 12 metros.Cap.carga mínima de 220 kg</t>
  </si>
  <si>
    <t>Sistema ressonante de alta tensão (70 kV/1 MVA/60 Hz)</t>
  </si>
  <si>
    <t>Veículos para processo de Linhas de Transmissão</t>
  </si>
  <si>
    <t>Aquisição de caixa de testes digital para manutenção em relés</t>
  </si>
  <si>
    <t>Aquisição de instrumentos para testes em equipamentos de subestações</t>
  </si>
  <si>
    <t>trator de esteira</t>
  </si>
  <si>
    <t>trator de pneu</t>
  </si>
  <si>
    <t>Construção da instalação predial para o Torno Vertical CNC  - Central de Manutenção Metal-Mecânica</t>
  </si>
  <si>
    <t>aquisições diversas cpcie</t>
  </si>
  <si>
    <t>Aquisição de instrumento termovisor portátil</t>
  </si>
  <si>
    <t>Aquisição de PTA 18m</t>
  </si>
  <si>
    <t>Caminhão TEREX - linha viva</t>
  </si>
  <si>
    <t>guindaste 30 ton</t>
  </si>
  <si>
    <t>Caixa de testes em relés + softwares + Notebook DMLR.O</t>
  </si>
  <si>
    <t>Aquisição de equipamento de guindar - Linhas de Transmissão</t>
  </si>
  <si>
    <t>CPC100 + CPTD</t>
  </si>
  <si>
    <t>PTA 16m</t>
  </si>
  <si>
    <t>Aquisição de  Trator de pneus - Linha de transmissão</t>
  </si>
  <si>
    <t>Aquisição de caminhão pipa - UHE Porto Colômbia</t>
  </si>
  <si>
    <t>Aquisição de Empilhadeira para uso geral na Usina e nas subestações.</t>
  </si>
  <si>
    <t>Aquisição de rebocador</t>
  </si>
  <si>
    <t>Aquisição de retroescavadeira - Linha de Transmissão</t>
  </si>
  <si>
    <t>Aquisição de Unidade de Teste de Relés de Proteção. (Ref.: ISA DRT 64/ OMICRON CMC256)</t>
  </si>
  <si>
    <t>Aquisição de veículo caminhão tipo Truck</t>
  </si>
  <si>
    <t>Caminhão prancha</t>
  </si>
  <si>
    <t>Carro Sedan</t>
  </si>
  <si>
    <t>Escavadeira pc 160</t>
  </si>
  <si>
    <t>Medidor/Analisador de Descarga Parciais em equipamentos de Alta Tensão</t>
  </si>
  <si>
    <t>Modernização das instalações elétricas do prédio do DES.O</t>
  </si>
  <si>
    <t>PTA Pantográfica</t>
  </si>
  <si>
    <t>Reforma da casa de força -  UHE Manso</t>
  </si>
  <si>
    <t>Unidade móvel de tratamento de óleo</t>
  </si>
  <si>
    <t>Instalação de elevador na casa de força - UHE Manso</t>
  </si>
  <si>
    <t>Adequação e pintura de guarda corpos e escadas metálicas em geral da UHE Manso.</t>
  </si>
  <si>
    <t>Aquisição de máquina automática para tratamento de óleo</t>
  </si>
  <si>
    <t>Aquisição de sistema contra incêndio</t>
  </si>
  <si>
    <t>Caixa de teste hexafásica para testes full digital IEC 61850 - ref. Omicron CMC 356</t>
  </si>
  <si>
    <t>Construção de depósito temporário de resíduos</t>
  </si>
  <si>
    <t>Medir de isolação AC</t>
  </si>
  <si>
    <t>Sala de multimidea</t>
  </si>
  <si>
    <t>Veículo tipo Pick-up Cabine Dupla 4x4 para LTs do DRG.O.</t>
  </si>
  <si>
    <t>Aquisição de estações de recarga de veículos elétricos</t>
  </si>
  <si>
    <t>Caixa de testes de Relés</t>
  </si>
  <si>
    <t>Aquisição de equipamento de guindar com cesto suspenso - UHE Marimbondo/ UHE Porto Colômbia.</t>
  </si>
  <si>
    <t>Aquisição de veículos leves tipo elétrico/híbrido plug-in</t>
  </si>
  <si>
    <t>Aquisição de caminhão com cesta aérea</t>
  </si>
  <si>
    <t>caminhão com guindauto acoplado</t>
  </si>
  <si>
    <t>Caminhão MUNCK (15 TON IÇAMENTO)</t>
  </si>
  <si>
    <t>Construção de estacionamento e arruamento com pavimentação asfáltica</t>
  </si>
  <si>
    <t>sistema de vigilância interna patrimonial</t>
  </si>
  <si>
    <t>veículos leve tipo suv, oriundos do contrato de 2022</t>
  </si>
  <si>
    <t>Cercamento da área industrial  - UHE Manso</t>
  </si>
  <si>
    <t>CPC100 para testes de injeção de corrente primária (com módulo de testes de polaridade)</t>
  </si>
  <si>
    <t>Medidor de Grandeza - CPC100 OHMICRON COMPLETO</t>
  </si>
  <si>
    <t>Oscilógrafos/Osciloscópios/Transdutores de Alta Frequência/Fontes de Tensão</t>
  </si>
  <si>
    <t>Mini Picape</t>
  </si>
  <si>
    <t>Aquisição de equipamento para transporte de material linha viva.</t>
  </si>
  <si>
    <t>Analisador de Partículas Laser Net / Óleo Lubrificante</t>
  </si>
  <si>
    <t>Aquisição de caixa de testes de relés</t>
  </si>
  <si>
    <t>4102 - Bens móveis gerais</t>
  </si>
  <si>
    <t>Aquisição de medidor de isolação CA</t>
  </si>
  <si>
    <t>Caminhão 3 ou 4 eixos com tração nos eixos traseiros (6x4 ou 8x4)</t>
  </si>
  <si>
    <t>Caminhão+PTA (2 Cj)</t>
  </si>
  <si>
    <t>Casa da Brigada de Emergência</t>
  </si>
  <si>
    <t>Construção de Garagem &amp; Deposito Gás DRV.O (F-S-STVIT )</t>
  </si>
  <si>
    <t>Oscilógrafo digital</t>
  </si>
  <si>
    <t>Padrão de Transferência</t>
  </si>
  <si>
    <t>SUBSTITUIÇÃO CERCA SE CAMPOS</t>
  </si>
  <si>
    <t>RDP Portátil</t>
  </si>
  <si>
    <t>Aquisição de veículos tipo utilitário leve</t>
  </si>
  <si>
    <t>Aquisição de Caminhão Cavalo Mecânico</t>
  </si>
  <si>
    <t>Modernização e adequação do setor Químico do DES.O</t>
  </si>
  <si>
    <t>Modernização/substituição dos Fancoils do sistema de ar-condicionado no prédio principal do DES.O</t>
  </si>
  <si>
    <t>Ponte de medição de perdas dielétricas</t>
  </si>
  <si>
    <t>Instrumento para Medição de Fator de Dissipação (Perdas Dielétricas)</t>
  </si>
  <si>
    <t>Aquisição de Unidade de Teste de Relés de Proteção.</t>
  </si>
  <si>
    <t>PTA 26m</t>
  </si>
  <si>
    <t>Empilhadeira</t>
  </si>
  <si>
    <t>Aquisção de caminhão carroceria - Uso geral DRT.O.</t>
  </si>
  <si>
    <t>Aquisição de Plataforma Elevatória</t>
  </si>
  <si>
    <t>Caminhão</t>
  </si>
  <si>
    <t>Máquina  de Tratamento Sf6</t>
  </si>
  <si>
    <t>Máquina de Ar Seco</t>
  </si>
  <si>
    <t>Modernização da instalação elétrica do Galpão da Central de Manutenção Metal-Mecânica</t>
  </si>
  <si>
    <t>Obra civil relativa a instalação do Grupo Gerador de Emergência</t>
  </si>
  <si>
    <t>Unidade de Testes Relés</t>
  </si>
  <si>
    <t>Aquisição de equipamentos e ferramentas para manutenção em linhas viva.</t>
  </si>
  <si>
    <t>Modernização de máquinas/equipamentos de usinagem instaladas na Central de Manutenção Metal-Mecânica</t>
  </si>
  <si>
    <t>Espectômetro Óptico Portátil</t>
  </si>
  <si>
    <t>Impressora 3D para fabricação de sobressalentes para equipamentos de Alta Tensão</t>
  </si>
  <si>
    <t>Bomba de vácuo (DMES.O)</t>
  </si>
  <si>
    <t>Mini Retroescavadeira Compacta</t>
  </si>
  <si>
    <t>01- Plataforma elevatória DC.</t>
  </si>
  <si>
    <t>Ampliação e adequação da cantina da UHE Itumbiara..</t>
  </si>
  <si>
    <t>Ampliação e adequação da guarita de acesso a UHE Itumbiara.</t>
  </si>
  <si>
    <t>Aquisição de Caixa de testes de relés - Caixa DOBLE - Uso geral DRT.O.</t>
  </si>
  <si>
    <t>Aquisição de máquina tipo trator agrícola 4x4</t>
  </si>
  <si>
    <t>Caixa de teste monofásica para testes em relés auxiliares eletromecânicos</t>
  </si>
  <si>
    <t>central telefônica</t>
  </si>
  <si>
    <t>Concretagem do pátio de manobras da Central de Manutenção Metal-Mecânica</t>
  </si>
  <si>
    <t>Construção de calçadas e muros na LT 345kV Itapeti-Nordeste</t>
  </si>
  <si>
    <t>Construção de calçadas e muros na LT 345kV Mogi das Cruzes-Nordeste</t>
  </si>
  <si>
    <t>Diversos equipamentos de Ar Condicionado</t>
  </si>
  <si>
    <t>Janelas metálicas SE Mogi</t>
  </si>
  <si>
    <t>Minicarregadeira (1 Pç) e miniescavadeira (1 Pç)</t>
  </si>
  <si>
    <t>Modernização e atualização do layout do pavimento térreo do prédio administrativo do DRB.O.</t>
  </si>
  <si>
    <t>Ponte de medição de capacitância</t>
  </si>
  <si>
    <t>Retroescavadeira Cat 420 4x4</t>
  </si>
  <si>
    <t>Padrão de trabalho de energia com fonte (classe de exatidão de 200 ppm)</t>
  </si>
  <si>
    <t>Aquisição de drones com câmera termográfica</t>
  </si>
  <si>
    <t>Arruamento com pavimentação asfáltica Modelo Reduzido</t>
  </si>
  <si>
    <t>Modernização da rede de distribuição aérea de energia do DRB.O</t>
  </si>
  <si>
    <t>Adequação viária para movimentação de veículos nas instalações do prédio principal do DES.O</t>
  </si>
  <si>
    <t>Aquisição  de veículo do tipo mini-van/furgão com estação de trabalho montada.</t>
  </si>
  <si>
    <t>Aquisição de caminhão 3/4 Plataforma para  na UHE  Marimbondo - Uso Geral DRT.O.</t>
  </si>
  <si>
    <t>Aquisição de Prancha para o Cavalo Mecânico</t>
  </si>
  <si>
    <t>Máquina de ar super seco (Ref.: SEPARAR)</t>
  </si>
  <si>
    <t>Máquina de Vácuo</t>
  </si>
  <si>
    <t>Reforma da casa de controle - SE Bandeirantes</t>
  </si>
  <si>
    <t>Termovisor FLIR série T650sc + acessórios ( bateria reserva e bolsa de transporte)</t>
  </si>
  <si>
    <t>Mobiliário - COR e CTOS</t>
  </si>
  <si>
    <t>Aquisição de bomba de vácuo</t>
  </si>
  <si>
    <t>Adequações de projetos de sistemas de detecção, proteção e combate a incêndio - SE Bandeirantes.</t>
  </si>
  <si>
    <t>Aquisição de Caixa para ensaio p/ teste de bateria - Uso Geral DRT.O</t>
  </si>
  <si>
    <t>Aquisição de câmera detetora de vazamento de gás SF6</t>
  </si>
  <si>
    <t>Aquisição de instrumentos de teste</t>
  </si>
  <si>
    <t>Aquisição de veículo tipo utilitário leve</t>
  </si>
  <si>
    <t>Caixa de descarga de bateriais - 1 Pç (DMLS.O)</t>
  </si>
  <si>
    <t>Fonte Trifásica de Potência e Energia</t>
  </si>
  <si>
    <t>Testador de Rigidez Dielétrica (Isolante)</t>
  </si>
  <si>
    <t>reserva operacional para obras emergenciais - todas as unidades</t>
  </si>
  <si>
    <t>Instrumentos diversos CPCIE</t>
  </si>
  <si>
    <t>Aquisição de equipamento caixa resistiva</t>
  </si>
  <si>
    <t>ETD - Oscilógrafo DMER.O</t>
  </si>
  <si>
    <t>Aquisição de Caixa de Testes de descarga de Baterias e Acessórios. (Ref.: TORKEL 920 - MEGGER)</t>
  </si>
  <si>
    <t>Aquisição de empilhadeira para movimentação de cargas no Laboratório de Alta Tensão</t>
  </si>
  <si>
    <t>Aquisição de esticadores, garras e talhas de 1,5 a 4,5 toneladas.</t>
  </si>
  <si>
    <t>Aquisição de mobiliário</t>
  </si>
  <si>
    <t>Concretagem do pátio para estocagem de equipamentos da Central de Manutenção Eletromecância</t>
  </si>
  <si>
    <t>Equipamento de Engenharia Reversa</t>
  </si>
  <si>
    <t>Termovisor - DOSN.O</t>
  </si>
  <si>
    <t>Ducter - Medidor de resistência ohmica.</t>
  </si>
  <si>
    <t>Mobiliários diversos</t>
  </si>
  <si>
    <t>Aquisição de equipamento Drone profissional</t>
  </si>
  <si>
    <t>drones com infravermelho</t>
  </si>
  <si>
    <t>Termovisor Modelo FLIR T650SC</t>
  </si>
  <si>
    <t>Acessórios para picapes</t>
  </si>
  <si>
    <t>Ampliação e adequação do estacionamento de veículos da UHE Itumbiara.</t>
  </si>
  <si>
    <t>Aquisição de aparelhos de ar condicionado</t>
  </si>
  <si>
    <t>Aquisição de bens móveis e ferramentas diversas</t>
  </si>
  <si>
    <t>4102 - Aquisição de máquinas e equipamentos</t>
  </si>
  <si>
    <t>Aquisição de central de macacos</t>
  </si>
  <si>
    <t>Aquisição de veículo tipo Van para transporte de passageiros</t>
  </si>
  <si>
    <t>Aquisição de veículos tipo caminhonete 4x4 cabine dupla</t>
  </si>
  <si>
    <t>Aquisição/Substituição de Instrumentos DRG.O</t>
  </si>
  <si>
    <t>bombas bibo de alta performace</t>
  </si>
  <si>
    <t>Câmera detectora de gás SF6</t>
  </si>
  <si>
    <t>Contador de Partículas / Óleo Isolante</t>
  </si>
  <si>
    <t>Drone</t>
  </si>
  <si>
    <t>Drones com câmera térmica</t>
  </si>
  <si>
    <t>Fechamento do galpão da Eletromecãnica</t>
  </si>
  <si>
    <t>Máquina para pintura airless</t>
  </si>
  <si>
    <t>Medidor/Analisador de corrente de fuga em Para-Raios</t>
  </si>
  <si>
    <t>Modernização das instalações e infraestrutura de rede/internet do DES.O</t>
  </si>
  <si>
    <t>Multi-Analyzer SF6 (Ref.: MULTI-ANALYZER SF6 DILO)</t>
  </si>
  <si>
    <t>Recuperação da estrutura da Estação de tratamento de esgoto (ETE) - UHE Manso</t>
  </si>
  <si>
    <t>Trocador De Calor Do Mancal Guia Inferior Sobressalente</t>
  </si>
  <si>
    <t>Testador de rigidez dielétrica</t>
  </si>
  <si>
    <t>Caixa de Ferramentas manuais e eletricas</t>
  </si>
  <si>
    <t>Aquisição de drone</t>
  </si>
  <si>
    <t>Aquisição de instrumento medidor de isolação</t>
  </si>
  <si>
    <t>Fluke 437</t>
  </si>
  <si>
    <t>Analisador de gás sf6</t>
  </si>
  <si>
    <t>MICROHMÍMETRO DIGITAL</t>
  </si>
  <si>
    <t>banco de baterias 48 vcc</t>
  </si>
  <si>
    <t>Aquisição de equipamentos e máquinas para a equipe de manutenção do DRV.O</t>
  </si>
  <si>
    <t>Modernização de máquinas - trator de esteiras - Linha de Transmissão.</t>
  </si>
  <si>
    <t>Banho Termostático Imersão (Resistores Alta Precisão)</t>
  </si>
  <si>
    <t>Acessórios para camionete dedicada novas (capota, estribo, protetor de caçamba, etc)</t>
  </si>
  <si>
    <t>aquecedor de estator</t>
  </si>
  <si>
    <t>Aquisição de equipamentos diversos</t>
  </si>
  <si>
    <t>Aquisição de Unidade de Filtragem Móvel FU5HB S V 2 M 1 B E, para tratamento de óleo</t>
  </si>
  <si>
    <t>Aquisição de veículo tipo leve</t>
  </si>
  <si>
    <t>Construção de depósito temporário de resíduos em SE Viana</t>
  </si>
  <si>
    <t>Execução do projeto do Auditório da SE Campos.</t>
  </si>
  <si>
    <t>Rádios Portáteis, móveis VHF e UHF</t>
  </si>
  <si>
    <t>Sinalização geral das vias da SE Samambaia</t>
  </si>
  <si>
    <t>Aquisição de instrumento medidor de resistência elétrica</t>
  </si>
  <si>
    <t>Ferramentas diversas</t>
  </si>
  <si>
    <t>Medidor Ultrassônico e Imageador Acústico</t>
  </si>
  <si>
    <t>Analalisador de qualidade de energia - Fluke DMLR.O</t>
  </si>
  <si>
    <t>Analalisadores de redes DMLR.O</t>
  </si>
  <si>
    <t>ferramentas especializadas e instrumentos de medição</t>
  </si>
  <si>
    <t>02 bancos de bateria 125vcc - 200ah / 10h</t>
  </si>
  <si>
    <t>retrofit no rdp da subestação de itutinga (vãos ltfuit, ltadit1, ltadit2, rt01)</t>
  </si>
  <si>
    <t>Adequação arquitetônica da guarita de entrada do prédio principal do DES.O</t>
  </si>
  <si>
    <t>Aquisição de barco, motor e reboque - UHE Porto Colômbia</t>
  </si>
  <si>
    <t>Aquisição de guincho</t>
  </si>
  <si>
    <t>Construção de Área Externa para Convivência/Confraternização de colaboradores lotados no DES.O</t>
  </si>
  <si>
    <t>Construção de rampas e sinalização para transito de equipamentos em pátios britados da SE Viana</t>
  </si>
  <si>
    <t>Construção de rampas e sinalização para transito de equipamentos em pátios britados da SE Vitória</t>
  </si>
  <si>
    <t>Máquina de Emenda/Fusão Ótica e Clivador. 22S/62S. FUJIKURA DMLR.O</t>
  </si>
  <si>
    <t>Modernização da ETA da UHE CORUMBÁ</t>
  </si>
  <si>
    <t>Rádios Portáteis, móveis VHF e UHF DOSN.O</t>
  </si>
  <si>
    <t>Termovisor para SE Itaberá</t>
  </si>
  <si>
    <t>Trator agrícola com guincho TMO 18T</t>
  </si>
  <si>
    <t>Construção de barracão na SE Campinas</t>
  </si>
  <si>
    <t>Aquisição de rádios de comunicação VHF</t>
  </si>
  <si>
    <t>Máquina de Lavar Vidraria para Laboratório</t>
  </si>
  <si>
    <t>Maleta completa com isolação tipo VDE. Modelo: 1104 / GEDORE</t>
  </si>
  <si>
    <t>Aquisição de máquina tipo Trator com implementos</t>
  </si>
  <si>
    <t>Aquisição de sonda multi parâmetro</t>
  </si>
  <si>
    <t>Construção de depósito para armazenagem temporária de resíduos perigosos.</t>
  </si>
  <si>
    <t>Fresadora Universal </t>
  </si>
  <si>
    <t>KIT  PARA CERTIFICAÇÃO DE FIBRA ÓPTICA contendo uma fonte óptica e um  powermeter DMLR.O</t>
  </si>
  <si>
    <t>Ferramentas elétricas de uso geral</t>
  </si>
  <si>
    <t>Padrão de Referência - Super Termômetro.</t>
  </si>
  <si>
    <t>Substituição de telhado na SE Guarulhos - Casa de Controle</t>
  </si>
  <si>
    <t>Padrão de referência em medidas de Resistência, Indutância e Capacitância.</t>
  </si>
  <si>
    <t>Motocicleta 250cc para LT´s (2)</t>
  </si>
  <si>
    <t>indicadores digitais medições - idm</t>
  </si>
  <si>
    <t>Equipamento de hidrojateamento abrasivo</t>
  </si>
  <si>
    <t>Atualização do layout do prédio administrativo do DRB.O</t>
  </si>
  <si>
    <t>Aquisição de binóculos para uso em atividades de manutenção</t>
  </si>
  <si>
    <t>Construção de rampas para acesso de embarcações</t>
  </si>
  <si>
    <t>Construção/adequação de local para cozinha e refeitório - UHE Manso</t>
  </si>
  <si>
    <t>1 unidade - caixa de descarga de baterias</t>
  </si>
  <si>
    <t>Analisador de falha à terra - Bender DMLR.O</t>
  </si>
  <si>
    <t>Aquisição de instrumento analisador e registrador de grandezas elétricas</t>
  </si>
  <si>
    <t>Aquisição de skimmer</t>
  </si>
  <si>
    <t>Construção de depósito temporário de resíduos em SE Linhares</t>
  </si>
  <si>
    <t>Medidor de Rigidez Dielétrica</t>
  </si>
  <si>
    <t>MOBILIÁRIO (CADEIRAS) DOSN.O</t>
  </si>
  <si>
    <t>Registrador Digital de Perturbações Portátil</t>
  </si>
  <si>
    <t>Relocação estacionamento UHE Manso</t>
  </si>
  <si>
    <t>ups 10kva da casa de força da usina de furnas</t>
  </si>
  <si>
    <t>Viscosímetro</t>
  </si>
  <si>
    <t>DEA - Desfibrilador externo automático</t>
  </si>
  <si>
    <t>Drone para Fotovoltaica</t>
  </si>
  <si>
    <t>Máquina de ar seco (DMES.O)</t>
  </si>
  <si>
    <t>Aqusição de instrumento analisador de baterias</t>
  </si>
  <si>
    <t>Localizador de fuga a terra em sistemas DC (Ref.: ISOSCAN EDS30 - BENDER)</t>
  </si>
  <si>
    <t>Multímetro (para calibração de simuladores de termopar/ termorresistência)</t>
  </si>
  <si>
    <t>plataforma elevatória</t>
  </si>
  <si>
    <t>VEÍCULO PARA USO NA USINA EM APOIO A OPERAÇÃO DA SUBESTAÇÃO JACAREPAGUÁ.</t>
  </si>
  <si>
    <t>Bancada de Testes Universal</t>
  </si>
  <si>
    <t>Bomba dosadora diafragma</t>
  </si>
  <si>
    <t>Pintura e manutenção interna do prédio principal do DES.O</t>
  </si>
  <si>
    <t>8 rádios VHF portáteis</t>
  </si>
  <si>
    <t>Câmara Climática - Meio térmico para calibração de Termohigrômetros</t>
  </si>
  <si>
    <t>Construção de estacionamento coberto na UHE Corumbá</t>
  </si>
  <si>
    <t>Ensaiador de rigidez dielétrico</t>
  </si>
  <si>
    <t>Multiteste Digital 15 undidades DMLR.O</t>
  </si>
  <si>
    <t>Testador de circuito de alta velocidade SDH</t>
  </si>
  <si>
    <t>Construção de abrigo de gases e inflamáveis - UHE Manso</t>
  </si>
  <si>
    <t>Escadas de alumínio trapézio da Tesmec para trabalhos de manutenção de Linhas de Transmissão</t>
  </si>
  <si>
    <t>Veículo utilitário elétrico</t>
  </si>
  <si>
    <t xml:space="preserve"> Refletômetro ótico (OTDR) - Ref. ANRITSU MT9083C2-053. ANRITSU MT9083C2. ANRITSU.</t>
  </si>
  <si>
    <t>Medidor de ponto de orvalho - ref. VAISALA DM70</t>
  </si>
  <si>
    <t>Medidor de isolação - megôhmetro 5 kV MIT 1515 / ref. Megabras MD 5075x</t>
  </si>
  <si>
    <t>Instrumentos em Geral para Eletromecânica</t>
  </si>
  <si>
    <t xml:space="preserve"> Refletômetro ótico (OTDR) - Ref. ANRITSU MT9083C2-053. ANRITSU MT9083C2. ANRITSU DMLR.O</t>
  </si>
  <si>
    <t>Aquisição de equipamento para combate a emergência - SE Araraquara</t>
  </si>
  <si>
    <t>Aquisição de micro ohmímetro</t>
  </si>
  <si>
    <t>Ducter Copacto</t>
  </si>
  <si>
    <t>equipamentos gerais área energizada</t>
  </si>
  <si>
    <t>Esticadores de Parafusos</t>
  </si>
  <si>
    <t>Kits Isolantes</t>
  </si>
  <si>
    <t>Mala Kelman Ge</t>
  </si>
  <si>
    <t>Medidor de ponto de orvalho para a SE Itaberá</t>
  </si>
  <si>
    <t>Modernização do sistema de climatização do prédio do DRB.O</t>
  </si>
  <si>
    <t>Oscilador de Rubídio</t>
  </si>
  <si>
    <t>powermiter reg tensão</t>
  </si>
  <si>
    <t>recuperação de cerca no perímetro da subestação de barro branco</t>
  </si>
  <si>
    <t>Substituição do forro termo-acústico do DES.O</t>
  </si>
  <si>
    <t>Torno mecânico</t>
  </si>
  <si>
    <t>Aquisição de aparelhos de ar condicionado Split e janela e máquina de gelo</t>
  </si>
  <si>
    <t>Analisador de Isolação</t>
  </si>
  <si>
    <t>Analisador de Isolação 15kV - MIT1525 / Megger, Cabos - 1005-260 / Megger</t>
  </si>
  <si>
    <t>Aquisição de sistema de climatização para estações de telecomunicações</t>
  </si>
  <si>
    <t>Localizador de Falhas à Terra Portatil do fabricante RDI Bender (Modelo LFMS90GS-13)</t>
  </si>
  <si>
    <t>Modernização da climatização de estações de telecomunicações</t>
  </si>
  <si>
    <t>Padrão de trabalho para temperatura (Corpo Negro - fonte de radiação infravervelha)</t>
  </si>
  <si>
    <t>Reforma geral de banheiros e vestiários - UHE Manso</t>
  </si>
  <si>
    <t>Sistema de calibração para desnimetros de SF6</t>
  </si>
  <si>
    <t>TP de aterramento</t>
  </si>
  <si>
    <t>analisador de meio físico e protocolo de redes profibus</t>
  </si>
  <si>
    <t>Carretinha de transporte barco e de reboque oc.</t>
  </si>
  <si>
    <t>estação digital de calibração</t>
  </si>
  <si>
    <t>móveis em geral</t>
  </si>
  <si>
    <t>Utensílios diversos</t>
  </si>
  <si>
    <t>Aquisição de dispositivo eletrônico para marcação de ponto</t>
  </si>
  <si>
    <t>Sistema de tratamento de óleo movel.</t>
  </si>
  <si>
    <t>4103 - Manutenção e Adequação de Ativos de Informática, Informação e Teleprocessamento</t>
  </si>
  <si>
    <t>Aquisição de aparelho Smartphone/Tablet</t>
  </si>
  <si>
    <t>Aquisição de ferramentas portáteis, para substituir eventuais obsolências</t>
  </si>
  <si>
    <t>Aquisição de hipsômetro</t>
  </si>
  <si>
    <t>Aquisição de medidor de condutância baterias</t>
  </si>
  <si>
    <t>Aquisição de osciloscópio digital</t>
  </si>
  <si>
    <t>Aquisição de prensa hidráulica</t>
  </si>
  <si>
    <t>cameras de vigilância</t>
  </si>
  <si>
    <t>Carregador de Bateria Portátil 125Vcc</t>
  </si>
  <si>
    <t>Carregador de Bateria Portátil 48Vcc</t>
  </si>
  <si>
    <t>Esticador Para Cabo Opgw</t>
  </si>
  <si>
    <t>Inversor CC/CA para instalações diversas (04 unidades)</t>
  </si>
  <si>
    <t>Máquina de reconhimento de gás SF6</t>
  </si>
  <si>
    <t>Unidade de tratamento de óleo a vácuo</t>
  </si>
  <si>
    <t>1 x Inversor 125 Vcc/127 Vca de 5.0 kVA para instalações STIVP 765/500kV</t>
  </si>
  <si>
    <t>bancadas de testes pl-100</t>
  </si>
  <si>
    <t>Calibrador de TLV´s e Termômetros com sensores</t>
  </si>
  <si>
    <t>Equipamento  para calibração de TLV´s e Termômetros com sensores</t>
  </si>
  <si>
    <t>Modernização para inspeção das estruturas civis das usinas da Eletrobras Furnas.</t>
  </si>
  <si>
    <t>sistema de proteção da lipcab</t>
  </si>
  <si>
    <t>Torre de Iluminação 4 x 1000w em LED, Elevação 9m com Gerador 220v Monofásico a Diesel 10kw- SE</t>
  </si>
  <si>
    <t>Binoculos 50x10</t>
  </si>
  <si>
    <t>Aquisição de motosserra</t>
  </si>
  <si>
    <t>Aquisição de binóculo com estabilização óptica</t>
  </si>
  <si>
    <t>Aquisição de binóculos Cânon com Resolução 20x50</t>
  </si>
  <si>
    <t>Aquisição de drone - Linhas de Transmissão.</t>
  </si>
  <si>
    <t>Bomba dosadora embolo</t>
  </si>
  <si>
    <t>Conexões DILO para SF6</t>
  </si>
  <si>
    <t>Coulômetro (Teor de Água - Isolante)</t>
  </si>
  <si>
    <t>Embarcação com motor - UHE Manso</t>
  </si>
  <si>
    <t>instalação das centrais de ar self-container do prédio da sala de controle</t>
  </si>
  <si>
    <t>Medidor de pH</t>
  </si>
  <si>
    <t>Megger - Medidor de resistência de isolamento.</t>
  </si>
  <si>
    <t>Melhoria estrutura civil casa força UHE Batalha</t>
  </si>
  <si>
    <t>MOBILIÁRIO Mesas DOSN.O</t>
  </si>
  <si>
    <t>Modernização do Sistema de Iluminação da SE</t>
  </si>
  <si>
    <t>Testador  cabeamneto de rede DMLR.O</t>
  </si>
  <si>
    <t>Unidade de filtragem móvel, Hydac: MFUD-60-M-P-2-H60-2-ON10-03-B /-S5P5.</t>
  </si>
  <si>
    <t>registradores digitais de perturbações</t>
  </si>
  <si>
    <t>Rádio motorola VHP Motorola</t>
  </si>
  <si>
    <t>Termohigrômetros</t>
  </si>
  <si>
    <t>Analisador de Vibração (Modelo: Fluke-805FC)</t>
  </si>
  <si>
    <t>1 unidade - aparelho medidor de condutância/teste de baterias</t>
  </si>
  <si>
    <t>1 x OTDR</t>
  </si>
  <si>
    <t>Aquisição de instrumento medidor de relação de transformação</t>
  </si>
  <si>
    <t>Aquisição de instrumentos Diversos - CPCIE</t>
  </si>
  <si>
    <t>Aquisição de motosserras elétricas</t>
  </si>
  <si>
    <t>Aquisição de PC de Processo  -Tarifador</t>
  </si>
  <si>
    <t>Câmara Climática</t>
  </si>
  <si>
    <t>Condutivímetro</t>
  </si>
  <si>
    <t>Densimetro Digital para Eletróilito de Baterias</t>
  </si>
  <si>
    <t>Hipsômetro ref Lasertek TP360E</t>
  </si>
  <si>
    <t>medidor de ponto de orvalho;</t>
  </si>
  <si>
    <t>Medidor de potência DMLR.O</t>
  </si>
  <si>
    <t>Modernização da sala de operação da subestação Gurupi.</t>
  </si>
  <si>
    <t>Multimetros CAT4 600V (Ref.: Fluke 87)</t>
  </si>
  <si>
    <t>registrador de pertubações portátil</t>
  </si>
  <si>
    <t>Televisores para Auditório e Sala de Reunião.</t>
  </si>
  <si>
    <t>Aquisição de chave de impacto elétrica</t>
  </si>
  <si>
    <t>Cadeiras P/ CRV da SE de Foz do Iguaçu</t>
  </si>
  <si>
    <t>Drone REF DJI</t>
  </si>
  <si>
    <t>Furadeira com Mandril de 1/2 Pol com Velocidade Variável e Reversível 600W - DEWALT-DW245</t>
  </si>
  <si>
    <t>Guincho manual para tração- Tifor</t>
  </si>
  <si>
    <t>Projeto de Ampliação da Guarita da Usina de Campos com eclusa.</t>
  </si>
  <si>
    <t>Projeto de atualização do layout do prédio administrativo do DRB.O</t>
  </si>
  <si>
    <t>Talhas de alavanca para içamento de cargas</t>
  </si>
  <si>
    <t>Aquisição de Ferramentas Rotativas elétricas para oficina e utilização em campo.</t>
  </si>
  <si>
    <t>Alicate Amperimentro Digital</t>
  </si>
  <si>
    <t>Aquisição de Serra Fita</t>
  </si>
  <si>
    <t>Binóculo Canon Image Stabilizer 10x42 L IS WP.</t>
  </si>
  <si>
    <t>bomba pneumática manual com calibrador de pressão pc 507 (pneumático)</t>
  </si>
  <si>
    <t>Carretilha de aluminio de Linha Viva- Roldana de linha Viva</t>
  </si>
  <si>
    <t>Conjunto de Fusão de Fibra Optica por arco elétrico</t>
  </si>
  <si>
    <t>Estação de retrabalho e solda em placas de componentes eletrônicos</t>
  </si>
  <si>
    <t>Medidor de isolação CC</t>
  </si>
  <si>
    <t>Motoserra a bateria 36Volts</t>
  </si>
  <si>
    <t>Parafusadeiras com baterias 18 Volts</t>
  </si>
  <si>
    <t>rádios portáteis para uso na operação</t>
  </si>
  <si>
    <t>Rocadeira hidraulica para trator de pneu</t>
  </si>
  <si>
    <t>servidores para o sage</t>
  </si>
  <si>
    <t>Sistema de rádio por IP para comunicação da UTE Campos com as Ses Campos e Macaé.</t>
  </si>
  <si>
    <t>Aquisição de sistema de abastecimento de água</t>
  </si>
  <si>
    <t xml:space="preserve"> 10 Unid. - Poltronas giratórias</t>
  </si>
  <si>
    <t>Aquisição de Alicate de Prensa Hidráulica</t>
  </si>
  <si>
    <t>Aquisição de GPS GARMIN</t>
  </si>
  <si>
    <t>Capacimetro</t>
  </si>
  <si>
    <t>Estufa</t>
  </si>
  <si>
    <t>Medidor de Oxigênio Dissolvido</t>
  </si>
  <si>
    <t>Reflectômetro OTDR</t>
  </si>
  <si>
    <t>módulo entrada digital do serviço auxiliar</t>
  </si>
  <si>
    <t>Motoserras</t>
  </si>
  <si>
    <t>Bomba dosadora</t>
  </si>
  <si>
    <t>10 Unid. - Poltronas giratórias</t>
  </si>
  <si>
    <t>2 Unid - Multímetro Fluke 87V.</t>
  </si>
  <si>
    <t>2 unidades - multimetro de rede Fluke Microscanner</t>
  </si>
  <si>
    <t>Aquisição de equipamento portátil para verificação de qualidade de água tratada.</t>
  </si>
  <si>
    <t>Bureta Automática para Titulação</t>
  </si>
  <si>
    <t>Gerador Diesel Portátil</t>
  </si>
  <si>
    <t>Mobiliário administrativo</t>
  </si>
  <si>
    <t>Vara de manobra seccionável Ritz Glass.</t>
  </si>
  <si>
    <t>Gerador Portátil</t>
  </si>
  <si>
    <t>Máquina Retificadora de Solda 450A Trifásica 440V. Modelo: Origo Arc 455 / ESAB</t>
  </si>
  <si>
    <t>Tanque reservatório gradeado</t>
  </si>
  <si>
    <t xml:space="preserve"> Acessorios para veículos de Linhas de Transmissão.</t>
  </si>
  <si>
    <t>01- Medidor de resistência de isolação CC.</t>
  </si>
  <si>
    <t>1 unidade - Máquina de fusão de fibra óptica</t>
  </si>
  <si>
    <t>Aquisição de Tesoura hidráulica</t>
  </si>
  <si>
    <t>Cadeiras</t>
  </si>
  <si>
    <t>Ferramental- caixa de ferramenta, chaves combinadas, catracas, torquimetros, etc</t>
  </si>
  <si>
    <t>Máquina de Emenda/Fusão Ótica e Clivador. 22S/62S. FUJIKURA</t>
  </si>
  <si>
    <t>Medidor de ponto de orvalho</t>
  </si>
  <si>
    <t>Projeto de Ampliação da Guarita da Subestação de Rocha Leão com eclusa.</t>
  </si>
  <si>
    <t>sistema de medição de nível do canal de fuga</t>
  </si>
  <si>
    <t>Multímetro digital ttrue RMS 1000V FLUKE, MODELO 177</t>
  </si>
  <si>
    <t>Chave impacto (Ref.: DCF899B-B3+DCB205C2K-BR DEWALT)</t>
  </si>
  <si>
    <t>lanterna de led portátil a bateria 18 Volts</t>
  </si>
  <si>
    <t>Barco com motor de popa</t>
  </si>
  <si>
    <t>Drone (Ref.: DJI MINI 3 PRO COM KIT FLYMORE)</t>
  </si>
  <si>
    <t>1 Megômetro digital portátil - Fluke 1507 - 1000 V</t>
  </si>
  <si>
    <t>1 unidade - densímetro digital</t>
  </si>
  <si>
    <t>Aquisição de esmerilhadeira com baterias 18 Volts</t>
  </si>
  <si>
    <t>Aquisição de ferramentas isoladas</t>
  </si>
  <si>
    <t>Aquisição de motopoda</t>
  </si>
  <si>
    <t>Aquisição de película protetora de vidros</t>
  </si>
  <si>
    <t>Aquisição de torquímetro</t>
  </si>
  <si>
    <t>Balança Analíica</t>
  </si>
  <si>
    <t>Bureta (Ensaio de Acidez)</t>
  </si>
  <si>
    <t>Cameras IP</t>
  </si>
  <si>
    <t>DMEP.O - Bastões de aterramentos</t>
  </si>
  <si>
    <t>guindaste hidráulico</t>
  </si>
  <si>
    <t>Implemento de Escavação P/ trator sobre rodas</t>
  </si>
  <si>
    <t>Osciloscópio Digital Portátil com entradas isoladas</t>
  </si>
  <si>
    <t>portão eletrônico</t>
  </si>
  <si>
    <t>Sensor Termorresistivo PT100 Classe A - sugestão: Fluke, 5626A</t>
  </si>
  <si>
    <t>sistema citv - se itutinga</t>
  </si>
  <si>
    <t>Talhas Diversas</t>
  </si>
  <si>
    <t>Equipamento ar condicionado 22.000 BTU</t>
  </si>
  <si>
    <t>Guincho de alavanca</t>
  </si>
  <si>
    <t>Monitor/TV</t>
  </si>
  <si>
    <t>Aquisição de instrumentos multímetro digital</t>
  </si>
  <si>
    <t>Alicate Amperimetro CAT4 600V</t>
  </si>
  <si>
    <t>Aparelho celular</t>
  </si>
  <si>
    <t>Aquisição de Chave de Impacto</t>
  </si>
  <si>
    <t>Aquisição de gerador portátil</t>
  </si>
  <si>
    <t>Aquisição de lavadora de pressão</t>
  </si>
  <si>
    <t>Aquisição de máquina de pintura</t>
  </si>
  <si>
    <t>Balança analítica</t>
  </si>
  <si>
    <t>Guincho para picape 4x4</t>
  </si>
  <si>
    <t>Jogo de Pipetas de Gilson</t>
  </si>
  <si>
    <t>Máquina corte de plasma- SE Itaberá</t>
  </si>
  <si>
    <t>Máquina de alta pressão com aquecimento</t>
  </si>
  <si>
    <t>Máquina de solda multi processo- MMA, TIG e MIG- SE Itaberá</t>
  </si>
  <si>
    <t>Máquina inversora de solda (Ref.: ESAB-742913)</t>
  </si>
  <si>
    <t>Maquina Policorte
 Maquina de Solda
 Kit Maçarico</t>
  </si>
  <si>
    <t>Multitestes</t>
  </si>
  <si>
    <t>Torquimetro hidráulico</t>
  </si>
  <si>
    <t>Esmerilhadeira a bateria 4" (Ref.: GWS 180-LI BRUSHLESS 18V BOSCH)</t>
  </si>
  <si>
    <t>Kit fita catraca carga para embalar</t>
  </si>
  <si>
    <t>Poltrona giratória com braços, com relax, gomada, estofado na cor azul, tipo DiretoR</t>
  </si>
  <si>
    <t>Retifica a bateria (Ref.: GGS 18V-23 PLC BOSCH)</t>
  </si>
  <si>
    <t>Densímetro Portátil (Ref.: ANTOON PAAR/DMA 35)</t>
  </si>
  <si>
    <t>Medidor de tensão de correias, Fabricante SKF, Modelo PHL FM10/400.</t>
  </si>
  <si>
    <t>Aquisição de equipamento ar condicionado</t>
  </si>
  <si>
    <t>Aquisição de furadeira de impacto profissional</t>
  </si>
  <si>
    <t>Freezer horizontal</t>
  </si>
  <si>
    <t>Geladeira</t>
  </si>
  <si>
    <t>01 alcate amperímetro</t>
  </si>
  <si>
    <t>2 Unid - Multímetro Fluke 177.</t>
  </si>
  <si>
    <t>Condutivímetro Digital Portátil</t>
  </si>
  <si>
    <t>Desumidificador</t>
  </si>
  <si>
    <t>HD portátil</t>
  </si>
  <si>
    <t>Kit exaustor/insuflador com duto - NR33 (Ref.: ITINS30/INSTRUTEMP)</t>
  </si>
  <si>
    <t>Multimetro de Bancada</t>
  </si>
  <si>
    <t>Bebedouro industrial</t>
  </si>
  <si>
    <t>Kit de solda de oxi-acetileno portátil</t>
  </si>
  <si>
    <t>2 x Kit de ferramentas para fibra óptica</t>
  </si>
  <si>
    <t>Aquisição de detector de tensão</t>
  </si>
  <si>
    <t>Aquisição de equipamento portátil para verificação de qualidade do ar (NR 33).</t>
  </si>
  <si>
    <t>Aquisição de medidor de nivel de água com Sonda</t>
  </si>
  <si>
    <t>Aquisição de micro amperímetro digital</t>
  </si>
  <si>
    <t>Aquisição de roçadeiras costais</t>
  </si>
  <si>
    <t>Chave de Impacto à Bateria 1/2'' 18V 1000NM DTW1002RTJ</t>
  </si>
  <si>
    <t>FLUKE 771 ALICATE MILIAMPERÍMETRO DE PROCESSO</t>
  </si>
  <si>
    <t>KIT de insulflamento para luva isolante</t>
  </si>
  <si>
    <t>Kit verificador de cabos microscanner (Ref.: FLUKE/MS2-POE-KIT FLUKE)</t>
  </si>
  <si>
    <t>Manovacuômetro digital p/ SF6</t>
  </si>
  <si>
    <t>Máquina de Solda para a SE Itaberá</t>
  </si>
  <si>
    <t>rádios portáteis vhf/uhf</t>
  </si>
  <si>
    <t>Testador de bastões</t>
  </si>
  <si>
    <t>Microamperímetro Analógico (Ref.: RITZ-RC402-0288)</t>
  </si>
  <si>
    <t>Equipamento de Pintura Airless</t>
  </si>
  <si>
    <t>forno elétrico</t>
  </si>
  <si>
    <t>Armários em Aço</t>
  </si>
  <si>
    <t>Bombas subermersiveis sólidos</t>
  </si>
  <si>
    <t>Multímetro Digital</t>
  </si>
  <si>
    <t>01- Alicate amperímetro</t>
  </si>
  <si>
    <t>01 Multímetro Digital</t>
  </si>
  <si>
    <t>02- Multímetros.</t>
  </si>
  <si>
    <t>Bombas d'água</t>
  </si>
  <si>
    <t>Chave de impacto pneumática 3/4 polegadas, Atlas Copco, Modelo W2920</t>
  </si>
  <si>
    <t>Ferramentas diversas para os técnicos da SE Itaberá</t>
  </si>
  <si>
    <t>Furadeira Eletromagnética - Ref:Gbm 50-2</t>
  </si>
  <si>
    <t>Inversor de tensão 12V para 127Vac - 3000W</t>
  </si>
  <si>
    <t>Osciloscópio Portátil</t>
  </si>
  <si>
    <t>Port-Server</t>
  </si>
  <si>
    <t>Aquisição de TV/Monitor com Entrada HDMI 55 pol FULLHD c/ HDMI</t>
  </si>
  <si>
    <t>Bateria Motosserra</t>
  </si>
  <si>
    <t>Medidor de Cloro</t>
  </si>
  <si>
    <t>Padrão de Trabalho - Sensor Termorresitivo PT100 - Classe A</t>
  </si>
  <si>
    <t>Padrão de Trabalho - Termômetro Infravermelho</t>
  </si>
  <si>
    <t>Conjunto Optico Power Meter.</t>
  </si>
  <si>
    <t>Fogão de indução</t>
  </si>
  <si>
    <t>Fonte de Luz</t>
  </si>
  <si>
    <t>Kit Torqueadeira ElétricModelo: GDS 18V-1000 com maleta</t>
  </si>
  <si>
    <t>1 x Impressora para confecção de anilhas</t>
  </si>
  <si>
    <t>2 unidades - alicate amperímetro Fluke 325</t>
  </si>
  <si>
    <t>Detector de Tensão</t>
  </si>
  <si>
    <t>Detector unipolar de alta tensão SuperTester Ritz</t>
  </si>
  <si>
    <t>Esmerilhadira 7" (Ref.: BOSCH GWS 28-180 VULCANO 2800W 127V)</t>
  </si>
  <si>
    <t>FURADEIRA COM BASE MAGNÉTICA 1050W 35MM - HB350 - MAKITA</t>
  </si>
  <si>
    <t>Saca rolamento hidráulico</t>
  </si>
  <si>
    <t>Vacuômetro P/ tratamento de Oleo</t>
  </si>
  <si>
    <t>Espectofotometro</t>
  </si>
  <si>
    <t>MÁQUINA INVERSORA DE SOLDA 200A TIG ROGUE ET 202IP ESAB, ref 743323</t>
  </si>
  <si>
    <t>Furadeira Gbm 23-2</t>
  </si>
  <si>
    <t>Motor para barco 15HP tipo rabeta</t>
  </si>
  <si>
    <t>Turbidímetro</t>
  </si>
  <si>
    <t>Multiplicador de torque LKV-28Z Gedore</t>
  </si>
  <si>
    <t>1 Kit - Chave de impacto 18V - DTW285RFJX - Makita</t>
  </si>
  <si>
    <t>1 sequencímetro digital</t>
  </si>
  <si>
    <t>1 termômetro imfravermelho</t>
  </si>
  <si>
    <t>1 und - Alicate amperímetro 1000 A AC/DC - Fluke-376FC</t>
  </si>
  <si>
    <t>2 x Soprador térmico</t>
  </si>
  <si>
    <t>Aquisição de Relogio Comparador Digital</t>
  </si>
  <si>
    <t>Carretilha de alumínio forjada com trava 567 daN Ritz.</t>
  </si>
  <si>
    <t>Desumidificador de ar (Ref.: DESIDRAT D150-8L)</t>
  </si>
  <si>
    <t>Disco Rigido HD</t>
  </si>
  <si>
    <t>Temohigrômetro digital (Ref.: MINIPA MT-241)</t>
  </si>
  <si>
    <t>Retificadeira 1/4 Pol. 1300W Brushless - DEWALT-DWE4997VS</t>
  </si>
  <si>
    <t>1 und - Fonte de Alimentação Dupla DC Regulada 30V/5A - MINIPA-MPC-3005</t>
  </si>
  <si>
    <t>Aquisição de  etiquetadora portátil para SE Bandeirantes</t>
  </si>
  <si>
    <t>Aquisição de  etiquetadoras portátil</t>
  </si>
  <si>
    <t>Aquisição de bombas de transferência de óleo</t>
  </si>
  <si>
    <t>Esmerilhadeira Angular</t>
  </si>
  <si>
    <t>Furadeira de bancada 1CV, 3/4"</t>
  </si>
  <si>
    <t>Kit Parafusadeira/Furadeira 1/2'' (13 mm) Com Impacto 20V MAX*</t>
  </si>
  <si>
    <t>Multicalibrador isocal MCS-12</t>
  </si>
  <si>
    <t>Escada extensivel</t>
  </si>
  <si>
    <t>1 Unid - Lavadora Alta Pressão HW112 - Makita</t>
  </si>
  <si>
    <t>Aspirador de Piscina</t>
  </si>
  <si>
    <t>Máquina de lavar à pressão uso contínuo</t>
  </si>
  <si>
    <t>Alicate amperímetro fluke modelo 325</t>
  </si>
  <si>
    <t>Medidor de temperatura digital</t>
  </si>
  <si>
    <t>Forno Eletrico</t>
  </si>
  <si>
    <t>01 Alicate Amperímetro Digital</t>
  </si>
  <si>
    <t>2 x alicates prensa terminais tubulares – ref. Crimper 6Z</t>
  </si>
  <si>
    <t>2 x Estações de solda</t>
  </si>
  <si>
    <t>Aquisição de termo-higrômetro</t>
  </si>
  <si>
    <t>Dosadora de Cloro</t>
  </si>
  <si>
    <t>Martelete Combinado SDS PLUS 800W com Maleta - MAKITA-HR2470 / 220V</t>
  </si>
  <si>
    <t>Multímetro de bancada</t>
  </si>
  <si>
    <t>Multímetro digital portátil (Ref.: FLUKE 17B+CATlll)</t>
  </si>
  <si>
    <t>Forno Microondas</t>
  </si>
  <si>
    <t>Esmerilhadeira Angular 5 1200w 220v Dwe4212-b2 Dewalt</t>
  </si>
  <si>
    <t>01 Termohigrômetro</t>
  </si>
  <si>
    <t>Cafeteira Eletrica</t>
  </si>
  <si>
    <t>Gerador de Sinais 4 a 20mA</t>
  </si>
  <si>
    <t>02- Termohigrômetros</t>
  </si>
  <si>
    <t>Aquisição de gravador elétrico para metais</t>
  </si>
  <si>
    <t>Aspirador de pó</t>
  </si>
  <si>
    <t>Multímetro e outros equipamentos de apoio ao Simulador</t>
  </si>
  <si>
    <t>Sequencímetro (Ref.: MINIPA/MFA-862)</t>
  </si>
  <si>
    <t>01 Alicate Amperímetro</t>
  </si>
  <si>
    <t>Manutenção e Adequação de Bens Imóveis</t>
  </si>
  <si>
    <t>Melhoria de Bens Imóveis</t>
  </si>
  <si>
    <t>Manutenção e Adequação de Bens Móveis, Veículos, Máquinas e Equipamentos</t>
  </si>
  <si>
    <t>Bens móveis</t>
  </si>
  <si>
    <t>Manutenção e Adequação de Ativos de Informática, Informação e Teleprocessamento</t>
  </si>
  <si>
    <t>Modernização das mesas Trading</t>
  </si>
  <si>
    <t>Implantação Sistema de Monitoramento Integrado</t>
  </si>
  <si>
    <t>Videowall LED</t>
  </si>
  <si>
    <t>Desenvolvimento/implementação de sistemas</t>
  </si>
  <si>
    <t>Implantação de HoneySpots para Centros de Operação</t>
  </si>
  <si>
    <t>Conexão de voz com agentes (SBC)</t>
  </si>
  <si>
    <t>Aquisição de máquinas e equipamentos</t>
  </si>
  <si>
    <t>Implantação Projeto Smartiks</t>
  </si>
  <si>
    <t>Modernização Infraestrutura do CORI</t>
  </si>
  <si>
    <t>Implantação Cluster Storage</t>
  </si>
  <si>
    <t>Contrato SPAT Regionais (Ação 4103)</t>
  </si>
  <si>
    <t>Segurança Física para os Centros de Operação</t>
  </si>
  <si>
    <t>Projeto Parceria RNP - 100G</t>
  </si>
  <si>
    <t>Aquisição reserva técnica posto hidrométrico</t>
  </si>
  <si>
    <t>Centros de Operação - Implantação HCI</t>
  </si>
  <si>
    <t>P2 - Projeto Piloto Relés Ondas Viajantes</t>
  </si>
  <si>
    <t>Implantação Monitoramento Rede GPON Vídeo Monitoramento Operacional</t>
  </si>
  <si>
    <t>Firewall Camada 7 FWL7 dos Centros de Operação</t>
  </si>
  <si>
    <t>Switches para os Centros de Operação</t>
  </si>
  <si>
    <t>Aquisição de veículos</t>
  </si>
  <si>
    <t>Infraestrutura de Telecomunicações</t>
  </si>
  <si>
    <t xml:space="preserve">Melhorias das Instalações do Sertão para adequação às questões ambientais </t>
  </si>
  <si>
    <t>Revisão turbinas a gas 11 e 21 da UTE Santa Cruz</t>
  </si>
  <si>
    <t>Modernização do controle dos reguladores de tensão e velocidade das unidades geradoras da UHLCB</t>
  </si>
  <si>
    <t>Modernização dos Reguladores de Velocidade e de Tensão das Usinas</t>
  </si>
  <si>
    <t>Modernização de Pórticos e Pontes Rolante das Usinas</t>
  </si>
  <si>
    <t>Modernização dos pórticos e pontes rolantes</t>
  </si>
  <si>
    <t>Modernização de Sistema de Regulador de Tensão de várias áreas de Furnas</t>
  </si>
  <si>
    <t>Modernização dos servomotores do Aro de Regulação das Turbinas da Usina de Manso</t>
  </si>
  <si>
    <t>pontes rolantes casa de força</t>
  </si>
  <si>
    <t>ponte rolante</t>
  </si>
  <si>
    <t>Modernização dos Reguladores de Tensão da UHE Manso</t>
  </si>
  <si>
    <t>Modernização dos pórticos da tomada d´agua e canal de fuga da UHE Itumbiara</t>
  </si>
  <si>
    <t>Modernização dos Reguladores de Tensão da UHE Corumbá</t>
  </si>
  <si>
    <t>comporta vertedouro</t>
  </si>
  <si>
    <t>retrofit ponte rolante</t>
  </si>
  <si>
    <t>retrofit portico do vertedouro</t>
  </si>
  <si>
    <t>pórticos da tomada d'águe e canal de fuga</t>
  </si>
  <si>
    <t>pórtico canal de fuga</t>
  </si>
  <si>
    <t>pórtico tomada dagua</t>
  </si>
  <si>
    <t>Aquisição de Sistema de Registro de Perturbações - UHE Itumbiara</t>
  </si>
  <si>
    <t>Modernização dos pórticos da tomada d´agua da UTE Santa Cruz</t>
  </si>
  <si>
    <t>Modernização do Pórtico da Tomada Dágua</t>
  </si>
  <si>
    <t>Modernização dos controles das Comportas do Vertedouro</t>
  </si>
  <si>
    <t>Melhoria na ponte rolante da casa de força</t>
  </si>
  <si>
    <t>MONITORAMENTO ONLINE DE TRANSFORMADORES E REATORES</t>
  </si>
  <si>
    <t>Modernização do Sistema de Supervisão e Controle - UHE Xingó</t>
  </si>
  <si>
    <t>Substituição Transformadores Elevadores - UHE Paulo Afonso III e Apolônio Sales</t>
  </si>
  <si>
    <t>Modernização do Sistema de Vedação das Aletas Móveis das Turbinas - UHE Xingó</t>
  </si>
  <si>
    <t>Modernização Turbinas G8 e G9 - UHE Paulo Afonso II</t>
  </si>
  <si>
    <t>Melhorias eletromecânicas em geradores</t>
  </si>
  <si>
    <t>Substituição Transformadores Elevadores - UHE Paulo Afonso IV</t>
  </si>
  <si>
    <t>Troca do rotor Kaplan da turbina da UG02 de UHSD</t>
  </si>
  <si>
    <t>Modernização de usinas</t>
  </si>
  <si>
    <t>Modernização e Automação de Instrumentação de Auscultação Civil de Segurança de Barrages.</t>
  </si>
  <si>
    <t>Construção de Escadas de Acesso à Instrumentação dos Diques do AHE Simplício - Queda Única</t>
  </si>
  <si>
    <t>Recuperação da cobertura da casa de Força - UHE Porto Colômbia</t>
  </si>
  <si>
    <t>Recuperação da pavimentação asfáltica do coroamento da barragem - UHE Porto Colômbia</t>
  </si>
  <si>
    <t>Recuperação da pavimentação asfáltica - barragem - UHE Marimbondo.</t>
  </si>
  <si>
    <t>pavimentação área industrial</t>
  </si>
  <si>
    <t>pavimentar barragem de piumhi</t>
  </si>
  <si>
    <t>recapeamento asfáltico nas vias internas da área industrial</t>
  </si>
  <si>
    <t>telhado da sala de comando</t>
  </si>
  <si>
    <t>barreira contra queda de rochas</t>
  </si>
  <si>
    <t>escada de acesso ao vertedouro</t>
  </si>
  <si>
    <t>sistemas de alertas para zona de acesso serviço</t>
  </si>
  <si>
    <t>Melhoria cerca perimétrica da UHE Batalha</t>
  </si>
  <si>
    <t>Segurança de Barragem - Condicionantes de LOs</t>
  </si>
  <si>
    <t>Implantação PAE - Segurança de Barragens</t>
  </si>
  <si>
    <t>Plano de Ação de Emergência de usina</t>
  </si>
  <si>
    <t>AMPLIAÇÃO E MODERNIZAÇÃO DOS SISTEMAS DE TELECOMUNICAÇÕES DOS CENTROS DE OPERAÇÃO E CENTRO DE GERÊNCIA DE REDES DE TELECOMUNICAÇÕES</t>
  </si>
  <si>
    <t>11 - Modernização de Usinas - Novos Projetos</t>
  </si>
  <si>
    <t>10 - Modernização de Usinas - Projetos em Carteira</t>
  </si>
  <si>
    <t>4467 - Manutenção de Sistema de Geração de Energia Elétrica na Região Norte</t>
  </si>
  <si>
    <t>Contratação do sistema Empower/SIGGA ou similar</t>
  </si>
  <si>
    <t xml:space="preserve">Implantação de novo sistema de gestão de risco de crédito integrado ao sistema de comercialização (ID 985757) </t>
  </si>
  <si>
    <t>Desenvolvimento de Sistemas</t>
  </si>
  <si>
    <t>Aquisição e licença de softwares</t>
  </si>
  <si>
    <t>Desenvolvimento de Sistema de Gestão de Portfólio de Participações</t>
  </si>
  <si>
    <t>Peças e Equipamentos Sobressalentes</t>
  </si>
  <si>
    <t>Adequação do refeitório da UHE Teles Pires</t>
  </si>
  <si>
    <t>Equipamentos e Ferramentas O&amp;M</t>
  </si>
  <si>
    <t>Anel de guia do eixo superior - Gerador 03</t>
  </si>
  <si>
    <t>Infraestrutura de TI - Teles Pires</t>
  </si>
  <si>
    <t>Trocadores de calor dos geradores</t>
  </si>
  <si>
    <t>Pavimentação asfáltica vias de acesso interno da usina</t>
  </si>
  <si>
    <t>Revitalização das estruturas do complexo de hospedagem da usina</t>
  </si>
  <si>
    <t>Sistema de CFTV</t>
  </si>
  <si>
    <t>Prolongamento dos trilhos do pórtico jusante</t>
  </si>
  <si>
    <t>Sistema de Descarga Parciais</t>
  </si>
  <si>
    <t>Laboratório de ensaios eletromecânicos</t>
  </si>
  <si>
    <t>Iluminação casa de força</t>
  </si>
  <si>
    <t>Sala seca para armazenamento de equipamentos</t>
  </si>
  <si>
    <t>Estantes industriais para ferramentaria da usina</t>
  </si>
  <si>
    <t>Veículos para frota operacional da usina</t>
  </si>
  <si>
    <t>Iluminação das vias de acesso da usina e alojamentos</t>
  </si>
  <si>
    <t>Digitalização dos arquivos da UHE Teles Pires</t>
  </si>
  <si>
    <t>Sistema de monitoramento on-line barragem</t>
  </si>
  <si>
    <t>Tampas metálicas para canaletas elétricas VT e TA</t>
  </si>
  <si>
    <t>Cobertura portaria da usina e portões de acesso</t>
  </si>
  <si>
    <t>Revitalização da proteção anti corrosiva  estruturas de aço das comportas de vertedouro</t>
  </si>
  <si>
    <t>Revitalização da proteção anti corrosiva  estruturas de aço dos condutos forçados de TA.</t>
  </si>
  <si>
    <t>Nova ação da LOA</t>
  </si>
  <si>
    <t>Sobressalentes do Gerador</t>
  </si>
  <si>
    <t>Peças sobressalentes - Aumento da Confiabilidade</t>
  </si>
  <si>
    <t>Aquisição de equipamentos e instrumentos para manutenção</t>
  </si>
  <si>
    <t>Sistema Hidraulico</t>
  </si>
  <si>
    <t>Sistema de Proteção</t>
  </si>
  <si>
    <t>Cobertura e urbanização da ETA (inclui adequações normativas)</t>
  </si>
  <si>
    <t>Troca do banco de baterias 125 VCC</t>
  </si>
  <si>
    <t>Aquisição de anel de vedação e borracha do selo (2 conjuntos)</t>
  </si>
  <si>
    <t>Impermeabilização da laje da CF</t>
  </si>
  <si>
    <t>Troca da caixa separadora de água e óleo</t>
  </si>
  <si>
    <t xml:space="preserve">Substituição de tubulações </t>
  </si>
  <si>
    <t>Melhoria Sistema de Filtragem e Resfriamento</t>
  </si>
  <si>
    <t>Aquisição de sobressalentes SDSC/RV/RT - Obsolescencia</t>
  </si>
  <si>
    <t>Cobertura do estacionamento</t>
  </si>
  <si>
    <t>Estudo e projeto executivo logboom</t>
  </si>
  <si>
    <t>Estudo e adequação do poço drenagem da Vale</t>
  </si>
  <si>
    <t>Obras civis - reforma predial</t>
  </si>
  <si>
    <t>Implantação do PAE</t>
  </si>
  <si>
    <t>Retrofit dos Paíneis das Comportas ensecadeiras da Tomada D'Água</t>
  </si>
  <si>
    <t>Retrofit sistemas condicionadores de ar</t>
  </si>
  <si>
    <t>Revitalização e tratamento anticorrosivo Aro Camara, distribuidor e tampa turbina (UG's 1 e 2)</t>
  </si>
  <si>
    <t>Retrofit dos Paíneis das Comportas ensecadeiras do Vertedouro</t>
  </si>
  <si>
    <t>Retrofit sistema de monitoramento de vibração</t>
  </si>
  <si>
    <t>Renovação da Estação de Engenharia da Usina</t>
  </si>
  <si>
    <t>Renovação de Mobiliario CBG x UHE</t>
  </si>
  <si>
    <t>Licença de Operação</t>
  </si>
  <si>
    <t>Custos Retardatalhos LI</t>
  </si>
  <si>
    <t>Aluguel / Arrendamento - Edificios</t>
  </si>
  <si>
    <t>Aluguel / Arrendamento - Veiculos</t>
  </si>
  <si>
    <t>Contingências Jurídicas (desapropiações)</t>
  </si>
  <si>
    <t>Contingências EPC</t>
  </si>
  <si>
    <t>Aquisição de Instrumentos e Ferramentas</t>
  </si>
  <si>
    <t>Compressores de Ar de Serviço</t>
  </si>
  <si>
    <t>Vertedouro (Equipamentos sistema Hidraúlico e Retrofit das Comportas)</t>
  </si>
  <si>
    <t xml:space="preserve">Retrofit da Comportas Vagão </t>
  </si>
  <si>
    <t>Retrofit dos Paíneis das Comportas Segmento Tomada D'Água</t>
  </si>
  <si>
    <t>Renovação de Equipamentos</t>
  </si>
  <si>
    <t xml:space="preserve">Relulador de Tensão </t>
  </si>
  <si>
    <t xml:space="preserve">Retrofit Transformador Elevador/ Atualização tecnológica </t>
  </si>
  <si>
    <t>Retrofit do Pórtico Vertedouro</t>
  </si>
  <si>
    <t>Retrofit do Gerador</t>
  </si>
  <si>
    <t>Retrofit Sistema de Drenagem</t>
  </si>
  <si>
    <t>Auxiliares CA</t>
  </si>
  <si>
    <t>Automação / Instrumentação de Segurança de Barragem</t>
  </si>
  <si>
    <t>Estradas e vias de acesso</t>
  </si>
  <si>
    <t>Retrofit / Upgrade do Sistema de Automação e Controle</t>
  </si>
  <si>
    <t>Renovação do cabeamento da rede do CBG e Usina</t>
  </si>
  <si>
    <t>Retrofit do ponte rolante da casa de força</t>
  </si>
  <si>
    <t xml:space="preserve">Retrofit Turbina </t>
  </si>
  <si>
    <t>Regulador de de Velocidade</t>
  </si>
  <si>
    <t>Sistemas de Incêndio</t>
  </si>
  <si>
    <t>Aquisição de Conjunto de Baterias Estacionarias  - Casa de força</t>
  </si>
  <si>
    <t>Retrofit Retificador carregador de bateria</t>
  </si>
  <si>
    <t xml:space="preserve">Aquisição de cilindro de freio </t>
  </si>
  <si>
    <t>Aquisição de bombas de drenagem/esgotamento   - Casa de força e Vertedouro</t>
  </si>
  <si>
    <t xml:space="preserve">RPSB - Estudos Adicionais </t>
  </si>
  <si>
    <t xml:space="preserve">Atualização tecnológica do sistema de proteção </t>
  </si>
  <si>
    <t>Sistema de Resfriamento</t>
  </si>
  <si>
    <t>Climatização de Ambientes</t>
  </si>
  <si>
    <t>Indenizações - Possíveis perdas</t>
  </si>
  <si>
    <t>Aquisições e Indenizações - Joana D'Arc / Sta Rita / Morrinhos</t>
  </si>
  <si>
    <t>Compensação Ambiental</t>
  </si>
  <si>
    <t>Limno e Macrófitas</t>
  </si>
  <si>
    <t>Fauna</t>
  </si>
  <si>
    <t>Ictiofauna</t>
  </si>
  <si>
    <t>Indígenas</t>
  </si>
  <si>
    <t>Cota 71,3m - Projeto para alteamento do trecho da BR364</t>
  </si>
  <si>
    <t>Regularização Fundiária</t>
  </si>
  <si>
    <t>Hidrossedimentológico</t>
  </si>
  <si>
    <t>Hidrobiogeoquímico</t>
  </si>
  <si>
    <t>Saúde Pública</t>
  </si>
  <si>
    <t>Pacuera</t>
  </si>
  <si>
    <t>Compensação Social</t>
  </si>
  <si>
    <t>Ações a Jusante</t>
  </si>
  <si>
    <t>Aquisições e Indenizações</t>
  </si>
  <si>
    <t>Parna Mapinguari</t>
  </si>
  <si>
    <t>Lençol Freático</t>
  </si>
  <si>
    <t>Gestão de Portfólio</t>
  </si>
  <si>
    <t>Sismológico</t>
  </si>
  <si>
    <t>Climatológico</t>
  </si>
  <si>
    <t>Flora</t>
  </si>
  <si>
    <t>Dir. Minerários e Ativ. Garimpeira</t>
  </si>
  <si>
    <t>Lubrificação das Rodas da Comporta Vagão</t>
  </si>
  <si>
    <t>Sistema de Vedação de Eixo</t>
  </si>
  <si>
    <t>Obras Adicionais - Sistema de Manejo de Troncos</t>
  </si>
  <si>
    <t>Projetos TI</t>
  </si>
  <si>
    <t>Projeto Engenharia</t>
  </si>
  <si>
    <t>Bombas submersiveis - sistema de esvaziamento (Portifólio)</t>
  </si>
  <si>
    <t>Modernização Sistemas Comportas</t>
  </si>
  <si>
    <t>Restruturação da Rede Operativa - Segurança Cibertnetica</t>
  </si>
  <si>
    <t xml:space="preserve">Monitoramento de gás SF6 </t>
  </si>
  <si>
    <t>Equipamentos e ferramentas de manutenção</t>
  </si>
  <si>
    <t>Modernização QAE2+R2_EC_CR</t>
  </si>
  <si>
    <t>Projeto O&amp;M Infra</t>
  </si>
  <si>
    <t>Sistema de monitoramento das UGs</t>
  </si>
  <si>
    <t>Manut. Civil e Seg. Barragem</t>
  </si>
  <si>
    <t>Maquinas e Equipamentos</t>
  </si>
  <si>
    <t>Regulador de Tensão</t>
  </si>
  <si>
    <t>Obras e Benfeitorias</t>
  </si>
  <si>
    <t>Compra  de  equipamentos</t>
  </si>
  <si>
    <t>Compra  de  equipamentos de  TI</t>
  </si>
  <si>
    <t>Softwares do Cepel para utilização nas empresas do sistema</t>
  </si>
  <si>
    <t>Aquisição e licença de softwares - CEPEL</t>
  </si>
  <si>
    <t>P&amp;D - CEPEL</t>
  </si>
  <si>
    <t>Aquisição de licenças de banco de dados para atender aos sistemas dos Centros de Operação</t>
  </si>
  <si>
    <t>Aquisição de servidores para atender aos sistemas dos Centros de Operação</t>
  </si>
  <si>
    <t>Licença do Software RTDS e contratação de Seguro</t>
  </si>
  <si>
    <t>Servidores de P para suporte à sistemas Operativos</t>
  </si>
  <si>
    <t>Aquisição de notebooks</t>
  </si>
  <si>
    <t>Modernização de notebooks de processo</t>
  </si>
  <si>
    <t>Monitor Videowall para sala CITV</t>
  </si>
  <si>
    <t>Notebooks de Processo</t>
  </si>
  <si>
    <t>Renovação dos computadores de processos das subestações de Vitória</t>
  </si>
  <si>
    <t>2 x Aquisição de software de análise de rede</t>
  </si>
  <si>
    <t>Aquisição de 2 plotters para impressão de desenhos</t>
  </si>
  <si>
    <t>Aquisição de computador / notebook de processo</t>
  </si>
  <si>
    <t>Aquisição de Equipamentos para rede de Segurança de Furnas</t>
  </si>
  <si>
    <t>Aquisição de monitores</t>
  </si>
  <si>
    <t>Aquisição de Monitores LCD/LED 55" (vídeo wall) - Uso geral DRT.O.</t>
  </si>
  <si>
    <t>Aquisição de Notebook de processo;</t>
  </si>
  <si>
    <t>Aquisição de Plotter</t>
  </si>
  <si>
    <t>Aquisição de software de análise de protocolo 61850 (p.ex. IEDScout e SVScout)</t>
  </si>
  <si>
    <t>Central de monitoramento de ativos</t>
  </si>
  <si>
    <t>Coletores de dados para gestão de manutenção</t>
  </si>
  <si>
    <t>Compra de duas Licenças de Software IED SCOUT (OMICROM)</t>
  </si>
  <si>
    <t>Compra de Licença de Software ISAGRAF</t>
  </si>
  <si>
    <t>Estações de trabalho móvel (workstation)</t>
  </si>
  <si>
    <t>Fornecimento e atualização de licença do software PIM – Plataforma Integrada de Medição pela WAY2</t>
  </si>
  <si>
    <t>Licença de software IED SCOUT (OMICROM)</t>
  </si>
  <si>
    <t>Licença do Software PSCAD</t>
  </si>
  <si>
    <t>Micros de processo que serão utilizados junto ao  Simulador de Sistemas Elétricos</t>
  </si>
  <si>
    <t>Notebook</t>
  </si>
  <si>
    <t>Notebook de processo</t>
  </si>
  <si>
    <t>Notebook de Processo DMLR.O</t>
  </si>
  <si>
    <t>Notebook de processo supervisão e controle</t>
  </si>
  <si>
    <t>Notebook para SE Itaberá</t>
  </si>
  <si>
    <t>Notebook processo</t>
  </si>
  <si>
    <t>Plotter 36" Colorida</t>
  </si>
  <si>
    <t>Plotter A0 multifuncional</t>
  </si>
  <si>
    <t>Projeto Inspeção instrumentalizada de SE e LT</t>
  </si>
  <si>
    <t>Software de testes de proteção interativo (p.ex. RelaySimTest da omicron)</t>
  </si>
  <si>
    <t>Aquisição de computador tipo Notebook industrial</t>
  </si>
  <si>
    <t>Aquisição de computadores desktop e periféricos</t>
  </si>
  <si>
    <t>Aquisição de computadores tipo desktop</t>
  </si>
  <si>
    <t>Aquisição de computadores tipo Notebook</t>
  </si>
  <si>
    <t>Aquisição de computadores tipo terminal de operação</t>
  </si>
  <si>
    <t>Aquisição de servidores para atender aos sistemas SAGE das Instalações</t>
  </si>
  <si>
    <t>Implantação de Software de Gestão de Segurança de Barragem.</t>
  </si>
  <si>
    <t>impressora Plotter A0 multifuncional</t>
  </si>
  <si>
    <t>Servidor para o Sistema de Medição de Energia para Faturamento.</t>
  </si>
  <si>
    <t>Softwares para o servidor do Sistema de Medição de Energia para Faturamento.</t>
  </si>
  <si>
    <t>Sistema de Gestão de Ativos para Certificação ISO 55001</t>
  </si>
  <si>
    <t>Revitalização de transformadores conversores do sistema HVDC</t>
  </si>
  <si>
    <t>Estrutura metálica de LTs</t>
  </si>
  <si>
    <t>Aquisição de sobressalentes  - DJs</t>
  </si>
  <si>
    <t>Aquisição de capacitores para conversoras do sistema HVDC</t>
  </si>
  <si>
    <t>L-LT ITABERA-TP 2-33TORRES 605 E 637</t>
  </si>
  <si>
    <t>Recomposição das fundações degradadas tipo grelhas das LT´s do DRV.O</t>
  </si>
  <si>
    <t>Modernização do sistema dos 06 compensadores síncronos: SE 04 Ibiúna e 02 Grajaú</t>
  </si>
  <si>
    <t>tratamento e pintura das fundações tipo grelha - linhas</t>
  </si>
  <si>
    <t>Substituição de isoladores LT´s do DRV.O</t>
  </si>
  <si>
    <t>Aquisição de reator para SE Itaberá em substituição de equipamento danificado</t>
  </si>
  <si>
    <t>Substituição de retificadores e inversores de várias instalações de Furnas</t>
  </si>
  <si>
    <t>Isolador de disco 160KN CC para LTs</t>
  </si>
  <si>
    <t>Recomposição das fundações degradadas tipo grelhas da LT IMBD1 - DRG.O</t>
  </si>
  <si>
    <t>Substituição de isoladores da LT 500 kV Taubaté-Tijuco Preto</t>
  </si>
  <si>
    <t>Instalação de fios contrapesos LT´s DRQ.O</t>
  </si>
  <si>
    <t>Recuperação de erosão LT 138kV CMSROL,  LT 345kV CMSMMH3 e LT MMHVDP</t>
  </si>
  <si>
    <t>Aquisição de sobressalentes  - Tis (TCs, TPs), várias intalações, estoque estratégico.</t>
  </si>
  <si>
    <t>Aquisição de sobressalentes estratégicos (UAR´s) para secionadores</t>
  </si>
  <si>
    <t>Manutenção de comutadores de transformadores prevista no MCPSE</t>
  </si>
  <si>
    <t>Aquisição de unidades capacitivas para os Bancos de Capacitores dos Filtros CA, estoque estratégico.</t>
  </si>
  <si>
    <t>Tratamento Anticorrosivo Torres de LT</t>
  </si>
  <si>
    <t>Substituição de conjuntos de cadeias de isoladores da LT 345 kV Poços de Caldas - Atibaia</t>
  </si>
  <si>
    <t>Serviços p/ Aplicação de proteção anticorrosiva nas grelhas das torres</t>
  </si>
  <si>
    <t>Modernização do Sistema de Acionamento e Controle das Motobombas das ECA's da SE Foz do Iguaçu</t>
  </si>
  <si>
    <t>Reforma das bombas da estação de captação de água do refúgio biológico SE Foz do Iguaçu</t>
  </si>
  <si>
    <t>Recuperação de Pé de Torre</t>
  </si>
  <si>
    <t>Pintura anticorrosiva das fundações metálicas</t>
  </si>
  <si>
    <t>Melhorias Centros de Operação_DOP.O</t>
  </si>
  <si>
    <t>Substituição de Isoladores Corroidos das LT´s da DRV.O</t>
  </si>
  <si>
    <t>Serviços de Recuperação de grelhas das fundações de torres - Linhas de Transmissão.</t>
  </si>
  <si>
    <t>Substituição de conjuntos de cadeias de isoladores</t>
  </si>
  <si>
    <t>Aquisição de unidades capacitivas para os Bancos de Capacitores</t>
  </si>
  <si>
    <t>Serviços de Fio de Cabos contrapeso</t>
  </si>
  <si>
    <t>Sistema de detecção de Descarga Atmosférica (SISDAT)</t>
  </si>
  <si>
    <t>Projeto SOMA - Monitoramento de trafos</t>
  </si>
  <si>
    <t>Recapeamento / Retrofit do asfalto da SE</t>
  </si>
  <si>
    <t>Melhoria do conjunto da ventilação forçada de reatores da interligação Norte-Sul</t>
  </si>
  <si>
    <t>Buchas Isoladoras para Transformadores , estoque estratégico.</t>
  </si>
  <si>
    <t>Substituição de isoladores da LT 345 kV Guarulhos-Nordeste</t>
  </si>
  <si>
    <t>Aquisição de sistema de iluminação - Subestações</t>
  </si>
  <si>
    <t>A instalação de fios contrapesos LT´s DRQ.O</t>
  </si>
  <si>
    <t>Substituição de UARs (cubículos, disjuntores, trafos ) de serviço auxiliar, estoque estratégico.</t>
  </si>
  <si>
    <t>Grupos gerador diesel de emergência de serviço auxiliar, estoque estratégico.</t>
  </si>
  <si>
    <t>Modernização e ampliação do Sistemas de Proteção e Combate a Incêndio da SE Itaberá</t>
  </si>
  <si>
    <t>Aquisição de itens sobressalentes de equipamentos de subestações</t>
  </si>
  <si>
    <t>Aquisição de placas de identificação de equipamentos operativos</t>
  </si>
  <si>
    <t>Substituição de PR na LT Itaberá-Tijuco Preto 3</t>
  </si>
  <si>
    <t>Modernização de rede de energia</t>
  </si>
  <si>
    <t>Aquisição de Compressores e vasos de pressão para SAUX de Subestações</t>
  </si>
  <si>
    <t>Aquisição de equipamentos retificadores 48Vcc</t>
  </si>
  <si>
    <t>Substituição da fonte de alimentação externa dos serviços auxiliares</t>
  </si>
  <si>
    <t>Aquisição de Inversor de Potência - Subestações do DRT.O.</t>
  </si>
  <si>
    <t>Substituição de conjuntos de cadeias de isoladores da LT 750 kV Itaberá-Tijuco Preto 2 (2ª FASE)</t>
  </si>
  <si>
    <t>Substituição de isoladores da LT 345 kV Mogi-Nordeste</t>
  </si>
  <si>
    <t>Substituição de conjuntos de cadeias de isoladores da LT 750 kV Itaberá-Tijuco Preto 1 (2ª FASE)</t>
  </si>
  <si>
    <t>Aquisição de itens sobressalentes de sistemas de proteção e controle de equipamentos</t>
  </si>
  <si>
    <t>cpu do serviço auxiliar</t>
  </si>
  <si>
    <t>Substituição de 22.788 Isoladores - LT Ibiúna-Tijuco Preto 1 (LT INTP 1)</t>
  </si>
  <si>
    <t>Substituição de fio contrapeso da LT 345 kV Guarulhos-Poços de Caldas 1 e 2</t>
  </si>
  <si>
    <t>Sistema de Detecção e Alarme de Incêndio</t>
  </si>
  <si>
    <t>Substituição  de Isoladores na LT IMRV1 - DRG.O</t>
  </si>
  <si>
    <t>Recomposição das fundações degradadas tipo bases especiais  das LT´s do DRV.O</t>
  </si>
  <si>
    <t>Substituição do sistema de ar-condicionado sala de controle e sala de telecom</t>
  </si>
  <si>
    <t>Substituição de conjuntos de cadeias de isoladores da LT 345 kV Ibiúna-Tijuco Preto 2 (2ª FASE)</t>
  </si>
  <si>
    <t>Aquisição de equipamento inversor CC/CA</t>
  </si>
  <si>
    <t>Serviços de troca de espaçadores - Linha de transmissão</t>
  </si>
  <si>
    <t>Implantação do Sistema de combate a Incêncio e Pânico - SE Araraquara</t>
  </si>
  <si>
    <t>fonte de alimentação dc/dc 125vcc</t>
  </si>
  <si>
    <t>amortecedores linhas de transmissão</t>
  </si>
  <si>
    <t>Implantação do Sistema de combate a Incêncio e Pânico - Subestação UHE Porto Colômbia</t>
  </si>
  <si>
    <t>Modernização de piso elevado</t>
  </si>
  <si>
    <t>Susbstituição do sistema de tubulação da rede de água da Subestação - SE Araraquara.</t>
  </si>
  <si>
    <t>Para-raios para várias instalaçãoes de transmissão, estoque estratégico.</t>
  </si>
  <si>
    <t>Alocação de hora atividade-</t>
  </si>
  <si>
    <t>Aquisição de sitema de barreira eletrônica  para Subestações no âmbito do DRT.O.</t>
  </si>
  <si>
    <t>Pintura de fundações das estruturas metálicas das torres da LT 345 kV Campinas-Guarulhos</t>
  </si>
  <si>
    <t>Substituição de seccionadora</t>
  </si>
  <si>
    <t>Modernização, Substituição e Adequação dos Sistemas de Climatização da Casa de Relés 500kV 50Hz</t>
  </si>
  <si>
    <t>Perfuração de Poço Artesiano</t>
  </si>
  <si>
    <t>banco de baterias 125 vcc</t>
  </si>
  <si>
    <t>Aquisição de rádios e equipamentos de comunicação - Uso Geral DRT.O</t>
  </si>
  <si>
    <t>Aquisição de IEDs para Substituição de IEDs Defeituosos.</t>
  </si>
  <si>
    <t>Pintura de fundações de torres LT 750 kV Itaberá-Tijuco Preto 3 (fase 1)</t>
  </si>
  <si>
    <t>Aquisição sistema eletrônico para segurança patrimonial - Subestações</t>
  </si>
  <si>
    <t>Adequações das instalações para obtenção do AVCB</t>
  </si>
  <si>
    <t>Sobressalentes IED's Ingeteam</t>
  </si>
  <si>
    <t>relé p143</t>
  </si>
  <si>
    <t>Aquisição do Sistema de CITV  - SE Marimbondo II.</t>
  </si>
  <si>
    <t>Construção de Muro - Segurança Patrimonial - SE Araraquara</t>
  </si>
  <si>
    <t>Instalação de cabo contrapeso (aterramento) da linha de 600kVCC FIGIBN 3-4 (ENERGIZADA EM 1987)</t>
  </si>
  <si>
    <t>Substituição de baterias 125 Vcc e 48 Vcc de várias instalações de Furnas</t>
  </si>
  <si>
    <t>multimedidores shark100</t>
  </si>
  <si>
    <t>Isolador de disco 120 kN e 160kN CA para LTs</t>
  </si>
  <si>
    <t>Substituição de cabo contrapeso</t>
  </si>
  <si>
    <t>Substituição de equipamentos diversos nas Subestações de responsabilidade do DRL.O</t>
  </si>
  <si>
    <t>esferas de sinalização aérea de linhas</t>
  </si>
  <si>
    <t>Recuperação do asfalto da subestação</t>
  </si>
  <si>
    <t>Recuperação da erosão na fundação da Torre 144 da LT 345kV Ibiúna-Tijuco Preto 1</t>
  </si>
  <si>
    <t>Cabo condutor/para-raio EHS</t>
  </si>
  <si>
    <t>Tratamento anticorrosivo em fund. grelha da linha de 600kVCC FIGIBN 3-4</t>
  </si>
  <si>
    <t>Recapeamento asfáltico</t>
  </si>
  <si>
    <t>Modernização da Rede de Distribuição de 15 kV
contratação Turn-key</t>
  </si>
  <si>
    <t>Recuperação da erosão na fundação da Torre 183 da LT 345 kV Campinas-Guarulhos</t>
  </si>
  <si>
    <t>aquisição de esferas de sinalização aérea nas LT Furnas-Poços de Caldas 1 e 2</t>
  </si>
  <si>
    <t>Aquisição de painel de plugues da transformação 230/138kV da SE Serra da Mesa</t>
  </si>
  <si>
    <t>Aquisição de central de ar condicionado - Subestações</t>
  </si>
  <si>
    <t>Recuperação de bases de torres de linhas de transmissão</t>
  </si>
  <si>
    <t>Modernização, Substituição do Painel KAS-1 da Estação de Tratamento de Água</t>
  </si>
  <si>
    <t>Modernização de unidades de aquisição, controle e proteção do setor 138kV</t>
  </si>
  <si>
    <t>serviço auxiliar e ac</t>
  </si>
  <si>
    <t>Pintura de fundações das estruturas metálicas das torres da LT 345 kV Campinas-Poços de Caldas</t>
  </si>
  <si>
    <t>Aquisição de RDP marca GE Grid, modelo  RPV 311 com RA333 com respectivos softwares</t>
  </si>
  <si>
    <t>Pintura de fundações de torres LT 500 kV Cachoeira Paulista-Tijuco Preto 1 (fase 2 e 3)</t>
  </si>
  <si>
    <t>Cabo contrapeso SM</t>
  </si>
  <si>
    <t>Pavimentação de arruamentos da SE Campinas</t>
  </si>
  <si>
    <t>Pavimentação de arruamentos da SE Guarulhos</t>
  </si>
  <si>
    <t>Pavimentação de arruamentos da SE Tijuco Preto</t>
  </si>
  <si>
    <t>Aquisição de equipamentos para sistema de controle de Grupo Motor-Gerador GMG</t>
  </si>
  <si>
    <t>Revitalização da Rede de distribuição para atendimento do DRV.O Vitória</t>
  </si>
  <si>
    <t>Sistema de ar condicionado central</t>
  </si>
  <si>
    <t>Aquisição de câmeras IP para CITV em Vitória para o projeto de tele assistência.</t>
  </si>
  <si>
    <t>Aquisição de Grupo gerador diesel - SE Marimbondo II</t>
  </si>
  <si>
    <t>Aquisição de equipamento  Banco de Baterias 48Vcc -VRLA</t>
  </si>
  <si>
    <t>Aquisição de termômetro digital para transformadores e reatores</t>
  </si>
  <si>
    <t>Recuperação Asfáltica da Subestação de Campos</t>
  </si>
  <si>
    <t>Implantação de sistema de câmeras para teleassistência</t>
  </si>
  <si>
    <t>Susbstituição do sistema de tubulação da rede de hidrantes da subestação da UHE Marimbondo.</t>
  </si>
  <si>
    <t>Aquisição de bancos de baterias tensão 125Vcc.</t>
  </si>
  <si>
    <t>Esferas de Sinalização</t>
  </si>
  <si>
    <t>Serviços de implementação de CFTV - STBDT</t>
  </si>
  <si>
    <t>Serviços de implementação de CFTV - STRVD</t>
  </si>
  <si>
    <t>Isolador disco 120 kN Antipoluição Recoberto</t>
  </si>
  <si>
    <t>Aquisição de Pararraios</t>
  </si>
  <si>
    <t>Substituição de cadeias de isoladores na LTIATP2 e LTIAIV2</t>
  </si>
  <si>
    <t>Substituição do Fio Contrapeso das Torres das Linhas de Transmissão</t>
  </si>
  <si>
    <t>Recuperação Asfáltica da SE Vitória</t>
  </si>
  <si>
    <t>Recomposição das fundações degradadas tipo grelhas da LT RVDRIC - DRG.O</t>
  </si>
  <si>
    <t>Recomposição das fundações degradadas tipo grelhas da LT PQERIC - DRG.O</t>
  </si>
  <si>
    <t>Aquisição de Sistema de Registro de Perturbações - SE Bandeirantes</t>
  </si>
  <si>
    <t>Recomposição das fundações degradadas tipo grelhas da LT RVCC1 - DRG.O</t>
  </si>
  <si>
    <t>Aquisição de servidores SAGE - SE Araraquara, SE Água Vermelha e SE Marimbondo II.</t>
  </si>
  <si>
    <t>Aquisição de sobressalentes para os bancos de capacitores série da fabricante ABB</t>
  </si>
  <si>
    <t>Instalação de cabo contrapeso (aterramento) da linha de 750kV FIGIVP 2 (ENERGIZADA EM 1986)</t>
  </si>
  <si>
    <t>Recuperação da pavimentação asfáltica das vias internas da Subestação da UHE Marimbondo.</t>
  </si>
  <si>
    <t>SPCIP - manut. sistema de hidrantes da área energizada e área predial</t>
  </si>
  <si>
    <t>Modernização, Subst. Adeq. Painel KAL-1 e do sis.detec.incêndio do BIP 2 e demais instalações</t>
  </si>
  <si>
    <t>Modernização, Subst.Adequação sist.detecção de incêndio dos polos 3/4 e sist.de gas halon dos BIP 2</t>
  </si>
  <si>
    <t>Modernização, Substituição e Adequação dos Sistemas de Climatização dos Edifícios Auxiliares 3 e 4</t>
  </si>
  <si>
    <t>bancos de baterias ventiladas 750ah e 450ah</t>
  </si>
  <si>
    <t>Modernização de motoventiladores nas Torres de Resfriamento do BIPOLO 01</t>
  </si>
  <si>
    <t>Recuperação de estradas de acesso - Avá-Canoeiros</t>
  </si>
  <si>
    <t>grupo gerador diesel</t>
  </si>
  <si>
    <t>Recuperação da pavimentação asfáltica das vias internas da Subestação da UHE Porto Colômbia.</t>
  </si>
  <si>
    <t>Implantação de Sistema de Barreira Infravermelho Ativo (IVA)</t>
  </si>
  <si>
    <t>Recuperação Asfaltica da Subestação de Rocha Leão</t>
  </si>
  <si>
    <t>Modernização, Subst.Adeq.dos Sist. Climatização na Casa do Controle SE Foz</t>
  </si>
  <si>
    <t>Recuperação de torre da LT 230kV Serra da Mesa-Niquelândia</t>
  </si>
  <si>
    <t>Substituir 02 Torres, Solo com degradação na LT RVDROD - DRG.O</t>
  </si>
  <si>
    <t>Substituir 02 Torres, Solo com degradação na LT PQERIC - DRG.O</t>
  </si>
  <si>
    <t>Modernização do sistema de SPCIE</t>
  </si>
  <si>
    <t>Modernização, Substituição e Adequação dos Sistemas de Climatização na Sala de Controle do Bipólo 2</t>
  </si>
  <si>
    <t>Aquisição de sistemas retificadores 125Vcc</t>
  </si>
  <si>
    <t>Pintura de fundações das estruturas metálicas das torres da LT 750 kV Itaberá-Tijuco Preto 1 e 2</t>
  </si>
  <si>
    <t>Modernização e substuição de equipamentos do sistema de hidrantes - SE Foz do Iguaçu - PR</t>
  </si>
  <si>
    <t>Conjunto Banco de Baterias 48Vcc em final de vida útil.</t>
  </si>
  <si>
    <t>Aquisição de disjuntores dos serviços auxiliares</t>
  </si>
  <si>
    <t>sistema citv - se itabirito</t>
  </si>
  <si>
    <t>2 compressores de 10 bar Schulz ref. MSWV 60 FORT</t>
  </si>
  <si>
    <t>bancos de baterias ventiladas 150ah</t>
  </si>
  <si>
    <t>Moto-bomba para água de resfriamento / motor ASEA mod. M 225S-4 / bomba Vadstena Pumpar mod. VM-206</t>
  </si>
  <si>
    <t>cartões clp serviço auxiliar</t>
  </si>
  <si>
    <t>Pintura de fundações de torres LT 500 kV Cachoeira Paulista- Campinas (fase 4)</t>
  </si>
  <si>
    <t>módulos proteção diferencial de barras</t>
  </si>
  <si>
    <t>gerenciador / distribuidor de dados - terminal server modelo TS1000</t>
  </si>
  <si>
    <t>sistema de proteção para LT arpc, gapc1 e gapc2 - comunicação com sage - port server modelo ts mei</t>
  </si>
  <si>
    <t>Aquisição de sistema de segurança perimetral</t>
  </si>
  <si>
    <t>Modernização do serviço auxiliar da SE 345 KV</t>
  </si>
  <si>
    <t>Aquisição de sitema de barreira eletrônica - SE Araraquara</t>
  </si>
  <si>
    <t>Implantação da segunda fonte de alimentação CA para os Serviços Auxiliares da SE Osório 2: Aquisição de um novo transformador de serviço auxiliar 13,8 kV / 480 V. Instalação de chave fusível e lançamento de cabos desde este ponto até a casa de comando da CGT Eletroul. Substituição dos painéis de serviços auxiliares de 480 Vca.</t>
  </si>
  <si>
    <t>Substituição de bateria - 125 Vcc - SACC125-BAT1 na SE Anastácio.</t>
  </si>
  <si>
    <t xml:space="preserve">Substituição de bateria - 125 Vcc - SACC125-BAT2 na SE Anastácio. </t>
  </si>
  <si>
    <t xml:space="preserve">Substituição de bateria - 125 Vcc - SACC125-BAT1 na SE Blumenau. </t>
  </si>
  <si>
    <t xml:space="preserve">Substituição de bateria - 125 Vcc - SACC125-BAT2 na SE Blumenau. </t>
  </si>
  <si>
    <t xml:space="preserve">Substituição de bateria - 125 Vcc - SACC125-BAT1 na SE Camaquã 3. </t>
  </si>
  <si>
    <t xml:space="preserve">Substituição de bateria - 125 Vcc - SACC125-BAT2 na SE Camaquã 3. </t>
  </si>
  <si>
    <t xml:space="preserve">Substituição de bateria - 125 Vcc - SACC125-BAT1 na SE Canoinhas. </t>
  </si>
  <si>
    <t xml:space="preserve">Substituição de bateria - 125 Vcc - SACC125-BAT21 na SE Caxias (lado de 230 kV). </t>
  </si>
  <si>
    <t xml:space="preserve">Substituição de bateria - 125 Vcc - SACC125-BAT22 na SE Caxias (lado de 230 kV). </t>
  </si>
  <si>
    <t xml:space="preserve">Substituição de bateria - 125 Vcc - SACC125-BAT1 na SE Gravataí 3. </t>
  </si>
  <si>
    <t xml:space="preserve">Substituição de bateria - 125 Vcc - SACC125-BAT2 na SE Gravataí 3. </t>
  </si>
  <si>
    <t xml:space="preserve">Substituição de bateria - 125 Vcc - SACC125-BAT1 na SE Guarita. </t>
  </si>
  <si>
    <t xml:space="preserve">Substituição de bateria - 125 Vcc - SACC125-BAT2 na SE Guarita. </t>
  </si>
  <si>
    <t xml:space="preserve">Substituição de bateria - 125 Vcc - SACC125-BAT1 na SE Ijui 2. </t>
  </si>
  <si>
    <t xml:space="preserve">Substituição de bateria - 125 Vcc - SACC125-BAT2 na SE Ijui 2. </t>
  </si>
  <si>
    <t xml:space="preserve">Substituição de bateria - 125 Vcc - SACC125-BAT1 na SE Itajaí. </t>
  </si>
  <si>
    <t xml:space="preserve">Substituição de bateria - 125 Vcc - SACC125-BAT2 na SE Itajaí. </t>
  </si>
  <si>
    <t xml:space="preserve">Substituição de bateria - 125 Vcc - SACC125-BAT1 na SE Nova Santa Rita. </t>
  </si>
  <si>
    <t xml:space="preserve">Substituição de bateria - 125 Vcc - SACC125-BAT2 na SE Nova Santa Rita. </t>
  </si>
  <si>
    <t xml:space="preserve">Substituição de bateria - 125 Vcc - SACC125-BAT2 na SE Quinta. </t>
  </si>
  <si>
    <t xml:space="preserve">Substituição de bateria - 125 Vcc - SACC125-BAT1 na SE Tapera 2. </t>
  </si>
  <si>
    <t xml:space="preserve">Substituição de bateria - 125 Vcc - SACC125-BAT2 na SE Tapera 2. </t>
  </si>
  <si>
    <t xml:space="preserve">Substituição de bateria - 48 Vcc - SACC48-BAT1 na SE Canoinhas.  </t>
  </si>
  <si>
    <t xml:space="preserve">Substituição de bateria - 48 Vcc - SACC48-BAT2 na SE Canoinhas.  </t>
  </si>
  <si>
    <t xml:space="preserve">Substituição de bateria - 48 Vcc - SACC48-BAT1 na SE Caxias 5.  </t>
  </si>
  <si>
    <t xml:space="preserve">Substituição de bateria - 48 Vcc - SACC48-BAT2 na SE Caxias 5.  </t>
  </si>
  <si>
    <t xml:space="preserve">Substituição de bateria - 48 Vcc - SACC48-BAT1 na SE Caxias.  </t>
  </si>
  <si>
    <t xml:space="preserve">Substituição de bateria - 48 Vcc - SACC48-BAT2 na SE Caxias.  </t>
  </si>
  <si>
    <t xml:space="preserve">Substituição de bateria - 48 Vcc - SACC48-BAT1 na SE Curitiba.  </t>
  </si>
  <si>
    <t xml:space="preserve">Substituição de bateria - 48 Vcc - SACC48-BAT2 na SE Curitiba.  </t>
  </si>
  <si>
    <t xml:space="preserve">Substituição de bateria - 48 Vcc - SACC48-BAT1 na SE Campos Novos (lado de 525 kV).  </t>
  </si>
  <si>
    <t xml:space="preserve">Substituição de bateria - 48 Vcc - SACC48-BAT2 na SE Campos Novos (lado de 525 kV).  </t>
  </si>
  <si>
    <t xml:space="preserve">Substituição de bateria - 48 Vcc - SACC48-BAT1 na SE Guarita.  </t>
  </si>
  <si>
    <t xml:space="preserve">Substituição de bateria - 48 Vcc - SACC48-BAT2 na SE Guarita.  </t>
  </si>
  <si>
    <t xml:space="preserve">Substituição de bateria - 48 Vcc - SACC48-BAT1 na SE Nova Santa Rita.  </t>
  </si>
  <si>
    <t xml:space="preserve">Substituição de bateria - 48 Vcc - SACC48-BAT2 na SE Nova Santa Rita.  </t>
  </si>
  <si>
    <t xml:space="preserve">Substituição de bateria - 48 Vcc - SACC48-BAT1 na SE Osório 2.  </t>
  </si>
  <si>
    <t xml:space="preserve">Substituição de bateria - 48 Vcc - SACC48-BAT2 na SE Osório 2.  </t>
  </si>
  <si>
    <t xml:space="preserve">Substituição de bateria - 48 Vcc - SACC48-BAT1 na SE Pinhalzinho 2.  </t>
  </si>
  <si>
    <t xml:space="preserve">Substituição de bateria - 48 Vcc - SACC48-BAT2 na SE Pinhalzinho 2.  </t>
  </si>
  <si>
    <t xml:space="preserve">Substituição de bateria - 48 Vcc - SACC48-BAT1 na SE Xanxerê.  </t>
  </si>
  <si>
    <t xml:space="preserve">Substituição de bateria - 48 Vcc - SACC48-BAT2 na SE Xanxerê.  </t>
  </si>
  <si>
    <t>Substituição de Transformadores de Corrente 230 kV referentes a LT Salto Osório - Areia C-1, DJ852, Fases A, B, C. Associado à obra, são esperadas substituições/adaptações de fundações e suportes, caixa de junção, cabos de controle/potência, barramento, conectores e conexão de aterramento. Funções do TC: proteção e medição.</t>
  </si>
  <si>
    <t>Substituição de Transformadores de Corrente 230 kV referentes a LT Salto Osório - Areia C-2, DJ862, Fases A, B, C. Associado à obra, são esperadas substituições/adaptações de fundações e suportes, caixa de junção, cabos de controle/potência, barramento, conectores e conexão de aterramento. Funções do TC: proteção e medição.</t>
  </si>
  <si>
    <t xml:space="preserve">Substituição dos Painéis de Distribuição 125 VCC (QD1, QD2, QD3) e cabos associados, referentes aos Serviços Auxiliares da SE Campo Mourão. </t>
  </si>
  <si>
    <t xml:space="preserve">Substituição dos Painéis de Distribuição 460 VCA (QD1/2, QD1/460, QD2/460) e cabos associados, referentes aos Serviços Auxiliares da SE Campo Mourão. </t>
  </si>
  <si>
    <t>Substituição de para-raios 69 kV referente a LT Tapera 2 - Ibiruba 2 C-1, Fases A, B e C. Associado a obra são esperadas substituições/adaptações de fundações, suportes, cabos de controle e potência, barramento, conectores e conexão do aterramento.</t>
  </si>
  <si>
    <t>Substituição de para-raios 69 kV referente a LT Tapera 2 - Não Me Toque C-1, Fases A, B e C. Associado a obra são esperadas substituições/adaptações de fundações, suportes, cabos de controle e potência, barramento, conectores e conexão do aterramento.</t>
  </si>
  <si>
    <t>Substituição de para-raios 69 kV referente a LT Tapera 2 - Soledade C-1, Fases A, B e C. Associado a obra são esperadas substituições/adaptações de fundações, suportes, cabos de controle e potência, barramento, conectores e conexão do aterramento.</t>
  </si>
  <si>
    <t>Substituição de para-raios 69 kV referente a LT Tapera 2 - Tapera 1 C-1, Fases A, B e C. Associado a obra são esperadas substituições/adaptações de fundações, suportes, cabos de controle e potência, barramento, conectores e conexão do aterramento.</t>
  </si>
  <si>
    <t>Substituição de para-raios 69 kV referente ao TF 2 230/69 kV da SE Tapera 2, Fases A, B e C. Associado a obra são esperadas substituições/adaptações de fundações, suportes, cabos de controle e potência, barramento, conectores e conexão do aterramento.</t>
  </si>
  <si>
    <t xml:space="preserve">Substituição de Retificador (Carregador de Baterias) 125 Vcc - SACC125-RET1, da SE Nova Santa Rita.  </t>
  </si>
  <si>
    <t xml:space="preserve">Substituição de Retificador (Carregador de Baterias) 125 Vcc - SACC125-RET2, da SE Nova Santa Rita.  </t>
  </si>
  <si>
    <t xml:space="preserve">Substituição de Retificador (Carregador de Baterias) 48 Vcc - SACC48-RET1, da SE Dourados.  </t>
  </si>
  <si>
    <t xml:space="preserve">Substituição de Retificador (Carregador de Baterias) 48 Vcc - SACC48-RET2, da SE Dourados.  </t>
  </si>
  <si>
    <t xml:space="preserve">Substituição de Retificador (Carregador de Baterias) 48 Vcc - SACC48-RET1, da SE Abdon Batista (associado a LT 525 kV Abdon Batista - Biguaçu C-1).  </t>
  </si>
  <si>
    <t xml:space="preserve">Substituição de Retificador (Carregador de Baterias) 48 Vcc - SACC48-RET2, da SE Abdon Batista (associado a LT 525 kV Abdon Batista - Biguaçu C-1).  </t>
  </si>
  <si>
    <t xml:space="preserve">Substituição de Retificador (Carregador de Baterias) 48 Vcc - SACC48-2CB3/RET3, da SE Gaspar 2.  </t>
  </si>
  <si>
    <t xml:space="preserve">Substituição de Retificador (Carregador de Baterias) 48 Vcc - SACC48-2CB4/RET4, da SE Gaspar 2.  </t>
  </si>
  <si>
    <t xml:space="preserve">Substituição de Retificador (Carregador de Baterias) 48 Vcc - SACC48-RET1, da SE Xanxerê.  </t>
  </si>
  <si>
    <t xml:space="preserve">Substituição de Retificador (Carregador de Baterias) 48 Vcc - SACC48-RET2, da SE Xanxerê.  </t>
  </si>
  <si>
    <t xml:space="preserve"> Substituição de fundações em grelha metálica de duas torres da LT 525 kV Gravataí - Nova Santa Rita C-1. As torres envolvidas são as de número de operação: 019 e 020.</t>
  </si>
  <si>
    <t xml:space="preserve"> Substituição de cabos contrapesos (aterramento) de duas torres da LT 525 kV Gravataí - Nova Santa Rita C-1. As torres envolvidas são as de número de operação: 019 e 020.</t>
  </si>
  <si>
    <t xml:space="preserve"> Substituição de catorze torres metálicas completas da LT 230 kV J.Lacerda B - Siderópolis C-1. As torres envolvidas são as de número de operação: 019, 020, 029, 030, 031, 032, 037, 039, 042, 044, 045, 050, 059 e 075.</t>
  </si>
  <si>
    <t xml:space="preserve"> Substituição de fundações em grelha metálica de vinte e cinco torres da LT 230 kV J.Lacerda B - Siderópolis C-1. As torres envolvidas são as de número de operação: 016, 017, 021, 023, 027, 033, 034, 035, 036, 040, 041, 043, 048, 055, 056, 057, 061, 062, 072, 080, 085, 088, 091, 094 e 096 .</t>
  </si>
  <si>
    <t xml:space="preserve"> Substituição de cabos contrapesos (aterramento) de trinta e nove torres da LT 230 kV J.Lacerda B - Siderópolis C-1. As torres envolvidas são as de número de operação: 016, 017, 019, 020, 021, 023, 027, 029, 030, 031, 032, 033, 034, 035, 036, 037, 039, 040, 041, 042, 043, 044, 045, 048, 050, 055, 056, 057, 059, 061, 062, 072, 075, 080, 085, 088, 091, 094 e 096.</t>
  </si>
  <si>
    <t xml:space="preserve"> Substituição de duas torres metálicas completas da LT 230 kV Forquilhinha - Siderópolis C-1. As torres envolvidas são as de número de operação: 007 e 008.</t>
  </si>
  <si>
    <t xml:space="preserve"> Substituição de fundações em grelha metálica de quatro torres da LT 230 kV Forquilhinha - Siderópolis C-1. As torres envolvidas são as de número de operação: 010, 016, 019 e 021.</t>
  </si>
  <si>
    <t xml:space="preserve"> Substituição de cabos contrapesos (aterramento) de seis torres da LT 230 kV Forquilhinha - Siderópolis C-1. As torres envolvidas são as de número de operação: 007, 008, 010, 016, 019 e 021.</t>
  </si>
  <si>
    <t xml:space="preserve"> Substituição de fundações em grelha metálica de treze torres da LT 525 kV Itá - Nova Santa Rita C-1. As torres envolvidas são as de número de operação: 231, 608, 609, 615, 616, 617, 623, 637, 652, 657, 659, 666 e 667.</t>
  </si>
  <si>
    <t xml:space="preserve"> Substituição de cabos contrapesos (aterramento) de treze torres da LT 525 kV Itá - Nova Santa Rita C-1. As torres envolvidas são as de número de operação: 231, 608, 609, 615, 616, 617, 623, 637, 652, 657, 659, 666 e 667.</t>
  </si>
  <si>
    <t xml:space="preserve"> Substituição de fundações em grelha metálica de cinco torres da LT 525 kV Caxias - Gravataí C-1. As torres envolvidas são as de número de operação: 110, 119, 121, 127 e 153.</t>
  </si>
  <si>
    <t xml:space="preserve"> Substituição de cabos contrapesos (aterramento) de cinco torres da LT 525 kV Caxias - Gravataí C-1. As torres envolvidas são as de número de operação: 110, 119, 121, 127 e 153.</t>
  </si>
  <si>
    <t xml:space="preserve"> Substituição de fundações em grelha metálica de vinte e uma torres da LT 230 kV Blumenau - Joinville Norte C-1. As torres envolvidas são as de número de operação: 033, 042, 054, 055, 064, 068, 070, 072, 075, 088, 091, 092, 093, 095, 096, 109, 111, 117, 128, 129, 136.</t>
  </si>
  <si>
    <t xml:space="preserve"> Substituição de cabos contrapesos (aterramento) de vinte e uma torres da LT 230 kV Blumenau - Joinville Norte C-1. As torres envolvidas são as de número de operação: 033, 042, 054, 055, 064, 068, 070, 072, 075, 088, 091, 092, 093, 095, 096, 109, 111, 117, 128, 129, 136.</t>
  </si>
  <si>
    <t xml:space="preserve"> Substituição de fundações em grelha metálica de uma torre da LT 230 kV Curitiba - Joinville Norte C-1. A torre envolvida é a de número de operação: 025.</t>
  </si>
  <si>
    <t xml:space="preserve"> Substituição de cabos contrapesos (aterramento) de uma torre da LT 230 kV Curitiba - Joinville Norte C-1. A torre envolvida é a de número de operação: 025.</t>
  </si>
  <si>
    <t xml:space="preserve"> Substituição de fundações em grelha metálica de cinco torres da LT 230 kV Curitiba - Joinville C-1. As torres envolvidas são as de número de operação: 008, 013, 024, 031 e 034.</t>
  </si>
  <si>
    <t xml:space="preserve"> Substituição de cabos contrapesos (aterramento) de cinco torres da LT 230 kV Curitiba - Joinville C-1. As torres envolvidas são as de número de operação: 008, 013, 024, 031 e 034.</t>
  </si>
  <si>
    <t xml:space="preserve"> Substituição de fundações em grelha metálica de quatro torres da LT 230 kV J.Lacerda B - Siderópolis C-2. As torres envolvidas são as de número de operação: 038, 041, 043 e 051.</t>
  </si>
  <si>
    <t xml:space="preserve"> Substituição de cabos contrapesos (aterramento) de quatro torres da LT 230 kV J.Lacerda B - Siderópolis C-2. As torres envolvidas são as de número de operação: 038, 041, 043 e 051.</t>
  </si>
  <si>
    <t xml:space="preserve"> Substituição de partes aéreas de quatro torres da LT 230 kV Biguaçu - J.Lacerda-B C-1. As torres envolvidas são as de número de operação: 002, 004, 007 e 008.</t>
  </si>
  <si>
    <t xml:space="preserve"> Substituição de cabos contrapesos (aterramento) de quatro torres da LT 230 kV Biguaçu - J.Lacerda-B C-1. As torres envolvidas são as de número de operação: 002, 004, 007 e 008.</t>
  </si>
  <si>
    <t xml:space="preserve"> Substituição de partes aéreas de três torres da LT 230 kV J.Lacerda-B - Palhoça C-1. As torres envolvidas são as de número de operação: 003, 004 e 006.</t>
  </si>
  <si>
    <t xml:space="preserve"> Substituição de cabos contrapesos (aterramento) de três torres da LT 230 kV J.Lacerda-B - Palhoça C-1. As torres envolvidas são as de número de operação: 003, 004 e 006.</t>
  </si>
  <si>
    <t>Substituição da Unidade Central do sistema de registro de perturbações (RDP), PMERDP_230_1, para monitoração de variáveis associadas a SE P.Médici. Atualmente esta unidade monitora os seguintes bays: LT Santa Cruz 1 C-1 e RTL - 10 Mvar.</t>
  </si>
  <si>
    <t>Substituição do sistema de registro de perturbações (RDP - unidade de bay), para monitoração das variáveis associadas a LT 230 kV Presidente Médici - Santa Cruz 1 C-1.</t>
  </si>
  <si>
    <t>Substituição do sistema de registro de perturbações (RDP - unidade de bay), para monitoração das variáveis associadas ao Reator de Linha (RTL - 10Mvar) da LT 230 kV Presidente Médici - Santa Cruz 1 C-1, na SE Presidente Médici.</t>
  </si>
  <si>
    <t>Substituição da Unidade Central do sistema de registro de perturbações (RDP), SCRRDP_230_1, para monitoração de variáveis associadas a SE Santa Cruz 1. Atualmente esta unidade monitora os seguintes bays: LT P.Médici C-1 e RTL - 5 Mvar.</t>
  </si>
  <si>
    <t>Substituição do sistema de registro de perturbações (RDP - unidade de bay), para monitoração das variáveis associadas a LT 230 kV Santa Cruz 1 - Presidente Médici C-1.</t>
  </si>
  <si>
    <t>Substituição do sistema de registro de perturbações (RDP - unidade de bay), para monitoração das variáveis associadas ao Reator de Linha (RTL - 5 Mvar) da LT 230 kV Santa Cruz 1 - Presidente Médici C-1, na SE Santa Cruz 1.</t>
  </si>
  <si>
    <t>Substituição da cadeia de proteção de barras, referente às barras P e PT de 230 kV da SE Salto Osório, incluindo uma Unidade Central e dezessete unidades de Bay (vãos LT F.Chopim C-1, F.Chopim C-2, Areia C-1, Areia C-2, Xanxerê C-1, P.Branco C-1, Cascavel C-1, C.Mourão C-1, C.Mourão C-2, UHSO C-1, UHSO C-2, UHSO C-3, UHSO C-4, UHSO C-5, UHSO C-6, TF 7 230/69 kV e Interligador de Barras - IB), painéis e cabos de controle e potência associados.</t>
  </si>
  <si>
    <t>Substituição do sistema de registro de perturbações, para monitoração das variáveis associadas a LT 525 kV Nova Santa Rita - Guaíba 3 C-1.</t>
  </si>
  <si>
    <t>Substituição do sistema de registro de perturbações, para monitoração das variáveis associadas a LT 525 kV Nova Santa Rita - Itá C-2.</t>
  </si>
  <si>
    <t>Substituição do sistema de registro de perturbações, para monitoração das variáveis associadas ao Interligador de Barras 525 kV (IB), DJ1010, da SE Nova Santa Rita.</t>
  </si>
  <si>
    <t>Substituição do sistema de registro de perturbações, para monitoração das variáveis associadas ao Interligador de Barras 525 kV (IB), DJ1030, da SE Nova Santa Rita.</t>
  </si>
  <si>
    <t>Substituição do sistema de registro de perturbações, para monitoração das variáveis associadas ao Reator 3 (RT3) da SE Nova Santa Rita.</t>
  </si>
  <si>
    <t>Substituição do sistema de registro de perturbações, para monitoração das variáveis associadas ao TF1 525/230 kV, lados de 525 kV e 230 kV, da SE Nova Santa Rita.</t>
  </si>
  <si>
    <t>Substituição do sistema de registro de perturbações, para monitoração das variáveis associadas ao TF2 525/230 kV, lados de 525 kV e 230 kV, da SE Nova Santa Rita.</t>
  </si>
  <si>
    <t>Substituição do sistema de registro de perturbações, para monitoração das variáveis associadas a LT 230 kV Nova Santa Rita - Camaquã 3 C-1.</t>
  </si>
  <si>
    <t>Substituição do sistema de registro de perturbações, para monitoração das variáveis associadas ao Interligador de Barras 230 kV (IB), DJ812, da SE Nova Santa Rita.</t>
  </si>
  <si>
    <t xml:space="preserve"> Substituição de 132 Cadeias de Isoladores na LT 230 kV Curitiba - São Mateus do Sul C-1, referentes ao trecho da linha entre a Torre 492 e a Torre 533. </t>
  </si>
  <si>
    <t xml:space="preserve"> Substituição de fundações em grelha metálica de cinco torres da LT 525 kV Areia - Curitiba C-1. As torres envolvidas são as de número de operação: 200, 279, 280, 288 e 384.</t>
  </si>
  <si>
    <t xml:space="preserve"> Substituição de cabos contrapesos (aterramento) de cinco torres da LT 525 kV Areia - Curitiba C-1. As torres envolvidas são as de número de operação: 200, 279, 280, 288 e 384.</t>
  </si>
  <si>
    <t xml:space="preserve"> Substituição de fundação em grelha metálica de uma torre da LT 525 kV Areia - Bateias C-1. A torre envolvida é a de número de operação: 200.</t>
  </si>
  <si>
    <t xml:space="preserve"> Substituição de cabos contrapesos (aterramento) de uma torre da LT 525 kV Areia - Bateias C-1. A torre envolvida é a de número de operação: 200.</t>
  </si>
  <si>
    <t xml:space="preserve"> Substituição de três torres metálicas completas da LT 230 kV Curitiba - Joinville C-1. As torres envolvidas são as de número de operação: 64, 94 e 117.</t>
  </si>
  <si>
    <t xml:space="preserve"> Substituição de três torres metálicas completas da LT 230 kV J.Lacerda B - Siderópolis C-1. As torres envolvidas são as de número de operação: 27, 28 e 43.</t>
  </si>
  <si>
    <t xml:space="preserve"> Substituição de cabos contrapesos (aterramento) de três torres da LT 230 kV Curitiba - Joinville C-1. As torres envolvidas são as de número de operação: 64, 94 e 117.</t>
  </si>
  <si>
    <t xml:space="preserve"> Substituição de cabos contrapesos (aterramento) de três torres da LT 230 kV J.Lacerda B - Siderópolis C-1. As torres envolvidas são as de número de operação: 27, 28 e 43.</t>
  </si>
  <si>
    <t xml:space="preserve"> Substituição de 9 Cadeias de Isoladores na LT 230 kV Curitiba - Joinville C-1, referentes às Torres 64, 94 e 117.</t>
  </si>
  <si>
    <t xml:space="preserve"> Substituição de 9 Cadeias de Isoladores na LT 230 kV J.Lacerda B - Siderópolis C-1, referentes às Torres 27, 28 e 43.</t>
  </si>
  <si>
    <t xml:space="preserve"> Substituição de partes aéreas de uma torre da LT 525 kV Areia - Campos Novos C-1. A torre envolvida é a de número de operação: 239.</t>
  </si>
  <si>
    <t xml:space="preserve"> Substituição de uma torre metálica completa da LT 230 kV Blumenau - Joinville Norte C-1. A torre envolvida é a de número de operação: 153.</t>
  </si>
  <si>
    <t>Instalação de cabos OPGW na LT 525 kV Itá - Machadinho C-1, em substituição a 01 (um) dos cabos para-raios atualmente empregado, em toda a sua extensão (80 km).</t>
  </si>
  <si>
    <t>Instalação de cabos OPGW na LT 525 kV Campos Novos - Machadinho C-1, em substituição a 01 (um) dos cabos para-raios atualmente empregado, em toda a sua extensão (51 km).</t>
  </si>
  <si>
    <t>Substituição do Anel Coletor do Compensador Síncrono 01 (CO1) da SE Marmeleiro 2.</t>
  </si>
  <si>
    <t>Substituição de bateria - 125 Vcc - SACC125-BAT1 na SE J.Lacerda-B.</t>
  </si>
  <si>
    <t>Substituição de bateria - 125 Vcc - SBA01- FBA01 (S.A. dos Compesandores Síncronos) na SE Marmeleiro 2.</t>
  </si>
  <si>
    <t>Substituição de bateria - 125 Vcc - SACC125-BAT1 na SE Marmeleiro 2.</t>
  </si>
  <si>
    <t>Substituição de bateria - 48 Vcc - SACC48-BAT1 na SE Marmeleiro 2.</t>
  </si>
  <si>
    <t>Substituição de bateria - 125 Vcc - SACC125-BAT1 na SE Pinhalzinho 2.</t>
  </si>
  <si>
    <t>Substituição de bateria - 125 Vcc - SACC125-BAT1 na SE Povo Novo.</t>
  </si>
  <si>
    <t>Substituição de bateria - 48 Vcc - SACC48-BAT1 na SE Povo Novo.</t>
  </si>
  <si>
    <t>Substituição de bateria - 48 Vcc - SACC48-BAT1 na SE Salto Osório.</t>
  </si>
  <si>
    <t>Substituição de bateria - 125 Vcc - SACC125-BAT1 na SE Santa Maria 3.</t>
  </si>
  <si>
    <t>Substituição de bateria - 125 Vcc - SACC125-BAT1 na SE Santa Vitória do Palmar 2.</t>
  </si>
  <si>
    <t>Substituição de bateria - 48 Vcc - SACC48-BAT1 na SE Santa Vitória do Palmar 2.</t>
  </si>
  <si>
    <t>Substituição de bateria - 48 Vcc - SACC48-BAT1 na SE Itá.</t>
  </si>
  <si>
    <t>Substituição das fontes de alimentação dos serviços auxiliares da SE P.Médici, associados a LT 230 kV P.Médici - Santa Cruz 1 C-1. O novo sistema considera o compartilhamento das fontes com a CPFL (obras em implantação), sendo que a solução contempla: inclusão de dois quadros de derivação nos secundários dos transformadores de serviços auxiliares da CPFL (QDA1 e QDA2), substituição do painel 380 VCA (2PD01)  e lançamento de cabos associados.</t>
  </si>
  <si>
    <t>Substituição de bateria - 125 Vcc - SACC125-BAT1 na SE Abdon Batista (associada ao módulo da LT 525 kV Abdon Batista - Biguaçu C-1). Capacidade do novo equipamento: 200 Ah.</t>
  </si>
  <si>
    <t>Substituição de bateria - 48 Vcc - SACC48-BAT1 na SE Abdon Batista (associada ao módulo da LT 525 kV Abdon Batista - Biguaçu C-1). Capacidade do novo equipamento: 150 Ah</t>
  </si>
  <si>
    <t>Substituição de bateria - 48 Vcc - SACC48-BAT2 na SE Abdon Batista (associada ao módulo da LT 525 kV Abdon Batista - Biguaçu C-1). Capacidade do novo equipamento: 150 Ah.</t>
  </si>
  <si>
    <t>Substituição das chaves flexitestes (blocos de teste)do circuito 230 kV Osório 2.</t>
  </si>
  <si>
    <t>Substituição das chaves flexitestes (blocos de teste)do circuito 230 kV Gravataí 3.</t>
  </si>
  <si>
    <t>Substituição das chaves flexitestes (blocos de teste)do TR1 230/69 kV.</t>
  </si>
  <si>
    <t>Substituição das chaves flexitestes (blocos de teste)do TR2 230/69 kV.</t>
  </si>
  <si>
    <t>Substituição das chaves flexitestes (blocos de teste)do TR3 230/69 kV.</t>
  </si>
  <si>
    <t>Substituição das chaves flexitestes (blocos de teste)do TIE e BARRAS 230 kV.</t>
  </si>
  <si>
    <t>Substituição do sistema de registro de perturbações (RDP) para monitoração das variáveis associadas aos módulos de 525 kV e 230 kV do TR 525/230 kV BIGUACU TR1.</t>
  </si>
  <si>
    <t>Substituição do sistema de registro de perturbações (RDP) para monitoração das variáveis associadas à LT 525 kV BIGUACU / BLUMENAU C-1.</t>
  </si>
  <si>
    <t>Substituição do sistema de registro de perturbações (RDP) para monitoração das variáveis associadas à LT 525 kV BIGUACU / ABDON BATISTA C-1.</t>
  </si>
  <si>
    <t>Substituição do sistema de registro de perturbações (RDP) para monitoração das variáveis associadas ao RT 525 kV 150 Mvar BIGUACU RT1.</t>
  </si>
  <si>
    <t>Substituição do sistema de registro de perturbações (RDP) para monitoração das variáveis associadas ao RT 525 kV 150 Mvar BIGUACU RT2.</t>
  </si>
  <si>
    <t>Substituição do sistema de registro de perturbações (RDP) para monitoração das variáveis associadas aos módulos de 525 kV e 230 kV do TR 525/230 kV BIGUACU TR2.</t>
  </si>
  <si>
    <t>Substituição de todas as flexitestes (blocos de testes) de fabricação ELSTER, instaladas nos painéis de proteção, controle e supervisão da Eletrosul (Barras, Oscilógrafo e TIE 138 kV).</t>
  </si>
  <si>
    <t>Substituição de todas as flexitestes (blocos de testes) de fabricação ELSTER, instaladas nos painéis de proteção, controle e supervisão da Eletrosul (Barras e Oscilógrafo 230 kV).</t>
  </si>
  <si>
    <t>Substituição de todas as flexitestes (blocos de testes) de fabricação ELSTER, instaladas nos painéis de proteção, controle e supervisão associadas à LT 138 kV BIGUACU / B.Q.BOCAIUVA C-1.</t>
  </si>
  <si>
    <t>Substituição de todas as flexitestes (blocos de testes) de fabricação ELSTER, instaladas nos painéis de proteção, controle e supervisão associadas à LT 138 kV BIGUACU / ITAJAI FAZENDA C-1.</t>
  </si>
  <si>
    <t>Substituição de todas as flexitestes (blocos de testes) de fabricação ELSTER, instaladas nos painéis de proteção, controle e supervisão associadas à LT 138 kV BIGUACU / FLORIANOPOLIS C-1.</t>
  </si>
  <si>
    <t>Substituição de todas as flexitestes (blocos de testes) de fabricação ELSTER, instaladas nos painéis de proteção, controle e supervisão associadas à LT 138 kV BIGUACU / FLORIANOPOLIS C-2.</t>
  </si>
  <si>
    <t>Substituição de todas as flexitestes (blocos de testes) de fabricação ELSTER, instaladas nos painéis de proteção, controle e supervisão da Eletrosul (Barras e Oscilógrafo 525 kV).</t>
  </si>
  <si>
    <t>Substituição de todas as flexitestes (blocos de testes) de fabricação ELSTER, instaladas nos painéis de proteção, controle e supervisão associadas ao TR 525/230 kV BIGUACU TR2.</t>
  </si>
  <si>
    <t>Substituição de todos os blocos de testes de fabricação ELSTER, instalados nos painéis de proteção, controle e supervisão da Eletrosul.</t>
  </si>
  <si>
    <t>Substituição de todos os blocos de testes de fabricação ELSTER, instalados nos painéis de proteção, controle e supervisão da Eletrosul. Disjuntor central Reator 1 e Transformador 1.</t>
  </si>
  <si>
    <t>Substituição de todos os blocos de testes de fabricação ELSTER, instalados nos painéis de proteção, controle e supervisão da Eletrosul (TIE 230).</t>
  </si>
  <si>
    <t>Substituição dos painéis da proteção Principal, Alternada, Falha de Disjuntor (com instalação de unidades redundantes), e dos cabos de controle e potência associados (3.870 m), referente a LT 230 kV Biguaçu - J.Lacerda B C-1.</t>
  </si>
  <si>
    <t>Substituição de todas as flexitestes (blocos de testes) de fabricação ELSTER, instaladas nos painéis de proteção, controle e supervisão associadas à LT 230 kV BLUMENAU / JOINV.NORTE C-1.</t>
  </si>
  <si>
    <t>Substituição das chaves flexitestes (blocos de teste) associadas à LT 500 kV BIGUACU /BLUMENAU C-1.</t>
  </si>
  <si>
    <t>Substituição de todas as flexitestes (blocos de testes) de fabricação ELSTER, instaladas nos painéis de proteção, controle e supervisão da Eletrosul (Barras 230 kV).</t>
  </si>
  <si>
    <t>Instalação de Grupo Motor-Gerador 380 Vca com Quadro de Distribuição CA (QDCA) e Unidade Supervisora CA (USCA), em substituição ao Grupo Motor-Gerador e equipamentos associados existentes, na Repetidora Canoinhas. Capacidade do novo equipamento: 15 kVA.</t>
  </si>
  <si>
    <t>Substituição de todas as flexitestes (blocos de testes) de fabricação ABB, instaladas nos painéis de proteção, controle e supervisão associadas ao TR 525/230 kV CAXIAS TR2.</t>
  </si>
  <si>
    <t>Substituição de todas as flexitestes (blocos de testes) de fabricação ABB, instaladas nos painéis de proteção, controle e supervisão associadas ao TR 525/230 kV CAXIAS TR1.</t>
  </si>
  <si>
    <t>Substituição de todas as flexitestes (blocos de testes) de fabricação ABB, instaladas nos painéis de proteção, controle e supervisão associadas ao RTB 525 kV 150 Mvar CAXIAS RT1.</t>
  </si>
  <si>
    <t>Substituição de todas as flexitestes (blocos de testes) de fabricação ABB, instaladas nos painéis de proteção, controle e supervisão associadas à Barras de 525 kV da SE CAXIAS.</t>
  </si>
  <si>
    <t>Substituição de todas as flexitestes (blocos de testes) de fabricação ABB, instaladas nos painéis de proteção, controle e supervisão associadas à LT 525 kV CAXIAS /GRAVATAI C-1.</t>
  </si>
  <si>
    <t>Substituição de todas as flexitestes (blocos de testes) de fabricação ABB, instaladas nos painéis de proteção, controle e supervisão associadas à LT 525 kV C.NOVOS /CAXIAS C-1.</t>
  </si>
  <si>
    <t>Substituição de bateria - 125 Vcc - SACC125-BAT51 na SE Caxias (lado de 525 kV). Capacidade do novo equipamento: 500 Ah.</t>
  </si>
  <si>
    <t>Substituição de bateria - 125 Vcc - SACC125-BAT52 na SE Caxias (lado de 525 kV). Capacidade do novo equipamento: 500 Ah.</t>
  </si>
  <si>
    <t>Substituição das chaves flexitestes (blocos de teste)do circuito 230 kV Farroupilha.</t>
  </si>
  <si>
    <t>Substituição das chaves flexitestes (blocos de teste)do circuito 230 kV Lajeado Grande.</t>
  </si>
  <si>
    <t>Substituição das chaves flexitestes (blocos de teste)do circuito 230 kV Caxias.</t>
  </si>
  <si>
    <t>Substituição das chaves flexitestes (blocos de teste)do TR1 230/13,8 kV.</t>
  </si>
  <si>
    <t>Substituição das chaves flexitestes (blocos de teste)do TR2 230/13,8 kV.</t>
  </si>
  <si>
    <t xml:space="preserve">Substituição das chaves flexitestes (blocos de teste) das barras de 230 kV. </t>
  </si>
  <si>
    <t>Substituição de bateria - 48 Vcc - SACC48-BAT1 na SE Campo Grande. Capacidade do novo equipamento: 500 Ah.</t>
  </si>
  <si>
    <t>Substituição de bateria - 125 Vcc - SACC125-BAT11 na SE Campos Novos (lado de 138 kV). Capacidade do novo equipamento: 300 Ah.</t>
  </si>
  <si>
    <t>Substituição de bateria - 125 Vcc - SACC125-BAT12 na SE Campos Novos (lado de 138 kV). Capacidade do novo equipamento: 300 Ah.</t>
  </si>
  <si>
    <t>Substituição de bateria - 125 Vcc - SACC125-BAT21 na SE Campos Novos (lado de 230 kV). Capacidade do novo equipamento: 750 Ah.</t>
  </si>
  <si>
    <t>Substituição de bateria - 125 Vcc - SACC125-BAT22 na SE Campos Novos (lado de 230 kV). Capacidade do novo equipamento: 750 Ah.</t>
  </si>
  <si>
    <t>Substituição de bateria - 125 Vcc - SACC125-BAT51 na SE Campos Novos (lado de 525 kV). Capacidade do novo equipamento: 1.000 Ah.</t>
  </si>
  <si>
    <t>Substituição de bateria - 48 Vcc - SACC48-BAT21 na SE Campos Novos (lado de 230 kV). Capacidade do novo equipamento: 200 Ah.</t>
  </si>
  <si>
    <t>Substituição de bateria - 48 Vcc - SACC48-BAT22 na SE Campos Novos (lado de 230 kV). Capacidade do novo equipamento: 200 Ah.</t>
  </si>
  <si>
    <t>Substituição das chaves flexitestes (blocos de teste)do módulo Conversora de Frequência Uruguaiana.</t>
  </si>
  <si>
    <t>Substituição de dois bancos de baterias 48 Vcc (Sistema de Alimentação CC) na Repetidora Paulistânia (Repetidora associada à SE Dourados). Capacidade de cada novo equipamento: 300 Ah.</t>
  </si>
  <si>
    <t>Instalação de dois Retificadores 48 Vcc (Carregadores de Baterias), com Quadro de Distribuição CC e Unidade Supervisora CC, em substituição ao retificador duplo existente, na Repetidora Paulistânia (Repetidora associada à SE Dourados). Capacidade de cada novo retificador: 50 A.</t>
  </si>
  <si>
    <t>Substituição de dois bancos de baterias 48 Vcc (Sistema de Alimentação CC) na Repetidora Vila Nilza (Repetidora associada à SE Dourados). Capacidade de cada novo equipamento: 300 Ah.</t>
  </si>
  <si>
    <t>Instalação de dois Retificadores 48 Vcc (Carregadores de Baterias), com Quadro de Distribuição CC e Unidade Supervisora CC, em substituição ao retificador duplo existente, na Repetidora Vila Nilza (Repetidora associada à SE Dourados). Capacidade de cada novo retificador: 50 A.</t>
  </si>
  <si>
    <t>Substituição de dois bancos de baterias 48 Vcc (Sistema de Alimentação CC) na Repetidora Bragápolis (Repetidora associada à SE Dourados). Capacidade de cada novo equipamento: 300 Ah.</t>
  </si>
  <si>
    <t>Substituição de todas as flexitestes (blocos de testes) de fabricação ELSTER, instaladas nos painéis de proteção, controle e supervisão associadas à LT 138 kV DESTERRO / ILHA SUL C-1.</t>
  </si>
  <si>
    <t>Substituição de todas as flexitestes (blocos de testes) de fabricação ELSTER, instaladas nos painéis de proteção, controle e supervisão associadas à LT 138 kV DESTERRO / TRINDADE C-1.</t>
  </si>
  <si>
    <t>Substituição de todas as flexitestes (blocos de testes) de fabricação ELSTER, instaladas nos painéis de proteção, controle e supervisão associadas ao TR 230/138 kV DESTERRO TR1.</t>
  </si>
  <si>
    <t>Substituição das chaves flexitestes (blocos de teste)do TF1 230/69 kV</t>
  </si>
  <si>
    <t>Substituição das chaves flexitestes (blocos de teste)do TF2 230/69 kV</t>
  </si>
  <si>
    <t>Substituição das chaves flexitestes (blocos de teste)do circuito 230 kV Monte Claro C1</t>
  </si>
  <si>
    <t>Substituição das chaves flexitestes (blocos de teste)do circuito 230 kV Monte Claro C2</t>
  </si>
  <si>
    <t>Substituição das chaves flexitestes (blocos de teste)do circuito 230 kV Caxias do Sul 5 C1</t>
  </si>
  <si>
    <t>Substituição das chaves flexitestes (blocos de teste)do circuito 230 kV Scharlau C1</t>
  </si>
  <si>
    <t>Substituição das chaves flexitestes (blocos de teste) das barras de 230 kV (MG)</t>
  </si>
  <si>
    <t>Substituição das chaves flexitestes (blocos de teste)do circuito 230 kV Caxias C1</t>
  </si>
  <si>
    <t>Substituição das chaves flexitestes (blocos de teste)do circuito 230 kV Caxias C2</t>
  </si>
  <si>
    <t>Substituição das chaves flexitestes (blocos de teste)do circuito 230 kV Caxias 2 C1</t>
  </si>
  <si>
    <t>Substituição das chaves flexitestes (blocos de teste)do circuito 230 kV Garibaldi 1 C1</t>
  </si>
  <si>
    <t>Substituição de todas as flexitestes (blocos de testes) de fabricação ELSTER, instaladas nos painéis de proteção, controle e supervisão da Eletrosul (Oscilógrafo 230 kV).</t>
  </si>
  <si>
    <t>Substituição de bateria - 125 Vcc - SACC125-BAT1 na SE Gaspar 2. Capacidade do novo equipamento: 300 Ah.</t>
  </si>
  <si>
    <t>Substituição de bateria - 48 Vcc - SACC48-BAT1 na SE Gaspar 2. Capacidade do novo equipamento: 350 Ah.</t>
  </si>
  <si>
    <t>Substituição das chaves flexitestes (blocos de teste)do circuito 525 kV Nova Santa Rita C1</t>
  </si>
  <si>
    <t>Substituição das chaves flexitestes (blocos de teste)do circuito 525 kV Caxias C1</t>
  </si>
  <si>
    <t>Substituição das chaves flexitestes (blocos de teste)do transformador 525/230 kV TR1</t>
  </si>
  <si>
    <t>Substituição das chaves flexitestes (blocos de teste)do transformador 525/230 kV TR2</t>
  </si>
  <si>
    <t>Substituição das chaves flexitestes (blocos de teste)do transformador 525/230 kV TR3</t>
  </si>
  <si>
    <t>Substituição das chaves flexitestes (blocos de teste)do Reator 525 kV 150 Mvar RT1</t>
  </si>
  <si>
    <t>Substituição das chaves flexitestes (blocos de teste)do Reator 525 kV 150 Mvar RT2</t>
  </si>
  <si>
    <t>Substituição das chaves flexitestes (blocos de teste)das barras de 525 kV (MG)</t>
  </si>
  <si>
    <t>Substituição das chaves flexitestes (blocos de teste)do circuito 230 kV Gravatai 2 C1</t>
  </si>
  <si>
    <t>Substituição das chaves flexitestes (blocos de teste)do circuito 230 kV CIAG C1</t>
  </si>
  <si>
    <t>Substituição das chaves flexitestes (blocos de teste)do circuito 230 kV Atlântida 2 C1</t>
  </si>
  <si>
    <t>Substituição das chaves flexitestes (blocos de teste)do transformador 230/69 kV TF1</t>
  </si>
  <si>
    <t>Substituição das chaves flexitestes (blocos de teste)das barras de 230 kV (MG)</t>
  </si>
  <si>
    <t>Substituição de todas as flexitestes (blocos de testes) de fabricação ELSTER, instaladas nos painéis de proteção, controle e supervisãoassociadas à LT 138 kV ITAJAI / ITAJAI ITAIPAVA C-1.</t>
  </si>
  <si>
    <t>Substituição de todas as flexitestes (blocos de testes) de fabricação ELSTER, instaladas nos painéis de proteção, controle e supervisão associadas à LT 138 kV ITAJAI /BRUSQUE C-1.</t>
  </si>
  <si>
    <t>Substituição de todas as flexitestes (blocos de testes) de fabricação ELSTER, instaladas nos painéis de proteção, controle e supervisão associadas à LT 138 kV ITAJAI / ITAJAI FAZENDA C-1.</t>
  </si>
  <si>
    <t>Substituição de todas as flexitestes (blocos de testes) de fabricação ELSTER, instaladas nos painéis de proteção, controle e supervisão associadas à LT 138 kV ITAJAI /CAMBORIU M.B. C-1.</t>
  </si>
  <si>
    <t>Substituição de todas as flexitestes (blocos de testes) de fabricação ELSTER, instaladas nos painéis de proteção, controle e supervisão associadas ao TR 230/138 kV J.LACERDA-A TR5.</t>
  </si>
  <si>
    <t>Substituição de todas as flexitestes (blocos de testes) de fabricação ELSTER, instaladas nos painéis de proteção, controle e supervisão assoicadas à LT 138 kV JOINVILLE NORTE / JOINVILLE IV C1.</t>
  </si>
  <si>
    <t>Substituição de todas as flexitestes (blocos de testes) de fabricação ELSTER, instaladas nos painéis de proteção, controle e supervisão assoicadas à LT 138 kV JOINVILLE NORTE / JOINVILLE PERINI C1.</t>
  </si>
  <si>
    <t>Substituição de todas as flexitestes (blocos de testes) de fabricação ELSTER, instaladas nos painéis de proteção, controle e supervisão associadas à LT 138 kV JOINVILLE NORTE / GARUVA C1.</t>
  </si>
  <si>
    <t>Substituição de todas as flexitestes (blocos de testes) de fabricação ELSTER, instaladas nos painéis de proteção, controle e supervisão associadas à LT 138 kV JOINVILLE NORTE / PIRABEIRABA C1.</t>
  </si>
  <si>
    <t>Substituição de todas as flexitestes (blocos de testes) de fabricação ELSTER, instaladas nos painéis de proteção, controle e supervisão da Eletrosul (Oscilógrafo, Proteção Diferencial de Barras e TIE 138 kV).</t>
  </si>
  <si>
    <t>Substituição de todas as flexitestes (blocos de testes) de fabricação ELSTER, instaladas nos painéis de proteção, controle e supervisão associadas ao TR 230/138 kV JOINV.NORTE TR1.</t>
  </si>
  <si>
    <t>Substituição de todas as flexitestes (blocos de testes) de fabricação ELSTER, instaladas nos painéis de proteção, controle e supervisão associadas ao TR 230/138 kV JOINV.NORTE TR2.</t>
  </si>
  <si>
    <t>Substituição das chaves flexitestes (blocos de teste)do circuito 230 kV Rivera.</t>
  </si>
  <si>
    <t>Implantação de torre metálica na LT 230 kV Atlântida 2 - Gravataí 3 C-1. A nova torre será instalada no vão entre as atuais Torres 118 e 119</t>
  </si>
  <si>
    <t>Substituição de torre metálica completa,  número 133, referente a LT 230 kV Forquilhinha - Lajeado Grande C-1.</t>
  </si>
  <si>
    <t>Substituição do sistema de registro de perturbações (RDP) para monitoração das tensões das barras de 230 kV.</t>
  </si>
  <si>
    <t>Substituição das chaves flexitestes (blocos de teste)do circuito 230 kV Santa Cruz 1.</t>
  </si>
  <si>
    <t>Substituição das chaves flexitestes (blocos de teste)do circuito 230 kV P.Médici.</t>
  </si>
  <si>
    <t>Substituição do sistema de registro de perturbações (RDP) - OSC 525-1, referente a LT 525 kV S.Santiago - Segredo C-1.</t>
  </si>
  <si>
    <t>Substituição do sistema de registro de perturbações (RDP) - OSC 525-1, referente a LT 525 kV S.Santiago - Itá C-1.</t>
  </si>
  <si>
    <t>Substituição do sistema de registro de perturbações (RDP) - OSC 525-1, referente a LT 525 kV S.Santiago - Ivaiporã ESUL C-1.</t>
  </si>
  <si>
    <t>Substituição do sistema de registro de perturbações (RDP) - OSC 525-1, referente a LT 525 kV S.Santiago - UH S.Santiago C-1.</t>
  </si>
  <si>
    <t>Substituição do sistema de registro de perturbações (RDP) - OSC 525-1, referente a LT 525 kV S.Santiago - UH S.Santiago C-2.</t>
  </si>
  <si>
    <t>Substituição do sistema de registro de perturbações (RDP) - OSC 525-2, referente a LT 525 kV S.Santiago - Ivaiporã ESUL C-2.</t>
  </si>
  <si>
    <t>Substituição do sistema de registro de perturbações (RDP) - OSC 525-1, referente a LT 525 kV S.Santiago - S.Caxias C-1.</t>
  </si>
  <si>
    <t>Substituição de bateria - 48 Vcc - SACC48-BAT1 na SE Santo Angelo. Capacidade do novo equipamento: 1.000 Ah.</t>
  </si>
  <si>
    <t>Substituição de bateria - 48 Vcc - SACC48-BAT2 na SE Santo Angelo. Capacidade do novo equipamento: 1.000 Ah.</t>
  </si>
  <si>
    <t>Substituição de Transformadores de Corrente 525 kV referentes a LT Itá - Caxias C-1, DJ1122, Fases A, B, C. Associado à obra, são esperadas substituições/adaptações de fundações e suportes, caixa de junção, cabos de controle/potência, barramento, conectores e conexão de aterramento. Funções do TC: proteção e medição.</t>
  </si>
  <si>
    <t>Substituição de Transformadores de Corrente 525 kV referentes ao Interligador de Barras, DJ1130, SE Itá, Fases A, B, C. Associado à obra são esperadas substituições/adaptações de fundações e suportes, caixa de junção, cabos de controle/potência, barramento, conectores e conexão de aterramento. Funções do TC: proteção e medição.</t>
  </si>
  <si>
    <t>4471 - Manutenção do Sistema de Transmissão de Energia Elétrica</t>
  </si>
  <si>
    <t>Demais manutenções do Sistema de Transmissão</t>
  </si>
  <si>
    <t>Modernização Rede de Telecom - Multiplex e Sincronismo</t>
  </si>
  <si>
    <t>Melhorias em Drenagens e Caixas de Coleta e Separação Água e Óleo de Subestações (Comitê Contingências Ambientais)</t>
  </si>
  <si>
    <t>Melhorias dos compesnadores síncronos de MRO2</t>
  </si>
  <si>
    <t>Modernização do rádios VHF fixos nas subestações (exigência ANATEL)</t>
  </si>
  <si>
    <t>Aquisição de aparelhos de ar condicionados para as unidades operacionais</t>
  </si>
  <si>
    <t>Troca do sistema de alimentação CC das repetidoras Vila Eldorado, União e Terra do Boi</t>
  </si>
  <si>
    <t>Plano de Prevenção e Proteção Contra Incêndio - PPCI do CRCAP+JLB</t>
  </si>
  <si>
    <t>Construção de muro de alvenaria no perímetro da subestação (1.440 m)</t>
  </si>
  <si>
    <t>Instalação de estabilizador de tensão para serviço auxiliar da planta</t>
  </si>
  <si>
    <t>Sistema de tratamento de água para torres de resfriamento dos compensadores síncronos</t>
  </si>
  <si>
    <t>Instalação de câmeras em pontos estratégicos como: centrais de lubrificação e bacias de contenção de óleo</t>
  </si>
  <si>
    <t>Substituição dos Sistemas de Iluminação (QLs), com a utilização de lâmpadas LED e Alimentação de Força (QFs) do pátio da Subestação Santo Ângelo, devido a degradação e obsolecência dos equipamentos</t>
  </si>
  <si>
    <t>Reforço de capacidade das caixas de contenção de óleo das centrais de lubrificação</t>
  </si>
  <si>
    <t>Substituição da cerca operacional (910 m)</t>
  </si>
  <si>
    <t>Substituição da Cobertura Completa e Sistema de Proteção contra Descargas Atmosféricas (SPDA) em Edificações, na SE Xanxerê</t>
  </si>
  <si>
    <t>Construção de muro de alvenaria no perímetro da subestação (515 m)</t>
  </si>
  <si>
    <t>Substituição dos sistemas de iluminação e distribuição de força (painéis e tomadas) da Subestação Campo Mourão</t>
  </si>
  <si>
    <t>Substituição dos Sistemas de Iluminação e Alimentação de Força do pátio da Subestação Salto Osório</t>
  </si>
  <si>
    <t>Substituição do Sistema de AR CONDICIONADO da Casa de Comando da Subestação Salto Osório, e demais salas da instalação</t>
  </si>
  <si>
    <t>Substituição do Sistema de AR CONDICIONADO da Casa de Comando da Subestação Salto Santiago, e demais salas da instalação - PRIORIDADE</t>
  </si>
  <si>
    <t>Substituição do sistema de ar condicionado da casa de controle (5 unidades na sala de relés com sistema de controle centralizado 5 unidades com controle individual)</t>
  </si>
  <si>
    <t>Substituição do telhado da casa de comando da SEJLB (310 m²)</t>
  </si>
  <si>
    <t>Substituição dos sistemas de ar condicionado das Salas de Controle / Réles / Baterias da SE Xanxerê</t>
  </si>
  <si>
    <t>Instalação de Sistema de Proteção contra Descargas Atmosféricas (SPDA) em Edificações (Salas de Controle), na SE Campo Grande</t>
  </si>
  <si>
    <t>Adequar a fonte de 48 Vcc com a instalação do segundo carregador.</t>
  </si>
  <si>
    <t>Reforços e Melhoris de Pequeno Porte - Ciclo 2024</t>
  </si>
  <si>
    <t>Reforços e Melhoris de Pequeno Porte - Ciclo 2025</t>
  </si>
  <si>
    <t>Reforços e Melhoris de Pequeno Porte - Ciclo 2026</t>
  </si>
  <si>
    <t>Reforços e Melhoris de Pequeno Porte - Ciclo 2027</t>
  </si>
  <si>
    <t>Instalação de Sistema de Proteção contra Descargas Atmosféricas (SPDA) em Edificações (Salas de Controle), na SE Dourados</t>
  </si>
  <si>
    <t>Substituição do sistema de iluminação do pátio da SE ATL2</t>
  </si>
  <si>
    <t>Substituição do Sistema de Iluminação por lâmpadas LED</t>
  </si>
  <si>
    <t>Substituição das caixas de distribuição e caixas do sistema de iluminação e tomadas</t>
  </si>
  <si>
    <t>Projeto Existente</t>
  </si>
  <si>
    <t>Modernização Rede de Telecom</t>
  </si>
  <si>
    <t>Roteadores RGR</t>
  </si>
  <si>
    <t>Comunicação Satelital - PTT</t>
  </si>
  <si>
    <t>CFTV Operacional</t>
  </si>
  <si>
    <t>Sistema de Alimentação Terceiros</t>
  </si>
  <si>
    <t>Redundância CFTV COSE</t>
  </si>
  <si>
    <t>2C47</t>
  </si>
  <si>
    <t>P.DUTRA|0007787/2023-SUBSTITUIÇÃO DE BUCHAS, VEDAÇÕES, PAINEL DE INSTRUMENTAÇÃO/VENTILAÇÃO, VÁLVULAS, RELÉS DE GÁS E BOLSA DE EXPANSÃO, ETC, DO PDRE7-08 FASE B-SUBSTITUIÇÃO DE BUCHAS, VEDAÇÕES, PAINEL DE INSTRUMENTAÇÃO/VENTILAÇÃO, VÁLVULAS, RELÉS DE GÁS E BOLSA DE EXPANSÃO, ETC DE EQUIPAMENTOS</t>
  </si>
  <si>
    <t>P.DUTRA|0007793/2023-SUBSTITUIÇÃO DE BUCHAS, VEDAÇÕES, PAINEL DE INSTRUMENTAÇÃO/VENTILAÇÃO, VÁLVULAS, RELÉS DE GÁS E BOLSA DE EXPANSÃO, ETC, DO PDRE7-08 FASE V-SUBSTITUIÇÃO DE BUCHAS, VEDAÇÕES, PAINEL DE INSTRUMENTAÇÃO/VENTILAÇÃO, VÁLVULAS, RELÉS DE GÁS E BOLSA DE EXPANSÃO, ETC DE EQUIPAMENTOS</t>
  </si>
  <si>
    <t>VILA DO CONDE|0006673/2023-Substituição do Transformador de corrente de 230 kV fase "V" Vão 
 I SECÇÃO Z (VCDJ6 12)-Aquisição de 160 conectores de expansão barra chata - tubo 4 polegadas IPS para utilização na instalação dos Transformadores de Corrente de 245 kV das Subestações de Guamá, Utinga, Marabá e Vila do Conde</t>
  </si>
  <si>
    <t>VILA DO CONDE|0006674/2023-Substituição do Transformador de corrente de 230 kV fase "B" Vão 
 I SECÇÃO Z (VCDJ6 12)-Aquisição de 160 conectores de expansão barra chata - tubo 4 polegadas IPS para utilização na instalação dos Transformadores de Corrente de 245 kV das Subestações de Guamá, Utinga, Marabá e Vila do Conde</t>
  </si>
  <si>
    <t>VILA DO CONDE|0006675/2023-Substituição do Transformador de corrente de 230 kV fase "A" Vão 
 I SECÇÃO Z (VCDJ6 12)-Aquisição de 160 conectores de expansão barra chata - tubo 4 polegadas IPS para utilização na instalação dos Transformadores de Corrente de 245 kV das Subestações de Guamá, Utinga, Marabá e Vila do Conde</t>
  </si>
  <si>
    <t>VILA DO CONDE|0006691/2023-Substituição do Transformador de corrente de 230 kV fase "V" Vão 
 J SECÇÃO Z (VCDJ6 09)-Aquisição de 160 conectores de expansão barra chata - tubo 4 polegadas IPS para utilização na instalação dos Transformadores de Corrente de 245 kV das Subestações de Guamá, Utinga, Marabá e Vila do Conde</t>
  </si>
  <si>
    <t>VILA DO CONDE|0006693/2023-Substituição do Transformador de corrente de 230 kV fase "B" Vão 
 J SECÇÃO Z (VCDJ6 09)-Aquisição de 160 conectores de expansão barra chata - tubo 4 polegadas IPS para utilização na instalação dos Transformadores de Corrente de 245 kV das Subestações de Guamá, Utinga, Marabá e Vila do Conde</t>
  </si>
  <si>
    <t>VILA DO CONDE|0006713/2023-Substituição do Transformador de corrente de 230 kV fase "A" Vão 
 J SECÇÃO Z (VCDJ6 09)-Aquisição de 160 conectores de expansão barra chata - tubo 4 polegadas IPS para utilização na instalação dos Transformadores de Corrente de 245 kV das Subestações de Guamá, Utinga, Marabá e Vila do Conde</t>
  </si>
  <si>
    <t xml:space="preserve">VILA DO CONDE|0006673/2023-Substituição do Transformador de corrente de 230 kV fase "V" Vão 
 I SECÇÃO Z (VCDJ6 12)-Serviço de Desmontagem, adequação de projeto, Montagem Eletromecânica e Comissionamento com Fornecimento de Materiais e infraestrutura para substituição de Transformadores de Corrente 245kV </t>
  </si>
  <si>
    <t xml:space="preserve">VILA DO CONDE|0006674/2023-Substituição do Transformador de corrente de 230 kV fase "B" Vão 
 I SECÇÃO Z (VCDJ6 12)-Serviço de Desmontagem, adequação de projeto, Montagem Eletromecânica e Comissionamento com Fornecimento de Materiais e infraestrutura para substituição de Transformadores de Corrente 245kV </t>
  </si>
  <si>
    <t xml:space="preserve">VILA DO CONDE|0006675/2023-Substituição do Transformador de corrente de 230 kV fase "A" Vão I SECÇÃO Z (VCDJ6 12)-Serviço de Desmontagem, adequação de projeto, Montagem Eletromecânica e Comissionamento com Fornecimento de Materiais e infraestrutura para substituição de Transformadores de Corrente 245kV </t>
  </si>
  <si>
    <t xml:space="preserve">VILA DO CONDE|0006691/2023-Substituição do Transformador de corrente de 230 kV fase "V" Vão 
 J SECÇÃO Z (VCDJ6 09)-Serviço de Desmontagem, adequação de projeto, Montagem Eletromecânica e Comissionamento com Fornecimento de Materiais e infraestrutura para substituição de Transformadores de Corrente 245kV </t>
  </si>
  <si>
    <t xml:space="preserve">VILA DO CONDE|0006693/2023-Substituição do Transformador de corrente de 230 kV fase "B" Vão 
 J SECÇÃO Z (VCDJ6 09)-Serviço de Desmontagem, adequação de projeto, Montagem Eletromecânica e Comissionamento com Fornecimento de Materiais e infraestrutura para substituição de Transformadores de Corrente 245kV </t>
  </si>
  <si>
    <t xml:space="preserve">VILA DO CONDE|0006713/2023-Substituição do Transformador de corrente de 230 kV fase "A" Vão 
 J SECÇÃO Z (VCDJ6 09)-Serviço de Desmontagem, adequação de projeto, Montagem Eletromecânica e Comissionamento com Fornecimento de Materiais e infraestrutura para substituição de Transformadores de Corrente 245kV </t>
  </si>
  <si>
    <t>TUCURUI|0002467/2023-Substituição de três (03) Para-Raios 500 KV SE Tucuruí no vão Ax Fase A, B e V-</t>
  </si>
  <si>
    <t>TUCURUI|0002470/2023-Substituição de três (03) Para-Raios 500 KV SE Tucuruí no vão Bx Fase A, B e V-</t>
  </si>
  <si>
    <t>TUCURUI|0002472/2023-Substituição de três (03) Para-Raios 500 KV SE Tucuruí no vão Cx-</t>
  </si>
  <si>
    <t>TUCURUI|0002473/2023-Substituição de três (03) Para-Raios 500 KV SE Tucuruí no vão Dx-</t>
  </si>
  <si>
    <t>TUCURUI|0002474/2023-Substituição de três (03) Para-Raios 500 KV SE Tucuruí no vão Fx-</t>
  </si>
  <si>
    <t>TUCURUI|0006668/2023-Substituição do Transformador de Corrente 
500kV do TCDJ7-13 - Vão X-</t>
  </si>
  <si>
    <t>MIRACEMA|0006723/2023-Substituição do disjuntor de 500 kV (MCDJ7-12), N-S-TOMC-GUMCLI701-ELMC-MCDJ712, Equipamento SAP: 11916755-</t>
  </si>
  <si>
    <t>TUCURUI|0008264/2023-Substituição de 3TC's de 500kV associados ao disjuntor TCDJ7-31(7TCKX)-</t>
  </si>
  <si>
    <t>TUCURUI|0008343/2023-Substituição de 3 TC's de 500kV associado ao disjuntor TCDJ7-25(7TCIX)-</t>
  </si>
  <si>
    <t>TUCURUI|0008565/2023-Substituição de 2 Tcs de 500kV associados ao disjuntor TCDJ7-19 (7TCGX)-</t>
  </si>
  <si>
    <t>TUCURUI|0008600/2023-Substituir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</si>
  <si>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TUCURUI|0008680/2023-Substituir o sistema de proteção, controle e supervisão para modernização da subestação, incluindo a substtuição de painéis de proteção e controle (cadeias principal e alternada), IEDs de proteção, controle e oscilografia digitais e demais componentes.-</t>
  </si>
  <si>
    <t>P.DUTRA|0008682/2023-Substituição de TC (Transformador de Corrente) associado ao PDRE7-08 (PDTC7-01 FASE V) Local de Instalação: N-S-MAPD-TSPDLI701-MCPDRE708-PDTC701 Fase V Equipamento SAP: 11991756-</t>
  </si>
  <si>
    <t>P.DUTRA|0008686/2023-Substituição de TC (Transformador de Corrente) associado ao PDRE7-08 (PDTC7-01 FASE B) Local de Instalação: N-S-MAPD-TSPDLI701-MCPDRE708-PDTC701 Fase B Equipamento SAP: 11991755-</t>
  </si>
  <si>
    <t>P.DUTRA|0008695/2023-Substituição de TC (Transformador de Corrente) associado ao PDRE7-08 (PDTC7-01 FASE A) Local de Instalação: N-S-MAPD-TSPDLI701-MCPDRE708-PDTC701 Fase A Equipamento SAP: 11991754-</t>
  </si>
  <si>
    <t>TUCURUI|0008699/2023-Substituir o sistema de proteção, controle e supervisão para modernização da subestação, incluindo a substtuição de painéis de proteção e controle (cadeias principal e alternada), IEDs de proteção, controle e oscilografia digitais e demais componentes.-</t>
  </si>
  <si>
    <t>P.DUTRA|0008704/2023-Substituição de TC (Transformador de Corrente) associado ao PDDJ7-14 (PDTC7-01 FASE V) Local de Instalação: N-S-MAPD-TSPDLI701-ELPD-PDTC701 Fase V Equipamento SAP: 11991747-</t>
  </si>
  <si>
    <t>P.DUTRA|0008706/2023-Substituição de TC (Transformador de Corrente) associado ao PDDJ7-14 (PDTC7-01 FASE B) Local de Instalação: N-S-MAPD-TSPDLI701-ELPD-PDTC701 Fase B Equipamento SAP: 11991746-</t>
  </si>
  <si>
    <t>P.DUTRA|0008708/2023-Substituição de TC (Transformador de Corrente) associado ao PDDJ7-14 (PDTC7-01 FASE A) Local de Instalação: N-S-MAPD-TSPDLI701-ELPD-PDTC701 Fase A Equipamento SAP: 11991745-</t>
  </si>
  <si>
    <t>TUCURUI|0008717/2023-Substituir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</si>
  <si>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TUCURUI|0008750/2023-Substituir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</si>
  <si>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TUCURUI|0008755/2023-Substituir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</si>
  <si>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TUCURUI|0008763/2023-Substituir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</si>
  <si>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TUCURUI|0008768/2023-Substituir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</si>
  <si>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TUCURUI|0008772/2023-Substituir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</si>
  <si>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TUCURUI|0008777/2023-Substituir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</si>
  <si>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TUCURUI|0008783/2023-Substituir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</si>
  <si>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TUCURUI|0008788/2023-Substituir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</si>
  <si>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TUCURUI|0008792/2023-Substituir o sistema de proteção, controle e supervisão para modernização da subestação, incluindo a substtuição de painéis de proteção e controle (cadeias principal e alternada), IEDs de proteção, controle e oscilografia digitais e demais componentes.-</t>
  </si>
  <si>
    <t>SAO LUIS II|0008914/2023-SUBSTITUIÇÃO DE PARA RAIO 230KV DA LINHA ALLDLI6-02 - LDPR601 - FASE A-</t>
  </si>
  <si>
    <t>SAO LUIS II|0008916/2023-SUBSTITUIÇÃO DE PARA RAIO 230KV DA LINHA ALLDLI6-02 - LDPR601 - FASE V-</t>
  </si>
  <si>
    <t>SAO LUIS II|0008936/2023-SUBSTITUIÇÃO DO DISJUNTOR LDDJ6-07.-</t>
  </si>
  <si>
    <t>RONDONOPOLIS|0009032/2023-SUBSTITUIR O DISJUNTOR RPDJ6-01-</t>
  </si>
  <si>
    <t>P.DUTRA|0009121/2023-Substituição de TC (Transformador de Corrente) associado ao PDDJ717 fase B-</t>
  </si>
  <si>
    <t>SAO LUIS II|0009152/2023-SUBSTITUIÇÃO DE PARA RAIO 230KV DA LINHA ALLDLI6-01 - LDPR601 - FASE A-</t>
  </si>
  <si>
    <t>SAO LUIS II|0009159/2023-SUBSTITUIÇÃO DE PARA RAIO 230KV DA LINHA ALLDLI6-01 - LDPR601 - FASE B-</t>
  </si>
  <si>
    <t>SAO LUIS II|0009164/2023-SUBSTITUIÇÃO DE PARA RAIO 230KV DA LINHA ALLDLI6-01 - LDPR601 - FASE V-</t>
  </si>
  <si>
    <t>SAO LUIS II|0009423/2023-SUBSTITUICÃO DA CHAVE SECIONADORA 230 kV LDSB6-09-</t>
  </si>
  <si>
    <t>SAO LUIS II|0009444/2023-Substituição dos sistemas de proteção e controle da linha ALLD-LT601 - Terminal São Luís II-</t>
  </si>
  <si>
    <t>TUCURUI|0009448/2023-Substituir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</si>
  <si>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TUCURUI|0009452/2023-Substituir o sistema de proteção, controle e supervisão para modernização da subestação, incluindo a substtuição de painéis de proteção e controle (cadeias principal e alternada), IEDs de proteção, controle e oscilografia digitais e demais componentes.-</t>
  </si>
  <si>
    <t>SAO LUIS II|0009455/2023-Substituição dos sistemas de proteção e controle da linha ALLD-LT602 - Terminal São Luís II-</t>
  </si>
  <si>
    <t>P.DUTRA|0007795/2023-SUBSTITUIÇÃO DE BUCHAS, VEDAÇÕES, PAINEL DE INSTRUMENTAÇÃO/VENTILAÇÃO, VÁLVULAS, RELÉS DE GÁS E BOLSA DE EXPANSÃO, ETC, DO PDRE7-09 FASE RESERVA-SUBSTITUIÇÃO DE BUCHAS, VEDAÇÕES, PAINEL DE INSTRUMENTAÇÃO/VENTILAÇÃO, VÁLVULAS, RELÉS DE GÁS E BOLSA DE EXPANSÃO, ETC DE EQUIPAMENTOS</t>
  </si>
  <si>
    <t>P.DUTRA|0007796/2023-SUBSTITUIÇÃO DE BUCHAS, VEDAÇÕES, PAINEL DE INSTRUMENTAÇÃO/VENTILAÇÃO, VÁLVULAS, RELÉS DE GÁS E BOLSA DE EXPANSÃO, ETC, DO PDRE7-09 FASE A-SUBSTITUIÇÃO DE BUCHAS, VEDAÇÕES, PAINEL DE INSTRUMENTAÇÃO/VENTILAÇÃO, VÁLVULAS, RELÉS DE GÁS E BOLSA DE EXPANSÃO, ETC DE EQUIPAMENTOS</t>
  </si>
  <si>
    <t>VILA DO CONDE|0006678/2023-Substituição do Transformador de corrente de 230 kV fase "V" Vão 
 I SECÇÃO Y2 (VCDJ6 11)-Aquisição de 160 conectores de expansão barra chata - tubo 4 polegadas IPS para utilização na instalação dos Transformadores de Corrente de 245 kV das Subestações de Guamá, Utinga, Marabá e Vila do Conde</t>
  </si>
  <si>
    <t>VILA DO CONDE|0006680/2023-Substituição do Transformador de corrente de 230 kV fase "B" Vão 
 I SECÇÃO Y2 (VCDJ6 11)-Aquisição de 160 conectores de expansão barra chata - tubo 4 polegadas IPS para utilização na instalação dos Transformadores de Corrente de 245 kV das Subestações de Guamá, Utinga, Marabá e Vila do Conde</t>
  </si>
  <si>
    <t>VILA DO CONDE|0006681/2023-Substituição do Transformador de corrente de 230 kV fase "A" Vão 
 I SECÇÃO Y2 (VCDJ6 11)-Aquisição de 160 conectores de expansão barra chata - tubo 4 polegadas IPS para utilização na instalação dos Transformadores de Corrente de 245 kV das Subestações de Guamá, Utinga, Marabá e Vila do Conde</t>
  </si>
  <si>
    <t>VILA DO CONDE|0006721/2023-Substituição do Transformador de corrente de 230 kV fase "V" Vão 
 J SECÇÃO Y1 (VCDJ6 08)-Aquisição de 160 conectores de expansão barra chata - tubo 4 polegadas IPS para utilização na instalação dos Transformadores de Corrente de 245 kV das Subestações de Guamá, Utinga, Marabá e Vila do Conde</t>
  </si>
  <si>
    <t>VILA DO CONDE|0006729/2023-Substituição do Transformador de corrente de 230 kV fase "B" Vão J SECÇÃO Y1 (VCDJ6 08)-Aquisição de 160 conectores de expansão barra chata - tubo 4 polegadas IPS para utilização na instalação dos Transformadores de Corrente de 245 kV das Subestações de Guamá, Utinga, Marabá e Vila do Conde</t>
  </si>
  <si>
    <t>VILA DO CONDE|0006737/2023-TRANSFORMADOR DE CORRENTE 230 kV, 2000A/5, 60HZ-Aquisição de 160 conectores de expansão barra chata - tubo 4 polegadas IPS para utilização na instalação dos Transformadores de Corrente de 245 kV das Subestações de Guamá, Utinga, Marabá e Vila do Conde</t>
  </si>
  <si>
    <t>VILA DO CONDE|0006746/2023-Substituição do Transformador de corrente de 230 kV fase "V" Vão I SECÇÃO Y1 (VCDJ6 11)-Aquisição de 160 conectores de expansão barra chata - tubo 4 polegadas IPS para utilização na instalação dos Transformadores de Corrente de 245 kV das Subestações de Guamá, Utinga, Marabá e Vila do Conde</t>
  </si>
  <si>
    <t>VILA DO CONDE|0006754/2023-Substituição do Transformador de corrente de 230 kV fase "B" Vão I SECÇÃO Y1 (VCDJ6 11)-Aquisição de 160 conectores de expansão barra chata - tubo 4 polegadas IPS para utilização na instalação dos Transformadores de Corrente de 245 kV das Subestações de Guamá, Utinga, Marabá e Vila do Conde</t>
  </si>
  <si>
    <t>VILA DO CONDE|0006760/2023-Substituição do Transformador de corrente de 230 kV fase "A" Vão I SECÇÃO Y1 (VCDJ6 11)-Aquisição de 160 conectores de expansão barra chata - tubo 4 polegadas IPS para utilização na instalação dos Transformadores de Corrente de 245 kV das Subestações de Guamá, Utinga, Marabá e Vila do Conde</t>
  </si>
  <si>
    <t>VILA DO CONDE|0006769/2023-Substituição do Transformador de corrente de 230 kV fase "V" Vão I SECÇÃO X (VCDJ6 10)-Aquisição de 160 conectores de expansão barra chata - tubo 4 polegadas IPS para utilização na instalação dos Transformadores de Corrente de 245 kV das Subestações de Guamá, Utinga, Marabá e Vila do Conde</t>
  </si>
  <si>
    <t>VILA DO CONDE|0006775/2023-Substituição do Transformador de corrente de 230 kV fase "B" Vão I SECÇÃO X (VCDJ6 10)-Aquisição de 160 conectores de expansão barra chata - tubo 4 polegadas IPS para utilização na instalação dos Transformadores de Corrente de 245 kV das Subestações de Guamá, Utinga, Marabá e Vila do Conde</t>
  </si>
  <si>
    <t>VILA DO CONDE|0006777/2023-Substituição do Transformador de corrente de 230 kV fase "A" Vão I SECÇÃO X (VCDJ6 10)-Aquisição de 160 conectores de expansão barra chata - tubo 4 polegadas IPS para utilização na instalação dos Transformadores de Corrente de 245 kV das Subestações de Guamá, Utinga, Marabá e Vila do Conde</t>
  </si>
  <si>
    <t>VILA DO CONDE|0006780/2023-Substituição do Transformador de corrente de 230 kV fase "V" Vão H SECÇÃO Y2 (VCDJ6 14)-Aquisição de 160 conectores de expansão barra chata - tubo 4 polegadas IPS para utilização na instalação dos Transformadores de Corrente de 245 kV das Subestações de Guamá, Utinga, Marabá e Vila do Conde</t>
  </si>
  <si>
    <t>VILA DO CONDE|0006784/2023-TRANSFORMADOR DE CORRENTE 230 kV, 2000A/5, 60HZ-Aquisição de 160 conectores de expansão barra chata - tubo 4 polegadas IPS para utilização na instalação dos Transformadores de Corrente de 245 kV das Subestações de Guamá, Utinga, Marabá e Vila do Conde</t>
  </si>
  <si>
    <t>VILA DO CONDE|0006788/2023-Substituição do Transformador de corrente de 230 kV fase "A" Vão H SECÇÃO Y2 (VCDJ6 14)-Aquisição de 160 conectores de expansão barra chata - tubo 4 polegadas IPS para utilização na instalação dos Transformadores de Corrente de 245 kV das Subestações de Guamá, Utinga, Marabá e Vila do Conde</t>
  </si>
  <si>
    <t>VILA DO CONDE|0006794/2023-Substituição do Transformador de corrente de 230 kV fase "V" Vão D SECÇÃO Y2 (VCDJ6 26)-Aquisição de 160 conectores de expansão barra chata - tubo 4 polegadas IPS para utilização na instalação dos Transformadores de Corrente de 245 kV das Subestações de Guamá, Utinga, Marabá e Vila do Conde</t>
  </si>
  <si>
    <t>VILA DO CONDE|0006796/2023-Substituição do Transformador de corrente de 230 kV fase "B" Vão D SECÇÃO Y2 (VCDJ6 26)-Aquisição de 160 conectores de expansão barra chata - tubo 4 polegadas IPS para utilização na instalação dos Transformadores de Corrente de 245 kV das Subestações de Guamá, Utinga, Marabá e Vila do Conde</t>
  </si>
  <si>
    <t>VILA DO CONDE|0006798/2023-Substituição do Transformador de corrente de 230 kV fase "A" Vão D SECÇÃO Y2 (VCDJ6 26)-Aquisição de 160 conectores de expansão barra chata - tubo 4 polegadas IPS para utilização na instalação dos Transformadores de Corrente de 245 kV das Subestações de Guamá, Utinga, Marabá e Vila do Conde</t>
  </si>
  <si>
    <t>VILA DO CONDE|0006811/2023-Substituição do Transformador de corrente de 230 kV fase "V" Vão C SECÇÃO Y2- (VCDJ6 29)-Aquisição de 160 conectores de expansão barra chata - tubo 4 polegadas IPS para utilização na instalação dos Transformadores de Corrente de 245 kV das Subestações de Guamá, Utinga, Marabá e Vila do Conde</t>
  </si>
  <si>
    <t>VILA DO CONDE|0006818/2023-Substituição do Transformador de corrente de 230 kV fase "B" Vão C SECÇÃO Y2- (VCDJ6 29)-Aquisição de 160 conectores de expansão barra chata - tubo 4 polegadas IPS para utilização na instalação dos Transformadores de Corrente de 245 kV das Subestações de Guamá, Utinga, Marabá e Vila do Conde</t>
  </si>
  <si>
    <t>VILA DO CONDE|0006824/2023-Substituição do Transformador de corrente de 230 kV fase "A" Vão C SECÇÃO Y2- (VCDJ6 29)-Aquisição de 160 conectores de expansão barra chata - tubo 4 polegadas IPS para utilização na instalação dos Transformadores de Corrente de 245 kV das Subestações de Guamá, Utinga, Marabá e Vila do Conde</t>
  </si>
  <si>
    <t>VILA DO CONDE|0006831/2023-Substituição do Transformador de corrente de 230 kV fase "V" Vão C SECÇÃO Y1- (VCDJ6 29)-Aquisição de 160 conectores de expansão barra chata - tubo 4 polegadas IPS para utilização na instalação dos Transformadores de Corrente de 245 kV das Subestações de Guamá, Utinga, Marabá e Vila do Conde</t>
  </si>
  <si>
    <t>VILA DO CONDE|0006838/2023-Substituição do Transformador de corrente de 230 kV fase "B" Vão C SECÇÃO Y1- (VCDJ6 29)-Aquisição de 160 conectores de expansão barra chata - tubo 4 polegadas IPS para utilização na instalação dos Transformadores de Corrente de 245 kV das Subestações de Guamá, Utinga, Marabá e Vila do Conde</t>
  </si>
  <si>
    <t>VILA DO CONDE|0006845/2023-Substituição do Transformador de corrente de 230 kV fase "A" Vão C SECÇÃO Y1- (VCDJ6 29)-Aquisição de 160 conectores de expansão barra chata - tubo 4 polegadas IPS para utilização na instalação dos Transformadores de Corrente de 245 kV das Subestações de Guamá, Utinga, Marabá e Vila do Conde</t>
  </si>
  <si>
    <t>VILA DO CONDE|0007250/2023-Substituição do Transformador de corrente de 230 kV fase "V" Vão A1 SECÇÃO Y-2 - (VCDJ6 38)-Aquisição de 160 conectores de expansão barra chata - tubo 4 polegadas IPS para utilização na instalação dos Transformadores de Corrente de 245 kV das Subestações de Guamá, Utinga, Marabá e Vila do Conde</t>
  </si>
  <si>
    <t>VILA DO CONDE|0007264/2023-Substituição do Transformador de corrente de 230 kV fase "B" Vão A1 SECÇÃO Y-2 - (VCDJ6 38)-Aquisição de 160 conectores de expansão barra chata - tubo 4 polegadas IPS para utilização na instalação dos Transformadores de Corrente de 245 kV das Subestações de Guamá, Utinga, Marabá e Vila do Conde</t>
  </si>
  <si>
    <t>VILA DO CONDE|0007276/2023-Substituição do Transformador de corrente de 230 kV fase "A" Vão A1 SECÇÃO Y-2 - (VCDJ6 38)-Aquisição de 160 conectores de expansão barra chata - tubo 4 polegadas IPS para utilização na instalação dos Transformadores de Corrente de 245 kV das Subestações de Guamá, Utinga, Marabá e Vila do Conde</t>
  </si>
  <si>
    <t xml:space="preserve">SAO LUIS II|0008230/2023-SUBSTITUIR TRANSFORMADOR DE CORRENTE 230KV - DO DISJUNTOR LDDJ6-04-LDTC6-01, FASE B-Serviço de Desmontagem, adequação de projeto, Montagem Eletromecânica e Comissionamento com Fornecimento de Materiais e infraestrutura para substituição de Transformadores de Corrente 245kV </t>
  </si>
  <si>
    <t xml:space="preserve">SAO LUIS II|0008235/2023-SUBSTITUIR TRANSFORMADOR DE CORRENTE 230KV - DO DISJUNTOR LDDJ6-04-LDTC6-01, FASE V-Serviço de Desmontagem, adequação de projeto, Montagem Eletromecânica e Comissionamento com Fornecimento de Materiais e infraestrutura para substituição de Transformadores de Corrente 245kV </t>
  </si>
  <si>
    <t xml:space="preserve">SAO LUIS II|0008241/2023-SUBSTITUIR TRANSFORMADOR DE CORRENTE 230KV - DO DISJUNTOR LDDJ6-06-LDTC6-01, FASE A-Serviço de Desmontagem, adequação de projeto, Montagem Eletromecânica e Comissionamento com Fornecimento de Materiais e infraestrutura para substituição de Transformadores de Corrente 245kV </t>
  </si>
  <si>
    <t xml:space="preserve">SAO LUIS II|0008280/2023-SUBSTITUIR TRANSFORMADOR DE CORRENTE 230KV - DO DISJUNTOR LDDJ6-06-LDTC6-01, FASE B-Serviço de Desmontagem, adequação de projeto, Montagem Eletromecânica e Comissionamento com Fornecimento de Materiais e infraestrutura para substituição de Transformadores de Corrente 245kV </t>
  </si>
  <si>
    <t xml:space="preserve">SAO LUIS II|0008288/2023-SUBSTITUIR TRANSFORMADOR DE CORRENTE 230KV - DO DISJUNTOR LDDJ6-06-LDTC6-01, FASE V-Serviço de Desmontagem, adequação de projeto, Montagem Eletromecânica e Comissionamento com Fornecimento de Materiais e infraestrutura para substituição de Transformadores de Corrente 245kV </t>
  </si>
  <si>
    <t xml:space="preserve">SAO LUIS II|0008310/2023-SUBSTITUIR TRANSFORMADOR DE CORRENTE 230KV - DO DISJUNTOR LDDJ6-08-LDTC6-01, FASE B.-Serviço de Desmontagem, adequação de projeto, Montagem Eletromecânica e Comissionamento com Fornecimento de Materiais e infraestrutura para substituição de Transformadores de Corrente 245kV </t>
  </si>
  <si>
    <t xml:space="preserve">SAO LUIS II|0008322/2023-SUBSTITUIR TRANSFORMADOR DE CORRENTE 230KV - DO DISJUNTOR LDDJ6-08-LDTC6-01, FASE V-Serviço de Desmontagem, adequação de projeto, Montagem Eletromecânica e Comissionamento com Fornecimento de Materiais e infraestrutura para substituição de Transformadores de Corrente 245kV </t>
  </si>
  <si>
    <t xml:space="preserve">SAO LUIS II|0008327/2023-SUBSTITUIR TRANSFORMADOR DE CORRENTE 230KV - DO DISJUNTOR LDDJ6-10-LDTC6-01, FASE A, FASE B, FASE V-Serviço de Desmontagem, adequação de projeto, Montagem Eletromecânica e Comissionamento com Fornecimento de Materiais e infraestrutura para substituição de Transformadores de Corrente 245kV </t>
  </si>
  <si>
    <t xml:space="preserve">SAO LUIS II|0008333/2023-SUBSTITUIR TRANSFORMADOR DE CORRENTE 230KV - DO AT703-MC500-LDTC701, FASE A, FASE B, FASE V-Serviço de Desmontagem, adequação de projeto, Montagem Eletromecânica e Comissionamento com Fornecimento de Materiais e infraestrutura para substituição de Transformadores de Corrente 245kV </t>
  </si>
  <si>
    <t xml:space="preserve">SAO LUIS II|0008335/2023-SUBSTITUIR TRANSFORMADOR DE CORRENTE 230KV - DO DISJUNTOR LDDJ6-04-LDTC6-01, FASE A-Serviço de Desmontagem, adequação de projeto, Montagem Eletromecânica e Comissionamento com Fornecimento de Materiais e infraestrutura para substituição de Transformadores de Corrente 245kV </t>
  </si>
  <si>
    <t xml:space="preserve">SAO LUIS II|0008337/2023-SUBSTITUIR TRANSFORMADOR DE CORRENTE 230KV - IB230IB2-LDTC601, FASE B, FASE V-Serviço de Desmontagem, adequação de projeto, Montagem Eletromecânica e Comissionamento com Fornecimento de Materiais e infraestrutura para substituição de Transformadores de Corrente 245kV </t>
  </si>
  <si>
    <t xml:space="preserve">SAO LUIS II|0008887/2023-SUBSTITUIÇÃO DO TRANSFORMADOR DE CORRENTE DE 230kV, FASE "V", ASSOCIADO AO LDDJ6-06, DO BAY DO BANCO DE AUTOTRANSFORMADORES LDAT7-01-Serviço de Desmontagem, adequação de projeto, Montagem Eletromecânica e Comissionamento com Fornecimento de Materiais e infraestrutura para substituição de Transformadores de Corrente 245kV </t>
  </si>
  <si>
    <t xml:space="preserve">VILA DO CONDE|0006678/2023-Substituição do Transformador de corrente de 230 kV fase "V" Vão 
 I SECÇÃO Y2 (VCDJ6 11)-Serviço de Desmontagem, adequação de projeto, Montagem Eletromecânica e Comissionamento com Fornecimento de Materiais e infraestrutura para substituição de Transformadores de Corrente 245kV </t>
  </si>
  <si>
    <t xml:space="preserve">VILA DO CONDE|0006680/2023-Substituição do Transformador de corrente de 230 kV fase "B" Vão 
 I SECÇÃO Y2 (VCDJ6 11)-Serviço de Desmontagem, adequação de projeto, Montagem Eletromecânica e Comissionamento com Fornecimento de Materiais e infraestrutura para substituição de Transformadores de Corrente 245kV </t>
  </si>
  <si>
    <t xml:space="preserve">VILA DO CONDE|0006681/2023-Substituição do Transformador de corrente de 230 kV fase "A" Vão 
 I SECÇÃO Y2 (VCDJ6 11)-Serviço de Desmontagem, adequação de projeto, Montagem Eletromecânica e Comissionamento com Fornecimento de Materiais e infraestrutura para substituição de Transformadores de Corrente 245kV </t>
  </si>
  <si>
    <t xml:space="preserve">VILA DO CONDE|0006721/2023-Substituição do Transformador de corrente de 230 kV fase "V" Vão 
 J SECÇÃO Y1 (VCDJ6 08)-Serviço de Desmontagem, adequação de projeto, Montagem Eletromecânica e Comissionamento com Fornecimento de Materiais e infraestrutura para substituição de Transformadores de Corrente 245kV </t>
  </si>
  <si>
    <t xml:space="preserve">VILA DO CONDE|0006729/2023-Substituição do Transformador de corrente de 230 kV fase "B" Vão J SECÇÃO Y1 (VCDJ6 08)-Serviço de Desmontagem, adequação de projeto, Montagem Eletromecânica e Comissionamento com Fornecimento de Materiais e infraestrutura para substituição de Transformadores de Corrente 245kV </t>
  </si>
  <si>
    <t xml:space="preserve">VILA DO CONDE|0006737/2023-TRANSFORMADOR DE CORRENTE 230 kV, 2000A/5, 60HZ-Serviço de Desmontagem, adequação de projeto, Montagem Eletromecânica e Comissionamento com Fornecimento de Materiais e infraestrutura para substituição de Transformadores de Corrente 245kV </t>
  </si>
  <si>
    <t xml:space="preserve">VILA DO CONDE|0006746/2023-Substituição do Transformador de corrente de 230 kV fase "V" Vão I SECÇÃO Y1 (VCDJ6 11)-Serviço de Desmontagem, adequação de projeto, Montagem Eletromecânica e Comissionamento com Fornecimento de Materiais e infraestrutura para substituição de Transformadores de Corrente 245kV </t>
  </si>
  <si>
    <t xml:space="preserve">VILA DO CONDE|0006754/2023-Substituição do Transformador de corrente de 230 kV fase "B" Vão I SECÇÃO Y1 (VCDJ6 11)-Serviço de Desmontagem, adequação de projeto, Montagem Eletromecânica e Comissionamento com Fornecimento de Materiais e infraestrutura para substituição de Transformadores de Corrente 245kV </t>
  </si>
  <si>
    <t xml:space="preserve">VILA DO CONDE|0006760/2023-Substituição do Transformador de corrente de 230 kV fase "A" Vão I SECÇÃO Y1 (VCDJ6 11)-Serviço de Desmontagem, adequação de projeto, Montagem Eletromecânica e Comissionamento com Fornecimento de Materiais e infraestrutura para substituição de Transformadores de Corrente 245kV </t>
  </si>
  <si>
    <t xml:space="preserve">VILA DO CONDE|0006769/2023-Substituição do Transformador de corrente de 230 kV fase "V" Vão I SECÇÃO X (VCDJ6 10)-Serviço de Desmontagem, adequação de projeto, Montagem Eletromecânica e Comissionamento com Fornecimento de Materiais e infraestrutura para substituição de Transformadores de Corrente 245kV </t>
  </si>
  <si>
    <t xml:space="preserve">VILA DO CONDE|0006775/2023-Substituição do Transformador de corrente de 230 kV fase "B" Vão I SECÇÃO X (VCDJ6 10)-Serviço de Desmontagem, adequação de projeto, Montagem Eletromecânica e Comissionamento com Fornecimento de Materiais e infraestrutura para substituição de Transformadores de Corrente 245kV </t>
  </si>
  <si>
    <t xml:space="preserve">VILA DO CONDE|0006777/2023-Substituição do Transformador de corrente de 230 kV fase "A" Vão I SECÇÃO X (VCDJ6 10)-Serviço de Desmontagem, adequação de projeto, Montagem Eletromecânica e Comissionamento com Fornecimento de Materiais e infraestrutura para substituição de Transformadores de Corrente 245kV </t>
  </si>
  <si>
    <t xml:space="preserve">VILA DO CONDE|0006780/2023-Substituição do Transformador de corrente de 230 kV fase "V" Vão H SECÇÃO Y2 (VCDJ6 14)-Serviço de Desmontagem, adequação de projeto, Montagem Eletromecânica e Comissionamento com Fornecimento de Materiais e infraestrutura para substituição de Transformadores de Corrente 245kV </t>
  </si>
  <si>
    <t xml:space="preserve">VILA DO CONDE|0006784/2023-TRANSFORMADOR DE CORRENTE 230 kV, 2000A/5, 60HZ-Serviço de Desmontagem, adequação de projeto, Montagem Eletromecânica e Comissionamento com Fornecimento de Materiais e infraestrutura para substituição de Transformadores de Corrente 245kV </t>
  </si>
  <si>
    <t xml:space="preserve">VILA DO CONDE|0006788/2023-Substituição do Transformador de corrente de 230 kV fase "A" Vão H SECÇÃO Y2 (VCDJ6 14)-Serviço de Desmontagem, adequação de projeto, Montagem Eletromecânica e Comissionamento com Fornecimento de Materiais e infraestrutura para substituição de Transformadores de Corrente 245kV </t>
  </si>
  <si>
    <t xml:space="preserve">VILA DO CONDE|0006794/2023-Substituição do Transformador de corrente de 230 kV fase "V" Vão D SECÇÃO Y2 (VCDJ6 26)-Serviço de Desmontagem, adequação de projeto, Montagem Eletromecânica e Comissionamento com Fornecimento de Materiais e infraestrutura para substituição de Transformadores de Corrente 245kV </t>
  </si>
  <si>
    <t xml:space="preserve">VILA DO CONDE|0006796/2023-Substituição do Transformador de corrente de 230 kV fase "B" Vão D SECÇÃO Y2 (VCDJ6 26)-Serviço de Desmontagem, adequação de projeto, Montagem Eletromecânica e Comissionamento com Fornecimento de Materiais e infraestrutura para substituição de Transformadores de Corrente 245kV </t>
  </si>
  <si>
    <t xml:space="preserve">VILA DO CONDE|0006798/2023-Substituição do Transformador de corrente de 230 kV fase "A" Vão D SECÇÃO Y2 (VCDJ6 26)-Serviço de Desmontagem, adequação de projeto, Montagem Eletromecânica e Comissionamento com Fornecimento de Materiais e infraestrutura para substituição de Transformadores de Corrente 245kV </t>
  </si>
  <si>
    <t xml:space="preserve">VILA DO CONDE|0006811/2023-Substituição do Transformador de corrente de 230 kV fase "V" Vão C SECÇÃO Y2- (VCDJ6 29)-Serviço de Desmontagem, adequação de projeto, Montagem Eletromecânica e Comissionamento com Fornecimento de Materiais e infraestrutura para substituição de Transformadores de Corrente 245kV </t>
  </si>
  <si>
    <t xml:space="preserve">VILA DO CONDE|0006818/2023-Substituição do Transformador de corrente de 230 kV fase "B" Vão C SECÇÃO Y2- (VCDJ6 29)-Serviço de Desmontagem, adequação de projeto, Montagem Eletromecânica e Comissionamento com Fornecimento de Materiais e infraestrutura para substituição de Transformadores de Corrente 245kV </t>
  </si>
  <si>
    <t xml:space="preserve">VILA DO CONDE|0006824/2023-Substituição do Transformador de corrente de 230 kV fase "A" Vão C SECÇÃO Y2- (VCDJ6 29)-Serviço de Desmontagem, adequação de projeto, Montagem Eletromecânica e Comissionamento com Fornecimento de Materiais e infraestrutura para substituição de Transformadores de Corrente 245kV </t>
  </si>
  <si>
    <t xml:space="preserve">VILA DO CONDE|0006831/2023-Substituição do Transformador de corrente de 230 kV fase "V" Vão C SECÇÃO Y1- (VCDJ6 29)-Serviço de Desmontagem, adequação de projeto, Montagem Eletromecânica e Comissionamento com Fornecimento de Materiais e infraestrutura para substituição de Transformadores de Corrente 245kV </t>
  </si>
  <si>
    <t xml:space="preserve">VILA DO CONDE|0006838/2023-Substituição do Transformador de corrente de 230 kV fase "B" Vão C SECÇÃO Y1- (VCDJ6 29)-Serviço de Desmontagem, adequação de projeto, Montagem Eletromecânica e Comissionamento com Fornecimento de Materiais e infraestrutura para substituição de Transformadores de Corrente 245kV </t>
  </si>
  <si>
    <t xml:space="preserve">VILA DO CONDE|0006845/2023-Substituição do Transformador de corrente de 230 kV fase "A" Vão C SECÇÃO Y1- (VCDJ6 29)-Serviço de Desmontagem, adequação de projeto, Montagem Eletromecânica e Comissionamento com Fornecimento de Materiais e infraestrutura para substituição de Transformadores de Corrente 245kV </t>
  </si>
  <si>
    <t xml:space="preserve">VILA DO CONDE|0007250/2023-Substituição do Transformador de corrente de 230 kV fase "V" Vão A1 SECÇÃO Y-2 - (VCDJ6 38)-Serviço de Desmontagem, adequação de projeto, Montagem Eletromecânica e Comissionamento com Fornecimento de Materiais e infraestrutura para substituição de Transformadores de Corrente 245kV </t>
  </si>
  <si>
    <t xml:space="preserve">VILA DO CONDE|0007264/2023-Substituição do Transformador de corrente de 230 kV fase "B" Vão A1 SECÇÃO Y-2 - (VCDJ6 38)-Serviço de Desmontagem, adequação de projeto, Montagem Eletromecânica e Comissionamento com Fornecimento de Materiais e infraestrutura para substituição de Transformadores de Corrente 245kV </t>
  </si>
  <si>
    <t xml:space="preserve">VILA DO CONDE|0007276/2023-Substituição do Transformador de corrente de 230 kV fase "A" Vão A1 SECÇÃO Y-2 - (VCDJ6 38)-Serviço de Desmontagem, adequação de projeto, Montagem Eletromecânica e Comissionamento com Fornecimento de Materiais e infraestrutura para substituição de Transformadores de Corrente 245kV </t>
  </si>
  <si>
    <t>P.DUTRA|0008908/2023-Substituição de TC (Transformador de Corrente) associado ao PDDJ705 - fase A-TCs 500kV</t>
  </si>
  <si>
    <t>VILA DO CONDE|0000711/2023-Substituição dos painéis de SPCS da Proteção de Barras (Cadeia Principal - 230 kV) VCBR6-01 e VCBR6-02 com vida útil esgotada por um novo, com características similares.-</t>
  </si>
  <si>
    <t>TUCURUI|0002199/2023-SUBSTITUIÇÃO DO TC DO AUTOTRANSFORMADOR TCAT7-02 FASE B-</t>
  </si>
  <si>
    <t>TUCURUI|0002200/2023-SUBSTITUIÇÃO DO TC DO AUTOTRANSFORMADOR TCAT7-02 FASE A-</t>
  </si>
  <si>
    <t>TUCURUI|0002471/2023-Substituição de três (03) Para-Raios 500 KV SE Tucuruí no vão Bz-</t>
  </si>
  <si>
    <t>TUCURUI|0002475/2023-Substituição de três (03) Transformador Potencial 500 KV SE Tucuruí no vão Bz-</t>
  </si>
  <si>
    <t>MARABA|0002570/2023-Substituição de duas (02) Bobinas de Bloqueio 500 KV SE Marabá, na LT Marabá - Tucuruí C1-</t>
  </si>
  <si>
    <t>TUCURUI|0002571/2023-Substituição de três (03) Transformador Potencial 500 KV SE Tucuruí no vão Iz-</t>
  </si>
  <si>
    <t>P.DUTRA|0003180/2023-Substituição de TC (Transformador de Corrente) associado ao PDRE7-01 (PDTC7-01 FASE B) Local de Instalação: N-S-MAPD-RE701-MC500-PDTC701 Fase B Equipamento SAP: 11991503-</t>
  </si>
  <si>
    <t>P.DUTRA|0003187/2023-Substituição de TC (Transformador de Corrente) associado ao PDRE7-01 (PDTC7-01 FASE A) Local de Instalação: N-S-MAPD-RE701-MC500-PDTC701 Fase A Equipamento SAP: 11991502-</t>
  </si>
  <si>
    <t>ABUNA|0004168/2023-MODERNIZAÇÃO DA REDE COMUNICAÇÃO OPERATIVA DA SE ABUNÃ-</t>
  </si>
  <si>
    <t>ABUNA|0004170/2023-MODERNIZAÇÃO DO SISTEMA DE SUPERVISÃO DA SUBESTAÇÃO ABUNÃ-</t>
  </si>
  <si>
    <t>TUCURUI|0004616/2023-Substituição da chave seccionadora de 500kV - MBSD7-41-</t>
  </si>
  <si>
    <t>MIRACEMA|0004901/2023-Substituição do banco de baterias Nº 2 de 125 VCC do serviço auxiliar de Miracema (MCBAI-02), N-S-TOMC-MG701-MG500-CCI01-MCBAI02, Equipamento SAP: 12340567-</t>
  </si>
  <si>
    <t>MIRACEMA|0004910/2023-Substituição do banco de baterias Nº 1 de 125 VCC do serviço auxiliar de Miracema (MCBAI-01), N-S-TOMC-MG701-MG500-CCI01-MCBAI01, Equipamento SAP: 11916862-</t>
  </si>
  <si>
    <t>MIRACEMA|0004918/2023-Substituição do disjuntor de 500 kV (MCDJ7-08), N-S-TOMC-MG701-IB500IB1-DJ708-MCDJ708, Equipamento SAP: 11916897-</t>
  </si>
  <si>
    <t>MIRACEMA|0004926/2023-Substituição do disjuntor de 500 kV (MCDJ7-07),N-S-TOMC-TF701-MC500-MCDJ707, Equipamento SAP: 11916990-</t>
  </si>
  <si>
    <t>P.DUTRA|0004938/2023-Substituição dos sistemas de proteção e controle do transformador PDTF6-03-</t>
  </si>
  <si>
    <t>P.DUTRA|0004949/2023-SUBSTITUIÇÃO PARA DUPLICAÇÃO DA CADEIA DE PROTEÇÃO DE BARRAS 230KV DA SE PRESIDENTE DUTRA-</t>
  </si>
  <si>
    <t>MARABA|0006587/2023-Substituição dos painéis de SPCS do Paralelismo dos transformadores AT1, e AT2 500/230 kV instalados na casa de relés da SEMB.-</t>
  </si>
  <si>
    <t>MARABA|0006597/2023-Substituição da Chave Seccionadora C/LT 500kV MBSL7-01-</t>
  </si>
  <si>
    <t>TUCURUI|0006623/2023-Substituição dos painéis de SPCS da LT 
TCVC-LT7-01 (IZ) com vida útil esgotada por um novo, com características similares.-</t>
  </si>
  <si>
    <t>MARABA|0006641/2023-Substituição da Chave Seccionadora 500kV MBSD7-04 associada ao disjuntor MBDJ7-02-</t>
  </si>
  <si>
    <t>MARABA|0006646/2023-Substituição da chave seccionadora MBSD7-41-</t>
  </si>
  <si>
    <t>BARRA PEIXE|0006684/2023-SUBSTITUIR O TC 230kV FASE A DO AUTOTRANSFORMADOR NÚMERO 1 DA SE BARRA DO PEIXE-</t>
  </si>
  <si>
    <t>BARRA PEIXE|0006685/2023-SUBSTITUIR O TC 230kV FASE B DO AUTOTRANSFORMADOR NÚMERO 1 DA SE BARRA DO PEIXE-</t>
  </si>
  <si>
    <t>BARRA PEIXE|0006686/2023-SUBSTITUIR O TC 230kV FASE V DO AUTOTRANSFORMADOR NÚMERO 1 DA SE BARRA DO PEIXE-</t>
  </si>
  <si>
    <t>COLINAS|0006687/2023-Substituição do disjuntor de 500 kV (CODJ7-09),N-S-TOCO-COMCLT701-ELCO-CODJ709, Equipamento SAP: 11916560-</t>
  </si>
  <si>
    <t>COLINAS|0006688/2023-Substituição do disjuntor de 500 kV (CODJ7-08), N-S-TOCO-MG701-IB500IB1-DJ708-CODJ708, Equipamento SAP: 11916652-</t>
  </si>
  <si>
    <t>COLINAS|0006692/2023-Substituição do disjuntor de 500 kV (CODJ7-07), N-S-TOCO-IZCOLT701-ELCO-CODJ707, Equipamento SAP: 11916794-</t>
  </si>
  <si>
    <t>MIRACEMA|0006731/2023-Substituição do disjuntor de 500 kV (MCDJ7-11), N-S-TOMC-MG701-IB500IB5-DJ711-MCDJ711, Equipamento SAP: 11916901-</t>
  </si>
  <si>
    <t>MIRACEMA|0006745/2023-Substituição do disjuntor de 500 kV (MCDJ7-10), N-S-TOMC-COMCLT701-ELMC-MCDJ710, Equipamento SAP: 11916734-</t>
  </si>
  <si>
    <t>MIRACEMA|0006782/2023-Substituir TPC 500 KV da barra 1 fase A, N-S-TOMC-MG701-MG500-BR701-MCTP701 - A, equipamento SAP: 11981525-</t>
  </si>
  <si>
    <t>COLINAS|0006786/2023-Substituir TPC 500 KV da barra 1 fase V, N-S-TOCO-MG701-MG500-BR701-COTP701 - V, equipamento SAP: 11981174-</t>
  </si>
  <si>
    <t>VILA DO CONDE|0007748/2023-Substituição dos equipamentos da rede de comunicação de dados da rede LAN da Subestação Vila do Conde (VCRL7-01): Painéis, Máquina de engenharia, Sistema supervisório, Switches, GPS, fibra óticas etc.-</t>
  </si>
  <si>
    <t>COLINAS|0007770/2023-SUBSTITUIÇÃO DE BUCHAS, VEDAÇÕES, PAINEL DE INSTRUMENTAÇÃO/VENTILAÇÃO, VÁLVULAS, RELÉS DE GÁS E BOLSA DE EXPANSÃO, ETC, DO CORN4-01- REATOR DE NEUTRO DO REATOR CORE7-01-</t>
  </si>
  <si>
    <t>COLINAS|0007775/2023-SUBSTITUIÇÃO DE BUCHAS, VEDAÇÕES, PAINEL DE INSTRUMENTAÇÃO/VENTILAÇÃO, VÁLVULAS, RELÉS DE GÁS E BOLSA DE EXPANSÃO E ETC, DO CORN4-02- REATOR DE NEUTRO DO REATOR CORE7-02-</t>
  </si>
  <si>
    <t>IMPERATRIZ|0008294/2023-Substituição de TC (Transformador de Corrente) associado ao IZDJ707 fase V-</t>
  </si>
  <si>
    <t>TUCURUI|0008311/2023-Substituição de 3TC's associados ao disjuntor TCDJ7-26 (7TCIY2)-</t>
  </si>
  <si>
    <t>TUCURUI|0008321/2023-Substituição de 2 TC's de 500kV associado ao disjuntor TCDJ7-26(7TCIY1)-</t>
  </si>
  <si>
    <t>TUCURUI|0008357/2023-Substituição de 3 TCs associados ao disjuntor TCDJ7-20 7TCGY1).-</t>
  </si>
  <si>
    <t>IMPERATRIZ|0008527/2023-Substituição de TC (Transformador de Corrente) associado ao IZDJ702 fase B-</t>
  </si>
  <si>
    <t>P.DUTRA|0008529/2023-Substituição de TC (Transformador de Corrente) associado ao PDDJ704 fase V-</t>
  </si>
  <si>
    <t>P.DUTRA|0008530/2023-Substituição de TC (Transformador de Corrente) associado ao PDDJ703 fase A-</t>
  </si>
  <si>
    <t>P.DUTRA|0008532/2023-Substituição de TC (Transformador de Corrente) associado ao PDDJ702 fase A-</t>
  </si>
  <si>
    <t>P.DUTRA|0008545/2023-SUBSTITUIÇÃO DE PARA RAIO 230KV DO PDAT7-01 - PDPR601 - FASE B-</t>
  </si>
  <si>
    <t>P.DUTRA|0008547/2023-SUBSTITUIÇÃO DE PARA RAIO 230KV DO PDAT7-01 - PDPR601 - FASE A-</t>
  </si>
  <si>
    <t>SAO LUIS II|0008554/2023-SUBSTITUIÇÃO DE PARA RAIO 500KV DO LDAT7-04 - LDPR701 - FASE A-</t>
  </si>
  <si>
    <t>P.DUTRA|0008564/2023-Substituição de TC (Transformador de Corrente) associado ao PDDJ708 fase V Local de Instalação: N-S-MAPD-MG701-IB500IB3-DJ708-PDTC701 (V) Equipamento SAP: 111990671-</t>
  </si>
  <si>
    <t>TUCURUI|0008580/2023-Substituição dos equipamentos da rede de comunicação de dados da rede LAN da Subestação: Painéis, Máquina de engenharia, Sistema supervisório, Switches, GPS, fibra óticas etc. - EL TUTC-LT701, 02, 03, 04, 05, 06, 07, 08, 09, 10 e 11.-</t>
  </si>
  <si>
    <t>P.DUTRA|0008586/2023-Substituição de TC (Transformador de Corrente) associado ao IZDJ708 fase B Local de Instalação: N-S-MAPD-MG701-IB500IB3-DJ708-PDTC701 (B) SAP: 11990670-</t>
  </si>
  <si>
    <t>SAO LUIS II|0008603/2023-SUBSTITUIÇÃO DE PARA RAIO 500KV DO LDAT7-03 - LDPR701 - FASE A-</t>
  </si>
  <si>
    <t>IMPERATRIZ|0008674/2023-Substituição de TC (Transformador de Corrente) associado ao IZDJ704 fase A-</t>
  </si>
  <si>
    <t>P.DUTRA|0008679/2023-Substituição de TC (Transformador de Corrente) associado ao PDDJ709 fase B-</t>
  </si>
  <si>
    <t>P.DUTRA|0008688/2023-SUBSTITUIÇÃO DE PARA RAIO 500KV DO REATOR PDRE7-01 - PDPR701 - FASE V-</t>
  </si>
  <si>
    <t>P.DUTRA|0008690/2023-SUBSTITUIÇÃO DE PARA RAIO 500KV DO REATOR PDRE7-01 - PDPR701 - FASE B-</t>
  </si>
  <si>
    <t>P.DUTRA|0008693/2023-SUBSTITUIÇÃO DE PARA RAIO 500KV DO REATOR PDRE7-01 - PDPR701 - FASE A-</t>
  </si>
  <si>
    <t>P.DUTRA|0008720/2023-Substituição de TC (Transformador de Corrente) associado ao PDRE7-09 (PDTC7-01 FASE V) Local de Instalação: N-S-MAPD-RE709-MC500-PDTC701 Fase V Equipamento SAP: 11991538-</t>
  </si>
  <si>
    <t>P.DUTRA|0008730/2023-SUBSTITUIÇÃO DO TRANSFORMADOR REGULADOR PDTF2-07, 13.8KV-</t>
  </si>
  <si>
    <t>P.DUTRA|0008734/2023-SUBSTITUIÇÃO DO TRANSFORMADOR REGULADOR PDTF2-06, 13.8KV-</t>
  </si>
  <si>
    <t>P.DUTRA|0008737/2023-SUBSTITUIÇÃO DE PARA RAIO 500KV DO REATOR MCPDRE7-03 DA LINHA PDMRLT7-02 - PDPR701 - FASE V-</t>
  </si>
  <si>
    <t>IMPERATRIZ|0008746/2023-SUBSTITUIÇÃO DE PARA RAIO 230KV DO IZAT7-01 - IZPR601 - FASE V-</t>
  </si>
  <si>
    <t>P.DUTRA|0008747/2023-Substituição de TC (Transformador de Corrente) associado ao PDRE7-09 (PDTC7-01 FASE B) Local de Instalação: N-S-MAPD-RE709-MC500-PDTC701 Fase B Equipamento SAP: 11991537-</t>
  </si>
  <si>
    <t>P.DUTRA|0008749/2023-Substituição de TC (Transformador de Corrente) associado ao PDRE7-09 (PDTC7-01 FASE A) Local de Instalação: N-S-MAPD-RE709-MC500-PDTC701 Fase A Equipamento SAP: 11991536-</t>
  </si>
  <si>
    <t>P.DUTRA|0008751/2023-Substituição de TC (Transformador de Corrente) associado ao PDRE7-01 (PDTC7-01 FASE V) Local de Instalação: N-S-MAPD-RE701-MC500-PDTC701 Fase V Equipamento SAP: 11991504-</t>
  </si>
  <si>
    <t>P.DUTRA|0008753/2023-Substituição de TC (Transformador de Corrente) associado ao PDDJ7-12 (PDTC7-02 FASE V) Local de Instalação: N-S-MAPD-MG701-IB500IB4-DJ712-PDTC702 Fase V Equipamento SAP: 11990685-</t>
  </si>
  <si>
    <t>P.DUTRA|0008754/2023-Substituição de TC (Transformador de Corrente) associado ao PDDJ7-12 (PDTC7-02 FASE B) Local de Instalação: N-S-MAPD-MG701-IB500IB4-DJ712-PDTC702 Fase B Equipamento SAP: 11990684-</t>
  </si>
  <si>
    <t>P.DUTRA|0008756/2023-Substituição de TC (Transformador de Corrente) associado ao PDDJ7-12 (PDTC7-02 FASE A) Local de Instalação: N-S-MAPD-MG701-IB500IB4-DJ712-PDTC702 Fase A Equipamento SAP: 11990683-</t>
  </si>
  <si>
    <t>IMPERATRIZ|0008759/2023-Substituição de TC (Transformador de Corrente) associado ao IZDJ702 fase V
Local de Instalação: N-S-MAIZ-AT701-MC500-IZTC701 (V)-</t>
  </si>
  <si>
    <t>IMPERATRIZ|0008761/2023-Substituição de TC (Transformador de Corrente) associado ao IZDJ702 fase A
Local de Instalação: N-S-MAIZ-AT701-MC500-IZTC701 (A)-</t>
  </si>
  <si>
    <t>COLINAS|0008842/2023-SUBSTITUIÇÃO DE BUCHAS, VEDAÇÕES, PAINEL DE INSTRUMENTAÇÃO/VENTILAÇÃO, VÁLVULAS, RELÉS DE GÁS E BOLSA DE EXPANSÃO, ETC, DO CORE7-01 FASE RESERVA-</t>
  </si>
  <si>
    <t>IMPERATRIZ|0008894/2023-Substituição de TC (Transformador de Corrente) associado ao IZDJ703 fase A-</t>
  </si>
  <si>
    <t>IMPERATRIZ|0008919/2023-SUBSTITUIÇÃO DO DISJUNTOR IZDJ7-01.-</t>
  </si>
  <si>
    <t>IMPERATRIZ|0008921/2023-SUBSTITUIÇÃO DO DISJUNTOR IZDJ7-02.-</t>
  </si>
  <si>
    <t>P.DUTRA|0008924/2023-SUBSTITUIÇÃO DO DISJUNTOR PDDJ7-02.-</t>
  </si>
  <si>
    <t>P.DUTRA|0008930/2023-SUBSTITUIÇÃO DO DISJUNTOR PDDJ7-03.-</t>
  </si>
  <si>
    <t>SAO LUIS II|0008932/2023-SUBSTITUIÇÃO DO DISJUNTOR LDDB6-02.-</t>
  </si>
  <si>
    <t>SAO LUIS II|0008933/2023-SUBSTITUIÇÃO DO DISJUNTOR LDDJ6-04.-</t>
  </si>
  <si>
    <t>P.DUTRA|0008937/2023-SUBSTITUIÇÃO DO DISJUNTOR PDDJ7-04.-</t>
  </si>
  <si>
    <t>P.DUTRA|0008938/2023-SUBSTITUIÇÃO DO DISJUNTOR PDDJ7-06.-</t>
  </si>
  <si>
    <t>P.DUTRA|0008939/2023-SUBSTITUIÇÃO DO DISJUNTOR PDDJ7-13.-</t>
  </si>
  <si>
    <t>SAO LUIS II|0008941/2023-SUBSTITUIÇÃO DO DISJUNTOR LDDJ7-09.-</t>
  </si>
  <si>
    <t>SAO LUIS II|0008944/2023-SUBSTITUIÇÃO DO DISJUNTOR LDDJ7-10.-</t>
  </si>
  <si>
    <t>P.DUTRA|0008948/2023-SUBSTITUIÇÃO DO DISJUNTOR PDDB6-01.-</t>
  </si>
  <si>
    <t>P.DUTRA|0008950/2023-SUBSTITUIÇÃO DO DISJUNTOR PDDJ6-06.-</t>
  </si>
  <si>
    <t>IMPERATRIZ|0009018/2023-Substituição dos quadros de Serviços Auxiliares PT-1EA/PT1-EB/PT-2/PT-3/PT4-EA/PT4-EB/PT-6EA e PT-6EB de 440VCA da sala de comando da SE Imperatriz 500 kV-</t>
  </si>
  <si>
    <t>P.DUTRA|0009022/2023-Substituição dos quadros de Serviços Auxiliares PT-1EA/PT1-EB/PT-2 e PT-3 de 220VCA da sala de comando da SE P.Dutra 500 kV-</t>
  </si>
  <si>
    <t>SAO LUIS II|0009026/2023-Substituição dos quadros de Serviços auxiliares PT-1EA/PT1-EB/PT-2/PT-3 de 440VCA da Sala de comando da SE São Luís II 500 kV-</t>
  </si>
  <si>
    <t>SAO LUIS II|0009027/2023-Substituição dos quadros de Serviços auxiliares PT-1EA/PT1-EB/PT-2A ePT-3 de 220/127VCA da Sala de comando da SE São Luís II 500 kV-</t>
  </si>
  <si>
    <t>P.DUTRA|0009083/2023-Substituição do quadro de Serviços Auxiliares QSA 230 - C01 de 220 Vca da Casa de Relés de 230 kV da SE P.Dutra 500 kV-</t>
  </si>
  <si>
    <t>IMPERATRIZ|0009085/2023-SUBSTITUIÇÃO DE PARA RAIO 230KV DO IZAT7-01 - IZPR601 - FASE B-</t>
  </si>
  <si>
    <t>IMPERATRIZ|0009091/2023-SUBSTITUIÇÃO DE PARA RAIO 230KV DO IZAT7-01 - IZPR601 - FASE A-</t>
  </si>
  <si>
    <t>SAO LUIS II|0009094/2023-SUBSTITUIÇÃO SISTEMA DE PROTEÇAO, COMANDO E SUPERVISÃO DO BAY DA BARRA MG230-BR601-LDSPRBR-</t>
  </si>
  <si>
    <t>P.DUTRA|0009101/2023-Substituição de TC (Transformador de Corrente) associado ao PDDJ704 fase B-</t>
  </si>
  <si>
    <t>SAO LUIS II|0009110/2023-Substituição dos quadros de Serviços auxiliares PT-1EA(500kV)/PT1-EB(500kV)/PT-1EA(230kV)/PT1-EB(230kV) de 125VCC da Sala de comando da SE São Luís II 500 kV-</t>
  </si>
  <si>
    <t>P.DUTRA|0009115/2023-Substituição de TC (Transformador de Corrente) associado ao PDDJ709 fase A-</t>
  </si>
  <si>
    <t>SAO LUIS II|0009137/2023-SUBSTITUIÇÃO DE PARA RAIO 230KV DO LDAT7-03 - LDPR601 - FASE A-</t>
  </si>
  <si>
    <t>SAO LUIS II|0009141/2023-SUBSTITUIÇÃO DE PARA RAIO 230KV DO LDAT7-03 - LDPR601 - FASE B-</t>
  </si>
  <si>
    <t>SAO LUIS II|0009142/2023-SUBSTITUIÇÃO DE PARA RAIO 230KV DO LDAT7-03 - LDPR601 - FASE V-</t>
  </si>
  <si>
    <t>SAO LUIS II|0009147/2023-SUBSTITUIÇÃO DE PARA RAIO 230KV DO LDAT7-04 - LDPR601 - FASE A-</t>
  </si>
  <si>
    <t>SAO LUIS II|0009168/2023-SUBSTITUIÇÃO DO DISJUNTOR LDDB6-01.-</t>
  </si>
  <si>
    <t>IMPERATRIZ|0009185/2023-SUBSTITUIÇÃO DO DISJUNTOR IZDB4-01-</t>
  </si>
  <si>
    <t>P.DUTRA|0009236/2023-SUBSTITUIR DISJUNTOR 69KV PDDB4-01-</t>
  </si>
  <si>
    <t>IMPERATRIZ|0009256/2023-SUBSTITUIÇÃO DE PARA RAIO DO REATOR IZRE7-06 - IZPR701 - FASE A-</t>
  </si>
  <si>
    <t>IMPERATRIZ|0009257/2023-SUBSTITUIÇÃO DE PARA RAIO DO REATOR IZRE7-06 - IZPR701 - FASE B-</t>
  </si>
  <si>
    <t>IMPERATRIZ|0009260/2023-SUBSTITUIÇÃO DE PARA RAIO DO REATOR IZRE7-06 - IZPR701 - FASE V-</t>
  </si>
  <si>
    <t>P.DUTRA|0009264/2023-SUBSTITUIÇÃO DE PARA RAIO 230KV DO PDAT7-01 - PDPR601 - FASE V-</t>
  </si>
  <si>
    <t>P.DUTRA|0009265/2023-SUBSTITUIÇÃO DE PARA RAIO 230KV DO PDCS2-01 - PDPR601 - FASE A-</t>
  </si>
  <si>
    <t>P.DUTRA|0009267/2023-SUBSTITUIÇÃO DE PARA RAIO 230KV DO PDCS2-01 - PDPR601 - FASE B-</t>
  </si>
  <si>
    <t>P.DUTRA|0009268/2023-SUBSTITUIÇÃO DE PARA RAIO 230KV DO PDCS2-01 - PDPR601 - FASE V-</t>
  </si>
  <si>
    <t>VILA DO CONDE|0009272/2023-SUBSTITUIÇÃO DE SECCIONADORA DE ATERRAMENTO 500 kV VCCA7-02 (VCBR7-02)-</t>
  </si>
  <si>
    <t>IMPERATRIZ|0009281/2023-SUBSTITUIÇÃO DE UM TPC DE 500 kV, N-S-MAIZ-MG701-MG500-BR701-TP701, FASE "B"-</t>
  </si>
  <si>
    <t>IMPERATRIZ|0009282/2023-Substituição dos quadros de Serviços Auxiliares Painel 57/Painel 58/Painel 59/Painel 60/painel 61/Painel 62 e Painel 76 de 220VCA da sala de comando da SE Imperatriz 500 kV-</t>
  </si>
  <si>
    <t>VILA DO CONDE|0009286/2023-SUBSTITUIÇÃO DE SECCIONADORA DE ATERRAMENTO 500 kV VCCA7-01 (VCBR7-01)-</t>
  </si>
  <si>
    <t>P.DUTRA|0009287/2023-Substituição dos quadros de Serviços Auxiliares PT1-EA/PT1-EB/PT-2/PT-3/PT--EA/PT5-EB e PT-6 de 440VCA da sala de comando da SE P.Dutra 500 kV-</t>
  </si>
  <si>
    <t>VILA DO CONDE|0009301/2023-SUBSTITUIÇÃO DE SECCIONADORA 500 kV VCSD7-01-</t>
  </si>
  <si>
    <t>P.DUTRA|0009303/2023-Substituição dos quadros de Serviços Auxiliares PT1-EA/PT1-EB/PT-2/PT-3/PT--EA/PT5-EB e PT-6 de 440VCA da sala de comando da SE P.Dutra 500 kV-</t>
  </si>
  <si>
    <t>VILA DO CONDE|0009304/2023-SUBSTITUIÇÃO DE SECCIONADORA 500 kV VCSL7-01-</t>
  </si>
  <si>
    <t>IMPERATRIZ|0009309/2023-Substituição de TC (Transformador de Corrente) associado ao IZDJ701 fase V-</t>
  </si>
  <si>
    <t>VILA DO CONDE|0009311/2023-SUBSTITUIÇÃO DE DISJUNTOR 500 kV VCDJ7-01-</t>
  </si>
  <si>
    <t>IMPERATRIZ|0009312/2023-Substituição de TC (Transformador de Corrente) associado ao IZDJ703 fase B-</t>
  </si>
  <si>
    <t>IMPERATRIZ|0009346/2023-SUBSTITUIÇÃO DE 1 SQSACA POR OUTRO DE CARACTERISTICAS SEMELHANTES-</t>
  </si>
  <si>
    <t>MARABA|0009348/2023-Substituição do disjuntor 500kV MBDJ7-01-</t>
  </si>
  <si>
    <t>MARABA|0009349/2023-Substituição do disjuntor 500kV MBDJ7-02-</t>
  </si>
  <si>
    <t>VILA DO CONDE|0009351/2023-Substituição dos painéis de SPCS da LT TCVC-LT7-01 (DX) com vida útil esgotada por um novo, com características similares.-</t>
  </si>
  <si>
    <t>IMPERATRIZ|0009377/2023-SUBSTITUIÇÃO DE 1 SQSACA POR OUTRO DE CARACTERISTICAS SEMELHANTES-</t>
  </si>
  <si>
    <t>MARABA|0009385/2023-Substituição da Chave Seccionadora 500kV MBSD7-01 associada ao disjuntor MBDJ7-01-</t>
  </si>
  <si>
    <t>SAO LUIS II|0009388/2023-SUBSTITUICÃO DA CHAVE SECIONADORA 230 kV LDSB6-12-</t>
  </si>
  <si>
    <t>SAO LUIS II|0009399/2023-SUBSTITUICÃO DA CHAVE SECIONADORA 500 kV LDST7-01-</t>
  </si>
  <si>
    <t>MARABA|0009405/2023-Substituição da Chave Seccionadora 500kV MBSD7-02 associada ao disjuntor MBDJ7-01-</t>
  </si>
  <si>
    <t>SAO LUIS II|0009416/2023-SUBSTITUICÃO DA CHAVE SECIONADORA 500 kV LDSD7-05-</t>
  </si>
  <si>
    <t>MARABA|0009417/2023-Substituição dos painéis de SPCS associados ao BCS (MBCL7-02 - VÃO CX) instalados na casa de relés.-</t>
  </si>
  <si>
    <t>IMPERATRIZ|0009418/2023-SUBSTITUIÇÃO DE 1 SQSACA POR OUTRO DE CARACTERISTICAS SEMELHANTES-</t>
  </si>
  <si>
    <t>SAO LUIS II|0009419/2023-SUBSTITUICÃO DA CHAVE SECIONADORA 500 kV LDSD7-06-</t>
  </si>
  <si>
    <t>SAO LUIS II|0009425/2023-SUBSTITUICÃO DA CHAVE SECIONADORA 230 kV LDSB6-11-</t>
  </si>
  <si>
    <t>SAO LUIS II|0009428/2023-SUBSTITUICÃO DA CHAVE SECIONADORA 230 kV LDSB6-07-</t>
  </si>
  <si>
    <t>P.DUTRA|0009435/2023-SUBSTITUIÇÃO DA CHAVE SECCIONADORA 500kV PDSR7-04 , ASSOCIADA AO REATOR PDRE7-05-</t>
  </si>
  <si>
    <t>P.DUTRA|0009440/2023-SUBSTITUIÇÃO DA CHAVE SECCIONADORA 500kV PDSR7-06 , ASSOCIADA AO REATOR PDRE7-06-</t>
  </si>
  <si>
    <t>IMPERATRIZ|0009442/2023-SUBSTITUIÇÃO DOS PAINEIS DE SPCS DA INTERLIGAÇÃO DE BARRA(IB) - VÃO AY INSTALADOS NAS CASAS DE RELES-</t>
  </si>
  <si>
    <t>P.DUTRA|0009443/2023-SUBSTITUIÇÃO DA SECCIONADORA 500kV PDSD7-16-</t>
  </si>
  <si>
    <t>IMPERATRIZ|0009446/2023-SUBSTITUIÇÃO DOS PAINEIS DE SPCS DA INTERLIGAÇÃO DE BARRA(IB) - VÃO BY INSTALADOS NAS CASAS DE RELES-</t>
  </si>
  <si>
    <t>P.DUTRA|0009447/2023-SUBSTITUIÇÃO DA CHAVE SECCIONADORA 500kV PDSD7-17 , ASSOCIADA AO DISJUNTOR PDDJ7-09-</t>
  </si>
  <si>
    <t>IMPERATRIZ|0009449/2023-SUBSTITUIÇÃO DOS PAINEIS DE SPCS DA INTERLIGAÇÃO DE BARRA(IB) - VÃO CY INSTALADOS NAS CASAS DE RELES-</t>
  </si>
  <si>
    <t>P.DUTRA|0009450/2023-SUBSTITUIÇÃO DA CHAVE SECCIONADORA 500kV PDSD7-15 , ASSOCIADA AO DISJUNTOR PDDJ7-08-</t>
  </si>
  <si>
    <t>IMPERATRIZ|0009451/2023-SUBSTITUIÇÃO DOS PAINEIS DE SPCS DA INTERLIGAÇÃO DE BARRA(IB) - VÃO DY INSTALADOS NAS CASAS DE RELES-</t>
  </si>
  <si>
    <t>P.DUTRA|0009457/2023-SUBSTITUIÇÃO DE PARA RAIO 500KV DA LINHA PDBELI7-01 - PDPR701 - FASE V-</t>
  </si>
  <si>
    <t>P.DUTRA|0009463/2023-SUBSTITUIÇÃO DE PARA RAIO 500KV DA LINHA PDBELI7-01 - PDPR701 - FASE B-</t>
  </si>
  <si>
    <t>MARABA|0009464/2023-SUBSTITUIÇÃO DO TRANSFORMADOR DE POTENCIA 13,8/0,44KV MBTF2-02.-</t>
  </si>
  <si>
    <t>MARABA|0009465/2023-SUBSTITUIÇÃO DO TRANSFORMADOR DE POTENCIA 13,8/0,44KV MBTF2-03.-</t>
  </si>
  <si>
    <t>MARABA|0009466/2023-SUBSTITUIÇÃO DO TRANSFORMADOR REGULADOR 13,8/13,8KV MBTR2-01-</t>
  </si>
  <si>
    <t>MARABA|0009467/2023-SUBSTITUIÇÃO DO TRANSFORMADOR REGULADOR 13,8/13,8KV MBTR2-02-</t>
  </si>
  <si>
    <t>P.DUTRA|0007779/2023-SUBSTITUIÇÃO DE BUCHAS, VEDAÇÕES, PAINEL DE INSTRUMENTAÇÃO/VENTILAÇÃO, VÁLVULAS, RELÉS DE GÁS E BOLSA DE EXPANSÃO, ETC, DO PDRE7-08 FASE RESERVA-SUBSTITUIÇÃO DE BUCHAS, VEDAÇÕES, PAINEL DE INSTRUMENTAÇÃO/VENTILAÇÃO, VÁLVULAS, RELÉS DE GÁS E BOLSA DE EXPANSÃO, ETC DE EQUIPAMENTOS</t>
  </si>
  <si>
    <t>P.DUTRA|0008765/2023-SUBSTITUIÇÃO DE BUCHAS, VEDAÇÕES, PAINEL DE INSTRUMENTAÇÃO/VENTILAÇÃO, VÁLVULAS, RELÉS DE GÁS E BOLSA DE EXPANSÃO, ETC, DO PDRE7-08 FASE RESERVA-SUBSTITUIÇÃO DE BUCHAS, VEDAÇÕES, PAINEL DE INSTRUMENTAÇÃO/VENTILAÇÃO, VÁLVULAS, RELÉS DE GÁS E BOLSA DE EXPANSÃO, ETC DE EQUIPAMENTOS</t>
  </si>
  <si>
    <t>GUAMA|0009326/2023-Substituição do Transformador de Corrente 230 kV Fase A By - com vida útil esgotado por um novo com características similares.-Aquisição de 160 conectores de expansão barra chata - tubo 4 polegadas IPS para utilização na instalação dos Transformadores de Corrente de 245 kV das Subestações de Guamá, Utinga, Marabá e Vila do Conde</t>
  </si>
  <si>
    <t>GUAMA|0009329/2023-Substituição do Transformador de Corrente 230 kV Fase B - By - com vida útil esgotado por um novo com características similares.-Aquisição de 160 conectores de expansão barra chata - tubo 4 polegadas IPS para utilização na instalação dos Transformadores de Corrente de 245 kV das Subestações de Guamá, Utinga, Marabá e Vila do Conde</t>
  </si>
  <si>
    <t>GUAMA|0009341/2023-Substituição do Transformador de Corrente 230 kV Fase V - By - com vida útil esgotado por um novo com características similares.-Aquisição de 160 conectores de expansão barra chata - tubo 4 polegadas IPS para utilização na instalação dos Transformadores de Corrente de 245 kV das Subestações de Guamá, Utinga, Marabá e Vila do Conde</t>
  </si>
  <si>
    <t xml:space="preserve">GUAMA|0009326/2023-Substituição do Transformador de Corrente 230 kV Fase A By - com vida útil esgotado por um novo com características similares.-Serviço de Desmontagem, adequação de projeto, Montagem Eletromecânica e Comissionamento com Fornecimento de Materiais e infraestrutura para substituição de Transformadores de Corrente 245kV </t>
  </si>
  <si>
    <t xml:space="preserve">GUAMA|0009329/2023-Substituição do Transformador de Corrente 230 kV Fase B - By - com vida útil esgotado por um novo com características similares.-Serviço de Desmontagem, adequação de projeto, Montagem Eletromecânica e Comissionamento com Fornecimento de Materiais e infraestrutura para substituição de Transformadores de Corrente 245kV </t>
  </si>
  <si>
    <t xml:space="preserve">GUAMA|0009341/2023-Substituição do Transformador de Corrente 230 kV Fase V - By - com vida útil esgotado por um novo com características similares.-Serviço de Desmontagem, adequação de projeto, Montagem Eletromecânica e Comissionamento com Fornecimento de Materiais e infraestrutura para substituição de Transformadores de Corrente 245kV </t>
  </si>
  <si>
    <t xml:space="preserve">SAO LUIS I|0008555/2023-SUBSTITUIR TRANSFORMADOR DE CORRENTE 230KV -TF604-MC230-LITC601, FASE A, FASE B, FASE V-Serviço de Desmontagem, adequação de projeto, Montagem Eletromecânica e Comissionamento com Fornecimento de Materiais e infraestrutura para substituição de Transformadores de Corrente 245kV </t>
  </si>
  <si>
    <t xml:space="preserve">SAO LUIS I|0008562/2023-SUBSTITUIR TRANSFORMADOR DE CORRENTE 230KV - LDLILT601-ELLI-LITC601, FASE A, FASE B, FASE V-Serviço de Desmontagem, adequação de projeto, Montagem Eletromecânica e Comissionamento com Fornecimento de Materiais e infraestrutura para substituição de Transformadores de Corrente 245kV </t>
  </si>
  <si>
    <t xml:space="preserve">SAO LUIS I|0008587/2023-SUBSTITUIR TRANSFORMADOR DE CORRENTE 230KV - LDLILT602-ELLI-LITC601, FASE A, FASE B, FASE V-Serviço de Desmontagem, adequação de projeto, Montagem Eletromecânica e Comissionamento com Fornecimento de Materiais e infraestrutura para substituição de Transformadores de Corrente 245kV </t>
  </si>
  <si>
    <t xml:space="preserve">SAO LUIS II|0008346/2023-SUBSTITUIR TRANSFORMADOR DE CORRENTE 230KV - LDTC6-01 FASE V-Serviço de Desmontagem, adequação de projeto, Montagem Eletromecânica e Comissionamento com Fornecimento de Materiais e infraestrutura para substituição de Transformadores de Corrente 245kV </t>
  </si>
  <si>
    <t xml:space="preserve">SAO LUIS II|0008349/2023-SUBSTITUIR TRANSFORMADOR DE CORRENTE 230KV - LDTC6-01 FASE B-Serviço de Desmontagem, adequação de projeto, Montagem Eletromecânica e Comissionamento com Fornecimento de Materiais e infraestrutura para substituição de Transformadores de Corrente 245kV </t>
  </si>
  <si>
    <t xml:space="preserve">SAO LUIS II|0008351/2023-SUBSTITUIR TRANSFORMADOR DE CORRENTE 230KV - LDTC6-01 FASE A-Serviço de Desmontagem, adequação de projeto, Montagem Eletromecânica e Comissionamento com Fornecimento de Materiais e infraestrutura para substituição de Transformadores de Corrente 245kV </t>
  </si>
  <si>
    <t xml:space="preserve">SAO LUIS II|0008353/2023-SUBSTITUIR TRANSFORMADOR DE CORRENTE 230KV - LDTC6-01 FASE V-Serviço de Desmontagem, adequação de projeto, Montagem Eletromecânica e Comissionamento com Fornecimento de Materiais e infraestrutura para substituição de Transformadores de Corrente 245kV </t>
  </si>
  <si>
    <t xml:space="preserve">SAO LUIS II|0008355/2023-SUBSTITUIR TRANSFORMADOR DE CORRENTE 230KV - LDTC6-01 FASE B-Serviço de Desmontagem, adequação de projeto, Montagem Eletromecânica e Comissionamento com Fornecimento de Materiais e infraestrutura para substituição de Transformadores de Corrente 245kV </t>
  </si>
  <si>
    <t xml:space="preserve">SAO LUIS II|0008582/2023-SUBSTITUIR TRANSFORMADOR DE CORRENTE 230KV - LDTC6-01 FASE V-Serviço de Desmontagem, adequação de projeto, Montagem Eletromecânica e Comissionamento com Fornecimento de Materiais e infraestrutura para substituição de Transformadores de Corrente 245kV </t>
  </si>
  <si>
    <t xml:space="preserve">SAO LUIS II|0008591/2023-SUBSTITUIR TRANSFORMADOR DE CORRENTE 230KV - LDTC6-01 FASE B-Serviço de Desmontagem, adequação de projeto, Montagem Eletromecânica e Comissionamento com Fornecimento de Materiais e infraestrutura para substituição de Transformadores de Corrente 245kV </t>
  </si>
  <si>
    <t xml:space="preserve">SAO LUIS II|0008595/2023-SUBSTITUIR TRANSFORMADOR DE CORRENTE 230KV - LDTC6-01 FASE A-Serviço de Desmontagem, adequação de projeto, Montagem Eletromecânica e Comissionamento com Fornecimento de Materiais e infraestrutura para substituição de Transformadores de Corrente 245kV </t>
  </si>
  <si>
    <t xml:space="preserve">SAO LUIS II|0008605/2023-SUBSTITUIR TRANSFORMADOR DE CORRENTE 230KV - LDTC6-01 FASE V-Serviço de Desmontagem, adequação de projeto, Montagem Eletromecânica e Comissionamento com Fornecimento de Materiais e infraestrutura para substituição de Transformadores de Corrente 245kV </t>
  </si>
  <si>
    <t xml:space="preserve">SAO LUIS II|0008609/2023-SUBSTITUIR TRANSFORMADOR DE CORRENTE 230KV - LDTC6-01 FASE B-Serviço de Desmontagem, adequação de projeto, Montagem Eletromecânica e Comissionamento com Fornecimento de Materiais e infraestrutura para substituição de Transformadores de Corrente 245kV </t>
  </si>
  <si>
    <t xml:space="preserve">SAO LUIS II|0008613/2023-SUBSTITUIR TRANSFORMADOR DE CORRENTE 230KV - LDTC6-01 FASE A-Serviço de Desmontagem, adequação de projeto, Montagem Eletromecânica e Comissionamento com Fornecimento de Materiais e infraestrutura para substituição de Transformadores de Corrente 245kV </t>
  </si>
  <si>
    <t xml:space="preserve">SAO LUIS II|0008617/2023-SUBSTITUIR TRANSFORMADOR DE CORRENTE 230KV - LDTC6-01 FASE V-Serviço de Desmontagem, adequação de projeto, Montagem Eletromecânica e Comissionamento com Fornecimento de Materiais e infraestrutura para substituição de Transformadores de Corrente 245kV </t>
  </si>
  <si>
    <t xml:space="preserve">SAO LUIS II|0008618/2023-SUBSTITUIR TRANSFORMADOR DE CORRENTE 230KV - LDTC6-01 FASE B-Serviço de Desmontagem, adequação de projeto, Montagem Eletromecânica e Comissionamento com Fornecimento de Materiais e infraestrutura para substituição de Transformadores de Corrente 245kV </t>
  </si>
  <si>
    <t xml:space="preserve">SAO LUIS II|0008622/2023-SUBSTITUIR TRANSFORMADOR DE CORRENTE 230KV - LDTC6-01 FASE A-Serviço de Desmontagem, adequação de projeto, Montagem Eletromecânica e Comissionamento com Fornecimento de Materiais e infraestrutura para substituição de Transformadores de Corrente 245kV </t>
  </si>
  <si>
    <t xml:space="preserve">SAO LUIS II|0008909/2023-SUBSTITUIR TRANSFORMADOR DE CORRENTE 230KV - LDTC6-01 FASE A-Serviço de Desmontagem, adequação de projeto, Montagem Eletromecânica e Comissionamento com Fornecimento de Materiais e infraestrutura para substituição de Transformadores de Corrente 245kV </t>
  </si>
  <si>
    <t>COXIPO|0006923/2023-SUBSTITUIÇÃO DO DISJUNTOR CXDJ6-02 DA LINHA COXIPÓ-RONDONÓPOLIS 230KV C1.-Aquisição / Serviço de instalação e comissionamento de Disjuntores de 245kV
PA -MA - MT -RO</t>
  </si>
  <si>
    <t>JI-PARANA|0004165/2023-SUBSTITUIÇÃO DE 1 (UM) DISJUNTOR 230kV JPDB6-01, ASSOCIADO AO BAY DE INTERLIGAÇÃO DE BARRAS DA SUBESTAÇÃO JI-PARANA-Aquisição / Serviço de instalação e comissionamento de Disjuntores de 245kV
PA -MA - MT -RO</t>
  </si>
  <si>
    <t>UTINGA|0009316/2023-Substituição do disjuntor 230 kV (UGDJ6-07) com vida útil esgotada por um novo com características similares-Aquisição / Serviço de instalação e comissionamento de Disjuntores de 245kV
PA -MA - MT -RO</t>
  </si>
  <si>
    <t>VILA DO CONDE|0007791/2023-Substituição de componentes do mecanismo de acionamento de abertura e . fechamento de 01(um) Disjuntor de . 230KV -(VCDJ6-22) - associado a função TRANSFORMAÇÃO VCAT7-04.-Aquisição / Serviço de instalação e comissionamento de Disjuntores de 245kV
PA -MA - MT -RO</t>
  </si>
  <si>
    <t>SAO LUIS II|0004888/2023-Substituição dos sistemas de proteção e controle da linha LDLI-LT601 - Terminal São Luís II-</t>
  </si>
  <si>
    <t>SAO LUIS II|0004898/2023-Substituição dos sistemas de proteção e controle dos bancos de capacitores LDBC6-03 e LDBC6-04-</t>
  </si>
  <si>
    <t>SAO LUIS II|0004903/2023-Substituição dos sistemas de proteção e controle dos bancos de capacitores LDBC6-01 e LDBC6-02-</t>
  </si>
  <si>
    <t>SAO LUIS I|0004906/2023-Substituição dos sistemas de proteção e controle da linha LDLI-LT602 - Terminal São Luís I-</t>
  </si>
  <si>
    <t>SAO LUIS I|0004912/2023-SPCS - SISTEMA DE PROTEÇÃO DA LDLILT601-ELLI-LISPRLT-</t>
  </si>
  <si>
    <t>BARRA PEIXE|0006690/2023-REVITALIZAÇÃO DO REATOR BPRE6-02 COM SUBSTITUIÇÃO DE BUCHAS, VEDAÇÕES E VÁLVULAS, ALEM DE TRATAMENTO DO ÓLEO ISOLANTE E SECAGEM DA PARTE ATIVA.-</t>
  </si>
  <si>
    <t>COXIPO|0006904/2023-SUBSTITUIÇÃO DA CHAVE SECCIONADORA CXCA6-01.-</t>
  </si>
  <si>
    <t>COXIPO|0006910/2023-SUBSTITUIÇÃO DA CHAVE SECCIONADORA CXSB6-03 POR FIM DE VIDA ÚTIL.-</t>
  </si>
  <si>
    <t>COXIPO|0006911/2023-SUBSTITUIÇÃO DA CHAVE SECCIONADORA CXSD6-05.-</t>
  </si>
  <si>
    <t>COXIPO|0006912/2023-SUBSTITUIÇÃO DA CHAVE SECCIONADORA CXSD6-06.-</t>
  </si>
  <si>
    <t>COXIPO|0006915/2023-SUBSTITUIÇÃO DA CHAVE SECCIONADORA CXSR6-01-</t>
  </si>
  <si>
    <t>COXIPO|0006917/2023-SUBSTITUIÇÃO DA CHAVE SECCIONADORA CXSY6-02-</t>
  </si>
  <si>
    <t>COXIPO|0006928/2023-SUBSTITUIÇÃO DO PARA-RAIO FASE A DA EL DA RPCX-LT601 NA SE COXIPÓ.-</t>
  </si>
  <si>
    <t>COXIPO|0006937/2023-SUBSTITUIÇÃO DO PARA-RAIO FASE A DO REATOR CXRE6-01.-</t>
  </si>
  <si>
    <t>COXIPO|0006941/2023-SUBSTITUIÇÃO DO PARA-RAIO FASE B DA EL DA RPCX-LT601 NA SE COXIPÓ.-</t>
  </si>
  <si>
    <t>COXIPO|0006946/2023-SUBSTITUIÇÃO DO PARA-RAIO FASE B DO REATOR CXRE6-01.-</t>
  </si>
  <si>
    <t>COXIPO|0006968/2023-SUBSTITUIÇÃO DO PARA-RAIO FASE V DA EL DA RPCX-LT601 NA SE COXIPÓ.-</t>
  </si>
  <si>
    <t>COXIPO|0006971/2023-SUBSTITUIÇÃO DO PARA-RAIO FASE V DO REATOR CXRE6-01.-</t>
  </si>
  <si>
    <t>COXIPO|0006982/2023-Substituição do Sistema de Proteção Controle e Supervisão da linha Coxipó - Rondonópolis C1 e do reator número 1 da SE Coxipó (CXRE6-01), contemplando as cadeias principal e alternada.-</t>
  </si>
  <si>
    <t>RONDONOPOLIS|0007001/2023-Substituição do Sistema de Proteção Controle e Supervisão da linha Coxipó-Rondonópolis C1, contemplando as cadeias principal e alternada.-</t>
  </si>
  <si>
    <t>IMPERATRIZ|0008248/2023-Substituição de Transformador de Corrente associado ao IZDJ708 fase V-</t>
  </si>
  <si>
    <t>IMPERATRIZ|0008256/2023-Substituição de TC (Transformador de Corrente) associado ao IZDJ708 fase B-</t>
  </si>
  <si>
    <t>IMPERATRIZ|0008279/2023-Substituição de TC (Transformador de Corrente) associado ao IZDJ708 fase A-</t>
  </si>
  <si>
    <t>TUCURUI|0008348/2023-Instalação de 3 TCs de 500kV associado ao TCDJ7-2 (7TCGY2)-</t>
  </si>
  <si>
    <t>COXIPO|0008391/2023-SUBSTITUIÇÃO DO PARA-RAIO FASE A DO REATOR CXRE6-01.-</t>
  </si>
  <si>
    <t>COXIPO|0008531/2023-SUBSTITUIÇÃO DO PARA-RAIO FASE V DO REATOR CXRE6-01.-</t>
  </si>
  <si>
    <t>COXIPO|0008533/2023-SUBSTITUIÇÃO DO PARA-RAIO FASE B DO REATOR CXRE6-01.-</t>
  </si>
  <si>
    <t>COXIPO|0008539/2023-SUBSTITUIÇÃO DO PARA-RAIO FASE V DA EL DA RPCX-LT601 NA SE COXIPÓ.-</t>
  </si>
  <si>
    <t>COXIPO|0008542/2023-SUBSTITUIÇÃO DO PARA-RAIO FASE B DA EL DA RPCX-LT601 NA SE COXIPÓ.-</t>
  </si>
  <si>
    <t>COXIPO|0008543/2023-SUBSTITUIÇÃO DO PARA-RAIO FASE A DA EL DA RPCX-LT601 NA SE COXIPÓ.-</t>
  </si>
  <si>
    <t>IMPERATRIZ|0008907/2023-Substituição de TC (Transformador de Corrente) associado ao IZDJ706 fase B-</t>
  </si>
  <si>
    <t>IMPERATRIZ|0008917/2023-SUBSTITUIÇÃO DA BUCHA DE 500 kV DO REATOR IZRE7-04, FASE "B".-</t>
  </si>
  <si>
    <t>IMPERATRIZ|0008945/2023-SUBSTITUIÇÃO DO DISJUNTOR IZDJ6-06.-</t>
  </si>
  <si>
    <t>IMPERATRIZ|0008946/2023-SUBSTITUIÇÃO DO DISJUNTOR IZDJ6-09.-</t>
  </si>
  <si>
    <t>SAO LUIS II|0009052/2023-SUBSTITUIÇÃO DO SISTEMA DE PROTEÇAO, COMANDO E SUPERVISÃO DO BAY DA LINHA LDLILT602-ELLD-LDSPRLT-</t>
  </si>
  <si>
    <t>SAO LUIS II|0009054/2023-SUBSTITUIÇÃO DO SISTEMA DE PROTEÇAO, COMANDO E SUPERVISÃO DO BAY DA LINHA LDLILT601-ELLD-LDSPRLT-</t>
  </si>
  <si>
    <t>IMPERATRIZ|0009062/2023-SUBSTITUIÇÃO DE CONJUNTO DE BUCHAS DE 69 kV, FASES "A", "B" E "V" DO TRANSFORMADOR IZTF6-04.-</t>
  </si>
  <si>
    <t>SAO LUIS II|0009063/2023-SUBSTITUIÇÃO DO SISTEMA DE PROTEÇAO, COMANDO E SUPERVISÃO DO BAY DA LINHA LDMRLT601-ELLD-LDSPRLT-</t>
  </si>
  <si>
    <t>IMPERATRIZ|0009066/2023-SUBSTITUIÇÃO DE CONJUNTO DE BUCHAS DE 230 kV, FASES "A", "B" E "V" DO TRANSFORMADOR IZTF6-04.-</t>
  </si>
  <si>
    <t>COELHO NETO|0009068/2023-Substituição do quadro de Serviços auxiliares de 125 VCC PSA3 da sala de comando da SE Coelho Neto 230 kV-</t>
  </si>
  <si>
    <t>IMPERATRIZ|0009077/2023-SUBSTITUIÇÃO DE PARA RAIO 230KV DO IZTF6-04 - IZPR601 - FASE V-</t>
  </si>
  <si>
    <t>IMPERATRIZ|0009082/2023-SUBSTITUIÇÃO DE PARA RAIO 230KV DO IZTF6-04 - IZPR601 - FASE B-</t>
  </si>
  <si>
    <t>SAO LUIS II|0009095/2023-SUBSTITUICÃO DO SISTEMA DE PROTEÇÃO DE 500 kV DO BANCO DE AUTOTRANSFORMADORES LDAT7-01-</t>
  </si>
  <si>
    <t>SAO LUIS II|0009170/2023-SUBSTITUIÇÃO DO DISJUNTOR LDDJ6-18-</t>
  </si>
  <si>
    <t>IMPERATRIZ|0009249/2023-SUBSTITUIÇÃO DE PARA RAIO DO REATOR MCIZRE7-04 DA LINHA IZPDLT7-02 - IZPR701 - FASE A-</t>
  </si>
  <si>
    <t>IMPERATRIZ|0009251/2023-SUBSTITUIÇÃO DE PARA RAIO DO REATOR MCIZRE7-04 DA LINHA IZPDLT7-02 - IZPR701 - FASE B-</t>
  </si>
  <si>
    <t>IMPERATRIZ|0009252/2023-SUBSTITUIÇÃO DE PARA RAIO DO REATOR MCIZRE7-04 DA LINHA IZPDLT7-02 - IZPR701 - FASE V-</t>
  </si>
  <si>
    <t>SAO LUIS II|0009276/2023-SUBSTITUIÇÃO DE UM TPC DE 230 kV, LDLI-LT6-01-ELLD-LDTP6-01, FASE "A"-</t>
  </si>
  <si>
    <t>SAO LUIS II|0009277/2023-SUBSTITUIÇÃO DE UM TPC DE 230 kV, LDLI-LT6-01-ELLD-LDTP6-01, FASE "V"-</t>
  </si>
  <si>
    <t>SAO LUIS II|0009280/2023-SUBSTITUIÇÃO DE UM TPC DE 230 kV, LDLI-LT6-02-ELLD-LDTP6-01, FASE "A"-</t>
  </si>
  <si>
    <t>PORTO FRANCO|0009365/2023-SUBSTITUIÇÃO DO DISJUNTOR PFDB4-01-</t>
  </si>
  <si>
    <t>SAO LUIS II|0009375/2023-SUBSTITUIÇÃO DE UM TPC DE 230 kV, LDLI-LT6-01-ELLD-LDTP6-01, FASE "B"-</t>
  </si>
  <si>
    <t>PORTO VELHO|0009411/2023-MODERNIZAÇÃO DE CUBÍCULO DE 13,8kV COM SUBSTITUIÇÃO COMPLETA-</t>
  </si>
  <si>
    <t>IMPERATRIZ|0007799/2023-SUBSTITUIÇÃO DE BUCHAS, VEDAÇÕES, PAINEL DE INSTRUMENTAÇÃO/VENTILAÇÃO, VÁLVULAS, RELÉS DE GÁS E BOLSA DE EXPANSÃO, ETC, DO IZRE7-14 FASE RESERVA.-SUBSTITUIÇÃO DE BUCHAS, VEDAÇÕES, PAINEL DE INSTRUMENTAÇÃO/VENTILAÇÃO, VÁLVULAS, RELÉS DE GÁS E BOLSA DE EXPANSÃO, ETC DE EQUIPAMENTOS</t>
  </si>
  <si>
    <t>MIRANDA II|0007797/2023-SUBSTITUIÇÃO DE BUCHAS, VEDAÇÕES, PAINEL DE INSTRUMENTAÇÃO/VENTILAÇÃO, VÁLVULAS, RELÉS DE GÁS E BOLSA DE EXPANSÃO, ETC, DO MRRE6-02-SUBSTITUIÇÃO DE BUCHAS, VEDAÇÕES, PAINEL DE INSTRUMENTAÇÃO/VENTILAÇÃO, VÁLVULAS, RELÉS DE GÁS E BOLSA DE EXPANSÃO, ETC DE EQUIPAMENTOS</t>
  </si>
  <si>
    <t>VILA DO CONDE|0006852/2023-Substituição do Transformador de corrente de 230 kV fase "V" Vão C SECÇÃO X - (VCDJ6 28) - VCTF6 02-Aquisição de 160 conectores de expansão barra chata - tubo 4 polegadas IPS para utilização na instalação dos Transformadores de Corrente de 245 kV das Subestações de Guamá, Utinga, Marabá e Vila do Conde</t>
  </si>
  <si>
    <t>VILA DO CONDE|0007224/2023-Substituição do Transformador de corrente de 230 kV fase "B" Vão C SECÇÃO X - (VCDJ6 28) - VCTF6 02-Aquisição de 160 conectores de expansão barra chata - tubo 4 polegadas IPS para utilização na instalação dos Transformadores de Corrente de 245 kV das Subestações de Guamá, Utinga, Marabá e Vila do Conde</t>
  </si>
  <si>
    <t>VILA DO CONDE|0007233/2023-Substituição do Transformador de corrente de 230 kV fase "A" Vão C SECÇÃO X - (VCDJ6 28) - VCTF6 02-Aquisição de 160 conectores de expansão barra chata - tubo 4 polegadas IPS para utilização na instalação dos Transformadores de Corrente de 245 kV das Subestações de Guamá, Utinga, Marabá e Vila do Conde</t>
  </si>
  <si>
    <t xml:space="preserve">SAO LUIS I|0008541/2023-SUBSTITUIR TRANSFORMADOR DE CORRENTE 230KV -TF603-MC230-LITC601, FASE A, FASE B, FASE V-Serviço de Desmontagem, adequação de projeto, Montagem Eletromecânica e Comissionamento com Fornecimento de Materiais e infraestrutura para substituição de Transformadores de Corrente 245kV </t>
  </si>
  <si>
    <t xml:space="preserve">VILA DO CONDE|0006852/2023-Substituição do Transformador de corrente de 230 kV fase "V" Vão C SECÇÃO X - (VCDJ6 28) - VCTF6 02-Serviço de Desmontagem, adequação de projeto, Montagem Eletromecânica e Comissionamento com Fornecimento de Materiais e infraestrutura para substituição de Transformadores de Corrente 245kV </t>
  </si>
  <si>
    <t xml:space="preserve">VILA DO CONDE|0007224/2023-Substituição do Transformador de corrente de 230 kV fase "B" Vão C SECÇÃO X - (VCDJ6 28) - VCTF6 02-Serviço de Desmontagem, adequação de projeto, Montagem Eletromecânica e Comissionamento com Fornecimento de Materiais e infraestrutura para substituição de Transformadores de Corrente 245kV </t>
  </si>
  <si>
    <t xml:space="preserve">VILA DO CONDE|0007233/2023-Substituição do Transformador de corrente de 230 kV fase "A" Vão C SECÇÃO X - (VCDJ6 28) - VCTF6 02-Serviço de Desmontagem, adequação de projeto, Montagem Eletromecânica e Comissionamento com Fornecimento de Materiais e infraestrutura para substituição de Transformadores de Corrente 245kV </t>
  </si>
  <si>
    <t>JI-PARANA|0004166/2023-SUBSTITUIÇÃO DE 01 (UM) DISJUNTOR 230kV JPDJ6-07, ASSOCIADO AO BAY DO AUTOTRANSFORMADOR 01 DA SUBESTAÇÃO JI-PARANÁ-Aquisição / Serviço de instalação e comissionamento de Disjuntores de 245kV
PA -MA - MT -RO</t>
  </si>
  <si>
    <t>SANTA MARIA|0007794/2023-Substituição de componentes do mecanismo de acionamento de abertura e . fechamento de 01(um) Disjuntor de . 230KV - (SRDJ6-10) - associado a função SRBC6-02.-Aquisição / Serviço de instalação e comissionamento de Disjuntores de 245kV
PA -MA - MT -RO</t>
  </si>
  <si>
    <t>JI-PARANA|0003101/2023-SUBSTITUIÇÃO DE CHAVE SECCIONADORA 230kV, JPSY6-07, ASSOCIADA AO AUTOTRANSFORMADOR 02 DA SUBESTAÇÃO JI-PARANÁ-Aquisição de chave seccionadora de 69 e 230kV para as subestações da Eletronorte em RO e AC</t>
  </si>
  <si>
    <t>JI-PARANA|0003159/2023-SUBSTITUIÇÃO DE CHAVE SECCIONADORA 230kV, JPSB6-14, ASSOCIADA AO AUTOTRANSFORMADOR 02 DA SUBESTAÇÃO JI-PARANÁ-Aquisição de chave seccionadora de 69 e 230kV para as subestações da Eletronorte em RO e AC</t>
  </si>
  <si>
    <t>MIRANDA II|0008762/2023-SUBSTITUIÇÃO DE BUCHAS, VEDAÇÕES, PAINEL DE INSTRUMENTAÇÃO/VENTILAÇÃO, VÁLVULAS, RELÉS DE GÁS E BOLSA DE EXPANSÃO, ETC, DO MRRE6-01-SUBSTITUIÇÃO DE BUCHAS, VEDAÇÕES, PAINEL DE INSTRUMENTAÇÃO/VENTILAÇÃO, VÁLVULAS, RELÉS DE GÁS E BOLSA DE EXPANSÃO, ETC DE EQUIPAMENTOS</t>
  </si>
  <si>
    <t>MARABA|0009058/2023-Substituição do Transformador de corrente de 230 kV fase "V" Vão CX -MBCJ LT6 01-Aquisição de 160 conectores de expansão barra chata - tubo 4 polegadas IPS para utilização na instalação dos Transformadores de Corrente de 245 kV das Subestações de Guamá, Utinga, Marabá e Vila do Conde</t>
  </si>
  <si>
    <t>MARABA|0009064/2023-Substituição do Transformador de corrente de 230 kV fase "B" Vão CX -MBCJ LT6 01-Aquisição de 160 conectores de expansão barra chata - tubo 4 polegadas IPS para utilização na instalação dos Transformadores de Corrente de 245 kV das Subestações de Guamá, Utinga, Marabá e Vila do Conde</t>
  </si>
  <si>
    <t>MARABA|0009073/2023-Substituição do Transformador de corrente de 230 kV fase "A" Vão CX -MBCJ LT6 01-Aquisição de 160 conectores de expansão barra chata - tubo 4 polegadas IPS para utilização na instalação dos Transformadores de Corrente de 245 kV das Subestações de Guamá, Utinga, Marabá e Vila do Conde</t>
  </si>
  <si>
    <t>UTINGA|0007298/2023-Substituição do Transformador de corrente de 230 kV fase "V" Vão EX -UGMT LI6 02-Aquisição de 160 conectores de expansão barra chata - tubo 4 polegadas IPS para utilização na instalação dos Transformadores de Corrente de 245 kV das Subestações de Guamá, Utinga, Marabá e Vila do Conde</t>
  </si>
  <si>
    <t>UTINGA|0007317/2023-Substituição do Transformador de corrente de 230 kV fase "B" Vão EX -UGMT LI6 02-Aquisição de 160 conectores de expansão barra chata - tubo 4 polegadas IPS para utilização na instalação dos Transformadores de Corrente de 245 kV das Subestações de Guamá, Utinga, Marabá e Vila do Conde</t>
  </si>
  <si>
    <t>UTINGA|0007701/2023-Substituição do Transformador de corrente de 230 kV fase "A" Vão EX -UGMT LI6 02-Aquisição de 160 conectores de expansão barra chata - tubo 4 polegadas IPS para utilização na instalação dos Transformadores de Corrente de 245 kV das Subestações de Guamá, Utinga, Marabá e Vila do Conde</t>
  </si>
  <si>
    <t>UTINGA|0007707/2023-Substituição do Transformador de corrente de 230 kV fase "V" Vão FX -UGMT LI6 01-Aquisição de 160 conectores de expansão barra chata - tubo 4 polegadas IPS para utilização na instalação dos Transformadores de Corrente de 245 kV das Subestações de Guamá, Utinga, Marabá e Vila do Conde</t>
  </si>
  <si>
    <t>UTINGA|0007715/2023-Substituição do Transformador de corrente de 230 kV fase "B" Vão FX -UGMT LI6 01-Aquisição de 160 conectores de expansão barra chata - tubo 4 polegadas IPS para utilização na instalação dos Transformadores de Corrente de 245 kV das Subestações de Guamá, Utinga, Marabá e Vila do Conde</t>
  </si>
  <si>
    <t>UTINGA|0007722/2023-Substituição do Transformador de corrente de 230 kV fase "A" Vão FX -UGMT LI6 01-Aquisição de 160 conectores de expansão barra chata - tubo 4 polegadas IPS para utilização na instalação dos Transformadores de Corrente de 245 kV das Subestações de Guamá, Utinga, Marabá e Vila do Conde</t>
  </si>
  <si>
    <t>VILA DO CONDE|0008865/2023-SUBSTITUIÇÃO TRANSFORMADOR DE CORRENTE DE 230 KV DO VÃO K SECÇÃO Z FB (VCDJ6 06)-Aquisição de 160 conectores de expansão barra chata - tubo 4 polegadas IPS para utilização na instalação dos Transformadores de Corrente de 245 kV das Subestações de Guamá, Utinga, Marabá e Vila do Conde</t>
  </si>
  <si>
    <t>VILA DO CONDE|0008870/2023-SUBSTITUIÇÃO TRANSFORMADOR DE CORRENTE DE 230 KV DO VÃO K SECCÇÃO Z FA (VCDJ6 06)-Aquisição de 160 conectores de expansão barra chata - tubo 4 polegadas IPS para utilização na instalação dos Transformadores de Corrente de 245 kV das Subestações de Guamá, Utinga, Marabá e Vila do Conde</t>
  </si>
  <si>
    <t>VILA DO CONDE|0008920/2023-SUBSTITUIÇÃO TRANSFORMADOR DE CORRENTE DE 230 KV DO VÃO K SECÇÃO Z FV (VCDJ6 06)-Aquisição de 160 conectores de expansão barra chata - tubo 4 polegadas IPS para utilização na instalação dos Transformadores de Corrente de 245 kV das Subestações de Guamá, Utinga, Marabá e Vila do Conde</t>
  </si>
  <si>
    <t xml:space="preserve">MARABA|0009058/2023-Substituição do Transformador de corrente de 230 kV fase "V" Vão CX -MBCJ LT6 01-Serviço de Desmontagem, adequação de projeto, Montagem Eletromecânica e Comissionamento com Fornecimento de Materiais e infraestrutura para substituição de Transformadores de Corrente 245kV </t>
  </si>
  <si>
    <t xml:space="preserve">MARABA|0009064/2023-Substituição do Transformador de corrente de 230 kV fase "B" Vão CX -MBCJ LT6 01-Serviço de Desmontagem, adequação de projeto, Montagem Eletromecânica e Comissionamento com Fornecimento de Materiais e infraestrutura para substituição de Transformadores de Corrente 245kV </t>
  </si>
  <si>
    <t xml:space="preserve">MARABA|0009073/2023-Substituição do Transformador de corrente de 230 kV fase "A" Vão CX -MBCJ LT6 01-Serviço de Desmontagem, adequação de projeto, Montagem Eletromecânica e Comissionamento com Fornecimento de Materiais e infraestrutura para substituição de Transformadores de Corrente 245kV </t>
  </si>
  <si>
    <t xml:space="preserve">SAO LUIS I|0008548/2023-SUBSTITUIR TRANSFORMADOR DE CORRENTE 230KV -TF602-MC230-LITC601, FASE A, FASE B, FASE V-Serviço de Desmontagem, adequação de projeto, Montagem Eletromecânica e Comissionamento com Fornecimento de Materiais e infraestrutura para substituição de Transformadores de Corrente 245kV </t>
  </si>
  <si>
    <t xml:space="preserve">UTINGA|0007298/2023-Substituição do Transformador de corrente de 230 kV fase "V" Vão EX -UGMT LI6 02-Serviço de Desmontagem, adequação de projeto, Montagem Eletromecânica e Comissionamento com Fornecimento de Materiais e infraestrutura para substituição de Transformadores de Corrente 245kV </t>
  </si>
  <si>
    <t xml:space="preserve">UTINGA|0007317/2023-Substituição do Transformador de corrente de 230 kV fase "B" Vão EX -UGMT LI6 02-Serviço de Desmontagem, adequação de projeto, Montagem Eletromecânica e Comissionamento com Fornecimento de Materiais e infraestrutura para substituição de Transformadores de Corrente 245kV </t>
  </si>
  <si>
    <t xml:space="preserve">UTINGA|0007701/2023-Substituição do Transformador de corrente de 230 kV fase "A" Vão EX -UGMT LI6 02-Serviço de Desmontagem, adequação de projeto, Montagem Eletromecânica e Comissionamento com Fornecimento de Materiais e infraestrutura para substituição de Transformadores de Corrente 245kV </t>
  </si>
  <si>
    <t xml:space="preserve">UTINGA|0007707/2023-Substituição do Transformador de corrente de 230 kV fase "V" Vão FX -UGMT LI6 01-Serviço de Desmontagem, adequação de projeto, Montagem Eletromecânica e Comissionamento com Fornecimento de Materiais e infraestrutura para substituição de Transformadores de Corrente 245kV </t>
  </si>
  <si>
    <t xml:space="preserve">UTINGA|0007715/2023-Substituição do Transformador de corrente de 230 kV fase "B" Vão FX -UGMT LI6 01-Serviço de Desmontagem, adequação de projeto, Montagem Eletromecânica e Comissionamento com Fornecimento de Materiais e infraestrutura para substituição de Transformadores de Corrente 245kV </t>
  </si>
  <si>
    <t xml:space="preserve">UTINGA|0007722/2023-Substituição do Transformador de corrente de 230 kV fase "A" Vão FX -UGMT LI6 01-Serviço de Desmontagem, adequação de projeto, Montagem Eletromecânica e Comissionamento com Fornecimento de Materiais e infraestrutura para substituição de Transformadores de Corrente 245kV </t>
  </si>
  <si>
    <t xml:space="preserve">VILA DO CONDE|0008865/2023-SUBSTITUIÇÃO TRANSFORMADOR DE CORRENTE DE 230 KV DO VÃO K SECÇÃO Z FB (VCDJ6 06)-Serviço de Desmontagem, adequação de projeto, Montagem Eletromecânica e Comissionamento com Fornecimento de Materiais e infraestrutura para substituição de Transformadores de Corrente 245kV </t>
  </si>
  <si>
    <t xml:space="preserve">VILA DO CONDE|0008870/2023-SUBSTITUIÇÃO TRANSFORMADOR DE CORRENTE DE 230 KV DO VÃO K SECCÇÃO Z FA (VCDJ6 06)-Serviço de Desmontagem, adequação de projeto, Montagem Eletromecânica e Comissionamento com Fornecimento de Materiais e infraestrutura para substituição de Transformadores de Corrente 245kV </t>
  </si>
  <si>
    <t xml:space="preserve">VILA DO CONDE|0008920/2023-SUBSTITUIÇÃO TRANSFORMADOR DE CORRENTE DE 230 KV DO VÃO K SECÇÃO Z FV (VCDJ6 06)-Serviço de Desmontagem, adequação de projeto, Montagem Eletromecânica e Comissionamento com Fornecimento de Materiais e infraestrutura para substituição de Transformadores de Corrente 245kV </t>
  </si>
  <si>
    <t>4462</t>
  </si>
  <si>
    <t>SAO LUIS I|0008929/2023-SUBSTITUIR DISJUNTOR 69KV LIDJ4-02-DISJUNTOR (MAIOR OU IGUAL 69 KV) São Luis I</t>
  </si>
  <si>
    <t>ABUNA|0004171/2023-SUBSTITUIÇÃO DE DISJUNTOR 230kV NA SE ABUNÃ-Aquisição / Serviço de instalação e comissionamento de Disjuntores de 245kV
PA -MA - MT -RO</t>
  </si>
  <si>
    <t>GUAMA|0007782/2023-Substituição de componentes do mecanismo de acionamento de abertura e . fechamento de 01(um) Disjuntor de . 230KV - (GMDJ6-06) - associado a função transmissão GMTF603.-Aquisição / Serviço de instalação e comissionamento de Disjuntores de 245kV
PA -MA - MT -RO</t>
  </si>
  <si>
    <t>TUCURUI|0007790/2023-Substituição de componentes do mecanismo de acionamento de abertura e fechamento de 01(um) Disjuntor de 230KV -(TCDJ6-10) - associado a função TRANSFORMAÇÃO TCAT6-03.-Aquisição / Serviço de instalação e comissionamento de Disjuntores de 245kV
PA -MA - MT -RO</t>
  </si>
  <si>
    <t>UTINGA|0007785/2023-Substituição de componentes do mecanismo de acionamento de abertura e . fechamento de 01(um) Disjuntor de . 230KV -(UGDJ6-12) - associado a função TRANSFORMAÇÃO UGTF604.-Aquisição / Serviço de instalação e comissionamento de Disjuntores de 245kV
PA -MA - MT -RO</t>
  </si>
  <si>
    <t>RIO BRANCO I|0003191/2023-SUBSTITUIÇÃO DE CHAVE SECCIONADORA 230kV - RBSY605 - NA SUBESTAÇÃO RIO BRANCO-Aquisição de chave seccionadora de 69 e 230kV para as subestações da Eletronorte em RO e AC</t>
  </si>
  <si>
    <t>VILA DO CONDE|0006790/2023-Substituição do Transformador de corrente de 230 kV fase "V" Vão D SECÇÃO Z (VCDJ6 27)-Aquisição de 160 conectores de expansão barra chata - tubo 4 polegadas IPS para utilização na instalação dos Transformadores de Corrente de 245 kV das Subestações de Guamá, Utinga, Marabá e Vila do Conde</t>
  </si>
  <si>
    <t>VILA DO CONDE|0006791/2023-Substituição do Transformador de corrente de 230 kV fase "B" Vão D SECÇÃO Z (VCDJ6 27)-Aquisição de 160 conectores de expansão barra chata - tubo 4 polegadas IPS para utilização na instalação dos Transformadores de Corrente de 245 kV das Subestações de Guamá, Utinga, Marabá e Vila do Conde</t>
  </si>
  <si>
    <t>VILA DO CONDE|0006793/2023-Substituição do Transformador de corrente de 230 kV fase "A" Vão D SECÇÃO Z (VCDJ6 27)-Aquisição de 160 conectores de expansão barra chata - tubo 4 polegadas IPS para utilização na instalação dos Transformadores de Corrente de 245 kV das Subestações de Guamá, Utinga, Marabá e Vila do Conde</t>
  </si>
  <si>
    <t>VILA DO CONDE|0006799/2023-Substituição do Transformador de corrente de 230 kV fase "V" Vão C SECÇÃO Z- (VCDJ6 30)-Aquisição de 160 conectores de expansão barra chata - tubo 4 polegadas IPS para utilização na instalação dos Transformadores de Corrente de 245 kV das Subestações de Guamá, Utinga, Marabá e Vila do Conde</t>
  </si>
  <si>
    <t>VILA DO CONDE|0006801/2023-Substituição do Transformador de corrente de 230 kV fase "B" Vão C SECÇÃO Z- (VCDJ6 30)-Aquisição de 160 conectores de expansão barra chata - tubo 4 polegadas IPS para utilização na instalação dos Transformadores de Corrente de 245 kV das Subestações de Guamá, Utinga, Marabá e Vila do Conde</t>
  </si>
  <si>
    <t>VILA DO CONDE|0006806/2023-Substituição do Transformador de corrente de 230 kV fase "A" Vão C SECÇÃO Z- (VCDJ6 30)-Aquisição de 160 conectores de expansão barra chata - tubo 4 polegadas IPS para utilização na instalação dos Transformadores de Corrente de 245 kV das Subestações de Guamá, Utinga, Marabá e Vila do Conde</t>
  </si>
  <si>
    <t xml:space="preserve">VILA DO CONDE|0006790/2023-Substituição do Transformador de corrente de 230 kV fase "V" Vão D SECÇÃO Z (VCDJ6 27)-Serviço de Desmontagem, adequação de projeto, Montagem Eletromecânica e Comissionamento com Fornecimento de Materiais e infraestrutura para substituição de Transformadores de Corrente 245kV </t>
  </si>
  <si>
    <t xml:space="preserve">VILA DO CONDE|0006791/2023-Substituição do Transformador de corrente de 230 kV fase "B" Vão D SECÇÃO Z (VCDJ6 27)-Serviço de Desmontagem, adequação de projeto, Montagem Eletromecânica e Comissionamento com Fornecimento de Materiais e infraestrutura para substituição de Transformadores de Corrente 245kV </t>
  </si>
  <si>
    <t xml:space="preserve">VILA DO CONDE|0006793/2023-Substituição do Transformador de corrente de 230 kV fase "A" Vão D SECÇÃO Z (VCDJ6 27)-Serviço de Desmontagem, adequação de projeto, Montagem Eletromecânica e Comissionamento com Fornecimento de Materiais e infraestrutura para substituição de Transformadores de Corrente 245kV </t>
  </si>
  <si>
    <t xml:space="preserve">VILA DO CONDE|0006799/2023-Substituição do Transformador de corrente de 230 kV fase "V" Vão C SECÇÃO Z- (VCDJ6 30)-Serviço de Desmontagem, adequação de projeto, Montagem Eletromecânica e Comissionamento com Fornecimento de Materiais e infraestrutura para substituição de Transformadores de Corrente 245kV </t>
  </si>
  <si>
    <t xml:space="preserve">VILA DO CONDE|0006801/2023-Substituição do Transformador de corrente de 230 kV fase "B" Vão C SECÇÃO Z- (VCDJ6 30)-Serviço de Desmontagem, adequação de projeto, Montagem Eletromecânica e Comissionamento com Fornecimento de Materiais e infraestrutura para substituição de Transformadores de Corrente 245kV </t>
  </si>
  <si>
    <t xml:space="preserve">VILA DO CONDE|0006806/2023-Substituição do Transformador de corrente de 230 kV fase "A" Vão C SECÇÃO Z- (VCDJ6 30)-Serviço de Desmontagem, adequação de projeto, Montagem Eletromecânica e Comissionamento com Fornecimento de Materiais e infraestrutura para substituição de Transformadores de Corrente 245kV </t>
  </si>
  <si>
    <t>C.PORTO VELHO|0003161/2023-SUBSTITUIÇÃO DO BANCO DE BATERIAS 1 DA CASA DE RELÉS 230kV-Fornecimento de bancos de baterias alcalinas, em conformidade com o IEC 62259 , incluindo desmontar os bancos a serem substituídos, montar e testar os bancos a serem fornecidos, realizar a logística reversa e o descarte apropriado dos bancos de baterias desmontados pela Contratada.</t>
  </si>
  <si>
    <t>CARAJAS|0007789/2023-Substituição de componentes do mecanismo de acionamento de abertura e . fechamento de 01(um) Disjuntor de . 230KV -(CJDJ6-01) - associado a função CJSE-LT6-01.-Aquisição / Serviço de instalação e comissionamento de Disjuntores de 245kV
PA -MA - MT -RO</t>
  </si>
  <si>
    <t>IMPERATRIZ||-|-DESMONTAGEM IZCL7-03</t>
  </si>
  <si>
    <t>IMPERATRIZ|0008663/2023-SUBSTITUIÇÃO DO GRUPO GERADOR DE EMERGENCIA NUM. 01 DA SE IMPERATRIZ IZSAE01, POR OUTRO DE MAIOR POTÊNCIA.-AQUISIÇÃO DE 02 GDGS PARA A SEIZ</t>
  </si>
  <si>
    <t>IMPERATRIZ|0007763/2023-SUBSTITUIÇÃO DE BUCHAS, VEDAÇÕES, PAINEL DE INSTRUMENTAÇÃO/VENTILAÇÃO, VÁLVULAS, RELÉS DE GÁS E BOLSA DE EXPANSÃO, ETC, DO IZRE7-14 FASE V-SUBSTITUIÇÃO DE BUCHAS, VEDAÇÕES, PAINEL DE INSTRUMENTAÇÃO/VENTILAÇÃO, VÁLVULAS, RELÉS DE GÁS E BOLSA DE EXPANSÃO, ETC DE EQUIPAMENTOS</t>
  </si>
  <si>
    <t>IMPERATRIZ|0007798/2023-SUBSTITUIÇÃO DE BUCHAS, VEDAÇÕES, PAINEL DE INSTRUMENTAÇÃO/VENTILAÇÃO, VÁLVULAS, RELÉS DE GÁS E BOLSA DE EXPANSÃO, ETC, DO IZRE7-14 FASE B-SUBSTITUIÇÃO DE BUCHAS, VEDAÇÕES, PAINEL DE INSTRUMENTAÇÃO/VENTILAÇÃO, VÁLVULAS, RELÉS DE GÁS E BOLSA DE EXPANSÃO, ETC DE EQUIPAMENTOS</t>
  </si>
  <si>
    <t>P.DUTRA|0008767/2023-SUBSTITUIÇÃO DE BUCHAS, VEDAÇÕES, PAINEL DE INSTRUMENTAÇÃO/VENTILAÇÃO, VÁLVULAS, RELÉS DE GÁS E BOLSA DE EXPANSÃO, ETC, DO PDRE7-09 FASE B-SUBSTITUIÇÃO DE BUCHAS, VEDAÇÕES, PAINEL DE INSTRUMENTAÇÃO/VENTILAÇÃO, VÁLVULAS, RELÉS DE GÁS E BOLSA DE EXPANSÃO, ETC DE EQUIPAMENTOS</t>
  </si>
  <si>
    <t>TRANSAMAZONIC|0009347/2023-Instalação de Reator Monofásico de Aterramento de Neutro, 72,5 kV, 430 ohms, 60 HZ, para uso na Subestação Transamazônica-Pa, conforme especificação técnica SOP-097-26080-99-EP-R00.-Instalações eletromecânicas, confecção de base de concreto, cerca metálica e do reator de neutro e para-raios de 69 kV do reator principal (TMRE6 01)</t>
  </si>
  <si>
    <t>TRANSAMAZONIC|0009347/2023-Instalação de Reator Monofásico de Aterramento de Neutro, 72,5 kV, 430 ohms, 60 HZ, para uso na Subestação Transamazônica-Pa, conforme especificação técnica SOP-097-26080-99-EP-R00.-Aquisição de Reator de Neutro, 72,5KV, 430 OHMS (TMRN2-01)</t>
  </si>
  <si>
    <t>TRANSAMAZONIC|0009347/2023-Instalação de Reator Monofásico de Aterramento de Neutro, 72,5 kV, 430 ohms, 60 HZ, para uso na Subestação Transamazônica-Pa, conforme especificação técnica SOP-097-26080-99-EP-R00.-Aquisição de TCs (71 unidades)245kV + (5 unidades)550kV</t>
  </si>
  <si>
    <t>ARARAQUARA 2|0003174/2023-SUBSTITUIÇÃO DO BANCO DE BATERIAS DO POLO 2 DA SUBESTAÇÃO ARARAQUARA-Fornecimento de bancos de baterias alcalinas, em conformidade com o IEC 62259 , incluindo desmontar os bancos a serem substituídos, montar e testar os bancos a serem fornecidos, realizar a logística reversa e o descarte apropriado dos bancos de baterias desmontados pela Contratada.</t>
  </si>
  <si>
    <t>ARARAQUARA 2|0003176/2023-SUBSTITUIÇÃO DO BANCO DE BATERIAS DO POLO 1 DA SUBESTAÇÃO ARARAQUARA-Fornecimento de bancos de baterias alcalinas, em conformidade com o IEC 62259 , incluindo desmontar os bancos a serem substituídos, montar e testar os bancos a serem fornecidos, realizar a logística reversa e o descarte apropriado dos bancos de baterias desmontados pela Contratada.</t>
  </si>
  <si>
    <t>SAO LUIS I|0008624/2023-SUBSTITUIR DISJUNTOR 69KV LIDJ4-07-DISJUNTOR (MAIOR OU IGUAL 69 KV) São Luis I</t>
  </si>
  <si>
    <t>SAO LUIS I|0008628/2023-SUBSTITUIÇÃO DO DISJUNTOR LIDJ4-10-DISJUNTOR (MAIOR OU IGUAL 69 KV) São Luis I</t>
  </si>
  <si>
    <t>SAO LUIS I|0008631/2023-SUBSTITUIÇÃO DO DISJUNTOR PFDJ4-08-DISJUNTOR (MAIOR OU IGUAL 69 KV) São Luis I</t>
  </si>
  <si>
    <t>SAO LUIS I|0008670/2023-SUBSTITUIÇÃO DO DISJUNTOR LIDJ4-03-DISJUNTOR (MAIOR OU IGUAL 69 KV) São Luis I</t>
  </si>
  <si>
    <t>SAO LUIS I|0008675/2023-SUBSTITUIR DISJUNTOR 69KV LIDJ4-05-DISJUNTOR (MAIOR OU IGUAL 69 KV) São Luis I</t>
  </si>
  <si>
    <t>SAO LUIS I|0008727/2023-SUBSTITUIR DISJUNTOR 69KV LIDJ4-04-DISJUNTOR (MAIOR OU IGUAL 69 KV) São Luis I</t>
  </si>
  <si>
    <t>SAO LUIS I|0008798/2023-SUBSTITUIÇÃO DO DISJUNTOR LIDJ4-14-DISJUNTOR (MAIOR OU IGUAL 69 KV) São Luis I</t>
  </si>
  <si>
    <t>SAO LUIS I|0009006/2023-SUBSTITUIR DISJUNTOR 69KV LIDJ4-01-DISJUNTOR (MAIOR OU IGUAL 69 KV) São Luis I</t>
  </si>
  <si>
    <t>ABUNA|0009356/2023-INSTALAÇÃO DE FILTRO DE ÓLEO MOTORIZADO NO COMUTADOR DE TAP DO ANAT601 NA SUBESTAÇÃO ABUNÃ-Aquisição de Filtro Motorizado com fornecimento de peças e serviço de instalação</t>
  </si>
  <si>
    <t>JARU|0002894/2023-INSTALAÇÃO DE FILTRO DE ÓLEO MOTORIZADO NO COMUTADOR DE TAP DO JRTF602 NA SUBESTAÇÃO JARU-Aquisição de Filtro Motorizado com fornecimento de peças e serviço de instalação</t>
  </si>
  <si>
    <t>JARU|0003017/2023-INSTALAÇÃO DE FILTRO DE ÓLEO MOTORIZADO NO COMUTADOR DE TAP DO JRTF601 NA SUBESTAÇÃO JARU-Aquisição de Filtro Motorizado com fornecimento de peças e serviço de instalação</t>
  </si>
  <si>
    <t>JI-PARANA|0002892/2023-INSTALAÇÃO DE FILTRO DE ÓLEO MOTORIZADO NO COMUTADOR DE TAP DO JPAT601 NA SUBESTAÇÃO JI-PARANÁ-Aquisição de Filtro Motorizado com fornecimento de peças e serviço de instalação</t>
  </si>
  <si>
    <t>JI-PARANA|0002893/2023-INSTALAÇÃO DE FILTRO DE ÓLEO MOTORIZADO NO COMUTADOR DE TAP DO JPTF603 NA SUBESTAÇÃO JI-PARANÁ-Aquisição de Filtro Motorizado com fornecimento de peças e serviço de instalação</t>
  </si>
  <si>
    <t>JI-PARANA|0003171/2023-INSTALAÇÃO DE FILTRO DE ÓLEO MOTORIZADO NO COMUTADOR DE TAP DO JPTF601 NA SUBESTAÇÃO JI-PARANÁ-Aquisição de Filtro Motorizado com fornecimento de peças e serviço de instalação</t>
  </si>
  <si>
    <t>RIO BRANCO I|0009361/2023-INSTALAÇÃO DE FILTRO DE ÓLEO MOTORIZADO NO COMUTADOR DE TAP DO RBTF601 NA SUBESTAÇÃO RIO BRANCO-Aquisição de Filtro Motorizado com fornecimento de peças e serviço de instalação</t>
  </si>
  <si>
    <t>JI-PARANA|0003017/2020-Instalação da proteção e controle diferencial de barras da cadeia alternada das barras JPBR6-01 e JPBR6-02, contemplando uma unidade central com capacidade de no mínimo nove vãos e seis unidades de bay (bays unit).-Aquisição de IEDs modelos: MiCOM - P545, MiCOM C264 e Módulos SAITEL DP -  Ji-Paraná e Ariquemes  (RONDÔNIA)</t>
  </si>
  <si>
    <t>JI-PARANA|0007949/2021-Substituição da proteção e controle diferencial de barras da cadeia principal da barra JPBR6-02, contemplando uma unidade central com capacidade de no mínimo nove vãos e seis unidades de bay (bays unit).-Aquisição de IEDs modelos: MiCOM - P545, MiCOM C264 e Módulos SAITEL DP -  Ji-Paraná e Ariquemes  (RONDÔNIA)</t>
  </si>
  <si>
    <t>JI-PARANA|0007957/2021-Substituição da proteção e controle diferencial de barras da cadeia principal da barra JPBR6-01, contemplando uma unidade central com capacidade de no mínimo nove vãos e seis unidades de bay (bays unit).-Aquisição de IEDs modelos: MiCOM - P545, MiCOM C264 e Módulos SAITEL DP -  Ji-Paraná e Ariquemes  (RONDÔNIA)</t>
  </si>
  <si>
    <t>PORTO VELHO|Sobressalente à cadastrar PMI--Aquisição de Relé de Proteção REC670 - 1MRK002814-AC -  Porto Velho (RONDÔNIA)</t>
  </si>
  <si>
    <t>LECHUGA|0004688/2022-Substituição de disjuntor de 13,8kV - LEDJ2-02-Aquisição de disjuntores 13,8kV para  substituições na SE LECHUGA</t>
  </si>
  <si>
    <t>LECHUGA|0004691/2022-Substituição de disjuntor de 13,8kV - LEDJ2-01-Aquisição de disjuntores 13,8kV para  substituições na SE LECHUGA</t>
  </si>
  <si>
    <t>LECHUGA|0004694/2022-Substituição de disjuntor de 13,8kV - LEDJ2-21-Aquisição de disjuntores 13,8kV para  substituições na SE LECHUGA</t>
  </si>
  <si>
    <t>BOA VISTA|Sobressalente à cadastrar PMI--Aquisição de IEDs modelos: SEL-411L, SEL-451,  SEL-2440, SEL-2411 e Software de análise de eventos, SEL 5601-2 - SE BOA VISTA</t>
  </si>
  <si>
    <t>BOA VISTA|0007179/2019-SUBSTITUIÇÃO DE QUADROS , SUBQUADROS E DO SISTEMA PROTEÇÃO,  MEDIÇÃO, CONTROLE E SUPERVISÃO DOS SERVIÇO AUXILIAR 380 VAC DA SE BOA VISTA-Contratação de empresa especializada para montagem comissionamento de equipamentos de  serviço auxiliar (SE BOA VISTA)</t>
  </si>
  <si>
    <t>BOA VISTA|0007186/2019-SUBSTITUIÇÃO DE QUADROS , SUBQUADROS E DO SISTEMA DE PROTEÇÃO,  MEDIÇÃO, CONTROLE E SUPERVISÃO DOS SERVIÇO AUXILIAR 125 VCC DA SE BOA VISTA-Contratação de empresa especializada para montagem comissionamento de equipamentos de  serviço auxiliar (SE BOA VISTA)</t>
  </si>
  <si>
    <t>BOA VISTA|Sobressalente à cadastrar PMI--Aquisição de registradores digitais de perturbação (RDP) SE BOA VISTA</t>
  </si>
  <si>
    <t>LECHUGA|Sobressalente à cadastrar PMI--Aquisição de Transformadores de corrente 230kV sobressalentes para SE LECHUGA</t>
  </si>
  <si>
    <t>LECHUGA|Sobressalente à cadastrar PMI--Aquisição de Transformadores de Corrente de 145kV sobressalentes para  SE LECHUGA</t>
  </si>
  <si>
    <t>LECHUGA; JORGE TEIXEIRA; BOA VISTA|Sobressalente à cadastrar PMI--Aquisição de para-raios sobressalentes para SEs LECHUGA, JORGE TEIXEIRA e BOA VISTA</t>
  </si>
  <si>
    <t>LECHUGA|Sobressalente à cadastrar PMI--Aquisição de Disjuntor 138kV, isolado a gás SF6, para sobressalente da SE LECHUGA</t>
  </si>
  <si>
    <t>LECHUGA|Sobressalente à cadastrar PMI--Aquisição de Disjuntor  230 kV, isolado a gás SF6  para sobressalente da SE LECHUGA</t>
  </si>
  <si>
    <t>LECHUGA; JORGE TEIXEIRA; BOA VISTA|Sobressalente à cadastrar PMI--Aquisição de Chave seccionadora 230 kV para  sobressalente das SEs LECHUGA, JORGE TEIXEIRA e BOA VISTA</t>
  </si>
  <si>
    <t>BOA VISTA|Sobressalente à cadastrar PMI--Aquisição de Chave seccionadora 69 kV para  sobressalente da SE BOA VISTA</t>
  </si>
  <si>
    <t>BOA VISTA|Sobressalente à cadastrar PMI--Aquisição de Transformdor de Potencial de 69kV sobressalentes para SE BOA VISTA</t>
  </si>
  <si>
    <t>LECHUGA; BOA VISTA|Sobressalente à cadastrar PMI--Aquisição de Transformadores de corrente 13,8kV sobressalentes para as SEs LECHUGA e BOA VISTA</t>
  </si>
  <si>
    <t>JORGE TEIXEIRA|Sobressalente à cadastrar PMI--Aquisição de registradores digitais de perturbação (RDP) com sistema de medição fasorial sincrinizada (PMU) para SE JORGE TEIXEIRA</t>
  </si>
  <si>
    <t>BOA VISTA|Sobressalente à cadastrar PMI--Aquisição de Transformadores de corrente 69kV para substituição no terminal de Boa Vista da LT 69kV Boa Vista-Floresta C1, na SE BOA VISTA</t>
  </si>
  <si>
    <t>ALTAMIRA|0008608/2019-SUBSTITUIÇÃO DOS TRANSFORMADORES DE POTENCIAL DA BARRA I-AQUISIÇÃO DE TPC'S  PARA MA, TO, PA, RO</t>
  </si>
  <si>
    <t>JI-PARANA|0006620/2021-Substituição de 01  (um) transformador de potencial de 230 KV, Fase V, do barramento flexível JPBR6-01.-AQUISIÇÃO DE TPC'S  PARA MA, TO, PA, RO</t>
  </si>
  <si>
    <t>JI-PARANA|0006691/2020-Substituição de 03  (três) divisor capacitivo de potencial de 230 KV, Fases A,B e V, da Linha de Transmissão JRJP-LT601.-AQUISIÇÃO DE TPC'S  PARA MA, TO, PA, RO</t>
  </si>
  <si>
    <t>JI-PARANA|0006711/2020-Substituição de 02  (dois) transformadores de potencial capacitivo de 230 KV, Fase A e V do barramento flexível JPBR6-02.-AQUISIÇÃO DE TPC'S  PARA MA, TO, PA, RO</t>
  </si>
  <si>
    <t>JI-PARANA|0006714/2020-Substituição de 02  (dois) transformadores de potencial de 230 KV, Fase A e B, do barramento flexível JPBR6-01.-AQUISIÇÃO DE TPC'S  PARA MA, TO, PA, RO</t>
  </si>
  <si>
    <t>MARABA|0008056/2022-SUBSTITUIR TRANSFORMADOR DE POTENCIAL CAPACITIVO-FASE A DA MBTCLT7-02-AQUISIÇÃO DE TPC'S  PARA MA, TO, PA, RO</t>
  </si>
  <si>
    <t>MARABA|0008062/2022-SUBSTITUIR TRANSFORMADOR DE POTENCIAL CAPACITIVO-FASE B DA MBTCLT7-02-AQUISIÇÃO DE TPC'S  PARA MA, TO, PA, RO</t>
  </si>
  <si>
    <t>MARABA|0008065/2022-SUBSTITUIR TRANSFORMADOR DE POTENCIAL CAPACITIVO-FASE V DA MBTCLT7-02-AQUISIÇÃO DE TPC'S  PARA MA, TO, PA, RO</t>
  </si>
  <si>
    <t>MIRACEMA|0003487/2019-Substituição de transformador de potencial capacitivo, fase A, instalado na saída de linha da SE Miracema, vão MCDP7-DX-AQUISIÇÃO DE TPC'S  PARA MA, TO, PA, RO</t>
  </si>
  <si>
    <t>MIRACEMA|0003488/2019-Substituição de transformador de potencial capacitivo, fase B, instalado na saída de linha da SE Miracema, vão MCDP7-DX-AQUISIÇÃO DE TPC'S  PARA MA, TO, PA, RO</t>
  </si>
  <si>
    <t>MIRACEMA|0003489/2019-Substituição de transformador de potencial capacitivo, fase V, instalado na saída de linha da SE Miracema, vão MCDP7-DX-AQUISIÇÃO DE TPC'S  PARA MA, TO, PA, RO</t>
  </si>
  <si>
    <t>P.DUTRA|0000912/2022-SUBSTITUIÇÃO DO TRANSFORMADOR DE POTENCIAL ASSOCIADO À BARRA PDBR4-01 FASE A-AQUISIÇÃO DE TPC'S  PARA MA, TO, PA, RO</t>
  </si>
  <si>
    <t>P.DUTRA|0007031/2021-Substituição transformador de potencial 69kV - módulo de conexão PDTF6-01 Fase V-AQUISIÇÃO DE TPC'S  PARA MA, TO, PA, RO</t>
  </si>
  <si>
    <t>P.DUTRA|0007041/2021-Substituição do transformador de potencial módulo de conexão 69kV - PDTF6-01 Fase B-AQUISIÇÃO DE TPC'S  PARA MA, TO, PA, RO</t>
  </si>
  <si>
    <t>P.DUTRA|0007110/2022-Substituição do Transformador de Potencial - vão DX - Fase A por outro semelhante-EL IZPDLT7-02-AQUISIÇÃO DE TPC'S  PARA MA, TO, PA, RO</t>
  </si>
  <si>
    <t>P.DUTRA|0007122/2022-Substituição do Transformador de Potencial - vão DX - Fase B por outro semelhante-EL IZPDLT7-02-AQUISIÇÃO DE TPC'S  PARA MA, TO, PA, RO</t>
  </si>
  <si>
    <t>P.DUTRA|0007130/2022-Substituição do Transformador de Potencial - vão DX - Fase V por outro semelhante-EL IZPDLT7-02-AQUISIÇÃO DE TPC'S  PARA MA, TO, PA, RO</t>
  </si>
  <si>
    <t>P.DUTRA|0007315/2021-Substituição transformador de potencial 69kV módulo de conexão 69kV PDTF6-01 Fase A-AQUISIÇÃO DE TPC'S  PARA MA, TO, PA, RO</t>
  </si>
  <si>
    <t>PIMENTA BUENO|0006598/2021-Substituição de 01  (um) transformador de potencial capacitivo de 230 KV, Fase V, da Linha de Transmissão PBVN-LT601.-AQUISIÇÃO DE TPC'S  PARA MA, TO, PA, RO</t>
  </si>
  <si>
    <t>PIMENTA BUENO|0006603/2021-Transformador de potencial capacitivo de 230 KV, Fase B, da Linha de Transmissão PBVN-LT601.-AQUISIÇÃO DE TPC'S  PARA MA, TO, PA, RO</t>
  </si>
  <si>
    <t>PIMENTA BUENO|0006605/2020-Substituição de 02  (dois) transformadores de potencial capacitivo de 230 KV,  da Linha de Transmissão JPPB-LT601.-AQUISIÇÃO DE TPC'S  PARA MA, TO, PA, RO</t>
  </si>
  <si>
    <t>PIMENTA BUENO|0006606/2021-Substituição de 01  (um) transformador de potencial capacitivo de 230 KV, Fase A, da Linha de Transmissão PBVN-LT601.-AQUISIÇÃO DE TPC'S  PARA MA, TO, PA, RO</t>
  </si>
  <si>
    <t>PIMENTA BUENO|0006607/2020-Substituição de 01  (um) transformador de potencial capacitivo de 230 KV, Fase B, do barramento flexível PBBR6-02.-AQUISIÇÃO DE TPC'S  PARA MA, TO, PA, RO</t>
  </si>
  <si>
    <t>PIMENTA BUENO|0006608/2020-Substituição de 01  (um) transformador de potencial capacitivo de 230 KV, Fase A, do barramento flexível PBBR6-02.-AQUISIÇÃO DE TPC'S  PARA MA, TO, PA, RO</t>
  </si>
  <si>
    <t>TRANSAMAZONIC|0008641/2019-Substituição dos transformadores de potencial indutivo 34,5kV no TMTF6-01-AQUISIÇÃO DE TPC'S  PARA MA, TO, PA, RO</t>
  </si>
  <si>
    <t>TRANSAMAZONIC|0008643/2019-Substituição dos transformadores de potencial indutivo 34,5kV no TMTF6-02-AQUISIÇÃO DE TPC'S  PARA MA, TO, PA, RO</t>
  </si>
  <si>
    <t>TUCURUI|0008610/2019-SUBSTITUIÇÃO DOS TRANSFORMADORES DE POTENCIAL DOS TERMINAIS DA LINHA ATTC LT6 01-AQUISIÇÃO DE TPC'S  PARA MA, TO, PA, RO</t>
  </si>
  <si>
    <t>UTINGA|0008435/2022-Substituição do TP associado a UGTF6-01-AQUISIÇÃO DE TPC'S  PARA MA, TO, PA, RO</t>
  </si>
  <si>
    <t>UTINGA|0008686/2022-SUBSTITUIÇÃO DO TRANSFORMADOR DE POTENCIAL 69 KV - FA  UGTF6-01-AQUISIÇÃO DE TPC'S  PARA MA, TO, PA, RO</t>
  </si>
  <si>
    <t>VILHENA|0006591/2021-Substituição de 01  (um) transformador de potencial capacitivo de 230 KV, Fase V, do barramento flexível N-S-ROVN-BC601-MC230-VNTP601.-AQUISIÇÃO DE TPC'S  PARA MA, TO, PA, RO</t>
  </si>
  <si>
    <t>VILHENA|0006592/2021-Substituição de 01  (um) transformador de potencial capacitivo de 230 KV, Fase B, do barramento flexível N-S-ROVN-BC601-MC230-VNTP601.-AQUISIÇÃO DE TPC'S  PARA MA, TO, PA, RO</t>
  </si>
  <si>
    <t>VILHENA|0006595/2021-Substituição de 01  (um) transformador de potencial capacitivo de 230 KV, Fase A, do barramento flexível N-S-ROVN-BC601-MC230-VNTP601.-AQUISIÇÃO DE TPC'S  PARA MA, TO, PA, RO</t>
  </si>
  <si>
    <t>VILHENA|0006612/2021-Substituição de 01  (um) transformador de potencial capacitivo de 230 KV, Fase V, do barramento flexível VNBR6-02.-AQUISIÇÃO DE TPC'S  PARA MA, TO, PA, RO</t>
  </si>
  <si>
    <t>VILHENA|0006614/2021-Substituição de 01  (um) transformador de potencial capacitivo de 230 KV, Fase B, do barramento flexível VNBR6-02.-AQUISIÇÃO DE TPC'S  PARA MA, TO, PA, RO</t>
  </si>
  <si>
    <t>VILHENA|0006617/2021-Substituição de 01  (um) transformador de potencial capacitivo de 230 KV, Fase A, do barramento flexível VNBR6-02.-AQUISIÇÃO DE TPC'S  PARA MA, TO, PA, RO</t>
  </si>
  <si>
    <t>IMPERATRIZ|0007848/2021-SUBSTITUIÇÃO DO TRANSFORMADOR DE CORRENTE DE 500kV, (BANCO 02) FASE "B" DO VÃO CENTRAL "V" DE 500kV Y2, ASSOCIADO AO DISJUNTOR IZDJ7-04.-AQUISIÇÃO DE TC'S  PARA MA, TO, PA, RO</t>
  </si>
  <si>
    <t>IMPERATRIZ|0007862/2021-SUBSTITUIÇÃO DO TRANSFORMADOR DE CORRENTE DE 500kV, (BANCO 02) FASE "B" DO VÃO CENTRAL "B" DE 500kV, ASSOCIADO AO DISJUNTOR IZDJ7-04.-AQUISIÇÃO DE TC'S  PARA MA, TO, PA, RO</t>
  </si>
  <si>
    <t>IMPERATRIZ|0007872/2021-SUBSTITUIÇÃO DO TRANSFORMADOR DE CORRENTE DE 500kV, FASE "V" DO BAY DO BANCO DE REATORES DE LINHA IZRE7-03.-AQUISIÇÃO DE TC'S  PARA MA, TO, PA, RO</t>
  </si>
  <si>
    <t>IMPERATRIZ|0007905/2021-SUBSTITUIÇÃO DO TRANSFORMADOR DE CORRENTE DE 500kV, FASE "B" DO BAY DO BANCO DE REATORES DE LINHA IZRE7-03.-AQUISIÇÃO DE TC'S  PARA MA, TO, PA, RO</t>
  </si>
  <si>
    <t>IMPERATRIZ|0007915/2021-SUBSTITUIÇÃO DO TRANSFORMADOR DE CORRENTE DE 500kV, FASE "A" DO BAY DO BANCO DE REATORES DE LINHA IZRE7-03.-AQUISIÇÃO DE TC'S  PARA MA, TO, PA, RO</t>
  </si>
  <si>
    <t>IMPERATRIZ|0007923/2021-SUBSTITUIÇÃO DO TRANSFORMADOR DE CORRENTE DE 500kV, FASE "V" DO BAY DO BANCO DE REATORES DE LINHA IZRE7-01.-AQUISIÇÃO DE TC'S  PARA MA, TO, PA, RO</t>
  </si>
  <si>
    <t>IMPERATRIZ|0007929/2021-SUBSTITUIÇÃO DO TRANSFORMADOR DE CORRENTE DE 500kV, FASE "A" DO BAY DA ENTRADA DE LINHA DE 500kV MARABÁ-IMPERATRIZ, ASSOCIADO AO DISJUNTOR IZDJ7-03.-AQUISIÇÃO DE TC'S  PARA MA, TO, PA, RO</t>
  </si>
  <si>
    <t>IMPERATRIZ|0007961/2021-SUBSTITUIÇÃO DO TRANSFORMADOR DE CORRENTE DE 500kV, FASE "B" DO BAY DO BANCO DE REATORES DE LINHA IZRE7-01.-AQUISIÇÃO DE TC'S  PARA MA, TO, PA, RO</t>
  </si>
  <si>
    <t>IMPERATRIZ|0008117/2021-SUBSTITUIÇÃO DO TRANSFORMADOR DE CORRENTE DE 500kV, FASE "A" DO BAY DO BANCO DE REATORES DE LINHA IZRE7-01.-AQUISIÇÃO DE TC'S  PARA MA, TO, PA, RO</t>
  </si>
  <si>
    <t>IMPERATRIZ|0008143/2021-SUBSTITUIÇÃO DO TRANSFORMADOR DE CORRENTE DE 500kV, FASE "V" DO BAY DO BANCO DE REATORES DE LINHA IZRE7-02.-AQUISIÇÃO DE TC'S  PARA MA, TO, PA, RO</t>
  </si>
  <si>
    <t>IMPERATRIZ|0008151/2021-SUBSTITUIÇÃO DO TRANSFORMADOR DE CORRENTE DE 500kV, FASE "A" DO BAY DO BANCO DE REATORES DE LINHA IZRE7-02.-AQUISIÇÃO DE TC'S  PARA MA, TO, PA, RO</t>
  </si>
  <si>
    <t>IMPERATRIZ|0008253/2021-SUBSTITUIR O TRANSFORMADOR DE CORRENTE FASE B ASSOCIADO AO REATOR 706-AQUISIÇÃO DE TC'S  PARA MA, TO, PA, RO</t>
  </si>
  <si>
    <t>IMPERATRIZ|0008291/2021-SUBSTITUIR O TRANSFORMADOR DE CORRENTE FASE A  ASSOCIADO AO REATOR 706-AQUISIÇÃO DE TC'S  PARA MA, TO, PA, RO</t>
  </si>
  <si>
    <t>IMPERATRIZ|0008296/2021-SUBSTITUIR O TRANSFORMADOR DE CORRENTE FASE A  ASSOCIADO AO REATOR 706-AQUISIÇÃO DE TC'S  PARA MA, TO, PA, RO</t>
  </si>
  <si>
    <t>IMPERATRIZ|0008302/2021-SUBSTITUIR O TRANSFORMADOR DE CORRENTE FASE 1B ASSOCIADO A  INTERLIGAÇÃO DE BARRA 3 (DJ707)-AQUISIÇÃO DE TC'S  PARA MA, TO, PA, RO</t>
  </si>
  <si>
    <t>IMPERATRIZ|0008305/2021-SUBSTITUIR O TRANSFORMADOR DE CORRENTE FASE 1A  ASSOCIADO A INTERLIGAÇÃO DE BARRAS 3 (DJ707)-AQUISIÇÃO DE TC'S  PARA MA, TO, PA, RO</t>
  </si>
  <si>
    <t>IMPERATRIZ|0008306/2022-Substituição do Transformador de Corrente - vão CY - Fase A por outro semelhante - IZDJ7-07-AQUISIÇÃO DE TC'S  PARA MA, TO, PA, RO</t>
  </si>
  <si>
    <t>IMPERATRIZ|0008308/2022-Substituição do Transformador de Corrente - vão CY - Fase B por outro semelhante - IZDJ7-07-AQUISIÇÃO DE TC'S  PARA MA, TO, PA, RO</t>
  </si>
  <si>
    <t>IMPERATRIZ|0008311/2021-SUBSTITUIR O TRANSFORMADOR DE CORRENTE FASE 2A  ASSOCIADO A INTERLIGAÇÃO DE BARRA  1 (DJ701)-AQUISIÇÃO DE TC'S  PARA MA, TO, PA, RO</t>
  </si>
  <si>
    <t>IMPERATRIZ|0008477/2021-SUBSTITUIR O TRANSFORMADOR DE CORRENTE FASE A  ASSOCIADO AO DISJUNTOR 603-AQUISIÇÃO DE TC'S  PARA MA, TO, PA, RO</t>
  </si>
  <si>
    <t>IMPERATRIZ|0008478/2021-SUBSTITUIR O TRANSFORMADOR DE CORRENTE FASE B  ASSOCIADO AO DISJUNTOR 603-AQUISIÇÃO DE TC'S  PARA MA, TO, PA, RO</t>
  </si>
  <si>
    <t>IMPERATRIZ|0008479/2021-SUBSTITUIR O TRANSFORMADOR DE CORRENTE FASE A  ASSOCIADO AO DISJUNTOR 604-AQUISIÇÃO DE TC'S  PARA MA, TO, PA, RO</t>
  </si>
  <si>
    <t>IMPERATRIZ|0008481/2021-SUBSTITUIR O TRANSFORMADOR DE CORRENTE FASE B  ASSOCIADO AO BAY IZPFLT601-AQUISIÇÃO DE TC'S  PARA MA, TO, PA, RO</t>
  </si>
  <si>
    <t>IMPERATRIZ|0008483/2021-SUBSTITUIR O TRANSFORMADOR DE CORRENTE FASE B  ASSOCIADO AO TF604-AQUISIÇÃO DE TC'S  PARA MA, TO, PA, RO</t>
  </si>
  <si>
    <t>IMPERATRIZ|0008571/2021-SUBSTITUIR O TRANSFORMADOR DE CORRENTE FASE V  ASSOCIADO AO BAY IZPD-LT702.-AQUISIÇÃO DE TC'S  PARA MA, TO, PA, RO</t>
  </si>
  <si>
    <t>IMPERATRIZ|0008577/2021-SUBSTITUIR O TRANSFORMADOR DE CORRENTE FASE A  ASSOCIADO AO AT701-AQUISIÇÃO DE TC'S  PARA MA, TO, PA, RO</t>
  </si>
  <si>
    <t>IMPERATRIZ|0008800/2021-SUBSTITUIR O TRANSFORMADOR DE CORRENTE FASE B ASSOCIADO AO DISJUNTOR 604-AQUISIÇÃO DE TC'S  PARA MA, TO, PA, RO</t>
  </si>
  <si>
    <t>IMPERATRIZ|0008815/2021-SUBSTITUIR O TRANSFORMADOR DE CORRENTE FASE A  ASSOCIADO AO BAY IZPFLT601-AQUISIÇÃO DE TC'S  PARA MA, TO, PA, RO</t>
  </si>
  <si>
    <t>IMPERATRIZ|0008846/2021-SUBSTITUIR O TRANSFORMADOR DE CORRENTE FASE A  ASSOCIADO AO TF603-AQUISIÇÃO DE TC'S  PARA MA, TO, PA, RO</t>
  </si>
  <si>
    <t>IMPERATRIZ|0009555/2021-SUBSTITUIÇÃO DO TRANSFORMADOR DE CORRENTE DE 500kV, (BANCO 02) FASE "B" DO VÃO CENTRAL "V" DE 500kV Y1, ASSOCIADO AO DISJUNTOR IZDJ7-04.-AQUISIÇÃO DE TC'S  PARA MA, TO, PA, RO</t>
  </si>
  <si>
    <t>MARABA|0007044/2022-SUBSTITUIÇÃO TRANSFORMADOR DE CORRENTE DE 500 KV DO MBDJ7-04 FA VÃO C SECÇÃO X-AQUISIÇÃO DE TC'S  PARA MA, TO, PA, RO</t>
  </si>
  <si>
    <t>MARABA|0007045/2022-SUBSTITUIÇÃO TRANSFORMADOR DE CORRENTE DE 500 KV DO MBDJ7-04 FASE B VÃO C SECÇÃO X-AQUISIÇÃO DE TC'S  PARA MA, TO, PA, RO</t>
  </si>
  <si>
    <t>MARABA|0007046/2022-SUBSTITUIÇÃO TRANSFORMADOR DE CORRENTE DE 500 KV DO MBDJ7-04 FASE V VÃO C SECÇÃO X-AQUISIÇÃO DE TC'S  PARA MA, TO, PA, RO</t>
  </si>
  <si>
    <t>MARABA|0007358/2022-SUBSTITUIÇÃO TRANSFORMADOR DE CORRENTE DE 500 KV DO MBDJ7-05 FA VÃO C SEÇÃO Y2-AQUISIÇÃO DE TC'S  PARA MA, TO, PA, RO</t>
  </si>
  <si>
    <t>MARABA|0007498/2022-SUBSTITUIÇÃO TRANSFORMADOR DE CORRENTE DE 500 KV DO MBDJ7-05 FB VÃO C SEÇÃO Y2-AQUISIÇÃO DE TC'S  PARA MA, TO, PA, RO</t>
  </si>
  <si>
    <t>MARABA|0007514/2022-SUBSTITUIÇÃO TRANSFORMADOR DE CORRENTE DE 500 KV DO MBDJ7-05 FV VÃO C SEÇÃO Y2-AQUISIÇÃO DE TC'S  PARA MA, TO, PA, RO</t>
  </si>
  <si>
    <t>MIRANDA II|0006271/2020-SUBSTITUIR O TRANSFORMADOR DE CORRENTE FASE B (MRTF6-02)-AQUISIÇÃO DE TC'S  PARA MA, TO, PA, RO</t>
  </si>
  <si>
    <t>MIRANDA II|0006276/2020-SUBSTITUIR O TRANSFORMADOR DE CORRENTE FASE A (MRTF6-02)-AQUISIÇÃO DE TC'S  PARA MA, TO, PA, RO</t>
  </si>
  <si>
    <t>P.DUTRA|0007000/2022-Substituição do Transformador de Corrente - vão DY - Fase A por outro semelhante - PDDJ7-12-AQUISIÇÃO DE TC'S  PARA MA, TO, PA, RO</t>
  </si>
  <si>
    <t>P.DUTRA|0007002/2022-Substituição do Transformador de Corrente - vão DY - Fase B por outro semelhante- PDDJ7-12-AQUISIÇÃO DE TC'S  PARA MA, TO, PA, RO</t>
  </si>
  <si>
    <t>P.DUTRA|0007010/2022-Substituição do Transformador de Corrente - vão DY - Fase V por outro semelhante - PDDJ7-12-AQUISIÇÃO DE TC'S  PARA MA, TO, PA, RO</t>
  </si>
  <si>
    <t>P.DUTRA|0007033/2022-Substituição do Transformador de Corrente - vão DX - fase A por outro semelhante- EL IZPDLT7-02-AQUISIÇÃO DE TC'S  PARA MA, TO, PA, RO</t>
  </si>
  <si>
    <t>P.DUTRA|0007036/2022-Substituição do Transformador de Corrente - vão DX - fase B por outro semelhante- EL IZPDLT7-02-AQUISIÇÃO DE TC'S  PARA MA, TO, PA, RO</t>
  </si>
  <si>
    <t>P.DUTRA|0007097/2022-Substituição do Transformador de Corrente - vão DX - Fase V por outro semelhante- EL IZPDLT7-02-AQUISIÇÃO DE TC'S  PARA MA, TO, PA, RO</t>
  </si>
  <si>
    <t>P.DUTRA|0008173/2021-SUBSTITUIÇÃO DO TRANSFORMADOR DE CORRENTE DE 500kV, FASE "V" DO BAY DA ENTRADA DE LINHA DE 500kV BOA ESPERANÇA - PRES. DUTRA, ASSOCIADO AO DISJUNTOR PDDJ7-09.-AQUISIÇÃO DE TC'S  PARA MA, TO, PA, RO</t>
  </si>
  <si>
    <t>P.DUTRA|0008186/2021-SUBSTITUIÇÃO DO TRANSFORMADOR DE CORRENTE DE 500kV, (BANCO 02) FASE "V" DO VÃO CENTRAL "C" DE 500kV, ASSOCIADO AO DISJUNTOR PDDJ7-08.-AQUISIÇÃO DE TC'S  PARA MA, TO, PA, RO</t>
  </si>
  <si>
    <t>P.DUTRA|0008188/2021-SUBSTITUIÇÃO DO TRANSFORMADOR DE CORRENTE DE 500kV, (BANCO 02) FASE "B" DO VÃO CENTRAL "C" DE 500kV, ASSOCIADO AO DISJUNTOR PDDJ7-08.-AQUISIÇÃO DE TC'S  PARA MA, TO, PA, RO</t>
  </si>
  <si>
    <t>P.DUTRA|0008191/2021-SUBSTITUIÇÃO DO TRANSFORMADOR DE CORRENTE DE 500kV, (BANCO 02) FASE "A" DO VÃO CENTRAL "C" DE 500kV, ASSOCIADO AO DISJUNTOR PDDJ7-08.-AQUISIÇÃO DE TC'S  PARA MA, TO, PA, RO</t>
  </si>
  <si>
    <t>P.DUTRA|0008223/2021-SUBSTITUIÇÃO DO TRANSFORMADOR DE CORRENTE DE 500kV, FASE "V" DO BAY DA ENTRADA DE LINHA DE 500kV IMPERATRIZ PRES. DUTRA, ASSOCIADO AO DISJUNTOR PDDJ7-07.-AQUISIÇÃO DE TC'S  PARA MA, TO, PA, RO</t>
  </si>
  <si>
    <t>P.DUTRA|0008230/2021-SUBSTITUIÇÃO DO TRANSFORMADOR DE CORRENTE DE 500kV, FASE "A" DO BAY DO BANCO DE REATORES DE LINHA PDRE7-06.-AQUISIÇÃO DE TC'S  PARA MA, TO, PA, RO</t>
  </si>
  <si>
    <t>P.DUTRA|0008238/2021-SUBSTITUIÇÃO DO TRANSFORMADOR DE CORRENTE DE 500kV, FASE "B" DO BAY DO BANCO DE REATORES DE LINHA PDRE7-06.-AQUISIÇÃO DE TC'S  PARA MA, TO, PA, RO</t>
  </si>
  <si>
    <t>P.DUTRA|0008240/2021-SUBSTITUIÇÃO DO TRANSFORMADOR DE CORRENTE DE 500kV, FASE "V" DO BAY DO REATOR DE LINHA PDRE7-05.-AQUISIÇÃO DE TC'S  PARA MA, TO, PA, RO</t>
  </si>
  <si>
    <t>P.DUTRA|0008246/2021-SUBSTITUIÇÃO DO TRANSFORMADOR DE CORRENTE DE 500kV, FASE "B" DO BAY DO REATOR DE LINHA PDRE7-05.-AQUISIÇÃO DE TC'S  PARA MA, TO, PA, RO</t>
  </si>
  <si>
    <t>P.DUTRA|0008476/2021-SUBSTITUIÇÃO DO TRANSFORMADOR DE CORRENTE DE 500kV, FASE "V" DO BAY DO REATOR DE LINHA PDRE7-04.-AQUISIÇÃO DE TC'S  PARA MA, TO, PA, RO</t>
  </si>
  <si>
    <t>P.DUTRA|0008480/2021-SUBSTITUIÇÃO DO TRANSFORMADOR DE CORRENTE DE 500kV, FASE "B" DO BAY DO REATOR DE LINHA PDRE7-04.-AQUISIÇÃO DE TC'S  PARA MA, TO, PA, RO</t>
  </si>
  <si>
    <t>P.DUTRA|0008482/2021-SUBSTITUIÇÃO DO TRANSFORMADOR DE CORRENTE DE 500kV, FASE "A" DO BAY DO REATOR DE LINHA PDRE7-05.-AQUISIÇÃO DE TC'S  PARA MA, TO, PA, RO</t>
  </si>
  <si>
    <t>P.DUTRA|0008739/2022-SUBSTITUIÇÃO DE UM TRANSFORMADOR DE CORRENTE 500KV, FASE A, ASSOCIADO AO PDRE7-04-AQUISIÇÃO DE TC'S  PARA MA, TO, PA, RO</t>
  </si>
  <si>
    <t>P.DUTRA|0008750/2022-SUBSTITUIÇÃO DE UM TRANSFORMADOR DE CORRENTE DE 500 KV, FASE V ASSOCIADO AO REATOR PDRE7-06-AQUISIÇÃO DE TC'S  PARA MA, TO, PA, RO</t>
  </si>
  <si>
    <t>P.DUTRA|0008758/2022-SUBSTITUIÇÃO DE UM TRANSFORMADOR DE CORRENTE DE 500 KV, FASE A ASSOCIADO AO REATOR PDRE7-02 CONECTADO À PDSOLT7-01.-AQUISIÇÃO DE TC'S  PARA MA, TO, PA, RO</t>
  </si>
  <si>
    <t>P.DUTRA|0008775/2022-SUBSTITUIÇÃO DE UM TRANSFORMADOR DE CORRENTE 500KV FASE A , ASSOCIADO AO PDJ7-08 FASE A-AQUISIÇÃO DE TC'S  PARA MA, TO, PA, RO</t>
  </si>
  <si>
    <t>P.DUTRA|0008854/2022-SUBSTITUIÇÃO DE UM TRANSFORMADOR DE CORRENTE DE 500 KV, FASE A DA FT IZPD-LT7-01, ASSOCIADO AO PDDJ7-07.-AQUISIÇÃO DE TC'S  PARA MA, TO, PA, RO</t>
  </si>
  <si>
    <t>P.DUTRA|0009015/2022-SUBSTITUIÇÃO DO TRANSFORMADOR DE CORRENTE DE 500KV, FASE A, DO PDDJ7-03, ASSOCIADO AO PDAT7-01-AQUISIÇÃO DE TC'S  PARA MA, TO, PA, RO</t>
  </si>
  <si>
    <t>RONDONOPOLIS|0004122/2022-Substituição do TC RPTC6-BC1 FASE V-AQUISIÇÃO DE TC'S  PARA MA, TO, PA, RO</t>
  </si>
  <si>
    <t>RONDONOPOLIS|0004131/2022-Substituição do TC RPTC6-BC1 FASE B-AQUISIÇÃO DE TC'S  PARA MA, TO, PA, RO</t>
  </si>
  <si>
    <t>RONDONOPOLIS|0004136/2022-Substituição de Isolador de Pedestal 230 Kv (vão A2Y) por um novo, com características similares. Fases A e B.RPBC6-01-AQUISIÇÃO DE TC'S  PARA MA, TO, PA, RO</t>
  </si>
  <si>
    <t>SAO LUIS II|0007014/2021-SUBSTITUIÇÃO DO TRANSFORMADOR DE CORRENTE DE 230kV, FASE "B" DO VÃO DE TRANSFERENCIA DE 230kV ENTRE BARRAS LDBR6-01 E LDBR6-02.-AQUISIÇÃO DE TC'S  PARA MA, TO, PA, RO</t>
  </si>
  <si>
    <t>SAO LUIS II|0007026/2021-SUBSTITUIÇÃO DO TRANSFORMADOR DE CORRENTE DE 230kV, FASE "B" DO BAY DA ENTRADA DE LINHA DE 230kV SÃO LUIS II - MIRANDA II.-AQUISIÇÃO DE TC'S  PARA MA, TO, PA, RO</t>
  </si>
  <si>
    <t>TUCURUI|0009022/2022-SUBSTITUIÇÃO DO TRANFORMADOR DE CORRENTE  DO AUTOTRANSFORMADOR TCAT7-01 FASE B-AQUISIÇÃO DE TC'S  PARA MA, TO, PA, RO</t>
  </si>
  <si>
    <t>TUCURUI|0009026/2022-SUBSTITUIÇÃO DO TRANFORMADOR DE CORRENTE  DO AUTOTRANSFORMADOR TCAT7-01 FASE V-AQUISIÇÃO DE TC'S  PARA MA, TO, PA, RO</t>
  </si>
  <si>
    <t>TUCURUI|0009028/2022-SUBSTITUIÇÃO DO TRANFORMADOR DE CORRENTE  DO AUTOTRANSFORMADOR TCAT7-01 FASE A-AQUISIÇÃO DE TC'S  PARA MA, TO, PA, RO</t>
  </si>
  <si>
    <t>TUCURUI|0009038/2022-SUBSTITUIÇÃO DO TRANFORMADOR DE CORRENTE  DO AUTOTRANSFORMADOR TCAT7-01 FASE B-AQUISIÇÃO DE TC'S  PARA MA, TO, PA, RO</t>
  </si>
  <si>
    <t>UTINGA|0007318/2022-SUBSTITUIÇÃO TRANSFORMADOR DE CORRENTE DE 230 KV DO UGTF6 01 Fase A-AQUISIÇÃO DE TC'S  PARA MA, TO, PA, RO</t>
  </si>
  <si>
    <t>UTINGA|0007322/2022-SUBSTITUIÇÃO TRANSFORMADOR DE CORRENTE UGTC6 FB DE 230 KV DO UGTF6 01 Fase B-AQUISIÇÃO DE TC'S  PARA MA, TO, PA, RO</t>
  </si>
  <si>
    <t>UTINGA|0007323/2022-SUBSTITUIÇÃO TRANSFORMADOR DE CORRENTE UGTC6 FV DE 230 KV DO UGTF6 01 Fase V-AQUISIÇÃO DE TC'S  PARA MA, TO, PA, RO</t>
  </si>
  <si>
    <t>UTINGA|0007326/2022-SUBSTITUIÇÃO TRANSFORMADOR DE CORRENTE UGTC6-FA DE 230 KV DO UGTF6 02 FASE - A-AQUISIÇÃO DE TC'S  PARA MA, TO, PA, RO</t>
  </si>
  <si>
    <t>UTINGA|0007333/2022-SUBSTITUIÇÃO TRANSFORMADOR DE CORRENTE UGTC6-FB DE 230 KV DO UGTF6 02 FASE - B-AQUISIÇÃO DE TC'S  PARA MA, TO, PA, RO</t>
  </si>
  <si>
    <t>UTINGA|0007334/2022-SUBSTITUIÇÃO TRANSFORMADOR DE CORRENTE UGTC6-FV DE 230 KV DO UGTF6 02 FASE - V-AQUISIÇÃO DE TC'S  PARA MA, TO, PA, RO</t>
  </si>
  <si>
    <t>VILA DO CONDE|0004969/2022-Substituição do Transformador de Corrente 500kV do VCDJ7-04 Fase A - Vão X-AQUISIÇÃO DE TC'S  PARA MA, TO, PA, RO</t>
  </si>
  <si>
    <t>VILA DO CONDE|0004991/2022-Substituição do Transformador de Corrente 500kV do VCDJ7-04 Fase B - Vão X-AQUISIÇÃO DE TC'S  PARA MA, TO, PA, RO</t>
  </si>
  <si>
    <t>VILA DO CONDE|0004999/2022-Substituição do Transformador de Corrente 500kV do VCDJ7-04 Fase V - Vão X-AQUISIÇÃO DE TC'S  PARA MA, TO, PA, RO</t>
  </si>
  <si>
    <t>VILA DO CONDE|0006227/2020-SUSBTITUIÇÃO DOS TRANSFORMADORES DE CORRENTE DE 230 KV - VCTC6 KZ, FA, FB e FV do VCDJ6 06.-AQUISIÇÃO DE TC'S  PARA MA, TO, PA, RO</t>
  </si>
  <si>
    <t>VILA DO CONDE|0006363/2020-SUSBTITUIÇÃO DOS TRANSFORMADORES DE CORRENTE DE 230 KV - VCTC6 LY2, FA, FB e FV do VCDJ6 02 -AQUISIÇÃO DE TC'S  PARA MA, TO, PA, RO</t>
  </si>
  <si>
    <t>VILA DO CONDE|0008191/2022-SUBSTITUIÇÃO TRANSFORMADOR DE CORRENTE DE 230 KV DO VÃO K SECÇÃO X FA (VCDJ6 04)-AQUISIÇÃO DE TC'S  PARA MA, TO, PA, RO</t>
  </si>
  <si>
    <t>VILA DO CONDE|0008407/2022-SUBSTITUIÇÃO TRANSFORMADOR DE CORRENTE DE 230 KV DO VÃO L SECÇÃO Y2 FA (VCDJ6-02)-AQUISIÇÃO DE TC'S  PARA MA, TO, PA, RO</t>
  </si>
  <si>
    <t>VILA DO CONDE|0008411/2022-SUBSTITUIÇÃO TRANSFORMADOR DE CORRENTE DE 230 KV DO VÃO L SECÇÃO Y2 FB (VCDJ6-02)-AQUISIÇÃO DE TC'S  PARA MA, TO, PA, RO</t>
  </si>
  <si>
    <t>VILA DO CONDE|0008414/2022-SUBSTITUIÇÃO TRANSFORMADOR DE CORRENTE DE 230 KV DO VÃO L SECÇÃO Y2 FV (VCDJ6-02)-AQUISIÇÃO DE TC'S  PARA MA, TO, PA, RO</t>
  </si>
  <si>
    <t>VILA DO CONDE|0008419/2022-SUBSTITUIÇÃO TRANSFORMADOR DE CORRENTE DE 230 KV DO VÃO L SECÇÃO Y1 FA (VCDJ6-02)-AQUISIÇÃO DE TC'S  PARA MA, TO, PA, RO</t>
  </si>
  <si>
    <t>VILA DO CONDE|0008421/2022-SUBSTITUIÇÃO TRANSFORMADOR DE CORRENTE DE 230 KV DO VÃO L SECÇÃO Y1 FB (VCDJ6-02)-AQUISIÇÃO DE TC'S  PARA MA, TO, PA, RO</t>
  </si>
  <si>
    <t>VILA DO CONDE|0008424/2022-SUBSTITUIÇÃO TRANSFORMADOR DE CORRENTE DE 230 KV DO VÃO L SECÇÃO Y1 FV (VCDJ6-02)-AQUISIÇÃO DE TC'S  PARA MA, TO, PA, RO</t>
  </si>
  <si>
    <t>VILA DO CONDE|0008603/2019-SUSBTITUIÇÃO DOS TRANSFORMADORES DE CORRENTE DE 230 KV - VCTC6 KX,  FA, FB e FV do VCDJ6 04 (VCBC6 03)
-AQUISIÇÃO DE TC'S  PARA MA, TO, PA, RO</t>
  </si>
  <si>
    <t>VILA DO CONDE|0008607/2019-SUSBTITUIÇÃO DOS TRANSFORMADORES DE CORRENTE DE 230 KV - VCTC6 LY1,  FA, FB e FV do VCDJ6 01-AQUISIÇÃO DE TC'S  PARA MA, TO, PA, RO</t>
  </si>
  <si>
    <t>VILA DO CONDE|0008612/2019-SUSBTITUIÇÃO DOS TRANSFORMADORES DE CORRENTE DE 230 KV  - VCTC 6DY1, FA, FB e FV do VCDJ6 01-AQUISIÇÃO DE TC'S  PARA MA, TO, PA, RO</t>
  </si>
  <si>
    <t>VILA DO CONDE|0008617/2019-SUSBTITUIÇÃO DOS TRANSFORMADORES DE CORRENTE DE 230 KV  - VCTC 6DX, FA, FB e FV do VCDJ6 01-AQUISIÇÃO DE TC'S  PARA MA, TO, PA, RO</t>
  </si>
  <si>
    <t>P.DUTRA|0008038/2019-Revitalização do sistema de Excitação do Compensador Síncrono 01-PDCS2-01 com substituição de componentes da ponte de Tiristores  da máquina 01 - associado a função COMPENSADOR SÍNCRONO PDCS2-01-AQUISIÇÃO DE PONTES DE TIRISTORES PARA OS CS DA SEPD</t>
  </si>
  <si>
    <t>P.DUTRA|0008046/2019-Revitalização do sistema de Excitação do Compensador Síncrono 02 - PDCS2-02 com substituição de componentes da ponte de Tiristores  da máquina 02 - associado a função COMPENSADOR SÍNCRONO PDCS2-02-AQUISIÇÃO DE PONTES DE TIRISTORES PARA OS CS DA SEPD</t>
  </si>
  <si>
    <t>SEM INSTALAÇÃO ESPECÍFICA|Sem PMI--OBRA CIViL DO CENTRO DE MANUTENÇÕES DE DISJUNTORES</t>
  </si>
  <si>
    <t>SEM INSTALAÇÃO ESPECÍFICA|Sem PMI--PERFURAÇÃO DE POÇO PARA A SEPR</t>
  </si>
  <si>
    <t>L.D.RIO VERDE|0001770/2021-INSTALAR MÓDULO DE LOCALIZAÇÃO DE FALTAS POR ONDAS VIAJANTES.-Instalar módulo de localização de faltas por ondas viajantes nas linhas NMSSLT6-01, SSSPLT6-01, NBNMLT6-01, NMSSLT6-01 e na Subestação SELC.</t>
  </si>
  <si>
    <t>L.D.RIO VERDE|0001771/2021-INSTALAR MÓDULO DE LOCALIZAÇÃO DE FALTAS POR ONDAS VIAJANTES.-Instalar módulo de localização de faltas por ondas viajantes nas linhas NMSSLT6-01, SSSPLT6-01, NBNMLT6-01, NMSSLT6-01 e na Subestação SELC.</t>
  </si>
  <si>
    <t>NOBRES|0001765/2021-INSTALAR MÓDULO DE LOCALIZAÇÃO DE FALTAS POR ONDAS VIAJANTES.-Instalar módulo de localização de faltas por ondas viajantes nas linhas NMSSLT6-01, SSSPLT6-01, NBNMLT6-01, NMSSLT6-01 e na Subestação SELC.</t>
  </si>
  <si>
    <t>NOVA MUTUM|0001766/2021-INSTALAR MÓDULO DE LOCALIZAÇÃO DE FALTAS POR ONDAS VIAJANTES.-Instalar módulo de localização de faltas por ondas viajantes nas linhas NMSSLT6-01, SSSPLT6-01, NBNMLT6-01, NMSSLT6-01 e na Subestação SELC.</t>
  </si>
  <si>
    <t>NOVA MUTUM|0001767/2021-INSTALAR MÓDULO DE LOCALIZAÇÃO DE FALTAS POR ONDAS VIAJANTES.-Instalar módulo de localização de faltas por ondas viajantes nas linhas NMSSLT6-01, SSSPLT6-01, NBNMLT6-01, NMSSLT6-01 e na Subestação SELC.</t>
  </si>
  <si>
    <t>SORRISO|0001768/2021-INSTALAR MÓDULO DE LOCALIZAÇÃO DE FALTAS POR ONDAS VIAJANTES.-Instalar módulo de localização de faltas por ondas viajantes nas linhas NMSSLT6-01, SSSPLT6-01, NBNMLT6-01, NMSSLT6-01 e na Subestação SELC.</t>
  </si>
  <si>
    <t>SORRISO|0001769/2021-INSTALAR MÓDULO DE LOCALIZAÇÃO DE FALTAS POR ONDAS VIAJANTES.-Instalar módulo de localização de faltas por ondas viajantes nas linhas NMSSLT6-01, SSSPLT6-01, NBNMLT6-01, NMSSLT6-01 e na Subestação SELC.</t>
  </si>
  <si>
    <t xml:space="preserve">NOVA MUTUM|0006939/2021-SUBSTITUIÇÃO DA CHAVES SECCIONADORA NMSB6-15-Aquisição de uma chave seccionadora para substituição da chave NMSD6-10, função de transmissão NMTF6-03, Subestação Nova Mutum, Sistema de Transmissão Mato Grosso. </t>
  </si>
  <si>
    <t xml:space="preserve"> LT 230 kV BARRA PEIXE /RONDONOPOLIS C-1 MT|0006160/2019-Desenvolver, adquirir e instalar dispositivo de proteção de cadeias de isoladores contra fezes de aves em 538 estruturas.-Desenvolver, adquirir e instalar dispositivo de proteção de cadeias de isoladores contra fezes de aves em 538 estruturas na linha BPRPLT6-01</t>
  </si>
  <si>
    <t xml:space="preserve">NOVA MUTUM|0006940/2021-SUBSTITUIÇÃO DA CHAVES SECCIONADORA NMSB6-15-Aquisição de uma chave seccionadora para substituição da chave NMSB6-15, função de transmissão NMTF6-03, Subestação Nova Mutum, Sistema de Transmissão Mato Grosso. </t>
  </si>
  <si>
    <t>NOVA MUTUM|0006548/2021-REVITALIZAÇÃO DO TRANSFORMADOR SSTF6-01 COM SUBSTITUIÇÃO DE RADIADORES, VEDAÇÕES E ACESSÓRIOS E INSTALAÇÃO DE SISTEMA EXTERNO DE SELAGEM.-Revitalização dos transformadores SSTF6-01 e NMTF6-01, com substiuição de UAR</t>
  </si>
  <si>
    <t>SORRISO|0006555/2021-REVITALIZAÇÃO DO TRANSFORMADOR SSTF6-01 COM SUBSTITUIÇÃO DE RADIADORES, VEDAÇÕES E ACESSÓRIOS E INSTALAÇÃO DE SISTEMA EXTERNO DE SELAGEM.-Revitalização dos transformadores SSTF6-01 e NMTF6-01, com substiuição de UAR</t>
  </si>
  <si>
    <t>DIVERSAS INSTALAÇÕES|Sobressalente à cadastrar PMI--Contratação de empresa especializada para o fornecimento de  serviço especializado para a elaboração de planejamento, programação, fiscalização, coordenação, supervisão e/ou execução de testes e ensaios de comissionamento de equipamentos de potência, sistemas auxiliares e sistemas de proteção controle e supervisão e implantação de melhorias em qualquer instalação de propriedade da Eletronorte ou por ela acessada nos estados de Roraima, Amazonas, Amapá, Rondônia, Acre, Pará, Mato Grosso, Maranhão, Tocantins e em Araraquara, estado de São Paulo ou em outra localidade onde a Eletronorte venha a atuar dentro e fora do território nacional.</t>
  </si>
  <si>
    <t>SEM INSTALAÇÃO ESPECÍFICA|Sem PMI--Aquisição de um medidor de corrente de fuga</t>
  </si>
  <si>
    <t>GUAMA|0008564/2019-SUSBTITUIÇÃO DOS TRANSFORMADORES DE CORRENTE DE 230 KV  - FA, FB e FV.-Aquisição de 160 conectores de expansão barra chata - tubo 4 polegadas IPS para utilização na instalação dos Transformadores de Corrente de 245 kV das Subestações de Guamá, Utinga, Marabá e Vila do Conde</t>
  </si>
  <si>
    <t>GUAMA|0008598/2019-SUSBTITUIÇÃO DOS TRANSFORMADORES DE CORRENTE DE 230 KV  - FA, FB e FV.-Aquisição de 160 conectores de expansão barra chata - tubo 4 polegadas IPS para utilização na instalação dos Transformadores de Corrente de 245 kV das Subestações de Guamá, Utinga, Marabá e Vila do Conde</t>
  </si>
  <si>
    <t>GUAMA|0008619/2019-SUSBTITUIÇÃO DOS TRANSFORMADORES DE CORRENTE DE 230 KV  - FA, FB e FV.-Aquisição de 160 conectores de expansão barra chata - tubo 4 polegadas IPS para utilização na instalação dos Transformadores de Corrente de 245 kV das Subestações de Guamá, Utinga, Marabá e Vila do Conde</t>
  </si>
  <si>
    <t>MARABA|0008530/2019-SUBSTITUIÇÃO DOS TRANSFORMADORES DE CORRENTE DE 230 KV  - FA, FB e FV.-Aquisição de 160 conectores de expansão barra chata - tubo 4 polegadas IPS para utilização na instalação dos Transformadores de Corrente de 245 kV das Subestações de Guamá, Utinga, Marabá e Vila do Conde</t>
  </si>
  <si>
    <t>MARABA|0008630/2019-SUSBTITUIÇÃO DOS TRANSFORMADORES DE CORRENTE DE 230 KV  - FA, FB e FV.-Aquisição de 160 conectores de expansão barra chata - tubo 4 polegadas IPS para utilização na instalação dos Transformadores de Corrente de 245 kV das Subestações de Guamá, Utinga, Marabá e Vila do Conde</t>
  </si>
  <si>
    <t>MARABA|0008633/2019-SUSBTITUIÇÃO DOS TRANSFORMADORES DE CORRENTE DE 230 KV  - FA, FB e FV.-Aquisição de 160 conectores de expansão barra chata - tubo 4 polegadas IPS para utilização na instalação dos Transformadores de Corrente de 245 kV das Subestações de Guamá, Utinga, Marabá e Vila do Conde</t>
  </si>
  <si>
    <t>UTINGA|0007326/2022-SUBSTITUIÇÃO TRANSFORMADOR DE CORRENTE UGTC6-FA DE 230 KV DO UGTF6 02 FASE - A-Aquisição de 160 conectores de expansão barra chata - tubo 4 polegadas IPS para utilização na instalação dos Transformadores de Corrente de 245 kV das Subestações de Guamá, Utinga, Marabá e Vila do Conde</t>
  </si>
  <si>
    <t>UTINGA|0007333/2022-SUBSTITUIÇÃO TRANSFORMADOR DE CORRENTE UGTC6-FB DE 230 KV DO UGTF6 02 FASE - B-Aquisição de 160 conectores de expansão barra chata - tubo 4 polegadas IPS para utilização na instalação dos Transformadores de Corrente de 245 kV das Subestações de Guamá, Utinga, Marabá e Vila do Conde</t>
  </si>
  <si>
    <t>UTINGA|0007334/2022-SUBSTITUIÇÃO TRANSFORMADOR DE CORRENTE UGTC6-FV DE 230 KV DO UGTF6 02 FASE - V-Aquisição de 160 conectores de expansão barra chata - tubo 4 polegadas IPS para utilização na instalação dos Transformadores de Corrente de 245 kV das Subestações de Guamá, Utinga, Marabá e Vila do Conde</t>
  </si>
  <si>
    <t>UTINGA|0008571/2019-SUSBTITUIÇÃO DOS TRANSFORMADORES DE CORRENTE DE 230 KV  - FA, FB e FV - UGTF6-02.-Aquisição de 160 conectores de expansão barra chata - tubo 4 polegadas IPS para utilização na instalação dos Transformadores de Corrente de 245 kV das Subestações de Guamá, Utinga, Marabá e Vila do Conde</t>
  </si>
  <si>
    <t>UTINGA|0008595/2019-SUSBTITUIÇÃO DOS TRANSFORMADORES DE CORRENTE DE 230 KV  - FA, FB e FV.-Aquisição de 160 conectores de expansão barra chata - tubo 4 polegadas IPS para utilização na instalação dos Transformadores de Corrente de 245 kV das Subestações de Guamá, Utinga, Marabá e Vila do Conde</t>
  </si>
  <si>
    <t>VILA DO CONDE|0006227/2020-SUSBTITUIÇÃO DOS TRANSFORMADORES DE CORRENTE DE 230 KV - VCTC6 KZ, FA, FB e FV do VCDJ6 06.-Aquisição de 160 conectores de expansão barra chata - tubo 4 polegadas IPS para utilização na instalação dos Transformadores de Corrente de 245 kV das Subestações de Guamá, Utinga, Marabá e Vila do Conde</t>
  </si>
  <si>
    <t>VILA DO CONDE|0006363/2020-SUSBTITUIÇÃO DOS TRANSFORMADORES DE CORRENTE DE 230 KV - VCTC6 LY2, FA, FB e FV do VCDJ6 02 -Aquisição de 160 conectores de expansão barra chata - tubo 4 polegadas IPS para utilização na instalação dos Transformadores de Corrente de 245 kV das Subestações de Guamá, Utinga, Marabá e Vila do Conde</t>
  </si>
  <si>
    <t>VILA DO CONDE|0008191/2022-SUBSTITUIÇÃO TRANSFORMADOR DE CORRENTE DE 230 KV DO VÃO K SECÇÃO X FA (VCDJ6 04)-Aquisição de 160 conectores de expansão barra chata - tubo 4 polegadas IPS para utilização na instalação dos Transformadores de Corrente de 245 kV das Subestações de Guamá, Utinga, Marabá e Vila do Conde</t>
  </si>
  <si>
    <t>VILA DO CONDE|0008407/2022-SUBSTITUIÇÃO TRANSFORMADOR DE CORRENTE DE 230 KV DO VÃO L SECÇÃO Y2 FA (VCDJ6-02)-Aquisição de 160 conectores de expansão barra chata - tubo 4 polegadas IPS para utilização na instalação dos Transformadores de Corrente de 245 kV das Subestações de Guamá, Utinga, Marabá e Vila do Conde</t>
  </si>
  <si>
    <t>VILA DO CONDE|0008411/2022-SUBSTITUIÇÃO TRANSFORMADOR DE CORRENTE DE 230 KV DO VÃO L SECÇÃO Y2 FB (VCDJ6-02)-Aquisição de 160 conectores de expansão barra chata - tubo 4 polegadas IPS para utilização na instalação dos Transformadores de Corrente de 245 kV das Subestações de Guamá, Utinga, Marabá e Vila do Conde</t>
  </si>
  <si>
    <t>VILA DO CONDE|0008414/2022-SUBSTITUIÇÃO TRANSFORMADOR DE CORRENTE DE 230 KV DO VÃO L SECÇÃO Y2 FV (VCDJ6-02)-Aquisição de 160 conectores de expansão barra chata - tubo 4 polegadas IPS para utilização na instalação dos Transformadores de Corrente de 245 kV das Subestações de Guamá, Utinga, Marabá e Vila do Conde</t>
  </si>
  <si>
    <t>VILA DO CONDE|0008419/2022-SUBSTITUIÇÃO TRANSFORMADOR DE CORRENTE DE 230 KV DO VÃO L SECÇÃO Y1 FA (VCDJ6-02)-Aquisição de 160 conectores de expansão barra chata - tubo 4 polegadas IPS para utilização na instalação dos Transformadores de Corrente de 245 kV das Subestações de Guamá, Utinga, Marabá e Vila do Conde</t>
  </si>
  <si>
    <t>VILA DO CONDE|0008421/2022-SUBSTITUIÇÃO TRANSFORMADOR DE CORRENTE DE 230 KV DO VÃO L SECÇÃO Y1 FB (VCDJ6-02)-Aquisição de 160 conectores de expansão barra chata - tubo 4 polegadas IPS para utilização na instalação dos Transformadores de Corrente de 245 kV das Subestações de Guamá, Utinga, Marabá e Vila do Conde</t>
  </si>
  <si>
    <t>VILA DO CONDE|0008424/2022-SUBSTITUIÇÃO TRANSFORMADOR DE CORRENTE DE 230 KV DO VÃO L SECÇÃO Y1 FV (VCDJ6-02)-Aquisição de 160 conectores de expansão barra chata - tubo 4 polegadas IPS para utilização na instalação dos Transformadores de Corrente de 245 kV das Subestações de Guamá, Utinga, Marabá e Vila do Conde</t>
  </si>
  <si>
    <t>VILA DO CONDE|0008603/2019-SUSBTITUIÇÃO DOS TRANSFORMADORES DE CORRENTE DE 230 KV - VCTC6 KX,  FA, FB e FV do VCDJ6 04 (VCBC6 03)
-Aquisição de 160 conectores de expansão barra chata - tubo 4 polegadas IPS para utilização na instalação dos Transformadores de Corrente de 245 kV das Subestações de Guamá, Utinga, Marabá e Vila do Conde</t>
  </si>
  <si>
    <t>VILA DO CONDE|0008607/2019-SUSBTITUIÇÃO DOS TRANSFORMADORES DE CORRENTE DE 230 KV - VCTC6 LY1,  FA, FB e FV do VCDJ6 01-Aquisição de 160 conectores de expansão barra chata - tubo 4 polegadas IPS para utilização na instalação dos Transformadores de Corrente de 245 kV das Subestações de Guamá, Utinga, Marabá e Vila do Conde</t>
  </si>
  <si>
    <t>VILA DO CONDE|0008612/2019-SUSBTITUIÇÃO DOS TRANSFORMADORES DE CORRENTE DE 230 KV  - VCTC 6DY1, FA, FB e FV do VCDJ6 01-Aquisição de 160 conectores de expansão barra chata - tubo 4 polegadas IPS para utilização na instalação dos Transformadores de Corrente de 245 kV das Subestações de Guamá, Utinga, Marabá e Vila do Conde</t>
  </si>
  <si>
    <t>VILA DO CONDE|0008617/2019-SUSBTITUIÇÃO DOS TRANSFORMADORES DE CORRENTE DE 230 KV  - VCTC 6DX, FA, FB e FV do VCDJ6 01-Aquisição de 160 conectores de expansão barra chata - tubo 4 polegadas IPS para utilização na instalação dos Transformadores de Corrente de 245 kV das Subestações de Guamá, Utinga, Marabá e Vila do Conde</t>
  </si>
  <si>
    <t xml:space="preserve">ABUNA|0003207/2020-Instalação de TC de Barras para monitoramento das Correntes do Vão de Interligação de Barras nº 01 de 230 kV - (ANDB6-01). (Vão CX).-Serviço de Desmontagem, adequação de projeto, Montagem Eletromecânica e Comissionamento com Fornecimento de Materiais e infraestrutura para substituição de Transformadores de Corrente 245kV </t>
  </si>
  <si>
    <t xml:space="preserve">GUAMA|0008564/2019-SUSBTITUIÇÃO DOS TRANSFORMADORES DE CORRENTE DE 230 KV  - FA, FB e FV.-Serviço de Desmontagem, adequação de projeto, Montagem Eletromecânica e Comissionamento com Fornecimento de Materiais e infraestrutura para substituição de Transformadores de Corrente 245kV </t>
  </si>
  <si>
    <t xml:space="preserve">GUAMA|0008598/2019-SUSBTITUIÇÃO DOS TRANSFORMADORES DE CORRENTE DE 230 KV  - FA, FB e FV.-Serviço de Desmontagem, adequação de projeto, Montagem Eletromecânica e Comissionamento com Fornecimento de Materiais e infraestrutura para substituição de Transformadores de Corrente 245kV </t>
  </si>
  <si>
    <t xml:space="preserve">GUAMA|0008619/2019-SUSBTITUIÇÃO DOS TRANSFORMADORES DE CORRENTE DE 230 KV  - FA, FB e FV.-Serviço de Desmontagem, adequação de projeto, Montagem Eletromecânica e Comissionamento com Fornecimento de Materiais e infraestrutura para substituição de Transformadores de Corrente 245kV </t>
  </si>
  <si>
    <t xml:space="preserve">IMPERATRIZ|0004122/2019-SUBSTITUIÇÃO DOS TRANSFORMADORES DE CORRENTE 230KV FASES A, B, V DO TRANSFORMADOR IZTF6-02-Serviço de Desmontagem, adequação de projeto, Montagem Eletromecânica e Comissionamento com Fornecimento de Materiais e infraestrutura para substituição de Transformadores de Corrente 245kV </t>
  </si>
  <si>
    <t xml:space="preserve">IMPERATRIZ|0007830/2021-SUBSTITUIÇÃO DE TRANSFORMADOR DE CORRENTE FASE 2B ASSOCIADO AO BAY DE INTERLIGAÇÃO 1-Serviço de Desmontagem, adequação de projeto, Montagem Eletromecânica e Comissionamento com Fornecimento de Materiais e infraestrutura para substituição de Transformadores de Corrente 245kV </t>
  </si>
  <si>
    <t xml:space="preserve">IMPERATRIZ|0008477/2021-SUBSTITUIR O TRANSFORMADOR DE CORRENTE FASE A  ASSOCIADO AO DISJUNTOR 603-Serviço de Desmontagem, adequação de projeto, Montagem Eletromecânica e Comissionamento com Fornecimento de Materiais e infraestrutura para substituição de Transformadores de Corrente 245kV </t>
  </si>
  <si>
    <t xml:space="preserve">IMPERATRIZ|0008478/2021-SUBSTITUIR O TRANSFORMADOR DE CORRENTE FASE B  ASSOCIADO AO DISJUNTOR 603-Serviço de Desmontagem, adequação de projeto, Montagem Eletromecânica e Comissionamento com Fornecimento de Materiais e infraestrutura para substituição de Transformadores de Corrente 245kV </t>
  </si>
  <si>
    <t xml:space="preserve">IMPERATRIZ|0008479/2021-SUBSTITUIR O TRANSFORMADOR DE CORRENTE FASE A  ASSOCIADO AO DISJUNTOR 604-Serviço de Desmontagem, adequação de projeto, Montagem Eletromecânica e Comissionamento com Fornecimento de Materiais e infraestrutura para substituição de Transformadores de Corrente 245kV </t>
  </si>
  <si>
    <t xml:space="preserve">IMPERATRIZ|0008481/2021-SUBSTITUIR O TRANSFORMADOR DE CORRENTE FASE B  ASSOCIADO AO BAY IZPFLT601-Serviço de Desmontagem, adequação de projeto, Montagem Eletromecânica e Comissionamento com Fornecimento de Materiais e infraestrutura para substituição de Transformadores de Corrente 245kV </t>
  </si>
  <si>
    <t xml:space="preserve">IMPERATRIZ|0008483/2021-SUBSTITUIR O TRANSFORMADOR DE CORRENTE FASE B  ASSOCIADO AO TF604-Serviço de Desmontagem, adequação de projeto, Montagem Eletromecânica e Comissionamento com Fornecimento de Materiais e infraestrutura para substituição de Transformadores de Corrente 245kV </t>
  </si>
  <si>
    <t xml:space="preserve">IMPERATRIZ|0008800/2021-SUBSTITUIR O TRANSFORMADOR DE CORRENTE FASE B ASSOCIADO AO DISJUNTOR 604-Serviço de Desmontagem, adequação de projeto, Montagem Eletromecânica e Comissionamento com Fornecimento de Materiais e infraestrutura para substituição de Transformadores de Corrente 245kV </t>
  </si>
  <si>
    <t xml:space="preserve">IMPERATRIZ|0008815/2021-SUBSTITUIR O TRANSFORMADOR DE CORRENTE FASE A  ASSOCIADO AO BAY IZPFLT601-Serviço de Desmontagem, adequação de projeto, Montagem Eletromecânica e Comissionamento com Fornecimento de Materiais e infraestrutura para substituição de Transformadores de Corrente 245kV </t>
  </si>
  <si>
    <t xml:space="preserve">IMPERATRIZ|0008846/2021-SUBSTITUIR O TRANSFORMADOR DE CORRENTE FASE A  ASSOCIADO AO TF603-Serviço de Desmontagem, adequação de projeto, Montagem Eletromecânica e Comissionamento com Fornecimento de Materiais e infraestrutura para substituição de Transformadores de Corrente 245kV </t>
  </si>
  <si>
    <t xml:space="preserve">MARABA|0008530/2019-SUBSTITUIÇÃO DOS TRANSFORMADORES DE CORRENTE DE 230 KV  - FA, FB e FV.-Serviço de Desmontagem, adequação de projeto, Montagem Eletromecânica e Comissionamento com Fornecimento de Materiais e infraestrutura para substituição de Transformadores de Corrente 245kV </t>
  </si>
  <si>
    <t xml:space="preserve">MARABA|0008630/2019-SUSBTITUIÇÃO DOS TRANSFORMADORES DE CORRENTE DE 230 KV  - FA, FB e FV.-Serviço de Desmontagem, adequação de projeto, Montagem Eletromecânica e Comissionamento com Fornecimento de Materiais e infraestrutura para substituição de Transformadores de Corrente 245kV </t>
  </si>
  <si>
    <t xml:space="preserve">MARABA|0008633/2019-SUSBTITUIÇÃO DOS TRANSFORMADORES DE CORRENTE DE 230 KV  - FA, FB e FV.-Serviço de Desmontagem, adequação de projeto, Montagem Eletromecânica e Comissionamento com Fornecimento de Materiais e infraestrutura para substituição de Transformadores de Corrente 245kV </t>
  </si>
  <si>
    <t xml:space="preserve">MIRANDA II|0006252/2020-SUBSTITUIR O TRANSFORMADOR DE CORRENTE FASE V-Serviço de Desmontagem, adequação de projeto, Montagem Eletromecânica e Comissionamento com Fornecimento de Materiais e infraestrutura para substituição de Transformadores de Corrente 245kV </t>
  </si>
  <si>
    <t xml:space="preserve">MIRANDA II|0006271/2020-SUBSTITUIR O TRANSFORMADOR DE CORRENTE FASE B (MRTF6-02)-Serviço de Desmontagem, adequação de projeto, Montagem Eletromecânica e Comissionamento com Fornecimento de Materiais e infraestrutura para substituição de Transformadores de Corrente 245kV </t>
  </si>
  <si>
    <t xml:space="preserve">MIRANDA II|0006276/2020-SUBSTITUIR O TRANSFORMADOR DE CORRENTE FASE A (MRTF6-02)-Serviço de Desmontagem, adequação de projeto, Montagem Eletromecânica e Comissionamento com Fornecimento de Materiais e infraestrutura para substituição de Transformadores de Corrente 245kV </t>
  </si>
  <si>
    <t xml:space="preserve">Miranda II|0000224/2009-Revitalização necessária: substituição dos TCs da LT para Peritoró e São Luís II. Justificativa: superação da corrente nominal (fator limitante ativo) após a entrada em operação das UTEs Nova Olindina e Tocantinópolis. Origem: PAR e ONS RE 2.1/xxx/2009 Relatório de análise de superação de equipamentos 2010-2012.-Serviço de Desmontagem, adequação de projeto, Montagem Eletromecânica e Comissionamento com Fornecimento de Materiais e infraestrutura para substituição de Transformadores de Corrente 245kV </t>
  </si>
  <si>
    <t xml:space="preserve">RIO BRANCO I|0003212/2020-Instalação de TC de Barras para monitoramento das Correntes do Vão de Interligação de Barras nº 01 de 230 kV - (RBDB6-01). (Vão AY).-Serviço de Desmontagem, adequação de projeto, Montagem Eletromecânica e Comissionamento com Fornecimento de Materiais e infraestrutura para substituição de Transformadores de Corrente 245kV </t>
  </si>
  <si>
    <t xml:space="preserve">PORTO FRANCO|0007019/2021-Substituição transformador de corrente 230kV Bay IZPF-LT601 fase A-Serviço de Desmontagem, adequação de projeto, Montagem Eletromecânica e Comissionamento com Fornecimento de Materiais e infraestrutura para substituição de Transformadores de Corrente 245kV </t>
  </si>
  <si>
    <t xml:space="preserve">PORTO FRANCO|0007820/2021-Substituição transformador de corrente 230kV Bay IZPF-LT601 fase B-Serviço de Desmontagem, adequação de projeto, Montagem Eletromecânica e Comissionamento com Fornecimento de Materiais e infraestrutura para substituição de Transformadores de Corrente 245kV </t>
  </si>
  <si>
    <t xml:space="preserve">PORTO FRANCO|0007821/2021-Substituição transformador de corrente 230kV Bay IZPF-LT601 fase V-Serviço de Desmontagem, adequação de projeto, Montagem Eletromecânica e Comissionamento com Fornecimento de Materiais e infraestrutura para substituição de Transformadores de Corrente 245kV </t>
  </si>
  <si>
    <t xml:space="preserve">PORTO FRANCO|0007822/2021-Substituição transformador de corrente 230kV Módulo de Conexão 230kV PFTF6-01 fase A-Serviço de Desmontagem, adequação de projeto, Montagem Eletromecânica e Comissionamento com Fornecimento de Materiais e infraestrutura para substituição de Transformadores de Corrente 245kV </t>
  </si>
  <si>
    <t xml:space="preserve">PORTO FRANCO|0007824/2021-Substituição transformador de corrente 230kV Módulo de Conexão 230kV PFTF6-01 fase B-Serviço de Desmontagem, adequação de projeto, Montagem Eletromecânica e Comissionamento com Fornecimento de Materiais e infraestrutura para substituição de Transformadores de Corrente 245kV </t>
  </si>
  <si>
    <t xml:space="preserve">PORTO FRANCO|0007826/2021-Substituição transformador de corrente 230kV Módulo de Conexão 230kV PFTF6-02 fase A-Serviço de Desmontagem, adequação de projeto, Montagem Eletromecânica e Comissionamento com Fornecimento de Materiais e infraestrutura para substituição de Transformadores de Corrente 245kV </t>
  </si>
  <si>
    <t xml:space="preserve">PORTO FRANCO|0007828/2021-Substituição transformador de corrente 230kV Módulo de Conexão 230kV PFTF6-02 fase B-Serviço de Desmontagem, adequação de projeto, Montagem Eletromecânica e Comissionamento com Fornecimento de Materiais e infraestrutura para substituição de Transformadores de Corrente 245kV </t>
  </si>
  <si>
    <t xml:space="preserve">SAO LUIS I|0007536/2020-Substituição de 3 Transformadores de Corrente do vão LITF6-01 - Trafo 1 - Vão Fx.
Capacidade do novo equipamento: Capacidade nominal de curto-circuito: 40 kA e Capacidade nominal de corrente: 2000 A.-Serviço de Desmontagem, adequação de projeto, Montagem Eletromecânica e Comissionamento com Fornecimento de Materiais e infraestrutura para substituição de Transformadores de Corrente 245kV </t>
  </si>
  <si>
    <t xml:space="preserve">SAO LUIS I|0007537/2020-Substituição de 3 Transformadores de Corrente do vão LITF6-02 - Trafo 2 - Vão Ex.
Capacidade do novo equipamento: Capacidade nominal de curto-circuito: 40 kA e Capacidade nominal de corrente: 2000 A.-Serviço de Desmontagem, adequação de projeto, Montagem Eletromecânica e Comissionamento com Fornecimento de Materiais e infraestrutura para substituição de Transformadores de Corrente 245kV </t>
  </si>
  <si>
    <t xml:space="preserve">SAO LUIS I|0007538/2020-Substituição de 3 Transformadores de Corrente do vão LITF6-04 - Trafo 4 - Vão Ax.
Capacidade do novo equipamento: Capacidade nominal de curto-circuito: 40 kA e Capacidade nominal de corrente: 2000 A.-Serviço de Desmontagem, adequação de projeto, Montagem Eletromecânica e Comissionamento com Fornecimento de Materiais e infraestrutura para substituição de Transformadores de Corrente 245kV </t>
  </si>
  <si>
    <t xml:space="preserve">SAO LUIS II|0004467/2018-?SUBSTITUIR TRANSFORMADOR DE CORRENTE 230KV DA FASE 'V', DO BAY DA LINHA LDMR-LT601-Serviço de Desmontagem, adequação de projeto, Montagem Eletromecânica e Comissionamento com Fornecimento de Materiais e infraestrutura para substituição de Transformadores de Corrente 245kV </t>
  </si>
  <si>
    <t xml:space="preserve">SAO LUIS II|0007014/2021-SUBSTITUIÇÃO DO TRANSFORMADOR DE CORRENTE DE 230kV, FASE "B" DO VÃO DE TRANSFERENCIA DE 230kV ENTRE BARRAS LDBR6-01 E LDBR6-02.-Serviço de Desmontagem, adequação de projeto, Montagem Eletromecânica e Comissionamento com Fornecimento de Materiais e infraestrutura para substituição de Transformadores de Corrente 245kV </t>
  </si>
  <si>
    <t xml:space="preserve">SAO LUIS II|0007022/2021-SUBSTITUIÇÃO DO TRANSFORMADOR DE CORRENTE DE 230kV, FASE "V" DO BAY DA ENTRADA DE LINHA DE 230kV SÃO LUIS II - MIRANDA II.-Serviço de Desmontagem, adequação de projeto, Montagem Eletromecânica e Comissionamento com Fornecimento de Materiais e infraestrutura para substituição de Transformadores de Corrente 245kV </t>
  </si>
  <si>
    <t xml:space="preserve">SAO LUIS II|0007026/2021-SUBSTITUIÇÃO DO TRANSFORMADOR DE CORRENTE DE 230kV, FASE "B" DO BAY DA ENTRADA DE LINHA DE 230kV SÃO LUIS II - MIRANDA II.-Serviço de Desmontagem, adequação de projeto, Montagem Eletromecânica e Comissionamento com Fornecimento de Materiais e infraestrutura para substituição de Transformadores de Corrente 245kV </t>
  </si>
  <si>
    <t xml:space="preserve">SAO LUIS II|0007028/2021-SUBSTITUIÇÃO DO TRANSFORMADOR DE CORRENTE DE 230kV, FASE "A" DO BAY DA ENTRADA DE LINHA DE 230kV SÃO LUIS II - MIRANDA II.-Serviço de Desmontagem, adequação de projeto, Montagem Eletromecânica e Comissionamento com Fornecimento de Materiais e infraestrutura para substituição de Transformadores de Corrente 245kV </t>
  </si>
  <si>
    <t xml:space="preserve">SAO LUIS II|0007324/2021-SUBSTITUIÇÃO DO TRANSFORMADOR DE CORRENTE DE 230kV, FASE "B" DO BAY DA ENTRADA DE LINHA DE 230kV SÃO LUIS II - SÃO LUIS I, CIRCUITO 2.-Serviço de Desmontagem, adequação de projeto, Montagem Eletromecânica e Comissionamento com Fornecimento de Materiais e infraestrutura para substituição de Transformadores de Corrente 245kV </t>
  </si>
  <si>
    <t xml:space="preserve">SAO LUIS II|0007331/2021-SUBSTITUIÇÃO DO TRANSFORMADOR DE CORRENTE DE 230kV, FASE "A" DO BAY DA ENTRADA DE LINHA DE 230kV SÃO LUIS II - SÃO LUIS I, CIRCUITO 2.-Serviço de Desmontagem, adequação de projeto, Montagem Eletromecânica e Comissionamento com Fornecimento de Materiais e infraestrutura para substituição de Transformadores de Corrente 245kV </t>
  </si>
  <si>
    <t xml:space="preserve">SAO LUIS II|0007345/2021-SUBSTITUIÇÃO DO TRANSFORMADOR DE CORRENTE DE 230kV, FASE "A" DO BAY DA ENTRADA DE LINHA DE 230kV SÃO LUIS II - SÃO LUIS I, CIRCUITO 1.-Serviço de Desmontagem, adequação de projeto, Montagem Eletromecânica e Comissionamento com Fornecimento de Materiais e infraestrutura para substituição de Transformadores de Corrente 245kV </t>
  </si>
  <si>
    <t xml:space="preserve">SAO LUIS II|0007351/2021-SUBSTITUIÇÃO DO TRANSFORMADOR DE CORRENTE DE 230kV, FASE "V", ASSOCIADO AO BAY DO BANCO DE CAPACITORES LDBC6-03.-Serviço de Desmontagem, adequação de projeto, Montagem Eletromecânica e Comissionamento com Fornecimento de Materiais e infraestrutura para substituição de Transformadores de Corrente 245kV </t>
  </si>
  <si>
    <t xml:space="preserve">SAO LUIS II|0007355/2021-SUBSTITUIÇÃO DO TRANSFORMADOR DE CORRENTE DE 230kV, FASE "B", ASSOCIADO AO BAY DO BANCO DE CAPACITORES LDBC6-03.SUBSTITUIÇÃO DO TRANSFORMADOR DE CORRENTE DE 230kV, FASE "B", ASSOCIADO AO BAY DO BANCO DE CAPACITORES LDBC6-03.-Serviço de Desmontagem, adequação de projeto, Montagem Eletromecânica e Comissionamento com Fornecimento de Materiais e infraestrutura para substituição de Transformadores de Corrente 245kV </t>
  </si>
  <si>
    <t xml:space="preserve">SAO LUIS II|0007358/2021-SUBSTITUIÇÃO DO TRANSFORMADOR DE CORRENTE DE 230kV, FASE "A", ASSOCIADO AO BAY DO BANCO DE CAPACITORES LDBC6-03.-Serviço de Desmontagem, adequação de projeto, Montagem Eletromecânica e Comissionamento com Fornecimento de Materiais e infraestrutura para substituição de Transformadores de Corrente 245kV </t>
  </si>
  <si>
    <t xml:space="preserve">SAO LUIS II|0007372/2021-SUBSTITUIÇÃO DO TRANSFORMADOR DE CORRENTE DE 230kV, FASE "V", ASSOCIADO AO BAY DO BANCO DE CAPACITORES LDBC6-01.-Serviço de Desmontagem, adequação de projeto, Montagem Eletromecânica e Comissionamento com Fornecimento de Materiais e infraestrutura para substituição de Transformadores de Corrente 245kV </t>
  </si>
  <si>
    <t xml:space="preserve">SAO LUIS II|0007380/2021-SUBSTITUIÇÃO DO TRANSFORMADOR DE CORRENTE DE 230kV, FASE "B", ASSOCIADO AO BAY DO BANCO DE CAPACITORES LDBC6-01..-Serviço de Desmontagem, adequação de projeto, Montagem Eletromecânica e Comissionamento com Fornecimento de Materiais e infraestrutura para substituição de Transformadores de Corrente 245kV </t>
  </si>
  <si>
    <t xml:space="preserve">SAO LUIS II|0007389/2021-SUBSTITUIÇÃO DO TRANSFORMADOR DE CORRENTE DE 230kV, FASE "A", ASSOCIADO AO BAY DO BANCO DE CAPACITORES LDBC6-01..-Serviço de Desmontagem, adequação de projeto, Montagem Eletromecânica e Comissionamento com Fornecimento de Materiais e infraestrutura para substituição de Transformadores de Corrente 245kV </t>
  </si>
  <si>
    <t xml:space="preserve">SAO LUIS II|0007397/2021-SUBSTITUIÇÃO DO TRANSFORMADOR DE CORRENTE DE 230kV, FASE "V", ASSOCIADO AO BAY DO BANCO DE AUTOTRANSFORMADORES LDAT7-03-Serviço de Desmontagem, adequação de projeto, Montagem Eletromecânica e Comissionamento com Fornecimento de Materiais e infraestrutura para substituição de Transformadores de Corrente 245kV </t>
  </si>
  <si>
    <t xml:space="preserve">SAO LUIS II|0007408/2021-SUBSTITUIÇÃO DO TRANSFORMADOR DE CORRENTE DE 230kV, FASE "B", ASSOCIADO AO BAY DO BANCO DE AUTOTRANSFORMADORES LDAT7-03-Serviço de Desmontagem, adequação de projeto, Montagem Eletromecânica e Comissionamento com Fornecimento de Materiais e infraestrutura para substituição de Transformadores de Corrente 245kV </t>
  </si>
  <si>
    <t xml:space="preserve">SAO LUIS II|0007413/2021-SUBSTITUIÇÃO DO TRANSFORMADOR DE CORRENTE DE 230kV, FASE "A", ASSOCIADO AO BAY DO BANCO DE AUTOTRANSFORMADORES LDAT7-03-Serviço de Desmontagem, adequação de projeto, Montagem Eletromecânica e Comissionamento com Fornecimento de Materiais e infraestrutura para substituição de Transformadores de Corrente 245kV </t>
  </si>
  <si>
    <t xml:space="preserve">SAO LUIS II|0007424/2021-SUBSTITUIÇÃO DO TRANSFORMADOR DE CORRENTE DE 230kV, FASE "V", ASSOCIADO AO DISJUNTOR LDDJ6-10 DO BAY DO BANCO DE AUTOTRANSFORMADORES LDAT7-02-Serviço de Desmontagem, adequação de projeto, Montagem Eletromecânica e Comissionamento com Fornecimento de Materiais e infraestrutura para substituição de Transformadores de Corrente 245kV </t>
  </si>
  <si>
    <t xml:space="preserve">SAO LUIS II|0007463/2021-SUBSTITUIÇÃO DO TRANSFORMADOR DE CORRENTE DE 230kV, FASE "B", ASSOCIADO AO DISJUNTOR LDDJ6-10 DO BAY DO BANCO DE AUTOTRANSFORMADORES LDAT7-02-Serviço de Desmontagem, adequação de projeto, Montagem Eletromecânica e Comissionamento com Fornecimento de Materiais e infraestrutura para substituição de Transformadores de Corrente 245kV </t>
  </si>
  <si>
    <t xml:space="preserve">SAO LUIS II|0007494/2021-SUBSTITUIÇÃO DO TRANSFORMADOR DE CORRENTE DE 230kV, FASE "A", ASSOCIADO AO DISJUNTOR LDDJ6-10 DO BAY DO BANCO DE AUTOTRANSFORMADORES LDAT7-02-Serviço de Desmontagem, adequação de projeto, Montagem Eletromecânica e Comissionamento com Fornecimento de Materiais e infraestrutura para substituição de Transformadores de Corrente 245kV </t>
  </si>
  <si>
    <t xml:space="preserve">SAO LUIS II|0007516/2021-SUBSTITUIÇÃO DO TRANSFORMADOR DE CORRENTE DE 230kV, FASE "V", ASSOCIADO AO DISJUNTOR LDDJ6-08 DO BAY DO BANCO DE AUTOTRANSFORMADORES LDAT7-02-Serviço de Desmontagem, adequação de projeto, Montagem Eletromecânica e Comissionamento com Fornecimento de Materiais e infraestrutura para substituição de Transformadores de Corrente 245kV </t>
  </si>
  <si>
    <t xml:space="preserve">SAO LUIS II|0007524/2021-SUBSTITUIÇÃO DO TRANSFORMADOR DE CORRENTE DE 230kV, FASE "B", ASSOCIADO AO DISJUNTOR LDDJ6-08 DO BAY DO BANCO DE AUTOTRANSFORMADORES LDAT7-02-Serviço de Desmontagem, adequação de projeto, Montagem Eletromecânica e Comissionamento com Fornecimento de Materiais e infraestrutura para substituição de Transformadores de Corrente 245kV </t>
  </si>
  <si>
    <t xml:space="preserve">SAO LUIS II|0007533/2021-SUBSTITUIÇÃO DO TRANSFORMADOR DE CORRENTE DE 230kV, FASE "A", ASSOCIADO AO DISJUNTOR LDDJ6-08 DO BAY DO BANCO DE AUTOTRANSFORMADORES LDAT7-02.-Serviço de Desmontagem, adequação de projeto, Montagem Eletromecânica e Comissionamento com Fornecimento de Materiais e infraestrutura para substituição de Transformadores de Corrente 245kV </t>
  </si>
  <si>
    <t xml:space="preserve">SAO LUIS II|0007579/2021-SUBSTITUIÇÃO DO TRANSFORMADOR DE CORRENTE DE 230kV, FASE "B", ASSOCIADO AO LDDJ6-06, DO BAY DO BANCO DE AUTOTRANSFORMADORES LDAT7-01.-Serviço de Desmontagem, adequação de projeto, Montagem Eletromecânica e Comissionamento com Fornecimento de Materiais e infraestrutura para substituição de Transformadores de Corrente 245kV </t>
  </si>
  <si>
    <t xml:space="preserve">SAO LUIS II|0007587/2021-SUBSTITUIÇÃO DO TRANSFORMADOR DE CORRENTE DE 230kV, FASE "A", ASSOCIADO AO LDDJ6-06, DO BAY DO BANCO DE AUTOTRANSFORMADORES LDAT7-01.-Serviço de Desmontagem, adequação de projeto, Montagem Eletromecânica e Comissionamento com Fornecimento de Materiais e infraestrutura para substituição de Transformadores de Corrente 245kV </t>
  </si>
  <si>
    <t xml:space="preserve">SAO LUIS II|0007695/2021-SUBSTITUIÇÃO DO TRANSFORMADOR DE CORRENTE DE 230kV, FASE "V" DO BAY DA ENTRADA DE LINHA DE 230kV SÃO LUIS II - VALE.-Serviço de Desmontagem, adequação de projeto, Montagem Eletromecânica e Comissionamento com Fornecimento de Materiais e infraestrutura para substituição de Transformadores de Corrente 245kV </t>
  </si>
  <si>
    <t xml:space="preserve">SAO LUIS II|0007696/2021-SUBSTITUIÇÃO DO TRANSFORMADOR DE CORRENTE DE 230kV, FASE "B" DO BAY DA ENTRADA DE LINHA DE 230kV SÃO LUIS II - VALE.-Serviço de Desmontagem, adequação de projeto, Montagem Eletromecânica e Comissionamento com Fornecimento de Materiais e infraestrutura para substituição de Transformadores de Corrente 245kV </t>
  </si>
  <si>
    <t xml:space="preserve">SAO LUIS II|0007700/2021-SUBSTITUIÇÃO DO TRANSFORMADOR DE CORRENTE DE 230kV, FASE "A" DO BAY DA ENTRADA DE LINHA DE 230kV SÃO LUIS II - VALE.-Serviço de Desmontagem, adequação de projeto, Montagem Eletromecânica e Comissionamento com Fornecimento de Materiais e infraestrutura para substituição de Transformadores de Corrente 245kV </t>
  </si>
  <si>
    <t xml:space="preserve">SAO LUIS II|0007832/2021-SUBSTITUIÇÃO DO TRANSFORMADOR DE CORRENTE DE 230kV, FASE "V" DO VÃO DE TRANSFERENCIA DE 230kV ENTRE BARRAS LDBR6-01 E LDBR6-02.-Serviço de Desmontagem, adequação de projeto, Montagem Eletromecânica e Comissionamento com Fornecimento de Materiais e infraestrutura para substituição de Transformadores de Corrente 245kV </t>
  </si>
  <si>
    <t xml:space="preserve">UTINGA|0007326/2022-SUBSTITUIÇÃO TRANSFORMADOR DE CORRENTE UGTC6-FA DE 230 KV DO UGTF6 02 FASE - A-Serviço de Desmontagem, adequação de projeto, Montagem Eletromecânica e Comissionamento com Fornecimento de Materiais e infraestrutura para substituição de Transformadores de Corrente 245kV </t>
  </si>
  <si>
    <t xml:space="preserve">UTINGA|0007333/2022-SUBSTITUIÇÃO TRANSFORMADOR DE CORRENTE UGTC6-FB DE 230 KV DO UGTF6 02 FASE - B-Serviço de Desmontagem, adequação de projeto, Montagem Eletromecânica e Comissionamento com Fornecimento de Materiais e infraestrutura para substituição de Transformadores de Corrente 245kV </t>
  </si>
  <si>
    <t xml:space="preserve">UTINGA|0007334/2022-SUBSTITUIÇÃO TRANSFORMADOR DE CORRENTE UGTC6-FV DE 230 KV DO UGTF6 02 FASE - V-Serviço de Desmontagem, adequação de projeto, Montagem Eletromecânica e Comissionamento com Fornecimento de Materiais e infraestrutura para substituição de Transformadores de Corrente 245kV </t>
  </si>
  <si>
    <t xml:space="preserve">UTINGA|0008571/2019-SUSBTITUIÇÃO DOS TRANSFORMADORES DE CORRENTE DE 230 KV  - FA, FB e FV - UGTF6-02.-Serviço de Desmontagem, adequação de projeto, Montagem Eletromecânica e Comissionamento com Fornecimento de Materiais e infraestrutura para substituição de Transformadores de Corrente 245kV </t>
  </si>
  <si>
    <t xml:space="preserve">UTINGA|0008595/2019-SUSBTITUIÇÃO DOS TRANSFORMADORES DE CORRENTE DE 230 KV  - FA, FB e FV.-Serviço de Desmontagem, adequação de projeto, Montagem Eletromecânica e Comissionamento com Fornecimento de Materiais e infraestrutura para substituição de Transformadores de Corrente 245kV </t>
  </si>
  <si>
    <t xml:space="preserve">VILA DO CONDE|0006227/2020-SUSBTITUIÇÃO DOS TRANSFORMADORES DE CORRENTE DE 230 KV - VCTC6 KZ, FA, FB e FV do VCDJ6 06.-Serviço de Desmontagem, adequação de projeto, Montagem Eletromecânica e Comissionamento com Fornecimento de Materiais e infraestrutura para substituição de Transformadores de Corrente 245kV </t>
  </si>
  <si>
    <t xml:space="preserve">VILA DO CONDE|0006363/2020-SUSBTITUIÇÃO DOS TRANSFORMADORES DE CORRENTE DE 230 KV - VCTC6 LY2, FA, FB e FV do VCDJ6 02 -Serviço de Desmontagem, adequação de projeto, Montagem Eletromecânica e Comissionamento com Fornecimento de Materiais e infraestrutura para substituição de Transformadores de Corrente 245kV </t>
  </si>
  <si>
    <t xml:space="preserve">VILA DO CONDE|0008191/2022-SUBSTITUIÇÃO TRANSFORMADOR DE CORRENTE DE 230 KV DO VÃO K SECÇÃO X FA (VCDJ6 04)-Serviço de Desmontagem, adequação de projeto, Montagem Eletromecânica e Comissionamento com Fornecimento de Materiais e infraestrutura para substituição de Transformadores de Corrente 245kV </t>
  </si>
  <si>
    <t xml:space="preserve">VILA DO CONDE|0008407/2022-SUBSTITUIÇÃO TRANSFORMADOR DE CORRENTE DE 230 KV DO VÃO L SECÇÃO Y2 FA (VCDJ6-02)-Serviço de Desmontagem, adequação de projeto, Montagem Eletromecânica e Comissionamento com Fornecimento de Materiais e infraestrutura para substituição de Transformadores de Corrente 245kV </t>
  </si>
  <si>
    <t xml:space="preserve">VILA DO CONDE|0008411/2022-SUBSTITUIÇÃO TRANSFORMADOR DE CORRENTE DE 230 KV DO VÃO L SECÇÃO Y2 FB (VCDJ6-02)-Serviço de Desmontagem, adequação de projeto, Montagem Eletromecânica e Comissionamento com Fornecimento de Materiais e infraestrutura para substituição de Transformadores de Corrente 245kV </t>
  </si>
  <si>
    <t xml:space="preserve">VILA DO CONDE|0008414/2022-SUBSTITUIÇÃO TRANSFORMADOR DE CORRENTE DE 230 KV DO VÃO L SECÇÃO Y2 FV (VCDJ6-02)-Serviço de Desmontagem, adequação de projeto, Montagem Eletromecânica e Comissionamento com Fornecimento de Materiais e infraestrutura para substituição de Transformadores de Corrente 245kV </t>
  </si>
  <si>
    <t xml:space="preserve">VILA DO CONDE|0008419/2022-SUBSTITUIÇÃO TRANSFORMADOR DE CORRENTE DE 230 KV DO VÃO L SECÇÃO Y1 FA (VCDJ6-02)-Serviço de Desmontagem, adequação de projeto, Montagem Eletromecânica e Comissionamento com Fornecimento de Materiais e infraestrutura para substituição de Transformadores de Corrente 245kV </t>
  </si>
  <si>
    <t xml:space="preserve">VILA DO CONDE|0008421/2022-SUBSTITUIÇÃO TRANSFORMADOR DE CORRENTE DE 230 KV DO VÃO L SECÇÃO Y1 FB (VCDJ6-02)-Serviço de Desmontagem, adequação de projeto, Montagem Eletromecânica e Comissionamento com Fornecimento de Materiais e infraestrutura para substituição de Transformadores de Corrente 245kV </t>
  </si>
  <si>
    <t xml:space="preserve">VILA DO CONDE|0008424/2022-SUBSTITUIÇÃO TRANSFORMADOR DE CORRENTE DE 230 KV DO VÃO L SECÇÃO Y1 FV (VCDJ6-02)-Serviço de Desmontagem, adequação de projeto, Montagem Eletromecânica e Comissionamento com Fornecimento de Materiais e infraestrutura para substituição de Transformadores de Corrente 245kV </t>
  </si>
  <si>
    <t xml:space="preserve">VILA DO CONDE|0008603/2019-SUSBTITUIÇÃO DOS TRANSFORMADORES DE CORRENTE DE 230 KV - VCTC6 KX,  FA, FB e FV do VCDJ6 04 (VCBC6 03)
-Serviço de Desmontagem, adequação de projeto, Montagem Eletromecânica e Comissionamento com Fornecimento de Materiais e infraestrutura para substituição de Transformadores de Corrente 245kV </t>
  </si>
  <si>
    <t xml:space="preserve">VILA DO CONDE|0008607/2019-SUSBTITUIÇÃO DOS TRANSFORMADORES DE CORRENTE DE 230 KV - VCTC6 LY1,  FA, FB e FV do VCDJ6 01-Serviço de Desmontagem, adequação de projeto, Montagem Eletromecânica e Comissionamento com Fornecimento de Materiais e infraestrutura para substituição de Transformadores de Corrente 245kV </t>
  </si>
  <si>
    <t xml:space="preserve">VILA DO CONDE|0008612/2019-SUSBTITUIÇÃO DOS TRANSFORMADORES DE CORRENTE DE 230 KV  - VCTC 6DY1, FA, FB e FV do VCDJ6 01-Serviço de Desmontagem, adequação de projeto, Montagem Eletromecânica e Comissionamento com Fornecimento de Materiais e infraestrutura para substituição de Transformadores de Corrente 245kV </t>
  </si>
  <si>
    <t xml:space="preserve">VILA DO CONDE|0008617/2019-SUSBTITUIÇÃO DOS TRANSFORMADORES DE CORRENTE DE 230 KV  - VCTC 6DX, FA, FB e FV do VCDJ6 01-Serviço de Desmontagem, adequação de projeto, Montagem Eletromecânica e Comissionamento com Fornecimento de Materiais e infraestrutura para substituição de Transformadores de Corrente 245kV </t>
  </si>
  <si>
    <t>VILA DO CONDE|0003498/2018-SUBSTITUIÇÃO  de 2 MOTORES 25 HP 14 PÓLOS SISTEMA DE REFRIGERAÇÃO -Revitalização (Máquina) VCCS2-02</t>
  </si>
  <si>
    <t>VILA DO CONDE|0004848/2018-SUBSTITUIR PONTA DE EIXO COM ANEL COLETOR DO COMPENSADOR SÍNCRONO VCCS2-02-Revitalização (Máquina) VCCS2-02</t>
  </si>
  <si>
    <t>VILA DO CONDE|0004857/2018-SUBSTITUIR ANÉIS DE ESTANQUEIDADE DO COMPENSADOR SÍNCRONO  VCCS2-02-Revitalização (Máquina) VCCS2-02</t>
  </si>
  <si>
    <t>VILA DO CONDE|0004867/2018-SUBSTITUIR 1,0 CONJUNTO DE SELAGENS MECÂNICAS DO COMPENSADOR SÍNCRONO  VCCS2-02-Revitalização (Máquina) VCCS2-02</t>
  </si>
  <si>
    <t>VILA DO CONDE|0004872/2018-SUBSTITUIR 1,0 CONJUNTO DE SELAGENS MECÂNICAS DO COMPENSADOR SÍNCRONO  VCCS2-02-Revitalização (Máquina) VCCS2-02</t>
  </si>
  <si>
    <t>VILA DO CONDE|0004874/2018-SUBSTITUIÇÃO DOS RADIADORES (ÁGUA/AR) DO SISTEMA DE ÁGUA DE RESFRIAMENTO DO COMPENSADOR SÍNCRONO VCCS2-01.-Revitalização (Máquina) VCCS2-02</t>
  </si>
  <si>
    <t>VILA DO CONDE|0004875/2018-SUBSTITUIÇÃO DE 01 CONJUNTO DE MOTOBOMBAS DO SISTEMA DE ÁGUA DE RESFRIAMENTO DO COMPENSADOR SÍNCRONO VCCS2-02-Revitalização (Máquina) VCCS2-02</t>
  </si>
  <si>
    <t>VILA DO CONDE|0004878/2018-SUBSTITUIÇÃO DE 2 VÁLVULA DE RETENÇÃO DO SISTEMA DE ÁGUA DE RESFRIAMENTO DO COMPENSADOR SÍNCRONO VCCS2-02-Revitalização (Máquina) VCCS2-02</t>
  </si>
  <si>
    <t>VILA DO CONDE|0004881/2018-SUBSTITUIÇÃO DE 03 CONJUNTOS DE PÁS DE ALUMINIO DOS  AEROVENTILADORES DO SISTEMA DE ÁGUA DE RESFRIAMENTO DO COMPENSADOR SÍNCRONO VCCS2-02-Revitalização (Máquina) VCCS2-02</t>
  </si>
  <si>
    <t>VILA DO CONDE|0004882/2018-SUBSTITUIÇÃO DOS RADIADORES (ÁGUA/AR) DO SISTEMA DE ÁGUA DE RESFRIAMENTO DO COMPENSADOR SÍNCRONO VCCS2-02-Revitalização (Máquina) VCCS2-02</t>
  </si>
  <si>
    <t>VILA DO CONDE|0004885/2018-SUBSTITUIÇÃO DE 6,0 (SEIS) CAIXAS METÁLICAS DE AR DO SISTEMA DE ÁGUA DE RESFRIAMENTO DO COMPENSADOR SÍNCRONO VCCS2-02-Revitalização (Máquina) VCCS2-02</t>
  </si>
  <si>
    <t>VILA DO CONDE|0004889/2018- MODERNIZAÇÃO DOS SISTEMAS DE PORTA ESCÔVAS / ESCOVAS COM ESTIBO E LIMITADOR E MICROSWITCHES, SISTEMA MDC DE ASPIRAÇÃO DE PÓ COM SISTEMA DE MONITORAMENTOEM TEMPO REAL (I-BRUSH) DO COMPENSADOR SÍNCRONO VCCS2-02-Revitalização (Máquina) VCCS2-02</t>
  </si>
  <si>
    <t>VILA DO CONDE|0004842/2018-SUBSTITUIÇÃO DOS DISJUNTORES DE 13.8 KV VCDJ2-05 DO COMPENSADOR SÍNCRONO VCCS2-01-Revitalização (Máquina) VCCS2-01</t>
  </si>
  <si>
    <t>VILA DO CONDE|0004844/2018-SUBSTITUIR PONTA DE EIXO COM ANEL COLETOR DO COMPENSADOR SÍNCRONO VCCS2-01-Revitalização (Máquina) VCCS2-01</t>
  </si>
  <si>
    <t>VILA DO CONDE|0004853/2018-SUBSTITUIÇÃO DOS DISJUNTORES DE 13.8 KV VCDJ2-07 DO COMPENSADOR SÍNCRONO VCCS2-01-Revitalização (Máquina) VCCS2-01</t>
  </si>
  <si>
    <t>VILA DO CONDE|0004855/2018-SUBSTITUIR ANÉIS DE ESTANQUEIDADE DO COMPENSADOR SÍNCRONO VCCS2-01-Revitalização (Máquina) VCCS2-01</t>
  </si>
  <si>
    <t>VILA DO CONDE|0004861/2018-SUBSTITUIR 1,0 CONJUNTO DE SELAGENS MECÂNICAS DO COMPENSADOR SÍNCRONO VCCS2-01-Revitalização (Máquina) VCCS2-01</t>
  </si>
  <si>
    <t>VILA DO CONDE|0004870/2018-SUBSTITUIÇÃO DE 03 CONJUNTOS DE PÁS DE ALUMINIO EXTRUDADO DOS AEROVENTILADORES DO SISTEMA DE ÁGUA DE RESFRIAMENTO-Revitalização (Máquina) VCCS2-01</t>
  </si>
  <si>
    <t>VILA DO CONDE|0004874/2018-SUBSTITUIÇÃO DOS RADIADORES (ÁGUA/AR) DO SISTEMA DE ÁGUA DE RESFRIAMENTO DO COMPENSADOR SÍNCRONO VCCS2-01.-Revitalização (Máquina) VCCS2-01</t>
  </si>
  <si>
    <t>VILA DO CONDE|0004880/2018-SUBSTITUIÇÃO DE 6,0 (SEIS) CAIXAS METÁLICAS DE AR DO SISTEMA DE ÁGUA DE RESFRIAMENTO DO COMPENSADOR SÍNCRONO VCCS2-01.-Revitalização (Máquina) VCCS2-01</t>
  </si>
  <si>
    <t>VILA DO CONDE|0004886/2018-SUBSTITUIÇÃO DAS VÁVULAS REGULADORAS DOS SISTEMAS DE ÓLEO DE LUBRIFICAÇÃO / LEVANTAMENTO E ESTANQUEIDADE DO COMPENSADOR SÍNCRONO VCCS2-01.-Revitalização (Máquina) VCCS2-01</t>
  </si>
  <si>
    <t>VILA DO CONDE|0004891/2018- MODERNIZAÇÃO DOS SISTEMAS DE PORTA ESCOVAS / ESCOVAS COM ESTIBO E LIMITADOR E MICROSWITCHES, SISTEMA MDC DE ASPIRAÇÃO DE PÓ COM SISTEMA DE MONITORAMENTOEM TEMPO REAL (I-BRUSH) DO COMPENSADOR SÍNCRONO VCCS2-01-Revitalização (Máquina) VCCS2-01</t>
  </si>
  <si>
    <t>MARABA|0003501/2018-SUBSTITUIÇÃO MOTOR 25 HP 14 PÓLOS SISTEMA DE REFRIGERAÇÃO -Revitalização (Máquina) MBCS2-01</t>
  </si>
  <si>
    <t>MARABA|0004836/2018-SUBSTITUIÇÃO DE 01 CONJUNTO DE MOTOBOMBAS DO SISTEMA DE ÁGUA DE RESFRIAMENTO DO COMPENSADOR SÍNCRONO MBCS2-01-Revitalização (Máquina) MBCS2-01</t>
  </si>
  <si>
    <t>MARABA|0004846/2018-SUBSTITUIÇÃO DE 2,0 VÁLVULA DE RETENÇÃO DO SISTEMA DE ÁGUA DE RESFRIAMENTO DO COMPENSADOR SÍNCRONO MBCS2-01-Revitalização (Máquina) MBCS2-01</t>
  </si>
  <si>
    <t>MARABA|0004856/2018-SUBSTITUIÇÃO DE 03 CONJUNTOS DE PÁS DE ALUMINIO DOS AEROVENTILADORES DO SISTEMA DE ÁGUA DE RESFRIAMENTO DO COMPENSADOR SÍNCRONO MBCS2-01-Revitalização (Máquina) MBCS2-01</t>
  </si>
  <si>
    <t>MARABA|0004865/2018-SUBSTITUIÇÃO DOS RADIADORES (ÁGUA/AR) DO SISTEMA DE ÁGUA DE RESFRIAMENTO DO COMPENSADOR SÍNCRONO MBCS2-01-Revitalização (Máquina) MBCS2-01</t>
  </si>
  <si>
    <t>MARABA|0004876/2018-SUBSTITUIÇÃO DE 6,0 (SEIS) CAIXAS METÁLICAS DE AR DO SISTEMA DE ÁGUA DE RESFRIAMENTO DO COMPENSADOR SÍNCRONO MBCS2-01-Revitalização (Máquina) MBCS2-01</t>
  </si>
  <si>
    <t>MARABA|0004893/2018-SUBSTITUIÇÃO MOTOR 25 HP 14 PÓLOS SISTEMA DE REFRIGERAÇÃO DO COMPENSADOR SÍNCRONO MBCS2-01-Revitalização (Máquina) MBCS2-01</t>
  </si>
  <si>
    <t>MARABA|0004898/2018-SUBSTITUIR ANÉIS DE ESTANQUEIDADE DO COMPENSADOR SÍNCRONO MBCS2-01-Revitalização (Máquina) MBCS2-01</t>
  </si>
  <si>
    <t>MARABA|0004906/2018-SUBSTITUIR 1,0 CONJUNTO DE SELAGENS MECÂNICAS DO COMPENSADOR SÍNCRONO MBCS2-01-Revitalização (Máquina) MBCS2-01</t>
  </si>
  <si>
    <t>MARABA|0004908/2018-SUBSTITUIR 1,0 CONJUNTO DE SELAGENS MECÂNICAS DO COMPENSADOR SÍNCRONO MBCS2-01-Revitalização (Máquina) MBCS2-01</t>
  </si>
  <si>
    <t>MARABA|0004909/2018-SUBSTITUIR 1,0 CONJUNTO DE SELAGENS MECÂNICAS DO COMPENSADOR SÍNCRONO MBCS2-01-Revitalização (Máquina) MBCS2-01</t>
  </si>
  <si>
    <t>MARABA|0004910/2018-SUBSTITUIR 1,0 CONJUNTO DE SELAGENS MECÂNICAS DO COMPENSADOR SÍNCRONO MBCS2-01-Revitalização (Máquina) MBCS2-01</t>
  </si>
  <si>
    <t>VILA DO CONDE|0004835/2018- MODERNIZAÇÃO DOS SISTEMAS DE PORTA ESCÔVAS / ESCOVAS COM ESTIBO E LIMITADOR E MICROSWITCHES, SISTEMA MDC DE ASPIRAÇÃO DE PÓ COM SISTEMA DE MONITORAMENTOEM TEMPO REAL (I-BRUSH) DO COMPENSADOR SÍNCRONO MBCS2-01-Revitalização (Máquina) MBCS2-01</t>
  </si>
  <si>
    <t>VILA DO CONDE|0004841/2018-SUBSTITUIR PONTA DE EIXO COM ANEL COLETOR DO COMPENSADOR SÍNCRONO MBCS2-01-Revitalização (Máquina) MBCS2-01</t>
  </si>
  <si>
    <t>TUCURUI|0008261/2021-Substituição do Transformador de Corrente 500kV do TCDJ7-16 Fase A - Vão AX-TCs 500kV</t>
  </si>
  <si>
    <t>TUCURUI|0008301/2021-Substituição do Transformador de Corrente 500kV do TCDJ7-16 Fase V - Vão AX-TCs 500kV</t>
  </si>
  <si>
    <t>TUCURUI|0008326/2021-Substituição do Transformador de Corrente 500kV do TCDJ7-16 Fase B - Vão AX-TCs 500kV</t>
  </si>
  <si>
    <t>TUCURUI|0009465/2021-Substituição do Transformador de Corrente 500kV do TCDJ7-17 fase A - Vão FY2-TCs 500kV</t>
  </si>
  <si>
    <t>TUCURUI|0009470/2021-Substituição do Transformador de Corrente 500kV do TCDJ7-17 fase B - Vão FY2-TCs 500kV</t>
  </si>
  <si>
    <t>TUCURUI|0009476/2021-Substituição do Transformador de Corrente 500kV do TCDJ7-17 fase V - Vão FY2-TCs 500kV</t>
  </si>
  <si>
    <t>PERITORO|0009162/2021-SUBSTITUIÇÃO DO TRANSFORMADOR DE POTENCIAL CAPACITIVO ASSOCIADO À BARRA PRBR6-02 F.B-Aquisição / Serviço de instalação e comissionamento de TPC 245kV PRBR6-02 FB</t>
  </si>
  <si>
    <t>MARABA|0007490/2021-Substituição do Transformador de Corrente 500kV do MBDJ7-09 Fase V - Vão CZ-Serviço de Desmontagem, adequação de projeto, Montagem Eletromecânica e Comissionamento com Fornecimento de Materiais e infraestrutura para substituição de Transformadores de Corrente 550kV  (PA - MA)</t>
  </si>
  <si>
    <t>MARABA|0007495/2021-Substituição do Transformador de Corrente 500kV do MBDJ7-09 Fase B - Vão BZ-Serviço de Desmontagem, adequação de projeto, Montagem Eletromecânica e Comissionamento com Fornecimento de Materiais e infraestrutura para substituição de Transformadores de Corrente 550kV  (PA - MA)</t>
  </si>
  <si>
    <t>MARABA|0007502/2021-Substituição do Transformador de Corrente 500kV do MBDJ7-08 Fase V - Vão BY1-Serviço de Desmontagem, adequação de projeto, Montagem Eletromecânica e Comissionamento com Fornecimento de Materiais e infraestrutura para substituição de Transformadores de Corrente 550kV  (PA - MA)</t>
  </si>
  <si>
    <t>MARABA|0007512/2021-Substituição do Transformador de Corrente 500kV do MBDJ7-08 Fase B - Vão BY1-Serviço de Desmontagem, adequação de projeto, Montagem Eletromecânica e Comissionamento com Fornecimento de Materiais e infraestrutura para substituição de Transformadores de Corrente 550kV  (PA - MA)</t>
  </si>
  <si>
    <t>MARABA|0007525/2021-Substituição do Transformador de Corrente 500kV do MBDJ7-08 Fase A - Vão BY1-Serviço de Desmontagem, adequação de projeto, Montagem Eletromecânica e Comissionamento com Fornecimento de Materiais e infraestrutura para substituição de Transformadores de Corrente 550kV  (PA - MA)</t>
  </si>
  <si>
    <t>MARABA|0007558/2021-Substituição do Transformador de Corrente 500kV do MBDJ7-05 Fase V - Vão CY1-Serviço de Desmontagem, adequação de projeto, Montagem Eletromecânica e Comissionamento com Fornecimento de Materiais e infraestrutura para substituição de Transformadores de Corrente 550kV  (PA - MA)</t>
  </si>
  <si>
    <t>MARABA|0007583/2021-Substituição do Transformador de Corrente 500kV do MBDJ7-05 Fase B - Vão CY1-Serviço de Desmontagem, adequação de projeto, Montagem Eletromecânica e Comissionamento com Fornecimento de Materiais e infraestrutura para substituição de Transformadores de Corrente 550kV  (PA - MA)</t>
  </si>
  <si>
    <t>MARABA|0007600/2021-Substituição do Transformador de Corrente 500kV do MBDJ7-05 Fase A - Vão CY1-Serviço de Desmontagem, adequação de projeto, Montagem Eletromecânica e Comissionamento com Fornecimento de Materiais e infraestrutura para substituição de Transformadores de Corrente 550kV  (PA - MA)</t>
  </si>
  <si>
    <t>MARABA|0007713/2021-Substituição do Transformador de Corrente 500kV do MBDJ7-02 fase V - Vão DY2-Serviço de Desmontagem, adequação de projeto, Montagem Eletromecânica e Comissionamento com Fornecimento de Materiais e infraestrutura para substituição de Transformadores de Corrente 550kV  (PA - MA)</t>
  </si>
  <si>
    <t>MARABA|0007717/2021-Substituição do Transformador de Corrente 500kV do MBDJ7-02 fase B - Vão DY2-Serviço de Desmontagem, adequação de projeto, Montagem Eletromecânica e Comissionamento com Fornecimento de Materiais e infraestrutura para substituição de Transformadores de Corrente 550kV  (PA - MA)</t>
  </si>
  <si>
    <t>MARABA|0007743/2021-Substituição do Transformador de Corrente 500kV do MBDJ7-02 fase A - Vão DY2-Serviço de Desmontagem, adequação de projeto, Montagem Eletromecânica e Comissionamento com Fornecimento de Materiais e infraestrutura para substituição de Transformadores de Corrente 550kV  (PA - MA)</t>
  </si>
  <si>
    <t>MARABA|0007755/2021-Substituição do Transformador de Corrente 500kV do MBDJ7-01 fase V - Vão DX-Serviço de Desmontagem, adequação de projeto, Montagem Eletromecânica e Comissionamento com Fornecimento de Materiais e infraestrutura para substituição de Transformadores de Corrente 550kV  (PA - MA)</t>
  </si>
  <si>
    <t>MARABA|0007757/2021-Substituição do Transformador de Corrente 500kV do MBDJ7-01 Fase B - Vão DX-Serviço de Desmontagem, adequação de projeto, Montagem Eletromecânica e Comissionamento com Fornecimento de Materiais e infraestrutura para substituição de Transformadores de Corrente 550kV  (PA - MA)</t>
  </si>
  <si>
    <t>MARABA|0007760/2021-Substituição do Transformador de Corrente 500kV do MBDJ7-01 Fase A - Vão DX-Serviço de Desmontagem, adequação de projeto, Montagem Eletromecânica e Comissionamento com Fornecimento de Materiais e infraestrutura para substituição de Transformadores de Corrente 550kV  (PA - MA)</t>
  </si>
  <si>
    <t>MARABA|0007793/2021-Substituição do Transformador de Corrente 500kV do MBDJ7-06 Fase V - Vão CZ-Serviço de Desmontagem, adequação de projeto, Montagem Eletromecânica e Comissionamento com Fornecimento de Materiais e infraestrutura para substituição de Transformadores de Corrente 550kV  (PA - MA)</t>
  </si>
  <si>
    <t>MARABA|0007794/2021-Substituição do Transformador de Corrente 500kV do MBDJ7-06 Fase B - Vão CZ-Serviço de Desmontagem, adequação de projeto, Montagem Eletromecânica e Comissionamento com Fornecimento de Materiais e infraestrutura para substituição de Transformadores de Corrente 550kV  (PA - MA)</t>
  </si>
  <si>
    <t>MARABA|0007795/2021-Substituição do Transformador de Corrente 500kV do MBDJ7-06 Fase A - Vão CZ-Serviço de Desmontagem, adequação de projeto, Montagem Eletromecânica e Comissionamento com Fornecimento de Materiais e infraestrutura para substituição de Transformadores de Corrente 550kV  (PA - MA)</t>
  </si>
  <si>
    <t>MARABA|0007796/2021-Substituição do Transformador de Corrente 500kV do MBDJ7-09 Fase A - Vão BZ-Serviço de Desmontagem, adequação de projeto, Montagem Eletromecânica e Comissionamento com Fornecimento de Materiais e infraestrutura para substituição de Transformadores de Corrente 550kV  (PA - MA)</t>
  </si>
  <si>
    <t>TUCURUI|0008007/2021-Substituição do Transformador de Corrente 500kV do TCDJ7-02 fase V - Vão FY2-Serviço de Desmontagem, adequação de projeto, Montagem Eletromecânica e Comissionamento com Fornecimento de Materiais e infraestrutura para substituição de Transformadores de Corrente 550kV  (PA - MA)</t>
  </si>
  <si>
    <t>TUCURUI|0008011/2021-Substituição do Transformador de Corrente 500kV do TCDJ7-02 Fase B - Vão FY2-Serviço de Desmontagem, adequação de projeto, Montagem Eletromecânica e Comissionamento com Fornecimento de Materiais e infraestrutura para substituição de Transformadores de Corrente 550kV  (PA - MA)</t>
  </si>
  <si>
    <t>TUCURUI|0008019/2021-Substituição do Transformador de Corrente 500kV do TCDJ7-02 fase A - Vão FY2-Serviço de Desmontagem, adequação de projeto, Montagem Eletromecânica e Comissionamento com Fornecimento de Materiais e infraestrutura para substituição de Transformadores de Corrente 550kV  (PA - MA)</t>
  </si>
  <si>
    <t>TUCURUI|0008103/2021-Substituição do Transformador de Corrente 500kV do TCDJ7-02 Fase V - Vão FY1-Serviço de Desmontagem, adequação de projeto, Montagem Eletromecânica e Comissionamento com Fornecimento de Materiais e infraestrutura para substituição de Transformadores de Corrente 550kV  (PA - MA)</t>
  </si>
  <si>
    <t>TUCURUI|0008106/2021-Substituição do Transformador de Corrente 500kV do TCDJ7-02 fase B - Vão FY1-Serviço de Desmontagem, adequação de projeto, Montagem Eletromecânica e Comissionamento com Fornecimento de Materiais e infraestrutura para substituição de Transformadores de Corrente 550kV  (PA - MA)</t>
  </si>
  <si>
    <t>TUCURUI|0008115/2021-Substituição do Transformador de Corrente 500kV do TCDJ7-02 fase A - Vão FY1-Serviço de Desmontagem, adequação de projeto, Montagem Eletromecânica e Comissionamento com Fornecimento de Materiais e infraestrutura para substituição de Transformadores de Corrente 550kV  (PA - MA)</t>
  </si>
  <si>
    <t>TUCURUI|0008127/2021-Substituição do Transformador de Corrente 500kV do TCDJ7-06 Fase V - Vão EZ-Serviço de Desmontagem, adequação de projeto, Montagem Eletromecânica e Comissionamento com Fornecimento de Materiais e infraestrutura para substituição de Transformadores de Corrente 550kV  (PA - MA)</t>
  </si>
  <si>
    <t>TUCURUI|0008131/2021-Substituição do Transformador de Corrente 500kV do TCDJ7-06 Fase B - Vão EZ-Serviço de Desmontagem, adequação de projeto, Montagem Eletromecânica e Comissionamento com Fornecimento de Materiais e infraestrutura para substituição de Transformadores de Corrente 550kV  (PA - MA)</t>
  </si>
  <si>
    <t>TUCURUI|0008158/2021-Substituição do Transformador de Corrente 500kV do TCDJ7-06 Fase A - Vão EZ-Serviço de Desmontagem, adequação de projeto, Montagem Eletromecânica e Comissionamento com Fornecimento de Materiais e infraestrutura para substituição de Transformadores de Corrente 550kV  (PA - MA)</t>
  </si>
  <si>
    <t>TUCURUI|0008163/2021-Substituição do Transformador de Corrente 500kV do TCDJ7-11 Fase V - Vão CY1-Serviço de Desmontagem, adequação de projeto, Montagem Eletromecânica e Comissionamento com Fornecimento de Materiais e infraestrutura para substituição de Transformadores de Corrente 550kV  (PA - MA)</t>
  </si>
  <si>
    <t>TUCURUI|0008171/2021-Substituição do Transformador de Corrente 500kV do TCDJ7-11 Fase B - Vão CY1-Serviço de Desmontagem, adequação de projeto, Montagem Eletromecânica e Comissionamento com Fornecimento de Materiais e infraestrutura para substituição de Transformadores de Corrente 550kV  (PA - MA)</t>
  </si>
  <si>
    <t>TUCURUI|0008174/2021-Substituição do Transformador de Corrente 500kV do TCDJ7-11 Fase A - Vão CY1-Serviço de Desmontagem, adequação de projeto, Montagem Eletromecânica e Comissionamento com Fornecimento de Materiais e infraestrutura para substituição de Transformadores de Corrente 550kV  (PA - MA)</t>
  </si>
  <si>
    <t>TUCURUI|0008180/2021-Substituição do Transformador de Corrente 500kV do TCDJ7-10 Fase V - Vão CX-Serviço de Desmontagem, adequação de projeto, Montagem Eletromecânica e Comissionamento com Fornecimento de Materiais e infraestrutura para substituição de Transformadores de Corrente 550kV  (PA - MA)</t>
  </si>
  <si>
    <t>TUCURUI|0008190/2021-Substituição do Transformador de Corrente 500kV do TCDJ7-10 Fase B - Vão CX-Serviço de Desmontagem, adequação de projeto, Montagem Eletromecânica e Comissionamento com Fornecimento de Materiais e infraestrutura para substituição de Transformadores de Corrente 550kV  (PA - MA)</t>
  </si>
  <si>
    <t>TUCURUI|0008193/2021-Substituição do Transformador de Corrente 500kV do TCDJ7-10 Fase A - Vão CX-Serviço de Desmontagem, adequação de projeto, Montagem Eletromecânica e Comissionamento com Fornecimento de Materiais e infraestrutura para substituição de Transformadores de Corrente 550kV  (PA - MA)</t>
  </si>
  <si>
    <t>TUCURUI|0008197/2021-Substituição do Transformador de Corrente 500kV do TCDJ7-05 Fase V - Vão EY2-Serviço de Desmontagem, adequação de projeto, Montagem Eletromecânica e Comissionamento com Fornecimento de Materiais e infraestrutura para substituição de Transformadores de Corrente 550kV  (PA - MA)</t>
  </si>
  <si>
    <t>TUCURUI|0008206/2021-Substituição do Transformador de Corrente 500kV do TCDJ7-05 Fase B - Vão EY2-Serviço de Desmontagem, adequação de projeto, Montagem Eletromecânica e Comissionamento com Fornecimento de Materiais e infraestrutura para substituição de Transformadores de Corrente 550kV  (PA - MA)</t>
  </si>
  <si>
    <t>TUCURUI|0008210/2021-Substituição do Transformador de Corrente 500kV do TCDJ7-05 Fase A - Vão EY2-Serviço de Desmontagem, adequação de projeto, Montagem Eletromecânica e Comissionamento com Fornecimento de Materiais e infraestrutura para substituição de Transformadores de Corrente 550kV  (PA - MA)</t>
  </si>
  <si>
    <t>TUCURUI|0008215/2021-Substituição do Transformador de Corrente 500kV do TCDJ7-05 Fase V - Vão EY1-Serviço de Desmontagem, adequação de projeto, Montagem Eletromecânica e Comissionamento com Fornecimento de Materiais e infraestrutura para substituição de Transformadores de Corrente 550kV  (PA - MA)</t>
  </si>
  <si>
    <t>TUCURUI|0008218/2021-Substituição do Transformador de Corrente 500kV do TCDJ7-05 Fase B - Vão EY1-Serviço de Desmontagem, adequação de projeto, Montagem Eletromecânica e Comissionamento com Fornecimento de Materiais e infraestrutura para substituição de Transformadores de Corrente 550kV  (PA - MA)</t>
  </si>
  <si>
    <t>TUCURUI|0008222/2021-Substituição do Transformador de Corrente 500kV do TCDJ7-05 Fase A - Vão EY1-Serviço de Desmontagem, adequação de projeto, Montagem Eletromecânica e Comissionamento com Fornecimento de Materiais e infraestrutura para substituição de Transformadores de Corrente 550kV  (PA - MA)</t>
  </si>
  <si>
    <t>TUCURUI|0008232/2021-Substituição do Transformador de Corrente 500kV do TCDJ7-04 Fase V - Vão EX-Serviço de Desmontagem, adequação de projeto, Montagem Eletromecânica e Comissionamento com Fornecimento de Materiais e infraestrutura para substituição de Transformadores de Corrente 550kV  (PA - MA)</t>
  </si>
  <si>
    <t>TUCURUI|0008234/2021-Substituição do Transformador de Corrente 500kV do TCDJ7-04 Fase B - Vão EX-Serviço de Desmontagem, adequação de projeto, Montagem Eletromecânica e Comissionamento com Fornecimento de Materiais e infraestrutura para substituição de Transformadores de Corrente 550kV  (PA - MA)</t>
  </si>
  <si>
    <t>TUCURUI|0008237/2021-Substituição do Transformador de Corrente 500kV do TCDJ7-04 Fase A - Vão EX-Serviço de Desmontagem, adequação de projeto, Montagem Eletromecânica e Comissionamento com Fornecimento de Materiais e infraestrutura para substituição de Transformadores de Corrente 550kV  (PA - MA)</t>
  </si>
  <si>
    <t>TUCURUI|0008241/2021-Substituição do Transformador de Corrente 500kV do TCDJ7-03 Fase V - Vão FZ-Serviço de Desmontagem, adequação de projeto, Montagem Eletromecânica e Comissionamento com Fornecimento de Materiais e infraestrutura para substituição de Transformadores de Corrente 550kV  (PA - MA)</t>
  </si>
  <si>
    <t>TUCURUI|0008242/2021-Substituição do Transformador de Corrente 500kV do TCDJ7-03 Fase B - Vão FZ-Serviço de Desmontagem, adequação de projeto, Montagem Eletromecânica e Comissionamento com Fornecimento de Materiais e infraestrutura para substituição de Transformadores de Corrente 550kV  (PA - MA)</t>
  </si>
  <si>
    <t>TUCURUI|0008245/2021-Substituição do Transformador de Corrente 500kV do TCDJ7-03 Fase A - Vão FZ-Serviço de Desmontagem, adequação de projeto, Montagem Eletromecânica e Comissionamento com Fornecimento de Materiais e infraestrutura para substituição de Transformadores de Corrente 550kV  (PA - MA)</t>
  </si>
  <si>
    <t>TUCURUI|0008250/2021-Substituição do Transformador de Corrente 500kV do TCDJ7-01 Fase V - Vão FX-Serviço de Desmontagem, adequação de projeto, Montagem Eletromecânica e Comissionamento com Fornecimento de Materiais e infraestrutura para substituição de Transformadores de Corrente 550kV  (PA - MA)</t>
  </si>
  <si>
    <t>TUCURUI|0008255/2021-Substituição do Transformador de Corrente 500kV do TCDJ7-01 Fase B - Vão FX-Serviço de Desmontagem, adequação de projeto, Montagem Eletromecânica e Comissionamento com Fornecimento de Materiais e infraestrutura para substituição de Transformadores de Corrente 550kV  (PA - MA)</t>
  </si>
  <si>
    <t>TUCURUI|0008269/2021-Substituição do Transformador de Corrente 500kV do TCDJ7-11 Fase V - Vão CY2-Serviço de Desmontagem, adequação de projeto, Montagem Eletromecânica e Comissionamento com Fornecimento de Materiais e infraestrutura para substituição de Transformadores de Corrente 550kV  (PA - MA)</t>
  </si>
  <si>
    <t>TUCURUI|0008278/2021-Substituição do Transformador de Corrente 500kV do TCDJ7-12 Fase V - Vão CZ-Serviço de Desmontagem, adequação de projeto, Montagem Eletromecânica e Comissionamento com Fornecimento de Materiais e infraestrutura para substituição de Transformadores de Corrente 550kV  (PA - MA)</t>
  </si>
  <si>
    <t>TUCURUI|0008284/2021-Substituição do Transformador de Corrente 500kV do TCDJ7-07 Fase B - Vão DX-Serviço de Desmontagem, adequação de projeto, Montagem Eletromecânica e Comissionamento com Fornecimento de Materiais e infraestrutura para substituição de Transformadores de Corrente 550kV  (PA - MA)</t>
  </si>
  <si>
    <t>TUCURUI|0008290/2021-Substituição do Transformador de Corrente 500kV do TCDJ7-07 Fase A - Vão DX-Serviço de Desmontagem, adequação de projeto, Montagem Eletromecânica e Comissionamento com Fornecimento de Materiais e infraestrutura para substituição de Transformadores de Corrente 550kV  (PA - MA)</t>
  </si>
  <si>
    <t>TUCURUI|0008332/2021-Substituição do Transformador de Corrente 500kV do TCDJ7-01 Fase A - Vão FX-Serviço de Desmontagem, adequação de projeto, Montagem Eletromecânica e Comissionamento com Fornecimento de Materiais e infraestrutura para substituição de Transformadores de Corrente 550kV  (PA - MA)</t>
  </si>
  <si>
    <t>TUCURUI|0008342/2021-Substituição do Transformador de Corrente 500kV do TCDJ7-12 Fase B - Vão CZ-Serviço de Desmontagem, adequação de projeto, Montagem Eletromecânica e Comissionamento com Fornecimento de Materiais e infraestrutura para substituição de Transformadores de Corrente 550kV  (PA - MA)</t>
  </si>
  <si>
    <t>TUCURUI|0008349/2021-Substituição do Transformador de Corrente 500kV do TCDJ7-11 Fase A - Vão CY2-Serviço de Desmontagem, adequação de projeto, Montagem Eletromecânica e Comissionamento com Fornecimento de Materiais e infraestrutura para substituição de Transformadores de Corrente 550kV  (PA - MA)</t>
  </si>
  <si>
    <t>TUCURUI|0008357/2021-Substituição do Transformador de Corrente 500kV do TCDJ7-12 Fase A - Vão CZ-Serviço de Desmontagem, adequação de projeto, Montagem Eletromecânica e Comissionamento com Fornecimento de Materiais e infraestrutura para substituição de Transformadores de Corrente 550kV  (PA - MA)</t>
  </si>
  <si>
    <t>TUCURUI|0008361/2021-Substituição do Transformador de Corrente 500kV do TCDJ7-11 Fase B - Vão CY2-Serviço de Desmontagem, adequação de projeto, Montagem Eletromecânica e Comissionamento com Fornecimento de Materiais e infraestrutura para substituição de Transformadores de Corrente 550kV  (PA - MA)</t>
  </si>
  <si>
    <t>TUCURUI|0009465/2021-Substituição do Transformador de Corrente 500kV do TCDJ7-17 fase A - Vão FY2-Serviço de Desmontagem, adequação de projeto, Montagem Eletromecânica e Comissionamento com Fornecimento de Materiais e infraestrutura para substituição de Transformadores de Corrente 550kV  (PA - MA)</t>
  </si>
  <si>
    <t>TUCURUI|0009470/2021-Substituição do Transformador de Corrente 500kV do TCDJ7-17 fase B - Vão FY2-Serviço de Desmontagem, adequação de projeto, Montagem Eletromecânica e Comissionamento com Fornecimento de Materiais e infraestrutura para substituição de Transformadores de Corrente 550kV  (PA - MA)</t>
  </si>
  <si>
    <t>TUCURUI|0009476/2021-Substituição do Transformador de Corrente 500kV do TCDJ7-17 fase V - Vão FY2-Serviço de Desmontagem, adequação de projeto, Montagem Eletromecânica e Comissionamento com Fornecimento de Materiais e infraestrutura para substituição de Transformadores de Corrente 550kV  (PA - MA)</t>
  </si>
  <si>
    <t>TUCURUI|0009493/2021-Substituição do Transformador de Corrente 500kV do TCDJ7-08 Fase B - Vão DY2-Serviço de Desmontagem, adequação de projeto, Montagem Eletromecânica e Comissionamento com Fornecimento de Materiais e infraestrutura para substituição de Transformadores de Corrente 550kV  (PA - MA)</t>
  </si>
  <si>
    <t>TUCURUI|0009497/2021-Substituição do Transformador de Corrente 500kV do TCDJ7-08 Fase V - Vão DY2-Serviço de Desmontagem, adequação de projeto, Montagem Eletromecânica e Comissionamento com Fornecimento de Materiais e infraestrutura para substituição de Transformadores de Corrente 550kV  (PA - MA)</t>
  </si>
  <si>
    <t>TUCURUI|0009858/2021-Substituição do Transformador de Corrente 500kV do TCDJ7-07 Fase V - Vão DX-Serviço de Desmontagem, adequação de projeto, Montagem Eletromecânica e Comissionamento com Fornecimento de Materiais e infraestrutura para substituição de Transformadores de Corrente 550kV  (PA - MA)</t>
  </si>
  <si>
    <t>TUCURUI|0009875/2021-Substituição do Transformador de Corrente 500kV do TCDJ7-08 Fase A - Vão DY2-Serviço de Desmontagem, adequação de projeto, Montagem Eletromecânica e Comissionamento com Fornecimento de Materiais e infraestrutura para substituição de Transformadores de Corrente 550kV  (PA - MA)</t>
  </si>
  <si>
    <t>VILA DO CONDE|0008526/2021-Substituição do Transformador de Corrente 500kV do VCDJ7-06 Fase V - Vão CZ-Serviço de Desmontagem, adequação de projeto, Montagem Eletromecânica e Comissionamento com Fornecimento de Materiais e infraestrutura para substituição de Transformadores de Corrente 550kV  (PA - MA)</t>
  </si>
  <si>
    <t>VILA DO CONDE|0008586/2021-Substituição do Transformador de Corrente 500kV do VCDJ7-06 Fase B - Vão CZ-Serviço de Desmontagem, adequação de projeto, Montagem Eletromecânica e Comissionamento com Fornecimento de Materiais e infraestrutura para substituição de Transformadores de Corrente 550kV  (PA - MA)</t>
  </si>
  <si>
    <t>VILA DO CONDE|0008589/2021-Substituição do Transformador de Corrente 500kV do VCDJ7-06 Fase A - Vão CZ-Serviço de Desmontagem, adequação de projeto, Montagem Eletromecânica e Comissionamento com Fornecimento de Materiais e infraestrutura para substituição de Transformadores de Corrente 550kV  (PA - MA)</t>
  </si>
  <si>
    <t>VILA DO CONDE|0008604/2021-Substituição do Transformador de Corrente 500kV do VCDJ7-08 Fase V - Vão BY1-Serviço de Desmontagem, adequação de projeto, Montagem Eletromecânica e Comissionamento com Fornecimento de Materiais e infraestrutura para substituição de Transformadores de Corrente 550kV  (PA - MA)</t>
  </si>
  <si>
    <t>VILA DO CONDE|0008609/2021-Substituição do Transformador de Corrente 500kV do VCDJ7-08 Fase B - Vão BY1-Serviço de Desmontagem, adequação de projeto, Montagem Eletromecânica e Comissionamento com Fornecimento de Materiais e infraestrutura para substituição de Transformadores de Corrente 550kV  (PA - MA)</t>
  </si>
  <si>
    <t>VILA DO CONDE|0008613/2021-Substituição do Transformador de Corrente 500kV do VCDJ7-08 Fase A - Vão BY1-Serviço de Desmontagem, adequação de projeto, Montagem Eletromecânica e Comissionamento com Fornecimento de Materiais e infraestrutura para substituição de Transformadores de Corrente 550kV  (PA - MA)</t>
  </si>
  <si>
    <t>VILA DO CONDE|0008618/2021-Substituição do Transformador de Corrente 500kV do VCDJ7-05 Fase V - Vão CY2-Serviço de Desmontagem, adequação de projeto, Montagem Eletromecânica e Comissionamento com Fornecimento de Materiais e infraestrutura para substituição de Transformadores de Corrente 550kV  (PA - MA)</t>
  </si>
  <si>
    <t>VILA DO CONDE|0008620/2021-Substituição do Transformador de Corrente 500kV do VCDJ7-05 Fase B - Vão CY2-Serviço de Desmontagem, adequação de projeto, Montagem Eletromecânica e Comissionamento com Fornecimento de Materiais e infraestrutura para substituição de Transformadores de Corrente 550kV  (PA - MA)</t>
  </si>
  <si>
    <t>VILA DO CONDE|0008621/2021-Substituição do Transformador de Corrente 500kV do VCDJ7-05 Fase A - Vão CY2-Serviço de Desmontagem, adequação de projeto, Montagem Eletromecânica e Comissionamento com Fornecimento de Materiais e infraestrutura para substituição de Transformadores de Corrente 550kV  (PA - MA)</t>
  </si>
  <si>
    <t>VILA DO CONDE|0008622/2021-Substituição do Transformador de Corrente 500kV do VCDJ7-03 Fase A - Vão DZ-Serviço de Desmontagem, adequação de projeto, Montagem Eletromecânica e Comissionamento com Fornecimento de Materiais e infraestrutura para substituição de Transformadores de Corrente 550kV  (PA - MA)</t>
  </si>
  <si>
    <t>VILA DO CONDE|0008631/2021-Substituição do Transformador de Corrente 
500kV do VCDJ7-05 Fase V - Vão CY1-Serviço de Desmontagem, adequação de projeto, Montagem Eletromecânica e Comissionamento com Fornecimento de Materiais e infraestrutura para substituição de Transformadores de Corrente 550kV  (PA - MA)</t>
  </si>
  <si>
    <t>VILA DO CONDE|0008634/2021-Substituição do Transformador de Corrente 
500kV do VCDJ7-05 Fase B - Vão CY1-Serviço de Desmontagem, adequação de projeto, Montagem Eletromecânica e Comissionamento com Fornecimento de Materiais e infraestrutura para substituição de Transformadores de Corrente 550kV  (PA - MA)</t>
  </si>
  <si>
    <t>VILA DO CONDE|0008638/2021-Substituição do Transformador de Corrente 
500kV do VCDJ7-05 Fase A - Vão CY1-Serviço de Desmontagem, adequação de projeto, Montagem Eletromecânica e Comissionamento com Fornecimento de Materiais e infraestrutura para substituição de Transformadores de Corrente 550kV  (PA - MA)</t>
  </si>
  <si>
    <t>VILA DO CONDE|0008641/2021-Substituição do Transformador de Corrente 
500kV do VCDJ7-03 Fase V - Vão DZ-Serviço de Desmontagem, adequação de projeto, Montagem Eletromecânica e Comissionamento com Fornecimento de Materiais e infraestrutura para substituição de Transformadores de Corrente 550kV  (PA - MA)</t>
  </si>
  <si>
    <t>VILA DO CONDE|0008645/2021-Substituição do Transformador de Corrente 
500kV do VCDJ7-03 Fase B - Vão DZ-Serviço de Desmontagem, adequação de projeto, Montagem Eletromecânica e Comissionamento com Fornecimento de Materiais e infraestrutura para substituição de Transformadores de Corrente 550kV  (PA - MA)</t>
  </si>
  <si>
    <t>VILA DO CONDE|0008653/2021-Substituição do Transformador de Corrente 500kV do VCDJ7-02 Fase V - Vão DY2-Serviço de Desmontagem, adequação de projeto, Montagem Eletromecânica e Comissionamento com Fornecimento de Materiais e infraestrutura para substituição de Transformadores de Corrente 550kV  (PA - MA)</t>
  </si>
  <si>
    <t>VILA DO CONDE|0008678/2021-Substituição do Transformador de Corrente 500kV do VCDJ7-02 Fase B - Vão DY2-Serviço de Desmontagem, adequação de projeto, Montagem Eletromecânica e Comissionamento com Fornecimento de Materiais e infraestrutura para substituição de Transformadores de Corrente 550kV  (PA - MA)</t>
  </si>
  <si>
    <t>VILA DO CONDE|0008803/2021-Substituição do Transformador de Corrente 500kV do VCDJ7-02 Fase A - Vão DY2-Serviço de Desmontagem, adequação de projeto, Montagem Eletromecânica e Comissionamento com Fornecimento de Materiais e infraestrutura para substituição de Transformadores de Corrente 550kV  (PA - MA)</t>
  </si>
  <si>
    <t>VILA DO CONDE|0008824/2021-Substituição do Transformador de Corrente 500kV do VCDJ7-02 Fase V - Vão DY1-Serviço de Desmontagem, adequação de projeto, Montagem Eletromecânica e Comissionamento com Fornecimento de Materiais e infraestrutura para substituição de Transformadores de Corrente 550kV  (PA - MA)</t>
  </si>
  <si>
    <t>VILA DO CONDE|0008839/2021-Substituição do Transformador de Corrente 500kV do VCDJ7-02 Fase B - Vão DY1-Serviço de Desmontagem, adequação de projeto, Montagem Eletromecânica e Comissionamento com Fornecimento de Materiais e infraestrutura para substituição de Transformadores de Corrente 550kV  (PA - MA)</t>
  </si>
  <si>
    <t>VILA DO CONDE|0008852/2021-Substituição do Transformador de Corrente 500kV do VCDJ7-02 Fase A - Vão DY1-Serviço de Desmontagem, adequação de projeto, Montagem Eletromecânica e Comissionamento com Fornecimento de Materiais e infraestrutura para substituição de Transformadores de Corrente 550kV  (PA - MA)</t>
  </si>
  <si>
    <t>VILA DO CONDE|0008970/2021-Substituição do Transformador de Corrente 500kV do VCDJ7-01 Fase V - Vão DX-Serviço de Desmontagem, adequação de projeto, Montagem Eletromecânica e Comissionamento com Fornecimento de Materiais e infraestrutura para substituição de Transformadores de Corrente 550kV  (PA - MA)</t>
  </si>
  <si>
    <t>VILA DO CONDE|0008984/2021-Substituição do Transformador de Corrente 500kV do VCDJ7-01 Fase B - Vão DX-Serviço de Desmontagem, adequação de projeto, Montagem Eletromecânica e Comissionamento com Fornecimento de Materiais e infraestrutura para substituição de Transformadores de Corrente 550kV  (PA - MA)</t>
  </si>
  <si>
    <t>VILA DO CONDE|0009002/2021-Substituição do Transformador de Corrente 500kV do VCDJ7-01 Fase A - Vão DX-Serviço de Desmontagem, adequação de projeto, Montagem Eletromecânica e Comissionamento com Fornecimento de Materiais e infraestrutura para substituição de Transformadores de Corrente 550kV  (PA - MA)</t>
  </si>
  <si>
    <t>VILA DO CONDE|0009531/2021-Substituição do Transformador de Corrente 500kV do VCDJ7-09 Fase A - Vão BZ-Serviço de Desmontagem, adequação de projeto, Montagem Eletromecânica e Comissionamento com Fornecimento de Materiais e infraestrutura para substituição de Transformadores de Corrente 550kV  (PA - MA)</t>
  </si>
  <si>
    <t>VILA DO CONDE|0009536/2021-Substituição do Transformador de Corrente 500kV do VCDJ7-09 Fase B - Vão BZ-Serviço de Desmontagem, adequação de projeto, Montagem Eletromecânica e Comissionamento com Fornecimento de Materiais e infraestrutura para substituição de Transformadores de Corrente 550kV  (PA - MA)</t>
  </si>
  <si>
    <t>VILA DO CONDE|0009541/2021-Substituição do Transformador de Corrente 500kV do VCDJ7-09 Fase  V - Vão BZ-Serviço de Desmontagem, adequação de projeto, Montagem Eletromecânica e Comissionamento com Fornecimento de Materiais e infraestrutura para substituição de Transformadores de Corrente 550kV  (PA - MA)</t>
  </si>
  <si>
    <t>MARABA|0013809/2016-SUBSTITUIÇÃO DE 3 TRANSFORMADORES DE POTENCIAL CAPACITIVO FASES A, B e V DA LINHA TCMB-LT7-01-Aquisição / Serviço de instalação e comissionamento de TPC 500kV TCMBLT7-01 3xF</t>
  </si>
  <si>
    <t>TRANSAMAZONIC|0001614/2021-SUBSTITUIÇÃO DO REATOR 230 kV 30 MVAr - TMRE6.01-Instalações eletromecânicas, confecção de base de concreto, cerca metálica e do reator de neutro e para-raios de 69 kV do reator principal (TMRE6 01)</t>
  </si>
  <si>
    <t>ARIQUEMES|0002931/2020-Ampliação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</si>
  <si>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ARIQUEMES|0003141/2020-Ampliação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</si>
  <si>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ARIQUEMES|0003148/2020-Ampliação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</si>
  <si>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ARIQUEMES|0003153/2020-Ampliação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</si>
  <si>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JARU|0003132/2020-Instalar sistema de oscilografia digital(RDP)-Aquisição de Registrador Digital de Pertubação por Ondas Viajantes (TW) para as Linhas de Transmissão de Rondônia - JRJP-C1, AQJR-C1, AQJP-C3, JPPB-C3, PBVN-C3, AQJP-C3, SMPV-C1, SMPV-C2 e SMAQ-C1</t>
  </si>
  <si>
    <t>JARU|0003137/2020-Instalar sistema de oscilografia digital(RDP)-Aquisição de Registrador Digital de Pertubação por Ondas Viajantes (TW) para as Linhas de Transmissão de Rondônia - JRJP-C1, AQJR-C1, AQJP-C3, JPPB-C3, PBVN-C3, AQJP-C3, SMPV-C1, SMPV-C2 e SMAQ-C1</t>
  </si>
  <si>
    <t>JI-PARANA|0003032/2020-Instalar sistema de oscilografia digital(RDP)-Aquisição de Registrador Digital de Pertubação por Ondas Viajantes (TW) para as Linhas de Transmissão de Rondônia - JRJP-C1, AQJR-C1, AQJP-C3, JPPB-C3, PBVN-C3, AQJP-C3, SMPV-C1, SMPV-C2 e SMAQ-C1</t>
  </si>
  <si>
    <t>JI-PARANA|0003067/2020-Instalar sistema de oscilografia digital(RDP).-Aquisição de Registrador Digital de Pertubação por Ondas Viajantes (TW) para as Linhas de Transmissão de Rondônia - JRJP-C1, AQJR-C1, AQJP-C3, JPPB-C3, PBVN-C3, AQJP-C3, SMPV-C1, SMPV-C2 e SMAQ-C1</t>
  </si>
  <si>
    <t>JI-PARANA|0003124/2020-Instalar sistema de oscilografia digital(RDP)-Aquisição de Registrador Digital de Pertubação por Ondas Viajantes (TW) para as Linhas de Transmissão de Rondônia - JRJP-C1, AQJR-C1, AQJP-C3, JPPB-C3, PBVN-C3, AQJP-C3, SMPV-C1, SMPV-C2 e SMAQ-C1</t>
  </si>
  <si>
    <t>PIMENTA BUENO|0003052/2020-Instalar sistema de oscilografia digital(RDP)-Aquisição de Registrador Digital de Pertubação por Ondas Viajantes (TW) para as Linhas de Transmissão de Rondônia - JRJP-C1, AQJR-C1, AQJP-C3, JPPB-C3, PBVN-C3, AQJP-C3, SMPV-C1, SMPV-C2 e SMAQ-C1</t>
  </si>
  <si>
    <t>PIMENTA BUENO|0003059/2020-Instalar sistema de oscilografia digital(RDP)-Aquisição de Registrador Digital de Pertubação por Ondas Viajantes (TW) para as Linhas de Transmissão de Rondônia - JRJP-C1, AQJR-C1, AQJP-C3, JPPB-C3, PBVN-C3, AQJP-C3, SMPV-C1, SMPV-C2 e SMAQ-C1</t>
  </si>
  <si>
    <t>PORTO VELHO|0002984/2020-Ampliação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</si>
  <si>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PORTO VELHO|0003121/2020-Ampliação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</si>
  <si>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PORTO VELHO|0003138/2020-Ampliação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</si>
  <si>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SAMUEL|0002956/2020-Ampliação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</si>
  <si>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SAMUEL|0002992/2020-Ampliação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</si>
  <si>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SAMUEL|0003034/2020-Ampliação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</si>
  <si>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SAMUEL|0003040/2020-Ampliação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</si>
  <si>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SAMUEL|0003045/2020-Ampliação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</si>
  <si>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VILHENA|0003047/2020-Instalar sistema de oscilografia digital(RDP)-Aquisição de Registrador Digital de Pertubação por Ondas Viajantes (TW) para as Linhas de Transmissão de Rondônia - JRJP-C1, AQJR-C1, AQJP-C3, JPPB-C3, PBVN-C3, AQJP-C3, SMPV-C1, SMPV-C2 e SMAQ-C1</t>
  </si>
  <si>
    <t>PORTO VELHO|0008210/2019-Aquisição de Chave Seccionadora - 230 kV.-Aquisição de chave seccionadora de 69 e 230kV para as subestações da Eletronorte em RO e AC</t>
  </si>
  <si>
    <t>PORTO VELHO|0008245/2019-Aquisição de Chave Seccionadora - 230 KV.-Aquisição de chave seccionadora de 69 e 230kV para as subestações da Eletronorte em RO e AC</t>
  </si>
  <si>
    <t>VILHENA|0008277/2019-Aquisição de CHAVE SECCIONADORA 69 kV-Aquisição de chave seccionadora de 69 e 230kV para as subestações da Eletronorte em RO e AC</t>
  </si>
  <si>
    <t>VILHENA|0008287/2019-Aquisição de CHAVE SECCIONADORA 69 kV-Aquisição de chave seccionadora de 69 e 230kV para as subestações da Eletronorte em RO e AC</t>
  </si>
  <si>
    <t>VILHENA|0008304/2019-Aquisição de CHAVE SECCIONADORA 69 kV-Aquisição de chave seccionadora de 69 e 230kV para as subestações da Eletronorte em RO e AC</t>
  </si>
  <si>
    <t>VILHENA|0008313/2019-Aquisição de CHAVE SECCIONADORA 69 kV-Aquisição de chave seccionadora de 69 e 230kV para as subestações da Eletronorte em RO e AC</t>
  </si>
  <si>
    <t>VILHENA|0008317/2019-Aquisição de CHAVE SECCIONADORA 69KV -  Fases A, B e C-Aquisição de chave seccionadora de 69 e 230kV para as subestações da Eletronorte em RO e AC</t>
  </si>
  <si>
    <t>VILHENA|0008330/2019-Aquisição de CHAVE SECCIONADORA 69KV - Fases A, B e C-Aquisição de chave seccionadora de 69 e 230kV para as subestações da Eletronorte em RO e AC</t>
  </si>
  <si>
    <t xml:space="preserve">SEM INSTALAÇÃO ESPECÍFICA|Sem PMI--Aquisição Oscilógrafos para Disjuntores  </t>
  </si>
  <si>
    <t>SEM INSTALAÇÃO ESPECÍFICA|Sem PMI--Aquisição CPC 100 + Acessórios</t>
  </si>
  <si>
    <t>SEM INSTALAÇÃO ESPECÍFICA|Sem PMI--AQUISIÇÃO DE SISTEMAS DE MEDIÇÃO DE QUALIDADE DE GÁS SF6 PARA AS UNIDADES DA ELETRONORTE.</t>
  </si>
  <si>
    <t>SEM INSTALAÇÃO ESPECÍFICA|Sem PMI--AQUISIÇÃO DE EQUIPAMENTO PORTÁTIL PARA ANÁLISE DE GASES DISSOLVIDOS EM ÓLEO MINERAL ISOLANTE, CONTENDO MEDIÇÃO DE PELO MENOS 7 GASES E A UMIDADE.</t>
  </si>
  <si>
    <t>SEM INSTALAÇÃO ESPECÍFICA|Sem PMI--Vinte e três Switches gerenciaveis de 48 portas layer2 Gigabit POE + 4SFP</t>
  </si>
  <si>
    <t>SEM INSTALAÇÃO ESPECÍFICA|Sem PMI--Medidor KARL Fischer com forno para medição de teor de água em óleo isolante ou lubrificante</t>
  </si>
  <si>
    <t>SEM INSTALAÇÃO ESPECÍFICA|Sem PMI--Analisador de resposta do dielétrico</t>
  </si>
  <si>
    <t>SEM INSTALAÇÃO ESPECÍFICA|Sem PMI--Uma licença do software OrCAD</t>
  </si>
  <si>
    <t>SEM INSTALAÇÃO ESPECÍFICA|Sem PMI--Câmera acústica</t>
  </si>
  <si>
    <t>SEM INSTALAÇÃO ESPECÍFICA|Sem PMI--Tensiômetro para análise de óleo isolante</t>
  </si>
  <si>
    <t>SEM INSTALAÇÃO ESPECÍFICA|Sem PMI--Contador de partículas em óleo isolante ou lubrificante</t>
  </si>
  <si>
    <t xml:space="preserve">SEM INSTALAÇÃO ESPECÍFICA|Sem PMI--Analisador de resposta em frequência </t>
  </si>
  <si>
    <t>SEM INSTALAÇÃO ESPECÍFICA|Sem PMI--Microohmímetro de 200A</t>
  </si>
  <si>
    <t>SEM INSTALAÇÃO ESPECÍFICA|Sem PMI--Câmara de teste de dielétrico de Bastões Isolantes</t>
  </si>
  <si>
    <t>SEM INSTALAÇÃO ESPECÍFICA|Sem PMI--Medidor de vazão</t>
  </si>
  <si>
    <t>SEM INSTALAÇÃO ESPECÍFICA|Sem PMI--Densímetro para análise de óleo isolante</t>
  </si>
  <si>
    <t>SEM INSTALAÇÃO ESPECÍFICA|Sem PMI--Renovação anual do software Proteus. Quatro licenças</t>
  </si>
  <si>
    <t>SEM INSTALAÇÃO ESPECÍFICA|Sem PMI--Aquisição de Sistemas de Dectecção de Fumaça para o Predio Principal do LACEN</t>
  </si>
  <si>
    <t>SEM INSTALAÇÃO ESPECÍFICA|Sem PMI--Medidor ultrasônico  e detector de falhas por ultrassom</t>
  </si>
  <si>
    <t>SEM INSTALAÇÃO ESPECÍFICA|Sem PMI--Treze Nobreaks 3000VA Senoidal pura Bivolt</t>
  </si>
  <si>
    <t>SEM INSTALAÇÃO ESPECÍFICA|Sem PMI--Conversor UHF</t>
  </si>
  <si>
    <t>SEM INSTALAÇÃO ESPECÍFICA|Sem PMI--Bancadas desenvolvimento/manutenção Eletrônica</t>
  </si>
  <si>
    <t>SEM INSTALAÇÃO ESPECÍFICA|Sem PMI--Colorímetro para análise de óleo isolante</t>
  </si>
  <si>
    <t>SEM INSTALAÇÃO ESPECÍFICA|Sem PMI--Balança comparativa de pressão</t>
  </si>
  <si>
    <t>SEM INSTALAÇÃO ESPECÍFICA|Sem PMI--Três assinaturas do Visual Studio Enterprise</t>
  </si>
  <si>
    <t>SEM INSTALAÇÃO ESPECÍFICA|Sem PMI--Osciloscópio portatil isolado 4 canais 350MHz</t>
  </si>
  <si>
    <t>SEM INSTALAÇÃO ESPECÍFICA|Sem PMI--Cinco Multímetros True RMS com imagem térmica Profissional</t>
  </si>
  <si>
    <t>SEM INSTALAÇÃO ESPECÍFICA|Sem PMI--Software ISOCAM</t>
  </si>
  <si>
    <t>SEM INSTALAÇÃO ESPECÍFICA|Sem PMI--Osciloscópio portatil para medição de descargas parciais em campo</t>
  </si>
  <si>
    <t>SEM INSTALAÇÃO ESPECÍFICA|Sem PMI--Ferramentas diversas</t>
  </si>
  <si>
    <t>SEM INSTALAÇÃO ESPECÍFICA|Sem PMI--Multímetro digital de bancada 6 1/2 dígitos</t>
  </si>
  <si>
    <t>SEM INSTALAÇÃO ESPECÍFICA|Sem PMI--3 multímetros digitais de mão true RMS</t>
  </si>
  <si>
    <t>SEM INSTALAÇÃO ESPECÍFICA|Sem PMI--Detector de estrutura metática enterrada</t>
  </si>
  <si>
    <t>SEM INSTALAÇÃO ESPECÍFICA|Sem PMI--Cinco registradores de dados datalogger de umidade e temperatura</t>
  </si>
  <si>
    <t>SEM INSTALAÇÃO ESPECÍFICA|Sem PMI--Carga Eletrônica</t>
  </si>
  <si>
    <t>SEM INSTALAÇÃO ESPECÍFICA|Sem PMI--Software para Medidor de espessura</t>
  </si>
  <si>
    <t>SEM INSTALAÇÃO ESPECÍFICA|Sem PMI--Guincho elétrico com controle remoto</t>
  </si>
  <si>
    <t>SEM INSTALAÇÃO ESPECÍFICA|Sem PMI--Transformador de tensão com isolação de 15kV para SE Lacen</t>
  </si>
  <si>
    <t>SEM INSTALAÇÃO ESPECÍFICA|Sem PMI--8 cronômetros digitais</t>
  </si>
  <si>
    <t>SEM INSTALAÇÃO ESPECÍFICA|Sem PMI--Transformador de corrente com isolaçaão de 15kV para SE Lacen</t>
  </si>
  <si>
    <t>SEM INSTALAÇÃO ESPECÍFICA|Sem PMI--Termohigrografo</t>
  </si>
  <si>
    <t>SEM INSTALAÇÃO ESPECÍFICA|Sem PMI--Cromatógrafo gasoso</t>
  </si>
  <si>
    <t>SEM INSTALAÇÃO ESPECÍFICA|Sem PMI--Sistema de testes de transformadores indutivos e capacitivos</t>
  </si>
  <si>
    <t>SEM INSTALAÇÃO ESPECÍFICA|Sem PMI--Fonte de alta corrente</t>
  </si>
  <si>
    <t>SEM INSTALAÇÃO ESPECÍFICA|Sem PMI--Analisador de espectro</t>
  </si>
  <si>
    <t>SEM INSTALAÇÃO ESPECÍFICA|Sem PMI--Monitorador/medidor de descargas parciais para transformadores e subestações isoladas a gás SF6</t>
  </si>
  <si>
    <t>SEM INSTALAÇÃO ESPECÍFICA|Sem PMI--Analisador de partículas com autoamostrador</t>
  </si>
  <si>
    <t>SEM INSTALAÇÃO ESPECÍFICA|Sem PMI--Cromatografo Gasoso com detector de massas - GCMS</t>
  </si>
  <si>
    <t>SEM INSTALAÇÃO ESPECÍFICA|Sem PMI--Analisador de metais em materiais metálicos portátil</t>
  </si>
  <si>
    <t>SEM INSTALAÇÃO ESPECÍFICA|Sem PMI--Medidor de resistência de enrolamento de 50A</t>
  </si>
  <si>
    <t>SEM INSTALAÇÃO ESPECÍFICA|Sem PMI--Medidor de Capacitancia e tangente Delta para Ensaios com Alta Tensão de até 1000 kV</t>
  </si>
  <si>
    <t>SEM INSTALAÇÃO ESPECÍFICA|Sem PMI--Drone com termovisor</t>
  </si>
  <si>
    <t>SEM INSTALAÇÃO ESPECÍFICA|Sem PMI--Analisador de estabilidade à oxidação de óleos minerais</t>
  </si>
  <si>
    <t>SEM INSTALAÇÃO ESPECÍFICA|Sem PMI--Analisador de Carbono e Enxofre</t>
  </si>
  <si>
    <t xml:space="preserve">SEM INSTALAÇÃO ESPECÍFICA|Sem PMI--Medidor de fator de potência de 12 kV </t>
  </si>
  <si>
    <t>SEM INSTALAÇÃO ESPECÍFICA|Sem PMI--Analisador de Infravermelho - FTIR</t>
  </si>
  <si>
    <t>SEM INSTALAÇÃO ESPECÍFICA|Sem PMI--Analisador Termogravimétrico - TGA</t>
  </si>
  <si>
    <t>SEM INSTALAÇÃO ESPECÍFICA|Sem PMI--TTR trifásico</t>
  </si>
  <si>
    <t>SEM INSTALAÇÃO ESPECÍFICA|Sem PMI--Medidor de Fator de potencia de 2,5kV alimentado a bateria</t>
  </si>
  <si>
    <t>SEM INSTALAÇÃO ESPECÍFICA|Sem PMI--Medidor de descarga parciais em campo</t>
  </si>
  <si>
    <t>SEM INSTALAÇÃO ESPECÍFICA|Sem PMI--Amplificar de potência 180 VA</t>
  </si>
  <si>
    <t>SEM INSTALAÇÃO ESPECÍFICA|Sem PMI--Estufas</t>
  </si>
  <si>
    <t>SEM INSTALAÇÃO ESPECÍFICA|Sem PMI--Microohmímetro de 10A.</t>
  </si>
  <si>
    <t>SEM INSTALAÇÃO ESPECÍFICA|Sem PMI--Ultrapurificador de água</t>
  </si>
  <si>
    <t>SEM INSTALAÇÃO ESPECÍFICA|Sem PMI--2 (dois) Ponte RLC</t>
  </si>
  <si>
    <t>SEM INSTALAÇÃO ESPECÍFICA|Sem PMI--Fornecimento de um autotransformador trifásico RESERVA 72,5 / 36,2 / 15 kV - 6 MVA para instalação na SE TUCURUÍ-VILA</t>
  </si>
  <si>
    <t>SEM INSTALAÇÃO ESPECÍFICA|Sem PMI--Aquisição de  98 (noventa e oito) células capacitivas para aplicação nas subestações do sistema HVDC de Araraquara/SP e Coletora Porto Velho/RO</t>
  </si>
  <si>
    <t>SEM INSTALAÇÃO ESPECÍFICA|Sem PMI--Supervisão da Operação e Manutenção O&amp;M e do Comissionamento/Testes do sistema HVDC, nas
estações conversoras de Araraquara, Porto Velho, Back to Back de Porto Velho e RTDS ELETRONORTE</t>
  </si>
  <si>
    <t>SEM INSTALAÇÃO ESPECÍFICA|Sem PMI--03 TC IMB 72,5 kV para o CCC do back to back</t>
  </si>
  <si>
    <t>SEM INSTALAÇÃO ESPECÍFICA|Sem PMI--Aquisição Lança Isolante 230 e 500 kV NR12</t>
  </si>
  <si>
    <t>SEM INSTALAÇÃO ESPECÍFICA|Sem PMI--Aquisição de plataforma para uso na Subestação Coletora de Porto Velho e Araraquara dentro das Salas de Valvula do Bipolo 1 e Back-to-Back</t>
  </si>
  <si>
    <t>SEM INSTALAÇÃO ESPECÍFICA|Sem PMI--Aquisição Microhmímetro digital</t>
  </si>
  <si>
    <t xml:space="preserve">SEM INSTALAÇÃO ESPECÍFICA|Sem PMI--Aquisição de instrumetos de ensaios para as Regionais da OPT </t>
  </si>
  <si>
    <t>SEM INSTALAÇÃO ESPECÍFICA|Sem PMI--Realização de obras civis nas subestações da OPT</t>
  </si>
  <si>
    <t>SEM INSTALAÇÃO ESPECÍFICA|Sem PMI--Aquisição de sobressalentes estratégicos para as Regionais da OPT</t>
  </si>
  <si>
    <t>SEM INSTALAÇÃO ESPECÍFICA|Sem PMI--Aquisição de estruturas metálicas galvanizadas de torres de emergência para linhas de transmissão, completas, para recompor estruturas danificadas e estabelecer reserva técnica estratégica da OPT, especificamente para as Regionais do Amazonas (OPTAM), Maranhão ( Pará (OPTP) e Maranhão (OPTM)</t>
  </si>
  <si>
    <t>SEM INSTALAÇÃO ESPECÍFICA|Sem PMI--CORPO PESO ADICIONAL DE 25KG</t>
  </si>
  <si>
    <t>SEM INSTALAÇÃO ESPECÍFICA|Sem PMI--SERVIÇO INSTALAÇÃO CORPO PESO ADICIONAL DE 25KG</t>
  </si>
  <si>
    <t>SAO LUIS II|0004813/2019-SUBSTITUIÇÃO DO PARA-RAIOS 500KV, AT702-PR701, FASE 'A'-CONTRATAÇAO PARA ATENDER AS NECESSIDADES DO PROJETO NR: NTSE.0052 -PARA RAIOS - CONTRATAÇAO CONJUNTA DAS EMPRESAS ELETROBRAS.</t>
  </si>
  <si>
    <t>SAO LUIS II|0004820/2019-SUBSTITUIÇÃO DO PARA-RAIOS 500KV, AT702-PR701, FASE 'V'-CONTRATAÇAO PARA ATENDER AS NECESSIDADES DO PROJETO NR: NTSE.0052 -PARA RAIOS - CONTRATAÇAO CONJUNTA DAS EMPRESAS ELETROBRAS.</t>
  </si>
  <si>
    <t>SAO LUIS II|0004823/2019-SUBSTITUIÇÃO DO PÁRA-RAIOS 230KV, BC601-PR601 FASE 'B'-CONTRATAÇAO PARA ATENDER AS NECESSIDADES DO PROJETO NR: NTSE.0052 -PARA RAIOS - CONTRATAÇAO CONJUNTA DAS EMPRESAS ELETROBRAS.</t>
  </si>
  <si>
    <t>SAO LUIS II|0004836/2019-SUBSTITUIÇÃO DO PÁRA-RAIOS 230KV, BC601-PR601 FASE 'V'-CONTRATAÇAO PARA ATENDER AS NECESSIDADES DO PROJETO NR: NTSE.0052 -PARA RAIOS - CONTRATAÇAO CONJUNTA DAS EMPRESAS ELETROBRAS.</t>
  </si>
  <si>
    <t>SAO LUIS II|0004843/2019-SUBSTITUIÇÃO DO PARA-RAIOS 500KV, RE703-PR701, FASE 'B'-CONTRATAÇAO PARA ATENDER AS NECESSIDADES DO PROJETO NR: NTSE.0052 -PARA RAIOS - CONTRATAÇAO CONJUNTA DAS EMPRESAS ELETROBRAS.</t>
  </si>
  <si>
    <t>SAO LUIS II|0004975/2019-SUBSTITUIÇÃO DO PARA-RAIOS 500KV DO BAY DA LINHA BCLD-LI702, FASE 'V'-CONTRATAÇAO PARA ATENDER AS NECESSIDADES DO PROJETO NR: NTSE.0052 -PARA RAIOS - CONTRATAÇAO CONJUNTA DAS EMPRESAS ELETROBRAS.</t>
  </si>
  <si>
    <t>SAO LUIS II|0004979/2019-SUBSTITUIÇÃO DO PARA-RAIOS 500KV, AT701-PR701, FASE 'RESERVA'-CONTRATAÇAO PARA ATENDER AS NECESSIDADES DO PROJETO NR: NTSE.0052 -PARA RAIOS - CONTRATAÇAO CONJUNTA DAS EMPRESAS ELETROBRAS.</t>
  </si>
  <si>
    <t>SAO LUIS II|0004982/2019-SUBSTITUIÇÃO DO PARA-RAIOS 500KV, AT701-PR701, FASE 'V'-CONTRATAÇAO PARA ATENDER AS NECESSIDADES DO PROJETO NR: NTSE.0052 -PARA RAIOS - CONTRATAÇAO CONJUNTA DAS EMPRESAS ELETROBRAS.</t>
  </si>
  <si>
    <t>SAO LUIS II|0004985/2019-SUBSTITUIÇÃO DO PARA-RAIOS 500KV, AT701-PR701, FASE 'A'-CONTRATAÇAO PARA ATENDER AS NECESSIDADES DO PROJETO NR: NTSE.0052 -PARA RAIOS - CONTRATAÇAO CONJUNTA DAS EMPRESAS ELETROBRAS.</t>
  </si>
  <si>
    <t>SAO LUIS II|0004994/2019-SUBSTITUIÇÃO DO PARA-RAIOS 500KV DO BAY DA LINHA BCLD-LI701, FASE 'B'-CONTRATAÇAO PARA ATENDER AS NECESSIDADES DO PROJETO NR: NTSE.0052 -PARA RAIOS - CONTRATAÇAO CONJUNTA DAS EMPRESAS ELETROBRAS.</t>
  </si>
  <si>
    <t>SAO LUIS II|0004998/2019-SUBSTITUIÇÃO DO PARA-RAIOS 500KV, LDBC-LI701, FASE 'A'-CONTRATAÇAO PARA ATENDER AS NECESSIDADES DO PROJETO NR: NTSE.0052 -PARA RAIOS - CONTRATAÇAO CONJUNTA DAS EMPRESAS ELETROBRAS.</t>
  </si>
  <si>
    <t xml:space="preserve">IMPERATRIZ|0006389/2020-SUBSTITUIÇÃO DO PARA-RAIOS FASE V POR NOVO PARA RAIOS DE ÓXIDO DE ZINCO.- CONTRATAÇÃO DE EMPRESA PARA O FORNECIMENTO DE PARA-RAIOS DE ÓXIDO DE ZINCO (ZNO), TIPO ESTAÇÃO, TENSÃO NOMINAL 420 KV A SEREM INSTALADOS NO SETOR DE 500 KV, NA SUBESTAÇÃO PRESIDENTE DUTRA, NO ESTADO DO MARANHÃO, DA EMPRESA ELETRONORTE. </t>
  </si>
  <si>
    <t xml:space="preserve">IMPERATRIZ|0006390/2020-SUBSTITUIÇÃO DO PARA-RAIOS FASE B POR NOVO PARA RAIOS DE ÓXIDO DE ZINCO.- CONTRATAÇÃO DE EMPRESA PARA O FORNECIMENTO DE PARA-RAIOS DE ÓXIDO DE ZINCO (ZNO), TIPO ESTAÇÃO, TENSÃO NOMINAL 420 KV A SEREM INSTALADOS NO SETOR DE 500 KV, NA SUBESTAÇÃO PRESIDENTE DUTRA, NO ESTADO DO MARANHÃO, DA EMPRESA ELETRONORTE. </t>
  </si>
  <si>
    <t xml:space="preserve">JARU|0006351/2020-Substituição de 01  (um) pára-raio de 230 KV, Fase V, do BAY TRANSFORMADOR DE 230/69/13.8 KV - JRTF6-01.- CONTRATAÇÃO DE EMPRESA PARA O FORNECIMENTO DE PARA-RAIOS DE ÓXIDO DE ZINCO (ZNO), TIPO ESTAÇÃO, TENSÃO NOMINAL 420 KV A SEREM INSTALADOS NO SETOR DE 500 KV, NA SUBESTAÇÃO PRESIDENTE DUTRA, NO ESTADO DO MARANHÃO, DA EMPRESA ELETRONORTE. </t>
  </si>
  <si>
    <t xml:space="preserve">JARU|0006406/2020-Substituição de 01  (um) pára-raio de 230 KV, Fase B, do BAY TRANSFORMADOR DE 230/69/13.8 KV - JRTF6-01.- CONTRATAÇÃO DE EMPRESA PARA O FORNECIMENTO DE PARA-RAIOS DE ÓXIDO DE ZINCO (ZNO), TIPO ESTAÇÃO, TENSÃO NOMINAL 420 KV A SEREM INSTALADOS NO SETOR DE 500 KV, NA SUBESTAÇÃO PRESIDENTE DUTRA, NO ESTADO DO MARANHÃO, DA EMPRESA ELETRONORTE. </t>
  </si>
  <si>
    <t xml:space="preserve">JARU|0006423/2020-Substituição de 01  (um) pára-raio de 230 KV, Fase A, do BAY TRANSFORMADOR DE 230/69/13.8 KV - JRTF6-01.- CONTRATAÇÃO DE EMPRESA PARA O FORNECIMENTO DE PARA-RAIOS DE ÓXIDO DE ZINCO (ZNO), TIPO ESTAÇÃO, TENSÃO NOMINAL 420 KV A SEREM INSTALADOS NO SETOR DE 500 KV, NA SUBESTAÇÃO PRESIDENTE DUTRA, NO ESTADO DO MARANHÃO, DA EMPRESA ELETRONORTE. </t>
  </si>
  <si>
    <t xml:space="preserve">JARU|0006851/2020-Substituição de 03  (três) pára-raios de 230 KV, Fase A, B e V do BAY TRANSFORMADOR DE 230/69/13.8 KV - JRTF6-02.- CONTRATAÇÃO DE EMPRESA PARA O FORNECIMENTO DE PARA-RAIOS DE ÓXIDO DE ZINCO (ZNO), TIPO ESTAÇÃO, TENSÃO NOMINAL 420 KV A SEREM INSTALADOS NO SETOR DE 500 KV, NA SUBESTAÇÃO PRESIDENTE DUTRA, NO ESTADO DO MARANHÃO, DA EMPRESA ELETRONORTE. </t>
  </si>
  <si>
    <t xml:space="preserve">JI-PARANA|0006589/2020-Substituição de 01  (um) pára-raio de 230 KV, Fase V, do BAY TRANSFORMADOR DE 230/69/13.8 KV - JPTF6-02.- CONTRATAÇÃO DE EMPRESA PARA O FORNECIMENTO DE PARA-RAIOS DE ÓXIDO DE ZINCO (ZNO), TIPO ESTAÇÃO, TENSÃO NOMINAL 420 KV A SEREM INSTALADOS NO SETOR DE 500 KV, NA SUBESTAÇÃO PRESIDENTE DUTRA, NO ESTADO DO MARANHÃO, DA EMPRESA ELETRONORTE. </t>
  </si>
  <si>
    <t xml:space="preserve">JI-PARANA|0006620/2020-Substituição de 01  (um) pára-raio de 230 KV, Fase B, do BAY TRANSFORMADOR DE 230/69/13.8 KV - JPTF6-02.- CONTRATAÇÃO DE EMPRESA PARA O FORNECIMENTO DE PARA-RAIOS DE ÓXIDO DE ZINCO (ZNO), TIPO ESTAÇÃO, TENSÃO NOMINAL 420 KV A SEREM INSTALADOS NO SETOR DE 500 KV, NA SUBESTAÇÃO PRESIDENTE DUTRA, NO ESTADO DO MARANHÃO, DA EMPRESA ELETRONORTE. </t>
  </si>
  <si>
    <t xml:space="preserve">JI-PARANA|0006628/2020-Substituição de 01  (um) pára-raio de 230 KV, fase A, do BAY TRANSFORMADOR DE 230/69/13.8 KV - JPTF6-02.- CONTRATAÇÃO DE EMPRESA PARA O FORNECIMENTO DE PARA-RAIOS DE ÓXIDO DE ZINCO (ZNO), TIPO ESTAÇÃO, TENSÃO NOMINAL 420 KV A SEREM INSTALADOS NO SETOR DE 500 KV, NA SUBESTAÇÃO PRESIDENTE DUTRA, NO ESTADO DO MARANHÃO, DA EMPRESA ELETRONORTE. </t>
  </si>
  <si>
    <t xml:space="preserve">JI-PARANA|0006700/2020-Substituição de 03  (três) pára-raio de 69 KV, Fases A,B e V do BAY TRANSFORMADOR DE 230/69/13.8 KV - JPTF6-02.- CONTRATAÇÃO DE EMPRESA PARA O FORNECIMENTO DE PARA-RAIOS DE ÓXIDO DE ZINCO (ZNO), TIPO ESTAÇÃO, TENSÃO NOMINAL 420 KV A SEREM INSTALADOS NO SETOR DE 500 KV, NA SUBESTAÇÃO PRESIDENTE DUTRA, NO ESTADO DO MARANHÃO, DA EMPRESA ELETRONORTE. </t>
  </si>
  <si>
    <t xml:space="preserve">JI-PARANA|0006848/2020-Substituição de 03  (três) pára-raios de 69 KV, fases A,B e V, do BAY TRANSFORMADOR DE 230/69/13.8 KV - JPTF6-01.- CONTRATAÇÃO DE EMPRESA PARA O FORNECIMENTO DE PARA-RAIOS DE ÓXIDO DE ZINCO (ZNO), TIPO ESTAÇÃO, TENSÃO NOMINAL 420 KV A SEREM INSTALADOS NO SETOR DE 500 KV, NA SUBESTAÇÃO PRESIDENTE DUTRA, NO ESTADO DO MARANHÃO, DA EMPRESA ELETRONORTE. </t>
  </si>
  <si>
    <t xml:space="preserve">P.DUTRA|0006399/2020-SUBSTITUIÇÃO DO PARA-RAIO DA LINHA PDMRLT7-02 F.V- CONTRATAÇÃO DE EMPRESA PARA O FORNECIMENTO DE PARA-RAIOS DE ÓXIDO DE ZINCO (ZNO), TIPO ESTAÇÃO, TENSÃO NOMINAL 420 KV A SEREM INSTALADOS NO SETOR DE 500 KV, NA SUBESTAÇÃO PRESIDENTE DUTRA, NO ESTADO DO MARANHÃO, DA EMPRESA ELETRONORTE. </t>
  </si>
  <si>
    <t xml:space="preserve">P.DUTRA|0006414/2020-SUBSTITUIÇÃO DO PARA-RAIO DA LINHA PDMRLT7-02 F.B- CONTRATAÇÃO DE EMPRESA PARA O FORNECIMENTO DE PARA-RAIOS DE ÓXIDO DE ZINCO (ZNO), TIPO ESTAÇÃO, TENSÃO NOMINAL 420 KV A SEREM INSTALADOS NO SETOR DE 500 KV, NA SUBESTAÇÃO PRESIDENTE DUTRA, NO ESTADO DO MARANHÃO, DA EMPRESA ELETRONORTE. </t>
  </si>
  <si>
    <t xml:space="preserve">P.DUTRA|0006645/2020-SUBSTITUIÇÃO DO PARA-RAIO DA LINHA PDMRLT7-02 F.A- CONTRATAÇÃO DE EMPRESA PARA O FORNECIMENTO DE PARA-RAIOS DE ÓXIDO DE ZINCO (ZNO), TIPO ESTAÇÃO, TENSÃO NOMINAL 420 KV A SEREM INSTALADOS NO SETOR DE 500 KV, NA SUBESTAÇÃO PRESIDENTE DUTRA, NO ESTADO DO MARANHÃO, DA EMPRESA ELETRONORTE. </t>
  </si>
  <si>
    <t xml:space="preserve">P.DUTRA|0006651/2020-SUBSTITUIÇÃO DO PARA-RAIO DA LINHA PDSOLT7-01 F.V- CONTRATAÇÃO DE EMPRESA PARA O FORNECIMENTO DE PARA-RAIOS DE ÓXIDO DE ZINCO (ZNO), TIPO ESTAÇÃO, TENSÃO NOMINAL 420 KV A SEREM INSTALADOS NO SETOR DE 500 KV, NA SUBESTAÇÃO PRESIDENTE DUTRA, NO ESTADO DO MARANHÃO, DA EMPRESA ELETRONORTE. </t>
  </si>
  <si>
    <t xml:space="preserve">P.DUTRA|0006654/2020-SUBSTITUIÇÃO DO PARA-RAIO DA LINHA PDSOLT7-01 F.B- CONTRATAÇÃO DE EMPRESA PARA O FORNECIMENTO DE PARA-RAIOS DE ÓXIDO DE ZINCO (ZNO), TIPO ESTAÇÃO, TENSÃO NOMINAL 420 KV A SEREM INSTALADOS NO SETOR DE 500 KV, NA SUBESTAÇÃO PRESIDENTE DUTRA, NO ESTADO DO MARANHÃO, DA EMPRESA ELETRONORTE. </t>
  </si>
  <si>
    <t xml:space="preserve">P.DUTRA|0006656/2020-SUBSTITUIÇÃO DE PARA-RAIOS DA LINHA PDSOLT7-01 F.A- CONTRATAÇÃO DE EMPRESA PARA O FORNECIMENTO DE PARA-RAIOS DE ÓXIDO DE ZINCO (ZNO), TIPO ESTAÇÃO, TENSÃO NOMINAL 420 KV A SEREM INSTALADOS NO SETOR DE 500 KV, NA SUBESTAÇÃO PRESIDENTE DUTRA, NO ESTADO DO MARANHÃO, DA EMPRESA ELETRONORTE. </t>
  </si>
  <si>
    <t xml:space="preserve">P.DUTRA|0006778/2020-SUBSTITUIÇÃO DO PARA-RAIO DO PDRE7-03 RESERVA- CONTRATAÇÃO DE EMPRESA PARA O FORNECIMENTO DE PARA-RAIOS DE ÓXIDO DE ZINCO (ZNO), TIPO ESTAÇÃO, TENSÃO NOMINAL 420 KV A SEREM INSTALADOS NO SETOR DE 500 KV, NA SUBESTAÇÃO PRESIDENTE DUTRA, NO ESTADO DO MARANHÃO, DA EMPRESA ELETRONORTE. </t>
  </si>
  <si>
    <t xml:space="preserve">P.DUTRA|0006814/2020-SUBSTITUIÇÃO DO PARA-RAIO DO PDRE7-03 F.A- CONTRATAÇÃO DE EMPRESA PARA O FORNECIMENTO DE PARA-RAIOS DE ÓXIDO DE ZINCO (ZNO), TIPO ESTAÇÃO, TENSÃO NOMINAL 420 KV A SEREM INSTALADOS NO SETOR DE 500 KV, NA SUBESTAÇÃO PRESIDENTE DUTRA, NO ESTADO DO MARANHÃO, DA EMPRESA ELETRONORTE. </t>
  </si>
  <si>
    <t xml:space="preserve">P.DUTRA|0006820/2020-SUBSTITUIÇÃO DO PARA-RAIO DO PDRE7-02 F.V- CONTRATAÇÃO DE EMPRESA PARA O FORNECIMENTO DE PARA-RAIOS DE ÓXIDO DE ZINCO (ZNO), TIPO ESTAÇÃO, TENSÃO NOMINAL 420 KV A SEREM INSTALADOS NO SETOR DE 500 KV, NA SUBESTAÇÃO PRESIDENTE DUTRA, NO ESTADO DO MARANHÃO, DA EMPRESA ELETRONORTE. </t>
  </si>
  <si>
    <t xml:space="preserve">P.DUTRA|0006824/2020-SUBSTITUIÇÃO DO PARA-RAIO DO PDRE7-02 F.B- CONTRATAÇÃO DE EMPRESA PARA O FORNECIMENTO DE PARA-RAIOS DE ÓXIDO DE ZINCO (ZNO), TIPO ESTAÇÃO, TENSÃO NOMINAL 420 KV A SEREM INSTALADOS NO SETOR DE 500 KV, NA SUBESTAÇÃO PRESIDENTE DUTRA, NO ESTADO DO MARANHÃO, DA EMPRESA ELETRONORTE. </t>
  </si>
  <si>
    <t xml:space="preserve">P.DUTRA|0006828/2020-SUBSTITUIÇÃO DO PARA-RAIO DO PDRE7-02 F.B- CONTRATAÇÃO DE EMPRESA PARA O FORNECIMENTO DE PARA-RAIOS DE ÓXIDO DE ZINCO (ZNO), TIPO ESTAÇÃO, TENSÃO NOMINAL 420 KV A SEREM INSTALADOS NO SETOR DE 500 KV, NA SUBESTAÇÃO PRESIDENTE DUTRA, NO ESTADO DO MARANHÃO, DA EMPRESA ELETRONORTE. </t>
  </si>
  <si>
    <t xml:space="preserve">P.DUTRA|0006832/2020-SUBSTITUIÇÃO DO PARA-RAIO DO PDRE7-02 F.A- CONTRATAÇÃO DE EMPRESA PARA O FORNECIMENTO DE PARA-RAIOS DE ÓXIDO DE ZINCO (ZNO), TIPO ESTAÇÃO, TENSÃO NOMINAL 420 KV A SEREM INSTALADOS NO SETOR DE 500 KV, NA SUBESTAÇÃO PRESIDENTE DUTRA, NO ESTADO DO MARANHÃO, DA EMPRESA ELETRONORTE. </t>
  </si>
  <si>
    <t xml:space="preserve">P.DUTRA|0006864/2020-SUBSTITUIÇÃO DE PARA-RAIO 01 DA LINHA PDTSLI7-01 F.V- CONTRATAÇÃO DE EMPRESA PARA O FORNECIMENTO DE PARA-RAIOS DE ÓXIDO DE ZINCO (ZNO), TIPO ESTAÇÃO, TENSÃO NOMINAL 420 KV A SEREM INSTALADOS NO SETOR DE 500 KV, NA SUBESTAÇÃO PRESIDENTE DUTRA, NO ESTADO DO MARANHÃO, DA EMPRESA ELETRONORTE. </t>
  </si>
  <si>
    <t xml:space="preserve">P.DUTRA|0006865/2020-SUBSGTITUIÇÃO DO PARA-RAIO 01 DA LINHA PDTSLI7-01 F.B- CONTRATAÇÃO DE EMPRESA PARA O FORNECIMENTO DE PARA-RAIOS DE ÓXIDO DE ZINCO (ZNO), TIPO ESTAÇÃO, TENSÃO NOMINAL 420 KV A SEREM INSTALADOS NO SETOR DE 500 KV, NA SUBESTAÇÃO PRESIDENTE DUTRA, NO ESTADO DO MARANHÃO, DA EMPRESA ELETRONORTE. </t>
  </si>
  <si>
    <t xml:space="preserve">P.DUTRA|0006866/2020-SUBSTITUIÇÃO DO PARA-RAIO 01 DA LINHA PDTSLI7-01 F.A- CONTRATAÇÃO DE EMPRESA PARA O FORNECIMENTO DE PARA-RAIOS DE ÓXIDO DE ZINCO (ZNO), TIPO ESTAÇÃO, TENSÃO NOMINAL 420 KV A SEREM INSTALADOS NO SETOR DE 500 KV, NA SUBESTAÇÃO PRESIDENTE DUTRA, NO ESTADO DO MARANHÃO, DA EMPRESA ELETRONORTE. </t>
  </si>
  <si>
    <t xml:space="preserve">P.DUTRA|0006867/2020-SUBSTITUIÇÃO DO PARA-RAIO 02 DA IZPDLT7-02 F.V- CONTRATAÇÃO DE EMPRESA PARA O FORNECIMENTO DE PARA-RAIOS DE ÓXIDO DE ZINCO (ZNO), TIPO ESTAÇÃO, TENSÃO NOMINAL 420 KV A SEREM INSTALADOS NO SETOR DE 500 KV, NA SUBESTAÇÃO PRESIDENTE DUTRA, NO ESTADO DO MARANHÃO, DA EMPRESA ELETRONORTE. </t>
  </si>
  <si>
    <t xml:space="preserve">P.DUTRA|0006868/2020-SUBSTITUIÇÃO DO PARA-RAIO 02 DA IZPDLT7-02 F.B- CONTRATAÇÃO DE EMPRESA PARA O FORNECIMENTO DE PARA-RAIOS DE ÓXIDO DE ZINCO (ZNO), TIPO ESTAÇÃO, TENSÃO NOMINAL 420 KV A SEREM INSTALADOS NO SETOR DE 500 KV, NA SUBESTAÇÃO PRESIDENTE DUTRA, NO ESTADO DO MARANHÃO, DA EMPRESA ELETRONORTE. </t>
  </si>
  <si>
    <t xml:space="preserve">P.DUTRA|0006870/2020-SUBSTITUIÇÃO DO PARA-RAIO 02 DA IZPDLT7-02 F.B- CONTRATAÇÃO DE EMPRESA PARA O FORNECIMENTO DE PARA-RAIOS DE ÓXIDO DE ZINCO (ZNO), TIPO ESTAÇÃO, TENSÃO NOMINAL 420 KV A SEREM INSTALADOS NO SETOR DE 500 KV, NA SUBESTAÇÃO PRESIDENTE DUTRA, NO ESTADO DO MARANHÃO, DA EMPRESA ELETRONORTE. </t>
  </si>
  <si>
    <t xml:space="preserve">P.DUTRA|0006872/2020-SUBSTITUIÇÃO DO PARA-RAIO 01 DA IZPDLT7-02 F.V- CONTRATAÇÃO DE EMPRESA PARA O FORNECIMENTO DE PARA-RAIOS DE ÓXIDO DE ZINCO (ZNO), TIPO ESTAÇÃO, TENSÃO NOMINAL 420 KV A SEREM INSTALADOS NO SETOR DE 500 KV, NA SUBESTAÇÃO PRESIDENTE DUTRA, NO ESTADO DO MARANHÃO, DA EMPRESA ELETRONORTE. </t>
  </si>
  <si>
    <t xml:space="preserve">P.DUTRA|0006874/2020-SUBSTITUIÇÃO DO PARA-RAIO 01 DA IZPDLT7-02 F.B- CONTRATAÇÃO DE EMPRESA PARA O FORNECIMENTO DE PARA-RAIOS DE ÓXIDO DE ZINCO (ZNO), TIPO ESTAÇÃO, TENSÃO NOMINAL 420 KV A SEREM INSTALADOS NO SETOR DE 500 KV, NA SUBESTAÇÃO PRESIDENTE DUTRA, NO ESTADO DO MARANHÃO, DA EMPRESA ELETRONORTE. </t>
  </si>
  <si>
    <t xml:space="preserve">P.DUTRA|0006875/2020-SUBSTITUIÇÃO DO PARA-RAIO 01 DA IZPDLT7-02 F.A- CONTRATAÇÃO DE EMPRESA PARA O FORNECIMENTO DE PARA-RAIOS DE ÓXIDO DE ZINCO (ZNO), TIPO ESTAÇÃO, TENSÃO NOMINAL 420 KV A SEREM INSTALADOS NO SETOR DE 500 KV, NA SUBESTAÇÃO PRESIDENTE DUTRA, NO ESTADO DO MARANHÃO, DA EMPRESA ELETRONORTE. </t>
  </si>
  <si>
    <t xml:space="preserve">P.DUTRA|0006877/2020-SUBSTITUIÇÃO DO PARA-RAIO 02 DA IZPDLT7-01 F.V- CONTRATAÇÃO DE EMPRESA PARA O FORNECIMENTO DE PARA-RAIOS DE ÓXIDO DE ZINCO (ZNO), TIPO ESTAÇÃO, TENSÃO NOMINAL 420 KV A SEREM INSTALADOS NO SETOR DE 500 KV, NA SUBESTAÇÃO PRESIDENTE DUTRA, NO ESTADO DO MARANHÃO, DA EMPRESA ELETRONORTE. </t>
  </si>
  <si>
    <t xml:space="preserve">P.DUTRA|0006879/2020-SUBSTITUIÇÃO DO PARA-RAIO 02 DA LINHA IZPDLT7-01 F.B- CONTRATAÇÃO DE EMPRESA PARA O FORNECIMENTO DE PARA-RAIOS DE ÓXIDO DE ZINCO (ZNO), TIPO ESTAÇÃO, TENSÃO NOMINAL 420 KV A SEREM INSTALADOS NO SETOR DE 500 KV, NA SUBESTAÇÃO PRESIDENTE DUTRA, NO ESTADO DO MARANHÃO, DA EMPRESA ELETRONORTE. </t>
  </si>
  <si>
    <t xml:space="preserve">P.DUTRA|0006882/2020-SUBSTITUIÇÃO DO PARA-RAIO 02 DA LINHA IZPDLT7-01 F.A- CONTRATAÇÃO DE EMPRESA PARA O FORNECIMENTO DE PARA-RAIOS DE ÓXIDO DE ZINCO (ZNO), TIPO ESTAÇÃO, TENSÃO NOMINAL 420 KV A SEREM INSTALADOS NO SETOR DE 500 KV, NA SUBESTAÇÃO PRESIDENTE DUTRA, NO ESTADO DO MARANHÃO, DA EMPRESA ELETRONORTE. </t>
  </si>
  <si>
    <t xml:space="preserve">P.DUTRA|0006884/2020-SUBSTITUIÇÃO DO PARA-RAIO 01 DA IZPDLT7-01 F.V- CONTRATAÇÃO DE EMPRESA PARA O FORNECIMENTO DE PARA-RAIOS DE ÓXIDO DE ZINCO (ZNO), TIPO ESTAÇÃO, TENSÃO NOMINAL 420 KV A SEREM INSTALADOS NO SETOR DE 500 KV, NA SUBESTAÇÃO PRESIDENTE DUTRA, NO ESTADO DO MARANHÃO, DA EMPRESA ELETRONORTE. </t>
  </si>
  <si>
    <t xml:space="preserve">P.DUTRA|0006887/2020-SUBSTITUIÇÃO DO PARA-RAIO 01 DA LINHA IZPDLT7-01 F.B- CONTRATAÇÃO DE EMPRESA PARA O FORNECIMENTO DE PARA-RAIOS DE ÓXIDO DE ZINCO (ZNO), TIPO ESTAÇÃO, TENSÃO NOMINAL 420 KV A SEREM INSTALADOS NO SETOR DE 500 KV, NA SUBESTAÇÃO PRESIDENTE DUTRA, NO ESTADO DO MARANHÃO, DA EMPRESA ELETRONORTE. </t>
  </si>
  <si>
    <t xml:space="preserve">P.DUTRA|0006889/2020-SUBSTITUIÇÃO DO PARA-RAIO 01 DA LINHA IZPDLT7-01 F.A- CONTRATAÇÃO DE EMPRESA PARA O FORNECIMENTO DE PARA-RAIOS DE ÓXIDO DE ZINCO (ZNO), TIPO ESTAÇÃO, TENSÃO NOMINAL 420 KV A SEREM INSTALADOS NO SETOR DE 500 KV, NA SUBESTAÇÃO PRESIDENTE DUTRA, NO ESTADO DO MARANHÃO, DA EMPRESA ELETRONORTE. </t>
  </si>
  <si>
    <t xml:space="preserve">P.DUTRA|0006838/2020-SUBSTITUIÇÃO DO PARA-RAIO DO PDRE7-01 F.V- CONTRATAÇÃO DE EMPRESA PARA O FORNECIMENTO DE PARA-RAIOS DE ÓXIDO DE ZINCO (ZNO), TIPO ESTAÇÃO, TENSÃO NOMINAL 420 KV A SEREM INSTALADOS NO SETOR DE 500 KV, NA SUBESTAÇÃO PRESIDENTE DUTRA, NO ESTADO DO MARANHÃO, DA EMPRESA ELETRONORTE. </t>
  </si>
  <si>
    <t xml:space="preserve">P.DUTRA|0006842/2020-SUBSTITUIÇÃO DO PARA-RAIO DO PDRE7-01 F.B- CONTRATAÇÃO DE EMPRESA PARA O FORNECIMENTO DE PARA-RAIOS DE ÓXIDO DE ZINCO (ZNO), TIPO ESTAÇÃO, TENSÃO NOMINAL 420 KV A SEREM INSTALADOS NO SETOR DE 500 KV, NA SUBESTAÇÃO PRESIDENTE DUTRA, NO ESTADO DO MARANHÃO, DA EMPRESA ELETRONORTE. </t>
  </si>
  <si>
    <t xml:space="preserve">P.DUTRA|0006845/2020-SUBSTITUIÇÃO DO PARA-RAIO DO PDRE7-01 F.A- CONTRATAÇÃO DE EMPRESA PARA O FORNECIMENTO DE PARA-RAIOS DE ÓXIDO DE ZINCO (ZNO), TIPO ESTAÇÃO, TENSÃO NOMINAL 420 KV A SEREM INSTALADOS NO SETOR DE 500 KV, NA SUBESTAÇÃO PRESIDENTE DUTRA, NO ESTADO DO MARANHÃO, DA EMPRESA ELETRONORTE. </t>
  </si>
  <si>
    <t xml:space="preserve">P.DUTRA|0006852/2020-SUBSTITUIÇÃO DO PARA-RAIO DO PDAT7-01 F.V- CONTRATAÇÃO DE EMPRESA PARA O FORNECIMENTO DE PARA-RAIOS DE ÓXIDO DE ZINCO (ZNO), TIPO ESTAÇÃO, TENSÃO NOMINAL 420 KV A SEREM INSTALADOS NO SETOR DE 500 KV, NA SUBESTAÇÃO PRESIDENTE DUTRA, NO ESTADO DO MARANHÃO, DA EMPRESA ELETRONORTE. </t>
  </si>
  <si>
    <t xml:space="preserve">P.DUTRA|0006862/2020-SUBSTITUIÇÃO DO PARA-RAIO DO PDAT7-01 F.B- CONTRATAÇÃO DE EMPRESA PARA O FORNECIMENTO DE PARA-RAIOS DE ÓXIDO DE ZINCO (ZNO), TIPO ESTAÇÃO, TENSÃO NOMINAL 420 KV A SEREM INSTALADOS NO SETOR DE 500 KV, NA SUBESTAÇÃO PRESIDENTE DUTRA, NO ESTADO DO MARANHÃO, DA EMPRESA ELETRONORTE. </t>
  </si>
  <si>
    <t xml:space="preserve">P.DUTRA|0006863/2020-SUBSTITUIÇÃO DO PARA-RAIO DO PDAT7-01 F.A- CONTRATAÇÃO DE EMPRESA PARA O FORNECIMENTO DE PARA-RAIOS DE ÓXIDO DE ZINCO (ZNO), TIPO ESTAÇÃO, TENSÃO NOMINAL 420 KV A SEREM INSTALADOS NO SETOR DE 500 KV, NA SUBESTAÇÃO PRESIDENTE DUTRA, NO ESTADO DO MARANHÃO, DA EMPRESA ELETRONORTE. </t>
  </si>
  <si>
    <t xml:space="preserve">PORTO VELHO|0006486/2020-PARA-RAIOS - 01 UNIDADE PARA A LINHA SMPVLT6-02 - FASE V (extremidade SEPV).- CONTRATAÇÃO DE EMPRESA PARA O FORNECIMENTO DE PARA-RAIOS DE ÓXIDO DE ZINCO (ZNO), TIPO ESTAÇÃO, TENSÃO NOMINAL 420 KV A SEREM INSTALADOS NO SETOR DE 500 KV, NA SUBESTAÇÃO PRESIDENTE DUTRA, NO ESTADO DO MARANHÃO, DA EMPRESA ELETRONORTE. </t>
  </si>
  <si>
    <t xml:space="preserve">PORTO VELHO|0006497/2020-PARA-RAIOS - 01 UNIDADE PARA A LINHA SMPVLT6-02 - FASE B (extremidade SEPV).- CONTRATAÇÃO DE EMPRESA PARA O FORNECIMENTO DE PARA-RAIOS DE ÓXIDO DE ZINCO (ZNO), TIPO ESTAÇÃO, TENSÃO NOMINAL 420 KV A SEREM INSTALADOS NO SETOR DE 500 KV, NA SUBESTAÇÃO PRESIDENTE DUTRA, NO ESTADO DO MARANHÃO, DA EMPRESA ELETRONORTE. </t>
  </si>
  <si>
    <t xml:space="preserve">PORTO VELHO|0006499/2020-PARA-RAIOS - 01 UNIDADE PARA A LINHA SMPVLT6-01 - FASE V (extremidade SEPV).- CONTRATAÇÃO DE EMPRESA PARA O FORNECIMENTO DE PARA-RAIOS DE ÓXIDO DE ZINCO (ZNO), TIPO ESTAÇÃO, TENSÃO NOMINAL 420 KV A SEREM INSTALADOS NO SETOR DE 500 KV, NA SUBESTAÇÃO PRESIDENTE DUTRA, NO ESTADO DO MARANHÃO, DA EMPRESA ELETRONORTE. </t>
  </si>
  <si>
    <t xml:space="preserve">PORTO VELHO|0006511/2020-PARA-RAIOS - 01 UNIDADE PARA A LINHA SMPVLT6-01 - FASE B (extremidade SEPV).- CONTRATAÇÃO DE EMPRESA PARA O FORNECIMENTO DE PARA-RAIOS DE ÓXIDO DE ZINCO (ZNO), TIPO ESTAÇÃO, TENSÃO NOMINAL 420 KV A SEREM INSTALADOS NO SETOR DE 500 KV, NA SUBESTAÇÃO PRESIDENTE DUTRA, NO ESTADO DO MARANHÃO, DA EMPRESA ELETRONORTE. </t>
  </si>
  <si>
    <t xml:space="preserve">PORTO VELHO|0006805/2020-PARA-RAIOS - 01 UNIDADE PARA A LINHA SMPVLT6-02 - FASE A (extremidade SEPV).- CONTRATAÇÃO DE EMPRESA PARA O FORNECIMENTO DE PARA-RAIOS DE ÓXIDO DE ZINCO (ZNO), TIPO ESTAÇÃO, TENSÃO NOMINAL 420 KV A SEREM INSTALADOS NO SETOR DE 500 KV, NA SUBESTAÇÃO PRESIDENTE DUTRA, NO ESTADO DO MARANHÃO, DA EMPRESA ELETRONORTE. </t>
  </si>
  <si>
    <t xml:space="preserve">PORTO VELHO|0006825/2020-PARA-RAIOS - 01 UNIDADE PARA A LINHA SMPVLT6-01 - FASE A (extremidade SEPV).- CONTRATAÇÃO DE EMPRESA PARA O FORNECIMENTO DE PARA-RAIOS DE ÓXIDO DE ZINCO (ZNO), TIPO ESTAÇÃO, TENSÃO NOMINAL 420 KV A SEREM INSTALADOS NO SETOR DE 500 KV, NA SUBESTAÇÃO PRESIDENTE DUTRA, NO ESTADO DO MARANHÃO, DA EMPRESA ELETRONORTE. </t>
  </si>
  <si>
    <t xml:space="preserve">SAMUEL|0006445/2020-Para Raios - 01 UNIDADE PARA A LINHA SMAQLT6-01 - FASE V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</si>
  <si>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SAMUEL|0006450/2020-Para Raios - 01 UNIDADE PARA A LINHA SMAQLT6-01 - FASE B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</si>
  <si>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SAMUEL|0006452/2020-Para Raios - 01 UNIDADE PARA A LINHA SMPVLT6-02 - FASE V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</si>
  <si>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SAMUEL|0006455/2020-Para Raios - 01 UNIDADE PARA A LINHA SMPVLT6-02 - FASE B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</si>
  <si>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SAMUEL|0006459/2020-Para Raios - 01 UNIDADE PARA A LINHA SMPVLT6-01 - FASE V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</si>
  <si>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SAMUEL|0006463/2020-Para Raios - 01 UNIDADE PARA A LINHA SMPVLT6-01 - FASE B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</si>
  <si>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SAMUEL|0006733/2020-Para Raios - 01 UNIDADE PARA A LINHA SMAQLT6-01 - FASE A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</si>
  <si>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SAMUEL|0006744/2020-Para Raios - 01 UNIDADE PARA A LINHA SMPVLT6-02 - FASE A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</si>
  <si>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SAMUEL|0006760/2020-Para Raios - 01 UNIDADE PARA A LINHA SMPVLT6-01 - FASE A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</si>
  <si>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SAO LUIS II|0006534/2020-SUBSTITUIÇÃO DOS CABOS PARA RAIOS DA LINHA- CONTRATAÇÃO DE EMPRESA PARA O FORNECIMENTO DE PARA-RAIOS DE ÓXIDO DE ZINCO (ZNO), TIPO ESTAÇÃO, TENSÃO NOMINAL 420 KV A SEREM INSTALADOS NO SETOR DE 500 KV, NA SUBESTAÇÃO PRESIDENTE DUTRA, NO ESTADO DO MARANHÃO, DA EMPRESA ELETRONORTE. </t>
  </si>
  <si>
    <t xml:space="preserve">TUCURUI|0005932/2020-SUBSTITUIÇÃO PÁRA-RAIOS 69 KV - TCTU-LT4-01- CONTRATAÇÃO DE EMPRESA PARA O FORNECIMENTO DE PARA-RAIOS DE ÓXIDO DE ZINCO (ZNO), TIPO ESTAÇÃO, TENSÃO NOMINAL 420 KV A SEREM INSTALADOS NO SETOR DE 500 KV, NA SUBESTAÇÃO PRESIDENTE DUTRA, NO ESTADO DO MARANHÃO, DA EMPRESA ELETRONORTE. </t>
  </si>
  <si>
    <t>DIVERSAS INSTALAÇÕES|Sobressalente à cadastrar PMI--AQUISIÇAO DE BUCHAS CONDENSIVAS.</t>
  </si>
  <si>
    <t>IMPERATRIZ|0006471/2020-SUBSTITUIÇÃO DE UMA BUCHA CONDENSIVA DE 230KV EM UM TRANSFORMADOR MONOFÁSICO,  CÓDIGO OPERACIONAL IZTF6-02 FASE V.-AQUISIÇAO DE BUCHAS CONDENSIVAS.</t>
  </si>
  <si>
    <t>IMPERATRIZ|0006473/2020-SUBSTITUIÇÃO DE UMA BUCHA CONDENSIVA DE 230KV EM UM TRANSFORMADOR MONOFÁSICO,  CÓDIGO OPERACIONAL IZTF6-02 FASE B.-AQUISIÇAO DE BUCHAS CONDENSIVAS.</t>
  </si>
  <si>
    <t>IMPERATRIZ|0006477/2020-SUBSTITUIÇÃO DE UMA BUCHA CONDENSIVA DE 230KV EM UM TRANSFORMADOR MONOFÁSICO,  CÓDIGO OPERACIONAL IZTF6-02 FASE A.-AQUISIÇAO DE BUCHAS CONDENSIVAS.</t>
  </si>
  <si>
    <t>IMPERATRIZ|0006478/2020-SUBSTITUIÇÃO DE UMA BUCHA CONDENSIVA DE 230KV EM UM TRANSFORMADOR MONOFÁSICO,  CÓDIGO OPERACIONAL IZTF6-01 FASE RESERVA.-AQUISIÇAO DE BUCHAS CONDENSIVAS.</t>
  </si>
  <si>
    <t>IMPERATRIZ|0006482/2020-SUBSTITUIÇÃO DE UMA BUCHA CONDENSIVA DE 230KV EM UM TRANSFORMADOR MONOFÁSICO,  CÓDIGO OPERACIONAL IZTF6-01 FASE V.-AQUISIÇAO DE BUCHAS CONDENSIVAS.</t>
  </si>
  <si>
    <t>IMPERATRIZ|0006485/2020-SUBSTITUIÇÃO DE UMA BUCHA CONDENSIVA DE 230KV EM UM TRANSFORMADOR MONOFÁSICO,  CÓDIGO OPERACIONAL IZTF6-01 FASE B.-AQUISIÇAO DE BUCHAS CONDENSIVAS.</t>
  </si>
  <si>
    <t>IMPERATRIZ|0006487/2020-SUBSTITUIÇÃO DE UMA BUCHA CONDENSIVA DE 230KV EM UM TRANSFORMADOR MONOFÁSICO,  CÓDIGO OPERACIONAL IZTF6-01 FASE A.-AQUISIÇAO DE BUCHAS CONDENSIVAS.</t>
  </si>
  <si>
    <t>IMPERATRIZ|0006517/2020-SUBSTITUIÇÃO DE UMA BUCHA DE NEUTRO EM UM REATOR DERIVAÇÃO MONOFÁSICO, CÓDIGO OPERACIONAL IZRE7-11 FASE V.-AQUISIÇAO DE BUCHAS CONDENSIVAS.</t>
  </si>
  <si>
    <t>IMPERATRIZ|0006519/2020-SUBSTITUIÇÃO DE UMA BUCHA DE NEUTRO EM UM REATOR DERIVAÇÃO MONOFÁSICO, CÓDIGO OPERACIONAL IZRE7-11 FASE B.-AQUISIÇAO DE BUCHAS CONDENSIVAS.</t>
  </si>
  <si>
    <t>IMPERATRIZ|0006524/2020-SUBSTITUIÇÃO DE UMA BUCHA DE NEUTRO EM UM REATOR DERIVAÇÃO MONOFÁSICO, CÓDIGO OPERACIONAL IZRE7-11 FASE A.
-AQUISIÇAO DE BUCHAS CONDENSIVAS.</t>
  </si>
  <si>
    <t>IMPERATRIZ|0006526/2020-SUBSTITUIÇÃO DE UMA BUCHA DE NEUTRO EM UM REATOR DERIVAÇÃO MONOFÁSICO, CÓDIGO OPERACIONAL IZRE7-12 FASE RESERVA.-AQUISIÇAO DE BUCHAS CONDENSIVAS.</t>
  </si>
  <si>
    <t>IMPERATRIZ|0006527/2020-SUBSTITUIÇÃO DE UMA BUCHA DE NEUTRO EM UM REATOR DERIVAÇÃO MONOFÁSICO, CÓDIGO OPERACIONAL IZRE7-12 FASE V.-AQUISIÇAO DE BUCHAS CONDENSIVAS.</t>
  </si>
  <si>
    <t>IMPERATRIZ|0006542/2020-SUBSTITUIÇÃO DE UMA BUCHA CONDENSIVA DE 500KV EM UM REATOR DERIVAÇÃO MONOFÁSICO, CÓDIGO OPERACIONAL IZRE7-12 FASE RESERVA.-AQUISIÇAO DE BUCHAS CONDENSIVAS.</t>
  </si>
  <si>
    <t>IMPERATRIZ|0006543/2020-SUBSTITUIÇÃO DE UMA BUCHA CONDENSIVA DE 500KV EM UM REATOR DERIVAÇÃO MONOFÁSICO, CÓDIGO OPERACIONAL IZRE7-12 FASE V.-AQUISIÇAO DE BUCHAS CONDENSIVAS.</t>
  </si>
  <si>
    <t>IMPERATRIZ|0006545/2020-SUBSTITUIÇÃO DE UMA BUCHA CONDENSIVA DE 500KV EM UM REATOR DERIVAÇÃO MONOFÁSICO, CÓDIGO OPERACIONAL IZRE7-12 FASE B.-AQUISIÇAO DE BUCHAS CONDENSIVAS.</t>
  </si>
  <si>
    <t>MARABA|0001991/2016-Substituição das buchas de 500 kv do Autotransformador MBAT7-01 FA-AQUISIÇAO DE BUCHAS CONDENSIVAS.</t>
  </si>
  <si>
    <t>MARABA|0001993/2016-Substituição das buchas de 500 kv do Autotransformador MBAT7-01 FV-AQUISIÇAO DE BUCHAS CONDENSIVAS.</t>
  </si>
  <si>
    <t>MARABA|0001994/2016-Substituição das buchas de 500 kv do Autotransformador MBAT7-01 FV-AQUISIÇAO DE BUCHAS CONDENSIVAS.</t>
  </si>
  <si>
    <t>MARABA|0001995/2016-Substituição das buchas de 500  kv do Autotransformador MBAT7-01 FFR-AQUISIÇAO DE BUCHAS CONDENSIVAS.</t>
  </si>
  <si>
    <t>MARABA|0003535/2018-SUBSTITUIÇÃO DAS BUCHAS DE 230 KV-AQUISIÇAO DE BUCHAS CONDENSIVAS.</t>
  </si>
  <si>
    <t>MARABA|0004161/2019-SUBSTITUIÇÃO DAS BUCHAS DE 13.8 KV-AQUISIÇAO DE BUCHAS CONDENSIVAS.</t>
  </si>
  <si>
    <t>MARABA|0006538/2020-Substituição de buchas 230kV - MBTF6-03  -AQUISIÇAO DE BUCHAS CONDENSIVAS.</t>
  </si>
  <si>
    <t>P.DUTRA|0000769/2018-SUBSTITUIÇÃO DE UMA BUCHA CONDENSIVA DE 500KV EM UM AUTOTRANSFORMADOR MONOFÁSICO, FABRICAÇÃO BBC, CÓDIGO OPERACIONAL PDAT7-01 FASE A.-AQUISIÇAO DE BUCHAS CONDENSIVAS.</t>
  </si>
  <si>
    <t>P.DUTRA|0000771/2018-SUBSTITUIÇÃO DE UMA BUCHA CONDENSIVA DE 500KV EM UM AUTOTRANSFORMADOR MONOFÁSICO, FABRICAÇÃO BBC, CÓDIGO OPERACIONAL PDAT7-01 FASE B.-AQUISIÇAO DE BUCHAS CONDENSIVAS.</t>
  </si>
  <si>
    <t>P.DUTRA|0000774/2018-SUBSTITUIÇÃO DE UMA BUCHA CONDENSIVA DE 500KV EM UM AUTOTRANSFORMADOR MONOFÁSICO, FABRICAÇÃO BBC, CÓDIGO OPERACIONAL PDAT7-01 FASE V.-AQUISIÇAO DE BUCHAS CONDENSIVAS.</t>
  </si>
  <si>
    <t>P.DUTRA|0006458/2020-SUBSTITUIÇÃO DE UMA BUCHA CONDENSIVA DE 69KV EM UM TRANSFORMADOR TRIFÁSICO, CÓDIGO OPERACIONAL PDTF6-01 - FASE V.-AQUISIÇAO DE BUCHAS CONDENSIVAS.</t>
  </si>
  <si>
    <t>P.DUTRA|0006462/2020-SUBSTITUIÇÃO DE UMA BUCHA CONDENSIVA DE 69KV EM UM TRANSFORMADOR TRIFÁSICO, CÓDIGO OPERACIONAL PDTF6-01 - FASE B.-AQUISIÇAO DE BUCHAS CONDENSIVAS.</t>
  </si>
  <si>
    <t>P.DUTRA|0006467/2020-SUBSTITUIÇÃO DE UMA BUCHA CONDENSIVA DE 69KV EM UM TRANSFORMADOR TRIFÁSICO, CÓDIGO OPERACIONAL PDTF6-01 - FASE A.-AQUISIÇAO DE BUCHAS CONDENSIVAS.</t>
  </si>
  <si>
    <t>P.DUTRA|0006494/2020-SUBSTITUIÇÃO DE UMA BUCHA CONDENSIVA DE 230KV EM UM TRANSFORMADOR MONOFÁSICO,  CÓDIGO OPERACIONAL PDTF6-03 FASE RESERVA.-AQUISIÇAO DE BUCHAS CONDENSIVAS.</t>
  </si>
  <si>
    <t>P.DUTRA|0006496/2020-SUBSTITUIÇÃO DE UMA BUCHA CONDENSIVA DE 230KV EM UM TRANSFORMADOR MONOFÁSICO,  CÓDIGO OPERACIONAL PDTF6-03 FASE V.-AQUISIÇAO DE BUCHAS CONDENSIVAS.</t>
  </si>
  <si>
    <t>P.DUTRA|0006500/2020-SUBSTITUIÇÃO DE UMA BUCHA CONDENSIVA DE 230KV EM UM TRANSFORMADOR MONOFÁSICO,  CÓDIGO OPERACIONAL PDTF6-03 FASE B.-AQUISIÇAO DE BUCHAS CONDENSIVAS.</t>
  </si>
  <si>
    <t>P.DUTRA|0006508/2020-SUBSTITUIÇÃO DE UMA BUCHA CONDENSIVA DE 230KV EM UM TRANSFORMADOR MONOFÁSICO,  CÓDIGO OPERACIONAL PDTF6-03 FASE A.-AQUISIÇAO DE BUCHAS CONDENSIVAS.</t>
  </si>
  <si>
    <t>VILA DO CONDE|0001931/2016-REVITALIZAÇÃO NECESSÁRIA: Substituição das buchas de 230 kv do Autotransformador VCAT7-01 FR-AQUISIÇAO DE BUCHAS CONDENSIVAS.</t>
  </si>
  <si>
    <t>VILA DO CONDE|0001932/2016-REVITALIZAÇÃO NECESSÁRIA: Substituição das buchas de 230 kv do Autotransformador VCAT7-01 FB-AQUISIÇAO DE BUCHAS CONDENSIVAS.</t>
  </si>
  <si>
    <t>VILA DO CONDE|0001933/2016-REVITALIZAÇÃO NECESSÁRIA: Substituição das buchas de 230 kv do Autotransformador VCAT7-01 FV-AQUISIÇAO DE BUCHAS CONDENSIVAS.</t>
  </si>
  <si>
    <t>VILA DO CONDE|0002045/2016-REVITALIZAÇÃO NECESSÁRIA: Substituição das buchas de  230 kv do Autotransformador VCAT7-02 FA-AQUISIÇAO DE BUCHAS CONDENSIVAS.</t>
  </si>
  <si>
    <t>VILA DO CONDE|0002046/2016-REVITALIZAÇÃO NECESSÁRIA: Substituição das buchas de  230 kv do Autotransformador VCAT7-02 FA-AQUISIÇAO DE BUCHAS CONDENSIVAS.</t>
  </si>
  <si>
    <t>VILA DO CONDE|0002047/2016-REVITALIZAÇÃO NECESSÁRIA: Substituição das buchas de 230 kv do Autotransformador VCAT7-02 FB-AQUISIÇAO DE BUCHAS CONDENSIVAS.</t>
  </si>
  <si>
    <t>VILA DO CONDE|0003533/2018-SUBSTITUIÇÃO DAS BUCHAS DE 230 KV-AQUISIÇAO DE BUCHAS CONDENSIVAS.</t>
  </si>
  <si>
    <t>VILA DO CONDE|0003534/2018-SUBSTITUIÇÃO DAS BUCHAS DE 230 KV-AQUISIÇAO DE BUCHAS CONDENSIVAS.</t>
  </si>
  <si>
    <t>VILA DO CONDE|0004314/2019-SUBSTITUIÇÃO DA BUCHA DE 230 KV DA FASE V do VCAT701-AQUISIÇAO DE BUCHAS CONDENSIVAS.</t>
  </si>
  <si>
    <t>IMPERATRIZ|0003183/2022-SUBSTITUIÇÃO DO DISJUNTOR IZDJ7-02-CONTRATAÇAO DE EMPRESA ESPECIALIZADA PARA AQUISIÇAO DE DISJUNTORES DE 550 KV COM SERVIÇOS DE MONTAGEM E SUPERVISAO DE MONTAGEM E COMISSIONAMENTO.</t>
  </si>
  <si>
    <t>P.DUTRA|0003211/2022-SUBSTITUIÇÃO DO DISJUNTOR PDDJ7-02-CONTRATAÇAO DE EMPRESA ESPECIALIZADA PARA AQUISIÇAO DE DISJUNTORES DE 550 KV COM SERVIÇOS DE MONTAGEM E SUPERVISAO DE MONTAGEM E COMISSIONAMENTO.</t>
  </si>
  <si>
    <t>P.DUTRA|0003218/2022-SUBSTITUIÇÃO DO DISJUNTOR PDDJ7-03-CONTRATAÇAO DE EMPRESA ESPECIALIZADA PARA AQUISIÇAO DE DISJUNTORES DE 550 KV COM SERVIÇOS DE MONTAGEM E SUPERVISAO DE MONTAGEM E COMISSIONAMENTO.</t>
  </si>
  <si>
    <t>P.DUTRA|0003236/2022-SUBSTITUIÇÃO DO DISJUNTOR PDDJ7-04-CONTRATAÇAO DE EMPRESA ESPECIALIZADA PARA AQUISIÇAO DE DISJUNTORES DE 550 KV COM SERVIÇOS DE MONTAGEM E SUPERVISAO DE MONTAGEM E COMISSIONAMENTO.</t>
  </si>
  <si>
    <t>P.DUTRA|0003242/2022-SUBSTITUIÇÃO DO DISJUNTOR PDDJ7-01-CONTRATAÇAO DE EMPRESA ESPECIALIZADA PARA AQUISIÇAO DE DISJUNTORES DE 550 KV COM SERVIÇOS DE MONTAGEM E SUPERVISAO DE MONTAGEM E COMISSIONAMENTO.</t>
  </si>
  <si>
    <t>P.DUTRA|0004728/2022-Substituição do Disjuntor PDDJ7-12 por outro semelhante-CONTRATAÇAO DE EMPRESA ESPECIALIZADA PARA AQUISIÇAO DE DISJUNTORES DE 550 KV COM SERVIÇOS DE MONTAGEM E SUPERVISAO DE MONTAGEM E COMISSIONAMENTO.</t>
  </si>
  <si>
    <t>P.DUTRA|0006730/2020-SUBSTITUIÇÃO DO DISJUNTOR PDDJ7-13-CONTRATAÇAO DE EMPRESA ESPECIALIZADA PARA AQUISIÇAO DE DISJUNTORES DE 550 KV COM SERVIÇOS DE MONTAGEM E SUPERVISAO DE MONTAGEM E COMISSIONAMENTO.</t>
  </si>
  <si>
    <t>SAO LUIS II|0004567/2019-SUBSTITUIÇÃO COMPLETA (PÓLOS, ARMÁRIO DE COMANDO E SPCS) DO DISJUNTOR LDDJ7-09-CONTRATAÇAO DE EMPRESA ESPECIALIZADA PARA AQUISIÇAO DE DISJUNTORES DE 550 KV COM SERVIÇOS DE MONTAGEM E SUPERVISAO DE MONTAGEM E COMISSIONAMENTO.</t>
  </si>
  <si>
    <t>SAO LUIS II|0004569/2019-SUBSTITUIÇÃO COMPLETA (PÓLOS, ARMÁRIO DE COMANDO E SPCS) DO DISJUNTOR LDDJ7-10-CONTRATAÇAO DE EMPRESA ESPECIALIZADA PARA AQUISIÇAO DE DISJUNTORES DE 550 KV COM SERVIÇOS DE MONTAGEM E SUPERVISAO DE MONTAGEM E COMISSIONAMENTO.</t>
  </si>
  <si>
    <t>COELHO NETO|0000944/2018-REVITALIZAÇÃO DE UM TRANSFORMADOR TRIFÁSICO, CÓDIGO OPERACIONAL CHTF6-01, CONTEMPLANDO: PINTURA COMPLETA, SUBSTITUIÇÃO DE TODAS AS VEDAÇÕES, SUBSTITUIÇÃO DA MEMBRANA DO SISTEMA DE SELAGEM, SUBSTITUIÇÃO DE UM RELÉ DE GÁS, SUBSTITUIÇÃO DE UM INDICADOR DE NÍVEL DE ÓLEO ISOLANTE, SUBSTITUIÇÃO DE UMA VÁLVULA DE ALÍVIIO DE PRESSÃO, SUBSTITUIÇÃO DAS VÁLVULAS ISOLADORAS DOS RADIADORES, SUBSTITUIÇÃO DO PAINEL DE COMANDO DA VENTILAÇÃO FORÇADA.-PRESTAÇAO DE SERVIÇO DE REVITALIZAÇAO DO TRANSFORMADOR LDAT7-01 FASE R E FORNECIMENTO DE MATERIAIS, LOCALIZADO NA SE PORTO FRANCO, SE COELHO NETO E SE MIRANDA II - MARANHAO, VINCULADA A SUPERINTENDENCIA DE GESTAO DE ATIVOS DE PRODUÇAO DA TRANSMISSAO LESTE   OTL.</t>
  </si>
  <si>
    <t>MIRANDA II|FALTA PMI DO MRAT6-01 (Não encontrado)--PRESTAÇAO DE SERVIÇO DE REVITALIZAÇAO DO TRANSFORMADOR LDAT7-01 FASE R E FORNECIMENTO DE MATERIAIS, LOCALIZADO NA SE PORTO FRANCO, SE COELHO NETO E SE MIRANDA II - MARANHAO, VINCULADA A SUPERINTENDENCIA DE GESTAO DE ATIVOS DE PRODUÇAO DA TRANSMISSAO LESTE   OTL.</t>
  </si>
  <si>
    <t>COLINAS|0003454/2019-Restauração de reator de derivação, fase A, que compõe o banco CORE7-02-REVITALIZAÇAO DE 20 (VINTE) REATORES E TRANSFORMADORES DE POTENCIA LOCALIZADOS EM DIVERSAS SUBESTAÇOES VINCULADAS A SUPERINTENDENCIA DE GESTAO DE ATIVOS DE PRODUÇAO DA TRANSMISSAO LESTE   OTL.</t>
  </si>
  <si>
    <t>COLINAS|0003476/2019-Restauração de 01 (um) reator reserva quente comum aos bancos CORE7-01 e CORE7-02-REVITALIZAÇAO DE 20 (VINTE) REATORES E TRANSFORMADORES DE POTENCIA LOCALIZADOS EM DIVERSAS SUBESTAÇOES VINCULADAS A SUPERINTENDENCIA DE GESTAO DE ATIVOS DE PRODUÇAO DA TRANSMISSAO LESTE   OTL.</t>
  </si>
  <si>
    <t>COLINAS|0003480/2019-"Restauração de 01 (um) reator reserva quente comum aos bancos CORE7-01 e CORE7-02
"-REVITALIZAÇAO DE 20 (VINTE) REATORES E TRANSFORMADORES DE POTENCIA LOCALIZADOS EM DIVERSAS SUBESTAÇOES VINCULADAS A SUPERINTENDENCIA DE GESTAO DE ATIVOS DE PRODUÇAO DA TRANSMISSAO LESTE   OTL.</t>
  </si>
  <si>
    <t>RONDONOPOLIS|0002649/2019-Substituição de Registrador Digital de Perturbações - RDP-Aquisição de registradores digitais de perturbação – RDP, com ondas viajantes, sendo acompanhados de unidades de aquisição remotas de variáveis analógicas e digitais, sincronizador de tempo GPS e antena GPS, miscelâneas para instalação destes equipamentos nas linhas de transmissão e subestações dos Sistema de Transmissão Mato Grosso, Acre/Rondônia, Pará, incluindo os serviços de desmontagem dos equipamentos modelo RPV 310, montagem dos equipamentos novos adquiridos pelo presente termo, com fornecimento de material para execução do serviço, comissionamento e treinamento especifico para localização de faltas para as equipes de SPCS.</t>
  </si>
  <si>
    <t>SE JAURU|0000330/2019-Substituição de Registrador Digital de Perturbações - RDP do equipamento TR 230 / 138 kV JAURU 1 MT.-Aquisição de registradores digitais de perturbação – RDP, com ondas viajantes, sendo acompanhados de unidades de aquisição remotas de variáveis analógicas e digitais, sincronizador de tempo GPS e antena GPS, miscelâneas para instalação destes equipamentos nas linhas de transmissão e subestações dos Sistema de Transmissão Mato Grosso, Acre/Rondônia, Pará, incluindo os serviços de desmontagem dos equipamentos modelo RPV 310, montagem dos equipamentos novos adquiridos pelo presente termo, com fornecimento de material para execução do serviço, comissionamento e treinamento especifico para localização de faltas para as equipes de SPCS.</t>
  </si>
  <si>
    <t>SE JAURU|0000330/2019-Substituição de Registrador Digital de Perturbações - RDP do equipamento TR 230 / 138 kV JAURU 1 MT.-Substituição de Registrador Digital de Perturbações - RDP do autotransformador JUAT6-01, Subestação Jauru, Sistema de Transmissão Mato Grosso</t>
  </si>
  <si>
    <t>RONDONOPOLIS|0002649/2019-Substituição de Registrador Digital de Perturbações - RDP-Substituição de Registrador Digital de Perturbações - RDP  do reator RPRE6-03, Subestação Rondonópolis, Sistema de Transmissão Mato Grosso</t>
  </si>
  <si>
    <t>COXIPO|0006575/2021-REVITALIZAÇÃO DO DISJUNTOR CXDJ6-14. CORRIGIR FALHAS NO ACIONAMENTO DOS DISJUNTORES, COM A SUBSTITUIÇÃO DE PEÇAS (GATILHOS, AMORTECEDORES, MICROSWITCH, PROTEÇÕES DAS MOLAS DE ABERTURA E FECHAMENTO, DENTRE OUTROS) E REALIZAÇÃO DOS TESTES NECESSÁRIOS PARA COMPATIBILIZAÇÃO DOS POLOS AOS COMANDOS.-Revitalização dos disjuntores CXDJ6-14, RPDJ6-03 e JUDJ6-19, das funções de transmissão CXAT6-04, RPCXLT6-01 E JUVNLT6-03, respecitvamente, para corrigir falhas no acionamento dos disjuntores com a substituição de peças ( gatilhos, amortecedores, microswitch, proteções de molas de abertura e fechamento dentre outros)  e realização dos testes necessarios para compatibilização dos polos aos comandos</t>
  </si>
  <si>
    <t>JAURU|0006574/2021-REVITALIZAÇÃO DOS COMANDOS DO DISJUNTOR JUDJ6-19. CORRIGIR FALHAS NO ACIONAMENTO DOS DISJUNTORES, COM A SUBSTITUIÇÃO DE PEÇAS (GATILHOS, AMORTECEDORES, MICROSWITCH, PROTEÇÕES DAS MOLAS DE ABERTURA E FECHAMENTO, DENTRE OUTROS) E REALIZAÇÃO DOS TESTES NECESSÁRIOS PARA COMPATIBILIZAÇÃO DOS POLOS AOS COMANDOS.-Revitalização dos disjuntores CXDJ6-14, RPDJ6-03 e JUDJ6-19, das funções de transmissão CXAT6-04, RPCXLT6-01 E JUVNLT6-03, respecitvamente, para corrigir falhas no acionamento dos disjuntores com a substituição de peças ( gatilhos, amortecedores, microswitch, proteções de molas de abertura e fechamento dentre outros)  e realização dos testes necessarios para compatibilização dos polos aos comandos</t>
  </si>
  <si>
    <t>RONDONOPOLIS|0006576/2021-REVITALIZAÇÃO DO DISJUNTOR RPDJ6-03. CORRIGIR FALHAS NO ACIONAMENTO DOS DISJUNTORES, COM A SUBSTITUIÇÃO DE PEÇAS (GATILHOS, AMORTECEDORES, MICROSWITCH, PROTEÇÕES DAS MOLAS DE ABERTURA E FECHAMENTO, DENTRE OUTROS) E REALIZAÇÃO DOS TESTES NECESSÁRIOS PARA COMPATIBILIZAÇÃO DOS POLOS AOS COMANDOS.-Revitalização dos disjuntores CXDJ6-14, RPDJ6-03 e JUDJ6-19, das funções de transmissão CXAT6-04, RPCXLT6-01 E JUVNLT6-03, respecitvamente, para corrigir falhas no acionamento dos disjuntores com a substituição de peças ( gatilhos, amortecedores, microswitch, proteções de molas de abertura e fechamento dentre outros)  e realização dos testes necessarios para compatibilização dos polos aos comandos</t>
  </si>
  <si>
    <t xml:space="preserve">SINOP|Sobressalente à cadastrar PMI--Aquisição de 01 Transformador de Corrente – TC, tensão nominal de 245 KV, para ser instalado na função de transmissão do Compensadores Estático SPCE2-01, Subestação Sinop, Sistema de Transmissão Mato Grosso  </t>
  </si>
  <si>
    <t>UTINGA|0008596/2019-SUBSTITUIÇÃO DO RETIFICAR 125 VCC DA CR 203-Aquisição de 02 Retificadores Utinga CR 204</t>
  </si>
  <si>
    <t>RUROPOLIS|0007956/2021-Substituição do Banco de Baterias 125 VCC - ESA01-BAT_125 - MB &amp; RU</t>
  </si>
  <si>
    <t>MARABA|0007988/2021-Substituição do Banco de Baterias 125 VCC, 600Ah/10h - MBCS2 01-BAT_125 - MB &amp; RU</t>
  </si>
  <si>
    <t>MARABA; RUROPOLIS|Sobressalente à cadastrar PMI--BAT_125 - MB &amp; RU</t>
  </si>
  <si>
    <t>RUROPOLIS|0008433/2019-SUBSTITUIÇÃO DO GERADOR DE EMERGÊNCIA  No.1  (380VCA  200 KVA)-GDG RU&amp;TM&amp;TC</t>
  </si>
  <si>
    <t>TRANSAMAZONIC|0007935/2021-Substituição do Grupo Gerador de Emergência 380VCA, 150 kVA-GDG RU&amp;TM&amp;TC</t>
  </si>
  <si>
    <t>TUCURUI|0008534/2019-SUBSTITUIÇÃO DO GERADOR DE EMERGÊNCIA  No.2  (440VCA  300 KVA)-GDG RU&amp;TM&amp;TC</t>
  </si>
  <si>
    <t>MARABA|0007490/2021-Substituição do Transformador de Corrente 500kV do MBDJ7-09 Fase V - Vão CZ-TCs 500kV</t>
  </si>
  <si>
    <t>MARABA|0007495/2021-Substituição do Transformador de Corrente 500kV do MBDJ7-09 Fase B - Vão BZ-TCs 500kV</t>
  </si>
  <si>
    <t>MARABA|0007502/2021-Substituição do Transformador de Corrente 500kV do MBDJ7-08 Fase V - Vão BY1-TCs 500kV</t>
  </si>
  <si>
    <t>MARABA|0007512/2021-Substituição do Transformador de Corrente 500kV do MBDJ7-08 Fase B - Vão BY1-TCs 500kV</t>
  </si>
  <si>
    <t>MARABA|0007525/2021-Substituição do Transformador de Corrente 500kV do MBDJ7-08 Fase A - Vão BY1-TCs 500kV</t>
  </si>
  <si>
    <t>MARABA|0007558/2021-Substituição do Transformador de Corrente 500kV do MBDJ7-05 Fase V - Vão CY1-TCs 500kV</t>
  </si>
  <si>
    <t>MARABA|0007583/2021-Substituição do Transformador de Corrente 500kV do MBDJ7-05 Fase B - Vão CY1-TCs 500kV</t>
  </si>
  <si>
    <t>MARABA|0007600/2021-Substituição do Transformador de Corrente 500kV do MBDJ7-05 Fase A - Vão CY1-TCs 500kV</t>
  </si>
  <si>
    <t>MARABA|0007713/2021-Substituição do Transformador de Corrente 500kV do MBDJ7-02 fase V - Vão DY2-TCs 500kV</t>
  </si>
  <si>
    <t>MARABA|0007717/2021-Substituição do Transformador de Corrente 500kV do MBDJ7-02 fase B - Vão DY2-TCs 500kV</t>
  </si>
  <si>
    <t>MARABA|0007743/2021-Substituição do Transformador de Corrente 500kV do MBDJ7-02 fase A - Vão DY2-TCs 500kV</t>
  </si>
  <si>
    <t>MARABA|0007755/2021-Substituição do Transformador de Corrente 500kV do MBDJ7-01 fase V - Vão DX-TCs 500kV</t>
  </si>
  <si>
    <t>MARABA|0007757/2021-Substituição do Transformador de Corrente 500kV do MBDJ7-01 Fase B - Vão DX-TCs 500kV</t>
  </si>
  <si>
    <t>MARABA|0007760/2021-Substituição do Transformador de Corrente 500kV do MBDJ7-01 Fase A - Vão DX-TCs 500kV</t>
  </si>
  <si>
    <t>MARABA|0007793/2021-Substituição do Transformador de Corrente 500kV do MBDJ7-06 Fase V - Vão CZ-TCs 500kV</t>
  </si>
  <si>
    <t>MARABA|0007794/2021-Substituição do Transformador de Corrente 500kV do MBDJ7-06 Fase B - Vão CZ-TCs 500kV</t>
  </si>
  <si>
    <t>MARABA|0007795/2021-Substituição do Transformador de Corrente 500kV do MBDJ7-06 Fase A - Vão CZ-TCs 500kV</t>
  </si>
  <si>
    <t>MARABA|0007796/2021-Substituição do Transformador de Corrente 500kV do MBDJ7-09 Fase A - Vão BZ-TCs 500kV</t>
  </si>
  <si>
    <t>TUCURUI|0008007/2021-Substituição do Transformador de Corrente 500kV do TCDJ7-02 fase V - Vão FY2-TCs 500kV</t>
  </si>
  <si>
    <t>TUCURUI|0008011/2021-Substituição do Transformador de Corrente 500kV do TCDJ7-02 Fase B - Vão FY2-TCs 500kV</t>
  </si>
  <si>
    <t>TUCURUI|0008019/2021-Substituição do Transformador de Corrente 500kV do TCDJ7-02 fase A - Vão FY2-TCs 500kV</t>
  </si>
  <si>
    <t>TUCURUI|0008103/2021-Substituição do Transformador de Corrente 500kV do TCDJ7-02 Fase V - Vão FY1-TCs 500kV</t>
  </si>
  <si>
    <t>TUCURUI|0008106/2021-Substituição do Transformador de Corrente 500kV do TCDJ7-02 fase B - Vão FY1-TCs 500kV</t>
  </si>
  <si>
    <t>TUCURUI|0008115/2021-Substituição do Transformador de Corrente 500kV do TCDJ7-02 fase A - Vão FY1-TCs 500kV</t>
  </si>
  <si>
    <t>TUCURUI|0008127/2021-Substituição do Transformador de Corrente 500kV do TCDJ7-06 Fase V - Vão EZ-TCs 500kV</t>
  </si>
  <si>
    <t>TUCURUI|0008131/2021-Substituição do Transformador de Corrente 500kV do TCDJ7-06 Fase B - Vão EZ-TCs 500kV</t>
  </si>
  <si>
    <t>TUCURUI|0008158/2021-Substituição do Transformador de Corrente 500kV do TCDJ7-06 Fase A - Vão EZ-TCs 500kV</t>
  </si>
  <si>
    <t>TUCURUI|0008163/2021-Substituição do Transformador de Corrente 500kV do TCDJ7-11 Fase V - Vão CY1-TCs 500kV</t>
  </si>
  <si>
    <t>TUCURUI|0008171/2021-Substituição do Transformador de Corrente 500kV do TCDJ7-11 Fase B - Vão CY1-TCs 500kV</t>
  </si>
  <si>
    <t>TUCURUI|0008174/2021-Substituição do Transformador de Corrente 500kV do TCDJ7-11 Fase A - Vão CY1-TCs 500kV</t>
  </si>
  <si>
    <t>TUCURUI|0008180/2021-Substituição do Transformador de Corrente 500kV do TCDJ7-10 Fase V - Vão CX-TCs 500kV</t>
  </si>
  <si>
    <t>TUCURUI|0008190/2021-Substituição do Transformador de Corrente 500kV do TCDJ7-10 Fase B - Vão CX-TCs 500kV</t>
  </si>
  <si>
    <t>TUCURUI|0008193/2021-Substituição do Transformador de Corrente 500kV do TCDJ7-10 Fase A - Vão CX-TCs 500kV</t>
  </si>
  <si>
    <t>TUCURUI|0008197/2021-Substituição do Transformador de Corrente 500kV do TCDJ7-05 Fase V - Vão EY2-TCs 500kV</t>
  </si>
  <si>
    <t>TUCURUI|0008206/2021-Substituição do Transformador de Corrente 500kV do TCDJ7-05 Fase B - Vão EY2-TCs 500kV</t>
  </si>
  <si>
    <t>TUCURUI|0008210/2021-Substituição do Transformador de Corrente 500kV do TCDJ7-05 Fase A - Vão EY2-TCs 500kV</t>
  </si>
  <si>
    <t>TUCURUI|0008215/2021-Substituição do Transformador de Corrente 500kV do TCDJ7-05 Fase V - Vão EY1-TCs 500kV</t>
  </si>
  <si>
    <t>TUCURUI|0008218/2021-Substituição do Transformador de Corrente 500kV do TCDJ7-05 Fase B - Vão EY1-TCs 500kV</t>
  </si>
  <si>
    <t>TUCURUI|0008222/2021-Substituição do Transformador de Corrente 500kV do TCDJ7-05 Fase A - Vão EY1-TCs 500kV</t>
  </si>
  <si>
    <t>TUCURUI|0008232/2021-Substituição do Transformador de Corrente 500kV do TCDJ7-04 Fase V - Vão EX-TCs 500kV</t>
  </si>
  <si>
    <t>TUCURUI|0008234/2021-Substituição do Transformador de Corrente 500kV do TCDJ7-04 Fase B - Vão EX-TCs 500kV</t>
  </si>
  <si>
    <t>TUCURUI|0008237/2021-Substituição do Transformador de Corrente 500kV do TCDJ7-04 Fase A - Vão EX-TCs 500kV</t>
  </si>
  <si>
    <t>TUCURUI|0008241/2021-Substituição do Transformador de Corrente 500kV do TCDJ7-03 Fase V - Vão FZ-TCs 500kV</t>
  </si>
  <si>
    <t>TUCURUI|0008242/2021-Substituição do Transformador de Corrente 500kV do TCDJ7-03 Fase B - Vão FZ-TCs 500kV</t>
  </si>
  <si>
    <t>TUCURUI|0008245/2021-Substituição do Transformador de Corrente 500kV do TCDJ7-03 Fase A - Vão FZ-TCs 500kV</t>
  </si>
  <si>
    <t>TUCURUI|0008250/2021-Substituição do Transformador de Corrente 500kV do TCDJ7-01 Fase V - Vão FX-TCs 500kV</t>
  </si>
  <si>
    <t>TUCURUI|0008255/2021-Substituição do Transformador de Corrente 500kV do TCDJ7-01 Fase B - Vão FX-TCs 500kV</t>
  </si>
  <si>
    <t>TUCURUI|0008269/2021-Substituição do Transformador de Corrente 500kV do TCDJ7-11 Fase V - Vão CY2-TCs 500kV</t>
  </si>
  <si>
    <t>TUCURUI|0008278/2021-Substituição do Transformador de Corrente 500kV do TCDJ7-12 Fase V - Vão CZ-TCs 500kV</t>
  </si>
  <si>
    <t>TUCURUI|0008284/2021-Substituição do Transformador de Corrente 500kV do TCDJ7-07 Fase B - Vão DX-TCs 500kV</t>
  </si>
  <si>
    <t>TUCURUI|0008290/2021-Substituição do Transformador de Corrente 500kV do TCDJ7-07 Fase A - Vão DX-TCs 500kV</t>
  </si>
  <si>
    <t>TUCURUI|0008332/2021-Substituição do Transformador de Corrente 500kV do TCDJ7-01 Fase A - Vão FX-TCs 500kV</t>
  </si>
  <si>
    <t>TUCURUI|0008342/2021-Substituição do Transformador de Corrente 500kV do TCDJ7-12 Fase B - Vão CZ-TCs 500kV</t>
  </si>
  <si>
    <t>TUCURUI|0008349/2021-Substituição do Transformador de Corrente 500kV do TCDJ7-11 Fase A - Vão CY2-TCs 500kV</t>
  </si>
  <si>
    <t>TUCURUI|0008357/2021-Substituição do Transformador de Corrente 500kV do TCDJ7-12 Fase A - Vão CZ-TCs 500kV</t>
  </si>
  <si>
    <t>TUCURUI|0008361/2021-Substituição do Transformador de Corrente 500kV do TCDJ7-11 Fase B - Vão CY2-TCs 500kV</t>
  </si>
  <si>
    <t>TUCURUI|0009493/2021-Substituição do Transformador de Corrente 500kV do TCDJ7-08 Fase B - Vão DY2-TCs 500kV</t>
  </si>
  <si>
    <t>TUCURUI|0009497/2021-Substituição do Transformador de Corrente 500kV do TCDJ7-08 Fase V - Vão DY2-TCs 500kV</t>
  </si>
  <si>
    <t>TUCURUI|0009858/2021-Substituição do Transformador de Corrente 500kV do TCDJ7-07 Fase V - Vão DX-TCs 500kV</t>
  </si>
  <si>
    <t>TUCURUI|0009875/2021-Substituição do Transformador de Corrente 500kV do TCDJ7-08 Fase A - Vão DY2-TCs 500kV</t>
  </si>
  <si>
    <t>VILA DO CONDE|0008526/2021-Substituição do Transformador de Corrente 500kV do VCDJ7-06 Fase V - Vão CZ-TCs 500kV</t>
  </si>
  <si>
    <t>VILA DO CONDE|0008586/2021-Substituição do Transformador de Corrente 500kV do VCDJ7-06 Fase B - Vão CZ-TCs 500kV</t>
  </si>
  <si>
    <t>VILA DO CONDE|0008589/2021-Substituição do Transformador de Corrente 500kV do VCDJ7-06 Fase A - Vão CZ-TCs 500kV</t>
  </si>
  <si>
    <t>VILA DO CONDE|0008604/2021-Substituição do Transformador de Corrente 500kV do VCDJ7-08 Fase V - Vão BY1-TCs 500kV</t>
  </si>
  <si>
    <t>VILA DO CONDE|0008609/2021-Substituição do Transformador de Corrente 500kV do VCDJ7-08 Fase B - Vão BY1-TCs 500kV</t>
  </si>
  <si>
    <t>VILA DO CONDE|0008613/2021-Substituição do Transformador de Corrente 500kV do VCDJ7-08 Fase A - Vão BY1-TCs 500kV</t>
  </si>
  <si>
    <t>VILA DO CONDE|0008618/2021-Substituição do Transformador de Corrente 500kV do VCDJ7-05 Fase V - Vão CY2-TCs 500kV</t>
  </si>
  <si>
    <t>VILA DO CONDE|0008620/2021-Substituição do Transformador de Corrente 500kV do VCDJ7-05 Fase B - Vão CY2-TCs 500kV</t>
  </si>
  <si>
    <t>VILA DO CONDE|0008621/2021-Substituição do Transformador de Corrente 500kV do VCDJ7-05 Fase A - Vão CY2-TCs 500kV</t>
  </si>
  <si>
    <t>VILA DO CONDE|0008622/2021-Substituição do Transformador de Corrente 500kV do VCDJ7-03 Fase A - Vão DZ-TCs 500kV</t>
  </si>
  <si>
    <t>VILA DO CONDE|0008631/2021-Substituição do Transformador de Corrente 
500kV do VCDJ7-05 Fase V - Vão CY1-TCs 500kV</t>
  </si>
  <si>
    <t>VILA DO CONDE|0008634/2021-Substituição do Transformador de Corrente 
500kV do VCDJ7-05 Fase B - Vão CY1-TCs 500kV</t>
  </si>
  <si>
    <t>VILA DO CONDE|0008638/2021-Substituição do Transformador de Corrente 
500kV do VCDJ7-05 Fase A - Vão CY1-TCs 500kV</t>
  </si>
  <si>
    <t>VILA DO CONDE|0008641/2021-Substituição do Transformador de Corrente 
500kV do VCDJ7-03 Fase V - Vão DZ-TCs 500kV</t>
  </si>
  <si>
    <t>VILA DO CONDE|0008645/2021-Substituição do Transformador de Corrente 
500kV do VCDJ7-03 Fase B - Vão DZ-TCs 500kV</t>
  </si>
  <si>
    <t>VILA DO CONDE|0008653/2021-Substituição do Transformador de Corrente 500kV do VCDJ7-02 Fase V - Vão DY2-TCs 500kV</t>
  </si>
  <si>
    <t>VILA DO CONDE|0008678/2021-Substituição do Transformador de Corrente 500kV do VCDJ7-02 Fase B - Vão DY2-TCs 500kV</t>
  </si>
  <si>
    <t>VILA DO CONDE|0008803/2021-Substituição do Transformador de Corrente 500kV do VCDJ7-02 Fase A - Vão DY2-TCs 500kV</t>
  </si>
  <si>
    <t>VILA DO CONDE|0008824/2021-Substituição do Transformador de Corrente 500kV do VCDJ7-02 Fase V - Vão DY1-TCs 500kV</t>
  </si>
  <si>
    <t>VILA DO CONDE|0008839/2021-Substituição do Transformador de Corrente 500kV do VCDJ7-02 Fase B - Vão DY1-TCs 500kV</t>
  </si>
  <si>
    <t>VILA DO CONDE|0008852/2021-Substituição do Transformador de Corrente 500kV do VCDJ7-02 Fase A - Vão DY1-TCs 500kV</t>
  </si>
  <si>
    <t>VILA DO CONDE|0008970/2021-Substituição do Transformador de Corrente 500kV do VCDJ7-01 Fase V - Vão DX-TCs 500kV</t>
  </si>
  <si>
    <t>VILA DO CONDE|0008984/2021-Substituição do Transformador de Corrente 500kV do VCDJ7-01 Fase B - Vão DX-TCs 500kV</t>
  </si>
  <si>
    <t>VILA DO CONDE|0009002/2021-Substituição do Transformador de Corrente 500kV do VCDJ7-01 Fase A - Vão DX-TCs 500kV</t>
  </si>
  <si>
    <t>VILA DO CONDE|0009531/2021-Substituição do Transformador de Corrente 500kV do VCDJ7-09 Fase A - Vão BZ-TCs 500kV</t>
  </si>
  <si>
    <t>VILA DO CONDE|0009536/2021-Substituição do Transformador de Corrente 500kV do VCDJ7-09 Fase B - Vão BZ-TCs 500kV</t>
  </si>
  <si>
    <t>VILA DO CONDE|0009541/2021-Substituição do Transformador de Corrente 500kV do VCDJ7-09 Fase  V - Vão BZ-TCs 500kV</t>
  </si>
  <si>
    <t>MARABA|0007490/2021-Substituição do Transformador de Corrente 500kV do MBDJ7-09 Fase V - Vão CZ-Aquisição de 285 conectores de expansão barra chata - tubo 4 polegadas IPS para utilização na instalação dos Transformadores de Corrente de 500 kV das Subestações de Tucuruí, Marabá e Vila do Conde</t>
  </si>
  <si>
    <t>MARABA|0007495/2021-Substituição do Transformador de Corrente 500kV do MBDJ7-09 Fase B - Vão BZ-Aquisição de 285 conectores de expansão barra chata - tubo 4 polegadas IPS para utilização na instalação dos Transformadores de Corrente de 500 kV das Subestações de Tucuruí, Marabá e Vila do Conde</t>
  </si>
  <si>
    <t>MARABA|0007502/2021-Substituição do Transformador de Corrente 500kV do MBDJ7-08 Fase V - Vão BY1-Aquisição de 285 conectores de expansão barra chata - tubo 4 polegadas IPS para utilização na instalação dos Transformadores de Corrente de 500 kV das Subestações de Tucuruí, Marabá e Vila do Conde</t>
  </si>
  <si>
    <t>MARABA|0007512/2021-Substituição do Transformador de Corrente 500kV do MBDJ7-08 Fase B - Vão BY1-Aquisição de 285 conectores de expansão barra chata - tubo 4 polegadas IPS para utilização na instalação dos Transformadores de Corrente de 500 kV das Subestações de Tucuruí, Marabá e Vila do Conde</t>
  </si>
  <si>
    <t>MARABA|0007525/2021-Substituição do Transformador de Corrente 500kV do MBDJ7-08 Fase A - Vão BY1-Aquisição de 285 conectores de expansão barra chata - tubo 4 polegadas IPS para utilização na instalação dos Transformadores de Corrente de 500 kV das Subestações de Tucuruí, Marabá e Vila do Conde</t>
  </si>
  <si>
    <t>MARABA|0007558/2021-Substituição do Transformador de Corrente 500kV do MBDJ7-05 Fase V - Vão CY1-Aquisição de 285 conectores de expansão barra chata - tubo 4 polegadas IPS para utilização na instalação dos Transformadores de Corrente de 500 kV das Subestações de Tucuruí, Marabá e Vila do Conde</t>
  </si>
  <si>
    <t>MARABA|0007583/2021-Substituição do Transformador de Corrente 500kV do MBDJ7-05 Fase B - Vão CY1-Aquisição de 285 conectores de expansão barra chata - tubo 4 polegadas IPS para utilização na instalação dos Transformadores de Corrente de 500 kV das Subestações de Tucuruí, Marabá e Vila do Conde</t>
  </si>
  <si>
    <t>MARABA|0007600/2021-Substituição do Transformador de Corrente 500kV do MBDJ7-05 Fase A - Vão CY1-Aquisição de 285 conectores de expansão barra chata - tubo 4 polegadas IPS para utilização na instalação dos Transformadores de Corrente de 500 kV das Subestações de Tucuruí, Marabá e Vila do Conde</t>
  </si>
  <si>
    <t>MARABA|0007713/2021-Substituição do Transformador de Corrente 500kV do MBDJ7-02 fase V - Vão DY2-Aquisição de 285 conectores de expansão barra chata - tubo 4 polegadas IPS para utilização na instalação dos Transformadores de Corrente de 500 kV das Subestações de Tucuruí, Marabá e Vila do Conde</t>
  </si>
  <si>
    <t>MARABA|0007717/2021-Substituição do Transformador de Corrente 500kV do MBDJ7-02 fase B - Vão DY2-Aquisição de 285 conectores de expansão barra chata - tubo 4 polegadas IPS para utilização na instalação dos Transformadores de Corrente de 500 kV das Subestações de Tucuruí, Marabá e Vila do Conde</t>
  </si>
  <si>
    <t>MARABA|0007743/2021-Substituição do Transformador de Corrente 500kV do MBDJ7-02 fase A - Vão DY2-Aquisição de 285 conectores de expansão barra chata - tubo 4 polegadas IPS para utilização na instalação dos Transformadores de Corrente de 500 kV das Subestações de Tucuruí, Marabá e Vila do Conde</t>
  </si>
  <si>
    <t>MARABA|0007755/2021-Substituição do Transformador de Corrente 500kV do MBDJ7-01 fase V - Vão DX-Aquisição de 285 conectores de expansão barra chata - tubo 4 polegadas IPS para utilização na instalação dos Transformadores de Corrente de 500 kV das Subestações de Tucuruí, Marabá e Vila do Conde</t>
  </si>
  <si>
    <t>MARABA|0007757/2021-Substituição do Transformador de Corrente 500kV do MBDJ7-01 Fase B - Vão DX-Aquisição de 285 conectores de expansão barra chata - tubo 4 polegadas IPS para utilização na instalação dos Transformadores de Corrente de 500 kV das Subestações de Tucuruí, Marabá e Vila do Conde</t>
  </si>
  <si>
    <t>MARABA|0007760/2021-Substituição do Transformador de Corrente 500kV do MBDJ7-01 Fase A - Vão DX-Aquisição de 285 conectores de expansão barra chata - tubo 4 polegadas IPS para utilização na instalação dos Transformadores de Corrente de 500 kV das Subestações de Tucuruí, Marabá e Vila do Conde</t>
  </si>
  <si>
    <t>MARABA|0007793/2021-Substituição do Transformador de Corrente 500kV do MBDJ7-06 Fase V - Vão CZ-Aquisição de 285 conectores de expansão barra chata - tubo 4 polegadas IPS para utilização na instalação dos Transformadores de Corrente de 500 kV das Subestações de Tucuruí, Marabá e Vila do Conde</t>
  </si>
  <si>
    <t>MARABA|0007794/2021-Substituição do Transformador de Corrente 500kV do MBDJ7-06 Fase B - Vão CZ-Aquisição de 285 conectores de expansão barra chata - tubo 4 polegadas IPS para utilização na instalação dos Transformadores de Corrente de 500 kV das Subestações de Tucuruí, Marabá e Vila do Conde</t>
  </si>
  <si>
    <t>MARABA|0007795/2021-Substituição do Transformador de Corrente 500kV do MBDJ7-06 Fase A - Vão CZ-Aquisição de 285 conectores de expansão barra chata - tubo 4 polegadas IPS para utilização na instalação dos Transformadores de Corrente de 500 kV das Subestações de Tucuruí, Marabá e Vila do Conde</t>
  </si>
  <si>
    <t>MARABA|0007796/2021-Substituição do Transformador de Corrente 500kV do MBDJ7-09 Fase A - Vão BZ-Aquisição de 285 conectores de expansão barra chata - tubo 4 polegadas IPS para utilização na instalação dos Transformadores de Corrente de 500 kV das Subestações de Tucuruí, Marabá e Vila do Conde</t>
  </si>
  <si>
    <t>TUCURUI|0008007/2021-Substituição do Transformador de Corrente 500kV do TCDJ7-02 fase V - Vão FY2-Aquisição de 285 conectores de expansão barra chata - tubo 4 polegadas IPS para utilização na instalação dos Transformadores de Corrente de 500 kV das Subestações de Tucuruí, Marabá e Vila do Conde</t>
  </si>
  <si>
    <t>TUCURUI|0008011/2021-Substituição do Transformador de Corrente 500kV do TCDJ7-02 Fase B - Vão FY2-Aquisição de 285 conectores de expansão barra chata - tubo 4 polegadas IPS para utilização na instalação dos Transformadores de Corrente de 500 kV das Subestações de Tucuruí, Marabá e Vila do Conde</t>
  </si>
  <si>
    <t>TUCURUI|0008019/2021-Substituição do Transformador de Corrente 500kV do TCDJ7-02 fase A - Vão FY2-Aquisição de 285 conectores de expansão barra chata - tubo 4 polegadas IPS para utilização na instalação dos Transformadores de Corrente de 500 kV das Subestações de Tucuruí, Marabá e Vila do Conde</t>
  </si>
  <si>
    <t>TUCURUI|0008103/2021-Substituição do Transformador de Corrente 500kV do TCDJ7-02 Fase V - Vão FY1-Aquisição de 285 conectores de expansão barra chata - tubo 4 polegadas IPS para utilização na instalação dos Transformadores de Corrente de 500 kV das Subestações de Tucuruí, Marabá e Vila do Conde</t>
  </si>
  <si>
    <t>TUCURUI|0008106/2021-Substituição do Transformador de Corrente 500kV do TCDJ7-02 fase B - Vão FY1-Aquisição de 285 conectores de expansão barra chata - tubo 4 polegadas IPS para utilização na instalação dos Transformadores de Corrente de 500 kV das Subestações de Tucuruí, Marabá e Vila do Conde</t>
  </si>
  <si>
    <t>TUCURUI|0008115/2021-Substituição do Transformador de Corrente 500kV do TCDJ7-02 fase A - Vão FY1-Aquisição de 285 conectores de expansão barra chata - tubo 4 polegadas IPS para utilização na instalação dos Transformadores de Corrente de 500 kV das Subestações de Tucuruí, Marabá e Vila do Conde</t>
  </si>
  <si>
    <t>TUCURUI|0008127/2021-Substituição do Transformador de Corrente 500kV do TCDJ7-06 Fase V - Vão EZ-Aquisição de 285 conectores de expansão barra chata - tubo 4 polegadas IPS para utilização na instalação dos Transformadores de Corrente de 500 kV das Subestações de Tucuruí, Marabá e Vila do Conde</t>
  </si>
  <si>
    <t>TUCURUI|0008131/2021-Substituição do Transformador de Corrente 500kV do TCDJ7-06 Fase B - Vão EZ-Aquisição de 285 conectores de expansão barra chata - tubo 4 polegadas IPS para utilização na instalação dos Transformadores de Corrente de 500 kV das Subestações de Tucuruí, Marabá e Vila do Conde</t>
  </si>
  <si>
    <t>TUCURUI|0008158/2021-Substituição do Transformador de Corrente 500kV do TCDJ7-06 Fase A - Vão EZ-Aquisição de 285 conectores de expansão barra chata - tubo 4 polegadas IPS para utilização na instalação dos Transformadores de Corrente de 500 kV das Subestações de Tucuruí, Marabá e Vila do Conde</t>
  </si>
  <si>
    <t>TUCURUI|0008163/2021-Substituição do Transformador de Corrente 500kV do TCDJ7-11 Fase V - Vão CY1-Aquisição de 285 conectores de expansão barra chata - tubo 4 polegadas IPS para utilização na instalação dos Transformadores de Corrente de 500 kV das Subestações de Tucuruí, Marabá e Vila do Conde</t>
  </si>
  <si>
    <t>TUCURUI|0008171/2021-Substituição do Transformador de Corrente 500kV do TCDJ7-11 Fase B - Vão CY1-Aquisição de 285 conectores de expansão barra chata - tubo 4 polegadas IPS para utilização na instalação dos Transformadores de Corrente de 500 kV das Subestações de Tucuruí, Marabá e Vila do Conde</t>
  </si>
  <si>
    <t>TUCURUI|0008174/2021-Substituição do Transformador de Corrente 500kV do TCDJ7-11 Fase A - Vão CY1-Aquisição de 285 conectores de expansão barra chata - tubo 4 polegadas IPS para utilização na instalação dos Transformadores de Corrente de 500 kV das Subestações de Tucuruí, Marabá e Vila do Conde</t>
  </si>
  <si>
    <t>TUCURUI|0008180/2021-Substituição do Transformador de Corrente 500kV do TCDJ7-10 Fase V - Vão CX-Aquisição de 285 conectores de expansão barra chata - tubo 4 polegadas IPS para utilização na instalação dos Transformadores de Corrente de 500 kV das Subestações de Tucuruí, Marabá e Vila do Conde</t>
  </si>
  <si>
    <t>TUCURUI|0008190/2021-Substituição do Transformador de Corrente 500kV do TCDJ7-10 Fase B - Vão CX-Aquisição de 285 conectores de expansão barra chata - tubo 4 polegadas IPS para utilização na instalação dos Transformadores de Corrente de 500 kV das Subestações de Tucuruí, Marabá e Vila do Conde</t>
  </si>
  <si>
    <t>TUCURUI|0008193/2021-Substituição do Transformador de Corrente 500kV do TCDJ7-10 Fase A - Vão CX-Aquisição de 285 conectores de expansão barra chata - tubo 4 polegadas IPS para utilização na instalação dos Transformadores de Corrente de 500 kV das Subestações de Tucuruí, Marabá e Vila do Conde</t>
  </si>
  <si>
    <t>TUCURUI|0008197/2021-Substituição do Transformador de Corrente 500kV do TCDJ7-05 Fase V - Vão EY2-Aquisição de 285 conectores de expansão barra chata - tubo 4 polegadas IPS para utilização na instalação dos Transformadores de Corrente de 500 kV das Subestações de Tucuruí, Marabá e Vila do Conde</t>
  </si>
  <si>
    <t>TUCURUI|0008206/2021-Substituição do Transformador de Corrente 500kV do TCDJ7-05 Fase B - Vão EY2-Aquisição de 285 conectores de expansão barra chata - tubo 4 polegadas IPS para utilização na instalação dos Transformadores de Corrente de 500 kV das Subestações de Tucuruí, Marabá e Vila do Conde</t>
  </si>
  <si>
    <t>TUCURUI|0008210/2021-Substituição do Transformador de Corrente 500kV do TCDJ7-05 Fase A - Vão EY2-Aquisição de 285 conectores de expansão barra chata - tubo 4 polegadas IPS para utilização na instalação dos Transformadores de Corrente de 500 kV das Subestações de Tucuruí, Marabá e Vila do Conde</t>
  </si>
  <si>
    <t>TUCURUI|0008215/2021-Substituição do Transformador de Corrente 500kV do TCDJ7-05 Fase V - Vão EY1-Aquisição de 285 conectores de expansão barra chata - tubo 4 polegadas IPS para utilização na instalação dos Transformadores de Corrente de 500 kV das Subestações de Tucuruí, Marabá e Vila do Conde</t>
  </si>
  <si>
    <t>TUCURUI|0008218/2021-Substituição do Transformador de Corrente 500kV do TCDJ7-05 Fase B - Vão EY1-Aquisição de 285 conectores de expansão barra chata - tubo 4 polegadas IPS para utilização na instalação dos Transformadores de Corrente de 500 kV das Subestações de Tucuruí, Marabá e Vila do Conde</t>
  </si>
  <si>
    <t>TUCURUI|0008222/2021-Substituição do Transformador de Corrente 500kV do TCDJ7-05 Fase A - Vão EY1-Aquisição de 285 conectores de expansão barra chata - tubo 4 polegadas IPS para utilização na instalação dos Transformadores de Corrente de 500 kV das Subestações de Tucuruí, Marabá e Vila do Conde</t>
  </si>
  <si>
    <t>TUCURUI|0008232/2021-Substituição do Transformador de Corrente 500kV do TCDJ7-04 Fase V - Vão EX-Aquisição de 285 conectores de expansão barra chata - tubo 4 polegadas IPS para utilização na instalação dos Transformadores de Corrente de 500 kV das Subestações de Tucuruí, Marabá e Vila do Conde</t>
  </si>
  <si>
    <t>TUCURUI|0008234/2021-Substituição do Transformador de Corrente 500kV do TCDJ7-04 Fase B - Vão EX-Aquisição de 285 conectores de expansão barra chata - tubo 4 polegadas IPS para utilização na instalação dos Transformadores de Corrente de 500 kV das Subestações de Tucuruí, Marabá e Vila do Conde</t>
  </si>
  <si>
    <t>TUCURUI|0008237/2021-Substituição do Transformador de Corrente 500kV do TCDJ7-04 Fase A - Vão EX-Aquisição de 285 conectores de expansão barra chata - tubo 4 polegadas IPS para utilização na instalação dos Transformadores de Corrente de 500 kV das Subestações de Tucuruí, Marabá e Vila do Conde</t>
  </si>
  <si>
    <t>TUCURUI|0008241/2021-Substituição do Transformador de Corrente 500kV do TCDJ7-03 Fase V - Vão FZ-Aquisição de 285 conectores de expansão barra chata - tubo 4 polegadas IPS para utilização na instalação dos Transformadores de Corrente de 500 kV das Subestações de Tucuruí, Marabá e Vila do Conde</t>
  </si>
  <si>
    <t>TUCURUI|0008242/2021-Substituição do Transformador de Corrente 500kV do TCDJ7-03 Fase B - Vão FZ-Aquisição de 285 conectores de expansão barra chata - tubo 4 polegadas IPS para utilização na instalação dos Transformadores de Corrente de 500 kV das Subestações de Tucuruí, Marabá e Vila do Conde</t>
  </si>
  <si>
    <t>TUCURUI|0008245/2021-Substituição do Transformador de Corrente 500kV do TCDJ7-03 Fase A - Vão FZ-Aquisição de 285 conectores de expansão barra chata - tubo 4 polegadas IPS para utilização na instalação dos Transformadores de Corrente de 500 kV das Subestações de Tucuruí, Marabá e Vila do Conde</t>
  </si>
  <si>
    <t>TUCURUI|0008250/2021-Substituição do Transformador de Corrente 500kV do TCDJ7-01 Fase V - Vão FX-Aquisição de 285 conectores de expansão barra chata - tubo 4 polegadas IPS para utilização na instalação dos Transformadores de Corrente de 500 kV das Subestações de Tucuruí, Marabá e Vila do Conde</t>
  </si>
  <si>
    <t>TUCURUI|0008255/2021-Substituição do Transformador de Corrente 500kV do TCDJ7-01 Fase B - Vão FX-Aquisição de 285 conectores de expansão barra chata - tubo 4 polegadas IPS para utilização na instalação dos Transformadores de Corrente de 500 kV das Subestações de Tucuruí, Marabá e Vila do Conde</t>
  </si>
  <si>
    <t>TUCURUI|0008269/2021-Substituição do Transformador de Corrente 500kV do TCDJ7-11 Fase V - Vão CY2-Aquisição de 285 conectores de expansão barra chata - tubo 4 polegadas IPS para utilização na instalação dos Transformadores de Corrente de 500 kV das Subestações de Tucuruí, Marabá e Vila do Conde</t>
  </si>
  <si>
    <t>TUCURUI|0008278/2021-Substituição do Transformador de Corrente 500kV do TCDJ7-12 Fase V - Vão CZ-Aquisição de 285 conectores de expansão barra chata - tubo 4 polegadas IPS para utilização na instalação dos Transformadores de Corrente de 500 kV das Subestações de Tucuruí, Marabá e Vila do Conde</t>
  </si>
  <si>
    <t>TUCURUI|0008284/2021-Substituição do Transformador de Corrente 500kV do TCDJ7-07 Fase B - Vão DX-Aquisição de 285 conectores de expansão barra chata - tubo 4 polegadas IPS para utilização na instalação dos Transformadores de Corrente de 500 kV das Subestações de Tucuruí, Marabá e Vila do Conde</t>
  </si>
  <si>
    <t>TUCURUI|0008290/2021-Substituição do Transformador de Corrente 500kV do TCDJ7-07 Fase A - Vão DX-Aquisição de 285 conectores de expansão barra chata - tubo 4 polegadas IPS para utilização na instalação dos Transformadores de Corrente de 500 kV das Subestações de Tucuruí, Marabá e Vila do Conde</t>
  </si>
  <si>
    <t>TUCURUI|0008332/2021-Substituição do Transformador de Corrente 500kV do TCDJ7-01 Fase A - Vão FX-Aquisição de 285 conectores de expansão barra chata - tubo 4 polegadas IPS para utilização na instalação dos Transformadores de Corrente de 500 kV das Subestações de Tucuruí, Marabá e Vila do Conde</t>
  </si>
  <si>
    <t>TUCURUI|0008342/2021-Substituição do Transformador de Corrente 500kV do TCDJ7-12 Fase B - Vão CZ-Aquisição de 285 conectores de expansão barra chata - tubo 4 polegadas IPS para utilização na instalação dos Transformadores de Corrente de 500 kV das Subestações de Tucuruí, Marabá e Vila do Conde</t>
  </si>
  <si>
    <t>TUCURUI|0008349/2021-Substituição do Transformador de Corrente 500kV do TCDJ7-11 Fase A - Vão CY2-Aquisição de 285 conectores de expansão barra chata - tubo 4 polegadas IPS para utilização na instalação dos Transformadores de Corrente de 500 kV das Subestações de Tucuruí, Marabá e Vila do Conde</t>
  </si>
  <si>
    <t>TUCURUI|0008357/2021-Substituição do Transformador de Corrente 500kV do TCDJ7-12 Fase A - Vão CZ-Aquisição de 285 conectores de expansão barra chata - tubo 4 polegadas IPS para utilização na instalação dos Transformadores de Corrente de 500 kV das Subestações de Tucuruí, Marabá e Vila do Conde</t>
  </si>
  <si>
    <t>TUCURUI|0008361/2021-Substituição do Transformador de Corrente 500kV do TCDJ7-11 Fase B - Vão CY2-Aquisição de 285 conectores de expansão barra chata - tubo 4 polegadas IPS para utilização na instalação dos Transformadores de Corrente de 500 kV das Subestações de Tucuruí, Marabá e Vila do Conde</t>
  </si>
  <si>
    <t>TUCURUI|0009465/2021-Substituição do Transformador de Corrente 500kV do TCDJ7-17 fase A - Vão FY2-Aquisição de 285 conectores de expansão barra chata - tubo 4 polegadas IPS para utilização na instalação dos Transformadores de Corrente de 500 kV das Subestações de Tucuruí, Marabá e Vila do Conde</t>
  </si>
  <si>
    <t>TUCURUI|0009470/2021-Substituição do Transformador de Corrente 500kV do TCDJ7-17 fase B - Vão FY2-Aquisição de 285 conectores de expansão barra chata - tubo 4 polegadas IPS para utilização na instalação dos Transformadores de Corrente de 500 kV das Subestações de Tucuruí, Marabá e Vila do Conde</t>
  </si>
  <si>
    <t>TUCURUI|0009476/2021-Substituição do Transformador de Corrente 500kV do TCDJ7-17 fase V - Vão FY2-Aquisição de 285 conectores de expansão barra chata - tubo 4 polegadas IPS para utilização na instalação dos Transformadores de Corrente de 500 kV das Subestações de Tucuruí, Marabá e Vila do Conde</t>
  </si>
  <si>
    <t>TUCURUI|0009493/2021-Substituição do Transformador de Corrente 500kV do TCDJ7-08 Fase B - Vão DY2-Aquisição de 285 conectores de expansão barra chata - tubo 4 polegadas IPS para utilização na instalação dos Transformadores de Corrente de 500 kV das Subestações de Tucuruí, Marabá e Vila do Conde</t>
  </si>
  <si>
    <t>TUCURUI|0009497/2021-Substituição do Transformador de Corrente 500kV do TCDJ7-08 Fase V - Vão DY2-Aquisição de 285 conectores de expansão barra chata - tubo 4 polegadas IPS para utilização na instalação dos Transformadores de Corrente de 500 kV das Subestações de Tucuruí, Marabá e Vila do Conde</t>
  </si>
  <si>
    <t>TUCURUI|0009858/2021-Substituição do Transformador de Corrente 500kV do TCDJ7-07 Fase V - Vão DX-Aquisição de 285 conectores de expansão barra chata - tubo 4 polegadas IPS para utilização na instalação dos Transformadores de Corrente de 500 kV das Subestações de Tucuruí, Marabá e Vila do Conde</t>
  </si>
  <si>
    <t>TUCURUI|0009875/2021-Substituição do Transformador de Corrente 500kV do TCDJ7-08 Fase A - Vão DY2-Aquisição de 285 conectores de expansão barra chata - tubo 4 polegadas IPS para utilização na instalação dos Transformadores de Corrente de 500 kV das Subestações de Tucuruí, Marabá e Vila do Conde</t>
  </si>
  <si>
    <t>VILA DO CONDE|0008526/2021-Substituição do Transformador de Corrente 500kV do VCDJ7-06 Fase V - Vão CZ-Aquisição de 285 conectores de expansão barra chata - tubo 4 polegadas IPS para utilização na instalação dos Transformadores de Corrente de 500 kV das Subestações de Tucuruí, Marabá e Vila do Conde</t>
  </si>
  <si>
    <t>VILA DO CONDE|0008586/2021-Substituição do Transformador de Corrente 500kV do VCDJ7-06 Fase B - Vão CZ-Aquisição de 285 conectores de expansão barra chata - tubo 4 polegadas IPS para utilização na instalação dos Transformadores de Corrente de 500 kV das Subestações de Tucuruí, Marabá e Vila do Conde</t>
  </si>
  <si>
    <t>VILA DO CONDE|0008589/2021-Substituição do Transformador de Corrente 500kV do VCDJ7-06 Fase A - Vão CZ-Aquisição de 285 conectores de expansão barra chata - tubo 4 polegadas IPS para utilização na instalação dos Transformadores de Corrente de 500 kV das Subestações de Tucuruí, Marabá e Vila do Conde</t>
  </si>
  <si>
    <t>VILA DO CONDE|0008604/2021-Substituição do Transformador de Corrente 500kV do VCDJ7-08 Fase V - Vão BY1-Aquisição de 285 conectores de expansão barra chata - tubo 4 polegadas IPS para utilização na instalação dos Transformadores de Corrente de 500 kV das Subestações de Tucuruí, Marabá e Vila do Conde</t>
  </si>
  <si>
    <t>VILA DO CONDE|0008609/2021-Substituição do Transformador de Corrente 500kV do VCDJ7-08 Fase B - Vão BY1-Aquisição de 285 conectores de expansão barra chata - tubo 4 polegadas IPS para utilização na instalação dos Transformadores de Corrente de 500 kV das Subestações de Tucuruí, Marabá e Vila do Conde</t>
  </si>
  <si>
    <t>VILA DO CONDE|0008613/2021-Substituição do Transformador de Corrente 500kV do VCDJ7-08 Fase A - Vão BY1-Aquisição de 285 conectores de expansão barra chata - tubo 4 polegadas IPS para utilização na instalação dos Transformadores de Corrente de 500 kV das Subestações de Tucuruí, Marabá e Vila do Conde</t>
  </si>
  <si>
    <t>VILA DO CONDE|0008618/2021-Substituição do Transformador de Corrente 500kV do VCDJ7-05 Fase V - Vão CY2-Aquisição de 285 conectores de expansão barra chata - tubo 4 polegadas IPS para utilização na instalação dos Transformadores de Corrente de 500 kV das Subestações de Tucuruí, Marabá e Vila do Conde</t>
  </si>
  <si>
    <t>VILA DO CONDE|0008620/2021-Substituição do Transformador de Corrente 500kV do VCDJ7-05 Fase B - Vão CY2-Aquisição de 285 conectores de expansão barra chata - tubo 4 polegadas IPS para utilização na instalação dos Transformadores de Corrente de 500 kV das Subestações de Tucuruí, Marabá e Vila do Conde</t>
  </si>
  <si>
    <t>VILA DO CONDE|0008621/2021-Substituição do Transformador de Corrente 500kV do VCDJ7-05 Fase A - Vão CY2-Aquisição de 285 conectores de expansão barra chata - tubo 4 polegadas IPS para utilização na instalação dos Transformadores de Corrente de 500 kV das Subestações de Tucuruí, Marabá e Vila do Conde</t>
  </si>
  <si>
    <t>VILA DO CONDE|0008622/2021-Substituição do Transformador de Corrente 500kV do VCDJ7-03 Fase A - Vão DZ-Aquisição de 285 conectores de expansão barra chata - tubo 4 polegadas IPS para utilização na instalação dos Transformadores de Corrente de 500 kV das Subestações de Tucuruí, Marabá e Vila do Conde</t>
  </si>
  <si>
    <t>VILA DO CONDE|0008631/2021-Substituição do Transformador de Corrente 
500kV do VCDJ7-05 Fase V - Vão CY1-Aquisição de 285 conectores de expansão barra chata - tubo 4 polegadas IPS para utilização na instalação dos Transformadores de Corrente de 500 kV das Subestações de Tucuruí, Marabá e Vila do Conde</t>
  </si>
  <si>
    <t>VILA DO CONDE|0008634/2021-Substituição do Transformador de Corrente 
500kV do VCDJ7-05 Fase B - Vão CY1-Aquisição de 285 conectores de expansão barra chata - tubo 4 polegadas IPS para utilização na instalação dos Transformadores de Corrente de 500 kV das Subestações de Tucuruí, Marabá e Vila do Conde</t>
  </si>
  <si>
    <t>VILA DO CONDE|0008638/2021-Substituição do Transformador de Corrente 
500kV do VCDJ7-05 Fase A - Vão CY1-Aquisição de 285 conectores de expansão barra chata - tubo 4 polegadas IPS para utilização na instalação dos Transformadores de Corrente de 500 kV das Subestações de Tucuruí, Marabá e Vila do Conde</t>
  </si>
  <si>
    <t>VILA DO CONDE|0008641/2021-Substituição do Transformador de Corrente 
500kV do VCDJ7-03 Fase V - Vão DZ-Aquisição de 285 conectores de expansão barra chata - tubo 4 polegadas IPS para utilização na instalação dos Transformadores de Corrente de 500 kV das Subestações de Tucuruí, Marabá e Vila do Conde</t>
  </si>
  <si>
    <t>VILA DO CONDE|0008645/2021-Substituição do Transformador de Corrente 
500kV do VCDJ7-03 Fase B - Vão DZ-Aquisição de 285 conectores de expansão barra chata - tubo 4 polegadas IPS para utilização na instalação dos Transformadores de Corrente de 500 kV das Subestações de Tucuruí, Marabá e Vila do Conde</t>
  </si>
  <si>
    <t>VILA DO CONDE|0008653/2021-Substituição do Transformador de Corrente 500kV do VCDJ7-02 Fase V - Vão DY2-Aquisição de 285 conectores de expansão barra chata - tubo 4 polegadas IPS para utilização na instalação dos Transformadores de Corrente de 500 kV das Subestações de Tucuruí, Marabá e Vila do Conde</t>
  </si>
  <si>
    <t>VILA DO CONDE|0008678/2021-Substituição do Transformador de Corrente 500kV do VCDJ7-02 Fase B - Vão DY2-Aquisição de 285 conectores de expansão barra chata - tubo 4 polegadas IPS para utilização na instalação dos Transformadores de Corrente de 500 kV das Subestações de Tucuruí, Marabá e Vila do Conde</t>
  </si>
  <si>
    <t>VILA DO CONDE|0008803/2021-Substituição do Transformador de Corrente 500kV do VCDJ7-02 Fase A - Vão DY2-Aquisição de 285 conectores de expansão barra chata - tubo 4 polegadas IPS para utilização na instalação dos Transformadores de Corrente de 500 kV das Subestações de Tucuruí, Marabá e Vila do Conde</t>
  </si>
  <si>
    <t>VILA DO CONDE|0008824/2021-Substituição do Transformador de Corrente 500kV do VCDJ7-02 Fase V - Vão DY1-Aquisição de 285 conectores de expansão barra chata - tubo 4 polegadas IPS para utilização na instalação dos Transformadores de Corrente de 500 kV das Subestações de Tucuruí, Marabá e Vila do Conde</t>
  </si>
  <si>
    <t>VILA DO CONDE|0008839/2021-Substituição do Transformador de Corrente 500kV do VCDJ7-02 Fase B - Vão DY1-Aquisição de 285 conectores de expansão barra chata - tubo 4 polegadas IPS para utilização na instalação dos Transformadores de Corrente de 500 kV das Subestações de Tucuruí, Marabá e Vila do Conde</t>
  </si>
  <si>
    <t>VILA DO CONDE|0008852/2021-Substituição do Transformador de Corrente 500kV do VCDJ7-02 Fase A - Vão DY1-Aquisição de 285 conectores de expansão barra chata - tubo 4 polegadas IPS para utilização na instalação dos Transformadores de Corrente de 500 kV das Subestações de Tucuruí, Marabá e Vila do Conde</t>
  </si>
  <si>
    <t>VILA DO CONDE|0008970/2021-Substituição do Transformador de Corrente 500kV do VCDJ7-01 Fase V - Vão DX-Aquisição de 285 conectores de expansão barra chata - tubo 4 polegadas IPS para utilização na instalação dos Transformadores de Corrente de 500 kV das Subestações de Tucuruí, Marabá e Vila do Conde</t>
  </si>
  <si>
    <t>VILA DO CONDE|0008984/2021-Substituição do Transformador de Corrente 500kV do VCDJ7-01 Fase B - Vão DX-Aquisição de 285 conectores de expansão barra chata - tubo 4 polegadas IPS para utilização na instalação dos Transformadores de Corrente de 500 kV das Subestações de Tucuruí, Marabá e Vila do Conde</t>
  </si>
  <si>
    <t>VILA DO CONDE|0009002/2021-Substituição do Transformador de Corrente 500kV do VCDJ7-01 Fase A - Vão DX-Aquisição de 285 conectores de expansão barra chata - tubo 4 polegadas IPS para utilização na instalação dos Transformadores de Corrente de 500 kV das Subestações de Tucuruí, Marabá e Vila do Conde</t>
  </si>
  <si>
    <t>VILA DO CONDE|0009531/2021-Substituição do Transformador de Corrente 500kV do VCDJ7-09 Fase A - Vão BZ-Aquisição de 285 conectores de expansão barra chata - tubo 4 polegadas IPS para utilização na instalação dos Transformadores de Corrente de 500 kV das Subestações de Tucuruí, Marabá e Vila do Conde</t>
  </si>
  <si>
    <t>VILA DO CONDE|0009536/2021-Substituição do Transformador de Corrente 500kV do VCDJ7-09 Fase B - Vão BZ-Aquisição de 285 conectores de expansão barra chata - tubo 4 polegadas IPS para utilização na instalação dos Transformadores de Corrente de 500 kV das Subestações de Tucuruí, Marabá e Vila do Conde</t>
  </si>
  <si>
    <t>VILA DO CONDE|0009541/2021-Substituição do Transformador de Corrente 500kV do VCDJ7-09 Fase  V - Vão BZ-Aquisição de 285 conectores de expansão barra chata - tubo 4 polegadas IPS para utilização na instalação dos Transformadores de Corrente de 500 kV das Subestações de Tucuruí, Marabá e Vila do Conde</t>
  </si>
  <si>
    <t>TRANSAMAZONIC|0001614/2021-SUBSTITUIÇÃO DO REATOR 230 kV 30 MVAr - TMRE6.01-Aquisição de Reator 230kV (1xTMRE6-1)</t>
  </si>
  <si>
    <t>RUROPOLIS|0007946/2021-Substituição da Chave Seccionadora RUSR6 02, 242 kV, 1250 Amperes-Aquisição de 3xRUSR6-02</t>
  </si>
  <si>
    <t>MARABA|0008219/2022-SUBSTITUIÇÃO DO DISJUNTOR MBDJ4-03 DA LINHA MARABÁ - RONDON DO PARÁ LI-RNMB-LI4-01-Aquisição de 02-DJs 69kV-RNMB</t>
  </si>
  <si>
    <t>MARABA|0008683/2022-SUBSTITUIÇÃO DO DISJUNTOR MBDJ4-02 DA LINHA MARABÁ - NOVA JACUNDÁ LI-NJMB-LI4-01-Aquisição de 02-DJs 69kV-NJMB</t>
  </si>
  <si>
    <t>TRANSAMAZONIC|0001614/2021-SUBSTITUIÇÃO DO REATOR 230 kV 30 MVAr - TMRE6.01-Aquisição de TCs (71 unidades)245kV + (5 unidades)550kV</t>
  </si>
  <si>
    <t>ABUNA|0008319/2021-Implantação de monitoramento on-line de buchas do ANRE6-05-Aquisição de sistema de monitoramento de buchas on-line para os transformadores e reatores de potência da Eletronorte (SISTEMA DE TRANSMISSÃO)</t>
  </si>
  <si>
    <t>ABUNA|0008322/2021-Implantação de monitoramento on-line de buchas do ANRE6-04-Aquisição de sistema de monitoramento de buchas on-line para os transformadores e reatores de potência da Eletronorte (SISTEMA DE TRANSMISSÃO)</t>
  </si>
  <si>
    <t>ABUNA|0008331/2021-Implantação de monitoramento on-line de buchas do ANRE6-03-Aquisição de sistema de monitoramento de buchas on-line para os transformadores e reatores de potência da Eletronorte (SISTEMA DE TRANSMISSÃO)</t>
  </si>
  <si>
    <t>ABUNA|0008756/2021-Implantação de monitoramento on-line de buchas do ANAT6-02-Aquisição de sistema de monitoramento de buchas on-line para os transformadores e reatores de potência da Eletronorte (SISTEMA DE TRANSMISSÃO)</t>
  </si>
  <si>
    <t>ABUNA|0008762/2021-Instalação de rede de comunicação para monitoramento nos transformadores e reatores de potência conectados ao SIN da subestação ABUNÃ, contemplando switches, fibras ópticas, painéis, entre outros.-Aquisição de sistema de monitoramento de buchas on-line para os transformadores e reatores de potência da Eletronorte (SISTEMA DE TRANSMISSÃO)</t>
  </si>
  <si>
    <t>ALTAMIRA|0008822/2021-Implantação de monitoramento on-line de buchas do ATTF6-03-Aquisição de sistema de monitoramento de buchas on-line para os transformadores e reatores de potência da Eletronorte (SISTEMA DE TRANSMISSÃO)</t>
  </si>
  <si>
    <t>ALTAMIRA|0008825/2021-Implantação de monitoramento on-line de buchas do ATTF6-02-Aquisição de sistema de monitoramento de buchas on-line para os transformadores e reatores de potência da Eletronorte (SISTEMA DE TRANSMISSÃO)</t>
  </si>
  <si>
    <t>ALTAMIRA|0008830/2021-Implantação de monitoramento on-line de buchas do ATTF6-01-Aquisição de sistema de monitoramento de buchas on-line para os transformadores e reatores de potência da Eletronorte (SISTEMA DE TRANSMISSÃO)</t>
  </si>
  <si>
    <t>ALTAMIRA|0008834/2021-Instalação de rede de comunicação para monitoramento nos transformadores e reatores de potência conectados ao SIN da subestação ALTAMIRA, contemplando switches, fibras ópticas, painéis, entre outros.-Aquisição de sistema de monitoramento de buchas on-line para os transformadores e reatores de potência da Eletronorte (SISTEMA DE TRANSMISSÃO)</t>
  </si>
  <si>
    <t>ALTAMIRA|0009862/2021-Implantação de monitoramento on-line de buchas do ATRE6-03-Aquisição de sistema de monitoramento de buchas on-line para os transformadores e reatores de potência da Eletronorte (SISTEMA DE TRANSMISSÃO)</t>
  </si>
  <si>
    <t>ARIQUEMES|0008289/2021-Implantação de monitoramento on-line de buchas do AQRE6-03-Aquisição de sistema de monitoramento de buchas on-line para os transformadores e reatores de potência da Eletronorte (SISTEMA DE TRANSMISSÃO)</t>
  </si>
  <si>
    <t>ARIQUEMES|0008293/2021-Implantação de monitoramento on-line de buchas do AQTF6-02-Aquisição de sistema de monitoramento de buchas on-line para os transformadores e reatores de potência da Eletronorte (SISTEMA DE TRANSMISSÃO)</t>
  </si>
  <si>
    <t>ARIQUEMES|0008299/2021-Implantação de monitoramento on-line de buchas do AQTF6-01-Aquisição de sistema de monitoramento de buchas on-line para os transformadores e reatores de potência da Eletronorte (SISTEMA DE TRANSMISSÃO)</t>
  </si>
  <si>
    <t>ARIQUEMES|0008304/2021-Instalação de rede de comunicação para monitoramento nos transformadores e reatores de potência conectados ao SIN da subestação ARIQUEMES, contemplando switches, fibras ópticas, painéis, entre outros.-Aquisição de sistema de monitoramento de buchas on-line para os transformadores e reatores de potência da Eletronorte (SISTEMA DE TRANSMISSÃO)</t>
  </si>
  <si>
    <t>BALSAS|0008576/2021-Implantação de monitoramento on-line de buchas do BSTF6-01-Aquisição de sistema de monitoramento de buchas on-line para os transformadores e reatores de potência da Eletronorte (SISTEMA DE TRANSMISSÃO)</t>
  </si>
  <si>
    <t>BALSAS|0008579/2021-Implantação de monitoramento on-line de buchas do BSTF6-02-Aquisição de sistema de monitoramento de buchas on-line para os transformadores e reatores de potência da Eletronorte (SISTEMA DE TRANSMISSÃO)</t>
  </si>
  <si>
    <t>BALSAS|0008581/2021-Instalação de rede de comunicação para monitoramento nos transformadores e reatores de potência conectados ao SIN da subestação BALSAS, contemplando switches, fibras ópticas, painéis, entre outros.-Aquisição de sistema de monitoramento de buchas on-line para os transformadores e reatores de potência da Eletronorte (SISTEMA DE TRANSMISSÃO)</t>
  </si>
  <si>
    <t>BARRA PEIXE|0008220/2021-Implantação de monitoramento on-line de buchas doBPAT6-02-Aquisição de sistema de monitoramento de buchas on-line para os transformadores e reatores de potência da Eletronorte (SISTEMA DE TRANSMISSÃO)</t>
  </si>
  <si>
    <t>BARRA PEIXE|0008225/2021-Implantação de monitoramento on-line de buchas do BPAT6-03-Aquisição de sistema de monitoramento de buchas on-line para os transformadores e reatores de potência da Eletronorte (SISTEMA DE TRANSMISSÃO)</t>
  </si>
  <si>
    <t>BARRA PEIXE|0008227/2021-Implantação de monitoramento on-line de buchas do BPRE6-02-Aquisição de sistema de monitoramento de buchas on-line para os transformadores e reatores de potência da Eletronorte (SISTEMA DE TRANSMISSÃO)</t>
  </si>
  <si>
    <t>BARRA PEIXE|0008233/2021-Instalação de rede de comunicação para monitoramento nos transformadores e reatores de potência conectados ao SIN da subestação BARRA DO PEIXE, contemplando switches, fibras ópticas, painéis, entre outros.-Aquisição de sistema de monitoramento de buchas on-line para os transformadores e reatores de potência da Eletronorte (SISTEMA DE TRANSMISSÃO)</t>
  </si>
  <si>
    <t>BOA VISTA|0009205/2021-Instalação de rede de comunicação para monitoramento nos transformadores e reatores de potência conectados ao SIN da subestação BOA VISTA, contemplando switches, fibras ópticas, painéis, entre outros.-Aquisição de sistema de monitoramento de buchas on-line para os transformadores e reatores de potência da Eletronorte (SISTEMA DE TRANSMISSÃO)</t>
  </si>
  <si>
    <t>C. MAGALHAES|0008272/2021-Implantação de monitoramento on-line de buchas do CNRE5-01-Aquisição de sistema de monitoramento de buchas on-line para os transformadores e reatores de potência da Eletronorte (SISTEMA DE TRANSMISSÃO)</t>
  </si>
  <si>
    <t>C. MAGALHAES|0008275/2021-Implantação de monitoramento on-line de buchas do CNRE5-02-Aquisição de sistema de monitoramento de buchas on-line para os transformadores e reatores de potência da Eletronorte (SISTEMA DE TRANSMISSÃO)</t>
  </si>
  <si>
    <t>C. MAGALHAES|0008285/2021-Instalação de rede de comunicação para monitoramento nos transformadores e reatores de potência conectados ao SIN da subestação COUTO MAGALHÃES, contemplando switches, fibras ópticas, painéis, entre outros.-Aquisição de sistema de monitoramento de buchas on-line para os transformadores e reatores de potência da Eletronorte (SISTEMA DE TRANSMISSÃO)</t>
  </si>
  <si>
    <t>C. MAGALHAES|0008295/2021-Implantação de monitoramento on-line de buchas do CNTF5-01-Aquisição de sistema de monitoramento de buchas on-line para os transformadores e reatores de potência da Eletronorte (SISTEMA DE TRANSMISSÃO)</t>
  </si>
  <si>
    <t>COELHO NETO|0008515/2021-Implantação de monitoramento on-line de buchas do CHTF6-01-Aquisição de sistema de monitoramento de buchas on-line para os transformadores e reatores de potência da Eletronorte (SISTEMA DE TRANSMISSÃO)</t>
  </si>
  <si>
    <t>COELHO NETO|0008517/2021-Implantação de monitoramento on-line de buchas do CHTF6-02-Aquisição de sistema de monitoramento de buchas on-line para os transformadores e reatores de potência da Eletronorte (SISTEMA DE TRANSMISSÃO)</t>
  </si>
  <si>
    <t>COELHO NETO|0008519/2021-Implantação de monitoramento on-line de buchas do CHRE6-01-Aquisição de sistema de monitoramento de buchas on-line para os transformadores e reatores de potência da Eletronorte (SISTEMA DE TRANSMISSÃO)</t>
  </si>
  <si>
    <t>COELHO NETO|0008521/2021-Implantação de monitoramento on-line de buchas do CHRE6-02-Aquisição de sistema de monitoramento de buchas on-line para os transformadores e reatores de potência da Eletronorte (SISTEMA DE TRANSMISSÃO)</t>
  </si>
  <si>
    <t>COELHO NETO|0008532/2021-Instalação de rede de comunicação para monitoramento nos transformadores e reatores de potência conectados ao SIN da subestação COELHO NETO, contemplando switches, fibras ópticas, painéis, entre outros.-Aquisição de sistema de monitoramento de buchas on-line para os transformadores e reatores de potência da Eletronorte (SISTEMA DE TRANSMISSÃO)</t>
  </si>
  <si>
    <t>COLINAS|0008598/2021-Implantação de monitoramento on-line de buchas do CORE7-04-Aquisição de sistema de monitoramento de buchas on-line para os transformadores e reatores de potência da Eletronorte (SISTEMA DE TRANSMISSÃO)</t>
  </si>
  <si>
    <t>COLINAS|0008601/2021-Instalação de rede de comunicação para monitoramento nos transformadores e reatores de potência conectados ao SIN da subestação COLINAS, contemplando switches, fibras ópticas, painéis, entre outros.-Aquisição de sistema de monitoramento de buchas on-line para os transformadores e reatores de potência da Eletronorte (SISTEMA DE TRANSMISSÃO)</t>
  </si>
  <si>
    <t>COXIPO|0002526/2021-IMPLANTAÇÃO DEMONITOR DE BUCHAS P/ AUTO-TRAFO, TRAFO E REATORESTENSÃO 230KV-Aquisição de sistema de monitoramento de buchas on-line para os transformadores e reatores de potência da Eletronorte (SISTEMA DE TRANSMISSÃO)</t>
  </si>
  <si>
    <t>COXIPO|0002961/2021-IMPLANTAÇÃO DEMONITOR DE BUCHAS P/ AUTO-TRAFO, TRAFO E REATORESTENSÃO 230KV-Aquisição de sistema de monitoramento de buchas on-line para os transformadores e reatores de potência da Eletronorte (SISTEMA DE TRANSMISSÃO)</t>
  </si>
  <si>
    <t>COXIPO|0008001/2021-Implantação de monitoramento on-line de buchas do CXAT6-05-Aquisição de sistema de monitoramento de buchas on-line para os transformadores e reatores de potência da Eletronorte (SISTEMA DE TRANSMISSÃO)</t>
  </si>
  <si>
    <t>COXIPO|0008067/2021-Implantação de monitoramento on-line de buchas do CXTF6-01-Aquisição de sistema de monitoramento de buchas on-line para os transformadores e reatores de potência da Eletronorte (SISTEMA DE TRANSMISSÃO)</t>
  </si>
  <si>
    <t>COXIPO|0008072/2021-Instalação de rede de comunicação para monitoramento nos transformadores e reatores de potência conectados ao SIN da subestação COXIPO, contemplando switches, fibras ópticas, painéis, entre outros.-Aquisição de sistema de monitoramento de buchas on-line para os transformadores e reatores de potência da Eletronorte (SISTEMA DE TRANSMISSÃO)</t>
  </si>
  <si>
    <t>GUAMA|0008623/2021-Implantação de monitoramento on-line de buchas do GMTF6-03-Aquisição de sistema de monitoramento de buchas on-line para os transformadores e reatores de potência da Eletronorte (SISTEMA DE TRANSMISSÃO)</t>
  </si>
  <si>
    <t>GUAMA|0008627/2021-Instalação de rede de comunicação para monitoramento nos transformadores e reatores de potência conectados ao SIN da subestação GUAMÁ, contemplando switches, fibras ópticas, painéis, entre outros.-Aquisição de sistema de monitoramento de buchas on-line para os transformadores e reatores de potência da Eletronorte (SISTEMA DE TRANSMISSÃO)</t>
  </si>
  <si>
    <t>IMPERATRIZ|0008536/2021-Implantação de monitoramento on-line de buchas do IZTF6-03-Aquisição de sistema de monitoramento de buchas on-line para os transformadores e reatores de potência da Eletronorte (SISTEMA DE TRANSMISSÃO)</t>
  </si>
  <si>
    <t>IMPERATRIZ|0008539/2021-Implantação de monitoramento on-line de buchas do IZTF6-04-Aquisição de sistema de monitoramento de buchas on-line para os transformadores e reatores de potência da Eletronorte (SISTEMA DE TRANSMISSÃO)</t>
  </si>
  <si>
    <t>IMPERATRIZ|0008542/2021-Implantação de monitoramento on-line de buchas do IZTF6-05-Aquisição de sistema de monitoramento de buchas on-line para os transformadores e reatores de potência da Eletronorte (SISTEMA DE TRANSMISSÃO)</t>
  </si>
  <si>
    <t>IMPERATRIZ|0008544/2021-Implantação de monitoramento on-line de buchas do IZRE7-12-Aquisição de sistema de monitoramento de buchas on-line para os transformadores e reatores de potência da Eletronorte (SISTEMA DE TRANSMISSÃO)</t>
  </si>
  <si>
    <t>IMPERATRIZ|0008547/2021-Implantação de monitoramento on-line de buchas do IZRE7-02-Aquisição de sistema de monitoramento de buchas on-line para os transformadores e reatores de potência da Eletronorte (SISTEMA DE TRANSMISSÃO)</t>
  </si>
  <si>
    <t>IMPERATRIZ|0008552/2021-Implantação de monitoramento on-line de buchas do IZRE7-03-Aquisição de sistema de monitoramento de buchas on-line para os transformadores e reatores de potência da Eletronorte (SISTEMA DE TRANSMISSÃO)</t>
  </si>
  <si>
    <t>IMPERATRIZ|0008557/2021-Implantação de monitoramento on-line de buchas do IZRE7-06-Aquisição de sistema de monitoramento de buchas on-line para os transformadores e reatores de potência da Eletronorte (SISTEMA DE TRANSMISSÃO)</t>
  </si>
  <si>
    <t>IMPERATRIZ|0008559/2021-Implantação de monitoramento on-line de buchas do IZRE7-14-Aquisição de sistema de monitoramento de buchas on-line para os transformadores e reatores de potência da Eletronorte (SISTEMA DE TRANSMISSÃO)</t>
  </si>
  <si>
    <t>IMPERATRIZ|0008561/2021-Instalação de rede de comunicação para monitoramento nos transformadores e reatores de potência conectados ao SIN da subestação IMPERATRIZ, contemplando switches, fibras ópticas, painéis, entre outros.-Aquisição de sistema de monitoramento de buchas on-line para os transformadores e reatores de potência da Eletronorte (SISTEMA DE TRANSMISSÃO)</t>
  </si>
  <si>
    <t>JARU|0008274/2021-Implantação de monitoramento on-line de buchas do JRTF6-01-Aquisição de sistema de monitoramento de buchas on-line para os transformadores e reatores de potência da Eletronorte (SISTEMA DE TRANSMISSÃO)</t>
  </si>
  <si>
    <t>JARU|0008281/2021-Instalação de rede de comunicação para monitoramento nos transformadores e reatores de potência conectados ao SIN da subestação JARU, contemplando switches, fibras ópticas, painéis, entre outros.-Aquisição de sistema de monitoramento de buchas on-line para os transformadores e reatores de potência da Eletronorte (SISTEMA DE TRANSMISSÃO)</t>
  </si>
  <si>
    <t>JAURU|0002959/2021-IMPLANTAÇÃO DEMONITOR DE BUCHAS P/ AUTO-TRAFO, TRAFO E REATORESTENSÃO 230KV-Aquisição de sistema de monitoramento de buchas on-line para os transformadores e reatores de potência da Eletronorte (SISTEMA DE TRANSMISSÃO)</t>
  </si>
  <si>
    <t>JAURU|0007990/2021-Implantação de monitoramento on-line de buchas do JURE6-04-Aquisição de sistema de monitoramento de buchas on-line para os transformadores e reatores de potência da Eletronorte (SISTEMA DE TRANSMISSÃO)</t>
  </si>
  <si>
    <t>JAURU|0007996/2021-Instalação de rede de comunicação para monitoramento nos transformadores e reatores de potência conectados ao SIN da subestação JAURU, contemplando switches, fibras ópticas, painéis, entre outros.-Aquisição de sistema de monitoramento de buchas on-line para os transformadores e reatores de potência da Eletronorte (SISTEMA DE TRANSMISSÃO)</t>
  </si>
  <si>
    <t>JI-PARANA|0003435/2021-IMPLANTAÇÃO DEMONITOR DE BUCHAS P/ AUTO-TRAFO, TRAFO E REATORESTENSÃO 230KV-Aquisição de sistema de monitoramento de buchas on-line para os transformadores e reatores de potência da Eletronorte (SISTEMA DE TRANSMISSÃO)</t>
  </si>
  <si>
    <t>JI-PARANA|0008252/2021-Implantação de monitoramento on-line de buchas do JIRE6-04-Aquisição de sistema de monitoramento de buchas on-line para os transformadores e reatores de potência da Eletronorte (SISTEMA DE TRANSMISSÃO)</t>
  </si>
  <si>
    <t>JI-PARANA|0008254/2021-Implantação de monitoramento on-line de buchas do JIRE6-03-Aquisição de sistema de monitoramento de buchas on-line para os transformadores e reatores de potência da Eletronorte (SISTEMA DE TRANSMISSÃO)</t>
  </si>
  <si>
    <t>JI-PARANA|0008259/2021-Implantação de monitoramento on-line de buchas do JITF6-03-Aquisição de sistema de monitoramento de buchas on-line para os transformadores e reatores de potência da Eletronorte (SISTEMA DE TRANSMISSÃO)</t>
  </si>
  <si>
    <t>JI-PARANA|0008263/2021-Implantação de monitoramento on-line de buchas do JIAT6-02-Aquisição de sistema de monitoramento de buchas on-line para os transformadores e reatores de potência da Eletronorte (SISTEMA DE TRANSMISSÃO)</t>
  </si>
  <si>
    <t>JI-PARANA|0008268/2021-Instalação de rede de comunicação para monitoramento nos transformadores e reatores de potência conectados ao SIN da subestação JI-PARANÁ, contemplando switches, fibras ópticas, painéis, entre outros.-Aquisição de sistema de monitoramento de buchas on-line para os transformadores e reatores de potência da Eletronorte (SISTEMA DE TRANSMISSÃO)</t>
  </si>
  <si>
    <t>L.D.RIO VERDE|0007943/2021-Implantação de monitoramento on-line de buchas do LCAT6-01-Aquisição de sistema de monitoramento de buchas on-line para os transformadores e reatores de potência da Eletronorte (SISTEMA DE TRANSMISSÃO)</t>
  </si>
  <si>
    <t>L.D.RIO VERDE|0007951/2021-Instalação de rede de comunicação para monitoramento nos transformadores e reatores de potência conectados ao SIN da subestação Lucas do Rio Verde, contemplando switches, fibras ópticas, painéis, entre outros.-Aquisição de sistema de monitoramento de buchas on-line para os transformadores e reatores de potência da Eletronorte (SISTEMA DE TRANSMISSÃO)</t>
  </si>
  <si>
    <t>LECHUGA|0007922/2021-Implantação de monitoramento on-line de buchas do LEAT6-03-Aquisição de sistema de monitoramento de buchas on-line para os transformadores e reatores de potência da Eletronorte (SISTEMA DE TRANSMISSÃO)</t>
  </si>
  <si>
    <t>LECHUGA|0007925/2021-Implantação de monitoramento on-line de buchas do LEAT6-02-Aquisição de sistema de monitoramento de buchas on-line para os transformadores e reatores de potência da Eletronorte (SISTEMA DE TRANSMISSÃO)</t>
  </si>
  <si>
    <t>LECHUGA|0007933/2021-Implantação de monitoramento on-line de buchas do LEAT6-01-Aquisição de sistema de monitoramento de buchas on-line para os transformadores e reatores de potência da Eletronorte (SISTEMA DE TRANSMISSÃO)</t>
  </si>
  <si>
    <t>LECHUGA|0007964/2021-Instalação de rede de comunicação para monitoramento nos transformadores e reatores de potência conectados ao SIN da subestação Lechuga, contemplando switches, fibras ópticas, painéis, entre outros.-Aquisição de sistema de monitoramento de buchas on-line para os transformadores e reatores de potência da Eletronorte (SISTEMA DE TRANSMISSÃO)</t>
  </si>
  <si>
    <t>MARABA|0008767/2021-Implantação de monitoramento on-line de buchas doMBAT7-01-Aquisição de sistema de monitoramento de buchas on-line para os transformadores e reatores de potência da Eletronorte (SISTEMA DE TRANSMISSÃO)</t>
  </si>
  <si>
    <t>MARABA|0008776/2021-Implantação de monitoramento on-line de buchas do MBTF6-02-Aquisição de sistema de monitoramento de buchas on-line para os transformadores e reatores de potência da Eletronorte (SISTEMA DE TRANSMISSÃO)</t>
  </si>
  <si>
    <t>MARABA|0008785/2021-Implantação de monitoramento on-line de buchas do MBTF6-01-Aquisição de sistema de monitoramento de buchas on-line para os transformadores e reatores de potência da Eletronorte (SISTEMA DE TRANSMISSÃO)</t>
  </si>
  <si>
    <t>MARABA|0008797/2021-Implantação de monitoramento on-line de buchas do MBRE7-01-Aquisição de sistema de monitoramento de buchas on-line para os transformadores e reatores de potência da Eletronorte (SISTEMA DE TRANSMISSÃO)</t>
  </si>
  <si>
    <t>MARABA|0008817/2021-Implantação de monitoramento on-line de buchas do MBRE7-02-Aquisição de sistema de monitoramento de buchas on-line para os transformadores e reatores de potência da Eletronorte (SISTEMA DE TRANSMISSÃO)</t>
  </si>
  <si>
    <t>MARABA|0008823/2021-Implantação de monitoramento on-line de buchas do MBRE7-03-Aquisição de sistema de monitoramento de buchas on-line para os transformadores e reatores de potência da Eletronorte (SISTEMA DE TRANSMISSÃO)</t>
  </si>
  <si>
    <t>MARABA|0008828/2021-Implantação de monitoramento on-line de buchas do MBRE7-04-Aquisição de sistema de monitoramento de buchas on-line para os transformadores e reatores de potência da Eletronorte (SISTEMA DE TRANSMISSÃO)</t>
  </si>
  <si>
    <t>MARABA|0008844/2021-Implantação de monitoramento on-line de buchas do MBRE7-11-Aquisição de sistema de monitoramento de buchas on-line para os transformadores e reatores de potência da Eletronorte (SISTEMA DE TRANSMISSÃO)</t>
  </si>
  <si>
    <t>MARABA|0008855/2021-Implantação de monitoramento on-line de buchas do MBRE7-12-Aquisição de sistema de monitoramento de buchas on-line para os transformadores e reatores de potência da Eletronorte (SISTEMA DE TRANSMISSÃO)</t>
  </si>
  <si>
    <t>MARABA|0008861/2021-Implantação de monitoramento on-line de buchas do MBRE7-09-Aquisição de sistema de monitoramento de buchas on-line para os transformadores e reatores de potência da Eletronorte (SISTEMA DE TRANSMISSÃO)</t>
  </si>
  <si>
    <t>MARABA|0008869/2021-Instalação de rede de comunicação para monitoramento nos transformadores e reatores de potência conectados ao SIN da subestação MARABÁ, contemplando switches, fibras ópticas, painéis, entre outros.-Aquisição de sistema de monitoramento de buchas on-line para os transformadores e reatores de potência da Eletronorte (SISTEMA DE TRANSMISSÃO)</t>
  </si>
  <si>
    <t>MIRACEMA|0008608/2021-Implantação de monitoramento on-line de buchas do MCRE7-02-Aquisição de sistema de monitoramento de buchas on-line para os transformadores e reatores de potência da Eletronorte (SISTEMA DE TRANSMISSÃO)</t>
  </si>
  <si>
    <t>MIRACEMA|0008612/2021-Implantação de monitoramento on-line de buchas do MCRE7-03-Aquisição de sistema de monitoramento de buchas on-line para os transformadores e reatores de potência da Eletronorte (SISTEMA DE TRANSMISSÃO)</t>
  </si>
  <si>
    <t>MIRACEMA|0008617/2021-Instalação de rede de comunicação para monitoramento nos transformadores e reatores de potência conectados ao SIN da subestação MIRACEMA, contemplando switches, fibras ópticas, painéis, entre outros.-Aquisição de sistema de monitoramento de buchas on-line para os transformadores e reatores de potência da Eletronorte (SISTEMA DE TRANSMISSÃO)</t>
  </si>
  <si>
    <t>MIRAMAR|0008632/2021-Implantação de monitoramento on-line de buchas do MMTF6-01-Aquisição de sistema de monitoramento de buchas on-line para os transformadores e reatores de potência da Eletronorte (SISTEMA DE TRANSMISSÃO)</t>
  </si>
  <si>
    <t>MIRAMAR|0008636/2021-Implantação de monitoramento on-line de buchas do MMTF6-02-Aquisição de sistema de monitoramento de buchas on-line para os transformadores e reatores de potência da Eletronorte (SISTEMA DE TRANSMISSÃO)</t>
  </si>
  <si>
    <t>MIRAMAR|0008639/2021-Implantação de monitoramento on-line de buchas do MMTF6-03-Aquisição de sistema de monitoramento de buchas on-line para os transformadores e reatores de potência da Eletronorte (SISTEMA DE TRANSMISSÃO)</t>
  </si>
  <si>
    <t>MIRAMAR|0008643/2021-Instalação de rede de comunicação para monitoramento nos transformadores e reatores de potência conectados ao SIN da subestação MIRAMAR, contemplando switches, fibras ópticas, painéis, entre outros.-Aquisição de sistema de monitoramento de buchas on-line para os transformadores e reatores de potência da Eletronorte (SISTEMA DE TRANSMISSÃO)</t>
  </si>
  <si>
    <t>MIRANDA II|0008363/2021-Implantação de monitoramento on-line de buchas do MRAT6-01-Aquisição de sistema de monitoramento de buchas on-line para os transformadores e reatores de potência da Eletronorte (SISTEMA DE TRANSMISSÃO)</t>
  </si>
  <si>
    <t>MIRANDA II|0008365/2021-Implantação de monitoramento on-line de buchas do MRAT6-02-Aquisição de sistema de monitoramento de buchas on-line para os transformadores e reatores de potência da Eletronorte (SISTEMA DE TRANSMISSÃO)</t>
  </si>
  <si>
    <t>MIRANDA II|0008366/2021-Implantação de monitoramento on-line de buchas do MRAT6-03-Aquisição de sistema de monitoramento de buchas on-line para os transformadores e reatores de potência da Eletronorte (SISTEMA DE TRANSMISSÃO)</t>
  </si>
  <si>
    <t>MIRANDA II|0008369/2021-Implantação de monitoramento on-line de buchas do MRTF6-02-Aquisição de sistema de monitoramento de buchas on-line para os transformadores e reatores de potência da Eletronorte (SISTEMA DE TRANSMISSÃO)</t>
  </si>
  <si>
    <t>MIRANDA II|0008371/2021-Implantação de monitoramento on-line de buchas do MRTF6-03-Aquisição de sistema de monitoramento de buchas on-line para os transformadores e reatores de potência da Eletronorte (SISTEMA DE TRANSMISSÃO)</t>
  </si>
  <si>
    <t>MIRANDA II|0008373/2021-Implantação de monitoramento on-line de buchas do MRRE6-01-Aquisição de sistema de monitoramento de buchas on-line para os transformadores e reatores de potência da Eletronorte (SISTEMA DE TRANSMISSÃO)</t>
  </si>
  <si>
    <t>MIRANDA II|0008374/2021-Implantação de monitoramento on-line de buchas do MRRE6-02-Aquisição de sistema de monitoramento de buchas on-line para os transformadores e reatores de potência da Eletronorte (SISTEMA DE TRANSMISSÃO)</t>
  </si>
  <si>
    <t>MIRANDA II|0008377/2021-Implantação de monitoramento on-line de buchas do MRRE6-01-Aquisição de sistema de monitoramento de buchas on-line para os transformadores e reatores de potência da Eletronorte (SISTEMA DE TRANSMISSÃO)</t>
  </si>
  <si>
    <t>MIRANDA II|0008380/2021-Instalação de rede de comunicação para monitoramento nos transformadores e reatores de potência conectados ao SIN da subestação MIRANDA II, contemplando switches, fibras ópticas, painéis, entre outros.-Aquisição de sistema de monitoramento de buchas on-line para os transformadores e reatores de potência da Eletronorte (SISTEMA DE TRANSMISSÃO)</t>
  </si>
  <si>
    <t>NOBRES|0008091/2021-Implantação de monitoramento on-line de buchas do NBAT6-01-Aquisição de sistema de monitoramento de buchas on-line para os transformadores e reatores de potência da Eletronorte (SISTEMA DE TRANSMISSÃO)</t>
  </si>
  <si>
    <t>NOBRES|0008196/2021-Implantação de monitoramento on-line de buchas do NBAT6-02-Aquisição de sistema de monitoramento de buchas on-line para os transformadores e reatores de potência da Eletronorte (SISTEMA DE TRANSMISSÃO)</t>
  </si>
  <si>
    <t>NOBRES|0008200/2021-Instalação de rede de comunicação para monitoramento nos transformadores e reatores de potência conectados ao SIN da subestação NOBRES, contemplando switches, fibras ópticas, painéis, entre outros.-Aquisição de sistema de monitoramento de buchas on-line para os transformadores e reatores de potência da Eletronorte (SISTEMA DE TRANSMISSÃO)</t>
  </si>
  <si>
    <t>NOVA MUTUM|0007954/2021-Implantação de monitoramento on-line de buchas do NMTF6-02-Aquisição de sistema de monitoramento de buchas on-line para os transformadores e reatores de potência da Eletronorte (SISTEMA DE TRANSMISSÃO)</t>
  </si>
  <si>
    <t>NOVA MUTUM|0007962/2021-Implantação de monitoramento on-line de buchas do NMTF6-03-Aquisição de sistema de monitoramento de buchas on-line para os transformadores e reatores de potência da Eletronorte (SISTEMA DE TRANSMISSÃO)</t>
  </si>
  <si>
    <t>NOVA MUTUM|0007971/2021-Implantação de monitoramento on-line de buchas do NMRE6-01-Aquisição de sistema de monitoramento de buchas on-line para os transformadores e reatores de potência da Eletronorte (SISTEMA DE TRANSMISSÃO)</t>
  </si>
  <si>
    <t>NOVA MUTUM|0007978/2021-Instalação de rede de comunicação para monitoramento nos transformadores e reatores de potência conectados ao SIN da subestação Nova Mutum, contemplando switches, fibras ópticas, painéis, entre outros.-Aquisição de sistema de monitoramento de buchas on-line para os transformadores e reatores de potência da Eletronorte (SISTEMA DE TRANSMISSÃO)</t>
  </si>
  <si>
    <t>P.DUTRA|0008495/2021-Implantação de monitoramento on-line de buchas do PDRE7-05-Aquisição de sistema de monitoramento de buchas on-line para os transformadores e reatores de potência da Eletronorte (SISTEMA DE TRANSMISSÃO)</t>
  </si>
  <si>
    <t>P.DUTRA|0008497/2021-Implantação de monitoramento on-line de buchas do PDRE7-06-Aquisição de sistema de monitoramento de buchas on-line para os transformadores e reatores de potência da Eletronorte (SISTEMA DE TRANSMISSÃO)</t>
  </si>
  <si>
    <t>P.DUTRA|0008501/2021-Implantação de monitoramento on-line de buchas do PDRE7-03-Aquisição de sistema de monitoramento de buchas on-line para os transformadores e reatores de potência da Eletronorte (SISTEMA DE TRANSMISSÃO)</t>
  </si>
  <si>
    <t>P.DUTRA|0008504/2021-Implantação de monitoramento on-line de buchas do PDRE7-02-Aquisição de sistema de monitoramento de buchas on-line para os transformadores e reatores de potência da Eletronorte (SISTEMA DE TRANSMISSÃO)</t>
  </si>
  <si>
    <t>P.DUTRA|0008507/2021-Implantação de monitoramento on-line de buchas do PDTF6-04-Aquisição de sistema de monitoramento de buchas on-line para os transformadores e reatores de potência da Eletronorte (SISTEMA DE TRANSMISSÃO)</t>
  </si>
  <si>
    <t>P.DUTRA|0008508/2021-Implantação de monitoramento on-line de buchas do PDTF6-05-Aquisição de sistema de monitoramento de buchas on-line para os transformadores e reatores de potência da Eletronorte (SISTEMA DE TRANSMISSÃO)</t>
  </si>
  <si>
    <t>P.DUTRA|0008510/2021-Instalação de rede de comunicação para monitoramento nos transformadores e reatores de potência conectados ao SIN da subestação PRESIDENTE DUTRA, contemplando switches, fibras ópticas, painéis, entre outros.-Aquisição de sistema de monitoramento de buchas on-line para os transformadores e reatores de potência da Eletronorte (SISTEMA DE TRANSMISSÃO)</t>
  </si>
  <si>
    <t>PERITORO|0008383/2021-Implantação de monitoramento on-line de buchas do PRTF6-01-Aquisição de sistema de monitoramento de buchas on-line para os transformadores e reatores de potência da Eletronorte (SISTEMA DE TRANSMISSÃO)</t>
  </si>
  <si>
    <t>PERITORO|0008385/2021-Implantação de monitoramento on-line de buchas do PRTF6-02-Aquisição de sistema de monitoramento de buchas on-line para os transformadores e reatores de potência da Eletronorte (SISTEMA DE TRANSMISSÃO)</t>
  </si>
  <si>
    <t>PERITORO|0008386/2021-Implantação de monitoramento on-line de buchas do PRTF6-03-Aquisição de sistema de monitoramento de buchas on-line para os transformadores e reatores de potência da Eletronorte (SISTEMA DE TRANSMISSÃO)</t>
  </si>
  <si>
    <t>PERITORO|0008388/2021-Instalação de rede de comunicação para monitoramento nos transformadores e reatores de potência conectados ao SIN da subestação PERITORÓ, contemplando switches, fibras ópticas, painéis, entre outros.-Aquisição de sistema de monitoramento de buchas on-line para os transformadores e reatores de potência da Eletronorte (SISTEMA DE TRANSMISSÃO)</t>
  </si>
  <si>
    <t>PIMENTA BUENO|0008198/2021-Implantação de monitoramento on-line de buchas do PBRE6-04-Aquisição de sistema de monitoramento de buchas on-line para os transformadores e reatores de potência da Eletronorte (SISTEMA DE TRANSMISSÃO)</t>
  </si>
  <si>
    <t>PIMENTA BUENO|0008201/2021-Implantação de monitoramento on-line de buchas do PBRE6-02-Aquisição de sistema de monitoramento de buchas on-line para os transformadores e reatores de potência da Eletronorte (SISTEMA DE TRANSMISSÃO)</t>
  </si>
  <si>
    <t>PIMENTA BUENO|0008205/2021-Implantação de monitoramento on-line de buchas do PBRE6-01-Aquisição de sistema de monitoramento de buchas on-line para os transformadores e reatores de potência da Eletronorte (SISTEMA DE TRANSMISSÃO)</t>
  </si>
  <si>
    <t>PIMENTA BUENO|0008211/2021-Implantação de monitoramento on-line de buchas do PBAT6-02-Aquisição de sistema de monitoramento de buchas on-line para os transformadores e reatores de potência da Eletronorte (SISTEMA DE TRANSMISSÃO)</t>
  </si>
  <si>
    <t>PIMENTA BUENO|0008243/2021-Implantação de monitoramento on-line de buchas do PBAT6-01-Aquisição de sistema de monitoramento de buchas on-line para os transformadores e reatores de potência da Eletronorte (SISTEMA DE TRANSMISSÃO)</t>
  </si>
  <si>
    <t>PIMENTA BUENO|0008249/2021-Instalação de rede de comunicação para monitoramento nos transformadores e reatores de potência conectados ao SIN da subestação PIMENTA BUENO, contemplando switches, fibras ópticas, painéis, entre outros.-Aquisição de sistema de monitoramento de buchas on-line para os transformadores e reatores de potência da Eletronorte (SISTEMA DE TRANSMISSÃO)</t>
  </si>
  <si>
    <t>PORTO FRANCO|0008563/2021-Implantação de monitoramento on-line de buchas do PFAT6-01-Aquisição de sistema de monitoramento de buchas on-line para os transformadores e reatores de potência da Eletronorte (SISTEMA DE TRANSMISSÃO)</t>
  </si>
  <si>
    <t>PORTO FRANCO|0008564/2021-Implantação de monitoramento on-line de buchas do PFAT6-02-Aquisição de sistema de monitoramento de buchas on-line para os transformadores e reatores de potência da Eletronorte (SISTEMA DE TRANSMISSÃO)</t>
  </si>
  <si>
    <t>PORTO FRANCO|0008567/2021-Implantação de monitoramento on-line de buchas do PFTF6-01-Aquisição de sistema de monitoramento de buchas on-line para os transformadores e reatores de potência da Eletronorte (SISTEMA DE TRANSMISSÃO)</t>
  </si>
  <si>
    <t>PORTO FRANCO|0008568/2021-Implantação de monitoramento on-line de buchas do PFTF6-02-Aquisição de sistema de monitoramento de buchas on-line para os transformadores e reatores de potência da Eletronorte (SISTEMA DE TRANSMISSÃO)</t>
  </si>
  <si>
    <t>PORTO FRANCO|0008570/2021-Implantação de monitoramento on-line de buchas do PFTF6-03-Aquisição de sistema de monitoramento de buchas on-line para os transformadores e reatores de potência da Eletronorte (SISTEMA DE TRANSMISSÃO)</t>
  </si>
  <si>
    <t>PORTO FRANCO|0008572/2021-Instalação de rede de comunicação para monitoramento nos transformadores e reatores de potência conectados ao SIN da subestação PORTO FRANCO, contemplando switches, fibras ópticas, painéis, entre outros.-Aquisição de sistema de monitoramento de buchas on-line para os transformadores e reatores de potência da Eletronorte (SISTEMA DE TRANSMISSÃO)</t>
  </si>
  <si>
    <t>PORTO VELHO|0008994/2021-Instalação de rede de comunicação para monitoramento nos transformadores e reatores de potência conectados ao SIN da subestação PORTO VELHO, contemplando switches, fibras ópticas, painéis, entre outros.-Aquisição de sistema de monitoramento de buchas on-line para os transformadores e reatores de potência da Eletronorte (SISTEMA DE TRANSMISSÃO)</t>
  </si>
  <si>
    <t>RIB.GONCALVES|0008584/2021-Implantação de monitoramento on-line de buchas do RGTF6-01-Aquisição de sistema de monitoramento de buchas on-line para os transformadores e reatores de potência da Eletronorte (SISTEMA DE TRANSMISSÃO)</t>
  </si>
  <si>
    <t>RIB.GONCALVES|0008588/2021-Implantação de monitoramento on-line de buchas do RGTF6-02-Aquisição de sistema de monitoramento de buchas on-line para os transformadores e reatores de potência da Eletronorte (SISTEMA DE TRANSMISSÃO)</t>
  </si>
  <si>
    <t>RIB.GONCALVES|0008592/2021-Implantação de monitoramento on-line de buchas do RGAT7-01-Aquisição de sistema de monitoramento de buchas on-line para os transformadores e reatores de potência da Eletronorte (SISTEMA DE TRANSMISSÃO)</t>
  </si>
  <si>
    <t>RIB.GONCALVES|0008595/2021-Instalação de rede de comunicação para monitoramento nos transformadores e reatores de potência conectados ao SIN da subestação RIBEIRO GONÇALVES, contemplando switches, fibras ópticas, painéis, entre outros.-Aquisição de sistema de monitoramento de buchas on-line para os transformadores e reatores de potência da Eletronorte (SISTEMA DE TRANSMISSÃO)</t>
  </si>
  <si>
    <t>RIO BRANCO I|0007911/2021-Implantação de monitoramento on-line de buchas do RBTF6-01-Aquisição de sistema de monitoramento de buchas on-line para os transformadores e reatores de potência da Eletronorte (SISTEMA DE TRANSMISSÃO)</t>
  </si>
  <si>
    <t>RIO BRANCO I|0008772/2021-Implantação de monitoramento on-line de buchas do RBRE6-03-Aquisição de sistema de monitoramento de buchas on-line para os transformadores e reatores de potência da Eletronorte (SISTEMA DE TRANSMISSÃO)</t>
  </si>
  <si>
    <t>RIO BRANCO I|0008778/2021-Implantação de monitoramento on-line de buchas do RBRE6-01-Aquisição de sistema de monitoramento de buchas on-line para os transformadores e reatores de potência da Eletronorte (SISTEMA DE TRANSMISSÃO)</t>
  </si>
  <si>
    <t>RIO BRANCO I|0008787/2021-Implantação de monitoramento on-line de buchas do RBAT6-01-Aquisição de sistema de monitoramento de buchas on-line para os transformadores e reatores de potência da Eletronorte (SISTEMA DE TRANSMISSÃO)</t>
  </si>
  <si>
    <t>RIO BRANCO I|0008793/2021-Instalação de rede de comunicação para monitoramento nos transformadores e reatores de potência conectados ao SIN da subestação RIO BRANCO I, contemplando switches, fibras ópticas, painéis, entre outros.-Aquisição de sistema de monitoramento de buchas on-line para os transformadores e reatores de potência da Eletronorte (SISTEMA DE TRANSMISSÃO)</t>
  </si>
  <si>
    <t>RONDONOPOLIS|0008202/2021-Implantação de monitoramento on-line de buchas do RPAT6-01-Aquisição de sistema de monitoramento de buchas on-line para os transformadores e reatores de potência da Eletronorte (SISTEMA DE TRANSMISSÃO)</t>
  </si>
  <si>
    <t>RONDONOPOLIS|0008207/2021-Implantação de monitoramento on-line de buchas do RPRE6-02-Aquisição de sistema de monitoramento de buchas on-line para os transformadores e reatores de potência da Eletronorte (SISTEMA DE TRANSMISSÃO)</t>
  </si>
  <si>
    <t>RONDONOPOLIS|0008212/2021-Implantação de monitoramento on-line de buchas do RPRE6-03-Aquisição de sistema de monitoramento de buchas on-line para os transformadores e reatores de potência da Eletronorte (SISTEMA DE TRANSMISSÃO)</t>
  </si>
  <si>
    <t>RONDONOPOLIS|0008217/2021-Instalação de rede de comunicação para monitoramento nos transformadores e reatores de potência conectados ao SIN da subestação RONDONÔPOLIS, contemplando switches, fibras ópticas, painéis, entre outros.-Aquisição de sistema de monitoramento de buchas on-line para os transformadores e reatores de potência da Eletronorte (SISTEMA DE TRANSMISSÃO)</t>
  </si>
  <si>
    <t>RUROPOLIS|0008898/2021-Implantação de monitoramento on-line de buchas do RURE6-02-Aquisição de sistema de monitoramento de buchas on-line para os transformadores e reatores de potência da Eletronorte (SISTEMA DE TRANSMISSÃO)</t>
  </si>
  <si>
    <t>RUROPOLIS|0008914/2021-Implantação de monitoramento on-line de buchas do RUAT6-02-Aquisição de sistema de monitoramento de buchas on-line para os transformadores e reatores de potência da Eletronorte (SISTEMA DE TRANSMISSÃO)</t>
  </si>
  <si>
    <t>RUROPOLIS|0008927/2021-Implantação de monitoramento on-line de buchas do RUAT6-01-Aquisição de sistema de monitoramento de buchas on-line para os transformadores e reatores de potência da Eletronorte (SISTEMA DE TRANSMISSÃO)</t>
  </si>
  <si>
    <t>RUROPOLIS|0008938/2021-Instalação de rede de comunicação para monitoramento nos transformadores e reatores de potência conectados ao SIN da subestação RUROPOLIS, contemplando switches, fibras ópticas, painéis, entre outros.-Aquisição de sistema de monitoramento de buchas on-line para os transformadores e reatores de potência da Eletronorte (SISTEMA DE TRANSMISSÃO)</t>
  </si>
  <si>
    <t>SANTA MARIA|0008648/2021-Implantação de monitoramento on-line de buchas do SRAT6-01-Aquisição de sistema de monitoramento de buchas on-line para os transformadores e reatores de potência da Eletronorte (SISTEMA DE TRANSMISSÃO)</t>
  </si>
  <si>
    <t>SANTA MARIA|0008658/2021-Implantação de monitoramento on-line de buchas do SRAT6-02-Aquisição de sistema de monitoramento de buchas on-line para os transformadores e reatores de potência da Eletronorte (SISTEMA DE TRANSMISSÃO)</t>
  </si>
  <si>
    <t>SANTA MARIA|0008664/2021-Implantação de monitoramento on-line de buchas do SRTF6-01-Aquisição de sistema de monitoramento de buchas on-line para os transformadores e reatores de potência da Eletronorte (SISTEMA DE TRANSMISSÃO)</t>
  </si>
  <si>
    <t>SANTA MARIA|0008671/2021-Implantação de monitoramento on-line de buchas do SRTF6-02-Aquisição de sistema de monitoramento de buchas on-line para os transformadores e reatores de potência da Eletronorte (SISTEMA DE TRANSMISSÃO)</t>
  </si>
  <si>
    <t>SANTA MARIA|0008674/2021-Instalação de rede de comunicação para monitoramento nos transformadores e reatores de potência conectados ao SIN da subestação SANTA MARIA, contemplando switches, fibras ópticas, painéis, entre outros.-Aquisição de sistema de monitoramento de buchas on-line para os transformadores e reatores de potência da Eletronorte (SISTEMA DE TRANSMISSÃO)</t>
  </si>
  <si>
    <t>SAO LUIS I|0008312/2021-Implantação de monitoramento on-line de buchas do LITF6-04-Aquisição de sistema de monitoramento de buchas on-line para os transformadores e reatores de potência da Eletronorte (SISTEMA DE TRANSMISSÃO)</t>
  </si>
  <si>
    <t>SAO LUIS I|0008318/2021-Instalação de rede de comunicação para monitoramento nos transformadores e reatores de potência conectados ao SIN da subestação SÃO LUIS I, contemplando switches, fibras ópticas, painéis, entre outros.-Aquisição de sistema de monitoramento de buchas on-line para os transformadores e reatores de potência da Eletronorte (SISTEMA DE TRANSMISSÃO)</t>
  </si>
  <si>
    <t>SAO LUIS II|0008324/2021-Implantação de monitoramento on-line de buchas do LDAT7-01-Aquisição de sistema de monitoramento de buchas on-line para os transformadores e reatores de potência da Eletronorte (SISTEMA DE TRANSMISSÃO)</t>
  </si>
  <si>
    <t>SAO LUIS II|0008327/2021-Implantação de monitoramento on-line de buchas do LDAT7-02-Aquisição de sistema de monitoramento de buchas on-line para os transformadores e reatores de potência da Eletronorte (SISTEMA DE TRANSMISSÃO)</t>
  </si>
  <si>
    <t>SAO LUIS II|0008333/2021-Implantação de monitoramento on-line de buchas do LDAT7-03-Aquisição de sistema de monitoramento de buchas on-line para os transformadores e reatores de potência da Eletronorte (SISTEMA DE TRANSMISSÃO)</t>
  </si>
  <si>
    <t>SAO LUIS II|0008341/2021-Implantação de monitoramento on-line de buchas do LDTF6-01-Aquisição de sistema de monitoramento de buchas on-line para os transformadores e reatores de potência da Eletronorte (SISTEMA DE TRANSMISSÃO)</t>
  </si>
  <si>
    <t>SAO LUIS II|0008344/2021-Implantação de monitoramento on-line de buchas do LDTF6-02-Aquisição de sistema de monitoramento de buchas on-line para os transformadores e reatores de potência da Eletronorte (SISTEMA DE TRANSMISSÃO)</t>
  </si>
  <si>
    <t>SAO LUIS II|0008347/2021-Instalação de rede de comunicação para monitoramento nos transformadores e reatores de potência conectados ao SIN da subestação SÃO LUIS II, contemplando switches, fibras ópticas, painéis, entre outros.-Aquisição de sistema de monitoramento de buchas on-line para os transformadores e reatores de potência da Eletronorte (SISTEMA DE TRANSMISSÃO)</t>
  </si>
  <si>
    <t>SAO LUIS III|0008351/2021-Implantação de monitoramento on-line de buchas do LTTF6-01-Aquisição de sistema de monitoramento de buchas on-line para os transformadores e reatores de potência da Eletronorte (SISTEMA DE TRANSMISSÃO)</t>
  </si>
  <si>
    <t>SAO LUIS III|0008354/2021-Implantação de monitoramento on-line de buchas do LTTF6-02-Aquisição de sistema de monitoramento de buchas on-line para os transformadores e reatores de potência da Eletronorte (SISTEMA DE TRANSMISSÃO)</t>
  </si>
  <si>
    <t>SAO LUIS III|0008358/2021-Instalação de rede de comunicação para monitoramento nos transformadores e reatores de potência conectados ao SIN da subestação SÃO LUIS III, contemplando switches, fibras ópticas, painéis, entre outros.-Aquisição de sistema de monitoramento de buchas on-line para os transformadores e reatores de potência da Eletronorte (SISTEMA DE TRANSMISSÃO)</t>
  </si>
  <si>
    <t>SINOP|0007863/2021-Implantação de monitoramento on-line de buchas do SPTF6-01 do SPCE6-01-Aquisição de sistema de monitoramento de buchas on-line para os transformadores e reatores de potência da Eletronorte (SISTEMA DE TRANSMISSÃO)</t>
  </si>
  <si>
    <t>SINOP|0007879/2021-Implantação de monitoramento on-line de buchas do SPRE6-01-Aquisição de sistema de monitoramento de buchas on-line para os transformadores e reatores de potência da Eletronorte (SISTEMA DE TRANSMISSÃO)</t>
  </si>
  <si>
    <t>SINOP|0007886/2021-Implantação de monitoramento on-line de buchas do SPRE6-02-Aquisição de sistema de monitoramento de buchas on-line para os transformadores e reatores de potência da Eletronorte (SISTEMA DE TRANSMISSÃO)</t>
  </si>
  <si>
    <t>SINOP|0007937/2021-Instalação de rede de comunicação para monitoramento nos transformadores e reatores de potência conectados ao SIN da subestação SINOP, contemplando switches, fibras ópticas, painéis, entre outros.-Aquisição de sistema de monitoramento de buchas on-line para os transformadores e reatores de potência da Eletronorte (SISTEMA DE TRANSMISSÃO)</t>
  </si>
  <si>
    <t>SORRISO|0008935/2021-Instalação de rede de comunicação para monitoramento nos transformadores e reatores de potência conectados ao SIN da subestação SORRISO, contemplando switches, fibras ópticas, painéis, entre outros.-Aquisição de sistema de monitoramento de buchas on-line para os transformadores e reatores de potência da Eletronorte (SISTEMA DE TRANSMISSÃO)</t>
  </si>
  <si>
    <t>TRANSAMAZONIC|0008868/2021-Implantação de monitoramento on-line de buchas do TMRE6-01-Aquisição de sistema de monitoramento de buchas on-line para os transformadores e reatores de potência da Eletronorte (SISTEMA DE TRANSMISSÃO)</t>
  </si>
  <si>
    <t>TRANSAMAZONIC|0008873/2021-Implantação de monitoramento on-line de buchas do TMTF6-01-Aquisição de sistema de monitoramento de buchas on-line para os transformadores e reatores de potência da Eletronorte (SISTEMA DE TRANSMISSÃO)</t>
  </si>
  <si>
    <t>TRANSAMAZONIC|0008882/2021-Instalação de rede de comunicação para monitoramento nos transformadores e reatores de potência conectados ao SIN da subestação TRANSAMAZÔNICA, contemplando switches, fibras ópticas, painéis, entre outros.-Aquisição de sistema de monitoramento de buchas on-line para os transformadores e reatores de potência da Eletronorte (SISTEMA DE TRANSMISSÃO)</t>
  </si>
  <si>
    <t>TUCURUI|0008966/2021-Implantação de monitoramento on-line de buchas do TCAT6-04-Aquisição de sistema de monitoramento de buchas on-line para os transformadores e reatores de potência da Eletronorte (SISTEMA DE TRANSMISSÃO)</t>
  </si>
  <si>
    <t>TUCURUI|0008975/2021-Implantação de monitoramento on-line de buchas do TCAT6-03-Aquisição de sistema de monitoramento de buchas on-line para os transformadores e reatores de potência da Eletronorte (SISTEMA DE TRANSMISSÃO)</t>
  </si>
  <si>
    <t>TUCURUI|0009001/2021-Instalação de rede de comunicação para monitoramento nos transformadores e reatores de potência conectados ao SIN da subestação TUCURUÍ, contemplando switches, fibras ópticas, painéis, entre outros.-Aquisição de sistema de monitoramento de buchas on-line para os transformadores e reatores de potência da Eletronorte (SISTEMA DE TRANSMISSÃO)</t>
  </si>
  <si>
    <t>UTINGA|0008959/2021-Instalação de rede de comunicação para monitoramento nos transformadores e reatores de potência conectados ao SIN da subestação UTINGA, contemplando switches, fibras ópticas, painéis, entre outros.-Aquisição de sistema de monitoramento de buchas on-line para os transformadores e reatores de potência da Eletronorte (SISTEMA DE TRANSMISSÃO)</t>
  </si>
  <si>
    <t>VILA DO CONDE|0008879/2021-Implantação de monitoramento on-line de buchas do VCAT7-01-Aquisição de sistema de monitoramento de buchas on-line para os transformadores e reatores de potência da Eletronorte (SISTEMA DE TRANSMISSÃO)</t>
  </si>
  <si>
    <t>VILA DO CONDE|0008884/2021-Implantação de monitoramento on-line de buchas do VCAT7-04-Aquisição de sistema de monitoramento de buchas on-line para os transformadores e reatores de potência da Eletronorte (SISTEMA DE TRANSMISSÃO)</t>
  </si>
  <si>
    <t>VILA DO CONDE|0008899/2021-Implantação de monitoramento on-line de buchas do VCRE7-01-Aquisição de sistema de monitoramento de buchas on-line para os transformadores e reatores de potência da Eletronorte (SISTEMA DE TRANSMISSÃO)</t>
  </si>
  <si>
    <t>VILA DO CONDE|0008907/2021-Implantação de monitoramento on-line de buchas do VCRE7-04-Aquisição de sistema de monitoramento de buchas on-line para os transformadores e reatores de potência da Eletronorte (SISTEMA DE TRANSMISSÃO)</t>
  </si>
  <si>
    <t>VILA DO CONDE|0008917/2021-Instalação de rede de comunicação para monitoramento nos transformadores e reatores de potência conectados ao SIN da subestação VILA DO CONDE, contemplando switches, fibras ópticas, painéis, entre outros.-Aquisição de sistema de monitoramento de buchas on-line para os transformadores e reatores de potência da Eletronorte (SISTEMA DE TRANSMISSÃO)</t>
  </si>
  <si>
    <t>VILHENA|0007942/2021-Implantação de monitoramento on-line de buchas do VNRE6-07-Aquisição de sistema de monitoramento de buchas on-line para os transformadores e reatores de potência da Eletronorte (SISTEMA DE TRANSMISSÃO)</t>
  </si>
  <si>
    <t>VILHENA|0007969/2021-Implantação de monitoramento on-line de buchas do VNRE6-06-Aquisição de sistema de monitoramento de buchas on-line para os transformadores e reatores de potência da Eletronorte (SISTEMA DE TRANSMISSÃO)</t>
  </si>
  <si>
    <t>VILHENA|0007975/2021-Implantação de monitoramento on-line de buchas do VNRE6-02-Aquisição de sistema de monitoramento de buchas on-line para os transformadores e reatores de potência da Eletronorte (SISTEMA DE TRANSMISSÃO)</t>
  </si>
  <si>
    <t>VILHENA|0007989/2021-Implantação de monitoramento on-line de buchas do VNTF6-03-Aquisição de sistema de monitoramento de buchas on-line para os transformadores e reatores de potência da Eletronorte (SISTEMA DE TRANSMISSÃO)</t>
  </si>
  <si>
    <t>VILHENA|0007992/2021-Implantação de monitoramento on-line de buchas do VNTF6-02-Aquisição de sistema de monitoramento de buchas on-line para os transformadores e reatores de potência da Eletronorte (SISTEMA DE TRANSMISSÃO)</t>
  </si>
  <si>
    <t>SEM INSTALAÇÃO ESPECÍFICA|Sem PMI--Fornecimento de um autotransformador trifásico 72,5 / 36,2 / 15 kV - 30 MVA para instalação na SE TUCURUÍ-VILA</t>
  </si>
  <si>
    <t>C.PORTO VELHO|0002519/2018-SUBSTITUIÇÃO DE UM TRANSFORMADOR DE CORRENTE DE 500 KV, FASE A DO DISJUNTOR 1170, DO MODULO GERAL.-Aquisição de 04 (quatro) transformadores de corrente 500 kV, sendo 01 (um) sobressalente estratégico, a serem em instalados na SE Coletora Porto Velho, em substituição aos transformadores de corrente existentes no vão W9.</t>
  </si>
  <si>
    <t>C.PORTO VELHO|0002520/2018-SUBSTITUIÇÃO DE UM TRANSFORMADOR DE CORRENTE DE 500 KV, FASE B DO DISJUNTOR 1170, DO MODULO GERAL.-Aquisição de 04 (quatro) transformadores de corrente 500 kV, sendo 01 (um) sobressalente estratégico, a serem em instalados na SE Coletora Porto Velho, em substituição aos transformadores de corrente existentes no vão W9.</t>
  </si>
  <si>
    <t>C.PORTO VELHO|0002521/2018-SUBSTITUIÇÃO DE UM TRANSFORMADOR DE CORRENTE DE 500 KV, FASE V DO DISJUNTOR 1170, DO MODULO GERAL.-Aquisição de 04 (quatro) transformadores de corrente 500 kV, sendo 01 (um) sobressalente estratégico, a serem em instalados na SE Coletora Porto Velho, em substituição aos transformadores de corrente existentes no vão W9.</t>
  </si>
  <si>
    <t>SAO LUIS II|0008979/2022-Substituir estrutura metálica do compartimento de moto-ventiladores do sistema de resfriamento do Compensador Estático 01 - LDCE2-01-Recuperação Sistema de Valvulas do LDCE2-01</t>
  </si>
  <si>
    <t>TRANSAMAZONIC|0008641/2019-Substituição dos transformadores de potencial indutivo 34,5kV no TMTF6-01-Transformador de Correte e de Potencial Indutivo</t>
  </si>
  <si>
    <t>TRANSAMAZONIC|0008643/2019-Substituição dos transformadores de potencial indutivo 34,5kV no TMTF6-02-Transformador de Correte e de Potencial Indutivo</t>
  </si>
  <si>
    <t>SEM INSTALAÇÃO ESPECÍFICA|Sem PMI--Casa de Apoio a manutenção Subestação Miramar</t>
  </si>
  <si>
    <t>SAO LUIS I|0005103/2019-SUBSTITUIÇÃO DO DISJUNTOR SIEMENS 3AS2 LIDB6-01-DISJUNTOR (MAIOR OU IGUAL 69 KV) São Luis I</t>
  </si>
  <si>
    <t>SAO LUIS I|0005106/2019-SUBSTITUIÇÃO DO DISJUNTOR SIEMENS 3AS2 LIDJ6-05-DISJUNTOR (MAIOR OU IGUAL 69 KV) São Luis I</t>
  </si>
  <si>
    <t>SAO LUIS I|0005114/2019-SUBSTITUIÇÃO DO DISJUNTOR SIEMENS 3AS2 LIDJ6-04-DISJUNTOR (MAIOR OU IGUAL 69 KV) São Luis I</t>
  </si>
  <si>
    <t>SAO LUIS I|0005124/2019-SUBSTITUIÇÃO DO DISJUNTOR SIEMENS 3AS2 LIDJ6-03-DISJUNTOR (MAIOR OU IGUAL 69 KV) São Luis I</t>
  </si>
  <si>
    <t>SAO LUIS I|0005145/2019-SUBSTITUIÇÃO DO DISJUNTOR SIEMENS 3AS2 LIDJ6-02-DISJUNTOR (MAIOR OU IGUAL 69 KV) São Luis I</t>
  </si>
  <si>
    <t>SAO LUIS I|0005146/2019-SUBSTITUIÇÃO DO DISJUNTOR SIEMENS 3AS2 LIDJ6-02-DISJUNTOR (MAIOR OU IGUAL 69 KV) São Luis I</t>
  </si>
  <si>
    <t>SAO LUIS I|0005156/2019-SUBSTITUIÇÃO DO DISJUNTOR SIEMENS 3AS2 LIDJ6-01-DISJUNTOR (MAIOR OU IGUAL 69 KV) São Luis I</t>
  </si>
  <si>
    <t>SAO LUIS I|0008659/2022-SUBSTITUIÇÃO DO DISJUNTOR TRIPOLAR LIDB4-01-DISJUNTOR (MAIOR OU IGUAL 69 KV) São Luis I</t>
  </si>
  <si>
    <t>SEM INSTALAÇÃO ESPECÍFICA|Sem PMI--ESTRUTURA METÁLICA TORRE</t>
  </si>
  <si>
    <t>SEM INSTALAÇÃO ESPECÍFICA|Sem PMI--APRELHO TESTE RIGIDEZ DIELÉTRICA EM ÓLEO</t>
  </si>
  <si>
    <t>SEM INSTALAÇÃO ESPECÍFICA|Sem PMI--CARGA RESISTIVA MICROPROCESSADA</t>
  </si>
  <si>
    <t>SEM INSTALAÇÃO ESPECÍFICA|Sem PMI--IMPLANT SIST COMBATE A INCENDIO</t>
  </si>
  <si>
    <t>SEM INSTALAÇÃO ESPECÍFICA|Sem PMI--AVCB - CONSTR. DE ABRIGOS DE EXTINTORES</t>
  </si>
  <si>
    <t>SEM INSTALAÇÃO ESPECÍFICA|Sem PMI--DISJUNTOR (MAIOR OU IGUAL 69 KV)</t>
  </si>
  <si>
    <t>SEM INSTALAÇÃO ESPECÍFICA|Sem PMI--DISJ. TRIPOLAR 145 kV</t>
  </si>
  <si>
    <t>SEM INSTALAÇÃO ESPECÍFICA|Sem PMI--SERVIÇOS DE DESENVOLVIMENTO DE NOVOS SOFTWARES DEDICADOS AOS PROCESSOS DE OPERAÇÃO E MANUTENÇÃO DA GERAÇÃO E TRANSMISSÃO, NOVAS FUNCIONALIDADES E CORREÇÕES NOS EXISTENTES, BEM COMO SUPORTE E ATENDIMENTO AOS USUÁRIOS DA ELETROBRAS ELETRONORTE.</t>
  </si>
  <si>
    <t>BARRA PEIXE|0006562/2021-SUBSTITUIÇÃO DO DISJUNTOR BPDJ5-01 ASSOCIADO AO MÓDULO DE CONEXÃO EM 138kV DO AUTOTRANSFORMADOR 230/138/13.8kV DA SE BARRA DO PEIXE.-Aquisição / Serviço de instalação e comissionamento de Disjuntores de 245kV
PA -MA - MT -RO</t>
  </si>
  <si>
    <t>BARRA PEIXE|0006564/2021-SUBSTITUIÇÃO DO DISJUNTOR BPDJ6-09 ASSOCIADO AO MÓDULO DE CONEXÃO EM 230kV DO AUTOTRANSFORMADOR 230/138/13.8kV  NUMERO 1 DA SE BARRA DO PEIXE.-Aquisição / Serviço de instalação e comissionamento de Disjuntores de 245kV
PA -MA - MT -RO</t>
  </si>
  <si>
    <t>GUAMA|0004968/2022-SUBSTITUIÇÃO DO DISJUNTOR GMDJ6-03 DA LINHA VILA DO CONDE - GUAMA 230 KV C2-Aquisição / Serviço de instalação e comissionamento de Disjuntores de 245kV
PA -MA - MT -RO</t>
  </si>
  <si>
    <t>GUAMA|0005049/2022-Substituição do Disjuntor 230 kV - GMDJ6-02-Aquisição / Serviço de instalação e comissionamento de Disjuntores de 245kV
PA -MA - MT -RO</t>
  </si>
  <si>
    <t>GUAMA|0006498/2019-Substituição de 01(um) Disjuntor de 230 kV -GMDJ6 11 - associado a função BANCO DE CAPACITORES GMBC6-01 da Subestação Guamá. -Aquisição / Serviço de instalação e comissionamento de Disjuntores de 245kV
PA -MA - MT -RO</t>
  </si>
  <si>
    <t>GUAMA|0006574/2019-Revitalização geral com substituição de componentes do mecanismo de acionamento de abertura e fechamento de 01(um) Disjuntor de 230 kV -GMDJ6 11 - associado a função BANCO DE CAPACITORES GMBC6-01 da Subestação Guamá. -Aquisição / Serviço de instalação e comissionamento de Disjuntores de 245kV
PA -MA - MT -RO</t>
  </si>
  <si>
    <t>GUAMA|0006589/2019-Revitalização geral com substituição de componentes do mecanismo de acionamento de abertura e fechamento  01(um) Disjuntor de 230 kV ( GMDJ6 12 ) associado a função BANCO DE CAPACITORES GMBC6-02 da Subestação Guamá. -Aquisição / Serviço de instalação e comissionamento de Disjuntores de 245kV
PA -MA - MT -RO</t>
  </si>
  <si>
    <t>GUAMA|0006594/2019-Revitalização geral com substituição de componentes do mecanismo de acionamento de abertura e fechamento  01(um) Disjuntor de 230 kV ( GMDJ6 12 ) associado a função BANCO DE CAPACITORES GMBC6-02 da Subestação Guamá. -Aquisição / Serviço de instalação e comissionamento de Disjuntores de 245kV
PA -MA - MT -RO</t>
  </si>
  <si>
    <t>GUAMA|0007004/2022-Substituição do Disjuntor 230 kV - GMDJ6-04-Aquisição / Serviço de instalação e comissionamento de Disjuntores de 245kV
PA -MA - MT -RO</t>
  </si>
  <si>
    <t>GUAMA|0007352/2022-SUBSTITUIÇÃO DO DISJUNTOR GMDJ6-01 DA LINHA VILA DO CONDE - GUAMA 230 KV C1-Aquisição / Serviço de instalação e comissionamento de Disjuntores de 245kV
PA -MA - MT -RO</t>
  </si>
  <si>
    <t>GUAMA|0007357/2022-SUBSTITUIÇÃO DO DISJUNTOR GMDJ6-09 DA LINHA GUAMA - MARITUBA 230KV C1.-Aquisição / Serviço de instalação e comissionamento de Disjuntores de 245kV
PA -MA - MT -RO</t>
  </si>
  <si>
    <t>GUAMA|0008115/2022-Substituição do Disjuntor a SF6  230 kV - GMDJ6-04-Aquisição / Serviço de instalação e comissionamento de Disjuntores de 245kV
PA -MA - MT -RO</t>
  </si>
  <si>
    <t>GUAMA|0008249/2022-SUBSTITUIÇÃO DO DISJUNTOR GMDJ6-10 DA LINHA GUAMA - MARITUBA 230KV C2.-Aquisição / Serviço de instalação e comissionamento de Disjuntores de 245kV
PA -MA - MT -RO</t>
  </si>
  <si>
    <t>JARU|0006599/2020-Substituição de um (01) disjuntor 230kV JRDJ6-03, associado ao bay do transformador JRTF6-01 da Subestação de Jarú.-Aquisição / Serviço de instalação e comissionamento de Disjuntores de 245kV
PA -MA - MT -RO</t>
  </si>
  <si>
    <t>JI-PARANA|0008372/2021-Substituição de um (01) disjuntor 230kV JPDJ6-03, associado ao bay do transformador de 230 KV,  JPTF6-01 da Subestação Ji-Paraná - N-S-ROJP-TF601-MC230-JPDJ603-Aquisição / Serviço de instalação e comissionamento de Disjuntores de 245kV
PA -MA - MT -RO</t>
  </si>
  <si>
    <t>JI-PARANA|0008376/2021-Substituição de 01 (um) disjuntor 230kV ,JPDJ6-06, associado ao bay do transformador de 230 KV,  JPTF6-02 da Subestação Ji-Paraná - N-S-ROJP-TF602-MC230-JPDJ606-Aquisição / Serviço de instalação e comissionamento de Disjuntores de 245kV
PA -MA - MT -RO</t>
  </si>
  <si>
    <t>JI-PARANA|0008393/2021-Substituição de 01 (um) disjuntor 230kV  JPDJ6-10, associado ao bay do Banco de Capacitores JPBC6-01 da Subestação Ji-Paraná - N-S-ROJP-BC601-MC230-JPDJ610-Aquisição / Serviço de instalação e comissionamento de Disjuntores de 245kV
PA -MA - MT -RO</t>
  </si>
  <si>
    <t>JI-PARANA|0008625/2021-Substituição de 01 (um) disjuntor 230kV JPDJ6-02, associado ao bay da Linha de Transmissão  JRJP-LT6-01 da Subestação Ji-Paraná - N-S-ROJP-JRJPLT601-ELJP-JPDJ602-Aquisição / Serviço de instalação e comissionamento de Disjuntores de 245kV
PA -MA - MT -RO</t>
  </si>
  <si>
    <t>JI-PARANA|0008637/2021-Substituição de 01 (um) disjuntor 230kV JPDJ6-01 Reator, associado ao bay da Linha de Transmissão  JRJP-LT6-01 da Subestação Ji-Paraná - N-S-ROJP-RE601-MC230-JPDJ601-Aquisição / Serviço de instalação e comissionamento de Disjuntores de 245kV
PA -MA - MT -RO</t>
  </si>
  <si>
    <t>MIRAMAR|0006661/2019-Revitalização geral com substituição de componentes do mecanismo de acionamento de abertura e fechamento de 01(um) Disjuntor de 230KV -(MMDJ6-01)  - associado a função TRANSFORMAÇÃO MMTF601.-Aquisição / Serviço de instalação e comissionamento de Disjuntores de 245kV
PA -MA - MT -RO</t>
  </si>
  <si>
    <t>RONDONOPOLIS|0003989/2022-SUBSTITUIR O CONJUNTO COMPLETO DO DISJUNTOR 230 kV - RPDB6-01-Aquisição / Serviço de instalação e comissionamento de Disjuntores de 245kV
PA -MA - MT -RO</t>
  </si>
  <si>
    <t>TUCURUI|0008267/2019-Revitalização geral com substituição de componentes do mecanismo de acionamento de abertura e fechamento de 01(um) Disjuntor de 230KV -(TCDJ6-04)  - associado a função LINHA DE TRANSMISSÃO TCAT-LT6-01-Aquisição / Serviço de instalação e comissionamento de Disjuntores de 245kV
PA -MA - MT -RO</t>
  </si>
  <si>
    <t>UTINGA|0006653/2019-Revitalização geral com substituição de componentes do mecanismo de acionamento de abertura e fechamento de 01(um) Disjuntor de 230KV -(UGDJ6-18)  - associado a função BANCO DE CAPACITORES UGBC6-03 da Subestação Utinga-Aquisição / Serviço de instalação e comissionamento de Disjuntores de 245kV
PA -MA - MT -RO</t>
  </si>
  <si>
    <t>UTINGA|0006657/2019-Revitalização geral com substituição de componentes do mecanismo de acionamento de abertura e fechamento de 01(um) Disjuntor de 230KV -(UGDJ6-19)  - associado a função BANCO DE CAPACITORES UGBC6-04 da Subestação Utinga-Aquisição / Serviço de instalação e comissionamento de Disjuntores de 245kV
PA -MA - MT -RO</t>
  </si>
  <si>
    <t>UTINGA|0007434/2022-SUBSTITUIÇÃO DO DISJUNTOR UGDJ6-01 DA LINHA UTINGA - MARITUBA 230KV C1-Aquisição / Serviço de instalação e comissionamento de Disjuntores de 245kV
PA -MA - MT -RO</t>
  </si>
  <si>
    <t>UTINGA|0007457/2022-SUBSTITUIÇÃO DO DISJUNTOR UGDJ6-03 DA LINHA UTINGA - MARITUBA 230KV C2.-Aquisição / Serviço de instalação e comissionamento de Disjuntores de 245kV
PA -MA - MT -RO</t>
  </si>
  <si>
    <t>VILA DO CONDE|0003116/2022-Substituição das três fases (A, B e V) do Disjuntor 230 KV VCDJ6-01-Aquisição / Serviço de instalação e comissionamento de Disjuntores de 245kV
PA -MA - MT -RO</t>
  </si>
  <si>
    <t>VILA DO CONDE|0003121/2022-Substituição das três fases (A, B e V) do Disjuntor 230 KV VCDJ6-03-Aquisição / Serviço de instalação e comissionamento de Disjuntores de 245kV
PA -MA - MT -RO</t>
  </si>
  <si>
    <t>VILA DO CONDE|0008010/2022-SUBSTITUIÇÃO DO DISJUNTOR A SF6 230 kV - VCDJ6-12-Aquisição / Serviço de instalação e comissionamento de Disjuntores de 245kV
PA -MA - MT -RO</t>
  </si>
  <si>
    <t>VILA DO CONDE|0008091/2022-SUBSTITUIÇÃO DO DISJUNTOR VCDJ6-29 DO MODULO GERAL MÓDULO GERAL 230 kV SEVC - VÃO C-Aquisição / Serviço de instalação e comissionamento de Disjuntores de 245kV
PA -MA - MT -RO</t>
  </si>
  <si>
    <t>ARARAQUARA 2|0007075/2019-Instalação de sistemas de monitoramento on-line de gases dissolvido no óleo, no transformador TF1D FASE A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</si>
  <si>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2|0007089/2019-Instalação de sistemas de monitoramento on-line de gases dissolvido no óleo, no transformador TF1Y FASE A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</si>
  <si>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2|0007093/2019-Instalação de sistemas de monitoramento on-line de gases dissolvido no óleo, no transformador TF1Y FASE B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</si>
  <si>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2|0007095/2019-Instalação de sistemas de monitoramento on-line de gases dissolvido no óleo, no transformador TF1Y FASE C da subestação Araraquara II, em Araraqiara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</si>
  <si>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2|0007100/2019-Instalação de sistemas de monitoramento on-line de gases dissolvido no óleo, no transformador TF2D FASE A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</si>
  <si>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2|0007103/2019-Instalação de sistemas de monitoramento on-line de gases dissolvido no óleo, no transformador TF2D FASE B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</si>
  <si>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2|0007108/2019-Instalação de sistemas de monitoramento on-line de gases dissolvido no óleo, no transformador TF2D FASE C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</si>
  <si>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2|0007112/2019-Instalação de sistemas de monitoramento on-line de gases dissolvido no óleo, no transformador TF2Y FASE A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</si>
  <si>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2|0007114/2019-Instalação de sistemas de monitoramento on-line de gases dissolvido no óleo, no transformador TF2Y FASE B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</si>
  <si>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2|0007118/2019-Instalação de sistemas de monitoramento on-line de gases dissolvido no óleo, no transformador TF2Y FASE C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</si>
  <si>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VELHO|0007001/2019-Instalação de sistemas de monitoramento on-line de gases dissolvido no óleo, no transformador CTTF-05-FASE A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</si>
  <si>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VELHO|0007005/2019-Instalação de sistemas de monitoramento on-line de gases dissolvido no óleo, no transformador CTTF-05-FASE B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</si>
  <si>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VELHO|0007008/2019-Instalação de sistemas de monitoramento on-line de gases dissolvido no óleo, no transformador CTTF-05-FASE V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</si>
  <si>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VELHO|0007010/2019-Instalação de sistemas de monitoramento on-line de gases dissolvido no óleo, no transformador CTTF-06-FASE A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</si>
  <si>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VELHO|0007015/2019-Instalação de sistemas de monitoramento on-line de gases dissolvido no óleo, no transformador CTTF-06-FASE B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</si>
  <si>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VELHO|0007019/2019-Instalação de sistemas de monitoramento on-line de gases dissolvido no óleo, no transformador CTTF-06-FASE V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</si>
  <si>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VELHO|0007045/2019-Instalação de sistemas de monitoramento on-line de gases dissolvido no óleo, no transformador CTTF-07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</si>
  <si>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VELHO|0007054/2019-Instalação de sistemas de monitoramento on-line de gases dissolvido no óleo, no transformador CTTF-08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</si>
  <si>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VELHO|0007057/2019-Instalação de sistemas de monitoramento on-line de gases dissolvido no óleo, no transformador CTTF-09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</si>
  <si>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VELHO|0007060/2019-Instalação de sistemas de monitoramento on-line de gases dissolvido no óleo, no transformador CTTF-10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</si>
  <si>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VELHO|0007064/2019-Instalação de sistemas de monitoramento on-line de gases dissolvido no óleo, no transformador CTTF-11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</si>
  <si>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VELHO|0007069/2019-Instalação de sistemas de monitoramento on-line de gases dissolvido no óleo, no transformador CTTF-12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</si>
  <si>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VELHO|0007079/2019-Instalação de sistemas de monitoramento on-line de gases dissolvido no óleo, no transformador TF1D FASE B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</si>
  <si>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VELHO|0007082/2019-Instalação de sistemas de monitoramento on-line de gases dissolvido no óleo, no transformador TF1D FASE C da subestação Araraquara II, em Araraqiara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</si>
  <si>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SEM INSTALAÇÃO ESPECÍFICA|Sem PMI--CARGAS RESISTIVA MICROPROCESSADAS</t>
  </si>
  <si>
    <t>SEM INSTALAÇÃO ESPECÍFICA|Sem PMI--MEDIDOR DE CORRENTE DE FUGA</t>
  </si>
  <si>
    <t>SEM INSTALAÇÃO ESPECÍFICA|Sem PMI--SERV. TECNICO ESPECIALIZADO</t>
  </si>
  <si>
    <t>SEM INSTALAÇÃO ESPECÍFICA|Sem PMI--SISTEMA CENTRAL AR CONDICIONADO</t>
  </si>
  <si>
    <t>MARABA|0004623/2023--AQUISIÇÃO  CHAVE TRIPOLAR MBSD7-41 QUE FOI SINISTRADA PELA EXPLOSÃO TC AREVA TIPO CHT 7TCGY2 FASE V</t>
  </si>
  <si>
    <t>0008580/2023-Substituição dos equipamentos da rede de comunicação de dados da rede LAN da Subestação: Painéis, Máquina de engenharia, Sistema supervisório, Switches, GPS, fibra óticas  etc. - EL TUTC-LT701, 02, 03, 04, 05, 06, 07, 08, 09, 10 e 11.-Substituir o sistema de proteção, controle e supervisão para modernização das ELs 500 kV e 69 kV de interligação da subestação com a UHE Tucuruí.</t>
  </si>
  <si>
    <t>0008600/2023-Substituir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Fx - UHE Tucuruí C1.-Substituir o sistema de proteção, controle e supervisão para modernização das ELs 500 kV e 69 kV de interligação da subestação com a UHE Tucuruí.</t>
  </si>
  <si>
    <t>0008680/2023-Substituir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Ex - UHE Tucuruí C2.-Substituir o sistema de proteção, controle e supervisão para modernização das ELs 500 kV e 69 kV de interligação da subestação com a UHE Tucuruí.</t>
  </si>
  <si>
    <t>0008699/2023-Substituir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Dx - UHE Tucuruí C3.-Substituir o sistema de proteção, controle e supervisão para modernização das ELs 500 kV e 69 kV de interligação da subestação com a UHE Tucuruí.</t>
  </si>
  <si>
    <t>0008717/2023-Substituir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Cx - UHE Tucuruí C4.-Substituir o sistema de proteção, controle e supervisão para modernização das ELs 500 kV e 69 kV de interligação da subestação com a UHE Tucuruí.</t>
  </si>
  <si>
    <t>0008750/2023-Substituir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Bx - UHE Tucuruí C5.-Substituir o sistema de proteção, controle e supervisão para modernização das ELs 500 kV e 69 kV de interligação da subestação com a UHE Tucuruí.</t>
  </si>
  <si>
    <t>0008755/2023-Substituir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Ax - UHE Tucuruí C6.-Substituir o sistema de proteção, controle e supervisão para modernização das ELs 500 kV e 69 kV de interligação da subestação com a UHE Tucuruí.</t>
  </si>
  <si>
    <t>0008763/2023-Substituir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Gx - UHE Tucuruí C7.-Substituir o sistema de proteção, controle e supervisão para modernização das ELs 500 kV e 69 kV de interligação da subestação com a UHE Tucuruí.</t>
  </si>
  <si>
    <t>0008768/2023-Substituir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Hx - UHE Tucuruí C8.-Substituir o sistema de proteção, controle e supervisão para modernização das ELs 500 kV e 69 kV de interligação da subestação com a UHE Tucuruí.</t>
  </si>
  <si>
    <t>0008772/2023-Substituir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Ix - UHE Tucuruí C9.-Substituir o sistema de proteção, controle e supervisão para modernização das ELs 500 kV e 69 kV de interligação da subestação com a UHE Tucuruí.</t>
  </si>
  <si>
    <t>0008777/2023-Substituir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Jx - UHE Tucuruí C10.-Substituir o sistema de proteção, controle e supervisão para modernização das ELs 500 kV e 69 kV de interligação da subestação com a UHE Tucuruí.</t>
  </si>
  <si>
    <t>0008783/2023-Substituir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Kx - UHE Tucuruí C11.-Substituir o sistema de proteção, controle e supervisão para modernização das ELs 500 kV e 69 kV de interligação da subestação com a UHE Tucuruí.</t>
  </si>
  <si>
    <t>0008788/2023-Substituir o sistema de proteção, controle e supervisão para modernização da subestação, incluindo a substtuição de painéis de proteção e controle (cadeias principal e alternada), IEDs de proteção, controle e oscilografia digitais e demais componentes.-Substituir o sistema de proteção, controle e supervisão para modernização das ELs 500 kV e 69 kV de interligação da subestação com a UHE Tucuruí.</t>
  </si>
  <si>
    <t>0008792/2023-Substituir o sistema de proteção, controle e supervisão para modernização da subestação, incluindo a substtuição de painéis de proteção e controle (cadeias principal e alternada), IEDs de proteção, controle e oscilografia digitais e demais componentes.-Substituir o sistema de proteção, controle e supervisão para modernização das ELs 500 kV e 69 kV de interligação da subestação com a UHE Tucuruí.</t>
  </si>
  <si>
    <t>AMPLIAÇÃO E MORDENIZAÇÃO DA REDE ÓPTICA DA ELETRONORTE</t>
  </si>
  <si>
    <t xml:space="preserve">IMPLANTAÇÃO DE REDE MPLS </t>
  </si>
  <si>
    <t>REVITALIZAÇÃO DO SISTEMA OPLAT (BOBINA DE BLOQUEIO - 230KV)</t>
  </si>
  <si>
    <t>REVITALIZAÇÃO DO SISTEMA OPLAT (BOBINA DE BLOQUEIO - 500KV)</t>
  </si>
  <si>
    <t>AMPLIAÇÃO E MODERNIZAÇÃO DO SISTEMA DE TELEFONIA</t>
  </si>
  <si>
    <t>SISTEMA CFTV</t>
  </si>
  <si>
    <t>SISTEMA DE ALIMENTAÇÃO -48VCC (2º ETAPA)</t>
  </si>
  <si>
    <t>IMPLANTAÇÃO, MELHORIA E AMPLIAÇÃO DA INFRAESTRUTURA DE TELECOMUNICAÇÕES</t>
  </si>
  <si>
    <t>AMPLIAÇÃO E MORDENIZAÇÃO DA REDE DE NEGÓCIOS DE TELECOMUNICAÇÕES</t>
  </si>
  <si>
    <t xml:space="preserve">REVITALIZAÇÃO DA TELEPROTEÇÃO </t>
  </si>
  <si>
    <t>IMPLANTAÇÃO E MODERNIZAÇÃO DE SISTEMA SDH</t>
  </si>
  <si>
    <t>SOLUÇÃO INTEGRADA DE GERENCIAMENTO E AUTOMAÇÃO DAS REDES  DE TELECOMUNICAÇÕES</t>
  </si>
  <si>
    <t>AMPLIAÇÃO, REVITALIZAÇÃO E MORDENIZAÇÃO DOS SISTEMAS DE RÁDIO DA ELETRONORTE</t>
  </si>
  <si>
    <t>AQUISIÇÃO DE INSTRUMENTOS PARA SISTEMA ÓPTICO</t>
  </si>
  <si>
    <t>Melhorias de Pequeno Porte - Novos Projetos</t>
  </si>
  <si>
    <t>Plano Diretor Cabos OPGW- 2D61</t>
  </si>
  <si>
    <t>2D63 - Manutenção do Sistema de Transmissão de Energia Elétrica na Região Nordeste</t>
  </si>
  <si>
    <t>PDIG - Modernização SPCS - SE Fortaleza II</t>
  </si>
  <si>
    <t>Plano Diretor Cabos OPGW PDIG - 2D61</t>
  </si>
  <si>
    <t>Aquisição de Switches Rede LAN em Subestações para segregação de redes</t>
  </si>
  <si>
    <t>PDIG - Modernização SPCS - SE Teresina II</t>
  </si>
  <si>
    <t>Melhorias de Pequeno Porte - Projetos em Carteira</t>
  </si>
  <si>
    <t>PDIG - Modernização SPCS - SE Jardim</t>
  </si>
  <si>
    <t>PDIG - Modernização SPCS - SE Pau Ferro</t>
  </si>
  <si>
    <t>PDIG - Modernização SPCS - SE Catu</t>
  </si>
  <si>
    <t>Substituição RDPs</t>
  </si>
  <si>
    <t>PDIG - Modernização SPCS - SE Bom Nome</t>
  </si>
  <si>
    <t>PDIG - Modernização SPCS - SE Maceió</t>
  </si>
  <si>
    <t>PDIG - Modernização SPCS - SE Cauípe</t>
  </si>
  <si>
    <t>Contrato SPAT Regionais (Ação 2D61)</t>
  </si>
  <si>
    <t>PDIG - Modernização SPCS - SE Fortaleza I</t>
  </si>
  <si>
    <t>Contrato SPAT Regionais (Ação 2D63)</t>
  </si>
  <si>
    <t>Implantação de HoneySpots para Subestações</t>
  </si>
  <si>
    <t>Aquisição de reserva técnica - Telecom/Automação</t>
  </si>
  <si>
    <t>Plano Diretor Cabos</t>
  </si>
  <si>
    <t>Telefonia VoIP em SE - Fase 3</t>
  </si>
  <si>
    <t>Modernização CS da SE TSD</t>
  </si>
  <si>
    <t>Implantação MUX SDH - PDIG</t>
  </si>
  <si>
    <t>Substituição de UTRs FOXboro e GE Obsoletas</t>
  </si>
  <si>
    <t>Retrofit 69kV Lote 2 - Lote A</t>
  </si>
  <si>
    <t>PDIG - Modernização SPCS - SE Angelim</t>
  </si>
  <si>
    <t>Retrofit 69kV Lote 2 - Lote B</t>
  </si>
  <si>
    <t>Aquisição de reserva técnica</t>
  </si>
  <si>
    <t>Implantação de SDHs SE Fase 2</t>
  </si>
  <si>
    <t>Instalação/Substituição de RDP</t>
  </si>
  <si>
    <t>Videomonitoramento - Assistidas</t>
  </si>
  <si>
    <t>Modernização de Compensador Síncrono</t>
  </si>
  <si>
    <t>Videomonitoramento - Prioritárias</t>
  </si>
  <si>
    <t>WLAN das SEs</t>
  </si>
  <si>
    <t>Modernização de Sistema de Regulação de LTC</t>
  </si>
  <si>
    <t>Implantação/Modernização IHM OSC</t>
  </si>
  <si>
    <t>FWL7 para links backups</t>
  </si>
  <si>
    <t>Aquisição de Instrumental</t>
  </si>
  <si>
    <t>Substituição UTR MRR/NTD</t>
  </si>
  <si>
    <t>Retrofit 69kV Lote 2 -  Lote C</t>
  </si>
  <si>
    <t>Implantação do Sistema Automático de Regulação de Tensão</t>
  </si>
  <si>
    <t>Switches Industriais</t>
  </si>
  <si>
    <t>Implantação MUX SDH - PDIG (10% - Sist. Gerenc.)</t>
  </si>
  <si>
    <t>Retrofit 69kV Lote 2</t>
  </si>
  <si>
    <t>Substituição de Servidores SAGE Obsoletos</t>
  </si>
  <si>
    <t>Projeto de SDHs para SEP (ReA)</t>
  </si>
  <si>
    <t>Modernização da Indicação de Posição de TAP</t>
  </si>
  <si>
    <t>Teleproteção - 2a Etapa</t>
  </si>
  <si>
    <t>Implantação MUX SDH Subestações</t>
  </si>
  <si>
    <t>Substituição UC</t>
  </si>
  <si>
    <t xml:space="preserve"> Reforços e Melhorias no Sistema de Transmissão de Energia Elétrica </t>
  </si>
  <si>
    <t>Aquisição de Veículos</t>
  </si>
  <si>
    <t>Aquisição de caminhões - 15 - 15% da frota - nacional</t>
  </si>
  <si>
    <t>Aquisição de caminhonetes - 15% da frota - nacional</t>
  </si>
  <si>
    <t>Aquisição de tratores roço e subestação - 20  - nacional</t>
  </si>
  <si>
    <t>Aquisiçãode Munk com cesto aéreo e carroceria - 20% da frota - nacional</t>
  </si>
  <si>
    <t xml:space="preserve"> Britagem pátio de estrutura metálica no Almoxarifado de Paulo Afonso </t>
  </si>
  <si>
    <t xml:space="preserve"> Pavimentação do patio de armazenagem do almoxarifado de Teresina </t>
  </si>
  <si>
    <t>Materiais para fazer a obra de mudança dos VPS e diretoria da Eletrobras para o Edifício Barão de Mauá.</t>
  </si>
  <si>
    <t xml:space="preserve">Reformas dos Escritorio EBM, SP e  MB </t>
  </si>
  <si>
    <t>Contratação de serviços para obra de mudança dos VPS e diretorias da Eletrobras para o EBM.</t>
  </si>
  <si>
    <t>Aquisição de caminhão prancha - necessidade nova - geral</t>
  </si>
  <si>
    <t>Reformas dos Escritorio EBM, SP, MB e Brasilia.</t>
  </si>
  <si>
    <t>Aquisição de carros  (elétrico) (nacional) 10  - nacional</t>
  </si>
  <si>
    <t>Aquisição de equipamentos: Computadores e Tablets</t>
  </si>
  <si>
    <t>Refazer layou do Mario Bhering para atender a nova Estrtura organizacional da Eletrobras.</t>
  </si>
  <si>
    <t>Obra de adequação do Mario Bhering ao novo organograma da Eletrobras.</t>
  </si>
  <si>
    <t>Fazer obra de layout e instalações em um novo andar a ser ocupado pela VP de comercialização da Eletrobras em São Paulo.</t>
  </si>
  <si>
    <t>Reformas em Edificações .</t>
  </si>
  <si>
    <t>Obra em mais um andar a ser alugado Pela VP de comercialização em SP.</t>
  </si>
  <si>
    <t>Aquisisção de Equipamentos</t>
  </si>
  <si>
    <t>Aquisição de mesas, cadeiras, armários etc.</t>
  </si>
  <si>
    <t>REFORMA E ADEQUAÇÃO</t>
  </si>
  <si>
    <t>Manutenção e reforma  elétrica almoxarifado Samuel</t>
  </si>
  <si>
    <t>Adequação do Layout de Brasilia ao novo organograma da Eletrobras.</t>
  </si>
  <si>
    <t>Reformas dos Escritorio Brasília</t>
  </si>
  <si>
    <t>serviço de restauração e revitalização dos prédios administrativos e operacionais se Presidente Dutra</t>
  </si>
  <si>
    <t>RMSC - Compra de Estação de trabamento de esgoto</t>
  </si>
  <si>
    <t>Adequação as normas ambientais</t>
  </si>
  <si>
    <t>Revitalização da estrutura e sistemas da ETA de Balbina.</t>
  </si>
  <si>
    <t>Centrais de ar Condicionado para regional de Roraima</t>
  </si>
  <si>
    <t>SERVIÇO DE ENGENHARIA INVESTIMENTO</t>
  </si>
  <si>
    <t>Construção do muro do entorno da sede da Regional-Amapá</t>
  </si>
  <si>
    <t>Serviço de restauração e revitalização da via de acesso e da portaria da SE Marabá</t>
  </si>
  <si>
    <t xml:space="preserve"> Construção de Bases para TC's armazenados no Almoxarifado de Sobradinho (incremento de estoque) </t>
  </si>
  <si>
    <t xml:space="preserve">Aquisição de roçadeiras </t>
  </si>
  <si>
    <t>Obra para entregar o HS 16 ao proprietário.</t>
  </si>
  <si>
    <t>Bebedouros para aplicação nas instalações do Maranhão, Pará e Amazonas</t>
  </si>
  <si>
    <t>serviço de restauração e revitalização dos prédios administrativos e operacionais se integradora</t>
  </si>
  <si>
    <t>CRDOU - Construção de galpão 3x3m para armazenamento de resíduos</t>
  </si>
  <si>
    <t>Revitalização da cobertura da casa de comando e ESA I</t>
  </si>
  <si>
    <t>Reforma do Galpão para receber a equipe de transporte.</t>
  </si>
  <si>
    <t>Serviços de configuração e manutenção de sistemas de controle de acesso e CITV</t>
  </si>
  <si>
    <t>serviço de restauração e revitalização da via de acesso e da portaria da se integradora</t>
  </si>
  <si>
    <t>Aquisição de Equipamentos</t>
  </si>
  <si>
    <t>AQUISIÇÃO DE LAVADORAS DE PISO INDUSTRIAL (TIPO ECO ALFA A300 OU KARCHER BD 50/50) PARA SE Tucuruí (1 UNIDADE) E UHE Tucuruí (2 UNIDADE).</t>
  </si>
  <si>
    <t xml:space="preserve"> Serviço de pavimentação. Construção de acesso ao depósito de Ascarel do Almoxarifado de Abreu e Lima </t>
  </si>
  <si>
    <t>RMRS - Troca do telhado e reestruturação das terças no prédio administrativo.</t>
  </si>
  <si>
    <t>Manutenção do imóvel</t>
  </si>
  <si>
    <t>Ampliação e reforma da área de estacionamento do CRSAN</t>
  </si>
  <si>
    <t>Ampliação dos banheiros do CRSAN - devido ao aumento do contingente de empregados na área</t>
  </si>
  <si>
    <t>BEBEDOURO ELÉTRICO TIPO COLUNA PARA SUBSTITUIÇÃO DOS QUE ESTÃO COM A VIDA ÚTIL EXPIRADA PARA ATENDIMENTO DA REGIONAL NORTE.</t>
  </si>
  <si>
    <t xml:space="preserve">RMOE - Construção de uma nova Caixa Dágua devida a deteriorização do modelo atual </t>
  </si>
  <si>
    <t>Amplianção de imóveis</t>
  </si>
  <si>
    <t>Aquisição de cobertura para estacionamento no CRLIV</t>
  </si>
  <si>
    <t>CRUSD - Depósito apropriado para acondicionamento dos resíduos da usina -</t>
  </si>
  <si>
    <t>UHJB - Construção de um lavabo na área da tomada dagua.</t>
  </si>
  <si>
    <t>Revitalização do Prédio do Porto Montante da UHE Tcucuruí</t>
  </si>
  <si>
    <t> Compra de equipamentos de  TI</t>
  </si>
  <si>
    <t>Solução utilizada para assinaturas de contratos, aditivos e outros documentos importantes (Unificação)</t>
  </si>
  <si>
    <t>Socioambiental - Condicionantes de LO</t>
  </si>
  <si>
    <t>Licenças de operação ambiental Transmissão - Condicionantes de LO</t>
  </si>
  <si>
    <t>Novos Projetos - Condicionantes de LO</t>
  </si>
  <si>
    <t>Licenças de operação ambiental Geração - Condicionantes de LO</t>
  </si>
  <si>
    <t>Viagens para execução de programas ambientais - Condicionantes de LO</t>
  </si>
  <si>
    <t>GERAÇÃO HIDRÁULICA SOCIOAMBIENTAIS - CONDICIONANTES DE LO</t>
  </si>
  <si>
    <t>GERAÇÃO TÉRMICA SOCIOAMBIENTAIS - CONDICIONANTES DE LO</t>
  </si>
  <si>
    <t>4462 - Manutenção de Sistema de Transmissão de Energia Elétrica na Região Norte</t>
  </si>
  <si>
    <t>Ações ambientais da Transmissão- Condicionantes da LO</t>
  </si>
  <si>
    <t xml:space="preserve">19 -  Ações ambientais - Condicionante </t>
  </si>
  <si>
    <t>4102 -  Manutenção e Adequação de Bens Móveis, Veículos, Máquinas e Equipamentos</t>
  </si>
  <si>
    <t xml:space="preserve">20 -  Ações ambientais - Exigência legal </t>
  </si>
  <si>
    <t>Novas Contratações (Programas Ambientais de Condicionantes de LO) - GERAÇÃO</t>
  </si>
  <si>
    <t>TAC - Termo de Ajustamento de Conduta de Questão Indígena - Aquisição Terras</t>
  </si>
  <si>
    <t>Licenças Ambientais - TRANSMISSÃO (emissão pelo Órgão Ambiental) - Referentes às renovações de Licenças de Operação (LO); e regularização ambiental de diversos ativos da transmissão em operação sem LO, implantados antes da PNMA, e que se encontram em regularização ambiental com previsão de emissão de licenças nos anos de 2024 e 2025.</t>
  </si>
  <si>
    <t>Licenças Ambientais - GERAÇÃO (emissão pelo Órgão Ambiental- Referentes às renovações de Licenças de Operação (LO) de 03 UHEs; e regularização ambiental de 03 UHEs em operação sem LO, implantados antes da PNMA, e que se encontram em regularização ambiental com previsão de emissão de licenças nos anos de 2024 e 2025.</t>
  </si>
  <si>
    <t>RHT - Registro de Horas Trabalhadas lançadas nos coletores SAP - GERAÇÃO</t>
  </si>
  <si>
    <t>Novas Contratações (Programas Ambientais de Condicionantes de LO) - TRANSMISSÃO</t>
  </si>
  <si>
    <t>RHT - Registro de Horas Trabalhadas lançadas nos coletores SAP - TRANSMISSÃO</t>
  </si>
  <si>
    <t>Vigilência de Terra Indígena</t>
  </si>
  <si>
    <t>Serviços Ecossitêmicos (Avaliação do Impacto Líquido Positivo sobre a Biodiversidade)</t>
  </si>
  <si>
    <t>Contratação Integrada (Diversos programas ambientais de condicionantes de LO)</t>
  </si>
  <si>
    <t>Logística (Fiscalização execução programas ambientais) - GERAÇÃO</t>
  </si>
  <si>
    <t>LIMNOLOGIA no reservatório</t>
  </si>
  <si>
    <t>Monitoramento da ICTIOFAUNA</t>
  </si>
  <si>
    <t>Programa de REFLORESTAMENTO</t>
  </si>
  <si>
    <t>Monitoramento da FAUNA</t>
  </si>
  <si>
    <t>Programa de COMUNICAÇÃO SOCIAL</t>
  </si>
  <si>
    <t>Programa de ARQUEOLOGIA</t>
  </si>
  <si>
    <t>Programas de COMUNICAÇÃO SOCIAL e EDUCAÇÃO AMBIENTAL</t>
  </si>
  <si>
    <t>Monitoramento da FLORA</t>
  </si>
  <si>
    <t>Logística (Fiscalização execução programas ambientais) - TRANSMISSÃO</t>
  </si>
  <si>
    <t>Reforços e Melhorias - RPP (Reforços de Pequeno Porte)</t>
  </si>
  <si>
    <t>Programa de SUPRESSÃO VEGETAÇÃO</t>
  </si>
  <si>
    <t>Monitoramento da FLORA e FAUNA</t>
  </si>
  <si>
    <t>Programa de COMUNICAÇÃO SOCIAL e EDUCAÇÃO AMBIENTAL</t>
  </si>
  <si>
    <t>Programa de EDUCAÇÃO AMBIENTAL</t>
  </si>
  <si>
    <t>PACUERA (Plano Ambiental de Conservação e Uso do Entorno do Reservatório Artificial)</t>
  </si>
  <si>
    <t>Projeto Básico Ambiental Quilombola (PBAQ)</t>
  </si>
  <si>
    <t>Inventário Florestal</t>
  </si>
  <si>
    <t>Plano de Controle Ambiental (PCA) e Relatório de Controle Ambiental (RCA)</t>
  </si>
  <si>
    <t>Monitoramento da FAUNA e FLORA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</si>
</sst>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8" formatCode="&quot;R$&quot;\ #,##0.00;[Red]\-&quot;R$&quot;\ #,##0.00"/>
    <numFmt numFmtId="41" formatCode="_-* #,##0_-;\-* #,##0_-;_-* &quot;-&quot;_-;_-@_-"/>
    <numFmt numFmtId="44" formatCode="_-&quot;R$&quot;\ * #,##0.00_-;\-&quot;R$&quot;\ * #,##0.00_-;_-&quot;R$&quot;\ * &quot;-&quot;??_-;_-@_-"/>
    <numFmt numFmtId="43" formatCode="_-* #,##0.00_-;\-* #,##0.00_-;_-* &quot;-&quot;??_-;_-@_-"/>
    <numFmt numFmtId="164" formatCode="_(&quot;$&quot;* #,##0_);_(&quot;$&quot;* \(#,##0\);_(&quot;$&quot;* &quot;-&quot;_);_(@_)"/>
    <numFmt numFmtId="165" formatCode="[$-416]mmm\-yy;@"/>
    <numFmt numFmtId="166" formatCode="#,##0_ ;\-#,##0\ "/>
    <numFmt numFmtId="167" formatCode="_-* #,##0_-;\-* #,##0_-;_-* &quot;-&quot;??_-;_-@_-"/>
    <numFmt numFmtId="168" formatCode="_(* #,##0_);_(* \(#,##0\);_(* &quot;-&quot;_);@_)"/>
    <numFmt numFmtId="169" formatCode="_-[$R$-416]\ * #,##0.00_-;\-[$R$-416]\ * #,##0.00_-;_-[$R$-416]\ * &quot;-&quot;??_-;_-@_-"/>
    <numFmt numFmtId="170" formatCode="#,##0.00,,"/>
    <numFmt numFmtId="171" formatCode="&quot;R$&quot;\ #,##0.00,,;\-&quot;R$&quot;\ #,##0.00,,"/>
    <numFmt numFmtId="172" formatCode="&quot;R$&quot;\ #,##0.00"/>
    <numFmt numFmtId="173" formatCode="#,##0_ ;"/>
    <numFmt numFmtId="174" formatCode="0.0%"/>
  </numFmts>
  <fonts count="74" x14ac:knownFonts="1">
    <font>
      <sz val="10"/>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0"/>
      <name val="Calibri"/>
      <family val="2"/>
      <scheme val="minor"/>
    </font>
    <font>
      <sz val="10"/>
      <color theme="0"/>
      <name val="Calibri"/>
      <family val="2"/>
      <scheme val="minor"/>
    </font>
    <font>
      <b/>
      <sz val="9"/>
      <color theme="0"/>
      <name val="Calibri"/>
      <family val="2"/>
    </font>
    <font>
      <b/>
      <sz val="10"/>
      <color theme="0"/>
      <name val="Calibri"/>
      <family val="2"/>
    </font>
    <font>
      <b/>
      <sz val="10"/>
      <name val="Calibri"/>
      <family val="2"/>
    </font>
    <font>
      <sz val="11"/>
      <color theme="1"/>
      <name val="Calibri"/>
      <family val="2"/>
      <scheme val="minor"/>
    </font>
    <font>
      <sz val="11"/>
      <color theme="1"/>
      <name val="Calibri"/>
      <family val="2"/>
    </font>
    <font>
      <sz val="8"/>
      <color theme="1"/>
      <name val="Calibri"/>
      <family val="2"/>
      <scheme val="minor"/>
    </font>
    <font>
      <b/>
      <sz val="20"/>
      <color theme="1"/>
      <name val="Calibri"/>
      <family val="2"/>
      <scheme val="minor"/>
    </font>
    <font>
      <b/>
      <sz val="16"/>
      <color theme="1"/>
      <name val="Calibri"/>
      <family val="2"/>
      <scheme val="minor"/>
    </font>
    <font>
      <b/>
      <sz val="11"/>
      <color theme="1"/>
      <name val="Calibri"/>
      <family val="2"/>
      <scheme val="minor"/>
    </font>
    <font>
      <sz val="8"/>
      <color theme="0"/>
      <name val="Calibri"/>
      <family val="2"/>
      <scheme val="minor"/>
    </font>
    <font>
      <b/>
      <sz val="20"/>
      <color rgb="FFFF0000"/>
      <name val="Calibri"/>
      <family val="2"/>
      <scheme val="minor"/>
    </font>
    <font>
      <b/>
      <sz val="16"/>
      <color rgb="FFFF0000"/>
      <name val="Calibri"/>
      <family val="2"/>
      <scheme val="minor"/>
    </font>
    <font>
      <sz val="11"/>
      <color rgb="FF000000"/>
      <name val="Calibri"/>
      <family val="2"/>
      <scheme val="minor"/>
    </font>
    <font>
      <b/>
      <sz val="12"/>
      <color rgb="FF000000"/>
      <name val="Calibri"/>
      <family val="2"/>
    </font>
    <font>
      <sz val="11"/>
      <name val="Calibri"/>
      <family val="2"/>
      <scheme val="minor"/>
    </font>
    <font>
      <b/>
      <sz val="15"/>
      <color theme="0"/>
      <name val="Calibri"/>
      <family val="2"/>
      <scheme val="minor"/>
    </font>
    <font>
      <b/>
      <sz val="11"/>
      <name val="Calibri"/>
      <family val="2"/>
      <scheme val="minor"/>
    </font>
    <font>
      <sz val="11"/>
      <color theme="0"/>
      <name val="Calibri"/>
      <family val="2"/>
      <scheme val="minor"/>
    </font>
    <font>
      <sz val="8"/>
      <name val="Calibri"/>
      <family val="2"/>
      <scheme val="minor"/>
    </font>
    <font>
      <sz val="10"/>
      <name val="Calibri"/>
      <family val="2"/>
      <scheme val="minor"/>
    </font>
    <font>
      <b/>
      <sz val="9"/>
      <name val="Calibri"/>
      <family val="2"/>
    </font>
    <font>
      <b/>
      <sz val="6.3"/>
      <name val="Calibri"/>
      <family val="2"/>
    </font>
    <font>
      <b/>
      <sz val="10"/>
      <name val="Calibri"/>
      <family val="2"/>
      <scheme val="minor"/>
    </font>
    <font>
      <b/>
      <u/>
      <sz val="10"/>
      <name val="Calibri"/>
      <family val="2"/>
      <scheme val="minor"/>
    </font>
    <font>
      <b/>
      <sz val="10"/>
      <color theme="3" tint="-0.249977111117893"/>
      <name val="Calibri"/>
      <family val="2"/>
      <scheme val="minor"/>
    </font>
    <font>
      <b/>
      <sz val="11"/>
      <color theme="0"/>
      <name val="Calibri"/>
      <family val="2"/>
      <scheme val="minor"/>
    </font>
    <font>
      <sz val="10"/>
      <color theme="0" tint="-0.499984740745262"/>
      <name val="Calibri"/>
      <family val="2"/>
    </font>
    <font>
      <b/>
      <sz val="11"/>
      <color theme="0" tint="-0.499984740745262"/>
      <name val="Calibri"/>
      <family val="2"/>
      <scheme val="minor"/>
    </font>
    <font>
      <b/>
      <sz val="15"/>
      <color theme="0" tint="-0.499984740745262"/>
      <name val="Calibri"/>
      <family val="2"/>
      <scheme val="minor"/>
    </font>
    <font>
      <b/>
      <sz val="11"/>
      <color theme="0" tint="-0.499984740745262"/>
      <name val="Calibri"/>
      <family val="2"/>
    </font>
    <font>
      <sz val="11"/>
      <color theme="0" tint="-0.499984740745262"/>
      <name val="Calibri"/>
      <family val="2"/>
    </font>
    <font>
      <sz val="11"/>
      <color theme="0"/>
      <name val="Calibri"/>
      <family val="2"/>
    </font>
    <font>
      <sz val="11"/>
      <color rgb="FF00B0F0"/>
      <name val="Calibri"/>
      <family val="2"/>
    </font>
    <font>
      <sz val="9"/>
      <color indexed="81"/>
      <name val="Segoe UI"/>
      <family val="2"/>
    </font>
    <font>
      <sz val="15"/>
      <color theme="1"/>
      <name val="Calibri"/>
      <family val="2"/>
    </font>
    <font>
      <sz val="15"/>
      <color theme="1"/>
      <name val="Calibri"/>
      <family val="2"/>
      <scheme val="minor"/>
    </font>
    <font>
      <b/>
      <sz val="15"/>
      <name val="Calibri"/>
      <family val="2"/>
      <scheme val="minor"/>
    </font>
    <font>
      <sz val="15"/>
      <name val="Calibri"/>
      <family val="2"/>
      <scheme val="minor"/>
    </font>
    <font>
      <sz val="11"/>
      <color rgb="FF000000"/>
      <name val="Calibri"/>
      <family val="2"/>
    </font>
    <font>
      <b/>
      <sz val="8"/>
      <color theme="1"/>
      <name val="Calibri"/>
      <family val="2"/>
      <scheme val="minor"/>
    </font>
    <font>
      <b/>
      <sz val="8"/>
      <color rgb="FFFF0000"/>
      <name val="Calibri"/>
      <family val="2"/>
      <scheme val="minor"/>
    </font>
    <font>
      <b/>
      <sz val="8"/>
      <name val="Calibri"/>
      <family val="2"/>
      <scheme val="minor"/>
    </font>
    <font>
      <sz val="12"/>
      <color rgb="FF000000"/>
      <name val="Times New Roman"/>
      <family val="1"/>
    </font>
    <font>
      <sz val="10"/>
      <name val="Arial"/>
      <family val="2"/>
    </font>
    <font>
      <sz val="8"/>
      <name val="Calibri"/>
      <family val="2"/>
    </font>
    <font>
      <sz val="12"/>
      <color rgb="FF000000"/>
      <name val="Aptos"/>
      <family val="2"/>
    </font>
    <font>
      <sz val="11"/>
      <color rgb="FFFF0000"/>
      <name val="Calibri"/>
      <family val="2"/>
      <scheme val="minor"/>
    </font>
    <font>
      <b/>
      <sz val="16"/>
      <color theme="0"/>
      <name val="Calibri"/>
      <family val="2"/>
    </font>
    <font>
      <sz val="8"/>
      <color theme="1"/>
      <name val="Calibri"/>
      <family val="2"/>
    </font>
    <font>
      <sz val="9"/>
      <color theme="0"/>
      <name val="Calibri"/>
      <family val="2"/>
    </font>
    <font>
      <sz val="9"/>
      <name val="Calibri"/>
      <family val="2"/>
    </font>
    <font>
      <sz val="10"/>
      <color theme="0"/>
      <name val="Calibri"/>
      <family val="2"/>
    </font>
    <font>
      <sz val="10"/>
      <name val="Calibri"/>
      <family val="2"/>
    </font>
    <font>
      <sz val="10"/>
      <color theme="1"/>
      <name val="Calibri"/>
      <family val="2"/>
      <scheme val="minor"/>
    </font>
    <font>
      <sz val="11"/>
      <color rgb="FF000000"/>
      <name val="Aptos Narrow"/>
      <family val="2"/>
    </font>
    <font>
      <sz val="11"/>
      <color rgb="FF242424"/>
      <name val="Calibri"/>
      <family val="2"/>
      <scheme val="minor"/>
    </font>
    <font>
      <sz val="11"/>
      <name val="Aptos Narrow"/>
      <family val="2"/>
    </font>
    <font>
      <b/>
      <sz val="12"/>
      <color theme="0"/>
      <name val="Calibri"/>
      <family val="2"/>
      <scheme val="minor"/>
    </font>
    <font>
      <sz val="12"/>
      <color theme="1"/>
      <name val="Calibri"/>
      <family val="2"/>
      <scheme val="minor"/>
    </font>
    <font>
      <b/>
      <sz val="12"/>
      <color theme="1"/>
      <name val="Calibri"/>
      <family val="2"/>
      <scheme val="minor"/>
    </font>
    <font>
      <b/>
      <sz val="11"/>
      <color rgb="FFFFFFFF"/>
      <name val="Aptos Narrow"/>
      <family val="2"/>
    </font>
    <font>
      <b/>
      <sz val="10"/>
      <color theme="1"/>
      <name val="Calibri"/>
      <family val="2"/>
      <scheme val="minor"/>
    </font>
    <font>
      <sz val="8"/>
      <color rgb="FFFF0000"/>
      <name val="Calibri"/>
      <family val="2"/>
      <scheme val="minor"/>
    </font>
    <font>
      <b/>
      <sz val="10"/>
      <color rgb="FFFF0000"/>
      <name val="Calibri"/>
      <family val="2"/>
    </font>
    <font>
      <b/>
      <sz val="9"/>
      <color indexed="81"/>
      <name val="Segoe UI"/>
      <family val="2"/>
    </font>
    <font>
      <b/>
      <sz val="6"/>
      <color theme="0"/>
      <name val="Calibri"/>
      <family val="2"/>
      <scheme val="minor"/>
    </font>
    <font>
      <sz val="7"/>
      <color theme="1"/>
      <name val="Calibri"/>
      <family val="2"/>
      <scheme val="minor"/>
    </font>
    <font>
      <sz val="10"/>
      <color rgb="FF000000"/>
      <name val="Calibri"/>
      <family val="2"/>
      <scheme val="minor"/>
    </font>
  </fonts>
  <fills count="36">
    <fill>
      <patternFill patternType="none"/>
    </fill>
    <fill>
      <patternFill patternType="gray125"/>
    </fill>
    <fill>
      <patternFill patternType="solid">
        <fgColor theme="0" tint="-0.34998626667073579"/>
        <bgColor indexed="64"/>
      </patternFill>
    </fill>
    <fill>
      <patternFill patternType="solid">
        <fgColor theme="3"/>
        <bgColor indexed="64"/>
      </patternFill>
    </fill>
    <fill>
      <patternFill patternType="solid">
        <fgColor rgb="FF0090C6"/>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D6EB00"/>
        <bgColor indexed="64"/>
      </patternFill>
    </fill>
    <fill>
      <patternFill patternType="solid">
        <fgColor theme="0" tint="-0.49998474074526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C00000"/>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rgb="FFD9E2F3"/>
        <bgColor indexed="64"/>
      </patternFill>
    </fill>
    <fill>
      <patternFill patternType="solid">
        <fgColor theme="7"/>
        <bgColor indexed="64"/>
      </patternFill>
    </fill>
    <fill>
      <patternFill patternType="solid">
        <fgColor rgb="FF00B0F0"/>
        <bgColor indexed="64"/>
      </patternFill>
    </fill>
    <fill>
      <patternFill patternType="solid">
        <fgColor theme="1"/>
        <bgColor indexed="64"/>
      </patternFill>
    </fill>
    <fill>
      <patternFill patternType="solid">
        <fgColor theme="3" tint="0.499984740745262"/>
        <bgColor indexed="64"/>
      </patternFill>
    </fill>
    <fill>
      <patternFill patternType="solid">
        <fgColor theme="0" tint="-0.34998626667073579"/>
        <bgColor theme="0" tint="-0.34998626667073579"/>
      </patternFill>
    </fill>
    <fill>
      <patternFill patternType="solid">
        <fgColor theme="0" tint="-0.14999847407452621"/>
        <bgColor theme="0" tint="-0.14999847407452621"/>
      </patternFill>
    </fill>
    <fill>
      <patternFill patternType="solid">
        <fgColor rgb="FFFF00FF"/>
        <bgColor indexed="64"/>
      </patternFill>
    </fill>
    <fill>
      <patternFill patternType="solid">
        <fgColor theme="4"/>
        <bgColor indexed="64"/>
      </patternFill>
    </fill>
    <fill>
      <patternFill patternType="solid">
        <fgColor rgb="FFD9D9D9"/>
        <bgColor rgb="FFD9D9D9"/>
      </patternFill>
    </fill>
    <fill>
      <patternFill patternType="solid">
        <fgColor theme="4" tint="0.79998168889431442"/>
        <bgColor theme="4" tint="0.79998168889431442"/>
      </patternFill>
    </fill>
    <fill>
      <patternFill patternType="solid">
        <fgColor theme="3" tint="0.249977111117893"/>
        <bgColor indexed="64"/>
      </patternFill>
    </fill>
    <fill>
      <patternFill patternType="solid">
        <fgColor theme="3" tint="0.89999084444715716"/>
        <bgColor indexed="64"/>
      </patternFill>
    </fill>
    <fill>
      <patternFill patternType="solid">
        <fgColor rgb="FFFFFF00"/>
        <bgColor indexed="64"/>
      </patternFill>
    </fill>
    <fill>
      <patternFill patternType="solid">
        <fgColor rgb="FF7030A0"/>
        <bgColor indexed="64"/>
      </patternFill>
    </fill>
  </fills>
  <borders count="55">
    <border>
      <left/>
      <right/>
      <top/>
      <bottom/>
      <diagonal/>
    </border>
    <border>
      <left style="thin">
        <color theme="0"/>
      </left>
      <right style="thin">
        <color theme="0"/>
      </right>
      <top style="thin">
        <color theme="0"/>
      </top>
      <bottom/>
      <diagonal/>
    </border>
    <border>
      <left style="medium">
        <color theme="0"/>
      </left>
      <right style="medium">
        <color theme="0"/>
      </right>
      <top style="medium">
        <color theme="0"/>
      </top>
      <bottom style="medium">
        <color theme="0"/>
      </bottom>
      <diagonal/>
    </border>
    <border>
      <left/>
      <right/>
      <top/>
      <bottom style="thin">
        <color theme="0" tint="-0.14996795556505021"/>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indexed="64"/>
      </bottom>
      <diagonal/>
    </border>
    <border>
      <left style="hair">
        <color theme="4" tint="0.79998168889431442"/>
      </left>
      <right style="hair">
        <color theme="4" tint="0.79998168889431442"/>
      </right>
      <top/>
      <bottom/>
      <diagonal/>
    </border>
    <border>
      <left/>
      <right style="thin">
        <color theme="0"/>
      </right>
      <top style="thin">
        <color theme="0"/>
      </top>
      <bottom style="thin">
        <color theme="0"/>
      </bottom>
      <diagonal/>
    </border>
    <border>
      <left/>
      <right/>
      <top style="thin">
        <color theme="0"/>
      </top>
      <bottom/>
      <diagonal/>
    </border>
    <border>
      <left style="medium">
        <color rgb="FF8EAADB"/>
      </left>
      <right style="medium">
        <color rgb="FF8EAADB"/>
      </right>
      <top style="medium">
        <color rgb="FF8EAADB"/>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diagonal/>
    </border>
    <border>
      <left style="thin">
        <color theme="0"/>
      </left>
      <right/>
      <top style="thin">
        <color theme="1"/>
      </top>
      <bottom style="thin">
        <color theme="1"/>
      </bottom>
      <diagonal/>
    </border>
    <border>
      <left style="hair">
        <color theme="4" tint="0.79998168889431442"/>
      </left>
      <right/>
      <top style="thin">
        <color theme="1"/>
      </top>
      <bottom style="thin">
        <color theme="1"/>
      </bottom>
      <diagonal/>
    </border>
    <border>
      <left style="hair">
        <color theme="4" tint="0.79998168889431442"/>
      </left>
      <right style="hair">
        <color theme="4" tint="0.79998168889431442"/>
      </right>
      <top/>
      <bottom style="thick">
        <color theme="0"/>
      </bottom>
      <diagonal/>
    </border>
    <border>
      <left style="hair">
        <color theme="4" tint="0.79998168889431442"/>
      </left>
      <right/>
      <top/>
      <bottom/>
      <diagonal/>
    </border>
    <border>
      <left style="thin">
        <color theme="0"/>
      </left>
      <right/>
      <top style="thin">
        <color theme="0"/>
      </top>
      <bottom/>
      <diagonal/>
    </border>
    <border>
      <left style="thin">
        <color theme="0"/>
      </left>
      <right/>
      <top/>
      <bottom/>
      <diagonal/>
    </border>
    <border>
      <left style="thin">
        <color theme="0"/>
      </left>
      <right style="thin">
        <color theme="0"/>
      </right>
      <top/>
      <bottom style="thick">
        <color theme="0"/>
      </bottom>
      <diagonal/>
    </border>
    <border>
      <left style="thin">
        <color theme="0"/>
      </left>
      <right/>
      <top style="thin">
        <color theme="1"/>
      </top>
      <bottom/>
      <diagonal/>
    </border>
    <border>
      <left style="hair">
        <color theme="4" tint="0.79998168889431442"/>
      </left>
      <right/>
      <top style="thin">
        <color theme="1"/>
      </top>
      <bottom/>
      <diagonal/>
    </border>
    <border>
      <left/>
      <right/>
      <top style="thin">
        <color rgb="FF44B3E1"/>
      </top>
      <bottom style="thin">
        <color rgb="FF44B3E1"/>
      </bottom>
      <diagonal/>
    </border>
    <border>
      <left/>
      <right style="thin">
        <color rgb="FFF2F2F2"/>
      </right>
      <top style="thin">
        <color rgb="FF44B3E1"/>
      </top>
      <bottom style="thin">
        <color rgb="FF44B3E1"/>
      </bottom>
      <diagonal/>
    </border>
    <border>
      <left/>
      <right style="thin">
        <color rgb="FF44B3E1"/>
      </right>
      <top style="thin">
        <color rgb="FF44B3E1"/>
      </top>
      <bottom style="thin">
        <color rgb="FF44B3E1"/>
      </bottom>
      <diagonal/>
    </border>
    <border>
      <left style="thin">
        <color rgb="FF44B3E1"/>
      </left>
      <right/>
      <top style="thin">
        <color rgb="FF44B3E1"/>
      </top>
      <bottom style="thin">
        <color rgb="FF44B3E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rgb="FF44B3E1"/>
      </bottom>
      <diagonal/>
    </border>
    <border>
      <left/>
      <right/>
      <top style="thin">
        <color rgb="FF44B3E1"/>
      </top>
      <bottom/>
      <diagonal/>
    </border>
    <border>
      <left/>
      <right/>
      <top/>
      <bottom style="thin">
        <color theme="4" tint="0.39997558519241921"/>
      </bottom>
      <diagonal/>
    </border>
    <border>
      <left/>
      <right/>
      <top style="thin">
        <color theme="4" tint="0.39997558519241921"/>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theme="0"/>
      </left>
      <right/>
      <top style="thin">
        <color theme="0"/>
      </top>
      <bottom style="thin">
        <color theme="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theme="1"/>
      </bottom>
      <diagonal/>
    </border>
  </borders>
  <cellStyleXfs count="16">
    <xf numFmtId="0" fontId="0" fillId="0" borderId="0"/>
    <xf numFmtId="9" fontId="9" fillId="0" borderId="0" applyFont="0" applyFill="0" applyBorder="0" applyAlignment="0" applyProtection="0"/>
    <xf numFmtId="0" fontId="10" fillId="0" borderId="0"/>
    <xf numFmtId="43" fontId="9"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49" fillId="0" borderId="0"/>
    <xf numFmtId="0" fontId="2" fillId="0" borderId="0"/>
    <xf numFmtId="44" fontId="59" fillId="0" borderId="0" applyFont="0" applyFill="0" applyBorder="0" applyAlignment="0" applyProtection="0"/>
    <xf numFmtId="9" fontId="59" fillId="0" borderId="0" applyFont="0" applyFill="0" applyBorder="0" applyAlignment="0" applyProtection="0"/>
    <xf numFmtId="43" fontId="59"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436">
    <xf numFmtId="0" fontId="0" fillId="0" borderId="0" xfId="0"/>
    <xf numFmtId="0" fontId="11" fillId="0" borderId="0" xfId="2" applyFont="1"/>
    <xf numFmtId="0" fontId="10" fillId="0" borderId="0" xfId="2"/>
    <xf numFmtId="0" fontId="10" fillId="0" borderId="0" xfId="2" applyAlignment="1">
      <alignment horizontal="center"/>
    </xf>
    <xf numFmtId="0" fontId="12" fillId="0" borderId="0" xfId="2" applyFont="1"/>
    <xf numFmtId="166" fontId="10" fillId="0" borderId="0" xfId="2" applyNumberFormat="1"/>
    <xf numFmtId="3" fontId="10" fillId="0" borderId="0" xfId="2" applyNumberFormat="1"/>
    <xf numFmtId="0" fontId="13" fillId="0" borderId="0" xfId="2" applyFont="1"/>
    <xf numFmtId="0" fontId="14" fillId="0" borderId="0" xfId="2" applyFont="1"/>
    <xf numFmtId="166" fontId="10" fillId="5" borderId="0" xfId="2" applyNumberFormat="1" applyFill="1" applyAlignment="1">
      <alignment horizontal="center" vertical="center"/>
    </xf>
    <xf numFmtId="166" fontId="10" fillId="6" borderId="0" xfId="2" applyNumberFormat="1" applyFill="1" applyAlignment="1">
      <alignment horizontal="center" vertical="center"/>
    </xf>
    <xf numFmtId="0" fontId="15" fillId="7" borderId="2" xfId="2" applyFont="1" applyFill="1" applyBorder="1" applyAlignment="1">
      <alignment horizontal="center" vertical="center" wrapText="1"/>
    </xf>
    <xf numFmtId="0" fontId="16" fillId="0" borderId="0" xfId="2" applyFont="1" applyAlignment="1">
      <alignment vertical="center"/>
    </xf>
    <xf numFmtId="0" fontId="17" fillId="0" borderId="0" xfId="2" applyFont="1" applyAlignment="1">
      <alignment vertical="center"/>
    </xf>
    <xf numFmtId="0" fontId="18" fillId="0" borderId="0" xfId="2" applyFont="1"/>
    <xf numFmtId="0" fontId="18" fillId="0" borderId="0" xfId="2" applyFont="1" applyAlignment="1">
      <alignment horizontal="center" vertical="center"/>
    </xf>
    <xf numFmtId="0" fontId="20" fillId="8" borderId="3" xfId="2" applyFont="1" applyFill="1" applyBorder="1" applyAlignment="1">
      <alignment vertical="center" wrapText="1"/>
    </xf>
    <xf numFmtId="167" fontId="21" fillId="4" borderId="4" xfId="2" applyNumberFormat="1" applyFont="1" applyFill="1" applyBorder="1" applyAlignment="1">
      <alignment vertical="center"/>
    </xf>
    <xf numFmtId="0" fontId="23" fillId="0" borderId="0" xfId="2" applyFont="1"/>
    <xf numFmtId="0" fontId="26" fillId="0" borderId="5" xfId="0" applyFont="1" applyBorder="1" applyAlignment="1">
      <alignment horizontal="center" vertical="center" wrapText="1"/>
    </xf>
    <xf numFmtId="0" fontId="8" fillId="0" borderId="5" xfId="0" applyFont="1" applyBorder="1" applyAlignment="1">
      <alignment horizontal="center" vertical="center" wrapText="1"/>
    </xf>
    <xf numFmtId="165" fontId="26" fillId="0" borderId="5" xfId="0" applyNumberFormat="1" applyFont="1" applyBorder="1" applyAlignment="1">
      <alignment horizontal="center" vertical="center" wrapText="1"/>
    </xf>
    <xf numFmtId="17" fontId="8" fillId="0" borderId="5" xfId="0" applyNumberFormat="1" applyFont="1" applyBorder="1" applyAlignment="1">
      <alignment horizontal="center" vertical="center"/>
    </xf>
    <xf numFmtId="0" fontId="8" fillId="0" borderId="5" xfId="0" applyFont="1" applyBorder="1" applyAlignment="1">
      <alignment horizontal="center" vertical="center"/>
    </xf>
    <xf numFmtId="0" fontId="20" fillId="0" borderId="5" xfId="0" applyFont="1" applyBorder="1" applyAlignment="1">
      <alignment horizontal="center" vertical="center"/>
    </xf>
    <xf numFmtId="17" fontId="8" fillId="0" borderId="5" xfId="0" applyNumberFormat="1" applyFont="1" applyBorder="1" applyAlignment="1">
      <alignment horizontal="center" vertical="center" wrapText="1"/>
    </xf>
    <xf numFmtId="0" fontId="8" fillId="0" borderId="5" xfId="0" applyFont="1" applyBorder="1" applyAlignment="1" applyProtection="1">
      <alignment horizontal="center" vertical="center" wrapText="1"/>
      <protection locked="0"/>
    </xf>
    <xf numFmtId="49" fontId="8" fillId="0" borderId="5" xfId="0" applyNumberFormat="1" applyFont="1" applyBorder="1" applyAlignment="1" applyProtection="1">
      <alignment horizontal="center" vertical="center" wrapText="1"/>
      <protection locked="0"/>
    </xf>
    <xf numFmtId="9" fontId="8" fillId="0" borderId="5" xfId="1" applyFont="1" applyFill="1" applyBorder="1" applyAlignment="1" applyProtection="1">
      <alignment horizontal="center" vertical="center" wrapText="1"/>
      <protection locked="0"/>
    </xf>
    <xf numFmtId="10" fontId="8" fillId="0" borderId="5" xfId="1" applyNumberFormat="1" applyFont="1" applyFill="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8" fillId="0" borderId="9" xfId="0" applyFont="1" applyBorder="1" applyAlignment="1" applyProtection="1">
      <alignment horizontal="center" vertical="center" wrapText="1"/>
      <protection locked="0"/>
    </xf>
    <xf numFmtId="167" fontId="31" fillId="4" borderId="4" xfId="2" applyNumberFormat="1" applyFont="1" applyFill="1" applyBorder="1" applyAlignment="1">
      <alignment vertical="center"/>
    </xf>
    <xf numFmtId="0" fontId="8" fillId="0" borderId="10" xfId="0" applyFont="1" applyBorder="1" applyAlignment="1" applyProtection="1">
      <alignment horizontal="center" vertical="center" wrapText="1"/>
      <protection locked="0"/>
    </xf>
    <xf numFmtId="167" fontId="21" fillId="12" borderId="4" xfId="2" applyNumberFormat="1" applyFont="1" applyFill="1" applyBorder="1" applyAlignment="1">
      <alignment vertical="center"/>
    </xf>
    <xf numFmtId="167" fontId="31" fillId="12" borderId="4" xfId="2" applyNumberFormat="1" applyFont="1" applyFill="1" applyBorder="1" applyAlignment="1">
      <alignment vertical="center"/>
    </xf>
    <xf numFmtId="0" fontId="32" fillId="0" borderId="8" xfId="0" applyFont="1" applyBorder="1" applyAlignment="1" applyProtection="1">
      <alignment horizontal="center" vertical="center" wrapText="1"/>
      <protection locked="0"/>
    </xf>
    <xf numFmtId="0" fontId="32" fillId="0" borderId="7" xfId="0" applyFont="1" applyBorder="1" applyAlignment="1" applyProtection="1">
      <alignment horizontal="center" vertical="center" wrapText="1"/>
      <protection locked="0"/>
    </xf>
    <xf numFmtId="167" fontId="34" fillId="4" borderId="4" xfId="2" applyNumberFormat="1" applyFont="1" applyFill="1" applyBorder="1" applyAlignment="1">
      <alignment vertical="center"/>
    </xf>
    <xf numFmtId="167" fontId="34" fillId="12" borderId="4" xfId="2" applyNumberFormat="1" applyFont="1" applyFill="1" applyBorder="1" applyAlignment="1">
      <alignment vertical="center"/>
    </xf>
    <xf numFmtId="0" fontId="32" fillId="0" borderId="10" xfId="0" applyFont="1" applyBorder="1" applyAlignment="1" applyProtection="1">
      <alignment horizontal="center" vertical="center" wrapText="1"/>
      <protection locked="0"/>
    </xf>
    <xf numFmtId="0" fontId="5" fillId="3" borderId="6" xfId="0" applyFont="1" applyFill="1" applyBorder="1" applyAlignment="1">
      <alignment horizontal="center" vertical="center"/>
    </xf>
    <xf numFmtId="0" fontId="5" fillId="3" borderId="5" xfId="0" applyFont="1" applyFill="1" applyBorder="1" applyAlignment="1">
      <alignment horizontal="center" vertical="center"/>
    </xf>
    <xf numFmtId="0" fontId="0" fillId="0" borderId="0" xfId="0" applyAlignment="1">
      <alignment vertical="center"/>
    </xf>
    <xf numFmtId="0" fontId="25" fillId="0" borderId="0" xfId="0" applyFont="1" applyAlignment="1">
      <alignment horizontal="center" vertical="center"/>
    </xf>
    <xf numFmtId="0" fontId="29" fillId="0" borderId="0" xfId="0" applyFont="1" applyAlignment="1">
      <alignment horizontal="left" vertical="center"/>
    </xf>
    <xf numFmtId="0" fontId="30" fillId="10" borderId="5" xfId="0" applyFont="1" applyFill="1" applyBorder="1" applyAlignment="1">
      <alignment horizontal="center" vertical="center"/>
    </xf>
    <xf numFmtId="0" fontId="4" fillId="11" borderId="5" xfId="0" applyFont="1" applyFill="1" applyBorder="1" applyAlignment="1">
      <alignment horizontal="center" vertical="center"/>
    </xf>
    <xf numFmtId="0" fontId="28" fillId="13" borderId="5" xfId="0" applyFont="1" applyFill="1" applyBorder="1" applyAlignment="1">
      <alignment horizontal="center" vertical="center"/>
    </xf>
    <xf numFmtId="0" fontId="28" fillId="14" borderId="5" xfId="0" applyFont="1" applyFill="1" applyBorder="1" applyAlignment="1">
      <alignment horizontal="center" vertical="center"/>
    </xf>
    <xf numFmtId="0" fontId="28" fillId="0" borderId="5" xfId="0" applyFont="1" applyBorder="1" applyAlignment="1">
      <alignment horizontal="center" vertical="center"/>
    </xf>
    <xf numFmtId="0" fontId="33" fillId="8" borderId="3" xfId="2" applyFont="1" applyFill="1" applyBorder="1" applyAlignment="1">
      <alignment horizontal="left" vertical="center" wrapText="1"/>
    </xf>
    <xf numFmtId="0" fontId="22" fillId="8" borderId="3" xfId="2" applyFont="1" applyFill="1" applyBorder="1" applyAlignment="1">
      <alignment horizontal="left" vertical="center"/>
    </xf>
    <xf numFmtId="0" fontId="28" fillId="14" borderId="10" xfId="0" applyFont="1" applyFill="1" applyBorder="1" applyAlignment="1">
      <alignment horizontal="center" vertical="center"/>
    </xf>
    <xf numFmtId="0" fontId="25" fillId="0" borderId="0" xfId="0" applyFont="1" applyAlignment="1">
      <alignment horizontal="left" vertical="center" indent="2"/>
    </xf>
    <xf numFmtId="0" fontId="25" fillId="0" borderId="5" xfId="0" applyFont="1" applyBorder="1" applyAlignment="1">
      <alignment horizontal="center" vertical="center"/>
    </xf>
    <xf numFmtId="0" fontId="25" fillId="0" borderId="5" xfId="0" applyFont="1" applyBorder="1" applyAlignment="1">
      <alignment vertical="center" wrapText="1"/>
    </xf>
    <xf numFmtId="0" fontId="25" fillId="0" borderId="5" xfId="0" applyFont="1" applyBorder="1" applyAlignment="1">
      <alignment horizontal="left" vertical="center" wrapText="1" indent="1"/>
    </xf>
    <xf numFmtId="0" fontId="25" fillId="0" borderId="5" xfId="0" applyFont="1" applyBorder="1" applyAlignment="1">
      <alignment horizontal="left" vertical="center" indent="1"/>
    </xf>
    <xf numFmtId="0" fontId="5" fillId="3" borderId="5" xfId="0" applyFont="1" applyFill="1" applyBorder="1" applyAlignment="1">
      <alignment vertical="center"/>
    </xf>
    <xf numFmtId="0" fontId="5" fillId="3" borderId="5" xfId="0" applyFont="1" applyFill="1" applyBorder="1" applyAlignment="1">
      <alignment horizontal="left" vertical="center" indent="1"/>
    </xf>
    <xf numFmtId="0" fontId="25" fillId="0" borderId="5" xfId="0" applyFont="1" applyBorder="1" applyAlignment="1">
      <alignment horizontal="left" vertical="center" wrapText="1" indent="2"/>
    </xf>
    <xf numFmtId="0" fontId="0" fillId="0" borderId="0" xfId="0" applyAlignment="1">
      <alignment vertical="center" wrapText="1"/>
    </xf>
    <xf numFmtId="0" fontId="10" fillId="0" borderId="0" xfId="2" applyAlignment="1">
      <alignment horizontal="right" vertical="center" indent="1"/>
    </xf>
    <xf numFmtId="0" fontId="22" fillId="0" borderId="0" xfId="2" applyFont="1" applyAlignment="1">
      <alignment horizontal="right" vertical="center" indent="1"/>
    </xf>
    <xf numFmtId="167" fontId="21" fillId="17" borderId="9" xfId="2" applyNumberFormat="1" applyFont="1" applyFill="1" applyBorder="1" applyAlignment="1">
      <alignment vertical="center"/>
    </xf>
    <xf numFmtId="167" fontId="21" fillId="17" borderId="12" xfId="2" applyNumberFormat="1" applyFont="1" applyFill="1" applyBorder="1" applyAlignment="1">
      <alignment vertical="center"/>
    </xf>
    <xf numFmtId="3" fontId="19" fillId="0" borderId="1" xfId="2" applyNumberFormat="1" applyFont="1" applyBorder="1" applyAlignment="1">
      <alignment horizontal="left" vertical="center"/>
    </xf>
    <xf numFmtId="0" fontId="10" fillId="0" borderId="0" xfId="2" applyAlignment="1">
      <alignment horizontal="left" wrapText="1"/>
    </xf>
    <xf numFmtId="0" fontId="21" fillId="9" borderId="7" xfId="2" applyFont="1" applyFill="1" applyBorder="1" applyAlignment="1">
      <alignment horizontal="left" vertical="center" indent="1"/>
    </xf>
    <xf numFmtId="0" fontId="40" fillId="9" borderId="9" xfId="2" applyFont="1" applyFill="1" applyBorder="1" applyAlignment="1">
      <alignment horizontal="right"/>
    </xf>
    <xf numFmtId="0" fontId="41" fillId="9" borderId="9" xfId="2" applyFont="1" applyFill="1" applyBorder="1"/>
    <xf numFmtId="0" fontId="41" fillId="9" borderId="12" xfId="2" applyFont="1" applyFill="1" applyBorder="1"/>
    <xf numFmtId="0" fontId="41" fillId="0" borderId="0" xfId="2" applyFont="1"/>
    <xf numFmtId="0" fontId="40" fillId="0" borderId="0" xfId="2" applyFont="1"/>
    <xf numFmtId="0" fontId="15" fillId="16" borderId="5" xfId="2" applyFont="1" applyFill="1" applyBorder="1" applyAlignment="1">
      <alignment horizontal="center" vertical="center" wrapText="1"/>
    </xf>
    <xf numFmtId="0" fontId="35" fillId="0" borderId="0" xfId="2" applyFont="1" applyAlignment="1">
      <alignment horizontal="left"/>
    </xf>
    <xf numFmtId="0" fontId="7" fillId="0" borderId="11" xfId="2" applyFont="1" applyBorder="1" applyAlignment="1">
      <alignment horizontal="left" vertical="center" wrapText="1"/>
    </xf>
    <xf numFmtId="0" fontId="21" fillId="18" borderId="7" xfId="2" applyFont="1" applyFill="1" applyBorder="1" applyAlignment="1">
      <alignment horizontal="left" vertical="center" indent="1"/>
    </xf>
    <xf numFmtId="0" fontId="44" fillId="21" borderId="14" xfId="0" applyFont="1" applyFill="1" applyBorder="1" applyAlignment="1">
      <alignment vertical="center"/>
    </xf>
    <xf numFmtId="0" fontId="7" fillId="0" borderId="0" xfId="2" applyFont="1" applyAlignment="1">
      <alignment horizontal="left" vertical="center" wrapText="1"/>
    </xf>
    <xf numFmtId="0" fontId="0" fillId="19" borderId="9" xfId="0" applyFill="1" applyBorder="1" applyAlignment="1">
      <alignment vertical="center"/>
    </xf>
    <xf numFmtId="0" fontId="0" fillId="20" borderId="9" xfId="0" applyFill="1" applyBorder="1" applyAlignment="1">
      <alignment vertical="center"/>
    </xf>
    <xf numFmtId="0" fontId="0" fillId="20" borderId="13" xfId="0" applyFill="1" applyBorder="1" applyAlignment="1">
      <alignment vertical="center"/>
    </xf>
    <xf numFmtId="0" fontId="0" fillId="19" borderId="13" xfId="0" applyFill="1" applyBorder="1" applyAlignment="1">
      <alignment vertical="center"/>
    </xf>
    <xf numFmtId="0" fontId="10" fillId="0" borderId="0" xfId="0" applyFont="1" applyAlignment="1">
      <alignment horizontal="left" vertical="center"/>
    </xf>
    <xf numFmtId="0" fontId="10" fillId="0" borderId="0" xfId="0" applyFont="1" applyAlignment="1">
      <alignment vertical="center"/>
    </xf>
    <xf numFmtId="0" fontId="44" fillId="0" borderId="0" xfId="0" applyFont="1" applyAlignment="1">
      <alignment horizontal="left" vertical="center"/>
    </xf>
    <xf numFmtId="0" fontId="8" fillId="0" borderId="0" xfId="2" applyFont="1" applyAlignment="1">
      <alignment horizontal="left" vertical="center" wrapText="1"/>
    </xf>
    <xf numFmtId="0" fontId="48" fillId="0" borderId="0" xfId="0" applyFont="1"/>
    <xf numFmtId="0" fontId="10" fillId="0" borderId="0" xfId="2" applyAlignment="1">
      <alignment horizontal="left"/>
    </xf>
    <xf numFmtId="0" fontId="18" fillId="0" borderId="0" xfId="2" applyFont="1" applyAlignment="1">
      <alignment horizontal="left"/>
    </xf>
    <xf numFmtId="0" fontId="37" fillId="16" borderId="2" xfId="2" applyFont="1" applyFill="1" applyBorder="1" applyAlignment="1">
      <alignment horizontal="left"/>
    </xf>
    <xf numFmtId="0" fontId="10" fillId="15" borderId="6" xfId="2" applyFill="1" applyBorder="1" applyAlignment="1">
      <alignment horizontal="left" vertical="center"/>
    </xf>
    <xf numFmtId="0" fontId="10" fillId="15" borderId="5" xfId="2" applyFill="1" applyBorder="1" applyAlignment="1">
      <alignment horizontal="left" vertical="center"/>
    </xf>
    <xf numFmtId="0" fontId="10" fillId="0" borderId="0" xfId="2" applyAlignment="1">
      <alignment horizontal="left" vertical="center"/>
    </xf>
    <xf numFmtId="0" fontId="38" fillId="0" borderId="0" xfId="2" applyFont="1" applyAlignment="1">
      <alignment horizontal="left" vertical="center"/>
    </xf>
    <xf numFmtId="168" fontId="0" fillId="0" borderId="0" xfId="0" applyNumberFormat="1"/>
    <xf numFmtId="0" fontId="42" fillId="8" borderId="7" xfId="2" applyFont="1" applyFill="1" applyBorder="1" applyAlignment="1">
      <alignment horizontal="centerContinuous" vertical="center"/>
    </xf>
    <xf numFmtId="0" fontId="43" fillId="8" borderId="9" xfId="2" applyFont="1" applyFill="1" applyBorder="1" applyAlignment="1">
      <alignment horizontal="centerContinuous" vertical="center" wrapText="1"/>
    </xf>
    <xf numFmtId="0" fontId="43" fillId="8" borderId="9" xfId="2" applyFont="1" applyFill="1" applyBorder="1" applyAlignment="1">
      <alignment horizontal="centerContinuous" vertical="center"/>
    </xf>
    <xf numFmtId="0" fontId="43" fillId="23" borderId="9" xfId="2" applyFont="1" applyFill="1" applyBorder="1" applyAlignment="1">
      <alignment horizontal="centerContinuous" vertical="center" wrapText="1"/>
    </xf>
    <xf numFmtId="0" fontId="41" fillId="23" borderId="9" xfId="2" applyFont="1" applyFill="1" applyBorder="1" applyAlignment="1">
      <alignment horizontal="centerContinuous"/>
    </xf>
    <xf numFmtId="0" fontId="10" fillId="0" borderId="1" xfId="2" applyBorder="1" applyAlignment="1">
      <alignment horizontal="left"/>
    </xf>
    <xf numFmtId="0" fontId="7" fillId="24" borderId="15" xfId="7" applyFont="1" applyFill="1" applyBorder="1" applyAlignment="1">
      <alignment horizontal="center" vertical="center" wrapText="1"/>
    </xf>
    <xf numFmtId="0" fontId="0" fillId="25" borderId="16" xfId="0" applyFill="1" applyBorder="1" applyAlignment="1">
      <alignment horizontal="center" vertical="center"/>
    </xf>
    <xf numFmtId="0" fontId="0" fillId="0" borderId="16" xfId="0" applyBorder="1"/>
    <xf numFmtId="14" fontId="0" fillId="0" borderId="16" xfId="0" applyNumberFormat="1" applyBorder="1" applyAlignment="1">
      <alignment horizontal="center"/>
    </xf>
    <xf numFmtId="17" fontId="0" fillId="0" borderId="16" xfId="0" applyNumberFormat="1" applyBorder="1"/>
    <xf numFmtId="0" fontId="51" fillId="0" borderId="0" xfId="0" applyFont="1"/>
    <xf numFmtId="49" fontId="7" fillId="24" borderId="18" xfId="2"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49" fontId="50" fillId="26" borderId="22" xfId="2" applyNumberFormat="1" applyFont="1" applyFill="1" applyBorder="1" applyAlignment="1">
      <alignment horizontal="center" vertical="center" wrapText="1"/>
    </xf>
    <xf numFmtId="49" fontId="10" fillId="0" borderId="0" xfId="2" applyNumberFormat="1"/>
    <xf numFmtId="0" fontId="10" fillId="0" borderId="0" xfId="2" applyAlignment="1">
      <alignment wrapText="1"/>
    </xf>
    <xf numFmtId="0" fontId="36" fillId="0" borderId="0" xfId="2" applyFont="1" applyAlignment="1">
      <alignment horizontal="right" vertical="center" indent="1"/>
    </xf>
    <xf numFmtId="0" fontId="19" fillId="0" borderId="17" xfId="2" applyFont="1" applyBorder="1" applyAlignment="1">
      <alignment horizontal="left" vertical="center"/>
    </xf>
    <xf numFmtId="0" fontId="19" fillId="0" borderId="0" xfId="2" applyFont="1" applyAlignment="1">
      <alignment horizontal="left" vertical="center"/>
    </xf>
    <xf numFmtId="44" fontId="10" fillId="0" borderId="0" xfId="2" applyNumberFormat="1"/>
    <xf numFmtId="0" fontId="53" fillId="28" borderId="0" xfId="2" applyFont="1" applyFill="1"/>
    <xf numFmtId="49" fontId="40" fillId="0" borderId="0" xfId="2" applyNumberFormat="1" applyFont="1"/>
    <xf numFmtId="0" fontId="54" fillId="0" borderId="0" xfId="2" applyFont="1" applyAlignment="1">
      <alignment horizontal="center" wrapText="1"/>
    </xf>
    <xf numFmtId="0" fontId="40" fillId="0" borderId="0" xfId="2" applyFont="1" applyAlignment="1">
      <alignment wrapText="1"/>
    </xf>
    <xf numFmtId="0" fontId="21" fillId="18" borderId="7" xfId="2" applyFont="1" applyFill="1" applyBorder="1" applyAlignment="1">
      <alignment vertical="center"/>
    </xf>
    <xf numFmtId="0" fontId="21" fillId="18" borderId="9" xfId="2" applyFont="1" applyFill="1" applyBorder="1" applyAlignment="1">
      <alignment vertical="center"/>
    </xf>
    <xf numFmtId="0" fontId="21" fillId="29" borderId="9" xfId="2" applyFont="1" applyFill="1" applyBorder="1" applyAlignment="1">
      <alignment horizontal="center" vertical="center"/>
    </xf>
    <xf numFmtId="0" fontId="40" fillId="0" borderId="0" xfId="2" quotePrefix="1" applyFont="1"/>
    <xf numFmtId="0" fontId="55" fillId="2" borderId="21" xfId="2" applyFont="1" applyFill="1" applyBorder="1" applyAlignment="1">
      <alignment horizontal="center" vertical="center" wrapText="1"/>
    </xf>
    <xf numFmtId="0" fontId="56" fillId="8" borderId="21" xfId="2" applyFont="1" applyFill="1" applyBorder="1" applyAlignment="1">
      <alignment horizontal="left" vertical="center" wrapText="1"/>
    </xf>
    <xf numFmtId="0" fontId="57" fillId="12" borderId="22" xfId="2" applyFont="1" applyFill="1" applyBorder="1" applyAlignment="1">
      <alignment horizontal="left" vertical="center" wrapText="1"/>
    </xf>
    <xf numFmtId="0" fontId="55" fillId="4" borderId="23" xfId="2" applyFont="1" applyFill="1" applyBorder="1" applyAlignment="1">
      <alignment horizontal="center" vertical="center" wrapText="1"/>
    </xf>
    <xf numFmtId="0" fontId="55" fillId="4" borderId="21" xfId="2" applyFont="1" applyFill="1" applyBorder="1" applyAlignment="1">
      <alignment horizontal="center" vertical="center" wrapText="1"/>
    </xf>
    <xf numFmtId="17" fontId="57" fillId="4" borderId="22" xfId="2" applyNumberFormat="1" applyFont="1" applyFill="1" applyBorder="1" applyAlignment="1">
      <alignment horizontal="center" vertical="center" wrapText="1"/>
    </xf>
    <xf numFmtId="0" fontId="57" fillId="4" borderId="22" xfId="2" applyFont="1" applyFill="1" applyBorder="1" applyAlignment="1">
      <alignment horizontal="center" vertical="center" wrapText="1"/>
    </xf>
    <xf numFmtId="0" fontId="58" fillId="22" borderId="23" xfId="2" applyFont="1" applyFill="1" applyBorder="1" applyAlignment="1">
      <alignment horizontal="center" vertical="center" wrapText="1"/>
    </xf>
    <xf numFmtId="0" fontId="57" fillId="24" borderId="21" xfId="2" applyFont="1" applyFill="1" applyBorder="1" applyAlignment="1">
      <alignment horizontal="center" vertical="center" wrapText="1"/>
    </xf>
    <xf numFmtId="49" fontId="57" fillId="24" borderId="23" xfId="2" applyNumberFormat="1" applyFont="1" applyFill="1" applyBorder="1" applyAlignment="1">
      <alignment horizontal="center" vertical="center" wrapText="1"/>
    </xf>
    <xf numFmtId="0" fontId="57" fillId="24" borderId="23" xfId="2" applyFont="1" applyFill="1" applyBorder="1" applyAlignment="1">
      <alignment horizontal="center" vertical="center" wrapText="1"/>
    </xf>
    <xf numFmtId="0" fontId="57" fillId="24" borderId="11" xfId="2" applyFont="1" applyFill="1" applyBorder="1" applyAlignment="1">
      <alignment horizontal="center" vertical="center" wrapText="1"/>
    </xf>
    <xf numFmtId="0" fontId="7" fillId="12" borderId="0" xfId="2" applyFont="1" applyFill="1" applyAlignment="1">
      <alignment horizontal="left" vertical="center" wrapText="1"/>
    </xf>
    <xf numFmtId="0" fontId="7" fillId="29" borderId="0" xfId="2" applyFont="1" applyFill="1" applyAlignment="1">
      <alignment horizontal="left" vertical="center" wrapText="1"/>
    </xf>
    <xf numFmtId="0" fontId="7" fillId="29" borderId="0" xfId="2" applyFont="1" applyFill="1" applyAlignment="1">
      <alignment horizontal="center" wrapText="1"/>
    </xf>
    <xf numFmtId="0" fontId="6" fillId="4" borderId="20" xfId="2" applyFont="1" applyFill="1" applyBorder="1" applyAlignment="1">
      <alignment horizontal="center" vertical="center" wrapText="1"/>
    </xf>
    <xf numFmtId="0" fontId="6" fillId="4" borderId="24" xfId="2" applyFont="1" applyFill="1" applyBorder="1" applyAlignment="1">
      <alignment horizontal="center" vertical="center" wrapText="1"/>
    </xf>
    <xf numFmtId="0" fontId="23" fillId="0" borderId="0" xfId="2" applyFont="1" applyAlignment="1">
      <alignment wrapText="1"/>
    </xf>
    <xf numFmtId="0" fontId="52" fillId="0" borderId="0" xfId="2" applyFont="1" applyAlignment="1">
      <alignment wrapText="1"/>
    </xf>
    <xf numFmtId="0" fontId="15" fillId="16" borderId="6" xfId="2" applyFont="1" applyFill="1" applyBorder="1" applyAlignment="1">
      <alignment horizontal="center" vertical="center" wrapText="1"/>
    </xf>
    <xf numFmtId="3" fontId="0" fillId="0" borderId="0" xfId="0" applyNumberFormat="1" applyAlignment="1">
      <alignment vertical="center"/>
    </xf>
    <xf numFmtId="0" fontId="6" fillId="4" borderId="21" xfId="2" applyFont="1" applyFill="1" applyBorder="1" applyAlignment="1">
      <alignment horizontal="center" vertical="center" wrapText="1"/>
    </xf>
    <xf numFmtId="0" fontId="11" fillId="26" borderId="22" xfId="2" applyFont="1" applyFill="1" applyBorder="1"/>
    <xf numFmtId="0" fontId="15" fillId="16" borderId="22" xfId="2" applyFont="1" applyFill="1" applyBorder="1" applyAlignment="1">
      <alignment horizontal="center" vertical="center" wrapText="1"/>
    </xf>
    <xf numFmtId="0" fontId="24" fillId="26" borderId="22" xfId="2" applyFont="1" applyFill="1" applyBorder="1" applyAlignment="1">
      <alignment horizontal="center" vertical="center" wrapText="1"/>
    </xf>
    <xf numFmtId="0" fontId="50" fillId="26" borderId="22" xfId="2" applyFont="1" applyFill="1" applyBorder="1" applyAlignment="1">
      <alignment horizontal="center" vertical="center" wrapText="1"/>
    </xf>
    <xf numFmtId="0" fontId="50" fillId="26" borderId="22" xfId="2" applyFont="1" applyFill="1" applyBorder="1" applyAlignment="1">
      <alignment horizontal="left" vertical="center" wrapText="1"/>
    </xf>
    <xf numFmtId="0" fontId="24" fillId="26" borderId="22" xfId="2" applyFont="1" applyFill="1" applyBorder="1" applyAlignment="1">
      <alignment horizontal="left" vertical="center" wrapText="1"/>
    </xf>
    <xf numFmtId="0" fontId="10" fillId="26" borderId="22" xfId="2" applyFill="1" applyBorder="1" applyAlignment="1">
      <alignment horizontal="left"/>
    </xf>
    <xf numFmtId="168" fontId="0" fillId="26" borderId="22" xfId="0" applyNumberFormat="1" applyFill="1" applyBorder="1"/>
    <xf numFmtId="168" fontId="10" fillId="26" borderId="22" xfId="2" applyNumberFormat="1" applyFill="1" applyBorder="1"/>
    <xf numFmtId="168" fontId="10" fillId="26" borderId="1" xfId="2" applyNumberFormat="1" applyFill="1" applyBorder="1"/>
    <xf numFmtId="168" fontId="0" fillId="27" borderId="22" xfId="0" applyNumberFormat="1" applyFill="1" applyBorder="1"/>
    <xf numFmtId="168" fontId="10" fillId="26" borderId="22" xfId="2" applyNumberFormat="1" applyFill="1" applyBorder="1" applyAlignment="1">
      <alignment horizontal="left"/>
    </xf>
    <xf numFmtId="0" fontId="24" fillId="0" borderId="0" xfId="2" applyFont="1" applyAlignment="1">
      <alignment horizontal="center" vertical="center" wrapText="1"/>
    </xf>
    <xf numFmtId="49" fontId="50" fillId="0" borderId="0" xfId="2" applyNumberFormat="1" applyFont="1" applyAlignment="1">
      <alignment horizontal="center" vertical="center" wrapText="1"/>
    </xf>
    <xf numFmtId="0" fontId="50" fillId="0" borderId="0" xfId="2" applyFont="1" applyAlignment="1">
      <alignment horizontal="center" vertical="center" wrapText="1"/>
    </xf>
    <xf numFmtId="0" fontId="24" fillId="0" borderId="0" xfId="2" applyFont="1" applyAlignment="1">
      <alignment horizontal="left" vertical="center" wrapText="1"/>
    </xf>
    <xf numFmtId="168" fontId="10" fillId="0" borderId="0" xfId="2" applyNumberFormat="1" applyAlignment="1">
      <alignment horizontal="left"/>
    </xf>
    <xf numFmtId="168" fontId="10" fillId="0" borderId="0" xfId="2" applyNumberFormat="1"/>
    <xf numFmtId="168" fontId="24" fillId="26" borderId="22" xfId="3" applyNumberFormat="1" applyFont="1" applyFill="1" applyBorder="1" applyAlignment="1">
      <alignment horizontal="center" vertical="center" wrapText="1"/>
    </xf>
    <xf numFmtId="168" fontId="24" fillId="26" borderId="1" xfId="3" applyNumberFormat="1" applyFont="1" applyFill="1" applyBorder="1" applyAlignment="1">
      <alignment horizontal="center" vertical="center" wrapText="1"/>
    </xf>
    <xf numFmtId="168" fontId="24" fillId="27" borderId="22" xfId="3" applyNumberFormat="1" applyFont="1" applyFill="1" applyBorder="1" applyAlignment="1">
      <alignment horizontal="center" vertical="center" wrapText="1"/>
    </xf>
    <xf numFmtId="168" fontId="24" fillId="27" borderId="1" xfId="3" applyNumberFormat="1" applyFont="1" applyFill="1" applyBorder="1" applyAlignment="1">
      <alignment horizontal="center" vertical="center" wrapText="1"/>
    </xf>
    <xf numFmtId="168" fontId="0" fillId="26" borderId="7" xfId="0" applyNumberFormat="1" applyFill="1" applyBorder="1"/>
    <xf numFmtId="0" fontId="57" fillId="24" borderId="0" xfId="2" applyFont="1" applyFill="1" applyAlignment="1">
      <alignment horizontal="center" vertical="center" wrapText="1"/>
    </xf>
    <xf numFmtId="44" fontId="0" fillId="0" borderId="0" xfId="8" applyFont="1" applyAlignment="1">
      <alignment horizontal="center" vertical="center"/>
    </xf>
    <xf numFmtId="44" fontId="0" fillId="0" borderId="0" xfId="8" applyFont="1" applyAlignment="1">
      <alignment vertical="center"/>
    </xf>
    <xf numFmtId="44" fontId="0" fillId="0" borderId="0" xfId="0" applyNumberFormat="1" applyAlignment="1">
      <alignment vertical="center"/>
    </xf>
    <xf numFmtId="9" fontId="0" fillId="0" borderId="0" xfId="9" applyFont="1" applyAlignment="1">
      <alignment vertical="center"/>
    </xf>
    <xf numFmtId="0" fontId="60" fillId="0" borderId="27" xfId="0" applyFont="1" applyBorder="1"/>
    <xf numFmtId="0" fontId="15" fillId="0" borderId="0" xfId="2" applyFont="1" applyAlignment="1">
      <alignment horizontal="center" vertical="center" wrapText="1"/>
    </xf>
    <xf numFmtId="164"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61" fillId="0" borderId="0" xfId="0" applyFont="1" applyAlignment="1">
      <alignment horizontal="left" vertical="center"/>
    </xf>
    <xf numFmtId="0" fontId="11" fillId="26" borderId="23" xfId="2" applyFont="1" applyFill="1" applyBorder="1"/>
    <xf numFmtId="0" fontId="15" fillId="16" borderId="23" xfId="2" applyFont="1" applyFill="1" applyBorder="1" applyAlignment="1">
      <alignment horizontal="center" vertical="center" wrapText="1"/>
    </xf>
    <xf numFmtId="0" fontId="24" fillId="26" borderId="23" xfId="2" applyFont="1" applyFill="1" applyBorder="1" applyAlignment="1">
      <alignment horizontal="center" vertical="center" wrapText="1"/>
    </xf>
    <xf numFmtId="49" fontId="50" fillId="26" borderId="23" xfId="2" applyNumberFormat="1" applyFont="1" applyFill="1" applyBorder="1" applyAlignment="1">
      <alignment horizontal="center" vertical="center" wrapText="1"/>
    </xf>
    <xf numFmtId="0" fontId="50" fillId="26" borderId="23" xfId="2" applyFont="1" applyFill="1" applyBorder="1" applyAlignment="1">
      <alignment horizontal="center" vertical="center" wrapText="1"/>
    </xf>
    <xf numFmtId="0" fontId="24" fillId="26" borderId="23" xfId="2" applyFont="1" applyFill="1" applyBorder="1" applyAlignment="1">
      <alignment horizontal="left" vertical="center" wrapText="1"/>
    </xf>
    <xf numFmtId="0" fontId="50" fillId="26" borderId="23" xfId="2" applyFont="1" applyFill="1" applyBorder="1" applyAlignment="1">
      <alignment horizontal="left" vertical="center" wrapText="1"/>
    </xf>
    <xf numFmtId="0" fontId="10" fillId="26" borderId="23" xfId="2" applyFill="1" applyBorder="1" applyAlignment="1">
      <alignment horizontal="left"/>
    </xf>
    <xf numFmtId="168" fontId="10" fillId="26" borderId="23" xfId="2" applyNumberFormat="1" applyFill="1" applyBorder="1" applyAlignment="1">
      <alignment horizontal="left"/>
    </xf>
    <xf numFmtId="168" fontId="10" fillId="26" borderId="23" xfId="2" applyNumberFormat="1" applyFill="1" applyBorder="1"/>
    <xf numFmtId="168" fontId="0" fillId="26" borderId="23" xfId="0" applyNumberFormat="1" applyFill="1" applyBorder="1"/>
    <xf numFmtId="168" fontId="10" fillId="26" borderId="17" xfId="2" applyNumberFormat="1" applyFill="1" applyBorder="1"/>
    <xf numFmtId="168" fontId="0" fillId="27" borderId="23" xfId="0" applyNumberFormat="1" applyFill="1" applyBorder="1"/>
    <xf numFmtId="169" fontId="60" fillId="0" borderId="28" xfId="0" applyNumberFormat="1" applyFont="1" applyBorder="1" applyAlignment="1">
      <alignment horizontal="left"/>
    </xf>
    <xf numFmtId="169" fontId="60" fillId="0" borderId="27" xfId="0" applyNumberFormat="1" applyFont="1" applyBorder="1" applyAlignment="1">
      <alignment horizontal="left"/>
    </xf>
    <xf numFmtId="44" fontId="0" fillId="0" borderId="0" xfId="0" applyNumberFormat="1" applyAlignment="1">
      <alignment horizontal="center" vertical="center"/>
    </xf>
    <xf numFmtId="44" fontId="60" fillId="0" borderId="27" xfId="0" applyNumberFormat="1" applyFont="1" applyBorder="1" applyAlignment="1">
      <alignment horizontal="left"/>
    </xf>
    <xf numFmtId="0" fontId="60" fillId="0" borderId="30" xfId="0" applyFont="1" applyBorder="1"/>
    <xf numFmtId="169" fontId="60" fillId="0" borderId="29" xfId="0" applyNumberFormat="1" applyFont="1" applyBorder="1" applyAlignment="1">
      <alignment horizontal="left"/>
    </xf>
    <xf numFmtId="0" fontId="0" fillId="7" borderId="2" xfId="2" applyFont="1" applyFill="1" applyBorder="1" applyAlignment="1">
      <alignment horizontal="center" vertical="center" wrapText="1"/>
    </xf>
    <xf numFmtId="166" fontId="0" fillId="5" borderId="0" xfId="2" applyNumberFormat="1" applyFont="1" applyFill="1" applyAlignment="1">
      <alignment horizontal="center" vertical="center"/>
    </xf>
    <xf numFmtId="166" fontId="0" fillId="6" borderId="0" xfId="2" applyNumberFormat="1" applyFont="1" applyFill="1" applyAlignment="1">
      <alignment horizontal="center" vertical="center"/>
    </xf>
    <xf numFmtId="0" fontId="0" fillId="0" borderId="0" xfId="2" applyFont="1" applyAlignment="1">
      <alignment horizontal="left"/>
    </xf>
    <xf numFmtId="0" fontId="60" fillId="30" borderId="0" xfId="0" applyFont="1" applyFill="1"/>
    <xf numFmtId="0" fontId="20" fillId="0" borderId="0" xfId="0" applyFont="1" applyAlignment="1">
      <alignment horizontal="left"/>
    </xf>
    <xf numFmtId="0" fontId="62" fillId="0" borderId="0" xfId="0" applyFont="1" applyAlignment="1">
      <alignment horizontal="left"/>
    </xf>
    <xf numFmtId="43" fontId="0" fillId="5" borderId="0" xfId="10" applyFont="1" applyFill="1" applyAlignment="1">
      <alignment horizontal="center" vertical="center"/>
    </xf>
    <xf numFmtId="43" fontId="0" fillId="6" borderId="0" xfId="10" applyFont="1" applyFill="1" applyAlignment="1">
      <alignment horizontal="center" vertical="center"/>
    </xf>
    <xf numFmtId="43" fontId="0" fillId="0" borderId="0" xfId="10" applyFont="1"/>
    <xf numFmtId="43" fontId="10" fillId="0" borderId="0" xfId="10" applyFont="1"/>
    <xf numFmtId="43" fontId="10" fillId="0" borderId="0" xfId="10" applyFont="1" applyAlignment="1">
      <alignment horizontal="left"/>
    </xf>
    <xf numFmtId="0" fontId="11" fillId="26" borderId="7" xfId="2" applyFont="1" applyFill="1" applyBorder="1"/>
    <xf numFmtId="0" fontId="15" fillId="16" borderId="7" xfId="2" applyFont="1" applyFill="1" applyBorder="1" applyAlignment="1">
      <alignment horizontal="center" vertical="center" wrapText="1"/>
    </xf>
    <xf numFmtId="0" fontId="24" fillId="26" borderId="7" xfId="2" applyFont="1" applyFill="1" applyBorder="1" applyAlignment="1">
      <alignment horizontal="center" vertical="center" wrapText="1"/>
    </xf>
    <xf numFmtId="49" fontId="50" fillId="26" borderId="7" xfId="2" applyNumberFormat="1" applyFont="1" applyFill="1" applyBorder="1" applyAlignment="1">
      <alignment horizontal="center" vertical="center" wrapText="1"/>
    </xf>
    <xf numFmtId="0" fontId="50" fillId="26" borderId="7" xfId="2" applyFont="1" applyFill="1" applyBorder="1" applyAlignment="1">
      <alignment horizontal="center" vertical="center" wrapText="1"/>
    </xf>
    <xf numFmtId="0" fontId="24" fillId="26" borderId="7" xfId="2" applyFont="1" applyFill="1" applyBorder="1" applyAlignment="1">
      <alignment horizontal="left" vertical="center" wrapText="1"/>
    </xf>
    <xf numFmtId="0" fontId="50" fillId="26" borderId="7" xfId="2" applyFont="1" applyFill="1" applyBorder="1" applyAlignment="1">
      <alignment horizontal="left" vertical="center" wrapText="1"/>
    </xf>
    <xf numFmtId="0" fontId="10" fillId="26" borderId="7" xfId="2" applyFill="1" applyBorder="1" applyAlignment="1">
      <alignment horizontal="left"/>
    </xf>
    <xf numFmtId="0" fontId="60" fillId="0" borderId="0" xfId="0" applyFont="1" applyAlignment="1">
      <alignment horizontal="left"/>
    </xf>
    <xf numFmtId="0" fontId="20" fillId="0" borderId="0" xfId="0" applyFont="1" applyAlignment="1">
      <alignment horizontal="left" vertical="center"/>
    </xf>
    <xf numFmtId="0" fontId="45" fillId="0" borderId="0" xfId="0" applyFont="1" applyAlignment="1">
      <alignment vertical="center" wrapText="1"/>
    </xf>
    <xf numFmtId="0" fontId="45" fillId="0" borderId="4" xfId="0" applyFont="1" applyBorder="1" applyAlignment="1">
      <alignment vertical="center" wrapText="1"/>
    </xf>
    <xf numFmtId="0" fontId="15" fillId="16" borderId="17" xfId="0" applyFont="1" applyFill="1" applyBorder="1" applyAlignment="1">
      <alignment horizontal="center" vertical="center" wrapText="1"/>
    </xf>
    <xf numFmtId="43" fontId="0" fillId="0" borderId="0" xfId="0" applyNumberFormat="1" applyAlignment="1">
      <alignment vertical="center"/>
    </xf>
    <xf numFmtId="43" fontId="18" fillId="0" borderId="0" xfId="10" applyFont="1" applyAlignment="1">
      <alignment horizontal="center" vertical="center"/>
    </xf>
    <xf numFmtId="44" fontId="0" fillId="0" borderId="0" xfId="8" applyFont="1" applyAlignment="1">
      <alignment horizontal="left"/>
    </xf>
    <xf numFmtId="0" fontId="36" fillId="0" borderId="0" xfId="2" applyFont="1" applyAlignment="1">
      <alignment horizontal="left" vertical="center" indent="1"/>
    </xf>
    <xf numFmtId="0" fontId="10" fillId="0" borderId="5" xfId="2" applyBorder="1" applyAlignment="1">
      <alignment horizontal="left"/>
    </xf>
    <xf numFmtId="0" fontId="19" fillId="0" borderId="1" xfId="2" applyFont="1" applyBorder="1" applyAlignment="1">
      <alignment horizontal="left"/>
    </xf>
    <xf numFmtId="0" fontId="8" fillId="22" borderId="20" xfId="2" applyFont="1" applyFill="1" applyBorder="1" applyAlignment="1">
      <alignment horizontal="center" vertical="center" wrapText="1"/>
    </xf>
    <xf numFmtId="0" fontId="7" fillId="24" borderId="19" xfId="2" applyFont="1" applyFill="1" applyBorder="1" applyAlignment="1">
      <alignment horizontal="center" vertical="center" wrapText="1"/>
    </xf>
    <xf numFmtId="170" fontId="0" fillId="0" borderId="0" xfId="0" applyNumberFormat="1"/>
    <xf numFmtId="0" fontId="24" fillId="0" borderId="22" xfId="2" applyFont="1" applyBorder="1" applyAlignment="1">
      <alignment horizontal="left" vertical="center"/>
    </xf>
    <xf numFmtId="49" fontId="50" fillId="0" borderId="22" xfId="2" applyNumberFormat="1" applyFont="1" applyBorder="1" applyAlignment="1">
      <alignment horizontal="left" vertical="center"/>
    </xf>
    <xf numFmtId="0" fontId="50" fillId="0" borderId="22" xfId="2" applyFont="1" applyBorder="1" applyAlignment="1">
      <alignment horizontal="left" vertical="center"/>
    </xf>
    <xf numFmtId="43" fontId="24" fillId="0" borderId="22" xfId="10" applyFont="1" applyFill="1" applyBorder="1" applyAlignment="1">
      <alignment horizontal="left" vertical="center"/>
    </xf>
    <xf numFmtId="43" fontId="24" fillId="0" borderId="1" xfId="10" applyFont="1" applyFill="1" applyBorder="1" applyAlignment="1">
      <alignment horizontal="left" vertical="center"/>
    </xf>
    <xf numFmtId="43" fontId="50" fillId="0" borderId="22" xfId="10" applyFont="1" applyFill="1" applyBorder="1" applyAlignment="1">
      <alignment horizontal="left" vertical="center"/>
    </xf>
    <xf numFmtId="0" fontId="50" fillId="0" borderId="0" xfId="2" applyFont="1" applyAlignment="1">
      <alignment horizontal="left" vertical="center"/>
    </xf>
    <xf numFmtId="0" fontId="0" fillId="0" borderId="0" xfId="0" applyAlignment="1">
      <alignment horizontal="left" indent="1"/>
    </xf>
    <xf numFmtId="0" fontId="7" fillId="24" borderId="0" xfId="2" applyFont="1" applyFill="1" applyAlignment="1">
      <alignment horizontal="center" vertical="center" wrapText="1"/>
    </xf>
    <xf numFmtId="43" fontId="24" fillId="0" borderId="22" xfId="10" applyFont="1" applyBorder="1" applyAlignment="1">
      <alignment horizontal="left" vertical="center"/>
    </xf>
    <xf numFmtId="43" fontId="0" fillId="0" borderId="0" xfId="0" applyNumberFormat="1"/>
    <xf numFmtId="43" fontId="50" fillId="0" borderId="1" xfId="10" applyFont="1" applyFill="1" applyBorder="1" applyAlignment="1">
      <alignment horizontal="left" vertical="center"/>
    </xf>
    <xf numFmtId="0" fontId="6" fillId="2" borderId="21" xfId="2" applyFont="1" applyFill="1" applyBorder="1" applyAlignment="1">
      <alignment horizontal="center" vertical="center" wrapText="1"/>
    </xf>
    <xf numFmtId="0" fontId="26" fillId="8" borderId="21" xfId="2" applyFont="1" applyFill="1" applyBorder="1" applyAlignment="1">
      <alignment horizontal="left" vertical="center" wrapText="1"/>
    </xf>
    <xf numFmtId="0" fontId="7" fillId="12" borderId="22" xfId="2" applyFont="1" applyFill="1" applyBorder="1" applyAlignment="1">
      <alignment horizontal="left" vertical="center" wrapText="1"/>
    </xf>
    <xf numFmtId="0" fontId="6" fillId="4" borderId="23" xfId="2" applyFont="1" applyFill="1" applyBorder="1" applyAlignment="1">
      <alignment horizontal="center" vertical="center" wrapText="1"/>
    </xf>
    <xf numFmtId="17" fontId="7" fillId="4" borderId="22" xfId="2" applyNumberFormat="1" applyFont="1" applyFill="1" applyBorder="1" applyAlignment="1">
      <alignment horizontal="center" vertical="center"/>
    </xf>
    <xf numFmtId="0" fontId="7" fillId="4" borderId="22" xfId="2" applyFont="1" applyFill="1" applyBorder="1" applyAlignment="1">
      <alignment horizontal="center" vertical="center"/>
    </xf>
    <xf numFmtId="0" fontId="7" fillId="4" borderId="1" xfId="2" applyFont="1" applyFill="1" applyBorder="1" applyAlignment="1">
      <alignment horizontal="center" vertical="center"/>
    </xf>
    <xf numFmtId="0" fontId="7" fillId="24" borderId="18" xfId="2" applyFont="1" applyFill="1" applyBorder="1" applyAlignment="1">
      <alignment horizontal="center" vertical="center" wrapText="1"/>
    </xf>
    <xf numFmtId="0" fontId="8" fillId="22" borderId="25" xfId="2" applyFont="1" applyFill="1" applyBorder="1" applyAlignment="1">
      <alignment horizontal="center" vertical="center" wrapText="1"/>
    </xf>
    <xf numFmtId="0" fontId="7" fillId="24" borderId="26" xfId="2" applyFont="1" applyFill="1" applyBorder="1" applyAlignment="1">
      <alignment horizontal="center" vertical="center" wrapText="1"/>
    </xf>
    <xf numFmtId="49" fontId="7" fillId="24" borderId="25" xfId="2" applyNumberFormat="1" applyFont="1" applyFill="1" applyBorder="1" applyAlignment="1">
      <alignment horizontal="center" vertical="center" wrapText="1"/>
    </xf>
    <xf numFmtId="0" fontId="7" fillId="24" borderId="25" xfId="2" applyFont="1" applyFill="1" applyBorder="1" applyAlignment="1">
      <alignment horizontal="center" vertical="center" wrapText="1"/>
    </xf>
    <xf numFmtId="169" fontId="60" fillId="0" borderId="0" xfId="0" applyNumberFormat="1" applyFont="1" applyAlignment="1">
      <alignment horizontal="left"/>
    </xf>
    <xf numFmtId="44" fontId="10" fillId="0" borderId="0" xfId="2" applyNumberFormat="1" applyAlignment="1">
      <alignment horizontal="left"/>
    </xf>
    <xf numFmtId="0" fontId="60" fillId="0" borderId="30" xfId="2" applyFont="1" applyBorder="1"/>
    <xf numFmtId="0" fontId="15" fillId="16" borderId="0" xfId="2" applyFont="1" applyFill="1" applyAlignment="1">
      <alignment horizontal="center" vertical="center" wrapText="1"/>
    </xf>
    <xf numFmtId="0" fontId="50" fillId="0" borderId="0" xfId="2" applyFont="1" applyAlignment="1">
      <alignment horizontal="left" vertical="center" wrapText="1"/>
    </xf>
    <xf numFmtId="43" fontId="18" fillId="0" borderId="0" xfId="10" applyFont="1"/>
    <xf numFmtId="43" fontId="18" fillId="0" borderId="0" xfId="10" applyFont="1" applyAlignment="1">
      <alignment horizontal="left"/>
    </xf>
    <xf numFmtId="43" fontId="21" fillId="17" borderId="9" xfId="10" applyFont="1" applyFill="1" applyBorder="1" applyAlignment="1">
      <alignment vertical="center"/>
    </xf>
    <xf numFmtId="43" fontId="7" fillId="4" borderId="22" xfId="10" applyFont="1" applyFill="1" applyBorder="1" applyAlignment="1">
      <alignment horizontal="center" vertical="center"/>
    </xf>
    <xf numFmtId="43" fontId="7" fillId="4" borderId="1" xfId="10" applyFont="1" applyFill="1" applyBorder="1" applyAlignment="1">
      <alignment horizontal="center" vertical="center"/>
    </xf>
    <xf numFmtId="0" fontId="8" fillId="22" borderId="18" xfId="2" applyFont="1" applyFill="1" applyBorder="1" applyAlignment="1">
      <alignment horizontal="center" vertical="center" wrapText="1"/>
    </xf>
    <xf numFmtId="0" fontId="11" fillId="27" borderId="22" xfId="2" applyFont="1" applyFill="1" applyBorder="1"/>
    <xf numFmtId="0" fontId="24" fillId="27" borderId="22" xfId="2" applyFont="1" applyFill="1" applyBorder="1" applyAlignment="1">
      <alignment horizontal="center" vertical="center" wrapText="1"/>
    </xf>
    <xf numFmtId="49" fontId="50" fillId="27" borderId="22" xfId="2" applyNumberFormat="1" applyFont="1" applyFill="1" applyBorder="1" applyAlignment="1">
      <alignment horizontal="center" vertical="center" wrapText="1"/>
    </xf>
    <xf numFmtId="0" fontId="50" fillId="27" borderId="22" xfId="2" applyFont="1" applyFill="1" applyBorder="1" applyAlignment="1">
      <alignment horizontal="center" vertical="center" wrapText="1"/>
    </xf>
    <xf numFmtId="0" fontId="24" fillId="27" borderId="22" xfId="2" applyFont="1" applyFill="1" applyBorder="1" applyAlignment="1">
      <alignment horizontal="left" vertical="center" wrapText="1"/>
    </xf>
    <xf numFmtId="0" fontId="50" fillId="27" borderId="22" xfId="2" applyFont="1" applyFill="1" applyBorder="1" applyAlignment="1">
      <alignment horizontal="left" vertical="center" wrapText="1"/>
    </xf>
    <xf numFmtId="0" fontId="10" fillId="27" borderId="22" xfId="2" applyFill="1" applyBorder="1" applyAlignment="1">
      <alignment horizontal="left"/>
    </xf>
    <xf numFmtId="0" fontId="50" fillId="26" borderId="0" xfId="2" applyFont="1" applyFill="1" applyAlignment="1">
      <alignment horizontal="left" vertical="center" wrapText="1"/>
    </xf>
    <xf numFmtId="0" fontId="11" fillId="27" borderId="23" xfId="2" applyFont="1" applyFill="1" applyBorder="1"/>
    <xf numFmtId="0" fontId="24" fillId="27" borderId="23" xfId="2" applyFont="1" applyFill="1" applyBorder="1" applyAlignment="1">
      <alignment horizontal="center" vertical="center" wrapText="1"/>
    </xf>
    <xf numFmtId="49" fontId="50" fillId="27" borderId="23" xfId="2" applyNumberFormat="1" applyFont="1" applyFill="1" applyBorder="1" applyAlignment="1">
      <alignment horizontal="center" vertical="center" wrapText="1"/>
    </xf>
    <xf numFmtId="0" fontId="50" fillId="27" borderId="23" xfId="2" applyFont="1" applyFill="1" applyBorder="1" applyAlignment="1">
      <alignment horizontal="center" vertical="center" wrapText="1"/>
    </xf>
    <xf numFmtId="0" fontId="24" fillId="27" borderId="0" xfId="2" applyFont="1" applyFill="1" applyAlignment="1">
      <alignment horizontal="left" vertical="center" wrapText="1"/>
    </xf>
    <xf numFmtId="0" fontId="24" fillId="27" borderId="23" xfId="2" applyFont="1" applyFill="1" applyBorder="1" applyAlignment="1">
      <alignment horizontal="left" vertical="center" wrapText="1"/>
    </xf>
    <xf numFmtId="0" fontId="50" fillId="27" borderId="23" xfId="2" applyFont="1" applyFill="1" applyBorder="1" applyAlignment="1">
      <alignment horizontal="left" vertical="center" wrapText="1"/>
    </xf>
    <xf numFmtId="0" fontId="10" fillId="27" borderId="23" xfId="2" applyFill="1" applyBorder="1" applyAlignment="1">
      <alignment horizontal="left"/>
    </xf>
    <xf numFmtId="0" fontId="24" fillId="26" borderId="0" xfId="2" applyFont="1" applyFill="1" applyAlignment="1">
      <alignment horizontal="left" vertical="center" wrapText="1"/>
    </xf>
    <xf numFmtId="168" fontId="10" fillId="27" borderId="22" xfId="2" applyNumberFormat="1" applyFill="1" applyBorder="1" applyAlignment="1">
      <alignment horizontal="left"/>
    </xf>
    <xf numFmtId="168" fontId="10" fillId="27" borderId="22" xfId="2" applyNumberFormat="1" applyFill="1" applyBorder="1"/>
    <xf numFmtId="168" fontId="10" fillId="27" borderId="1" xfId="2" applyNumberFormat="1" applyFill="1" applyBorder="1"/>
    <xf numFmtId="0" fontId="24" fillId="26" borderId="22" xfId="2" applyFont="1" applyFill="1" applyBorder="1" applyAlignment="1">
      <alignment vertical="center" wrapText="1"/>
    </xf>
    <xf numFmtId="0" fontId="24" fillId="26" borderId="22" xfId="2" applyFont="1" applyFill="1" applyBorder="1" applyAlignment="1">
      <alignment horizontal="left" vertical="center" wrapText="1" indent="1"/>
    </xf>
    <xf numFmtId="0" fontId="24" fillId="27" borderId="22" xfId="2" applyFont="1" applyFill="1" applyBorder="1" applyAlignment="1">
      <alignment vertical="center" wrapText="1"/>
    </xf>
    <xf numFmtId="0" fontId="24" fillId="27" borderId="22" xfId="2" applyFont="1" applyFill="1" applyBorder="1" applyAlignment="1">
      <alignment horizontal="left" vertical="center" wrapText="1" indent="1"/>
    </xf>
    <xf numFmtId="168" fontId="10" fillId="26" borderId="7" xfId="2" applyNumberFormat="1" applyFill="1" applyBorder="1" applyAlignment="1">
      <alignment horizontal="left"/>
    </xf>
    <xf numFmtId="168" fontId="10" fillId="26" borderId="7" xfId="2" applyNumberFormat="1" applyFill="1" applyBorder="1"/>
    <xf numFmtId="168" fontId="10" fillId="26" borderId="5" xfId="2" applyNumberFormat="1" applyFill="1" applyBorder="1"/>
    <xf numFmtId="168" fontId="10" fillId="27" borderId="23" xfId="2" applyNumberFormat="1" applyFill="1" applyBorder="1" applyAlignment="1">
      <alignment horizontal="left"/>
    </xf>
    <xf numFmtId="168" fontId="10" fillId="27" borderId="23" xfId="2" applyNumberFormat="1" applyFill="1" applyBorder="1"/>
    <xf numFmtId="168" fontId="10" fillId="27" borderId="17" xfId="2" applyNumberFormat="1" applyFill="1" applyBorder="1"/>
    <xf numFmtId="0" fontId="31" fillId="32" borderId="31" xfId="0" applyFont="1" applyFill="1" applyBorder="1" applyAlignment="1">
      <alignment horizontal="center" vertical="center"/>
    </xf>
    <xf numFmtId="0" fontId="31" fillId="32" borderId="32" xfId="0" applyFont="1" applyFill="1" applyBorder="1" applyAlignment="1">
      <alignment horizontal="center" vertical="center"/>
    </xf>
    <xf numFmtId="0" fontId="31" fillId="32" borderId="33" xfId="0" applyFont="1" applyFill="1" applyBorder="1" applyAlignment="1">
      <alignment horizontal="center" vertical="center"/>
    </xf>
    <xf numFmtId="0" fontId="0" fillId="0" borderId="34" xfId="0" applyBorder="1" applyAlignment="1">
      <alignment horizontal="center" vertical="center"/>
    </xf>
    <xf numFmtId="170" fontId="0" fillId="0" borderId="16" xfId="0" applyNumberFormat="1" applyBorder="1" applyAlignment="1">
      <alignment horizontal="center" vertical="center"/>
    </xf>
    <xf numFmtId="170" fontId="0" fillId="0" borderId="35" xfId="0" applyNumberFormat="1" applyBorder="1" applyAlignment="1">
      <alignment horizontal="center" vertical="center"/>
    </xf>
    <xf numFmtId="171" fontId="0" fillId="0" borderId="0" xfId="0" applyNumberFormat="1"/>
    <xf numFmtId="0" fontId="14" fillId="33" borderId="34" xfId="0" applyFont="1" applyFill="1" applyBorder="1" applyAlignment="1">
      <alignment horizontal="center" vertical="center"/>
    </xf>
    <xf numFmtId="170" fontId="14" fillId="33" borderId="16" xfId="0" applyNumberFormat="1" applyFont="1" applyFill="1" applyBorder="1" applyAlignment="1">
      <alignment horizontal="center" vertical="center"/>
    </xf>
    <xf numFmtId="170" fontId="14" fillId="33" borderId="35" xfId="0" applyNumberFormat="1" applyFont="1" applyFill="1" applyBorder="1" applyAlignment="1">
      <alignment horizontal="center" vertical="center"/>
    </xf>
    <xf numFmtId="0" fontId="14" fillId="31" borderId="36" xfId="0" applyFont="1" applyFill="1" applyBorder="1" applyAlignment="1">
      <alignment horizontal="center" vertical="center"/>
    </xf>
    <xf numFmtId="170" fontId="14" fillId="31" borderId="37" xfId="0" applyNumberFormat="1" applyFont="1" applyFill="1" applyBorder="1" applyAlignment="1">
      <alignment horizontal="center" vertical="center"/>
    </xf>
    <xf numFmtId="170" fontId="14" fillId="31" borderId="38" xfId="0" applyNumberFormat="1" applyFont="1" applyFill="1" applyBorder="1" applyAlignment="1">
      <alignment horizontal="center" vertical="center"/>
    </xf>
    <xf numFmtId="43" fontId="10" fillId="0" borderId="0" xfId="2" applyNumberFormat="1"/>
    <xf numFmtId="43" fontId="18" fillId="0" borderId="0" xfId="2" applyNumberFormat="1" applyFont="1" applyAlignment="1">
      <alignment horizontal="center" vertical="center"/>
    </xf>
    <xf numFmtId="0" fontId="63" fillId="32" borderId="33" xfId="0" applyFont="1" applyFill="1" applyBorder="1" applyAlignment="1">
      <alignment horizontal="center" vertical="center"/>
    </xf>
    <xf numFmtId="0" fontId="64" fillId="0" borderId="34" xfId="0" applyFont="1" applyBorder="1" applyAlignment="1">
      <alignment horizontal="center" vertical="center"/>
    </xf>
    <xf numFmtId="170" fontId="64" fillId="0" borderId="16" xfId="0" applyNumberFormat="1" applyFont="1" applyBorder="1" applyAlignment="1">
      <alignment horizontal="center" vertical="center"/>
    </xf>
    <xf numFmtId="170" fontId="64" fillId="0" borderId="35" xfId="0" applyNumberFormat="1" applyFont="1" applyBorder="1" applyAlignment="1">
      <alignment horizontal="center" vertical="center"/>
    </xf>
    <xf numFmtId="0" fontId="65" fillId="31" borderId="36" xfId="0" applyFont="1" applyFill="1" applyBorder="1" applyAlignment="1">
      <alignment horizontal="center" vertical="center"/>
    </xf>
    <xf numFmtId="170" fontId="65" fillId="31" borderId="37" xfId="0" applyNumberFormat="1" applyFont="1" applyFill="1" applyBorder="1" applyAlignment="1">
      <alignment horizontal="center" vertical="center"/>
    </xf>
    <xf numFmtId="170" fontId="65" fillId="31" borderId="38" xfId="0" applyNumberFormat="1" applyFont="1" applyFill="1" applyBorder="1" applyAlignment="1">
      <alignment horizontal="center" vertical="center"/>
    </xf>
    <xf numFmtId="4" fontId="0" fillId="0" borderId="0" xfId="0" applyNumberFormat="1"/>
    <xf numFmtId="0" fontId="66" fillId="0" borderId="39" xfId="0" applyFont="1" applyBorder="1" applyAlignment="1">
      <alignment horizontal="center" vertical="center" readingOrder="1"/>
    </xf>
    <xf numFmtId="0" fontId="60" fillId="0" borderId="27" xfId="0" applyFont="1" applyBorder="1" applyAlignment="1">
      <alignment horizontal="center" vertical="center" readingOrder="1"/>
    </xf>
    <xf numFmtId="170" fontId="60" fillId="0" borderId="27" xfId="10" applyNumberFormat="1" applyFont="1" applyFill="1" applyBorder="1" applyAlignment="1">
      <alignment horizontal="center" vertical="center" readingOrder="1"/>
    </xf>
    <xf numFmtId="0" fontId="62" fillId="0" borderId="27" xfId="0" applyFont="1" applyBorder="1" applyAlignment="1">
      <alignment horizontal="center" vertical="center"/>
    </xf>
    <xf numFmtId="0" fontId="60" fillId="0" borderId="40" xfId="0" applyFont="1" applyBorder="1" applyAlignment="1">
      <alignment horizontal="center" vertical="center" readingOrder="1"/>
    </xf>
    <xf numFmtId="170" fontId="60" fillId="0" borderId="40" xfId="10" applyNumberFormat="1" applyFont="1" applyFill="1" applyBorder="1" applyAlignment="1">
      <alignment horizontal="center" vertical="center" readingOrder="1"/>
    </xf>
    <xf numFmtId="0" fontId="67" fillId="31" borderId="41" xfId="0" applyFont="1" applyFill="1" applyBorder="1"/>
    <xf numFmtId="0" fontId="67" fillId="31" borderId="42" xfId="0" applyFont="1" applyFill="1" applyBorder="1" applyAlignment="1">
      <alignment horizontal="left"/>
    </xf>
    <xf numFmtId="43" fontId="67" fillId="31" borderId="42" xfId="0" applyNumberFormat="1" applyFont="1" applyFill="1" applyBorder="1"/>
    <xf numFmtId="43" fontId="68" fillId="0" borderId="22" xfId="10" applyFont="1" applyFill="1" applyBorder="1" applyAlignment="1">
      <alignment horizontal="left" vertical="center"/>
    </xf>
    <xf numFmtId="43" fontId="10" fillId="0" borderId="0" xfId="2" applyNumberFormat="1" applyAlignment="1">
      <alignment horizontal="left"/>
    </xf>
    <xf numFmtId="0" fontId="0" fillId="0" borderId="43" xfId="0" applyBorder="1" applyAlignment="1">
      <alignment horizontal="center" vertical="center"/>
    </xf>
    <xf numFmtId="170" fontId="0" fillId="0" borderId="44" xfId="0" applyNumberFormat="1" applyBorder="1" applyAlignment="1">
      <alignment horizontal="center" vertical="center"/>
    </xf>
    <xf numFmtId="170" fontId="0" fillId="0" borderId="45" xfId="0" applyNumberFormat="1" applyBorder="1" applyAlignment="1">
      <alignment horizontal="center" vertical="center"/>
    </xf>
    <xf numFmtId="44" fontId="0" fillId="0" borderId="0" xfId="8" applyFont="1"/>
    <xf numFmtId="44" fontId="0" fillId="0" borderId="0" xfId="0" applyNumberFormat="1"/>
    <xf numFmtId="9" fontId="0" fillId="0" borderId="0" xfId="9" applyFont="1"/>
    <xf numFmtId="4" fontId="10" fillId="0" borderId="0" xfId="2" applyNumberFormat="1"/>
    <xf numFmtId="44" fontId="10" fillId="0" borderId="0" xfId="8" applyFont="1"/>
    <xf numFmtId="44" fontId="40" fillId="0" borderId="0" xfId="8" applyFont="1"/>
    <xf numFmtId="44" fontId="7" fillId="24" borderId="19" xfId="8" applyFont="1" applyFill="1" applyBorder="1" applyAlignment="1">
      <alignment horizontal="center" vertical="center" wrapText="1"/>
    </xf>
    <xf numFmtId="44" fontId="50" fillId="0" borderId="0" xfId="8" applyFont="1" applyAlignment="1">
      <alignment horizontal="left" vertical="center"/>
    </xf>
    <xf numFmtId="9" fontId="0" fillId="0" borderId="16" xfId="0" applyNumberFormat="1" applyBorder="1"/>
    <xf numFmtId="44" fontId="0" fillId="0" borderId="16" xfId="8" applyFont="1" applyBorder="1"/>
    <xf numFmtId="9" fontId="0" fillId="0" borderId="16" xfId="9" applyFont="1" applyBorder="1"/>
    <xf numFmtId="44" fontId="0" fillId="0" borderId="16" xfId="0" applyNumberFormat="1" applyBorder="1"/>
    <xf numFmtId="172" fontId="0" fillId="0" borderId="44" xfId="8" applyNumberFormat="1" applyFont="1" applyBorder="1"/>
    <xf numFmtId="172" fontId="0" fillId="0" borderId="0" xfId="0" applyNumberFormat="1"/>
    <xf numFmtId="172" fontId="10" fillId="0" borderId="0" xfId="2" applyNumberFormat="1"/>
    <xf numFmtId="172" fontId="10" fillId="0" borderId="0" xfId="8" applyNumberFormat="1" applyFont="1"/>
    <xf numFmtId="173" fontId="10" fillId="0" borderId="0" xfId="2" applyNumberFormat="1"/>
    <xf numFmtId="8" fontId="0" fillId="0" borderId="0" xfId="0" applyNumberFormat="1"/>
    <xf numFmtId="9" fontId="10" fillId="0" borderId="0" xfId="9" applyFont="1"/>
    <xf numFmtId="41" fontId="10" fillId="0" borderId="0" xfId="2" applyNumberFormat="1"/>
    <xf numFmtId="0" fontId="69" fillId="24" borderId="19" xfId="2" applyFont="1" applyFill="1" applyBorder="1" applyAlignment="1">
      <alignment horizontal="center" vertical="center" wrapText="1"/>
    </xf>
    <xf numFmtId="0" fontId="6" fillId="4" borderId="19" xfId="2" applyFont="1" applyFill="1" applyBorder="1" applyAlignment="1">
      <alignment horizontal="center" vertical="center" wrapText="1"/>
    </xf>
    <xf numFmtId="0" fontId="26" fillId="8" borderId="19" xfId="2" applyFont="1" applyFill="1" applyBorder="1" applyAlignment="1">
      <alignment horizontal="left" vertical="center" wrapText="1"/>
    </xf>
    <xf numFmtId="0" fontId="7" fillId="12" borderId="46" xfId="2" applyFont="1" applyFill="1" applyBorder="1" applyAlignment="1">
      <alignment horizontal="left" vertical="center" wrapText="1"/>
    </xf>
    <xf numFmtId="17" fontId="7" fillId="4" borderId="46" xfId="2" applyNumberFormat="1" applyFont="1" applyFill="1" applyBorder="1" applyAlignment="1">
      <alignment horizontal="center" vertical="center"/>
    </xf>
    <xf numFmtId="0" fontId="7" fillId="4" borderId="46" xfId="2" applyFont="1" applyFill="1" applyBorder="1" applyAlignment="1">
      <alignment horizontal="center" vertical="center"/>
    </xf>
    <xf numFmtId="0" fontId="50" fillId="27" borderId="22" xfId="2" applyFont="1" applyFill="1" applyBorder="1" applyAlignment="1">
      <alignment horizontal="left" vertical="center"/>
    </xf>
    <xf numFmtId="0" fontId="24" fillId="27" borderId="22" xfId="2" applyFont="1" applyFill="1" applyBorder="1" applyAlignment="1">
      <alignment horizontal="left" vertical="center"/>
    </xf>
    <xf numFmtId="43" fontId="24" fillId="27" borderId="22" xfId="10" applyFont="1" applyFill="1" applyBorder="1" applyAlignment="1">
      <alignment horizontal="left" vertical="center"/>
    </xf>
    <xf numFmtId="0" fontId="50" fillId="27" borderId="46" xfId="2" applyFont="1" applyFill="1" applyBorder="1" applyAlignment="1">
      <alignment horizontal="left" vertical="center"/>
    </xf>
    <xf numFmtId="0" fontId="24" fillId="27" borderId="46" xfId="2" applyFont="1" applyFill="1" applyBorder="1" applyAlignment="1">
      <alignment horizontal="left" vertical="center"/>
    </xf>
    <xf numFmtId="4" fontId="0" fillId="0" borderId="0" xfId="0" applyNumberFormat="1" applyAlignment="1">
      <alignment vertical="center" wrapText="1"/>
    </xf>
    <xf numFmtId="174" fontId="0" fillId="0" borderId="0" xfId="9" applyNumberFormat="1" applyFont="1"/>
    <xf numFmtId="10" fontId="0" fillId="0" borderId="0" xfId="9" applyNumberFormat="1" applyFont="1"/>
    <xf numFmtId="10" fontId="0" fillId="0" borderId="0" xfId="0" applyNumberFormat="1"/>
    <xf numFmtId="0" fontId="0" fillId="0" borderId="47" xfId="0" applyBorder="1"/>
    <xf numFmtId="0" fontId="0" fillId="0" borderId="48" xfId="0" applyBorder="1"/>
    <xf numFmtId="0" fontId="0" fillId="0" borderId="49" xfId="0" applyBorder="1"/>
    <xf numFmtId="0" fontId="0" fillId="0" borderId="50" xfId="0" applyBorder="1"/>
    <xf numFmtId="0" fontId="0" fillId="0" borderId="51" xfId="0" applyBorder="1"/>
    <xf numFmtId="0" fontId="0" fillId="0" borderId="52" xfId="0" applyBorder="1"/>
    <xf numFmtId="0" fontId="0" fillId="0" borderId="44" xfId="0" applyBorder="1"/>
    <xf numFmtId="44" fontId="0" fillId="0" borderId="44" xfId="8" applyFont="1" applyBorder="1"/>
    <xf numFmtId="0" fontId="0" fillId="0" borderId="53" xfId="0" applyBorder="1"/>
    <xf numFmtId="0" fontId="50" fillId="0" borderId="22" xfId="2" applyFont="1" applyBorder="1" applyAlignment="1">
      <alignment horizontal="left" vertical="center" wrapText="1"/>
    </xf>
    <xf numFmtId="0" fontId="24" fillId="0" borderId="13" xfId="2" applyFont="1" applyBorder="1" applyAlignment="1">
      <alignment horizontal="left" vertical="center"/>
    </xf>
    <xf numFmtId="49" fontId="50" fillId="0" borderId="1" xfId="2" applyNumberFormat="1" applyFont="1" applyBorder="1" applyAlignment="1">
      <alignment horizontal="left" vertical="center"/>
    </xf>
    <xf numFmtId="0" fontId="50" fillId="0" borderId="13" xfId="2" applyFont="1" applyBorder="1" applyAlignment="1">
      <alignment horizontal="left" vertical="center"/>
    </xf>
    <xf numFmtId="44" fontId="50" fillId="0" borderId="0" xfId="8" applyFont="1" applyFill="1" applyAlignment="1">
      <alignment horizontal="left" vertical="center"/>
    </xf>
    <xf numFmtId="0" fontId="41" fillId="23" borderId="0" xfId="2" applyFont="1" applyFill="1" applyAlignment="1">
      <alignment horizontal="centerContinuous"/>
    </xf>
    <xf numFmtId="0" fontId="11" fillId="27" borderId="0" xfId="0" applyFont="1" applyFill="1" applyAlignment="1">
      <alignment horizontal="center" vertical="center"/>
    </xf>
    <xf numFmtId="0" fontId="11" fillId="0" borderId="0" xfId="0" applyFont="1" applyAlignment="1">
      <alignment horizontal="center" vertical="center"/>
    </xf>
    <xf numFmtId="172" fontId="0" fillId="0" borderId="0" xfId="8" applyNumberFormat="1" applyFont="1" applyBorder="1"/>
    <xf numFmtId="0" fontId="50" fillId="34" borderId="22" xfId="2" applyFont="1" applyFill="1" applyBorder="1" applyAlignment="1">
      <alignment horizontal="left" vertical="center" wrapText="1"/>
    </xf>
    <xf numFmtId="44" fontId="10" fillId="0" borderId="0" xfId="8" applyFont="1" applyAlignment="1">
      <alignment horizontal="left"/>
    </xf>
    <xf numFmtId="44" fontId="41" fillId="23" borderId="9" xfId="8" applyFont="1" applyFill="1" applyBorder="1" applyAlignment="1">
      <alignment horizontal="centerContinuous"/>
    </xf>
    <xf numFmtId="44" fontId="6" fillId="4" borderId="21" xfId="8" applyFont="1" applyFill="1" applyBorder="1" applyAlignment="1">
      <alignment horizontal="center" vertical="center" wrapText="1"/>
    </xf>
    <xf numFmtId="44" fontId="24" fillId="0" borderId="22" xfId="8" applyFont="1" applyBorder="1" applyAlignment="1">
      <alignment horizontal="left" vertical="center"/>
    </xf>
    <xf numFmtId="44" fontId="50" fillId="0" borderId="22" xfId="8" applyFont="1" applyBorder="1" applyAlignment="1">
      <alignment horizontal="left" vertical="center"/>
    </xf>
    <xf numFmtId="44" fontId="50" fillId="0" borderId="22" xfId="8" applyFont="1" applyBorder="1" applyAlignment="1">
      <alignment horizontal="left" vertical="center" wrapText="1"/>
    </xf>
    <xf numFmtId="0" fontId="0" fillId="0" borderId="0" xfId="0" applyAlignment="1">
      <alignment vertical="top"/>
    </xf>
    <xf numFmtId="44" fontId="50" fillId="34" borderId="22" xfId="8" applyFont="1" applyFill="1" applyBorder="1" applyAlignment="1">
      <alignment horizontal="left" vertical="center" wrapText="1"/>
    </xf>
    <xf numFmtId="44" fontId="0" fillId="0" borderId="0" xfId="8" applyFont="1" applyBorder="1"/>
    <xf numFmtId="0" fontId="71" fillId="12" borderId="46" xfId="2" applyFont="1" applyFill="1" applyBorder="1" applyAlignment="1">
      <alignment horizontal="center" vertical="center" wrapText="1" shrinkToFit="1"/>
    </xf>
    <xf numFmtId="0" fontId="11" fillId="27" borderId="0" xfId="0" applyFont="1" applyFill="1" applyAlignment="1">
      <alignment vertical="center" wrapText="1"/>
    </xf>
    <xf numFmtId="0" fontId="11" fillId="27" borderId="0" xfId="0" applyFont="1" applyFill="1" applyAlignment="1">
      <alignment vertical="center"/>
    </xf>
    <xf numFmtId="43" fontId="72" fillId="27" borderId="0" xfId="10" applyFont="1" applyFill="1" applyAlignment="1">
      <alignment vertical="center"/>
    </xf>
    <xf numFmtId="0" fontId="11" fillId="0" borderId="0" xfId="0" applyFont="1" applyAlignment="1">
      <alignment vertical="center" wrapText="1"/>
    </xf>
    <xf numFmtId="0" fontId="11" fillId="0" borderId="0" xfId="0" applyFont="1" applyAlignment="1">
      <alignment vertical="center"/>
    </xf>
    <xf numFmtId="43" fontId="72" fillId="0" borderId="0" xfId="10" applyFont="1" applyAlignment="1">
      <alignment vertical="center"/>
    </xf>
    <xf numFmtId="0" fontId="11" fillId="27" borderId="54" xfId="0" applyFont="1" applyFill="1" applyBorder="1" applyAlignment="1">
      <alignment horizontal="center" vertical="center"/>
    </xf>
    <xf numFmtId="0" fontId="11" fillId="27" borderId="54" xfId="0" applyFont="1" applyFill="1" applyBorder="1" applyAlignment="1">
      <alignment vertical="center" wrapText="1"/>
    </xf>
    <xf numFmtId="0" fontId="11" fillId="27" borderId="54" xfId="0" applyFont="1" applyFill="1" applyBorder="1" applyAlignment="1">
      <alignment vertical="center"/>
    </xf>
    <xf numFmtId="43" fontId="72" fillId="27" borderId="54" xfId="10" applyFont="1" applyFill="1" applyBorder="1" applyAlignment="1">
      <alignment vertical="center"/>
    </xf>
    <xf numFmtId="44" fontId="0" fillId="34" borderId="0" xfId="0" applyNumberFormat="1" applyFill="1"/>
    <xf numFmtId="0" fontId="0" fillId="0" borderId="0" xfId="0" applyAlignment="1">
      <alignment wrapText="1"/>
    </xf>
    <xf numFmtId="0" fontId="0" fillId="0" borderId="0" xfId="0" applyAlignment="1">
      <alignment horizontal="center" wrapText="1"/>
    </xf>
    <xf numFmtId="0" fontId="0" fillId="0" borderId="16" xfId="0" applyBorder="1" applyAlignment="1">
      <alignment horizontal="center" wrapText="1"/>
    </xf>
    <xf numFmtId="0" fontId="11" fillId="27" borderId="16" xfId="0" applyFont="1" applyFill="1" applyBorder="1" applyAlignment="1">
      <alignment horizontal="center" vertical="center"/>
    </xf>
    <xf numFmtId="0" fontId="11" fillId="0" borderId="16" xfId="0" applyFont="1" applyBorder="1" applyAlignment="1">
      <alignment horizontal="center" vertical="center"/>
    </xf>
    <xf numFmtId="0" fontId="0" fillId="0" borderId="16" xfId="0" applyBorder="1" applyAlignment="1">
      <alignment wrapText="1"/>
    </xf>
    <xf numFmtId="0" fontId="0" fillId="34" borderId="16" xfId="0" applyFill="1" applyBorder="1" applyAlignment="1">
      <alignment wrapText="1"/>
    </xf>
    <xf numFmtId="0" fontId="0" fillId="27" borderId="54" xfId="0" applyFill="1" applyBorder="1"/>
    <xf numFmtId="1" fontId="24" fillId="0" borderId="22" xfId="8" applyNumberFormat="1" applyFont="1" applyBorder="1" applyAlignment="1">
      <alignment horizontal="left" vertical="center"/>
    </xf>
    <xf numFmtId="0" fontId="73" fillId="0" borderId="0" xfId="0" applyFont="1"/>
    <xf numFmtId="0" fontId="0" fillId="0" borderId="22" xfId="0" applyBorder="1"/>
    <xf numFmtId="0" fontId="0" fillId="27" borderId="22" xfId="0" applyFill="1" applyBorder="1"/>
    <xf numFmtId="0" fontId="50" fillId="0" borderId="54" xfId="2" applyFont="1" applyBorder="1" applyAlignment="1">
      <alignment horizontal="left" vertical="center"/>
    </xf>
    <xf numFmtId="0" fontId="0" fillId="0" borderId="22" xfId="0" applyBorder="1" applyAlignment="1">
      <alignment vertical="top"/>
    </xf>
    <xf numFmtId="0" fontId="24" fillId="34" borderId="22" xfId="2" applyFont="1" applyFill="1" applyBorder="1" applyAlignment="1">
      <alignment horizontal="left" vertical="center"/>
    </xf>
    <xf numFmtId="0" fontId="6" fillId="35" borderId="21" xfId="2" applyFont="1" applyFill="1" applyBorder="1" applyAlignment="1">
      <alignment horizontal="center" vertical="center" wrapText="1"/>
    </xf>
    <xf numFmtId="0" fontId="45" fillId="0" borderId="0" xfId="0" applyFont="1" applyAlignment="1">
      <alignment horizontal="center" vertical="center" wrapText="1"/>
    </xf>
    <xf numFmtId="0" fontId="0" fillId="0" borderId="16" xfId="0" applyBorder="1" applyAlignment="1">
      <alignment horizontal="center" vertical="center"/>
    </xf>
    <xf numFmtId="0" fontId="45" fillId="0" borderId="4" xfId="0" applyFont="1" applyBorder="1" applyAlignment="1">
      <alignment horizontal="center" vertical="center" wrapText="1"/>
    </xf>
    <xf numFmtId="0" fontId="45" fillId="0" borderId="0" xfId="0" applyFont="1" applyAlignment="1">
      <alignment horizontal="left" vertical="center" wrapText="1"/>
    </xf>
    <xf numFmtId="0" fontId="45" fillId="0" borderId="4" xfId="0" applyFont="1" applyBorder="1" applyAlignment="1">
      <alignment horizontal="left" vertical="center" wrapText="1"/>
    </xf>
    <xf numFmtId="0" fontId="21" fillId="29" borderId="9" xfId="2" applyFont="1" applyFill="1" applyBorder="1" applyAlignment="1">
      <alignment horizontal="center" vertical="center"/>
    </xf>
  </cellXfs>
  <cellStyles count="16">
    <cellStyle name="Moeda" xfId="8" builtinId="4"/>
    <cellStyle name="Normal" xfId="0" builtinId="0"/>
    <cellStyle name="Normal 2" xfId="2" xr:uid="{7CB3999B-3200-4F2E-AD8B-CC517B14AD05}"/>
    <cellStyle name="Normal 3" xfId="6" xr:uid="{48AAD26C-7EB7-4B50-AF14-123457512BCC}"/>
    <cellStyle name="Normal 3 2 2" xfId="7" xr:uid="{88B29B6D-7FB8-4276-9E62-08CCB7EA9E8F}"/>
    <cellStyle name="Normal 3 2 2 2" xfId="15" xr:uid="{201F5A58-6D88-478F-97D0-FB72E9800B87}"/>
    <cellStyle name="Porcentagem" xfId="9" builtinId="5"/>
    <cellStyle name="Porcentagem 2" xfId="1" xr:uid="{E34758EF-B87C-4F2C-A6D9-0946C9330667}"/>
    <cellStyle name="Porcentagem 2 2" xfId="5" xr:uid="{1F2062F7-7710-464C-A3C8-14115E967CF2}"/>
    <cellStyle name="Porcentagem 2 2 2" xfId="14" xr:uid="{3CE24AB5-CAF5-44BF-BAAE-030407CF5D43}"/>
    <cellStyle name="Porcentagem 2 3" xfId="11" xr:uid="{A9B3AF64-D1FB-4E7F-83C8-ACC90806290D}"/>
    <cellStyle name="Vírgula" xfId="10" builtinId="3"/>
    <cellStyle name="Vírgula 2" xfId="3" xr:uid="{77E90EF1-F4C6-417A-BF3A-84841FDB6B57}"/>
    <cellStyle name="Vírgula 2 2" xfId="12" xr:uid="{55B2B7E2-A903-4998-81B7-3BB60F5D4839}"/>
    <cellStyle name="Vírgula 3" xfId="4" xr:uid="{198EFCE7-F42D-45BE-B4FF-9A1C5EAF9746}"/>
    <cellStyle name="Vírgula 3 2" xfId="13" xr:uid="{3091AA61-CC98-45D0-8067-CCC053180DAD}"/>
  </cellStyles>
  <dxfs count="460">
    <dxf>
      <font>
        <color rgb="FF9C0006"/>
      </font>
      <fill>
        <patternFill>
          <bgColor rgb="FFFFC7CE"/>
        </patternFill>
      </fill>
    </dxf>
    <dxf>
      <fill>
        <patternFill>
          <bgColor theme="9" tint="0.79998168889431442"/>
        </patternFill>
      </fill>
    </dxf>
    <dxf>
      <font>
        <color theme="1"/>
      </font>
      <fill>
        <patternFill>
          <bgColor theme="0" tint="-0.14996795556505021"/>
        </patternFill>
      </fill>
    </dxf>
    <dxf>
      <fill>
        <patternFill>
          <bgColor rgb="FF00B050"/>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ont>
        <color theme="1"/>
      </font>
      <fill>
        <patternFill>
          <bgColor theme="0" tint="-0.14996795556505021"/>
        </patternFill>
      </fill>
    </dxf>
    <dxf>
      <fill>
        <patternFill>
          <bgColor rgb="FF00B050"/>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ont>
        <color theme="1"/>
      </font>
      <fill>
        <patternFill>
          <bgColor theme="0" tint="-0.14996795556505021"/>
        </patternFill>
      </fill>
    </dxf>
    <dxf>
      <fill>
        <patternFill>
          <bgColor rgb="FF00B050"/>
        </patternFill>
      </fill>
    </dxf>
    <dxf>
      <font>
        <color rgb="FF9C0006"/>
      </font>
      <fill>
        <patternFill>
          <bgColor rgb="FFFFC7CE"/>
        </patternFill>
      </fill>
    </dxf>
    <dxf>
      <fill>
        <patternFill>
          <bgColor theme="9" tint="0.79998168889431442"/>
        </patternFill>
      </fill>
    </dxf>
    <dxf>
      <font>
        <color theme="1"/>
      </font>
      <fill>
        <patternFill>
          <bgColor theme="0" tint="-0.14996795556505021"/>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ont>
        <color theme="1"/>
      </font>
      <fill>
        <patternFill>
          <bgColor theme="0" tint="-0.14996795556505021"/>
        </patternFill>
      </fill>
    </dxf>
    <dxf>
      <fill>
        <patternFill>
          <bgColor rgb="FF00B050"/>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0"/>
        <color theme="0"/>
        <name val="Calibri"/>
        <family val="2"/>
        <scheme val="none"/>
      </font>
      <fill>
        <patternFill patternType="none">
          <fgColor indexed="64"/>
          <bgColor auto="1"/>
        </patternFill>
      </fill>
      <alignment horizontal="left"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font>
        <b/>
        <i val="0"/>
        <strike val="0"/>
        <condense val="0"/>
        <extend val="0"/>
        <outline val="0"/>
        <shadow val="0"/>
        <u val="none"/>
        <vertAlign val="baseline"/>
        <sz val="10"/>
        <color theme="0"/>
        <name val="Calibri"/>
        <family val="2"/>
        <scheme val="none"/>
      </font>
      <fill>
        <patternFill patternType="solid">
          <fgColor indexed="64"/>
          <bgColor theme="1"/>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34" formatCode="_-&quot;R$&quot;\ * #,##0.00_-;\-&quot;R$&quot;\ * #,##0.00_-;_-&quot;R$&quot;\ * &quot;-&quot;??_-;_-@_-"/>
      <alignment horizontal="general" vertical="center" textRotation="0" wrapText="0" indent="0" justifyLastLine="0" shrinkToFit="0" readingOrder="0"/>
    </dxf>
    <dxf>
      <numFmt numFmtId="0" formatCode="General"/>
      <alignment vertical="center" textRotation="0" indent="0" justifyLastLine="0" shrinkToFit="0" readingOrder="0"/>
    </dxf>
    <dxf>
      <alignment horizontal="general" vertical="center" textRotation="0" wrapText="0" indent="0" justifyLastLine="0" shrinkToFit="0" readingOrder="0"/>
    </dxf>
    <dxf>
      <numFmt numFmtId="34" formatCode="_-&quot;R$&quot;\ * #,##0.00_-;\-&quot;R$&quot;\ * #,##0.00_-;_-&quot;R$&quot;\ * &quot;-&quot;??_-;_-@_-"/>
      <alignment vertical="center" textRotation="0" indent="0" justifyLastLine="0" shrinkToFit="0" readingOrder="0"/>
    </dxf>
    <dxf>
      <alignment horizontal="general" vertical="center" textRotation="0" wrapText="0" indent="0" justifyLastLine="0" shrinkToFit="0" readingOrder="0"/>
    </dxf>
    <dxf>
      <numFmt numFmtId="3" formatCode="#,##0"/>
      <alignment vertical="center" textRotation="0" indent="0" justifyLastLine="0" shrinkToFit="0" readingOrder="0"/>
    </dxf>
    <dxf>
      <alignment horizontal="general" vertical="center" textRotation="0" wrapText="0" indent="0" justifyLastLine="0" shrinkToFit="0" readingOrder="0"/>
    </dxf>
    <dxf>
      <numFmt numFmtId="0" formatCode="General"/>
      <alignment vertical="center" textRotation="0" indent="0" justifyLastLine="0" shrinkToFit="0" readingOrder="0"/>
    </dxf>
    <dxf>
      <alignment horizontal="general" vertical="center" textRotation="0" wrapText="0" indent="0" justifyLastLine="0" shrinkToFit="0" readingOrder="0"/>
    </dxf>
    <dxf>
      <numFmt numFmtId="34" formatCode="_-&quot;R$&quot;\ * #,##0.00_-;\-&quot;R$&quot;\ * #,##0.00_-;_-&quot;R$&quot;\ * &quot;-&quot;??_-;_-@_-"/>
      <alignment horizontal="general" vertical="center" textRotation="0" wrapText="0" indent="0" justifyLastLine="0" shrinkToFit="0" readingOrder="0"/>
    </dxf>
    <dxf>
      <alignment horizontal="general" vertical="center" textRotation="0" wrapText="0" indent="0" justifyLastLine="0" shrinkToFit="0" readingOrder="0"/>
    </dxf>
    <dxf>
      <numFmt numFmtId="3" formatCode="#,##0"/>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5" formatCode="_-* #,##0.00_-;\-* #,##0.00_-;_-* &quot;-&quot;??_-;_-@_-"/>
      <alignment horizontal="general" vertical="center" textRotation="0" wrapText="0" indent="0" justifyLastLine="0" shrinkToFit="0" readingOrder="0"/>
    </dxf>
    <dxf>
      <alignment horizontal="general" vertical="center" textRotation="0" wrapText="0" indent="0" justifyLastLine="0" shrinkToFit="0" readingOrder="0"/>
    </dxf>
    <dxf>
      <numFmt numFmtId="35" formatCode="_-* #,##0.00_-;\-* #,##0.00_-;_-* &quot;-&quot;??_-;_-@_-"/>
      <alignment horizontal="general" vertical="center" textRotation="0" wrapText="0" indent="0" justifyLastLine="0" shrinkToFit="0" readingOrder="0"/>
    </dxf>
    <dxf>
      <alignment horizontal="general" vertical="center" textRotation="0" wrapText="0" indent="0" justifyLastLine="0" shrinkToFit="0" readingOrder="0"/>
    </dxf>
    <dxf>
      <numFmt numFmtId="35" formatCode="_-* #,##0.00_-;\-* #,##0.00_-;_-* &quot;-&quot;??_-;_-@_-"/>
      <alignment horizontal="general" vertical="center" textRotation="0" wrapText="0" indent="0" justifyLastLine="0" shrinkToFit="0" readingOrder="0"/>
    </dxf>
    <dxf>
      <alignment horizontal="general" vertical="center" textRotation="0" wrapText="0" indent="0" justifyLastLine="0" shrinkToFit="0" readingOrder="0"/>
    </dxf>
    <dxf>
      <numFmt numFmtId="35" formatCode="_-* #,##0.00_-;\-* #,##0.00_-;_-* &quot;-&quot;??_-;_-@_-"/>
      <alignment horizontal="general" vertical="center" textRotation="0" wrapText="0" indent="0" justifyLastLine="0" shrinkToFit="0" readingOrder="0"/>
    </dxf>
    <dxf>
      <alignment horizontal="general" vertical="center" textRotation="0" wrapText="0" indent="0" justifyLastLine="0" shrinkToFit="0" readingOrder="0"/>
    </dxf>
    <dxf>
      <numFmt numFmtId="35" formatCode="_-* #,##0.00_-;\-* #,##0.00_-;_-* &quot;-&quot;??_-;_-@_-"/>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8"/>
        <color theme="0"/>
        <name val="Calibri"/>
        <family val="2"/>
        <scheme val="minor"/>
      </font>
      <fill>
        <patternFill patternType="solid">
          <fgColor indexed="64"/>
          <bgColor rgb="FFC00000"/>
        </patternFill>
      </fill>
      <alignment horizontal="center" vertical="center"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8"/>
        <color theme="0"/>
        <name val="Calibri"/>
        <family val="2"/>
        <scheme val="minor"/>
      </font>
      <fill>
        <patternFill patternType="solid">
          <fgColor indexed="64"/>
          <bgColor rgb="FFC00000"/>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0"/>
        <color theme="0"/>
        <name val="Calibri"/>
        <family val="2"/>
        <scheme val="none"/>
      </font>
      <fill>
        <patternFill patternType="solid">
          <fgColor indexed="64"/>
          <bgColor theme="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168" formatCode="_(* #,##0_);_(* \(#,##0\);_(* &quot;-&quot;_);@_)"/>
      <fill>
        <patternFill patternType="solid">
          <fgColor theme="0" tint="-0.34998626667073579"/>
          <bgColor theme="0" tint="-0.34998626667073579"/>
        </patternFill>
      </fill>
      <alignment horizontal="general" vertical="bottom" textRotation="0" wrapText="0" indent="0" justifyLastLine="0" shrinkToFit="0" readingOrder="0"/>
      <border diagonalUp="0" diagonalDown="0">
        <left style="thin">
          <color theme="0"/>
        </left>
        <right style="thin">
          <color theme="0"/>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none"/>
      </font>
      <numFmt numFmtId="168" formatCode="_(* #,##0_);_(* \(#,##0\);_(* &quot;-&quot;_);@_)"/>
      <fill>
        <patternFill patternType="solid">
          <fgColor theme="0" tint="-0.34998626667073579"/>
          <bgColor theme="0" tint="-0.34998626667073579"/>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solid">
          <fgColor theme="0" tint="-0.34998626667073579"/>
          <bgColor theme="0" tint="-0.34998626667073579"/>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none"/>
      </font>
      <numFmt numFmtId="168" formatCode="_(* #,##0_);_(* \(#,##0\);_(* &quot;-&quot;_);@_)"/>
      <fill>
        <patternFill patternType="solid">
          <fgColor theme="0" tint="-0.34998626667073579"/>
          <bgColor theme="0" tint="-0.34998626667073579"/>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none"/>
      </font>
      <numFmt numFmtId="168" formatCode="_(* #,##0_);_(* \(#,##0\);_(* &quot;-&quot;_);@_)"/>
      <fill>
        <patternFill patternType="solid">
          <fgColor theme="0" tint="-0.34998626667073579"/>
          <bgColor theme="0" tint="-0.34998626667073579"/>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none"/>
      </font>
      <numFmt numFmtId="168" formatCode="_(* #,##0_);_(* \(#,##0\);_(* &quot;-&quot;_);@_)"/>
      <fill>
        <patternFill patternType="solid">
          <fgColor theme="0" tint="-0.34998626667073579"/>
          <bgColor theme="0" tint="-0.34998626667073579"/>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none"/>
      </font>
      <numFmt numFmtId="168" formatCode="_(* #,##0_);_(* \(#,##0\);_(* &quot;-&quot;_);@_)"/>
      <fill>
        <patternFill patternType="solid">
          <fgColor theme="0" tint="-0.34998626667073579"/>
          <bgColor theme="0" tint="-0.34998626667073579"/>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none"/>
      </font>
      <numFmt numFmtId="168" formatCode="_(* #,##0_);_(* \(#,##0\);_(* &quot;-&quot;_);@_)"/>
      <fill>
        <patternFill patternType="solid">
          <fgColor theme="0" tint="-0.34998626667073579"/>
          <bgColor theme="0" tint="-0.34998626667073579"/>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none"/>
      </font>
      <numFmt numFmtId="168" formatCode="_(* #,##0_);_(* \(#,##0\);_(* &quot;-&quot;_);@_)"/>
      <fill>
        <patternFill patternType="solid">
          <fgColor theme="0" tint="-0.34998626667073579"/>
          <bgColor theme="0" tint="-0.34998626667073579"/>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none"/>
      </font>
      <numFmt numFmtId="0" formatCode="General"/>
      <fill>
        <patternFill patternType="solid">
          <fgColor theme="0" tint="-0.34998626667073579"/>
          <bgColor theme="0" tint="-0.34998626667073579"/>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none"/>
      </font>
      <numFmt numFmtId="0" formatCode="General"/>
      <fill>
        <patternFill patternType="solid">
          <fgColor theme="0" tint="-0.34998626667073579"/>
          <bgColor theme="0" tint="-0.34998626667073579"/>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none"/>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none"/>
      </font>
      <numFmt numFmtId="0" formatCode="General"/>
      <fill>
        <patternFill patternType="solid">
          <fgColor theme="0" tint="-0.34998626667073579"/>
          <bgColor theme="0" tint="-0.34998626667073579"/>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none"/>
      </font>
      <numFmt numFmtId="0" formatCode="General"/>
      <fill>
        <patternFill patternType="solid">
          <fgColor theme="0" tint="-0.34998626667073579"/>
          <bgColor theme="0" tint="-0.34998626667073579"/>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none"/>
      </font>
      <numFmt numFmtId="30" formatCode="@"/>
      <fill>
        <patternFill patternType="solid">
          <fgColor theme="0" tint="-0.34998626667073579"/>
          <bgColor theme="0" tint="-0.34998626667073579"/>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none"/>
      </font>
      <numFmt numFmtId="30" formatCode="@"/>
      <fill>
        <patternFill patternType="solid">
          <fgColor theme="0" tint="-0.34998626667073579"/>
          <bgColor theme="0" tint="-0.34998626667073579"/>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theme="0"/>
        <name val="Calibri"/>
        <family val="2"/>
        <scheme val="minor"/>
      </font>
      <numFmt numFmtId="0" formatCode="General"/>
      <fill>
        <patternFill patternType="solid">
          <fgColor indexed="64"/>
          <bgColor rgb="FFC00000"/>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theme="1"/>
        <name val="Calibri"/>
        <family val="2"/>
        <scheme val="minor"/>
      </font>
      <numFmt numFmtId="0" formatCode="General"/>
      <fill>
        <patternFill patternType="solid">
          <fgColor theme="0" tint="-0.34998626667073579"/>
          <bgColor theme="0" tint="-0.34998626667073579"/>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i val="0"/>
        <strike val="0"/>
        <condense val="0"/>
        <extend val="0"/>
        <outline val="0"/>
        <shadow val="0"/>
        <u val="none"/>
        <vertAlign val="baseline"/>
        <sz val="10"/>
        <color theme="0"/>
        <name val="Calibri"/>
        <family val="2"/>
        <scheme val="none"/>
      </font>
      <numFmt numFmtId="0" formatCode="General"/>
      <fill>
        <patternFill patternType="solid">
          <fgColor indexed="64"/>
          <bgColor theme="1"/>
        </patternFill>
      </fill>
      <alignment horizontal="center" vertical="center" textRotation="0" wrapText="1" indent="0" justifyLastLine="0" shrinkToFit="0" readingOrder="0"/>
    </dxf>
    <dxf>
      <numFmt numFmtId="0" formatCode="General"/>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style="thin">
          <color theme="0"/>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11"/>
        <color rgb="FF000000"/>
        <name val="Calibri"/>
        <family val="2"/>
        <scheme val="minor"/>
      </font>
      <fill>
        <patternFill patternType="solid">
          <fgColor theme="0" tint="-0.34998626667073579"/>
          <bgColor theme="0" tint="-0.34998626667073579"/>
        </patternFill>
      </fill>
      <alignment horizontal="center"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none"/>
      </font>
      <numFmt numFmtId="0" formatCode="General"/>
      <fill>
        <patternFill patternType="solid">
          <fgColor theme="0" tint="-0.34998626667073579"/>
          <bgColor theme="0" tint="-0.34998626667073579"/>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none"/>
      </font>
      <numFmt numFmtId="0" formatCode="General"/>
      <fill>
        <patternFill patternType="solid">
          <fgColor theme="0" tint="-0.34998626667073579"/>
          <bgColor theme="0" tint="-0.34998626667073579"/>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none"/>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left"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none"/>
      </font>
      <numFmt numFmtId="0" formatCode="General"/>
      <fill>
        <patternFill patternType="solid">
          <fgColor theme="0" tint="-0.34998626667073579"/>
          <bgColor theme="0" tint="-0.34998626667073579"/>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none"/>
      </font>
      <numFmt numFmtId="0" formatCode="General"/>
      <fill>
        <patternFill patternType="solid">
          <fgColor theme="0" tint="-0.34998626667073579"/>
          <bgColor theme="0" tint="-0.34998626667073579"/>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none"/>
      </font>
      <numFmt numFmtId="30" formatCode="@"/>
      <fill>
        <patternFill patternType="solid">
          <fgColor theme="0" tint="-0.34998626667073579"/>
          <bgColor theme="0" tint="-0.34998626667073579"/>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none"/>
      </font>
      <numFmt numFmtId="30" formatCode="@"/>
      <fill>
        <patternFill patternType="solid">
          <fgColor theme="0" tint="-0.34998626667073579"/>
          <bgColor theme="0" tint="-0.34998626667073579"/>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solid">
          <fgColor theme="0" tint="-0.34998626667073579"/>
          <bgColor theme="0" tint="-0.34998626667073579"/>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theme="0"/>
        <name val="Calibri"/>
        <family val="2"/>
        <scheme val="minor"/>
      </font>
      <numFmt numFmtId="0" formatCode="General"/>
      <fill>
        <patternFill patternType="solid">
          <fgColor indexed="64"/>
          <bgColor rgb="FFC00000"/>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theme="1"/>
        <name val="Calibri"/>
        <family val="2"/>
        <scheme val="minor"/>
      </font>
      <numFmt numFmtId="0" formatCode="General"/>
      <fill>
        <patternFill patternType="solid">
          <fgColor theme="0" tint="-0.34998626667073579"/>
          <bgColor theme="0" tint="-0.34998626667073579"/>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i val="0"/>
        <strike val="0"/>
        <condense val="0"/>
        <extend val="0"/>
        <outline val="0"/>
        <shadow val="0"/>
        <u val="none"/>
        <vertAlign val="baseline"/>
        <sz val="10"/>
        <color theme="0"/>
        <name val="Calibri"/>
        <family val="2"/>
        <scheme val="none"/>
      </font>
      <numFmt numFmtId="0" formatCode="General"/>
      <fill>
        <patternFill patternType="solid">
          <fgColor indexed="64"/>
          <bgColor theme="1"/>
        </patternFill>
      </fill>
      <alignment horizontal="center" vertical="center" textRotation="0" wrapText="1" indent="0" justifyLastLine="0" shrinkToFit="0" readingOrder="0"/>
    </dxf>
    <dxf>
      <font>
        <sz val="11"/>
        <color rgb="FF000000"/>
        <name val="Aptos Narrow"/>
        <family val="2"/>
        <scheme val="none"/>
      </font>
      <fill>
        <patternFill patternType="none">
          <fgColor indexed="64"/>
          <bgColor auto="1"/>
        </patternFill>
      </fill>
      <border diagonalUp="0" diagonalDown="0">
        <left/>
        <right/>
        <top style="thin">
          <color rgb="FF44B3E1"/>
        </top>
        <bottom style="thin">
          <color rgb="FF44B3E1"/>
        </bottom>
        <vertical/>
        <horizontal/>
      </border>
    </dxf>
    <dxf>
      <fill>
        <patternFill patternType="none">
          <fgColor indexed="64"/>
          <bgColor auto="1"/>
        </patternFill>
      </fill>
    </dxf>
    <dxf>
      <fill>
        <patternFill patternType="none">
          <fgColor indexed="64"/>
          <bgColor auto="1"/>
        </patternFill>
      </fill>
    </dxf>
    <dxf>
      <font>
        <sz val="11"/>
        <color rgb="FF000000"/>
        <name val="Aptos Narrow"/>
        <family val="2"/>
        <scheme val="none"/>
      </font>
      <fill>
        <patternFill patternType="none">
          <fgColor indexed="64"/>
          <bgColor auto="1"/>
        </patternFill>
      </fill>
      <border diagonalUp="0" diagonalDown="0">
        <left/>
        <right/>
        <top style="thin">
          <color rgb="FF44B3E1"/>
        </top>
        <bottom style="thin">
          <color rgb="FF44B3E1"/>
        </bottom>
        <vertical/>
        <horizontal/>
      </border>
    </dxf>
    <dxf>
      <fill>
        <patternFill patternType="none">
          <fgColor indexed="64"/>
          <bgColor auto="1"/>
        </patternFill>
      </fill>
    </dxf>
    <dxf>
      <font>
        <sz val="11"/>
        <color rgb="FF000000"/>
        <name val="Aptos Narrow"/>
        <family val="2"/>
        <scheme val="none"/>
      </font>
      <fill>
        <patternFill patternType="none">
          <fgColor indexed="64"/>
          <bgColor auto="1"/>
        </patternFill>
      </fill>
      <border diagonalUp="0" diagonalDown="0">
        <left/>
        <right/>
        <top style="thin">
          <color rgb="FF44B3E1"/>
        </top>
        <bottom style="thin">
          <color rgb="FF44B3E1"/>
        </bottom>
        <vertical/>
        <horizontal/>
      </border>
    </dxf>
    <dxf>
      <font>
        <sz val="11"/>
        <color rgb="FF000000"/>
        <name val="Aptos Narrow"/>
        <family val="2"/>
        <scheme val="none"/>
      </font>
      <fill>
        <patternFill patternType="none">
          <fgColor indexed="64"/>
          <bgColor auto="1"/>
        </patternFill>
      </fill>
      <border diagonalUp="0" diagonalDown="0">
        <left style="thin">
          <color rgb="FF44B3E1"/>
        </left>
        <right/>
        <top style="thin">
          <color rgb="FF44B3E1"/>
        </top>
        <bottom style="thin">
          <color rgb="FF44B3E1"/>
        </bottom>
        <vertical/>
        <horizontal/>
      </border>
    </dxf>
    <dxf>
      <font>
        <sz val="11"/>
        <color rgb="FF000000"/>
        <name val="Aptos Narrow"/>
        <family val="2"/>
        <scheme val="none"/>
      </font>
      <fill>
        <patternFill patternType="none">
          <fgColor indexed="64"/>
          <bgColor auto="1"/>
        </patternFill>
      </fill>
      <border diagonalUp="0" diagonalDown="0">
        <left/>
        <right/>
        <top style="thin">
          <color rgb="FF44B3E1"/>
        </top>
        <bottom style="thin">
          <color rgb="FF44B3E1"/>
        </bottom>
        <vertical/>
        <horizontal/>
      </border>
    </dxf>
    <dxf>
      <fill>
        <patternFill patternType="none">
          <fgColor indexed="64"/>
          <bgColor auto="1"/>
        </patternFill>
      </fill>
    </dxf>
    <dxf>
      <font>
        <b val="0"/>
        <i val="0"/>
        <strike val="0"/>
        <condense val="0"/>
        <extend val="0"/>
        <outline val="0"/>
        <shadow val="0"/>
        <u val="none"/>
        <vertAlign val="baseline"/>
        <sz val="11"/>
        <color rgb="FF000000"/>
        <name val="Aptos Narrow"/>
        <family val="2"/>
        <scheme val="none"/>
      </font>
      <numFmt numFmtId="169" formatCode="_-[$R$-416]\ * #,##0.00_-;\-[$R$-416]\ * #,##0.00_-;_-[$R$-416]\ * &quot;-&quot;??_-;_-@_-"/>
      <fill>
        <patternFill patternType="none">
          <fgColor indexed="64"/>
          <bgColor auto="1"/>
        </patternFill>
      </fill>
      <alignment horizontal="left" vertical="bottom" textRotation="0" wrapText="0" indent="0" justifyLastLine="0" shrinkToFit="0" readingOrder="0"/>
      <border diagonalUp="0" diagonalDown="0">
        <left/>
        <right style="thin">
          <color rgb="FF44B3E1"/>
        </right>
        <top style="thin">
          <color rgb="FF44B3E1"/>
        </top>
        <bottom style="thin">
          <color rgb="FF44B3E1"/>
        </bottom>
        <vertical/>
        <horizontal/>
      </border>
    </dxf>
    <dxf>
      <font>
        <b val="0"/>
        <i val="0"/>
        <strike val="0"/>
        <condense val="0"/>
        <extend val="0"/>
        <outline val="0"/>
        <shadow val="0"/>
        <u val="none"/>
        <vertAlign val="baseline"/>
        <sz val="11"/>
        <color rgb="FF000000"/>
        <name val="Aptos Narrow"/>
        <family val="2"/>
        <scheme val="none"/>
      </font>
      <numFmt numFmtId="169" formatCode="_-[$R$-416]\ * #,##0.00_-;\-[$R$-416]\ * #,##0.00_-;_-[$R$-416]\ * &quot;-&quot;??_-;_-@_-"/>
      <fill>
        <patternFill patternType="none">
          <fgColor indexed="64"/>
          <bgColor auto="1"/>
        </patternFill>
      </fill>
      <alignment horizontal="left" vertical="bottom" textRotation="0" wrapText="0" indent="0" justifyLastLine="0" shrinkToFit="0" readingOrder="0"/>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Aptos Narrow"/>
        <family val="2"/>
        <scheme val="none"/>
      </font>
      <numFmt numFmtId="169" formatCode="_-[$R$-416]\ * #,##0.00_-;\-[$R$-416]\ * #,##0.00_-;_-[$R$-416]\ * &quot;-&quot;??_-;_-@_-"/>
      <fill>
        <patternFill patternType="none">
          <fgColor indexed="64"/>
          <bgColor auto="1"/>
        </patternFill>
      </fill>
      <alignment horizontal="left" vertical="bottom" textRotation="0" wrapText="0" indent="0" justifyLastLine="0" shrinkToFit="0" readingOrder="0"/>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Aptos Narrow"/>
        <family val="2"/>
        <scheme val="none"/>
      </font>
      <numFmt numFmtId="169" formatCode="_-[$R$-416]\ * #,##0.00_-;\-[$R$-416]\ * #,##0.00_-;_-[$R$-416]\ * &quot;-&quot;??_-;_-@_-"/>
      <fill>
        <patternFill patternType="none">
          <fgColor indexed="64"/>
          <bgColor auto="1"/>
        </patternFill>
      </fill>
      <alignment horizontal="left" vertical="bottom" textRotation="0" wrapText="0" indent="0" justifyLastLine="0" shrinkToFit="0" readingOrder="0"/>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Aptos Narrow"/>
        <family val="2"/>
        <scheme val="none"/>
      </font>
      <numFmt numFmtId="169" formatCode="_-[$R$-416]\ * #,##0.00_-;\-[$R$-416]\ * #,##0.00_-;_-[$R$-416]\ * &quot;-&quot;??_-;_-@_-"/>
      <fill>
        <patternFill patternType="none">
          <fgColor indexed="64"/>
          <bgColor auto="1"/>
        </patternFill>
      </fill>
      <alignment horizontal="left" vertical="bottom" textRotation="0" wrapText="0" indent="0" justifyLastLine="0" shrinkToFit="0" readingOrder="0"/>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Aptos Narrow"/>
        <family val="2"/>
        <scheme val="none"/>
      </font>
      <numFmt numFmtId="169" formatCode="_-[$R$-416]\ * #,##0.00_-;\-[$R$-416]\ * #,##0.00_-;_-[$R$-416]\ * &quot;-&quot;??_-;_-@_-"/>
      <fill>
        <patternFill patternType="none">
          <fgColor indexed="64"/>
          <bgColor auto="1"/>
        </patternFill>
      </fill>
      <alignment horizontal="left" vertical="bottom" textRotation="0" wrapText="0" indent="0" justifyLastLine="0" shrinkToFit="0" readingOrder="0"/>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Aptos Narrow"/>
        <family val="2"/>
        <scheme val="none"/>
      </font>
      <numFmt numFmtId="169" formatCode="_-[$R$-416]\ * #,##0.00_-;\-[$R$-416]\ * #,##0.00_-;_-[$R$-416]\ * &quot;-&quot;??_-;_-@_-"/>
      <fill>
        <patternFill patternType="none">
          <fgColor indexed="64"/>
          <bgColor auto="1"/>
        </patternFill>
      </fill>
      <alignment horizontal="left" vertical="bottom" textRotation="0" wrapText="0" indent="0" justifyLastLine="0" shrinkToFit="0" readingOrder="0"/>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Aptos Narrow"/>
        <family val="2"/>
        <scheme val="none"/>
      </font>
      <numFmt numFmtId="169" formatCode="_-[$R$-416]\ * #,##0.00_-;\-[$R$-416]\ * #,##0.00_-;_-[$R$-416]\ * &quot;-&quot;??_-;_-@_-"/>
      <fill>
        <patternFill patternType="none">
          <fgColor indexed="64"/>
          <bgColor auto="1"/>
        </patternFill>
      </fill>
      <alignment horizontal="left" vertical="bottom" textRotation="0" wrapText="0" indent="0" justifyLastLine="0" shrinkToFit="0" readingOrder="0"/>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Aptos Narrow"/>
        <family val="2"/>
        <scheme val="none"/>
      </font>
      <numFmt numFmtId="169" formatCode="_-[$R$-416]\ * #,##0.00_-;\-[$R$-416]\ * #,##0.00_-;_-[$R$-416]\ * &quot;-&quot;??_-;_-@_-"/>
      <fill>
        <patternFill patternType="none">
          <fgColor indexed="64"/>
          <bgColor auto="1"/>
        </patternFill>
      </fill>
      <alignment horizontal="left" vertical="bottom" textRotation="0" wrapText="0" indent="0" justifyLastLine="0" shrinkToFit="0" readingOrder="0"/>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Aptos Narrow"/>
        <family val="2"/>
        <scheme val="none"/>
      </font>
      <numFmt numFmtId="169" formatCode="_-[$R$-416]\ * #,##0.00_-;\-[$R$-416]\ * #,##0.00_-;_-[$R$-416]\ * &quot;-&quot;??_-;_-@_-"/>
      <fill>
        <patternFill patternType="none">
          <fgColor indexed="64"/>
          <bgColor auto="1"/>
        </patternFill>
      </fill>
      <alignment horizontal="left" vertical="bottom" textRotation="0" wrapText="0" indent="0" justifyLastLine="0" shrinkToFit="0" readingOrder="0"/>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Aptos Narrow"/>
        <family val="2"/>
        <scheme val="none"/>
      </font>
      <numFmt numFmtId="169" formatCode="_-[$R$-416]\ * #,##0.00_-;\-[$R$-416]\ * #,##0.00_-;_-[$R$-416]\ * &quot;-&quot;??_-;_-@_-"/>
      <fill>
        <patternFill patternType="none">
          <fgColor indexed="64"/>
          <bgColor auto="1"/>
        </patternFill>
      </fill>
      <alignment horizontal="left" vertical="bottom" textRotation="0" wrapText="0" indent="0" justifyLastLine="0" shrinkToFit="0" readingOrder="0"/>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Aptos Narrow"/>
        <family val="2"/>
        <scheme val="none"/>
      </font>
      <numFmt numFmtId="169" formatCode="_-[$R$-416]\ * #,##0.00_-;\-[$R$-416]\ * #,##0.00_-;_-[$R$-416]\ * &quot;-&quot;??_-;_-@_-"/>
      <fill>
        <patternFill patternType="none">
          <fgColor indexed="64"/>
          <bgColor auto="1"/>
        </patternFill>
      </fill>
      <alignment horizontal="left" vertical="bottom" textRotation="0" wrapText="0" indent="0" justifyLastLine="0" shrinkToFit="0" readingOrder="0"/>
      <border diagonalUp="0" diagonalDown="0">
        <left/>
        <right style="thin">
          <color rgb="FFF2F2F2"/>
        </right>
        <top style="thin">
          <color rgb="FF44B3E1"/>
        </top>
        <bottom style="thin">
          <color rgb="FF44B3E1"/>
        </bottom>
        <vertical/>
        <horizontal/>
      </border>
    </dxf>
    <dxf>
      <font>
        <b val="0"/>
        <i val="0"/>
        <strike val="0"/>
        <condense val="0"/>
        <extend val="0"/>
        <outline val="0"/>
        <shadow val="0"/>
        <u val="none"/>
        <vertAlign val="baseline"/>
        <sz val="10"/>
        <color theme="1"/>
        <name val="Calibri"/>
        <family val="2"/>
        <scheme val="minor"/>
      </font>
      <numFmt numFmtId="168" formatCode="_(* #,##0_);_(* \(#,##0\);_(* &quot;-&quot;_);@_)"/>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168" formatCode="_(* #,##0_);_(* \(#,##0\);_(* &quot;-&quot;_);@_)"/>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168" formatCode="_(* #,##0_);_(* \(#,##0\);_(* &quot;-&quot;_);@_)"/>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168" formatCode="_(* #,##0_);_(* \(#,##0\);_(* &quot;-&quot;_);@_)"/>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168" formatCode="_(* #,##0_);_(* \(#,##0\);_(* &quot;-&quot;_);@_)"/>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168" formatCode="_(* #,##0_);_(* \(#,##0\);_(* &quot;-&quot;_);@_)"/>
      <fill>
        <patternFill patternType="none">
          <fgColor indexed="64"/>
          <bgColor auto="1"/>
        </patternFill>
      </fill>
    </dxf>
    <dxf>
      <font>
        <b val="0"/>
        <i val="0"/>
        <strike val="0"/>
        <condense val="0"/>
        <extend val="0"/>
        <outline val="0"/>
        <shadow val="0"/>
        <u val="none"/>
        <vertAlign val="baseline"/>
        <sz val="11"/>
        <color theme="1"/>
        <name val="Calibri"/>
        <family val="2"/>
        <scheme val="none"/>
      </font>
      <numFmt numFmtId="168" formatCode="_(* #,##0_);_(* \(#,##0\);_(* &quot;-&quot;_);@_)"/>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8" formatCode="_(* #,##0_);_(* \(#,##0\);_(* &quot;-&quot;_);@_)"/>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8" formatCode="_(* #,##0_);_(* \(#,##0\);_(* &quot;-&quot;_);@_)"/>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8" formatCode="_(* #,##0_);_(* \(#,##0\);_(* &quot;-&quot;_);@_)"/>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8" formatCode="_(* #,##0_);_(* \(#,##0\);_(* &quot;-&quot;_);@_)"/>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8" formatCode="_(* #,##0_);_(* \(#,##0\);_(* &quot;-&quot;_);@_)"/>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numFmt numFmtId="0" formatCode="General"/>
      <fill>
        <patternFill patternType="none">
          <fgColor indexed="64"/>
          <bgColor auto="1"/>
        </patternFill>
      </fill>
      <alignment horizontal="left" vertical="bottom" textRotation="0" wrapText="0" indent="0" justifyLastLine="0" shrinkToFit="0" readingOrder="0"/>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Aptos Narrow"/>
        <family val="2"/>
        <scheme val="none"/>
      </font>
      <numFmt numFmtId="0" formatCode="General"/>
      <fill>
        <patternFill patternType="none">
          <fgColor indexed="64"/>
          <bgColor auto="1"/>
        </patternFill>
      </fill>
      <alignment horizontal="left" vertical="bottom" textRotation="0" wrapText="0" indent="0" justifyLastLine="0" shrinkToFit="0" readingOrder="0"/>
      <border diagonalUp="0" diagonalDown="0">
        <left/>
        <right/>
        <top style="thin">
          <color rgb="FF44B3E1"/>
        </top>
        <bottom style="thin">
          <color rgb="FF44B3E1"/>
        </bottom>
        <vertical/>
        <horizontal/>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auto="1"/>
        <name val="Calibri"/>
        <family val="2"/>
        <scheme val="none"/>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8"/>
        <color auto="1"/>
        <name val="Calibri"/>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Calibri"/>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Calibri"/>
        <family val="2"/>
        <scheme val="none"/>
      </font>
      <numFmt numFmtId="30" formatCode="@"/>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Calibri"/>
        <family val="2"/>
        <scheme val="none"/>
      </font>
      <numFmt numFmtId="30" formatCode="@"/>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theme="0"/>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0"/>
        <color theme="0"/>
        <name val="Calibri"/>
        <family val="2"/>
        <scheme val="none"/>
      </font>
      <numFmt numFmtId="0" formatCode="General"/>
      <fill>
        <patternFill patternType="solid">
          <fgColor indexed="64"/>
          <bgColor theme="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numFmt numFmtId="170" formatCode="#,##0.00,,"/>
      <fill>
        <patternFill patternType="none">
          <fgColor indexed="64"/>
          <bgColor auto="1"/>
        </patternFill>
      </fill>
      <alignment horizontal="center" vertical="center" textRotation="0" wrapText="0" indent="0" justifyLastLine="0" shrinkToFit="0" readingOrder="1"/>
      <border diagonalUp="0" diagonalDown="0" outline="0">
        <left/>
        <right/>
        <top style="thin">
          <color rgb="FF44B3E1"/>
        </top>
        <bottom style="thin">
          <color rgb="FF44B3E1"/>
        </bottom>
      </border>
    </dxf>
    <dxf>
      <font>
        <b val="0"/>
        <i val="0"/>
        <strike val="0"/>
        <condense val="0"/>
        <extend val="0"/>
        <outline val="0"/>
        <shadow val="0"/>
        <u val="none"/>
        <vertAlign val="baseline"/>
        <sz val="11"/>
        <color rgb="FF000000"/>
        <name val="Aptos Narrow"/>
        <family val="2"/>
        <scheme val="none"/>
      </font>
      <numFmt numFmtId="170" formatCode="#,##0.00,,"/>
      <fill>
        <patternFill patternType="none">
          <fgColor indexed="64"/>
          <bgColor auto="1"/>
        </patternFill>
      </fill>
      <alignment horizontal="center" vertical="center" textRotation="0" wrapText="0" indent="0" justifyLastLine="0" shrinkToFit="0" readingOrder="1"/>
      <border diagonalUp="0" diagonalDown="0" outline="0">
        <left/>
        <right/>
        <top style="thin">
          <color rgb="FF44B3E1"/>
        </top>
        <bottom style="thin">
          <color rgb="FF44B3E1"/>
        </bottom>
      </border>
    </dxf>
    <dxf>
      <font>
        <b val="0"/>
        <i val="0"/>
        <strike val="0"/>
        <condense val="0"/>
        <extend val="0"/>
        <outline val="0"/>
        <shadow val="0"/>
        <u val="none"/>
        <vertAlign val="baseline"/>
        <sz val="11"/>
        <color rgb="FF000000"/>
        <name val="Aptos Narrow"/>
        <family val="2"/>
        <scheme val="none"/>
      </font>
      <numFmt numFmtId="170" formatCode="#,##0.00,,"/>
      <fill>
        <patternFill patternType="none">
          <fgColor indexed="64"/>
          <bgColor auto="1"/>
        </patternFill>
      </fill>
      <alignment horizontal="center" vertical="center" textRotation="0" wrapText="0" indent="0" justifyLastLine="0" shrinkToFit="0" readingOrder="1"/>
      <border diagonalUp="0" diagonalDown="0" outline="0">
        <left/>
        <right/>
        <top style="thin">
          <color rgb="FF44B3E1"/>
        </top>
        <bottom style="thin">
          <color rgb="FF44B3E1"/>
        </bottom>
      </border>
    </dxf>
    <dxf>
      <font>
        <b val="0"/>
        <i val="0"/>
        <strike val="0"/>
        <condense val="0"/>
        <extend val="0"/>
        <outline val="0"/>
        <shadow val="0"/>
        <u val="none"/>
        <vertAlign val="baseline"/>
        <sz val="11"/>
        <color rgb="FF000000"/>
        <name val="Aptos Narrow"/>
        <family val="2"/>
        <scheme val="none"/>
      </font>
      <numFmt numFmtId="170" formatCode="#,##0.00,,"/>
      <fill>
        <patternFill patternType="none">
          <fgColor indexed="64"/>
          <bgColor auto="1"/>
        </patternFill>
      </fill>
      <alignment horizontal="center" vertical="center" textRotation="0" wrapText="0" indent="0" justifyLastLine="0" shrinkToFit="0" readingOrder="1"/>
      <border diagonalUp="0" diagonalDown="0" outline="0">
        <left/>
        <right/>
        <top style="thin">
          <color rgb="FF44B3E1"/>
        </top>
        <bottom style="thin">
          <color rgb="FF44B3E1"/>
        </bottom>
      </border>
    </dxf>
    <dxf>
      <font>
        <b val="0"/>
        <i val="0"/>
        <strike val="0"/>
        <condense val="0"/>
        <extend val="0"/>
        <outline val="0"/>
        <shadow val="0"/>
        <u val="none"/>
        <vertAlign val="baseline"/>
        <sz val="11"/>
        <color rgb="FF000000"/>
        <name val="Aptos Narrow"/>
        <family val="2"/>
        <scheme val="none"/>
      </font>
      <numFmt numFmtId="170" formatCode="#,##0.00,,"/>
      <fill>
        <patternFill patternType="none">
          <fgColor indexed="64"/>
          <bgColor auto="1"/>
        </patternFill>
      </fill>
      <alignment horizontal="center" vertical="center" textRotation="0" wrapText="0" indent="0" justifyLastLine="0" shrinkToFit="0" readingOrder="1"/>
      <border diagonalUp="0" diagonalDown="0" outline="0">
        <left/>
        <right/>
        <top style="thin">
          <color rgb="FF44B3E1"/>
        </top>
        <bottom style="thin">
          <color rgb="FF44B3E1"/>
        </bottom>
      </border>
    </dxf>
    <dxf>
      <font>
        <b val="0"/>
        <i val="0"/>
        <strike val="0"/>
        <condense val="0"/>
        <extend val="0"/>
        <outline val="0"/>
        <shadow val="0"/>
        <u val="none"/>
        <vertAlign val="baseline"/>
        <sz val="11"/>
        <color rgb="FF000000"/>
        <name val="Aptos Narrow"/>
        <family val="2"/>
        <scheme val="none"/>
      </font>
      <numFmt numFmtId="170" formatCode="#,##0.00,,"/>
      <fill>
        <patternFill patternType="none">
          <fgColor indexed="64"/>
          <bgColor auto="1"/>
        </patternFill>
      </fill>
      <alignment horizontal="center" vertical="center" textRotation="0" wrapText="0" indent="0" justifyLastLine="0" shrinkToFit="0" readingOrder="1"/>
      <border diagonalUp="0" diagonalDown="0" outline="0">
        <left/>
        <right/>
        <top style="thin">
          <color rgb="FF44B3E1"/>
        </top>
        <bottom style="thin">
          <color rgb="FF44B3E1"/>
        </bottom>
      </border>
    </dxf>
    <dxf>
      <font>
        <b val="0"/>
        <i val="0"/>
        <strike val="0"/>
        <condense val="0"/>
        <extend val="0"/>
        <outline val="0"/>
        <shadow val="0"/>
        <u val="none"/>
        <vertAlign val="baseline"/>
        <sz val="11"/>
        <color rgb="FF000000"/>
        <name val="Aptos Narrow"/>
        <family val="2"/>
        <scheme val="none"/>
      </font>
      <fill>
        <patternFill patternType="none">
          <fgColor indexed="64"/>
          <bgColor auto="1"/>
        </patternFill>
      </fill>
      <alignment horizontal="center" vertical="center" textRotation="0" wrapText="0" indent="0" justifyLastLine="0" shrinkToFit="0" readingOrder="1"/>
      <border diagonalUp="0" diagonalDown="0" outline="0">
        <left/>
        <right/>
        <top style="thin">
          <color rgb="FF44B3E1"/>
        </top>
        <bottom style="thin">
          <color rgb="FF44B3E1"/>
        </bottom>
      </border>
    </dxf>
    <dxf>
      <font>
        <b val="0"/>
        <i val="0"/>
        <strike val="0"/>
        <condense val="0"/>
        <extend val="0"/>
        <outline val="0"/>
        <shadow val="0"/>
        <u val="none"/>
        <vertAlign val="baseline"/>
        <sz val="11"/>
        <color rgb="FF000000"/>
        <name val="Aptos Narrow"/>
        <family val="2"/>
        <scheme val="none"/>
      </font>
      <fill>
        <patternFill patternType="none">
          <fgColor indexed="64"/>
          <bgColor auto="1"/>
        </patternFill>
      </fill>
      <alignment horizontal="center" vertical="center" textRotation="0" wrapText="0" indent="0" justifyLastLine="0" shrinkToFit="0" readingOrder="1"/>
      <border diagonalUp="0" diagonalDown="0" outline="0">
        <left/>
        <right/>
        <top style="thin">
          <color rgb="FF44B3E1"/>
        </top>
        <bottom style="thin">
          <color rgb="FF44B3E1"/>
        </bottom>
      </border>
    </dxf>
    <dxf>
      <font>
        <b val="0"/>
        <i val="0"/>
        <strike val="0"/>
        <condense val="0"/>
        <extend val="0"/>
        <outline val="0"/>
        <shadow val="0"/>
        <u val="none"/>
        <vertAlign val="baseline"/>
        <sz val="11"/>
        <color rgb="FF000000"/>
        <name val="Aptos Narrow"/>
        <family val="2"/>
        <scheme val="none"/>
      </font>
      <fill>
        <patternFill patternType="none">
          <fgColor indexed="64"/>
          <bgColor auto="1"/>
        </patternFill>
      </fill>
      <alignment horizontal="center" vertical="center" textRotation="0" wrapText="0" indent="0" justifyLastLine="0" shrinkToFit="0" readingOrder="1"/>
      <border diagonalUp="0" diagonalDown="0" outline="0">
        <left/>
        <right/>
        <top style="thin">
          <color rgb="FF44B3E1"/>
        </top>
        <bottom style="thin">
          <color rgb="FF44B3E1"/>
        </bottom>
      </border>
    </dxf>
    <dxf>
      <font>
        <b val="0"/>
        <i val="0"/>
        <strike val="0"/>
        <condense val="0"/>
        <extend val="0"/>
        <outline val="0"/>
        <shadow val="0"/>
        <u val="none"/>
        <vertAlign val="baseline"/>
        <sz val="11"/>
        <color rgb="FF000000"/>
        <name val="Aptos Narrow"/>
        <family val="2"/>
        <scheme val="none"/>
      </font>
      <fill>
        <patternFill patternType="none">
          <fgColor indexed="64"/>
          <bgColor auto="1"/>
        </patternFill>
      </fill>
      <alignment horizontal="center" vertical="center" textRotation="0" wrapText="0" indent="0" justifyLastLine="0" shrinkToFit="0" readingOrder="1"/>
      <border diagonalUp="0" diagonalDown="0" outline="0">
        <left/>
        <right/>
        <top style="thin">
          <color rgb="FF44B3E1"/>
        </top>
        <bottom style="thin">
          <color rgb="FF44B3E1"/>
        </bottom>
      </border>
    </dxf>
    <dxf>
      <font>
        <b val="0"/>
        <i val="0"/>
        <strike val="0"/>
        <condense val="0"/>
        <extend val="0"/>
        <outline val="0"/>
        <shadow val="0"/>
        <u val="none"/>
        <vertAlign val="baseline"/>
        <sz val="11"/>
        <color rgb="FF000000"/>
        <name val="Aptos Narrow"/>
        <family val="2"/>
        <scheme val="none"/>
      </font>
      <fill>
        <patternFill patternType="none">
          <fgColor indexed="64"/>
          <bgColor auto="1"/>
        </patternFill>
      </fill>
      <alignment horizontal="center" vertical="center" textRotation="0" wrapText="0" indent="0" justifyLastLine="0" shrinkToFit="0" readingOrder="1"/>
      <border diagonalUp="0" diagonalDown="0" outline="0">
        <left/>
        <right/>
        <top style="thin">
          <color rgb="FF44B3E1"/>
        </top>
        <bottom style="thin">
          <color rgb="FF44B3E1"/>
        </bottom>
      </border>
    </dxf>
    <dxf>
      <border outline="0">
        <top style="thin">
          <color rgb="FF44B3E1"/>
        </top>
      </border>
    </dxf>
    <dxf>
      <border outline="0">
        <left style="thin">
          <color rgb="FF44B3E1"/>
        </left>
        <right style="thin">
          <color rgb="FF44B3E1"/>
        </right>
        <top style="thin">
          <color rgb="FF44B3E1"/>
        </top>
        <bottom style="thin">
          <color rgb="FF44B3E1"/>
        </bottom>
      </border>
    </dxf>
    <dxf>
      <font>
        <b val="0"/>
        <i val="0"/>
        <strike val="0"/>
        <condense val="0"/>
        <extend val="0"/>
        <outline val="0"/>
        <shadow val="0"/>
        <u val="none"/>
        <vertAlign val="baseline"/>
        <sz val="11"/>
        <color rgb="FF000000"/>
        <name val="Aptos Narrow"/>
        <family val="2"/>
        <scheme val="none"/>
      </font>
      <fill>
        <patternFill patternType="none">
          <fgColor indexed="64"/>
          <bgColor auto="1"/>
        </patternFill>
      </fill>
      <alignment horizontal="center" vertical="center" textRotation="0" wrapText="0" indent="0" justifyLastLine="0" shrinkToFit="0" readingOrder="1"/>
    </dxf>
    <dxf>
      <border outline="0">
        <bottom style="thin">
          <color rgb="FF44B3E1"/>
        </bottom>
      </border>
    </dxf>
    <dxf>
      <font>
        <b/>
        <i val="0"/>
        <strike val="0"/>
        <condense val="0"/>
        <extend val="0"/>
        <outline val="0"/>
        <shadow val="0"/>
        <u val="none"/>
        <vertAlign val="baseline"/>
        <sz val="11"/>
        <color rgb="FFFFFFFF"/>
        <name val="Aptos Narrow"/>
        <family val="2"/>
        <scheme val="none"/>
      </font>
      <fill>
        <patternFill patternType="none">
          <fgColor indexed="64"/>
          <bgColor auto="1"/>
        </patternFill>
      </fill>
      <alignment horizontal="center" vertical="center" textRotation="0" wrapText="0" indent="0" justifyLastLine="0" shrinkToFit="0" readingOrder="1"/>
    </dxf>
    <dxf>
      <numFmt numFmtId="35" formatCode="_-* #,##0.00_-;\-* #,##0.00_-;_-* &quot;-&quot;??_-;_-@_-"/>
    </dxf>
    <dxf>
      <numFmt numFmtId="35" formatCode="_-* #,##0.00_-;\-* #,##0.00_-;_-* &quot;-&quot;??_-;_-@_-"/>
    </dxf>
    <dxf>
      <numFmt numFmtId="170" formatCode="#,##0.00,,"/>
    </dxf>
    <dxf>
      <numFmt numFmtId="35" formatCode="_-* #,##0.00_-;\-* #,##0.00_-;_-* &quot;-&quot;??_-;_-@_-"/>
    </dxf>
    <dxf>
      <numFmt numFmtId="35" formatCode="_-* #,##0.00_-;\-* #,##0.00_-;_-* &quot;-&quot;??_-;_-@_-"/>
    </dxf>
    <dxf>
      <numFmt numFmtId="171" formatCode="&quot;R$&quot;\ #,##0.00,,;\-&quot;R$&quot;\ #,##0.00,,"/>
    </dxf>
    <dxf>
      <numFmt numFmtId="171" formatCode="&quot;R$&quot;\ #,##0.00,,;\-&quot;R$&quot;\ #,##0.00,,"/>
    </dxf>
    <dxf>
      <numFmt numFmtId="170" formatCode="#,##0.00,,"/>
    </dxf>
    <dxf>
      <numFmt numFmtId="35" formatCode="_-* #,##0.00_-;\-* #,##0.00_-;_-* &quot;-&quot;??_-;_-@_-"/>
    </dxf>
    <dxf>
      <numFmt numFmtId="34" formatCode="_-&quot;R$&quot;\ * #,##0.00_-;\-&quot;R$&quot;\ * #,##0.00_-;_-&quot;R$&quot;\ * &quot;-&quot;??_-;_-@_-"/>
    </dxf>
    <dxf>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34" formatCode="_-&quot;R$&quot;\ * #,##0.00_-;\-&quot;R$&quot;\ * #,##0.00_-;_-&quot;R$&quot;\ * &quot;-&quot;??_-;_-@_-"/>
    </dxf>
    <dxf>
      <numFmt numFmtId="34" formatCode="_-&quot;R$&quot;\ * #,##0.00_-;\-&quot;R$&quot;\ * #,##0.00_-;_-&quot;R$&quot;\ * &quot;-&quot;??_-;_-@_-"/>
    </dxf>
    <dxf>
      <font>
        <strike val="0"/>
        <outline val="0"/>
        <shadow val="0"/>
        <u val="none"/>
        <vertAlign val="baseline"/>
        <sz val="10"/>
        <color auto="1"/>
        <name val="Calibri"/>
        <family val="2"/>
        <scheme val="minor"/>
      </font>
      <alignment horizontal="left" vertical="center" textRotation="0" relativeIndent="1"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strike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strike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strike val="0"/>
        <outline val="0"/>
        <shadow val="0"/>
        <u val="none"/>
        <vertAlign val="baseline"/>
        <sz val="10"/>
        <color auto="1"/>
        <name val="Calibri"/>
        <family val="2"/>
        <scheme val="minor"/>
      </font>
      <alignment vertical="center" textRotation="0" indent="0" justifyLastLine="0" shrinkToFit="0" readingOrder="0"/>
    </dxf>
    <dxf>
      <border>
        <bottom style="thin">
          <color theme="0"/>
        </bottom>
      </border>
    </dxf>
    <dxf>
      <font>
        <strike val="0"/>
        <outline val="0"/>
        <shadow val="0"/>
        <u val="none"/>
        <vertAlign val="baseline"/>
        <sz val="10"/>
        <color theme="0"/>
        <name val="Calibri"/>
        <family val="2"/>
        <scheme val="minor"/>
      </font>
      <fill>
        <patternFill patternType="solid">
          <fgColor indexed="64"/>
          <bgColor theme="3"/>
        </patternFill>
      </fill>
      <alignment vertical="center" textRotation="0" indent="0" justifyLastLine="0" shrinkToFit="0" readingOrder="0"/>
      <border diagonalUp="0" diagonalDown="0">
        <left style="thin">
          <color theme="0"/>
        </left>
        <right style="thin">
          <color theme="0"/>
        </right>
        <top/>
        <bottom/>
        <vertical style="thin">
          <color theme="0"/>
        </vertical>
        <horizontal style="thin">
          <color theme="0"/>
        </horizontal>
      </border>
    </dxf>
    <dxf>
      <fill>
        <patternFill patternType="none">
          <fgColor indexed="64"/>
          <bgColor indexed="65"/>
        </patternFill>
      </fill>
    </dxf>
    <dxf>
      <font>
        <b/>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i val="0"/>
        <strike val="0"/>
        <condense val="0"/>
        <extend val="0"/>
        <outline val="0"/>
        <shadow val="0"/>
        <u val="none"/>
        <vertAlign val="baseline"/>
        <sz val="10"/>
        <color auto="1"/>
        <name val="Calibri"/>
        <family val="2"/>
        <scheme val="none"/>
      </font>
      <fill>
        <patternFill patternType="none">
          <fgColor indexed="64"/>
          <bgColor indexed="65"/>
        </patternFill>
      </fill>
      <alignment horizontal="center" vertical="center" textRotation="0" wrapText="1" indent="0" justifyLastLine="0" shrinkToFit="0" readingOrder="0"/>
      <protection locked="0" hidden="0"/>
    </dxf>
    <dxf>
      <font>
        <b/>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0"/>
        </top>
        <bottom style="thin">
          <color theme="0"/>
        </bottom>
      </border>
      <protection locked="0" hidden="0"/>
    </dxf>
    <dxf>
      <font>
        <b val="0"/>
        <i val="0"/>
        <strike val="0"/>
        <condense val="0"/>
        <extend val="0"/>
        <outline val="0"/>
        <shadow val="0"/>
        <u val="none"/>
        <vertAlign val="baseline"/>
        <sz val="10"/>
        <color theme="0" tint="-0.499984740745262"/>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top style="thin">
          <color theme="0"/>
        </top>
        <bottom style="thin">
          <color theme="0"/>
        </bottom>
      </border>
      <protection locked="0" hidden="0"/>
    </dxf>
    <dxf>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border>
        <bottom style="thin">
          <color theme="0"/>
        </bottom>
      </border>
    </dxf>
    <dxf>
      <font>
        <strike val="0"/>
        <outline val="0"/>
        <shadow val="0"/>
        <u val="none"/>
        <vertAlign val="baseline"/>
        <sz val="10"/>
        <color theme="0"/>
        <name val="Calibri"/>
        <family val="2"/>
        <scheme val="minor"/>
      </font>
      <fill>
        <patternFill patternType="solid">
          <fgColor indexed="64"/>
          <bgColor theme="3"/>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strike val="0"/>
        <outline val="0"/>
        <shadow val="0"/>
        <u val="none"/>
        <vertAlign val="baseline"/>
        <sz val="8"/>
        <color auto="1"/>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b val="0"/>
        <strike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dxf>
    <dxf>
      <font>
        <b val="0"/>
        <strike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dxf>
    <dxf>
      <font>
        <b val="0"/>
        <strike val="0"/>
        <outline val="0"/>
        <shadow val="0"/>
        <u val="none"/>
        <vertAlign val="baseline"/>
        <sz val="8"/>
        <color auto="1"/>
        <name val="Calibri"/>
        <family val="2"/>
        <scheme val="none"/>
      </font>
      <numFmt numFmtId="34" formatCode="_-&quot;R$&quot;\ * #,##0.00_-;\-&quot;R$&quot;\ * #,##0.00_-;_-&quot;R$&quot;\ * &quot;-&quot;??_-;_-@_-"/>
      <fill>
        <patternFill patternType="none">
          <fgColor indexed="64"/>
          <bgColor indexed="65"/>
        </patternFill>
      </fill>
      <alignment horizontal="left" vertical="center" textRotation="0" wrapText="0" indent="0" justifyLastLine="0" shrinkToFit="0" readingOrder="0"/>
    </dxf>
    <dxf>
      <font>
        <b val="0"/>
        <strike val="0"/>
        <outline val="0"/>
        <shadow val="0"/>
        <u val="none"/>
        <vertAlign val="baseline"/>
        <sz val="8"/>
        <color auto="1"/>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b val="0"/>
        <strike val="0"/>
        <outline val="0"/>
        <shadow val="0"/>
        <u val="none"/>
        <vertAlign val="baseline"/>
        <sz val="8"/>
        <color auto="1"/>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b val="0"/>
        <strike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left" vertical="center" textRotation="0" wrapText="0" indent="0" justifyLastLine="0" shrinkToFit="0" readingOrder="0"/>
    </dxf>
    <dxf>
      <font>
        <b val="0"/>
        <strike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dxf>
    <dxf>
      <font>
        <b val="0"/>
        <strike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dxf>
    <dxf>
      <font>
        <b val="0"/>
        <strike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dxf>
    <dxf>
      <font>
        <b val="0"/>
        <strike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alignment horizontal="left" vertical="center" textRotation="0" wrapText="0" indent="0" justifyLastLine="0" shrinkToFit="0" readingOrder="0"/>
    </dxf>
    <dxf>
      <font>
        <b val="0"/>
        <strike val="0"/>
        <outline val="0"/>
        <shadow val="0"/>
        <u val="none"/>
        <vertAlign val="baseline"/>
        <sz val="8"/>
        <color auto="1"/>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numFmt numFmtId="35" formatCode="_-* #,##0.00_-;\-* #,##0.00_-;_-* &quot;-&quot;??_-;_-@_-"/>
      <fill>
        <patternFill patternType="none">
          <fgColor indexed="64"/>
          <bgColor indexed="65"/>
        </patternFill>
      </fill>
      <alignment horizontal="left" vertical="center" textRotation="0" wrapText="0" indent="0" justifyLastLine="0" shrinkToFit="0" readingOrder="0"/>
      <border diagonalUp="0" diagonalDown="0">
        <left style="thin">
          <color theme="0"/>
        </left>
        <right/>
        <top style="thin">
          <color theme="0"/>
        </top>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none"/>
      </font>
      <alignment horizontal="left"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none"/>
      </font>
      <alignment horizontal="left"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none"/>
      </font>
      <alignment horizontal="left"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none"/>
      </font>
      <alignment horizontal="left"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alignment horizontal="left"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alignment horizontal="left"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none"/>
      </font>
      <alignment horizontal="left"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alignment horizontal="left"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alignment horizontal="left"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numFmt numFmtId="0" formatCode="General"/>
      <alignment horizontal="left"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alignment horizontal="left"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alignment horizontal="left"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minor"/>
      </font>
      <alignment horizontal="left"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8"/>
        <color auto="1"/>
        <name val="Calibri"/>
        <family val="2"/>
        <scheme val="none"/>
      </font>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style="thin">
          <color theme="0"/>
        </top>
        <bottom/>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8"/>
        <color auto="1"/>
        <name val="Calibri"/>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style="thin">
          <color theme="0"/>
        </top>
        <bottom/>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theme="0"/>
        </left>
        <right/>
        <top style="thin">
          <color theme="0"/>
        </top>
        <bottom/>
      </border>
    </dxf>
    <dxf>
      <font>
        <b val="0"/>
        <strike val="0"/>
        <outline val="0"/>
        <shadow val="0"/>
        <u val="none"/>
        <vertAlign val="baseline"/>
        <sz val="8"/>
        <color auto="1"/>
        <name val="Calibri"/>
        <family val="2"/>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0"/>
        <color theme="0"/>
        <name val="Calibri"/>
        <family val="2"/>
        <scheme val="none"/>
      </font>
      <numFmt numFmtId="0" formatCode="General"/>
      <fill>
        <patternFill patternType="solid">
          <fgColor indexed="64"/>
          <bgColor theme="1"/>
        </patternFill>
      </fill>
      <alignment horizontal="center" vertical="center" textRotation="0" wrapText="1" indent="0" justifyLastLine="0" shrinkToFit="0" readingOrder="0"/>
    </dxf>
  </dxfs>
  <tableStyles count="1" defaultTableStyle="TableStyleMedium2" defaultPivotStyle="PivotStyleLight16">
    <tableStyle name="Invisible" pivot="0" table="0" count="0" xr9:uid="{02DC0C09-6D3B-42C2-9E8A-2372FBB0813A}"/>
  </tableStyles>
  <colors>
    <mruColors>
      <color rgb="FFD6E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pivotCacheDefinition" Target="pivotCache/pivotCacheDefinition4.xml"/><Relationship Id="rId42" Type="http://schemas.microsoft.com/office/2017/06/relationships/rdArray" Target="richData/rdarray.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2.xml"/><Relationship Id="rId37" Type="http://schemas.openxmlformats.org/officeDocument/2006/relationships/styles" Target="styles.xml"/><Relationship Id="rId40" Type="http://schemas.microsoft.com/office/2017/06/relationships/rdRichValue" Target="richData/rdrichvalue.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onnections" Target="connections.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4"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theme" Target="theme/theme1.xml"/><Relationship Id="rId43" Type="http://schemas.microsoft.com/office/2017/06/relationships/rdSupportingPropertyBagStructure" Target="richData/rdsupportingpropertybagstructure.xml"/><Relationship Id="rId48"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3.xml"/><Relationship Id="rId38" Type="http://schemas.openxmlformats.org/officeDocument/2006/relationships/sharedStrings" Target="sharedStrings.xml"/><Relationship Id="rId46" Type="http://schemas.microsoft.com/office/2017/10/relationships/person" Target="persons/person.xml"/><Relationship Id="rId20" Type="http://schemas.openxmlformats.org/officeDocument/2006/relationships/worksheet" Target="worksheets/sheet20.xml"/><Relationship Id="rId41"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[Capex Orcamentário_PE2026_2030_red_35_porcentoR3_consulta.xlsx]Tabelas Dinâmicas!Tabela dinâmica2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781734060481322E-2"/>
          <c:y val="4.2456134485960147E-2"/>
          <c:w val="0.85466461078477618"/>
          <c:h val="0.86800670423999116"/>
        </c:manualLayout>
      </c:layout>
      <c:barChart>
        <c:barDir val="col"/>
        <c:grouping val="clustered"/>
        <c:varyColors val="0"/>
        <c:ser>
          <c:idx val="0"/>
          <c:order val="0"/>
          <c:tx>
            <c:strRef>
              <c:f>'Tabelas Dinâmicas'!$B$6</c:f>
              <c:strCache>
                <c:ptCount val="1"/>
                <c:pt idx="0">
                  <c:v>Soma de 2026</c:v>
                </c:pt>
              </c:strCache>
            </c:strRef>
          </c:tx>
          <c:spPr>
            <a:solidFill>
              <a:schemeClr val="accent1"/>
            </a:solidFill>
            <a:ln>
              <a:noFill/>
            </a:ln>
            <a:effectLst/>
          </c:spPr>
          <c:invertIfNegative val="0"/>
          <c:cat>
            <c:multiLvlStrRef>
              <c:f>'Tabelas Dinâmicas'!$A$7:$A$17</c:f>
              <c:multiLvlStrCache>
                <c:ptCount val="5"/>
                <c:lvl>
                  <c:pt idx="0">
                    <c:v>Eletronorte</c:v>
                  </c:pt>
                  <c:pt idx="1">
                    <c:v>Eletronorte</c:v>
                  </c:pt>
                  <c:pt idx="2">
                    <c:v>Eletronorte</c:v>
                  </c:pt>
                  <c:pt idx="3">
                    <c:v>Eletronorte</c:v>
                  </c:pt>
                  <c:pt idx="4">
                    <c:v>Eletronorte</c:v>
                  </c:pt>
                </c:lvl>
                <c:lvl>
                  <c:pt idx="0">
                    <c:v>Contratado</c:v>
                  </c:pt>
                  <c:pt idx="1">
                    <c:v>Em Contratação</c:v>
                  </c:pt>
                  <c:pt idx="2">
                    <c:v>Nova Demanda</c:v>
                  </c:pt>
                  <c:pt idx="3">
                    <c:v>Reajuste</c:v>
                  </c:pt>
                  <c:pt idx="4">
                    <c:v>RC não emitida</c:v>
                  </c:pt>
                </c:lvl>
              </c:multiLvlStrCache>
            </c:multiLvlStrRef>
          </c:cat>
          <c:val>
            <c:numRef>
              <c:f>'Tabelas Dinâmicas'!$B$7:$B$17</c:f>
              <c:numCache>
                <c:formatCode>#,##0.00,,</c:formatCode>
                <c:ptCount val="5"/>
                <c:pt idx="0">
                  <c:v>251992320.36107832</c:v>
                </c:pt>
                <c:pt idx="1">
                  <c:v>29512766.002999999</c:v>
                </c:pt>
                <c:pt idx="2">
                  <c:v>0</c:v>
                </c:pt>
                <c:pt idx="3">
                  <c:v>10000000</c:v>
                </c:pt>
                <c:pt idx="4">
                  <c:v>8354540</c:v>
                </c:pt>
              </c:numCache>
            </c:numRef>
          </c:val>
          <c:extLst>
            <c:ext xmlns:c16="http://schemas.microsoft.com/office/drawing/2014/chart" uri="{C3380CC4-5D6E-409C-BE32-E72D297353CC}">
              <c16:uniqueId val="{00000000-FE1D-46B1-B4A0-760A3E4845EF}"/>
            </c:ext>
          </c:extLst>
        </c:ser>
        <c:ser>
          <c:idx val="1"/>
          <c:order val="1"/>
          <c:tx>
            <c:strRef>
              <c:f>'Tabelas Dinâmicas'!$C$6</c:f>
              <c:strCache>
                <c:ptCount val="1"/>
                <c:pt idx="0">
                  <c:v>Soma de 2027</c:v>
                </c:pt>
              </c:strCache>
            </c:strRef>
          </c:tx>
          <c:spPr>
            <a:solidFill>
              <a:schemeClr val="accent2"/>
            </a:solidFill>
            <a:ln>
              <a:noFill/>
            </a:ln>
            <a:effectLst/>
          </c:spPr>
          <c:invertIfNegative val="0"/>
          <c:cat>
            <c:multiLvlStrRef>
              <c:f>'Tabelas Dinâmicas'!$A$7:$A$17</c:f>
              <c:multiLvlStrCache>
                <c:ptCount val="5"/>
                <c:lvl>
                  <c:pt idx="0">
                    <c:v>Eletronorte</c:v>
                  </c:pt>
                  <c:pt idx="1">
                    <c:v>Eletronorte</c:v>
                  </c:pt>
                  <c:pt idx="2">
                    <c:v>Eletronorte</c:v>
                  </c:pt>
                  <c:pt idx="3">
                    <c:v>Eletronorte</c:v>
                  </c:pt>
                  <c:pt idx="4">
                    <c:v>Eletronorte</c:v>
                  </c:pt>
                </c:lvl>
                <c:lvl>
                  <c:pt idx="0">
                    <c:v>Contratado</c:v>
                  </c:pt>
                  <c:pt idx="1">
                    <c:v>Em Contratação</c:v>
                  </c:pt>
                  <c:pt idx="2">
                    <c:v>Nova Demanda</c:v>
                  </c:pt>
                  <c:pt idx="3">
                    <c:v>Reajuste</c:v>
                  </c:pt>
                  <c:pt idx="4">
                    <c:v>RC não emitida</c:v>
                  </c:pt>
                </c:lvl>
              </c:multiLvlStrCache>
            </c:multiLvlStrRef>
          </c:cat>
          <c:val>
            <c:numRef>
              <c:f>'Tabelas Dinâmicas'!$C$7:$C$17</c:f>
              <c:numCache>
                <c:formatCode>#,##0.00,,</c:formatCode>
                <c:ptCount val="5"/>
                <c:pt idx="0">
                  <c:v>380298307.92981327</c:v>
                </c:pt>
                <c:pt idx="1">
                  <c:v>79257760</c:v>
                </c:pt>
                <c:pt idx="2">
                  <c:v>55460319</c:v>
                </c:pt>
                <c:pt idx="3">
                  <c:v>0</c:v>
                </c:pt>
                <c:pt idx="4">
                  <c:v>54616534.200000003</c:v>
                </c:pt>
              </c:numCache>
            </c:numRef>
          </c:val>
          <c:extLst>
            <c:ext xmlns:c16="http://schemas.microsoft.com/office/drawing/2014/chart" uri="{C3380CC4-5D6E-409C-BE32-E72D297353CC}">
              <c16:uniqueId val="{00000001-5C22-488E-8D62-D4FF3DD50F48}"/>
            </c:ext>
          </c:extLst>
        </c:ser>
        <c:ser>
          <c:idx val="2"/>
          <c:order val="2"/>
          <c:tx>
            <c:strRef>
              <c:f>'Tabelas Dinâmicas'!$D$6</c:f>
              <c:strCache>
                <c:ptCount val="1"/>
                <c:pt idx="0">
                  <c:v>Soma de 2028</c:v>
                </c:pt>
              </c:strCache>
            </c:strRef>
          </c:tx>
          <c:spPr>
            <a:solidFill>
              <a:schemeClr val="accent3"/>
            </a:solidFill>
            <a:ln>
              <a:noFill/>
            </a:ln>
            <a:effectLst/>
          </c:spPr>
          <c:invertIfNegative val="0"/>
          <c:cat>
            <c:multiLvlStrRef>
              <c:f>'Tabelas Dinâmicas'!$A$7:$A$17</c:f>
              <c:multiLvlStrCache>
                <c:ptCount val="5"/>
                <c:lvl>
                  <c:pt idx="0">
                    <c:v>Eletronorte</c:v>
                  </c:pt>
                  <c:pt idx="1">
                    <c:v>Eletronorte</c:v>
                  </c:pt>
                  <c:pt idx="2">
                    <c:v>Eletronorte</c:v>
                  </c:pt>
                  <c:pt idx="3">
                    <c:v>Eletronorte</c:v>
                  </c:pt>
                  <c:pt idx="4">
                    <c:v>Eletronorte</c:v>
                  </c:pt>
                </c:lvl>
                <c:lvl>
                  <c:pt idx="0">
                    <c:v>Contratado</c:v>
                  </c:pt>
                  <c:pt idx="1">
                    <c:v>Em Contratação</c:v>
                  </c:pt>
                  <c:pt idx="2">
                    <c:v>Nova Demanda</c:v>
                  </c:pt>
                  <c:pt idx="3">
                    <c:v>Reajuste</c:v>
                  </c:pt>
                  <c:pt idx="4">
                    <c:v>RC não emitida</c:v>
                  </c:pt>
                </c:lvl>
              </c:multiLvlStrCache>
            </c:multiLvlStrRef>
          </c:cat>
          <c:val>
            <c:numRef>
              <c:f>'Tabelas Dinâmicas'!$D$7:$D$17</c:f>
              <c:numCache>
                <c:formatCode>#,##0.00,,</c:formatCode>
                <c:ptCount val="5"/>
                <c:pt idx="0">
                  <c:v>155370088.79250008</c:v>
                </c:pt>
                <c:pt idx="1">
                  <c:v>30950000</c:v>
                </c:pt>
                <c:pt idx="2">
                  <c:v>23183333.329999998</c:v>
                </c:pt>
                <c:pt idx="3">
                  <c:v>0</c:v>
                </c:pt>
                <c:pt idx="4">
                  <c:v>46445534.200000003</c:v>
                </c:pt>
              </c:numCache>
            </c:numRef>
          </c:val>
          <c:extLst>
            <c:ext xmlns:c16="http://schemas.microsoft.com/office/drawing/2014/chart" uri="{C3380CC4-5D6E-409C-BE32-E72D297353CC}">
              <c16:uniqueId val="{00000002-5C22-488E-8D62-D4FF3DD50F48}"/>
            </c:ext>
          </c:extLst>
        </c:ser>
        <c:ser>
          <c:idx val="3"/>
          <c:order val="3"/>
          <c:tx>
            <c:strRef>
              <c:f>'Tabelas Dinâmicas'!$E$6</c:f>
              <c:strCache>
                <c:ptCount val="1"/>
                <c:pt idx="0">
                  <c:v>Soma de 2029</c:v>
                </c:pt>
              </c:strCache>
            </c:strRef>
          </c:tx>
          <c:spPr>
            <a:solidFill>
              <a:schemeClr val="accent4"/>
            </a:solidFill>
            <a:ln>
              <a:noFill/>
            </a:ln>
            <a:effectLst/>
          </c:spPr>
          <c:invertIfNegative val="0"/>
          <c:cat>
            <c:multiLvlStrRef>
              <c:f>'Tabelas Dinâmicas'!$A$7:$A$17</c:f>
              <c:multiLvlStrCache>
                <c:ptCount val="5"/>
                <c:lvl>
                  <c:pt idx="0">
                    <c:v>Eletronorte</c:v>
                  </c:pt>
                  <c:pt idx="1">
                    <c:v>Eletronorte</c:v>
                  </c:pt>
                  <c:pt idx="2">
                    <c:v>Eletronorte</c:v>
                  </c:pt>
                  <c:pt idx="3">
                    <c:v>Eletronorte</c:v>
                  </c:pt>
                  <c:pt idx="4">
                    <c:v>Eletronorte</c:v>
                  </c:pt>
                </c:lvl>
                <c:lvl>
                  <c:pt idx="0">
                    <c:v>Contratado</c:v>
                  </c:pt>
                  <c:pt idx="1">
                    <c:v>Em Contratação</c:v>
                  </c:pt>
                  <c:pt idx="2">
                    <c:v>Nova Demanda</c:v>
                  </c:pt>
                  <c:pt idx="3">
                    <c:v>Reajuste</c:v>
                  </c:pt>
                  <c:pt idx="4">
                    <c:v>RC não emitida</c:v>
                  </c:pt>
                </c:lvl>
              </c:multiLvlStrCache>
            </c:multiLvlStrRef>
          </c:cat>
          <c:val>
            <c:numRef>
              <c:f>'Tabelas Dinâmicas'!$E$7:$E$17</c:f>
              <c:numCache>
                <c:formatCode>#,##0.00,,</c:formatCode>
                <c:ptCount val="5"/>
                <c:pt idx="0">
                  <c:v>78668375.790000007</c:v>
                </c:pt>
                <c:pt idx="1">
                  <c:v>21000000</c:v>
                </c:pt>
                <c:pt idx="2">
                  <c:v>2000000</c:v>
                </c:pt>
                <c:pt idx="3">
                  <c:v>0</c:v>
                </c:pt>
                <c:pt idx="4">
                  <c:v>15916666.67</c:v>
                </c:pt>
              </c:numCache>
            </c:numRef>
          </c:val>
          <c:extLst>
            <c:ext xmlns:c16="http://schemas.microsoft.com/office/drawing/2014/chart" uri="{C3380CC4-5D6E-409C-BE32-E72D297353CC}">
              <c16:uniqueId val="{00000003-5C22-488E-8D62-D4FF3DD50F48}"/>
            </c:ext>
          </c:extLst>
        </c:ser>
        <c:ser>
          <c:idx val="4"/>
          <c:order val="4"/>
          <c:tx>
            <c:strRef>
              <c:f>'Tabelas Dinâmicas'!$F$6</c:f>
              <c:strCache>
                <c:ptCount val="1"/>
                <c:pt idx="0">
                  <c:v>Soma de 2030</c:v>
                </c:pt>
              </c:strCache>
            </c:strRef>
          </c:tx>
          <c:spPr>
            <a:solidFill>
              <a:schemeClr val="accent5"/>
            </a:solidFill>
            <a:ln>
              <a:noFill/>
            </a:ln>
            <a:effectLst/>
          </c:spPr>
          <c:invertIfNegative val="0"/>
          <c:cat>
            <c:multiLvlStrRef>
              <c:f>'Tabelas Dinâmicas'!$A$7:$A$17</c:f>
              <c:multiLvlStrCache>
                <c:ptCount val="5"/>
                <c:lvl>
                  <c:pt idx="0">
                    <c:v>Eletronorte</c:v>
                  </c:pt>
                  <c:pt idx="1">
                    <c:v>Eletronorte</c:v>
                  </c:pt>
                  <c:pt idx="2">
                    <c:v>Eletronorte</c:v>
                  </c:pt>
                  <c:pt idx="3">
                    <c:v>Eletronorte</c:v>
                  </c:pt>
                  <c:pt idx="4">
                    <c:v>Eletronorte</c:v>
                  </c:pt>
                </c:lvl>
                <c:lvl>
                  <c:pt idx="0">
                    <c:v>Contratado</c:v>
                  </c:pt>
                  <c:pt idx="1">
                    <c:v>Em Contratação</c:v>
                  </c:pt>
                  <c:pt idx="2">
                    <c:v>Nova Demanda</c:v>
                  </c:pt>
                  <c:pt idx="3">
                    <c:v>Reajuste</c:v>
                  </c:pt>
                  <c:pt idx="4">
                    <c:v>RC não emitida</c:v>
                  </c:pt>
                </c:lvl>
              </c:multiLvlStrCache>
            </c:multiLvlStrRef>
          </c:cat>
          <c:val>
            <c:numRef>
              <c:f>'Tabelas Dinâmicas'!$F$7:$F$17</c:f>
              <c:numCache>
                <c:formatCode>#,##0.00,,</c:formatCode>
                <c:ptCount val="5"/>
                <c:pt idx="0">
                  <c:v>500000</c:v>
                </c:pt>
                <c:pt idx="1">
                  <c:v>0</c:v>
                </c:pt>
                <c:pt idx="2">
                  <c:v>1000000</c:v>
                </c:pt>
                <c:pt idx="3">
                  <c:v>0</c:v>
                </c:pt>
                <c:pt idx="4">
                  <c:v>0</c:v>
                </c:pt>
              </c:numCache>
            </c:numRef>
          </c:val>
          <c:extLst>
            <c:ext xmlns:c16="http://schemas.microsoft.com/office/drawing/2014/chart" uri="{C3380CC4-5D6E-409C-BE32-E72D297353CC}">
              <c16:uniqueId val="{00000004-5C22-488E-8D62-D4FF3DD50F48}"/>
            </c:ext>
          </c:extLst>
        </c:ser>
        <c:ser>
          <c:idx val="5"/>
          <c:order val="5"/>
          <c:tx>
            <c:strRef>
              <c:f>'Tabelas Dinâmicas'!$G$6</c:f>
              <c:strCache>
                <c:ptCount val="1"/>
                <c:pt idx="0">
                  <c:v>Soma de 2026-2030</c:v>
                </c:pt>
              </c:strCache>
            </c:strRef>
          </c:tx>
          <c:spPr>
            <a:solidFill>
              <a:schemeClr val="accent6"/>
            </a:solidFill>
            <a:ln>
              <a:noFill/>
            </a:ln>
            <a:effectLst/>
          </c:spPr>
          <c:invertIfNegative val="0"/>
          <c:cat>
            <c:multiLvlStrRef>
              <c:f>'Tabelas Dinâmicas'!$A$7:$A$17</c:f>
              <c:multiLvlStrCache>
                <c:ptCount val="5"/>
                <c:lvl>
                  <c:pt idx="0">
                    <c:v>Eletronorte</c:v>
                  </c:pt>
                  <c:pt idx="1">
                    <c:v>Eletronorte</c:v>
                  </c:pt>
                  <c:pt idx="2">
                    <c:v>Eletronorte</c:v>
                  </c:pt>
                  <c:pt idx="3">
                    <c:v>Eletronorte</c:v>
                  </c:pt>
                  <c:pt idx="4">
                    <c:v>Eletronorte</c:v>
                  </c:pt>
                </c:lvl>
                <c:lvl>
                  <c:pt idx="0">
                    <c:v>Contratado</c:v>
                  </c:pt>
                  <c:pt idx="1">
                    <c:v>Em Contratação</c:v>
                  </c:pt>
                  <c:pt idx="2">
                    <c:v>Nova Demanda</c:v>
                  </c:pt>
                  <c:pt idx="3">
                    <c:v>Reajuste</c:v>
                  </c:pt>
                  <c:pt idx="4">
                    <c:v>RC não emitida</c:v>
                  </c:pt>
                </c:lvl>
              </c:multiLvlStrCache>
            </c:multiLvlStrRef>
          </c:cat>
          <c:val>
            <c:numRef>
              <c:f>'Tabelas Dinâmicas'!$G$7:$G$17</c:f>
              <c:numCache>
                <c:formatCode>#,##0.00,,</c:formatCode>
                <c:ptCount val="5"/>
                <c:pt idx="0">
                  <c:v>866829092.87339163</c:v>
                </c:pt>
                <c:pt idx="1">
                  <c:v>160720526.00299999</c:v>
                </c:pt>
                <c:pt idx="2">
                  <c:v>81643652.329999998</c:v>
                </c:pt>
                <c:pt idx="3">
                  <c:v>10000000</c:v>
                </c:pt>
                <c:pt idx="4">
                  <c:v>125333275.07000001</c:v>
                </c:pt>
              </c:numCache>
            </c:numRef>
          </c:val>
          <c:extLst>
            <c:ext xmlns:c16="http://schemas.microsoft.com/office/drawing/2014/chart" uri="{C3380CC4-5D6E-409C-BE32-E72D297353CC}">
              <c16:uniqueId val="{00000000-235F-4237-B286-D2D3C424CE6B}"/>
            </c:ext>
          </c:extLst>
        </c:ser>
        <c:dLbls>
          <c:showLegendKey val="0"/>
          <c:showVal val="0"/>
          <c:showCatName val="0"/>
          <c:showSerName val="0"/>
          <c:showPercent val="0"/>
          <c:showBubbleSize val="0"/>
        </c:dLbls>
        <c:gapWidth val="219"/>
        <c:overlap val="-27"/>
        <c:axId val="1362873759"/>
        <c:axId val="1362877599"/>
      </c:barChart>
      <c:catAx>
        <c:axId val="136287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62877599"/>
        <c:crosses val="autoZero"/>
        <c:auto val="1"/>
        <c:lblAlgn val="ctr"/>
        <c:lblOffset val="100"/>
        <c:noMultiLvlLbl val="0"/>
      </c:catAx>
      <c:valAx>
        <c:axId val="1362877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6287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chartData>
  <cx:chart>
    <cx:plotArea>
      <cx:plotAreaRegion>
        <cx:series layoutId="waterfall" uniqueId="{BD0A1D9A-1DC2-4E3F-84F3-3A4A1AEFC35E}">
          <cx:tx>
            <cx:txData>
              <cx:f>_xlchart.v1.3</cx:f>
              <cx:v/>
            </cx:txData>
          </cx:tx>
          <cx:dataLabels pos="out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hidden="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FCE53A21-2169-4C0C-9F3B-041DAC02DF5F}">
          <cx:dataLabels pos="outEnd">
            <cx:txPr>
              <a:bodyPr spcFirstLastPara="1" vertOverflow="ellipsis" horzOverflow="overflow" wrap="square" lIns="0" tIns="0" rIns="0" bIns="0" anchor="ctr" anchorCtr="1"/>
              <a:lstStyle/>
              <a:p>
                <a:pPr algn="ctr" rtl="0">
                  <a:defRPr sz="1050" b="1">
                    <a:solidFill>
                      <a:schemeClr val="tx1"/>
                    </a:solidFill>
                  </a:defRPr>
                </a:pPr>
                <a:endParaRPr lang="pt-BR" sz="1050" b="1" i="0" u="none" strike="noStrike" baseline="0">
                  <a:solidFill>
                    <a:schemeClr val="tx1"/>
                  </a:solidFill>
                  <a:latin typeface="Calibri" panose="020F0502020204030204"/>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hidden="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image" Target="../media/image1.emf"/><Relationship Id="rId1" Type="http://schemas.openxmlformats.org/officeDocument/2006/relationships/chart" Target="../charts/chart1.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181841</xdr:colOff>
      <xdr:row>3</xdr:row>
      <xdr:rowOff>39323</xdr:rowOff>
    </xdr:from>
    <xdr:to>
      <xdr:col>15</xdr:col>
      <xdr:colOff>452004</xdr:colOff>
      <xdr:row>18</xdr:row>
      <xdr:rowOff>156299</xdr:rowOff>
    </xdr:to>
    <xdr:graphicFrame macro="">
      <xdr:nvGraphicFramePr>
        <xdr:cNvPr id="17" name="Gráfico 1">
          <a:extLst>
            <a:ext uri="{FF2B5EF4-FFF2-40B4-BE49-F238E27FC236}">
              <a16:creationId xmlns:a16="http://schemas.microsoft.com/office/drawing/2014/main" id="{C8249957-C330-F09B-612D-F99EBFBB0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49</xdr:row>
      <xdr:rowOff>85726</xdr:rowOff>
    </xdr:from>
    <xdr:to>
      <xdr:col>7</xdr:col>
      <xdr:colOff>881632</xdr:colOff>
      <xdr:row>56</xdr:row>
      <xdr:rowOff>37130</xdr:rowOff>
    </xdr:to>
    <xdr:pic>
      <xdr:nvPicPr>
        <xdr:cNvPr id="5" name="Imagem 4">
          <a:extLst>
            <a:ext uri="{FF2B5EF4-FFF2-40B4-BE49-F238E27FC236}">
              <a16:creationId xmlns:a16="http://schemas.microsoft.com/office/drawing/2014/main" id="{934F8520-C31B-60F1-A42C-BDFDDACD2E7A}"/>
            </a:ext>
          </a:extLst>
        </xdr:cNvPr>
        <xdr:cNvPicPr>
          <a:picLocks noChangeAspect="1"/>
        </xdr:cNvPicPr>
      </xdr:nvPicPr>
      <xdr:blipFill>
        <a:blip xmlns:r="http://schemas.openxmlformats.org/officeDocument/2006/relationships" r:embed="rId2"/>
        <a:stretch>
          <a:fillRect/>
        </a:stretch>
      </xdr:blipFill>
      <xdr:spPr>
        <a:xfrm>
          <a:off x="0" y="8229601"/>
          <a:ext cx="8162924" cy="1084879"/>
        </a:xfrm>
        <a:prstGeom prst="rect">
          <a:avLst/>
        </a:prstGeom>
      </xdr:spPr>
    </xdr:pic>
    <xdr:clientData/>
  </xdr:twoCellAnchor>
  <xdr:twoCellAnchor>
    <xdr:from>
      <xdr:col>9</xdr:col>
      <xdr:colOff>180975</xdr:colOff>
      <xdr:row>83</xdr:row>
      <xdr:rowOff>85725</xdr:rowOff>
    </xdr:from>
    <xdr:to>
      <xdr:col>13</xdr:col>
      <xdr:colOff>485775</xdr:colOff>
      <xdr:row>101</xdr:row>
      <xdr:rowOff>38100</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83E651F1-F14E-D5C6-EE9E-966C621D17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226550" y="13769975"/>
              <a:ext cx="3810000" cy="2917825"/>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twoCellAnchor>
    <xdr:from>
      <xdr:col>7</xdr:col>
      <xdr:colOff>571500</xdr:colOff>
      <xdr:row>101</xdr:row>
      <xdr:rowOff>47625</xdr:rowOff>
    </xdr:from>
    <xdr:to>
      <xdr:col>11</xdr:col>
      <xdr:colOff>923925</xdr:colOff>
      <xdr:row>118</xdr:row>
      <xdr:rowOff>38100</xdr:rowOff>
    </xdr:to>
    <mc:AlternateContent xmlns:mc="http://schemas.openxmlformats.org/markup-compatibility/2006">
      <mc:Choice xmlns:cx1="http://schemas.microsoft.com/office/drawing/2015/9/8/chartex" Requires="cx1">
        <xdr:graphicFrame macro="">
          <xdr:nvGraphicFramePr>
            <xdr:cNvPr id="6" name="Gráfico 2">
              <a:extLst>
                <a:ext uri="{FF2B5EF4-FFF2-40B4-BE49-F238E27FC236}">
                  <a16:creationId xmlns:a16="http://schemas.microsoft.com/office/drawing/2014/main" id="{9E11A460-92EA-7CB4-2305-6D56536C7B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524750" y="16694150"/>
              <a:ext cx="4225925" cy="2746375"/>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932090</xdr:colOff>
      <xdr:row>19</xdr:row>
      <xdr:rowOff>70757</xdr:rowOff>
    </xdr:from>
    <xdr:to>
      <xdr:col>2</xdr:col>
      <xdr:colOff>4931658</xdr:colOff>
      <xdr:row>74</xdr:row>
      <xdr:rowOff>54984</xdr:rowOff>
    </xdr:to>
    <xdr:grpSp>
      <xdr:nvGrpSpPr>
        <xdr:cNvPr id="2" name="Agrupar 1">
          <a:extLst>
            <a:ext uri="{FF2B5EF4-FFF2-40B4-BE49-F238E27FC236}">
              <a16:creationId xmlns:a16="http://schemas.microsoft.com/office/drawing/2014/main" id="{FFF9BB35-748C-8369-2F71-D488894233DD}"/>
            </a:ext>
          </a:extLst>
        </xdr:cNvPr>
        <xdr:cNvGrpSpPr/>
      </xdr:nvGrpSpPr>
      <xdr:grpSpPr>
        <a:xfrm>
          <a:off x="3275240" y="3448957"/>
          <a:ext cx="3999568" cy="8893277"/>
          <a:chOff x="16889536" y="3259253"/>
          <a:chExt cx="3901323" cy="8564234"/>
        </a:xfrm>
      </xdr:grpSpPr>
      <xdr:pic>
        <xdr:nvPicPr>
          <xdr:cNvPr id="6" name="Picture 4">
            <a:extLst>
              <a:ext uri="{FF2B5EF4-FFF2-40B4-BE49-F238E27FC236}">
                <a16:creationId xmlns:a16="http://schemas.microsoft.com/office/drawing/2014/main" id="{D195D532-E323-76A3-B5C0-9508F7FF97F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4435"/>
          <a:stretch/>
        </xdr:blipFill>
        <xdr:spPr bwMode="auto">
          <a:xfrm>
            <a:off x="16889536" y="3259253"/>
            <a:ext cx="2611069" cy="856423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 name="Picture 4">
            <a:extLst>
              <a:ext uri="{FF2B5EF4-FFF2-40B4-BE49-F238E27FC236}">
                <a16:creationId xmlns:a16="http://schemas.microsoft.com/office/drawing/2014/main" id="{6389CB47-8E76-58DA-4984-29C5BD1572C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7813"/>
          <a:stretch/>
        </xdr:blipFill>
        <xdr:spPr bwMode="auto">
          <a:xfrm>
            <a:off x="19519438" y="3259253"/>
            <a:ext cx="1271421" cy="856423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20</xdr:col>
      <xdr:colOff>199251</xdr:colOff>
      <xdr:row>2</xdr:row>
      <xdr:rowOff>13607</xdr:rowOff>
    </xdr:from>
    <xdr:to>
      <xdr:col>26</xdr:col>
      <xdr:colOff>432996</xdr:colOff>
      <xdr:row>22</xdr:row>
      <xdr:rowOff>160784</xdr:rowOff>
    </xdr:to>
    <xdr:grpSp>
      <xdr:nvGrpSpPr>
        <xdr:cNvPr id="3" name="Agrupar 2">
          <a:extLst>
            <a:ext uri="{FF2B5EF4-FFF2-40B4-BE49-F238E27FC236}">
              <a16:creationId xmlns:a16="http://schemas.microsoft.com/office/drawing/2014/main" id="{4810B031-F280-1199-FE81-B070CA9A4319}"/>
            </a:ext>
          </a:extLst>
        </xdr:cNvPr>
        <xdr:cNvGrpSpPr/>
      </xdr:nvGrpSpPr>
      <xdr:grpSpPr>
        <a:xfrm>
          <a:off x="17595076" y="372382"/>
          <a:ext cx="3599245" cy="3658727"/>
          <a:chOff x="16889536" y="4369268"/>
          <a:chExt cx="3888624" cy="3762595"/>
        </a:xfrm>
      </xdr:grpSpPr>
      <xdr:pic>
        <xdr:nvPicPr>
          <xdr:cNvPr id="4" name="Picture 4">
            <a:extLst>
              <a:ext uri="{FF2B5EF4-FFF2-40B4-BE49-F238E27FC236}">
                <a16:creationId xmlns:a16="http://schemas.microsoft.com/office/drawing/2014/main" id="{10BF17D6-94F7-0C5D-1EDE-36416E57C9D8}"/>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53541"/>
          <a:stretch/>
        </xdr:blipFill>
        <xdr:spPr bwMode="auto">
          <a:xfrm>
            <a:off x="16889536" y="4369268"/>
            <a:ext cx="2662332" cy="376259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7F9381EC-CC6F-EA38-C33C-A8E4A05ED754}"/>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8708"/>
          <a:stretch/>
        </xdr:blipFill>
        <xdr:spPr bwMode="auto">
          <a:xfrm>
            <a:off x="19558000" y="4369268"/>
            <a:ext cx="1220160" cy="376259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letrobras.sharepoint.com/sites/OOMI.C/Shared%20Documents/General/4.%20Or&#231;amento/1.%20Plan.%20Estrat&#233;gico/PE%202026-2030/Mem&#243;ria%20C&#225;lculo/Capex%20Orcament&#225;rio_PE2026_2030_COO%20%5bConsolidada%5d.xlsx" TargetMode="External"/><Relationship Id="rId1" Type="http://schemas.openxmlformats.org/officeDocument/2006/relationships/externalLinkPath" Target="https://eletrobras.sharepoint.com/sites/OOMI.C/Shared%20Documents/General/4.%20Or&#231;amento/1.%20Plan.%20Estrat&#233;gico/PE%202026-2030/Mem&#243;ria%20C&#225;lculo/Capex%20Orcament&#225;rio_PE2026_2030_COO%20%5bConsolidada%5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eletrobras.sharepoint.com/sites/OORC/Documentos%20Compartilhados/Arquivos%20BI/Planejamento%20Estrat&#233;gico%2026-30/Capex%20Orcament&#225;rio_PE2026_2030_COO%20-%20Planejamento%20Estrat&#233;gico%20Gera&#231;&#227;o.xlsx" TargetMode="External"/><Relationship Id="rId1" Type="http://schemas.openxmlformats.org/officeDocument/2006/relationships/externalLinkPath" Target="https://eletrobras.sharepoint.com/sites/OORC/Documentos%20Compartilhados/Arquivos%20BI/Planejamento%20Estrat&#233;gico%2026-30/Capex%20Orcament&#225;rio_PE2026_2030_COO%20-%20Planejamento%20Estrat&#233;gico%20Gera&#231;&#227;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eletrobras-my.sharepoint.com/personal/geovane_luz_eletrobras_com/Documents/Arquivos%20de%20Chat%20do%20Microsoft%20Teams/Capex_PE_2026_2030_COO_22_08_2025.xlsx" TargetMode="External"/><Relationship Id="rId1" Type="http://schemas.openxmlformats.org/officeDocument/2006/relationships/externalLinkPath" Target="https://eletrobras-my.sharepoint.com/personal/geovane_luz_eletrobras_com/Documents/Arquivos%20de%20Chat%20do%20Microsoft%20Teams/Capex_PE_2026_2030_COO_22_08_2025.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eletrobras.sharepoint.com/sites/PEGERAO2025-2026/Shared%20Documents/Geral/PE%2026%20-%2030/PLANILHA%20PE%2026-30/Planilhas/Demandas%20Candidatas%20-%2012.08.25.xlsx" TargetMode="External"/><Relationship Id="rId1" Type="http://schemas.openxmlformats.org/officeDocument/2006/relationships/externalLinkPath" Target="https://eletrobras.sharepoint.com/sites/PEGERAO2025-2026/Shared%20Documents/Geral/PE%2026%20-%2030/PLANILHA%20PE%2026-30/Planilhas/Demandas%20Candidatas%20-%2012.08.25.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eletrobras.sharepoint.com/sites/OOMI.C/Shared%20Documents/General/8.%20Demandas%20Regulat&#243;rias/2.%20Demandas%20Candidatas/Cadastro%20Ciclo%202025/Documentos%20OORV/Demandas_Candidatas_2025_Consolidado_REV.3%20-%20Em%20edi&#231;&#227;o.xlsx" TargetMode="External"/><Relationship Id="rId1" Type="http://schemas.openxmlformats.org/officeDocument/2006/relationships/externalLinkPath" Target="https://eletrobras.sharepoint.com/sites/OOMI.C/Shared%20Documents/General/8.%20Demandas%20Regulat&#243;rias/2.%20Demandas%20Candidatas/Cadastro%20Ciclo%202025/Documentos%20OORV/Demandas_Candidatas_2025_Consolidado_REV.3%20-%20Em%20edi&#231;&#227;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xlsx].xlsx].xlsx].xlsx]_xlsx_2"/>
      <sheetName val=".xlsx].xlsx].xlsx].xlsx]_xlsx_3"/>
      <sheetName val=".xlsx].xlsx].xlsx].xlsx]_xlsx_4"/>
      <sheetName val=".xlsx].xlsx].xlsx].xlsx]_xlsx_5"/>
      <sheetName val=".xlsx].xlsx].xlsx].xlsx]_xlsx_6"/>
      <sheetName val=".xlsx].xlsx].xlsx].xlsx]_xlsx_7"/>
      <sheetName val=".xlsx].xlsx].xlsx].xlsx]_xlsx_8"/>
      <sheetName val=".xlsx].xlsx].xlsx].xlsx]_xlsx_9"/>
      <sheetName val=".xlsx].xlsx].xlsx].xlsx]_xls_10"/>
      <sheetName val=".xlsx].xlsx].xlsx].xlsx]_xls_11"/>
      <sheetName val=".xlsx].xlsx].xlsx].xlsx]_xls_12"/>
      <sheetName val=".xlsx].xlsx].xlsx].xlsx]_xls_13"/>
      <sheetName val=".xlsx].xlsx].xlsx].xlsx]_xls_14"/>
      <sheetName val=".xlsx].xlsx].xlsx].xlsx]_xls_15"/>
      <sheetName val=".xlsx].xlsx].xlsx].xlsx]_xls_16"/>
      <sheetName val=".xlsx].xlsx].xlsx].xlsx]_xls_17"/>
      <sheetName val=".xlsx].xlsx].xlsx].xlsx]_xls_18"/>
      <sheetName val=".xlsx].xlsx].xlsx].xlsx]_xls_19"/>
      <sheetName val=".xlsx].xlsx].xlsx].xlsx]_xls_20"/>
      <sheetName val=".xlsx].xlsx].xlsx].xlsx]_xls_21"/>
      <sheetName val=".xlsx].xlsx].xlsx].xlsx]_xls_22"/>
      <sheetName val=".xlsx].xlsx].xlsx].xlsx]_xls_23"/>
      <sheetName val=".xlsx].xlsx].xlsx].xlsx]_xls_24"/>
      <sheetName val=".xlsx].xlsx].xlsx].xlsx]_xls_25"/>
      <sheetName val=".xlsx].xlsx].xlsx].xlsx]_xls_26"/>
      <sheetName val=".xlsx].xlsx].xlsx].xlsx]_xls_27"/>
      <sheetName val=".xlsx].xlsx].xlsx].xlsx]_xls_28"/>
      <sheetName val=".xlsx].xlsx].xlsx].xlsx]_xls_29"/>
      <sheetName val=".xlsx].xlsx].xlsx].xlsx]_xls_30"/>
      <sheetName val=".xlsx].xlsx].xlsx].xlsx]_xls_31"/>
      <sheetName val=".xlsx].xlsx].xlsx].xlsx]_xls_32"/>
      <sheetName val=".xlsx].xlsx].xlsx].xlsx]_xls_33"/>
      <sheetName val=".xlsx].xlsx].xlsx].xlsx]_xls_34"/>
      <sheetName val=".xlsx].xlsx].xlsx].xlsx]_xls_35"/>
      <sheetName val=".xlsx].xlsx].xlsx].xlsx]_xls_36"/>
      <sheetName val=".xlsx].xlsx].xlsx].xlsx]_xls_37"/>
      <sheetName val=".xlsx].xlsx].xlsx].xlsx]_xls_38"/>
      <sheetName val=".xlsx].xlsx].xlsx].xlsx]_xls_39"/>
      <sheetName val=".xlsx].xlsx].xlsx].xlsx]_xls_40"/>
      <sheetName val=".xlsx].xlsx].xlsx].xlsx]_xls_41"/>
      <sheetName val=".xlsx].xlsx].xlsx].xlsx]_xls_42"/>
      <sheetName val=".xlsx].xlsx].xlsx].xlsx]_xls_43"/>
      <sheetName val=".xlsx].xlsx].xlsx].xlsx]_xls_44"/>
      <sheetName val=".xlsx].xlsx].xlsx].xlsx]_xls_45"/>
      <sheetName val=".xlsx].xlsx].xlsx].xlsx]_xls_46"/>
      <sheetName val=".xlsx].xlsx].xlsx].xlsx]_xls_47"/>
      <sheetName val=".xlsx].xlsx].xlsx].xlsx]_xls_48"/>
      <sheetName val=".xlsx].xlsx].xlsx].xlsx]_xls_49"/>
      <sheetName val=".xlsx].xlsx].xlsx].xlsx]_xls_50"/>
      <sheetName val=".xlsx].xlsx].xlsx].xlsx]_xls_51"/>
      <sheetName val=".xlsx].xlsx].xlsx].xlsx]_xls_52"/>
      <sheetName val=".xlsx].xlsx].xlsx].xlsx]_xls_53"/>
      <sheetName val=".xlsx].xlsx].xlsx].xlsx]_xls_54"/>
      <sheetName val=".xlsx].xlsx].xlsx].xlsx]_xls_55"/>
      <sheetName val=".xlsx].xlsx].xlsx].xlsx]_xls_56"/>
      <sheetName val=".xlsx].xlsx].xlsx].xlsx]_xls_57"/>
      <sheetName val=".xlsx].xlsx].xlsx].xlsx]_xls_58"/>
      <sheetName val=".xlsx].xlsx].xlsx].xlsx]_xls_59"/>
      <sheetName val=".xlsx].xlsx].xlsx].xlsx]_xls_60"/>
      <sheetName val=".xlsx].xlsx].xlsx].xlsx]_xls_61"/>
      <sheetName val=".xlsx].xlsx].xlsx].xlsx]_xls_62"/>
      <sheetName val=".xlsx].xlsx].xlsx].xlsx]_xls_63"/>
      <sheetName val=".xlsx].xlsx].xlsx].xlsx]_xls_64"/>
      <sheetName val=".xlsx].xlsx].xlsx].xlsx]_xls_65"/>
      <sheetName val=".xlsx].xlsx].xlsx].xlsx]_xls_66"/>
      <sheetName val=".xlsx].xlsx].xlsx].xlsx]_xls_67"/>
      <sheetName val=".xlsx].xlsx].xlsx].xlsx]_xls_68"/>
      <sheetName val=".xlsx].xlsx].xlsx].xlsx]_xls_69"/>
      <sheetName val=".xlsx].xlsx].xlsx].xlsx]_xls_70"/>
      <sheetName val=".xlsx].xlsx].xlsx].xlsx]_xls_71"/>
      <sheetName val=".xlsx].xlsx].xlsx].xlsx]_xls_72"/>
      <sheetName val=".xlsx].xlsx].xlsx].xlsx]_xls_73"/>
      <sheetName val=".xlsx].xlsx].xlsx].xlsx]_xls_74"/>
      <sheetName val=".xlsx].xlsx].xlsx].xlsx]_xls_75"/>
      <sheetName val=".xlsx].xlsx].xlsx].xlsx]_xls_76"/>
      <sheetName val=".xlsx].xlsx].xlsx].xlsx]_xls_77"/>
      <sheetName val=".xlsx].xlsx].xlsx].xlsx]_xls_78"/>
      <sheetName val=".xlsx].xlsx].xlsx].xlsx]_xls_79"/>
      <sheetName val=".xlsx].xlsx].xlsx].xlsx]_xls_80"/>
      <sheetName val=".xlsx].xlsx].xlsx].xlsx]_xls_81"/>
      <sheetName val=".xlsx].xlsx].xlsx].xlsx]_xls_82"/>
      <sheetName val=".xlsx].xlsx].xlsx].xlsx]_xls_83"/>
      <sheetName val=".xlsx].xlsx].xlsx].xlsx]_xls_84"/>
      <sheetName val=".xlsx].xlsx].xlsx].xlsx]_xls_85"/>
      <sheetName val=".xlsx].xlsx].xlsx].xlsx]_xls_86"/>
      <sheetName val=".xlsx].xlsx].xlsx].xlsx]_xls_87"/>
      <sheetName val=".xlsx].xlsx].xlsx].xlsx]_xls_88"/>
      <sheetName val=".xlsx].xlsx].xlsx].xlsx]_xls_89"/>
      <sheetName val=".xlsx].xlsx].xlsx].xlsx]_xls_90"/>
      <sheetName val=".xlsx].xlsx].xlsx].xlsx]_xls_91"/>
      <sheetName val=".xlsx].xlsx].xlsx].xlsx]_xls_92"/>
      <sheetName val=".xlsx].xlsx].xlsx].xlsx]_xls_93"/>
      <sheetName val=".xlsx].xlsx].xlsx].xlsx]_xls_94"/>
      <sheetName val=".xlsx].xlsx].xlsx].xlsx]_xls_95"/>
      <sheetName val=".xlsx].xlsx].xlsx].xlsx]_xls_96"/>
      <sheetName val=".xlsx].xlsx].xlsx].xlsx]_xls_97"/>
      <sheetName val=".xlsx].xlsx].xlsx].xlsx]_xls_98"/>
      <sheetName val=".xlsx].xlsx].xlsx].xlsx]_xls_99"/>
      <sheetName val=".xlsx].xlsx].xlsx].xlsx]_xl_100"/>
      <sheetName val=".xlsx].xlsx].xlsx].xlsx]_xl_101"/>
      <sheetName val=".xlsx].xlsx].xlsx].xlsx]_xl_102"/>
      <sheetName val=".xlsx].xlsx].xlsx].xlsx]_xl_103"/>
      <sheetName val=".xlsx].xlsx].xlsx].xlsx]_xl_104"/>
      <sheetName val=".xlsx].xlsx].xlsx].xlsx]_xl_105"/>
      <sheetName val=".xlsx].xlsx].xlsx].xlsx]_xl_106"/>
      <sheetName val=".xlsx].xlsx].xlsx].xlsx]_xl_107"/>
      <sheetName val=".xlsx].xlsx].xlsx].xlsx]_xl_108"/>
      <sheetName val=".xlsx].xlsx].xlsx].xlsx]_xl_109"/>
      <sheetName val=".xlsx].xlsx].xlsx].xlsx]_xl_110"/>
      <sheetName val=".xlsx].xlsx].xlsx].xlsx]_xl_111"/>
      <sheetName val=".xlsx].xlsx].xlsx].xlsx]_xl_112"/>
      <sheetName val=".xlsx].xlsx].xlsx].xlsx]_xl_113"/>
      <sheetName val=".xlsx].xlsx].xlsx].xlsx]_xl_114"/>
      <sheetName val=".xlsx].xlsx].xlsx].xlsx]_xl_115"/>
      <sheetName val=".xlsx].xlsx].xlsx].xlsx]_xl_116"/>
      <sheetName val=".xlsx].xlsx].xlsx].xlsx]_xl_117"/>
      <sheetName val=".xlsx].xlsx].xlsx].xlsx]_xl_118"/>
      <sheetName val=".xlsx].xlsx].xlsx].xlsx]_xl_119"/>
      <sheetName val=".xlsx].xlsx].xlsx].xlsx]_xl_120"/>
      <sheetName val=".xlsx].xlsx].xlsx].xlsx]_xl_121"/>
      <sheetName val=".xlsx].xlsx].xlsx].xlsx]_xl_122"/>
      <sheetName val=".xlsx].xlsx].xlsx].xlsx]_xl_123"/>
      <sheetName val=".xlsx].xlsx].xlsx].xlsx]_xl_124"/>
      <sheetName val=".xlsx].xlsx].xlsx].xlsx]_xl_125"/>
      <sheetName val=".xlsx].xlsx].xlsx].xlsx]_xl_126"/>
      <sheetName val=".xlsx].xlsx].xlsx].xlsx]_xl_127"/>
      <sheetName val=".xlsx].xlsx].xlsx].xlsx]_xl_128"/>
      <sheetName val=".xlsx].xlsx].xlsx].xlsx]_xl_129"/>
      <sheetName val=".xlsx].xlsx].xlsx].xlsx]_xl_130"/>
      <sheetName val=".xlsx].xlsx].xlsx].xlsx]_xl_131"/>
      <sheetName val=".xlsx].xlsx].xlsx].xlsx]_xl_132"/>
      <sheetName val=".xlsx].xlsx].xlsx].xlsx]_xl_133"/>
      <sheetName val=".xlsx].xlsx].xlsx].xlsx]_xl_134"/>
      <sheetName val=".xlsx].xlsx].xlsx].xlsx]_xl_135"/>
      <sheetName val=".xlsx].xlsx].xlsx].xlsx]_xl_136"/>
      <sheetName val=".xlsx].xlsx].xlsx].xlsx]_xl_137"/>
      <sheetName val=".xlsx].xlsx].xlsx].xlsx]_xl_138"/>
      <sheetName val=".xlsx].xlsx].xlsx].xlsx]_xl_139"/>
      <sheetName val=".xlsx].xlsx].xlsx].xlsx]_xl_140"/>
      <sheetName val=".xlsx].xlsx].xlsx].xlsx]_xl_141"/>
      <sheetName val=".xlsx].xlsx].xlsx].xlsx]_xl_142"/>
      <sheetName val=".xlsx].xlsx].xlsx].xlsx]_xl_143"/>
      <sheetName val=".xlsx].xlsx].xlsx].xlsx]_xl_144"/>
      <sheetName val=".xlsx].xlsx].xlsx].xlsx]_xl_145"/>
      <sheetName val=".xlsx].xlsx].xlsx].xlsx]_xl_146"/>
      <sheetName val=".xlsx].xlsx].xlsx].xlsx]_xl_147"/>
      <sheetName val=".xlsx].xlsx].xlsx].xlsx]_xl_148"/>
      <sheetName val=".xlsx].xlsx].xlsx].xlsx]_xl_149"/>
      <sheetName val=".xlsx].xlsx].xlsx].xlsx]_xl_150"/>
      <sheetName val=".xlsx].xlsx].xlsx].xlsx]_xl_151"/>
      <sheetName val=".xlsx].xlsx].xlsx].xlsx]_xl_152"/>
      <sheetName val=".xlsx].xlsx].xlsx].xlsx]_xl_153"/>
      <sheetName val=".xlsx].xlsx].xlsx].xlsx]_xl_154"/>
      <sheetName val=".xlsx].xlsx].xlsx].xlsx]_xl_155"/>
      <sheetName val=".xlsx].xlsx].xlsx].xlsx]_xl_156"/>
      <sheetName val=".xlsx].xlsx].xlsx].xlsx]_xl_157"/>
      <sheetName val=".xlsx].xlsx].xlsx].xlsx]_xl_158"/>
      <sheetName val=".xlsx].xlsx].xlsx].xlsx]_xl_159"/>
      <sheetName val=".xlsx].xlsx].xlsx].xlsx]_xl_160"/>
      <sheetName val=".xlsx].xlsx].xlsx].xlsx]_xl_161"/>
      <sheetName val=".xlsx].xlsx].xlsx].xlsx]_xl_162"/>
      <sheetName val=".xlsx].xlsx].xlsx].xlsx]_xl_163"/>
      <sheetName val=".xlsx].xlsx].xlsx].xlsx]_xl_164"/>
      <sheetName val=".xlsx].xlsx].xlsx].xlsx]_xl_165"/>
      <sheetName val=".xlsx].xlsx].xlsx].xlsx]_xl_166"/>
      <sheetName val=".xlsx].xlsx].xlsx].xlsx]_xl_167"/>
      <sheetName val=".xlsx].xlsx].xlsx].xlsx]_xl_168"/>
      <sheetName val=".xlsx].xlsx].xlsx].xlsx]_xl_169"/>
      <sheetName val=".xlsx].xlsx].xlsx].xlsx]_xl_170"/>
      <sheetName val=".xlsx].xlsx].xlsx].xlsx]_xl_171"/>
      <sheetName val=".xlsx].xlsx].xlsx].xlsx]_xl_172"/>
      <sheetName val=".xlsx].xlsx].xlsx].xlsx]_xl_173"/>
      <sheetName val=".xlsx].xlsx].xlsx].xlsx]_xl_174"/>
      <sheetName val=".xlsx].xlsx].xlsx].xlsx]_xl_175"/>
      <sheetName val=".xlsx].xlsx].xlsx].xlsx]_xl_176"/>
      <sheetName val=".xlsx].xlsx].xlsx].xlsx]_xl_177"/>
      <sheetName val=".xlsx].xlsx].xlsx].xlsx]_xl_178"/>
      <sheetName val=".xlsx].xlsx].xlsx].xlsx]_xl_179"/>
      <sheetName val=".xlsx].xlsx].xlsx].xlsx]_xl_180"/>
      <sheetName val=".xlsx].xlsx].xlsx].xlsx]_xl_181"/>
      <sheetName val=".xlsx].xlsx].xlsx].xlsx]_xl_182"/>
      <sheetName val=".xlsx].xlsx].xlsx].xlsx]_xl_183"/>
      <sheetName val=".xlsx].xlsx].xlsx].xlsx]_xl_184"/>
      <sheetName val=".xlsx].xlsx].xlsx].xlsx]_xl_185"/>
      <sheetName val=".xlsx].xlsx].xlsx].xlsx]_xl_186"/>
      <sheetName val=".xlsx].xlsx].xlsx].xlsx]_xl_187"/>
      <sheetName val=".xlsx].xlsx].xlsx].xlsx]_xl_188"/>
      <sheetName val=".xlsx].xlsx].xlsx].xlsx]_xl_189"/>
      <sheetName val=".xlsx].xlsx].xlsx].xlsx]_xl_190"/>
      <sheetName val=".xlsx].xlsx].xlsx].xlsx]_xl_191"/>
      <sheetName val=".xlsx].xlsx].xlsx].xlsx]_xl_192"/>
      <sheetName val=".xlsx].xlsx].xlsx].xlsx]_xl_193"/>
      <sheetName val=".xlsx].xlsx].xlsx].xlsx]_xl_194"/>
      <sheetName val=".xlsx].xlsx].xlsx].xlsx]_xl_195"/>
      <sheetName val=".xlsx].xlsx].xlsx].xlsx]_xl_196"/>
      <sheetName val=".xlsx].xlsx].xlsx].xlsx]_xl_197"/>
      <sheetName val=".xlsx].xlsx].xlsx].xlsx]_xl_198"/>
      <sheetName val=".xlsx].xlsx].xlsx].xlsx]_xl_199"/>
      <sheetName val=".xlsx].xlsx].xlsx].xlsx]_xl_200"/>
      <sheetName val=".xlsx].xlsx].xlsx].xlsx]_xl_201"/>
      <sheetName val=".xlsx].xlsx].xlsx].xlsx]_xl_202"/>
      <sheetName val=".xlsx].xlsx].xlsx].xlsx]_xl_203"/>
      <sheetName val=".xlsx].xlsx].xlsx].xlsx]_xl_204"/>
      <sheetName val=".xlsx].xlsx].xlsx].xlsx]_xl_205"/>
      <sheetName val=".xlsx].xlsx].xlsx].xlsx]_xl_206"/>
      <sheetName val=".xlsx].xlsx].xlsx].xlsx]_xl_207"/>
      <sheetName val=".xlsx].xlsx].xlsx].xlsx]_xl_208"/>
      <sheetName val=".xlsx].xlsx].xlsx].xlsx]_xl_209"/>
      <sheetName val=".xlsx].xlsx].xlsx].xlsx]_xl_210"/>
      <sheetName val=".xlsx].xlsx].xlsx].xlsx]_xl_211"/>
      <sheetName val=".xlsx].xlsx].xlsx].xlsx]_xl_212"/>
      <sheetName val=".xlsx].xlsx].xlsx].xlsx]_xl_213"/>
      <sheetName val=".xlsx].xlsx].xlsx].xlsx]_xl_214"/>
      <sheetName val=".xlsx].xlsx].xlsx].xlsx]_xl_215"/>
      <sheetName val=".xlsx].xlsx].xlsx].xlsx]_xl_216"/>
      <sheetName val=".xlsx].xlsx].xlsx].xlsx]_xl_217"/>
      <sheetName val=".xlsx].xlsx].xlsx].xlsx]_xl_218"/>
      <sheetName val=".xlsx].xlsx].xlsx].xlsx]_xl_219"/>
      <sheetName val=".xlsx].xlsx].xlsx].xlsx]_xl_220"/>
      <sheetName val=".xlsx].xlsx].xlsx].xlsx]_xl_221"/>
      <sheetName val=".xlsx].xlsx].xlsx].xlsx]_xl_222"/>
      <sheetName val=".xlsx].xlsx].xlsx].xlsx]_xl_223"/>
      <sheetName val=".xlsx].xlsx].xlsx].xlsx]_xl_224"/>
      <sheetName val=".xlsx].xlsx].xlsx].xlsx]_xl_225"/>
      <sheetName val=".xlsx].xlsx].xlsx].xlsx]_xl_226"/>
      <sheetName val=".xlsx].xlsx].xlsx].xlsx]_xl_227"/>
      <sheetName val=".xlsx].xlsx].xlsx].xlsx]_xl_228"/>
      <sheetName val=".xlsx].xlsx].xlsx].xlsx]_xl_229"/>
      <sheetName val=".xlsx].xlsx].xlsx].xlsx]_xl_230"/>
      <sheetName val=".xlsx].xlsx].xlsx].xlsx]_xl_231"/>
      <sheetName val=".xlsx].xlsx].xlsx].xlsx]_xl_232"/>
      <sheetName val=".xlsx].xlsx].xlsx].xlsx]_xl_233"/>
      <sheetName val=".xlsx].xlsx].xlsx].xlsx]_xl_234"/>
      <sheetName val=".xlsx].xlsx].xlsx].xlsx]_xl_235"/>
      <sheetName val=".xlsx].xlsx].xlsx].xlsx]_xl_236"/>
      <sheetName val=".xlsx].xlsx].xlsx].xlsx]_xl_237"/>
      <sheetName val=".xlsx].xlsx].xlsx].xlsx]_xl_238"/>
      <sheetName val=".xlsx].xlsx].xlsx].xlsx]_xl_239"/>
      <sheetName val=".xlsx].xlsx].xlsx].xlsx]_xl_240"/>
      <sheetName val=".xlsx].xlsx].xlsx].xlsx]_xl_241"/>
      <sheetName val=".xlsx].xlsx].xlsx].xlsx]_xl_242"/>
      <sheetName val=".xlsx].xlsx].xlsx].xlsx]_xl_243"/>
      <sheetName val=".xlsx].xlsx].xlsx].xlsx]_xl_244"/>
      <sheetName val=".xlsx].xlsx].xlsx].xlsx]_xl_245"/>
      <sheetName val=".xlsx].xlsx].xlsx].xlsx]_xl_246"/>
      <sheetName val=".xlsx].xlsx].xlsx].xlsx]_xl_247"/>
      <sheetName val=".xlsx].xlsx].xlsx].xlsx]_xl_248"/>
      <sheetName val=".xlsx].xlsx].xlsx].xlsx]_xl_249"/>
      <sheetName val=".xlsx].xlsx].xlsx].xlsx]_xl_250"/>
      <sheetName val=".xlsx].xlsx].xlsx].xlsx]_xl_251"/>
      <sheetName val=".xlsx].xlsx].xlsx].xlsx]_xl_252"/>
      <sheetName val=".xlsx].xlsx].xlsx].xlsx]_xl_253"/>
      <sheetName val=".xlsx].xlsx].xlsx].xlsx]_xl_254"/>
      <sheetName val=".xlsx].xlsx].xlsx].xlsx]_xl_255"/>
      <sheetName val=".xlsx].xlsx].xlsx].xlsx]_xl_256"/>
      <sheetName val=".xlsx].xlsx].xlsx].xlsx]_xl_257"/>
      <sheetName val=".xlsx].xlsx].xlsx].xlsx]_xl_258"/>
      <sheetName val=".xlsx].xlsx].xlsx].xlsx]_xl_259"/>
      <sheetName val=".xlsx].xlsx].xlsx].xlsx]_xl_260"/>
      <sheetName val=".xlsx].xlsx].xlsx].xlsx]_xl_261"/>
      <sheetName val=".xlsx].xlsx].xlsx].xlsx]_xl_262"/>
      <sheetName val=".xlsx].xlsx].xlsx].xlsx]_xl_263"/>
      <sheetName val=".xlsx].xlsx].xlsx].xlsx]_xl_264"/>
      <sheetName val=".xlsx].xlsx].xlsx].xlsx]_xl_265"/>
      <sheetName val=".xlsx].xlsx].xlsx].xlsx]_xl_266"/>
      <sheetName val=".xlsx].xlsx].xlsx].xlsx]_xl_267"/>
      <sheetName val=".xlsx].xlsx].xlsx].xlsx]_xl_268"/>
      <sheetName val=".xlsx].xlsx].xlsx].xlsx]_xl_269"/>
      <sheetName val=".xlsx].xlsx].xlsx].xlsx]_xl_270"/>
      <sheetName val=".xlsx].xlsx].xlsx].xlsx]_xl_271"/>
      <sheetName val=".xlsx].xlsx].xlsx].xlsx]_xl_272"/>
      <sheetName val=".xlsx].xlsx].xlsx].xlsx]_xl_273"/>
      <sheetName val=".xlsx].xlsx].xlsx].xlsx]_xl_274"/>
      <sheetName val=".xlsx].xlsx].xlsx].xlsx]_xl_275"/>
      <sheetName val=".xlsx].xlsx].xlsx].xlsx]_xl_276"/>
      <sheetName val=".xlsx].xlsx].xlsx].xlsx]_xl_277"/>
      <sheetName val=".xlsx].xlsx].xlsx].xlsx]_xl_278"/>
      <sheetName val=".xlsx].xlsx].xlsx].xlsx]_xl_279"/>
      <sheetName val=".xlsx].xlsx].xlsx].xlsx]_xl_280"/>
      <sheetName val=".xlsx].xlsx].xlsx].xlsx]_xl_281"/>
      <sheetName val=".xlsx].xlsx].xlsx].xlsx]_xl_282"/>
      <sheetName val=".xlsx].xlsx].xlsx].xlsx]_xl_283"/>
      <sheetName val=".xlsx].xlsx].xlsx].xlsx]_xl_284"/>
      <sheetName val=".xlsx].xlsx].xlsx].xlsx]_xl_285"/>
      <sheetName val=".xlsx].xlsx].xlsx].xlsx]_xl_286"/>
      <sheetName val=".xlsx].xlsx].xlsx].xlsx]_xl_287"/>
      <sheetName val=".xlsx].xlsx].xlsx].xlsx]_xl_288"/>
      <sheetName val=".xlsx].xlsx].xlsx].xlsx]_xl_289"/>
      <sheetName val=".xlsx].xlsx].xlsx].xlsx]_xl_290"/>
      <sheetName val=".xlsx].xlsx].xlsx].xlsx]_xl_291"/>
      <sheetName val=".xlsx].xlsx].xlsx].xlsx]_xl_292"/>
      <sheetName val=".xlsx].xlsx].xlsx].xlsx]_xl_293"/>
      <sheetName val=".xlsx].xlsx].xlsx].xlsx]_xl_294"/>
      <sheetName val=".xlsx].xlsx].xlsx].xlsx]_xl_295"/>
      <sheetName val=".xlsx].xlsx].xlsx].xlsx]_xl_296"/>
      <sheetName val=".xlsx].xlsx].xlsx].xlsx]_xl_297"/>
      <sheetName val=".xlsx].xlsx].xlsx].xlsx]_xl_298"/>
      <sheetName val=".xlsx].xlsx].xlsx].xlsx]_xl_299"/>
      <sheetName val=".xlsx].xlsx].xlsx].xlsx]_xl_300"/>
      <sheetName val=".xlsx].xlsx].xlsx].xlsx]_xl_301"/>
      <sheetName val=".xlsx].xlsx].xlsx].xlsx]_xl_302"/>
      <sheetName val=".xlsx].xlsx].xlsx].xlsx]_xl_303"/>
      <sheetName val=".xlsx].xlsx].xlsx].xlsx]_xl_304"/>
      <sheetName val=".xlsx].xlsx].xlsx].xlsx]_xl_305"/>
      <sheetName val=".xlsx].xlsx].xlsx].xlsx]_xl_306"/>
      <sheetName val=".xlsx].xlsx].xlsx].xlsx]_xl_307"/>
      <sheetName val=".xlsx].xlsx].xlsx].xlsx]_xl_308"/>
      <sheetName val=".xlsx].xlsx].xlsx].xlsx]_xl_309"/>
      <sheetName val=".xlsx].xlsx].xlsx].xlsx]_xl_310"/>
      <sheetName val=".xlsx].xlsx].xlsx].xlsx]_xl_311"/>
      <sheetName val=".xlsx].xlsx].xlsx].xlsx]_xl_312"/>
      <sheetName val=".xlsx].xlsx].xlsx].xlsx]_xl_313"/>
      <sheetName val=".xlsx].xlsx].xlsx].xlsx]_xl_314"/>
      <sheetName val=".xlsx].xlsx].xlsx].xlsx]_xl_315"/>
      <sheetName val=".xlsx].xlsx].xlsx].xlsx]_xl_316"/>
      <sheetName val=".xlsx].xlsx].xlsx].xlsx]_xl_317"/>
      <sheetName val=".xlsx].xlsx].xlsx].xlsx]_xl_318"/>
      <sheetName val=".xlsx].xlsx].xlsx].xlsx]_xl_319"/>
      <sheetName val=".xlsx].xlsx].xlsx].xlsx]_xl_320"/>
      <sheetName val=".xlsx].xlsx].xlsx].xlsx]_xl_321"/>
      <sheetName val=".xlsx].xlsx].xlsx].xlsx]_xl_322"/>
      <sheetName val=".xlsx].xlsx].xlsx].xlsx]_xl_323"/>
      <sheetName val=".xlsx].xlsx].xlsx].xlsx]_xl_324"/>
      <sheetName val=".xlsx].xlsx].xlsx].xlsx]_xl_325"/>
      <sheetName val=".xlsx].xlsx].xlsx].xlsx]_xl_326"/>
      <sheetName val=".xlsx].xlsx].xlsx].xlsx]_xl_327"/>
      <sheetName val=".xlsx].xlsx].xlsx].xlsx]_xl_328"/>
      <sheetName val=".xlsx].xlsx].xlsx].xlsx]_xl_329"/>
      <sheetName val=".xlsx].xlsx].xlsx].xlsx]_xl_330"/>
      <sheetName val=".xlsx].xlsx].xlsx].xlsx]_xl_331"/>
      <sheetName val=".xlsx].xlsx].xlsx].xlsx]_xl_332"/>
      <sheetName val=".xlsx].xlsx].xlsx].xlsx]_xl_333"/>
      <sheetName val=".xlsx].xlsx].xlsx].xlsx]_xl_334"/>
      <sheetName val=".xlsx].xlsx].xlsx].xlsx]_xl_335"/>
      <sheetName val=".xlsx].xlsx].xlsx].xlsx]_xl_336"/>
      <sheetName val=".xlsx].xlsx].xlsx].xlsx]_xl_337"/>
      <sheetName val=".xlsx].xlsx].xlsx].xlsx]_xl_338"/>
      <sheetName val=".xlsx].xlsx].xlsx].xlsx]_xl_339"/>
      <sheetName val=".xlsx].xlsx].xlsx].xlsx]_xl_340"/>
      <sheetName val=".xlsx].xlsx].xlsx].xlsx]_xl_341"/>
      <sheetName val=".xlsx].xlsx].xlsx].xlsx]_xl_342"/>
      <sheetName val=".xlsx].xlsx].xlsx].xlsx]_xl_343"/>
      <sheetName val=".xlsx].xlsx].xlsx].xlsx]_xl_344"/>
      <sheetName val=".xlsx].xlsx].xlsx].xlsx]_xl_345"/>
      <sheetName val=".xlsx].xlsx].xlsx].xlsx]_xl_346"/>
      <sheetName val=".xlsx].xlsx].xlsx].xlsx]_xl_347"/>
      <sheetName val=".xlsx].xlsx].xlsx].xlsx]_xl_348"/>
      <sheetName val=".xlsx].xlsx].xlsx].xlsx]_xl_349"/>
      <sheetName val=".xlsx].xlsx].xlsx].xlsx]_xl_350"/>
      <sheetName val=".xlsx].xlsx].xlsx].xlsx]_xl_351"/>
      <sheetName val=".xlsx].xlsx].xlsx].xlsx]_xl_352"/>
      <sheetName val=".xlsx].xlsx].xlsx].xlsx]_xl_353"/>
      <sheetName val=".xlsx].xlsx].xlsx].xlsx]_xl_354"/>
      <sheetName val=".xlsx].xlsx].xlsx].xlsx]_xl_355"/>
      <sheetName val=".xlsx].xlsx].xlsx].xlsx]_xl_356"/>
      <sheetName val=".xlsx].xlsx].xlsx].xlsx]_xl_357"/>
      <sheetName val=".xlsx].xlsx].xlsx].xlsx]_xl_358"/>
      <sheetName val=".xlsx].xlsx].xlsx].xlsx]_xl_359"/>
      <sheetName val=".xlsx].xlsx].xlsx].xlsx]_xl_360"/>
      <sheetName val=".xlsx].xlsx].xlsx].xlsx]_xl_361"/>
      <sheetName val=".xlsx].xlsx].xlsx].xlsx]_xl_362"/>
      <sheetName val=".xlsx].xlsx].xlsx].xlsx]_xl_363"/>
      <sheetName val=".xlsx].xlsx].xlsx].xlsx]_xl_364"/>
      <sheetName val=".xlsx].xlsx].xlsx].xlsx]_xl_365"/>
      <sheetName val=".xlsx].xlsx].xlsx].xlsx]_xl_366"/>
      <sheetName val=".xlsx].xlsx].xlsx].xlsx]_xl_367"/>
      <sheetName val=".xlsx].xlsx].xlsx].xlsx]_xl_368"/>
      <sheetName val=".xlsx].xlsx].xlsx].xlsx]_xl_369"/>
      <sheetName val=".xlsx].xlsx].xlsx].xlsx]_xl_370"/>
      <sheetName val=".xlsx].xlsx].xlsx].xlsx]_xl_371"/>
      <sheetName val=".xlsx].xlsx].xlsx].xlsx]_xl_372"/>
      <sheetName val=".xlsx].xlsx].xlsx].xlsx]_xl_373"/>
      <sheetName val=".xlsx].xlsx].xlsx].xlsx]_xl_374"/>
      <sheetName val=".xlsx].xlsx].xlsx].xlsx]_xl_375"/>
      <sheetName val=".xlsx].xlsx].xlsx].xlsx]_xl_376"/>
      <sheetName val=".xlsx].xlsx].xlsx].xlsx]_xl_377"/>
      <sheetName val=".xlsx].xlsx].xlsx].xlsx]_xl_378"/>
      <sheetName val=".xlsx].xlsx].xlsx].xlsx]_xl_379"/>
      <sheetName val=".xlsx].xlsx].xlsx].xlsx]_xl_380"/>
      <sheetName val=".xlsx].xlsx].xlsx].xlsx]_xl_381"/>
      <sheetName val=".xlsx].xlsx].xlsx].xlsx]_xl_382"/>
      <sheetName val=".xlsx].xlsx].xlsx].xlsx]_xl_383"/>
      <sheetName val=".xlsx].xlsx].xlsx].xlsx]_xl_384"/>
      <sheetName val=".xlsx].xlsx].xlsx].xlsx]_xl_385"/>
      <sheetName val=".xlsx].xlsx].xlsx].xlsx]_xl_386"/>
      <sheetName val=".xlsx].xlsx].xlsx].xlsx]_xl_387"/>
      <sheetName val=".xlsx].xlsx].xlsx].xlsx]_xl_388"/>
      <sheetName val=".xlsx].xlsx].xlsx].xlsx]_xl_389"/>
      <sheetName val=".xlsx].xlsx].xlsx].xlsx]_xl_390"/>
      <sheetName val=".xlsx].xlsx].xlsx].xlsx]_xl_391"/>
      <sheetName val=".xlsx].xlsx].xlsx].xlsx]_xl_392"/>
      <sheetName val=".xlsx].xlsx].xlsx].xlsx]_xl_393"/>
      <sheetName val=".xlsx].xlsx].xlsx].xlsx]_xl_394"/>
      <sheetName val=".xlsx].xlsx].xlsx].xlsx]_xl_395"/>
      <sheetName val=".xlsx].xlsx].xlsx].xlsx]_xl_396"/>
      <sheetName val=".xlsx].xlsx].xlsx].xlsx]_xl_397"/>
      <sheetName val=".xlsx].xlsx].xlsx].xlsx]_xl_398"/>
      <sheetName val=".xlsx].xlsx].xlsx].xlsx]_xl_399"/>
      <sheetName val=".xlsx].xlsx].xlsx].xlsx]_xl_400"/>
      <sheetName val=".xlsx].xlsx].xlsx].xlsx]_xl_401"/>
      <sheetName val=".xlsx].xlsx].xlsx].xlsx]_xl_402"/>
      <sheetName val=".xlsx].xlsx].xlsx].xlsx]_xl_403"/>
      <sheetName val=".xlsx].xlsx].xlsx].xlsx]_xl_404"/>
      <sheetName val=".xlsx].xlsx].xlsx].xlsx]_xl_405"/>
      <sheetName val=".xlsx].xlsx].xlsx].xlsx]_xl_406"/>
      <sheetName val=".xlsx].xlsx].xlsx].xlsx]_xl_407"/>
      <sheetName val=".xlsx].xlsx].xlsx].xlsx]_xl_408"/>
      <sheetName val=".xlsx].xlsx].xlsx].xlsx]_xl_409"/>
      <sheetName val=".xlsx].xlsx].xlsx].xlsx]_xl_410"/>
      <sheetName val=".xlsx].xlsx].xlsx].xlsx]_xl_411"/>
      <sheetName val=".xlsx].xlsx].xlsx].xlsx]_xl_412"/>
      <sheetName val=".xlsx].xlsx].xlsx].xlsx]_xl_413"/>
      <sheetName val=".xlsx].xlsx].xlsx].xlsx]_xl_414"/>
      <sheetName val=".xlsx].xlsx].xlsx].xlsx]_xl_415"/>
      <sheetName val=".xlsx].xlsx].xlsx].xlsx]_xl_416"/>
      <sheetName val=".xlsx].xlsx].xlsx].xlsx]_xl_417"/>
      <sheetName val=".xlsx].xlsx].xlsx].xlsx]_xl_418"/>
      <sheetName val=".xlsx].xlsx].xlsx].xlsx]_xl_419"/>
      <sheetName val=".xlsx].xlsx].xlsx].xlsx]_xl_420"/>
      <sheetName val=".xlsx].xlsx].xlsx].xlsx]_xl_421"/>
      <sheetName val=".xlsx].xlsx].xlsx].xlsx]_xl_422"/>
      <sheetName val=".xlsx].xlsx].xlsx].xlsx]_xl_423"/>
      <sheetName val=".xlsx].xlsx].xlsx].xlsx]_xl_424"/>
      <sheetName val=".xlsx].xlsx].xlsx].xlsx]_xl_425"/>
      <sheetName val=".xlsx].xlsx].xlsx].xlsx]_xl_426"/>
      <sheetName val=".xlsx].xlsx].xlsx].xlsx]_xl_427"/>
      <sheetName val=".xlsx].xlsx].xlsx].xlsx]_xl_428"/>
      <sheetName val=".xlsx].xlsx].xlsx].xlsx]_xl_429"/>
      <sheetName val=".xlsx].xlsx].xlsx].xlsx]_xl_430"/>
      <sheetName val=".xlsx].xlsx].xlsx].xlsx]_xl_431"/>
      <sheetName val=".xlsx].xlsx].xlsx].xlsx]_xl_432"/>
      <sheetName val=".xlsx].xlsx].xlsx].xlsx]_xl_433"/>
      <sheetName val=".xlsx].xlsx].xlsx].xlsx]_xl_434"/>
      <sheetName val=".xlsx].xlsx].xlsx].xlsx]_xl_435"/>
      <sheetName val=".xlsx].xlsx].xlsx].xlsx]_xl_436"/>
      <sheetName val=".xlsx].xlsx].xlsx].xlsx]_xl_437"/>
      <sheetName val=".xlsx].xlsx].xlsx].xlsx]_xl_438"/>
      <sheetName val=".xlsx].xlsx].xlsx].xlsx]_xl_439"/>
      <sheetName val=".xlsx].xlsx].xlsx].xlsx]_xl_440"/>
      <sheetName val=".xlsx].xlsx].xlsx].xlsx]_xl_441"/>
      <sheetName val=".xlsx].xlsx].xlsx].xlsx]_xl_442"/>
      <sheetName val=".xlsx].xlsx].xlsx].xlsx]_xl_443"/>
      <sheetName val=".xlsx].xlsx].xlsx].xlsx]_xl_444"/>
      <sheetName val=".xlsx].xlsx].xlsx].xlsx]_xl_445"/>
      <sheetName val=".xlsx].xlsx].xlsx].xlsx]_xl_446"/>
      <sheetName val=".xlsx].xlsx].xlsx].xlsx]_xl_447"/>
      <sheetName val=".xlsx].xlsx].xlsx].xlsx]_xl_448"/>
      <sheetName val=".xlsx].xlsx].xlsx].xlsx]_xl_449"/>
      <sheetName val=".xlsx].xlsx].xlsx].xlsx]_xl_450"/>
      <sheetName val=".xlsx].xlsx].xlsx].xlsx]_xl_451"/>
      <sheetName val=".xlsx].xlsx].xlsx].xlsx]_xl_452"/>
      <sheetName val=".xlsx].xlsx].xlsx].xlsx]_xl_453"/>
      <sheetName val=".xlsx].xlsx].xlsx].xlsx]_xl_454"/>
      <sheetName val=".xlsx].xlsx].xlsx].xlsx]_xl_455"/>
      <sheetName val=".xlsx].xlsx].xlsx].xlsx]_xl_456"/>
      <sheetName val=".xlsx].xlsx].xlsx].xlsx]_xl_457"/>
      <sheetName val=".xlsx].xlsx].xlsx].xlsx]_xl_458"/>
      <sheetName val=".xlsx].xlsx].xlsx].xlsx]_xl_459"/>
      <sheetName val=".xlsx].xlsx].xlsx].xlsx]_xl_460"/>
      <sheetName val=".xlsx].xlsx].xlsx].xlsx]_xl_461"/>
      <sheetName val=".xlsx].xlsx].xlsx].xlsx]_xl_462"/>
      <sheetName val=".xlsx].xlsx].xlsx].xlsx]_xl_463"/>
      <sheetName val=".xlsx].xlsx].xlsx].xlsx]_xl_464"/>
      <sheetName val=".xlsx].xlsx].xlsx].xlsx]_xl_465"/>
      <sheetName val=".xlsx].xlsx].xlsx].xlsx]_xl_466"/>
      <sheetName val=".xlsx].xlsx].xlsx].xlsx]_xl_467"/>
      <sheetName val=".xlsx].xlsx].xlsx].xlsx]_xl_468"/>
      <sheetName val=".xlsx].xlsx].xlsx].xlsx]_xl_469"/>
      <sheetName val=".xlsx].xlsx].xlsx].xlsx]_xl_470"/>
      <sheetName val=".xlsx].xlsx].xlsx].xlsx]_xl_471"/>
      <sheetName val=".xlsx].xlsx].xlsx].xlsx]_xl_472"/>
      <sheetName val=".xlsx].xlsx].xlsx].xlsx]_xl_473"/>
      <sheetName val=".xlsx].xlsx].xlsx].xlsx]_xl_474"/>
      <sheetName val=".xlsx].xlsx].xlsx].xlsx]_xl_475"/>
      <sheetName val=".xlsx].xlsx].xlsx].xlsx]_xl_476"/>
      <sheetName val=".xlsx].xlsx].xlsx].xlsx]_xl_477"/>
      <sheetName val=".xlsx].xlsx].xlsx].xlsx]_xl_478"/>
      <sheetName val=".xlsx].xlsx].xlsx].xlsx]_xl_479"/>
      <sheetName val=".xlsx].xlsx].xlsx].xlsx]_xl_480"/>
      <sheetName val=".xlsx].xlsx].xlsx].xlsx]_xl_481"/>
      <sheetName val=".xlsx].xlsx].xlsx].xlsx]_xl_482"/>
      <sheetName val=".xlsx].xlsx].xlsx].xlsx]_xl_483"/>
      <sheetName val=".xlsx].xlsx].xlsx].xlsx]_xl_484"/>
      <sheetName val=".xlsx].xlsx].xlsx].xlsx]_xl_485"/>
      <sheetName val=".xlsx].xlsx].xlsx].xlsx]_xl_486"/>
      <sheetName val=".xlsx].xlsx].xlsx].xlsx]_xl_487"/>
      <sheetName val=".xlsx].xlsx].xlsx].xlsx]_xl_488"/>
      <sheetName val=".xlsx].xlsx].xlsx].xlsx]_xl_489"/>
      <sheetName val=".xlsx].xlsx].xlsx].xlsx]_xl_490"/>
      <sheetName val=".xlsx].xlsx].xlsx].xlsx]_xl_491"/>
      <sheetName val=".xlsx].xlsx].xlsx].xlsx]_xl_492"/>
      <sheetName val=".xlsx].xlsx].xlsx].xlsx]_xl_493"/>
      <sheetName val=".xlsx].xlsx].xlsx].xlsx]_xl_494"/>
      <sheetName val=".xlsx].xlsx].xlsx].xlsx]_xl_495"/>
      <sheetName val=".xlsx].xlsx].xlsx].xlsx]_xl_496"/>
      <sheetName val=".xlsx].xlsx].xlsx].xlsx]_xl_497"/>
      <sheetName val=".xlsx].xlsx].xlsx].xlsx]_xl_498"/>
      <sheetName val=".xlsx].xlsx].xlsx].xlsx]_xl_499"/>
      <sheetName val=".xlsx].xlsx].xlsx].xlsx]_xl_500"/>
      <sheetName val=".xlsx].xlsx].xlsx].xlsx]_xl_501"/>
      <sheetName val=".xlsx].xlsx].xlsx].xlsx]_xl_502"/>
      <sheetName val=".xlsx].xlsx].xlsx].xlsx]_xl_503"/>
      <sheetName val=".xlsx].xlsx].xlsx].xlsx]_xl_504"/>
      <sheetName val=".xlsx].xlsx].xlsx].xlsx]_xl_505"/>
      <sheetName val=".xlsx].xlsx].xlsx].xlsx]_xl_506"/>
      <sheetName val=".xlsx].xlsx].xlsx].xlsx]_xl_507"/>
      <sheetName val=".xlsx].xlsx].xlsx].xlsx]_xl_508"/>
      <sheetName val=".xlsx].xlsx].xlsx].xlsx]_xl_509"/>
      <sheetName val=".xlsx].xlsx].xlsx].xlsx]_xl_510"/>
      <sheetName val=".xlsx].xlsx].xlsx].xlsx]_xl_511"/>
      <sheetName val=".xlsx].xlsx].xlsx].xlsx]_xl_512"/>
      <sheetName val=".xlsx].xlsx].xlsx].xlsx]_xl_513"/>
      <sheetName val=".xlsx].xlsx].xlsx].xlsx]_xl_514"/>
      <sheetName val=".xlsx].xlsx].xlsx].xlsx]_xl_515"/>
      <sheetName val=".xlsx].xlsx].xlsx].xlsx]_xl_516"/>
      <sheetName val=".xlsx].xlsx].xlsx].xlsx]_xl_517"/>
      <sheetName val=".xlsx].xlsx].xlsx].xlsx]_xl_518"/>
      <sheetName val=".xlsx].xlsx].xlsx].xlsx]_xl_519"/>
      <sheetName val=".xlsx].xlsx].xlsx].xlsx]_xl_520"/>
      <sheetName val=".xlsx].xlsx].xlsx].xlsx]_xl_521"/>
      <sheetName val=".xlsx].xlsx].xlsx].xlsx]_xl_522"/>
      <sheetName val=".xlsx].xlsx].xlsx].xlsx]_xl_523"/>
      <sheetName val=".xlsx].xlsx].xlsx].xlsx]_xl_524"/>
      <sheetName val=".xlsx].xlsx].xlsx].xlsx]_xl_525"/>
      <sheetName val=".xlsx].xlsx].xlsx].xlsx]_xl_526"/>
      <sheetName val=".xlsx].xlsx].xlsx].xlsx]_xl_527"/>
      <sheetName val=".xlsx].xlsx].xlsx].xlsx]_xl_528"/>
      <sheetName val=".xlsx].xlsx].xlsx].xlsx]_xl_529"/>
      <sheetName val=".xlsx].xlsx].xlsx].xlsx]_xl_530"/>
      <sheetName val=".xlsx].xlsx].xlsx].xlsx]_xl_531"/>
      <sheetName val=".xlsx].xlsx].xlsx].xlsx]_xl_532"/>
      <sheetName val=".xlsx].xlsx].xlsx].xlsx]_xl_533"/>
      <sheetName val=".xlsx].xlsx].xlsx].xlsx]_xl_534"/>
      <sheetName val=".xlsx].xlsx].xlsx].xlsx]_xl_535"/>
      <sheetName val=".xlsx].xlsx].xlsx].xlsx]_xl_536"/>
      <sheetName val=".xlsx].xlsx].xlsx].xlsx]_xl_537"/>
      <sheetName val=".xlsx].xlsx].xlsx].xlsx]_xl_538"/>
      <sheetName val=".xlsx].xlsx].xlsx].xlsx]_xl_539"/>
      <sheetName val=".xlsx].xlsx].xlsx].xlsx]_xl_540"/>
      <sheetName val=".xlsx].xlsx].xlsx].xlsx]_xl_541"/>
      <sheetName val=".xlsx].xlsx].xlsx].xlsx]_xl_542"/>
      <sheetName val=".xlsx].xlsx].xlsx].xlsx]_xl_543"/>
      <sheetName val=".xlsx].xlsx].xlsx].xlsx]_xl_544"/>
      <sheetName val=".xlsx].xlsx].xlsx].xlsx]_xl_545"/>
      <sheetName val=".xlsx].xlsx].xlsx].xlsx]_xl_546"/>
      <sheetName val=".xlsx].xlsx].xlsx].xlsx]_xl_547"/>
      <sheetName val=".xlsx].xlsx].xlsx].xlsx]_xl_548"/>
      <sheetName val=".xlsx].xlsx].xlsx].xlsx]_xl_549"/>
      <sheetName val=".xlsx].xlsx].xlsx].xlsx]_xl_550"/>
      <sheetName val=".xlsx].xlsx].xlsx].xlsx]_xl_551"/>
      <sheetName val=".xlsx].xlsx].xlsx].xlsx]_xl_552"/>
      <sheetName val=".xlsx].xlsx].xlsx].xlsx]_xl_553"/>
      <sheetName val=".xlsx].xlsx].xlsx].xlsx]_xl_554"/>
      <sheetName val=".xlsx].xlsx].xlsx].xlsx]_xl_555"/>
      <sheetName val=".xlsx].xlsx].xlsx].xlsx]_xl_556"/>
      <sheetName val=".xlsx].xlsx].xlsx].xlsx]_xl_557"/>
      <sheetName val=".xlsx].xlsx].xlsx].xlsx]_xl_558"/>
      <sheetName val=".xlsx].xlsx].xlsx].xlsx]_xl_559"/>
      <sheetName val=".xlsx].xlsx].xlsx].xlsx]_xl_560"/>
      <sheetName val=".xlsx].xlsx].xlsx].xlsx]_xl_561"/>
      <sheetName val=".xlsx].xlsx].xlsx].xlsx]_xl_562"/>
      <sheetName val=".xlsx].xlsx].xlsx].xlsx]_xl_563"/>
      <sheetName val=".xlsx].xlsx].xlsx].xlsx]_xl_564"/>
      <sheetName val=".xlsx].xlsx].xlsx].xlsx]_xl_565"/>
      <sheetName val=".xlsx].xlsx].xlsx].xlsx]_xl_566"/>
      <sheetName val=".xlsx].xlsx].xlsx].xlsx]_xl_567"/>
      <sheetName val=".xlsx].xlsx].xlsx].xlsx]_xl_568"/>
      <sheetName val=".xlsx].xlsx].xlsx].xlsx]_xl_569"/>
      <sheetName val=".xlsx].xlsx].xlsx].xlsx]_xl_570"/>
      <sheetName val=".xlsx].xlsx].xlsx].xlsx]_xl_571"/>
      <sheetName val=".xlsx].xlsx].xlsx].xlsx]_xl_572"/>
      <sheetName val=".xlsx].xlsx].xlsx].xlsx]_xl_573"/>
      <sheetName val=".xlsx].xlsx].xlsx].xlsx]_xl_574"/>
      <sheetName val=".xlsx].xlsx].xlsx].xlsx]_xl_575"/>
      <sheetName val=".xlsx].xlsx].xlsx].xlsx]_xl_576"/>
      <sheetName val=".xlsx].xlsx].xlsx].xlsx]_xl_577"/>
      <sheetName val=".xlsx].xlsx].xlsx].xlsx]_xl_578"/>
      <sheetName val=".xlsx].xlsx].xlsx].xlsx]_xl_579"/>
      <sheetName val=".xlsx].xlsx].xlsx].xlsx]_xl_580"/>
      <sheetName val=".xlsx].xlsx].xlsx].xlsx]_xl_581"/>
      <sheetName val=".xlsx].xlsx].xlsx].xlsx]_xl_582"/>
      <sheetName val=".xlsx].xlsx].xlsx].xlsx]_xl_583"/>
      <sheetName val=".xlsx].xlsx].xlsx].xlsx]_xl_584"/>
      <sheetName val=".xlsx].xlsx].xlsx].xlsx]_xl_585"/>
      <sheetName val=".xlsx].xlsx].xlsx].xlsx]_xl_586"/>
      <sheetName val=".xlsx].xlsx].xlsx].xlsx]_xl_587"/>
      <sheetName val=".xlsx].xlsx].xlsx].xlsx]_xl_588"/>
      <sheetName val=".xlsx].xlsx].xlsx].xlsx]_xl_589"/>
      <sheetName val=".xlsx].xlsx].xlsx].xlsx]_xl_590"/>
      <sheetName val=".xlsx].xlsx].xlsx].xlsx]_xl_591"/>
      <sheetName val=".xlsx].xlsx].xlsx].xlsx]_xl_592"/>
      <sheetName val=".xlsx].xlsx].xlsx].xlsx]_xl_593"/>
      <sheetName val=".xlsx].xlsx].xlsx].xlsx]_xl_594"/>
      <sheetName val=".xlsx].xlsx].xlsx].xlsx]_xl_595"/>
      <sheetName val=".xlsx].xlsx].xlsx].xlsx]_xl_596"/>
      <sheetName val=".xlsx].xlsx].xlsx].xlsx]_xl_597"/>
      <sheetName val=".xlsx].xlsx].xlsx].xlsx]_xl_598"/>
      <sheetName val=".xlsx].xlsx].xlsx].xlsx]_xl_599"/>
      <sheetName val=".xlsx].xlsx].xlsx].xlsx]_xl_600"/>
      <sheetName val=".xlsx].xlsx].xlsx].xlsx]_xl_601"/>
      <sheetName val=".xlsx].xlsx].xlsx].xlsx]_xl_602"/>
      <sheetName val=".xlsx].xlsx].xlsx].xlsx]_xl_603"/>
      <sheetName val=".xlsx].xlsx].xlsx].xlsx]_xl_604"/>
      <sheetName val=".xlsx].xlsx].xlsx].xlsx]_xl_605"/>
      <sheetName val=".xlsx].xlsx].xlsx].xlsx]_xl_606"/>
      <sheetName val=".xlsx].xlsx].xlsx].xlsx]_xl_607"/>
      <sheetName val=".xlsx].xlsx].xlsx].xlsx]_xl_608"/>
      <sheetName val=".xlsx].xlsx].xlsx].xlsx]_xl_609"/>
      <sheetName val=".xlsx].xlsx].xlsx].xlsx]_xl_610"/>
      <sheetName val=".xlsx].xlsx].xlsx].xlsx]_xl_611"/>
      <sheetName val=".xlsx].xlsx].xlsx].xlsx]_xl_612"/>
      <sheetName val=".xlsx].xlsx].xlsx].xlsx]_xl_613"/>
      <sheetName val=".xlsx].xlsx].xlsx].xlsx]_xl_614"/>
      <sheetName val=".xlsx].xlsx].xlsx].xlsx]_xl_615"/>
      <sheetName val=".xlsx].xlsx].xlsx].xlsx]_xl_616"/>
      <sheetName val=".xlsx].xlsx].xlsx].xlsx]_xl_617"/>
      <sheetName val=".xlsx].xlsx].xlsx].xlsx]_xl_618"/>
      <sheetName val=".xlsx].xlsx].xlsx].xlsx]_xl_619"/>
      <sheetName val=".xlsx].xlsx].xlsx].xlsx]_xl_620"/>
      <sheetName val=".xlsx].xlsx].xlsx].xlsx]_xl_621"/>
      <sheetName val=".xlsx].xlsx].xlsx].xlsx]_xl_622"/>
      <sheetName val=".xlsx].xlsx].xlsx].xlsx]_xl_623"/>
      <sheetName val=".xlsx].xlsx].xlsx].xlsx]_xl_624"/>
      <sheetName val=".xlsx].xlsx].xlsx].xlsx]_xl_625"/>
      <sheetName val=".xlsx].xlsx].xlsx].xlsx]_xl_626"/>
      <sheetName val=".xlsx].xlsx].xlsx].xlsx]_xl_627"/>
      <sheetName val=".xlsx].xlsx].xlsx].xlsx]_xl_628"/>
      <sheetName val=".xlsx].xlsx].xlsx].xlsx]_xl_629"/>
      <sheetName val=".xlsx].xlsx].xlsx].xlsx]_xl_630"/>
      <sheetName val=".xlsx].xlsx].xlsx].xlsx]_xl_631"/>
      <sheetName val=".xlsx].xlsx].xlsx].xlsx]_xl_632"/>
      <sheetName val=".xlsx].xlsx].xlsx].xlsx]_xl_633"/>
      <sheetName val=".xlsx].xlsx].xlsx].xlsx]_xl_634"/>
      <sheetName val=".xlsx].xlsx].xlsx].xlsx]_xl_635"/>
      <sheetName val=".xlsx].xlsx].xlsx].xlsx]_xl_636"/>
      <sheetName val=".xlsx].xlsx].xlsx].xlsx]_xl_637"/>
      <sheetName val=".xlsx].xlsx].xlsx].xlsx]_xl_638"/>
      <sheetName val=".xlsx].xlsx].xlsx].xlsx]_xl_639"/>
      <sheetName val=".xlsx].xlsx].xlsx].xlsx]_xl_640"/>
      <sheetName val=".xlsx].xlsx].xlsx].xlsx]_xl_641"/>
      <sheetName val=".xlsx].xlsx].xlsx].xlsx]_xl_642"/>
      <sheetName val=".xlsx].xlsx].xlsx].xlsx]_xl_643"/>
      <sheetName val=".xlsx].xlsx].xlsx].xlsx]_xl_644"/>
      <sheetName val=".xlsx].xlsx].xlsx].xlsx]_xl_645"/>
      <sheetName val=".xlsx].xlsx].xlsx].xlsx]_xl_646"/>
      <sheetName val=".xlsx].xlsx].xlsx].xlsx]_xl_647"/>
      <sheetName val=".xlsx].xlsx].xlsx].xlsx]_xl_648"/>
      <sheetName val=".xlsx].xlsx].xlsx].xlsx]_xl_649"/>
      <sheetName val=".xlsx].xlsx].xlsx].xlsx]_xl_650"/>
      <sheetName val=".xlsx].xlsx].xlsx].xlsx]_xl_651"/>
      <sheetName val=".xlsx].xlsx].xlsx].xlsx]_xl_652"/>
      <sheetName val=".xlsx].xlsx].xlsx].xlsx]_xl_653"/>
      <sheetName val=".xlsx].xlsx].xlsx].xlsx]_xl_654"/>
      <sheetName val=".xlsx].xlsx].xlsx].xlsx]_xl_655"/>
      <sheetName val=".xlsx].xlsx].xlsx].xlsx]_xl_656"/>
      <sheetName val=".xlsx].xlsx].xlsx].xlsx]_xl_657"/>
      <sheetName val=".xlsx].xlsx].xlsx].xlsx]_xl_658"/>
      <sheetName val=".xlsx].xlsx].xlsx].xlsx]_xl_659"/>
      <sheetName val=".xlsx].xlsx].xlsx].xlsx]_xl_660"/>
      <sheetName val=".xlsx].xlsx].xlsx].xlsx]_xl_661"/>
      <sheetName val=".xlsx].xlsx].xlsx].xlsx]_xl_662"/>
      <sheetName val=".xlsx].xlsx].xlsx].xlsx]_xl_663"/>
      <sheetName val=".xlsx].xlsx].xlsx].xlsx]_xl_664"/>
      <sheetName val=".xlsx].xlsx].xlsx].xlsx]_xl_665"/>
      <sheetName val=".xlsx].xlsx].xlsx].xlsx]_xl_666"/>
      <sheetName val=".xlsx].xlsx].xlsx].xlsx]_xl_667"/>
      <sheetName val=".xlsx].xlsx].xlsx].xlsx]_xl_668"/>
      <sheetName val=".xlsx].xlsx].xlsx].xlsx]_xl_669"/>
      <sheetName val=".xlsx].xlsx].xlsx].xlsx]_xl_670"/>
      <sheetName val=".xlsx].xlsx].xlsx].xlsx]_xl_671"/>
      <sheetName val=".xlsx].xlsx].xlsx].xlsx]_xl_672"/>
      <sheetName val=".xlsx].xlsx].xlsx].xlsx]_xl_673"/>
      <sheetName val=".xlsx].xlsx].xlsx].xlsx]_xl_674"/>
      <sheetName val=".xlsx].xlsx].xlsx].xlsx]_xl_675"/>
      <sheetName val=".xlsx].xlsx].xlsx].xlsx]_xl_676"/>
      <sheetName val=".xlsx].xlsx].xlsx].xlsx]_xl_677"/>
      <sheetName val=".xlsx].xlsx].xlsx].xlsx]_xl_678"/>
      <sheetName val=".xlsx].xlsx].xlsx].xlsx]_xl_679"/>
      <sheetName val=".xlsx].xlsx].xlsx].xlsx]_xl_680"/>
      <sheetName val=".xlsx].xlsx].xlsx].xlsx]_xl_681"/>
      <sheetName val=".xlsx].xlsx].xlsx].xlsx]_xl_682"/>
      <sheetName val=".xlsx].xlsx].xlsx].xlsx]_xl_683"/>
      <sheetName val=".xlsx].xlsx].xlsx].xlsx]_xl_684"/>
      <sheetName val=".xlsx].xlsx].xlsx].xlsx]_xl_685"/>
      <sheetName val=".xlsx].xlsx].xlsx].xlsx]_xl_686"/>
      <sheetName val=".xlsx].xlsx].xlsx].xlsx]_xl_687"/>
      <sheetName val=".xlsx].xlsx].xlsx].xlsx]_xl_688"/>
      <sheetName val=".xlsx].xlsx].xlsx].xlsx]_xl_689"/>
      <sheetName val=".xlsx].xlsx].xlsx].xlsx]_xl_690"/>
      <sheetName val=".xlsx].xlsx].xlsx].xlsx]_xl_691"/>
      <sheetName val=".xlsx].xlsx].xlsx].xlsx]_xl_692"/>
      <sheetName val=".xlsx].xlsx].xlsx].xlsx]_xl_693"/>
      <sheetName val=".xlsx].xlsx].xlsx].xlsx]_xl_694"/>
      <sheetName val=".xlsx].xlsx].xlsx].xlsx]_xl_695"/>
      <sheetName val=".xlsx].xlsx].xlsx].xlsx]_xl_696"/>
      <sheetName val=".xlsx].xlsx].xlsx].xlsx]_xl_697"/>
      <sheetName val=".xlsx].xlsx].xlsx].xlsx]_xl_698"/>
      <sheetName val=".xlsx].xlsx].xlsx].xlsx]_xl_699"/>
      <sheetName val=".xlsx].xlsx].xlsx].xlsx]_xl_700"/>
      <sheetName val=".xlsx].xlsx].xlsx].xlsx]_xl_701"/>
      <sheetName val=".xlsx].xlsx].xlsx].xlsx]_xl_702"/>
      <sheetName val=".xlsx].xlsx].xlsx].xlsx]_xl_703"/>
      <sheetName val=".xlsx].xlsx].xlsx].xlsx]_xl_704"/>
      <sheetName val=".xlsx].xlsx].xlsx].xlsx]_xl_705"/>
      <sheetName val=".xlsx].xlsx].xlsx].xlsx]_xl_706"/>
      <sheetName val=".xlsx].xlsx].xlsx].xlsx]_xl_707"/>
      <sheetName val=".xlsx].xlsx].xlsx].xlsx]_xl_708"/>
      <sheetName val=".xlsx].xlsx].xlsx].xlsx]_xl_709"/>
      <sheetName val=".xlsx].xlsx].xlsx].xlsx]_xl_710"/>
      <sheetName val=".xlsx].xlsx].xlsx].xlsx]_xl_711"/>
      <sheetName val=".xlsx].xlsx].xlsx].xlsx]_xl_712"/>
      <sheetName val=".xlsx].xlsx].xlsx].xlsx]_xl_713"/>
      <sheetName val=".xlsx].xlsx].xlsx].xlsx]_xl_714"/>
      <sheetName val=".xlsx].xlsx].xlsx].xlsx]_xl_715"/>
      <sheetName val=".xlsx].xlsx].xlsx].xlsx]_xl_716"/>
      <sheetName val=".xlsx].xlsx].xlsx].xlsx]_xl_717"/>
      <sheetName val=".xlsx].xlsx].xlsx].xlsx]_xl_718"/>
      <sheetName val=".xlsx].xlsx].xlsx].xlsx]_xl_719"/>
      <sheetName val=".xlsx].xlsx].xlsx].xlsx]_xl_720"/>
      <sheetName val=".xlsx].xlsx].xlsx].xlsx]_xl_721"/>
      <sheetName val=".xlsx].xlsx].xlsx].xlsx]_xl_722"/>
      <sheetName val=".xlsx].xlsx].xlsx].xlsx]_xl_723"/>
      <sheetName val=".xlsx].xlsx].xlsx].xlsx]_xl_724"/>
      <sheetName val=".xlsx].xlsx].xlsx].xlsx]_xl_725"/>
      <sheetName val=".xlsx].xlsx].xlsx].xlsx]_xl_726"/>
      <sheetName val=".xlsx].xlsx].xlsx].xlsx]_xl_727"/>
      <sheetName val=".xlsx].xlsx].xlsx].xlsx]_xl_728"/>
      <sheetName val=".xlsx].xlsx].xlsx].xlsx]_xl_729"/>
      <sheetName val=".xlsx].xlsx].xlsx].xlsx]_xl_730"/>
      <sheetName val=".xlsx].xlsx].xlsx].xlsx]_xl_731"/>
      <sheetName val=".xlsx].xlsx].xlsx].xlsx]_xl_732"/>
      <sheetName val=".xlsx].xlsx].xlsx].xlsx]_xl_733"/>
      <sheetName val=".xlsx].xlsx].xlsx].xlsx]_xl_734"/>
      <sheetName val=".xlsx].xlsx].xlsx].xlsx]_xl_735"/>
      <sheetName val=".xlsx].xlsx].xlsx].xlsx]_xl_736"/>
      <sheetName val=".xlsx].xlsx].xlsx].xlsx]_xl_737"/>
      <sheetName val=".xlsx].xlsx].xlsx].xlsx]_xl_738"/>
      <sheetName val=".xlsx].xlsx].xlsx].xlsx]_xl_739"/>
      <sheetName val=".xlsx].xlsx].xlsx].xlsx]_xl_740"/>
      <sheetName val=".xlsx].xlsx].xlsx].xlsx]_xl_741"/>
      <sheetName val=".xlsx].xlsx].xlsx].xlsx]_xl_742"/>
      <sheetName val=".xlsx].xlsx].xlsx].xlsx]_xl_743"/>
      <sheetName val=".xlsx].xlsx].xlsx].xlsx]_xl_744"/>
      <sheetName val=".xlsx].xlsx].xlsx].xlsx]_xl_745"/>
      <sheetName val=".xlsx].xlsx].xlsx].xlsx]_xl_746"/>
      <sheetName val=".xlsx].xlsx].xlsx].xlsx]_xl_747"/>
      <sheetName val=".xlsx].xlsx].xlsx].xlsx]_xl_748"/>
      <sheetName val=".xlsx].xlsx].xlsx].xlsx]_xl_749"/>
      <sheetName val=".xlsx].xlsx].xlsx].xlsx]_xl_750"/>
      <sheetName val=".xlsx].xlsx].xlsx].xlsx]_xl_751"/>
      <sheetName val=".xlsx].xlsx].xlsx].xlsx]_xl_752"/>
      <sheetName val=".xlsx].xlsx].xlsx].xlsx]_xl_753"/>
      <sheetName val=".xlsx].xlsx].xlsx].xlsx]_xl_754"/>
      <sheetName val=".xlsx].xlsx].xlsx].xlsx]_xl_755"/>
      <sheetName val=".xlsx].xlsx].xlsx].xlsx]_xl_756"/>
      <sheetName val=".xlsx].xlsx].xlsx].xlsx]_xl_757"/>
      <sheetName val=".xlsx].xlsx].xlsx].xlsx]_xl_758"/>
      <sheetName val=".xlsx].xlsx].xlsx].xlsx]_xl_759"/>
      <sheetName val=".xlsx].xlsx].xlsx].xlsx]_xl_760"/>
      <sheetName val=".xlsx].xlsx].xlsx].xlsx]_xl_761"/>
      <sheetName val=".xlsx].xlsx].xlsx].xlsx]_xl_762"/>
      <sheetName val=".xlsx].xlsx].xlsx].xlsx]_xl_763"/>
      <sheetName val=".xlsx].xlsx].xlsx].xlsx]_xl_764"/>
      <sheetName val=".xlsx].xlsx].xlsx].xlsx]_xl_765"/>
      <sheetName val=".xlsx].xlsx].xlsx].xlsx]_xl_766"/>
      <sheetName val=".xlsx].xlsx].xlsx].xlsx]_xl_767"/>
      <sheetName val=".xlsx].xlsx].xlsx].xlsx]_xl_768"/>
      <sheetName val=".xlsx].xlsx].xlsx].xlsx]_xl_769"/>
      <sheetName val=".xlsx].xlsx].xlsx].xlsx]_xl_770"/>
      <sheetName val=".xlsx].xlsx].xlsx].xlsx]_xl_771"/>
      <sheetName val=".xlsx].xlsx].xlsx].xlsx]_xl_772"/>
      <sheetName val=".xlsx].xlsx].xlsx].xlsx]_xl_773"/>
      <sheetName val=".xlsx].xlsx].xlsx].xlsx]_xl_774"/>
      <sheetName val=".xlsx].xlsx].xlsx].xlsx]_xl_775"/>
      <sheetName val=".xlsx].xlsx].xlsx].xlsx]_xl_776"/>
      <sheetName val=".xlsx].xlsx].xlsx].xlsx]_xl_777"/>
      <sheetName val=".xlsx].xlsx].xlsx].xlsx]_xl_778"/>
      <sheetName val=".xlsx].xlsx].xlsx].xlsx]_xl_779"/>
      <sheetName val=".xlsx].xlsx].xlsx].xlsx]_xl_780"/>
      <sheetName val=".xlsx].xlsx].xlsx].xlsx]_xl_781"/>
      <sheetName val=".xlsx].xlsx].xlsx].xlsx]_xl_782"/>
      <sheetName val=".xlsx].xlsx].xlsx].xlsx]_xl_783"/>
      <sheetName val=".xlsx].xlsx].xlsx].xlsx]_xl_784"/>
      <sheetName val=".xlsx].xlsx].xlsx].xlsx]_xl_785"/>
      <sheetName val=".xlsx].xlsx].xlsx].xlsx]_xl_786"/>
      <sheetName val=".xlsx].xlsx].xlsx].xlsx]_xl_787"/>
      <sheetName val=".xlsx].xlsx].xlsx].xlsx]_xl_788"/>
      <sheetName val=".xlsx].xlsx].xlsx].xlsx]_xl_789"/>
      <sheetName val=".xlsx].xlsx].xlsx].xlsx]_xl_790"/>
      <sheetName val=".xlsx].xlsx].xlsx].xlsx]_xl_791"/>
      <sheetName val=".xlsx].xlsx].xlsx].xlsx]_xl_792"/>
      <sheetName val=".xlsx].xlsx].xlsx].xlsx]Capex_2"/>
      <sheetName val=".xlsx].xlsx].xlsx].xlsx]Capex_3"/>
      <sheetName val=".xlsx].xlsx].xlsx]Capex_Orcam_2"/>
      <sheetName val=".xlsx].xlsx].xlsx]Capex_Orcam_3"/>
      <sheetName val=".xlsx].xlsx]Capex_Orcament_ri_2"/>
      <sheetName val=".xlsx].xlsx]Capex_Orcament_ri_3"/>
      <sheetName val=".xlsx]Capex_Orcament_rio_PE20_2"/>
      <sheetName val=".xlsx]Capex_Orcament_rio_PE20_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refreshError="1"/>
      <sheetData sheetId="269" refreshError="1"/>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refreshError="1"/>
      <sheetData sheetId="718" refreshError="1"/>
      <sheetData sheetId="719" refreshError="1"/>
      <sheetData sheetId="720" refreshError="1"/>
      <sheetData sheetId="721"/>
      <sheetData sheetId="722"/>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sheetData sheetId="789" refreshError="1"/>
      <sheetData sheetId="790" refreshError="1"/>
      <sheetData sheetId="791"/>
      <sheetData sheetId="792"/>
      <sheetData sheetId="793"/>
      <sheetData sheetId="794"/>
      <sheetData sheetId="795" refreshError="1"/>
      <sheetData sheetId="796" refreshError="1"/>
      <sheetData sheetId="797" refreshError="1"/>
      <sheetData sheetId="79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OLIDADA"/>
      <sheetName val="Planilha1"/>
      <sheetName val="Categoria CISE"/>
      <sheetName val="Opções"/>
      <sheetName val="Transferência"/>
      <sheetName val="Tabelas"/>
      <sheetName val="Gráficos"/>
      <sheetName val="Capex Orcamentário_PE2026_2030_"/>
    </sheetNames>
    <sheetDataSet>
      <sheetData sheetId="0">
        <row r="1">
          <cell r="G1"/>
          <cell r="H1" t="str">
            <v>PLANEJAMENTO CAPEX 2026-2030</v>
          </cell>
          <cell r="I1"/>
          <cell r="J1"/>
          <cell r="K1">
            <v>30</v>
          </cell>
          <cell r="L1">
            <v>30</v>
          </cell>
          <cell r="M1">
            <v>30</v>
          </cell>
          <cell r="N1">
            <v>30</v>
          </cell>
          <cell r="O1">
            <v>30</v>
          </cell>
          <cell r="P1">
            <v>30</v>
          </cell>
          <cell r="Q1">
            <v>30</v>
          </cell>
          <cell r="R1">
            <v>30</v>
          </cell>
          <cell r="S1">
            <v>30</v>
          </cell>
          <cell r="T1">
            <v>30</v>
          </cell>
          <cell r="U1">
            <v>30</v>
          </cell>
          <cell r="V1">
            <v>30</v>
          </cell>
          <cell r="W1">
            <v>360</v>
          </cell>
        </row>
        <row r="2">
          <cell r="G2" t="str">
            <v>Dados SAP</v>
          </cell>
          <cell r="H2" t="str">
            <v>COMPLEMENTO</v>
          </cell>
          <cell r="I2"/>
          <cell r="J2"/>
          <cell r="K2" t="str">
            <v>Investimentos R$ mil - nominal</v>
          </cell>
          <cell r="L2"/>
          <cell r="M2"/>
          <cell r="N2"/>
          <cell r="O2"/>
          <cell r="P2"/>
          <cell r="Q2"/>
          <cell r="R2"/>
          <cell r="S2"/>
          <cell r="T2"/>
          <cell r="U2"/>
          <cell r="V2"/>
          <cell r="W2"/>
        </row>
        <row r="3">
          <cell r="G3" t="str">
            <v>Coletor de Custo</v>
          </cell>
          <cell r="H3" t="str">
            <v>Descrição do Projeto / Descrição da Ação</v>
          </cell>
          <cell r="I3" t="str">
            <v>Especificação</v>
          </cell>
          <cell r="J3" t="str">
            <v>Local da Instalação</v>
          </cell>
          <cell r="K3" t="str">
            <v>jan/26</v>
          </cell>
          <cell r="L3" t="str">
            <v>fev/26</v>
          </cell>
          <cell r="M3" t="str">
            <v>mar/26</v>
          </cell>
          <cell r="N3" t="str">
            <v>abr/26</v>
          </cell>
          <cell r="O3" t="str">
            <v>mai/26</v>
          </cell>
          <cell r="P3" t="str">
            <v>jun/26</v>
          </cell>
          <cell r="Q3" t="str">
            <v>jul/26</v>
          </cell>
          <cell r="R3" t="str">
            <v>ago/26</v>
          </cell>
          <cell r="S3" t="str">
            <v>set/26</v>
          </cell>
          <cell r="T3" t="str">
            <v>out/26</v>
          </cell>
          <cell r="U3" t="str">
            <v>nov/26</v>
          </cell>
          <cell r="V3" t="str">
            <v>dez/26</v>
          </cell>
          <cell r="W3" t="str">
            <v>2026</v>
          </cell>
        </row>
        <row r="4">
          <cell r="G4" t="str">
            <v>NGHI.0066</v>
          </cell>
          <cell r="H4" t="str">
            <v>Modernização SPCS+ UHE Tucuruí</v>
          </cell>
          <cell r="I4" t="str">
            <v>Modernização SPCS, TR, RV, Servomotores, Distribuidor, Instrumentação e Auxiliareas CC e CA da UHE Tucuruí</v>
          </cell>
          <cell r="J4" t="str">
            <v>UHE Tucuruí</v>
          </cell>
          <cell r="K4">
            <v>0</v>
          </cell>
          <cell r="L4">
            <v>20886.113570000001</v>
          </cell>
          <cell r="M4">
            <v>6922.8946099999994</v>
          </cell>
          <cell r="N4">
            <v>13797.872500000001</v>
          </cell>
          <cell r="O4">
            <v>35832.721410000006</v>
          </cell>
          <cell r="P4">
            <v>15091.38697</v>
          </cell>
          <cell r="Q4">
            <v>16898.137739999998</v>
          </cell>
          <cell r="R4">
            <v>22249.745649999993</v>
          </cell>
          <cell r="S4">
            <v>993.64817000000005</v>
          </cell>
          <cell r="T4">
            <v>11791.477140000003</v>
          </cell>
          <cell r="U4">
            <v>2500</v>
          </cell>
          <cell r="V4">
            <v>2500</v>
          </cell>
          <cell r="W4">
            <v>149463.99776</v>
          </cell>
        </row>
        <row r="5">
          <cell r="G5" t="str">
            <v>NGHI.0086</v>
          </cell>
          <cell r="H5" t="str">
            <v>Substituição GIS UHE Tucuruí</v>
          </cell>
          <cell r="I5" t="str">
            <v>Substituição devido superação da corrente de curto circuito</v>
          </cell>
          <cell r="J5" t="str">
            <v>UHE Tucuruí</v>
          </cell>
          <cell r="K5">
            <v>173.38548750000001</v>
          </cell>
          <cell r="L5">
            <v>173.38548750000001</v>
          </cell>
          <cell r="M5">
            <v>173.38548750000001</v>
          </cell>
          <cell r="N5">
            <v>9038.8059775000002</v>
          </cell>
          <cell r="O5">
            <v>7332.1391541666671</v>
          </cell>
          <cell r="P5">
            <v>173.38548750000001</v>
          </cell>
          <cell r="Q5">
            <v>281.63864750000005</v>
          </cell>
          <cell r="R5">
            <v>14423.3854875</v>
          </cell>
          <cell r="S5">
            <v>676.34304750000001</v>
          </cell>
          <cell r="T5">
            <v>7463.5787541666668</v>
          </cell>
          <cell r="U5">
            <v>173.38548750000001</v>
          </cell>
          <cell r="V5">
            <v>175.38548750000001</v>
          </cell>
          <cell r="W5">
            <v>40258.203993333336</v>
          </cell>
        </row>
        <row r="6">
          <cell r="G6" t="str">
            <v>FGHI.0134</v>
          </cell>
          <cell r="H6" t="str">
            <v>Modernização do sistema de proteção, controle e supervisão, Regulador de Tensão e Velocidade da UHE Itumbiara</v>
          </cell>
          <cell r="I6"/>
          <cell r="J6" t="str">
            <v>UHE Itumbiara</v>
          </cell>
          <cell r="K6">
            <v>17</v>
          </cell>
          <cell r="L6">
            <v>150</v>
          </cell>
          <cell r="M6">
            <v>300</v>
          </cell>
          <cell r="N6">
            <v>400</v>
          </cell>
          <cell r="O6">
            <v>300</v>
          </cell>
          <cell r="P6">
            <v>3900</v>
          </cell>
          <cell r="Q6">
            <v>20600</v>
          </cell>
          <cell r="R6">
            <v>500</v>
          </cell>
          <cell r="S6">
            <v>8600</v>
          </cell>
          <cell r="T6">
            <v>1400</v>
          </cell>
          <cell r="U6">
            <v>1500</v>
          </cell>
          <cell r="V6">
            <v>0</v>
          </cell>
          <cell r="W6">
            <v>37667</v>
          </cell>
        </row>
        <row r="7">
          <cell r="G7" t="str">
            <v>NGHI.0099</v>
          </cell>
          <cell r="H7" t="str">
            <v>Substituição Transformador 550kV UHE Tucuruí (5 trafo)</v>
          </cell>
          <cell r="I7" t="str">
            <v>Substituição devido superação da corrente de curto circuito</v>
          </cell>
          <cell r="J7" t="str">
            <v>UHE Tucuruí</v>
          </cell>
          <cell r="K7">
            <v>0</v>
          </cell>
          <cell r="L7">
            <v>0</v>
          </cell>
          <cell r="M7">
            <v>0</v>
          </cell>
          <cell r="N7">
            <v>0</v>
          </cell>
          <cell r="O7">
            <v>0</v>
          </cell>
          <cell r="P7">
            <v>0</v>
          </cell>
          <cell r="Q7">
            <v>0</v>
          </cell>
          <cell r="R7">
            <v>19838.463617900001</v>
          </cell>
          <cell r="S7">
            <v>58.333195923129097</v>
          </cell>
          <cell r="T7">
            <v>0</v>
          </cell>
          <cell r="U7">
            <v>0</v>
          </cell>
          <cell r="V7">
            <v>10903.654989844999</v>
          </cell>
          <cell r="W7">
            <v>30800.451803668129</v>
          </cell>
        </row>
        <row r="8">
          <cell r="G8" t="str">
            <v>MH.6002</v>
          </cell>
          <cell r="H8" t="str">
            <v>Aquisição de resfriadores de ar dos geradores para reserva técnica de usinas da Chesf</v>
          </cell>
          <cell r="I8" t="str">
            <v>Eletromecânica</v>
          </cell>
          <cell r="J8" t="str">
            <v>Diversas UHE</v>
          </cell>
          <cell r="K8">
            <v>0</v>
          </cell>
          <cell r="L8">
            <v>0</v>
          </cell>
          <cell r="M8">
            <v>0</v>
          </cell>
          <cell r="N8">
            <v>2000</v>
          </cell>
          <cell r="O8">
            <v>1700</v>
          </cell>
          <cell r="P8">
            <v>2000</v>
          </cell>
          <cell r="Q8">
            <v>0</v>
          </cell>
          <cell r="R8">
            <v>2000</v>
          </cell>
          <cell r="S8">
            <v>0</v>
          </cell>
          <cell r="T8">
            <v>1900</v>
          </cell>
          <cell r="U8">
            <v>0</v>
          </cell>
          <cell r="V8">
            <v>0</v>
          </cell>
          <cell r="W8">
            <v>9600</v>
          </cell>
        </row>
        <row r="9">
          <cell r="G9" t="str">
            <v>HSED.0005</v>
          </cell>
          <cell r="H9" t="str">
            <v>Adequação às NRs das instalações das usinas da Chesf - Projeto Previnir+</v>
          </cell>
          <cell r="I9" t="str">
            <v>Requisitos legais</v>
          </cell>
          <cell r="J9" t="str">
            <v>Diversas UHE</v>
          </cell>
          <cell r="K9">
            <v>660</v>
          </cell>
          <cell r="L9" t="str">
            <v xml:space="preserve">  </v>
          </cell>
          <cell r="M9" t="str">
            <v xml:space="preserve"> </v>
          </cell>
          <cell r="N9" t="str">
            <v xml:space="preserve"> </v>
          </cell>
          <cell r="O9">
            <v>660</v>
          </cell>
          <cell r="P9">
            <v>660</v>
          </cell>
          <cell r="Q9">
            <v>660</v>
          </cell>
          <cell r="R9">
            <v>660</v>
          </cell>
          <cell r="S9">
            <v>660</v>
          </cell>
          <cell r="T9">
            <v>660</v>
          </cell>
          <cell r="U9">
            <v>660</v>
          </cell>
          <cell r="V9">
            <v>660</v>
          </cell>
          <cell r="W9">
            <v>5940</v>
          </cell>
        </row>
        <row r="10">
          <cell r="G10" t="str">
            <v>FGHI.0137</v>
          </cell>
          <cell r="H10" t="str">
            <v>Modernização dos estatores das UGs 07 e 08 da UHE Furnas</v>
          </cell>
          <cell r="I10"/>
          <cell r="J10" t="str">
            <v>UHE Furnas</v>
          </cell>
          <cell r="K10">
            <v>0</v>
          </cell>
          <cell r="L10">
            <v>2000</v>
          </cell>
          <cell r="M10">
            <v>2125</v>
          </cell>
          <cell r="N10">
            <v>100</v>
          </cell>
          <cell r="O10">
            <v>100</v>
          </cell>
          <cell r="P10">
            <v>2200</v>
          </cell>
          <cell r="Q10">
            <v>2200</v>
          </cell>
          <cell r="R10">
            <v>10550</v>
          </cell>
          <cell r="S10">
            <v>200</v>
          </cell>
          <cell r="T10">
            <v>200</v>
          </cell>
          <cell r="U10">
            <v>300</v>
          </cell>
          <cell r="V10">
            <v>200</v>
          </cell>
          <cell r="W10">
            <v>20175</v>
          </cell>
        </row>
        <row r="11">
          <cell r="G11" t="str">
            <v>FGHI.0075</v>
          </cell>
          <cell r="H11" t="str">
            <v>Modernização do sistema digital de supervisão e controle da UHE Mascarenhas de Moraes</v>
          </cell>
          <cell r="I11"/>
          <cell r="J11" t="str">
            <v>UHE Mascarenhas de Moraes</v>
          </cell>
          <cell r="K11">
            <v>0</v>
          </cell>
          <cell r="L11">
            <v>0</v>
          </cell>
          <cell r="M11">
            <v>4</v>
          </cell>
          <cell r="N11">
            <v>4</v>
          </cell>
          <cell r="O11">
            <v>500</v>
          </cell>
          <cell r="P11">
            <v>500</v>
          </cell>
          <cell r="Q11">
            <v>500</v>
          </cell>
          <cell r="R11">
            <v>500</v>
          </cell>
          <cell r="S11">
            <v>13000</v>
          </cell>
          <cell r="T11">
            <v>500</v>
          </cell>
          <cell r="U11">
            <v>500</v>
          </cell>
          <cell r="V11">
            <v>2</v>
          </cell>
          <cell r="W11">
            <v>16010</v>
          </cell>
        </row>
        <row r="12">
          <cell r="G12" t="str">
            <v>MH.6002</v>
          </cell>
          <cell r="H12" t="str">
            <v>Implantação de sistemas de limpa-grade na tomada d'água das UHE Paulo Afonso I e II</v>
          </cell>
          <cell r="I12" t="str">
            <v>Eletromecânica</v>
          </cell>
          <cell r="J12" t="str">
            <v>Diversas UHE</v>
          </cell>
          <cell r="K12">
            <v>5</v>
          </cell>
          <cell r="L12">
            <v>5</v>
          </cell>
          <cell r="M12">
            <v>5</v>
          </cell>
          <cell r="N12">
            <v>5</v>
          </cell>
          <cell r="O12">
            <v>5</v>
          </cell>
          <cell r="P12">
            <v>5</v>
          </cell>
          <cell r="Q12">
            <v>500</v>
          </cell>
          <cell r="R12">
            <v>200</v>
          </cell>
          <cell r="S12"/>
          <cell r="T12"/>
          <cell r="U12"/>
          <cell r="V12"/>
          <cell r="W12">
            <v>730</v>
          </cell>
        </row>
        <row r="13">
          <cell r="G13" t="str">
            <v>A definir</v>
          </cell>
          <cell r="H13" t="str">
            <v>Investimentos Legado Tijoá Energia</v>
          </cell>
          <cell r="I13"/>
          <cell r="J13" t="str">
            <v>UHE Três Irmãos</v>
          </cell>
          <cell r="K13">
            <v>0</v>
          </cell>
          <cell r="L13">
            <v>0</v>
          </cell>
          <cell r="M13">
            <v>0</v>
          </cell>
          <cell r="N13">
            <v>0</v>
          </cell>
          <cell r="O13">
            <v>0</v>
          </cell>
          <cell r="P13">
            <v>0</v>
          </cell>
          <cell r="Q13">
            <v>2500</v>
          </cell>
          <cell r="R13">
            <v>2750</v>
          </cell>
          <cell r="S13">
            <v>2750</v>
          </cell>
          <cell r="T13">
            <v>2730</v>
          </cell>
          <cell r="U13">
            <v>0</v>
          </cell>
          <cell r="V13">
            <v>0</v>
          </cell>
          <cell r="W13">
            <v>10730</v>
          </cell>
        </row>
        <row r="14">
          <cell r="G14" t="str">
            <v>EGSM.0002</v>
          </cell>
          <cell r="H14" t="str">
            <v>Projeto de 4G/5G</v>
          </cell>
          <cell r="I14"/>
          <cell r="J14" t="str">
            <v>Diversas UHE</v>
          </cell>
          <cell r="K14">
            <v>0</v>
          </cell>
          <cell r="L14">
            <v>0</v>
          </cell>
          <cell r="M14">
            <v>0</v>
          </cell>
          <cell r="N14">
            <v>700</v>
          </cell>
          <cell r="O14">
            <v>0</v>
          </cell>
          <cell r="P14">
            <v>0</v>
          </cell>
          <cell r="Q14">
            <v>1470</v>
          </cell>
          <cell r="R14">
            <v>6170</v>
          </cell>
          <cell r="S14">
            <v>0</v>
          </cell>
          <cell r="T14">
            <v>1470</v>
          </cell>
          <cell r="U14">
            <v>0</v>
          </cell>
          <cell r="V14">
            <v>735</v>
          </cell>
          <cell r="W14">
            <v>10545</v>
          </cell>
        </row>
        <row r="15">
          <cell r="G15" t="str">
            <v>NGHI.0077</v>
          </cell>
          <cell r="H15" t="str">
            <v>Modernização do pórtico tomada d'água da UHE Tucuruí</v>
          </cell>
          <cell r="I15" t="str">
            <v>AQUISICAO DE PORTICO PARA TOMADA D'AGUA PARA A CASA DE FORCA</v>
          </cell>
          <cell r="J15" t="str">
            <v>UHE Tucuruí</v>
          </cell>
          <cell r="K15">
            <v>0</v>
          </cell>
          <cell r="L15">
            <v>0</v>
          </cell>
          <cell r="M15">
            <v>0</v>
          </cell>
          <cell r="N15">
            <v>3500</v>
          </cell>
          <cell r="O15">
            <v>0</v>
          </cell>
          <cell r="P15">
            <v>0</v>
          </cell>
          <cell r="Q15">
            <v>0</v>
          </cell>
          <cell r="R15">
            <v>3500</v>
          </cell>
          <cell r="S15">
            <v>0</v>
          </cell>
          <cell r="T15">
            <v>3000</v>
          </cell>
          <cell r="U15">
            <v>0</v>
          </cell>
          <cell r="V15">
            <v>0</v>
          </cell>
          <cell r="W15">
            <v>10000</v>
          </cell>
        </row>
        <row r="16">
          <cell r="G16" t="str">
            <v>MH.6002</v>
          </cell>
          <cell r="H16" t="str">
            <v>Modernização do sistema de detecção de inundação de diversas usinas da Chesf</v>
          </cell>
          <cell r="I16" t="str">
            <v>Eletromecânica</v>
          </cell>
          <cell r="J16" t="str">
            <v>Diversas UHE</v>
          </cell>
          <cell r="K16">
            <v>5</v>
          </cell>
          <cell r="L16">
            <v>5</v>
          </cell>
          <cell r="M16">
            <v>300</v>
          </cell>
          <cell r="N16">
            <v>5</v>
          </cell>
          <cell r="O16">
            <v>100</v>
          </cell>
          <cell r="P16">
            <v>20</v>
          </cell>
          <cell r="Q16">
            <v>500</v>
          </cell>
          <cell r="R16">
            <v>5</v>
          </cell>
          <cell r="S16">
            <v>200</v>
          </cell>
          <cell r="T16">
            <v>400</v>
          </cell>
          <cell r="U16">
            <v>5</v>
          </cell>
          <cell r="V16">
            <v>5</v>
          </cell>
          <cell r="W16">
            <v>1550</v>
          </cell>
        </row>
        <row r="17">
          <cell r="G17" t="str">
            <v>MH.6002</v>
          </cell>
          <cell r="H17" t="str">
            <v>Aquisição de sistema de filtragem de óleo dos reguladores de velocidade de diversas usinas da Chesf</v>
          </cell>
          <cell r="I17" t="str">
            <v>Eletromecânica</v>
          </cell>
          <cell r="J17" t="str">
            <v>Diversas UHE</v>
          </cell>
          <cell r="K17">
            <v>0</v>
          </cell>
          <cell r="L17">
            <v>0</v>
          </cell>
          <cell r="M17">
            <v>0</v>
          </cell>
          <cell r="N17">
            <v>30</v>
          </cell>
          <cell r="O17">
            <v>460</v>
          </cell>
          <cell r="P17">
            <v>500</v>
          </cell>
          <cell r="Q17">
            <v>500</v>
          </cell>
          <cell r="R17">
            <v>500</v>
          </cell>
          <cell r="S17">
            <v>700</v>
          </cell>
          <cell r="T17">
            <v>460</v>
          </cell>
          <cell r="U17">
            <v>300</v>
          </cell>
          <cell r="V17">
            <v>500</v>
          </cell>
          <cell r="W17">
            <v>3950</v>
          </cell>
        </row>
        <row r="18">
          <cell r="G18" t="str">
            <v>NGHI.0154</v>
          </cell>
          <cell r="H18" t="str">
            <v>Curva CAV - UHE Tucuruí e UHE Samuel</v>
          </cell>
          <cell r="I18" t="str">
            <v>Atualização das curvas Cota x Área x Volume do reservatório</v>
          </cell>
          <cell r="J18" t="str">
            <v>UHE Tucuruí</v>
          </cell>
          <cell r="K18">
            <v>0</v>
          </cell>
          <cell r="L18">
            <v>2125</v>
          </cell>
          <cell r="M18">
            <v>0</v>
          </cell>
          <cell r="N18">
            <v>2125</v>
          </cell>
          <cell r="O18">
            <v>0</v>
          </cell>
          <cell r="P18">
            <v>2125</v>
          </cell>
          <cell r="Q18">
            <v>0</v>
          </cell>
          <cell r="R18">
            <v>2125</v>
          </cell>
          <cell r="S18">
            <v>0</v>
          </cell>
          <cell r="T18">
            <v>0</v>
          </cell>
          <cell r="U18">
            <v>0</v>
          </cell>
          <cell r="V18">
            <v>0</v>
          </cell>
          <cell r="W18">
            <v>8500</v>
          </cell>
        </row>
        <row r="19">
          <cell r="G19" t="str">
            <v>FGHI.0045</v>
          </cell>
          <cell r="H19" t="str">
            <v>Modernização dos Condutos Forçados das três (03) Unidades Geradoras da UHE Simplício</v>
          </cell>
          <cell r="I19"/>
          <cell r="J19" t="str">
            <v>UHE Simplício</v>
          </cell>
          <cell r="K19">
            <v>0</v>
          </cell>
          <cell r="L19">
            <v>0</v>
          </cell>
          <cell r="M19">
            <v>0</v>
          </cell>
          <cell r="N19">
            <v>2192.213808</v>
          </cell>
          <cell r="O19">
            <v>650.64904799999999</v>
          </cell>
          <cell r="P19">
            <v>811.55756399999996</v>
          </cell>
          <cell r="Q19">
            <v>2192.213808</v>
          </cell>
          <cell r="R19">
            <v>650.64904799999999</v>
          </cell>
          <cell r="S19">
            <v>811.55756399999996</v>
          </cell>
          <cell r="T19">
            <v>111.15916000000107</v>
          </cell>
          <cell r="U19">
            <v>500</v>
          </cell>
          <cell r="V19">
            <v>0</v>
          </cell>
          <cell r="W19">
            <v>7920</v>
          </cell>
        </row>
        <row r="20">
          <cell r="G20" t="str">
            <v>MH.6002</v>
          </cell>
          <cell r="H20" t="str">
            <v>Modernização do sistema de proteção contra incêndio dos geradores de diversas usinas da Chesf</v>
          </cell>
          <cell r="I20" t="str">
            <v>Eletromecânica</v>
          </cell>
          <cell r="J20" t="str">
            <v>Diversas UHE</v>
          </cell>
          <cell r="K20">
            <v>10</v>
          </cell>
          <cell r="L20">
            <v>10</v>
          </cell>
          <cell r="M20">
            <v>10</v>
          </cell>
          <cell r="N20">
            <v>10</v>
          </cell>
          <cell r="O20">
            <v>10</v>
          </cell>
          <cell r="P20">
            <v>10</v>
          </cell>
          <cell r="Q20">
            <v>10</v>
          </cell>
          <cell r="R20">
            <v>10</v>
          </cell>
          <cell r="S20">
            <v>10</v>
          </cell>
          <cell r="T20">
            <v>10</v>
          </cell>
          <cell r="U20">
            <v>900</v>
          </cell>
          <cell r="V20">
            <v>0</v>
          </cell>
          <cell r="W20">
            <v>1000</v>
          </cell>
        </row>
        <row r="21">
          <cell r="G21" t="str">
            <v>MH.6002</v>
          </cell>
          <cell r="H21" t="str">
            <v>Substituição do sistema de grades de retenção na tomada d'água das UHE Paulo Afonso I e III</v>
          </cell>
          <cell r="I21" t="str">
            <v>Eletromecânica</v>
          </cell>
          <cell r="J21" t="str">
            <v>Diversas UHE</v>
          </cell>
          <cell r="K21">
            <v>976</v>
          </cell>
          <cell r="L21">
            <v>150</v>
          </cell>
          <cell r="M21">
            <v>150</v>
          </cell>
          <cell r="N21">
            <v>150</v>
          </cell>
          <cell r="O21">
            <v>150</v>
          </cell>
          <cell r="P21">
            <v>150</v>
          </cell>
          <cell r="Q21">
            <v>150</v>
          </cell>
          <cell r="R21">
            <v>150</v>
          </cell>
          <cell r="S21">
            <v>150</v>
          </cell>
          <cell r="T21">
            <v>150</v>
          </cell>
          <cell r="U21">
            <v>150</v>
          </cell>
          <cell r="V21">
            <v>150</v>
          </cell>
          <cell r="W21">
            <v>2626</v>
          </cell>
        </row>
        <row r="22">
          <cell r="G22" t="str">
            <v>MH.6002</v>
          </cell>
          <cell r="H22" t="str">
            <v>Implantação de sistema de detecção de umidade no air housing (gerador) de diversas usinas da Chesf</v>
          </cell>
          <cell r="I22" t="str">
            <v>Eletromecânica</v>
          </cell>
          <cell r="J22" t="str">
            <v>Diversas UHE</v>
          </cell>
          <cell r="K22">
            <v>5</v>
          </cell>
          <cell r="L22">
            <v>5</v>
          </cell>
          <cell r="M22">
            <v>5</v>
          </cell>
          <cell r="N22">
            <v>350</v>
          </cell>
          <cell r="O22">
            <v>5</v>
          </cell>
          <cell r="P22">
            <v>100</v>
          </cell>
          <cell r="Q22">
            <v>5</v>
          </cell>
          <cell r="R22">
            <v>150</v>
          </cell>
          <cell r="S22">
            <v>5</v>
          </cell>
          <cell r="T22">
            <v>200</v>
          </cell>
          <cell r="U22">
            <v>170</v>
          </cell>
          <cell r="V22">
            <v>0</v>
          </cell>
          <cell r="W22">
            <v>1000</v>
          </cell>
        </row>
        <row r="23">
          <cell r="G23" t="str">
            <v>EGHI.0001</v>
          </cell>
          <cell r="H23" t="str">
            <v>Sistemas de Monitoramento para Unidades Geradoras SE</v>
          </cell>
          <cell r="I23" t="str">
            <v>Liga - AGVA - Sistema de monitoramento</v>
          </cell>
          <cell r="J23" t="str">
            <v>Diversas UHE</v>
          </cell>
          <cell r="K23">
            <v>0</v>
          </cell>
          <cell r="L23">
            <v>0</v>
          </cell>
          <cell r="M23">
            <v>0</v>
          </cell>
          <cell r="N23">
            <v>0</v>
          </cell>
          <cell r="O23">
            <v>2237.3745684</v>
          </cell>
          <cell r="P23">
            <v>0</v>
          </cell>
          <cell r="Q23">
            <v>0</v>
          </cell>
          <cell r="R23">
            <v>2237.3745684</v>
          </cell>
          <cell r="S23">
            <v>0</v>
          </cell>
          <cell r="T23">
            <v>0</v>
          </cell>
          <cell r="U23">
            <v>2237.3745684</v>
          </cell>
          <cell r="V23">
            <v>0</v>
          </cell>
          <cell r="W23">
            <v>6712.1237051999997</v>
          </cell>
        </row>
        <row r="24">
          <cell r="G24" t="str">
            <v>EGHI.0001</v>
          </cell>
          <cell r="H24" t="str">
            <v>Sistemas de Monitoramento para Transformadores SE</v>
          </cell>
          <cell r="I24" t="str">
            <v>Liga - AGVA - Sistema de monitoramento</v>
          </cell>
          <cell r="J24" t="str">
            <v>Diversas UHE</v>
          </cell>
          <cell r="K24">
            <v>0</v>
          </cell>
          <cell r="L24">
            <v>0</v>
          </cell>
          <cell r="M24">
            <v>0</v>
          </cell>
          <cell r="N24">
            <v>0</v>
          </cell>
          <cell r="O24">
            <v>2164.2958113333334</v>
          </cell>
          <cell r="P24">
            <v>0</v>
          </cell>
          <cell r="Q24">
            <v>0</v>
          </cell>
          <cell r="R24">
            <v>2164.2958113333334</v>
          </cell>
          <cell r="S24">
            <v>0</v>
          </cell>
          <cell r="T24">
            <v>0</v>
          </cell>
          <cell r="U24">
            <v>2164.2958113333334</v>
          </cell>
          <cell r="V24">
            <v>0</v>
          </cell>
          <cell r="W24">
            <v>6492.8874340000002</v>
          </cell>
        </row>
        <row r="25">
          <cell r="G25" t="str">
            <v>EGSM.0001</v>
          </cell>
          <cell r="H25" t="str">
            <v xml:space="preserve">Programa Guardião </v>
          </cell>
          <cell r="I25"/>
          <cell r="J25" t="str">
            <v>Diversas UHE</v>
          </cell>
          <cell r="K25">
            <v>0</v>
          </cell>
          <cell r="L25">
            <v>0</v>
          </cell>
          <cell r="M25">
            <v>0</v>
          </cell>
          <cell r="N25">
            <v>100</v>
          </cell>
          <cell r="O25">
            <v>100</v>
          </cell>
          <cell r="P25">
            <v>100</v>
          </cell>
          <cell r="Q25">
            <v>100</v>
          </cell>
          <cell r="R25">
            <v>5710.83</v>
          </cell>
          <cell r="S25">
            <v>100</v>
          </cell>
          <cell r="T25">
            <v>100</v>
          </cell>
          <cell r="U25">
            <v>100</v>
          </cell>
          <cell r="V25">
            <v>0</v>
          </cell>
          <cell r="W25">
            <v>6410.83</v>
          </cell>
        </row>
        <row r="26">
          <cell r="G26" t="str">
            <v>NGHI.0143</v>
          </cell>
          <cell r="H26" t="str">
            <v>Recuperação de cavitação e trincas nas UGHs da CF1 e CF2</v>
          </cell>
          <cell r="I26" t="str">
            <v>Contratação de empresa especializada para manutenção e reforço operacional sistema de turbina recuperação de cavitação/trincas</v>
          </cell>
          <cell r="J26" t="str">
            <v>UHE Tucuruí</v>
          </cell>
          <cell r="K26">
            <v>0</v>
          </cell>
          <cell r="L26">
            <v>0</v>
          </cell>
          <cell r="M26">
            <v>0</v>
          </cell>
          <cell r="N26">
            <v>0</v>
          </cell>
          <cell r="O26">
            <v>0</v>
          </cell>
          <cell r="P26">
            <v>0</v>
          </cell>
          <cell r="Q26">
            <v>0</v>
          </cell>
          <cell r="R26">
            <v>0</v>
          </cell>
          <cell r="S26">
            <v>2000</v>
          </cell>
          <cell r="T26">
            <v>0</v>
          </cell>
          <cell r="U26">
            <v>2000</v>
          </cell>
          <cell r="V26">
            <v>2000</v>
          </cell>
          <cell r="W26">
            <v>6000</v>
          </cell>
        </row>
        <row r="27">
          <cell r="G27" t="str">
            <v>EGHI.0003</v>
          </cell>
          <cell r="H27" t="str">
            <v>Aquisição de sobressalentes críticos (reguladores de velocidade, SDSC, Serv Auxiliares, etc) para a UHE Colíder</v>
          </cell>
          <cell r="I27"/>
          <cell r="J27" t="str">
            <v>UHE Colíder</v>
          </cell>
          <cell r="K27">
            <v>0</v>
          </cell>
          <cell r="L27">
            <v>0</v>
          </cell>
          <cell r="M27">
            <v>0</v>
          </cell>
          <cell r="N27">
            <v>0</v>
          </cell>
          <cell r="O27">
            <v>0</v>
          </cell>
          <cell r="P27">
            <v>0</v>
          </cell>
          <cell r="Q27">
            <v>0</v>
          </cell>
          <cell r="R27">
            <v>0</v>
          </cell>
          <cell r="S27">
            <v>0</v>
          </cell>
          <cell r="T27">
            <v>0</v>
          </cell>
          <cell r="U27">
            <v>0</v>
          </cell>
          <cell r="V27">
            <v>6000</v>
          </cell>
          <cell r="W27">
            <v>6000</v>
          </cell>
        </row>
        <row r="28">
          <cell r="G28" t="str">
            <v>HGHI.0006</v>
          </cell>
          <cell r="H28" t="str">
            <v>SEGREGAÇÃO DE REDES - USINAS</v>
          </cell>
          <cell r="I28" t="str">
            <v>Telecom</v>
          </cell>
          <cell r="J28" t="str">
            <v>Diversas UHE</v>
          </cell>
          <cell r="K28">
            <v>180</v>
          </cell>
          <cell r="L28">
            <v>180</v>
          </cell>
          <cell r="M28">
            <v>180</v>
          </cell>
          <cell r="N28">
            <v>180</v>
          </cell>
          <cell r="O28">
            <v>180</v>
          </cell>
          <cell r="P28">
            <v>180</v>
          </cell>
          <cell r="Q28">
            <v>180</v>
          </cell>
          <cell r="R28">
            <v>180</v>
          </cell>
          <cell r="S28">
            <v>180</v>
          </cell>
          <cell r="T28">
            <v>180</v>
          </cell>
          <cell r="U28">
            <v>180</v>
          </cell>
          <cell r="V28">
            <v>180</v>
          </cell>
          <cell r="W28">
            <v>2160</v>
          </cell>
        </row>
        <row r="29">
          <cell r="G29" t="str">
            <v>MH.6002</v>
          </cell>
          <cell r="H29" t="str">
            <v>Modernização do sistema de iluminação das UHE Paulo Afonso I, II, III e UHE Apolônio Sales</v>
          </cell>
          <cell r="I29" t="str">
            <v>Eletromecânica</v>
          </cell>
          <cell r="J29" t="str">
            <v>Diversas UHE</v>
          </cell>
          <cell r="K29">
            <v>200</v>
          </cell>
          <cell r="L29">
            <v>600</v>
          </cell>
          <cell r="M29">
            <v>800</v>
          </cell>
          <cell r="N29">
            <v>400</v>
          </cell>
          <cell r="O29">
            <v>0</v>
          </cell>
          <cell r="P29">
            <v>0</v>
          </cell>
          <cell r="Q29">
            <v>0</v>
          </cell>
          <cell r="R29">
            <v>0</v>
          </cell>
          <cell r="S29">
            <v>0</v>
          </cell>
          <cell r="T29">
            <v>0</v>
          </cell>
          <cell r="U29">
            <v>0</v>
          </cell>
          <cell r="V29">
            <v>0</v>
          </cell>
          <cell r="W29">
            <v>2000</v>
          </cell>
        </row>
        <row r="30">
          <cell r="G30" t="str">
            <v>NGHI.0099</v>
          </cell>
          <cell r="H30" t="str">
            <v>Modernização de 02 Transformadores elevadores de 69kV (UGHs 24 e 25) da UHE Tucuruí</v>
          </cell>
          <cell r="I30" t="str">
            <v xml:space="preserve">Aquisição de 2 (dois) transformadores elevadores trifásicos 69/13,8 kV – 28,75 MVA para casa de força I </v>
          </cell>
          <cell r="J30" t="str">
            <v>UHE Tucuruí</v>
          </cell>
          <cell r="K30">
            <v>0</v>
          </cell>
          <cell r="L30">
            <v>0</v>
          </cell>
          <cell r="M30">
            <v>0</v>
          </cell>
          <cell r="N30">
            <v>0</v>
          </cell>
          <cell r="O30">
            <v>0</v>
          </cell>
          <cell r="P30">
            <v>1500</v>
          </cell>
          <cell r="Q30">
            <v>0</v>
          </cell>
          <cell r="R30">
            <v>0</v>
          </cell>
          <cell r="S30">
            <v>0</v>
          </cell>
          <cell r="T30">
            <v>3500</v>
          </cell>
          <cell r="U30">
            <v>0</v>
          </cell>
          <cell r="V30">
            <v>0</v>
          </cell>
          <cell r="W30">
            <v>5000</v>
          </cell>
        </row>
        <row r="31">
          <cell r="G31" t="str">
            <v>NGHI.0141</v>
          </cell>
          <cell r="H31" t="str">
            <v>Modernização do sistema de resfriamento da UHE Tucuruí - Projeto Siri</v>
          </cell>
          <cell r="I31" t="str">
            <v>Contratação de empresa especializada para montagem, instalação e comissionamento de sistema de monitoramento da água de resfriamento e gerenciamento inteligente para 4 unidades geradoras da UHE Tucuruí.</v>
          </cell>
          <cell r="J31" t="str">
            <v>UHE Tucuruí</v>
          </cell>
          <cell r="K31">
            <v>0</v>
          </cell>
          <cell r="L31">
            <v>0</v>
          </cell>
          <cell r="M31">
            <v>0</v>
          </cell>
          <cell r="N31">
            <v>0</v>
          </cell>
          <cell r="O31">
            <v>2500</v>
          </cell>
          <cell r="P31">
            <v>0</v>
          </cell>
          <cell r="Q31">
            <v>0</v>
          </cell>
          <cell r="R31">
            <v>0</v>
          </cell>
          <cell r="S31">
            <v>0</v>
          </cell>
          <cell r="T31">
            <v>2500</v>
          </cell>
          <cell r="U31">
            <v>0</v>
          </cell>
          <cell r="V31">
            <v>0</v>
          </cell>
          <cell r="W31">
            <v>5000</v>
          </cell>
        </row>
        <row r="32">
          <cell r="G32" t="str">
            <v>NGHI.0147</v>
          </cell>
          <cell r="H32" t="str">
            <v>Modernização RVT UHE Samuel</v>
          </cell>
          <cell r="I32" t="str">
            <v>Substituição dos comandos eletrônicos, de potencia e hidráulico dos reguladores de velocidade e tensão da UHE Samuel</v>
          </cell>
          <cell r="J32" t="str">
            <v>UHE Samuel</v>
          </cell>
          <cell r="K32">
            <v>0</v>
          </cell>
          <cell r="L32">
            <v>0</v>
          </cell>
          <cell r="M32">
            <v>0</v>
          </cell>
          <cell r="N32">
            <v>0</v>
          </cell>
          <cell r="O32">
            <v>0</v>
          </cell>
          <cell r="P32">
            <v>0</v>
          </cell>
          <cell r="Q32">
            <v>0</v>
          </cell>
          <cell r="R32">
            <v>0</v>
          </cell>
          <cell r="S32">
            <v>0</v>
          </cell>
          <cell r="T32">
            <v>2000</v>
          </cell>
          <cell r="U32">
            <v>2000</v>
          </cell>
          <cell r="V32">
            <v>0</v>
          </cell>
          <cell r="W32">
            <v>4000</v>
          </cell>
        </row>
        <row r="33">
          <cell r="G33" t="str">
            <v>NGHI.0143</v>
          </cell>
          <cell r="H33" t="str">
            <v>Aquisição de um Gerador Diesel de Emergência</v>
          </cell>
          <cell r="I33" t="str">
            <v>Implantação de Grupo Gerador cabinado</v>
          </cell>
          <cell r="J33" t="str">
            <v>UHE Balbina</v>
          </cell>
          <cell r="K33">
            <v>0</v>
          </cell>
          <cell r="L33">
            <v>0</v>
          </cell>
          <cell r="M33">
            <v>0</v>
          </cell>
          <cell r="N33">
            <v>0</v>
          </cell>
          <cell r="O33">
            <v>0</v>
          </cell>
          <cell r="P33">
            <v>0</v>
          </cell>
          <cell r="Q33">
            <v>0</v>
          </cell>
          <cell r="R33">
            <v>0</v>
          </cell>
          <cell r="S33">
            <v>2000</v>
          </cell>
          <cell r="T33">
            <v>0</v>
          </cell>
          <cell r="U33">
            <v>0</v>
          </cell>
          <cell r="V33">
            <v>2000</v>
          </cell>
          <cell r="W33">
            <v>4000</v>
          </cell>
        </row>
        <row r="34">
          <cell r="G34" t="str">
            <v>MS.6002</v>
          </cell>
          <cell r="H34" t="str">
            <v>Modernização dos equipamentos de SE da UHE.</v>
          </cell>
          <cell r="I34" t="str">
            <v>Subestação</v>
          </cell>
          <cell r="J34" t="str">
            <v>Diversas UHE</v>
          </cell>
          <cell r="K34">
            <v>0</v>
          </cell>
          <cell r="L34">
            <v>0</v>
          </cell>
          <cell r="M34">
            <v>0</v>
          </cell>
          <cell r="N34">
            <v>0</v>
          </cell>
          <cell r="O34">
            <v>0</v>
          </cell>
          <cell r="P34">
            <v>0</v>
          </cell>
          <cell r="Q34">
            <v>239</v>
          </cell>
          <cell r="R34">
            <v>239</v>
          </cell>
          <cell r="S34">
            <v>239</v>
          </cell>
          <cell r="T34">
            <v>239</v>
          </cell>
          <cell r="U34">
            <v>239</v>
          </cell>
          <cell r="V34">
            <v>239</v>
          </cell>
          <cell r="W34">
            <v>1434</v>
          </cell>
        </row>
        <row r="35">
          <cell r="G35" t="str">
            <v>UH.6015</v>
          </cell>
          <cell r="H35" t="str">
            <v>Implantação de 06 Postos Hidrométricos de Calha de Rio</v>
          </cell>
          <cell r="I35" t="str">
            <v>Automação</v>
          </cell>
          <cell r="J35" t="str">
            <v>Diversas UHE</v>
          </cell>
          <cell r="K35">
            <v>0</v>
          </cell>
          <cell r="L35">
            <v>0</v>
          </cell>
          <cell r="M35">
            <v>0</v>
          </cell>
          <cell r="N35">
            <v>69</v>
          </cell>
          <cell r="O35">
            <v>0</v>
          </cell>
          <cell r="P35">
            <v>0</v>
          </cell>
          <cell r="Q35">
            <v>412</v>
          </cell>
          <cell r="R35">
            <v>427</v>
          </cell>
          <cell r="S35">
            <v>386</v>
          </cell>
          <cell r="T35">
            <v>61</v>
          </cell>
          <cell r="U35">
            <v>0</v>
          </cell>
          <cell r="V35">
            <v>0</v>
          </cell>
          <cell r="W35">
            <v>1355</v>
          </cell>
        </row>
        <row r="36">
          <cell r="G36" t="str">
            <v>FGHI.0159</v>
          </cell>
          <cell r="H36" t="str">
            <v>Recuperação estrutural da área industrial UHE Funil</v>
          </cell>
          <cell r="I36"/>
          <cell r="J36" t="str">
            <v>UHE Funil</v>
          </cell>
          <cell r="K36">
            <v>0</v>
          </cell>
          <cell r="L36">
            <v>0</v>
          </cell>
          <cell r="M36">
            <v>0</v>
          </cell>
          <cell r="N36">
            <v>800</v>
          </cell>
          <cell r="O36">
            <v>800</v>
          </cell>
          <cell r="P36">
            <v>800</v>
          </cell>
          <cell r="Q36">
            <v>800</v>
          </cell>
          <cell r="R36">
            <v>400</v>
          </cell>
          <cell r="S36">
            <v>100</v>
          </cell>
          <cell r="T36">
            <v>0</v>
          </cell>
          <cell r="U36">
            <v>0</v>
          </cell>
          <cell r="V36">
            <v>100</v>
          </cell>
          <cell r="W36">
            <v>3800</v>
          </cell>
        </row>
        <row r="37">
          <cell r="G37" t="str">
            <v>FGHI.0164</v>
          </cell>
          <cell r="H37" t="str">
            <v>Modernização dos Pórticos e Pontes Rolantes da UHE Manso</v>
          </cell>
          <cell r="I37"/>
          <cell r="J37" t="str">
            <v>UHE Manso</v>
          </cell>
          <cell r="K37">
            <v>0</v>
          </cell>
          <cell r="L37">
            <v>0</v>
          </cell>
          <cell r="M37">
            <v>0</v>
          </cell>
          <cell r="N37">
            <v>0</v>
          </cell>
          <cell r="O37">
            <v>0</v>
          </cell>
          <cell r="P37">
            <v>495.11200000000002</v>
          </cell>
          <cell r="Q37">
            <v>0</v>
          </cell>
          <cell r="R37">
            <v>1060.9549999999999</v>
          </cell>
          <cell r="S37">
            <v>0</v>
          </cell>
          <cell r="T37">
            <v>0</v>
          </cell>
          <cell r="U37">
            <v>565.84299999999996</v>
          </cell>
          <cell r="V37">
            <v>1382.5319999999999</v>
          </cell>
          <cell r="W37">
            <v>3504.442</v>
          </cell>
        </row>
        <row r="38">
          <cell r="G38" t="str">
            <v>FGHI.0103</v>
          </cell>
          <cell r="H38" t="str">
            <v>Modernização do sistema de proteção contra incêndio da UHE Simplicio</v>
          </cell>
          <cell r="I38"/>
          <cell r="J38" t="str">
            <v>UHE Simplício</v>
          </cell>
          <cell r="K38">
            <v>0</v>
          </cell>
          <cell r="L38">
            <v>0</v>
          </cell>
          <cell r="M38">
            <v>0</v>
          </cell>
          <cell r="N38">
            <v>0</v>
          </cell>
          <cell r="O38">
            <v>0</v>
          </cell>
          <cell r="P38">
            <v>1500</v>
          </cell>
          <cell r="Q38">
            <v>0</v>
          </cell>
          <cell r="R38">
            <v>200</v>
          </cell>
          <cell r="S38">
            <v>0</v>
          </cell>
          <cell r="T38">
            <v>0</v>
          </cell>
          <cell r="U38">
            <v>1800</v>
          </cell>
          <cell r="V38">
            <v>0</v>
          </cell>
          <cell r="W38">
            <v>3500</v>
          </cell>
        </row>
        <row r="39">
          <cell r="G39" t="str">
            <v>SGHI.0003</v>
          </cell>
          <cell r="H39" t="str">
            <v>Modernização da turbina Kaplan da UG02 da UHE São Domingos</v>
          </cell>
          <cell r="I39"/>
          <cell r="J39" t="str">
            <v>UHE São Domingos</v>
          </cell>
          <cell r="K39">
            <v>20</v>
          </cell>
          <cell r="L39">
            <v>20</v>
          </cell>
          <cell r="M39">
            <v>114.947</v>
          </cell>
          <cell r="N39">
            <v>170</v>
          </cell>
          <cell r="O39">
            <v>170</v>
          </cell>
          <cell r="P39">
            <v>20</v>
          </cell>
          <cell r="Q39">
            <v>20</v>
          </cell>
          <cell r="R39">
            <v>597.03399999999999</v>
          </cell>
          <cell r="S39">
            <v>448.31799999999998</v>
          </cell>
          <cell r="T39">
            <v>263.14</v>
          </cell>
          <cell r="U39">
            <v>545.53</v>
          </cell>
          <cell r="V39">
            <v>1078.6759999999999</v>
          </cell>
          <cell r="W39">
            <v>3467.645</v>
          </cell>
        </row>
        <row r="40">
          <cell r="G40" t="str">
            <v>FGHI.0159</v>
          </cell>
          <cell r="H40" t="str">
            <v>Obra - Estabilização de taludes na área industrial UHE Funil</v>
          </cell>
          <cell r="I40"/>
          <cell r="J40" t="str">
            <v>UHE Funil</v>
          </cell>
          <cell r="K40">
            <v>0</v>
          </cell>
          <cell r="L40">
            <v>0</v>
          </cell>
          <cell r="M40">
            <v>0</v>
          </cell>
          <cell r="N40">
            <v>300</v>
          </cell>
          <cell r="O40">
            <v>800</v>
          </cell>
          <cell r="P40">
            <v>800</v>
          </cell>
          <cell r="Q40">
            <v>800</v>
          </cell>
          <cell r="R40">
            <v>500</v>
          </cell>
          <cell r="S40">
            <v>200</v>
          </cell>
          <cell r="T40">
            <v>0</v>
          </cell>
          <cell r="U40">
            <v>0</v>
          </cell>
          <cell r="V40">
            <v>0</v>
          </cell>
          <cell r="W40">
            <v>3400</v>
          </cell>
        </row>
        <row r="41">
          <cell r="G41" t="str">
            <v>SGHI.0006</v>
          </cell>
          <cell r="H41" t="str">
            <v>Modernização dos reguladores de velocidade e tensão da UHE São Domingos</v>
          </cell>
          <cell r="I41"/>
          <cell r="J41" t="str">
            <v>UHE São Domingos</v>
          </cell>
          <cell r="K41">
            <v>12</v>
          </cell>
          <cell r="L41">
            <v>464.95499999999998</v>
          </cell>
          <cell r="M41">
            <v>464.95499999999998</v>
          </cell>
          <cell r="N41">
            <v>919.99999999999977</v>
          </cell>
          <cell r="O41">
            <v>933.8</v>
          </cell>
          <cell r="P41">
            <v>12</v>
          </cell>
          <cell r="Q41">
            <v>12</v>
          </cell>
          <cell r="R41">
            <v>12</v>
          </cell>
          <cell r="S41">
            <v>12</v>
          </cell>
          <cell r="T41">
            <v>342.95000000000005</v>
          </cell>
          <cell r="U41">
            <v>12</v>
          </cell>
          <cell r="V41">
            <v>12</v>
          </cell>
          <cell r="W41">
            <v>3210.66</v>
          </cell>
        </row>
        <row r="42">
          <cell r="G42" t="str">
            <v>FGHI.0098</v>
          </cell>
          <cell r="H42" t="str">
            <v>Modernização do controle dos Reguladores da UHE Luiz Carlos Barreto de Carvalho</v>
          </cell>
          <cell r="I42"/>
          <cell r="J42" t="str">
            <v>UHE Luiz Carlos Barreto de Carvalho</v>
          </cell>
          <cell r="K42">
            <v>0</v>
          </cell>
          <cell r="L42">
            <v>0</v>
          </cell>
          <cell r="M42">
            <v>408.03920794359237</v>
          </cell>
          <cell r="N42">
            <v>0</v>
          </cell>
          <cell r="O42">
            <v>0</v>
          </cell>
          <cell r="P42">
            <v>0</v>
          </cell>
          <cell r="Q42">
            <v>0</v>
          </cell>
          <cell r="R42">
            <v>0</v>
          </cell>
          <cell r="S42">
            <v>408.03920794359237</v>
          </cell>
          <cell r="T42">
            <v>50</v>
          </cell>
          <cell r="U42">
            <v>35.719543005772579</v>
          </cell>
          <cell r="V42">
            <v>2113.2020411070425</v>
          </cell>
          <cell r="W42">
            <v>3015</v>
          </cell>
        </row>
        <row r="43">
          <cell r="G43" t="str">
            <v>NGHI.0099</v>
          </cell>
          <cell r="H43" t="str">
            <v>Revitalização de transformador para a  UHE Tucurui</v>
          </cell>
          <cell r="I43" t="str">
            <v>Revitalização dos transforamadores atualmente em operação na UHE Tucuruí</v>
          </cell>
          <cell r="J43" t="str">
            <v>UHE Tucuruí</v>
          </cell>
          <cell r="K43">
            <v>0</v>
          </cell>
          <cell r="L43">
            <v>0</v>
          </cell>
          <cell r="M43">
            <v>0</v>
          </cell>
          <cell r="N43">
            <v>0</v>
          </cell>
          <cell r="O43">
            <v>0</v>
          </cell>
          <cell r="P43">
            <v>1000</v>
          </cell>
          <cell r="Q43">
            <v>0</v>
          </cell>
          <cell r="R43">
            <v>1000</v>
          </cell>
          <cell r="S43">
            <v>0</v>
          </cell>
          <cell r="T43">
            <v>1000</v>
          </cell>
          <cell r="U43">
            <v>0</v>
          </cell>
          <cell r="V43">
            <v>0</v>
          </cell>
          <cell r="W43">
            <v>3000</v>
          </cell>
        </row>
        <row r="44">
          <cell r="G44" t="str">
            <v>NGHI.0141</v>
          </cell>
          <cell r="H44" t="str">
            <v>Substituição de transformador para a UHE Curuá-Una - UGH02 e reserva</v>
          </cell>
          <cell r="I44" t="str">
            <v>Substituição de transformador para a UHE Curuá-Una</v>
          </cell>
          <cell r="J44" t="str">
            <v>UHE Curuá Una</v>
          </cell>
          <cell r="K44">
            <v>0</v>
          </cell>
          <cell r="L44">
            <v>0</v>
          </cell>
          <cell r="M44">
            <v>0</v>
          </cell>
          <cell r="N44">
            <v>0</v>
          </cell>
          <cell r="O44">
            <v>0</v>
          </cell>
          <cell r="P44">
            <v>1500</v>
          </cell>
          <cell r="Q44">
            <v>0</v>
          </cell>
          <cell r="R44">
            <v>0</v>
          </cell>
          <cell r="S44">
            <v>0</v>
          </cell>
          <cell r="T44">
            <v>1500</v>
          </cell>
          <cell r="U44">
            <v>0</v>
          </cell>
          <cell r="V44">
            <v>0</v>
          </cell>
          <cell r="W44">
            <v>3000</v>
          </cell>
        </row>
        <row r="45">
          <cell r="G45" t="str">
            <v>NGHI.0141</v>
          </cell>
          <cell r="H45" t="str">
            <v>MODERNIZAÇÃO DO RTVX DAS UGHs 01,02 e 03</v>
          </cell>
          <cell r="I45" t="str">
            <v>Modernização dos sistemas de Regulação de Tensão e Velocidade, com automatismos RTVAX POWER</v>
          </cell>
          <cell r="J45" t="str">
            <v>UHE Curuá Una</v>
          </cell>
          <cell r="K45">
            <v>0</v>
          </cell>
          <cell r="L45">
            <v>500</v>
          </cell>
          <cell r="M45">
            <v>0</v>
          </cell>
          <cell r="N45">
            <v>0</v>
          </cell>
          <cell r="O45">
            <v>0</v>
          </cell>
          <cell r="P45">
            <v>1000</v>
          </cell>
          <cell r="Q45">
            <v>0</v>
          </cell>
          <cell r="R45">
            <v>0</v>
          </cell>
          <cell r="S45">
            <v>0</v>
          </cell>
          <cell r="T45">
            <v>1500</v>
          </cell>
          <cell r="U45">
            <v>0</v>
          </cell>
          <cell r="V45">
            <v>0</v>
          </cell>
          <cell r="W45">
            <v>3000</v>
          </cell>
        </row>
        <row r="46">
          <cell r="G46" t="str">
            <v>A definir</v>
          </cell>
          <cell r="H46" t="str">
            <v>Manutenção Gerador 4 Siemens</v>
          </cell>
          <cell r="I46"/>
          <cell r="J46" t="str">
            <v>UHE Três Irmãos</v>
          </cell>
          <cell r="K46">
            <v>0</v>
          </cell>
          <cell r="L46">
            <v>0</v>
          </cell>
          <cell r="M46">
            <v>0</v>
          </cell>
          <cell r="N46">
            <v>0</v>
          </cell>
          <cell r="O46">
            <v>0</v>
          </cell>
          <cell r="P46">
            <v>0</v>
          </cell>
          <cell r="Q46">
            <v>0</v>
          </cell>
          <cell r="R46">
            <v>0</v>
          </cell>
          <cell r="S46">
            <v>0</v>
          </cell>
          <cell r="T46">
            <v>3000</v>
          </cell>
          <cell r="U46">
            <v>0</v>
          </cell>
          <cell r="V46">
            <v>0</v>
          </cell>
          <cell r="W46">
            <v>3000</v>
          </cell>
        </row>
        <row r="47">
          <cell r="G47" t="str">
            <v>NGHI.0143</v>
          </cell>
          <cell r="H47" t="str">
            <v>Modernização dos Stop Logs da UHE Tucuruí</v>
          </cell>
          <cell r="I47" t="str">
            <v>Contratação de Serviço de Revitalização dos Stop Logs das Casas de Força 01 e 02 da UHE Tucuruí.</v>
          </cell>
          <cell r="J47" t="str">
            <v>UHE Tucuruí</v>
          </cell>
          <cell r="K47">
            <v>0</v>
          </cell>
          <cell r="L47">
            <v>0</v>
          </cell>
          <cell r="M47">
            <v>745.05100000000004</v>
          </cell>
          <cell r="N47">
            <v>0</v>
          </cell>
          <cell r="O47">
            <v>0</v>
          </cell>
          <cell r="P47">
            <v>745.05100000000004</v>
          </cell>
          <cell r="Q47">
            <v>0</v>
          </cell>
          <cell r="R47">
            <v>0</v>
          </cell>
          <cell r="S47">
            <v>745.05100000000004</v>
          </cell>
          <cell r="T47">
            <v>0</v>
          </cell>
          <cell r="U47">
            <v>745.05100000000004</v>
          </cell>
          <cell r="V47">
            <v>0</v>
          </cell>
          <cell r="W47">
            <v>2980.2040000000002</v>
          </cell>
        </row>
        <row r="48">
          <cell r="G48" t="str">
            <v>MH.6002</v>
          </cell>
          <cell r="H48" t="str">
            <v>Substituição das bombas do sistema de drenagem e esgotamento de diversas usinas da Chesf</v>
          </cell>
          <cell r="I48" t="str">
            <v>Eletromecânica</v>
          </cell>
          <cell r="J48" t="str">
            <v>Diversas UHE</v>
          </cell>
          <cell r="K48">
            <v>0</v>
          </cell>
          <cell r="L48">
            <v>100</v>
          </cell>
          <cell r="M48">
            <v>100</v>
          </cell>
          <cell r="N48">
            <v>100</v>
          </cell>
          <cell r="O48">
            <v>0</v>
          </cell>
          <cell r="P48">
            <v>100</v>
          </cell>
          <cell r="Q48">
            <v>100</v>
          </cell>
          <cell r="R48">
            <v>100</v>
          </cell>
          <cell r="S48">
            <v>100</v>
          </cell>
          <cell r="T48">
            <v>100</v>
          </cell>
          <cell r="U48">
            <v>100</v>
          </cell>
          <cell r="V48">
            <v>0</v>
          </cell>
          <cell r="W48">
            <v>900</v>
          </cell>
        </row>
        <row r="49">
          <cell r="G49" t="str">
            <v>UH.6015</v>
          </cell>
          <cell r="H49" t="str">
            <v>Modernização Postos Calhas de Rio (Grupo 2)</v>
          </cell>
          <cell r="I49" t="str">
            <v>Automação</v>
          </cell>
          <cell r="J49" t="str">
            <v>Diversas UHE</v>
          </cell>
          <cell r="K49">
            <v>0</v>
          </cell>
          <cell r="L49">
            <v>0</v>
          </cell>
          <cell r="M49">
            <v>46</v>
          </cell>
          <cell r="N49">
            <v>0</v>
          </cell>
          <cell r="O49">
            <v>0</v>
          </cell>
          <cell r="P49">
            <v>351</v>
          </cell>
          <cell r="Q49">
            <v>349</v>
          </cell>
          <cell r="R49">
            <v>46</v>
          </cell>
          <cell r="S49">
            <v>0</v>
          </cell>
          <cell r="T49">
            <v>0</v>
          </cell>
          <cell r="U49">
            <v>0</v>
          </cell>
          <cell r="V49">
            <v>0</v>
          </cell>
          <cell r="W49">
            <v>792</v>
          </cell>
        </row>
        <row r="50">
          <cell r="G50" t="str">
            <v>MH.6002</v>
          </cell>
          <cell r="H50" t="str">
            <v>Modernização dos reguladores de tensão das diversas usinas da Chesf</v>
          </cell>
          <cell r="I50" t="str">
            <v>Eletromecânica</v>
          </cell>
          <cell r="J50" t="str">
            <v>Diversas UHE</v>
          </cell>
          <cell r="K50">
            <v>50</v>
          </cell>
          <cell r="L50">
            <v>50</v>
          </cell>
          <cell r="M50">
            <v>75</v>
          </cell>
          <cell r="N50">
            <v>50</v>
          </cell>
          <cell r="O50">
            <v>50</v>
          </cell>
          <cell r="P50">
            <v>75</v>
          </cell>
          <cell r="Q50">
            <v>50</v>
          </cell>
          <cell r="R50">
            <v>75</v>
          </cell>
          <cell r="S50">
            <v>50</v>
          </cell>
          <cell r="T50">
            <v>75</v>
          </cell>
          <cell r="U50">
            <v>50</v>
          </cell>
          <cell r="V50">
            <v>50</v>
          </cell>
          <cell r="W50">
            <v>700</v>
          </cell>
        </row>
        <row r="51">
          <cell r="G51" t="str">
            <v>MH.6002</v>
          </cell>
          <cell r="H51" t="str">
            <v>Modernização dos reguladores de velocidade das usinas Paulo Afonso I, II e III</v>
          </cell>
          <cell r="I51" t="str">
            <v>Eletromecânica</v>
          </cell>
          <cell r="J51" t="str">
            <v>Diversas UHE</v>
          </cell>
          <cell r="K51">
            <v>30</v>
          </cell>
          <cell r="L51">
            <v>30</v>
          </cell>
          <cell r="M51">
            <v>30</v>
          </cell>
          <cell r="N51">
            <v>30</v>
          </cell>
          <cell r="O51">
            <v>30</v>
          </cell>
          <cell r="P51">
            <v>30</v>
          </cell>
          <cell r="Q51">
            <v>30</v>
          </cell>
          <cell r="R51">
            <v>30</v>
          </cell>
          <cell r="S51">
            <v>30</v>
          </cell>
          <cell r="T51">
            <v>30</v>
          </cell>
          <cell r="U51">
            <v>30</v>
          </cell>
          <cell r="V51">
            <v>30</v>
          </cell>
          <cell r="W51">
            <v>360</v>
          </cell>
        </row>
        <row r="52">
          <cell r="G52" t="str">
            <v>FGHI.0103</v>
          </cell>
          <cell r="H52" t="str">
            <v>Modernização do Sistema de Controle da UHE Simplicio</v>
          </cell>
          <cell r="I52"/>
          <cell r="J52" t="str">
            <v>UHE Simplício</v>
          </cell>
          <cell r="K52">
            <v>0</v>
          </cell>
          <cell r="L52">
            <v>1272.011</v>
          </cell>
          <cell r="M52">
            <v>190.148</v>
          </cell>
          <cell r="N52">
            <v>0</v>
          </cell>
          <cell r="O52">
            <v>0</v>
          </cell>
          <cell r="P52">
            <v>462.12099999999998</v>
          </cell>
          <cell r="Q52">
            <v>80.27</v>
          </cell>
          <cell r="R52">
            <v>80.27</v>
          </cell>
          <cell r="S52">
            <v>401.74599999999998</v>
          </cell>
          <cell r="T52">
            <v>160.541</v>
          </cell>
          <cell r="U52">
            <v>80.27</v>
          </cell>
          <cell r="V52">
            <v>120.676</v>
          </cell>
          <cell r="W52">
            <v>2848.0529999999999</v>
          </cell>
        </row>
        <row r="53">
          <cell r="G53" t="str">
            <v>HSTC.0003</v>
          </cell>
          <cell r="H53" t="str">
            <v>MUX SDH - Fase 3 -Usinas</v>
          </cell>
          <cell r="I53" t="str">
            <v>Telecom</v>
          </cell>
          <cell r="J53" t="str">
            <v>Diversas UHE</v>
          </cell>
          <cell r="K53">
            <v>0</v>
          </cell>
          <cell r="L53">
            <v>0</v>
          </cell>
          <cell r="M53">
            <v>0</v>
          </cell>
          <cell r="N53">
            <v>0</v>
          </cell>
          <cell r="O53">
            <v>0</v>
          </cell>
          <cell r="P53">
            <v>5</v>
          </cell>
          <cell r="Q53">
            <v>0</v>
          </cell>
          <cell r="R53">
            <v>0</v>
          </cell>
          <cell r="S53">
            <v>125</v>
          </cell>
          <cell r="T53">
            <v>90</v>
          </cell>
          <cell r="U53">
            <v>100</v>
          </cell>
          <cell r="V53">
            <v>0</v>
          </cell>
          <cell r="W53">
            <v>320</v>
          </cell>
        </row>
        <row r="54">
          <cell r="G54" t="str">
            <v>MH.6002</v>
          </cell>
          <cell r="H54" t="str">
            <v>Revitalização de transformadores elevadores para diversas usinas Chesf</v>
          </cell>
          <cell r="I54" t="str">
            <v>Eletromecânica</v>
          </cell>
          <cell r="J54" t="str">
            <v>Diversas UHE</v>
          </cell>
          <cell r="K54">
            <v>20</v>
          </cell>
          <cell r="L54">
            <v>20</v>
          </cell>
          <cell r="M54">
            <v>20</v>
          </cell>
          <cell r="N54">
            <v>20</v>
          </cell>
          <cell r="O54">
            <v>20</v>
          </cell>
          <cell r="P54">
            <v>20</v>
          </cell>
          <cell r="Q54">
            <v>20</v>
          </cell>
          <cell r="R54">
            <v>20</v>
          </cell>
          <cell r="S54">
            <v>20</v>
          </cell>
          <cell r="T54">
            <v>20</v>
          </cell>
          <cell r="U54">
            <v>20</v>
          </cell>
          <cell r="V54">
            <v>20</v>
          </cell>
          <cell r="W54">
            <v>240</v>
          </cell>
        </row>
        <row r="55">
          <cell r="G55" t="str">
            <v>MH.6002</v>
          </cell>
          <cell r="H55" t="str">
            <v>Modernização de vertedouros das diversas usinas da Chesf</v>
          </cell>
          <cell r="I55" t="str">
            <v>Eletromecânica</v>
          </cell>
          <cell r="J55" t="str">
            <v>Diversas UHE</v>
          </cell>
          <cell r="K55">
            <v>20</v>
          </cell>
          <cell r="L55">
            <v>20</v>
          </cell>
          <cell r="M55">
            <v>20</v>
          </cell>
          <cell r="N55">
            <v>20</v>
          </cell>
          <cell r="O55">
            <v>20</v>
          </cell>
          <cell r="P55">
            <v>20</v>
          </cell>
          <cell r="Q55">
            <v>20</v>
          </cell>
          <cell r="R55">
            <v>20</v>
          </cell>
          <cell r="S55">
            <v>20</v>
          </cell>
          <cell r="T55">
            <v>20</v>
          </cell>
          <cell r="U55">
            <v>20</v>
          </cell>
          <cell r="V55">
            <v>20</v>
          </cell>
          <cell r="W55">
            <v>240</v>
          </cell>
        </row>
        <row r="56">
          <cell r="G56" t="str">
            <v>SGHI.0006</v>
          </cell>
          <cell r="H56" t="str">
            <v>Modernização dos reguladores de velocidade e tensão da UHE Passo São João</v>
          </cell>
          <cell r="I56"/>
          <cell r="J56" t="str">
            <v>UHE Passo São João</v>
          </cell>
          <cell r="K56">
            <v>12</v>
          </cell>
          <cell r="L56">
            <v>12</v>
          </cell>
          <cell r="M56">
            <v>12</v>
          </cell>
          <cell r="N56">
            <v>991.30000000000007</v>
          </cell>
          <cell r="O56">
            <v>509.12499999999994</v>
          </cell>
          <cell r="P56">
            <v>253.66800000000001</v>
          </cell>
          <cell r="Q56">
            <v>355.6</v>
          </cell>
          <cell r="R56">
            <v>12</v>
          </cell>
          <cell r="S56">
            <v>12</v>
          </cell>
          <cell r="T56">
            <v>12</v>
          </cell>
          <cell r="U56">
            <v>316.5</v>
          </cell>
          <cell r="V56">
            <v>116.14999999999999</v>
          </cell>
          <cell r="W56">
            <v>2614.3430000000003</v>
          </cell>
        </row>
        <row r="57">
          <cell r="G57" t="str">
            <v>A definir</v>
          </cell>
          <cell r="H57" t="str">
            <v>Modernização dos sistemas Auxiliares Elétricos da UHE Três Irmãos</v>
          </cell>
          <cell r="I57"/>
          <cell r="J57" t="str">
            <v>UHE Três Irmãos</v>
          </cell>
          <cell r="K57">
            <v>0</v>
          </cell>
          <cell r="L57">
            <v>0</v>
          </cell>
          <cell r="M57">
            <v>0</v>
          </cell>
          <cell r="N57">
            <v>0</v>
          </cell>
          <cell r="O57">
            <v>0</v>
          </cell>
          <cell r="P57">
            <v>0</v>
          </cell>
          <cell r="Q57">
            <v>0</v>
          </cell>
          <cell r="R57">
            <v>500</v>
          </cell>
          <cell r="S57">
            <v>500</v>
          </cell>
          <cell r="T57">
            <v>500</v>
          </cell>
          <cell r="U57">
            <v>500</v>
          </cell>
          <cell r="V57">
            <v>500</v>
          </cell>
          <cell r="W57">
            <v>2500</v>
          </cell>
        </row>
        <row r="58">
          <cell r="G58" t="str">
            <v>FGHI.0163</v>
          </cell>
          <cell r="H58" t="str">
            <v>Retrofit  das pás das turbinas das Unidades Geradoras UHE Luiz Carlos Barreto de Carvalho</v>
          </cell>
          <cell r="I58"/>
          <cell r="J58" t="str">
            <v>UHE Luiz Carlos Barreto de Carvalho</v>
          </cell>
          <cell r="K58">
            <v>0</v>
          </cell>
          <cell r="L58">
            <v>0</v>
          </cell>
          <cell r="M58">
            <v>0</v>
          </cell>
          <cell r="N58">
            <v>0</v>
          </cell>
          <cell r="O58">
            <v>0</v>
          </cell>
          <cell r="P58">
            <v>0</v>
          </cell>
          <cell r="Q58">
            <v>2500</v>
          </cell>
          <cell r="R58">
            <v>0</v>
          </cell>
          <cell r="S58">
            <v>0</v>
          </cell>
          <cell r="T58">
            <v>0</v>
          </cell>
          <cell r="U58">
            <v>0</v>
          </cell>
          <cell r="V58">
            <v>0</v>
          </cell>
          <cell r="W58">
            <v>2500</v>
          </cell>
        </row>
        <row r="59">
          <cell r="G59" t="str">
            <v>MH.6002</v>
          </cell>
          <cell r="H59" t="str">
            <v>Implantação de elevadores na UHE Boa Esperança e PCH Funil</v>
          </cell>
          <cell r="I59" t="str">
            <v>Eletromecânica</v>
          </cell>
          <cell r="J59" t="str">
            <v>Diversas UHE</v>
          </cell>
          <cell r="K59">
            <v>0</v>
          </cell>
          <cell r="L59">
            <v>0</v>
          </cell>
          <cell r="M59">
            <v>0</v>
          </cell>
          <cell r="N59">
            <v>0</v>
          </cell>
          <cell r="O59">
            <v>0</v>
          </cell>
          <cell r="P59">
            <v>0</v>
          </cell>
          <cell r="Q59">
            <v>0</v>
          </cell>
          <cell r="R59">
            <v>0</v>
          </cell>
          <cell r="S59">
            <v>0</v>
          </cell>
          <cell r="T59">
            <v>0</v>
          </cell>
          <cell r="U59">
            <v>0</v>
          </cell>
          <cell r="V59">
            <v>0</v>
          </cell>
          <cell r="W59">
            <v>0</v>
          </cell>
        </row>
        <row r="60">
          <cell r="G60" t="str">
            <v>NSTC.0044</v>
          </cell>
          <cell r="H60" t="str">
            <v>SISTEMA DE ALIMENTAÇÃO -48VCC</v>
          </cell>
          <cell r="I60" t="str">
            <v>Implantação de Alimentação -48VCC</v>
          </cell>
          <cell r="J60" t="str">
            <v>UHE Curuá Una</v>
          </cell>
          <cell r="K60">
            <v>0</v>
          </cell>
          <cell r="L60">
            <v>0</v>
          </cell>
          <cell r="M60">
            <v>565.5</v>
          </cell>
          <cell r="N60">
            <v>0</v>
          </cell>
          <cell r="O60">
            <v>0</v>
          </cell>
          <cell r="P60">
            <v>565.5</v>
          </cell>
          <cell r="Q60">
            <v>0</v>
          </cell>
          <cell r="R60">
            <v>0</v>
          </cell>
          <cell r="S60">
            <v>565.5</v>
          </cell>
          <cell r="T60">
            <v>0</v>
          </cell>
          <cell r="U60">
            <v>0</v>
          </cell>
          <cell r="V60">
            <v>565.5</v>
          </cell>
          <cell r="W60">
            <v>2262</v>
          </cell>
        </row>
        <row r="61">
          <cell r="G61" t="str">
            <v>MH.6002</v>
          </cell>
          <cell r="H61" t="str">
            <v>Implantação dos sistemas de drenagem das plataformas da EOL Casa Nova A</v>
          </cell>
          <cell r="I61" t="str">
            <v>Civil - Geração</v>
          </cell>
          <cell r="J61" t="str">
            <v>EOL Casa Nova A</v>
          </cell>
          <cell r="K61">
            <v>0</v>
          </cell>
          <cell r="L61">
            <v>0</v>
          </cell>
          <cell r="M61">
            <v>0</v>
          </cell>
          <cell r="N61">
            <v>0</v>
          </cell>
          <cell r="O61">
            <v>0</v>
          </cell>
          <cell r="P61">
            <v>0</v>
          </cell>
          <cell r="Q61">
            <v>121.625</v>
          </cell>
          <cell r="R61">
            <v>121.625</v>
          </cell>
          <cell r="S61">
            <v>121.625</v>
          </cell>
          <cell r="T61">
            <v>121.625</v>
          </cell>
          <cell r="U61">
            <v>121.625</v>
          </cell>
          <cell r="V61">
            <v>121.625</v>
          </cell>
          <cell r="W61">
            <v>729.75</v>
          </cell>
        </row>
        <row r="62">
          <cell r="G62" t="str">
            <v>MH.6002</v>
          </cell>
          <cell r="H62" t="str">
            <v>Implantação dos sistemas de drenagem das plataformas da EOL GPEXPAN</v>
          </cell>
          <cell r="I62" t="str">
            <v>Civil - Geração</v>
          </cell>
          <cell r="J62" t="str">
            <v>EOL Pindaí</v>
          </cell>
          <cell r="K62">
            <v>0</v>
          </cell>
          <cell r="L62">
            <v>0</v>
          </cell>
          <cell r="M62">
            <v>0</v>
          </cell>
          <cell r="N62">
            <v>136.48879547217376</v>
          </cell>
          <cell r="O62">
            <v>294.59644813174219</v>
          </cell>
          <cell r="P62">
            <v>393.02075830453816</v>
          </cell>
          <cell r="Q62">
            <v>448.45777235022638</v>
          </cell>
          <cell r="R62">
            <v>462.99715579716548</v>
          </cell>
          <cell r="S62">
            <v>436.2347988868313</v>
          </cell>
          <cell r="T62">
            <v>366.97930457587677</v>
          </cell>
          <cell r="U62">
            <v>253.75176968533953</v>
          </cell>
          <cell r="V62">
            <v>94.973196796106464</v>
          </cell>
          <cell r="W62">
            <v>2887.5</v>
          </cell>
        </row>
        <row r="63">
          <cell r="G63" t="str">
            <v>FGHI.0011</v>
          </cell>
          <cell r="H63" t="str">
            <v>Modernização dos Módulos das UAC de Controle das Unidades Geradoras da UHE Manso</v>
          </cell>
          <cell r="I63"/>
          <cell r="J63" t="str">
            <v>UHE Manso</v>
          </cell>
          <cell r="K63">
            <v>0</v>
          </cell>
          <cell r="L63">
            <v>70.103999999999999</v>
          </cell>
          <cell r="M63">
            <v>101.711</v>
          </cell>
          <cell r="N63">
            <v>0</v>
          </cell>
          <cell r="O63">
            <v>1270.2639999999999</v>
          </cell>
          <cell r="P63">
            <v>0</v>
          </cell>
          <cell r="Q63">
            <v>0</v>
          </cell>
          <cell r="R63">
            <v>237.327</v>
          </cell>
          <cell r="S63">
            <v>203.423</v>
          </cell>
          <cell r="T63">
            <v>54.246000000000002</v>
          </cell>
          <cell r="U63">
            <v>100</v>
          </cell>
          <cell r="V63">
            <v>0</v>
          </cell>
          <cell r="W63">
            <v>2037.075</v>
          </cell>
        </row>
        <row r="64">
          <cell r="G64" t="str">
            <v>NGHI.0143</v>
          </cell>
          <cell r="H64" t="str">
            <v>Modernização das estruturas metálicas da UHE Tucuruí</v>
          </cell>
          <cell r="I64" t="str">
            <v>Contratação de serviço para Revitalização de Estruturas Metálicas das partes metálicas da UHE Tucuruí. (Termo aditivo previsto VT)</v>
          </cell>
          <cell r="J64" t="str">
            <v>UHE Tucuruí</v>
          </cell>
          <cell r="K64">
            <v>166.66666666666666</v>
          </cell>
          <cell r="L64">
            <v>166.66666666666666</v>
          </cell>
          <cell r="M64">
            <v>166.66666666666666</v>
          </cell>
          <cell r="N64">
            <v>166.66666666666666</v>
          </cell>
          <cell r="O64">
            <v>166.66666666666666</v>
          </cell>
          <cell r="P64">
            <v>166.66666666666666</v>
          </cell>
          <cell r="Q64">
            <v>166.66666666666666</v>
          </cell>
          <cell r="R64">
            <v>166.66666666666666</v>
          </cell>
          <cell r="S64">
            <v>166.66666666666666</v>
          </cell>
          <cell r="T64">
            <v>166.66666666666666</v>
          </cell>
          <cell r="U64">
            <v>166.66666666666666</v>
          </cell>
          <cell r="V64">
            <v>166.66666666666666</v>
          </cell>
          <cell r="W64">
            <v>2000.0000000000002</v>
          </cell>
        </row>
        <row r="65">
          <cell r="G65" t="str">
            <v>MH.6002</v>
          </cell>
          <cell r="H65" t="str">
            <v>Modernização do sistema de drenagem dos taludes da EOL Pindaí</v>
          </cell>
          <cell r="I65" t="str">
            <v>Civil - Geração</v>
          </cell>
          <cell r="J65" t="str">
            <v>EOL Pindaí</v>
          </cell>
          <cell r="K65">
            <v>0</v>
          </cell>
          <cell r="L65">
            <v>0</v>
          </cell>
          <cell r="M65">
            <v>0</v>
          </cell>
          <cell r="N65">
            <v>136.48879547217376</v>
          </cell>
          <cell r="O65">
            <v>294.59644813174219</v>
          </cell>
          <cell r="P65">
            <v>393.02075830453816</v>
          </cell>
          <cell r="Q65">
            <v>448.45777235022638</v>
          </cell>
          <cell r="R65">
            <v>462.99715579716548</v>
          </cell>
          <cell r="S65">
            <v>436.2347988868313</v>
          </cell>
          <cell r="T65">
            <v>366.97930457587677</v>
          </cell>
          <cell r="U65">
            <v>253.75176968533953</v>
          </cell>
          <cell r="V65">
            <v>94.973196796106464</v>
          </cell>
          <cell r="W65">
            <v>2887.5</v>
          </cell>
        </row>
        <row r="66">
          <cell r="G66" t="str">
            <v>NGHI.0141</v>
          </cell>
          <cell r="H66" t="str">
            <v>Modernização Pórtico UHE Tucuruí</v>
          </cell>
          <cell r="I66" t="str">
            <v>Modernização dos pórticos de Jusante e montante da UHE Tucuruí</v>
          </cell>
          <cell r="J66" t="str">
            <v>UHE Tucuruí</v>
          </cell>
          <cell r="K66">
            <v>0</v>
          </cell>
          <cell r="L66">
            <v>0</v>
          </cell>
          <cell r="M66">
            <v>0</v>
          </cell>
          <cell r="N66">
            <v>0</v>
          </cell>
          <cell r="O66">
            <v>0</v>
          </cell>
          <cell r="P66">
            <v>0</v>
          </cell>
          <cell r="Q66">
            <v>0</v>
          </cell>
          <cell r="R66">
            <v>0</v>
          </cell>
          <cell r="S66">
            <v>0</v>
          </cell>
          <cell r="T66">
            <v>0</v>
          </cell>
          <cell r="U66">
            <v>2000</v>
          </cell>
          <cell r="V66">
            <v>0</v>
          </cell>
          <cell r="W66">
            <v>2000</v>
          </cell>
        </row>
        <row r="67">
          <cell r="G67" t="str">
            <v>FGHI.0156</v>
          </cell>
          <cell r="H67" t="str">
            <v>Retrofit - modernização das rodas das comportas tomada d'água</v>
          </cell>
          <cell r="I67"/>
          <cell r="J67" t="str">
            <v>UHE Simplício</v>
          </cell>
          <cell r="K67">
            <v>100</v>
          </cell>
          <cell r="L67">
            <v>50</v>
          </cell>
          <cell r="M67">
            <v>200</v>
          </cell>
          <cell r="N67">
            <v>200</v>
          </cell>
          <cell r="O67">
            <v>200</v>
          </cell>
          <cell r="P67">
            <v>200</v>
          </cell>
          <cell r="Q67">
            <v>200</v>
          </cell>
          <cell r="R67">
            <v>200</v>
          </cell>
          <cell r="S67">
            <v>200</v>
          </cell>
          <cell r="T67">
            <v>200</v>
          </cell>
          <cell r="U67">
            <v>200</v>
          </cell>
          <cell r="V67">
            <v>50</v>
          </cell>
          <cell r="W67">
            <v>2000</v>
          </cell>
        </row>
        <row r="68">
          <cell r="G68" t="str">
            <v>FGHI.0103</v>
          </cell>
          <cell r="H68" t="str">
            <v>Modernização do controle dos reguladores de tensão da UHE Manso</v>
          </cell>
          <cell r="I68"/>
          <cell r="J68" t="str">
            <v>UHE Manso</v>
          </cell>
          <cell r="K68">
            <v>0</v>
          </cell>
          <cell r="L68" t="str">
            <v>-</v>
          </cell>
          <cell r="M68">
            <v>120</v>
          </cell>
          <cell r="N68">
            <v>0</v>
          </cell>
          <cell r="O68" t="str">
            <v>-</v>
          </cell>
          <cell r="P68">
            <v>35</v>
          </cell>
          <cell r="Q68" t="str">
            <v>-</v>
          </cell>
          <cell r="R68">
            <v>922</v>
          </cell>
          <cell r="S68">
            <v>192</v>
          </cell>
          <cell r="T68">
            <v>128</v>
          </cell>
          <cell r="U68">
            <v>20</v>
          </cell>
          <cell r="V68">
            <v>573.41</v>
          </cell>
          <cell r="W68">
            <v>1990.4099999999999</v>
          </cell>
        </row>
        <row r="69">
          <cell r="G69" t="str">
            <v>FGHI.0098</v>
          </cell>
          <cell r="H69" t="str">
            <v>Modernização do sistema de resfriamento dos geradores da UHE Marimbondo</v>
          </cell>
          <cell r="I69"/>
          <cell r="J69" t="str">
            <v>UHE Marimbondo</v>
          </cell>
          <cell r="K69">
            <v>0</v>
          </cell>
          <cell r="L69">
            <v>0</v>
          </cell>
          <cell r="M69">
            <v>0</v>
          </cell>
          <cell r="N69">
            <v>0</v>
          </cell>
          <cell r="O69">
            <v>1913.6</v>
          </cell>
          <cell r="P69">
            <v>0</v>
          </cell>
          <cell r="Q69">
            <v>0</v>
          </cell>
          <cell r="R69">
            <v>0</v>
          </cell>
          <cell r="S69">
            <v>0</v>
          </cell>
          <cell r="T69">
            <v>0</v>
          </cell>
          <cell r="U69">
            <v>50</v>
          </cell>
          <cell r="V69">
            <v>0</v>
          </cell>
          <cell r="W69">
            <v>1963.6</v>
          </cell>
        </row>
        <row r="70">
          <cell r="G70" t="str">
            <v>NGHI.0143</v>
          </cell>
          <cell r="H70" t="str">
            <v>Aquisição de 02 (duas) válvulas de isolamento motorizadas de 10” para aplicação no sistema de injeção de ar de rebaixamento da Central AN 01 - UGH 02</v>
          </cell>
          <cell r="I70" t="str">
            <v>Alteração no sistema de acionamento de manual para motorizado - Celebrado o contratopara fornecimento de 08 válvula - Fornecedor: RTS Indústria e Comércio de Válvulas Ltda</v>
          </cell>
          <cell r="J70" t="str">
            <v>UHE Tucuruí</v>
          </cell>
          <cell r="K70">
            <v>0</v>
          </cell>
          <cell r="L70">
            <v>0</v>
          </cell>
          <cell r="M70">
            <v>300</v>
          </cell>
          <cell r="N70">
            <v>0</v>
          </cell>
          <cell r="O70">
            <v>0</v>
          </cell>
          <cell r="P70">
            <v>424.33600000000001</v>
          </cell>
          <cell r="Q70">
            <v>0</v>
          </cell>
          <cell r="R70">
            <v>400</v>
          </cell>
          <cell r="S70">
            <v>0</v>
          </cell>
          <cell r="T70">
            <v>0</v>
          </cell>
          <cell r="U70">
            <v>0</v>
          </cell>
          <cell r="V70">
            <v>700</v>
          </cell>
          <cell r="W70">
            <v>1824.336</v>
          </cell>
        </row>
        <row r="71">
          <cell r="G71" t="str">
            <v>NGHI.0146</v>
          </cell>
          <cell r="H71" t="str">
            <v>Implantação do sistema de injeção química para combate ao mexilhão dourado na UHE Tucuruí</v>
          </cell>
          <cell r="I71" t="str">
            <v>Fornecimento de sistema de injeção automático e controle analítico on-line para dosagem de hipoclorito de cálcio 65% em tabletes de lenta dissolução, com fornecimento de materiais, equipamentos e mão de obra para tratamento da água de resfriamento da UHE Tucuruí, nas Casas de Força I, II e Auxiliares em sistemas de dosagem independentes</v>
          </cell>
          <cell r="J71" t="str">
            <v>UHE Tucuruí</v>
          </cell>
          <cell r="K71">
            <v>0</v>
          </cell>
          <cell r="L71">
            <v>0</v>
          </cell>
          <cell r="M71">
            <v>0</v>
          </cell>
          <cell r="N71">
            <v>900</v>
          </cell>
          <cell r="O71">
            <v>0</v>
          </cell>
          <cell r="P71">
            <v>0</v>
          </cell>
          <cell r="Q71">
            <v>0</v>
          </cell>
          <cell r="R71">
            <v>0</v>
          </cell>
          <cell r="S71">
            <v>900</v>
          </cell>
          <cell r="T71">
            <v>0</v>
          </cell>
          <cell r="U71">
            <v>0</v>
          </cell>
          <cell r="V71">
            <v>0</v>
          </cell>
          <cell r="W71">
            <v>1800</v>
          </cell>
        </row>
        <row r="72">
          <cell r="G72" t="str">
            <v>MH.6002</v>
          </cell>
          <cell r="H72" t="str">
            <v>Expansão da rede de fibra óptica do EOL Pindaí</v>
          </cell>
          <cell r="I72" t="str">
            <v>Eletromecânica</v>
          </cell>
          <cell r="J72" t="str">
            <v>EOL Pindaí</v>
          </cell>
          <cell r="K72">
            <v>0</v>
          </cell>
          <cell r="L72">
            <v>0</v>
          </cell>
          <cell r="M72">
            <v>0</v>
          </cell>
          <cell r="N72">
            <v>300</v>
          </cell>
          <cell r="O72">
            <v>300</v>
          </cell>
          <cell r="P72">
            <v>300</v>
          </cell>
          <cell r="Q72">
            <v>100</v>
          </cell>
          <cell r="R72">
            <v>100</v>
          </cell>
          <cell r="S72">
            <v>100</v>
          </cell>
          <cell r="T72">
            <v>0</v>
          </cell>
          <cell r="U72">
            <v>0</v>
          </cell>
          <cell r="V72">
            <v>0</v>
          </cell>
          <cell r="W72">
            <v>1200</v>
          </cell>
        </row>
        <row r="73">
          <cell r="G73" t="str">
            <v>A definir</v>
          </cell>
          <cell r="H73" t="str">
            <v>Diagnóstico e Recomposição de Trafos Elevadores</v>
          </cell>
          <cell r="I73"/>
          <cell r="J73" t="str">
            <v>UHE Três Irmãos</v>
          </cell>
          <cell r="K73">
            <v>0</v>
          </cell>
          <cell r="L73">
            <v>0</v>
          </cell>
          <cell r="M73">
            <v>0</v>
          </cell>
          <cell r="N73">
            <v>0</v>
          </cell>
          <cell r="O73">
            <v>0</v>
          </cell>
          <cell r="P73">
            <v>0</v>
          </cell>
          <cell r="Q73">
            <v>200</v>
          </cell>
          <cell r="R73">
            <v>300</v>
          </cell>
          <cell r="S73">
            <v>300</v>
          </cell>
          <cell r="T73">
            <v>300</v>
          </cell>
          <cell r="U73">
            <v>300</v>
          </cell>
          <cell r="V73">
            <v>300</v>
          </cell>
          <cell r="W73">
            <v>1700</v>
          </cell>
        </row>
        <row r="74">
          <cell r="G74" t="str">
            <v>NGHI.0143</v>
          </cell>
          <cell r="H74" t="str">
            <v xml:space="preserve">Aquisição de compressores para aplicação no sistema de ar de rebaixamento </v>
          </cell>
          <cell r="I74" t="str">
            <v>Instalação de novos equipamentos nas centrais s - Processo está na fase de contratação.</v>
          </cell>
          <cell r="J74" t="str">
            <v>UHE Tucuruí</v>
          </cell>
          <cell r="K74">
            <v>0</v>
          </cell>
          <cell r="L74">
            <v>0</v>
          </cell>
          <cell r="M74">
            <v>840</v>
          </cell>
          <cell r="N74">
            <v>0</v>
          </cell>
          <cell r="O74">
            <v>840</v>
          </cell>
          <cell r="P74">
            <v>0</v>
          </cell>
          <cell r="Q74">
            <v>0</v>
          </cell>
          <cell r="R74">
            <v>0</v>
          </cell>
          <cell r="S74">
            <v>0</v>
          </cell>
          <cell r="T74">
            <v>0</v>
          </cell>
          <cell r="U74">
            <v>0</v>
          </cell>
          <cell r="V74">
            <v>0</v>
          </cell>
          <cell r="W74">
            <v>1680</v>
          </cell>
        </row>
        <row r="75">
          <cell r="G75" t="str">
            <v>FGHI.0156</v>
          </cell>
          <cell r="H75" t="str">
            <v>Obra - Adequação as Normas da Segurança do Trabalho - Instalação de defensas metálicas</v>
          </cell>
          <cell r="I75"/>
          <cell r="J75" t="str">
            <v>UHE Simplício</v>
          </cell>
          <cell r="K75">
            <v>0</v>
          </cell>
          <cell r="L75">
            <v>0</v>
          </cell>
          <cell r="M75">
            <v>0</v>
          </cell>
          <cell r="N75">
            <v>300</v>
          </cell>
          <cell r="O75">
            <v>400</v>
          </cell>
          <cell r="P75">
            <v>300</v>
          </cell>
          <cell r="Q75">
            <v>300</v>
          </cell>
          <cell r="R75">
            <v>300</v>
          </cell>
          <cell r="S75">
            <v>0</v>
          </cell>
          <cell r="T75">
            <v>0</v>
          </cell>
          <cell r="U75">
            <v>0</v>
          </cell>
          <cell r="V75">
            <v>0</v>
          </cell>
          <cell r="W75">
            <v>1600</v>
          </cell>
        </row>
        <row r="76">
          <cell r="G76" t="str">
            <v>FGHI.0011</v>
          </cell>
          <cell r="H76" t="str">
            <v>Modernização dos filtros separadores de sedimento da UHE Manso - TC 4500085995 - Alterado pelo valor contratado no SAP</v>
          </cell>
          <cell r="I76"/>
          <cell r="J76" t="str">
            <v>UHE Manso</v>
          </cell>
          <cell r="K76">
            <v>0</v>
          </cell>
          <cell r="L76">
            <v>0</v>
          </cell>
          <cell r="M76">
            <v>0</v>
          </cell>
          <cell r="N76">
            <v>0</v>
          </cell>
          <cell r="O76">
            <v>0</v>
          </cell>
          <cell r="P76">
            <v>1505</v>
          </cell>
          <cell r="Q76">
            <v>0</v>
          </cell>
          <cell r="R76">
            <v>0</v>
          </cell>
          <cell r="S76">
            <v>0</v>
          </cell>
          <cell r="T76">
            <v>0</v>
          </cell>
          <cell r="U76">
            <v>50</v>
          </cell>
          <cell r="V76">
            <v>0</v>
          </cell>
          <cell r="W76">
            <v>1555</v>
          </cell>
        </row>
        <row r="77">
          <cell r="G77" t="str">
            <v>MH.6002</v>
          </cell>
          <cell r="H77" t="str">
            <v>Modernização do sistema de enchimento do adutor da PCH Funil</v>
          </cell>
          <cell r="I77" t="str">
            <v>Eletromecânica</v>
          </cell>
          <cell r="J77" t="str">
            <v>PCH Funil</v>
          </cell>
          <cell r="K77">
            <v>50</v>
          </cell>
          <cell r="L77">
            <v>50</v>
          </cell>
          <cell r="M77">
            <v>50</v>
          </cell>
          <cell r="N77">
            <v>80</v>
          </cell>
          <cell r="O77">
            <v>0</v>
          </cell>
          <cell r="P77">
            <v>0</v>
          </cell>
          <cell r="Q77">
            <v>0</v>
          </cell>
          <cell r="R77">
            <v>450</v>
          </cell>
          <cell r="S77">
            <v>0</v>
          </cell>
          <cell r="T77">
            <v>0</v>
          </cell>
          <cell r="U77">
            <v>0</v>
          </cell>
          <cell r="V77">
            <v>0</v>
          </cell>
          <cell r="W77">
            <v>680</v>
          </cell>
        </row>
        <row r="78">
          <cell r="G78" t="str">
            <v>MH.6002</v>
          </cell>
          <cell r="H78" t="str">
            <v>Modernização do sistema de drenagem da PCH Funil</v>
          </cell>
          <cell r="I78" t="str">
            <v>Eletromecânica</v>
          </cell>
          <cell r="J78" t="str">
            <v>PCH Funil</v>
          </cell>
          <cell r="K78">
            <v>0</v>
          </cell>
          <cell r="L78">
            <v>80</v>
          </cell>
          <cell r="M78">
            <v>80</v>
          </cell>
          <cell r="N78">
            <v>80</v>
          </cell>
          <cell r="O78">
            <v>0</v>
          </cell>
          <cell r="P78">
            <v>0</v>
          </cell>
          <cell r="Q78">
            <v>0</v>
          </cell>
          <cell r="R78">
            <v>0</v>
          </cell>
          <cell r="S78">
            <v>0</v>
          </cell>
          <cell r="T78">
            <v>0</v>
          </cell>
          <cell r="U78">
            <v>0</v>
          </cell>
          <cell r="V78">
            <v>0</v>
          </cell>
          <cell r="W78">
            <v>240</v>
          </cell>
        </row>
        <row r="79">
          <cell r="G79" t="str">
            <v>NGHI.0023</v>
          </cell>
          <cell r="H79" t="str">
            <v>Modernização do sistema auto-limpante de água industrial da UHE Tucuruí</v>
          </cell>
          <cell r="I79" t="str">
            <v>Fornecimento, retirada de equipamento em operação, adequação, instalação e comissionamento de filtros autolimpantes multielementos com sistema Flushing e Backflushing, totalmente automático, com corpo construído em chapas de Aço Carbono ASTM A285-C e elementos em inox 304, 316 ou superior, no âmbito da Superintendência de Produção da Geração Hidráulica – OGH.</v>
          </cell>
          <cell r="J79" t="str">
            <v>UHE Tucuruí</v>
          </cell>
          <cell r="K79">
            <v>0</v>
          </cell>
          <cell r="L79">
            <v>0</v>
          </cell>
          <cell r="M79">
            <v>0</v>
          </cell>
          <cell r="N79">
            <v>0</v>
          </cell>
          <cell r="O79">
            <v>0</v>
          </cell>
          <cell r="P79">
            <v>0</v>
          </cell>
          <cell r="Q79">
            <v>500</v>
          </cell>
          <cell r="R79">
            <v>0</v>
          </cell>
          <cell r="S79">
            <v>0</v>
          </cell>
          <cell r="T79">
            <v>500</v>
          </cell>
          <cell r="U79">
            <v>0</v>
          </cell>
          <cell r="V79">
            <v>500</v>
          </cell>
          <cell r="W79">
            <v>1500</v>
          </cell>
        </row>
        <row r="80">
          <cell r="G80" t="str">
            <v>NGHI.0141</v>
          </cell>
          <cell r="H80" t="str">
            <v>Aquisição de um Gerador Diesel de Emergência para a CFII da UHE Tucuruí</v>
          </cell>
          <cell r="I80"/>
          <cell r="J80" t="str">
            <v>UHE Tucuruí</v>
          </cell>
          <cell r="K80">
            <v>0</v>
          </cell>
          <cell r="L80">
            <v>0</v>
          </cell>
          <cell r="M80">
            <v>0</v>
          </cell>
          <cell r="N80">
            <v>0</v>
          </cell>
          <cell r="O80">
            <v>500</v>
          </cell>
          <cell r="P80">
            <v>0</v>
          </cell>
          <cell r="Q80">
            <v>500</v>
          </cell>
          <cell r="R80">
            <v>0</v>
          </cell>
          <cell r="S80">
            <v>500</v>
          </cell>
          <cell r="T80">
            <v>0</v>
          </cell>
          <cell r="U80">
            <v>0</v>
          </cell>
          <cell r="V80">
            <v>0</v>
          </cell>
          <cell r="W80">
            <v>1500</v>
          </cell>
        </row>
        <row r="81">
          <cell r="G81" t="str">
            <v>MH.6002</v>
          </cell>
          <cell r="H81" t="str">
            <v>Aquisição de 02 retificadores para a PCH Funil</v>
          </cell>
          <cell r="I81" t="str">
            <v>Eletromecânica</v>
          </cell>
          <cell r="J81" t="str">
            <v>PCH Funil</v>
          </cell>
          <cell r="K81">
            <v>0</v>
          </cell>
          <cell r="L81">
            <v>0</v>
          </cell>
          <cell r="M81">
            <v>0</v>
          </cell>
          <cell r="N81">
            <v>0</v>
          </cell>
          <cell r="O81">
            <v>0</v>
          </cell>
          <cell r="P81">
            <v>0</v>
          </cell>
          <cell r="Q81">
            <v>0</v>
          </cell>
          <cell r="R81">
            <v>0</v>
          </cell>
          <cell r="S81">
            <v>50</v>
          </cell>
          <cell r="T81">
            <v>10</v>
          </cell>
          <cell r="U81">
            <v>70</v>
          </cell>
          <cell r="V81">
            <v>10</v>
          </cell>
          <cell r="W81">
            <v>140</v>
          </cell>
        </row>
        <row r="82">
          <cell r="G82" t="str">
            <v>FGHI.0011</v>
          </cell>
          <cell r="H82" t="str">
            <v>Modernização dos Relés de Sincronismo para as Unidades Geradoras da UHE Manso</v>
          </cell>
          <cell r="I82"/>
          <cell r="J82" t="str">
            <v>UHE Manso</v>
          </cell>
          <cell r="K82">
            <v>0</v>
          </cell>
          <cell r="L82">
            <v>0</v>
          </cell>
          <cell r="M82">
            <v>50.375</v>
          </cell>
          <cell r="N82">
            <v>71.198999999999998</v>
          </cell>
          <cell r="O82">
            <v>47.465000000000003</v>
          </cell>
          <cell r="P82">
            <v>889.18499999999995</v>
          </cell>
          <cell r="Q82">
            <v>0</v>
          </cell>
          <cell r="R82">
            <v>0</v>
          </cell>
          <cell r="S82">
            <v>166.12899999999999</v>
          </cell>
          <cell r="T82">
            <v>71.197999999999993</v>
          </cell>
          <cell r="U82">
            <v>109.17</v>
          </cell>
          <cell r="V82">
            <v>0</v>
          </cell>
          <cell r="W82">
            <v>1404.721</v>
          </cell>
        </row>
        <row r="83">
          <cell r="G83" t="str">
            <v>MH.6002</v>
          </cell>
          <cell r="H83" t="str">
            <v>Modernização das unidades hidráulicas das comporta da PCH Pedra</v>
          </cell>
          <cell r="I83" t="str">
            <v>Eletromecânica</v>
          </cell>
          <cell r="J83" t="str">
            <v>PCH Pedra</v>
          </cell>
          <cell r="K83">
            <v>10</v>
          </cell>
          <cell r="L83">
            <v>10</v>
          </cell>
          <cell r="M83">
            <v>20</v>
          </cell>
          <cell r="N83">
            <v>60</v>
          </cell>
          <cell r="O83">
            <v>300</v>
          </cell>
          <cell r="P83">
            <v>100</v>
          </cell>
          <cell r="Q83">
            <v>100</v>
          </cell>
          <cell r="R83">
            <v>500</v>
          </cell>
          <cell r="S83">
            <v>200</v>
          </cell>
          <cell r="T83">
            <v>0</v>
          </cell>
          <cell r="U83">
            <v>0</v>
          </cell>
          <cell r="V83">
            <v>0</v>
          </cell>
          <cell r="W83">
            <v>1300</v>
          </cell>
        </row>
        <row r="84">
          <cell r="G84" t="str">
            <v>FGHI.0001</v>
          </cell>
          <cell r="H84" t="str">
            <v>Modernização do controle dos Reguladores de tensão da UHE Corumbá</v>
          </cell>
          <cell r="I84"/>
          <cell r="J84" t="str">
            <v>UHE Corumbá</v>
          </cell>
          <cell r="K84">
            <v>0</v>
          </cell>
          <cell r="L84">
            <v>0</v>
          </cell>
          <cell r="M84">
            <v>0</v>
          </cell>
          <cell r="N84">
            <v>0</v>
          </cell>
          <cell r="O84">
            <v>0</v>
          </cell>
          <cell r="P84">
            <v>963.34444444444443</v>
          </cell>
          <cell r="Q84">
            <v>0</v>
          </cell>
          <cell r="R84">
            <v>0</v>
          </cell>
          <cell r="S84">
            <v>337.17055555555555</v>
          </cell>
          <cell r="T84">
            <v>0</v>
          </cell>
          <cell r="U84">
            <v>50</v>
          </cell>
          <cell r="V84">
            <v>0</v>
          </cell>
          <cell r="W84">
            <v>1350.5149999999999</v>
          </cell>
        </row>
        <row r="85">
          <cell r="G85" t="str">
            <v>FGHI.0001</v>
          </cell>
          <cell r="H85" t="str">
            <v>Modernização do controle dos reguladores de velocidade da UHE Corumbá</v>
          </cell>
          <cell r="I85"/>
          <cell r="J85" t="str">
            <v>UHE Corumbá</v>
          </cell>
          <cell r="K85">
            <v>0</v>
          </cell>
          <cell r="L85">
            <v>0</v>
          </cell>
          <cell r="M85">
            <v>0</v>
          </cell>
          <cell r="N85">
            <v>0</v>
          </cell>
          <cell r="O85">
            <v>0</v>
          </cell>
          <cell r="P85">
            <v>963.34444444444443</v>
          </cell>
          <cell r="Q85">
            <v>0</v>
          </cell>
          <cell r="R85">
            <v>0</v>
          </cell>
          <cell r="S85">
            <v>337.17055555555555</v>
          </cell>
          <cell r="T85">
            <v>0</v>
          </cell>
          <cell r="U85">
            <v>50</v>
          </cell>
          <cell r="V85">
            <v>0</v>
          </cell>
          <cell r="W85">
            <v>1350.5149999999999</v>
          </cell>
        </row>
        <row r="86">
          <cell r="G86" t="str">
            <v>MH.6002</v>
          </cell>
          <cell r="H86" t="str">
            <v>Modernização dos motores das comportas das PCH Pedra</v>
          </cell>
          <cell r="I86" t="str">
            <v>Eletromecânica</v>
          </cell>
          <cell r="J86" t="str">
            <v>PCH Pedra</v>
          </cell>
          <cell r="K86">
            <v>80</v>
          </cell>
          <cell r="L86">
            <v>80</v>
          </cell>
          <cell r="M86">
            <v>80</v>
          </cell>
          <cell r="N86">
            <v>30</v>
          </cell>
          <cell r="O86">
            <v>10</v>
          </cell>
          <cell r="P86">
            <v>10</v>
          </cell>
          <cell r="Q86">
            <v>10</v>
          </cell>
          <cell r="R86">
            <v>10</v>
          </cell>
          <cell r="S86">
            <v>10</v>
          </cell>
          <cell r="T86">
            <v>10</v>
          </cell>
          <cell r="U86">
            <v>10</v>
          </cell>
          <cell r="V86">
            <v>10</v>
          </cell>
          <cell r="W86">
            <v>350</v>
          </cell>
        </row>
        <row r="87">
          <cell r="G87" t="str">
            <v>MH.6002</v>
          </cell>
          <cell r="H87" t="str">
            <v>Implantação de sistema indicador de posição das comporta do vertedouro da PCH Pedra</v>
          </cell>
          <cell r="I87" t="str">
            <v>Eletromecânica</v>
          </cell>
          <cell r="J87" t="str">
            <v>PCH Pedra</v>
          </cell>
          <cell r="K87">
            <v>80</v>
          </cell>
          <cell r="L87">
            <v>80</v>
          </cell>
          <cell r="M87">
            <v>80</v>
          </cell>
          <cell r="N87">
            <v>30</v>
          </cell>
          <cell r="O87">
            <v>10</v>
          </cell>
          <cell r="P87">
            <v>10</v>
          </cell>
          <cell r="Q87">
            <v>10</v>
          </cell>
          <cell r="R87">
            <v>10</v>
          </cell>
          <cell r="S87">
            <v>10</v>
          </cell>
          <cell r="T87">
            <v>10</v>
          </cell>
          <cell r="U87">
            <v>10</v>
          </cell>
          <cell r="V87">
            <v>10</v>
          </cell>
          <cell r="W87">
            <v>350</v>
          </cell>
        </row>
        <row r="88">
          <cell r="G88" t="str">
            <v>A definir</v>
          </cell>
          <cell r="H88" t="str">
            <v>Modernização dos sistemas Auxiliares Mecânicos da UHE Três Irmãos</v>
          </cell>
          <cell r="I88"/>
          <cell r="J88" t="str">
            <v>UHE Três Irmãos</v>
          </cell>
          <cell r="K88">
            <v>0</v>
          </cell>
          <cell r="L88">
            <v>0</v>
          </cell>
          <cell r="M88">
            <v>0</v>
          </cell>
          <cell r="N88">
            <v>0</v>
          </cell>
          <cell r="O88">
            <v>0</v>
          </cell>
          <cell r="P88">
            <v>0</v>
          </cell>
          <cell r="Q88">
            <v>300</v>
          </cell>
          <cell r="R88">
            <v>200</v>
          </cell>
          <cell r="S88">
            <v>200</v>
          </cell>
          <cell r="T88">
            <v>200</v>
          </cell>
          <cell r="U88">
            <v>200</v>
          </cell>
          <cell r="V88">
            <v>200</v>
          </cell>
          <cell r="W88">
            <v>1300</v>
          </cell>
        </row>
        <row r="89">
          <cell r="G89" t="str">
            <v>FGHI.0160</v>
          </cell>
          <cell r="H89" t="str">
            <v>Modernização de 16 comportas de manutenção do canal de fuga UHE Furnas</v>
          </cell>
          <cell r="I89"/>
          <cell r="J89" t="str">
            <v>UHE Furnas</v>
          </cell>
          <cell r="K89">
            <v>50</v>
          </cell>
          <cell r="L89">
            <v>0</v>
          </cell>
          <cell r="M89">
            <v>0</v>
          </cell>
          <cell r="N89">
            <v>0</v>
          </cell>
          <cell r="O89">
            <v>0</v>
          </cell>
          <cell r="P89">
            <v>0</v>
          </cell>
          <cell r="Q89">
            <v>0</v>
          </cell>
          <cell r="R89">
            <v>250</v>
          </cell>
          <cell r="S89">
            <v>250</v>
          </cell>
          <cell r="T89">
            <v>250</v>
          </cell>
          <cell r="U89">
            <v>250</v>
          </cell>
          <cell r="V89">
            <v>250</v>
          </cell>
          <cell r="W89">
            <v>1300</v>
          </cell>
        </row>
        <row r="90">
          <cell r="G90" t="str">
            <v>MH.6002</v>
          </cell>
          <cell r="H90" t="str">
            <v>Modernização da estação de tratamento de água (ETA) da PCH Pedra</v>
          </cell>
          <cell r="I90" t="str">
            <v>Eletromecânica</v>
          </cell>
          <cell r="J90" t="str">
            <v>PCH Pedra</v>
          </cell>
          <cell r="K90">
            <v>0</v>
          </cell>
          <cell r="L90">
            <v>0</v>
          </cell>
          <cell r="M90">
            <v>0</v>
          </cell>
          <cell r="N90">
            <v>110</v>
          </cell>
          <cell r="O90">
            <v>80</v>
          </cell>
          <cell r="P90">
            <v>10</v>
          </cell>
          <cell r="Q90">
            <v>0</v>
          </cell>
          <cell r="R90">
            <v>0</v>
          </cell>
          <cell r="S90">
            <v>0</v>
          </cell>
          <cell r="T90">
            <v>0</v>
          </cell>
          <cell r="U90">
            <v>0</v>
          </cell>
          <cell r="V90">
            <v>15</v>
          </cell>
          <cell r="W90">
            <v>215</v>
          </cell>
        </row>
        <row r="91">
          <cell r="G91" t="str">
            <v>MH.6002</v>
          </cell>
          <cell r="H91" t="str">
            <v>Aquisição de 02 retificadores para a PCH Pedra</v>
          </cell>
          <cell r="I91" t="str">
            <v>Eletromecânica</v>
          </cell>
          <cell r="J91" t="str">
            <v>PCH Pedra</v>
          </cell>
          <cell r="K91">
            <v>0</v>
          </cell>
          <cell r="L91">
            <v>0</v>
          </cell>
          <cell r="M91">
            <v>0</v>
          </cell>
          <cell r="N91">
            <v>0</v>
          </cell>
          <cell r="O91">
            <v>0</v>
          </cell>
          <cell r="P91">
            <v>0</v>
          </cell>
          <cell r="Q91">
            <v>0</v>
          </cell>
          <cell r="R91">
            <v>0</v>
          </cell>
          <cell r="S91">
            <v>50</v>
          </cell>
          <cell r="T91">
            <v>10</v>
          </cell>
          <cell r="U91">
            <v>70</v>
          </cell>
          <cell r="V91">
            <v>10</v>
          </cell>
          <cell r="W91">
            <v>140</v>
          </cell>
        </row>
        <row r="92">
          <cell r="G92" t="str">
            <v>EGHI.0003</v>
          </cell>
          <cell r="H92" t="str">
            <v>UHE Colíder - Modernização do pórtico e ponte rolante</v>
          </cell>
          <cell r="I92"/>
          <cell r="J92" t="str">
            <v>UHE Colíder</v>
          </cell>
          <cell r="K92">
            <v>0</v>
          </cell>
          <cell r="L92">
            <v>0</v>
          </cell>
          <cell r="M92">
            <v>0</v>
          </cell>
          <cell r="N92">
            <v>0</v>
          </cell>
          <cell r="O92">
            <v>0</v>
          </cell>
          <cell r="P92">
            <v>0</v>
          </cell>
          <cell r="Q92">
            <v>0</v>
          </cell>
          <cell r="R92">
            <v>0</v>
          </cell>
          <cell r="S92">
            <v>0</v>
          </cell>
          <cell r="T92">
            <v>0</v>
          </cell>
          <cell r="U92">
            <v>0</v>
          </cell>
          <cell r="V92">
            <v>1100</v>
          </cell>
          <cell r="W92">
            <v>1100</v>
          </cell>
        </row>
        <row r="93">
          <cell r="G93" t="str">
            <v>FGHI.0164</v>
          </cell>
          <cell r="H93" t="str">
            <v>UHE Manso - Obra - Adequação civil das estruturas e acessos da casa de força</v>
          </cell>
          <cell r="I93"/>
          <cell r="J93" t="str">
            <v>UHE Manso</v>
          </cell>
          <cell r="K93">
            <v>0</v>
          </cell>
          <cell r="L93">
            <v>0</v>
          </cell>
          <cell r="M93">
            <v>0</v>
          </cell>
          <cell r="N93">
            <v>0</v>
          </cell>
          <cell r="O93">
            <v>250</v>
          </cell>
          <cell r="P93">
            <v>250</v>
          </cell>
          <cell r="Q93">
            <v>250</v>
          </cell>
          <cell r="R93">
            <v>250</v>
          </cell>
          <cell r="S93">
            <v>0</v>
          </cell>
          <cell r="T93">
            <v>0</v>
          </cell>
          <cell r="U93">
            <v>0</v>
          </cell>
          <cell r="V93">
            <v>100</v>
          </cell>
          <cell r="W93">
            <v>1100</v>
          </cell>
        </row>
        <row r="94">
          <cell r="G94" t="str">
            <v>A definir</v>
          </cell>
          <cell r="H94" t="str">
            <v>Diagnóstico Turbinas</v>
          </cell>
          <cell r="I94"/>
          <cell r="J94" t="str">
            <v>UHE Três Irmãos</v>
          </cell>
          <cell r="K94">
            <v>0</v>
          </cell>
          <cell r="L94">
            <v>0</v>
          </cell>
          <cell r="M94">
            <v>0</v>
          </cell>
          <cell r="N94">
            <v>0</v>
          </cell>
          <cell r="O94">
            <v>0</v>
          </cell>
          <cell r="P94">
            <v>0</v>
          </cell>
          <cell r="Q94">
            <v>50</v>
          </cell>
          <cell r="R94">
            <v>200</v>
          </cell>
          <cell r="S94">
            <v>200</v>
          </cell>
          <cell r="T94">
            <v>200</v>
          </cell>
          <cell r="U94">
            <v>200</v>
          </cell>
          <cell r="V94">
            <v>200</v>
          </cell>
          <cell r="W94">
            <v>1050</v>
          </cell>
        </row>
        <row r="95">
          <cell r="G95" t="str">
            <v>SGEO.0004</v>
          </cell>
          <cell r="H95" t="str">
            <v>Aquisição de 5 cubículos de 34,5 kV para acomodação de pára-raios para Eólica Coxilha Seca</v>
          </cell>
          <cell r="I95"/>
          <cell r="J95" t="str">
            <v>Eólica Coxilha Seca</v>
          </cell>
          <cell r="K95">
            <v>0</v>
          </cell>
          <cell r="L95">
            <v>0</v>
          </cell>
          <cell r="M95">
            <v>0</v>
          </cell>
          <cell r="N95">
            <v>0</v>
          </cell>
          <cell r="O95">
            <v>0</v>
          </cell>
          <cell r="P95">
            <v>0</v>
          </cell>
          <cell r="Q95">
            <v>0</v>
          </cell>
          <cell r="R95">
            <v>216</v>
          </cell>
          <cell r="S95">
            <v>0</v>
          </cell>
          <cell r="T95">
            <v>0</v>
          </cell>
          <cell r="U95">
            <v>0</v>
          </cell>
          <cell r="V95">
            <v>824</v>
          </cell>
          <cell r="W95">
            <v>1040</v>
          </cell>
        </row>
        <row r="96">
          <cell r="G96" t="str">
            <v>MH.6002</v>
          </cell>
          <cell r="H96" t="str">
            <v>Aquisição da Interface Homem-Máquina do sistema supervisório da PCH Pedra</v>
          </cell>
          <cell r="I96" t="str">
            <v>Eletromecânica</v>
          </cell>
          <cell r="J96" t="str">
            <v>PCH Pedra</v>
          </cell>
          <cell r="K96">
            <v>0</v>
          </cell>
          <cell r="L96">
            <v>0</v>
          </cell>
          <cell r="M96">
            <v>0</v>
          </cell>
          <cell r="N96">
            <v>0</v>
          </cell>
          <cell r="O96">
            <v>70</v>
          </cell>
          <cell r="P96">
            <v>0</v>
          </cell>
          <cell r="Q96">
            <v>55</v>
          </cell>
          <cell r="R96">
            <v>0</v>
          </cell>
          <cell r="S96">
            <v>0</v>
          </cell>
          <cell r="T96">
            <v>0</v>
          </cell>
          <cell r="U96">
            <v>0</v>
          </cell>
          <cell r="V96">
            <v>0</v>
          </cell>
          <cell r="W96">
            <v>125</v>
          </cell>
        </row>
        <row r="97">
          <cell r="G97" t="str">
            <v>MH.6002</v>
          </cell>
          <cell r="H97" t="str">
            <v>Implantação de um Gerador Diesel de Emergência para a UHE Apolônio Sales</v>
          </cell>
          <cell r="I97" t="str">
            <v>Eletromecânica</v>
          </cell>
          <cell r="J97" t="str">
            <v>UHE Apolônio Sales</v>
          </cell>
          <cell r="K97">
            <v>40</v>
          </cell>
          <cell r="L97">
            <v>2400</v>
          </cell>
          <cell r="M97">
            <v>280</v>
          </cell>
          <cell r="N97">
            <v>2400</v>
          </cell>
          <cell r="O97">
            <v>160</v>
          </cell>
          <cell r="P97">
            <v>470</v>
          </cell>
          <cell r="Q97">
            <v>250</v>
          </cell>
          <cell r="R97">
            <v>300</v>
          </cell>
          <cell r="S97">
            <v>1000</v>
          </cell>
          <cell r="T97">
            <v>0</v>
          </cell>
          <cell r="U97">
            <v>0</v>
          </cell>
          <cell r="V97">
            <v>0</v>
          </cell>
          <cell r="W97">
            <v>7300</v>
          </cell>
        </row>
        <row r="98">
          <cell r="G98" t="str">
            <v>MH.6002</v>
          </cell>
          <cell r="H98" t="str">
            <v>Modernização do supervisório prévia à teleassistência da UHE Boa Esperança</v>
          </cell>
          <cell r="I98" t="str">
            <v>Eletromecânica</v>
          </cell>
          <cell r="J98" t="str">
            <v>UHE Boa Esperança</v>
          </cell>
          <cell r="K98">
            <v>5</v>
          </cell>
          <cell r="L98">
            <v>5</v>
          </cell>
          <cell r="M98">
            <v>15</v>
          </cell>
          <cell r="N98">
            <v>10</v>
          </cell>
          <cell r="O98">
            <v>315</v>
          </cell>
          <cell r="P98">
            <v>220</v>
          </cell>
          <cell r="Q98">
            <v>1015</v>
          </cell>
          <cell r="R98">
            <v>1015</v>
          </cell>
          <cell r="S98">
            <v>15</v>
          </cell>
          <cell r="T98">
            <v>15</v>
          </cell>
          <cell r="U98">
            <v>35</v>
          </cell>
          <cell r="V98">
            <v>35</v>
          </cell>
          <cell r="W98">
            <v>2700</v>
          </cell>
        </row>
        <row r="99">
          <cell r="G99" t="str">
            <v>NGHI.0143</v>
          </cell>
          <cell r="H99" t="str">
            <v>Aquisição das rodas das comportas de emergência da UHE Tucuruí</v>
          </cell>
          <cell r="I99" t="str">
            <v>Substituição das rodas das comportas de emergência</v>
          </cell>
          <cell r="J99" t="str">
            <v>UHE Tucuruí</v>
          </cell>
          <cell r="K99">
            <v>0</v>
          </cell>
          <cell r="L99">
            <v>0</v>
          </cell>
          <cell r="M99">
            <v>0</v>
          </cell>
          <cell r="N99">
            <v>0</v>
          </cell>
          <cell r="O99">
            <v>0</v>
          </cell>
          <cell r="P99">
            <v>0</v>
          </cell>
          <cell r="Q99">
            <v>0</v>
          </cell>
          <cell r="R99">
            <v>0</v>
          </cell>
          <cell r="S99">
            <v>0</v>
          </cell>
          <cell r="T99">
            <v>0</v>
          </cell>
          <cell r="U99">
            <v>1000</v>
          </cell>
          <cell r="V99">
            <v>0</v>
          </cell>
          <cell r="W99">
            <v>1000</v>
          </cell>
        </row>
        <row r="100">
          <cell r="G100" t="str">
            <v>NGHI.0141</v>
          </cell>
          <cell r="H100" t="str">
            <v xml:space="preserve">Sistema SPCI água nebulizada tanques diesel GDE 01, 02,03,04.05,06 e 07 </v>
          </cell>
          <cell r="I100" t="str">
            <v>Implantação de SPCI por água nebulizada nos GDE's da UHE Tucuruí</v>
          </cell>
          <cell r="J100" t="str">
            <v>UHE Tucuruí</v>
          </cell>
          <cell r="K100">
            <v>0</v>
          </cell>
          <cell r="L100">
            <v>0</v>
          </cell>
          <cell r="M100">
            <v>450</v>
          </cell>
          <cell r="N100">
            <v>0</v>
          </cell>
          <cell r="O100">
            <v>550</v>
          </cell>
          <cell r="P100">
            <v>0</v>
          </cell>
          <cell r="Q100">
            <v>0</v>
          </cell>
          <cell r="R100">
            <v>0</v>
          </cell>
          <cell r="S100">
            <v>0</v>
          </cell>
          <cell r="T100">
            <v>0</v>
          </cell>
          <cell r="U100">
            <v>0</v>
          </cell>
          <cell r="V100">
            <v>0</v>
          </cell>
          <cell r="W100">
            <v>1000</v>
          </cell>
        </row>
        <row r="101">
          <cell r="G101" t="str">
            <v>NGHI.0141</v>
          </cell>
          <cell r="H101" t="str">
            <v xml:space="preserve">Modernização da instrumentação da UHE Curuá-Una CUUGH01, 02 e 03 </v>
          </cell>
          <cell r="I101" t="str">
            <v>Substituição de equipamentos com fim de vida util</v>
          </cell>
          <cell r="J101" t="str">
            <v>UHE Curuá Una</v>
          </cell>
          <cell r="K101">
            <v>0</v>
          </cell>
          <cell r="L101">
            <v>0</v>
          </cell>
          <cell r="M101">
            <v>0</v>
          </cell>
          <cell r="N101">
            <v>0</v>
          </cell>
          <cell r="O101">
            <v>0</v>
          </cell>
          <cell r="P101">
            <v>0</v>
          </cell>
          <cell r="Q101">
            <v>0</v>
          </cell>
          <cell r="R101">
            <v>1000</v>
          </cell>
          <cell r="S101">
            <v>0</v>
          </cell>
          <cell r="T101">
            <v>0</v>
          </cell>
          <cell r="U101">
            <v>0</v>
          </cell>
          <cell r="V101">
            <v>0</v>
          </cell>
          <cell r="W101">
            <v>1000</v>
          </cell>
        </row>
        <row r="102">
          <cell r="G102" t="str">
            <v>NGHI.0141</v>
          </cell>
          <cell r="H102" t="str">
            <v xml:space="preserve">Modernização de transformadores 13,8/440V para alimentação Vertedouro e serviço auxiliar da UHE Tucuruí </v>
          </cell>
          <cell r="I102" t="str">
            <v>Aquisição de Transformadores de 13,8/440V para alimentação Vertedouro e Serviço auxiliar</v>
          </cell>
          <cell r="J102" t="str">
            <v>UHE Tucuruí</v>
          </cell>
          <cell r="K102">
            <v>0</v>
          </cell>
          <cell r="L102">
            <v>0</v>
          </cell>
          <cell r="M102">
            <v>0</v>
          </cell>
          <cell r="N102">
            <v>0</v>
          </cell>
          <cell r="O102">
            <v>0</v>
          </cell>
          <cell r="P102">
            <v>0</v>
          </cell>
          <cell r="Q102">
            <v>0</v>
          </cell>
          <cell r="R102">
            <v>0</v>
          </cell>
          <cell r="S102">
            <v>1000</v>
          </cell>
          <cell r="T102">
            <v>0</v>
          </cell>
          <cell r="U102">
            <v>0</v>
          </cell>
          <cell r="V102">
            <v>0</v>
          </cell>
          <cell r="W102">
            <v>1000</v>
          </cell>
        </row>
        <row r="103">
          <cell r="G103" t="str">
            <v>NGHI.0141</v>
          </cell>
          <cell r="H103" t="str">
            <v>Modernização do cubículo de  6,9kV para a UHE Curuá-Una</v>
          </cell>
          <cell r="I103" t="str">
            <v>Modernização do disjuntor 6,9kV</v>
          </cell>
          <cell r="J103" t="str">
            <v>UHE Curuá Una</v>
          </cell>
          <cell r="K103">
            <v>0</v>
          </cell>
          <cell r="L103">
            <v>0</v>
          </cell>
          <cell r="M103">
            <v>0</v>
          </cell>
          <cell r="N103">
            <v>0</v>
          </cell>
          <cell r="O103">
            <v>0</v>
          </cell>
          <cell r="P103">
            <v>0</v>
          </cell>
          <cell r="Q103">
            <v>0</v>
          </cell>
          <cell r="R103">
            <v>0</v>
          </cell>
          <cell r="S103">
            <v>500</v>
          </cell>
          <cell r="T103">
            <v>0</v>
          </cell>
          <cell r="U103">
            <v>0</v>
          </cell>
          <cell r="V103">
            <v>500</v>
          </cell>
          <cell r="W103">
            <v>1000</v>
          </cell>
        </row>
        <row r="104">
          <cell r="G104" t="str">
            <v>NGHI.0143</v>
          </cell>
          <cell r="H104" t="str">
            <v>Modernização do sistema de resfriamento dos mancais da CFI da UHE Tucuruí</v>
          </cell>
          <cell r="I104" t="str">
            <v>Conjunto de motobombas, trocadores de calor, válvulas, instrumenção etc., para os sistemas do MGG, MGT e ME.</v>
          </cell>
          <cell r="J104" t="str">
            <v>UHE Tucuruí</v>
          </cell>
          <cell r="K104">
            <v>0</v>
          </cell>
          <cell r="L104"/>
          <cell r="M104">
            <v>0</v>
          </cell>
          <cell r="N104">
            <v>500</v>
          </cell>
          <cell r="O104">
            <v>0</v>
          </cell>
          <cell r="P104">
            <v>0</v>
          </cell>
          <cell r="Q104">
            <v>0</v>
          </cell>
          <cell r="R104">
            <v>500</v>
          </cell>
          <cell r="S104">
            <v>0</v>
          </cell>
          <cell r="T104">
            <v>0</v>
          </cell>
          <cell r="U104">
            <v>0</v>
          </cell>
          <cell r="V104">
            <v>0</v>
          </cell>
          <cell r="W104">
            <v>1000</v>
          </cell>
        </row>
        <row r="105">
          <cell r="G105" t="str">
            <v>NGHI.0091</v>
          </cell>
          <cell r="H105" t="str">
            <v>Recuperação da comporta 17 do Vertedouro da UHE Tucuruí</v>
          </cell>
          <cell r="I105" t="str">
            <v>Contratação de empresa para de fabricação, fornecimento e instalação do painel inferior, acrescido dos serviços de recuperação da soleira inferior,da Comporta de Segmento no 17 do Vertedouro da UHE Tucuruí.</v>
          </cell>
          <cell r="J105" t="str">
            <v>UHE Tucuruí</v>
          </cell>
          <cell r="K105">
            <v>0</v>
          </cell>
          <cell r="L105">
            <v>0</v>
          </cell>
          <cell r="M105">
            <v>1000</v>
          </cell>
          <cell r="N105">
            <v>0</v>
          </cell>
          <cell r="O105">
            <v>0</v>
          </cell>
          <cell r="P105">
            <v>0</v>
          </cell>
          <cell r="Q105">
            <v>0</v>
          </cell>
          <cell r="R105">
            <v>0</v>
          </cell>
          <cell r="S105">
            <v>0</v>
          </cell>
          <cell r="T105">
            <v>0</v>
          </cell>
          <cell r="U105">
            <v>0</v>
          </cell>
          <cell r="V105">
            <v>0</v>
          </cell>
          <cell r="W105">
            <v>1000</v>
          </cell>
        </row>
        <row r="106">
          <cell r="G106" t="str">
            <v>FGHI.0159</v>
          </cell>
          <cell r="H106" t="str">
            <v>Modernização dos tranformadores elevadores da UHE Funil</v>
          </cell>
          <cell r="I106"/>
          <cell r="J106" t="str">
            <v>UHE Funil</v>
          </cell>
          <cell r="K106">
            <v>0</v>
          </cell>
          <cell r="L106">
            <v>0</v>
          </cell>
          <cell r="M106">
            <v>0</v>
          </cell>
          <cell r="N106">
            <v>0</v>
          </cell>
          <cell r="O106">
            <v>0</v>
          </cell>
          <cell r="P106">
            <v>280</v>
          </cell>
          <cell r="Q106">
            <v>160</v>
          </cell>
          <cell r="R106">
            <v>140</v>
          </cell>
          <cell r="S106">
            <v>140</v>
          </cell>
          <cell r="T106">
            <v>140</v>
          </cell>
          <cell r="U106">
            <v>140</v>
          </cell>
          <cell r="V106">
            <v>0</v>
          </cell>
          <cell r="W106">
            <v>1000</v>
          </cell>
        </row>
        <row r="107">
          <cell r="G107" t="str">
            <v>NSTC.0044</v>
          </cell>
          <cell r="H107" t="str">
            <v>REDE MPLS ELETRONORTE</v>
          </cell>
          <cell r="I107" t="str">
            <v>Implantação de Roteadores de TO para ampliação e melhoria dos Sistemas de Telecomunicações dos Centros de Operação e CGRT da Eletronorte</v>
          </cell>
          <cell r="J107" t="str">
            <v>UHE TUCURUÍ</v>
          </cell>
          <cell r="K107">
            <v>0</v>
          </cell>
          <cell r="L107"/>
          <cell r="M107">
            <v>0</v>
          </cell>
          <cell r="N107">
            <v>0</v>
          </cell>
          <cell r="O107"/>
          <cell r="P107">
            <v>0</v>
          </cell>
          <cell r="Q107">
            <v>237.5</v>
          </cell>
          <cell r="R107">
            <v>237.5</v>
          </cell>
          <cell r="S107">
            <v>237.5</v>
          </cell>
          <cell r="T107">
            <v>0</v>
          </cell>
          <cell r="U107">
            <v>237.5</v>
          </cell>
          <cell r="V107">
            <v>0</v>
          </cell>
          <cell r="W107">
            <v>950</v>
          </cell>
        </row>
        <row r="108">
          <cell r="G108" t="str">
            <v>NGHI.0141</v>
          </cell>
          <cell r="H108" t="str">
            <v>Aquisição Disjuntor 230KV</v>
          </cell>
          <cell r="I108" t="str">
            <v>UG1_DJ_SE_SAMUEL</v>
          </cell>
          <cell r="J108" t="str">
            <v>UHE Samuel</v>
          </cell>
          <cell r="K108">
            <v>0</v>
          </cell>
          <cell r="L108">
            <v>0</v>
          </cell>
          <cell r="M108">
            <v>0</v>
          </cell>
          <cell r="N108">
            <v>0</v>
          </cell>
          <cell r="O108">
            <v>0</v>
          </cell>
          <cell r="P108">
            <v>0</v>
          </cell>
          <cell r="Q108">
            <v>0</v>
          </cell>
          <cell r="R108">
            <v>0</v>
          </cell>
          <cell r="S108">
            <v>0</v>
          </cell>
          <cell r="T108">
            <v>0</v>
          </cell>
          <cell r="U108">
            <v>912.05</v>
          </cell>
          <cell r="V108">
            <v>0</v>
          </cell>
          <cell r="W108">
            <v>912.05</v>
          </cell>
        </row>
        <row r="109">
          <cell r="G109" t="str">
            <v>MH.6002</v>
          </cell>
          <cell r="H109" t="str">
            <v>Modernização do sistema de controle AUX1 e AUX2 da UHE Boa Esperança</v>
          </cell>
          <cell r="I109" t="str">
            <v>Eletromecânica</v>
          </cell>
          <cell r="J109" t="str">
            <v>UHE Boa Esperança</v>
          </cell>
          <cell r="K109">
            <v>0</v>
          </cell>
          <cell r="L109">
            <v>0</v>
          </cell>
          <cell r="M109">
            <v>0</v>
          </cell>
          <cell r="N109">
            <v>0</v>
          </cell>
          <cell r="O109">
            <v>0</v>
          </cell>
          <cell r="P109">
            <v>0</v>
          </cell>
          <cell r="Q109">
            <v>0</v>
          </cell>
          <cell r="R109">
            <v>10</v>
          </cell>
          <cell r="S109">
            <v>5</v>
          </cell>
          <cell r="T109">
            <v>2000</v>
          </cell>
          <cell r="U109">
            <v>50</v>
          </cell>
          <cell r="V109">
            <v>40</v>
          </cell>
          <cell r="W109">
            <v>2105</v>
          </cell>
        </row>
        <row r="110">
          <cell r="G110" t="str">
            <v>FGHI.0160</v>
          </cell>
          <cell r="H110" t="str">
            <v>Modernização das tampas das turbinas UG04 a UG08 UHE Furnas</v>
          </cell>
          <cell r="I110"/>
          <cell r="J110" t="str">
            <v>UHE Furnas</v>
          </cell>
          <cell r="K110">
            <v>0</v>
          </cell>
          <cell r="L110">
            <v>200</v>
          </cell>
          <cell r="M110">
            <v>200</v>
          </cell>
          <cell r="N110">
            <v>200</v>
          </cell>
          <cell r="O110">
            <v>237</v>
          </cell>
          <cell r="P110">
            <v>0</v>
          </cell>
          <cell r="Q110">
            <v>50</v>
          </cell>
          <cell r="R110">
            <v>0</v>
          </cell>
          <cell r="S110">
            <v>0</v>
          </cell>
          <cell r="T110">
            <v>0</v>
          </cell>
          <cell r="U110">
            <v>0</v>
          </cell>
          <cell r="V110">
            <v>0</v>
          </cell>
          <cell r="W110">
            <v>887</v>
          </cell>
        </row>
        <row r="111">
          <cell r="G111" t="str">
            <v>MH.6002</v>
          </cell>
          <cell r="H111" t="str">
            <v>Modernização dos motofreios das comportas tomada d'água da UHE Boa Esperança</v>
          </cell>
          <cell r="I111" t="str">
            <v>Eletromecânica</v>
          </cell>
          <cell r="J111" t="str">
            <v>UHE Boa Esperança</v>
          </cell>
          <cell r="K111">
            <v>260</v>
          </cell>
          <cell r="L111">
            <v>0</v>
          </cell>
          <cell r="M111">
            <v>0</v>
          </cell>
          <cell r="N111">
            <v>30</v>
          </cell>
          <cell r="O111">
            <v>20</v>
          </cell>
          <cell r="P111">
            <v>30</v>
          </cell>
          <cell r="Q111">
            <v>50</v>
          </cell>
          <cell r="R111">
            <v>0</v>
          </cell>
          <cell r="S111">
            <v>0</v>
          </cell>
          <cell r="T111">
            <v>0</v>
          </cell>
          <cell r="U111">
            <v>0</v>
          </cell>
          <cell r="V111">
            <v>0</v>
          </cell>
          <cell r="W111">
            <v>390</v>
          </cell>
        </row>
        <row r="112">
          <cell r="G112" t="str">
            <v>FGHI.0165</v>
          </cell>
          <cell r="H112" t="str">
            <v>Retrofit  das pás das turbinas das Unidades Geradoras UHE Marimbondo</v>
          </cell>
          <cell r="I112"/>
          <cell r="J112" t="str">
            <v>UHE Marimbondo</v>
          </cell>
          <cell r="K112">
            <v>0</v>
          </cell>
          <cell r="L112">
            <v>0</v>
          </cell>
          <cell r="M112">
            <v>0</v>
          </cell>
          <cell r="N112">
            <v>200</v>
          </cell>
          <cell r="O112">
            <v>200</v>
          </cell>
          <cell r="P112">
            <v>0</v>
          </cell>
          <cell r="Q112">
            <v>0</v>
          </cell>
          <cell r="R112">
            <v>0</v>
          </cell>
          <cell r="S112">
            <v>0</v>
          </cell>
          <cell r="T112">
            <v>200</v>
          </cell>
          <cell r="U112">
            <v>200</v>
          </cell>
          <cell r="V112">
            <v>0</v>
          </cell>
          <cell r="W112">
            <v>800</v>
          </cell>
        </row>
        <row r="113">
          <cell r="G113" t="str">
            <v>FGHI.0171</v>
          </cell>
          <cell r="H113" t="str">
            <v>Retrofit  das pás das turbinas das Unidades Geradoras UHE Mascarenhas de Moraes</v>
          </cell>
          <cell r="I113"/>
          <cell r="J113" t="str">
            <v>UHE Mascarenhas de Moraes</v>
          </cell>
          <cell r="K113">
            <v>0</v>
          </cell>
          <cell r="L113">
            <v>0</v>
          </cell>
          <cell r="M113">
            <v>0</v>
          </cell>
          <cell r="N113">
            <v>0</v>
          </cell>
          <cell r="O113">
            <v>0</v>
          </cell>
          <cell r="P113">
            <v>0</v>
          </cell>
          <cell r="Q113">
            <v>0</v>
          </cell>
          <cell r="R113">
            <v>400</v>
          </cell>
          <cell r="S113">
            <v>300</v>
          </cell>
          <cell r="T113">
            <v>0</v>
          </cell>
          <cell r="U113">
            <v>0</v>
          </cell>
          <cell r="V113">
            <v>100</v>
          </cell>
          <cell r="W113">
            <v>800</v>
          </cell>
        </row>
        <row r="114">
          <cell r="G114" t="str">
            <v>FGHI.0156</v>
          </cell>
          <cell r="H114" t="str">
            <v>Modernização das válvulas dos Sistemas de Drenagem Parcial e Total das Unidades Geradoras</v>
          </cell>
          <cell r="I114"/>
          <cell r="J114" t="str">
            <v>UHE Simplício</v>
          </cell>
          <cell r="K114">
            <v>0</v>
          </cell>
          <cell r="L114">
            <v>0</v>
          </cell>
          <cell r="M114">
            <v>0</v>
          </cell>
          <cell r="N114">
            <v>0</v>
          </cell>
          <cell r="O114">
            <v>0</v>
          </cell>
          <cell r="P114">
            <v>800</v>
          </cell>
          <cell r="Q114">
            <v>0</v>
          </cell>
          <cell r="R114">
            <v>0</v>
          </cell>
          <cell r="S114">
            <v>0</v>
          </cell>
          <cell r="T114">
            <v>0</v>
          </cell>
          <cell r="U114">
            <v>0</v>
          </cell>
          <cell r="V114">
            <v>0</v>
          </cell>
          <cell r="W114">
            <v>800</v>
          </cell>
        </row>
        <row r="115">
          <cell r="G115" t="str">
            <v>FGHI.0157</v>
          </cell>
          <cell r="H115" t="str">
            <v>UHE Batalha - Modernização do sistema SMARTRUNK UHE Batalha</v>
          </cell>
          <cell r="I115"/>
          <cell r="J115" t="str">
            <v>UHE Batalha</v>
          </cell>
          <cell r="K115">
            <v>0</v>
          </cell>
          <cell r="L115">
            <v>0</v>
          </cell>
          <cell r="M115">
            <v>0</v>
          </cell>
          <cell r="N115">
            <v>0</v>
          </cell>
          <cell r="O115">
            <v>0</v>
          </cell>
          <cell r="P115">
            <v>0</v>
          </cell>
          <cell r="Q115">
            <v>0</v>
          </cell>
          <cell r="R115">
            <v>700</v>
          </cell>
          <cell r="S115">
            <v>0</v>
          </cell>
          <cell r="T115">
            <v>0</v>
          </cell>
          <cell r="U115">
            <v>0</v>
          </cell>
          <cell r="V115">
            <v>100</v>
          </cell>
          <cell r="W115">
            <v>800</v>
          </cell>
        </row>
        <row r="116">
          <cell r="G116" t="str">
            <v>MH.6002</v>
          </cell>
          <cell r="H116" t="str">
            <v>Implantação de sistema de injeção química na UHE Boa Esperança</v>
          </cell>
          <cell r="I116" t="str">
            <v>Eletromecânica</v>
          </cell>
          <cell r="J116" t="str">
            <v>UHE Boa Esperança</v>
          </cell>
          <cell r="K116">
            <v>130</v>
          </cell>
          <cell r="L116">
            <v>0</v>
          </cell>
          <cell r="M116">
            <v>0</v>
          </cell>
          <cell r="N116">
            <v>0</v>
          </cell>
          <cell r="O116">
            <v>0</v>
          </cell>
          <cell r="P116">
            <v>0</v>
          </cell>
          <cell r="Q116">
            <v>0</v>
          </cell>
          <cell r="R116">
            <v>0</v>
          </cell>
          <cell r="S116">
            <v>0</v>
          </cell>
          <cell r="T116">
            <v>0</v>
          </cell>
          <cell r="U116">
            <v>0</v>
          </cell>
          <cell r="V116">
            <v>0</v>
          </cell>
          <cell r="W116">
            <v>130</v>
          </cell>
        </row>
        <row r="117">
          <cell r="G117" t="str">
            <v>FGHI.0011</v>
          </cell>
          <cell r="H117" t="str">
            <v>Modernização dos compressores de ar de regulação da UHE Manso</v>
          </cell>
          <cell r="I117"/>
          <cell r="J117" t="str">
            <v>UHE Manso</v>
          </cell>
          <cell r="K117">
            <v>50</v>
          </cell>
          <cell r="L117">
            <v>0</v>
          </cell>
          <cell r="M117">
            <v>0</v>
          </cell>
          <cell r="N117">
            <v>0</v>
          </cell>
          <cell r="O117">
            <v>700</v>
          </cell>
          <cell r="P117">
            <v>0</v>
          </cell>
          <cell r="Q117">
            <v>0</v>
          </cell>
          <cell r="R117">
            <v>0</v>
          </cell>
          <cell r="S117">
            <v>0</v>
          </cell>
          <cell r="T117">
            <v>0</v>
          </cell>
          <cell r="U117">
            <v>0</v>
          </cell>
          <cell r="V117">
            <v>0</v>
          </cell>
          <cell r="W117">
            <v>750</v>
          </cell>
        </row>
        <row r="118">
          <cell r="G118" t="str">
            <v>MH.6002</v>
          </cell>
          <cell r="H118" t="str">
            <v>Modernização de 02 transformadores do serviço auxiliar da UHE Boa Esperança</v>
          </cell>
          <cell r="I118" t="str">
            <v>Eletromecânica</v>
          </cell>
          <cell r="J118" t="str">
            <v>UHE Boa Esperança</v>
          </cell>
          <cell r="K118">
            <v>5</v>
          </cell>
          <cell r="L118">
            <v>5</v>
          </cell>
          <cell r="M118">
            <v>5</v>
          </cell>
          <cell r="N118">
            <v>5</v>
          </cell>
          <cell r="O118">
            <v>5</v>
          </cell>
          <cell r="P118">
            <v>5</v>
          </cell>
          <cell r="Q118">
            <v>5</v>
          </cell>
          <cell r="R118">
            <v>5</v>
          </cell>
          <cell r="S118">
            <v>5</v>
          </cell>
          <cell r="T118">
            <v>5</v>
          </cell>
          <cell r="U118">
            <v>5</v>
          </cell>
          <cell r="V118">
            <v>5</v>
          </cell>
          <cell r="W118">
            <v>60</v>
          </cell>
        </row>
        <row r="119">
          <cell r="G119" t="str">
            <v>MH.6002</v>
          </cell>
          <cell r="H119" t="str">
            <v>Modernização do sistema de frenagem da UHE Boa esperança</v>
          </cell>
          <cell r="I119" t="str">
            <v>Eletromecânica</v>
          </cell>
          <cell r="J119" t="str">
            <v>UHE Boa Esperança</v>
          </cell>
          <cell r="K119">
            <v>10</v>
          </cell>
          <cell r="L119">
            <v>10</v>
          </cell>
          <cell r="M119">
            <v>10</v>
          </cell>
          <cell r="N119">
            <v>10</v>
          </cell>
          <cell r="O119">
            <v>0</v>
          </cell>
          <cell r="P119">
            <v>0</v>
          </cell>
          <cell r="Q119">
            <v>20</v>
          </cell>
          <cell r="R119">
            <v>0</v>
          </cell>
          <cell r="S119">
            <v>0</v>
          </cell>
          <cell r="T119">
            <v>0</v>
          </cell>
          <cell r="U119">
            <v>0</v>
          </cell>
          <cell r="V119">
            <v>0</v>
          </cell>
          <cell r="W119">
            <v>60</v>
          </cell>
        </row>
        <row r="120">
          <cell r="G120" t="str">
            <v>MH.6002</v>
          </cell>
          <cell r="H120" t="str">
            <v>Modernização do sistema de ventilação da UHE  Boa Esperança</v>
          </cell>
          <cell r="I120" t="str">
            <v>Eletromecânica</v>
          </cell>
          <cell r="J120" t="str">
            <v>UHE Boa Esperança</v>
          </cell>
          <cell r="K120">
            <v>20</v>
          </cell>
          <cell r="L120">
            <v>20</v>
          </cell>
          <cell r="M120">
            <v>0</v>
          </cell>
          <cell r="N120">
            <v>0</v>
          </cell>
          <cell r="O120">
            <v>0</v>
          </cell>
          <cell r="P120">
            <v>0</v>
          </cell>
          <cell r="Q120">
            <v>0</v>
          </cell>
          <cell r="R120">
            <v>0</v>
          </cell>
          <cell r="S120">
            <v>0</v>
          </cell>
          <cell r="T120">
            <v>0</v>
          </cell>
          <cell r="U120">
            <v>0</v>
          </cell>
          <cell r="V120">
            <v>0</v>
          </cell>
          <cell r="W120">
            <v>40</v>
          </cell>
        </row>
        <row r="121">
          <cell r="G121" t="str">
            <v>MH.6002</v>
          </cell>
          <cell r="H121" t="str">
            <v>Implantação do sistema de injeção química para combate ao mexilhão dourado na UHE Luiz Gonzaga</v>
          </cell>
          <cell r="I121" t="str">
            <v>Eletromecânica</v>
          </cell>
          <cell r="J121" t="str">
            <v>UHE Luiz Gonzaga</v>
          </cell>
          <cell r="K121">
            <v>0</v>
          </cell>
          <cell r="L121">
            <v>0</v>
          </cell>
          <cell r="M121">
            <v>0</v>
          </cell>
          <cell r="N121">
            <v>5</v>
          </cell>
          <cell r="O121">
            <v>850</v>
          </cell>
          <cell r="P121">
            <v>850</v>
          </cell>
          <cell r="Q121">
            <v>0</v>
          </cell>
          <cell r="R121">
            <v>5</v>
          </cell>
          <cell r="S121">
            <v>0</v>
          </cell>
          <cell r="T121">
            <v>0</v>
          </cell>
          <cell r="U121">
            <v>0</v>
          </cell>
          <cell r="V121">
            <v>0</v>
          </cell>
          <cell r="W121">
            <v>1710</v>
          </cell>
        </row>
        <row r="122">
          <cell r="G122" t="str">
            <v>FGHI.0011</v>
          </cell>
          <cell r="H122" t="str">
            <v>Pagamento Remanescente de 2025 - Transdutor de Tensão + Outros materiais UHE Manso</v>
          </cell>
          <cell r="I122"/>
          <cell r="J122" t="str">
            <v>UHE Manso</v>
          </cell>
          <cell r="K122">
            <v>0</v>
          </cell>
          <cell r="L122">
            <v>0</v>
          </cell>
          <cell r="M122">
            <v>0</v>
          </cell>
          <cell r="N122">
            <v>0</v>
          </cell>
          <cell r="O122">
            <v>0</v>
          </cell>
          <cell r="P122">
            <v>680</v>
          </cell>
          <cell r="Q122">
            <v>0</v>
          </cell>
          <cell r="R122">
            <v>0</v>
          </cell>
          <cell r="S122">
            <v>0</v>
          </cell>
          <cell r="T122">
            <v>0</v>
          </cell>
          <cell r="U122">
            <v>0</v>
          </cell>
          <cell r="V122">
            <v>0</v>
          </cell>
          <cell r="W122">
            <v>680</v>
          </cell>
        </row>
        <row r="123">
          <cell r="G123" t="str">
            <v>FGHI.0156</v>
          </cell>
          <cell r="H123" t="str">
            <v>Implantação de sistema de injeção química na UHE Simplicio</v>
          </cell>
          <cell r="I123"/>
          <cell r="J123" t="str">
            <v>UHE Simplício</v>
          </cell>
          <cell r="K123">
            <v>50</v>
          </cell>
          <cell r="L123">
            <v>0</v>
          </cell>
          <cell r="M123">
            <v>0</v>
          </cell>
          <cell r="N123">
            <v>0</v>
          </cell>
          <cell r="O123">
            <v>0</v>
          </cell>
          <cell r="P123">
            <v>0</v>
          </cell>
          <cell r="Q123">
            <v>0</v>
          </cell>
          <cell r="R123">
            <v>625</v>
          </cell>
          <cell r="S123">
            <v>0</v>
          </cell>
          <cell r="T123">
            <v>0</v>
          </cell>
          <cell r="U123">
            <v>0</v>
          </cell>
          <cell r="V123">
            <v>0</v>
          </cell>
          <cell r="W123">
            <v>675</v>
          </cell>
        </row>
        <row r="124">
          <cell r="G124" t="str">
            <v>MH.6002</v>
          </cell>
          <cell r="H124" t="str">
            <v>Aquisição de válvulas do sistema de água industrial da UHE Luiz Gonzaga</v>
          </cell>
          <cell r="I124" t="str">
            <v>Eletromecânica</v>
          </cell>
          <cell r="J124" t="str">
            <v>UHE Luiz Gonzaga</v>
          </cell>
          <cell r="K124">
            <v>160</v>
          </cell>
          <cell r="L124">
            <v>0</v>
          </cell>
          <cell r="M124">
            <v>0</v>
          </cell>
          <cell r="N124">
            <v>0</v>
          </cell>
          <cell r="O124">
            <v>0</v>
          </cell>
          <cell r="P124">
            <v>0</v>
          </cell>
          <cell r="Q124">
            <v>0</v>
          </cell>
          <cell r="R124">
            <v>0</v>
          </cell>
          <cell r="S124">
            <v>25</v>
          </cell>
          <cell r="T124">
            <v>0</v>
          </cell>
          <cell r="U124">
            <v>0</v>
          </cell>
          <cell r="V124">
            <v>0</v>
          </cell>
          <cell r="W124">
            <v>185</v>
          </cell>
        </row>
        <row r="125">
          <cell r="G125" t="str">
            <v>SGHI.0001</v>
          </cell>
          <cell r="H125" t="str">
            <v>Implantação de Linhas de Vida na UHE Passo São João</v>
          </cell>
          <cell r="I125"/>
          <cell r="J125" t="str">
            <v>UHE Passo São João</v>
          </cell>
          <cell r="K125">
            <v>0</v>
          </cell>
          <cell r="L125">
            <v>0</v>
          </cell>
          <cell r="M125">
            <v>0</v>
          </cell>
          <cell r="N125">
            <v>0</v>
          </cell>
          <cell r="O125">
            <v>300.08600000000001</v>
          </cell>
          <cell r="P125" t="str">
            <v> </v>
          </cell>
          <cell r="Q125">
            <v>332.30900000000003</v>
          </cell>
          <cell r="R125" t="str">
            <v> </v>
          </cell>
          <cell r="S125" t="str">
            <v> </v>
          </cell>
          <cell r="T125" t="str">
            <v> </v>
          </cell>
          <cell r="U125" t="str">
            <v> </v>
          </cell>
          <cell r="V125" t="str">
            <v> </v>
          </cell>
          <cell r="W125">
            <v>632.39499999999998</v>
          </cell>
        </row>
        <row r="126">
          <cell r="G126" t="str">
            <v>SGHI.0006</v>
          </cell>
          <cell r="H126" t="str">
            <v xml:space="preserve">Central hidráulica para coleta de óleo vazamento kaplan na UHE Passo São João </v>
          </cell>
          <cell r="I126"/>
          <cell r="J126" t="str">
            <v>UHE Passo São João</v>
          </cell>
          <cell r="K126">
            <v>0</v>
          </cell>
          <cell r="L126">
            <v>0</v>
          </cell>
          <cell r="M126">
            <v>0</v>
          </cell>
          <cell r="N126">
            <v>200</v>
          </cell>
          <cell r="O126">
            <v>0</v>
          </cell>
          <cell r="P126">
            <v>0</v>
          </cell>
          <cell r="Q126">
            <v>0</v>
          </cell>
          <cell r="R126">
            <v>0</v>
          </cell>
          <cell r="S126">
            <v>432</v>
          </cell>
          <cell r="T126">
            <v>0</v>
          </cell>
          <cell r="U126">
            <v>0</v>
          </cell>
          <cell r="V126">
            <v>0</v>
          </cell>
          <cell r="W126">
            <v>632</v>
          </cell>
        </row>
        <row r="127">
          <cell r="G127" t="str">
            <v>FGHI.0167</v>
          </cell>
          <cell r="H127" t="str">
            <v>Modernização dos sistema de medição de niveis do reservatorio e canal de fuga do UHE Porto Colômbia</v>
          </cell>
          <cell r="I127"/>
          <cell r="J127" t="str">
            <v>UHE Porto Colômbia</v>
          </cell>
          <cell r="K127">
            <v>0</v>
          </cell>
          <cell r="L127">
            <v>20</v>
          </cell>
          <cell r="M127">
            <v>0</v>
          </cell>
          <cell r="N127">
            <v>0</v>
          </cell>
          <cell r="O127">
            <v>0</v>
          </cell>
          <cell r="P127">
            <v>0</v>
          </cell>
          <cell r="Q127">
            <v>0</v>
          </cell>
          <cell r="R127">
            <v>0</v>
          </cell>
          <cell r="S127">
            <v>500</v>
          </cell>
          <cell r="T127">
            <v>0</v>
          </cell>
          <cell r="U127">
            <v>0</v>
          </cell>
          <cell r="V127">
            <v>100</v>
          </cell>
          <cell r="W127">
            <v>620</v>
          </cell>
        </row>
        <row r="128">
          <cell r="G128" t="str">
            <v>NGHI.0141</v>
          </cell>
          <cell r="H128" t="str">
            <v>Modernização dos mancais de guia da Turbina CUUGH01, 02 e 03</v>
          </cell>
          <cell r="I128" t="str">
            <v xml:space="preserve">Alteração de projeto mancal tipo bucha para mancal tipo segmento </v>
          </cell>
          <cell r="J128" t="str">
            <v>UHE Curuá Una</v>
          </cell>
          <cell r="K128">
            <v>0</v>
          </cell>
          <cell r="L128">
            <v>0</v>
          </cell>
          <cell r="M128">
            <v>0</v>
          </cell>
          <cell r="N128">
            <v>0</v>
          </cell>
          <cell r="O128">
            <v>0</v>
          </cell>
          <cell r="P128">
            <v>0</v>
          </cell>
          <cell r="Q128">
            <v>0</v>
          </cell>
          <cell r="R128">
            <v>0</v>
          </cell>
          <cell r="S128">
            <v>0</v>
          </cell>
          <cell r="T128">
            <v>600</v>
          </cell>
          <cell r="U128">
            <v>0</v>
          </cell>
          <cell r="V128">
            <v>0</v>
          </cell>
          <cell r="W128">
            <v>600</v>
          </cell>
        </row>
        <row r="129">
          <cell r="G129" t="str">
            <v>NGHI.0143</v>
          </cell>
          <cell r="H129" t="str">
            <v>Modernizaçãosistema de resfriamento das uidades geradoras da UHE Curuá-Una</v>
          </cell>
          <cell r="I129" t="str">
            <v>Substituição de equipamentos com fim de vida util</v>
          </cell>
          <cell r="J129" t="str">
            <v>UHE Curuá Una</v>
          </cell>
          <cell r="K129">
            <v>0</v>
          </cell>
          <cell r="L129">
            <v>0</v>
          </cell>
          <cell r="M129">
            <v>0</v>
          </cell>
          <cell r="N129">
            <v>0</v>
          </cell>
          <cell r="O129">
            <v>0</v>
          </cell>
          <cell r="P129">
            <v>0</v>
          </cell>
          <cell r="Q129">
            <v>0</v>
          </cell>
          <cell r="R129">
            <v>0</v>
          </cell>
          <cell r="S129">
            <v>300</v>
          </cell>
          <cell r="T129">
            <v>0</v>
          </cell>
          <cell r="U129">
            <v>300</v>
          </cell>
          <cell r="V129">
            <v>0</v>
          </cell>
          <cell r="W129">
            <v>600</v>
          </cell>
        </row>
        <row r="130">
          <cell r="G130" t="str">
            <v>NGHI.0143</v>
          </cell>
          <cell r="H130" t="str">
            <v>Sistema de Ventilação e exaustão das  galerias da UHE Balbina.</v>
          </cell>
          <cell r="I130" t="str">
            <v>Melhoria no sistema de exaustão e ventilação das galerias da UHE Balbina.</v>
          </cell>
          <cell r="J130" t="str">
            <v>UHE Balbina</v>
          </cell>
          <cell r="K130">
            <v>0</v>
          </cell>
          <cell r="L130">
            <v>0</v>
          </cell>
          <cell r="M130">
            <v>0</v>
          </cell>
          <cell r="N130">
            <v>0</v>
          </cell>
          <cell r="O130">
            <v>150</v>
          </cell>
          <cell r="P130">
            <v>0</v>
          </cell>
          <cell r="Q130">
            <v>200</v>
          </cell>
          <cell r="R130">
            <v>0</v>
          </cell>
          <cell r="S130">
            <v>150</v>
          </cell>
          <cell r="T130">
            <v>0</v>
          </cell>
          <cell r="U130">
            <v>100</v>
          </cell>
          <cell r="V130">
            <v>0</v>
          </cell>
          <cell r="W130">
            <v>600</v>
          </cell>
        </row>
        <row r="131">
          <cell r="G131" t="str">
            <v>NGHI.0143</v>
          </cell>
          <cell r="H131" t="str">
            <v>Aquisição das bombas do sistema de regulação de velocidade da UHE Curuá-Una UGH01,02,03</v>
          </cell>
          <cell r="I131" t="str">
            <v>Aquisição de MB para o sistema de Regulação de Velocidade</v>
          </cell>
          <cell r="J131" t="str">
            <v>UHE Curuá Una</v>
          </cell>
          <cell r="K131">
            <v>0</v>
          </cell>
          <cell r="L131">
            <v>0</v>
          </cell>
          <cell r="M131">
            <v>0</v>
          </cell>
          <cell r="N131">
            <v>600</v>
          </cell>
          <cell r="O131">
            <v>0</v>
          </cell>
          <cell r="P131">
            <v>0</v>
          </cell>
          <cell r="Q131">
            <v>0</v>
          </cell>
          <cell r="R131">
            <v>0</v>
          </cell>
          <cell r="S131">
            <v>0</v>
          </cell>
          <cell r="T131">
            <v>0</v>
          </cell>
          <cell r="U131">
            <v>0</v>
          </cell>
          <cell r="V131">
            <v>0</v>
          </cell>
          <cell r="W131">
            <v>600</v>
          </cell>
        </row>
        <row r="132">
          <cell r="G132" t="str">
            <v>FGHI.0163</v>
          </cell>
          <cell r="H132" t="str">
            <v>Substituição dos compressores ARCAV-05 e ARCAV-06  do sistema de ar contra cavitação e instabilidade hidráulica. UHE Luiz Carlos Barreto de Carvalho</v>
          </cell>
          <cell r="I132"/>
          <cell r="J132" t="str">
            <v>UHE Luiz Carlos Barreto de Carvalho</v>
          </cell>
          <cell r="K132">
            <v>0</v>
          </cell>
          <cell r="L132">
            <v>0</v>
          </cell>
          <cell r="M132">
            <v>0</v>
          </cell>
          <cell r="N132">
            <v>0</v>
          </cell>
          <cell r="O132">
            <v>0</v>
          </cell>
          <cell r="P132">
            <v>0</v>
          </cell>
          <cell r="Q132">
            <v>0</v>
          </cell>
          <cell r="R132">
            <v>0</v>
          </cell>
          <cell r="S132">
            <v>0</v>
          </cell>
          <cell r="T132">
            <v>0</v>
          </cell>
          <cell r="U132">
            <v>600</v>
          </cell>
          <cell r="V132">
            <v>0</v>
          </cell>
          <cell r="W132">
            <v>600</v>
          </cell>
        </row>
        <row r="133">
          <cell r="G133" t="str">
            <v>A definir</v>
          </cell>
          <cell r="H133" t="str">
            <v>Curva Descarga Jusante</v>
          </cell>
          <cell r="I133"/>
          <cell r="J133" t="str">
            <v>UHE Três Irmãos</v>
          </cell>
          <cell r="K133">
            <v>0</v>
          </cell>
          <cell r="L133">
            <v>0</v>
          </cell>
          <cell r="M133">
            <v>0</v>
          </cell>
          <cell r="N133">
            <v>0</v>
          </cell>
          <cell r="O133">
            <v>0</v>
          </cell>
          <cell r="P133">
            <v>0</v>
          </cell>
          <cell r="Q133">
            <v>600</v>
          </cell>
          <cell r="R133">
            <v>0</v>
          </cell>
          <cell r="S133">
            <v>0</v>
          </cell>
          <cell r="T133">
            <v>0</v>
          </cell>
          <cell r="U133">
            <v>0</v>
          </cell>
          <cell r="V133">
            <v>0</v>
          </cell>
          <cell r="W133">
            <v>600</v>
          </cell>
        </row>
        <row r="134">
          <cell r="G134" t="str">
            <v>FGHI.0160</v>
          </cell>
          <cell r="H134" t="str">
            <v>Modernização dos indicadores digitais de instrumentação das UGs - UHE Furnas</v>
          </cell>
          <cell r="I134"/>
          <cell r="J134" t="str">
            <v>UHE Furnas</v>
          </cell>
          <cell r="K134">
            <v>0</v>
          </cell>
          <cell r="L134">
            <v>0</v>
          </cell>
          <cell r="M134">
            <v>0</v>
          </cell>
          <cell r="N134">
            <v>0</v>
          </cell>
          <cell r="O134">
            <v>120</v>
          </cell>
          <cell r="P134">
            <v>120</v>
          </cell>
          <cell r="Q134">
            <v>120</v>
          </cell>
          <cell r="R134">
            <v>120</v>
          </cell>
          <cell r="S134">
            <v>120</v>
          </cell>
          <cell r="T134">
            <v>0</v>
          </cell>
          <cell r="U134">
            <v>0</v>
          </cell>
          <cell r="V134">
            <v>0</v>
          </cell>
          <cell r="W134">
            <v>600</v>
          </cell>
        </row>
        <row r="135">
          <cell r="G135" t="str">
            <v>FGHI.0156</v>
          </cell>
          <cell r="H135" t="str">
            <v>Retrofit  das pás das turbinas das Unidades Geradoras</v>
          </cell>
          <cell r="I135"/>
          <cell r="J135" t="str">
            <v>UHE Simplício</v>
          </cell>
          <cell r="K135">
            <v>0</v>
          </cell>
          <cell r="L135">
            <v>0</v>
          </cell>
          <cell r="M135">
            <v>0</v>
          </cell>
          <cell r="N135">
            <v>0</v>
          </cell>
          <cell r="O135">
            <v>250</v>
          </cell>
          <cell r="P135">
            <v>0</v>
          </cell>
          <cell r="Q135">
            <v>0</v>
          </cell>
          <cell r="R135">
            <v>0</v>
          </cell>
          <cell r="S135">
            <v>250</v>
          </cell>
          <cell r="T135">
            <v>0</v>
          </cell>
          <cell r="U135">
            <v>0</v>
          </cell>
          <cell r="V135">
            <v>100</v>
          </cell>
          <cell r="W135">
            <v>600</v>
          </cell>
        </row>
        <row r="136">
          <cell r="G136" t="str">
            <v>NGHI.0141</v>
          </cell>
          <cell r="H136" t="str">
            <v>Modernização da subestação 138kV da UHE.</v>
          </cell>
          <cell r="I136" t="str">
            <v>Modernização da subestação 138kV da UHE.</v>
          </cell>
          <cell r="J136" t="str">
            <v>UHE Curuá Una</v>
          </cell>
          <cell r="K136">
            <v>0</v>
          </cell>
          <cell r="L136">
            <v>0</v>
          </cell>
          <cell r="M136">
            <v>0</v>
          </cell>
          <cell r="N136">
            <v>0</v>
          </cell>
          <cell r="O136">
            <v>0</v>
          </cell>
          <cell r="P136">
            <v>0</v>
          </cell>
          <cell r="Q136">
            <v>0</v>
          </cell>
          <cell r="R136">
            <v>577.03000300000008</v>
          </cell>
          <cell r="S136">
            <v>0</v>
          </cell>
          <cell r="T136">
            <v>0</v>
          </cell>
          <cell r="U136">
            <v>0</v>
          </cell>
          <cell r="V136">
            <v>0</v>
          </cell>
          <cell r="W136">
            <v>577.03000300000008</v>
          </cell>
        </row>
        <row r="137">
          <cell r="G137" t="str">
            <v>FGHI.0159</v>
          </cell>
          <cell r="H137" t="str">
            <v>Obra - Instalação de defensas metálicas na área industrial UHE Funil</v>
          </cell>
          <cell r="I137"/>
          <cell r="J137" t="str">
            <v>UHE Funil</v>
          </cell>
          <cell r="K137">
            <v>0</v>
          </cell>
          <cell r="L137">
            <v>20</v>
          </cell>
          <cell r="M137">
            <v>0</v>
          </cell>
          <cell r="N137">
            <v>275</v>
          </cell>
          <cell r="O137">
            <v>275</v>
          </cell>
          <cell r="P137">
            <v>0</v>
          </cell>
          <cell r="Q137">
            <v>0</v>
          </cell>
          <cell r="R137">
            <v>0</v>
          </cell>
          <cell r="S137">
            <v>0</v>
          </cell>
          <cell r="T137">
            <v>0</v>
          </cell>
          <cell r="U137">
            <v>0</v>
          </cell>
          <cell r="V137">
            <v>0</v>
          </cell>
          <cell r="W137">
            <v>570</v>
          </cell>
        </row>
        <row r="138">
          <cell r="G138" t="str">
            <v>FGHI.0160</v>
          </cell>
          <cell r="H138" t="str">
            <v>Modernização do sistema anti-incêndio da casa de máquinas da usina de Furnas - Troca de tubulação e válvulas</v>
          </cell>
          <cell r="I138"/>
          <cell r="J138" t="str">
            <v>UHE Furnas</v>
          </cell>
          <cell r="K138">
            <v>0</v>
          </cell>
          <cell r="L138">
            <v>0</v>
          </cell>
          <cell r="M138">
            <v>0</v>
          </cell>
          <cell r="N138">
            <v>0</v>
          </cell>
          <cell r="O138">
            <v>0</v>
          </cell>
          <cell r="P138">
            <v>0</v>
          </cell>
          <cell r="Q138">
            <v>0</v>
          </cell>
          <cell r="R138">
            <v>50</v>
          </cell>
          <cell r="S138">
            <v>0</v>
          </cell>
          <cell r="T138">
            <v>0</v>
          </cell>
          <cell r="U138">
            <v>250</v>
          </cell>
          <cell r="V138">
            <v>250</v>
          </cell>
          <cell r="W138">
            <v>550</v>
          </cell>
        </row>
        <row r="139">
          <cell r="G139" t="str">
            <v>FGHI.0004</v>
          </cell>
          <cell r="H139" t="str">
            <v>Modernização do sistema de ar de serviço da UHE Porto Colombia - Contabilizado no PEP da UHE Marimbondo</v>
          </cell>
          <cell r="I139"/>
          <cell r="J139" t="str">
            <v>UHE Marimbondo</v>
          </cell>
          <cell r="K139">
            <v>0</v>
          </cell>
          <cell r="L139">
            <v>0</v>
          </cell>
          <cell r="M139">
            <v>0</v>
          </cell>
          <cell r="N139">
            <v>0</v>
          </cell>
          <cell r="O139">
            <v>50</v>
          </cell>
          <cell r="P139">
            <v>0</v>
          </cell>
          <cell r="Q139">
            <v>0</v>
          </cell>
          <cell r="R139">
            <v>0</v>
          </cell>
          <cell r="S139">
            <v>500</v>
          </cell>
          <cell r="T139">
            <v>0</v>
          </cell>
          <cell r="U139">
            <v>0</v>
          </cell>
          <cell r="V139">
            <v>0</v>
          </cell>
          <cell r="W139">
            <v>550</v>
          </cell>
        </row>
        <row r="140">
          <cell r="G140" t="str">
            <v>FGHI.0098</v>
          </cell>
          <cell r="H140" t="str">
            <v>Modernização do sistema de drenagem da casa de força UHE Furnas (Contrato em 2025, necessário transferir o orçamento para 2026)</v>
          </cell>
          <cell r="I140"/>
          <cell r="J140" t="str">
            <v>UHE Furnas</v>
          </cell>
          <cell r="K140">
            <v>0</v>
          </cell>
          <cell r="L140">
            <v>0</v>
          </cell>
          <cell r="M140">
            <v>0</v>
          </cell>
          <cell r="N140">
            <v>0</v>
          </cell>
          <cell r="O140">
            <v>50</v>
          </cell>
          <cell r="P140">
            <v>0</v>
          </cell>
          <cell r="Q140">
            <v>400</v>
          </cell>
          <cell r="R140">
            <v>100</v>
          </cell>
          <cell r="S140">
            <v>0</v>
          </cell>
          <cell r="T140">
            <v>0</v>
          </cell>
          <cell r="U140">
            <v>0</v>
          </cell>
          <cell r="V140">
            <v>0</v>
          </cell>
          <cell r="W140">
            <v>550</v>
          </cell>
        </row>
        <row r="141">
          <cell r="G141" t="str">
            <v>SGHI.0001</v>
          </cell>
          <cell r="H141" t="str">
            <v>Implantação de Linhas de Vida e plataforma de acesso à caixa espiral na PCH João Borges</v>
          </cell>
          <cell r="I141"/>
          <cell r="J141" t="str">
            <v>PCH João Borges</v>
          </cell>
          <cell r="K141">
            <v>0</v>
          </cell>
          <cell r="L141">
            <v>0</v>
          </cell>
          <cell r="M141">
            <v>0</v>
          </cell>
          <cell r="N141">
            <v>0</v>
          </cell>
          <cell r="O141" t="str">
            <v> </v>
          </cell>
          <cell r="P141">
            <v>228.03899999999999</v>
          </cell>
          <cell r="Q141" t="str">
            <v> </v>
          </cell>
          <cell r="R141">
            <v>280.37900000000002</v>
          </cell>
          <cell r="S141" t="str">
            <v> </v>
          </cell>
          <cell r="T141" t="str">
            <v> </v>
          </cell>
          <cell r="U141" t="str">
            <v> </v>
          </cell>
          <cell r="V141" t="str">
            <v> </v>
          </cell>
          <cell r="W141">
            <v>508.41800000000001</v>
          </cell>
        </row>
        <row r="142">
          <cell r="G142" t="str">
            <v>NGHI.0143</v>
          </cell>
          <cell r="H142" t="str">
            <v>Sobressalentes Estrategicos UHCN</v>
          </cell>
          <cell r="I142" t="str">
            <v xml:space="preserve">Sobressalentes Estrategicos _CNUGH-01, 02, 03  Banco de Transformadores CNTF5-01 Pocos de Drenagem </v>
          </cell>
          <cell r="J142" t="str">
            <v xml:space="preserve">UHE Coaracy Nunes </v>
          </cell>
          <cell r="K142">
            <v>0</v>
          </cell>
          <cell r="L142">
            <v>0</v>
          </cell>
          <cell r="M142">
            <v>0</v>
          </cell>
          <cell r="N142">
            <v>0</v>
          </cell>
          <cell r="O142">
            <v>0</v>
          </cell>
          <cell r="P142">
            <v>0</v>
          </cell>
          <cell r="Q142">
            <v>0</v>
          </cell>
          <cell r="R142">
            <v>0</v>
          </cell>
          <cell r="S142">
            <v>0</v>
          </cell>
          <cell r="T142">
            <v>500</v>
          </cell>
          <cell r="U142">
            <v>0</v>
          </cell>
          <cell r="V142">
            <v>0</v>
          </cell>
          <cell r="W142">
            <v>500</v>
          </cell>
        </row>
        <row r="143">
          <cell r="G143" t="str">
            <v>NGHI.0083</v>
          </cell>
          <cell r="H143" t="str">
            <v>Modernização da GIS TUUGH-19 da UHE Tucuruí</v>
          </cell>
          <cell r="I143" t="str">
            <v>Fornecimento de peças "Equipamentos o Materiais" e serviços de inspeção,montagem e comissionamento "Serviços" para revitalização da subestaçãoisolada a gás SF6 tuugh-19 da UHE Tucuruí.</v>
          </cell>
          <cell r="J143" t="str">
            <v>UHE Tucuruí</v>
          </cell>
          <cell r="K143">
            <v>0</v>
          </cell>
          <cell r="L143">
            <v>0</v>
          </cell>
          <cell r="M143">
            <v>500</v>
          </cell>
          <cell r="N143">
            <v>0</v>
          </cell>
          <cell r="O143">
            <v>0</v>
          </cell>
          <cell r="P143">
            <v>0</v>
          </cell>
          <cell r="Q143">
            <v>0</v>
          </cell>
          <cell r="R143">
            <v>0</v>
          </cell>
          <cell r="S143">
            <v>0</v>
          </cell>
          <cell r="T143">
            <v>0</v>
          </cell>
          <cell r="U143">
            <v>0</v>
          </cell>
          <cell r="V143">
            <v>0</v>
          </cell>
          <cell r="W143">
            <v>500</v>
          </cell>
        </row>
        <row r="144">
          <cell r="G144" t="str">
            <v>NGHI.0087</v>
          </cell>
          <cell r="H144" t="str">
            <v>Modernização do Barramento Blindado (13,8kV) UG19 da UHE Tucuruí</v>
          </cell>
          <cell r="I144" t="str">
            <v>Recuperação do BARRAMENTO BLINDADO DE FASES ISOLADAS 13.8kV, da unidade geradora 19 (TUUGH-19) da UHE Tucuruí/PA.</v>
          </cell>
          <cell r="J144" t="str">
            <v>UHE Tucuruí</v>
          </cell>
          <cell r="K144">
            <v>0</v>
          </cell>
          <cell r="L144">
            <v>500</v>
          </cell>
          <cell r="M144">
            <v>0</v>
          </cell>
          <cell r="N144">
            <v>0</v>
          </cell>
          <cell r="O144">
            <v>0</v>
          </cell>
          <cell r="P144">
            <v>0</v>
          </cell>
          <cell r="Q144">
            <v>0</v>
          </cell>
          <cell r="R144">
            <v>0</v>
          </cell>
          <cell r="S144">
            <v>0</v>
          </cell>
          <cell r="T144">
            <v>0</v>
          </cell>
          <cell r="U144">
            <v>0</v>
          </cell>
          <cell r="V144">
            <v>0</v>
          </cell>
          <cell r="W144">
            <v>500</v>
          </cell>
        </row>
        <row r="145">
          <cell r="G145" t="str">
            <v>FGHI.0167</v>
          </cell>
          <cell r="H145" t="str">
            <v>Obra - Construção de caixa separadora - UHE Porto Colômbia</v>
          </cell>
          <cell r="I145"/>
          <cell r="J145" t="str">
            <v>UHE Porto Colômbia</v>
          </cell>
          <cell r="K145">
            <v>0</v>
          </cell>
          <cell r="L145">
            <v>0</v>
          </cell>
          <cell r="M145">
            <v>0</v>
          </cell>
          <cell r="N145">
            <v>0</v>
          </cell>
          <cell r="O145">
            <v>0</v>
          </cell>
          <cell r="P145">
            <v>0</v>
          </cell>
          <cell r="Q145">
            <v>0</v>
          </cell>
          <cell r="R145">
            <v>0</v>
          </cell>
          <cell r="S145">
            <v>0</v>
          </cell>
          <cell r="T145">
            <v>0</v>
          </cell>
          <cell r="U145">
            <v>0</v>
          </cell>
          <cell r="V145">
            <v>500</v>
          </cell>
          <cell r="W145">
            <v>500</v>
          </cell>
        </row>
        <row r="146">
          <cell r="G146" t="str">
            <v>FGHI.0160</v>
          </cell>
          <cell r="H146" t="str">
            <v>Retrofit  das pás das turbinas das Unidades Geradoras UHE Furnas</v>
          </cell>
          <cell r="I146"/>
          <cell r="J146" t="str">
            <v>UHE Furnas</v>
          </cell>
          <cell r="K146">
            <v>0</v>
          </cell>
          <cell r="L146">
            <v>0</v>
          </cell>
          <cell r="M146">
            <v>0</v>
          </cell>
          <cell r="N146">
            <v>0</v>
          </cell>
          <cell r="O146">
            <v>0</v>
          </cell>
          <cell r="P146">
            <v>0</v>
          </cell>
          <cell r="Q146">
            <v>0</v>
          </cell>
          <cell r="R146">
            <v>0</v>
          </cell>
          <cell r="S146">
            <v>0</v>
          </cell>
          <cell r="T146">
            <v>500</v>
          </cell>
          <cell r="U146">
            <v>0</v>
          </cell>
          <cell r="V146">
            <v>0</v>
          </cell>
          <cell r="W146">
            <v>500</v>
          </cell>
        </row>
        <row r="147">
          <cell r="G147" t="str">
            <v>FGHI.0158</v>
          </cell>
          <cell r="H147" t="str">
            <v>Retrofit  das pás das turbinas das Unidades Geradoras</v>
          </cell>
          <cell r="I147"/>
          <cell r="J147" t="str">
            <v>UHE Corumbá</v>
          </cell>
          <cell r="K147">
            <v>0</v>
          </cell>
          <cell r="L147">
            <v>0</v>
          </cell>
          <cell r="M147">
            <v>0</v>
          </cell>
          <cell r="N147">
            <v>0</v>
          </cell>
          <cell r="O147">
            <v>0</v>
          </cell>
          <cell r="P147">
            <v>0</v>
          </cell>
          <cell r="Q147">
            <v>0</v>
          </cell>
          <cell r="R147">
            <v>0</v>
          </cell>
          <cell r="S147">
            <v>500</v>
          </cell>
          <cell r="T147">
            <v>0</v>
          </cell>
          <cell r="U147">
            <v>0</v>
          </cell>
          <cell r="V147">
            <v>0</v>
          </cell>
          <cell r="W147">
            <v>500</v>
          </cell>
        </row>
        <row r="148">
          <cell r="G148" t="str">
            <v>EGHI.0003</v>
          </cell>
          <cell r="H148" t="str">
            <v>UHE Colíder - Modernização do sistema de indicação de abertura das comportas do vertedouro</v>
          </cell>
          <cell r="I148"/>
          <cell r="J148" t="str">
            <v>UHE Colíder</v>
          </cell>
          <cell r="K148">
            <v>0</v>
          </cell>
          <cell r="L148">
            <v>0</v>
          </cell>
          <cell r="M148">
            <v>0</v>
          </cell>
          <cell r="N148">
            <v>0</v>
          </cell>
          <cell r="O148">
            <v>0</v>
          </cell>
          <cell r="P148">
            <v>0</v>
          </cell>
          <cell r="Q148">
            <v>0</v>
          </cell>
          <cell r="R148">
            <v>0</v>
          </cell>
          <cell r="S148">
            <v>0</v>
          </cell>
          <cell r="T148">
            <v>0</v>
          </cell>
          <cell r="U148">
            <v>0</v>
          </cell>
          <cell r="V148">
            <v>500</v>
          </cell>
          <cell r="W148">
            <v>500</v>
          </cell>
        </row>
        <row r="149">
          <cell r="G149" t="str">
            <v>FGHI.0165</v>
          </cell>
          <cell r="H149" t="str">
            <v>Substituição de parte das tubulações (galeria de drenagem) do sistema de água de alimentação (água de serviço - UC 365) por obsolescência - material e serviço UHE Marimbondo</v>
          </cell>
          <cell r="I149"/>
          <cell r="J149" t="str">
            <v>UHE Marimbondo</v>
          </cell>
          <cell r="K149">
            <v>0</v>
          </cell>
          <cell r="L149">
            <v>0</v>
          </cell>
          <cell r="M149">
            <v>0</v>
          </cell>
          <cell r="N149">
            <v>0</v>
          </cell>
          <cell r="O149">
            <v>0</v>
          </cell>
          <cell r="P149">
            <v>0</v>
          </cell>
          <cell r="Q149">
            <v>0</v>
          </cell>
          <cell r="R149">
            <v>0</v>
          </cell>
          <cell r="S149">
            <v>400</v>
          </cell>
          <cell r="T149">
            <v>0</v>
          </cell>
          <cell r="U149">
            <v>0</v>
          </cell>
          <cell r="V149">
            <v>100</v>
          </cell>
          <cell r="W149">
            <v>500</v>
          </cell>
        </row>
        <row r="150">
          <cell r="G150" t="str">
            <v>FGHI.0161</v>
          </cell>
          <cell r="H150" t="str">
            <v>UHE Itumbiara - Modernização dos trocadores de calor do mancal guia turbina UG's</v>
          </cell>
          <cell r="I150"/>
          <cell r="J150" t="str">
            <v>UHE Itumbiara</v>
          </cell>
          <cell r="K150">
            <v>0</v>
          </cell>
          <cell r="L150">
            <v>0</v>
          </cell>
          <cell r="M150">
            <v>0</v>
          </cell>
          <cell r="N150">
            <v>0</v>
          </cell>
          <cell r="O150">
            <v>100</v>
          </cell>
          <cell r="P150">
            <v>100</v>
          </cell>
          <cell r="Q150">
            <v>100</v>
          </cell>
          <cell r="R150">
            <v>100</v>
          </cell>
          <cell r="S150">
            <v>100</v>
          </cell>
          <cell r="T150">
            <v>0</v>
          </cell>
          <cell r="U150">
            <v>0</v>
          </cell>
          <cell r="V150">
            <v>0</v>
          </cell>
          <cell r="W150">
            <v>500</v>
          </cell>
        </row>
        <row r="151">
          <cell r="G151" t="str">
            <v>FGHI.0158</v>
          </cell>
          <cell r="H151" t="str">
            <v>UHE Corumbá - Substituição das vedações das comportas do vertedouro</v>
          </cell>
          <cell r="I151"/>
          <cell r="J151" t="str">
            <v>UHE Corumbá</v>
          </cell>
          <cell r="K151">
            <v>0</v>
          </cell>
          <cell r="L151">
            <v>0</v>
          </cell>
          <cell r="M151">
            <v>0</v>
          </cell>
          <cell r="N151">
            <v>0</v>
          </cell>
          <cell r="O151">
            <v>0</v>
          </cell>
          <cell r="P151">
            <v>0</v>
          </cell>
          <cell r="Q151">
            <v>0</v>
          </cell>
          <cell r="R151">
            <v>0</v>
          </cell>
          <cell r="S151">
            <v>200</v>
          </cell>
          <cell r="T151">
            <v>200</v>
          </cell>
          <cell r="U151">
            <v>100</v>
          </cell>
          <cell r="V151">
            <v>0</v>
          </cell>
          <cell r="W151">
            <v>500</v>
          </cell>
        </row>
        <row r="152">
          <cell r="G152" t="str">
            <v>FGHI.0171</v>
          </cell>
          <cell r="H152" t="str">
            <v>Modernização do sistema de esvaziamento e drenagem da casa de força da UHE Mascarenhas de Moraes - Caixa SAO</v>
          </cell>
          <cell r="I152"/>
          <cell r="J152" t="str">
            <v>UHE Mascarenhas de Moraes</v>
          </cell>
          <cell r="K152">
            <v>20</v>
          </cell>
          <cell r="L152">
            <v>20</v>
          </cell>
          <cell r="M152">
            <v>20</v>
          </cell>
          <cell r="N152">
            <v>20</v>
          </cell>
          <cell r="O152">
            <v>20</v>
          </cell>
          <cell r="P152">
            <v>20</v>
          </cell>
          <cell r="Q152">
            <v>20</v>
          </cell>
          <cell r="R152">
            <v>20</v>
          </cell>
          <cell r="S152">
            <v>20</v>
          </cell>
          <cell r="T152">
            <v>20</v>
          </cell>
          <cell r="U152">
            <v>300</v>
          </cell>
          <cell r="V152">
            <v>0</v>
          </cell>
          <cell r="W152">
            <v>500</v>
          </cell>
        </row>
        <row r="153">
          <cell r="G153" t="str">
            <v>FGHI.0164</v>
          </cell>
          <cell r="H153" t="str">
            <v>Modernização do sistema de resfriamento dos Geradores da UHE Manso</v>
          </cell>
          <cell r="I153"/>
          <cell r="J153" t="str">
            <v>UHE Manso</v>
          </cell>
          <cell r="K153">
            <v>0</v>
          </cell>
          <cell r="L153">
            <v>0</v>
          </cell>
          <cell r="M153">
            <v>0</v>
          </cell>
          <cell r="N153">
            <v>0</v>
          </cell>
          <cell r="O153">
            <v>0</v>
          </cell>
          <cell r="P153">
            <v>0</v>
          </cell>
          <cell r="Q153">
            <v>0</v>
          </cell>
          <cell r="R153">
            <v>0</v>
          </cell>
          <cell r="S153">
            <v>0</v>
          </cell>
          <cell r="T153">
            <v>500</v>
          </cell>
          <cell r="U153">
            <v>0</v>
          </cell>
          <cell r="V153">
            <v>0</v>
          </cell>
          <cell r="W153">
            <v>500</v>
          </cell>
        </row>
        <row r="154">
          <cell r="G154" t="str">
            <v>FGHI.0165</v>
          </cell>
          <cell r="H154" t="str">
            <v>Modernização dos sistema de medição de niveis do reservatorio e canal de fuga do UHE Marimbondo</v>
          </cell>
          <cell r="I154"/>
          <cell r="J154" t="str">
            <v>UHE Marimbondo</v>
          </cell>
          <cell r="K154">
            <v>0</v>
          </cell>
          <cell r="L154">
            <v>0</v>
          </cell>
          <cell r="M154">
            <v>0</v>
          </cell>
          <cell r="N154">
            <v>150</v>
          </cell>
          <cell r="O154">
            <v>0</v>
          </cell>
          <cell r="P154">
            <v>0</v>
          </cell>
          <cell r="Q154">
            <v>0</v>
          </cell>
          <cell r="R154">
            <v>0</v>
          </cell>
          <cell r="S154">
            <v>350</v>
          </cell>
          <cell r="T154">
            <v>0</v>
          </cell>
          <cell r="U154">
            <v>0</v>
          </cell>
          <cell r="V154">
            <v>0</v>
          </cell>
          <cell r="W154">
            <v>500</v>
          </cell>
        </row>
        <row r="155">
          <cell r="G155" t="str">
            <v>SGEO.0001</v>
          </cell>
          <cell r="H155" t="str">
            <v>Implantação do sistema de monitoramento online de vibração da EOL Cerro Chato</v>
          </cell>
          <cell r="I155"/>
          <cell r="J155" t="str">
            <v>Eólica Cerro Chato 1</v>
          </cell>
          <cell r="K155">
            <v>18.089999999999993</v>
          </cell>
          <cell r="L155">
            <v>18.089999999999993</v>
          </cell>
          <cell r="M155">
            <v>146.11500000000007</v>
          </cell>
          <cell r="N155">
            <v>146.11500000000007</v>
          </cell>
          <cell r="O155">
            <v>18.089999999999993</v>
          </cell>
          <cell r="P155">
            <v>18.089999999999993</v>
          </cell>
          <cell r="Q155">
            <v>18.089999999999993</v>
          </cell>
          <cell r="R155">
            <v>18.089999999999993</v>
          </cell>
          <cell r="S155">
            <v>18.089999999999993</v>
          </cell>
          <cell r="T155">
            <v>18.089999999999993</v>
          </cell>
          <cell r="U155">
            <v>18.089999999999993</v>
          </cell>
          <cell r="V155">
            <v>18.089999999999993</v>
          </cell>
          <cell r="W155">
            <v>473.12999999999988</v>
          </cell>
        </row>
        <row r="156">
          <cell r="G156" t="str">
            <v>SGHI.0001</v>
          </cell>
          <cell r="H156" t="str">
            <v>Implantação de Linhas de Vida na UHE São Domingos</v>
          </cell>
          <cell r="I156"/>
          <cell r="J156" t="str">
            <v>UHE São Domingos</v>
          </cell>
          <cell r="K156">
            <v>0</v>
          </cell>
          <cell r="L156">
            <v>0</v>
          </cell>
          <cell r="M156">
            <v>0</v>
          </cell>
          <cell r="N156">
            <v>0</v>
          </cell>
          <cell r="O156">
            <v>162.92599999999999</v>
          </cell>
          <cell r="P156">
            <v>0</v>
          </cell>
          <cell r="Q156">
            <v>288.62799999999999</v>
          </cell>
          <cell r="R156">
            <v>0</v>
          </cell>
          <cell r="S156">
            <v>0</v>
          </cell>
          <cell r="T156">
            <v>0</v>
          </cell>
          <cell r="U156">
            <v>0</v>
          </cell>
          <cell r="V156">
            <v>0</v>
          </cell>
          <cell r="W156">
            <v>451.55399999999997</v>
          </cell>
        </row>
        <row r="157">
          <cell r="G157" t="str">
            <v>NGHI.0070</v>
          </cell>
          <cell r="H157" t="str">
            <v>Monitoramento de buchas de transformador</v>
          </cell>
          <cell r="I157" t="str">
            <v>Garantir o monitoramento da capactancia de bucha dos transformadores</v>
          </cell>
          <cell r="J157" t="str">
            <v>UHE Samuel</v>
          </cell>
          <cell r="K157">
            <v>0</v>
          </cell>
          <cell r="L157">
            <v>0</v>
          </cell>
          <cell r="M157">
            <v>0</v>
          </cell>
          <cell r="N157">
            <v>0</v>
          </cell>
          <cell r="O157">
            <v>0</v>
          </cell>
          <cell r="P157">
            <v>0</v>
          </cell>
          <cell r="Q157">
            <v>450</v>
          </cell>
          <cell r="R157">
            <v>0</v>
          </cell>
          <cell r="S157">
            <v>0</v>
          </cell>
          <cell r="T157">
            <v>0</v>
          </cell>
          <cell r="U157">
            <v>0</v>
          </cell>
          <cell r="V157">
            <v>0</v>
          </cell>
          <cell r="W157">
            <v>450</v>
          </cell>
        </row>
        <row r="158">
          <cell r="G158" t="str">
            <v>FGHI.0161</v>
          </cell>
          <cell r="H158" t="str">
            <v>Retrofit  das pás das turbinas das Unidades Geradoras UHE Itumbiara</v>
          </cell>
          <cell r="I158"/>
          <cell r="J158" t="str">
            <v>UHE Itumbiara</v>
          </cell>
          <cell r="K158">
            <v>0</v>
          </cell>
          <cell r="L158">
            <v>0</v>
          </cell>
          <cell r="M158">
            <v>0</v>
          </cell>
          <cell r="N158">
            <v>0</v>
          </cell>
          <cell r="O158">
            <v>0</v>
          </cell>
          <cell r="P158">
            <v>0</v>
          </cell>
          <cell r="Q158">
            <v>450</v>
          </cell>
          <cell r="R158">
            <v>0</v>
          </cell>
          <cell r="S158">
            <v>0</v>
          </cell>
          <cell r="T158">
            <v>0</v>
          </cell>
          <cell r="U158">
            <v>0</v>
          </cell>
          <cell r="V158">
            <v>0</v>
          </cell>
          <cell r="W158">
            <v>450</v>
          </cell>
        </row>
        <row r="159">
          <cell r="G159" t="str">
            <v>FGHI.0162</v>
          </cell>
          <cell r="H159" t="str">
            <v>Aquisição de CONVERSÃO ELIPSE E3 PARA SAGE NA UHE-JAGUARI,</v>
          </cell>
          <cell r="I159"/>
          <cell r="J159" t="str">
            <v>UHE Jaguari</v>
          </cell>
          <cell r="K159">
            <v>0</v>
          </cell>
          <cell r="L159">
            <v>0</v>
          </cell>
          <cell r="M159">
            <v>0</v>
          </cell>
          <cell r="N159">
            <v>400</v>
          </cell>
          <cell r="O159">
            <v>0</v>
          </cell>
          <cell r="P159">
            <v>0</v>
          </cell>
          <cell r="Q159">
            <v>0</v>
          </cell>
          <cell r="R159">
            <v>0</v>
          </cell>
          <cell r="S159">
            <v>0</v>
          </cell>
          <cell r="T159">
            <v>0</v>
          </cell>
          <cell r="U159">
            <v>0</v>
          </cell>
          <cell r="V159">
            <v>50</v>
          </cell>
          <cell r="W159">
            <v>450</v>
          </cell>
        </row>
        <row r="160">
          <cell r="G160" t="str">
            <v>SGEO.0004</v>
          </cell>
          <cell r="H160" t="str">
            <v>Implantação do sistema de monitoramento online de vibração da EOL Coxilha Negra</v>
          </cell>
          <cell r="I160"/>
          <cell r="J160" t="str">
            <v>Eólica Coxilha Negra</v>
          </cell>
          <cell r="K160">
            <v>79.533720000000102</v>
          </cell>
          <cell r="L160">
            <v>79.533720000000102</v>
          </cell>
          <cell r="M160">
            <v>28.94400000000002</v>
          </cell>
          <cell r="N160">
            <v>28.94400000000002</v>
          </cell>
          <cell r="O160">
            <v>28.94400000000002</v>
          </cell>
          <cell r="P160">
            <v>28.94400000000002</v>
          </cell>
          <cell r="Q160">
            <v>28.94400000000002</v>
          </cell>
          <cell r="R160">
            <v>28.94400000000002</v>
          </cell>
          <cell r="S160">
            <v>28.94400000000002</v>
          </cell>
          <cell r="T160">
            <v>28.94400000000002</v>
          </cell>
          <cell r="U160">
            <v>28.94400000000002</v>
          </cell>
          <cell r="V160">
            <v>28.94400000000002</v>
          </cell>
          <cell r="W160">
            <v>448.50744000000037</v>
          </cell>
        </row>
        <row r="161">
          <cell r="G161" t="str">
            <v>FGHI.0163</v>
          </cell>
          <cell r="H161" t="str">
            <v>Retrofit do sistema de controle da comporta de adução da UG01 / UG 02 / UG 03 UHE Luiz Carlos Barreto de Carvalho</v>
          </cell>
          <cell r="I161"/>
          <cell r="J161" t="str">
            <v>UHE Luiz Carlos Barreto de Carvalho</v>
          </cell>
          <cell r="K161">
            <v>0</v>
          </cell>
          <cell r="L161">
            <v>0</v>
          </cell>
          <cell r="M161">
            <v>0</v>
          </cell>
          <cell r="N161">
            <v>0</v>
          </cell>
          <cell r="O161">
            <v>0</v>
          </cell>
          <cell r="P161">
            <v>0</v>
          </cell>
          <cell r="Q161">
            <v>430</v>
          </cell>
          <cell r="R161">
            <v>0</v>
          </cell>
          <cell r="S161">
            <v>0</v>
          </cell>
          <cell r="T161">
            <v>0</v>
          </cell>
          <cell r="U161">
            <v>0</v>
          </cell>
          <cell r="V161">
            <v>0</v>
          </cell>
          <cell r="W161">
            <v>430</v>
          </cell>
        </row>
        <row r="162">
          <cell r="G162" t="str">
            <v>MH.6002</v>
          </cell>
          <cell r="H162" t="str">
            <v>Implantação do sistema de fechamento de emergência das comportas da UHE Paulo Afonso I</v>
          </cell>
          <cell r="I162" t="str">
            <v>Eletromecânica</v>
          </cell>
          <cell r="J162" t="str">
            <v>UHE Paulo Afonso I</v>
          </cell>
          <cell r="K162">
            <v>2</v>
          </cell>
          <cell r="L162">
            <v>2</v>
          </cell>
          <cell r="M162">
            <v>2</v>
          </cell>
          <cell r="N162">
            <v>2</v>
          </cell>
          <cell r="O162">
            <v>2</v>
          </cell>
          <cell r="P162">
            <v>2</v>
          </cell>
          <cell r="Q162">
            <v>50</v>
          </cell>
          <cell r="R162">
            <v>50</v>
          </cell>
          <cell r="S162">
            <v>200</v>
          </cell>
          <cell r="T162">
            <v>100</v>
          </cell>
          <cell r="U162">
            <v>0</v>
          </cell>
          <cell r="V162">
            <v>0</v>
          </cell>
          <cell r="W162">
            <v>412</v>
          </cell>
        </row>
        <row r="163">
          <cell r="G163" t="str">
            <v>MH.6002</v>
          </cell>
          <cell r="H163" t="str">
            <v>Modernização do sistema de ventilação e exaustão da UHE Paulo Afonso II</v>
          </cell>
          <cell r="I163" t="str">
            <v>Eletromecânica</v>
          </cell>
          <cell r="J163" t="str">
            <v>UHE Paulo Afonso II</v>
          </cell>
          <cell r="K163">
            <v>0</v>
          </cell>
          <cell r="L163">
            <v>40</v>
          </cell>
          <cell r="M163">
            <v>40</v>
          </cell>
          <cell r="N163">
            <v>0</v>
          </cell>
          <cell r="O163">
            <v>0</v>
          </cell>
          <cell r="P163">
            <v>0</v>
          </cell>
          <cell r="Q163">
            <v>0</v>
          </cell>
          <cell r="R163">
            <v>0</v>
          </cell>
          <cell r="S163">
            <v>0</v>
          </cell>
          <cell r="T163">
            <v>0</v>
          </cell>
          <cell r="U163">
            <v>0</v>
          </cell>
          <cell r="V163">
            <v>0</v>
          </cell>
          <cell r="W163">
            <v>80</v>
          </cell>
        </row>
        <row r="164">
          <cell r="G164" t="str">
            <v>FGHI.0168</v>
          </cell>
          <cell r="H164" t="str">
            <v>UHE Serra da Mesa - Atividade PSSBI-Serviços de substituição de peças fixas e materias - Contratação de Projeto - Mono Via UHE Serra da Mesa</v>
          </cell>
          <cell r="I164"/>
          <cell r="J164" t="str">
            <v>UHE Serra da Mesa</v>
          </cell>
          <cell r="K164">
            <v>0</v>
          </cell>
          <cell r="L164">
            <v>0</v>
          </cell>
          <cell r="M164">
            <v>0</v>
          </cell>
          <cell r="N164">
            <v>0</v>
          </cell>
          <cell r="O164">
            <v>0</v>
          </cell>
          <cell r="P164">
            <v>0</v>
          </cell>
          <cell r="Q164">
            <v>0</v>
          </cell>
          <cell r="R164">
            <v>0</v>
          </cell>
          <cell r="S164">
            <v>300</v>
          </cell>
          <cell r="T164">
            <v>0</v>
          </cell>
          <cell r="U164">
            <v>0</v>
          </cell>
          <cell r="V164">
            <v>100</v>
          </cell>
          <cell r="W164">
            <v>400</v>
          </cell>
        </row>
        <row r="165">
          <cell r="G165" t="str">
            <v>FGHI.0161</v>
          </cell>
          <cell r="H165" t="str">
            <v>UHE Itumbiara - Modernização dos fan coils dos TADs da Central de condicionamento de ar</v>
          </cell>
          <cell r="I165"/>
          <cell r="J165" t="str">
            <v>UHE Itumbiara</v>
          </cell>
          <cell r="K165">
            <v>0</v>
          </cell>
          <cell r="L165">
            <v>0</v>
          </cell>
          <cell r="M165">
            <v>0</v>
          </cell>
          <cell r="N165">
            <v>0</v>
          </cell>
          <cell r="O165">
            <v>0</v>
          </cell>
          <cell r="P165">
            <v>400</v>
          </cell>
          <cell r="Q165">
            <v>0</v>
          </cell>
          <cell r="R165">
            <v>0</v>
          </cell>
          <cell r="S165">
            <v>0</v>
          </cell>
          <cell r="T165">
            <v>0</v>
          </cell>
          <cell r="U165">
            <v>0</v>
          </cell>
          <cell r="V165">
            <v>0</v>
          </cell>
          <cell r="W165">
            <v>400</v>
          </cell>
        </row>
        <row r="166">
          <cell r="G166" t="str">
            <v>FGHI.0163</v>
          </cell>
          <cell r="H166" t="str">
            <v>Susbtituição dos vasos de pressão dos sistemas de ar contra cavitação e rebaixamento UHE Luiz Carlos Barreto de Carvalho</v>
          </cell>
          <cell r="I166"/>
          <cell r="J166" t="str">
            <v>UHE Luiz Carlos Barreto de Carvalho</v>
          </cell>
          <cell r="K166">
            <v>0</v>
          </cell>
          <cell r="L166">
            <v>0</v>
          </cell>
          <cell r="M166">
            <v>0</v>
          </cell>
          <cell r="N166">
            <v>0</v>
          </cell>
          <cell r="O166">
            <v>0</v>
          </cell>
          <cell r="P166">
            <v>0</v>
          </cell>
          <cell r="Q166">
            <v>0</v>
          </cell>
          <cell r="R166">
            <v>0</v>
          </cell>
          <cell r="S166">
            <v>0</v>
          </cell>
          <cell r="T166">
            <v>400</v>
          </cell>
          <cell r="U166">
            <v>0</v>
          </cell>
          <cell r="V166">
            <v>0</v>
          </cell>
          <cell r="W166">
            <v>400</v>
          </cell>
        </row>
        <row r="167">
          <cell r="G167" t="str">
            <v>FGHI.0165</v>
          </cell>
          <cell r="H167" t="str">
            <v>Modernização/Retrofit de tubulação na Casa de Força da UHE Marimbondo - Parte da Tubulação de Ar da Casa de Força</v>
          </cell>
          <cell r="I167"/>
          <cell r="J167" t="str">
            <v>UHE Marimbondo</v>
          </cell>
          <cell r="K167">
            <v>0</v>
          </cell>
          <cell r="L167">
            <v>0</v>
          </cell>
          <cell r="M167">
            <v>0</v>
          </cell>
          <cell r="N167">
            <v>0</v>
          </cell>
          <cell r="O167">
            <v>0</v>
          </cell>
          <cell r="P167">
            <v>0</v>
          </cell>
          <cell r="Q167">
            <v>0</v>
          </cell>
          <cell r="R167">
            <v>0</v>
          </cell>
          <cell r="S167">
            <v>400</v>
          </cell>
          <cell r="T167">
            <v>0</v>
          </cell>
          <cell r="U167">
            <v>0</v>
          </cell>
          <cell r="V167">
            <v>0</v>
          </cell>
          <cell r="W167">
            <v>400</v>
          </cell>
        </row>
        <row r="168">
          <cell r="G168" t="str">
            <v>FGHI.0160</v>
          </cell>
          <cell r="H168" t="str">
            <v>Retrofit do Sistema SPCI das UGs - CO2 UHE Furnas</v>
          </cell>
          <cell r="I168"/>
          <cell r="J168" t="str">
            <v>UHE Furnas</v>
          </cell>
          <cell r="K168">
            <v>0</v>
          </cell>
          <cell r="L168">
            <v>0</v>
          </cell>
          <cell r="M168">
            <v>0</v>
          </cell>
          <cell r="N168">
            <v>0</v>
          </cell>
          <cell r="O168">
            <v>0</v>
          </cell>
          <cell r="P168">
            <v>0</v>
          </cell>
          <cell r="Q168">
            <v>100</v>
          </cell>
          <cell r="R168">
            <v>100</v>
          </cell>
          <cell r="S168">
            <v>100</v>
          </cell>
          <cell r="T168">
            <v>0</v>
          </cell>
          <cell r="U168">
            <v>0</v>
          </cell>
          <cell r="V168">
            <v>100</v>
          </cell>
          <cell r="W168">
            <v>400</v>
          </cell>
        </row>
        <row r="169">
          <cell r="G169" t="str">
            <v>FGHI.0163</v>
          </cell>
          <cell r="H169" t="str">
            <v>Retrofit no SPCI das Unidades Geradores - UHE Luiz Carlos Barreto de Carvalho</v>
          </cell>
          <cell r="I169"/>
          <cell r="J169" t="str">
            <v>UHE Luiz Carlos Barreto de Carvalho</v>
          </cell>
          <cell r="K169">
            <v>0</v>
          </cell>
          <cell r="L169">
            <v>0</v>
          </cell>
          <cell r="M169">
            <v>0</v>
          </cell>
          <cell r="N169">
            <v>0</v>
          </cell>
          <cell r="O169">
            <v>0</v>
          </cell>
          <cell r="P169">
            <v>0</v>
          </cell>
          <cell r="Q169">
            <v>0</v>
          </cell>
          <cell r="R169">
            <v>0</v>
          </cell>
          <cell r="S169">
            <v>400</v>
          </cell>
          <cell r="T169">
            <v>0</v>
          </cell>
          <cell r="U169">
            <v>0</v>
          </cell>
          <cell r="V169">
            <v>0</v>
          </cell>
          <cell r="W169">
            <v>400</v>
          </cell>
        </row>
        <row r="170">
          <cell r="G170" t="str">
            <v>FGHI.0003</v>
          </cell>
          <cell r="H170" t="str">
            <v>UHE Itumbiara - Aquisições e contratações remanescente 2025 -</v>
          </cell>
          <cell r="I170"/>
          <cell r="J170" t="str">
            <v>UHE Itumbiara</v>
          </cell>
          <cell r="K170">
            <v>0</v>
          </cell>
          <cell r="L170">
            <v>0</v>
          </cell>
          <cell r="M170">
            <v>0</v>
          </cell>
          <cell r="N170">
            <v>0</v>
          </cell>
          <cell r="O170">
            <v>0</v>
          </cell>
          <cell r="P170">
            <v>400</v>
          </cell>
          <cell r="Q170">
            <v>0</v>
          </cell>
          <cell r="R170">
            <v>0</v>
          </cell>
          <cell r="S170">
            <v>0</v>
          </cell>
          <cell r="T170">
            <v>0</v>
          </cell>
          <cell r="U170">
            <v>0</v>
          </cell>
          <cell r="V170">
            <v>0</v>
          </cell>
          <cell r="W170">
            <v>400</v>
          </cell>
        </row>
        <row r="171">
          <cell r="G171" t="str">
            <v>FGHI.0158</v>
          </cell>
          <cell r="H171" t="str">
            <v>UHE Corumbá - Modernização dos controles das Comportas do Vertedouro</v>
          </cell>
          <cell r="I171"/>
          <cell r="J171" t="str">
            <v>UHE Corumbá</v>
          </cell>
          <cell r="K171">
            <v>0</v>
          </cell>
          <cell r="L171">
            <v>0</v>
          </cell>
          <cell r="M171">
            <v>0</v>
          </cell>
          <cell r="N171">
            <v>0</v>
          </cell>
          <cell r="O171">
            <v>300</v>
          </cell>
          <cell r="P171">
            <v>0</v>
          </cell>
          <cell r="Q171">
            <v>0</v>
          </cell>
          <cell r="R171">
            <v>0</v>
          </cell>
          <cell r="S171">
            <v>0</v>
          </cell>
          <cell r="T171">
            <v>0</v>
          </cell>
          <cell r="U171">
            <v>0</v>
          </cell>
          <cell r="V171">
            <v>100</v>
          </cell>
          <cell r="W171">
            <v>400</v>
          </cell>
        </row>
        <row r="172">
          <cell r="G172" t="str">
            <v>MH.6002</v>
          </cell>
          <cell r="H172" t="str">
            <v>Modernização de 02 transformadores reguladores para UHE Sobradinho</v>
          </cell>
          <cell r="I172" t="str">
            <v>Eletromecânica</v>
          </cell>
          <cell r="J172" t="str">
            <v>UHE Sobradinho</v>
          </cell>
          <cell r="K172">
            <v>0</v>
          </cell>
          <cell r="L172">
            <v>0</v>
          </cell>
          <cell r="M172">
            <v>0</v>
          </cell>
          <cell r="N172">
            <v>0</v>
          </cell>
          <cell r="O172">
            <v>0</v>
          </cell>
          <cell r="P172">
            <v>0</v>
          </cell>
          <cell r="Q172">
            <v>0</v>
          </cell>
          <cell r="R172">
            <v>0</v>
          </cell>
          <cell r="S172">
            <v>0</v>
          </cell>
          <cell r="T172">
            <v>0</v>
          </cell>
          <cell r="U172">
            <v>1995</v>
          </cell>
          <cell r="V172">
            <v>855</v>
          </cell>
          <cell r="W172">
            <v>2850</v>
          </cell>
        </row>
        <row r="173">
          <cell r="G173" t="str">
            <v>FGHI.0009</v>
          </cell>
          <cell r="H173" t="str">
            <v>Aquisição de UACs  - Serviço + Material - Remanescente 2025</v>
          </cell>
          <cell r="I173"/>
          <cell r="J173" t="str">
            <v>UHE Luiz Carlos Barreto de Carvalho</v>
          </cell>
          <cell r="K173">
            <v>0</v>
          </cell>
          <cell r="L173">
            <v>0</v>
          </cell>
          <cell r="M173">
            <v>0</v>
          </cell>
          <cell r="N173">
            <v>0</v>
          </cell>
          <cell r="O173">
            <v>380</v>
          </cell>
          <cell r="P173">
            <v>0</v>
          </cell>
          <cell r="Q173">
            <v>0</v>
          </cell>
          <cell r="R173">
            <v>0</v>
          </cell>
          <cell r="S173">
            <v>0</v>
          </cell>
          <cell r="T173">
            <v>0</v>
          </cell>
          <cell r="U173">
            <v>0</v>
          </cell>
          <cell r="V173">
            <v>0</v>
          </cell>
          <cell r="W173">
            <v>380</v>
          </cell>
        </row>
        <row r="174">
          <cell r="G174" t="str">
            <v>MH.6002</v>
          </cell>
          <cell r="H174" t="str">
            <v>Modernização do sistema de proteção, controle e supervisão (SPCS) da UHE Xingó - CCX2</v>
          </cell>
          <cell r="I174" t="str">
            <v>Eletromecânica</v>
          </cell>
          <cell r="J174" t="str">
            <v>UHE Xingó</v>
          </cell>
          <cell r="K174">
            <v>10</v>
          </cell>
          <cell r="L174">
            <v>1900</v>
          </cell>
          <cell r="M174">
            <v>1800</v>
          </cell>
          <cell r="N174">
            <v>2620</v>
          </cell>
          <cell r="O174">
            <v>2500</v>
          </cell>
          <cell r="P174">
            <v>2320</v>
          </cell>
          <cell r="Q174">
            <v>1600</v>
          </cell>
          <cell r="R174">
            <v>830</v>
          </cell>
          <cell r="S174">
            <v>560</v>
          </cell>
          <cell r="T174">
            <v>150</v>
          </cell>
          <cell r="U174">
            <v>6200</v>
          </cell>
          <cell r="V174">
            <v>10</v>
          </cell>
          <cell r="W174">
            <v>20500</v>
          </cell>
        </row>
        <row r="175">
          <cell r="G175" t="str">
            <v>FGHI.0159</v>
          </cell>
          <cell r="H175" t="str">
            <v>Modernização da Linha de 13.8 K - Alimentação do VME. UHE Funil</v>
          </cell>
          <cell r="I175"/>
          <cell r="J175" t="str">
            <v>UHE Funil</v>
          </cell>
          <cell r="K175">
            <v>0</v>
          </cell>
          <cell r="L175">
            <v>0</v>
          </cell>
          <cell r="M175">
            <v>0</v>
          </cell>
          <cell r="N175">
            <v>0</v>
          </cell>
          <cell r="O175">
            <v>0</v>
          </cell>
          <cell r="P175">
            <v>0</v>
          </cell>
          <cell r="Q175">
            <v>180</v>
          </cell>
          <cell r="R175">
            <v>180</v>
          </cell>
          <cell r="S175">
            <v>0</v>
          </cell>
          <cell r="T175">
            <v>0</v>
          </cell>
          <cell r="U175">
            <v>0</v>
          </cell>
          <cell r="V175">
            <v>0</v>
          </cell>
          <cell r="W175">
            <v>360</v>
          </cell>
        </row>
        <row r="176">
          <cell r="G176" t="str">
            <v>HGHI.0028</v>
          </cell>
          <cell r="H176" t="str">
            <v>Implantação de sistema de separação água/óleo dos poços de drenagem da UHE.</v>
          </cell>
          <cell r="I176" t="str">
            <v>Eletromecânica</v>
          </cell>
          <cell r="J176" t="str">
            <v>Diversas UHE</v>
          </cell>
          <cell r="K176">
            <v>5</v>
          </cell>
          <cell r="L176">
            <v>5</v>
          </cell>
          <cell r="M176">
            <v>5</v>
          </cell>
          <cell r="N176">
            <v>5</v>
          </cell>
          <cell r="O176">
            <v>5</v>
          </cell>
          <cell r="P176">
            <v>5</v>
          </cell>
          <cell r="Q176">
            <v>5</v>
          </cell>
          <cell r="R176">
            <v>5</v>
          </cell>
          <cell r="S176">
            <v>5</v>
          </cell>
          <cell r="T176">
            <v>5</v>
          </cell>
          <cell r="U176">
            <v>5</v>
          </cell>
          <cell r="V176">
            <v>5</v>
          </cell>
          <cell r="W176">
            <v>60</v>
          </cell>
        </row>
        <row r="177">
          <cell r="G177" t="str">
            <v>MH.6002</v>
          </cell>
          <cell r="H177" t="str">
            <v>Substituição do sistema de vedação do distribuidor da UHE Xingó</v>
          </cell>
          <cell r="I177" t="str">
            <v>Eletromecânica</v>
          </cell>
          <cell r="J177" t="str">
            <v>UHE Xingó</v>
          </cell>
          <cell r="K177">
            <v>700</v>
          </cell>
          <cell r="L177">
            <v>2526</v>
          </cell>
          <cell r="M177">
            <v>86</v>
          </cell>
          <cell r="N177">
            <v>0</v>
          </cell>
          <cell r="O177">
            <v>1025</v>
          </cell>
          <cell r="P177">
            <v>668</v>
          </cell>
          <cell r="Q177">
            <v>0</v>
          </cell>
          <cell r="R177">
            <v>1521</v>
          </cell>
          <cell r="S177">
            <v>0</v>
          </cell>
          <cell r="T177">
            <v>0</v>
          </cell>
          <cell r="U177">
            <v>2231</v>
          </cell>
          <cell r="V177">
            <v>0</v>
          </cell>
          <cell r="W177">
            <v>8757</v>
          </cell>
        </row>
        <row r="178">
          <cell r="G178" t="str">
            <v>UH.6015</v>
          </cell>
          <cell r="H178" t="str">
            <v>Modernização de Postos de diversas usinas da Chesf</v>
          </cell>
          <cell r="I178" t="str">
            <v>Automação</v>
          </cell>
          <cell r="J178" t="str">
            <v>Diversas UHE</v>
          </cell>
          <cell r="K178">
            <v>0</v>
          </cell>
          <cell r="L178">
            <v>0</v>
          </cell>
          <cell r="M178">
            <v>10</v>
          </cell>
          <cell r="N178">
            <v>10</v>
          </cell>
          <cell r="O178">
            <v>0</v>
          </cell>
          <cell r="P178">
            <v>0</v>
          </cell>
          <cell r="Q178">
            <v>0</v>
          </cell>
          <cell r="R178">
            <v>0</v>
          </cell>
          <cell r="S178">
            <v>0</v>
          </cell>
          <cell r="T178">
            <v>0</v>
          </cell>
          <cell r="U178">
            <v>0</v>
          </cell>
          <cell r="V178">
            <v>0</v>
          </cell>
          <cell r="W178">
            <v>20</v>
          </cell>
        </row>
        <row r="179">
          <cell r="G179" t="str">
            <v>NGHI.0143</v>
          </cell>
          <cell r="H179" t="str">
            <v>Aquisição de conjunto completo da junta de vedação do eixo (UGH18): parte fixa e móvel</v>
          </cell>
          <cell r="I179" t="str">
            <v>Necessidade de equipamentos sobressalente para substituição nas UGHs da CF2</v>
          </cell>
          <cell r="J179" t="str">
            <v>UHE Tucuruí</v>
          </cell>
          <cell r="K179">
            <v>0</v>
          </cell>
          <cell r="L179">
            <v>0</v>
          </cell>
          <cell r="M179">
            <v>0</v>
          </cell>
          <cell r="N179">
            <v>0</v>
          </cell>
          <cell r="O179">
            <v>0</v>
          </cell>
          <cell r="P179">
            <v>0</v>
          </cell>
          <cell r="Q179">
            <v>0</v>
          </cell>
          <cell r="R179">
            <v>0</v>
          </cell>
          <cell r="S179">
            <v>0</v>
          </cell>
          <cell r="T179">
            <v>350</v>
          </cell>
          <cell r="U179">
            <v>0</v>
          </cell>
          <cell r="V179">
            <v>0</v>
          </cell>
          <cell r="W179">
            <v>350</v>
          </cell>
        </row>
        <row r="180">
          <cell r="G180" t="str">
            <v>MH.6002</v>
          </cell>
          <cell r="H180" t="str">
            <v>Implantação do sistema de rebaixamento da UHE Xingó</v>
          </cell>
          <cell r="I180" t="str">
            <v>Eletromecânica</v>
          </cell>
          <cell r="J180" t="str">
            <v>UHE Xingó</v>
          </cell>
          <cell r="K180">
            <v>50</v>
          </cell>
          <cell r="L180">
            <v>50</v>
          </cell>
          <cell r="M180">
            <v>702</v>
          </cell>
          <cell r="N180">
            <v>50</v>
          </cell>
          <cell r="O180">
            <v>574</v>
          </cell>
          <cell r="P180">
            <v>1122</v>
          </cell>
          <cell r="Q180">
            <v>50</v>
          </cell>
          <cell r="R180">
            <v>50</v>
          </cell>
          <cell r="S180">
            <v>50</v>
          </cell>
          <cell r="T180">
            <v>50</v>
          </cell>
          <cell r="U180">
            <v>100</v>
          </cell>
          <cell r="V180">
            <v>100</v>
          </cell>
          <cell r="W180">
            <v>2948</v>
          </cell>
        </row>
        <row r="181">
          <cell r="G181" t="str">
            <v>SGHI.0001</v>
          </cell>
          <cell r="H181" t="str">
            <v>Aquisição de trocadores de calor das unidades hidráulicas de lubrificação dos mancais das UGs da UHE São Domingos</v>
          </cell>
          <cell r="I181" t="str">
            <v>Aquisição de CPUs para as unidade de aquisição e controle do vertedouro (UACVT), última versão, para elevar a quantidade de sobressalentes disponíveis de 1 unidade para 3 unidades do modelo da CPU instalada (10 uni), que está com fabricação descontinuada</v>
          </cell>
          <cell r="J181" t="str">
            <v>UHE São Domingos</v>
          </cell>
          <cell r="K181">
            <v>0</v>
          </cell>
          <cell r="L181">
            <v>0</v>
          </cell>
          <cell r="M181">
            <v>0</v>
          </cell>
          <cell r="N181">
            <v>0</v>
          </cell>
          <cell r="O181">
            <v>0</v>
          </cell>
          <cell r="P181">
            <v>0</v>
          </cell>
          <cell r="Q181">
            <v>320</v>
          </cell>
          <cell r="R181">
            <v>0</v>
          </cell>
          <cell r="S181">
            <v>0</v>
          </cell>
          <cell r="T181">
            <v>0</v>
          </cell>
          <cell r="U181">
            <v>0</v>
          </cell>
          <cell r="V181">
            <v>0</v>
          </cell>
          <cell r="W181">
            <v>320</v>
          </cell>
        </row>
        <row r="182">
          <cell r="G182" t="str">
            <v>SGHI.0001</v>
          </cell>
          <cell r="H182" t="str">
            <v>Implantação de Linhas de Vida e plataforma de acesso à caixa espiral na PCH Barra do Rio Chapéu</v>
          </cell>
          <cell r="I182"/>
          <cell r="J182" t="str">
            <v>PCH Barra Do Rio Chapéu</v>
          </cell>
          <cell r="K182">
            <v>0</v>
          </cell>
          <cell r="L182">
            <v>0</v>
          </cell>
          <cell r="M182">
            <v>0</v>
          </cell>
          <cell r="N182">
            <v>0</v>
          </cell>
          <cell r="O182">
            <v>0</v>
          </cell>
          <cell r="P182">
            <v>113.325</v>
          </cell>
          <cell r="Q182">
            <v>0</v>
          </cell>
          <cell r="R182">
            <v>193.31299999999999</v>
          </cell>
          <cell r="S182">
            <v>0</v>
          </cell>
          <cell r="T182">
            <v>0</v>
          </cell>
          <cell r="U182">
            <v>0</v>
          </cell>
          <cell r="V182">
            <v>0</v>
          </cell>
          <cell r="W182">
            <v>306.63799999999998</v>
          </cell>
        </row>
        <row r="183">
          <cell r="G183" t="str">
            <v>MH.6002</v>
          </cell>
          <cell r="H183" t="str">
            <v>Modernização da estação de tratamento de água (ETA) da UHE Xingó</v>
          </cell>
          <cell r="I183" t="str">
            <v>Eletromecânica</v>
          </cell>
          <cell r="J183" t="str">
            <v>UHE Xingó</v>
          </cell>
          <cell r="K183">
            <v>0</v>
          </cell>
          <cell r="L183">
            <v>0</v>
          </cell>
          <cell r="M183">
            <v>0</v>
          </cell>
          <cell r="N183">
            <v>0</v>
          </cell>
          <cell r="O183">
            <v>1600</v>
          </cell>
          <cell r="P183">
            <v>0</v>
          </cell>
          <cell r="Q183">
            <v>0</v>
          </cell>
          <cell r="R183">
            <v>0</v>
          </cell>
          <cell r="S183">
            <v>1100</v>
          </cell>
          <cell r="T183">
            <v>0</v>
          </cell>
          <cell r="U183">
            <v>0</v>
          </cell>
          <cell r="V183">
            <v>0</v>
          </cell>
          <cell r="W183">
            <v>2700</v>
          </cell>
        </row>
        <row r="184">
          <cell r="G184" t="str">
            <v>MH.6002</v>
          </cell>
          <cell r="H184" t="str">
            <v>Modernização do sistema de ventilação da UHE Xingó</v>
          </cell>
          <cell r="I184" t="str">
            <v>Eletromecânica</v>
          </cell>
          <cell r="J184" t="str">
            <v>UHE Xingó</v>
          </cell>
          <cell r="K184">
            <v>0</v>
          </cell>
          <cell r="L184">
            <v>0</v>
          </cell>
          <cell r="M184">
            <v>0</v>
          </cell>
          <cell r="N184">
            <v>0</v>
          </cell>
          <cell r="O184">
            <v>0</v>
          </cell>
          <cell r="P184">
            <v>0</v>
          </cell>
          <cell r="Q184">
            <v>0</v>
          </cell>
          <cell r="R184">
            <v>0</v>
          </cell>
          <cell r="S184">
            <v>250</v>
          </cell>
          <cell r="T184">
            <v>250</v>
          </cell>
          <cell r="U184">
            <v>250</v>
          </cell>
          <cell r="V184">
            <v>250</v>
          </cell>
          <cell r="W184">
            <v>1000</v>
          </cell>
        </row>
        <row r="185">
          <cell r="G185" t="str">
            <v>NGHI.0143</v>
          </cell>
          <cell r="H185" t="str">
            <v>Aquisição de banco de baterias 125VCC</v>
          </cell>
          <cell r="I185" t="str">
            <v>Substituição de banco de baterias UHE Samuel</v>
          </cell>
          <cell r="J185" t="str">
            <v>UHE Samuel</v>
          </cell>
          <cell r="K185">
            <v>0</v>
          </cell>
          <cell r="L185">
            <v>0</v>
          </cell>
          <cell r="M185">
            <v>0</v>
          </cell>
          <cell r="N185">
            <v>0</v>
          </cell>
          <cell r="O185">
            <v>0</v>
          </cell>
          <cell r="P185">
            <v>0</v>
          </cell>
          <cell r="Q185">
            <v>0</v>
          </cell>
          <cell r="R185">
            <v>0</v>
          </cell>
          <cell r="S185">
            <v>0</v>
          </cell>
          <cell r="T185">
            <v>0</v>
          </cell>
          <cell r="U185">
            <v>300</v>
          </cell>
          <cell r="V185">
            <v>0</v>
          </cell>
          <cell r="W185">
            <v>300</v>
          </cell>
        </row>
        <row r="186">
          <cell r="G186" t="str">
            <v>FGHI.0161</v>
          </cell>
          <cell r="H186" t="str">
            <v xml:space="preserve">UHE Itumbiara - Modernização do sistema de drenagem e esvaziamento da </v>
          </cell>
          <cell r="I186"/>
          <cell r="J186" t="str">
            <v>UHE Itumbiara</v>
          </cell>
          <cell r="K186">
            <v>0</v>
          </cell>
          <cell r="L186">
            <v>0</v>
          </cell>
          <cell r="M186">
            <v>0</v>
          </cell>
          <cell r="N186">
            <v>0</v>
          </cell>
          <cell r="O186">
            <v>0</v>
          </cell>
          <cell r="P186">
            <v>0</v>
          </cell>
          <cell r="Q186">
            <v>0</v>
          </cell>
          <cell r="R186">
            <v>0</v>
          </cell>
          <cell r="S186">
            <v>300</v>
          </cell>
          <cell r="T186">
            <v>0</v>
          </cell>
          <cell r="U186">
            <v>0</v>
          </cell>
          <cell r="V186">
            <v>0</v>
          </cell>
          <cell r="W186">
            <v>300</v>
          </cell>
        </row>
        <row r="187">
          <cell r="G187" t="str">
            <v>FGHI.0157</v>
          </cell>
          <cell r="H187" t="str">
            <v>UHE Batalha - Modernização do Pórtico da Tomada Dágua</v>
          </cell>
          <cell r="I187"/>
          <cell r="J187" t="str">
            <v>UHE Batalha</v>
          </cell>
          <cell r="K187">
            <v>0</v>
          </cell>
          <cell r="L187">
            <v>0</v>
          </cell>
          <cell r="M187">
            <v>0</v>
          </cell>
          <cell r="N187">
            <v>0</v>
          </cell>
          <cell r="O187">
            <v>0</v>
          </cell>
          <cell r="P187">
            <v>0</v>
          </cell>
          <cell r="Q187">
            <v>0</v>
          </cell>
          <cell r="R187">
            <v>0</v>
          </cell>
          <cell r="S187">
            <v>300</v>
          </cell>
          <cell r="T187">
            <v>0</v>
          </cell>
          <cell r="U187">
            <v>0</v>
          </cell>
          <cell r="V187">
            <v>0</v>
          </cell>
          <cell r="W187">
            <v>300</v>
          </cell>
        </row>
        <row r="188">
          <cell r="G188" t="str">
            <v>FGHI.0161</v>
          </cell>
          <cell r="H188" t="str">
            <v>Modernização do sistema de ar de regulação das Ugs UHE Itumbiara</v>
          </cell>
          <cell r="I188"/>
          <cell r="J188" t="str">
            <v>UHE Itumbiara</v>
          </cell>
          <cell r="K188">
            <v>0</v>
          </cell>
          <cell r="L188">
            <v>0</v>
          </cell>
          <cell r="M188">
            <v>0</v>
          </cell>
          <cell r="N188">
            <v>0</v>
          </cell>
          <cell r="O188">
            <v>0</v>
          </cell>
          <cell r="P188">
            <v>0</v>
          </cell>
          <cell r="Q188">
            <v>300</v>
          </cell>
          <cell r="R188">
            <v>0</v>
          </cell>
          <cell r="S188">
            <v>0</v>
          </cell>
          <cell r="T188">
            <v>0</v>
          </cell>
          <cell r="U188">
            <v>0</v>
          </cell>
          <cell r="V188">
            <v>0</v>
          </cell>
          <cell r="W188">
            <v>300</v>
          </cell>
        </row>
        <row r="189">
          <cell r="G189" t="str">
            <v>FGHI.0163</v>
          </cell>
          <cell r="H189" t="str">
            <v>Trocadores de calor para os RV's UHE Luiz Carlos Barreto de Carvalho</v>
          </cell>
          <cell r="I189"/>
          <cell r="J189" t="str">
            <v>UHE Luiz Carlos Barreto de Carvalho</v>
          </cell>
          <cell r="K189">
            <v>0</v>
          </cell>
          <cell r="L189">
            <v>0</v>
          </cell>
          <cell r="M189">
            <v>0</v>
          </cell>
          <cell r="N189">
            <v>0</v>
          </cell>
          <cell r="O189">
            <v>0</v>
          </cell>
          <cell r="P189">
            <v>0</v>
          </cell>
          <cell r="Q189">
            <v>0</v>
          </cell>
          <cell r="R189">
            <v>200</v>
          </cell>
          <cell r="S189">
            <v>0</v>
          </cell>
          <cell r="T189">
            <v>0</v>
          </cell>
          <cell r="U189">
            <v>0</v>
          </cell>
          <cell r="V189">
            <v>100</v>
          </cell>
          <cell r="W189">
            <v>300</v>
          </cell>
        </row>
        <row r="190">
          <cell r="G190" t="str">
            <v>FGHI.0165</v>
          </cell>
          <cell r="H190" t="str">
            <v>Modernização/Retrofit de compressores - Central de Ar de Rebaixamento UHE Marimbondo</v>
          </cell>
          <cell r="I190"/>
          <cell r="J190" t="str">
            <v>UHE Marimbondo</v>
          </cell>
          <cell r="K190">
            <v>0</v>
          </cell>
          <cell r="L190">
            <v>0</v>
          </cell>
          <cell r="M190">
            <v>0</v>
          </cell>
          <cell r="N190">
            <v>0</v>
          </cell>
          <cell r="O190">
            <v>0</v>
          </cell>
          <cell r="P190">
            <v>0</v>
          </cell>
          <cell r="Q190">
            <v>0</v>
          </cell>
          <cell r="R190">
            <v>0</v>
          </cell>
          <cell r="S190">
            <v>0</v>
          </cell>
          <cell r="T190">
            <v>300</v>
          </cell>
          <cell r="U190">
            <v>0</v>
          </cell>
          <cell r="V190">
            <v>0</v>
          </cell>
          <cell r="W190">
            <v>300</v>
          </cell>
        </row>
        <row r="191">
          <cell r="G191" t="str">
            <v>FGHI.0163</v>
          </cell>
          <cell r="H191" t="str">
            <v>Retrofit parcial das UAC's 1 e 2, com fornecimento de sobrerssalentes UHE Luiz Carlos Barreto de Carvalho</v>
          </cell>
          <cell r="I191"/>
          <cell r="J191" t="str">
            <v>UHE Luiz Carlos Barreto de Carvalho</v>
          </cell>
          <cell r="K191">
            <v>0</v>
          </cell>
          <cell r="L191">
            <v>0</v>
          </cell>
          <cell r="M191">
            <v>0</v>
          </cell>
          <cell r="N191">
            <v>0</v>
          </cell>
          <cell r="O191">
            <v>0</v>
          </cell>
          <cell r="P191">
            <v>0</v>
          </cell>
          <cell r="Q191">
            <v>0</v>
          </cell>
          <cell r="R191">
            <v>0</v>
          </cell>
          <cell r="S191">
            <v>0</v>
          </cell>
          <cell r="T191">
            <v>0</v>
          </cell>
          <cell r="U191">
            <v>0</v>
          </cell>
          <cell r="V191">
            <v>300</v>
          </cell>
          <cell r="W191">
            <v>300</v>
          </cell>
        </row>
        <row r="192">
          <cell r="G192" t="str">
            <v>MH.6002</v>
          </cell>
          <cell r="H192" t="str">
            <v>Implantação de sistema indicador de posição das comportas do vertedouro da UHE Xingó</v>
          </cell>
          <cell r="I192" t="str">
            <v>Eletromecânica</v>
          </cell>
          <cell r="J192" t="str">
            <v>UHE Xingó</v>
          </cell>
          <cell r="K192">
            <v>0</v>
          </cell>
          <cell r="L192">
            <v>0</v>
          </cell>
          <cell r="M192">
            <v>10</v>
          </cell>
          <cell r="N192">
            <v>132</v>
          </cell>
          <cell r="O192">
            <v>10</v>
          </cell>
          <cell r="P192">
            <v>8</v>
          </cell>
          <cell r="Q192">
            <v>10</v>
          </cell>
          <cell r="R192">
            <v>10</v>
          </cell>
          <cell r="S192">
            <v>10</v>
          </cell>
          <cell r="T192">
            <v>10</v>
          </cell>
          <cell r="U192">
            <v>0</v>
          </cell>
          <cell r="V192">
            <v>0</v>
          </cell>
          <cell r="W192">
            <v>200</v>
          </cell>
        </row>
        <row r="193">
          <cell r="G193" t="str">
            <v>NGHI.0143</v>
          </cell>
          <cell r="H193" t="str">
            <v>Reserva imobilizada para UHE Tucuruí</v>
          </cell>
          <cell r="I193" t="str">
            <v>Aquisição Sobressalentes Estrategicos sistema Gerador (sensores, barras, cunhas, travas, reisolação polos, molas, porta escova, calço e capas isolantes)</v>
          </cell>
          <cell r="J193" t="str">
            <v>UHE Tucuruí</v>
          </cell>
          <cell r="K193">
            <v>0</v>
          </cell>
          <cell r="L193">
            <v>0</v>
          </cell>
          <cell r="M193">
            <v>0</v>
          </cell>
          <cell r="N193">
            <v>0</v>
          </cell>
          <cell r="O193">
            <v>0</v>
          </cell>
          <cell r="P193">
            <v>0</v>
          </cell>
          <cell r="Q193">
            <v>0</v>
          </cell>
          <cell r="R193">
            <v>0</v>
          </cell>
          <cell r="S193">
            <v>0</v>
          </cell>
          <cell r="T193">
            <v>0</v>
          </cell>
          <cell r="U193">
            <v>0</v>
          </cell>
          <cell r="V193">
            <v>250</v>
          </cell>
          <cell r="W193">
            <v>250</v>
          </cell>
        </row>
        <row r="194">
          <cell r="G194" t="str">
            <v>EGHI.0003</v>
          </cell>
          <cell r="H194" t="str">
            <v>UHE Colíder - Aquisição de trafo de excitação sobressalente e instalação de sistema de ventilação nos trafos de excitação</v>
          </cell>
          <cell r="I194"/>
          <cell r="J194" t="str">
            <v>UHE Colíder</v>
          </cell>
          <cell r="K194">
            <v>0</v>
          </cell>
          <cell r="L194">
            <v>0</v>
          </cell>
          <cell r="M194">
            <v>0</v>
          </cell>
          <cell r="N194">
            <v>0</v>
          </cell>
          <cell r="O194">
            <v>0</v>
          </cell>
          <cell r="P194">
            <v>0</v>
          </cell>
          <cell r="Q194">
            <v>0</v>
          </cell>
          <cell r="R194">
            <v>0</v>
          </cell>
          <cell r="S194">
            <v>0</v>
          </cell>
          <cell r="T194">
            <v>0</v>
          </cell>
          <cell r="U194">
            <v>0</v>
          </cell>
          <cell r="V194">
            <v>250</v>
          </cell>
          <cell r="W194">
            <v>250</v>
          </cell>
        </row>
        <row r="195">
          <cell r="G195" t="str">
            <v>FGHI.0158</v>
          </cell>
          <cell r="H195" t="str">
            <v>UHE Corumbá - Disjuntores do serviço auxiliar 13,8kV</v>
          </cell>
          <cell r="I195"/>
          <cell r="J195" t="str">
            <v>UHE Corumbá</v>
          </cell>
          <cell r="K195">
            <v>0</v>
          </cell>
          <cell r="L195">
            <v>0</v>
          </cell>
          <cell r="M195">
            <v>0</v>
          </cell>
          <cell r="N195">
            <v>0</v>
          </cell>
          <cell r="O195">
            <v>0</v>
          </cell>
          <cell r="P195">
            <v>0</v>
          </cell>
          <cell r="Q195">
            <v>0</v>
          </cell>
          <cell r="R195">
            <v>250</v>
          </cell>
          <cell r="S195">
            <v>0</v>
          </cell>
          <cell r="T195">
            <v>0</v>
          </cell>
          <cell r="U195">
            <v>0</v>
          </cell>
          <cell r="V195">
            <v>0</v>
          </cell>
          <cell r="W195">
            <v>250</v>
          </cell>
        </row>
        <row r="196">
          <cell r="G196" t="str">
            <v>SGHI.0001</v>
          </cell>
          <cell r="H196" t="str">
            <v>Aquisição de motobomba sobressalente  para o sistema de drenagem da casa de força na UHE Passo São João</v>
          </cell>
          <cell r="I196"/>
          <cell r="J196" t="str">
            <v>UHE Passo São João</v>
          </cell>
          <cell r="K196">
            <v>0</v>
          </cell>
          <cell r="L196">
            <v>0</v>
          </cell>
          <cell r="M196">
            <v>0</v>
          </cell>
          <cell r="N196">
            <v>0</v>
          </cell>
          <cell r="O196">
            <v>0</v>
          </cell>
          <cell r="P196">
            <v>0</v>
          </cell>
          <cell r="Q196">
            <v>0</v>
          </cell>
          <cell r="R196">
            <v>250</v>
          </cell>
          <cell r="S196">
            <v>0</v>
          </cell>
          <cell r="T196">
            <v>0</v>
          </cell>
          <cell r="U196">
            <v>0</v>
          </cell>
          <cell r="V196">
            <v>0</v>
          </cell>
          <cell r="W196">
            <v>250</v>
          </cell>
        </row>
        <row r="197">
          <cell r="G197" t="str">
            <v>MH.6002</v>
          </cell>
          <cell r="H197" t="str">
            <v>Adequação da cobertura das instalações do Complexo Paulo Afonso</v>
          </cell>
          <cell r="I197" t="str">
            <v>Civil - Geração</v>
          </cell>
          <cell r="J197" t="str">
            <v>Diversas UHE</v>
          </cell>
          <cell r="K197">
            <v>0</v>
          </cell>
          <cell r="L197">
            <v>0</v>
          </cell>
          <cell r="M197">
            <v>0</v>
          </cell>
          <cell r="N197">
            <v>0</v>
          </cell>
          <cell r="O197">
            <v>0</v>
          </cell>
          <cell r="P197">
            <v>0</v>
          </cell>
          <cell r="Q197">
            <v>0</v>
          </cell>
          <cell r="R197">
            <v>0</v>
          </cell>
          <cell r="S197">
            <v>0</v>
          </cell>
          <cell r="T197">
            <v>0</v>
          </cell>
          <cell r="U197">
            <v>0</v>
          </cell>
          <cell r="V197">
            <v>0</v>
          </cell>
          <cell r="W197">
            <v>0</v>
          </cell>
        </row>
        <row r="198">
          <cell r="G198" t="str">
            <v>HGHI.0018</v>
          </cell>
          <cell r="H198" t="str">
            <v>Modernização do RV da PCH Funil (e outros sistemas)</v>
          </cell>
          <cell r="I198" t="str">
            <v>Eletromecânica</v>
          </cell>
          <cell r="J198" t="str">
            <v>PCH Funil</v>
          </cell>
          <cell r="K198">
            <v>80</v>
          </cell>
          <cell r="L198">
            <v>80</v>
          </cell>
          <cell r="M198">
            <v>80</v>
          </cell>
          <cell r="N198">
            <v>30</v>
          </cell>
          <cell r="O198">
            <v>10</v>
          </cell>
          <cell r="P198">
            <v>10</v>
          </cell>
          <cell r="Q198">
            <v>10</v>
          </cell>
          <cell r="R198">
            <v>10</v>
          </cell>
          <cell r="S198">
            <v>10</v>
          </cell>
          <cell r="T198">
            <v>10</v>
          </cell>
          <cell r="U198">
            <v>10</v>
          </cell>
          <cell r="V198">
            <v>10</v>
          </cell>
          <cell r="W198">
            <v>350</v>
          </cell>
        </row>
        <row r="199">
          <cell r="G199" t="str">
            <v>MH.6002</v>
          </cell>
          <cell r="H199" t="str">
            <v>Modernização das barras estatóricas das UG08 e UG09 da UHE Paulo Afonso II</v>
          </cell>
          <cell r="I199" t="str">
            <v>Eletromecânica</v>
          </cell>
          <cell r="J199" t="str">
            <v>UHE Paulo Afonso II</v>
          </cell>
          <cell r="K199">
            <v>10</v>
          </cell>
          <cell r="L199">
            <v>100</v>
          </cell>
          <cell r="M199">
            <v>0</v>
          </cell>
          <cell r="N199">
            <v>100</v>
          </cell>
          <cell r="O199">
            <v>40</v>
          </cell>
          <cell r="P199">
            <v>0</v>
          </cell>
          <cell r="Q199">
            <v>0</v>
          </cell>
          <cell r="R199">
            <v>0</v>
          </cell>
          <cell r="S199">
            <v>0</v>
          </cell>
          <cell r="T199">
            <v>0</v>
          </cell>
          <cell r="U199">
            <v>0</v>
          </cell>
          <cell r="V199">
            <v>0</v>
          </cell>
          <cell r="W199">
            <v>250</v>
          </cell>
        </row>
        <row r="200">
          <cell r="G200" t="str">
            <v>FGHI.0156</v>
          </cell>
          <cell r="H200" t="str">
            <v>Modernização dos Sistemas de partida das bombas dos poços de Drenagem e Esvaziamento.</v>
          </cell>
          <cell r="I200"/>
          <cell r="J200" t="str">
            <v>UHE Simplício</v>
          </cell>
          <cell r="K200">
            <v>0</v>
          </cell>
          <cell r="L200">
            <v>0</v>
          </cell>
          <cell r="M200">
            <v>0</v>
          </cell>
          <cell r="N200">
            <v>0</v>
          </cell>
          <cell r="O200">
            <v>0</v>
          </cell>
          <cell r="P200">
            <v>0</v>
          </cell>
          <cell r="Q200">
            <v>0</v>
          </cell>
          <cell r="R200">
            <v>70</v>
          </cell>
          <cell r="S200">
            <v>100</v>
          </cell>
          <cell r="T200">
            <v>0</v>
          </cell>
          <cell r="U200">
            <v>0</v>
          </cell>
          <cell r="V200">
            <v>60</v>
          </cell>
          <cell r="W200">
            <v>230</v>
          </cell>
        </row>
        <row r="201">
          <cell r="G201" t="str">
            <v>NGHI.0143</v>
          </cell>
          <cell r="H201" t="str">
            <v>Modernização dos disjuntores MERLIN GERIN para a UHE Tucuruí</v>
          </cell>
          <cell r="I201" t="str">
            <v>Fornecimento de disjuntores para substituição dos disjuntores fora de linha de fabricação MERLIN GERIN, modelo NT 12H1, número de série 424289.</v>
          </cell>
          <cell r="J201" t="str">
            <v>UHE Tucuruí</v>
          </cell>
          <cell r="K201">
            <v>0</v>
          </cell>
          <cell r="L201"/>
          <cell r="M201">
            <v>0</v>
          </cell>
          <cell r="N201">
            <v>0</v>
          </cell>
          <cell r="O201">
            <v>223.68600000000001</v>
          </cell>
          <cell r="P201">
            <v>0</v>
          </cell>
          <cell r="Q201">
            <v>0</v>
          </cell>
          <cell r="R201">
            <v>0</v>
          </cell>
          <cell r="S201">
            <v>0</v>
          </cell>
          <cell r="T201">
            <v>0</v>
          </cell>
          <cell r="U201">
            <v>0</v>
          </cell>
          <cell r="V201">
            <v>0</v>
          </cell>
          <cell r="W201">
            <v>223.68600000000001</v>
          </cell>
        </row>
        <row r="202">
          <cell r="G202" t="str">
            <v>SGEO.0004</v>
          </cell>
          <cell r="H202" t="str">
            <v>Aquisição de 1 cubículos de 34,5 kV para acomodação de pára-raios para EOL Capão do Inglês</v>
          </cell>
          <cell r="I202"/>
          <cell r="J202" t="str">
            <v>Eólica Capão do Inglês</v>
          </cell>
          <cell r="K202">
            <v>0</v>
          </cell>
          <cell r="L202">
            <v>0</v>
          </cell>
          <cell r="M202">
            <v>0</v>
          </cell>
          <cell r="N202">
            <v>0</v>
          </cell>
          <cell r="O202">
            <v>0</v>
          </cell>
          <cell r="P202">
            <v>0</v>
          </cell>
          <cell r="Q202">
            <v>0</v>
          </cell>
          <cell r="R202">
            <v>40</v>
          </cell>
          <cell r="S202">
            <v>0</v>
          </cell>
          <cell r="T202">
            <v>0</v>
          </cell>
          <cell r="U202">
            <v>0</v>
          </cell>
          <cell r="V202">
            <v>180</v>
          </cell>
          <cell r="W202">
            <v>220</v>
          </cell>
        </row>
        <row r="203">
          <cell r="G203" t="str">
            <v>MH.6002</v>
          </cell>
          <cell r="H203" t="str">
            <v>Substituição de painéis da UA das unidades geradoras 7, 8 e 9 da UHE Paulo Afonso II</v>
          </cell>
          <cell r="I203" t="str">
            <v>Eletromecânica</v>
          </cell>
          <cell r="J203" t="str">
            <v>UHE Paulo Afonso II</v>
          </cell>
          <cell r="K203">
            <v>0</v>
          </cell>
          <cell r="L203">
            <v>0</v>
          </cell>
          <cell r="M203">
            <v>0</v>
          </cell>
          <cell r="N203">
            <v>0</v>
          </cell>
          <cell r="O203">
            <v>0</v>
          </cell>
          <cell r="P203">
            <v>0</v>
          </cell>
          <cell r="Q203">
            <v>0</v>
          </cell>
          <cell r="R203">
            <v>0</v>
          </cell>
          <cell r="S203">
            <v>0</v>
          </cell>
          <cell r="T203">
            <v>0</v>
          </cell>
          <cell r="U203">
            <v>0</v>
          </cell>
          <cell r="V203">
            <v>0</v>
          </cell>
          <cell r="W203">
            <v>0</v>
          </cell>
        </row>
        <row r="204">
          <cell r="G204" t="str">
            <v>MH.6002</v>
          </cell>
          <cell r="H204" t="str">
            <v>Modernização da UHE Paulo Afonso III</v>
          </cell>
          <cell r="I204" t="str">
            <v>Eletromecânica</v>
          </cell>
          <cell r="J204" t="str">
            <v>UHE Paulo Afonso III</v>
          </cell>
          <cell r="K204">
            <v>100</v>
          </cell>
          <cell r="L204">
            <v>100</v>
          </cell>
          <cell r="M204">
            <v>100</v>
          </cell>
          <cell r="N204">
            <v>100</v>
          </cell>
          <cell r="O204">
            <v>50</v>
          </cell>
          <cell r="P204">
            <v>50</v>
          </cell>
          <cell r="Q204">
            <v>50</v>
          </cell>
          <cell r="R204">
            <v>50</v>
          </cell>
          <cell r="S204">
            <v>50</v>
          </cell>
          <cell r="T204">
            <v>50</v>
          </cell>
          <cell r="U204">
            <v>50</v>
          </cell>
          <cell r="V204">
            <v>50</v>
          </cell>
          <cell r="W204">
            <v>800</v>
          </cell>
        </row>
        <row r="205">
          <cell r="G205" t="str">
            <v>NGHI.0143</v>
          </cell>
          <cell r="H205" t="str">
            <v>Reserva imobilizada para UHE Tucuruí</v>
          </cell>
          <cell r="I205" t="str">
            <v>Aquisição Sobressalentes Estrategicos sistema Subestação Blindada a Gas</v>
          </cell>
          <cell r="J205" t="str">
            <v>UHE Tucuruí</v>
          </cell>
          <cell r="K205">
            <v>0</v>
          </cell>
          <cell r="L205">
            <v>0</v>
          </cell>
          <cell r="M205">
            <v>0</v>
          </cell>
          <cell r="N205">
            <v>0</v>
          </cell>
          <cell r="O205">
            <v>0</v>
          </cell>
          <cell r="P205">
            <v>0</v>
          </cell>
          <cell r="Q205">
            <v>0</v>
          </cell>
          <cell r="R205">
            <v>0</v>
          </cell>
          <cell r="S205">
            <v>0</v>
          </cell>
          <cell r="T205">
            <v>0</v>
          </cell>
          <cell r="U205">
            <v>0</v>
          </cell>
          <cell r="V205">
            <v>200</v>
          </cell>
          <cell r="W205">
            <v>200</v>
          </cell>
        </row>
        <row r="206">
          <cell r="G206" t="str">
            <v>NGHI.0141</v>
          </cell>
          <cell r="H206" t="str">
            <v>Superação equipamentos vão da UG 03 da UHCN</v>
          </cell>
          <cell r="I206" t="str">
            <v>Substituição do disjuntor e seccionadora do Vão da 3ª unidade de Coaracy Nunes devido superação de curto Circtuito</v>
          </cell>
          <cell r="J206" t="str">
            <v xml:space="preserve">UHE Coaracy Nunes </v>
          </cell>
          <cell r="K206">
            <v>0</v>
          </cell>
          <cell r="L206">
            <v>0</v>
          </cell>
          <cell r="M206">
            <v>0</v>
          </cell>
          <cell r="N206">
            <v>0</v>
          </cell>
          <cell r="O206">
            <v>0</v>
          </cell>
          <cell r="P206">
            <v>0</v>
          </cell>
          <cell r="Q206">
            <v>0</v>
          </cell>
          <cell r="R206">
            <v>0</v>
          </cell>
          <cell r="S206">
            <v>0</v>
          </cell>
          <cell r="T206">
            <v>0</v>
          </cell>
          <cell r="U206">
            <v>200</v>
          </cell>
          <cell r="V206">
            <v>0</v>
          </cell>
          <cell r="W206">
            <v>200</v>
          </cell>
        </row>
        <row r="207">
          <cell r="G207" t="str">
            <v>FGHI.0164</v>
          </cell>
          <cell r="H207" t="str">
            <v>UHE Manso - Modernização do Sistema de resfriamento dos mancais das UG's</v>
          </cell>
          <cell r="I207"/>
          <cell r="J207" t="str">
            <v>UHE Manso</v>
          </cell>
          <cell r="K207">
            <v>0</v>
          </cell>
          <cell r="L207">
            <v>0</v>
          </cell>
          <cell r="M207">
            <v>0</v>
          </cell>
          <cell r="N207">
            <v>0</v>
          </cell>
          <cell r="O207">
            <v>0</v>
          </cell>
          <cell r="P207">
            <v>0</v>
          </cell>
          <cell r="Q207">
            <v>0</v>
          </cell>
          <cell r="R207">
            <v>0</v>
          </cell>
          <cell r="S207">
            <v>0</v>
          </cell>
          <cell r="T207">
            <v>200</v>
          </cell>
          <cell r="U207">
            <v>0</v>
          </cell>
          <cell r="V207">
            <v>0</v>
          </cell>
          <cell r="W207">
            <v>200</v>
          </cell>
        </row>
        <row r="208">
          <cell r="G208" t="str">
            <v>FGHI.0165</v>
          </cell>
          <cell r="H208" t="str">
            <v>Modernização do sistema de iluminação da UHE Marimbondo</v>
          </cell>
          <cell r="I208"/>
          <cell r="J208" t="str">
            <v>UHE Marimbondo</v>
          </cell>
          <cell r="K208">
            <v>0</v>
          </cell>
          <cell r="L208">
            <v>0</v>
          </cell>
          <cell r="M208">
            <v>0</v>
          </cell>
          <cell r="N208">
            <v>200</v>
          </cell>
          <cell r="O208">
            <v>0</v>
          </cell>
          <cell r="P208">
            <v>0</v>
          </cell>
          <cell r="Q208">
            <v>0</v>
          </cell>
          <cell r="R208">
            <v>0</v>
          </cell>
          <cell r="S208">
            <v>0</v>
          </cell>
          <cell r="T208">
            <v>0</v>
          </cell>
          <cell r="U208">
            <v>0</v>
          </cell>
          <cell r="V208">
            <v>0</v>
          </cell>
          <cell r="W208">
            <v>200</v>
          </cell>
        </row>
        <row r="209">
          <cell r="G209" t="str">
            <v>SGHI.0001</v>
          </cell>
          <cell r="H209" t="str">
            <v>Modernização do Sistema de Detecção e Alarme de Incêndio das Unidades Geradores UHE São Domingos</v>
          </cell>
          <cell r="I209" t="str">
            <v>Equipamento com degradação de desempenho, baixa confiabilidade e sem sobressalente</v>
          </cell>
          <cell r="J209" t="str">
            <v>UHE São Domingos</v>
          </cell>
          <cell r="K209">
            <v>0</v>
          </cell>
          <cell r="L209">
            <v>0</v>
          </cell>
          <cell r="M209">
            <v>0</v>
          </cell>
          <cell r="N209">
            <v>0</v>
          </cell>
          <cell r="O209">
            <v>0</v>
          </cell>
          <cell r="P209">
            <v>0</v>
          </cell>
          <cell r="Q209">
            <v>0</v>
          </cell>
          <cell r="R209">
            <v>0</v>
          </cell>
          <cell r="S209">
            <v>200</v>
          </cell>
          <cell r="T209">
            <v>0</v>
          </cell>
          <cell r="U209">
            <v>0</v>
          </cell>
          <cell r="V209">
            <v>0</v>
          </cell>
          <cell r="W209">
            <v>200</v>
          </cell>
        </row>
        <row r="210">
          <cell r="G210" t="str">
            <v>HGHI.0023</v>
          </cell>
          <cell r="H210" t="str">
            <v>Modernização do sistema de esgotamento da UHE Paulo Afonso III</v>
          </cell>
          <cell r="I210" t="str">
            <v>Eletromecânica</v>
          </cell>
          <cell r="J210" t="str">
            <v>UHE Paulo Afonso III</v>
          </cell>
          <cell r="K210">
            <v>5</v>
          </cell>
          <cell r="L210">
            <v>5</v>
          </cell>
          <cell r="M210">
            <v>5</v>
          </cell>
          <cell r="N210">
            <v>5</v>
          </cell>
          <cell r="O210">
            <v>5</v>
          </cell>
          <cell r="P210">
            <v>5</v>
          </cell>
          <cell r="Q210">
            <v>5</v>
          </cell>
          <cell r="R210">
            <v>5</v>
          </cell>
          <cell r="S210">
            <v>5</v>
          </cell>
          <cell r="T210">
            <v>5</v>
          </cell>
          <cell r="U210">
            <v>5</v>
          </cell>
          <cell r="V210">
            <v>5</v>
          </cell>
          <cell r="W210">
            <v>60</v>
          </cell>
        </row>
        <row r="211">
          <cell r="G211" t="str">
            <v>SGHI.0006</v>
          </cell>
          <cell r="H211" t="str">
            <v>Aquisição de 2 carregadores de baterias para PCH João Borges</v>
          </cell>
          <cell r="I211" t="str">
            <v>Aquisição e instalação de novos painéis de comando para o sistema de drenagem e esgotamento</v>
          </cell>
          <cell r="J211" t="str">
            <v>PCH João Borges</v>
          </cell>
          <cell r="K211">
            <v>0</v>
          </cell>
          <cell r="L211">
            <v>0</v>
          </cell>
          <cell r="M211">
            <v>0</v>
          </cell>
          <cell r="N211">
            <v>0</v>
          </cell>
          <cell r="O211">
            <v>0</v>
          </cell>
          <cell r="P211">
            <v>0</v>
          </cell>
          <cell r="Q211">
            <v>0</v>
          </cell>
          <cell r="R211">
            <v>172.5</v>
          </cell>
          <cell r="S211">
            <v>0</v>
          </cell>
          <cell r="T211">
            <v>0</v>
          </cell>
          <cell r="U211">
            <v>0</v>
          </cell>
          <cell r="V211">
            <v>0</v>
          </cell>
          <cell r="W211">
            <v>172.5</v>
          </cell>
        </row>
        <row r="212">
          <cell r="G212" t="str">
            <v>SGEO.0001</v>
          </cell>
          <cell r="H212" t="str">
            <v>Implantação do sistema de monitoramento online de vibração da EOL Coxilha Seca</v>
          </cell>
          <cell r="I212"/>
          <cell r="J212" t="str">
            <v>Eólica Coxilha Seca</v>
          </cell>
          <cell r="K212">
            <v>6.0300000000000011</v>
          </cell>
          <cell r="L212">
            <v>6.0300000000000011</v>
          </cell>
          <cell r="M212">
            <v>48.704999999999998</v>
          </cell>
          <cell r="N212">
            <v>48.704999999999998</v>
          </cell>
          <cell r="O212">
            <v>6.0300000000000011</v>
          </cell>
          <cell r="P212">
            <v>6.0300000000000011</v>
          </cell>
          <cell r="Q212">
            <v>6.0300000000000011</v>
          </cell>
          <cell r="R212">
            <v>6.0300000000000011</v>
          </cell>
          <cell r="S212">
            <v>6.0300000000000011</v>
          </cell>
          <cell r="T212">
            <v>6.0300000000000011</v>
          </cell>
          <cell r="U212">
            <v>6.0300000000000011</v>
          </cell>
          <cell r="V212">
            <v>6.0300000000000011</v>
          </cell>
          <cell r="W212">
            <v>157.71</v>
          </cell>
        </row>
        <row r="213">
          <cell r="G213" t="str">
            <v>NGHI.0143</v>
          </cell>
          <cell r="H213" t="str">
            <v>Reserva imobilizada para UHE Tucuruí</v>
          </cell>
          <cell r="I213" t="str">
            <v>Aquisição Sobressalentes Estrategicos sistema transformador</v>
          </cell>
          <cell r="J213" t="str">
            <v>UHE Tucuruí</v>
          </cell>
          <cell r="K213">
            <v>0</v>
          </cell>
          <cell r="L213">
            <v>0</v>
          </cell>
          <cell r="M213">
            <v>0</v>
          </cell>
          <cell r="N213">
            <v>0</v>
          </cell>
          <cell r="O213">
            <v>0</v>
          </cell>
          <cell r="P213">
            <v>0</v>
          </cell>
          <cell r="Q213">
            <v>0</v>
          </cell>
          <cell r="R213">
            <v>0</v>
          </cell>
          <cell r="S213">
            <v>0</v>
          </cell>
          <cell r="T213">
            <v>0</v>
          </cell>
          <cell r="U213">
            <v>0</v>
          </cell>
          <cell r="V213">
            <v>150</v>
          </cell>
          <cell r="W213">
            <v>150</v>
          </cell>
        </row>
        <row r="214">
          <cell r="G214" t="str">
            <v>FGHI.0164</v>
          </cell>
          <cell r="H214" t="str">
            <v>UHE Manso - Modernização do sistema de drenagem e esvaziamento</v>
          </cell>
          <cell r="I214"/>
          <cell r="J214" t="str">
            <v>UHE Manso</v>
          </cell>
          <cell r="K214">
            <v>0</v>
          </cell>
          <cell r="L214">
            <v>0</v>
          </cell>
          <cell r="M214">
            <v>0</v>
          </cell>
          <cell r="N214">
            <v>0</v>
          </cell>
          <cell r="O214">
            <v>0</v>
          </cell>
          <cell r="P214">
            <v>0</v>
          </cell>
          <cell r="Q214">
            <v>0</v>
          </cell>
          <cell r="R214">
            <v>0</v>
          </cell>
          <cell r="S214">
            <v>0</v>
          </cell>
          <cell r="T214">
            <v>150</v>
          </cell>
          <cell r="U214">
            <v>0</v>
          </cell>
          <cell r="V214">
            <v>0</v>
          </cell>
          <cell r="W214">
            <v>150</v>
          </cell>
        </row>
        <row r="215">
          <cell r="G215" t="str">
            <v>FGHI.0157</v>
          </cell>
          <cell r="H215" t="str">
            <v>UHE Batalha - Modernização do sistema de iluminação</v>
          </cell>
          <cell r="I215"/>
          <cell r="J215" t="str">
            <v>UHE Batalha</v>
          </cell>
          <cell r="K215">
            <v>0</v>
          </cell>
          <cell r="L215">
            <v>0</v>
          </cell>
          <cell r="M215">
            <v>0</v>
          </cell>
          <cell r="N215">
            <v>50</v>
          </cell>
          <cell r="O215">
            <v>100</v>
          </cell>
          <cell r="P215">
            <v>0</v>
          </cell>
          <cell r="Q215">
            <v>0</v>
          </cell>
          <cell r="R215">
            <v>0</v>
          </cell>
          <cell r="S215">
            <v>0</v>
          </cell>
          <cell r="T215">
            <v>0</v>
          </cell>
          <cell r="U215">
            <v>0</v>
          </cell>
          <cell r="V215">
            <v>0</v>
          </cell>
          <cell r="W215">
            <v>150</v>
          </cell>
        </row>
        <row r="216">
          <cell r="G216" t="str">
            <v>FGHI.0160</v>
          </cell>
          <cell r="H216" t="str">
            <v>Instalação de medidores de efluentes na no poço de drenagem da casa de força UHE Furnas</v>
          </cell>
          <cell r="I216"/>
          <cell r="J216" t="str">
            <v>UHE Furnas</v>
          </cell>
          <cell r="K216">
            <v>0</v>
          </cell>
          <cell r="L216">
            <v>0</v>
          </cell>
          <cell r="M216">
            <v>0</v>
          </cell>
          <cell r="N216">
            <v>0</v>
          </cell>
          <cell r="O216">
            <v>0</v>
          </cell>
          <cell r="P216">
            <v>0</v>
          </cell>
          <cell r="Q216">
            <v>150</v>
          </cell>
          <cell r="R216">
            <v>0</v>
          </cell>
          <cell r="S216">
            <v>0</v>
          </cell>
          <cell r="T216">
            <v>0</v>
          </cell>
          <cell r="U216">
            <v>0</v>
          </cell>
          <cell r="V216">
            <v>0</v>
          </cell>
          <cell r="W216">
            <v>150</v>
          </cell>
        </row>
        <row r="217">
          <cell r="G217" t="str">
            <v>SGHI.0001</v>
          </cell>
          <cell r="H217" t="str">
            <v>Aquisição das CPUs para a unidade de aquisição e controle do vertedouro (UACVT) na UHE Passo São João</v>
          </cell>
          <cell r="I217" t="str">
            <v>Serviço de instalação e testes dos novos painéis de comando e força, e também instrumentação do sistemas de drenagem e esgotamento na PCH João Borges</v>
          </cell>
          <cell r="J217" t="str">
            <v>UHE Passo São João</v>
          </cell>
          <cell r="K217">
            <v>0</v>
          </cell>
          <cell r="L217">
            <v>0</v>
          </cell>
          <cell r="M217">
            <v>0</v>
          </cell>
          <cell r="N217">
            <v>150</v>
          </cell>
          <cell r="O217">
            <v>0</v>
          </cell>
          <cell r="P217">
            <v>0</v>
          </cell>
          <cell r="Q217">
            <v>0</v>
          </cell>
          <cell r="R217">
            <v>0</v>
          </cell>
          <cell r="S217">
            <v>0</v>
          </cell>
          <cell r="T217">
            <v>0</v>
          </cell>
          <cell r="U217">
            <v>0</v>
          </cell>
          <cell r="V217">
            <v>0</v>
          </cell>
          <cell r="W217">
            <v>150</v>
          </cell>
        </row>
        <row r="218">
          <cell r="G218" t="str">
            <v>MH.6002</v>
          </cell>
          <cell r="H218" t="str">
            <v>Aquisição do Caminho Rolamento do Pórtico Móvel da UHE Sobradinho</v>
          </cell>
          <cell r="I218" t="str">
            <v>Civil - Geração</v>
          </cell>
          <cell r="J218" t="str">
            <v>UHE Sobradinho</v>
          </cell>
          <cell r="K218">
            <v>0</v>
          </cell>
          <cell r="L218">
            <v>0</v>
          </cell>
          <cell r="M218">
            <v>0</v>
          </cell>
          <cell r="N218">
            <v>0</v>
          </cell>
          <cell r="O218">
            <v>0</v>
          </cell>
          <cell r="P218">
            <v>0</v>
          </cell>
          <cell r="Q218">
            <v>0</v>
          </cell>
          <cell r="R218">
            <v>0</v>
          </cell>
          <cell r="S218">
            <v>0</v>
          </cell>
          <cell r="T218">
            <v>0</v>
          </cell>
          <cell r="U218">
            <v>0</v>
          </cell>
          <cell r="V218">
            <v>0</v>
          </cell>
          <cell r="W218">
            <v>0</v>
          </cell>
        </row>
        <row r="219">
          <cell r="G219" t="str">
            <v>MH.6002</v>
          </cell>
          <cell r="H219" t="str">
            <v>Substituição dos equipamentos do sistema de exaustão da UHE Xingó</v>
          </cell>
          <cell r="I219" t="str">
            <v>Eletromecânica</v>
          </cell>
          <cell r="J219" t="str">
            <v>UHE Xingó</v>
          </cell>
          <cell r="K219">
            <v>0</v>
          </cell>
          <cell r="L219">
            <v>0</v>
          </cell>
          <cell r="M219">
            <v>0</v>
          </cell>
          <cell r="N219">
            <v>0</v>
          </cell>
          <cell r="O219">
            <v>0</v>
          </cell>
          <cell r="P219">
            <v>0</v>
          </cell>
          <cell r="Q219">
            <v>0</v>
          </cell>
          <cell r="R219">
            <v>0</v>
          </cell>
          <cell r="S219">
            <v>0</v>
          </cell>
          <cell r="T219">
            <v>0</v>
          </cell>
          <cell r="U219">
            <v>0</v>
          </cell>
          <cell r="V219">
            <v>0</v>
          </cell>
          <cell r="W219">
            <v>0</v>
          </cell>
        </row>
        <row r="220">
          <cell r="G220" t="str">
            <v>MH.6002</v>
          </cell>
          <cell r="H220" t="str">
            <v>Instalação de 01 compressor adicional e modernização do painel de supervisão e controle do QA1, para o sistema de ar comprimido de uso geral da UHE Xingó</v>
          </cell>
          <cell r="I220" t="str">
            <v>Eletromecânica</v>
          </cell>
          <cell r="J220" t="str">
            <v>UHE Xingó</v>
          </cell>
          <cell r="K220">
            <v>0</v>
          </cell>
          <cell r="L220">
            <v>0</v>
          </cell>
          <cell r="M220">
            <v>0</v>
          </cell>
          <cell r="N220">
            <v>0</v>
          </cell>
          <cell r="O220">
            <v>0</v>
          </cell>
          <cell r="P220">
            <v>0</v>
          </cell>
          <cell r="Q220">
            <v>0</v>
          </cell>
          <cell r="R220">
            <v>0</v>
          </cell>
          <cell r="S220">
            <v>0</v>
          </cell>
          <cell r="T220">
            <v>0</v>
          </cell>
          <cell r="U220">
            <v>0</v>
          </cell>
          <cell r="V220">
            <v>0</v>
          </cell>
          <cell r="W220">
            <v>0</v>
          </cell>
        </row>
        <row r="221">
          <cell r="G221" t="str">
            <v>SGHI.0001</v>
          </cell>
          <cell r="H221" t="str">
            <v>Aquisição das CPUs da unidade de aquisição e controle do vertedouro (UACVT) na UHE São Domingos</v>
          </cell>
          <cell r="I221" t="str">
            <v>Aquisição de equipamento sobressalente</v>
          </cell>
          <cell r="J221" t="str">
            <v>UHE São Domingos</v>
          </cell>
          <cell r="K221">
            <v>0</v>
          </cell>
          <cell r="L221">
            <v>0</v>
          </cell>
          <cell r="M221">
            <v>0</v>
          </cell>
          <cell r="N221">
            <v>135</v>
          </cell>
          <cell r="O221">
            <v>0</v>
          </cell>
          <cell r="P221">
            <v>0</v>
          </cell>
          <cell r="Q221">
            <v>0</v>
          </cell>
          <cell r="R221">
            <v>0</v>
          </cell>
          <cell r="S221">
            <v>0</v>
          </cell>
          <cell r="T221">
            <v>0</v>
          </cell>
          <cell r="U221">
            <v>0</v>
          </cell>
          <cell r="V221">
            <v>0</v>
          </cell>
          <cell r="W221">
            <v>135</v>
          </cell>
        </row>
        <row r="222">
          <cell r="G222" t="str">
            <v>MH.6002</v>
          </cell>
          <cell r="H222" t="str">
            <v>Modernização do sistema de alimentação do Vertedouro e Tomada d'água da UHE Xingó</v>
          </cell>
          <cell r="I222" t="str">
            <v>Eletromecânica</v>
          </cell>
          <cell r="J222" t="str">
            <v>UHE Xingó</v>
          </cell>
          <cell r="K222">
            <v>0</v>
          </cell>
          <cell r="L222">
            <v>0</v>
          </cell>
          <cell r="M222">
            <v>0</v>
          </cell>
          <cell r="N222">
            <v>0</v>
          </cell>
          <cell r="O222">
            <v>0</v>
          </cell>
          <cell r="P222">
            <v>0</v>
          </cell>
          <cell r="Q222">
            <v>0</v>
          </cell>
          <cell r="R222">
            <v>0</v>
          </cell>
          <cell r="S222">
            <v>0</v>
          </cell>
          <cell r="T222">
            <v>0</v>
          </cell>
          <cell r="U222">
            <v>0</v>
          </cell>
          <cell r="V222">
            <v>0</v>
          </cell>
          <cell r="W222">
            <v>0</v>
          </cell>
        </row>
        <row r="223">
          <cell r="G223" t="str">
            <v>MH.6002</v>
          </cell>
          <cell r="H223" t="str">
            <v>Substituição do sistema de supervisão e controle G11 e G13 ECND</v>
          </cell>
          <cell r="I223" t="str">
            <v>Eletromecânica</v>
          </cell>
          <cell r="J223" t="str">
            <v>EOL Casa Nova D</v>
          </cell>
          <cell r="K223"/>
          <cell r="L223">
            <v>5300</v>
          </cell>
          <cell r="M223">
            <v>200</v>
          </cell>
          <cell r="N223"/>
          <cell r="O223"/>
          <cell r="P223"/>
          <cell r="Q223"/>
          <cell r="R223"/>
          <cell r="S223"/>
          <cell r="T223"/>
          <cell r="U223"/>
          <cell r="V223"/>
          <cell r="W223">
            <v>5500</v>
          </cell>
        </row>
        <row r="224">
          <cell r="G224" t="str">
            <v>A definir</v>
          </cell>
          <cell r="H224" t="str">
            <v>Revitalização Ponte Rolante de Jusante</v>
          </cell>
          <cell r="I224"/>
          <cell r="J224" t="str">
            <v>UHE Três Irmãos</v>
          </cell>
          <cell r="K224">
            <v>0</v>
          </cell>
          <cell r="L224">
            <v>0</v>
          </cell>
          <cell r="M224">
            <v>0</v>
          </cell>
          <cell r="N224">
            <v>0</v>
          </cell>
          <cell r="O224">
            <v>0</v>
          </cell>
          <cell r="P224">
            <v>0</v>
          </cell>
          <cell r="Q224">
            <v>20</v>
          </cell>
          <cell r="R224">
            <v>20</v>
          </cell>
          <cell r="S224">
            <v>20</v>
          </cell>
          <cell r="T224">
            <v>20</v>
          </cell>
          <cell r="U224">
            <v>20</v>
          </cell>
          <cell r="V224">
            <v>20</v>
          </cell>
          <cell r="W224">
            <v>120</v>
          </cell>
        </row>
        <row r="225">
          <cell r="G225" t="str">
            <v>FGHI.0164</v>
          </cell>
          <cell r="H225" t="str">
            <v>UHE Manso - Substituição das vedações das juntas de dilatação dos condutos forçados das UG02 e UG03</v>
          </cell>
          <cell r="I225"/>
          <cell r="J225" t="str">
            <v>UHE Manso</v>
          </cell>
          <cell r="K225">
            <v>0</v>
          </cell>
          <cell r="L225">
            <v>0</v>
          </cell>
          <cell r="M225">
            <v>0</v>
          </cell>
          <cell r="N225">
            <v>0</v>
          </cell>
          <cell r="O225">
            <v>0</v>
          </cell>
          <cell r="P225">
            <v>0</v>
          </cell>
          <cell r="Q225">
            <v>0</v>
          </cell>
          <cell r="R225">
            <v>0</v>
          </cell>
          <cell r="S225">
            <v>0</v>
          </cell>
          <cell r="T225">
            <v>120</v>
          </cell>
          <cell r="U225">
            <v>0</v>
          </cell>
          <cell r="V225">
            <v>0</v>
          </cell>
          <cell r="W225">
            <v>120</v>
          </cell>
        </row>
        <row r="226">
          <cell r="G226" t="str">
            <v>SGHI.0001</v>
          </cell>
          <cell r="H226" t="str">
            <v>Aquisição de motobomba submersa sobressalente para o sistema de drenagem do vertedouro da UHE Passo São João</v>
          </cell>
          <cell r="I226" t="str">
            <v>Construção de cubículo com para-raios ECSE-10</v>
          </cell>
          <cell r="J226" t="str">
            <v>UHE Passo São João</v>
          </cell>
          <cell r="K226">
            <v>0</v>
          </cell>
          <cell r="L226">
            <v>0</v>
          </cell>
          <cell r="M226">
            <v>0</v>
          </cell>
          <cell r="N226">
            <v>0</v>
          </cell>
          <cell r="O226">
            <v>0</v>
          </cell>
          <cell r="P226">
            <v>0</v>
          </cell>
          <cell r="Q226">
            <v>0</v>
          </cell>
          <cell r="R226">
            <v>115</v>
          </cell>
          <cell r="S226">
            <v>0</v>
          </cell>
          <cell r="T226">
            <v>0</v>
          </cell>
          <cell r="U226">
            <v>0</v>
          </cell>
          <cell r="V226">
            <v>0</v>
          </cell>
          <cell r="W226">
            <v>115</v>
          </cell>
        </row>
        <row r="227">
          <cell r="G227" t="str">
            <v>SGHI.0001</v>
          </cell>
          <cell r="H227" t="str">
            <v>Aquisição de relé de proteção sobressalente para UHE Passo São João</v>
          </cell>
          <cell r="I227" t="str">
            <v>Construção de cubículo com para-raios ECSE-14</v>
          </cell>
          <cell r="J227" t="str">
            <v>UHE Passo São João</v>
          </cell>
          <cell r="K227">
            <v>0</v>
          </cell>
          <cell r="L227">
            <v>0</v>
          </cell>
          <cell r="M227">
            <v>0</v>
          </cell>
          <cell r="N227">
            <v>0</v>
          </cell>
          <cell r="O227">
            <v>112</v>
          </cell>
          <cell r="P227">
            <v>0</v>
          </cell>
          <cell r="Q227">
            <v>0</v>
          </cell>
          <cell r="R227">
            <v>0</v>
          </cell>
          <cell r="S227">
            <v>0</v>
          </cell>
          <cell r="T227">
            <v>0</v>
          </cell>
          <cell r="U227">
            <v>0</v>
          </cell>
          <cell r="V227">
            <v>0</v>
          </cell>
          <cell r="W227">
            <v>112</v>
          </cell>
        </row>
        <row r="228">
          <cell r="G228" t="str">
            <v>SGHI.0001</v>
          </cell>
          <cell r="H228" t="str">
            <v>Aquisição de relé de proteção sobressalente UHE São Domingos</v>
          </cell>
          <cell r="I228" t="str">
            <v>Automatização Instrumentos</v>
          </cell>
          <cell r="J228" t="str">
            <v>UHE São Domingos</v>
          </cell>
          <cell r="K228">
            <v>0</v>
          </cell>
          <cell r="L228">
            <v>0</v>
          </cell>
          <cell r="M228">
            <v>0</v>
          </cell>
          <cell r="N228">
            <v>0</v>
          </cell>
          <cell r="O228">
            <v>112</v>
          </cell>
          <cell r="P228">
            <v>0</v>
          </cell>
          <cell r="Q228">
            <v>0</v>
          </cell>
          <cell r="R228">
            <v>0</v>
          </cell>
          <cell r="S228">
            <v>0</v>
          </cell>
          <cell r="T228">
            <v>0</v>
          </cell>
          <cell r="U228">
            <v>0</v>
          </cell>
          <cell r="V228">
            <v>0</v>
          </cell>
          <cell r="W228">
            <v>112</v>
          </cell>
        </row>
        <row r="229">
          <cell r="G229" t="str">
            <v>FGHI.0010</v>
          </cell>
          <cell r="H229" t="str">
            <v>Implantação de sistema de monitoramento de grandezas das UGs da UHE Mascarenhas de Moraes</v>
          </cell>
          <cell r="I229"/>
          <cell r="J229" t="str">
            <v>UHE Mascarenhas de Moraes</v>
          </cell>
          <cell r="K229">
            <v>0</v>
          </cell>
          <cell r="L229">
            <v>0</v>
          </cell>
          <cell r="M229">
            <v>0</v>
          </cell>
          <cell r="N229">
            <v>0</v>
          </cell>
          <cell r="O229">
            <v>0</v>
          </cell>
          <cell r="P229">
            <v>60</v>
          </cell>
          <cell r="Q229">
            <v>0</v>
          </cell>
          <cell r="R229">
            <v>0</v>
          </cell>
          <cell r="S229">
            <v>50</v>
          </cell>
          <cell r="T229">
            <v>0</v>
          </cell>
          <cell r="U229">
            <v>0</v>
          </cell>
          <cell r="V229">
            <v>0</v>
          </cell>
          <cell r="W229">
            <v>110</v>
          </cell>
        </row>
        <row r="230">
          <cell r="G230" t="str">
            <v>SGHI.0001</v>
          </cell>
          <cell r="H230" t="str">
            <v>Substituição das CPUs da UACVT, upgrade de firmware nas CPUs antigas, instalação e configuração dos softwares com apoio de empresa especializada e fornecimento de notebook com softwares licenciados na UHE Passo São João</v>
          </cell>
          <cell r="I230" t="str">
            <v>Aquisição de 2 carregadores de baterias para UHJB</v>
          </cell>
          <cell r="J230" t="str">
            <v>UHE Passo São João</v>
          </cell>
          <cell r="K230">
            <v>0</v>
          </cell>
          <cell r="L230">
            <v>0</v>
          </cell>
          <cell r="M230">
            <v>20</v>
          </cell>
          <cell r="N230" t="str">
            <v> </v>
          </cell>
          <cell r="O230" t="str">
            <v> </v>
          </cell>
          <cell r="P230">
            <v>25</v>
          </cell>
          <cell r="Q230">
            <v>20</v>
          </cell>
          <cell r="R230">
            <v>0</v>
          </cell>
          <cell r="S230">
            <v>0</v>
          </cell>
          <cell r="T230">
            <v>0</v>
          </cell>
          <cell r="U230">
            <v>45</v>
          </cell>
          <cell r="V230">
            <v>0</v>
          </cell>
          <cell r="W230">
            <v>110</v>
          </cell>
        </row>
        <row r="231">
          <cell r="G231" t="str">
            <v>NGHI.0143</v>
          </cell>
          <cell r="H231" t="str">
            <v>Implantação da mesa de comando da sala de controle da UHE Curuá-Una</v>
          </cell>
          <cell r="I231" t="str">
            <v>Implantação de mesa para facilitação do comando das UGHs</v>
          </cell>
          <cell r="J231" t="str">
            <v>UHE Curuá Una</v>
          </cell>
          <cell r="K231">
            <v>0</v>
          </cell>
          <cell r="L231">
            <v>0</v>
          </cell>
          <cell r="M231">
            <v>0</v>
          </cell>
          <cell r="N231">
            <v>0</v>
          </cell>
          <cell r="O231">
            <v>0</v>
          </cell>
          <cell r="P231">
            <v>0</v>
          </cell>
          <cell r="Q231">
            <v>0</v>
          </cell>
          <cell r="R231">
            <v>0</v>
          </cell>
          <cell r="S231">
            <v>0</v>
          </cell>
          <cell r="T231">
            <v>100</v>
          </cell>
          <cell r="U231">
            <v>0</v>
          </cell>
          <cell r="V231">
            <v>0</v>
          </cell>
          <cell r="W231">
            <v>100</v>
          </cell>
        </row>
        <row r="232">
          <cell r="G232" t="str">
            <v>FGHI.0157</v>
          </cell>
          <cell r="H232" t="str">
            <v>UHE Batalha - Melhoria estrutura civil casa força - Containers</v>
          </cell>
          <cell r="I232"/>
          <cell r="J232" t="str">
            <v>UHE Batalha</v>
          </cell>
          <cell r="K232">
            <v>0</v>
          </cell>
          <cell r="L232">
            <v>0</v>
          </cell>
          <cell r="M232">
            <v>100</v>
          </cell>
          <cell r="N232">
            <v>0</v>
          </cell>
          <cell r="O232">
            <v>0</v>
          </cell>
          <cell r="P232">
            <v>0</v>
          </cell>
          <cell r="Q232">
            <v>0</v>
          </cell>
          <cell r="R232">
            <v>0</v>
          </cell>
          <cell r="S232">
            <v>0</v>
          </cell>
          <cell r="T232">
            <v>0</v>
          </cell>
          <cell r="U232">
            <v>0</v>
          </cell>
          <cell r="V232">
            <v>0</v>
          </cell>
          <cell r="W232">
            <v>100</v>
          </cell>
        </row>
        <row r="233">
          <cell r="G233" t="str">
            <v>FGHI.0158</v>
          </cell>
          <cell r="H233" t="str">
            <v>UHE Corumbá - Modernização do Sistema de Proteção de Combate à incêndio-SPCI da Casa de Força</v>
          </cell>
          <cell r="I233"/>
          <cell r="J233" t="str">
            <v>UHE Corumbá</v>
          </cell>
          <cell r="K233">
            <v>0</v>
          </cell>
          <cell r="L233">
            <v>0</v>
          </cell>
          <cell r="M233">
            <v>0</v>
          </cell>
          <cell r="N233">
            <v>0</v>
          </cell>
          <cell r="O233">
            <v>0</v>
          </cell>
          <cell r="P233">
            <v>0</v>
          </cell>
          <cell r="Q233">
            <v>50</v>
          </cell>
          <cell r="R233">
            <v>0</v>
          </cell>
          <cell r="S233">
            <v>50</v>
          </cell>
          <cell r="T233">
            <v>0</v>
          </cell>
          <cell r="U233">
            <v>0</v>
          </cell>
          <cell r="V233">
            <v>0</v>
          </cell>
          <cell r="W233">
            <v>100</v>
          </cell>
        </row>
        <row r="234">
          <cell r="G234" t="str">
            <v>MH.6002</v>
          </cell>
          <cell r="H234" t="str">
            <v>Melhoria do sistema de aterramento de 11 torres anemométricas do Complexo Eólico Pindaí</v>
          </cell>
          <cell r="I234" t="str">
            <v>Eletromecânica</v>
          </cell>
          <cell r="J234" t="str">
            <v>EOL Pindaí</v>
          </cell>
          <cell r="K234"/>
          <cell r="L234">
            <v>10</v>
          </cell>
          <cell r="M234"/>
          <cell r="N234"/>
          <cell r="O234"/>
          <cell r="P234"/>
          <cell r="Q234"/>
          <cell r="R234"/>
          <cell r="S234"/>
          <cell r="T234"/>
          <cell r="U234"/>
          <cell r="V234"/>
          <cell r="W234">
            <v>10</v>
          </cell>
        </row>
        <row r="235">
          <cell r="G235" t="str">
            <v>FGHI.0156</v>
          </cell>
          <cell r="H235" t="str">
            <v>Modernização dos Sistema de partida dos motores dos ventiladores do Sistema de Ventilação da Casa de Força</v>
          </cell>
          <cell r="I235"/>
          <cell r="J235" t="str">
            <v>UHE Simplício</v>
          </cell>
          <cell r="K235">
            <v>0</v>
          </cell>
          <cell r="L235">
            <v>0</v>
          </cell>
          <cell r="M235">
            <v>0</v>
          </cell>
          <cell r="N235">
            <v>0</v>
          </cell>
          <cell r="O235">
            <v>0</v>
          </cell>
          <cell r="P235">
            <v>0</v>
          </cell>
          <cell r="Q235">
            <v>0</v>
          </cell>
          <cell r="R235">
            <v>40</v>
          </cell>
          <cell r="S235">
            <v>20</v>
          </cell>
          <cell r="T235">
            <v>0</v>
          </cell>
          <cell r="U235">
            <v>0</v>
          </cell>
          <cell r="V235">
            <v>30</v>
          </cell>
          <cell r="W235">
            <v>90</v>
          </cell>
        </row>
        <row r="236">
          <cell r="G236" t="str">
            <v>SGHI.0001</v>
          </cell>
          <cell r="H236" t="str">
            <v>Substituição das CPUs da QUACVRT, upgrade de firmware nas CPUs antigas, instalação e configuração dos softwares com apoio de empresa especializada e fornecimento de notebook com softwares licenciados na UHE São Domingos</v>
          </cell>
          <cell r="I236" t="str">
            <v>Aquisição de equipamento sobressalente</v>
          </cell>
          <cell r="J236" t="str">
            <v>UHE São Domingos</v>
          </cell>
          <cell r="K236">
            <v>0</v>
          </cell>
          <cell r="L236">
            <v>0</v>
          </cell>
          <cell r="M236">
            <v>20</v>
          </cell>
          <cell r="N236" t="str">
            <v> </v>
          </cell>
          <cell r="O236" t="str">
            <v> </v>
          </cell>
          <cell r="P236">
            <v>0</v>
          </cell>
          <cell r="Q236">
            <v>20</v>
          </cell>
          <cell r="R236">
            <v>0</v>
          </cell>
          <cell r="S236">
            <v>25</v>
          </cell>
          <cell r="T236" t="str">
            <v> </v>
          </cell>
          <cell r="U236">
            <v>20</v>
          </cell>
          <cell r="V236">
            <v>0</v>
          </cell>
          <cell r="W236">
            <v>85</v>
          </cell>
        </row>
        <row r="237">
          <cell r="G237" t="str">
            <v>MH.6002</v>
          </cell>
          <cell r="H237" t="str">
            <v>Substituição de compressor para os sistemas de frenagem e uso geral da UHE Luiz Gonzaga</v>
          </cell>
          <cell r="I237" t="str">
            <v>Eletromecânica</v>
          </cell>
          <cell r="J237" t="str">
            <v>UHE Luiz Gonzaga</v>
          </cell>
          <cell r="K237"/>
          <cell r="L237"/>
          <cell r="M237">
            <v>250</v>
          </cell>
          <cell r="N237">
            <v>50</v>
          </cell>
          <cell r="O237"/>
          <cell r="P237"/>
          <cell r="Q237"/>
          <cell r="R237"/>
          <cell r="S237"/>
          <cell r="T237"/>
          <cell r="U237"/>
          <cell r="V237"/>
          <cell r="W237">
            <v>300</v>
          </cell>
        </row>
        <row r="238">
          <cell r="G238" t="str">
            <v>SGHI.0001</v>
          </cell>
          <cell r="H238" t="str">
            <v>Aquisição de CPU sobressalente para a unidade de aquisição e controle das Ugs da PCH Barra do Rio Chapéu</v>
          </cell>
          <cell r="I238" t="str">
            <v>Serviço de instalação das CPUs das unidade de aquisição e controle do vertedouro (QUACVRT), última versão, e compatibilização dos projetos com a novas CPUs e softwares Realização de upgrade nos softwares de manipulação das CPUs antigas e firmware, padronizando os softwares e sistema operacional Fornecimento de notebook com softwares licenciados</v>
          </cell>
          <cell r="J238" t="str">
            <v>PCH Barra Do Rio Chapéu</v>
          </cell>
          <cell r="K238">
            <v>0</v>
          </cell>
          <cell r="L238">
            <v>0</v>
          </cell>
          <cell r="M238">
            <v>0</v>
          </cell>
          <cell r="N238">
            <v>0</v>
          </cell>
          <cell r="O238">
            <v>0</v>
          </cell>
          <cell r="P238">
            <v>0</v>
          </cell>
          <cell r="Q238">
            <v>0</v>
          </cell>
          <cell r="R238">
            <v>80</v>
          </cell>
          <cell r="S238">
            <v>0</v>
          </cell>
          <cell r="T238">
            <v>0</v>
          </cell>
          <cell r="U238">
            <v>0</v>
          </cell>
          <cell r="V238">
            <v>0</v>
          </cell>
          <cell r="W238">
            <v>80</v>
          </cell>
        </row>
        <row r="239">
          <cell r="G239" t="str">
            <v>SGHI.0001</v>
          </cell>
          <cell r="H239" t="str">
            <v>Aquisição das CPUs sobressalentes para as unidades de aquisição e controle (UAC) na UHE Passo São João</v>
          </cell>
          <cell r="I239" t="str">
            <v>Serviço de instalação das CPUs das unidade de aquisição e controle do vertedouro (UACVT), última versão, e compatibilização dos projetos com a novas CPUs e softwares Realização de upgrade nos softwares de manipulação das CPUs antigas e firmware, padronizando os softwares e sistema operacional Fornecimento de notebook com softwares licenciados</v>
          </cell>
          <cell r="J239" t="str">
            <v>UHE Passo São João</v>
          </cell>
          <cell r="K239">
            <v>0</v>
          </cell>
          <cell r="L239">
            <v>0</v>
          </cell>
          <cell r="M239">
            <v>0</v>
          </cell>
          <cell r="N239">
            <v>70</v>
          </cell>
          <cell r="O239">
            <v>0</v>
          </cell>
          <cell r="P239">
            <v>0</v>
          </cell>
          <cell r="Q239">
            <v>0</v>
          </cell>
          <cell r="R239">
            <v>0</v>
          </cell>
          <cell r="S239">
            <v>0</v>
          </cell>
          <cell r="T239">
            <v>0</v>
          </cell>
          <cell r="U239">
            <v>0</v>
          </cell>
          <cell r="V239">
            <v>0</v>
          </cell>
          <cell r="W239">
            <v>70</v>
          </cell>
        </row>
        <row r="240">
          <cell r="G240" t="str">
            <v>SGHI.0001</v>
          </cell>
          <cell r="H240" t="str">
            <v>Aquisição das CPUs sobressalentes para as unidades de aquisição e controle (UAC) na UHE São Domingos</v>
          </cell>
          <cell r="I240" t="str">
            <v>Aquisição de CPUs para as unidade de aquisição e controle do vertedouro (QUACVRT), última versão, para elevar a quantidade de sobressalentes disponíveis de 1 unidade para 3 unidades da CPU instalada, total de 10, que está com fabricação descontinuada</v>
          </cell>
          <cell r="J240" t="str">
            <v>UHE São Domingos</v>
          </cell>
          <cell r="K240">
            <v>0</v>
          </cell>
          <cell r="L240">
            <v>0</v>
          </cell>
          <cell r="M240">
            <v>0</v>
          </cell>
          <cell r="N240">
            <v>70</v>
          </cell>
          <cell r="O240">
            <v>0</v>
          </cell>
          <cell r="P240">
            <v>0</v>
          </cell>
          <cell r="Q240">
            <v>0</v>
          </cell>
          <cell r="R240">
            <v>0</v>
          </cell>
          <cell r="S240">
            <v>0</v>
          </cell>
          <cell r="T240">
            <v>0</v>
          </cell>
          <cell r="U240">
            <v>0</v>
          </cell>
          <cell r="V240">
            <v>0</v>
          </cell>
          <cell r="W240">
            <v>70</v>
          </cell>
        </row>
        <row r="241">
          <cell r="G241" t="str">
            <v>SGHI.0001</v>
          </cell>
          <cell r="H241" t="str">
            <v>Aquisição de um registrador digital de pertubações (RDP) sobressalente na UHE Passo São João</v>
          </cell>
          <cell r="I241" t="str">
            <v xml:space="preserve">Compatibilização do projeto atual embarcado no relé de proteção com o novo relé Upgrade do software </v>
          </cell>
          <cell r="J241" t="str">
            <v>UHE Passo São João</v>
          </cell>
          <cell r="K241">
            <v>0</v>
          </cell>
          <cell r="L241">
            <v>0</v>
          </cell>
          <cell r="M241">
            <v>0</v>
          </cell>
          <cell r="N241">
            <v>0</v>
          </cell>
          <cell r="O241">
            <v>0</v>
          </cell>
          <cell r="P241">
            <v>0</v>
          </cell>
          <cell r="Q241">
            <v>0</v>
          </cell>
          <cell r="R241">
            <v>65</v>
          </cell>
          <cell r="S241">
            <v>0</v>
          </cell>
          <cell r="T241">
            <v>0</v>
          </cell>
          <cell r="U241">
            <v>0</v>
          </cell>
          <cell r="V241">
            <v>0</v>
          </cell>
          <cell r="W241">
            <v>65</v>
          </cell>
        </row>
        <row r="242">
          <cell r="G242" t="str">
            <v>SGHI.0001</v>
          </cell>
          <cell r="H242" t="str">
            <v>Aquisição de motobomba sobressalente  para o sistema de drenagem da casa de força na UHE São Domingos</v>
          </cell>
          <cell r="I242" t="str">
            <v xml:space="preserve">Aquisição  do trocador de calor para a unidade hidráulica de lubrificação dos mancais </v>
          </cell>
          <cell r="J242" t="str">
            <v>UHE São Domingos</v>
          </cell>
          <cell r="K242">
            <v>0</v>
          </cell>
          <cell r="L242">
            <v>0</v>
          </cell>
          <cell r="M242">
            <v>0</v>
          </cell>
          <cell r="N242">
            <v>0</v>
          </cell>
          <cell r="O242">
            <v>0</v>
          </cell>
          <cell r="P242">
            <v>0</v>
          </cell>
          <cell r="Q242">
            <v>65</v>
          </cell>
          <cell r="R242">
            <v>0</v>
          </cell>
          <cell r="S242">
            <v>0</v>
          </cell>
          <cell r="T242">
            <v>0</v>
          </cell>
          <cell r="U242">
            <v>0</v>
          </cell>
          <cell r="V242">
            <v>0</v>
          </cell>
          <cell r="W242">
            <v>65</v>
          </cell>
        </row>
        <row r="243">
          <cell r="G243" t="str">
            <v>HGHI.0030</v>
          </cell>
          <cell r="H243" t="str">
            <v>Sistemas de Monitoramento para Unidades Geradoras NE</v>
          </cell>
          <cell r="I243" t="str">
            <v>Liga - AGVA - Sistema de monitoramento</v>
          </cell>
          <cell r="J243" t="str">
            <v>Diversas UHE</v>
          </cell>
          <cell r="K243">
            <v>0</v>
          </cell>
          <cell r="L243">
            <v>0</v>
          </cell>
          <cell r="M243">
            <v>0</v>
          </cell>
          <cell r="N243">
            <v>0</v>
          </cell>
          <cell r="O243">
            <v>2237.4</v>
          </cell>
          <cell r="P243">
            <v>0</v>
          </cell>
          <cell r="Q243">
            <v>0</v>
          </cell>
          <cell r="R243">
            <v>2237.4</v>
          </cell>
          <cell r="S243">
            <v>0</v>
          </cell>
          <cell r="T243">
            <v>0</v>
          </cell>
          <cell r="U243">
            <v>2237.4</v>
          </cell>
          <cell r="V243">
            <v>0</v>
          </cell>
          <cell r="W243">
            <v>6712.2000000000007</v>
          </cell>
        </row>
        <row r="244">
          <cell r="G244" t="str">
            <v>HGHI.0030</v>
          </cell>
          <cell r="H244" t="str">
            <v>Sistemas de Monitoramento para Transformadores NE</v>
          </cell>
          <cell r="I244" t="str">
            <v>Liga - AGVA - Sistema de monitoramento</v>
          </cell>
          <cell r="J244" t="str">
            <v>Diversas UHE</v>
          </cell>
          <cell r="K244">
            <v>0</v>
          </cell>
          <cell r="L244">
            <v>0</v>
          </cell>
          <cell r="M244">
            <v>0</v>
          </cell>
          <cell r="N244">
            <v>0</v>
          </cell>
          <cell r="O244">
            <v>2237.4</v>
          </cell>
          <cell r="P244">
            <v>0</v>
          </cell>
          <cell r="Q244">
            <v>0</v>
          </cell>
          <cell r="R244">
            <v>2237.4</v>
          </cell>
          <cell r="S244">
            <v>0</v>
          </cell>
          <cell r="T244">
            <v>0</v>
          </cell>
          <cell r="U244">
            <v>2237.4</v>
          </cell>
          <cell r="V244">
            <v>0</v>
          </cell>
          <cell r="W244">
            <v>6712.2000000000007</v>
          </cell>
        </row>
        <row r="245">
          <cell r="G245" t="str">
            <v>HGHI.0026</v>
          </cell>
          <cell r="H245" t="str">
            <v>Implantação de sistema de monitoramento de vibração das usinas eólicas da Chesf (Pindaí)</v>
          </cell>
          <cell r="I245" t="str">
            <v>Eletromecânica</v>
          </cell>
          <cell r="J245" t="str">
            <v>EOL Pindaí</v>
          </cell>
          <cell r="K245">
            <v>20</v>
          </cell>
          <cell r="L245">
            <v>20</v>
          </cell>
          <cell r="M245">
            <v>20</v>
          </cell>
          <cell r="N245">
            <v>20</v>
          </cell>
          <cell r="O245">
            <v>20</v>
          </cell>
          <cell r="P245">
            <v>0</v>
          </cell>
          <cell r="Q245">
            <v>0</v>
          </cell>
          <cell r="R245">
            <v>0</v>
          </cell>
          <cell r="S245">
            <v>500</v>
          </cell>
          <cell r="T245">
            <v>100</v>
          </cell>
          <cell r="U245">
            <v>600</v>
          </cell>
          <cell r="V245">
            <v>200</v>
          </cell>
          <cell r="W245">
            <v>1500</v>
          </cell>
        </row>
        <row r="246">
          <cell r="G246" t="str">
            <v>HGHI.0025</v>
          </cell>
          <cell r="H246" t="str">
            <v>Aquisição de equipamentos para composição de reserva técnica de diversas usinas da Chesf</v>
          </cell>
          <cell r="I246" t="str">
            <v>Eletromecânica</v>
          </cell>
          <cell r="J246" t="str">
            <v>Diversas UHE</v>
          </cell>
          <cell r="K246">
            <v>0</v>
          </cell>
          <cell r="L246">
            <v>0</v>
          </cell>
          <cell r="M246">
            <v>0</v>
          </cell>
          <cell r="N246">
            <v>0</v>
          </cell>
          <cell r="O246">
            <v>0</v>
          </cell>
          <cell r="P246">
            <v>0</v>
          </cell>
          <cell r="Q246">
            <v>340</v>
          </cell>
          <cell r="R246">
            <v>200</v>
          </cell>
          <cell r="S246">
            <v>370</v>
          </cell>
          <cell r="T246">
            <v>390</v>
          </cell>
          <cell r="U246">
            <v>265</v>
          </cell>
          <cell r="V246">
            <v>735</v>
          </cell>
          <cell r="W246">
            <v>2300</v>
          </cell>
        </row>
        <row r="247">
          <cell r="G247" t="str">
            <v>MH.6002</v>
          </cell>
          <cell r="H247" t="str">
            <v>Aquisição e substituição de Geradores dos parques Casa Nova A</v>
          </cell>
          <cell r="I247" t="str">
            <v>Eletromecânica</v>
          </cell>
          <cell r="J247" t="str">
            <v>EOL Casa Nova A</v>
          </cell>
          <cell r="K247">
            <v>0</v>
          </cell>
          <cell r="L247">
            <v>0</v>
          </cell>
          <cell r="M247">
            <v>1150</v>
          </cell>
          <cell r="N247">
            <v>3400</v>
          </cell>
          <cell r="O247">
            <v>3300</v>
          </cell>
          <cell r="P247">
            <v>3300</v>
          </cell>
          <cell r="Q247">
            <v>600</v>
          </cell>
          <cell r="R247">
            <v>1300</v>
          </cell>
          <cell r="S247">
            <v>0</v>
          </cell>
          <cell r="T247">
            <v>0</v>
          </cell>
          <cell r="U247">
            <v>0</v>
          </cell>
          <cell r="V247">
            <v>0</v>
          </cell>
          <cell r="W247">
            <v>13050</v>
          </cell>
        </row>
        <row r="248">
          <cell r="G248" t="str">
            <v>MH.6002</v>
          </cell>
          <cell r="H248" t="str">
            <v>Substituição Gearbox - MA 503 e MA907</v>
          </cell>
          <cell r="I248" t="str">
            <v>Eletromecânica</v>
          </cell>
          <cell r="J248" t="str">
            <v>EOL Pindaí</v>
          </cell>
          <cell r="K248">
            <v>20</v>
          </cell>
          <cell r="L248">
            <v>300</v>
          </cell>
          <cell r="M248">
            <v>300</v>
          </cell>
          <cell r="N248">
            <v>30</v>
          </cell>
          <cell r="O248">
            <v>0</v>
          </cell>
          <cell r="P248">
            <v>0</v>
          </cell>
          <cell r="Q248">
            <v>0</v>
          </cell>
          <cell r="R248">
            <v>0</v>
          </cell>
          <cell r="S248">
            <v>0</v>
          </cell>
          <cell r="T248">
            <v>0</v>
          </cell>
          <cell r="U248">
            <v>0</v>
          </cell>
          <cell r="V248">
            <v>0</v>
          </cell>
          <cell r="W248">
            <v>650</v>
          </cell>
        </row>
        <row r="249">
          <cell r="G249" t="str">
            <v>SGHI.0001</v>
          </cell>
          <cell r="H249" t="str">
            <v>Relé de proteção do gerador sobressalente da UG na PCH João Borges</v>
          </cell>
          <cell r="I249" t="str">
            <v>Automatização Instrumentos</v>
          </cell>
          <cell r="J249" t="str">
            <v>PCH João Borges</v>
          </cell>
          <cell r="K249">
            <v>0</v>
          </cell>
          <cell r="L249">
            <v>0</v>
          </cell>
          <cell r="M249">
            <v>0</v>
          </cell>
          <cell r="N249">
            <v>0</v>
          </cell>
          <cell r="O249">
            <v>60</v>
          </cell>
          <cell r="P249">
            <v>0</v>
          </cell>
          <cell r="Q249">
            <v>0</v>
          </cell>
          <cell r="R249">
            <v>0</v>
          </cell>
          <cell r="S249">
            <v>0</v>
          </cell>
          <cell r="T249">
            <v>0</v>
          </cell>
          <cell r="U249">
            <v>0</v>
          </cell>
          <cell r="V249">
            <v>0</v>
          </cell>
          <cell r="W249">
            <v>60</v>
          </cell>
        </row>
        <row r="250">
          <cell r="G250" t="str">
            <v>NSTC.0044</v>
          </cell>
          <cell r="H250" t="str">
            <v>SWITCHES DE TO</v>
          </cell>
          <cell r="I250" t="str">
            <v>Implantação de Switches de TO para ampliação e melhoria dos Sistemas de Telecomunicações dos Centros de Operação e CGRT da Eletronorte</v>
          </cell>
          <cell r="J250" t="str">
            <v>UHE TUCURUÍ</v>
          </cell>
          <cell r="K250">
            <v>0</v>
          </cell>
          <cell r="L250">
            <v>0</v>
          </cell>
          <cell r="M250">
            <v>0</v>
          </cell>
          <cell r="N250">
            <v>0</v>
          </cell>
          <cell r="O250"/>
          <cell r="P250">
            <v>0</v>
          </cell>
          <cell r="Q250">
            <v>0</v>
          </cell>
          <cell r="R250">
            <v>53</v>
          </cell>
          <cell r="S250">
            <v>0</v>
          </cell>
          <cell r="T250">
            <v>0</v>
          </cell>
          <cell r="U250">
            <v>0</v>
          </cell>
          <cell r="V250">
            <v>0</v>
          </cell>
          <cell r="W250">
            <v>53</v>
          </cell>
        </row>
        <row r="251">
          <cell r="G251" t="str">
            <v>SGEO.0001</v>
          </cell>
          <cell r="H251" t="str">
            <v>Implantação do sistema de monitoramento online de vibração da EOL Capão do Inglês</v>
          </cell>
          <cell r="I251"/>
          <cell r="J251" t="str">
            <v>Eólica Capão do Inglês</v>
          </cell>
          <cell r="K251">
            <v>2.0100000000000002</v>
          </cell>
          <cell r="L251">
            <v>2.0100000000000002</v>
          </cell>
          <cell r="M251">
            <v>16.234999999999999</v>
          </cell>
          <cell r="N251">
            <v>16.234999999999999</v>
          </cell>
          <cell r="O251">
            <v>2.0100000000000002</v>
          </cell>
          <cell r="P251">
            <v>2.0100000000000002</v>
          </cell>
          <cell r="Q251">
            <v>2.0100000000000002</v>
          </cell>
          <cell r="R251">
            <v>2.0100000000000002</v>
          </cell>
          <cell r="S251">
            <v>2.0100000000000002</v>
          </cell>
          <cell r="T251">
            <v>2.0100000000000002</v>
          </cell>
          <cell r="U251">
            <v>2.0100000000000002</v>
          </cell>
          <cell r="V251">
            <v>2.0100000000000002</v>
          </cell>
          <cell r="W251">
            <v>52.569999999999979</v>
          </cell>
        </row>
        <row r="252">
          <cell r="G252" t="str">
            <v>HGHI.0027</v>
          </cell>
          <cell r="H252" t="str">
            <v>Modernização do sistema de iluminação de diversas usinas da Chesf</v>
          </cell>
          <cell r="I252" t="str">
            <v>Eletromecânica</v>
          </cell>
          <cell r="J252" t="str">
            <v>Diversas UHE</v>
          </cell>
          <cell r="K252">
            <v>0</v>
          </cell>
          <cell r="L252">
            <v>0</v>
          </cell>
          <cell r="M252">
            <v>30</v>
          </cell>
          <cell r="N252">
            <v>30</v>
          </cell>
          <cell r="O252">
            <v>30</v>
          </cell>
          <cell r="P252">
            <v>30</v>
          </cell>
          <cell r="Q252">
            <v>30</v>
          </cell>
          <cell r="R252">
            <v>30</v>
          </cell>
          <cell r="S252">
            <v>30</v>
          </cell>
          <cell r="T252">
            <v>30</v>
          </cell>
          <cell r="U252">
            <v>30</v>
          </cell>
          <cell r="V252">
            <v>30</v>
          </cell>
          <cell r="W252">
            <v>300</v>
          </cell>
        </row>
        <row r="253">
          <cell r="G253" t="str">
            <v>MH.6002</v>
          </cell>
          <cell r="H253" t="str">
            <v>Modernização dos painéis de controle dos geradores da UHE Paulo Afonso I</v>
          </cell>
          <cell r="I253" t="str">
            <v>Eletromecânica</v>
          </cell>
          <cell r="J253" t="str">
            <v>UHE Paulo Afonso I</v>
          </cell>
          <cell r="K253">
            <v>5</v>
          </cell>
          <cell r="L253">
            <v>5</v>
          </cell>
          <cell r="M253">
            <v>15</v>
          </cell>
          <cell r="N253">
            <v>10</v>
          </cell>
          <cell r="O253">
            <v>315</v>
          </cell>
          <cell r="P253">
            <v>230</v>
          </cell>
          <cell r="Q253">
            <v>1265</v>
          </cell>
          <cell r="R253">
            <v>1265</v>
          </cell>
          <cell r="S253">
            <v>15</v>
          </cell>
          <cell r="T253">
            <v>15</v>
          </cell>
          <cell r="U253">
            <v>760</v>
          </cell>
          <cell r="V253">
            <v>0</v>
          </cell>
          <cell r="W253">
            <v>3900</v>
          </cell>
        </row>
        <row r="254">
          <cell r="G254" t="str">
            <v>MH.6002</v>
          </cell>
          <cell r="H254" t="str">
            <v>Substituição do rotor e anéis de desgaste da turbina da 01G5 da UHE Paulo Afonso II</v>
          </cell>
          <cell r="I254" t="str">
            <v>Eletromecânica</v>
          </cell>
          <cell r="J254" t="str">
            <v>UHE Paulo Afonso II</v>
          </cell>
          <cell r="K254">
            <v>287.42</v>
          </cell>
          <cell r="L254">
            <v>2874.2039740219998</v>
          </cell>
          <cell r="M254">
            <v>887.00233600000013</v>
          </cell>
          <cell r="N254">
            <v>141.14662711452274</v>
          </cell>
          <cell r="O254">
            <v>3852.6915946282579</v>
          </cell>
          <cell r="P254">
            <v>491.48207094123575</v>
          </cell>
          <cell r="Q254">
            <v>882.82053545760311</v>
          </cell>
          <cell r="R254">
            <v>3862.0729527752524</v>
          </cell>
          <cell r="S254">
            <v>4458.4596113950156</v>
          </cell>
          <cell r="T254">
            <v>1314.309422297664</v>
          </cell>
          <cell r="U254">
            <v>592.06480800885811</v>
          </cell>
          <cell r="V254">
            <v>533.73</v>
          </cell>
          <cell r="W254">
            <v>20177.403932640409</v>
          </cell>
        </row>
        <row r="255">
          <cell r="G255" t="str">
            <v>HGHI.0029</v>
          </cell>
          <cell r="H255" t="str">
            <v>Substituição de bancos de baterias para as usinas Paulo Afonso II, Sobradinho e Boa Esperança</v>
          </cell>
          <cell r="I255" t="str">
            <v>Eletromecânica</v>
          </cell>
          <cell r="J255" t="str">
            <v>Diversas UHE</v>
          </cell>
          <cell r="K255">
            <v>10</v>
          </cell>
          <cell r="L255">
            <v>10</v>
          </cell>
          <cell r="M255">
            <v>10</v>
          </cell>
          <cell r="N255">
            <v>10</v>
          </cell>
          <cell r="O255">
            <v>10</v>
          </cell>
          <cell r="P255">
            <v>0</v>
          </cell>
          <cell r="Q255">
            <v>0</v>
          </cell>
          <cell r="R255">
            <v>0</v>
          </cell>
          <cell r="S255">
            <v>0</v>
          </cell>
          <cell r="T255">
            <v>0</v>
          </cell>
          <cell r="U255">
            <v>0</v>
          </cell>
          <cell r="V255">
            <v>0</v>
          </cell>
          <cell r="W255">
            <v>50</v>
          </cell>
        </row>
        <row r="256">
          <cell r="G256" t="str">
            <v>SGEO.0001</v>
          </cell>
          <cell r="H256" t="str">
            <v>Implantação do sistema de monitoramento online de vibração da EOL Galpões</v>
          </cell>
          <cell r="I256"/>
          <cell r="J256" t="str">
            <v>Eólica Galpões</v>
          </cell>
          <cell r="K256">
            <v>1.6080000000000001</v>
          </cell>
          <cell r="L256">
            <v>1.6080000000000001</v>
          </cell>
          <cell r="M256">
            <v>12.988</v>
          </cell>
          <cell r="N256">
            <v>12.988</v>
          </cell>
          <cell r="O256">
            <v>1.6080000000000001</v>
          </cell>
          <cell r="P256">
            <v>1.6080000000000001</v>
          </cell>
          <cell r="Q256">
            <v>1.6080000000000001</v>
          </cell>
          <cell r="R256">
            <v>1.6080000000000001</v>
          </cell>
          <cell r="S256">
            <v>1.6080000000000001</v>
          </cell>
          <cell r="T256">
            <v>1.6080000000000001</v>
          </cell>
          <cell r="U256">
            <v>1.6080000000000001</v>
          </cell>
          <cell r="V256">
            <v>1.6080000000000001</v>
          </cell>
          <cell r="W256">
            <v>42.055999999999983</v>
          </cell>
        </row>
        <row r="257">
          <cell r="G257" t="str">
            <v>MH.6002</v>
          </cell>
          <cell r="H257" t="str">
            <v>Implantação de estruturas de proteção de acesso das barragens das UHEs Luiz Gonzaga e Sobradinho e da PCH Funil</v>
          </cell>
          <cell r="I257" t="str">
            <v>Civil - Geração</v>
          </cell>
          <cell r="J257" t="str">
            <v>Diversas UHE</v>
          </cell>
          <cell r="K257">
            <v>0</v>
          </cell>
          <cell r="L257">
            <v>0</v>
          </cell>
          <cell r="M257">
            <v>0</v>
          </cell>
          <cell r="N257">
            <v>0</v>
          </cell>
          <cell r="O257">
            <v>0</v>
          </cell>
          <cell r="P257">
            <v>0</v>
          </cell>
          <cell r="Q257">
            <v>0</v>
          </cell>
          <cell r="R257">
            <v>0</v>
          </cell>
          <cell r="S257">
            <v>0</v>
          </cell>
          <cell r="T257">
            <v>0</v>
          </cell>
          <cell r="U257">
            <v>0</v>
          </cell>
          <cell r="V257">
            <v>0</v>
          </cell>
          <cell r="W257">
            <v>0</v>
          </cell>
        </row>
        <row r="258">
          <cell r="G258" t="str">
            <v>MH.6002</v>
          </cell>
          <cell r="H258" t="str">
            <v>Reforço estrutural das bases dos aerogeradores da EOL Casa Nova A</v>
          </cell>
          <cell r="I258" t="str">
            <v>Civil - Geração</v>
          </cell>
          <cell r="J258" t="str">
            <v>EOL Casa Nova A</v>
          </cell>
          <cell r="K258">
            <v>0</v>
          </cell>
          <cell r="L258">
            <v>0</v>
          </cell>
          <cell r="M258">
            <v>0</v>
          </cell>
          <cell r="N258">
            <v>0</v>
          </cell>
          <cell r="O258">
            <v>0</v>
          </cell>
          <cell r="P258">
            <v>0</v>
          </cell>
          <cell r="Q258">
            <v>0</v>
          </cell>
          <cell r="R258">
            <v>0</v>
          </cell>
          <cell r="S258">
            <v>0</v>
          </cell>
          <cell r="T258">
            <v>0</v>
          </cell>
          <cell r="U258">
            <v>0</v>
          </cell>
          <cell r="V258">
            <v>0</v>
          </cell>
          <cell r="W258">
            <v>0</v>
          </cell>
        </row>
        <row r="259">
          <cell r="G259" t="str">
            <v>HGHI.0020</v>
          </cell>
          <cell r="H259" t="str">
            <v>Implantação de sistema de resfriamento do regulador de velocidade na PCH Pedra</v>
          </cell>
          <cell r="I259" t="str">
            <v>Eletromecânica</v>
          </cell>
          <cell r="J259" t="str">
            <v>PCH Pedra</v>
          </cell>
          <cell r="K259">
            <v>0</v>
          </cell>
          <cell r="L259">
            <v>0</v>
          </cell>
          <cell r="M259">
            <v>0</v>
          </cell>
          <cell r="N259">
            <v>0</v>
          </cell>
          <cell r="O259">
            <v>0</v>
          </cell>
          <cell r="P259">
            <v>5</v>
          </cell>
          <cell r="Q259">
            <v>5</v>
          </cell>
          <cell r="R259">
            <v>5</v>
          </cell>
          <cell r="S259">
            <v>5</v>
          </cell>
          <cell r="T259">
            <v>10</v>
          </cell>
          <cell r="U259">
            <v>0</v>
          </cell>
          <cell r="V259">
            <v>0</v>
          </cell>
          <cell r="W259">
            <v>30</v>
          </cell>
        </row>
        <row r="260">
          <cell r="G260" t="str">
            <v>SGHI.0001</v>
          </cell>
          <cell r="H260" t="str">
            <v>Aquisição de bomba sobressalente para o sistema de água de resfriamento das UGs na UHE Passo São João</v>
          </cell>
          <cell r="I260" t="str">
            <v>Aquisição de equipamento sobressalente</v>
          </cell>
          <cell r="J260" t="str">
            <v>UHE Passo São João</v>
          </cell>
          <cell r="K260">
            <v>0</v>
          </cell>
          <cell r="L260">
            <v>0</v>
          </cell>
          <cell r="M260">
            <v>0</v>
          </cell>
          <cell r="N260">
            <v>0</v>
          </cell>
          <cell r="O260">
            <v>0</v>
          </cell>
          <cell r="P260">
            <v>0</v>
          </cell>
          <cell r="Q260">
            <v>0</v>
          </cell>
          <cell r="R260">
            <v>0</v>
          </cell>
          <cell r="S260">
            <v>0</v>
          </cell>
          <cell r="T260">
            <v>35</v>
          </cell>
          <cell r="U260">
            <v>0</v>
          </cell>
          <cell r="V260">
            <v>0</v>
          </cell>
          <cell r="W260">
            <v>35</v>
          </cell>
        </row>
        <row r="261">
          <cell r="G261" t="str">
            <v>SGHI.0001</v>
          </cell>
          <cell r="H261" t="str">
            <v>Aquisição de bomba sobressalente para o sistema de lubrificação dos mancais na UHE Passo São João</v>
          </cell>
          <cell r="I261" t="str">
            <v xml:space="preserve">Compatibilização do projeto atual embarcado no relé de proteção com o novo relé Upgrade do software </v>
          </cell>
          <cell r="J261" t="str">
            <v>UHE Passo São João</v>
          </cell>
          <cell r="K261">
            <v>0</v>
          </cell>
          <cell r="L261">
            <v>0</v>
          </cell>
          <cell r="M261">
            <v>0</v>
          </cell>
          <cell r="N261">
            <v>0</v>
          </cell>
          <cell r="O261">
            <v>0</v>
          </cell>
          <cell r="P261">
            <v>0</v>
          </cell>
          <cell r="Q261">
            <v>35</v>
          </cell>
          <cell r="R261">
            <v>0</v>
          </cell>
          <cell r="S261">
            <v>0</v>
          </cell>
          <cell r="T261">
            <v>0</v>
          </cell>
          <cell r="U261">
            <v>0</v>
          </cell>
          <cell r="V261">
            <v>0</v>
          </cell>
          <cell r="W261">
            <v>35</v>
          </cell>
        </row>
        <row r="262">
          <cell r="G262" t="str">
            <v>SGHI.0001</v>
          </cell>
          <cell r="H262" t="str">
            <v>Aquisição de motor sobressalente para a unidade hidráulica do regulador de velocidade</v>
          </cell>
          <cell r="I262"/>
          <cell r="J262" t="str">
            <v>Diversas UHE</v>
          </cell>
          <cell r="K262">
            <v>0</v>
          </cell>
          <cell r="L262">
            <v>0</v>
          </cell>
          <cell r="M262">
            <v>0</v>
          </cell>
          <cell r="N262">
            <v>0</v>
          </cell>
          <cell r="O262">
            <v>0</v>
          </cell>
          <cell r="P262">
            <v>32</v>
          </cell>
          <cell r="Q262">
            <v>0</v>
          </cell>
          <cell r="R262">
            <v>0</v>
          </cell>
          <cell r="S262">
            <v>0</v>
          </cell>
          <cell r="T262">
            <v>0</v>
          </cell>
          <cell r="U262">
            <v>0</v>
          </cell>
          <cell r="V262">
            <v>0</v>
          </cell>
          <cell r="W262">
            <v>32</v>
          </cell>
        </row>
        <row r="263">
          <cell r="G263" t="str">
            <v>MH.6002</v>
          </cell>
          <cell r="H263" t="str">
            <v>Substituição da cobertura da casa de força da UHE Apolônio Sales</v>
          </cell>
          <cell r="I263" t="str">
            <v>Civil - Geração</v>
          </cell>
          <cell r="J263" t="str">
            <v>UHE Apolônio Sales</v>
          </cell>
          <cell r="K263">
            <v>0</v>
          </cell>
          <cell r="L263">
            <v>0</v>
          </cell>
          <cell r="M263">
            <v>0</v>
          </cell>
          <cell r="N263">
            <v>0</v>
          </cell>
          <cell r="O263">
            <v>0</v>
          </cell>
          <cell r="P263">
            <v>0</v>
          </cell>
          <cell r="Q263">
            <v>0</v>
          </cell>
          <cell r="R263">
            <v>0</v>
          </cell>
          <cell r="S263">
            <v>0</v>
          </cell>
          <cell r="T263">
            <v>0</v>
          </cell>
          <cell r="U263">
            <v>0</v>
          </cell>
          <cell r="V263">
            <v>0</v>
          </cell>
          <cell r="W263">
            <v>0</v>
          </cell>
        </row>
        <row r="264">
          <cell r="G264" t="str">
            <v>SGHI.0001</v>
          </cell>
          <cell r="H264" t="str">
            <v>Aquisição de motor sobressalente para a unidade hidráulicade lubrificação dos mancais</v>
          </cell>
          <cell r="I264"/>
          <cell r="J264" t="str">
            <v>Diversas UHE</v>
          </cell>
          <cell r="K264">
            <v>0</v>
          </cell>
          <cell r="L264">
            <v>0</v>
          </cell>
          <cell r="M264">
            <v>0</v>
          </cell>
          <cell r="N264">
            <v>0</v>
          </cell>
          <cell r="O264">
            <v>0</v>
          </cell>
          <cell r="P264">
            <v>26</v>
          </cell>
          <cell r="Q264">
            <v>0</v>
          </cell>
          <cell r="R264">
            <v>0</v>
          </cell>
          <cell r="S264">
            <v>0</v>
          </cell>
          <cell r="T264">
            <v>0</v>
          </cell>
          <cell r="U264">
            <v>0</v>
          </cell>
          <cell r="V264">
            <v>0</v>
          </cell>
          <cell r="W264">
            <v>26</v>
          </cell>
        </row>
        <row r="265">
          <cell r="G265" t="str">
            <v>SGHI.0001</v>
          </cell>
          <cell r="H265" t="str">
            <v>Aquisição de motobomba sobressalente  para o sistema de drenagem da casa de força da PCH João Borges</v>
          </cell>
          <cell r="I265" t="str">
            <v>Aquisição de equipamento sobressalente</v>
          </cell>
          <cell r="J265" t="str">
            <v>PCH João Borges</v>
          </cell>
          <cell r="K265">
            <v>0</v>
          </cell>
          <cell r="L265">
            <v>0</v>
          </cell>
          <cell r="M265">
            <v>0</v>
          </cell>
          <cell r="N265">
            <v>0</v>
          </cell>
          <cell r="O265">
            <v>0</v>
          </cell>
          <cell r="P265">
            <v>0</v>
          </cell>
          <cell r="Q265">
            <v>26</v>
          </cell>
          <cell r="R265">
            <v>0</v>
          </cell>
          <cell r="S265">
            <v>0</v>
          </cell>
          <cell r="T265">
            <v>0</v>
          </cell>
          <cell r="U265">
            <v>0</v>
          </cell>
          <cell r="V265">
            <v>0</v>
          </cell>
          <cell r="W265">
            <v>26</v>
          </cell>
        </row>
        <row r="266">
          <cell r="G266" t="str">
            <v>SGHI.0001</v>
          </cell>
          <cell r="H266" t="str">
            <v>Aquisição de motobomba sobressalente  para o sistema de esgotamento da casa de força da PCH João Borges</v>
          </cell>
          <cell r="I266" t="str">
            <v>Aquisição de equipamento sobressalente</v>
          </cell>
          <cell r="J266" t="str">
            <v>PCH João Borges</v>
          </cell>
          <cell r="K266">
            <v>0</v>
          </cell>
          <cell r="L266">
            <v>0</v>
          </cell>
          <cell r="M266">
            <v>0</v>
          </cell>
          <cell r="N266">
            <v>0</v>
          </cell>
          <cell r="O266">
            <v>0</v>
          </cell>
          <cell r="P266">
            <v>0</v>
          </cell>
          <cell r="Q266">
            <v>26</v>
          </cell>
          <cell r="R266">
            <v>0</v>
          </cell>
          <cell r="S266">
            <v>0</v>
          </cell>
          <cell r="T266">
            <v>0</v>
          </cell>
          <cell r="U266">
            <v>0</v>
          </cell>
          <cell r="V266">
            <v>0</v>
          </cell>
          <cell r="W266">
            <v>26</v>
          </cell>
        </row>
        <row r="267">
          <cell r="G267" t="str">
            <v>HGHI.0017</v>
          </cell>
          <cell r="H267" t="str">
            <v>Substituição de servomotor do regulador de velocidades da UHE Boa Esperança</v>
          </cell>
          <cell r="I267" t="str">
            <v>Eletromecânica</v>
          </cell>
          <cell r="J267" t="str">
            <v>UHE Boa Esperança</v>
          </cell>
          <cell r="K267">
            <v>5</v>
          </cell>
          <cell r="L267">
            <v>5</v>
          </cell>
          <cell r="M267">
            <v>5</v>
          </cell>
          <cell r="N267">
            <v>5</v>
          </cell>
          <cell r="O267">
            <v>0</v>
          </cell>
          <cell r="P267">
            <v>0</v>
          </cell>
          <cell r="Q267">
            <v>0</v>
          </cell>
          <cell r="R267">
            <v>0</v>
          </cell>
          <cell r="S267">
            <v>0</v>
          </cell>
          <cell r="T267">
            <v>1300</v>
          </cell>
          <cell r="U267">
            <v>0</v>
          </cell>
          <cell r="V267">
            <v>0</v>
          </cell>
          <cell r="W267">
            <v>1320</v>
          </cell>
        </row>
        <row r="268">
          <cell r="G268" t="str">
            <v>HGHI.0017</v>
          </cell>
          <cell r="H268" t="str">
            <v>Substituição de computadores para o sistema digital da UHE Boa Esperança</v>
          </cell>
          <cell r="I268" t="str">
            <v>Eletromecânica</v>
          </cell>
          <cell r="J268" t="str">
            <v>UHE Boa Esperança</v>
          </cell>
          <cell r="K268">
            <v>10</v>
          </cell>
          <cell r="L268">
            <v>5</v>
          </cell>
          <cell r="M268">
            <v>0</v>
          </cell>
          <cell r="N268">
            <v>0</v>
          </cell>
          <cell r="O268">
            <v>0</v>
          </cell>
          <cell r="P268">
            <v>0</v>
          </cell>
          <cell r="Q268">
            <v>0</v>
          </cell>
          <cell r="R268">
            <v>340</v>
          </cell>
          <cell r="S268">
            <v>20</v>
          </cell>
          <cell r="T268">
            <v>20</v>
          </cell>
          <cell r="U268">
            <v>20</v>
          </cell>
          <cell r="V268">
            <v>0</v>
          </cell>
          <cell r="W268">
            <v>415</v>
          </cell>
        </row>
        <row r="269">
          <cell r="G269" t="str">
            <v>HGHI.0017</v>
          </cell>
          <cell r="H269" t="str">
            <v>Substituição de relés de temperatura e sobrecorrente da UHE Boa Esperança</v>
          </cell>
          <cell r="I269" t="str">
            <v>Eletromecânica</v>
          </cell>
          <cell r="J269" t="str">
            <v>UHE Boa Esperança</v>
          </cell>
          <cell r="K269">
            <v>2</v>
          </cell>
          <cell r="L269">
            <v>1</v>
          </cell>
          <cell r="M269">
            <v>0</v>
          </cell>
          <cell r="N269">
            <v>0</v>
          </cell>
          <cell r="O269">
            <v>0</v>
          </cell>
          <cell r="P269">
            <v>0</v>
          </cell>
          <cell r="Q269">
            <v>100</v>
          </cell>
          <cell r="R269">
            <v>10</v>
          </cell>
          <cell r="S269">
            <v>20</v>
          </cell>
          <cell r="T269">
            <v>10</v>
          </cell>
          <cell r="U269">
            <v>0</v>
          </cell>
          <cell r="V269">
            <v>0</v>
          </cell>
          <cell r="W269">
            <v>143</v>
          </cell>
        </row>
        <row r="270">
          <cell r="G270" t="str">
            <v>HGHI.0017</v>
          </cell>
          <cell r="H270" t="str">
            <v>Substituição dos trocadores de calor do mancal combinado da UHE Boa Esperança</v>
          </cell>
          <cell r="I270" t="str">
            <v>Eletromecânica</v>
          </cell>
          <cell r="J270" t="str">
            <v>UHE Boa Esperança</v>
          </cell>
          <cell r="K270">
            <v>0</v>
          </cell>
          <cell r="L270">
            <v>0</v>
          </cell>
          <cell r="M270">
            <v>5</v>
          </cell>
          <cell r="N270">
            <v>5</v>
          </cell>
          <cell r="O270">
            <v>5</v>
          </cell>
          <cell r="P270">
            <v>5</v>
          </cell>
          <cell r="Q270">
            <v>0</v>
          </cell>
          <cell r="R270">
            <v>0</v>
          </cell>
          <cell r="S270">
            <v>0</v>
          </cell>
          <cell r="T270">
            <v>0</v>
          </cell>
          <cell r="U270">
            <v>0</v>
          </cell>
          <cell r="V270">
            <v>0</v>
          </cell>
          <cell r="W270">
            <v>20</v>
          </cell>
        </row>
        <row r="271">
          <cell r="G271" t="str">
            <v>MH.6002</v>
          </cell>
          <cell r="H271" t="str">
            <v>Modernização do sistema de detecção e alarme de incêndio da UHE Boa Esperança</v>
          </cell>
          <cell r="I271" t="str">
            <v>Eletromecânica</v>
          </cell>
          <cell r="J271" t="str">
            <v>UHE Boa Esperança</v>
          </cell>
          <cell r="K271">
            <v>0</v>
          </cell>
          <cell r="L271">
            <v>5</v>
          </cell>
          <cell r="M271">
            <v>5</v>
          </cell>
          <cell r="N271">
            <v>5</v>
          </cell>
          <cell r="O271">
            <v>5</v>
          </cell>
          <cell r="P271">
            <v>5</v>
          </cell>
          <cell r="Q271">
            <v>5</v>
          </cell>
          <cell r="R271">
            <v>5</v>
          </cell>
          <cell r="S271">
            <v>5</v>
          </cell>
          <cell r="T271">
            <v>0</v>
          </cell>
          <cell r="U271">
            <v>0</v>
          </cell>
          <cell r="V271">
            <v>0</v>
          </cell>
          <cell r="W271">
            <v>40</v>
          </cell>
        </row>
        <row r="272">
          <cell r="G272" t="str">
            <v>HGHI.0019</v>
          </cell>
          <cell r="H272" t="str">
            <v>Substituição dos transformadores reguladores de tensão trifásicos 10 MVA 16/13,8 kV (incluindo adequação civil das suas bases) da UHE Luiz Gonzaga</v>
          </cell>
          <cell r="I272" t="str">
            <v>Eletromecânica</v>
          </cell>
          <cell r="J272" t="str">
            <v>UHE Luiz Gonzaga</v>
          </cell>
          <cell r="K272">
            <v>0</v>
          </cell>
          <cell r="L272">
            <v>0</v>
          </cell>
          <cell r="M272">
            <v>0</v>
          </cell>
          <cell r="N272">
            <v>10</v>
          </cell>
          <cell r="O272">
            <v>10</v>
          </cell>
          <cell r="P272">
            <v>10</v>
          </cell>
          <cell r="Q272">
            <v>10</v>
          </cell>
          <cell r="R272">
            <v>10</v>
          </cell>
          <cell r="S272">
            <v>10</v>
          </cell>
          <cell r="T272">
            <v>10</v>
          </cell>
          <cell r="U272">
            <v>10</v>
          </cell>
          <cell r="V272">
            <v>10</v>
          </cell>
          <cell r="W272">
            <v>90</v>
          </cell>
        </row>
        <row r="273">
          <cell r="G273" t="str">
            <v>SGHI.0001</v>
          </cell>
          <cell r="H273" t="str">
            <v>Aquisição de motor sobressalente para o sistema de água de resfriamento das UGs na UHE Passo São João</v>
          </cell>
          <cell r="I273" t="str">
            <v>Contratação de serviço de empresa especializada para substituição do trocador de calor São necessárias modificações nas tubulações e conexões, levando em conta que o trocador ficará instalado ao lado do tanque sem pressão</v>
          </cell>
          <cell r="J273" t="str">
            <v>UHE Passo São João</v>
          </cell>
          <cell r="K273">
            <v>0</v>
          </cell>
          <cell r="L273">
            <v>0</v>
          </cell>
          <cell r="M273">
            <v>0</v>
          </cell>
          <cell r="N273">
            <v>0</v>
          </cell>
          <cell r="O273">
            <v>0</v>
          </cell>
          <cell r="P273">
            <v>20</v>
          </cell>
          <cell r="Q273">
            <v>0</v>
          </cell>
          <cell r="R273">
            <v>0</v>
          </cell>
          <cell r="S273">
            <v>0</v>
          </cell>
          <cell r="T273">
            <v>0</v>
          </cell>
          <cell r="U273">
            <v>0</v>
          </cell>
          <cell r="V273">
            <v>0</v>
          </cell>
          <cell r="W273">
            <v>20</v>
          </cell>
        </row>
        <row r="274">
          <cell r="G274" t="str">
            <v>HGHI.0019</v>
          </cell>
          <cell r="H274" t="str">
            <v>Modernização do sistema de ventilação da UHE Luiz Gonzaga</v>
          </cell>
          <cell r="I274" t="str">
            <v>Eletromecânica</v>
          </cell>
          <cell r="J274" t="str">
            <v>UHE Luiz Gonzaga</v>
          </cell>
          <cell r="K274">
            <v>0</v>
          </cell>
          <cell r="L274">
            <v>0</v>
          </cell>
          <cell r="M274">
            <v>0</v>
          </cell>
          <cell r="N274">
            <v>0</v>
          </cell>
          <cell r="O274">
            <v>0</v>
          </cell>
          <cell r="P274">
            <v>0</v>
          </cell>
          <cell r="Q274">
            <v>0</v>
          </cell>
          <cell r="R274">
            <v>10</v>
          </cell>
          <cell r="S274">
            <v>10</v>
          </cell>
          <cell r="T274">
            <v>10</v>
          </cell>
          <cell r="U274">
            <v>10</v>
          </cell>
          <cell r="V274">
            <v>10</v>
          </cell>
          <cell r="W274">
            <v>50</v>
          </cell>
        </row>
        <row r="275">
          <cell r="G275" t="str">
            <v>SGHI.0001</v>
          </cell>
          <cell r="H275" t="str">
            <v>Aquisição de bombas reservas para a motobomba do distribuidor da unidade hidráulica do regulador de velocidade na UHE Passo São João</v>
          </cell>
          <cell r="I275" t="str">
            <v>Aquisição de equipamento sobressalente</v>
          </cell>
          <cell r="J275" t="str">
            <v>UHE Passo São João</v>
          </cell>
          <cell r="K275">
            <v>0</v>
          </cell>
          <cell r="L275">
            <v>0</v>
          </cell>
          <cell r="M275">
            <v>0</v>
          </cell>
          <cell r="N275">
            <v>0</v>
          </cell>
          <cell r="O275">
            <v>9</v>
          </cell>
          <cell r="P275">
            <v>0</v>
          </cell>
          <cell r="Q275">
            <v>0</v>
          </cell>
          <cell r="R275">
            <v>0</v>
          </cell>
          <cell r="S275">
            <v>0</v>
          </cell>
          <cell r="T275">
            <v>0</v>
          </cell>
          <cell r="U275">
            <v>0</v>
          </cell>
          <cell r="V275">
            <v>0</v>
          </cell>
          <cell r="W275">
            <v>9</v>
          </cell>
        </row>
        <row r="276">
          <cell r="G276" t="str">
            <v>SGHI.0001</v>
          </cell>
          <cell r="H276" t="str">
            <v>Aquisição da Unidade de Supervisão e Controle Automático (USCA) sobressalente para o gerador de emergência na UHE Passo São João</v>
          </cell>
          <cell r="I276" t="str">
            <v>Aquisição de equipamento sobressalente</v>
          </cell>
          <cell r="J276" t="str">
            <v>UHE Passo São João</v>
          </cell>
          <cell r="K276">
            <v>0</v>
          </cell>
          <cell r="L276">
            <v>0</v>
          </cell>
          <cell r="M276">
            <v>0</v>
          </cell>
          <cell r="N276">
            <v>0</v>
          </cell>
          <cell r="O276">
            <v>8</v>
          </cell>
          <cell r="P276">
            <v>0</v>
          </cell>
          <cell r="Q276">
            <v>0</v>
          </cell>
          <cell r="R276">
            <v>0</v>
          </cell>
          <cell r="S276">
            <v>0</v>
          </cell>
          <cell r="T276">
            <v>0</v>
          </cell>
          <cell r="U276">
            <v>0</v>
          </cell>
          <cell r="V276">
            <v>0</v>
          </cell>
          <cell r="W276">
            <v>8</v>
          </cell>
        </row>
        <row r="277">
          <cell r="G277" t="str">
            <v>SGHI.0001</v>
          </cell>
          <cell r="H277" t="str">
            <v>Aquisição de USCA sobressalente para o gerador de emergência na UHE São Domingos</v>
          </cell>
          <cell r="I277" t="str">
            <v>Aquisição de equipamento sobressalente</v>
          </cell>
          <cell r="J277" t="str">
            <v>UHE São Domingos</v>
          </cell>
          <cell r="K277">
            <v>0</v>
          </cell>
          <cell r="L277">
            <v>0</v>
          </cell>
          <cell r="M277">
            <v>0</v>
          </cell>
          <cell r="N277">
            <v>0</v>
          </cell>
          <cell r="O277">
            <v>0</v>
          </cell>
          <cell r="P277">
            <v>0</v>
          </cell>
          <cell r="Q277">
            <v>8</v>
          </cell>
          <cell r="R277">
            <v>0</v>
          </cell>
          <cell r="S277">
            <v>0</v>
          </cell>
          <cell r="T277">
            <v>0</v>
          </cell>
          <cell r="U277">
            <v>0</v>
          </cell>
          <cell r="V277">
            <v>0</v>
          </cell>
          <cell r="W277">
            <v>8</v>
          </cell>
        </row>
        <row r="278">
          <cell r="G278" t="str">
            <v>SGHI.0001</v>
          </cell>
          <cell r="H278" t="str">
            <v>Aquisição de bombas sobressalente para a unidade hidráulica de lubrificação dos mancais</v>
          </cell>
          <cell r="I278"/>
          <cell r="J278" t="str">
            <v>Diversas UHE</v>
          </cell>
          <cell r="K278">
            <v>0</v>
          </cell>
          <cell r="L278">
            <v>0</v>
          </cell>
          <cell r="M278">
            <v>0</v>
          </cell>
          <cell r="N278">
            <v>0</v>
          </cell>
          <cell r="O278">
            <v>0</v>
          </cell>
          <cell r="P278">
            <v>0</v>
          </cell>
          <cell r="Q278">
            <v>7</v>
          </cell>
          <cell r="R278">
            <v>0</v>
          </cell>
          <cell r="S278">
            <v>0</v>
          </cell>
          <cell r="T278">
            <v>0</v>
          </cell>
          <cell r="U278">
            <v>0</v>
          </cell>
          <cell r="V278">
            <v>0</v>
          </cell>
          <cell r="W278">
            <v>7</v>
          </cell>
        </row>
        <row r="279">
          <cell r="G279" t="str">
            <v>SGHI.0001</v>
          </cell>
          <cell r="H279" t="str">
            <v>Aquisição de bombas sobressalente para a unidade hidráulica do regulador de velocidade</v>
          </cell>
          <cell r="I279"/>
          <cell r="J279" t="str">
            <v>Diversas UHE</v>
          </cell>
          <cell r="K279">
            <v>0</v>
          </cell>
          <cell r="L279">
            <v>0</v>
          </cell>
          <cell r="M279">
            <v>0</v>
          </cell>
          <cell r="N279">
            <v>0</v>
          </cell>
          <cell r="O279">
            <v>0</v>
          </cell>
          <cell r="P279">
            <v>0</v>
          </cell>
          <cell r="Q279">
            <v>7</v>
          </cell>
          <cell r="R279">
            <v>0</v>
          </cell>
          <cell r="S279">
            <v>0</v>
          </cell>
          <cell r="T279">
            <v>0</v>
          </cell>
          <cell r="U279">
            <v>0</v>
          </cell>
          <cell r="V279">
            <v>0</v>
          </cell>
          <cell r="W279">
            <v>7</v>
          </cell>
        </row>
        <row r="280">
          <cell r="G280" t="str">
            <v>SGHI.0001</v>
          </cell>
          <cell r="H280" t="str">
            <v>Aquisição de bombas reservas para a motobomba  kaplan da unidade hidráulica do regulador de velocidade para UHE São Domingos</v>
          </cell>
          <cell r="I280" t="str">
            <v>Aquisição de equipamento sobressalente</v>
          </cell>
          <cell r="J280" t="str">
            <v>UHE Passo São João</v>
          </cell>
          <cell r="K280">
            <v>0</v>
          </cell>
          <cell r="L280">
            <v>0</v>
          </cell>
          <cell r="M280">
            <v>0</v>
          </cell>
          <cell r="N280">
            <v>0</v>
          </cell>
          <cell r="O280">
            <v>0</v>
          </cell>
          <cell r="P280">
            <v>0</v>
          </cell>
          <cell r="Q280">
            <v>7</v>
          </cell>
          <cell r="R280">
            <v>0</v>
          </cell>
          <cell r="S280">
            <v>0</v>
          </cell>
          <cell r="T280">
            <v>0</v>
          </cell>
          <cell r="U280">
            <v>0</v>
          </cell>
          <cell r="V280">
            <v>0</v>
          </cell>
          <cell r="W280">
            <v>7</v>
          </cell>
        </row>
        <row r="281">
          <cell r="G281" t="str">
            <v>HGHI.0019</v>
          </cell>
          <cell r="H281" t="str">
            <v>Modernização dos sistemas de tratamento de água e de esgoto da UHE Luiz Gonzaga</v>
          </cell>
          <cell r="I281" t="str">
            <v>Civil - Geração</v>
          </cell>
          <cell r="J281" t="str">
            <v>UHE Luiz Gonzaga</v>
          </cell>
          <cell r="K281">
            <v>0</v>
          </cell>
          <cell r="L281">
            <v>0</v>
          </cell>
          <cell r="M281">
            <v>0</v>
          </cell>
          <cell r="N281">
            <v>0</v>
          </cell>
          <cell r="O281">
            <v>0</v>
          </cell>
          <cell r="P281">
            <v>0</v>
          </cell>
          <cell r="Q281">
            <v>0</v>
          </cell>
          <cell r="R281">
            <v>10</v>
          </cell>
          <cell r="S281">
            <v>10</v>
          </cell>
          <cell r="T281">
            <v>10</v>
          </cell>
          <cell r="U281">
            <v>10</v>
          </cell>
          <cell r="V281">
            <v>10</v>
          </cell>
          <cell r="W281">
            <v>50</v>
          </cell>
        </row>
        <row r="282">
          <cell r="G282" t="str">
            <v>HGHI.0019</v>
          </cell>
          <cell r="H282" t="str">
            <v>Modernização do sistema de acionamento das coberturas metálicas (tampas) da casa de força da UHE Luiz Gonzaga</v>
          </cell>
          <cell r="I282" t="str">
            <v>Eletromecânica</v>
          </cell>
          <cell r="J282" t="str">
            <v>UHE Luiz Gonzaga</v>
          </cell>
          <cell r="K282">
            <v>0</v>
          </cell>
          <cell r="L282">
            <v>0</v>
          </cell>
          <cell r="M282">
            <v>0</v>
          </cell>
          <cell r="N282">
            <v>0</v>
          </cell>
          <cell r="O282">
            <v>0</v>
          </cell>
          <cell r="P282">
            <v>0</v>
          </cell>
          <cell r="Q282">
            <v>0</v>
          </cell>
          <cell r="R282">
            <v>5</v>
          </cell>
          <cell r="S282">
            <v>5</v>
          </cell>
          <cell r="T282">
            <v>5</v>
          </cell>
          <cell r="U282">
            <v>5</v>
          </cell>
          <cell r="V282">
            <v>5</v>
          </cell>
          <cell r="W282">
            <v>25</v>
          </cell>
        </row>
        <row r="283">
          <cell r="G283" t="str">
            <v>HGHI.0019</v>
          </cell>
          <cell r="H283" t="str">
            <v>Modernização da automação e controle do sistema de drenagem da UHE Luiz Gonzaga</v>
          </cell>
          <cell r="I283" t="str">
            <v>Eletromecânica</v>
          </cell>
          <cell r="J283" t="str">
            <v>UHE Luiz Gonzaga</v>
          </cell>
          <cell r="K283">
            <v>0</v>
          </cell>
          <cell r="L283">
            <v>0</v>
          </cell>
          <cell r="M283">
            <v>0</v>
          </cell>
          <cell r="N283">
            <v>0</v>
          </cell>
          <cell r="O283">
            <v>0</v>
          </cell>
          <cell r="P283">
            <v>0</v>
          </cell>
          <cell r="Q283">
            <v>0</v>
          </cell>
          <cell r="R283">
            <v>5</v>
          </cell>
          <cell r="S283">
            <v>5</v>
          </cell>
          <cell r="T283">
            <v>5</v>
          </cell>
          <cell r="U283">
            <v>5</v>
          </cell>
          <cell r="V283">
            <v>5</v>
          </cell>
          <cell r="W283">
            <v>25</v>
          </cell>
        </row>
        <row r="284">
          <cell r="G284" t="str">
            <v>HGHI.0019</v>
          </cell>
          <cell r="H284" t="str">
            <v>Substituição do grupo gerador de emergência do sistema do vertedouro da UHE Luiz Gonzaga</v>
          </cell>
          <cell r="I284" t="str">
            <v>Eletromecânica</v>
          </cell>
          <cell r="J284" t="str">
            <v>UHE Luiz Gonzaga</v>
          </cell>
          <cell r="K284">
            <v>5</v>
          </cell>
          <cell r="L284">
            <v>5</v>
          </cell>
          <cell r="M284">
            <v>5</v>
          </cell>
          <cell r="N284">
            <v>5</v>
          </cell>
          <cell r="O284">
            <v>0</v>
          </cell>
          <cell r="P284">
            <v>0</v>
          </cell>
          <cell r="Q284">
            <v>0</v>
          </cell>
          <cell r="R284">
            <v>0</v>
          </cell>
          <cell r="S284">
            <v>0</v>
          </cell>
          <cell r="T284">
            <v>0</v>
          </cell>
          <cell r="U284">
            <v>0</v>
          </cell>
          <cell r="V284">
            <v>0</v>
          </cell>
          <cell r="W284">
            <v>20</v>
          </cell>
        </row>
        <row r="285">
          <cell r="G285" t="str">
            <v>MH.6002</v>
          </cell>
          <cell r="H285" t="str">
            <v>Modernização do sistema de proteção contra incêndio dos transformadores elevadores e reguladores da UHE Luiz Gonzaga</v>
          </cell>
          <cell r="I285" t="str">
            <v>Eletromecânica</v>
          </cell>
          <cell r="J285" t="str">
            <v>UHE Luiz Gonzaga</v>
          </cell>
          <cell r="K285">
            <v>0</v>
          </cell>
          <cell r="L285">
            <v>0</v>
          </cell>
          <cell r="M285">
            <v>0</v>
          </cell>
          <cell r="N285">
            <v>0</v>
          </cell>
          <cell r="O285">
            <v>0</v>
          </cell>
          <cell r="P285">
            <v>0</v>
          </cell>
          <cell r="Q285">
            <v>0</v>
          </cell>
          <cell r="R285">
            <v>0</v>
          </cell>
          <cell r="S285">
            <v>0</v>
          </cell>
          <cell r="T285">
            <v>0</v>
          </cell>
          <cell r="U285">
            <v>0</v>
          </cell>
          <cell r="V285">
            <v>0</v>
          </cell>
          <cell r="W285">
            <v>0</v>
          </cell>
        </row>
        <row r="286">
          <cell r="G286" t="str">
            <v>MH.6002</v>
          </cell>
          <cell r="H286" t="str">
            <v>Construção civil de edificação para apoio operacional, incluindo a reforma dos banheiros, na UHE Luiz Gonzaga</v>
          </cell>
          <cell r="I286" t="str">
            <v>Civil - Geração</v>
          </cell>
          <cell r="J286" t="str">
            <v>UHE Luiz Gonzaga</v>
          </cell>
          <cell r="K286">
            <v>0</v>
          </cell>
          <cell r="L286">
            <v>0</v>
          </cell>
          <cell r="M286">
            <v>0</v>
          </cell>
          <cell r="N286">
            <v>0</v>
          </cell>
          <cell r="O286">
            <v>0</v>
          </cell>
          <cell r="P286">
            <v>0</v>
          </cell>
          <cell r="Q286">
            <v>0</v>
          </cell>
          <cell r="R286">
            <v>0</v>
          </cell>
          <cell r="S286">
            <v>0</v>
          </cell>
          <cell r="T286">
            <v>0</v>
          </cell>
          <cell r="U286">
            <v>0</v>
          </cell>
          <cell r="V286">
            <v>0</v>
          </cell>
          <cell r="W286">
            <v>0</v>
          </cell>
        </row>
        <row r="287">
          <cell r="G287" t="str">
            <v>HGHI.0016</v>
          </cell>
          <cell r="H287" t="str">
            <v>Substituição de compressores do RV para a UHE Paulo Afonso I</v>
          </cell>
          <cell r="I287" t="str">
            <v>Eletromecânica</v>
          </cell>
          <cell r="J287" t="str">
            <v>UHE Paulo Afonso I</v>
          </cell>
          <cell r="K287"/>
          <cell r="L287"/>
          <cell r="M287">
            <v>10</v>
          </cell>
          <cell r="N287">
            <v>10</v>
          </cell>
          <cell r="O287">
            <v>10</v>
          </cell>
          <cell r="P287">
            <v>10</v>
          </cell>
          <cell r="Q287">
            <v>10</v>
          </cell>
          <cell r="R287">
            <v>10</v>
          </cell>
          <cell r="S287">
            <v>0</v>
          </cell>
          <cell r="T287">
            <v>0</v>
          </cell>
          <cell r="U287">
            <v>0</v>
          </cell>
          <cell r="V287">
            <v>0</v>
          </cell>
          <cell r="W287">
            <v>60</v>
          </cell>
        </row>
        <row r="288">
          <cell r="G288" t="str">
            <v>HGHI.0016</v>
          </cell>
          <cell r="H288" t="str">
            <v>Substituição/Implantação de exaustores paras as UHEs Paulo Afonso I</v>
          </cell>
          <cell r="I288" t="str">
            <v>Eletromecânica</v>
          </cell>
          <cell r="J288" t="str">
            <v>UHE Paulo Afonso I</v>
          </cell>
          <cell r="K288">
            <v>5</v>
          </cell>
          <cell r="L288">
            <v>5</v>
          </cell>
          <cell r="M288">
            <v>5</v>
          </cell>
          <cell r="N288">
            <v>5</v>
          </cell>
          <cell r="O288">
            <v>5</v>
          </cell>
          <cell r="P288">
            <v>5</v>
          </cell>
          <cell r="Q288">
            <v>0</v>
          </cell>
          <cell r="R288">
            <v>0</v>
          </cell>
          <cell r="S288">
            <v>0</v>
          </cell>
          <cell r="T288">
            <v>0</v>
          </cell>
          <cell r="U288">
            <v>10</v>
          </cell>
          <cell r="V288">
            <v>10</v>
          </cell>
          <cell r="W288">
            <v>50</v>
          </cell>
        </row>
        <row r="289">
          <cell r="G289" t="str">
            <v>HGHI.0022</v>
          </cell>
          <cell r="H289" t="str">
            <v>Substituição do rotor e anéis de desgaste da turbina da 01G4 da UHE Paulo Afonso II</v>
          </cell>
          <cell r="I289" t="str">
            <v>Eletromecânica</v>
          </cell>
          <cell r="J289" t="str">
            <v>UHE Paulo Afonso II</v>
          </cell>
          <cell r="K289">
            <v>0</v>
          </cell>
          <cell r="L289">
            <v>0</v>
          </cell>
          <cell r="M289">
            <v>0</v>
          </cell>
          <cell r="N289">
            <v>0</v>
          </cell>
          <cell r="O289">
            <v>0</v>
          </cell>
          <cell r="P289">
            <v>0</v>
          </cell>
          <cell r="Q289">
            <v>10</v>
          </cell>
          <cell r="R289">
            <v>10</v>
          </cell>
          <cell r="S289">
            <v>10</v>
          </cell>
          <cell r="T289">
            <v>10</v>
          </cell>
          <cell r="U289">
            <v>10</v>
          </cell>
          <cell r="V289">
            <v>10</v>
          </cell>
          <cell r="W289">
            <v>60</v>
          </cell>
        </row>
        <row r="290">
          <cell r="G290" t="str">
            <v>MH.6002</v>
          </cell>
          <cell r="H290" t="str">
            <v>Implantação do sistema de drenagem da cobertura (abóboda) da casa de força da UHE Paulo Afonso III</v>
          </cell>
          <cell r="I290" t="str">
            <v>Civil - Geração</v>
          </cell>
          <cell r="J290" t="str">
            <v>UHE Paulo Afonso III</v>
          </cell>
          <cell r="K290">
            <v>0</v>
          </cell>
          <cell r="L290">
            <v>0</v>
          </cell>
          <cell r="M290">
            <v>0</v>
          </cell>
          <cell r="N290">
            <v>0</v>
          </cell>
          <cell r="O290">
            <v>0</v>
          </cell>
          <cell r="P290">
            <v>0</v>
          </cell>
          <cell r="Q290">
            <v>0</v>
          </cell>
          <cell r="R290">
            <v>0</v>
          </cell>
          <cell r="S290">
            <v>0</v>
          </cell>
          <cell r="T290">
            <v>0</v>
          </cell>
          <cell r="U290">
            <v>0</v>
          </cell>
          <cell r="V290">
            <v>0</v>
          </cell>
          <cell r="W290">
            <v>0</v>
          </cell>
        </row>
        <row r="291">
          <cell r="G291" t="str">
            <v>HGHI.0021</v>
          </cell>
          <cell r="H291" t="str">
            <v>Instalação de elevador cremalheira no extravasor da UHE Sobradinho</v>
          </cell>
          <cell r="I291" t="str">
            <v>Eletromecânica</v>
          </cell>
          <cell r="J291" t="str">
            <v>UHE Sobradinho</v>
          </cell>
          <cell r="K291">
            <v>0</v>
          </cell>
          <cell r="L291">
            <v>0</v>
          </cell>
          <cell r="M291">
            <v>0</v>
          </cell>
          <cell r="N291">
            <v>0</v>
          </cell>
          <cell r="O291">
            <v>0</v>
          </cell>
          <cell r="P291">
            <v>0</v>
          </cell>
          <cell r="Q291">
            <v>0</v>
          </cell>
          <cell r="R291">
            <v>0</v>
          </cell>
          <cell r="S291">
            <v>200</v>
          </cell>
          <cell r="T291">
            <v>0</v>
          </cell>
          <cell r="U291">
            <v>900</v>
          </cell>
          <cell r="V291">
            <v>0</v>
          </cell>
          <cell r="W291">
            <v>1100</v>
          </cell>
        </row>
        <row r="292">
          <cell r="G292" t="str">
            <v>HGHI.0024</v>
          </cell>
          <cell r="H292" t="str">
            <v>Modernização dos elevadores da casa de força da UHE Xingó</v>
          </cell>
          <cell r="I292" t="str">
            <v>Eletromecânica</v>
          </cell>
          <cell r="J292" t="str">
            <v>UHE Xingó</v>
          </cell>
          <cell r="K292">
            <v>5</v>
          </cell>
          <cell r="L292">
            <v>5</v>
          </cell>
          <cell r="M292">
            <v>5</v>
          </cell>
          <cell r="N292">
            <v>5</v>
          </cell>
          <cell r="O292">
            <v>5</v>
          </cell>
          <cell r="P292">
            <v>5</v>
          </cell>
          <cell r="Q292">
            <v>5</v>
          </cell>
          <cell r="R292">
            <v>0</v>
          </cell>
          <cell r="S292">
            <v>0</v>
          </cell>
          <cell r="T292">
            <v>0</v>
          </cell>
          <cell r="U292">
            <v>0</v>
          </cell>
          <cell r="V292">
            <v>0</v>
          </cell>
          <cell r="W292">
            <v>35</v>
          </cell>
        </row>
        <row r="293">
          <cell r="G293" t="str">
            <v>HGHI.0024</v>
          </cell>
          <cell r="H293" t="str">
            <v>Substituição de retificadores da UHE Xingó</v>
          </cell>
          <cell r="I293" t="str">
            <v>Eletromecânica</v>
          </cell>
          <cell r="J293" t="str">
            <v>UHE Xingó</v>
          </cell>
          <cell r="K293">
            <v>0</v>
          </cell>
          <cell r="L293">
            <v>0</v>
          </cell>
          <cell r="M293">
            <v>0</v>
          </cell>
          <cell r="N293">
            <v>0</v>
          </cell>
          <cell r="O293">
            <v>0</v>
          </cell>
          <cell r="P293">
            <v>5</v>
          </cell>
          <cell r="Q293">
            <v>5</v>
          </cell>
          <cell r="R293">
            <v>5</v>
          </cell>
          <cell r="S293">
            <v>5</v>
          </cell>
          <cell r="T293">
            <v>0</v>
          </cell>
          <cell r="U293">
            <v>0</v>
          </cell>
          <cell r="V293">
            <v>0</v>
          </cell>
          <cell r="W293">
            <v>20</v>
          </cell>
        </row>
        <row r="294">
          <cell r="G294" t="str">
            <v>NGHI.0157</v>
          </cell>
          <cell r="H294" t="str">
            <v>Sistemas de Monitoramento para Transformadores</v>
          </cell>
          <cell r="I294" t="str">
            <v>Liga - AGVA - Sistema de monitoramento</v>
          </cell>
          <cell r="J294" t="str">
            <v>Diversas UHE</v>
          </cell>
          <cell r="K294">
            <v>0</v>
          </cell>
          <cell r="L294">
            <v>0</v>
          </cell>
          <cell r="M294">
            <v>0</v>
          </cell>
          <cell r="N294">
            <v>0</v>
          </cell>
          <cell r="O294">
            <v>0</v>
          </cell>
          <cell r="P294">
            <v>0</v>
          </cell>
          <cell r="Q294">
            <v>0</v>
          </cell>
          <cell r="R294">
            <v>0</v>
          </cell>
          <cell r="S294">
            <v>0</v>
          </cell>
          <cell r="T294">
            <v>0</v>
          </cell>
          <cell r="U294">
            <v>0</v>
          </cell>
          <cell r="V294">
            <v>0</v>
          </cell>
          <cell r="W294">
            <v>0</v>
          </cell>
        </row>
        <row r="295">
          <cell r="G295" t="str">
            <v>NGHI.0141</v>
          </cell>
          <cell r="H295" t="str">
            <v>Unidade de filtração hidraulica do Regulador de velocidade com elemento absoluto e sistema monitoramento</v>
          </cell>
          <cell r="I295" t="str">
            <v>UG01, UG02, UG03, UG04, UG05_ROTROFIT REGULADOR DE VELOCidade _Unidade de filtração hidraulica do Regulador de velocidade com elemento absoluto e sistema monitoramento</v>
          </cell>
          <cell r="J295" t="str">
            <v>UHE Balbina</v>
          </cell>
          <cell r="K295">
            <v>0</v>
          </cell>
          <cell r="L295">
            <v>0</v>
          </cell>
          <cell r="M295">
            <v>0</v>
          </cell>
          <cell r="N295">
            <v>0</v>
          </cell>
          <cell r="O295">
            <v>0</v>
          </cell>
          <cell r="P295">
            <v>0</v>
          </cell>
          <cell r="Q295">
            <v>0</v>
          </cell>
          <cell r="R295">
            <v>0</v>
          </cell>
          <cell r="S295">
            <v>0</v>
          </cell>
          <cell r="T295">
            <v>0</v>
          </cell>
          <cell r="U295">
            <v>0</v>
          </cell>
          <cell r="V295">
            <v>0</v>
          </cell>
          <cell r="W295">
            <v>0</v>
          </cell>
        </row>
        <row r="296">
          <cell r="G296" t="str">
            <v>NGHI.0143</v>
          </cell>
          <cell r="H296" t="str">
            <v>Substituição das capas isolantes dos geradores da casa de força 2 da UHE Tucuruí</v>
          </cell>
          <cell r="I296" t="str">
            <v>Serviço de alteração das capas isolantes dos geradores da casa de força 2</v>
          </cell>
          <cell r="J296" t="str">
            <v>UHE Tucuruí</v>
          </cell>
          <cell r="K296">
            <v>0</v>
          </cell>
          <cell r="L296">
            <v>0</v>
          </cell>
          <cell r="M296">
            <v>0</v>
          </cell>
          <cell r="N296">
            <v>0</v>
          </cell>
          <cell r="O296">
            <v>0</v>
          </cell>
          <cell r="P296">
            <v>0</v>
          </cell>
          <cell r="Q296">
            <v>0</v>
          </cell>
          <cell r="R296">
            <v>0</v>
          </cell>
          <cell r="S296">
            <v>0</v>
          </cell>
          <cell r="T296">
            <v>0</v>
          </cell>
          <cell r="U296">
            <v>0</v>
          </cell>
          <cell r="V296">
            <v>0</v>
          </cell>
          <cell r="W296">
            <v>0</v>
          </cell>
        </row>
        <row r="297">
          <cell r="G297" t="str">
            <v>NGHI.0141</v>
          </cell>
          <cell r="H297" t="str">
            <v>Modernização RVT UHE Balbina</v>
          </cell>
          <cell r="I297" t="str">
            <v>UG01_MODERNIZAÇÃO RV ELETRONICO /RV HIDRAULICO  (TRANSFORMADOR DE EXECITAÇÃO E ARMARIO COM PONTE DE TIRISTORES) incluindo rele de sobre frequencia de saida do Bay)</v>
          </cell>
          <cell r="J297" t="str">
            <v>UHE Balbina</v>
          </cell>
          <cell r="K297">
            <v>0</v>
          </cell>
          <cell r="L297">
            <v>0</v>
          </cell>
          <cell r="M297">
            <v>0</v>
          </cell>
          <cell r="N297">
            <v>0</v>
          </cell>
          <cell r="O297">
            <v>0</v>
          </cell>
          <cell r="P297">
            <v>0</v>
          </cell>
          <cell r="Q297">
            <v>0</v>
          </cell>
          <cell r="R297">
            <v>0</v>
          </cell>
          <cell r="S297">
            <v>0</v>
          </cell>
          <cell r="T297">
            <v>0</v>
          </cell>
          <cell r="U297">
            <v>0</v>
          </cell>
          <cell r="V297">
            <v>0</v>
          </cell>
          <cell r="W297">
            <v>0</v>
          </cell>
        </row>
        <row r="298">
          <cell r="G298" t="str">
            <v>NGHI.0141</v>
          </cell>
          <cell r="H298" t="str">
            <v>SPCS balbina</v>
          </cell>
          <cell r="I298" t="str">
            <v>UG01, UG02, UG04, UG05 e VERTEDOURO_ modernização do SPCS balbina</v>
          </cell>
          <cell r="J298" t="str">
            <v>UHE Balbina</v>
          </cell>
          <cell r="K298">
            <v>0</v>
          </cell>
          <cell r="L298">
            <v>0</v>
          </cell>
          <cell r="M298">
            <v>0</v>
          </cell>
          <cell r="N298">
            <v>0</v>
          </cell>
          <cell r="O298">
            <v>0</v>
          </cell>
          <cell r="P298">
            <v>0</v>
          </cell>
          <cell r="Q298">
            <v>0</v>
          </cell>
          <cell r="R298">
            <v>0</v>
          </cell>
          <cell r="S298">
            <v>0</v>
          </cell>
          <cell r="T298">
            <v>0</v>
          </cell>
          <cell r="U298">
            <v>0</v>
          </cell>
          <cell r="V298">
            <v>0</v>
          </cell>
          <cell r="W298">
            <v>0</v>
          </cell>
        </row>
        <row r="299">
          <cell r="G299" t="str">
            <v>NGHI.0141</v>
          </cell>
          <cell r="H299" t="str">
            <v>MODERNIZAÇÃO DO SISTEMA DE AR DE REGULAÇÃO UHE BALBINA</v>
          </cell>
          <cell r="I299" t="str">
            <v>MODERNIZAÇÃO DO SISTEMA DE AR DE REGULAÇÃO - COMPRESSORES AO-AP-AQ - UHE BALBINA</v>
          </cell>
          <cell r="J299" t="str">
            <v>UHE Balbina</v>
          </cell>
          <cell r="K299">
            <v>0</v>
          </cell>
          <cell r="L299">
            <v>0</v>
          </cell>
          <cell r="M299">
            <v>0</v>
          </cell>
          <cell r="N299">
            <v>0</v>
          </cell>
          <cell r="O299">
            <v>0</v>
          </cell>
          <cell r="P299">
            <v>0</v>
          </cell>
          <cell r="Q299">
            <v>0</v>
          </cell>
          <cell r="R299">
            <v>0</v>
          </cell>
          <cell r="S299">
            <v>0</v>
          </cell>
          <cell r="T299">
            <v>0</v>
          </cell>
          <cell r="U299">
            <v>0</v>
          </cell>
          <cell r="V299">
            <v>0</v>
          </cell>
          <cell r="W299">
            <v>0</v>
          </cell>
        </row>
        <row r="300">
          <cell r="G300" t="str">
            <v>NGHI.0141</v>
          </cell>
          <cell r="H300" t="str">
            <v>MODERNIZAÇÃO DO SISTEMA RESFR. MANCAL COMBINADO UHE BALBINA</v>
          </cell>
          <cell r="I300" t="str">
            <v>MODERNIZAÇÃO DO SISTEMA RESFR. MANCAL COMBINADO - UGH 01,02,03,04,05</v>
          </cell>
          <cell r="J300" t="str">
            <v>UHE Balbina</v>
          </cell>
          <cell r="K300">
            <v>0</v>
          </cell>
          <cell r="L300">
            <v>0</v>
          </cell>
          <cell r="M300">
            <v>0</v>
          </cell>
          <cell r="N300">
            <v>0</v>
          </cell>
          <cell r="O300">
            <v>0</v>
          </cell>
          <cell r="P300">
            <v>0</v>
          </cell>
          <cell r="Q300">
            <v>0</v>
          </cell>
          <cell r="R300">
            <v>0</v>
          </cell>
          <cell r="S300">
            <v>0</v>
          </cell>
          <cell r="T300">
            <v>0</v>
          </cell>
          <cell r="U300">
            <v>0</v>
          </cell>
          <cell r="V300">
            <v>0</v>
          </cell>
          <cell r="W300">
            <v>0</v>
          </cell>
        </row>
        <row r="301">
          <cell r="G301" t="str">
            <v>NGHI.0141</v>
          </cell>
          <cell r="H301" t="str">
            <v>Aquisição de para-raios para a UHE Tucuruí</v>
          </cell>
          <cell r="I301" t="str">
            <v>Substituição de três (3) Para-Raios associados à Unidades Geradoras 1 e 2 referente as Fases A, B e V da linha TUTCLT7-01.</v>
          </cell>
          <cell r="J301" t="str">
            <v>UHE Tucuruí</v>
          </cell>
          <cell r="K301">
            <v>0</v>
          </cell>
          <cell r="L301">
            <v>0</v>
          </cell>
          <cell r="M301">
            <v>0</v>
          </cell>
          <cell r="N301">
            <v>0</v>
          </cell>
          <cell r="O301">
            <v>0</v>
          </cell>
          <cell r="P301">
            <v>0</v>
          </cell>
          <cell r="Q301">
            <v>0</v>
          </cell>
          <cell r="R301">
            <v>0</v>
          </cell>
          <cell r="S301">
            <v>0</v>
          </cell>
          <cell r="T301">
            <v>0</v>
          </cell>
          <cell r="U301">
            <v>0</v>
          </cell>
          <cell r="V301">
            <v>0</v>
          </cell>
          <cell r="W301">
            <v>0</v>
          </cell>
        </row>
        <row r="302">
          <cell r="G302" t="str">
            <v>NGHI.0143</v>
          </cell>
          <cell r="H302" t="str">
            <v>Aquisição de 2 jogos de SotpLogs</v>
          </cell>
          <cell r="I302" t="str">
            <v>Fornecimento de dois jogos de SptoLogs, um para a CF I e outro para a CF 2.</v>
          </cell>
          <cell r="J302" t="str">
            <v>UHE Tucuruí</v>
          </cell>
          <cell r="K302">
            <v>0</v>
          </cell>
          <cell r="L302">
            <v>0</v>
          </cell>
          <cell r="M302">
            <v>0</v>
          </cell>
          <cell r="N302">
            <v>0</v>
          </cell>
          <cell r="O302">
            <v>0</v>
          </cell>
          <cell r="P302">
            <v>0</v>
          </cell>
          <cell r="Q302">
            <v>0</v>
          </cell>
          <cell r="R302">
            <v>0</v>
          </cell>
          <cell r="S302">
            <v>0</v>
          </cell>
          <cell r="T302">
            <v>0</v>
          </cell>
          <cell r="U302">
            <v>0</v>
          </cell>
          <cell r="V302">
            <v>0</v>
          </cell>
          <cell r="W302">
            <v>0</v>
          </cell>
        </row>
        <row r="303">
          <cell r="G303" t="str">
            <v>NGHI.0143</v>
          </cell>
          <cell r="H303" t="str">
            <v>Revitalização do Vertedouro da UHCN</v>
          </cell>
          <cell r="I303" t="str">
            <v>COMPORTA VERTEDOURO VT-01,02,03,04,05,06,07,08, 09,10</v>
          </cell>
          <cell r="J303" t="str">
            <v xml:space="preserve">UHE Coaracy Nunes </v>
          </cell>
          <cell r="K303">
            <v>0</v>
          </cell>
          <cell r="L303">
            <v>0</v>
          </cell>
          <cell r="M303">
            <v>0</v>
          </cell>
          <cell r="N303">
            <v>0</v>
          </cell>
          <cell r="O303">
            <v>0</v>
          </cell>
          <cell r="P303">
            <v>0</v>
          </cell>
          <cell r="Q303">
            <v>0</v>
          </cell>
          <cell r="R303">
            <v>0</v>
          </cell>
          <cell r="S303">
            <v>0</v>
          </cell>
          <cell r="T303">
            <v>0</v>
          </cell>
          <cell r="U303">
            <v>0</v>
          </cell>
          <cell r="V303">
            <v>0</v>
          </cell>
          <cell r="W303">
            <v>0</v>
          </cell>
        </row>
        <row r="304">
          <cell r="G304" t="str">
            <v>NGHI.0141</v>
          </cell>
          <cell r="H304" t="str">
            <v>Aquisição de transformador elevador 13,8/230 kV, 59 MVA para a UHE Samuel</v>
          </cell>
          <cell r="I304"/>
          <cell r="J304" t="str">
            <v>UHE Samuel</v>
          </cell>
          <cell r="K304">
            <v>0</v>
          </cell>
          <cell r="L304">
            <v>0</v>
          </cell>
          <cell r="M304">
            <v>0</v>
          </cell>
          <cell r="N304">
            <v>0</v>
          </cell>
          <cell r="O304">
            <v>0</v>
          </cell>
          <cell r="P304">
            <v>0</v>
          </cell>
          <cell r="Q304">
            <v>0</v>
          </cell>
          <cell r="R304">
            <v>0</v>
          </cell>
          <cell r="S304">
            <v>0</v>
          </cell>
          <cell r="T304">
            <v>0</v>
          </cell>
          <cell r="U304">
            <v>0</v>
          </cell>
          <cell r="V304">
            <v>0</v>
          </cell>
          <cell r="W304">
            <v>0</v>
          </cell>
        </row>
        <row r="305">
          <cell r="G305" t="str">
            <v>NGHI.0141</v>
          </cell>
          <cell r="H305" t="str">
            <v>MODERNIZAÇÃO DO SIST INJEÇÃO DE ÓLEO MANCAL ESCORA UHE BALBINA</v>
          </cell>
          <cell r="I305" t="str">
            <v>MODERNIZAÇÃO DO SIST INJEÇÃO DE ÓLEO MANCAL ESCORA - UGH 01,02,03,04,05</v>
          </cell>
          <cell r="J305" t="str">
            <v>UHE Balbina</v>
          </cell>
          <cell r="K305">
            <v>0</v>
          </cell>
          <cell r="L305">
            <v>0</v>
          </cell>
          <cell r="M305">
            <v>0</v>
          </cell>
          <cell r="N305">
            <v>0</v>
          </cell>
          <cell r="O305">
            <v>0</v>
          </cell>
          <cell r="P305">
            <v>0</v>
          </cell>
          <cell r="Q305">
            <v>0</v>
          </cell>
          <cell r="R305">
            <v>0</v>
          </cell>
          <cell r="S305">
            <v>0</v>
          </cell>
          <cell r="T305">
            <v>0</v>
          </cell>
          <cell r="U305">
            <v>0</v>
          </cell>
          <cell r="V305">
            <v>0</v>
          </cell>
          <cell r="W305">
            <v>0</v>
          </cell>
        </row>
        <row r="306">
          <cell r="G306" t="str">
            <v>NGHI.0141</v>
          </cell>
          <cell r="H306" t="str">
            <v>MODERNIZAÇÃO DO SISTEMA DE AR DE SERVIÇO UHE BALBINA</v>
          </cell>
          <cell r="I306" t="str">
            <v>MODERNIZAÇÃO DO SISTEMA DE AR DE SERVIÇO - COMPRESSORES 03 E 04 - UHE BALBINA</v>
          </cell>
          <cell r="J306" t="str">
            <v>UHE Balbina</v>
          </cell>
          <cell r="K306">
            <v>0</v>
          </cell>
          <cell r="L306">
            <v>0</v>
          </cell>
          <cell r="M306">
            <v>0</v>
          </cell>
          <cell r="N306">
            <v>0</v>
          </cell>
          <cell r="O306">
            <v>0</v>
          </cell>
          <cell r="P306">
            <v>0</v>
          </cell>
          <cell r="Q306">
            <v>0</v>
          </cell>
          <cell r="R306">
            <v>0</v>
          </cell>
          <cell r="S306">
            <v>0</v>
          </cell>
          <cell r="T306">
            <v>0</v>
          </cell>
          <cell r="U306">
            <v>0</v>
          </cell>
          <cell r="V306">
            <v>0</v>
          </cell>
          <cell r="W306">
            <v>0</v>
          </cell>
        </row>
        <row r="307">
          <cell r="G307" t="str">
            <v>NGHI.0141</v>
          </cell>
          <cell r="H307" t="str">
            <v>MODERNIZACAO DO SISTEMA DRENAGEM TAMPA DA TURBINA UHE BALBINA</v>
          </cell>
          <cell r="I307" t="str">
            <v>MODERNIZACAO DO SISTEMA DRENAGEM TAMPA DA TURBINA - UGH 01, 02,03,04,05</v>
          </cell>
          <cell r="J307" t="str">
            <v>UHE Balbina</v>
          </cell>
          <cell r="K307">
            <v>0</v>
          </cell>
          <cell r="L307">
            <v>0</v>
          </cell>
          <cell r="M307">
            <v>0</v>
          </cell>
          <cell r="N307">
            <v>0</v>
          </cell>
          <cell r="O307">
            <v>0</v>
          </cell>
          <cell r="P307">
            <v>0</v>
          </cell>
          <cell r="Q307">
            <v>0</v>
          </cell>
          <cell r="R307">
            <v>0</v>
          </cell>
          <cell r="S307">
            <v>0</v>
          </cell>
          <cell r="T307">
            <v>0</v>
          </cell>
          <cell r="U307">
            <v>0</v>
          </cell>
          <cell r="V307">
            <v>0</v>
          </cell>
          <cell r="W307">
            <v>0</v>
          </cell>
        </row>
        <row r="308">
          <cell r="G308" t="str">
            <v>NGHI.0141</v>
          </cell>
          <cell r="H308" t="str">
            <v>Modernização de 01 transformador monofásico 13,8kV (trafo limitador) CF2 da UHE Tucuruí</v>
          </cell>
          <cell r="I308" t="str">
            <v xml:space="preserve">13,8kV (trafo limitador) CF2 da UHE Tucuruí 13,8kV (trafo limitador) CF2 da UHE Tucuruí/ Transformador regulador CF1 para alimentação do serviço auxiliar </v>
          </cell>
          <cell r="J308" t="str">
            <v>UHE Tucuruí</v>
          </cell>
          <cell r="K308">
            <v>0</v>
          </cell>
          <cell r="L308">
            <v>0</v>
          </cell>
          <cell r="M308">
            <v>0</v>
          </cell>
          <cell r="N308">
            <v>0</v>
          </cell>
          <cell r="O308">
            <v>0</v>
          </cell>
          <cell r="P308">
            <v>0</v>
          </cell>
          <cell r="Q308">
            <v>0</v>
          </cell>
          <cell r="R308">
            <v>0</v>
          </cell>
          <cell r="S308">
            <v>0</v>
          </cell>
          <cell r="T308">
            <v>0</v>
          </cell>
          <cell r="U308">
            <v>0</v>
          </cell>
          <cell r="V308">
            <v>0</v>
          </cell>
          <cell r="W308">
            <v>0</v>
          </cell>
        </row>
        <row r="309">
          <cell r="G309" t="str">
            <v>NGHI.0143</v>
          </cell>
          <cell r="H309" t="str">
            <v>Aquisição de peças sobressalentes do mecanismo distribuidor das UGHs da CF2</v>
          </cell>
          <cell r="I309" t="str">
            <v>Necessidade de peças sobressalentes para uso na manutenção do distribuidor.</v>
          </cell>
          <cell r="J309" t="str">
            <v>UHE Tucuruí</v>
          </cell>
          <cell r="K309">
            <v>0</v>
          </cell>
          <cell r="L309">
            <v>0</v>
          </cell>
          <cell r="M309">
            <v>0</v>
          </cell>
          <cell r="N309">
            <v>0</v>
          </cell>
          <cell r="O309">
            <v>0</v>
          </cell>
          <cell r="P309">
            <v>0</v>
          </cell>
          <cell r="Q309">
            <v>0</v>
          </cell>
          <cell r="R309">
            <v>0</v>
          </cell>
          <cell r="S309">
            <v>0</v>
          </cell>
          <cell r="T309">
            <v>0</v>
          </cell>
          <cell r="U309">
            <v>0</v>
          </cell>
          <cell r="V309">
            <v>0</v>
          </cell>
          <cell r="W309">
            <v>0</v>
          </cell>
        </row>
        <row r="310">
          <cell r="G310" t="str">
            <v>NGHI.0075</v>
          </cell>
          <cell r="H310" t="str">
            <v>Aquisição de Sistema de Incendio  UHE Tucuruí - CF  I e CF II</v>
          </cell>
          <cell r="I310" t="str">
            <v>Sistema de proteção contra incêndio da UHE Tucuruí - Casa de Força I e II</v>
          </cell>
          <cell r="J310" t="str">
            <v>UHE Tucuruí</v>
          </cell>
          <cell r="K310">
            <v>0</v>
          </cell>
          <cell r="L310">
            <v>0</v>
          </cell>
          <cell r="M310">
            <v>0</v>
          </cell>
          <cell r="N310">
            <v>0</v>
          </cell>
          <cell r="O310">
            <v>0</v>
          </cell>
          <cell r="P310">
            <v>0</v>
          </cell>
          <cell r="Q310">
            <v>0</v>
          </cell>
          <cell r="R310">
            <v>0</v>
          </cell>
          <cell r="S310">
            <v>0</v>
          </cell>
          <cell r="T310">
            <v>0</v>
          </cell>
          <cell r="U310">
            <v>0</v>
          </cell>
          <cell r="V310">
            <v>0</v>
          </cell>
          <cell r="W310">
            <v>0</v>
          </cell>
        </row>
        <row r="311">
          <cell r="G311" t="str">
            <v>NGHI.0141</v>
          </cell>
          <cell r="H311" t="str">
            <v>MODERNIZAÇÃO DO SISTEMA RESFR. MANCAL GERADOR UHE BALBINA</v>
          </cell>
          <cell r="I311" t="str">
            <v>MODERNIZAÇÃO DO SISTEMA RESFR. MANCAL GERADOR - UGH 01,02, 03, 04,05</v>
          </cell>
          <cell r="J311" t="str">
            <v>UHE Balbina</v>
          </cell>
          <cell r="K311">
            <v>0</v>
          </cell>
          <cell r="L311">
            <v>0</v>
          </cell>
          <cell r="M311">
            <v>0</v>
          </cell>
          <cell r="N311">
            <v>0</v>
          </cell>
          <cell r="O311">
            <v>0</v>
          </cell>
          <cell r="P311">
            <v>0</v>
          </cell>
          <cell r="Q311">
            <v>0</v>
          </cell>
          <cell r="R311">
            <v>0</v>
          </cell>
          <cell r="S311">
            <v>0</v>
          </cell>
          <cell r="T311">
            <v>0</v>
          </cell>
          <cell r="U311">
            <v>0</v>
          </cell>
          <cell r="V311">
            <v>0</v>
          </cell>
          <cell r="W311">
            <v>0</v>
          </cell>
        </row>
        <row r="312">
          <cell r="G312" t="str">
            <v>NGHI.0141</v>
          </cell>
          <cell r="H312" t="str">
            <v>Aquisição de DCP para UHE Tucuruí</v>
          </cell>
          <cell r="I312" t="str">
            <v>Aquisição de equipamentos de proteção e limitadores  de valores dos surtos de tensão transitórios</v>
          </cell>
          <cell r="J312" t="str">
            <v>UHE Tucuruí</v>
          </cell>
          <cell r="K312">
            <v>0</v>
          </cell>
          <cell r="L312">
            <v>0</v>
          </cell>
          <cell r="M312">
            <v>0</v>
          </cell>
          <cell r="N312">
            <v>0</v>
          </cell>
          <cell r="O312">
            <v>0</v>
          </cell>
          <cell r="P312">
            <v>0</v>
          </cell>
          <cell r="Q312">
            <v>0</v>
          </cell>
          <cell r="R312">
            <v>0</v>
          </cell>
          <cell r="S312">
            <v>0</v>
          </cell>
          <cell r="T312">
            <v>0</v>
          </cell>
          <cell r="U312">
            <v>0</v>
          </cell>
          <cell r="V312">
            <v>0</v>
          </cell>
          <cell r="W312">
            <v>0</v>
          </cell>
        </row>
        <row r="313">
          <cell r="G313" t="str">
            <v>NGHI.0141</v>
          </cell>
          <cell r="H313" t="str">
            <v>Modernização Sistema de Proteção CNUGH-01 / CNUGH-02</v>
          </cell>
          <cell r="I313" t="str">
            <v>Modernização Sistema de Proteção - CNUGH-01/ CNUGH-02</v>
          </cell>
          <cell r="J313" t="str">
            <v xml:space="preserve">UHE Coaracy Nunes </v>
          </cell>
          <cell r="K313">
            <v>0</v>
          </cell>
          <cell r="L313">
            <v>0</v>
          </cell>
          <cell r="M313">
            <v>0</v>
          </cell>
          <cell r="N313">
            <v>0</v>
          </cell>
          <cell r="O313">
            <v>0</v>
          </cell>
          <cell r="P313">
            <v>0</v>
          </cell>
          <cell r="Q313">
            <v>0</v>
          </cell>
          <cell r="R313">
            <v>0</v>
          </cell>
          <cell r="S313">
            <v>0</v>
          </cell>
          <cell r="T313">
            <v>0</v>
          </cell>
          <cell r="U313">
            <v>0</v>
          </cell>
          <cell r="V313">
            <v>0</v>
          </cell>
          <cell r="W313">
            <v>0</v>
          </cell>
        </row>
        <row r="314">
          <cell r="G314" t="str">
            <v>NGHI.0141</v>
          </cell>
          <cell r="H314" t="str">
            <v>Instalar comando e controle sistema de drenagem e esgotamento da UHE Balbina</v>
          </cell>
          <cell r="I314" t="str">
            <v>Instalar comando e controle sistema de drenagem e esgotamento - MOTOBOMBA DE DRENAGEM BDR-001,002,003,004</v>
          </cell>
          <cell r="J314" t="str">
            <v>UHE Balbina</v>
          </cell>
          <cell r="K314">
            <v>0</v>
          </cell>
          <cell r="L314">
            <v>0</v>
          </cell>
          <cell r="M314">
            <v>0</v>
          </cell>
          <cell r="N314">
            <v>0</v>
          </cell>
          <cell r="O314">
            <v>0</v>
          </cell>
          <cell r="P314">
            <v>0</v>
          </cell>
          <cell r="Q314">
            <v>0</v>
          </cell>
          <cell r="R314">
            <v>0</v>
          </cell>
          <cell r="S314">
            <v>0</v>
          </cell>
          <cell r="T314">
            <v>0</v>
          </cell>
          <cell r="U314">
            <v>0</v>
          </cell>
          <cell r="V314">
            <v>0</v>
          </cell>
          <cell r="W314">
            <v>0</v>
          </cell>
        </row>
        <row r="315">
          <cell r="G315" t="str">
            <v>NGHI.0141</v>
          </cell>
          <cell r="H315" t="str">
            <v>Modernização Ponte rolante da UHCN</v>
          </cell>
          <cell r="I315" t="str">
            <v>Modernização_ Ponte rolante CF</v>
          </cell>
          <cell r="J315" t="str">
            <v xml:space="preserve">UHE Coaracy Nunes </v>
          </cell>
          <cell r="K315">
            <v>0</v>
          </cell>
          <cell r="L315">
            <v>0</v>
          </cell>
          <cell r="M315">
            <v>0</v>
          </cell>
          <cell r="N315">
            <v>0</v>
          </cell>
          <cell r="O315">
            <v>0</v>
          </cell>
          <cell r="P315">
            <v>0</v>
          </cell>
          <cell r="Q315">
            <v>0</v>
          </cell>
          <cell r="R315">
            <v>0</v>
          </cell>
          <cell r="S315">
            <v>0</v>
          </cell>
          <cell r="T315">
            <v>0</v>
          </cell>
          <cell r="U315">
            <v>0</v>
          </cell>
          <cell r="V315">
            <v>0</v>
          </cell>
          <cell r="W315">
            <v>0</v>
          </cell>
        </row>
        <row r="316">
          <cell r="G316" t="str">
            <v>NGHI.0141</v>
          </cell>
          <cell r="H316" t="str">
            <v>Modernização do sistema de resfriamento em circuito fechado dos equipamentos da UHE Tucuruí</v>
          </cell>
          <cell r="I316" t="str">
            <v>Instalação de sistema de resfriamento em cirtuito fechado para o transformador, Regulador de tensão e Velocidade.</v>
          </cell>
          <cell r="J316" t="str">
            <v>UHE Tucuruí</v>
          </cell>
          <cell r="K316">
            <v>0</v>
          </cell>
          <cell r="L316">
            <v>0</v>
          </cell>
          <cell r="M316">
            <v>0</v>
          </cell>
          <cell r="N316">
            <v>0</v>
          </cell>
          <cell r="O316">
            <v>0</v>
          </cell>
          <cell r="P316">
            <v>0</v>
          </cell>
          <cell r="Q316">
            <v>0</v>
          </cell>
          <cell r="R316">
            <v>0</v>
          </cell>
          <cell r="S316">
            <v>0</v>
          </cell>
          <cell r="T316">
            <v>0</v>
          </cell>
          <cell r="U316">
            <v>0</v>
          </cell>
          <cell r="V316">
            <v>0</v>
          </cell>
          <cell r="W316">
            <v>0</v>
          </cell>
        </row>
        <row r="317">
          <cell r="G317" t="str">
            <v>NGHI.0141</v>
          </cell>
          <cell r="H317" t="str">
            <v>Modernização das turbinas hidráulicas da UHE Curuá-Una UGH01.02 e 03</v>
          </cell>
          <cell r="I317" t="str">
            <v>Substituição de Turbinas para ganho de potencia na Geração</v>
          </cell>
          <cell r="J317" t="str">
            <v>UHE Curuá Una</v>
          </cell>
          <cell r="K317">
            <v>0</v>
          </cell>
          <cell r="L317">
            <v>0</v>
          </cell>
          <cell r="M317">
            <v>0</v>
          </cell>
          <cell r="N317">
            <v>0</v>
          </cell>
          <cell r="O317">
            <v>0</v>
          </cell>
          <cell r="P317">
            <v>0</v>
          </cell>
          <cell r="Q317">
            <v>0</v>
          </cell>
          <cell r="R317">
            <v>0</v>
          </cell>
          <cell r="S317">
            <v>0</v>
          </cell>
          <cell r="T317">
            <v>0</v>
          </cell>
          <cell r="U317">
            <v>0</v>
          </cell>
          <cell r="V317">
            <v>0</v>
          </cell>
          <cell r="W317">
            <v>0</v>
          </cell>
        </row>
        <row r="318">
          <cell r="G318" t="str">
            <v>NGHI.0141</v>
          </cell>
          <cell r="H318" t="str">
            <v>Implatação de rede aérea de alimentação na UHE Balbina</v>
          </cell>
          <cell r="I318" t="str">
            <v>Implantação do circuito de alimentação de energia da Sala de Contigência da UHE Balbina</v>
          </cell>
          <cell r="J318" t="str">
            <v>UHE Balbina</v>
          </cell>
          <cell r="K318">
            <v>0</v>
          </cell>
          <cell r="L318">
            <v>0</v>
          </cell>
          <cell r="M318">
            <v>0</v>
          </cell>
          <cell r="N318">
            <v>0</v>
          </cell>
          <cell r="O318">
            <v>0</v>
          </cell>
          <cell r="P318">
            <v>0</v>
          </cell>
          <cell r="Q318">
            <v>0</v>
          </cell>
          <cell r="R318">
            <v>0</v>
          </cell>
          <cell r="S318">
            <v>0</v>
          </cell>
          <cell r="T318">
            <v>0</v>
          </cell>
          <cell r="U318">
            <v>0</v>
          </cell>
          <cell r="V318">
            <v>0</v>
          </cell>
          <cell r="W318">
            <v>0</v>
          </cell>
        </row>
        <row r="319">
          <cell r="G319" t="str">
            <v>NGHI.0141</v>
          </cell>
          <cell r="H319" t="str">
            <v>Modernização Comportas Tomada D'agua UHE BALBINA</v>
          </cell>
          <cell r="I319" t="str">
            <v>Modernização Comportas Tomada D'agua UHE BALBINA - UHG 01,02,03,04,05</v>
          </cell>
          <cell r="J319" t="str">
            <v>UHE Balbina</v>
          </cell>
          <cell r="K319">
            <v>0</v>
          </cell>
          <cell r="L319">
            <v>0</v>
          </cell>
          <cell r="M319">
            <v>0</v>
          </cell>
          <cell r="N319">
            <v>0</v>
          </cell>
          <cell r="O319">
            <v>0</v>
          </cell>
          <cell r="P319">
            <v>0</v>
          </cell>
          <cell r="Q319">
            <v>0</v>
          </cell>
          <cell r="R319">
            <v>0</v>
          </cell>
          <cell r="S319">
            <v>0</v>
          </cell>
          <cell r="T319">
            <v>0</v>
          </cell>
          <cell r="U319">
            <v>0</v>
          </cell>
          <cell r="V319">
            <v>0</v>
          </cell>
          <cell r="W319">
            <v>0</v>
          </cell>
        </row>
        <row r="320">
          <cell r="G320" t="str">
            <v>NGHI.0141</v>
          </cell>
          <cell r="H320" t="str">
            <v xml:space="preserve">Modernização do serviço auxiliar da usina, com substituição de cubículos e gavetas do circuito CA </v>
          </cell>
          <cell r="I320" t="str">
            <v>Modernização de cubiculos CA e CC</v>
          </cell>
          <cell r="J320" t="str">
            <v>UHE Curuá Una</v>
          </cell>
          <cell r="K320">
            <v>0</v>
          </cell>
          <cell r="L320">
            <v>0</v>
          </cell>
          <cell r="M320">
            <v>0</v>
          </cell>
          <cell r="N320">
            <v>0</v>
          </cell>
          <cell r="O320">
            <v>0</v>
          </cell>
          <cell r="P320">
            <v>0</v>
          </cell>
          <cell r="Q320">
            <v>0</v>
          </cell>
          <cell r="R320">
            <v>0</v>
          </cell>
          <cell r="S320">
            <v>0</v>
          </cell>
          <cell r="T320">
            <v>0</v>
          </cell>
          <cell r="U320">
            <v>0</v>
          </cell>
          <cell r="V320">
            <v>0</v>
          </cell>
          <cell r="W320">
            <v>0</v>
          </cell>
        </row>
        <row r="321">
          <cell r="G321" t="str">
            <v>NGHI.0141</v>
          </cell>
          <cell r="H321" t="str">
            <v>Modernização Comportas Vertedouro UHE BALBINA</v>
          </cell>
          <cell r="I321" t="str">
            <v>Modernização Comportas Vertedouro 01 , 02, 03, 04 UHE BALBINA</v>
          </cell>
          <cell r="J321" t="str">
            <v>UHE Balbina</v>
          </cell>
          <cell r="K321">
            <v>0</v>
          </cell>
          <cell r="L321">
            <v>0</v>
          </cell>
          <cell r="M321">
            <v>0</v>
          </cell>
          <cell r="N321">
            <v>0</v>
          </cell>
          <cell r="O321">
            <v>0</v>
          </cell>
          <cell r="P321">
            <v>0</v>
          </cell>
          <cell r="Q321">
            <v>0</v>
          </cell>
          <cell r="R321">
            <v>0</v>
          </cell>
          <cell r="S321">
            <v>0</v>
          </cell>
          <cell r="T321">
            <v>0</v>
          </cell>
          <cell r="U321">
            <v>0</v>
          </cell>
          <cell r="V321">
            <v>0</v>
          </cell>
          <cell r="W321">
            <v>0</v>
          </cell>
        </row>
        <row r="322">
          <cell r="G322" t="str">
            <v>NGHI.0141</v>
          </cell>
          <cell r="H322" t="str">
            <v>Modernização do Serviço Auxiliar 125 VCC UHE Balbina</v>
          </cell>
          <cell r="I322" t="str">
            <v>SISTEMA DE ALIMENTAÇÃO 13,8 KV  DISJUNTOR BADJ2-11 / UG01_MODERNIZAÇÃO BACCI-U1/ UG02_MODERNIZAÇÃO BACCI-U2/ UG03_MODERNIZAÇÃO BACCI-U3/ UG04_MODERNIZAÇÃO BACCI-U4/UG05_MODERNIZAÇÃO BACCI-U5</v>
          </cell>
          <cell r="J322" t="str">
            <v>UHE Balbina</v>
          </cell>
          <cell r="K322">
            <v>0</v>
          </cell>
          <cell r="L322">
            <v>0</v>
          </cell>
          <cell r="M322">
            <v>0</v>
          </cell>
          <cell r="N322">
            <v>0</v>
          </cell>
          <cell r="O322">
            <v>0</v>
          </cell>
          <cell r="P322">
            <v>0</v>
          </cell>
          <cell r="Q322">
            <v>0</v>
          </cell>
          <cell r="R322">
            <v>0</v>
          </cell>
          <cell r="S322">
            <v>0</v>
          </cell>
          <cell r="T322">
            <v>0</v>
          </cell>
          <cell r="U322">
            <v>0</v>
          </cell>
          <cell r="V322">
            <v>0</v>
          </cell>
          <cell r="W322">
            <v>0</v>
          </cell>
        </row>
        <row r="323">
          <cell r="G323" t="str">
            <v>NGHI.0143</v>
          </cell>
          <cell r="H323" t="str">
            <v>Instalação de câmeras interna e externa a casa de força</v>
          </cell>
          <cell r="I323" t="str">
            <v xml:space="preserve">Implantação de monitoramento on-line </v>
          </cell>
          <cell r="J323" t="str">
            <v>UHE Curuá Una</v>
          </cell>
          <cell r="K323">
            <v>0</v>
          </cell>
          <cell r="L323">
            <v>0</v>
          </cell>
          <cell r="M323">
            <v>0</v>
          </cell>
          <cell r="N323">
            <v>0</v>
          </cell>
          <cell r="O323">
            <v>0</v>
          </cell>
          <cell r="P323">
            <v>0</v>
          </cell>
          <cell r="Q323">
            <v>0</v>
          </cell>
          <cell r="R323">
            <v>0</v>
          </cell>
          <cell r="S323">
            <v>0</v>
          </cell>
          <cell r="T323">
            <v>0</v>
          </cell>
          <cell r="U323">
            <v>0</v>
          </cell>
          <cell r="V323">
            <v>0</v>
          </cell>
          <cell r="W323">
            <v>0</v>
          </cell>
        </row>
        <row r="324">
          <cell r="G324" t="str">
            <v>NGHI.0141</v>
          </cell>
          <cell r="H324" t="str">
            <v>Modernização do Serviço Auxiliar 13,8 KVCA UHE Balbina</v>
          </cell>
          <cell r="I324" t="str">
            <v xml:space="preserve">AUXTA_MODERNIZAÇÃO CGCTA, SISTEMA DE ALIMENTAÇÃO - BARRA 1-2 DISJUNTOR 2-01/0-02/2-03 DIJUNTOR DE BARRAS </v>
          </cell>
          <cell r="J324" t="str">
            <v>UHE Balbina</v>
          </cell>
          <cell r="K324">
            <v>0</v>
          </cell>
          <cell r="L324">
            <v>0</v>
          </cell>
          <cell r="M324">
            <v>0</v>
          </cell>
          <cell r="N324">
            <v>0</v>
          </cell>
          <cell r="O324">
            <v>0</v>
          </cell>
          <cell r="P324">
            <v>0</v>
          </cell>
          <cell r="Q324">
            <v>0</v>
          </cell>
          <cell r="R324">
            <v>0</v>
          </cell>
          <cell r="S324">
            <v>0</v>
          </cell>
          <cell r="T324">
            <v>0</v>
          </cell>
          <cell r="U324">
            <v>0</v>
          </cell>
          <cell r="V324">
            <v>0</v>
          </cell>
          <cell r="W324">
            <v>0</v>
          </cell>
        </row>
        <row r="325">
          <cell r="G325" t="str">
            <v>NGHI.0141</v>
          </cell>
          <cell r="H325" t="str">
            <v>Modernização dos Centros de Carga Miscelânea 380 VCA UHE Balbina</v>
          </cell>
          <cell r="I325" t="str">
            <v>UG01_MODERNIZAÇÃO CGCU1,2,3,4,5, CGCA1,2,CCE001,002, CCG EMERCENCIA, CGCV</v>
          </cell>
          <cell r="J325" t="str">
            <v>UHE Balbina</v>
          </cell>
          <cell r="K325">
            <v>0</v>
          </cell>
          <cell r="L325">
            <v>0</v>
          </cell>
          <cell r="M325">
            <v>0</v>
          </cell>
          <cell r="N325">
            <v>0</v>
          </cell>
          <cell r="O325">
            <v>0</v>
          </cell>
          <cell r="P325">
            <v>0</v>
          </cell>
          <cell r="Q325">
            <v>0</v>
          </cell>
          <cell r="R325">
            <v>0</v>
          </cell>
          <cell r="S325">
            <v>0</v>
          </cell>
          <cell r="T325">
            <v>0</v>
          </cell>
          <cell r="U325">
            <v>0</v>
          </cell>
          <cell r="V325">
            <v>0</v>
          </cell>
          <cell r="W325">
            <v>0</v>
          </cell>
        </row>
        <row r="326">
          <cell r="G326" t="str">
            <v>NGHI.0141</v>
          </cell>
          <cell r="H326" t="str">
            <v>Modernização Ponte Rolante UHE BALBINA</v>
          </cell>
          <cell r="I326" t="str">
            <v>Modernização Ponte Rolante 02 UHE BALBINA</v>
          </cell>
          <cell r="J326" t="str">
            <v>UHE Balbina</v>
          </cell>
          <cell r="K326">
            <v>0</v>
          </cell>
          <cell r="L326">
            <v>0</v>
          </cell>
          <cell r="M326">
            <v>0</v>
          </cell>
          <cell r="N326">
            <v>0</v>
          </cell>
          <cell r="O326">
            <v>0</v>
          </cell>
          <cell r="P326">
            <v>0</v>
          </cell>
          <cell r="Q326">
            <v>0</v>
          </cell>
          <cell r="R326">
            <v>0</v>
          </cell>
          <cell r="S326">
            <v>0</v>
          </cell>
          <cell r="T326">
            <v>0</v>
          </cell>
          <cell r="U326">
            <v>0</v>
          </cell>
          <cell r="V326">
            <v>0</v>
          </cell>
          <cell r="W326">
            <v>0</v>
          </cell>
        </row>
        <row r="327">
          <cell r="G327" t="str">
            <v>NGHI.0143</v>
          </cell>
          <cell r="H327" t="str">
            <v>Substituição de cadeias de isoladores da linha CUTA</v>
          </cell>
          <cell r="I327" t="str">
            <v>Modernização de isoladores e para-raios da Linha CUTALI5-01</v>
          </cell>
          <cell r="J327" t="str">
            <v>UHE Curuá Una</v>
          </cell>
          <cell r="K327">
            <v>0</v>
          </cell>
          <cell r="L327">
            <v>0</v>
          </cell>
          <cell r="M327">
            <v>0</v>
          </cell>
          <cell r="N327">
            <v>0</v>
          </cell>
          <cell r="O327">
            <v>0</v>
          </cell>
          <cell r="P327">
            <v>0</v>
          </cell>
          <cell r="Q327">
            <v>0</v>
          </cell>
          <cell r="R327">
            <v>0</v>
          </cell>
          <cell r="S327">
            <v>0</v>
          </cell>
          <cell r="T327">
            <v>0</v>
          </cell>
          <cell r="U327">
            <v>0</v>
          </cell>
          <cell r="V327">
            <v>0</v>
          </cell>
          <cell r="W327">
            <v>0</v>
          </cell>
        </row>
        <row r="328">
          <cell r="G328" t="str">
            <v>NGHI.0141</v>
          </cell>
          <cell r="H328" t="str">
            <v>Modernização do Painel de comando dos GDE's</v>
          </cell>
          <cell r="I328" t="str">
            <v>Modernização Painel GDE</v>
          </cell>
          <cell r="J328" t="str">
            <v xml:space="preserve">UHE Coaracy Nunes </v>
          </cell>
          <cell r="K328">
            <v>0</v>
          </cell>
          <cell r="L328">
            <v>0</v>
          </cell>
          <cell r="M328">
            <v>0</v>
          </cell>
          <cell r="N328">
            <v>0</v>
          </cell>
          <cell r="O328">
            <v>0</v>
          </cell>
          <cell r="P328">
            <v>0</v>
          </cell>
          <cell r="Q328">
            <v>0</v>
          </cell>
          <cell r="R328">
            <v>0</v>
          </cell>
          <cell r="S328">
            <v>0</v>
          </cell>
          <cell r="T328">
            <v>0</v>
          </cell>
          <cell r="U328">
            <v>0</v>
          </cell>
          <cell r="V328">
            <v>0</v>
          </cell>
          <cell r="W328">
            <v>0</v>
          </cell>
        </row>
        <row r="329">
          <cell r="G329" t="str">
            <v>NGHI.0141</v>
          </cell>
          <cell r="H329" t="str">
            <v>Modernização Pórtico UHE BALBINA</v>
          </cell>
          <cell r="I329" t="str">
            <v>Modernização Pórtico Montante, Jusante 01 e 02 UHE BALBINA</v>
          </cell>
          <cell r="J329" t="str">
            <v>UHE Balbina</v>
          </cell>
          <cell r="K329">
            <v>0</v>
          </cell>
          <cell r="L329">
            <v>0</v>
          </cell>
          <cell r="M329">
            <v>0</v>
          </cell>
          <cell r="N329">
            <v>0</v>
          </cell>
          <cell r="O329">
            <v>0</v>
          </cell>
          <cell r="P329">
            <v>0</v>
          </cell>
          <cell r="Q329">
            <v>0</v>
          </cell>
          <cell r="R329">
            <v>0</v>
          </cell>
          <cell r="S329">
            <v>0</v>
          </cell>
          <cell r="T329">
            <v>0</v>
          </cell>
          <cell r="U329">
            <v>0</v>
          </cell>
          <cell r="V329">
            <v>0</v>
          </cell>
          <cell r="W329">
            <v>0</v>
          </cell>
        </row>
        <row r="330">
          <cell r="G330" t="str">
            <v>NGHI.0141</v>
          </cell>
          <cell r="H330" t="str">
            <v>MODERNIZACAO SISTEMA DE CLORO BARRILHA UHE BALBINA</v>
          </cell>
          <cell r="I330" t="str">
            <v>MODERNIZACAO SISTEMA DE CLORO BARRILHA A UHE BALBINA</v>
          </cell>
          <cell r="J330" t="str">
            <v>UHE Balbina</v>
          </cell>
          <cell r="K330">
            <v>0</v>
          </cell>
          <cell r="L330">
            <v>0</v>
          </cell>
          <cell r="M330">
            <v>0</v>
          </cell>
          <cell r="N330">
            <v>0</v>
          </cell>
          <cell r="O330">
            <v>0</v>
          </cell>
          <cell r="P330">
            <v>0</v>
          </cell>
          <cell r="Q330">
            <v>0</v>
          </cell>
          <cell r="R330">
            <v>0</v>
          </cell>
          <cell r="S330">
            <v>0</v>
          </cell>
          <cell r="T330">
            <v>0</v>
          </cell>
          <cell r="U330">
            <v>0</v>
          </cell>
          <cell r="V330">
            <v>0</v>
          </cell>
          <cell r="W330">
            <v>0</v>
          </cell>
        </row>
        <row r="331">
          <cell r="G331" t="str">
            <v>NGHI.0143</v>
          </cell>
          <cell r="H331" t="str">
            <v>Modernização do sistema de iluminação da UHE Tucuruí</v>
          </cell>
          <cell r="I331" t="str">
            <v>Modernização do sistema de iluminação da UHE Tucuruí</v>
          </cell>
          <cell r="J331" t="str">
            <v>UHE Tucuruí</v>
          </cell>
          <cell r="K331">
            <v>0</v>
          </cell>
          <cell r="L331">
            <v>0</v>
          </cell>
          <cell r="M331">
            <v>0</v>
          </cell>
          <cell r="N331">
            <v>0</v>
          </cell>
          <cell r="O331">
            <v>0</v>
          </cell>
          <cell r="P331">
            <v>0</v>
          </cell>
          <cell r="Q331">
            <v>0</v>
          </cell>
          <cell r="R331">
            <v>0</v>
          </cell>
          <cell r="S331">
            <v>0</v>
          </cell>
          <cell r="T331">
            <v>0</v>
          </cell>
          <cell r="U331">
            <v>0</v>
          </cell>
          <cell r="V331">
            <v>0</v>
          </cell>
          <cell r="W331">
            <v>0</v>
          </cell>
        </row>
        <row r="332">
          <cell r="G332" t="str">
            <v>NGHI.0141</v>
          </cell>
          <cell r="H332" t="str">
            <v>Aquisição e instalação de tubulação de Sistema de de drenagem de poços - CF I</v>
          </cell>
          <cell r="I332" t="str">
            <v>Sistema de tubulação para interligação de tubos para drenagem da agua os poços 11/12</v>
          </cell>
          <cell r="J332" t="str">
            <v>UHE Tucuruí</v>
          </cell>
          <cell r="K332">
            <v>0</v>
          </cell>
          <cell r="L332">
            <v>0</v>
          </cell>
          <cell r="M332">
            <v>0</v>
          </cell>
          <cell r="N332">
            <v>0</v>
          </cell>
          <cell r="O332">
            <v>0</v>
          </cell>
          <cell r="P332">
            <v>0</v>
          </cell>
          <cell r="Q332">
            <v>0</v>
          </cell>
          <cell r="R332">
            <v>0</v>
          </cell>
          <cell r="S332">
            <v>0</v>
          </cell>
          <cell r="T332">
            <v>0</v>
          </cell>
          <cell r="U332">
            <v>0</v>
          </cell>
          <cell r="V332">
            <v>0</v>
          </cell>
          <cell r="W332">
            <v>0</v>
          </cell>
        </row>
        <row r="333">
          <cell r="G333" t="str">
            <v>NGHI.0141</v>
          </cell>
          <cell r="H333" t="str">
            <v>Atualização dos Servidores do SPCS</v>
          </cell>
          <cell r="I333" t="str">
            <v>Atualização dos Servidores do SPCS</v>
          </cell>
          <cell r="J333" t="str">
            <v>UHE Balbina</v>
          </cell>
          <cell r="K333">
            <v>0</v>
          </cell>
          <cell r="L333">
            <v>0</v>
          </cell>
          <cell r="M333">
            <v>0</v>
          </cell>
          <cell r="N333">
            <v>0</v>
          </cell>
          <cell r="O333">
            <v>0</v>
          </cell>
          <cell r="P333">
            <v>0</v>
          </cell>
          <cell r="Q333">
            <v>0</v>
          </cell>
          <cell r="R333">
            <v>0</v>
          </cell>
          <cell r="S333">
            <v>0</v>
          </cell>
          <cell r="T333">
            <v>0</v>
          </cell>
          <cell r="U333">
            <v>0</v>
          </cell>
          <cell r="V333">
            <v>0</v>
          </cell>
          <cell r="W333">
            <v>0</v>
          </cell>
        </row>
        <row r="334">
          <cell r="G334" t="str">
            <v>NGHI.0141</v>
          </cell>
          <cell r="H334" t="str">
            <v>MODERNIZAÇÃO DOS ANÉIS COLETORES COM INSTALAÇÃO DE SISTEMA DE LIMPEZA AUTOMÁTICA UHE BALBINA</v>
          </cell>
          <cell r="I334" t="str">
            <v>MODERNIZAÇÃO DOS ANÉIS COLETORES COM INSTALAÇÃO DE SISTEMA DE LIMPEZA AUTOMÁTICA DA UGH-01,02,03,04,05</v>
          </cell>
          <cell r="J334" t="str">
            <v>UHE Balbina</v>
          </cell>
          <cell r="K334">
            <v>0</v>
          </cell>
          <cell r="L334">
            <v>0</v>
          </cell>
          <cell r="M334">
            <v>0</v>
          </cell>
          <cell r="N334">
            <v>0</v>
          </cell>
          <cell r="O334">
            <v>0</v>
          </cell>
          <cell r="P334">
            <v>0</v>
          </cell>
          <cell r="Q334">
            <v>0</v>
          </cell>
          <cell r="R334">
            <v>0</v>
          </cell>
          <cell r="S334">
            <v>0</v>
          </cell>
          <cell r="T334">
            <v>0</v>
          </cell>
          <cell r="U334">
            <v>0</v>
          </cell>
          <cell r="V334">
            <v>0</v>
          </cell>
          <cell r="W334">
            <v>0</v>
          </cell>
        </row>
        <row r="335">
          <cell r="G335" t="str">
            <v>NGHI.0141</v>
          </cell>
          <cell r="H335" t="str">
            <v>Modernização do geradores elétricos da UHE Curuá-Uma-UGH01, 02 e 03</v>
          </cell>
          <cell r="I335" t="str">
            <v>Modernização do geradores elétricos da UHE Curuá-Una</v>
          </cell>
          <cell r="J335" t="str">
            <v>UHE Curuá Una</v>
          </cell>
          <cell r="K335">
            <v>0</v>
          </cell>
          <cell r="L335">
            <v>0</v>
          </cell>
          <cell r="M335">
            <v>0</v>
          </cell>
          <cell r="N335">
            <v>0</v>
          </cell>
          <cell r="O335">
            <v>0</v>
          </cell>
          <cell r="P335">
            <v>0</v>
          </cell>
          <cell r="Q335">
            <v>0</v>
          </cell>
          <cell r="R335">
            <v>0</v>
          </cell>
          <cell r="S335">
            <v>0</v>
          </cell>
          <cell r="T335">
            <v>0</v>
          </cell>
          <cell r="U335">
            <v>0</v>
          </cell>
          <cell r="V335">
            <v>0</v>
          </cell>
          <cell r="W335">
            <v>0</v>
          </cell>
        </row>
        <row r="336">
          <cell r="G336" t="str">
            <v>NGHI.0141</v>
          </cell>
          <cell r="H336" t="str">
            <v>Aquisição Pára Raios 230KV</v>
          </cell>
          <cell r="I336" t="str">
            <v>UG1_PR_SE_SAMUEL</v>
          </cell>
          <cell r="J336" t="str">
            <v>UHE Samuel</v>
          </cell>
          <cell r="K336">
            <v>0</v>
          </cell>
          <cell r="L336">
            <v>0</v>
          </cell>
          <cell r="M336">
            <v>0</v>
          </cell>
          <cell r="N336">
            <v>0</v>
          </cell>
          <cell r="O336">
            <v>0</v>
          </cell>
          <cell r="P336">
            <v>0</v>
          </cell>
          <cell r="Q336">
            <v>0</v>
          </cell>
          <cell r="R336">
            <v>0</v>
          </cell>
          <cell r="S336">
            <v>0</v>
          </cell>
          <cell r="T336">
            <v>0</v>
          </cell>
          <cell r="U336">
            <v>0</v>
          </cell>
          <cell r="V336">
            <v>0</v>
          </cell>
          <cell r="W336">
            <v>0</v>
          </cell>
        </row>
        <row r="337">
          <cell r="G337" t="str">
            <v>NGHI.0141</v>
          </cell>
          <cell r="H337" t="str">
            <v>Aquisição TPC 230KV</v>
          </cell>
          <cell r="I337" t="str">
            <v>UG1_TPC_SE_SAMUEL</v>
          </cell>
          <cell r="J337" t="str">
            <v>UHE Samuel</v>
          </cell>
          <cell r="K337">
            <v>0</v>
          </cell>
          <cell r="L337">
            <v>0</v>
          </cell>
          <cell r="M337">
            <v>0</v>
          </cell>
          <cell r="N337">
            <v>0</v>
          </cell>
          <cell r="O337">
            <v>0</v>
          </cell>
          <cell r="P337">
            <v>0</v>
          </cell>
          <cell r="Q337">
            <v>0</v>
          </cell>
          <cell r="R337">
            <v>0</v>
          </cell>
          <cell r="S337">
            <v>0</v>
          </cell>
          <cell r="T337">
            <v>0</v>
          </cell>
          <cell r="U337">
            <v>0</v>
          </cell>
          <cell r="V337">
            <v>0</v>
          </cell>
          <cell r="W337">
            <v>0</v>
          </cell>
        </row>
        <row r="338">
          <cell r="G338" t="str">
            <v>NGHI.0028</v>
          </cell>
          <cell r="H338" t="str">
            <v>Modernização do sistema de drenagem e esgotamento da UHE Tucuruí</v>
          </cell>
          <cell r="I338" t="str">
            <v>Fornecimento, adequação, instalação e comissionamento de bombasverticais do sistema de drenagem e esgotamento da UHE Tucuruí no âmbitoda Superintendência de Produção da Geração Hidráulica – OGH, comfornecimento de materiais, equipamentos e mão de obra especializada.</v>
          </cell>
          <cell r="J338" t="str">
            <v>UHE Tucuruí</v>
          </cell>
          <cell r="K338">
            <v>0</v>
          </cell>
          <cell r="L338">
            <v>0</v>
          </cell>
          <cell r="M338">
            <v>0</v>
          </cell>
          <cell r="N338">
            <v>0</v>
          </cell>
          <cell r="O338">
            <v>0</v>
          </cell>
          <cell r="P338">
            <v>0</v>
          </cell>
          <cell r="Q338">
            <v>0</v>
          </cell>
          <cell r="R338">
            <v>0</v>
          </cell>
          <cell r="S338">
            <v>0</v>
          </cell>
          <cell r="T338">
            <v>0</v>
          </cell>
          <cell r="U338">
            <v>0</v>
          </cell>
          <cell r="V338">
            <v>0</v>
          </cell>
          <cell r="W338">
            <v>0</v>
          </cell>
        </row>
        <row r="339">
          <cell r="G339" t="str">
            <v>NGHI.0143</v>
          </cell>
          <cell r="H339" t="str">
            <v>Aquisição de servomotor do distribuir da UHE Tucuruí</v>
          </cell>
          <cell r="I339" t="str">
            <v>Aquisição de um conjunto de servomotores (4) do distribuidor da CF2</v>
          </cell>
          <cell r="J339" t="str">
            <v>UHE Tucuruí</v>
          </cell>
          <cell r="K339">
            <v>0</v>
          </cell>
          <cell r="L339">
            <v>0</v>
          </cell>
          <cell r="M339">
            <v>0</v>
          </cell>
          <cell r="N339">
            <v>0</v>
          </cell>
          <cell r="O339">
            <v>0</v>
          </cell>
          <cell r="P339">
            <v>0</v>
          </cell>
          <cell r="Q339">
            <v>0</v>
          </cell>
          <cell r="R339">
            <v>0</v>
          </cell>
          <cell r="S339">
            <v>0</v>
          </cell>
          <cell r="T339">
            <v>0</v>
          </cell>
          <cell r="U339">
            <v>0</v>
          </cell>
          <cell r="V339">
            <v>0</v>
          </cell>
          <cell r="W339">
            <v>0</v>
          </cell>
        </row>
        <row r="340">
          <cell r="G340" t="str">
            <v>NGHI.0143</v>
          </cell>
          <cell r="H340" t="str">
            <v>Aquisição de motobombas para o sistema de circulação de óleo dos mancais MGT, MGG e ME - Casa de Força 01</v>
          </cell>
          <cell r="I340" t="str">
            <v>Necessidade de equipamentos sobressalentes</v>
          </cell>
          <cell r="J340" t="str">
            <v>UHE Tucuruí</v>
          </cell>
          <cell r="K340">
            <v>0</v>
          </cell>
          <cell r="L340">
            <v>0</v>
          </cell>
          <cell r="M340">
            <v>0</v>
          </cell>
          <cell r="N340">
            <v>0</v>
          </cell>
          <cell r="O340">
            <v>0</v>
          </cell>
          <cell r="P340">
            <v>0</v>
          </cell>
          <cell r="Q340">
            <v>0</v>
          </cell>
          <cell r="R340">
            <v>0</v>
          </cell>
          <cell r="S340">
            <v>0</v>
          </cell>
          <cell r="T340">
            <v>0</v>
          </cell>
          <cell r="U340">
            <v>0</v>
          </cell>
          <cell r="V340">
            <v>0</v>
          </cell>
          <cell r="W340">
            <v>0</v>
          </cell>
        </row>
        <row r="341">
          <cell r="G341" t="str">
            <v>NGHI.0141</v>
          </cell>
          <cell r="H341" t="str">
            <v>Modernização da Ponte Rolante e Porticos da Casa de Força e Vertedouro</v>
          </cell>
          <cell r="I341" t="str">
            <v>Modernização de equipamentos de içamento</v>
          </cell>
          <cell r="J341" t="str">
            <v>UHE Curuá Una</v>
          </cell>
          <cell r="K341">
            <v>0</v>
          </cell>
          <cell r="L341">
            <v>0</v>
          </cell>
          <cell r="M341">
            <v>0</v>
          </cell>
          <cell r="N341">
            <v>0</v>
          </cell>
          <cell r="O341">
            <v>0</v>
          </cell>
          <cell r="P341">
            <v>0</v>
          </cell>
          <cell r="Q341">
            <v>0</v>
          </cell>
          <cell r="R341">
            <v>0</v>
          </cell>
          <cell r="S341">
            <v>0</v>
          </cell>
          <cell r="T341">
            <v>0</v>
          </cell>
          <cell r="U341">
            <v>0</v>
          </cell>
          <cell r="V341">
            <v>0</v>
          </cell>
          <cell r="W341">
            <v>0</v>
          </cell>
        </row>
        <row r="342">
          <cell r="G342" t="str">
            <v>NGHI.0143</v>
          </cell>
          <cell r="H342" t="str">
            <v>Substituição dos cabos para-raios da LT CUTA-LI5-01 da UHE Curuá-Una</v>
          </cell>
          <cell r="I342" t="str">
            <v>Substituição do cabo para raios da linha de CUTA-LI5-01</v>
          </cell>
          <cell r="J342" t="str">
            <v>UHE Curuá Una</v>
          </cell>
          <cell r="K342">
            <v>0</v>
          </cell>
          <cell r="L342">
            <v>0</v>
          </cell>
          <cell r="M342">
            <v>0</v>
          </cell>
          <cell r="N342">
            <v>0</v>
          </cell>
          <cell r="O342">
            <v>0</v>
          </cell>
          <cell r="P342">
            <v>0</v>
          </cell>
          <cell r="Q342">
            <v>0</v>
          </cell>
          <cell r="R342">
            <v>0</v>
          </cell>
          <cell r="S342">
            <v>0</v>
          </cell>
          <cell r="T342">
            <v>0</v>
          </cell>
          <cell r="U342">
            <v>0</v>
          </cell>
          <cell r="V342">
            <v>0</v>
          </cell>
          <cell r="W342">
            <v>0</v>
          </cell>
        </row>
        <row r="343">
          <cell r="G343" t="str">
            <v>NGHI.0141</v>
          </cell>
          <cell r="H343" t="str">
            <v>Revitalização ETE</v>
          </cell>
          <cell r="I343" t="str">
            <v>Revitalização ETE</v>
          </cell>
          <cell r="J343" t="str">
            <v>UHE Tucuruí</v>
          </cell>
          <cell r="K343">
            <v>0</v>
          </cell>
          <cell r="L343">
            <v>0</v>
          </cell>
          <cell r="M343">
            <v>0</v>
          </cell>
          <cell r="N343">
            <v>0</v>
          </cell>
          <cell r="O343">
            <v>0</v>
          </cell>
          <cell r="P343">
            <v>0</v>
          </cell>
          <cell r="Q343">
            <v>0</v>
          </cell>
          <cell r="R343">
            <v>0</v>
          </cell>
          <cell r="S343">
            <v>0</v>
          </cell>
          <cell r="T343">
            <v>0</v>
          </cell>
          <cell r="U343">
            <v>0</v>
          </cell>
          <cell r="V343">
            <v>0</v>
          </cell>
          <cell r="W343">
            <v>0</v>
          </cell>
        </row>
        <row r="344">
          <cell r="G344" t="str">
            <v>NGHI.0141</v>
          </cell>
          <cell r="H344" t="str">
            <v>RevitalizaçãoSistema de Água Tratada</v>
          </cell>
          <cell r="I344" t="str">
            <v>Revitalização ETA</v>
          </cell>
          <cell r="J344" t="str">
            <v>UHE Tucuruí</v>
          </cell>
          <cell r="K344">
            <v>0</v>
          </cell>
          <cell r="L344">
            <v>0</v>
          </cell>
          <cell r="M344">
            <v>0</v>
          </cell>
          <cell r="N344">
            <v>0</v>
          </cell>
          <cell r="O344">
            <v>0</v>
          </cell>
          <cell r="P344">
            <v>0</v>
          </cell>
          <cell r="Q344">
            <v>0</v>
          </cell>
          <cell r="R344">
            <v>0</v>
          </cell>
          <cell r="S344">
            <v>0</v>
          </cell>
          <cell r="T344">
            <v>0</v>
          </cell>
          <cell r="U344">
            <v>0</v>
          </cell>
          <cell r="V344">
            <v>0</v>
          </cell>
          <cell r="W344">
            <v>0</v>
          </cell>
        </row>
        <row r="345">
          <cell r="G345" t="str">
            <v>NSTC.0044</v>
          </cell>
          <cell r="H345" t="str">
            <v>OPGW CURUÁ-UNA/TAPAJÓS</v>
          </cell>
          <cell r="I345" t="str">
            <v>Implantação de Cabo OPGW entre UHE CURUÁ-UNA e SE TAPAJÓS</v>
          </cell>
          <cell r="J345" t="str">
            <v>UHE Curuá Una</v>
          </cell>
          <cell r="K345">
            <v>0</v>
          </cell>
          <cell r="L345">
            <v>0</v>
          </cell>
          <cell r="M345">
            <v>0</v>
          </cell>
          <cell r="N345">
            <v>0</v>
          </cell>
          <cell r="O345">
            <v>0</v>
          </cell>
          <cell r="P345">
            <v>0</v>
          </cell>
          <cell r="Q345">
            <v>0</v>
          </cell>
          <cell r="R345">
            <v>0</v>
          </cell>
          <cell r="S345">
            <v>0</v>
          </cell>
          <cell r="T345">
            <v>0</v>
          </cell>
          <cell r="U345">
            <v>0</v>
          </cell>
          <cell r="V345">
            <v>0</v>
          </cell>
          <cell r="W345">
            <v>0</v>
          </cell>
        </row>
        <row r="346">
          <cell r="G346" t="str">
            <v>NGHI.0143</v>
          </cell>
          <cell r="H346" t="str">
            <v>sistema de refrigeração predial edificio comando, Supervisão e ULCPS</v>
          </cell>
          <cell r="I346" t="str">
            <v>sistema de refrigeração predial edificio comando</v>
          </cell>
          <cell r="J346" t="str">
            <v>UHE Tucuruí</v>
          </cell>
          <cell r="K346">
            <v>0</v>
          </cell>
          <cell r="L346">
            <v>0</v>
          </cell>
          <cell r="M346">
            <v>0</v>
          </cell>
          <cell r="N346">
            <v>0</v>
          </cell>
          <cell r="O346">
            <v>0</v>
          </cell>
          <cell r="P346">
            <v>0</v>
          </cell>
          <cell r="Q346">
            <v>0</v>
          </cell>
          <cell r="R346">
            <v>0</v>
          </cell>
          <cell r="S346">
            <v>0</v>
          </cell>
          <cell r="T346">
            <v>0</v>
          </cell>
          <cell r="U346">
            <v>0</v>
          </cell>
          <cell r="V346">
            <v>0</v>
          </cell>
          <cell r="W346">
            <v>0</v>
          </cell>
        </row>
        <row r="347">
          <cell r="G347" t="str">
            <v>NGHI.0143</v>
          </cell>
          <cell r="H347" t="str">
            <v>Aquisição de bombas vertical, tipo parafuso, para o sistema de circulação de óleo do Regulador de Velocidade - UGHs Casa de Força 01</v>
          </cell>
          <cell r="I347" t="str">
            <v>Necessidade de equipamentos sobressalentes</v>
          </cell>
          <cell r="J347" t="str">
            <v>UHE Tucuruí</v>
          </cell>
          <cell r="K347">
            <v>0</v>
          </cell>
          <cell r="L347">
            <v>0</v>
          </cell>
          <cell r="M347">
            <v>0</v>
          </cell>
          <cell r="N347">
            <v>0</v>
          </cell>
          <cell r="O347">
            <v>0</v>
          </cell>
          <cell r="P347">
            <v>0</v>
          </cell>
          <cell r="Q347">
            <v>0</v>
          </cell>
          <cell r="R347">
            <v>0</v>
          </cell>
          <cell r="S347">
            <v>0</v>
          </cell>
          <cell r="T347">
            <v>0</v>
          </cell>
          <cell r="U347">
            <v>0</v>
          </cell>
          <cell r="V347">
            <v>0</v>
          </cell>
          <cell r="W347">
            <v>0</v>
          </cell>
        </row>
        <row r="348">
          <cell r="G348" t="str">
            <v>NGHI.0141</v>
          </cell>
          <cell r="H348" t="str">
            <v>Aquisição de novo GDE de 400KVA</v>
          </cell>
          <cell r="I348" t="str">
            <v>Aquisição de Grupo Diesel de 400KVA</v>
          </cell>
          <cell r="J348" t="str">
            <v xml:space="preserve">UHE Coaracy Nunes </v>
          </cell>
          <cell r="K348">
            <v>0</v>
          </cell>
          <cell r="L348">
            <v>0</v>
          </cell>
          <cell r="M348">
            <v>0</v>
          </cell>
          <cell r="N348">
            <v>0</v>
          </cell>
          <cell r="O348">
            <v>0</v>
          </cell>
          <cell r="P348">
            <v>0</v>
          </cell>
          <cell r="Q348">
            <v>0</v>
          </cell>
          <cell r="R348">
            <v>0</v>
          </cell>
          <cell r="S348">
            <v>0</v>
          </cell>
          <cell r="T348">
            <v>0</v>
          </cell>
          <cell r="U348">
            <v>0</v>
          </cell>
          <cell r="V348">
            <v>0</v>
          </cell>
          <cell r="W348">
            <v>0</v>
          </cell>
        </row>
        <row r="349">
          <cell r="G349" t="str">
            <v>NGHI.0141</v>
          </cell>
          <cell r="H349" t="str">
            <v>sistema de ventilação e exaustão CF1, CF2, vertedouro e tomada agua</v>
          </cell>
          <cell r="I349" t="str">
            <v>sistema de ventilação e exaustão CF1, CF2, vertedouro e tomada agua</v>
          </cell>
          <cell r="J349" t="str">
            <v>UHE Tucuruí</v>
          </cell>
          <cell r="K349">
            <v>0</v>
          </cell>
          <cell r="L349">
            <v>0</v>
          </cell>
          <cell r="M349">
            <v>0</v>
          </cell>
          <cell r="N349">
            <v>0</v>
          </cell>
          <cell r="O349">
            <v>0</v>
          </cell>
          <cell r="P349">
            <v>0</v>
          </cell>
          <cell r="Q349">
            <v>0</v>
          </cell>
          <cell r="R349">
            <v>0</v>
          </cell>
          <cell r="S349">
            <v>0</v>
          </cell>
          <cell r="T349">
            <v>0</v>
          </cell>
          <cell r="U349">
            <v>0</v>
          </cell>
          <cell r="V349">
            <v>0</v>
          </cell>
          <cell r="W349">
            <v>0</v>
          </cell>
        </row>
        <row r="350">
          <cell r="G350" t="str">
            <v>NGHI.0141</v>
          </cell>
          <cell r="H350" t="str">
            <v>sistema de drenagem tampa turbina CF1, UG01,02,03,04,05,06,07,08,09,10,11 e 12</v>
          </cell>
          <cell r="I350" t="str">
            <v>sistema de drenagem tampa turbina CF1 - modernização UG01,02,03,04,05,06,07,08,09,10,11 e 12</v>
          </cell>
          <cell r="J350" t="str">
            <v>UHE Tucuruí</v>
          </cell>
          <cell r="K350">
            <v>0</v>
          </cell>
          <cell r="L350">
            <v>0</v>
          </cell>
          <cell r="M350">
            <v>0</v>
          </cell>
          <cell r="N350">
            <v>0</v>
          </cell>
          <cell r="O350">
            <v>0</v>
          </cell>
          <cell r="P350">
            <v>0</v>
          </cell>
          <cell r="Q350">
            <v>0</v>
          </cell>
          <cell r="R350">
            <v>0</v>
          </cell>
          <cell r="S350">
            <v>0</v>
          </cell>
          <cell r="T350">
            <v>0</v>
          </cell>
          <cell r="U350">
            <v>0</v>
          </cell>
          <cell r="V350">
            <v>0</v>
          </cell>
          <cell r="W350">
            <v>0</v>
          </cell>
        </row>
        <row r="351">
          <cell r="G351" t="str">
            <v>NGHI.0141</v>
          </cell>
          <cell r="H351" t="str">
            <v>Modernização do disjuntor da LT CUTA-LI5-01 da UHE Curuá-Una</v>
          </cell>
          <cell r="I351" t="str">
            <v>Substituição do disjuntor da linha de CUTA-LI5-01 no terminal da SE Tapajós</v>
          </cell>
          <cell r="J351" t="str">
            <v>UHE Curuá Una</v>
          </cell>
          <cell r="K351">
            <v>0</v>
          </cell>
          <cell r="L351">
            <v>0</v>
          </cell>
          <cell r="M351">
            <v>0</v>
          </cell>
          <cell r="N351">
            <v>0</v>
          </cell>
          <cell r="O351">
            <v>0</v>
          </cell>
          <cell r="P351">
            <v>0</v>
          </cell>
          <cell r="Q351">
            <v>0</v>
          </cell>
          <cell r="R351">
            <v>0</v>
          </cell>
          <cell r="S351">
            <v>0</v>
          </cell>
          <cell r="T351">
            <v>0</v>
          </cell>
          <cell r="U351">
            <v>0</v>
          </cell>
          <cell r="V351">
            <v>0</v>
          </cell>
          <cell r="W351">
            <v>0</v>
          </cell>
        </row>
        <row r="352">
          <cell r="G352" t="str">
            <v>NGHI.0141</v>
          </cell>
          <cell r="H352" t="str">
            <v>Integração de Sistemas ao Supervisório</v>
          </cell>
          <cell r="I352" t="str">
            <v>Integração do Sistema de Drenagem da Casa de Força</v>
          </cell>
          <cell r="J352" t="str">
            <v>UHE Samuel</v>
          </cell>
          <cell r="K352">
            <v>0</v>
          </cell>
          <cell r="L352">
            <v>0</v>
          </cell>
          <cell r="M352">
            <v>0</v>
          </cell>
          <cell r="N352">
            <v>0</v>
          </cell>
          <cell r="O352">
            <v>0</v>
          </cell>
          <cell r="P352">
            <v>0</v>
          </cell>
          <cell r="Q352">
            <v>0</v>
          </cell>
          <cell r="R352">
            <v>0</v>
          </cell>
          <cell r="S352">
            <v>0</v>
          </cell>
          <cell r="T352">
            <v>0</v>
          </cell>
          <cell r="U352">
            <v>0</v>
          </cell>
          <cell r="V352">
            <v>0</v>
          </cell>
          <cell r="W352">
            <v>0</v>
          </cell>
        </row>
        <row r="353">
          <cell r="G353" t="str">
            <v>NGHI.0141</v>
          </cell>
          <cell r="H353" t="str">
            <v>Modernização Comportas de Emergência UHE SAMUEL</v>
          </cell>
          <cell r="I353" t="str">
            <v>UG01_MODERNIZAÇÃO COMPORTA DE EMERGÊNCIA</v>
          </cell>
          <cell r="J353" t="str">
            <v>UHE Samuel</v>
          </cell>
          <cell r="K353">
            <v>0</v>
          </cell>
          <cell r="L353">
            <v>0</v>
          </cell>
          <cell r="M353">
            <v>0</v>
          </cell>
          <cell r="N353">
            <v>0</v>
          </cell>
          <cell r="O353">
            <v>0</v>
          </cell>
          <cell r="P353">
            <v>0</v>
          </cell>
          <cell r="Q353">
            <v>0</v>
          </cell>
          <cell r="R353">
            <v>0</v>
          </cell>
          <cell r="S353">
            <v>0</v>
          </cell>
          <cell r="T353">
            <v>0</v>
          </cell>
          <cell r="U353">
            <v>0</v>
          </cell>
          <cell r="V353">
            <v>0</v>
          </cell>
          <cell r="W353">
            <v>0</v>
          </cell>
        </row>
        <row r="354">
          <cell r="G354" t="str">
            <v>NGHI.0141</v>
          </cell>
          <cell r="H354" t="str">
            <v>Modernização Comportas Vertedouro UHE SAMUEL</v>
          </cell>
          <cell r="I354" t="str">
            <v>AUXVT_MODERNIZAÇÃO COMPORTA VERTEDOURO 01</v>
          </cell>
          <cell r="J354" t="str">
            <v>UHE Samuel</v>
          </cell>
          <cell r="K354">
            <v>0</v>
          </cell>
          <cell r="L354">
            <v>0</v>
          </cell>
          <cell r="M354">
            <v>0</v>
          </cell>
          <cell r="N354">
            <v>0</v>
          </cell>
          <cell r="O354">
            <v>0</v>
          </cell>
          <cell r="P354">
            <v>0</v>
          </cell>
          <cell r="Q354">
            <v>0</v>
          </cell>
          <cell r="R354">
            <v>0</v>
          </cell>
          <cell r="S354">
            <v>0</v>
          </cell>
          <cell r="T354">
            <v>0</v>
          </cell>
          <cell r="U354">
            <v>0</v>
          </cell>
          <cell r="V354">
            <v>0</v>
          </cell>
          <cell r="W354">
            <v>0</v>
          </cell>
        </row>
        <row r="355">
          <cell r="G355" t="str">
            <v>NGHI.0141</v>
          </cell>
          <cell r="H355" t="str">
            <v>Modernização do Serviço Auxiliar 125 VCC UHE SAMUEL</v>
          </cell>
          <cell r="I355" t="str">
            <v>UG01_MODERNIZAÇÃO CCCU1</v>
          </cell>
          <cell r="J355" t="str">
            <v>UHE Samuel</v>
          </cell>
          <cell r="K355">
            <v>0</v>
          </cell>
          <cell r="L355">
            <v>0</v>
          </cell>
          <cell r="M355">
            <v>0</v>
          </cell>
          <cell r="N355">
            <v>0</v>
          </cell>
          <cell r="O355">
            <v>0</v>
          </cell>
          <cell r="P355">
            <v>0</v>
          </cell>
          <cell r="Q355">
            <v>0</v>
          </cell>
          <cell r="R355">
            <v>0</v>
          </cell>
          <cell r="S355">
            <v>0</v>
          </cell>
          <cell r="T355">
            <v>0</v>
          </cell>
          <cell r="U355">
            <v>0</v>
          </cell>
          <cell r="V355">
            <v>0</v>
          </cell>
          <cell r="W355">
            <v>0</v>
          </cell>
        </row>
        <row r="356">
          <cell r="G356" t="str">
            <v>NGHI.0141</v>
          </cell>
          <cell r="H356" t="str">
            <v>Modernização do Serviço Auxiliar 13,8 KVCA UHE SAMUEL</v>
          </cell>
          <cell r="I356" t="str">
            <v>UG01_MODERNIZAÇÃO CUBÍCULO DO DAG 1</v>
          </cell>
          <cell r="J356" t="str">
            <v>UHE Samuel</v>
          </cell>
          <cell r="K356">
            <v>0</v>
          </cell>
          <cell r="L356">
            <v>0</v>
          </cell>
          <cell r="M356">
            <v>0</v>
          </cell>
          <cell r="N356">
            <v>0</v>
          </cell>
          <cell r="O356">
            <v>0</v>
          </cell>
          <cell r="P356">
            <v>0</v>
          </cell>
          <cell r="Q356">
            <v>0</v>
          </cell>
          <cell r="R356">
            <v>0</v>
          </cell>
          <cell r="S356">
            <v>0</v>
          </cell>
          <cell r="T356">
            <v>0</v>
          </cell>
          <cell r="U356">
            <v>0</v>
          </cell>
          <cell r="V356">
            <v>0</v>
          </cell>
          <cell r="W356">
            <v>0</v>
          </cell>
        </row>
        <row r="357">
          <cell r="G357" t="str">
            <v>NGHI.0141</v>
          </cell>
          <cell r="H357" t="str">
            <v>Modernização dos Centros de Carga Miscelânea 380 VCA UHE SAMUEL</v>
          </cell>
          <cell r="I357" t="str">
            <v>UG01_MODERNIZAÇÃO CCU1</v>
          </cell>
          <cell r="J357" t="str">
            <v>UHE Samuel</v>
          </cell>
          <cell r="K357">
            <v>0</v>
          </cell>
          <cell r="L357">
            <v>0</v>
          </cell>
          <cell r="M357">
            <v>0</v>
          </cell>
          <cell r="N357">
            <v>0</v>
          </cell>
          <cell r="O357">
            <v>0</v>
          </cell>
          <cell r="P357">
            <v>0</v>
          </cell>
          <cell r="Q357">
            <v>0</v>
          </cell>
          <cell r="R357">
            <v>0</v>
          </cell>
          <cell r="S357">
            <v>0</v>
          </cell>
          <cell r="T357">
            <v>0</v>
          </cell>
          <cell r="U357">
            <v>0</v>
          </cell>
          <cell r="V357">
            <v>0</v>
          </cell>
          <cell r="W357">
            <v>0</v>
          </cell>
        </row>
        <row r="358">
          <cell r="G358" t="str">
            <v>NGHI.0141</v>
          </cell>
          <cell r="H358" t="str">
            <v>Modernização Pontes Rolantes UHE SAMUEL</v>
          </cell>
          <cell r="I358" t="str">
            <v>AUXCF_MODERNIZAÇÃO PONTE ROLANTE Nº1</v>
          </cell>
          <cell r="J358" t="str">
            <v>UHE Samuel</v>
          </cell>
          <cell r="K358">
            <v>0</v>
          </cell>
          <cell r="L358">
            <v>0</v>
          </cell>
          <cell r="M358">
            <v>0</v>
          </cell>
          <cell r="N358">
            <v>0</v>
          </cell>
          <cell r="O358">
            <v>0</v>
          </cell>
          <cell r="P358">
            <v>0</v>
          </cell>
          <cell r="Q358">
            <v>0</v>
          </cell>
          <cell r="R358">
            <v>0</v>
          </cell>
          <cell r="S358">
            <v>0</v>
          </cell>
          <cell r="T358">
            <v>0</v>
          </cell>
          <cell r="U358">
            <v>0</v>
          </cell>
          <cell r="V358">
            <v>0</v>
          </cell>
          <cell r="W358">
            <v>0</v>
          </cell>
        </row>
        <row r="359">
          <cell r="G359" t="str">
            <v>NGHI.0141</v>
          </cell>
          <cell r="H359" t="str">
            <v>Modernização Pórtico UHE SAMUEL</v>
          </cell>
          <cell r="I359" t="str">
            <v>AUXCF_MODERNIZAÇÃO PÓRTICO JUSANTE</v>
          </cell>
          <cell r="J359" t="str">
            <v>UHE Samuel</v>
          </cell>
          <cell r="K359">
            <v>0</v>
          </cell>
          <cell r="L359">
            <v>0</v>
          </cell>
          <cell r="M359">
            <v>0</v>
          </cell>
          <cell r="N359">
            <v>0</v>
          </cell>
          <cell r="O359">
            <v>0</v>
          </cell>
          <cell r="P359">
            <v>0</v>
          </cell>
          <cell r="Q359">
            <v>0</v>
          </cell>
          <cell r="R359">
            <v>0</v>
          </cell>
          <cell r="S359">
            <v>0</v>
          </cell>
          <cell r="T359">
            <v>0</v>
          </cell>
          <cell r="U359">
            <v>0</v>
          </cell>
          <cell r="V359">
            <v>0</v>
          </cell>
          <cell r="W359">
            <v>0</v>
          </cell>
        </row>
        <row r="360">
          <cell r="G360" t="str">
            <v>NGHI.0141</v>
          </cell>
          <cell r="H360" t="str">
            <v>Modernização RDPs UHE Samuel</v>
          </cell>
          <cell r="I360" t="str">
            <v>MODERNIZAÇÃO RDP UG1</v>
          </cell>
          <cell r="J360" t="str">
            <v>UHE Samuel</v>
          </cell>
          <cell r="K360">
            <v>0</v>
          </cell>
          <cell r="L360">
            <v>0</v>
          </cell>
          <cell r="M360">
            <v>0</v>
          </cell>
          <cell r="N360">
            <v>0</v>
          </cell>
          <cell r="O360">
            <v>0</v>
          </cell>
          <cell r="P360">
            <v>0</v>
          </cell>
          <cell r="Q360">
            <v>0</v>
          </cell>
          <cell r="R360">
            <v>0</v>
          </cell>
          <cell r="S360">
            <v>0</v>
          </cell>
          <cell r="T360">
            <v>0</v>
          </cell>
          <cell r="U360">
            <v>0</v>
          </cell>
          <cell r="V360">
            <v>0</v>
          </cell>
          <cell r="W360">
            <v>0</v>
          </cell>
        </row>
        <row r="361">
          <cell r="G361" t="str">
            <v>NGHI.0141</v>
          </cell>
          <cell r="H361" t="str">
            <v>Modernização Sistema Anti-Incêndio UHE SAMUEL</v>
          </cell>
          <cell r="I361" t="str">
            <v>AUXCF_MODERNIZAÇÃO SISTEMA ANTI-INCÊNDIO CO2</v>
          </cell>
          <cell r="J361" t="str">
            <v>UHE Samuel</v>
          </cell>
          <cell r="K361">
            <v>0</v>
          </cell>
          <cell r="L361">
            <v>0</v>
          </cell>
          <cell r="M361">
            <v>0</v>
          </cell>
          <cell r="N361">
            <v>0</v>
          </cell>
          <cell r="O361">
            <v>0</v>
          </cell>
          <cell r="P361">
            <v>0</v>
          </cell>
          <cell r="Q361">
            <v>0</v>
          </cell>
          <cell r="R361">
            <v>0</v>
          </cell>
          <cell r="S361">
            <v>0</v>
          </cell>
          <cell r="T361">
            <v>0</v>
          </cell>
          <cell r="U361">
            <v>0</v>
          </cell>
          <cell r="V361">
            <v>0</v>
          </cell>
          <cell r="W361">
            <v>0</v>
          </cell>
        </row>
        <row r="362">
          <cell r="G362" t="str">
            <v>NGHI.0141</v>
          </cell>
          <cell r="H362" t="str">
            <v>Modernização Sistema de Supervisão da UHCN</v>
          </cell>
          <cell r="I362" t="str">
            <v>Modernização Sistema de Supervisão - UCC01 UCC02</v>
          </cell>
          <cell r="J362" t="str">
            <v xml:space="preserve">UHE Coaracy Nunes </v>
          </cell>
          <cell r="K362">
            <v>0</v>
          </cell>
          <cell r="L362">
            <v>0</v>
          </cell>
          <cell r="M362">
            <v>0</v>
          </cell>
          <cell r="N362">
            <v>0</v>
          </cell>
          <cell r="O362">
            <v>0</v>
          </cell>
          <cell r="P362">
            <v>0</v>
          </cell>
          <cell r="Q362">
            <v>0</v>
          </cell>
          <cell r="R362">
            <v>0</v>
          </cell>
          <cell r="S362">
            <v>0</v>
          </cell>
          <cell r="T362">
            <v>0</v>
          </cell>
          <cell r="U362">
            <v>0</v>
          </cell>
          <cell r="V362">
            <v>0</v>
          </cell>
          <cell r="W362">
            <v>0</v>
          </cell>
        </row>
        <row r="363">
          <cell r="G363" t="str">
            <v>NGHI.0141</v>
          </cell>
          <cell r="H363" t="str">
            <v>Revitalização de Painéis Elétricos</v>
          </cell>
          <cell r="I363" t="str">
            <v>UG1_FRENAGEM E LEVANTAMENTO</v>
          </cell>
          <cell r="J363" t="str">
            <v>UHE Samuel</v>
          </cell>
          <cell r="K363">
            <v>0</v>
          </cell>
          <cell r="L363">
            <v>0</v>
          </cell>
          <cell r="M363">
            <v>0</v>
          </cell>
          <cell r="N363">
            <v>0</v>
          </cell>
          <cell r="O363">
            <v>0</v>
          </cell>
          <cell r="P363">
            <v>0</v>
          </cell>
          <cell r="Q363">
            <v>0</v>
          </cell>
          <cell r="R363">
            <v>0</v>
          </cell>
          <cell r="S363">
            <v>0</v>
          </cell>
          <cell r="T363">
            <v>0</v>
          </cell>
          <cell r="U363">
            <v>0</v>
          </cell>
          <cell r="V363">
            <v>0</v>
          </cell>
          <cell r="W363">
            <v>0</v>
          </cell>
        </row>
        <row r="364">
          <cell r="G364" t="str">
            <v>NGHI.0141</v>
          </cell>
          <cell r="H364" t="str">
            <v>Substituição Transformador Regulador 01 13,8 KVCA UHE SAMUEL</v>
          </cell>
          <cell r="I364" t="str">
            <v>AUXCF_SUBSTITUIÇÃO SUTR201</v>
          </cell>
          <cell r="J364" t="str">
            <v>UHE Samuel</v>
          </cell>
          <cell r="K364">
            <v>0</v>
          </cell>
          <cell r="L364">
            <v>0</v>
          </cell>
          <cell r="M364">
            <v>0</v>
          </cell>
          <cell r="N364">
            <v>0</v>
          </cell>
          <cell r="O364">
            <v>0</v>
          </cell>
          <cell r="P364">
            <v>0</v>
          </cell>
          <cell r="Q364">
            <v>0</v>
          </cell>
          <cell r="R364">
            <v>0</v>
          </cell>
          <cell r="S364">
            <v>0</v>
          </cell>
          <cell r="T364">
            <v>0</v>
          </cell>
          <cell r="U364">
            <v>0</v>
          </cell>
          <cell r="V364">
            <v>0</v>
          </cell>
          <cell r="W364">
            <v>0</v>
          </cell>
        </row>
        <row r="365">
          <cell r="G365" t="str">
            <v>NGHI.0141</v>
          </cell>
          <cell r="H365" t="str">
            <v>Substituição Transformador Serviço Auxiliar 01 13,8/0,38 KVCA UHE SAMUEL</v>
          </cell>
          <cell r="I365" t="str">
            <v>AUXCF_SUBSTITUIÇÃO SUTF201</v>
          </cell>
          <cell r="J365" t="str">
            <v>UHE Samuel</v>
          </cell>
          <cell r="K365">
            <v>0</v>
          </cell>
          <cell r="L365">
            <v>0</v>
          </cell>
          <cell r="M365">
            <v>0</v>
          </cell>
          <cell r="N365">
            <v>0</v>
          </cell>
          <cell r="O365">
            <v>0</v>
          </cell>
          <cell r="P365">
            <v>0</v>
          </cell>
          <cell r="Q365">
            <v>0</v>
          </cell>
          <cell r="R365">
            <v>0</v>
          </cell>
          <cell r="S365">
            <v>0</v>
          </cell>
          <cell r="T365">
            <v>0</v>
          </cell>
          <cell r="U365">
            <v>0</v>
          </cell>
          <cell r="V365">
            <v>0</v>
          </cell>
          <cell r="W365">
            <v>0</v>
          </cell>
        </row>
        <row r="366">
          <cell r="G366" t="str">
            <v>NGHI.0143</v>
          </cell>
          <cell r="H366" t="str">
            <v>Modernização do conjunto de TCs da LT CUTA-LI5-01 da UHE Curuá-Una</v>
          </cell>
          <cell r="I366" t="str">
            <v>Substituição do conjunto de TC's da linha de CUTA-LI5-01 no terminal da SE Tapajós</v>
          </cell>
          <cell r="J366" t="str">
            <v>UHE Curuá Una</v>
          </cell>
          <cell r="K366">
            <v>0</v>
          </cell>
          <cell r="L366">
            <v>0</v>
          </cell>
          <cell r="M366">
            <v>0</v>
          </cell>
          <cell r="N366">
            <v>0</v>
          </cell>
          <cell r="O366">
            <v>0</v>
          </cell>
          <cell r="P366">
            <v>0</v>
          </cell>
          <cell r="Q366">
            <v>0</v>
          </cell>
          <cell r="R366">
            <v>0</v>
          </cell>
          <cell r="S366">
            <v>0</v>
          </cell>
          <cell r="T366">
            <v>0</v>
          </cell>
          <cell r="U366">
            <v>0</v>
          </cell>
          <cell r="V366">
            <v>0</v>
          </cell>
          <cell r="W366">
            <v>0</v>
          </cell>
        </row>
        <row r="367">
          <cell r="G367" t="str">
            <v>NGHI.0141</v>
          </cell>
          <cell r="H367" t="str">
            <v>Estação de tratamento de agua de serviço para minimizar a contaminação ferro bactéria</v>
          </cell>
          <cell r="I367" t="str">
            <v>Implantação de sistema de combate a agentes nocivos aos sistema de resfriamento</v>
          </cell>
          <cell r="J367" t="str">
            <v>UHE Curuá Una</v>
          </cell>
          <cell r="K367">
            <v>0</v>
          </cell>
          <cell r="L367">
            <v>0</v>
          </cell>
          <cell r="M367">
            <v>0</v>
          </cell>
          <cell r="N367">
            <v>0</v>
          </cell>
          <cell r="O367">
            <v>0</v>
          </cell>
          <cell r="P367">
            <v>0</v>
          </cell>
          <cell r="Q367">
            <v>0</v>
          </cell>
          <cell r="R367">
            <v>0</v>
          </cell>
          <cell r="S367">
            <v>0</v>
          </cell>
          <cell r="T367">
            <v>0</v>
          </cell>
          <cell r="U367">
            <v>0</v>
          </cell>
          <cell r="V367">
            <v>0</v>
          </cell>
          <cell r="W367">
            <v>0</v>
          </cell>
        </row>
        <row r="368">
          <cell r="G368" t="str">
            <v>A definir</v>
          </cell>
          <cell r="H368" t="str">
            <v>Modernização Turbinas da UHE Três Irmãos</v>
          </cell>
          <cell r="I368"/>
          <cell r="J368" t="str">
            <v>UHE Três Irmãos</v>
          </cell>
          <cell r="K368">
            <v>0</v>
          </cell>
          <cell r="L368">
            <v>0</v>
          </cell>
          <cell r="M368">
            <v>0</v>
          </cell>
          <cell r="N368">
            <v>0</v>
          </cell>
          <cell r="O368">
            <v>0</v>
          </cell>
          <cell r="P368">
            <v>0</v>
          </cell>
          <cell r="Q368">
            <v>0</v>
          </cell>
          <cell r="R368">
            <v>0</v>
          </cell>
          <cell r="S368">
            <v>0</v>
          </cell>
          <cell r="T368">
            <v>0</v>
          </cell>
          <cell r="U368">
            <v>0</v>
          </cell>
          <cell r="V368">
            <v>0</v>
          </cell>
          <cell r="W368">
            <v>0</v>
          </cell>
        </row>
        <row r="369">
          <cell r="G369" t="str">
            <v>A definir</v>
          </cell>
          <cell r="H369" t="str">
            <v>Modernização Geradores da UHE Três Irmãos</v>
          </cell>
          <cell r="I369"/>
          <cell r="J369" t="str">
            <v>UHE Três Irmãos</v>
          </cell>
          <cell r="K369">
            <v>0</v>
          </cell>
          <cell r="L369">
            <v>0</v>
          </cell>
          <cell r="M369">
            <v>0</v>
          </cell>
          <cell r="N369">
            <v>0</v>
          </cell>
          <cell r="O369">
            <v>0</v>
          </cell>
          <cell r="P369">
            <v>0</v>
          </cell>
          <cell r="Q369">
            <v>0</v>
          </cell>
          <cell r="R369">
            <v>0</v>
          </cell>
          <cell r="S369">
            <v>0</v>
          </cell>
          <cell r="T369">
            <v>0</v>
          </cell>
          <cell r="U369">
            <v>0</v>
          </cell>
          <cell r="V369">
            <v>0</v>
          </cell>
          <cell r="W369">
            <v>0</v>
          </cell>
        </row>
        <row r="370">
          <cell r="G370" t="str">
            <v>A definir</v>
          </cell>
          <cell r="H370" t="str">
            <v>Modernização Trafos Elevadores 1 a 4 da UHE Três Irmãos</v>
          </cell>
          <cell r="I370"/>
          <cell r="J370" t="str">
            <v>UHE Três Irmãos</v>
          </cell>
          <cell r="K370">
            <v>0</v>
          </cell>
          <cell r="L370">
            <v>0</v>
          </cell>
          <cell r="M370">
            <v>0</v>
          </cell>
          <cell r="N370">
            <v>0</v>
          </cell>
          <cell r="O370">
            <v>0</v>
          </cell>
          <cell r="P370">
            <v>0</v>
          </cell>
          <cell r="Q370">
            <v>0</v>
          </cell>
          <cell r="R370">
            <v>0</v>
          </cell>
          <cell r="S370">
            <v>0</v>
          </cell>
          <cell r="T370">
            <v>0</v>
          </cell>
          <cell r="U370">
            <v>0</v>
          </cell>
          <cell r="V370">
            <v>0</v>
          </cell>
          <cell r="W370">
            <v>0</v>
          </cell>
        </row>
        <row r="371">
          <cell r="G371" t="str">
            <v>EGHI.0003</v>
          </cell>
          <cell r="H371" t="str">
            <v>Modernização SDSD e Proteção (Usina e subestação) da UHE Colíder</v>
          </cell>
          <cell r="I371"/>
          <cell r="J371" t="str">
            <v>UHE Colíder</v>
          </cell>
          <cell r="K371">
            <v>0</v>
          </cell>
          <cell r="L371">
            <v>0</v>
          </cell>
          <cell r="M371">
            <v>0</v>
          </cell>
          <cell r="N371">
            <v>0</v>
          </cell>
          <cell r="O371">
            <v>0</v>
          </cell>
          <cell r="P371">
            <v>0</v>
          </cell>
          <cell r="Q371">
            <v>0</v>
          </cell>
          <cell r="R371">
            <v>0</v>
          </cell>
          <cell r="S371">
            <v>0</v>
          </cell>
          <cell r="T371">
            <v>0</v>
          </cell>
          <cell r="U371">
            <v>0</v>
          </cell>
          <cell r="V371">
            <v>0</v>
          </cell>
          <cell r="W371">
            <v>0</v>
          </cell>
        </row>
        <row r="372">
          <cell r="G372" t="str">
            <v>A definir</v>
          </cell>
          <cell r="H372" t="str">
            <v>Retrofit das pás das turbinas das Unidades Geradoras da UHE Três Irmãos</v>
          </cell>
          <cell r="I372"/>
          <cell r="J372" t="str">
            <v>UHE Três Irmãos</v>
          </cell>
          <cell r="K372">
            <v>0</v>
          </cell>
          <cell r="L372">
            <v>0</v>
          </cell>
          <cell r="M372">
            <v>0</v>
          </cell>
          <cell r="N372">
            <v>0</v>
          </cell>
          <cell r="O372">
            <v>0</v>
          </cell>
          <cell r="P372">
            <v>0</v>
          </cell>
          <cell r="Q372">
            <v>0</v>
          </cell>
          <cell r="R372">
            <v>0</v>
          </cell>
          <cell r="S372">
            <v>0</v>
          </cell>
          <cell r="T372">
            <v>0</v>
          </cell>
          <cell r="U372">
            <v>0</v>
          </cell>
          <cell r="V372">
            <v>0</v>
          </cell>
          <cell r="W372">
            <v>0</v>
          </cell>
        </row>
        <row r="373">
          <cell r="G373" t="str">
            <v>FGHI.0158</v>
          </cell>
          <cell r="H373" t="str">
            <v>Retrofit - modernização de equipamentos UHE Corumbá</v>
          </cell>
          <cell r="I373"/>
          <cell r="J373" t="str">
            <v>UHE Corumbá</v>
          </cell>
          <cell r="K373">
            <v>0</v>
          </cell>
          <cell r="L373">
            <v>0</v>
          </cell>
          <cell r="M373">
            <v>0</v>
          </cell>
          <cell r="N373">
            <v>0</v>
          </cell>
          <cell r="O373">
            <v>0</v>
          </cell>
          <cell r="P373">
            <v>0</v>
          </cell>
          <cell r="Q373">
            <v>0</v>
          </cell>
          <cell r="R373">
            <v>0</v>
          </cell>
          <cell r="S373">
            <v>0</v>
          </cell>
          <cell r="T373">
            <v>0</v>
          </cell>
          <cell r="U373">
            <v>0</v>
          </cell>
          <cell r="V373">
            <v>0</v>
          </cell>
          <cell r="W373">
            <v>0</v>
          </cell>
        </row>
        <row r="374">
          <cell r="G374" t="str">
            <v>EGHI.0003</v>
          </cell>
          <cell r="H374" t="str">
            <v>Retrofit  das pás das turbinas das Unidades Geradoras</v>
          </cell>
          <cell r="I374"/>
          <cell r="J374" t="str">
            <v>UHE Colíder</v>
          </cell>
          <cell r="K374">
            <v>0</v>
          </cell>
          <cell r="L374">
            <v>0</v>
          </cell>
          <cell r="M374">
            <v>0</v>
          </cell>
          <cell r="N374">
            <v>0</v>
          </cell>
          <cell r="O374">
            <v>0</v>
          </cell>
          <cell r="P374">
            <v>0</v>
          </cell>
          <cell r="Q374">
            <v>0</v>
          </cell>
          <cell r="R374">
            <v>0</v>
          </cell>
          <cell r="S374">
            <v>0</v>
          </cell>
          <cell r="T374">
            <v>0</v>
          </cell>
          <cell r="U374">
            <v>0</v>
          </cell>
          <cell r="V374">
            <v>0</v>
          </cell>
          <cell r="W374">
            <v>0</v>
          </cell>
        </row>
        <row r="375">
          <cell r="G375" t="str">
            <v>EGHI.0003</v>
          </cell>
          <cell r="H375" t="str">
            <v>Modernização do Enrolamento estator das UGs da UHE Colíder</v>
          </cell>
          <cell r="I375"/>
          <cell r="J375" t="str">
            <v>UHE Colíder</v>
          </cell>
          <cell r="K375">
            <v>0</v>
          </cell>
          <cell r="L375">
            <v>0</v>
          </cell>
          <cell r="M375">
            <v>0</v>
          </cell>
          <cell r="N375">
            <v>0</v>
          </cell>
          <cell r="O375">
            <v>0</v>
          </cell>
          <cell r="P375">
            <v>0</v>
          </cell>
          <cell r="Q375">
            <v>0</v>
          </cell>
          <cell r="R375">
            <v>0</v>
          </cell>
          <cell r="S375">
            <v>0</v>
          </cell>
          <cell r="T375">
            <v>0</v>
          </cell>
          <cell r="U375">
            <v>0</v>
          </cell>
          <cell r="V375">
            <v>0</v>
          </cell>
          <cell r="W375">
            <v>0</v>
          </cell>
        </row>
        <row r="376">
          <cell r="G376" t="str">
            <v>FGHI.0165</v>
          </cell>
          <cell r="H376" t="str">
            <v>Retrofit - Aquisição de materias para instalação dos compressores de ar de serviço da usina UHE Marimbondo</v>
          </cell>
          <cell r="I376"/>
          <cell r="J376" t="str">
            <v>UHE Marimbondo</v>
          </cell>
          <cell r="K376">
            <v>0</v>
          </cell>
          <cell r="L376">
            <v>0</v>
          </cell>
          <cell r="M376">
            <v>0</v>
          </cell>
          <cell r="N376">
            <v>0</v>
          </cell>
          <cell r="O376">
            <v>0</v>
          </cell>
          <cell r="P376">
            <v>0</v>
          </cell>
          <cell r="Q376">
            <v>0</v>
          </cell>
          <cell r="R376">
            <v>0</v>
          </cell>
          <cell r="S376">
            <v>0</v>
          </cell>
          <cell r="T376">
            <v>0</v>
          </cell>
          <cell r="U376">
            <v>0</v>
          </cell>
          <cell r="V376">
            <v>0</v>
          </cell>
          <cell r="W376">
            <v>0</v>
          </cell>
        </row>
        <row r="377">
          <cell r="G377" t="str">
            <v>EGHI.0003</v>
          </cell>
          <cell r="H377" t="str">
            <v>UHE Colíder - Sistemas Auxiliares de Corrente Alternada e Corrente Contínua</v>
          </cell>
          <cell r="I377"/>
          <cell r="J377" t="str">
            <v>UHE Colíder</v>
          </cell>
          <cell r="K377">
            <v>0</v>
          </cell>
          <cell r="L377">
            <v>0</v>
          </cell>
          <cell r="M377">
            <v>0</v>
          </cell>
          <cell r="N377">
            <v>0</v>
          </cell>
          <cell r="O377">
            <v>0</v>
          </cell>
          <cell r="P377">
            <v>0</v>
          </cell>
          <cell r="Q377">
            <v>0</v>
          </cell>
          <cell r="R377">
            <v>0</v>
          </cell>
          <cell r="S377">
            <v>0</v>
          </cell>
          <cell r="T377">
            <v>0</v>
          </cell>
          <cell r="U377">
            <v>0</v>
          </cell>
          <cell r="V377">
            <v>0</v>
          </cell>
          <cell r="W377">
            <v>0</v>
          </cell>
        </row>
        <row r="378">
          <cell r="G378" t="str">
            <v>A definir</v>
          </cell>
          <cell r="H378" t="str">
            <v>Equipamentos Movimentação de Carga</v>
          </cell>
          <cell r="I378"/>
          <cell r="J378" t="str">
            <v>UHE Três Irmãos</v>
          </cell>
          <cell r="K378">
            <v>0</v>
          </cell>
          <cell r="L378">
            <v>0</v>
          </cell>
          <cell r="M378">
            <v>0</v>
          </cell>
          <cell r="N378">
            <v>0</v>
          </cell>
          <cell r="O378">
            <v>0</v>
          </cell>
          <cell r="P378">
            <v>0</v>
          </cell>
          <cell r="Q378">
            <v>0</v>
          </cell>
          <cell r="R378">
            <v>0</v>
          </cell>
          <cell r="S378">
            <v>0</v>
          </cell>
          <cell r="T378">
            <v>0</v>
          </cell>
          <cell r="U378">
            <v>0</v>
          </cell>
          <cell r="V378">
            <v>0</v>
          </cell>
          <cell r="W378">
            <v>0</v>
          </cell>
        </row>
        <row r="379">
          <cell r="G379" t="str">
            <v>EGHI.0003</v>
          </cell>
          <cell r="H379" t="str">
            <v>UHE Colíder - Modernização do Regulador de velocidade</v>
          </cell>
          <cell r="I379"/>
          <cell r="J379" t="str">
            <v>UHE Colíder</v>
          </cell>
          <cell r="K379">
            <v>0</v>
          </cell>
          <cell r="L379">
            <v>0</v>
          </cell>
          <cell r="M379">
            <v>0</v>
          </cell>
          <cell r="N379">
            <v>0</v>
          </cell>
          <cell r="O379">
            <v>0</v>
          </cell>
          <cell r="P379">
            <v>0</v>
          </cell>
          <cell r="Q379">
            <v>0</v>
          </cell>
          <cell r="R379">
            <v>0</v>
          </cell>
          <cell r="S379">
            <v>0</v>
          </cell>
          <cell r="T379">
            <v>0</v>
          </cell>
          <cell r="U379">
            <v>0</v>
          </cell>
          <cell r="V379">
            <v>0</v>
          </cell>
          <cell r="W379">
            <v>0</v>
          </cell>
        </row>
        <row r="380">
          <cell r="G380" t="str">
            <v>FGHI.0161</v>
          </cell>
          <cell r="H380" t="str">
            <v>UHE Itumbiara - Substituição das vedações das comportas do vertedouro e stop logs</v>
          </cell>
          <cell r="I380"/>
          <cell r="J380" t="str">
            <v>UHE Itumbiara</v>
          </cell>
          <cell r="K380">
            <v>0</v>
          </cell>
          <cell r="L380">
            <v>0</v>
          </cell>
          <cell r="M380">
            <v>0</v>
          </cell>
          <cell r="N380">
            <v>0</v>
          </cell>
          <cell r="O380">
            <v>0</v>
          </cell>
          <cell r="P380">
            <v>0</v>
          </cell>
          <cell r="Q380">
            <v>0</v>
          </cell>
          <cell r="R380">
            <v>0</v>
          </cell>
          <cell r="S380">
            <v>0</v>
          </cell>
          <cell r="T380">
            <v>0</v>
          </cell>
          <cell r="U380">
            <v>0</v>
          </cell>
          <cell r="V380">
            <v>0</v>
          </cell>
          <cell r="W380">
            <v>0</v>
          </cell>
        </row>
        <row r="381">
          <cell r="G381" t="str">
            <v>FGHI.0161</v>
          </cell>
          <cell r="H381" t="str">
            <v>UHE Itumbiara - Construção de caixa separadora água e óleo</v>
          </cell>
          <cell r="I381"/>
          <cell r="J381" t="str">
            <v>UHE Itumbiara</v>
          </cell>
          <cell r="K381">
            <v>0</v>
          </cell>
          <cell r="L381">
            <v>0</v>
          </cell>
          <cell r="M381">
            <v>0</v>
          </cell>
          <cell r="N381">
            <v>0</v>
          </cell>
          <cell r="O381">
            <v>0</v>
          </cell>
          <cell r="P381">
            <v>0</v>
          </cell>
          <cell r="Q381">
            <v>0</v>
          </cell>
          <cell r="R381">
            <v>0</v>
          </cell>
          <cell r="S381">
            <v>0</v>
          </cell>
          <cell r="T381">
            <v>0</v>
          </cell>
          <cell r="U381">
            <v>0</v>
          </cell>
          <cell r="V381">
            <v>0</v>
          </cell>
          <cell r="W381">
            <v>0</v>
          </cell>
        </row>
        <row r="382">
          <cell r="G382" t="str">
            <v>EGHI.0003</v>
          </cell>
          <cell r="H382" t="str">
            <v>UHE Colíder - Moderização do sistema de drenagem da galeria (bombeamento e tubulações)</v>
          </cell>
          <cell r="I382"/>
          <cell r="J382" t="str">
            <v>UHE Colíder</v>
          </cell>
          <cell r="K382">
            <v>0</v>
          </cell>
          <cell r="L382">
            <v>0</v>
          </cell>
          <cell r="M382">
            <v>0</v>
          </cell>
          <cell r="N382">
            <v>0</v>
          </cell>
          <cell r="O382">
            <v>0</v>
          </cell>
          <cell r="P382">
            <v>0</v>
          </cell>
          <cell r="Q382">
            <v>0</v>
          </cell>
          <cell r="R382">
            <v>0</v>
          </cell>
          <cell r="S382">
            <v>0</v>
          </cell>
          <cell r="T382">
            <v>0</v>
          </cell>
          <cell r="U382">
            <v>0</v>
          </cell>
          <cell r="V382">
            <v>0</v>
          </cell>
          <cell r="W382">
            <v>0</v>
          </cell>
        </row>
        <row r="383">
          <cell r="G383" t="str">
            <v>FGHI.0159</v>
          </cell>
          <cell r="H383" t="str">
            <v>Modernização comportas do vertedouro - VME e VME UHE Funil</v>
          </cell>
          <cell r="I383"/>
          <cell r="J383" t="str">
            <v>UHE Funil</v>
          </cell>
          <cell r="K383">
            <v>0</v>
          </cell>
          <cell r="L383">
            <v>0</v>
          </cell>
          <cell r="M383">
            <v>0</v>
          </cell>
          <cell r="N383">
            <v>0</v>
          </cell>
          <cell r="O383">
            <v>0</v>
          </cell>
          <cell r="P383">
            <v>0</v>
          </cell>
          <cell r="Q383">
            <v>0</v>
          </cell>
          <cell r="R383">
            <v>0</v>
          </cell>
          <cell r="S383">
            <v>0</v>
          </cell>
          <cell r="T383">
            <v>0</v>
          </cell>
          <cell r="U383">
            <v>0</v>
          </cell>
          <cell r="V383">
            <v>0</v>
          </cell>
          <cell r="W383">
            <v>0</v>
          </cell>
        </row>
        <row r="384">
          <cell r="G384" t="str">
            <v>FGHI.0159</v>
          </cell>
          <cell r="H384" t="str">
            <v>Retrofit  das pás das turbinas das Unidades Geradoras UHE Funil</v>
          </cell>
          <cell r="I384"/>
          <cell r="J384" t="str">
            <v>UHE Funil</v>
          </cell>
          <cell r="K384">
            <v>0</v>
          </cell>
          <cell r="L384">
            <v>0</v>
          </cell>
          <cell r="M384">
            <v>0</v>
          </cell>
          <cell r="N384">
            <v>0</v>
          </cell>
          <cell r="O384">
            <v>0</v>
          </cell>
          <cell r="P384">
            <v>0</v>
          </cell>
          <cell r="Q384">
            <v>0</v>
          </cell>
          <cell r="R384">
            <v>0</v>
          </cell>
          <cell r="S384">
            <v>0</v>
          </cell>
          <cell r="T384">
            <v>0</v>
          </cell>
          <cell r="U384">
            <v>0</v>
          </cell>
          <cell r="V384">
            <v>0</v>
          </cell>
          <cell r="W384">
            <v>0</v>
          </cell>
        </row>
        <row r="385">
          <cell r="G385" t="str">
            <v>FGHI.0164</v>
          </cell>
          <cell r="H385" t="str">
            <v>Retrofit  das pás das turbinas das Unidades Geradoras UHE Manso</v>
          </cell>
          <cell r="I385"/>
          <cell r="J385" t="str">
            <v>UHE Manso</v>
          </cell>
          <cell r="K385">
            <v>0</v>
          </cell>
          <cell r="L385">
            <v>0</v>
          </cell>
          <cell r="M385">
            <v>0</v>
          </cell>
          <cell r="N385">
            <v>0</v>
          </cell>
          <cell r="O385">
            <v>0</v>
          </cell>
          <cell r="P385">
            <v>0</v>
          </cell>
          <cell r="Q385">
            <v>0</v>
          </cell>
          <cell r="R385">
            <v>0</v>
          </cell>
          <cell r="S385">
            <v>0</v>
          </cell>
          <cell r="T385">
            <v>0</v>
          </cell>
          <cell r="U385">
            <v>0</v>
          </cell>
          <cell r="V385">
            <v>0</v>
          </cell>
          <cell r="W385">
            <v>0</v>
          </cell>
        </row>
        <row r="386">
          <cell r="G386" t="str">
            <v>FGHI.0159</v>
          </cell>
          <cell r="H386" t="str">
            <v>Modernização das comportas ensecadeiras tomada dágua e canal de fuga UHE Funil</v>
          </cell>
          <cell r="I386"/>
          <cell r="J386" t="str">
            <v>UHE Funil</v>
          </cell>
          <cell r="K386">
            <v>0</v>
          </cell>
          <cell r="L386">
            <v>0</v>
          </cell>
          <cell r="M386">
            <v>0</v>
          </cell>
          <cell r="N386">
            <v>0</v>
          </cell>
          <cell r="O386">
            <v>0</v>
          </cell>
          <cell r="P386">
            <v>0</v>
          </cell>
          <cell r="Q386">
            <v>0</v>
          </cell>
          <cell r="R386">
            <v>0</v>
          </cell>
          <cell r="S386">
            <v>0</v>
          </cell>
          <cell r="T386">
            <v>0</v>
          </cell>
          <cell r="U386">
            <v>0</v>
          </cell>
          <cell r="V386">
            <v>0</v>
          </cell>
          <cell r="W386">
            <v>0</v>
          </cell>
        </row>
        <row r="387">
          <cell r="G387" t="str">
            <v>FGHI.0164</v>
          </cell>
          <cell r="H387" t="str">
            <v>UHE Manso - Modernização dos servomotores do aro de regulação das Turbinas</v>
          </cell>
          <cell r="I387"/>
          <cell r="J387" t="str">
            <v>UHE Manso</v>
          </cell>
          <cell r="K387">
            <v>0</v>
          </cell>
          <cell r="L387">
            <v>0</v>
          </cell>
          <cell r="M387">
            <v>0</v>
          </cell>
          <cell r="N387">
            <v>0</v>
          </cell>
          <cell r="O387">
            <v>0</v>
          </cell>
          <cell r="P387">
            <v>0</v>
          </cell>
          <cell r="Q387">
            <v>0</v>
          </cell>
          <cell r="R387">
            <v>0</v>
          </cell>
          <cell r="S387">
            <v>0</v>
          </cell>
          <cell r="T387">
            <v>0</v>
          </cell>
          <cell r="U387">
            <v>0</v>
          </cell>
          <cell r="V387">
            <v>0</v>
          </cell>
          <cell r="W387">
            <v>0</v>
          </cell>
        </row>
        <row r="388">
          <cell r="G388" t="str">
            <v>FGHI.0167</v>
          </cell>
          <cell r="H388" t="str">
            <v>Obra - Substituição do Telhado da casa de Força da UHE Porto Colômbia - Pós Modernização</v>
          </cell>
          <cell r="I388"/>
          <cell r="J388" t="str">
            <v>UHE Porto Colômbia</v>
          </cell>
          <cell r="K388">
            <v>0</v>
          </cell>
          <cell r="L388">
            <v>0</v>
          </cell>
          <cell r="M388">
            <v>0</v>
          </cell>
          <cell r="N388">
            <v>0</v>
          </cell>
          <cell r="O388">
            <v>0</v>
          </cell>
          <cell r="P388">
            <v>0</v>
          </cell>
          <cell r="Q388">
            <v>0</v>
          </cell>
          <cell r="R388">
            <v>0</v>
          </cell>
          <cell r="S388">
            <v>0</v>
          </cell>
          <cell r="T388">
            <v>0</v>
          </cell>
          <cell r="U388">
            <v>0</v>
          </cell>
          <cell r="V388">
            <v>0</v>
          </cell>
          <cell r="W388">
            <v>0</v>
          </cell>
        </row>
        <row r="389">
          <cell r="G389" t="str">
            <v>FGHI.0158</v>
          </cell>
          <cell r="H389" t="str">
            <v>Retrofit - modernização de equipamentos UHE Corumbá</v>
          </cell>
          <cell r="I389"/>
          <cell r="J389" t="str">
            <v>UHE Corumbá</v>
          </cell>
          <cell r="K389">
            <v>0</v>
          </cell>
          <cell r="L389">
            <v>0</v>
          </cell>
          <cell r="M389">
            <v>0</v>
          </cell>
          <cell r="N389">
            <v>0</v>
          </cell>
          <cell r="O389">
            <v>0</v>
          </cell>
          <cell r="P389">
            <v>0</v>
          </cell>
          <cell r="Q389">
            <v>0</v>
          </cell>
          <cell r="R389">
            <v>0</v>
          </cell>
          <cell r="S389">
            <v>0</v>
          </cell>
          <cell r="T389">
            <v>0</v>
          </cell>
          <cell r="U389">
            <v>0</v>
          </cell>
          <cell r="V389">
            <v>0</v>
          </cell>
          <cell r="W389">
            <v>0</v>
          </cell>
        </row>
        <row r="390">
          <cell r="G390" t="str">
            <v>FGHI.0157</v>
          </cell>
          <cell r="H390" t="str">
            <v>Retrofit - modernização de equipamentos UHE Batalha</v>
          </cell>
          <cell r="I390"/>
          <cell r="J390" t="str">
            <v>UHE Batalha</v>
          </cell>
          <cell r="K390">
            <v>0</v>
          </cell>
          <cell r="L390">
            <v>0</v>
          </cell>
          <cell r="M390">
            <v>0</v>
          </cell>
          <cell r="N390">
            <v>0</v>
          </cell>
          <cell r="O390">
            <v>0</v>
          </cell>
          <cell r="P390">
            <v>0</v>
          </cell>
          <cell r="Q390">
            <v>0</v>
          </cell>
          <cell r="R390">
            <v>0</v>
          </cell>
          <cell r="S390">
            <v>0</v>
          </cell>
          <cell r="T390">
            <v>0</v>
          </cell>
          <cell r="U390">
            <v>0</v>
          </cell>
          <cell r="V390">
            <v>0</v>
          </cell>
          <cell r="W390">
            <v>0</v>
          </cell>
        </row>
        <row r="391">
          <cell r="G391" t="str">
            <v>A definir</v>
          </cell>
          <cell r="H391" t="str">
            <v>Equipamentos Mecânicos</v>
          </cell>
          <cell r="I391"/>
          <cell r="J391" t="str">
            <v>UHE Três Irmãos</v>
          </cell>
          <cell r="K391">
            <v>0</v>
          </cell>
          <cell r="L391">
            <v>0</v>
          </cell>
          <cell r="M391">
            <v>0</v>
          </cell>
          <cell r="N391">
            <v>0</v>
          </cell>
          <cell r="O391">
            <v>0</v>
          </cell>
          <cell r="P391">
            <v>0</v>
          </cell>
          <cell r="Q391">
            <v>0</v>
          </cell>
          <cell r="R391">
            <v>0</v>
          </cell>
          <cell r="S391">
            <v>0</v>
          </cell>
          <cell r="T391">
            <v>0</v>
          </cell>
          <cell r="U391">
            <v>0</v>
          </cell>
          <cell r="V391">
            <v>0</v>
          </cell>
          <cell r="W391">
            <v>0</v>
          </cell>
        </row>
        <row r="392">
          <cell r="G392" t="str">
            <v>FGHI.0168</v>
          </cell>
          <cell r="H392" t="str">
            <v>UHE Serra da Mesa - Atividade PSSBI-Serviços de mapeamento geológico</v>
          </cell>
          <cell r="I392"/>
          <cell r="J392" t="str">
            <v>UHE Serra da Mesa</v>
          </cell>
          <cell r="K392">
            <v>0</v>
          </cell>
          <cell r="L392">
            <v>0</v>
          </cell>
          <cell r="M392">
            <v>0</v>
          </cell>
          <cell r="N392">
            <v>0</v>
          </cell>
          <cell r="O392">
            <v>0</v>
          </cell>
          <cell r="P392">
            <v>0</v>
          </cell>
          <cell r="Q392">
            <v>0</v>
          </cell>
          <cell r="R392">
            <v>0</v>
          </cell>
          <cell r="S392">
            <v>0</v>
          </cell>
          <cell r="T392">
            <v>0</v>
          </cell>
          <cell r="U392">
            <v>0</v>
          </cell>
          <cell r="V392">
            <v>0</v>
          </cell>
          <cell r="W392">
            <v>0</v>
          </cell>
        </row>
        <row r="393">
          <cell r="G393" t="str">
            <v>FGHI.0164</v>
          </cell>
          <cell r="H393" t="str">
            <v>UHE Manso - Obra - Pavimentação de vias internas da área industrial</v>
          </cell>
          <cell r="I393"/>
          <cell r="J393" t="str">
            <v>UHE Manso</v>
          </cell>
          <cell r="K393">
            <v>0</v>
          </cell>
          <cell r="L393">
            <v>0</v>
          </cell>
          <cell r="M393">
            <v>0</v>
          </cell>
          <cell r="N393">
            <v>0</v>
          </cell>
          <cell r="O393">
            <v>0</v>
          </cell>
          <cell r="P393">
            <v>0</v>
          </cell>
          <cell r="Q393">
            <v>0</v>
          </cell>
          <cell r="R393">
            <v>0</v>
          </cell>
          <cell r="S393">
            <v>0</v>
          </cell>
          <cell r="T393">
            <v>0</v>
          </cell>
          <cell r="U393">
            <v>0</v>
          </cell>
          <cell r="V393">
            <v>0</v>
          </cell>
          <cell r="W393">
            <v>0</v>
          </cell>
        </row>
        <row r="394">
          <cell r="G394" t="str">
            <v>A definir</v>
          </cell>
          <cell r="H394" t="str">
            <v xml:space="preserve">Modernização Seccionadoras </v>
          </cell>
          <cell r="I394"/>
          <cell r="J394" t="str">
            <v>UHE Três Irmãos</v>
          </cell>
          <cell r="K394">
            <v>0</v>
          </cell>
          <cell r="L394">
            <v>0</v>
          </cell>
          <cell r="M394">
            <v>0</v>
          </cell>
          <cell r="N394">
            <v>0</v>
          </cell>
          <cell r="O394">
            <v>0</v>
          </cell>
          <cell r="P394">
            <v>0</v>
          </cell>
          <cell r="Q394">
            <v>0</v>
          </cell>
          <cell r="R394">
            <v>0</v>
          </cell>
          <cell r="S394">
            <v>0</v>
          </cell>
          <cell r="T394">
            <v>0</v>
          </cell>
          <cell r="U394">
            <v>0</v>
          </cell>
          <cell r="V394">
            <v>0</v>
          </cell>
          <cell r="W394">
            <v>0</v>
          </cell>
        </row>
        <row r="395">
          <cell r="G395" t="str">
            <v>EGHI.0003</v>
          </cell>
          <cell r="H395" t="str">
            <v>UHE Colíder - Modernização do sistema de monitoramento de descargas parciais</v>
          </cell>
          <cell r="I395"/>
          <cell r="J395" t="str">
            <v>UHE Colíder</v>
          </cell>
          <cell r="K395">
            <v>0</v>
          </cell>
          <cell r="L395">
            <v>0</v>
          </cell>
          <cell r="M395">
            <v>0</v>
          </cell>
          <cell r="N395">
            <v>0</v>
          </cell>
          <cell r="O395">
            <v>0</v>
          </cell>
          <cell r="P395">
            <v>0</v>
          </cell>
          <cell r="Q395">
            <v>0</v>
          </cell>
          <cell r="R395">
            <v>0</v>
          </cell>
          <cell r="S395">
            <v>0</v>
          </cell>
          <cell r="T395">
            <v>0</v>
          </cell>
          <cell r="U395">
            <v>0</v>
          </cell>
          <cell r="V395">
            <v>0</v>
          </cell>
          <cell r="W395">
            <v>0</v>
          </cell>
        </row>
        <row r="396">
          <cell r="G396" t="str">
            <v>FGHI.0156</v>
          </cell>
          <cell r="H396" t="str">
            <v>Adequação as Normas da Segurança do Trabalho da PCH Anta - Linha de vida</v>
          </cell>
          <cell r="I396"/>
          <cell r="J396" t="str">
            <v>PCH Anta</v>
          </cell>
          <cell r="K396">
            <v>0</v>
          </cell>
          <cell r="L396">
            <v>0</v>
          </cell>
          <cell r="M396">
            <v>0</v>
          </cell>
          <cell r="N396">
            <v>0</v>
          </cell>
          <cell r="O396">
            <v>0</v>
          </cell>
          <cell r="P396">
            <v>0</v>
          </cell>
          <cell r="Q396">
            <v>0</v>
          </cell>
          <cell r="R396">
            <v>0</v>
          </cell>
          <cell r="S396">
            <v>0</v>
          </cell>
          <cell r="T396">
            <v>0</v>
          </cell>
          <cell r="U396">
            <v>0</v>
          </cell>
          <cell r="V396">
            <v>0</v>
          </cell>
          <cell r="W396">
            <v>0</v>
          </cell>
        </row>
        <row r="397">
          <cell r="G397" t="str">
            <v>FGHI.0157</v>
          </cell>
          <cell r="H397" t="str">
            <v>Retrofit  das pás das turbinas das Unidades Geradoras UHE Batalha</v>
          </cell>
          <cell r="I397"/>
          <cell r="J397" t="str">
            <v>UHE Batalha</v>
          </cell>
          <cell r="K397">
            <v>0</v>
          </cell>
          <cell r="L397">
            <v>0</v>
          </cell>
          <cell r="M397">
            <v>0</v>
          </cell>
          <cell r="N397">
            <v>0</v>
          </cell>
          <cell r="O397">
            <v>0</v>
          </cell>
          <cell r="P397">
            <v>0</v>
          </cell>
          <cell r="Q397">
            <v>0</v>
          </cell>
          <cell r="R397">
            <v>0</v>
          </cell>
          <cell r="S397">
            <v>0</v>
          </cell>
          <cell r="T397">
            <v>0</v>
          </cell>
          <cell r="U397">
            <v>0</v>
          </cell>
          <cell r="V397">
            <v>0</v>
          </cell>
          <cell r="W397">
            <v>0</v>
          </cell>
        </row>
        <row r="398">
          <cell r="G398" t="str">
            <v>FGHI.0164</v>
          </cell>
          <cell r="H398" t="str">
            <v>UHE Manso - Modernização do sistema de monitoramento de temperatura dos mancais</v>
          </cell>
          <cell r="I398"/>
          <cell r="J398" t="str">
            <v>UHE Manso</v>
          </cell>
          <cell r="K398">
            <v>0</v>
          </cell>
          <cell r="L398">
            <v>0</v>
          </cell>
          <cell r="M398">
            <v>0</v>
          </cell>
          <cell r="N398">
            <v>0</v>
          </cell>
          <cell r="O398">
            <v>0</v>
          </cell>
          <cell r="P398">
            <v>0</v>
          </cell>
          <cell r="Q398">
            <v>0</v>
          </cell>
          <cell r="R398">
            <v>0</v>
          </cell>
          <cell r="S398">
            <v>0</v>
          </cell>
          <cell r="T398">
            <v>0</v>
          </cell>
          <cell r="U398">
            <v>0</v>
          </cell>
          <cell r="V398">
            <v>0</v>
          </cell>
          <cell r="W398">
            <v>0</v>
          </cell>
        </row>
        <row r="399">
          <cell r="G399" t="str">
            <v>FGHI.0162</v>
          </cell>
          <cell r="H399" t="str">
            <v>Sobressalentes UAC - ALTUS - UHE Jaguari</v>
          </cell>
          <cell r="I399"/>
          <cell r="J399" t="str">
            <v>UHE Jaguari</v>
          </cell>
          <cell r="K399">
            <v>0</v>
          </cell>
          <cell r="L399">
            <v>0</v>
          </cell>
          <cell r="M399">
            <v>0</v>
          </cell>
          <cell r="N399">
            <v>0</v>
          </cell>
          <cell r="O399">
            <v>0</v>
          </cell>
          <cell r="P399">
            <v>0</v>
          </cell>
          <cell r="Q399">
            <v>0</v>
          </cell>
          <cell r="R399">
            <v>0</v>
          </cell>
          <cell r="S399">
            <v>0</v>
          </cell>
          <cell r="T399">
            <v>0</v>
          </cell>
          <cell r="U399">
            <v>0</v>
          </cell>
          <cell r="V399">
            <v>0</v>
          </cell>
          <cell r="W399">
            <v>0</v>
          </cell>
        </row>
        <row r="400">
          <cell r="G400" t="str">
            <v>FGHI.0156</v>
          </cell>
          <cell r="H400" t="str">
            <v>Modernização dos CLPs das UAsC de supervisão e controle das Comportas Segmento do Vertedouro - PCH Anta</v>
          </cell>
          <cell r="I400"/>
          <cell r="J400" t="str">
            <v>PCH Anta</v>
          </cell>
          <cell r="K400">
            <v>0</v>
          </cell>
          <cell r="L400">
            <v>0</v>
          </cell>
          <cell r="M400">
            <v>0</v>
          </cell>
          <cell r="N400">
            <v>0</v>
          </cell>
          <cell r="O400">
            <v>0</v>
          </cell>
          <cell r="P400">
            <v>0</v>
          </cell>
          <cell r="Q400">
            <v>0</v>
          </cell>
          <cell r="R400">
            <v>0</v>
          </cell>
          <cell r="S400">
            <v>0</v>
          </cell>
          <cell r="T400">
            <v>0</v>
          </cell>
          <cell r="U400">
            <v>0</v>
          </cell>
          <cell r="V400">
            <v>0</v>
          </cell>
          <cell r="W400">
            <v>0</v>
          </cell>
        </row>
        <row r="401">
          <cell r="G401" t="str">
            <v>FGHI.0158</v>
          </cell>
          <cell r="H401" t="str">
            <v>UHE Corumbá - Sistema de Registro de Perturbações</v>
          </cell>
          <cell r="I401"/>
          <cell r="J401" t="str">
            <v>UHE Corumbá</v>
          </cell>
          <cell r="K401">
            <v>0</v>
          </cell>
          <cell r="L401">
            <v>0</v>
          </cell>
          <cell r="M401">
            <v>0</v>
          </cell>
          <cell r="N401">
            <v>0</v>
          </cell>
          <cell r="O401">
            <v>0</v>
          </cell>
          <cell r="P401">
            <v>0</v>
          </cell>
          <cell r="Q401">
            <v>0</v>
          </cell>
          <cell r="R401">
            <v>0</v>
          </cell>
          <cell r="S401">
            <v>0</v>
          </cell>
          <cell r="T401">
            <v>0</v>
          </cell>
          <cell r="U401">
            <v>0</v>
          </cell>
          <cell r="V401">
            <v>0</v>
          </cell>
          <cell r="W401">
            <v>0</v>
          </cell>
        </row>
        <row r="402">
          <cell r="G402" t="str">
            <v>FGHI.0164</v>
          </cell>
          <cell r="H402" t="str">
            <v>UHE Manso - Modernização do sistema SMARTRUNK</v>
          </cell>
          <cell r="I402"/>
          <cell r="J402" t="str">
            <v>UHE Manso</v>
          </cell>
          <cell r="K402">
            <v>0</v>
          </cell>
          <cell r="L402">
            <v>0</v>
          </cell>
          <cell r="M402">
            <v>0</v>
          </cell>
          <cell r="N402">
            <v>0</v>
          </cell>
          <cell r="O402">
            <v>0</v>
          </cell>
          <cell r="P402">
            <v>0</v>
          </cell>
          <cell r="Q402">
            <v>0</v>
          </cell>
          <cell r="R402">
            <v>0</v>
          </cell>
          <cell r="S402">
            <v>0</v>
          </cell>
          <cell r="T402">
            <v>0</v>
          </cell>
          <cell r="U402">
            <v>0</v>
          </cell>
          <cell r="V402">
            <v>0</v>
          </cell>
          <cell r="W402">
            <v>0</v>
          </cell>
        </row>
        <row r="403">
          <cell r="G403" t="str">
            <v>FGHI.0161</v>
          </cell>
          <cell r="H403" t="str">
            <v>UHE Itumbiara - Modernização do Sistema de Destilação de água tratada</v>
          </cell>
          <cell r="I403"/>
          <cell r="J403" t="str">
            <v>UHE Itumbiara</v>
          </cell>
          <cell r="K403">
            <v>0</v>
          </cell>
          <cell r="L403">
            <v>0</v>
          </cell>
          <cell r="M403">
            <v>0</v>
          </cell>
          <cell r="N403">
            <v>0</v>
          </cell>
          <cell r="O403">
            <v>0</v>
          </cell>
          <cell r="P403">
            <v>0</v>
          </cell>
          <cell r="Q403">
            <v>0</v>
          </cell>
          <cell r="R403">
            <v>0</v>
          </cell>
          <cell r="S403">
            <v>0</v>
          </cell>
          <cell r="T403">
            <v>0</v>
          </cell>
          <cell r="U403">
            <v>0</v>
          </cell>
          <cell r="V403">
            <v>0</v>
          </cell>
          <cell r="W403">
            <v>0</v>
          </cell>
        </row>
        <row r="404">
          <cell r="G404" t="str">
            <v>FGHI.0156</v>
          </cell>
          <cell r="H404" t="str">
            <v>Adequação as Normas da Segurança do Trabalho da UHE Simplício - linha de vida</v>
          </cell>
          <cell r="I404"/>
          <cell r="J404" t="str">
            <v>UHE Simplício</v>
          </cell>
          <cell r="K404">
            <v>0</v>
          </cell>
          <cell r="L404">
            <v>0</v>
          </cell>
          <cell r="M404">
            <v>0</v>
          </cell>
          <cell r="N404">
            <v>0</v>
          </cell>
          <cell r="O404">
            <v>0</v>
          </cell>
          <cell r="P404">
            <v>0</v>
          </cell>
          <cell r="Q404">
            <v>0</v>
          </cell>
          <cell r="R404">
            <v>0</v>
          </cell>
          <cell r="S404">
            <v>0</v>
          </cell>
          <cell r="T404">
            <v>0</v>
          </cell>
          <cell r="U404">
            <v>0</v>
          </cell>
          <cell r="V404">
            <v>0</v>
          </cell>
          <cell r="W404">
            <v>0</v>
          </cell>
        </row>
        <row r="405">
          <cell r="G405" t="str">
            <v>FGHI.0156</v>
          </cell>
          <cell r="H405" t="str">
            <v>Modernização dos CLPs das UACs de supervisão e controle das Unidades Geradoras - PCH Anta</v>
          </cell>
          <cell r="I405"/>
          <cell r="J405" t="str">
            <v>PCH Anta</v>
          </cell>
          <cell r="K405">
            <v>0</v>
          </cell>
          <cell r="L405">
            <v>0</v>
          </cell>
          <cell r="M405">
            <v>0</v>
          </cell>
          <cell r="N405">
            <v>0</v>
          </cell>
          <cell r="O405">
            <v>0</v>
          </cell>
          <cell r="P405">
            <v>0</v>
          </cell>
          <cell r="Q405">
            <v>0</v>
          </cell>
          <cell r="R405">
            <v>0</v>
          </cell>
          <cell r="S405">
            <v>0</v>
          </cell>
          <cell r="T405">
            <v>0</v>
          </cell>
          <cell r="U405">
            <v>0</v>
          </cell>
          <cell r="V405">
            <v>0</v>
          </cell>
          <cell r="W405">
            <v>0</v>
          </cell>
        </row>
        <row r="406">
          <cell r="G406" t="str">
            <v>FGHI.0156</v>
          </cell>
          <cell r="H406" t="str">
            <v>Modernização do Sistema de Registro de Perturbações</v>
          </cell>
          <cell r="I406"/>
          <cell r="J406" t="str">
            <v>UHE Simplício</v>
          </cell>
          <cell r="K406">
            <v>0</v>
          </cell>
          <cell r="L406">
            <v>0</v>
          </cell>
          <cell r="M406">
            <v>0</v>
          </cell>
          <cell r="N406">
            <v>0</v>
          </cell>
          <cell r="O406">
            <v>0</v>
          </cell>
          <cell r="P406">
            <v>0</v>
          </cell>
          <cell r="Q406">
            <v>0</v>
          </cell>
          <cell r="R406">
            <v>0</v>
          </cell>
          <cell r="S406">
            <v>0</v>
          </cell>
          <cell r="T406">
            <v>0</v>
          </cell>
          <cell r="U406">
            <v>0</v>
          </cell>
          <cell r="V406">
            <v>0</v>
          </cell>
          <cell r="W406">
            <v>0</v>
          </cell>
        </row>
        <row r="407">
          <cell r="G407" t="str">
            <v>FGHI.0159</v>
          </cell>
          <cell r="H407" t="str">
            <v>Substituição das bombas das unidades hidráulicas UHE Funil</v>
          </cell>
          <cell r="I407"/>
          <cell r="J407" t="str">
            <v>UHE Funil</v>
          </cell>
          <cell r="K407">
            <v>0</v>
          </cell>
          <cell r="L407">
            <v>0</v>
          </cell>
          <cell r="M407">
            <v>0</v>
          </cell>
          <cell r="N407">
            <v>0</v>
          </cell>
          <cell r="O407">
            <v>0</v>
          </cell>
          <cell r="P407">
            <v>0</v>
          </cell>
          <cell r="Q407">
            <v>0</v>
          </cell>
          <cell r="R407">
            <v>0</v>
          </cell>
          <cell r="S407">
            <v>0</v>
          </cell>
          <cell r="T407">
            <v>0</v>
          </cell>
          <cell r="U407">
            <v>0</v>
          </cell>
          <cell r="V407">
            <v>0</v>
          </cell>
          <cell r="W407">
            <v>0</v>
          </cell>
        </row>
        <row r="408">
          <cell r="G408" t="str">
            <v>FGHI.0158</v>
          </cell>
          <cell r="H408" t="str">
            <v>UHE Corumbá - Modernização das pontes rolantes da casa de força</v>
          </cell>
          <cell r="I408"/>
          <cell r="J408" t="str">
            <v>UHE Corumbá</v>
          </cell>
          <cell r="K408">
            <v>0</v>
          </cell>
          <cell r="L408">
            <v>0</v>
          </cell>
          <cell r="M408">
            <v>0</v>
          </cell>
          <cell r="N408">
            <v>0</v>
          </cell>
          <cell r="O408">
            <v>0</v>
          </cell>
          <cell r="P408">
            <v>0</v>
          </cell>
          <cell r="Q408">
            <v>0</v>
          </cell>
          <cell r="R408">
            <v>0</v>
          </cell>
          <cell r="S408">
            <v>0</v>
          </cell>
          <cell r="T408">
            <v>0</v>
          </cell>
          <cell r="U408">
            <v>0</v>
          </cell>
          <cell r="V408">
            <v>0</v>
          </cell>
          <cell r="W408">
            <v>0</v>
          </cell>
        </row>
        <row r="409">
          <cell r="G409" t="str">
            <v>FGHI.0162</v>
          </cell>
          <cell r="H409" t="str">
            <v>Implantação de linha de vida - UHE Jaguari</v>
          </cell>
          <cell r="I409"/>
          <cell r="J409" t="str">
            <v>UHE Jaguari</v>
          </cell>
          <cell r="K409">
            <v>0</v>
          </cell>
          <cell r="L409">
            <v>0</v>
          </cell>
          <cell r="M409">
            <v>0</v>
          </cell>
          <cell r="N409">
            <v>0</v>
          </cell>
          <cell r="O409">
            <v>0</v>
          </cell>
          <cell r="P409">
            <v>0</v>
          </cell>
          <cell r="Q409">
            <v>0</v>
          </cell>
          <cell r="R409">
            <v>0</v>
          </cell>
          <cell r="S409">
            <v>0</v>
          </cell>
          <cell r="T409">
            <v>0</v>
          </cell>
          <cell r="U409">
            <v>0</v>
          </cell>
          <cell r="V409">
            <v>0</v>
          </cell>
          <cell r="W409">
            <v>0</v>
          </cell>
        </row>
        <row r="410">
          <cell r="G410" t="str">
            <v>FGHI.0162</v>
          </cell>
          <cell r="H410" t="str">
            <v>Instalação de sistema de comunicação local - Comunicação com a UHE Funil</v>
          </cell>
          <cell r="I410"/>
          <cell r="J410" t="str">
            <v>UHE Jaguari</v>
          </cell>
          <cell r="K410">
            <v>0</v>
          </cell>
          <cell r="L410">
            <v>0</v>
          </cell>
          <cell r="M410">
            <v>0</v>
          </cell>
          <cell r="N410">
            <v>0</v>
          </cell>
          <cell r="O410">
            <v>0</v>
          </cell>
          <cell r="P410">
            <v>0</v>
          </cell>
          <cell r="Q410">
            <v>0</v>
          </cell>
          <cell r="R410">
            <v>0</v>
          </cell>
          <cell r="S410">
            <v>0</v>
          </cell>
          <cell r="T410">
            <v>0</v>
          </cell>
          <cell r="U410">
            <v>0</v>
          </cell>
          <cell r="V410">
            <v>0</v>
          </cell>
          <cell r="W410">
            <v>0</v>
          </cell>
        </row>
        <row r="411">
          <cell r="G411" t="str">
            <v>FGHI.0164</v>
          </cell>
          <cell r="H411" t="str">
            <v>UHE Manso - Modernização do sistema de indicação de posição das comportas de serviço</v>
          </cell>
          <cell r="I411"/>
          <cell r="J411" t="str">
            <v>UHE Manso</v>
          </cell>
          <cell r="K411">
            <v>0</v>
          </cell>
          <cell r="L411">
            <v>0</v>
          </cell>
          <cell r="M411">
            <v>0</v>
          </cell>
          <cell r="N411">
            <v>0</v>
          </cell>
          <cell r="O411">
            <v>0</v>
          </cell>
          <cell r="P411">
            <v>0</v>
          </cell>
          <cell r="Q411">
            <v>0</v>
          </cell>
          <cell r="R411">
            <v>0</v>
          </cell>
          <cell r="S411">
            <v>0</v>
          </cell>
          <cell r="T411">
            <v>0</v>
          </cell>
          <cell r="U411">
            <v>0</v>
          </cell>
          <cell r="V411">
            <v>0</v>
          </cell>
          <cell r="W411">
            <v>0</v>
          </cell>
        </row>
        <row r="412">
          <cell r="G412" t="str">
            <v>FGHI.0158</v>
          </cell>
          <cell r="H412" t="str">
            <v>UHE Corumbá - Modernização da instrumentação de supervisão dos mancais das Unidades Geradoras</v>
          </cell>
          <cell r="I412"/>
          <cell r="J412" t="str">
            <v>UHE Corumbá</v>
          </cell>
          <cell r="K412">
            <v>0</v>
          </cell>
          <cell r="L412">
            <v>0</v>
          </cell>
          <cell r="M412">
            <v>0</v>
          </cell>
          <cell r="N412">
            <v>0</v>
          </cell>
          <cell r="O412">
            <v>0</v>
          </cell>
          <cell r="P412">
            <v>0</v>
          </cell>
          <cell r="Q412">
            <v>0</v>
          </cell>
          <cell r="R412">
            <v>0</v>
          </cell>
          <cell r="S412">
            <v>0</v>
          </cell>
          <cell r="T412">
            <v>0</v>
          </cell>
          <cell r="U412">
            <v>0</v>
          </cell>
          <cell r="V412">
            <v>0</v>
          </cell>
          <cell r="W412">
            <v>0</v>
          </cell>
        </row>
        <row r="413">
          <cell r="G413" t="str">
            <v>FGHI.0163</v>
          </cell>
          <cell r="H413" t="str">
            <v>Retrofit do sistema de controle da comporta de adução da UG04 / UG 05 / UG 06 UHE Luiz Carlos Barreto de Carvalho</v>
          </cell>
          <cell r="I413"/>
          <cell r="J413" t="str">
            <v>UHE Luiz Carlos Barreto de Carvalho</v>
          </cell>
          <cell r="K413">
            <v>0</v>
          </cell>
          <cell r="L413">
            <v>0</v>
          </cell>
          <cell r="M413">
            <v>0</v>
          </cell>
          <cell r="N413">
            <v>0</v>
          </cell>
          <cell r="O413">
            <v>0</v>
          </cell>
          <cell r="P413">
            <v>0</v>
          </cell>
          <cell r="Q413">
            <v>0</v>
          </cell>
          <cell r="R413">
            <v>0</v>
          </cell>
          <cell r="S413">
            <v>0</v>
          </cell>
          <cell r="T413">
            <v>0</v>
          </cell>
          <cell r="U413">
            <v>0</v>
          </cell>
          <cell r="V413">
            <v>0</v>
          </cell>
          <cell r="W413">
            <v>0</v>
          </cell>
        </row>
        <row r="414">
          <cell r="G414" t="str">
            <v>FGHI.0160</v>
          </cell>
          <cell r="H414" t="str">
            <v xml:space="preserve">Mod. palhetas da UG07 da UHE Furnas </v>
          </cell>
          <cell r="I414"/>
          <cell r="J414" t="str">
            <v>UHE Furnas</v>
          </cell>
          <cell r="K414">
            <v>0</v>
          </cell>
          <cell r="L414">
            <v>0</v>
          </cell>
          <cell r="M414">
            <v>0</v>
          </cell>
          <cell r="N414">
            <v>0</v>
          </cell>
          <cell r="O414">
            <v>0</v>
          </cell>
          <cell r="P414">
            <v>0</v>
          </cell>
          <cell r="Q414">
            <v>0</v>
          </cell>
          <cell r="R414">
            <v>0</v>
          </cell>
          <cell r="S414">
            <v>0</v>
          </cell>
          <cell r="T414">
            <v>0</v>
          </cell>
          <cell r="U414">
            <v>0</v>
          </cell>
          <cell r="V414">
            <v>0</v>
          </cell>
          <cell r="W414">
            <v>0</v>
          </cell>
        </row>
        <row r="415">
          <cell r="G415" t="str">
            <v>FGHI.0160</v>
          </cell>
          <cell r="H415" t="str">
            <v>Modernização do Sistesma de Resfriamento do MC das UG07 e 08 da UHE Furnas</v>
          </cell>
          <cell r="I415"/>
          <cell r="J415" t="str">
            <v>UHE Furnas</v>
          </cell>
          <cell r="K415">
            <v>0</v>
          </cell>
          <cell r="L415">
            <v>0</v>
          </cell>
          <cell r="M415">
            <v>0</v>
          </cell>
          <cell r="N415">
            <v>0</v>
          </cell>
          <cell r="O415">
            <v>0</v>
          </cell>
          <cell r="P415">
            <v>0</v>
          </cell>
          <cell r="Q415">
            <v>0</v>
          </cell>
          <cell r="R415">
            <v>0</v>
          </cell>
          <cell r="S415">
            <v>0</v>
          </cell>
          <cell r="T415">
            <v>0</v>
          </cell>
          <cell r="U415">
            <v>0</v>
          </cell>
          <cell r="V415">
            <v>0</v>
          </cell>
          <cell r="W415">
            <v>0</v>
          </cell>
        </row>
        <row r="416">
          <cell r="G416" t="str">
            <v>FGHI.0160</v>
          </cell>
          <cell r="H416" t="str">
            <v xml:space="preserve">Mod. palhetas da UG08 da UHE Furnas </v>
          </cell>
          <cell r="I416"/>
          <cell r="J416" t="str">
            <v>UHE Furnas</v>
          </cell>
          <cell r="K416">
            <v>0</v>
          </cell>
          <cell r="L416">
            <v>0</v>
          </cell>
          <cell r="M416">
            <v>0</v>
          </cell>
          <cell r="N416">
            <v>0</v>
          </cell>
          <cell r="O416">
            <v>0</v>
          </cell>
          <cell r="P416">
            <v>0</v>
          </cell>
          <cell r="Q416">
            <v>0</v>
          </cell>
          <cell r="R416">
            <v>0</v>
          </cell>
          <cell r="S416">
            <v>0</v>
          </cell>
          <cell r="T416">
            <v>0</v>
          </cell>
          <cell r="U416">
            <v>0</v>
          </cell>
          <cell r="V416">
            <v>0</v>
          </cell>
          <cell r="W416">
            <v>0</v>
          </cell>
        </row>
        <row r="417">
          <cell r="G417" t="str">
            <v>FGHI.0160</v>
          </cell>
          <cell r="H417" t="str">
            <v xml:space="preserve">Modern. SDTT UG07 e 08 da UHE Furnas </v>
          </cell>
          <cell r="I417"/>
          <cell r="J417" t="str">
            <v>UHE Furnas</v>
          </cell>
          <cell r="K417">
            <v>0</v>
          </cell>
          <cell r="L417">
            <v>0</v>
          </cell>
          <cell r="M417">
            <v>0</v>
          </cell>
          <cell r="N417">
            <v>0</v>
          </cell>
          <cell r="O417">
            <v>0</v>
          </cell>
          <cell r="P417">
            <v>0</v>
          </cell>
          <cell r="Q417">
            <v>0</v>
          </cell>
          <cell r="R417">
            <v>0</v>
          </cell>
          <cell r="S417">
            <v>0</v>
          </cell>
          <cell r="T417">
            <v>0</v>
          </cell>
          <cell r="U417">
            <v>0</v>
          </cell>
          <cell r="V417">
            <v>0</v>
          </cell>
          <cell r="W417">
            <v>0</v>
          </cell>
        </row>
        <row r="418">
          <cell r="G418" t="str">
            <v>FGHI.0162</v>
          </cell>
          <cell r="H418" t="str">
            <v>Instalação de CITV  - UHE Jaguari</v>
          </cell>
          <cell r="I418"/>
          <cell r="J418" t="str">
            <v>UHE Jaguari</v>
          </cell>
          <cell r="K418">
            <v>0</v>
          </cell>
          <cell r="L418">
            <v>0</v>
          </cell>
          <cell r="M418">
            <v>0</v>
          </cell>
          <cell r="N418">
            <v>0</v>
          </cell>
          <cell r="O418">
            <v>0</v>
          </cell>
          <cell r="P418">
            <v>0</v>
          </cell>
          <cell r="Q418">
            <v>0</v>
          </cell>
          <cell r="R418">
            <v>0</v>
          </cell>
          <cell r="S418">
            <v>0</v>
          </cell>
          <cell r="T418">
            <v>0</v>
          </cell>
          <cell r="U418">
            <v>0</v>
          </cell>
          <cell r="V418">
            <v>0</v>
          </cell>
          <cell r="W418">
            <v>0</v>
          </cell>
        </row>
        <row r="419">
          <cell r="G419" t="str">
            <v>FGHI.0156</v>
          </cell>
          <cell r="H419" t="str">
            <v>PCH Anta - Ampliação da cobertura de monitoramento da vigilância</v>
          </cell>
          <cell r="I419"/>
          <cell r="J419" t="str">
            <v>PCH Anta</v>
          </cell>
          <cell r="K419">
            <v>0</v>
          </cell>
          <cell r="L419">
            <v>0</v>
          </cell>
          <cell r="M419">
            <v>0</v>
          </cell>
          <cell r="N419">
            <v>0</v>
          </cell>
          <cell r="O419">
            <v>0</v>
          </cell>
          <cell r="P419">
            <v>0</v>
          </cell>
          <cell r="Q419">
            <v>0</v>
          </cell>
          <cell r="R419">
            <v>0</v>
          </cell>
          <cell r="S419">
            <v>0</v>
          </cell>
          <cell r="T419">
            <v>0</v>
          </cell>
          <cell r="U419">
            <v>0</v>
          </cell>
          <cell r="V419">
            <v>0</v>
          </cell>
          <cell r="W419">
            <v>0</v>
          </cell>
        </row>
        <row r="420">
          <cell r="G420" t="str">
            <v>FGHI.0158</v>
          </cell>
          <cell r="H420" t="str">
            <v>UHE Corumbá - Alimentação do serviço auxiliar da Usina pelo terciário AT01 (CNT)</v>
          </cell>
          <cell r="I420"/>
          <cell r="J420" t="str">
            <v>UHE Corumbá</v>
          </cell>
          <cell r="K420">
            <v>0</v>
          </cell>
          <cell r="L420">
            <v>0</v>
          </cell>
          <cell r="M420">
            <v>0</v>
          </cell>
          <cell r="N420">
            <v>0</v>
          </cell>
          <cell r="O420">
            <v>0</v>
          </cell>
          <cell r="P420">
            <v>0</v>
          </cell>
          <cell r="Q420">
            <v>0</v>
          </cell>
          <cell r="R420">
            <v>0</v>
          </cell>
          <cell r="S420">
            <v>0</v>
          </cell>
          <cell r="T420">
            <v>0</v>
          </cell>
          <cell r="U420">
            <v>0</v>
          </cell>
          <cell r="V420">
            <v>0</v>
          </cell>
          <cell r="W420">
            <v>0</v>
          </cell>
        </row>
        <row r="421">
          <cell r="G421" t="str">
            <v>FGHI.0156</v>
          </cell>
          <cell r="H421" t="str">
            <v xml:space="preserve">Modernização do CLP da UAC de supervisão e controle da Subestação - PCH Anta </v>
          </cell>
          <cell r="I421"/>
          <cell r="J421" t="str">
            <v>PCH Anta</v>
          </cell>
          <cell r="K421">
            <v>0</v>
          </cell>
          <cell r="L421">
            <v>0</v>
          </cell>
          <cell r="M421">
            <v>0</v>
          </cell>
          <cell r="N421">
            <v>0</v>
          </cell>
          <cell r="O421">
            <v>0</v>
          </cell>
          <cell r="P421">
            <v>0</v>
          </cell>
          <cell r="Q421">
            <v>0</v>
          </cell>
          <cell r="R421">
            <v>0</v>
          </cell>
          <cell r="S421">
            <v>0</v>
          </cell>
          <cell r="T421">
            <v>0</v>
          </cell>
          <cell r="U421">
            <v>0</v>
          </cell>
          <cell r="V421">
            <v>0</v>
          </cell>
          <cell r="W421">
            <v>0</v>
          </cell>
        </row>
        <row r="422">
          <cell r="G422" t="str">
            <v>FGHI.0156</v>
          </cell>
          <cell r="H422" t="str">
            <v>Modernização do CLP da UAC de supervisão e controle do Serviço Auxiliar - PCH Anta</v>
          </cell>
          <cell r="I422"/>
          <cell r="J422" t="str">
            <v>PCH Anta</v>
          </cell>
          <cell r="K422">
            <v>0</v>
          </cell>
          <cell r="L422">
            <v>0</v>
          </cell>
          <cell r="M422">
            <v>0</v>
          </cell>
          <cell r="N422">
            <v>0</v>
          </cell>
          <cell r="O422">
            <v>0</v>
          </cell>
          <cell r="P422">
            <v>0</v>
          </cell>
          <cell r="Q422">
            <v>0</v>
          </cell>
          <cell r="R422">
            <v>0</v>
          </cell>
          <cell r="S422">
            <v>0</v>
          </cell>
          <cell r="T422">
            <v>0</v>
          </cell>
          <cell r="U422">
            <v>0</v>
          </cell>
          <cell r="V422">
            <v>0</v>
          </cell>
          <cell r="W422">
            <v>0</v>
          </cell>
        </row>
        <row r="423">
          <cell r="G423" t="str">
            <v>FGHI.0162</v>
          </cell>
          <cell r="H423" t="str">
            <v>Implantação de Sistema de Tratamento de Água - UHE Jaguari</v>
          </cell>
          <cell r="I423"/>
          <cell r="J423" t="str">
            <v>UHE Jaguari</v>
          </cell>
          <cell r="K423">
            <v>0</v>
          </cell>
          <cell r="L423">
            <v>0</v>
          </cell>
          <cell r="M423">
            <v>0</v>
          </cell>
          <cell r="N423">
            <v>0</v>
          </cell>
          <cell r="O423">
            <v>0</v>
          </cell>
          <cell r="P423">
            <v>0</v>
          </cell>
          <cell r="Q423">
            <v>0</v>
          </cell>
          <cell r="R423">
            <v>0</v>
          </cell>
          <cell r="S423">
            <v>0</v>
          </cell>
          <cell r="T423">
            <v>0</v>
          </cell>
          <cell r="U423">
            <v>0</v>
          </cell>
          <cell r="V423">
            <v>0</v>
          </cell>
          <cell r="W423">
            <v>0</v>
          </cell>
        </row>
        <row r="424">
          <cell r="G424" t="str">
            <v>A definir</v>
          </cell>
          <cell r="H424" t="str">
            <v>Modernização Instrumentação Trafo 5</v>
          </cell>
          <cell r="I424"/>
          <cell r="J424" t="str">
            <v>UHE Três Irmãos</v>
          </cell>
          <cell r="K424">
            <v>0</v>
          </cell>
          <cell r="L424">
            <v>0</v>
          </cell>
          <cell r="M424">
            <v>0</v>
          </cell>
          <cell r="N424">
            <v>0</v>
          </cell>
          <cell r="O424">
            <v>0</v>
          </cell>
          <cell r="P424">
            <v>0</v>
          </cell>
          <cell r="Q424">
            <v>0</v>
          </cell>
          <cell r="R424">
            <v>0</v>
          </cell>
          <cell r="S424">
            <v>0</v>
          </cell>
          <cell r="T424">
            <v>0</v>
          </cell>
          <cell r="U424">
            <v>0</v>
          </cell>
          <cell r="V424">
            <v>0</v>
          </cell>
          <cell r="W424">
            <v>0</v>
          </cell>
        </row>
        <row r="425">
          <cell r="G425" t="str">
            <v>FGHI.0156</v>
          </cell>
          <cell r="H425" t="str">
            <v>Modernização das válvulas dos Sistemas de Drenagem Parcial e Total das Unidades Geradoras</v>
          </cell>
          <cell r="I425"/>
          <cell r="J425" t="str">
            <v>UHE Simplício</v>
          </cell>
          <cell r="K425">
            <v>0</v>
          </cell>
          <cell r="L425">
            <v>0</v>
          </cell>
          <cell r="M425">
            <v>0</v>
          </cell>
          <cell r="N425">
            <v>0</v>
          </cell>
          <cell r="O425">
            <v>0</v>
          </cell>
          <cell r="P425">
            <v>0</v>
          </cell>
          <cell r="Q425">
            <v>0</v>
          </cell>
          <cell r="R425">
            <v>0</v>
          </cell>
          <cell r="S425">
            <v>0</v>
          </cell>
          <cell r="T425">
            <v>0</v>
          </cell>
          <cell r="U425">
            <v>0</v>
          </cell>
          <cell r="V425">
            <v>0</v>
          </cell>
          <cell r="W425">
            <v>0</v>
          </cell>
        </row>
        <row r="426">
          <cell r="G426" t="str">
            <v>FGHI.0164</v>
          </cell>
          <cell r="H426" t="str">
            <v>UHE Manso - Modernização do sistema dos bicos de injeção da caixa de vedação</v>
          </cell>
          <cell r="I426"/>
          <cell r="J426" t="str">
            <v>UHE Manso</v>
          </cell>
          <cell r="K426">
            <v>0</v>
          </cell>
          <cell r="L426">
            <v>0</v>
          </cell>
          <cell r="M426">
            <v>0</v>
          </cell>
          <cell r="N426">
            <v>0</v>
          </cell>
          <cell r="O426">
            <v>0</v>
          </cell>
          <cell r="P426">
            <v>0</v>
          </cell>
          <cell r="Q426">
            <v>0</v>
          </cell>
          <cell r="R426">
            <v>0</v>
          </cell>
          <cell r="S426">
            <v>0</v>
          </cell>
          <cell r="T426">
            <v>0</v>
          </cell>
          <cell r="U426">
            <v>0</v>
          </cell>
          <cell r="V426">
            <v>0</v>
          </cell>
          <cell r="W426">
            <v>0</v>
          </cell>
        </row>
        <row r="427">
          <cell r="G427" t="str">
            <v>FGHI.0156</v>
          </cell>
          <cell r="H427" t="str">
            <v>Substituição da UPS da Sala de Controle - PCH Anta</v>
          </cell>
          <cell r="I427"/>
          <cell r="J427" t="str">
            <v>PCH Anta</v>
          </cell>
          <cell r="K427">
            <v>0</v>
          </cell>
          <cell r="L427">
            <v>0</v>
          </cell>
          <cell r="M427">
            <v>0</v>
          </cell>
          <cell r="N427">
            <v>0</v>
          </cell>
          <cell r="O427">
            <v>0</v>
          </cell>
          <cell r="P427">
            <v>0</v>
          </cell>
          <cell r="Q427">
            <v>0</v>
          </cell>
          <cell r="R427">
            <v>0</v>
          </cell>
          <cell r="S427">
            <v>0</v>
          </cell>
          <cell r="T427">
            <v>0</v>
          </cell>
          <cell r="U427">
            <v>0</v>
          </cell>
          <cell r="V427">
            <v>0</v>
          </cell>
          <cell r="W427">
            <v>0</v>
          </cell>
        </row>
        <row r="428">
          <cell r="G428" t="str">
            <v>FGHI.0156</v>
          </cell>
          <cell r="H428" t="str">
            <v>Modernização da Ponte Rolante - UHE Simplício</v>
          </cell>
          <cell r="I428"/>
          <cell r="J428" t="str">
            <v>UHE Simplício</v>
          </cell>
          <cell r="K428">
            <v>0</v>
          </cell>
          <cell r="L428">
            <v>0</v>
          </cell>
          <cell r="M428">
            <v>0</v>
          </cell>
          <cell r="N428">
            <v>0</v>
          </cell>
          <cell r="O428">
            <v>0</v>
          </cell>
          <cell r="P428">
            <v>0</v>
          </cell>
          <cell r="Q428">
            <v>0</v>
          </cell>
          <cell r="R428">
            <v>0</v>
          </cell>
          <cell r="S428">
            <v>0</v>
          </cell>
          <cell r="T428">
            <v>0</v>
          </cell>
          <cell r="U428">
            <v>0</v>
          </cell>
          <cell r="V428">
            <v>0</v>
          </cell>
          <cell r="W428">
            <v>0</v>
          </cell>
        </row>
        <row r="429">
          <cell r="G429" t="str">
            <v>FGHI.0156</v>
          </cell>
          <cell r="H429" t="str">
            <v>Modernização do Pórtico Rolante do Tubo de Sucção - UHE Simplício</v>
          </cell>
          <cell r="I429"/>
          <cell r="J429" t="str">
            <v>UHE Simplício</v>
          </cell>
          <cell r="K429">
            <v>0</v>
          </cell>
          <cell r="L429">
            <v>0</v>
          </cell>
          <cell r="M429">
            <v>0</v>
          </cell>
          <cell r="N429">
            <v>0</v>
          </cell>
          <cell r="O429">
            <v>0</v>
          </cell>
          <cell r="P429">
            <v>0</v>
          </cell>
          <cell r="Q429">
            <v>0</v>
          </cell>
          <cell r="R429">
            <v>0</v>
          </cell>
          <cell r="S429">
            <v>0</v>
          </cell>
          <cell r="T429">
            <v>0</v>
          </cell>
          <cell r="U429">
            <v>0</v>
          </cell>
          <cell r="V429">
            <v>0</v>
          </cell>
          <cell r="W429">
            <v>0</v>
          </cell>
        </row>
        <row r="430">
          <cell r="G430" t="str">
            <v>FGHI.0156</v>
          </cell>
          <cell r="H430" t="str">
            <v>Modernização do Pórtico Rolante da Tomada d`Água - UHE Simplício</v>
          </cell>
          <cell r="I430"/>
          <cell r="J430" t="str">
            <v>UHE Simplício</v>
          </cell>
          <cell r="K430">
            <v>0</v>
          </cell>
          <cell r="L430">
            <v>0</v>
          </cell>
          <cell r="M430">
            <v>0</v>
          </cell>
          <cell r="N430">
            <v>0</v>
          </cell>
          <cell r="O430">
            <v>0</v>
          </cell>
          <cell r="P430">
            <v>0</v>
          </cell>
          <cell r="Q430">
            <v>0</v>
          </cell>
          <cell r="R430">
            <v>0</v>
          </cell>
          <cell r="S430">
            <v>0</v>
          </cell>
          <cell r="T430">
            <v>0</v>
          </cell>
          <cell r="U430">
            <v>0</v>
          </cell>
          <cell r="V430">
            <v>0</v>
          </cell>
          <cell r="W430">
            <v>0</v>
          </cell>
        </row>
        <row r="431">
          <cell r="G431" t="str">
            <v>FGHI.0162</v>
          </cell>
          <cell r="H431" t="str">
            <v>Instalação de CITV no VME UHE Jaguari</v>
          </cell>
          <cell r="I431"/>
          <cell r="J431" t="str">
            <v>UHE Jaguari</v>
          </cell>
          <cell r="K431">
            <v>0</v>
          </cell>
          <cell r="L431">
            <v>0</v>
          </cell>
          <cell r="M431">
            <v>0</v>
          </cell>
          <cell r="N431">
            <v>0</v>
          </cell>
          <cell r="O431">
            <v>0</v>
          </cell>
          <cell r="P431">
            <v>0</v>
          </cell>
          <cell r="Q431">
            <v>0</v>
          </cell>
          <cell r="R431">
            <v>0</v>
          </cell>
          <cell r="S431">
            <v>0</v>
          </cell>
          <cell r="T431">
            <v>0</v>
          </cell>
          <cell r="U431">
            <v>0</v>
          </cell>
          <cell r="V431">
            <v>0</v>
          </cell>
          <cell r="W431">
            <v>0</v>
          </cell>
        </row>
        <row r="432">
          <cell r="G432" t="str">
            <v>FGHI.0158</v>
          </cell>
          <cell r="H432" t="str">
            <v>UHE Corumbá - Modernização do Sistema de Destilação de água tratada</v>
          </cell>
          <cell r="I432"/>
          <cell r="J432" t="str">
            <v>UHE Corumbá</v>
          </cell>
          <cell r="K432">
            <v>0</v>
          </cell>
          <cell r="L432">
            <v>0</v>
          </cell>
          <cell r="M432">
            <v>0</v>
          </cell>
          <cell r="N432">
            <v>0</v>
          </cell>
          <cell r="O432">
            <v>0</v>
          </cell>
          <cell r="P432">
            <v>0</v>
          </cell>
          <cell r="Q432">
            <v>0</v>
          </cell>
          <cell r="R432">
            <v>0</v>
          </cell>
          <cell r="S432">
            <v>0</v>
          </cell>
          <cell r="T432">
            <v>0</v>
          </cell>
          <cell r="U432">
            <v>0</v>
          </cell>
          <cell r="V432">
            <v>0</v>
          </cell>
          <cell r="W432">
            <v>0</v>
          </cell>
        </row>
        <row r="433">
          <cell r="G433" t="str">
            <v>FGHI.0156</v>
          </cell>
          <cell r="H433" t="str">
            <v xml:space="preserve">Ampliação da cobertura de monitoramento da vigilância - UHE Simplício - </v>
          </cell>
          <cell r="I433"/>
          <cell r="J433" t="str">
            <v>UHE Simplício</v>
          </cell>
          <cell r="K433">
            <v>0</v>
          </cell>
          <cell r="L433">
            <v>0</v>
          </cell>
          <cell r="M433">
            <v>0</v>
          </cell>
          <cell r="N433">
            <v>0</v>
          </cell>
          <cell r="O433">
            <v>0</v>
          </cell>
          <cell r="P433">
            <v>0</v>
          </cell>
          <cell r="Q433">
            <v>0</v>
          </cell>
          <cell r="R433">
            <v>0</v>
          </cell>
          <cell r="S433">
            <v>0</v>
          </cell>
          <cell r="T433">
            <v>0</v>
          </cell>
          <cell r="U433">
            <v>0</v>
          </cell>
          <cell r="V433">
            <v>0</v>
          </cell>
          <cell r="W433">
            <v>0</v>
          </cell>
        </row>
        <row r="434">
          <cell r="G434" t="str">
            <v>FGHI.0156</v>
          </cell>
          <cell r="H434" t="str">
            <v>Ampliação da cobertura de monitoramento das manobras da operação - UHE Simplício</v>
          </cell>
          <cell r="I434"/>
          <cell r="J434" t="str">
            <v>UHE Simplício</v>
          </cell>
          <cell r="K434">
            <v>0</v>
          </cell>
          <cell r="L434">
            <v>0</v>
          </cell>
          <cell r="M434">
            <v>0</v>
          </cell>
          <cell r="N434">
            <v>0</v>
          </cell>
          <cell r="O434">
            <v>0</v>
          </cell>
          <cell r="P434">
            <v>0</v>
          </cell>
          <cell r="Q434">
            <v>0</v>
          </cell>
          <cell r="R434">
            <v>0</v>
          </cell>
          <cell r="S434">
            <v>0</v>
          </cell>
          <cell r="T434">
            <v>0</v>
          </cell>
          <cell r="U434">
            <v>0</v>
          </cell>
          <cell r="V434">
            <v>0</v>
          </cell>
          <cell r="W434">
            <v>0</v>
          </cell>
        </row>
        <row r="435">
          <cell r="G435" t="str">
            <v>FGHI.0156</v>
          </cell>
          <cell r="H435" t="str">
            <v>PCH Anta - Ampliação da cobertura de monitoramento das manobras da operação</v>
          </cell>
          <cell r="I435"/>
          <cell r="J435" t="str">
            <v>UHE Simplício</v>
          </cell>
          <cell r="K435">
            <v>0</v>
          </cell>
          <cell r="L435">
            <v>0</v>
          </cell>
          <cell r="M435">
            <v>0</v>
          </cell>
          <cell r="N435">
            <v>0</v>
          </cell>
          <cell r="O435">
            <v>0</v>
          </cell>
          <cell r="P435">
            <v>0</v>
          </cell>
          <cell r="Q435">
            <v>0</v>
          </cell>
          <cell r="R435">
            <v>0</v>
          </cell>
          <cell r="S435">
            <v>0</v>
          </cell>
          <cell r="T435">
            <v>0</v>
          </cell>
          <cell r="U435">
            <v>0</v>
          </cell>
          <cell r="V435">
            <v>0</v>
          </cell>
          <cell r="W435">
            <v>0</v>
          </cell>
        </row>
        <row r="436">
          <cell r="G436" t="str">
            <v>FGHI.0164</v>
          </cell>
          <cell r="H436" t="str">
            <v>UHE Manso - Modernização/ampliação do sistema de CITV</v>
          </cell>
          <cell r="I436"/>
          <cell r="J436" t="str">
            <v>UHE Manso</v>
          </cell>
          <cell r="K436">
            <v>0</v>
          </cell>
          <cell r="L436">
            <v>0</v>
          </cell>
          <cell r="M436">
            <v>0</v>
          </cell>
          <cell r="N436">
            <v>0</v>
          </cell>
          <cell r="O436">
            <v>0</v>
          </cell>
          <cell r="P436">
            <v>0</v>
          </cell>
          <cell r="Q436">
            <v>0</v>
          </cell>
          <cell r="R436">
            <v>0</v>
          </cell>
          <cell r="S436">
            <v>0</v>
          </cell>
          <cell r="T436">
            <v>0</v>
          </cell>
          <cell r="U436">
            <v>0</v>
          </cell>
          <cell r="V436">
            <v>0</v>
          </cell>
          <cell r="W436">
            <v>0</v>
          </cell>
        </row>
        <row r="437">
          <cell r="G437" t="str">
            <v>FGHI.0157</v>
          </cell>
          <cell r="H437" t="str">
            <v>UHE Batalha - Melhoria na ponte rolante da casa de força</v>
          </cell>
          <cell r="I437"/>
          <cell r="J437" t="str">
            <v>UHE Batalha</v>
          </cell>
          <cell r="K437">
            <v>0</v>
          </cell>
          <cell r="L437">
            <v>0</v>
          </cell>
          <cell r="M437">
            <v>0</v>
          </cell>
          <cell r="N437">
            <v>0</v>
          </cell>
          <cell r="O437">
            <v>0</v>
          </cell>
          <cell r="P437">
            <v>0</v>
          </cell>
          <cell r="Q437">
            <v>0</v>
          </cell>
          <cell r="R437">
            <v>0</v>
          </cell>
          <cell r="S437">
            <v>0</v>
          </cell>
          <cell r="T437">
            <v>0</v>
          </cell>
          <cell r="U437">
            <v>0</v>
          </cell>
          <cell r="V437">
            <v>0</v>
          </cell>
          <cell r="W437">
            <v>0</v>
          </cell>
        </row>
        <row r="438">
          <cell r="G438" t="str">
            <v>FGHI.0157</v>
          </cell>
          <cell r="H438" t="str">
            <v>UHE Batalha - Modernização do Sistema de Destilação de água tratada</v>
          </cell>
          <cell r="I438"/>
          <cell r="J438" t="str">
            <v>UHE Batalha</v>
          </cell>
          <cell r="K438">
            <v>0</v>
          </cell>
          <cell r="L438">
            <v>0</v>
          </cell>
          <cell r="M438">
            <v>0</v>
          </cell>
          <cell r="N438">
            <v>0</v>
          </cell>
          <cell r="O438">
            <v>0</v>
          </cell>
          <cell r="P438">
            <v>0</v>
          </cell>
          <cell r="Q438">
            <v>0</v>
          </cell>
          <cell r="R438">
            <v>0</v>
          </cell>
          <cell r="S438">
            <v>0</v>
          </cell>
          <cell r="T438">
            <v>0</v>
          </cell>
          <cell r="U438">
            <v>0</v>
          </cell>
          <cell r="V438">
            <v>0</v>
          </cell>
          <cell r="W438">
            <v>0</v>
          </cell>
        </row>
        <row r="439">
          <cell r="G439" t="str">
            <v>FGHI.0157</v>
          </cell>
          <cell r="H439" t="str">
            <v>UHE Batalha - Sistema de Registro de Perturbações</v>
          </cell>
          <cell r="I439"/>
          <cell r="J439" t="str">
            <v>UHE Batalha</v>
          </cell>
          <cell r="K439">
            <v>0</v>
          </cell>
          <cell r="L439">
            <v>0</v>
          </cell>
          <cell r="M439">
            <v>0</v>
          </cell>
          <cell r="N439">
            <v>0</v>
          </cell>
          <cell r="O439">
            <v>0</v>
          </cell>
          <cell r="P439">
            <v>0</v>
          </cell>
          <cell r="Q439">
            <v>0</v>
          </cell>
          <cell r="R439">
            <v>0</v>
          </cell>
          <cell r="S439">
            <v>0</v>
          </cell>
          <cell r="T439">
            <v>0</v>
          </cell>
          <cell r="U439">
            <v>0</v>
          </cell>
          <cell r="V439">
            <v>0</v>
          </cell>
          <cell r="W439">
            <v>0</v>
          </cell>
        </row>
        <row r="440">
          <cell r="G440" t="str">
            <v>FGHI.0158</v>
          </cell>
          <cell r="H440" t="str">
            <v>UHE Corumbá - Sistema de alimentação de emergência</v>
          </cell>
          <cell r="I440"/>
          <cell r="J440" t="str">
            <v>UHE Corumbá</v>
          </cell>
          <cell r="K440">
            <v>0</v>
          </cell>
          <cell r="L440">
            <v>0</v>
          </cell>
          <cell r="M440">
            <v>0</v>
          </cell>
          <cell r="N440">
            <v>0</v>
          </cell>
          <cell r="O440">
            <v>0</v>
          </cell>
          <cell r="P440">
            <v>0</v>
          </cell>
          <cell r="Q440">
            <v>0</v>
          </cell>
          <cell r="R440">
            <v>0</v>
          </cell>
          <cell r="S440">
            <v>0</v>
          </cell>
          <cell r="T440">
            <v>0</v>
          </cell>
          <cell r="U440">
            <v>0</v>
          </cell>
          <cell r="V440">
            <v>0</v>
          </cell>
          <cell r="W440">
            <v>0</v>
          </cell>
        </row>
        <row r="441">
          <cell r="G441" t="str">
            <v>FGHI.0160</v>
          </cell>
          <cell r="H441" t="str">
            <v>Substituição de 04 tanques acumuladores do sistema de ar contra cavitação e instabilidade hidráulica. UHE Furnas</v>
          </cell>
          <cell r="I441"/>
          <cell r="J441" t="str">
            <v>UHE Furnas</v>
          </cell>
          <cell r="K441">
            <v>0</v>
          </cell>
          <cell r="L441">
            <v>0</v>
          </cell>
          <cell r="M441">
            <v>0</v>
          </cell>
          <cell r="N441">
            <v>0</v>
          </cell>
          <cell r="O441">
            <v>0</v>
          </cell>
          <cell r="P441">
            <v>0</v>
          </cell>
          <cell r="Q441">
            <v>0</v>
          </cell>
          <cell r="R441">
            <v>0</v>
          </cell>
          <cell r="S441">
            <v>0</v>
          </cell>
          <cell r="T441">
            <v>0</v>
          </cell>
          <cell r="U441">
            <v>0</v>
          </cell>
          <cell r="V441">
            <v>0</v>
          </cell>
          <cell r="W441">
            <v>0</v>
          </cell>
        </row>
        <row r="442">
          <cell r="G442" t="str">
            <v>FGHI.0161</v>
          </cell>
          <cell r="H442" t="str">
            <v>UHE Itumbiara - Modernização dos compressores de ar de serviço</v>
          </cell>
          <cell r="I442"/>
          <cell r="J442" t="str">
            <v>UHE Itumbiara</v>
          </cell>
          <cell r="K442">
            <v>0</v>
          </cell>
          <cell r="L442">
            <v>0</v>
          </cell>
          <cell r="M442">
            <v>0</v>
          </cell>
          <cell r="N442">
            <v>0</v>
          </cell>
          <cell r="O442">
            <v>0</v>
          </cell>
          <cell r="P442">
            <v>0</v>
          </cell>
          <cell r="Q442">
            <v>0</v>
          </cell>
          <cell r="R442">
            <v>0</v>
          </cell>
          <cell r="S442">
            <v>0</v>
          </cell>
          <cell r="T442">
            <v>0</v>
          </cell>
          <cell r="U442">
            <v>0</v>
          </cell>
          <cell r="V442">
            <v>0</v>
          </cell>
          <cell r="W442">
            <v>0</v>
          </cell>
        </row>
        <row r="443">
          <cell r="G443" t="str">
            <v>FGHI.0161</v>
          </cell>
          <cell r="H443" t="str">
            <v>UHE Itumbiara - Implantação de um sistema de proteção contra incêndio na planta de H2 verde</v>
          </cell>
          <cell r="I443"/>
          <cell r="J443" t="str">
            <v>UHE Itumbiara</v>
          </cell>
          <cell r="K443">
            <v>0</v>
          </cell>
          <cell r="L443">
            <v>0</v>
          </cell>
          <cell r="M443">
            <v>0</v>
          </cell>
          <cell r="N443">
            <v>0</v>
          </cell>
          <cell r="O443">
            <v>0</v>
          </cell>
          <cell r="P443">
            <v>0</v>
          </cell>
          <cell r="Q443">
            <v>0</v>
          </cell>
          <cell r="R443">
            <v>0</v>
          </cell>
          <cell r="S443">
            <v>0</v>
          </cell>
          <cell r="T443">
            <v>0</v>
          </cell>
          <cell r="U443">
            <v>0</v>
          </cell>
          <cell r="V443">
            <v>0</v>
          </cell>
          <cell r="W443">
            <v>0</v>
          </cell>
        </row>
        <row r="444">
          <cell r="G444" t="str">
            <v>FGHI.0164</v>
          </cell>
          <cell r="H444" t="str">
            <v xml:space="preserve">UHE Manso - Obra - Construção de rampas de barcos - </v>
          </cell>
          <cell r="I444"/>
          <cell r="J444" t="str">
            <v>UHE Manso</v>
          </cell>
          <cell r="K444">
            <v>0</v>
          </cell>
          <cell r="L444">
            <v>0</v>
          </cell>
          <cell r="M444">
            <v>0</v>
          </cell>
          <cell r="N444">
            <v>0</v>
          </cell>
          <cell r="O444">
            <v>0</v>
          </cell>
          <cell r="P444">
            <v>0</v>
          </cell>
          <cell r="Q444">
            <v>0</v>
          </cell>
          <cell r="R444">
            <v>0</v>
          </cell>
          <cell r="S444">
            <v>0</v>
          </cell>
          <cell r="T444">
            <v>0</v>
          </cell>
          <cell r="U444">
            <v>0</v>
          </cell>
          <cell r="V444">
            <v>0</v>
          </cell>
          <cell r="W444">
            <v>0</v>
          </cell>
        </row>
        <row r="445">
          <cell r="G445" t="str">
            <v>FGHI.0165</v>
          </cell>
          <cell r="H445" t="str">
            <v>Substitução da rede de abastecimento da água tratada UHE Marimbondo</v>
          </cell>
          <cell r="I445"/>
          <cell r="J445" t="str">
            <v>UHE Marimbondo</v>
          </cell>
          <cell r="K445">
            <v>0</v>
          </cell>
          <cell r="L445">
            <v>0</v>
          </cell>
          <cell r="M445">
            <v>0</v>
          </cell>
          <cell r="N445">
            <v>0</v>
          </cell>
          <cell r="O445">
            <v>0</v>
          </cell>
          <cell r="P445">
            <v>0</v>
          </cell>
          <cell r="Q445">
            <v>0</v>
          </cell>
          <cell r="R445">
            <v>0</v>
          </cell>
          <cell r="S445">
            <v>0</v>
          </cell>
          <cell r="T445">
            <v>0</v>
          </cell>
          <cell r="U445">
            <v>0</v>
          </cell>
          <cell r="V445">
            <v>0</v>
          </cell>
          <cell r="W445">
            <v>0</v>
          </cell>
        </row>
        <row r="446">
          <cell r="G446" t="str">
            <v>FGHI.0165</v>
          </cell>
          <cell r="H446" t="str">
            <v>Modernização do sistema de drenagem e Esvaziamento da casa de Força da UHE Marimbondo</v>
          </cell>
          <cell r="I446"/>
          <cell r="J446" t="str">
            <v>UHE Marimbondo</v>
          </cell>
          <cell r="K446">
            <v>0</v>
          </cell>
          <cell r="L446">
            <v>0</v>
          </cell>
          <cell r="M446">
            <v>0</v>
          </cell>
          <cell r="N446">
            <v>0</v>
          </cell>
          <cell r="O446">
            <v>0</v>
          </cell>
          <cell r="P446">
            <v>0</v>
          </cell>
          <cell r="Q446">
            <v>0</v>
          </cell>
          <cell r="R446">
            <v>0</v>
          </cell>
          <cell r="S446">
            <v>0</v>
          </cell>
          <cell r="T446">
            <v>0</v>
          </cell>
          <cell r="U446">
            <v>0</v>
          </cell>
          <cell r="V446">
            <v>0</v>
          </cell>
          <cell r="W446">
            <v>0</v>
          </cell>
        </row>
        <row r="447">
          <cell r="G447" t="str">
            <v>FGHI.0165</v>
          </cell>
          <cell r="H447" t="str">
            <v>Instalação de CITV na UHE Marimbondo</v>
          </cell>
          <cell r="I447"/>
          <cell r="J447" t="str">
            <v>UHE Marimbondo</v>
          </cell>
          <cell r="K447">
            <v>0</v>
          </cell>
          <cell r="L447">
            <v>0</v>
          </cell>
          <cell r="M447">
            <v>0</v>
          </cell>
          <cell r="N447">
            <v>0</v>
          </cell>
          <cell r="O447">
            <v>0</v>
          </cell>
          <cell r="P447">
            <v>0</v>
          </cell>
          <cell r="Q447">
            <v>0</v>
          </cell>
          <cell r="R447">
            <v>0</v>
          </cell>
          <cell r="S447">
            <v>0</v>
          </cell>
          <cell r="T447">
            <v>0</v>
          </cell>
          <cell r="U447">
            <v>0</v>
          </cell>
          <cell r="V447">
            <v>0</v>
          </cell>
          <cell r="W447">
            <v>0</v>
          </cell>
        </row>
        <row r="448">
          <cell r="G448" t="str">
            <v>FGHI.0165</v>
          </cell>
          <cell r="H448" t="str">
            <v>Modernização das comportas de manutenção do canal de Fuga UHE Marimbondo</v>
          </cell>
          <cell r="I448"/>
          <cell r="J448" t="str">
            <v>UHE Marimbondo</v>
          </cell>
          <cell r="K448">
            <v>0</v>
          </cell>
          <cell r="L448">
            <v>0</v>
          </cell>
          <cell r="M448">
            <v>0</v>
          </cell>
          <cell r="N448">
            <v>0</v>
          </cell>
          <cell r="O448">
            <v>0</v>
          </cell>
          <cell r="P448">
            <v>0</v>
          </cell>
          <cell r="Q448">
            <v>0</v>
          </cell>
          <cell r="R448">
            <v>0</v>
          </cell>
          <cell r="S448">
            <v>0</v>
          </cell>
          <cell r="T448">
            <v>0</v>
          </cell>
          <cell r="U448">
            <v>0</v>
          </cell>
          <cell r="V448">
            <v>0</v>
          </cell>
          <cell r="W448">
            <v>0</v>
          </cell>
        </row>
        <row r="449">
          <cell r="G449" t="str">
            <v>FGHI.0168</v>
          </cell>
          <cell r="H449" t="str">
            <v>Retrofit  das pás das turbinas das Unidades Geradoras UHE Serra da Mesa</v>
          </cell>
          <cell r="I449"/>
          <cell r="J449" t="str">
            <v>UHE Serra da Mesa</v>
          </cell>
          <cell r="K449">
            <v>0</v>
          </cell>
          <cell r="L449">
            <v>0</v>
          </cell>
          <cell r="M449">
            <v>0</v>
          </cell>
          <cell r="N449">
            <v>0</v>
          </cell>
          <cell r="O449">
            <v>0</v>
          </cell>
          <cell r="P449">
            <v>0</v>
          </cell>
          <cell r="Q449">
            <v>0</v>
          </cell>
          <cell r="R449">
            <v>0</v>
          </cell>
          <cell r="S449">
            <v>0</v>
          </cell>
          <cell r="T449">
            <v>0</v>
          </cell>
          <cell r="U449">
            <v>0</v>
          </cell>
          <cell r="V449">
            <v>0</v>
          </cell>
          <cell r="W449">
            <v>0</v>
          </cell>
        </row>
        <row r="450">
          <cell r="G450" t="str">
            <v>FGHI.0161</v>
          </cell>
          <cell r="H450" t="str">
            <v>UHE Itumbiara - Modernização dos trocadores de calor do regulador de velocidade das UG's</v>
          </cell>
          <cell r="I450"/>
          <cell r="J450" t="str">
            <v>UHE Itumbiara</v>
          </cell>
          <cell r="K450">
            <v>0</v>
          </cell>
          <cell r="L450">
            <v>0</v>
          </cell>
          <cell r="M450">
            <v>0</v>
          </cell>
          <cell r="N450">
            <v>0</v>
          </cell>
          <cell r="O450">
            <v>0</v>
          </cell>
          <cell r="P450">
            <v>0</v>
          </cell>
          <cell r="Q450">
            <v>0</v>
          </cell>
          <cell r="R450">
            <v>0</v>
          </cell>
          <cell r="S450">
            <v>0</v>
          </cell>
          <cell r="T450">
            <v>0</v>
          </cell>
          <cell r="U450">
            <v>0</v>
          </cell>
          <cell r="V450">
            <v>0</v>
          </cell>
          <cell r="W450">
            <v>0</v>
          </cell>
        </row>
        <row r="451">
          <cell r="G451" t="str">
            <v>FGHI.0156</v>
          </cell>
          <cell r="H451" t="str">
            <v>Modernização dos CLPs das UACs de supervisão e controle das Comportas de Emergência - PCH Anta</v>
          </cell>
          <cell r="I451"/>
          <cell r="J451" t="str">
            <v>PCH Anta</v>
          </cell>
          <cell r="K451">
            <v>0</v>
          </cell>
          <cell r="L451">
            <v>0</v>
          </cell>
          <cell r="M451">
            <v>0</v>
          </cell>
          <cell r="N451">
            <v>0</v>
          </cell>
          <cell r="O451">
            <v>0</v>
          </cell>
          <cell r="P451">
            <v>0</v>
          </cell>
          <cell r="Q451">
            <v>0</v>
          </cell>
          <cell r="R451">
            <v>0</v>
          </cell>
          <cell r="S451">
            <v>0</v>
          </cell>
          <cell r="T451">
            <v>0</v>
          </cell>
          <cell r="U451">
            <v>0</v>
          </cell>
          <cell r="V451">
            <v>0</v>
          </cell>
          <cell r="W451">
            <v>0</v>
          </cell>
        </row>
        <row r="452">
          <cell r="G452" t="str">
            <v>SGHI.0001</v>
          </cell>
          <cell r="H452" t="str">
            <v>Contratação de serviço de engenharia para elaboração da aplicação (projeto) para a nova versão do relé com base na aplicação dos relés em operação na UHE Passo São João</v>
          </cell>
          <cell r="I452" t="str">
            <v>Aquisição de equipamento sobressalente</v>
          </cell>
          <cell r="J452" t="str">
            <v>UHE Passo São João</v>
          </cell>
          <cell r="K452">
            <v>0</v>
          </cell>
          <cell r="L452">
            <v>0</v>
          </cell>
          <cell r="M452">
            <v>0</v>
          </cell>
          <cell r="N452">
            <v>0</v>
          </cell>
          <cell r="O452">
            <v>0</v>
          </cell>
          <cell r="P452">
            <v>0</v>
          </cell>
          <cell r="Q452">
            <v>0</v>
          </cell>
          <cell r="R452">
            <v>0</v>
          </cell>
          <cell r="S452">
            <v>0</v>
          </cell>
          <cell r="T452">
            <v>0</v>
          </cell>
          <cell r="U452">
            <v>0</v>
          </cell>
          <cell r="V452">
            <v>0</v>
          </cell>
          <cell r="W452">
            <v>0</v>
          </cell>
        </row>
        <row r="453">
          <cell r="G453" t="str">
            <v>SGHI.0001</v>
          </cell>
          <cell r="H453" t="str">
            <v>Contratação de serviço de engenharia para elaboração da aplicação (projeto) para a nova versão do relé com base na aplicação dos relés em operação na UHE São Domingos</v>
          </cell>
          <cell r="I453" t="str">
            <v>Automatização Instrumentos</v>
          </cell>
          <cell r="J453" t="str">
            <v>UHE São Domingos</v>
          </cell>
          <cell r="K453">
            <v>0</v>
          </cell>
          <cell r="L453">
            <v>0</v>
          </cell>
          <cell r="M453">
            <v>0</v>
          </cell>
          <cell r="N453">
            <v>0</v>
          </cell>
          <cell r="O453">
            <v>0</v>
          </cell>
          <cell r="P453">
            <v>0</v>
          </cell>
          <cell r="Q453">
            <v>0</v>
          </cell>
          <cell r="R453">
            <v>0</v>
          </cell>
          <cell r="S453">
            <v>0</v>
          </cell>
          <cell r="T453">
            <v>0</v>
          </cell>
          <cell r="U453">
            <v>0</v>
          </cell>
          <cell r="V453">
            <v>0</v>
          </cell>
          <cell r="W453">
            <v>0</v>
          </cell>
        </row>
        <row r="454">
          <cell r="G454" t="str">
            <v>SGHI.0007</v>
          </cell>
          <cell r="H454" t="str">
            <v>Sistemas de Monitoramento para Unidades Geradoras</v>
          </cell>
          <cell r="I454" t="str">
            <v>Liga - AGVA - Sistema de monitoramento</v>
          </cell>
          <cell r="J454" t="str">
            <v>Diversas UHE</v>
          </cell>
          <cell r="K454">
            <v>0</v>
          </cell>
          <cell r="L454">
            <v>0</v>
          </cell>
          <cell r="M454">
            <v>0</v>
          </cell>
          <cell r="N454">
            <v>0</v>
          </cell>
          <cell r="O454">
            <v>0</v>
          </cell>
          <cell r="P454">
            <v>0</v>
          </cell>
          <cell r="Q454">
            <v>0</v>
          </cell>
          <cell r="R454">
            <v>0</v>
          </cell>
          <cell r="S454">
            <v>0</v>
          </cell>
          <cell r="T454">
            <v>0</v>
          </cell>
          <cell r="U454">
            <v>0</v>
          </cell>
          <cell r="V454">
            <v>0</v>
          </cell>
          <cell r="W454">
            <v>0</v>
          </cell>
        </row>
        <row r="455">
          <cell r="G455" t="str">
            <v>SGHI.0007</v>
          </cell>
          <cell r="H455" t="str">
            <v>Sistemas de Monitoramento para Transformadores da AXIA Sul</v>
          </cell>
          <cell r="I455" t="str">
            <v>Liga - AGVA - Sistema de monitoramento</v>
          </cell>
          <cell r="J455" t="str">
            <v>Diversas UHE</v>
          </cell>
          <cell r="K455">
            <v>0</v>
          </cell>
          <cell r="L455">
            <v>0</v>
          </cell>
          <cell r="M455">
            <v>0</v>
          </cell>
          <cell r="N455">
            <v>0</v>
          </cell>
          <cell r="O455">
            <v>0</v>
          </cell>
          <cell r="P455">
            <v>0</v>
          </cell>
          <cell r="Q455">
            <v>0</v>
          </cell>
          <cell r="R455">
            <v>0</v>
          </cell>
          <cell r="S455">
            <v>0</v>
          </cell>
          <cell r="T455">
            <v>0</v>
          </cell>
          <cell r="U455">
            <v>0</v>
          </cell>
          <cell r="V455">
            <v>0</v>
          </cell>
          <cell r="W455">
            <v>0</v>
          </cell>
        </row>
        <row r="456">
          <cell r="G456" t="str">
            <v>SGHI.0005</v>
          </cell>
          <cell r="H456" t="str">
            <v>Solução para melhoria do MV-06 para UHE São Domingos</v>
          </cell>
          <cell r="I456" t="str">
            <v>Aquisição de baterias para substituição do Megawattsolar</v>
          </cell>
          <cell r="J456" t="str">
            <v>UHE São Domingos</v>
          </cell>
          <cell r="K456">
            <v>0</v>
          </cell>
          <cell r="L456">
            <v>0</v>
          </cell>
          <cell r="M456">
            <v>0</v>
          </cell>
          <cell r="N456">
            <v>0</v>
          </cell>
          <cell r="O456">
            <v>0</v>
          </cell>
          <cell r="P456">
            <v>0</v>
          </cell>
          <cell r="Q456">
            <v>0</v>
          </cell>
          <cell r="R456">
            <v>0</v>
          </cell>
          <cell r="S456">
            <v>0</v>
          </cell>
          <cell r="T456">
            <v>0</v>
          </cell>
          <cell r="U456">
            <v>0</v>
          </cell>
          <cell r="V456">
            <v>0</v>
          </cell>
          <cell r="W456">
            <v>0</v>
          </cell>
        </row>
        <row r="457">
          <cell r="G457" t="str">
            <v>SGHI.0001</v>
          </cell>
          <cell r="H457" t="str">
            <v>Substituição de Disjuntor tripolar 34,5kV, DJ212, referente ao TR 138/34KV TR1 na Subestação  Itararé - PCH João Borges</v>
          </cell>
          <cell r="I457" t="str">
            <v>Bateria 1 - CFR - 48 Vcc</v>
          </cell>
          <cell r="J457" t="str">
            <v>PCH João Borges</v>
          </cell>
          <cell r="K457">
            <v>0</v>
          </cell>
          <cell r="L457">
            <v>0</v>
          </cell>
          <cell r="M457">
            <v>0</v>
          </cell>
          <cell r="N457">
            <v>0</v>
          </cell>
          <cell r="O457">
            <v>0</v>
          </cell>
          <cell r="P457">
            <v>0</v>
          </cell>
          <cell r="Q457">
            <v>0</v>
          </cell>
          <cell r="R457">
            <v>0</v>
          </cell>
          <cell r="S457">
            <v>0</v>
          </cell>
          <cell r="T457">
            <v>0</v>
          </cell>
          <cell r="U457">
            <v>0</v>
          </cell>
          <cell r="V457">
            <v>0</v>
          </cell>
          <cell r="W457">
            <v>0</v>
          </cell>
        </row>
        <row r="458">
          <cell r="G458" t="str">
            <v>SGHI.0005</v>
          </cell>
          <cell r="H458" t="str">
            <v>Automatização Instrumentos SB para PCH João Borges</v>
          </cell>
          <cell r="I458" t="str">
            <v>Substituição de Disjuntor tripolar 34,5kV, DJ212, referente ao TR 138/34KV TR1 na SE  ITR. Associado à obra são esperadas substituições/adaptações de fundações, suportes, cabos de controle/potência, barramento, conectores e conexão de aterramento.</v>
          </cell>
          <cell r="J458" t="str">
            <v>PCH João Borges</v>
          </cell>
          <cell r="K458">
            <v>0</v>
          </cell>
          <cell r="L458">
            <v>0</v>
          </cell>
          <cell r="M458">
            <v>0</v>
          </cell>
          <cell r="N458">
            <v>0</v>
          </cell>
          <cell r="O458">
            <v>0</v>
          </cell>
          <cell r="P458">
            <v>0</v>
          </cell>
          <cell r="Q458">
            <v>0</v>
          </cell>
          <cell r="R458">
            <v>0</v>
          </cell>
          <cell r="S458">
            <v>0</v>
          </cell>
          <cell r="T458">
            <v>0</v>
          </cell>
          <cell r="U458">
            <v>0</v>
          </cell>
          <cell r="V458">
            <v>0</v>
          </cell>
          <cell r="W458">
            <v>0</v>
          </cell>
        </row>
        <row r="459">
          <cell r="G459" t="str">
            <v>SGEO.0001</v>
          </cell>
          <cell r="H459" t="str">
            <v>Atualização do Firmware de 24 aerogeradores Siemens Gamesa G114 da EOL Coxilha Seca</v>
          </cell>
          <cell r="I459" t="str">
            <v>Instalação de sirenes de evacuação de área ZAS - PAE</v>
          </cell>
          <cell r="J459" t="str">
            <v>Eólica Coxilha Seca</v>
          </cell>
          <cell r="K459">
            <v>0</v>
          </cell>
          <cell r="L459">
            <v>0</v>
          </cell>
          <cell r="M459">
            <v>0</v>
          </cell>
          <cell r="N459">
            <v>0</v>
          </cell>
          <cell r="O459">
            <v>0</v>
          </cell>
          <cell r="P459">
            <v>0</v>
          </cell>
          <cell r="Q459">
            <v>0</v>
          </cell>
          <cell r="R459">
            <v>0</v>
          </cell>
          <cell r="S459">
            <v>0</v>
          </cell>
          <cell r="T459">
            <v>0</v>
          </cell>
          <cell r="U459">
            <v>0</v>
          </cell>
          <cell r="V459">
            <v>0</v>
          </cell>
          <cell r="W459">
            <v>0</v>
          </cell>
        </row>
        <row r="460">
          <cell r="G460" t="str">
            <v>SGEO.0001</v>
          </cell>
          <cell r="H460" t="str">
            <v>Substituição de Retificador (Carregador de Baterias) - 48 Vcc - SACC48 - RET1 na SE Cerro Chato para EOL Cerro Chato Capacidade do novo equipamento:</v>
          </cell>
          <cell r="I460" t="str">
            <v>Aquisição de equipamento sobressalente</v>
          </cell>
          <cell r="J460" t="str">
            <v>Eólica Cerro Chato</v>
          </cell>
          <cell r="K460">
            <v>0</v>
          </cell>
          <cell r="L460">
            <v>0</v>
          </cell>
          <cell r="M460">
            <v>0</v>
          </cell>
          <cell r="N460">
            <v>0</v>
          </cell>
          <cell r="O460">
            <v>0</v>
          </cell>
          <cell r="P460">
            <v>0</v>
          </cell>
          <cell r="Q460">
            <v>0</v>
          </cell>
          <cell r="R460">
            <v>0</v>
          </cell>
          <cell r="S460">
            <v>0</v>
          </cell>
          <cell r="T460">
            <v>0</v>
          </cell>
          <cell r="U460">
            <v>0</v>
          </cell>
          <cell r="V460">
            <v>0</v>
          </cell>
          <cell r="W460">
            <v>0</v>
          </cell>
        </row>
        <row r="461">
          <cell r="G461" t="str">
            <v>SGEO.0001</v>
          </cell>
          <cell r="H461" t="str">
            <v>Automatização Instrumentos - EOL Cerro Chato</v>
          </cell>
          <cell r="I461" t="str">
            <v>Construção de cubículo com para-raios ECSE-06</v>
          </cell>
          <cell r="J461" t="str">
            <v>Eólica Cerro Chato</v>
          </cell>
          <cell r="K461">
            <v>0</v>
          </cell>
          <cell r="L461">
            <v>0</v>
          </cell>
          <cell r="M461">
            <v>0</v>
          </cell>
          <cell r="N461">
            <v>0</v>
          </cell>
          <cell r="O461">
            <v>0</v>
          </cell>
          <cell r="P461">
            <v>0</v>
          </cell>
          <cell r="Q461">
            <v>0</v>
          </cell>
          <cell r="R461">
            <v>0</v>
          </cell>
          <cell r="S461">
            <v>0</v>
          </cell>
          <cell r="T461">
            <v>0</v>
          </cell>
          <cell r="U461">
            <v>0</v>
          </cell>
          <cell r="V461">
            <v>0</v>
          </cell>
          <cell r="W461">
            <v>0</v>
          </cell>
        </row>
        <row r="462">
          <cell r="G462" t="str">
            <v>SGEO.0001</v>
          </cell>
          <cell r="H462" t="str">
            <v>Substituição de Retificador (Carregador de Baterias) - 125 Vcc - SACC125 - RET1 na SE Cerro Chato - EOL Cerro Chato</v>
          </cell>
          <cell r="I462" t="str">
            <v>Aquisição de equipamento sobressalente</v>
          </cell>
          <cell r="J462" t="str">
            <v>Eólica Cerro Chato</v>
          </cell>
          <cell r="K462">
            <v>0</v>
          </cell>
          <cell r="L462">
            <v>0</v>
          </cell>
          <cell r="M462">
            <v>0</v>
          </cell>
          <cell r="N462">
            <v>0</v>
          </cell>
          <cell r="O462">
            <v>0</v>
          </cell>
          <cell r="P462">
            <v>0</v>
          </cell>
          <cell r="Q462">
            <v>0</v>
          </cell>
          <cell r="R462">
            <v>0</v>
          </cell>
          <cell r="S462">
            <v>0</v>
          </cell>
          <cell r="T462">
            <v>0</v>
          </cell>
          <cell r="U462">
            <v>0</v>
          </cell>
          <cell r="V462">
            <v>0</v>
          </cell>
          <cell r="W462">
            <v>0</v>
          </cell>
        </row>
        <row r="463">
          <cell r="G463" t="str">
            <v>SGEO.0001</v>
          </cell>
          <cell r="H463" t="str">
            <v>Substituição de Retificador (Carregador de Baterias) - 125 Vcc - SACC125 - RET2 na SE Cerro Chato - EOL Cerro Chato</v>
          </cell>
          <cell r="I463" t="str">
            <v>Equipamento apresenta elevada taxa de falhas e baixo número de sobressalentes Fabricante não fornece sobressalentes, somente retrofit do sistema</v>
          </cell>
          <cell r="J463" t="str">
            <v>Eólica Cerro Chato</v>
          </cell>
          <cell r="K463">
            <v>0</v>
          </cell>
          <cell r="L463">
            <v>0</v>
          </cell>
          <cell r="M463">
            <v>0</v>
          </cell>
          <cell r="N463">
            <v>0</v>
          </cell>
          <cell r="O463">
            <v>0</v>
          </cell>
          <cell r="P463">
            <v>0</v>
          </cell>
          <cell r="Q463">
            <v>0</v>
          </cell>
          <cell r="R463">
            <v>0</v>
          </cell>
          <cell r="S463">
            <v>0</v>
          </cell>
          <cell r="T463">
            <v>0</v>
          </cell>
          <cell r="U463">
            <v>0</v>
          </cell>
          <cell r="V463">
            <v>0</v>
          </cell>
          <cell r="W463">
            <v>0</v>
          </cell>
        </row>
        <row r="464">
          <cell r="G464" t="str">
            <v>SGEO.0001</v>
          </cell>
          <cell r="H464" t="str">
            <v>Substituição de Retificador (Carregador de Baterias) - 125 Vcc - SACC125 - RET1 na SE Entorno 2</v>
          </cell>
          <cell r="I464" t="str">
            <v>Aquisição de equipamento sobressalente</v>
          </cell>
          <cell r="J464" t="str">
            <v>SE Entorno 2</v>
          </cell>
          <cell r="K464">
            <v>0</v>
          </cell>
          <cell r="L464">
            <v>0</v>
          </cell>
          <cell r="M464">
            <v>0</v>
          </cell>
          <cell r="N464">
            <v>0</v>
          </cell>
          <cell r="O464">
            <v>0</v>
          </cell>
          <cell r="P464">
            <v>0</v>
          </cell>
          <cell r="Q464">
            <v>0</v>
          </cell>
          <cell r="R464">
            <v>0</v>
          </cell>
          <cell r="S464">
            <v>0</v>
          </cell>
          <cell r="T464">
            <v>0</v>
          </cell>
          <cell r="U464">
            <v>0</v>
          </cell>
          <cell r="V464">
            <v>0</v>
          </cell>
          <cell r="W464">
            <v>0</v>
          </cell>
        </row>
        <row r="465">
          <cell r="G465" t="str">
            <v>SGEO.0001</v>
          </cell>
          <cell r="H465" t="str">
            <v>Substituição de Retificador (Carregador de Baterias) - 125 Vcc - SACC125 - RET2 na SE Entorno 2</v>
          </cell>
          <cell r="I465" t="str">
            <v>Equipamento apresenta elevada taxa de falhas e baixo número de sobressalentes Fabricante não fornece sobressalentes, somente retrofit do sistema</v>
          </cell>
          <cell r="J465" t="str">
            <v>SE Entorno 2</v>
          </cell>
          <cell r="K465">
            <v>0</v>
          </cell>
          <cell r="L465">
            <v>0</v>
          </cell>
          <cell r="M465">
            <v>0</v>
          </cell>
          <cell r="N465">
            <v>0</v>
          </cell>
          <cell r="O465">
            <v>0</v>
          </cell>
          <cell r="P465">
            <v>0</v>
          </cell>
          <cell r="Q465">
            <v>0</v>
          </cell>
          <cell r="R465">
            <v>0</v>
          </cell>
          <cell r="S465">
            <v>0</v>
          </cell>
          <cell r="T465">
            <v>0</v>
          </cell>
          <cell r="U465">
            <v>0</v>
          </cell>
          <cell r="V465">
            <v>0</v>
          </cell>
          <cell r="W465">
            <v>0</v>
          </cell>
        </row>
        <row r="466">
          <cell r="G466" t="str">
            <v>SGHI.0001</v>
          </cell>
          <cell r="H466" t="str">
            <v>Aquisição de motor sobressalente para a unidade hidráulica do regulador de velocidade para PCH Barra do Rio Chapéu</v>
          </cell>
          <cell r="I466" t="str">
            <v>Contratação de serviço de empresa especializada para substituição do trocador de calor São necessárias modificações nas tubulações e conexões, levando em conta que o trocador ficará instalado ao lado do tanque sem pressão</v>
          </cell>
          <cell r="J466" t="str">
            <v>PCH Barra Do Rio Chapéu</v>
          </cell>
          <cell r="K466">
            <v>0</v>
          </cell>
          <cell r="L466">
            <v>0</v>
          </cell>
          <cell r="M466">
            <v>0</v>
          </cell>
          <cell r="N466">
            <v>0</v>
          </cell>
          <cell r="O466">
            <v>0</v>
          </cell>
          <cell r="P466">
            <v>0</v>
          </cell>
          <cell r="Q466">
            <v>0</v>
          </cell>
          <cell r="R466">
            <v>0</v>
          </cell>
          <cell r="S466">
            <v>0</v>
          </cell>
          <cell r="T466">
            <v>0</v>
          </cell>
          <cell r="U466">
            <v>0</v>
          </cell>
          <cell r="V466">
            <v>0</v>
          </cell>
          <cell r="W466">
            <v>0</v>
          </cell>
        </row>
        <row r="467">
          <cell r="G467" t="str">
            <v>SGHI.0001</v>
          </cell>
          <cell r="H467" t="str">
            <v>Aquisição de motor sobressalente para a unidade hidráulicade lubrificação dos mancais para PCH Barra Do Rio Chapéu</v>
          </cell>
          <cell r="I467" t="str">
            <v>Aquisição de equipamento sobressalente</v>
          </cell>
          <cell r="J467" t="str">
            <v>PCH Barra Do Rio Chapéu</v>
          </cell>
          <cell r="K467">
            <v>0</v>
          </cell>
          <cell r="L467">
            <v>0</v>
          </cell>
          <cell r="M467">
            <v>0</v>
          </cell>
          <cell r="N467">
            <v>0</v>
          </cell>
          <cell r="O467">
            <v>0</v>
          </cell>
          <cell r="P467">
            <v>0</v>
          </cell>
          <cell r="Q467">
            <v>0</v>
          </cell>
          <cell r="R467">
            <v>0</v>
          </cell>
          <cell r="S467">
            <v>0</v>
          </cell>
          <cell r="T467">
            <v>0</v>
          </cell>
          <cell r="U467">
            <v>0</v>
          </cell>
          <cell r="V467">
            <v>0</v>
          </cell>
          <cell r="W467">
            <v>0</v>
          </cell>
        </row>
        <row r="468">
          <cell r="G468" t="str">
            <v>SGHI.0001</v>
          </cell>
          <cell r="H468" t="str">
            <v>Aquisição de bombas sobressalente para a unidade hidráulica de lubrificação dos mancais para PCH Barra do Rio Chapéu</v>
          </cell>
          <cell r="I468" t="str">
            <v>Aquisição de equipamento sobressalente</v>
          </cell>
          <cell r="J468" t="str">
            <v>PCH Barra Do Rio Chapéu</v>
          </cell>
          <cell r="K468">
            <v>0</v>
          </cell>
          <cell r="L468">
            <v>0</v>
          </cell>
          <cell r="M468">
            <v>0</v>
          </cell>
          <cell r="N468">
            <v>0</v>
          </cell>
          <cell r="O468">
            <v>0</v>
          </cell>
          <cell r="P468">
            <v>0</v>
          </cell>
          <cell r="Q468">
            <v>0</v>
          </cell>
          <cell r="R468">
            <v>0</v>
          </cell>
          <cell r="S468">
            <v>0</v>
          </cell>
          <cell r="T468">
            <v>0</v>
          </cell>
          <cell r="U468">
            <v>0</v>
          </cell>
          <cell r="V468">
            <v>0</v>
          </cell>
          <cell r="W468">
            <v>0</v>
          </cell>
        </row>
        <row r="469">
          <cell r="G469" t="str">
            <v>SGHI.0001</v>
          </cell>
          <cell r="H469" t="str">
            <v>Aquisição de bombas sobressalente para a unidade hidráulica do regulador de velocidade para PCH Barra do Rio Chapéu</v>
          </cell>
          <cell r="I469" t="str">
            <v>Aquisição de equipamento sobressalente</v>
          </cell>
          <cell r="J469" t="str">
            <v>PCH Barra Do Rio Chapéu</v>
          </cell>
          <cell r="K469">
            <v>0</v>
          </cell>
          <cell r="L469">
            <v>0</v>
          </cell>
          <cell r="M469">
            <v>0</v>
          </cell>
          <cell r="N469">
            <v>0</v>
          </cell>
          <cell r="O469">
            <v>0</v>
          </cell>
          <cell r="P469">
            <v>0</v>
          </cell>
          <cell r="Q469">
            <v>0</v>
          </cell>
          <cell r="R469">
            <v>0</v>
          </cell>
          <cell r="S469">
            <v>0</v>
          </cell>
          <cell r="T469">
            <v>0</v>
          </cell>
          <cell r="U469">
            <v>0</v>
          </cell>
          <cell r="V469">
            <v>0</v>
          </cell>
          <cell r="W469">
            <v>0</v>
          </cell>
        </row>
        <row r="470">
          <cell r="G470" t="str">
            <v>SGEO.0001</v>
          </cell>
          <cell r="H470" t="str">
            <v>Atualização do Firmware de 24 aerogeradores Siemens Gamesa G114 da EOL Capão do Inglês</v>
          </cell>
          <cell r="I470" t="str">
            <v>Aquisição de baterias para substituição do Megawattsolar</v>
          </cell>
          <cell r="J470" t="str">
            <v>Eólica Capão do Inglês</v>
          </cell>
          <cell r="K470">
            <v>0</v>
          </cell>
          <cell r="L470">
            <v>0</v>
          </cell>
          <cell r="M470">
            <v>0</v>
          </cell>
          <cell r="N470">
            <v>0</v>
          </cell>
          <cell r="O470">
            <v>0</v>
          </cell>
          <cell r="P470">
            <v>0</v>
          </cell>
          <cell r="Q470">
            <v>0</v>
          </cell>
          <cell r="R470">
            <v>0</v>
          </cell>
          <cell r="S470">
            <v>0</v>
          </cell>
          <cell r="T470">
            <v>0</v>
          </cell>
          <cell r="U470">
            <v>0</v>
          </cell>
          <cell r="V470">
            <v>0</v>
          </cell>
          <cell r="W470">
            <v>0</v>
          </cell>
        </row>
        <row r="471">
          <cell r="G471" t="str">
            <v>SGHI.0001</v>
          </cell>
          <cell r="H471" t="str">
            <v>Aquisição dos painéis de comando e força, além de instrumentação do sistemas de drenagem e esgotamento na PCH João Borges</v>
          </cell>
          <cell r="I471" t="str">
            <v>Necessidade de aquisição de motobomba sobressalente devido a importância do equipamento para as instalações</v>
          </cell>
          <cell r="J471" t="str">
            <v>PCH João Borges</v>
          </cell>
          <cell r="K471">
            <v>0</v>
          </cell>
          <cell r="L471">
            <v>0</v>
          </cell>
          <cell r="M471">
            <v>0</v>
          </cell>
          <cell r="N471">
            <v>0</v>
          </cell>
          <cell r="O471">
            <v>0</v>
          </cell>
          <cell r="P471">
            <v>0</v>
          </cell>
          <cell r="Q471">
            <v>0</v>
          </cell>
          <cell r="R471">
            <v>0</v>
          </cell>
          <cell r="S471">
            <v>0</v>
          </cell>
          <cell r="T471">
            <v>0</v>
          </cell>
          <cell r="U471">
            <v>0</v>
          </cell>
          <cell r="V471">
            <v>0</v>
          </cell>
          <cell r="W471">
            <v>0</v>
          </cell>
        </row>
        <row r="472">
          <cell r="G472" t="str">
            <v>SGEO.0001</v>
          </cell>
          <cell r="H472" t="str">
            <v>Atualização do Firmware de 24 aerogeradores Siemens Gamesa G114 da EOL Galpões</v>
          </cell>
          <cell r="I472" t="str">
            <v>Atualização do firmware necessária para se adequar ao modelo PSCAD exigido pelo ONS</v>
          </cell>
          <cell r="J472" t="str">
            <v>Eólica Galpões</v>
          </cell>
          <cell r="K472">
            <v>0</v>
          </cell>
          <cell r="L472">
            <v>0</v>
          </cell>
          <cell r="M472">
            <v>0</v>
          </cell>
          <cell r="N472">
            <v>0</v>
          </cell>
          <cell r="O472">
            <v>0</v>
          </cell>
          <cell r="P472">
            <v>0</v>
          </cell>
          <cell r="Q472">
            <v>0</v>
          </cell>
          <cell r="R472">
            <v>0</v>
          </cell>
          <cell r="S472">
            <v>0</v>
          </cell>
          <cell r="T472">
            <v>0</v>
          </cell>
          <cell r="U472">
            <v>0</v>
          </cell>
          <cell r="V472">
            <v>0</v>
          </cell>
          <cell r="W472">
            <v>0</v>
          </cell>
        </row>
        <row r="473">
          <cell r="G473" t="str">
            <v>SGEO.0001</v>
          </cell>
          <cell r="H473" t="str">
            <v>Eólicas - Automatização Instrumentos - EOL Coxilha Negra</v>
          </cell>
          <cell r="I473" t="str">
            <v xml:space="preserve">Aquisição  do trocador de calor para a unidade hidráulica de lubrificação dos mancais </v>
          </cell>
          <cell r="J473" t="str">
            <v>Eólica Coxilha Negra</v>
          </cell>
          <cell r="K473">
            <v>0</v>
          </cell>
          <cell r="L473">
            <v>0</v>
          </cell>
          <cell r="M473">
            <v>0</v>
          </cell>
          <cell r="N473">
            <v>0</v>
          </cell>
          <cell r="O473">
            <v>0</v>
          </cell>
          <cell r="P473">
            <v>0</v>
          </cell>
          <cell r="Q473">
            <v>0</v>
          </cell>
          <cell r="R473">
            <v>0</v>
          </cell>
          <cell r="S473">
            <v>0</v>
          </cell>
          <cell r="T473">
            <v>0</v>
          </cell>
          <cell r="U473">
            <v>0</v>
          </cell>
          <cell r="V473">
            <v>0</v>
          </cell>
          <cell r="W473">
            <v>0</v>
          </cell>
        </row>
        <row r="474">
          <cell r="G474" t="str">
            <v>SGHI.0001</v>
          </cell>
          <cell r="H474" t="str">
            <v>Aquisição de motor sobressalente para a unidade hidráulica do regulador de velocidade para PCH João Borges</v>
          </cell>
          <cell r="I474" t="str">
            <v>Contratação de serviço de empresa especializada para substituição do trocador de calor São necessárias modificações nas tubulações e conexões, levando em conta que o trocador ficará instalado ao lado do tanque sem pressão</v>
          </cell>
          <cell r="J474" t="str">
            <v>PCH João Borges</v>
          </cell>
          <cell r="K474">
            <v>0</v>
          </cell>
          <cell r="L474">
            <v>0</v>
          </cell>
          <cell r="M474">
            <v>0</v>
          </cell>
          <cell r="N474">
            <v>0</v>
          </cell>
          <cell r="O474">
            <v>0</v>
          </cell>
          <cell r="P474">
            <v>0</v>
          </cell>
          <cell r="Q474">
            <v>0</v>
          </cell>
          <cell r="R474">
            <v>0</v>
          </cell>
          <cell r="S474">
            <v>0</v>
          </cell>
          <cell r="T474">
            <v>0</v>
          </cell>
          <cell r="U474">
            <v>0</v>
          </cell>
          <cell r="V474">
            <v>0</v>
          </cell>
          <cell r="W474">
            <v>0</v>
          </cell>
        </row>
        <row r="475">
          <cell r="G475" t="str">
            <v>SGHI.0001</v>
          </cell>
          <cell r="H475" t="str">
            <v>Aquisição de motor sobressalente para a unidade hidráulicade lubrificação dos mancais para PCH João Borges</v>
          </cell>
          <cell r="I475" t="str">
            <v>Aquisição de equipamento sobressalente</v>
          </cell>
          <cell r="J475" t="str">
            <v>PCH João Borges</v>
          </cell>
          <cell r="K475">
            <v>0</v>
          </cell>
          <cell r="L475">
            <v>0</v>
          </cell>
          <cell r="M475">
            <v>0</v>
          </cell>
          <cell r="N475">
            <v>0</v>
          </cell>
          <cell r="O475">
            <v>0</v>
          </cell>
          <cell r="P475">
            <v>0</v>
          </cell>
          <cell r="Q475">
            <v>0</v>
          </cell>
          <cell r="R475">
            <v>0</v>
          </cell>
          <cell r="S475">
            <v>0</v>
          </cell>
          <cell r="T475">
            <v>0</v>
          </cell>
          <cell r="U475">
            <v>0</v>
          </cell>
          <cell r="V475">
            <v>0</v>
          </cell>
          <cell r="W475">
            <v>0</v>
          </cell>
        </row>
        <row r="476">
          <cell r="G476" t="str">
            <v>SGHI.0001</v>
          </cell>
          <cell r="H476" t="str">
            <v>Aquisição de bombas sobressalente para a unidade hidráulica de lubrificação dos mancais para PCH João Borges</v>
          </cell>
          <cell r="I476" t="str">
            <v>Aquisição de equipamento sobressalente</v>
          </cell>
          <cell r="J476" t="str">
            <v>PCH João Borges</v>
          </cell>
          <cell r="K476">
            <v>0</v>
          </cell>
          <cell r="L476">
            <v>0</v>
          </cell>
          <cell r="M476">
            <v>0</v>
          </cell>
          <cell r="N476">
            <v>0</v>
          </cell>
          <cell r="O476">
            <v>0</v>
          </cell>
          <cell r="P476">
            <v>0</v>
          </cell>
          <cell r="Q476">
            <v>0</v>
          </cell>
          <cell r="R476">
            <v>0</v>
          </cell>
          <cell r="S476">
            <v>0</v>
          </cell>
          <cell r="T476">
            <v>0</v>
          </cell>
          <cell r="U476">
            <v>0</v>
          </cell>
          <cell r="V476">
            <v>0</v>
          </cell>
          <cell r="W476">
            <v>0</v>
          </cell>
        </row>
        <row r="477">
          <cell r="G477" t="str">
            <v>SGHI.0001</v>
          </cell>
          <cell r="H477" t="str">
            <v>Serviço de instalação e testes dos novos painéis de comando e força, e também instrumentação do sistemas de drenagem e esgotamento na PCH João Borges</v>
          </cell>
          <cell r="I477" t="str">
            <v>Aquisição de 2 carregadores de baterias para UHJB</v>
          </cell>
          <cell r="J477" t="str">
            <v>PCH João Borges</v>
          </cell>
          <cell r="K477">
            <v>0</v>
          </cell>
          <cell r="L477">
            <v>0</v>
          </cell>
          <cell r="M477">
            <v>0</v>
          </cell>
          <cell r="N477">
            <v>0</v>
          </cell>
          <cell r="O477">
            <v>0</v>
          </cell>
          <cell r="P477">
            <v>0</v>
          </cell>
          <cell r="Q477">
            <v>0</v>
          </cell>
          <cell r="R477">
            <v>0</v>
          </cell>
          <cell r="S477">
            <v>0</v>
          </cell>
          <cell r="T477">
            <v>0</v>
          </cell>
          <cell r="U477">
            <v>0</v>
          </cell>
          <cell r="V477">
            <v>0</v>
          </cell>
          <cell r="W477">
            <v>0</v>
          </cell>
        </row>
        <row r="478">
          <cell r="G478" t="str">
            <v>SGHI.0001</v>
          </cell>
          <cell r="H478" t="str">
            <v>Aquisição de bombas sobressalente para a unidade hidráulica do regulador de velocidade PCH João Borges</v>
          </cell>
          <cell r="I478" t="str">
            <v>Aquisição de equipamento sobressalente</v>
          </cell>
          <cell r="J478" t="str">
            <v>PCH João Borges</v>
          </cell>
          <cell r="K478">
            <v>0</v>
          </cell>
          <cell r="L478">
            <v>0</v>
          </cell>
          <cell r="M478">
            <v>0</v>
          </cell>
          <cell r="N478">
            <v>0</v>
          </cell>
          <cell r="O478">
            <v>0</v>
          </cell>
          <cell r="P478">
            <v>0</v>
          </cell>
          <cell r="Q478">
            <v>0</v>
          </cell>
          <cell r="R478">
            <v>0</v>
          </cell>
          <cell r="S478">
            <v>0</v>
          </cell>
          <cell r="T478">
            <v>0</v>
          </cell>
          <cell r="U478">
            <v>0</v>
          </cell>
          <cell r="V478">
            <v>0</v>
          </cell>
          <cell r="W478">
            <v>0</v>
          </cell>
        </row>
        <row r="479">
          <cell r="G479" t="str">
            <v>SGHI.0006</v>
          </cell>
          <cell r="H479" t="str">
            <v>Substituição das baterias da PCH Barra do Rio Chapéu</v>
          </cell>
          <cell r="I479" t="str">
            <v>Baterias 1 e 2 - 125 Vcc</v>
          </cell>
          <cell r="J479" t="str">
            <v>PCH Barra Do Rio Chapéu</v>
          </cell>
          <cell r="K479">
            <v>0</v>
          </cell>
          <cell r="L479">
            <v>0</v>
          </cell>
          <cell r="M479">
            <v>0</v>
          </cell>
          <cell r="N479">
            <v>0</v>
          </cell>
          <cell r="O479">
            <v>0</v>
          </cell>
          <cell r="P479">
            <v>0</v>
          </cell>
          <cell r="Q479">
            <v>0</v>
          </cell>
          <cell r="R479">
            <v>0</v>
          </cell>
          <cell r="S479">
            <v>0</v>
          </cell>
          <cell r="T479">
            <v>0</v>
          </cell>
          <cell r="U479">
            <v>0</v>
          </cell>
          <cell r="V479">
            <v>0</v>
          </cell>
          <cell r="W479">
            <v>0</v>
          </cell>
        </row>
        <row r="480">
          <cell r="G480" t="str">
            <v>SGHI.0006</v>
          </cell>
          <cell r="H480" t="str">
            <v>Substituição das baterias da PCH João Borges</v>
          </cell>
          <cell r="I480" t="str">
            <v>Baterias 1 e 2 - CFR - 125 Vcc</v>
          </cell>
          <cell r="J480" t="str">
            <v>PCH João Borges</v>
          </cell>
          <cell r="K480">
            <v>0</v>
          </cell>
          <cell r="L480">
            <v>0</v>
          </cell>
          <cell r="M480">
            <v>0</v>
          </cell>
          <cell r="N480">
            <v>0</v>
          </cell>
          <cell r="O480">
            <v>0</v>
          </cell>
          <cell r="P480">
            <v>0</v>
          </cell>
          <cell r="Q480">
            <v>0</v>
          </cell>
          <cell r="R480">
            <v>0</v>
          </cell>
          <cell r="S480">
            <v>0</v>
          </cell>
          <cell r="T480">
            <v>0</v>
          </cell>
          <cell r="U480">
            <v>0</v>
          </cell>
          <cell r="V480">
            <v>0</v>
          </cell>
          <cell r="W480">
            <v>0</v>
          </cell>
        </row>
        <row r="481">
          <cell r="G481" t="str">
            <v>SGSO.0002</v>
          </cell>
          <cell r="H481" t="str">
            <v>Substituição de todas as baterias do MegaWattSolar</v>
          </cell>
          <cell r="I481" t="str">
            <v>Baterias 1 e 2 - 125 Vcc</v>
          </cell>
          <cell r="J481" t="str">
            <v>UFV MegaWatt Solar</v>
          </cell>
          <cell r="K481">
            <v>0</v>
          </cell>
          <cell r="L481">
            <v>0</v>
          </cell>
          <cell r="M481">
            <v>0</v>
          </cell>
          <cell r="N481">
            <v>0</v>
          </cell>
          <cell r="O481">
            <v>0</v>
          </cell>
          <cell r="P481">
            <v>0</v>
          </cell>
          <cell r="Q481">
            <v>0</v>
          </cell>
          <cell r="R481">
            <v>0</v>
          </cell>
          <cell r="S481">
            <v>0</v>
          </cell>
          <cell r="T481">
            <v>0</v>
          </cell>
          <cell r="U481">
            <v>0</v>
          </cell>
          <cell r="V481">
            <v>0</v>
          </cell>
          <cell r="W481">
            <v>0</v>
          </cell>
        </row>
        <row r="482">
          <cell r="G482" t="str">
            <v>SGHI.0006</v>
          </cell>
          <cell r="H482" t="str">
            <v>Substituição das baterias da UHE Passo São João</v>
          </cell>
          <cell r="I482" t="str">
            <v>Baterias 1 e 2 - CFR - 48 e 125 Vcc e Bateria 1 - VRT - 125 Vcc</v>
          </cell>
          <cell r="J482" t="str">
            <v>UHE Passo São João</v>
          </cell>
          <cell r="K482">
            <v>0</v>
          </cell>
          <cell r="L482">
            <v>0</v>
          </cell>
          <cell r="M482">
            <v>0</v>
          </cell>
          <cell r="N482">
            <v>0</v>
          </cell>
          <cell r="O482">
            <v>0</v>
          </cell>
          <cell r="P482">
            <v>0</v>
          </cell>
          <cell r="Q482">
            <v>0</v>
          </cell>
          <cell r="R482">
            <v>0</v>
          </cell>
          <cell r="S482">
            <v>0</v>
          </cell>
          <cell r="T482">
            <v>0</v>
          </cell>
          <cell r="U482">
            <v>0</v>
          </cell>
          <cell r="V482">
            <v>0</v>
          </cell>
          <cell r="W482">
            <v>0</v>
          </cell>
        </row>
        <row r="483">
          <cell r="G483" t="str">
            <v>SGHI.0006</v>
          </cell>
          <cell r="H483" t="str">
            <v>Sistema de monitoramento de Vibrações UHE Passo São João</v>
          </cell>
          <cell r="I483" t="str">
            <v>Equipamento com degradação de desempenho, baixa confiabilidade e sem sobressalente</v>
          </cell>
          <cell r="J483" t="str">
            <v>UHE Passo São João</v>
          </cell>
          <cell r="K483">
            <v>0</v>
          </cell>
          <cell r="L483">
            <v>0</v>
          </cell>
          <cell r="M483">
            <v>0</v>
          </cell>
          <cell r="N483">
            <v>0</v>
          </cell>
          <cell r="O483">
            <v>0</v>
          </cell>
          <cell r="P483">
            <v>0</v>
          </cell>
          <cell r="Q483">
            <v>0</v>
          </cell>
          <cell r="R483">
            <v>0</v>
          </cell>
          <cell r="S483">
            <v>0</v>
          </cell>
          <cell r="T483">
            <v>0</v>
          </cell>
          <cell r="U483">
            <v>0</v>
          </cell>
          <cell r="V483">
            <v>0</v>
          </cell>
          <cell r="W483">
            <v>0</v>
          </cell>
        </row>
        <row r="484">
          <cell r="G484" t="str">
            <v>SGHI.0006</v>
          </cell>
          <cell r="H484" t="str">
            <v>Substituição das baterias da UHE São Domingos</v>
          </cell>
          <cell r="I484" t="str">
            <v>Baterias 1 e 2 - CFR - 48 e 125 Vcc e Bateria 1 - VRT - 125 Vcc</v>
          </cell>
          <cell r="J484" t="str">
            <v>UHE São Domingos</v>
          </cell>
          <cell r="K484">
            <v>0</v>
          </cell>
          <cell r="L484">
            <v>0</v>
          </cell>
          <cell r="M484">
            <v>0</v>
          </cell>
          <cell r="N484">
            <v>0</v>
          </cell>
          <cell r="O484">
            <v>0</v>
          </cell>
          <cell r="P484">
            <v>0</v>
          </cell>
          <cell r="Q484">
            <v>0</v>
          </cell>
          <cell r="R484">
            <v>0</v>
          </cell>
          <cell r="S484">
            <v>0</v>
          </cell>
          <cell r="T484">
            <v>0</v>
          </cell>
          <cell r="U484">
            <v>0</v>
          </cell>
          <cell r="V484">
            <v>0</v>
          </cell>
          <cell r="W484">
            <v>0</v>
          </cell>
        </row>
        <row r="485">
          <cell r="G485" t="str">
            <v>SGHI.0001</v>
          </cell>
          <cell r="H485" t="str">
            <v>Modernização do pórtico tomada d'água da PCH João Borges</v>
          </cell>
          <cell r="I485"/>
          <cell r="J485" t="str">
            <v>PCH João Borges</v>
          </cell>
          <cell r="K485">
            <v>0</v>
          </cell>
          <cell r="L485">
            <v>0</v>
          </cell>
          <cell r="M485">
            <v>0</v>
          </cell>
          <cell r="N485">
            <v>0</v>
          </cell>
          <cell r="O485">
            <v>0</v>
          </cell>
          <cell r="P485">
            <v>0</v>
          </cell>
          <cell r="Q485">
            <v>0</v>
          </cell>
          <cell r="R485">
            <v>0</v>
          </cell>
          <cell r="S485">
            <v>0</v>
          </cell>
          <cell r="T485">
            <v>0</v>
          </cell>
          <cell r="U485">
            <v>0</v>
          </cell>
          <cell r="V485">
            <v>0</v>
          </cell>
          <cell r="W485">
            <v>0</v>
          </cell>
        </row>
        <row r="487">
          <cell r="G487"/>
          <cell r="H487"/>
          <cell r="I487"/>
          <cell r="J487"/>
          <cell r="K487"/>
          <cell r="L487"/>
          <cell r="M487"/>
          <cell r="N487"/>
          <cell r="O487"/>
          <cell r="P487"/>
          <cell r="Q487"/>
          <cell r="R487"/>
          <cell r="S487"/>
          <cell r="T487"/>
          <cell r="U487"/>
          <cell r="V487"/>
          <cell r="W487"/>
        </row>
      </sheetData>
      <sheetData sheetId="1"/>
      <sheetData sheetId="2"/>
      <sheetData sheetId="3"/>
      <sheetData sheetId="4"/>
      <sheetData sheetId="5"/>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ções"/>
      <sheetName val="Categoria CISE"/>
      <sheetName val="Geração"/>
      <sheetName val="Transmissão"/>
      <sheetName val="Ambiental"/>
      <sheetName val="Infraestrutura"/>
      <sheetName val="Telecom, Cyber e SPCS"/>
    </sheetNames>
    <sheetDataSet>
      <sheetData sheetId="0"/>
      <sheetData sheetId="1"/>
      <sheetData sheetId="2">
        <row r="4">
          <cell r="L4"/>
        </row>
        <row r="5">
          <cell r="F5" t="str">
            <v>Responsável</v>
          </cell>
          <cell r="G5" t="str">
            <v>Descrição Resumida</v>
          </cell>
          <cell r="L5" t="str">
            <v>ID de demanda candidata</v>
          </cell>
        </row>
        <row r="6">
          <cell r="F6" t="str">
            <v>Frederico Rodolfo Parente Doerner</v>
          </cell>
          <cell r="G6" t="str">
            <v>Modernização RVT UHE Balbina</v>
          </cell>
          <cell r="L6" t="str">
            <v>ENOR.00011</v>
          </cell>
        </row>
        <row r="7">
          <cell r="F7" t="str">
            <v>Frederico Rodolfo Parente Doerner</v>
          </cell>
          <cell r="G7" t="str">
            <v>Unidade de filtração hidraulica do Regulador de velocidade com elemento absoluto e sistema monitoramento</v>
          </cell>
          <cell r="L7" t="str">
            <v>ENOR.00012</v>
          </cell>
        </row>
        <row r="8">
          <cell r="F8" t="str">
            <v>Frederico Rodolfo Parente Doerner</v>
          </cell>
          <cell r="G8" t="str">
            <v>SPCS balbina</v>
          </cell>
          <cell r="L8" t="str">
            <v>ENOR.00013</v>
          </cell>
        </row>
        <row r="9">
          <cell r="F9" t="str">
            <v>Milton Pereira Menezes</v>
          </cell>
          <cell r="G9" t="str">
            <v>Sistema de Ventilação e exaustão das  galerias da UHE Balbina.</v>
          </cell>
          <cell r="L9"/>
        </row>
        <row r="10">
          <cell r="F10" t="str">
            <v>Klenio Dias Timoteo</v>
          </cell>
          <cell r="G10" t="str">
            <v>Implatação de rede aérea de alimentação na UHE Balbina</v>
          </cell>
          <cell r="L10" t="str">
            <v>ENOR.00028</v>
          </cell>
        </row>
        <row r="11">
          <cell r="F11" t="str">
            <v>Klenio Dias Timoteo</v>
          </cell>
          <cell r="G11" t="str">
            <v>Instalar comando e controle sistema de drenagem e esgotamento da UHE Balbina</v>
          </cell>
          <cell r="L11" t="str">
            <v>ENOR.00029</v>
          </cell>
        </row>
        <row r="12">
          <cell r="F12" t="str">
            <v>Klenio Dias Timoteo</v>
          </cell>
          <cell r="G12" t="str">
            <v>Atualização dos Servidores do SPCS</v>
          </cell>
          <cell r="L12" t="str">
            <v>ENOR.00069</v>
          </cell>
        </row>
        <row r="13">
          <cell r="F13" t="str">
            <v>Milton Pereira Menezes</v>
          </cell>
          <cell r="G13" t="str">
            <v>MODERNIZAÇÃO DO SISTEMA DE AR DE SERVIÇO UHE BALBINA</v>
          </cell>
          <cell r="L13" t="str">
            <v>ENOR.00073</v>
          </cell>
        </row>
        <row r="14">
          <cell r="F14" t="str">
            <v>Milton Pereira Menezes</v>
          </cell>
          <cell r="G14" t="str">
            <v>MODERNIZAÇÃO DO SISTEMA DE AR DE REGULAÇÃO UHE BALBINA</v>
          </cell>
          <cell r="L14" t="str">
            <v>ENOR.00074</v>
          </cell>
        </row>
        <row r="15">
          <cell r="F15" t="str">
            <v>Milton Pereira Menezes</v>
          </cell>
          <cell r="G15" t="str">
            <v>MODERNIZAÇÃO DO SISTEMA RESFR. MANCAL COMBINADO UHE BALBINA</v>
          </cell>
          <cell r="L15" t="str">
            <v>ENOR.00075</v>
          </cell>
        </row>
        <row r="16">
          <cell r="F16" t="str">
            <v>Milton Pereira Menezes</v>
          </cell>
          <cell r="G16" t="str">
            <v>MODERNIZAÇÃO DO SISTEMA RESFR. MANCAL GERADOR UHE BALBINA</v>
          </cell>
          <cell r="L16" t="str">
            <v>ENOR.00076</v>
          </cell>
        </row>
        <row r="17">
          <cell r="F17" t="str">
            <v>Milton Pereira Menezes</v>
          </cell>
          <cell r="G17" t="str">
            <v>MODERNIZAÇÃO DO SIST INJEÇÃO DE ÓLEO MANCAL ESCORA UHE BALBINA</v>
          </cell>
          <cell r="L17" t="str">
            <v>ENOR.00077</v>
          </cell>
        </row>
        <row r="18">
          <cell r="F18" t="str">
            <v>Milton Pereira Menezes</v>
          </cell>
          <cell r="G18" t="str">
            <v>MODERNIZACAO DO SISTEMA DRENAGEM TAMPA DA TURBINA UHE BALBINA</v>
          </cell>
          <cell r="L18" t="str">
            <v>ENOR.00078</v>
          </cell>
        </row>
        <row r="19">
          <cell r="F19" t="str">
            <v>Frederico Rodolfo Parente Doerner</v>
          </cell>
          <cell r="G19" t="str">
            <v>MODERNIZACAO SISTEMA DE CLORO BARRILHA UHE BALBINA</v>
          </cell>
          <cell r="L19" t="str">
            <v>ENOR.00079</v>
          </cell>
        </row>
        <row r="20">
          <cell r="F20" t="str">
            <v>Frederico Rodolfo Parente Doerner</v>
          </cell>
          <cell r="G20" t="str">
            <v>MODERNIZAÇÃO DOS ANÉIS COLETORES COM INSTALAÇÃO DE SISTEMA DE LIMPEZA AUTOMÁTICA UHE BALBINA</v>
          </cell>
          <cell r="L20" t="str">
            <v>ENOR.00080</v>
          </cell>
        </row>
        <row r="21">
          <cell r="F21" t="str">
            <v>Frederico Rodolfo Parente Doerner</v>
          </cell>
          <cell r="G21" t="str">
            <v>Modernização Comportas Vertedouro UHE BALBINA</v>
          </cell>
          <cell r="L21" t="str">
            <v>ENOR.00081</v>
          </cell>
        </row>
        <row r="22">
          <cell r="F22" t="str">
            <v>Frederico Rodolfo Parente Doerner</v>
          </cell>
          <cell r="G22" t="str">
            <v>Modernização Comportas Tomada D'agua UHE BALBINA</v>
          </cell>
          <cell r="L22" t="str">
            <v>ENOR.00082</v>
          </cell>
        </row>
        <row r="23">
          <cell r="F23" t="str">
            <v>Frederico Rodolfo Parente Doerner</v>
          </cell>
          <cell r="G23" t="str">
            <v>Modernização Pórtico UHE BALBINA</v>
          </cell>
          <cell r="L23" t="str">
            <v>ENOR.00083</v>
          </cell>
        </row>
        <row r="24">
          <cell r="F24" t="str">
            <v>Frederico Rodolfo Parente Doerner</v>
          </cell>
          <cell r="G24" t="str">
            <v>Modernização Ponte Rolante UHE BALBINA</v>
          </cell>
          <cell r="L24" t="str">
            <v xml:space="preserve">ENOR.00084 </v>
          </cell>
        </row>
        <row r="25">
          <cell r="F25" t="str">
            <v>Frederico Rodolfo Parente Doerner</v>
          </cell>
          <cell r="G25" t="str">
            <v>Modernização dos Centros de Carga Miscelânea 380 VCA UHE Balbina</v>
          </cell>
          <cell r="L25" t="str">
            <v>ENOR.00085</v>
          </cell>
        </row>
        <row r="26">
          <cell r="F26" t="str">
            <v>Frederico Rodolfo Parente Doerner</v>
          </cell>
          <cell r="G26" t="str">
            <v>Modernização do Serviço Auxiliar 13,8 KVCA UHE Balbina</v>
          </cell>
          <cell r="L26" t="str">
            <v>ENOR.00086</v>
          </cell>
        </row>
        <row r="27">
          <cell r="F27" t="str">
            <v>Frederico Rodolfo Parente Doerner</v>
          </cell>
          <cell r="G27" t="str">
            <v>Modernização do Serviço Auxiliar 125 VCC UHE Balbina</v>
          </cell>
          <cell r="L27" t="str">
            <v>ENOR.00087</v>
          </cell>
        </row>
        <row r="28">
          <cell r="F28" t="str">
            <v>Milton Pereira Menezes</v>
          </cell>
          <cell r="G28" t="str">
            <v>Aquisição de um Gerador Diesel de Emergência</v>
          </cell>
          <cell r="L28" t="str">
            <v>ENOR.00129</v>
          </cell>
        </row>
        <row r="29">
          <cell r="F29" t="str">
            <v>Frederico Rodolfo Parente Doerner</v>
          </cell>
          <cell r="G29" t="str">
            <v>Superação equipamentos vão da UG 03 da UHCN</v>
          </cell>
          <cell r="L29" t="str">
            <v>ENOR.00308</v>
          </cell>
        </row>
        <row r="30">
          <cell r="F30" t="str">
            <v>Klenio Dias Timoteo</v>
          </cell>
          <cell r="G30" t="str">
            <v>Modernização Sistema de Proteção CNUGH-01 / CNUGH-02</v>
          </cell>
          <cell r="L30" t="str">
            <v>ENOR.00088</v>
          </cell>
        </row>
        <row r="31">
          <cell r="F31" t="str">
            <v>Frederico Rodolfo Parente Doerner</v>
          </cell>
          <cell r="G31" t="str">
            <v>Modernização Ponte rolante da UHCN</v>
          </cell>
          <cell r="L31" t="str">
            <v>ENOR.00090</v>
          </cell>
        </row>
        <row r="32">
          <cell r="F32" t="str">
            <v>Frederico Rodolfo Parente Doerner</v>
          </cell>
          <cell r="G32" t="str">
            <v>Aquisição de novo GDE de 400KVA</v>
          </cell>
          <cell r="L32" t="str">
            <v>ENOR.00091</v>
          </cell>
        </row>
        <row r="33">
          <cell r="F33" t="str">
            <v>Frederico Rodolfo Parente Doerner</v>
          </cell>
          <cell r="G33" t="str">
            <v>Modernização do Painel de comando dos GDE's</v>
          </cell>
          <cell r="L33" t="str">
            <v>ENOR.00092</v>
          </cell>
        </row>
        <row r="34">
          <cell r="F34" t="str">
            <v>Naim Damasceno Campos</v>
          </cell>
          <cell r="G34" t="str">
            <v>Sobressalentes Estrategicos UHCN</v>
          </cell>
          <cell r="L34" t="str">
            <v>ENOR.00093</v>
          </cell>
        </row>
        <row r="35">
          <cell r="F35" t="str">
            <v>Naim Damasceno Campos</v>
          </cell>
          <cell r="G35" t="str">
            <v>Revitalização do Vertedouro da UHCN</v>
          </cell>
          <cell r="L35" t="str">
            <v>ENOR.00094</v>
          </cell>
        </row>
        <row r="36">
          <cell r="F36" t="str">
            <v>Frederico Rodolfo Parente Doerner</v>
          </cell>
          <cell r="G36" t="str">
            <v>Modernização dos mancais de guia da Turbina CUUGH01, 02 e 03</v>
          </cell>
          <cell r="L36" t="str">
            <v>ENOR.00030</v>
          </cell>
        </row>
        <row r="37">
          <cell r="F37" t="str">
            <v>Frederico Rodolfo Parente Doerner</v>
          </cell>
          <cell r="G37" t="str">
            <v xml:space="preserve">Modernização do serviço auxiliar da usina, com substituição de cubículos e gavetas do circuito CA </v>
          </cell>
          <cell r="L37" t="str">
            <v>ENOR.00031</v>
          </cell>
        </row>
        <row r="38">
          <cell r="F38" t="str">
            <v>Frederico Rodolfo Parente Doerner</v>
          </cell>
          <cell r="G38" t="str">
            <v>Estação de tratamento de agua de serviço para minimizar a contaminação ferro bactéria</v>
          </cell>
          <cell r="L38" t="str">
            <v>ENOR.00032</v>
          </cell>
        </row>
        <row r="39">
          <cell r="F39" t="str">
            <v>Airton Rego Bentes</v>
          </cell>
          <cell r="G39" t="str">
            <v>Instalação de câmeras interna e externa a casa de força</v>
          </cell>
          <cell r="L39" t="str">
            <v>ENOR.00033</v>
          </cell>
        </row>
        <row r="40">
          <cell r="F40" t="str">
            <v>Airton Rego Bentes</v>
          </cell>
          <cell r="G40" t="str">
            <v>Substituição de cadeias de isoladores da linha CUTA</v>
          </cell>
          <cell r="L40" t="str">
            <v>ENOR.00034</v>
          </cell>
        </row>
        <row r="41">
          <cell r="F41" t="str">
            <v>Frederico Rodolfo Parente Doerner</v>
          </cell>
          <cell r="G41" t="str">
            <v>Modernização da Ponte Rolante e Porticos da Casa de Força e Vertedouro</v>
          </cell>
          <cell r="L41" t="str">
            <v>ENOR.00035</v>
          </cell>
        </row>
        <row r="42">
          <cell r="F42" t="str">
            <v>Frederico Rodolfo Parente Doerner</v>
          </cell>
          <cell r="G42" t="str">
            <v>Modernização do cubículo de  6,9kV para a UHE Curuá-Una</v>
          </cell>
          <cell r="L42" t="str">
            <v>ENOR.00036</v>
          </cell>
        </row>
        <row r="43">
          <cell r="F43" t="str">
            <v>Frederico Rodolfo Parente Doerner</v>
          </cell>
          <cell r="G43" t="str">
            <v xml:space="preserve">Modernização da instrumentação da UHE Curuá-Una CUUGH01, 02 e 03 </v>
          </cell>
          <cell r="L43" t="str">
            <v>ENOR.00037</v>
          </cell>
        </row>
        <row r="44">
          <cell r="F44" t="str">
            <v>Airton Rego Bentes</v>
          </cell>
          <cell r="G44" t="str">
            <v>Aquisição das bombas do sistema de regulação de velocidade da UHE Curuá-Una UGH01,02,03</v>
          </cell>
          <cell r="L44" t="str">
            <v>ENOR.00038</v>
          </cell>
        </row>
        <row r="45">
          <cell r="F45" t="str">
            <v>Airton Rego Bentes</v>
          </cell>
          <cell r="G45" t="str">
            <v>Implantação da mesa de comando da sala de controle da UHE Curuá-Una</v>
          </cell>
          <cell r="L45" t="str">
            <v>ENOR.00041</v>
          </cell>
        </row>
        <row r="46">
          <cell r="F46" t="str">
            <v>Airton Rego Bentes</v>
          </cell>
          <cell r="G46" t="str">
            <v>Aquisição das bombas do sistema de resfriamento das uidades geradoras da UHE Curuá-Una</v>
          </cell>
          <cell r="L46" t="str">
            <v>ENOR.00042</v>
          </cell>
        </row>
        <row r="47">
          <cell r="F47" t="str">
            <v>Frederico Rodolfo Parente Doerner</v>
          </cell>
          <cell r="G47" t="str">
            <v>Modernização das turbinas hidráulicas da UHE Curuá-Una UGH01.02 e 03</v>
          </cell>
          <cell r="L47" t="str">
            <v>ENOR.00043</v>
          </cell>
        </row>
        <row r="48">
          <cell r="F48" t="str">
            <v>Klenio Dias Timoteo</v>
          </cell>
          <cell r="G48" t="str">
            <v>MODERNIZAÇÃO DO RTVX DAS UGHs 01,02 e 03</v>
          </cell>
          <cell r="L48" t="str">
            <v>ENOR.00044</v>
          </cell>
        </row>
        <row r="49">
          <cell r="F49" t="str">
            <v>Frederico Rodolfo Parente Doerner</v>
          </cell>
          <cell r="G49" t="str">
            <v>Modernização do geradores elétricos da UHE Curuá-Uma-UGH01, 02 e 03</v>
          </cell>
          <cell r="L49" t="str">
            <v>ENOR.00045</v>
          </cell>
        </row>
        <row r="50">
          <cell r="F50" t="str">
            <v>Frederico Rodolfo Parente Doerner</v>
          </cell>
          <cell r="G50" t="str">
            <v>Substituição de transformador para a UHE Curuá-Una - UGH02 e reserva</v>
          </cell>
          <cell r="L50" t="str">
            <v>ENOR.00046</v>
          </cell>
        </row>
        <row r="51">
          <cell r="F51" t="str">
            <v>Airton Rego Bentes</v>
          </cell>
          <cell r="G51" t="str">
            <v>Modernização da subestação 138kV da UHE.</v>
          </cell>
          <cell r="L51" t="str">
            <v>ENOR.00047</v>
          </cell>
        </row>
        <row r="52">
          <cell r="F52" t="str">
            <v>Airton Rego Bentes</v>
          </cell>
          <cell r="G52" t="str">
            <v>Substituição dos cabos para-raios da LT CUTA-LI5-01 da UHE Curuá-Una</v>
          </cell>
          <cell r="L52" t="str">
            <v>ENOR.00048</v>
          </cell>
        </row>
        <row r="53">
          <cell r="F53" t="str">
            <v>Airton Rego Bentes</v>
          </cell>
          <cell r="G53" t="str">
            <v>Modernização do conjunto de TCs da LT CUTA-LI5-01 da UHE Curuá-Una</v>
          </cell>
          <cell r="L53" t="str">
            <v>ENOR.00049</v>
          </cell>
        </row>
        <row r="54">
          <cell r="F54" t="str">
            <v>Airton Rego Bentes</v>
          </cell>
          <cell r="G54" t="str">
            <v>Modernização do disjuntor da LT CUTA-LI5-01 da UHE Curuá-Una</v>
          </cell>
          <cell r="L54" t="str">
            <v>ENOR.00072</v>
          </cell>
        </row>
        <row r="55">
          <cell r="F55" t="str">
            <v>Airton Rego Bentes</v>
          </cell>
          <cell r="G55" t="str">
            <v>Implantação de laboratorio Eletrico/mecânico</v>
          </cell>
        </row>
        <row r="56">
          <cell r="F56" t="str">
            <v>Klenio Dias Timoteo</v>
          </cell>
          <cell r="G56" t="str">
            <v>Modernização RVT UHE Samuel</v>
          </cell>
          <cell r="L56" t="str">
            <v>ENOR.00501</v>
          </cell>
        </row>
        <row r="57">
          <cell r="F57" t="str">
            <v>Francisco Figueiredo Silva Neto</v>
          </cell>
          <cell r="G57" t="str">
            <v>Monitoramento de buchas de transformador</v>
          </cell>
          <cell r="L57" t="str">
            <v>ENOR.00306</v>
          </cell>
        </row>
        <row r="58">
          <cell r="F58" t="str">
            <v>Klenio Dias Timoteo</v>
          </cell>
          <cell r="G58" t="str">
            <v>Modernização dos Centros de Carga Miscelânea 380 VCA UHE SAMUEL</v>
          </cell>
          <cell r="L58" t="str">
            <v>ENOR.00050</v>
          </cell>
        </row>
        <row r="59">
          <cell r="F59" t="str">
            <v>Klenio Dias Timoteo</v>
          </cell>
          <cell r="G59" t="str">
            <v>Modernização do Serviço Auxiliar 13,8 KVCA UHE SAMUEL</v>
          </cell>
          <cell r="L59" t="str">
            <v>ENOR.00051</v>
          </cell>
        </row>
        <row r="60">
          <cell r="F60" t="str">
            <v>Klenio Dias Timoteo</v>
          </cell>
          <cell r="G60" t="str">
            <v>Substituição Transformador Regulador 01 13,8 KVCA UHE SAMUEL</v>
          </cell>
          <cell r="L60" t="str">
            <v>ENOR.00052</v>
          </cell>
        </row>
        <row r="61">
          <cell r="F61" t="str">
            <v>Klenio Dias Timoteo</v>
          </cell>
          <cell r="G61" t="str">
            <v>Substituição Transformador Serviço Auxiliar 01 13,8/0,38 KVCA UHE SAMUEL</v>
          </cell>
          <cell r="L61" t="str">
            <v>ENOR.00053</v>
          </cell>
        </row>
        <row r="62">
          <cell r="F62" t="str">
            <v>Klenio Dias Timoteo</v>
          </cell>
          <cell r="G62" t="str">
            <v>Modernização do Serviço Auxiliar 125 VCC UHE SAMUEL</v>
          </cell>
          <cell r="L62" t="str">
            <v>ENOR.00054</v>
          </cell>
        </row>
        <row r="63">
          <cell r="F63" t="str">
            <v>Klenio Dias Timoteo</v>
          </cell>
          <cell r="G63" t="str">
            <v>Modernização Comportas de Emergência UHE SAMUEL</v>
          </cell>
          <cell r="L63" t="str">
            <v>ENOR.00055</v>
          </cell>
        </row>
        <row r="64">
          <cell r="F64" t="str">
            <v>Klenio Dias Timoteo</v>
          </cell>
          <cell r="G64" t="str">
            <v>Modernização Comportas Vertedouro UHE SAMUEL</v>
          </cell>
          <cell r="L64" t="str">
            <v>ENOR.00056</v>
          </cell>
        </row>
        <row r="65">
          <cell r="F65" t="str">
            <v>Klenio Dias Timoteo</v>
          </cell>
          <cell r="G65" t="str">
            <v>Modernização Pórtico UHE SAMUEL</v>
          </cell>
          <cell r="L65" t="str">
            <v>ENOR.00057</v>
          </cell>
        </row>
        <row r="66">
          <cell r="F66" t="str">
            <v>Klenio Dias Timoteo</v>
          </cell>
          <cell r="G66" t="str">
            <v>Modernização Pontes Rolantes UHE SAMUEL</v>
          </cell>
          <cell r="L66" t="str">
            <v>ENOR.00058</v>
          </cell>
        </row>
        <row r="67">
          <cell r="F67" t="str">
            <v>Klenio Dias Timoteo</v>
          </cell>
          <cell r="G67" t="str">
            <v>Modernização Sistema Anti-Incêndio UHE SAMUEL</v>
          </cell>
          <cell r="L67" t="str">
            <v>ENOR.00059</v>
          </cell>
        </row>
        <row r="68">
          <cell r="F68" t="str">
            <v>Klenio Dias Timoteo</v>
          </cell>
          <cell r="G68" t="str">
            <v>Modernização RDPs UHE Samuel</v>
          </cell>
          <cell r="L68" t="str">
            <v>ENOR.00060</v>
          </cell>
        </row>
        <row r="69">
          <cell r="F69" t="str">
            <v>Klenio Dias Timoteo</v>
          </cell>
          <cell r="G69" t="str">
            <v>Revitalização de Painéis Elétricos</v>
          </cell>
          <cell r="L69" t="str">
            <v>ENOR.00061</v>
          </cell>
        </row>
        <row r="70">
          <cell r="F70" t="str">
            <v>Klenio Dias Timoteo</v>
          </cell>
          <cell r="G70" t="str">
            <v>Integração de Sistemas ao Supervisório</v>
          </cell>
          <cell r="L70" t="str">
            <v>ENOR.00062</v>
          </cell>
        </row>
        <row r="71">
          <cell r="F71" t="str">
            <v>Frederico Rodolfo Parente Doerner</v>
          </cell>
          <cell r="G71" t="str">
            <v>Aquisição Pára Raios 230KV</v>
          </cell>
          <cell r="L71" t="str">
            <v>ENOR.00063</v>
          </cell>
        </row>
        <row r="72">
          <cell r="F72" t="str">
            <v>Alcides de Araujo Romao Neto</v>
          </cell>
          <cell r="G72" t="str">
            <v>Aquisição Disjuntor 230KV</v>
          </cell>
          <cell r="L72" t="str">
            <v>ENOR.00064</v>
          </cell>
        </row>
        <row r="73">
          <cell r="F73" t="str">
            <v>Alcides de Araujo Romao Neto</v>
          </cell>
          <cell r="G73" t="str">
            <v>Aquisição TPC 230KV</v>
          </cell>
          <cell r="L73" t="str">
            <v>ENOR.00065</v>
          </cell>
        </row>
        <row r="74">
          <cell r="F74" t="str">
            <v>Robinson Percy Holder</v>
          </cell>
          <cell r="G74" t="str">
            <v>Aquisição de banco de baterias 125VCC</v>
          </cell>
          <cell r="L74" t="str">
            <v>ENOR.00066</v>
          </cell>
        </row>
        <row r="75">
          <cell r="F75" t="str">
            <v>Frederico Rodolfo Parente Doerner</v>
          </cell>
          <cell r="G75" t="str">
            <v>Modernização Pórtico UHE Tucuruí</v>
          </cell>
          <cell r="L75" t="str">
            <v>ENOR.00301</v>
          </cell>
        </row>
        <row r="76">
          <cell r="F76" t="str">
            <v>Frederico Rodolfo Parente Doerner</v>
          </cell>
          <cell r="G76" t="str">
            <v>Modernização de equipamentos de linha UHE Tucuruí</v>
          </cell>
          <cell r="L76" t="str">
            <v>ENOR.00302</v>
          </cell>
        </row>
        <row r="77">
          <cell r="F77" t="str">
            <v>Daniel Branquinho Ferreira</v>
          </cell>
          <cell r="G77" t="str">
            <v>Substituição GIS UHE Tucuruí</v>
          </cell>
          <cell r="L77" t="str">
            <v>ENOR.00303</v>
          </cell>
        </row>
        <row r="78">
          <cell r="F78" t="str">
            <v>Fernanda Baracho Dourado Madureira</v>
          </cell>
          <cell r="G78" t="str">
            <v>Substituição Transformador 550kV UHE Tucuruí</v>
          </cell>
          <cell r="L78" t="str">
            <v>ENOR.00304</v>
          </cell>
        </row>
        <row r="79">
          <cell r="F79" t="str">
            <v>Luis Fernando Lacerda Arao</v>
          </cell>
          <cell r="G79" t="str">
            <v>Curva CAV</v>
          </cell>
          <cell r="L79" t="str">
            <v>ENOR.00307</v>
          </cell>
        </row>
        <row r="80">
          <cell r="F80" t="str">
            <v>Frederico Rodolfo Parente Doerner</v>
          </cell>
          <cell r="G80" t="str">
            <v>Aquisição de Sistema de Incendio  UHE Tucuruí - CF  I e CF II</v>
          </cell>
          <cell r="L80" t="str">
            <v>ENOR.00001</v>
          </cell>
        </row>
        <row r="81">
          <cell r="F81" t="str">
            <v>Gilton Carlos De Andrade Furtado</v>
          </cell>
          <cell r="G81" t="str">
            <v>Aquisição e instalação de tubulação de Sistema de de drenagem de poços - CF I</v>
          </cell>
          <cell r="L81" t="str">
            <v>ENOR.00002</v>
          </cell>
        </row>
        <row r="82">
          <cell r="F82" t="str">
            <v>Albert Ferraz Botelho Da Silva</v>
          </cell>
          <cell r="G82" t="str">
            <v>Substituição das capas isolantes dos geradores da casa de força 2 da UHE Tucuruí</v>
          </cell>
          <cell r="L82" t="str">
            <v>ENOR.00003</v>
          </cell>
        </row>
        <row r="83">
          <cell r="F83" t="str">
            <v>Gilton Carlos De Andrade Furtado</v>
          </cell>
          <cell r="G83" t="str">
            <v>Aquisição de 02 (duas) válvulas de isolamento motorizadas de 10” para aplicação no sistema de injeção de ar de rebaixamento da Central AN 01 - UGH 02</v>
          </cell>
          <cell r="L83" t="str">
            <v>ENOR.00004</v>
          </cell>
        </row>
        <row r="84">
          <cell r="F84" t="str">
            <v>Gilton Carlos De Andrade Furtado</v>
          </cell>
          <cell r="G84" t="str">
            <v xml:space="preserve">Aquisição de compressores para aplicação no sistema de ar de rebaixamento </v>
          </cell>
          <cell r="L84" t="str">
            <v>ENOR.00005</v>
          </cell>
        </row>
        <row r="85">
          <cell r="F85" t="str">
            <v>Gilton Carlos De Andrade Furtado</v>
          </cell>
          <cell r="G85" t="str">
            <v>Aquisição de motobombas para o sistema de circulação de óleo dos mancais MGT, MGG e ME - Casa de Força 01</v>
          </cell>
          <cell r="L85" t="str">
            <v>ENOR.00007</v>
          </cell>
        </row>
        <row r="86">
          <cell r="F86" t="str">
            <v>Gilton Carlos De Andrade Furtado</v>
          </cell>
          <cell r="G86" t="str">
            <v xml:space="preserve">Sistema SPCI água nebulizada tanques diesel GDE 01, 02,03,04.05,06 e 07 </v>
          </cell>
          <cell r="L86" t="str">
            <v>ENOR.00009</v>
          </cell>
        </row>
        <row r="87">
          <cell r="F87" t="str">
            <v>Gilton Carlos De Andrade Furtado</v>
          </cell>
          <cell r="G87" t="str">
            <v>Aquisição de bombas vertical, tipo parafuso, para o sistema de circulação de óleo do Regulador de Velocidade - UGHs Casa de Força 01</v>
          </cell>
          <cell r="L87" t="str">
            <v>ENOR.00010</v>
          </cell>
        </row>
        <row r="88">
          <cell r="F88" t="str">
            <v>Gilton Carlos De Andrade Furtado</v>
          </cell>
          <cell r="G88" t="str">
            <v>Aquisição de conjunto completo da junta de vedação do eixo (UGH18): parte fixa e móvel</v>
          </cell>
          <cell r="L88" t="str">
            <v>ENOR.00021</v>
          </cell>
        </row>
        <row r="89">
          <cell r="F89" t="str">
            <v>Frederico Rodolfo Parente Doerner</v>
          </cell>
          <cell r="G89" t="str">
            <v>sistema de drenagem tampa turbina CF1, UG01,02,03,04,05,06,07,08,09,10,11 e 12</v>
          </cell>
          <cell r="L89" t="str">
            <v>ENOR.00022</v>
          </cell>
        </row>
        <row r="90">
          <cell r="F90" t="str">
            <v>Frederico Rodolfo Parente Doerner</v>
          </cell>
          <cell r="G90" t="str">
            <v>sistema de ventilação e exaustão CF1, CF2, vertedouro e tomada agua</v>
          </cell>
          <cell r="L90" t="str">
            <v>ENOR.00023</v>
          </cell>
        </row>
        <row r="91">
          <cell r="F91" t="str">
            <v>Frederico Rodolfo Parente Doerner</v>
          </cell>
          <cell r="G91" t="str">
            <v>sistema de refrigeração predial edificio comando, Supervisão e ULCPS</v>
          </cell>
          <cell r="L91" t="str">
            <v>ENOR.00024</v>
          </cell>
        </row>
        <row r="92">
          <cell r="F92" t="str">
            <v>Gilton Carlos De Andrade Furtado</v>
          </cell>
          <cell r="G92" t="str">
            <v>Recuperação da comporta 17 do Vertedouro da UHE Tucuruí</v>
          </cell>
          <cell r="L92" t="str">
            <v>ENOR.00025</v>
          </cell>
        </row>
        <row r="93">
          <cell r="F93" t="str">
            <v>Gilton Carlos De Andrade Furtado</v>
          </cell>
          <cell r="G93" t="str">
            <v>Modernização das estruturas metálicas da UHE Tucuruí</v>
          </cell>
          <cell r="L93" t="str">
            <v>ENOR.00026</v>
          </cell>
        </row>
        <row r="94">
          <cell r="F94" t="str">
            <v>Gilton Carlos De Andrade Furtado</v>
          </cell>
          <cell r="G94" t="str">
            <v>Modernização dos Stop Logs da UHE Tucuruí</v>
          </cell>
          <cell r="L94" t="str">
            <v>ENOR.00027</v>
          </cell>
        </row>
        <row r="95">
          <cell r="F95" t="str">
            <v>Frederico Rodolfo Parente Doerner</v>
          </cell>
          <cell r="G95" t="str">
            <v>RevitalizaçãoSistema de Água Tratada</v>
          </cell>
          <cell r="L95" t="str">
            <v>ENOR.00067</v>
          </cell>
        </row>
        <row r="96">
          <cell r="F96" t="str">
            <v>Frederico Rodolfo Parente Doerner</v>
          </cell>
          <cell r="G96" t="str">
            <v>Revitalização ETE</v>
          </cell>
          <cell r="L96" t="str">
            <v>ENOR.00068</v>
          </cell>
        </row>
        <row r="97">
          <cell r="F97" t="str">
            <v>Frederico Rodolfo Parente Doerner</v>
          </cell>
          <cell r="G97" t="str">
            <v>Modernização do sistema auto-limpante de água industrial da UHE Tucuruí</v>
          </cell>
          <cell r="L97" t="str">
            <v>ENOR.00095</v>
          </cell>
        </row>
        <row r="98">
          <cell r="F98" t="str">
            <v>Frederico Rodolfo Parente Doerner</v>
          </cell>
          <cell r="G98" t="str">
            <v>Implantação do sistema de injeção química para combate ao mexilhão dourado na UHE Tucuruí</v>
          </cell>
          <cell r="L98" t="str">
            <v>ENOR.00096</v>
          </cell>
        </row>
        <row r="99">
          <cell r="F99" t="str">
            <v>Frederico Rodolfo Parente Doerner</v>
          </cell>
          <cell r="G99" t="str">
            <v>Modernização do sistema de resfriamento da UHE Tucuruí - Projeto Siri</v>
          </cell>
          <cell r="L99" t="str">
            <v>ENOR.00097</v>
          </cell>
        </row>
        <row r="100">
          <cell r="F100" t="str">
            <v>Frederico Rodolfo Parente Doerner</v>
          </cell>
          <cell r="G100" t="str">
            <v>Aquisição de um Gerador Diesel de Emergência para a CFII da UHE Tucuruí</v>
          </cell>
          <cell r="L100" t="str">
            <v>ENOR.00099</v>
          </cell>
        </row>
        <row r="101">
          <cell r="F101" t="str">
            <v>Frederico Rodolfo Parente Doerner</v>
          </cell>
          <cell r="G101" t="str">
            <v>Modernização de 01 transformador novo para a CFI da UHE Tucurui</v>
          </cell>
          <cell r="L101" t="str">
            <v>ENOR.00100</v>
          </cell>
        </row>
        <row r="102">
          <cell r="F102" t="str">
            <v>Frederico Rodolfo Parente Doerner</v>
          </cell>
          <cell r="G102" t="str">
            <v>Modernização do Barramento Blindado (13,8kV) UG19 da UHE Tucuruí</v>
          </cell>
          <cell r="L102" t="str">
            <v>ENOR.00101</v>
          </cell>
        </row>
        <row r="103">
          <cell r="F103" t="str">
            <v>Frederico Rodolfo Parente Doerner</v>
          </cell>
          <cell r="G103" t="str">
            <v>Modernização de 02 Transformadores elevadores (UGHs 24 e 25) da UHE Tucuruí</v>
          </cell>
          <cell r="L103" t="str">
            <v>ENOR.00102</v>
          </cell>
        </row>
        <row r="104">
          <cell r="F104" t="str">
            <v>Frederico Rodolfo Parente Doerner</v>
          </cell>
          <cell r="G104" t="str">
            <v>Modernização da GIS TUUGH-19 da UHE Tucuruí</v>
          </cell>
          <cell r="L104" t="str">
            <v>ENOR.00104</v>
          </cell>
        </row>
        <row r="105">
          <cell r="F105" t="str">
            <v>Frederico Rodolfo Parente Doerner</v>
          </cell>
          <cell r="G105" t="str">
            <v>Modernização de 02 transformadores 13,8/440V para alimentação Vertedouro da UHE Tucuruí</v>
          </cell>
          <cell r="L105" t="str">
            <v>ENOR.00105</v>
          </cell>
        </row>
        <row r="106">
          <cell r="F106" t="str">
            <v>Frederico Rodolfo Parente Doerner</v>
          </cell>
          <cell r="G106" t="str">
            <v>Modernização do sistema de resfriamento em circuito fechado dos equipamentos da UHE Tucuruí</v>
          </cell>
          <cell r="L106" t="str">
            <v>ENOR.00106</v>
          </cell>
        </row>
        <row r="107">
          <cell r="F107" t="str">
            <v>Frederico Rodolfo Parente Doerner</v>
          </cell>
          <cell r="G107" t="str">
            <v>Modernização de 01 transformador monofásico 13,8kV (trafo limitador) CF2 da UHE Tucuruí</v>
          </cell>
          <cell r="L107" t="str">
            <v>ENOR.00107</v>
          </cell>
        </row>
        <row r="108">
          <cell r="F108" t="str">
            <v>Gilton Carlos De Andrade Furtado</v>
          </cell>
          <cell r="G108" t="str">
            <v>Aquisição de servomotor do distribuir da UHE Tucuruí</v>
          </cell>
          <cell r="L108" t="str">
            <v>ENOR.00108</v>
          </cell>
        </row>
        <row r="109">
          <cell r="F109" t="str">
            <v>Albert Ferraz Botelho Da Silva</v>
          </cell>
          <cell r="G109" t="str">
            <v>Modernização do sistema de iluminação da UHE Tucuruí</v>
          </cell>
          <cell r="L109" t="str">
            <v>ENOR.00109</v>
          </cell>
        </row>
        <row r="110">
          <cell r="F110" t="str">
            <v>Frederico Rodolfo Parente Doerner</v>
          </cell>
          <cell r="G110" t="str">
            <v>Aquisição de sistema de monitoramento de bucha para a UHE Tucuruí</v>
          </cell>
          <cell r="L110" t="str">
            <v>ENOR.00110</v>
          </cell>
        </row>
        <row r="111">
          <cell r="F111" t="str">
            <v>Frederico Rodolfo Parente Doerner</v>
          </cell>
          <cell r="G111" t="str">
            <v>Modernização do pórtico tomada d'água da UHE Tucuruí</v>
          </cell>
          <cell r="L111" t="str">
            <v>ENOR.00111</v>
          </cell>
        </row>
        <row r="112">
          <cell r="F112" t="str">
            <v>Frederico Rodolfo Parente Doerner</v>
          </cell>
          <cell r="G112" t="str">
            <v>Modernização dos disjuntores MERLIN GERIN para a UHE Tucuruí</v>
          </cell>
          <cell r="L112" t="str">
            <v>ENOR.00112</v>
          </cell>
        </row>
        <row r="113">
          <cell r="F113" t="str">
            <v>Frederico Rodolfo Parente Doerner</v>
          </cell>
          <cell r="G113" t="str">
            <v>Modernização do sistema de drenagem e esgotamento da UHE Tucuruí</v>
          </cell>
          <cell r="L113" t="str">
            <v>ENOR.00113</v>
          </cell>
        </row>
        <row r="114">
          <cell r="F114" t="str">
            <v>Gilton Carlos De Andrade Furtado</v>
          </cell>
          <cell r="G114" t="str">
            <v>Aquisição de 2 jogos de SotpLogs</v>
          </cell>
          <cell r="L114" t="str">
            <v>ENOR.00114</v>
          </cell>
        </row>
        <row r="115">
          <cell r="F115" t="str">
            <v>Frederico Rodolfo Parente Doerner</v>
          </cell>
          <cell r="G115" t="str">
            <v>Aquisição de para-raios e DCP de linha para a UHE Tucuruí</v>
          </cell>
          <cell r="L115" t="str">
            <v>ENOR.00115</v>
          </cell>
        </row>
        <row r="116">
          <cell r="F116" t="str">
            <v>Albert Ferraz Botelho Da Silva</v>
          </cell>
          <cell r="G116" t="str">
            <v>Reserva imobilizada para UHE Tucuruí</v>
          </cell>
          <cell r="L116" t="str">
            <v>ENOR.00119</v>
          </cell>
        </row>
        <row r="117">
          <cell r="F117" t="str">
            <v>Albert Ferraz Botelho Da Silva</v>
          </cell>
          <cell r="G117" t="str">
            <v>Reserva imobilizada para UHE Tucuruí</v>
          </cell>
          <cell r="L117" t="str">
            <v>ENOR.00120</v>
          </cell>
        </row>
        <row r="118">
          <cell r="F118" t="str">
            <v>Albert Ferraz Botelho Da Silva</v>
          </cell>
          <cell r="G118" t="str">
            <v>Reserva imobilizada para UHE Tucuruí</v>
          </cell>
          <cell r="L118" t="str">
            <v>ENOR.00121</v>
          </cell>
        </row>
        <row r="119">
          <cell r="F119" t="str">
            <v>Frederico Rodolfo Parente Doerner</v>
          </cell>
          <cell r="G119" t="str">
            <v>Modernização do sistema de resfriamento dos mancais da CFI da UHE Tucuruí</v>
          </cell>
          <cell r="L119" t="str">
            <v>ENOR.00123</v>
          </cell>
        </row>
        <row r="120">
          <cell r="F120" t="str">
            <v>Gilton Carlos De Andrade Furtado</v>
          </cell>
          <cell r="G120" t="str">
            <v>Recuperação de cavitação e trincas nas UGHs da CF1 e CF2</v>
          </cell>
          <cell r="L120" t="str">
            <v>ENOR.00124</v>
          </cell>
        </row>
        <row r="121">
          <cell r="F121" t="str">
            <v>Gilton Carlos De Andrade Furtado</v>
          </cell>
          <cell r="G121" t="str">
            <v>Aquisição das rodas das comportas de emergência da UHE Tucuruí</v>
          </cell>
          <cell r="L121" t="str">
            <v>ENOR.00126</v>
          </cell>
        </row>
        <row r="122">
          <cell r="F122" t="str">
            <v>Gilton Carlos De Andrade Furtado</v>
          </cell>
          <cell r="G122" t="str">
            <v>Aquisição de peças sobressalentes do mecanismo distribuidor das UGHs da CF2</v>
          </cell>
          <cell r="L122" t="str">
            <v>ENOR.00127</v>
          </cell>
        </row>
        <row r="123">
          <cell r="F123" t="str">
            <v>Murilo M. Menezes</v>
          </cell>
          <cell r="G123" t="str">
            <v>Modernização do Sistema de Proteção, Controle e Supervisão (SPCS+) da UHE Tucuruí</v>
          </cell>
        </row>
        <row r="124">
          <cell r="F124" t="str">
            <v>Murilo M. Menezes</v>
          </cell>
          <cell r="G124" t="str">
            <v>Modernização do Sistema de Proteção, Controle e Supervisão (SPCS+) da UHE Tucuruí</v>
          </cell>
        </row>
        <row r="125">
          <cell r="F125" t="str">
            <v>Murilo M. Menezes</v>
          </cell>
          <cell r="G125" t="str">
            <v>Modernização do Sistema de Proteção, Controle e Supervisão (SPCS+) da UHE Tucuruí</v>
          </cell>
        </row>
        <row r="126">
          <cell r="F126" t="str">
            <v>Murilo M. Menezes</v>
          </cell>
          <cell r="G126" t="str">
            <v>Modernização do Sistema de Proteção, Controle e Supervisão (SPCS+) da UHE Tucuruí</v>
          </cell>
        </row>
        <row r="127">
          <cell r="F127" t="str">
            <v>Murilo M. Menezes</v>
          </cell>
          <cell r="G127" t="str">
            <v>Modernização do Sistema de Proteção, Controle e Supervisão (SPCS+) da UHE Tucuruí</v>
          </cell>
        </row>
        <row r="128">
          <cell r="F128" t="str">
            <v>Murilo M. Menezes</v>
          </cell>
          <cell r="G128" t="str">
            <v>Modernização do Sistema de Proteção, Controle e Supervisão (SPCS+) da UHE Tucuruí</v>
          </cell>
        </row>
        <row r="129">
          <cell r="F129" t="str">
            <v xml:space="preserve">André Alessandro Nogueira </v>
          </cell>
          <cell r="G129" t="str">
            <v>Auscultação e Gestão de Segurança de Barragens</v>
          </cell>
          <cell r="L129" t="str">
            <v>ENOR.00400</v>
          </cell>
        </row>
        <row r="130">
          <cell r="F130" t="str">
            <v>Klenio Dias Timoteo</v>
          </cell>
          <cell r="G130" t="str">
            <v>Modernização Sistema de Supervisão da UHCN</v>
          </cell>
          <cell r="L130" t="str">
            <v>ENOR.00089</v>
          </cell>
        </row>
      </sheetData>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riz Crit. Ger. 18.06.2025"/>
      <sheetName val="PE 25-29"/>
      <sheetName val="Delta PE-DC"/>
      <sheetName val="Projetos Consolidado + Delta PE"/>
      <sheetName val="Planilha3"/>
      <sheetName val="Subproj Consolidado + Delta PE"/>
      <sheetName val="Planilha1"/>
      <sheetName val="Subprojetos Consolidado"/>
      <sheetName val="Projetos - Eletronorte"/>
      <sheetName val="Subprojetos - Eletronorte"/>
      <sheetName val="Projetos - Op. Sudeste"/>
      <sheetName val="Subprojetos - Op. Sudeste"/>
      <sheetName val="Projetos - Chesf"/>
      <sheetName val="Subprojetos - Chesf"/>
      <sheetName val="Projetos - Eletrosul"/>
      <sheetName val="Subprojetos - Eletrosul"/>
    </sheetNames>
    <sheetDataSet>
      <sheetData sheetId="0"/>
      <sheetData sheetId="1">
        <row r="1">
          <cell r="B1" t="str">
            <v>ID Financeira</v>
          </cell>
          <cell r="C1" t="str">
            <v>Área Responsável</v>
          </cell>
          <cell r="D1" t="str">
            <v>ID_Area</v>
          </cell>
          <cell r="E1" t="str">
            <v>ID da ação</v>
          </cell>
          <cell r="F1" t="str">
            <v>ID COO</v>
          </cell>
          <cell r="G1" t="str">
            <v>Empresa</v>
          </cell>
          <cell r="H1" t="str">
            <v>Status Projeto</v>
          </cell>
          <cell r="I1" t="str">
            <v>Descrição Resumida</v>
          </cell>
          <cell r="J1" t="str">
            <v>Descrição Resumida Original</v>
          </cell>
          <cell r="K1" t="str">
            <v>Descrição da ação</v>
          </cell>
          <cell r="L1" t="str">
            <v>Centro Financeiro da Instalação</v>
          </cell>
          <cell r="M1" t="str">
            <v>Descrição da Instalação</v>
          </cell>
          <cell r="N1" t="str">
            <v>Segmento</v>
          </cell>
          <cell r="O1" t="str">
            <v>Categorização CISE</v>
          </cell>
          <cell r="P1" t="str">
            <v>Subcategoria CISE</v>
          </cell>
          <cell r="Q1" t="str">
            <v>Código SAP
(PEP ou OI)</v>
          </cell>
          <cell r="R1" t="str">
            <v>Descrição do Coletor</v>
          </cell>
          <cell r="S1" t="str">
            <v>jan/25</v>
          </cell>
          <cell r="T1" t="str">
            <v>fev/25</v>
          </cell>
          <cell r="U1" t="str">
            <v>mar/25</v>
          </cell>
          <cell r="V1" t="str">
            <v>abr/25</v>
          </cell>
          <cell r="W1" t="str">
            <v>mai/25</v>
          </cell>
          <cell r="X1" t="str">
            <v>jun/25</v>
          </cell>
          <cell r="Y1" t="str">
            <v>jul/25</v>
          </cell>
          <cell r="Z1" t="str">
            <v>ago/25</v>
          </cell>
          <cell r="AA1" t="str">
            <v>set/25</v>
          </cell>
          <cell r="AB1" t="str">
            <v>out/25</v>
          </cell>
          <cell r="AC1" t="str">
            <v>nov/25</v>
          </cell>
          <cell r="AD1" t="str">
            <v>dez/25</v>
          </cell>
          <cell r="AE1">
            <v>2025</v>
          </cell>
          <cell r="AF1" t="str">
            <v>2026</v>
          </cell>
          <cell r="AG1" t="str">
            <v>2027</v>
          </cell>
          <cell r="AH1" t="str">
            <v>2028</v>
          </cell>
          <cell r="AI1" t="str">
            <v>2029</v>
          </cell>
          <cell r="AJ1" t="str">
            <v>2025 a 2029</v>
          </cell>
          <cell r="AK1" t="str">
            <v>2030</v>
          </cell>
          <cell r="AL1" t="str">
            <v>2031</v>
          </cell>
          <cell r="AM1" t="str">
            <v>2032</v>
          </cell>
          <cell r="AN1" t="str">
            <v>2033</v>
          </cell>
          <cell r="AO1" t="str">
            <v>2034</v>
          </cell>
          <cell r="AP1" t="str">
            <v>2025-2034</v>
          </cell>
          <cell r="AQ1" t="str">
            <v>Estado</v>
          </cell>
          <cell r="AR1" t="str">
            <v>Comentários</v>
          </cell>
          <cell r="AS1" t="str">
            <v>Projetos não contidos nas DC</v>
          </cell>
          <cell r="AT1" t="str">
            <v>2026 - 2030</v>
          </cell>
        </row>
        <row r="2">
          <cell r="B2" t="str">
            <v>COO0086</v>
          </cell>
          <cell r="C2" t="str">
            <v>OOMG.C</v>
          </cell>
          <cell r="D2" t="str">
            <v>OOGS.S-S-2025-I-0304</v>
          </cell>
          <cell r="E2" t="str">
            <v>C-2024-G-0001</v>
          </cell>
          <cell r="F2" t="str">
            <v>C-2024-G-001</v>
          </cell>
          <cell r="G2" t="str">
            <v>Chesf</v>
          </cell>
          <cell r="H2" t="str">
            <v>Contratado</v>
          </cell>
          <cell r="I2" t="str">
            <v>Melhoria dos vasos de pressão NR13 das diversas usinas Chesf</v>
          </cell>
          <cell r="J2" t="str">
            <v>Adequação vasos pressão NR13 usinas</v>
          </cell>
          <cell r="K2" t="str">
            <v>Adequação dos vasos de pressão de diversas usinas à Norma Regulamentadora NR13</v>
          </cell>
          <cell r="L2" t="str">
            <v>Diversos</v>
          </cell>
          <cell r="M2" t="str">
            <v>Diversas UHE</v>
          </cell>
          <cell r="N2" t="str">
            <v>Geração</v>
          </cell>
          <cell r="O2" t="str">
            <v>Modernização de pequeno porte</v>
          </cell>
          <cell r="P2" t="str">
            <v>Modernização de pequeno porte</v>
          </cell>
          <cell r="Q2" t="str">
            <v>MH.6002</v>
          </cell>
          <cell r="R2" t="str">
            <v>PLANO DE MELHORIAS DOMG 20-25</v>
          </cell>
          <cell r="S2">
            <v>2500</v>
          </cell>
          <cell r="T2">
            <v>2500</v>
          </cell>
          <cell r="U2">
            <v>2500</v>
          </cell>
          <cell r="V2">
            <v>2500</v>
          </cell>
          <cell r="W2">
            <v>2500</v>
          </cell>
          <cell r="X2">
            <v>2500</v>
          </cell>
          <cell r="Y2">
            <v>2500</v>
          </cell>
          <cell r="Z2">
            <v>2500</v>
          </cell>
          <cell r="AA2">
            <v>2500</v>
          </cell>
          <cell r="AB2">
            <v>2500</v>
          </cell>
          <cell r="AC2">
            <v>2500</v>
          </cell>
          <cell r="AD2">
            <v>2500</v>
          </cell>
          <cell r="AE2">
            <v>30000</v>
          </cell>
          <cell r="AF2"/>
          <cell r="AG2"/>
          <cell r="AH2"/>
          <cell r="AI2"/>
          <cell r="AJ2">
            <v>30000</v>
          </cell>
          <cell r="AK2">
            <v>0</v>
          </cell>
          <cell r="AL2">
            <v>0</v>
          </cell>
          <cell r="AM2">
            <v>0</v>
          </cell>
          <cell r="AN2">
            <v>0</v>
          </cell>
          <cell r="AO2">
            <v>0</v>
          </cell>
          <cell r="AP2">
            <v>30000</v>
          </cell>
          <cell r="AQ2" t="str">
            <v>Bahia</v>
          </cell>
          <cell r="AS2" t="str">
            <v>x</v>
          </cell>
          <cell r="AT2">
            <v>0</v>
          </cell>
        </row>
        <row r="3">
          <cell r="B3" t="str">
            <v>COO0087</v>
          </cell>
          <cell r="C3" t="str">
            <v>OOMB.C</v>
          </cell>
          <cell r="D3"/>
          <cell r="E3" t="str">
            <v>C-2025-G-0127</v>
          </cell>
          <cell r="F3" t="str">
            <v>C-2025-G-041</v>
          </cell>
          <cell r="G3" t="str">
            <v>Chesf</v>
          </cell>
          <cell r="H3" t="str">
            <v>Nova Demanda</v>
          </cell>
          <cell r="I3" t="str">
            <v>Aquisição do Caminho Rolamento do Pórtico Móvel da UHE Sobradinho</v>
          </cell>
          <cell r="J3" t="str">
            <v>Ampliação do Caminho de Rolamento do Pórtico Móvel de 60 Ton do Piso dos Trafos Elevadores de USB</v>
          </cell>
          <cell r="K3" t="str">
            <v>Ampliação do Caminho de Rolamento do Pórtico Móvel de 60 Ton do Piso dos Trafos Elevadores de USB</v>
          </cell>
          <cell r="L3" t="str">
            <v>HO10110003</v>
          </cell>
          <cell r="M3" t="str">
            <v>UHE Sobradinho</v>
          </cell>
          <cell r="N3" t="str">
            <v>Geração</v>
          </cell>
          <cell r="O3" t="str">
            <v>Modernização de pequeno porte</v>
          </cell>
          <cell r="P3" t="str">
            <v>Modernização de pequeno porte</v>
          </cell>
          <cell r="Q3" t="str">
            <v>MH.6001</v>
          </cell>
          <cell r="R3" t="str">
            <v>Investimento Civil Geração PDNG 2019-202</v>
          </cell>
          <cell r="S3">
            <v>0</v>
          </cell>
          <cell r="T3">
            <v>0</v>
          </cell>
          <cell r="U3">
            <v>150000</v>
          </cell>
          <cell r="V3">
            <v>0</v>
          </cell>
          <cell r="W3">
            <v>0</v>
          </cell>
          <cell r="X3">
            <v>0</v>
          </cell>
          <cell r="Y3">
            <v>0</v>
          </cell>
          <cell r="Z3">
            <v>0</v>
          </cell>
          <cell r="AA3">
            <v>100000</v>
          </cell>
          <cell r="AB3">
            <v>100000</v>
          </cell>
          <cell r="AC3">
            <v>100000</v>
          </cell>
          <cell r="AD3">
            <v>50000</v>
          </cell>
          <cell r="AE3">
            <v>500000</v>
          </cell>
          <cell r="AF3">
            <v>1500000</v>
          </cell>
          <cell r="AG3"/>
          <cell r="AH3"/>
          <cell r="AI3"/>
          <cell r="AJ3">
            <v>2000000</v>
          </cell>
          <cell r="AK3">
            <v>0</v>
          </cell>
          <cell r="AL3">
            <v>0</v>
          </cell>
          <cell r="AM3">
            <v>0</v>
          </cell>
          <cell r="AN3">
            <v>0</v>
          </cell>
          <cell r="AO3">
            <v>0</v>
          </cell>
          <cell r="AP3">
            <v>2000000</v>
          </cell>
          <cell r="AQ3" t="str">
            <v>Bahia</v>
          </cell>
          <cell r="AS3" t="str">
            <v>x</v>
          </cell>
          <cell r="AT3">
            <v>1500000</v>
          </cell>
        </row>
        <row r="4">
          <cell r="B4" t="str">
            <v>COO0088</v>
          </cell>
          <cell r="C4" t="str">
            <v>OOMG.C</v>
          </cell>
          <cell r="D4" t="str">
            <v>OOTM.F-OS-2025-I-0392</v>
          </cell>
          <cell r="E4" t="str">
            <v>C-2025-G-0056</v>
          </cell>
          <cell r="F4" t="str">
            <v>C-2025-G-040</v>
          </cell>
          <cell r="G4" t="str">
            <v>Chesf</v>
          </cell>
          <cell r="H4" t="str">
            <v>Nova Demanda</v>
          </cell>
          <cell r="I4" t="str">
            <v>Aquisição de baterias para a UHE Sobradinho</v>
          </cell>
          <cell r="J4" t="str">
            <v>Baterias Sobradinho</v>
          </cell>
          <cell r="K4" t="str">
            <v>Aquisição de 02 baterias 125 VCC, face alteração de 1000 p/2000 Ah</v>
          </cell>
          <cell r="L4" t="str">
            <v>H400010047</v>
          </cell>
          <cell r="M4" t="str">
            <v>UHE Sobradinho</v>
          </cell>
          <cell r="N4" t="str">
            <v>Geração</v>
          </cell>
          <cell r="O4" t="str">
            <v>Modernização de pequeno porte</v>
          </cell>
          <cell r="P4" t="str">
            <v>Modernização de pequeno porte</v>
          </cell>
          <cell r="Q4" t="str">
            <v>MH.6002</v>
          </cell>
          <cell r="R4" t="str">
            <v>PLANO DE MELHORIAS DOMG 20-25</v>
          </cell>
          <cell r="S4">
            <v>0</v>
          </cell>
          <cell r="T4">
            <v>0</v>
          </cell>
          <cell r="U4">
            <v>0</v>
          </cell>
          <cell r="V4">
            <v>0</v>
          </cell>
          <cell r="W4">
            <v>0</v>
          </cell>
          <cell r="X4">
            <v>0</v>
          </cell>
          <cell r="Y4">
            <v>0</v>
          </cell>
          <cell r="Z4">
            <v>0</v>
          </cell>
          <cell r="AA4">
            <v>0</v>
          </cell>
          <cell r="AB4">
            <v>0</v>
          </cell>
          <cell r="AC4">
            <v>0</v>
          </cell>
          <cell r="AD4">
            <v>0</v>
          </cell>
          <cell r="AE4">
            <v>0</v>
          </cell>
          <cell r="AF4">
            <v>400000</v>
          </cell>
          <cell r="AG4"/>
          <cell r="AH4"/>
          <cell r="AI4"/>
          <cell r="AJ4">
            <v>400000</v>
          </cell>
          <cell r="AK4">
            <v>0</v>
          </cell>
          <cell r="AL4">
            <v>0</v>
          </cell>
          <cell r="AM4">
            <v>0</v>
          </cell>
          <cell r="AN4">
            <v>0</v>
          </cell>
          <cell r="AO4">
            <v>0</v>
          </cell>
          <cell r="AP4">
            <v>400000</v>
          </cell>
          <cell r="AQ4" t="str">
            <v>Bahia</v>
          </cell>
          <cell r="AT4">
            <v>400000</v>
          </cell>
        </row>
        <row r="5">
          <cell r="B5" t="str">
            <v>COO0089</v>
          </cell>
          <cell r="C5" t="str">
            <v>OOMG.C</v>
          </cell>
          <cell r="D5" t="str">
            <v>OOGS.S-S-2025-I-0200</v>
          </cell>
          <cell r="E5" t="str">
            <v>C-2025-G-0076</v>
          </cell>
          <cell r="F5" t="str">
            <v>C-2025-G-069</v>
          </cell>
          <cell r="G5" t="str">
            <v>Chesf</v>
          </cell>
          <cell r="H5" t="str">
            <v>Nova Demanda</v>
          </cell>
          <cell r="I5" t="str">
            <v>Aquisição dos redutores das comportas da barragem móvel da UHE Apolônio Sales</v>
          </cell>
          <cell r="J5" t="str">
            <v>Redutores comportas Barragem Móvel Apolônio Sales</v>
          </cell>
          <cell r="K5" t="str">
            <v xml:space="preserve">Aquisição de 02 novos redutores para sistema de acionamento de comportas da barragem móvel UHE Apolônio Sales </v>
          </cell>
          <cell r="L5" t="str">
            <v>H400040103</v>
          </cell>
          <cell r="M5" t="str">
            <v>UHE Apolônio Sales</v>
          </cell>
          <cell r="N5" t="str">
            <v>Geração</v>
          </cell>
          <cell r="O5" t="str">
            <v>Modernização de pequeno porte</v>
          </cell>
          <cell r="P5" t="str">
            <v>Modernização de pequeno porte</v>
          </cell>
          <cell r="Q5" t="str">
            <v>MH.6002</v>
          </cell>
          <cell r="R5" t="str">
            <v>PLANO DE MELHORIAS DOMG 20-25</v>
          </cell>
          <cell r="S5">
            <v>15000</v>
          </cell>
          <cell r="T5">
            <v>15000</v>
          </cell>
          <cell r="U5">
            <v>15000</v>
          </cell>
          <cell r="V5">
            <v>15000</v>
          </cell>
          <cell r="W5">
            <v>15000</v>
          </cell>
          <cell r="X5">
            <v>15000</v>
          </cell>
          <cell r="Y5">
            <v>15000</v>
          </cell>
          <cell r="Z5">
            <v>15000</v>
          </cell>
          <cell r="AA5">
            <v>15000</v>
          </cell>
          <cell r="AB5">
            <v>15000</v>
          </cell>
          <cell r="AC5">
            <v>15000</v>
          </cell>
          <cell r="AD5">
            <v>15000</v>
          </cell>
          <cell r="AE5">
            <v>180000</v>
          </cell>
          <cell r="AF5">
            <v>9000</v>
          </cell>
          <cell r="AG5"/>
          <cell r="AH5"/>
          <cell r="AI5"/>
          <cell r="AJ5">
            <v>189000</v>
          </cell>
          <cell r="AK5">
            <v>0</v>
          </cell>
          <cell r="AL5">
            <v>0</v>
          </cell>
          <cell r="AM5">
            <v>0</v>
          </cell>
          <cell r="AN5">
            <v>0</v>
          </cell>
          <cell r="AO5">
            <v>0</v>
          </cell>
          <cell r="AP5">
            <v>189000</v>
          </cell>
          <cell r="AQ5" t="str">
            <v>Alagoas</v>
          </cell>
          <cell r="AS5" t="str">
            <v>x</v>
          </cell>
          <cell r="AT5">
            <v>9000</v>
          </cell>
        </row>
        <row r="6">
          <cell r="B6" t="str">
            <v>COO0090</v>
          </cell>
          <cell r="C6" t="str">
            <v>OOMG.C</v>
          </cell>
          <cell r="D6" t="str">
            <v>OOGN.S-S-2025-I-0257</v>
          </cell>
          <cell r="E6" t="str">
            <v>C-2025-G-0089</v>
          </cell>
          <cell r="F6" t="str">
            <v>C-2025-G-073</v>
          </cell>
          <cell r="G6" t="str">
            <v>Chesf</v>
          </cell>
          <cell r="H6" t="str">
            <v>Nova Demanda</v>
          </cell>
          <cell r="I6" t="str">
            <v>Aquisição de 02 retificadores para a PCH Funil</v>
          </cell>
          <cell r="J6" t="str">
            <v>Retificadores Funil</v>
          </cell>
          <cell r="K6" t="str">
            <v xml:space="preserve">Aquisição de 02 Retificadores para o sistema CC da usina </v>
          </cell>
          <cell r="L6" t="str">
            <v>H400060129</v>
          </cell>
          <cell r="M6" t="str">
            <v>PCH Funil</v>
          </cell>
          <cell r="N6" t="str">
            <v>Geração</v>
          </cell>
          <cell r="O6" t="str">
            <v>Modernização de pequeno porte</v>
          </cell>
          <cell r="P6" t="str">
            <v>Modernização de pequeno porte</v>
          </cell>
          <cell r="Q6" t="str">
            <v>MH.6002</v>
          </cell>
          <cell r="R6" t="str">
            <v>PLANO DE MELHORIAS DOMG 20-25</v>
          </cell>
          <cell r="S6">
            <v>8333</v>
          </cell>
          <cell r="T6">
            <v>8333</v>
          </cell>
          <cell r="U6">
            <v>8333</v>
          </cell>
          <cell r="V6">
            <v>8333</v>
          </cell>
          <cell r="W6">
            <v>8333</v>
          </cell>
          <cell r="X6">
            <v>8333</v>
          </cell>
          <cell r="Y6">
            <v>8333</v>
          </cell>
          <cell r="Z6">
            <v>8333</v>
          </cell>
          <cell r="AA6">
            <v>8333</v>
          </cell>
          <cell r="AB6">
            <v>8333</v>
          </cell>
          <cell r="AC6">
            <v>8333</v>
          </cell>
          <cell r="AD6">
            <v>8333</v>
          </cell>
          <cell r="AE6">
            <v>99996</v>
          </cell>
          <cell r="AF6"/>
          <cell r="AG6"/>
          <cell r="AH6"/>
          <cell r="AI6"/>
          <cell r="AJ6">
            <v>99996</v>
          </cell>
          <cell r="AK6">
            <v>0</v>
          </cell>
          <cell r="AL6">
            <v>0</v>
          </cell>
          <cell r="AM6">
            <v>0</v>
          </cell>
          <cell r="AN6">
            <v>0</v>
          </cell>
          <cell r="AO6">
            <v>0</v>
          </cell>
          <cell r="AP6">
            <v>99996</v>
          </cell>
          <cell r="AQ6" t="str">
            <v>Bahia</v>
          </cell>
          <cell r="AS6" t="str">
            <v>x</v>
          </cell>
          <cell r="AT6">
            <v>0</v>
          </cell>
        </row>
        <row r="7">
          <cell r="B7" t="str">
            <v>COO0091</v>
          </cell>
          <cell r="C7" t="str">
            <v>OOMG.C</v>
          </cell>
          <cell r="D7" t="str">
            <v>OOGS.S-S-2025-I-0253</v>
          </cell>
          <cell r="E7" t="str">
            <v>C-2025-G-0085</v>
          </cell>
          <cell r="F7" t="str">
            <v>C-2025-G-074</v>
          </cell>
          <cell r="G7" t="str">
            <v>Chesf</v>
          </cell>
          <cell r="H7" t="str">
            <v>Nova Demanda</v>
          </cell>
          <cell r="I7" t="str">
            <v>Aquisição de 02 retificadores para a PCH Pedra</v>
          </cell>
          <cell r="J7" t="str">
            <v>Retificadores Pedra</v>
          </cell>
          <cell r="K7" t="str">
            <v xml:space="preserve">Aquisição de 02 Retificadores para o sistema CC da usina </v>
          </cell>
          <cell r="L7" t="str">
            <v>H400060130</v>
          </cell>
          <cell r="M7" t="str">
            <v>PCH Pedra</v>
          </cell>
          <cell r="N7" t="str">
            <v>Geração</v>
          </cell>
          <cell r="O7" t="str">
            <v>Modernização de pequeno porte</v>
          </cell>
          <cell r="P7" t="str">
            <v>Modernização de pequeno porte</v>
          </cell>
          <cell r="Q7" t="str">
            <v>MH.6002</v>
          </cell>
          <cell r="R7" t="str">
            <v>PLANO DE MELHORIAS DOMG 20-25</v>
          </cell>
          <cell r="S7">
            <v>8333</v>
          </cell>
          <cell r="T7">
            <v>8333</v>
          </cell>
          <cell r="U7">
            <v>8333</v>
          </cell>
          <cell r="V7">
            <v>8333</v>
          </cell>
          <cell r="W7">
            <v>8333</v>
          </cell>
          <cell r="X7">
            <v>8333</v>
          </cell>
          <cell r="Y7">
            <v>8333</v>
          </cell>
          <cell r="Z7">
            <v>8333</v>
          </cell>
          <cell r="AA7">
            <v>8333</v>
          </cell>
          <cell r="AB7">
            <v>8333</v>
          </cell>
          <cell r="AC7">
            <v>8333</v>
          </cell>
          <cell r="AD7">
            <v>8333</v>
          </cell>
          <cell r="AE7">
            <v>99996</v>
          </cell>
          <cell r="AF7"/>
          <cell r="AG7"/>
          <cell r="AH7"/>
          <cell r="AI7"/>
          <cell r="AJ7">
            <v>99996</v>
          </cell>
          <cell r="AK7">
            <v>0</v>
          </cell>
          <cell r="AL7">
            <v>0</v>
          </cell>
          <cell r="AM7">
            <v>0</v>
          </cell>
          <cell r="AN7">
            <v>0</v>
          </cell>
          <cell r="AO7">
            <v>0</v>
          </cell>
          <cell r="AP7">
            <v>99996</v>
          </cell>
          <cell r="AQ7" t="str">
            <v>Bahia</v>
          </cell>
          <cell r="AS7" t="str">
            <v>x</v>
          </cell>
          <cell r="AT7">
            <v>0</v>
          </cell>
        </row>
        <row r="8">
          <cell r="B8" t="str">
            <v>COO0092</v>
          </cell>
          <cell r="C8" t="str">
            <v>OOMG.C</v>
          </cell>
          <cell r="D8" t="str">
            <v>OOMS.S-S-2025-I-0003</v>
          </cell>
          <cell r="E8" t="str">
            <v>C-2025-G-0043</v>
          </cell>
          <cell r="F8" t="str">
            <v>C-2025-G-088</v>
          </cell>
          <cell r="G8" t="str">
            <v>Chesf</v>
          </cell>
          <cell r="H8" t="str">
            <v>Nova Demanda</v>
          </cell>
          <cell r="I8" t="str">
            <v>Modernização de 10 transformadores elevadores para a EOL Casa Nova A</v>
          </cell>
          <cell r="J8" t="str">
            <v>Transformadores elevadores Casa Nova-A</v>
          </cell>
          <cell r="K8" t="str">
            <v>Aquisição de 10 transformadores elevadores para usina eólica de Casa Nova A</v>
          </cell>
          <cell r="L8" t="str">
            <v>H400010083</v>
          </cell>
          <cell r="M8" t="str">
            <v>EOL Casa Nova A</v>
          </cell>
          <cell r="N8" t="str">
            <v>Geração</v>
          </cell>
          <cell r="O8" t="str">
            <v>Modernização de pequeno porte</v>
          </cell>
          <cell r="P8" t="str">
            <v>Modernização de pequeno porte</v>
          </cell>
          <cell r="Q8" t="str">
            <v>MH.6002</v>
          </cell>
          <cell r="R8" t="str">
            <v>PLANO DE MELHORIAS DOMG 20-25</v>
          </cell>
          <cell r="S8">
            <v>250000</v>
          </cell>
          <cell r="T8">
            <v>250000</v>
          </cell>
          <cell r="U8">
            <v>250000</v>
          </cell>
          <cell r="V8">
            <v>250000</v>
          </cell>
          <cell r="W8">
            <v>250000</v>
          </cell>
          <cell r="X8">
            <v>250000</v>
          </cell>
          <cell r="Y8">
            <v>250000</v>
          </cell>
          <cell r="Z8">
            <v>250000</v>
          </cell>
          <cell r="AA8">
            <v>250000</v>
          </cell>
          <cell r="AB8">
            <v>250000</v>
          </cell>
          <cell r="AC8">
            <v>250000</v>
          </cell>
          <cell r="AD8">
            <v>250000</v>
          </cell>
          <cell r="AE8">
            <v>3000000</v>
          </cell>
          <cell r="AF8">
            <v>150000</v>
          </cell>
          <cell r="AG8"/>
          <cell r="AH8"/>
          <cell r="AI8"/>
          <cell r="AJ8">
            <v>3150000</v>
          </cell>
          <cell r="AK8">
            <v>0</v>
          </cell>
          <cell r="AL8">
            <v>0</v>
          </cell>
          <cell r="AM8">
            <v>0</v>
          </cell>
          <cell r="AN8">
            <v>0</v>
          </cell>
          <cell r="AO8">
            <v>0</v>
          </cell>
          <cell r="AP8">
            <v>3150000</v>
          </cell>
          <cell r="AQ8" t="str">
            <v>Bahia</v>
          </cell>
          <cell r="AS8" t="str">
            <v>x</v>
          </cell>
          <cell r="AT8">
            <v>150000</v>
          </cell>
        </row>
        <row r="9">
          <cell r="B9" t="str">
            <v>COO0093</v>
          </cell>
          <cell r="C9" t="str">
            <v>OOMG.C</v>
          </cell>
          <cell r="D9" t="str">
            <v>OOXT-H-2025-I-0003</v>
          </cell>
          <cell r="E9" t="str">
            <v>C-2025-G-0100</v>
          </cell>
          <cell r="F9" t="str">
            <v>C-2025-G-064</v>
          </cell>
          <cell r="G9" t="str">
            <v>Chesf</v>
          </cell>
          <cell r="H9" t="str">
            <v>Nova Demanda</v>
          </cell>
          <cell r="I9" t="str">
            <v>Aquisição de computadores para o sistema de supervisão da UHE Boa Esperança</v>
          </cell>
          <cell r="J9" t="str">
            <v>PCs e monitores supervisão da operação Boa Esperança</v>
          </cell>
          <cell r="K9" t="str">
            <v>Aquisição de 1PC e 2 Monitores para melhorar supervisão da operação e manutenção da unidade G3 e G4 na sala de comando local dessas UG</v>
          </cell>
          <cell r="L9" t="str">
            <v>H400070047</v>
          </cell>
          <cell r="M9" t="str">
            <v>UHE Boa Esperança</v>
          </cell>
          <cell r="N9" t="str">
            <v>Geração</v>
          </cell>
          <cell r="O9" t="str">
            <v>Modernização de pequeno porte</v>
          </cell>
          <cell r="P9" t="str">
            <v>Modernização de pequeno porte</v>
          </cell>
          <cell r="Q9" t="str">
            <v>MH.6002</v>
          </cell>
          <cell r="R9" t="str">
            <v>PLANO DE MELHORIAS DOMG 20-25</v>
          </cell>
          <cell r="S9">
            <v>1667</v>
          </cell>
          <cell r="T9">
            <v>1667</v>
          </cell>
          <cell r="U9">
            <v>1667</v>
          </cell>
          <cell r="V9">
            <v>1667</v>
          </cell>
          <cell r="W9">
            <v>1667</v>
          </cell>
          <cell r="X9">
            <v>1667</v>
          </cell>
          <cell r="Y9">
            <v>1667</v>
          </cell>
          <cell r="Z9">
            <v>1667</v>
          </cell>
          <cell r="AA9">
            <v>1667</v>
          </cell>
          <cell r="AB9">
            <v>1667</v>
          </cell>
          <cell r="AC9">
            <v>1667</v>
          </cell>
          <cell r="AD9">
            <v>1667</v>
          </cell>
          <cell r="AE9">
            <v>20004</v>
          </cell>
          <cell r="AF9"/>
          <cell r="AG9"/>
          <cell r="AH9"/>
          <cell r="AI9"/>
          <cell r="AJ9">
            <v>20004</v>
          </cell>
          <cell r="AK9">
            <v>0</v>
          </cell>
          <cell r="AL9">
            <v>0</v>
          </cell>
          <cell r="AM9">
            <v>0</v>
          </cell>
          <cell r="AN9">
            <v>0</v>
          </cell>
          <cell r="AO9">
            <v>0</v>
          </cell>
          <cell r="AP9">
            <v>20004</v>
          </cell>
          <cell r="AQ9" t="str">
            <v>Piauí</v>
          </cell>
          <cell r="AS9" t="str">
            <v>x</v>
          </cell>
          <cell r="AT9">
            <v>0</v>
          </cell>
        </row>
        <row r="10">
          <cell r="B10" t="str">
            <v>COO0094</v>
          </cell>
          <cell r="C10" t="str">
            <v>OOMG.C</v>
          </cell>
          <cell r="D10" t="str">
            <v>OOGS.S-S-2025-I-0305</v>
          </cell>
          <cell r="E10" t="str">
            <v>C-2025-G-0099</v>
          </cell>
          <cell r="F10" t="str">
            <v>C-2025-G-045</v>
          </cell>
          <cell r="G10" t="str">
            <v>Chesf</v>
          </cell>
          <cell r="H10" t="str">
            <v>Nova Demanda</v>
          </cell>
          <cell r="I10" t="str">
            <v>Aquisição de compressor para o sistema de ar de frenagem da PCH Pedra</v>
          </cell>
          <cell r="J10" t="str">
            <v>Compressores frenagem Pedra</v>
          </cell>
          <cell r="K10" t="str">
            <v>Aquisição de compressores para o sistema de frenagem</v>
          </cell>
          <cell r="L10" t="str">
            <v>H400060130</v>
          </cell>
          <cell r="M10" t="str">
            <v>PCH Pedra</v>
          </cell>
          <cell r="N10" t="str">
            <v>Geração</v>
          </cell>
          <cell r="O10" t="str">
            <v>Modernização de pequeno porte</v>
          </cell>
          <cell r="P10" t="str">
            <v>Modernização de pequeno porte</v>
          </cell>
          <cell r="Q10" t="str">
            <v>MH.6002</v>
          </cell>
          <cell r="R10" t="str">
            <v>PLANO DE MELHORIAS DOMG 20-25</v>
          </cell>
          <cell r="S10">
            <v>2500</v>
          </cell>
          <cell r="T10">
            <v>2500</v>
          </cell>
          <cell r="U10">
            <v>2500</v>
          </cell>
          <cell r="V10">
            <v>2500</v>
          </cell>
          <cell r="W10">
            <v>2500</v>
          </cell>
          <cell r="X10">
            <v>2500</v>
          </cell>
          <cell r="Y10">
            <v>2500</v>
          </cell>
          <cell r="Z10">
            <v>2500</v>
          </cell>
          <cell r="AA10">
            <v>2500</v>
          </cell>
          <cell r="AB10">
            <v>2500</v>
          </cell>
          <cell r="AC10">
            <v>2500</v>
          </cell>
          <cell r="AD10">
            <v>2500</v>
          </cell>
          <cell r="AE10">
            <v>30000</v>
          </cell>
          <cell r="AF10"/>
          <cell r="AG10"/>
          <cell r="AH10"/>
          <cell r="AI10"/>
          <cell r="AJ10">
            <v>30000</v>
          </cell>
          <cell r="AK10">
            <v>0</v>
          </cell>
          <cell r="AL10">
            <v>0</v>
          </cell>
          <cell r="AM10">
            <v>0</v>
          </cell>
          <cell r="AN10">
            <v>0</v>
          </cell>
          <cell r="AO10">
            <v>0</v>
          </cell>
          <cell r="AP10">
            <v>30000</v>
          </cell>
          <cell r="AQ10" t="str">
            <v>Bahia</v>
          </cell>
          <cell r="AS10" t="str">
            <v>x</v>
          </cell>
          <cell r="AT10">
            <v>0</v>
          </cell>
        </row>
        <row r="11">
          <cell r="B11" t="str">
            <v>COO0096</v>
          </cell>
          <cell r="C11" t="str">
            <v>OOMG.C</v>
          </cell>
          <cell r="D11" t="str">
            <v>OOTM.F-OS-2025-I-0557</v>
          </cell>
          <cell r="E11" t="str">
            <v>C-2025-G-0093</v>
          </cell>
          <cell r="F11" t="str">
            <v>C-2025-G-013</v>
          </cell>
          <cell r="G11" t="str">
            <v>Chesf</v>
          </cell>
          <cell r="H11" t="str">
            <v>Nova Demanda</v>
          </cell>
          <cell r="I11" t="str">
            <v>Aquisição da Interface Homem-Máquina do sistema supervisório da PCH Funil</v>
          </cell>
          <cell r="J11" t="str">
            <v>IHM supervisório Funil</v>
          </cell>
          <cell r="K11" t="str">
            <v>Aquisição de IHMs do sistema supervisório</v>
          </cell>
          <cell r="L11" t="str">
            <v>H400060129</v>
          </cell>
          <cell r="M11" t="str">
            <v>PCH Funil</v>
          </cell>
          <cell r="N11" t="str">
            <v>Geração</v>
          </cell>
          <cell r="O11" t="str">
            <v>Modernização de pequeno porte</v>
          </cell>
          <cell r="P11" t="str">
            <v>Modernização de pequeno porte</v>
          </cell>
          <cell r="Q11" t="str">
            <v>MH.6002</v>
          </cell>
          <cell r="R11" t="str">
            <v>PLANO DE MELHORIAS DOMG 20-25</v>
          </cell>
          <cell r="S11">
            <v>0</v>
          </cell>
          <cell r="T11">
            <v>0</v>
          </cell>
          <cell r="U11">
            <v>0</v>
          </cell>
          <cell r="V11">
            <v>0</v>
          </cell>
          <cell r="W11">
            <v>0</v>
          </cell>
          <cell r="X11">
            <v>0</v>
          </cell>
          <cell r="Y11">
            <v>0</v>
          </cell>
          <cell r="Z11">
            <v>0</v>
          </cell>
          <cell r="AA11">
            <v>0</v>
          </cell>
          <cell r="AB11">
            <v>0</v>
          </cell>
          <cell r="AC11">
            <v>0</v>
          </cell>
          <cell r="AD11">
            <v>0</v>
          </cell>
          <cell r="AE11">
            <v>0</v>
          </cell>
          <cell r="AF11">
            <v>90000</v>
          </cell>
          <cell r="AG11"/>
          <cell r="AH11"/>
          <cell r="AI11"/>
          <cell r="AJ11">
            <v>90000</v>
          </cell>
          <cell r="AK11">
            <v>0</v>
          </cell>
          <cell r="AL11">
            <v>0</v>
          </cell>
          <cell r="AM11">
            <v>0</v>
          </cell>
          <cell r="AN11">
            <v>0</v>
          </cell>
          <cell r="AO11">
            <v>0</v>
          </cell>
          <cell r="AP11">
            <v>90000</v>
          </cell>
          <cell r="AQ11" t="str">
            <v>Bahia</v>
          </cell>
          <cell r="AS11" t="str">
            <v>x</v>
          </cell>
          <cell r="AT11">
            <v>90000</v>
          </cell>
        </row>
        <row r="12">
          <cell r="B12" t="str">
            <v>COO0097</v>
          </cell>
          <cell r="C12" t="str">
            <v>OOMG.C</v>
          </cell>
          <cell r="D12" t="str">
            <v>OOGR.S-S-2025-I-0268</v>
          </cell>
          <cell r="E12" t="str">
            <v>C-2025-G-0094</v>
          </cell>
          <cell r="F12" t="str">
            <v>C-2025-G-014</v>
          </cell>
          <cell r="G12" t="str">
            <v>Chesf</v>
          </cell>
          <cell r="H12" t="str">
            <v>Nova Demanda</v>
          </cell>
          <cell r="I12" t="str">
            <v>Aquisição da Interface Homem-Máquina do sistema supervisório da PCH Pedra</v>
          </cell>
          <cell r="J12" t="str">
            <v>IHM supervisório Pedra</v>
          </cell>
          <cell r="K12" t="str">
            <v>Aquisição de IHMs para o sistema supervisório</v>
          </cell>
          <cell r="L12" t="str">
            <v>H400060130</v>
          </cell>
          <cell r="M12" t="str">
            <v>PCH Pedra</v>
          </cell>
          <cell r="N12" t="str">
            <v>Geração</v>
          </cell>
          <cell r="O12" t="str">
            <v>Modernização de pequeno porte</v>
          </cell>
          <cell r="P12" t="str">
            <v>Modernização de pequeno porte</v>
          </cell>
          <cell r="Q12" t="str">
            <v>MH.6002</v>
          </cell>
          <cell r="R12" t="str">
            <v>PLANO DE MELHORIAS DOMG 20-25</v>
          </cell>
          <cell r="S12">
            <v>7500</v>
          </cell>
          <cell r="T12">
            <v>7500</v>
          </cell>
          <cell r="U12">
            <v>7500</v>
          </cell>
          <cell r="V12">
            <v>7500</v>
          </cell>
          <cell r="W12">
            <v>7500</v>
          </cell>
          <cell r="X12">
            <v>7500</v>
          </cell>
          <cell r="Y12">
            <v>7500</v>
          </cell>
          <cell r="Z12">
            <v>7500</v>
          </cell>
          <cell r="AA12">
            <v>7500</v>
          </cell>
          <cell r="AB12">
            <v>7500</v>
          </cell>
          <cell r="AC12">
            <v>7500</v>
          </cell>
          <cell r="AD12">
            <v>7500</v>
          </cell>
          <cell r="AE12">
            <v>90000</v>
          </cell>
          <cell r="AF12"/>
          <cell r="AG12"/>
          <cell r="AH12"/>
          <cell r="AI12"/>
          <cell r="AJ12">
            <v>90000</v>
          </cell>
          <cell r="AK12">
            <v>0</v>
          </cell>
          <cell r="AL12">
            <v>0</v>
          </cell>
          <cell r="AM12">
            <v>0</v>
          </cell>
          <cell r="AN12">
            <v>0</v>
          </cell>
          <cell r="AO12">
            <v>0</v>
          </cell>
          <cell r="AP12">
            <v>90000</v>
          </cell>
          <cell r="AQ12" t="str">
            <v>Bahia</v>
          </cell>
          <cell r="AS12" t="str">
            <v>x</v>
          </cell>
          <cell r="AT12">
            <v>0</v>
          </cell>
        </row>
        <row r="13">
          <cell r="B13" t="str">
            <v>COO0098</v>
          </cell>
          <cell r="C13" t="str">
            <v>OOMG.C</v>
          </cell>
          <cell r="D13" t="str">
            <v>OOMB.C-C-2025-I-0001</v>
          </cell>
          <cell r="E13" t="str">
            <v>C-2024-G-0024</v>
          </cell>
          <cell r="F13" t="str">
            <v>C-2024-G-019</v>
          </cell>
          <cell r="G13" t="str">
            <v>Chesf</v>
          </cell>
          <cell r="H13" t="str">
            <v>Nova Demanda</v>
          </cell>
          <cell r="I13" t="str">
            <v>Aquisição de resfriadores de ar dos geradores para usinas da Chesf</v>
          </cell>
          <cell r="J13" t="str">
            <v>Reserva técnica</v>
          </cell>
          <cell r="K13" t="str">
            <v>Aquisição de resfriadores de ar do gerador de diversas usinas para composição de reserva técnica estratégica</v>
          </cell>
          <cell r="L13" t="str">
            <v>Diversos</v>
          </cell>
          <cell r="M13" t="str">
            <v>Diversas UHE</v>
          </cell>
          <cell r="N13" t="str">
            <v>Geração</v>
          </cell>
          <cell r="O13" t="str">
            <v>Modernização de pequeno porte</v>
          </cell>
          <cell r="P13" t="str">
            <v>Modernização de pequeno porte</v>
          </cell>
          <cell r="Q13" t="str">
            <v>Diversos</v>
          </cell>
          <cell r="R13" t="str">
            <v>Diversas</v>
          </cell>
          <cell r="S13">
            <v>1092708</v>
          </cell>
          <cell r="T13">
            <v>1092708</v>
          </cell>
          <cell r="U13">
            <v>1092708</v>
          </cell>
          <cell r="V13">
            <v>1092708</v>
          </cell>
          <cell r="W13">
            <v>1092708</v>
          </cell>
          <cell r="X13">
            <v>1092708</v>
          </cell>
          <cell r="Y13">
            <v>1092708</v>
          </cell>
          <cell r="Z13">
            <v>1092708</v>
          </cell>
          <cell r="AA13">
            <v>1092708</v>
          </cell>
          <cell r="AB13">
            <v>1092708</v>
          </cell>
          <cell r="AC13">
            <v>1092708</v>
          </cell>
          <cell r="AD13">
            <v>1092708</v>
          </cell>
          <cell r="AE13">
            <v>13112496</v>
          </cell>
          <cell r="AF13">
            <v>6000000</v>
          </cell>
          <cell r="AG13">
            <v>6875000</v>
          </cell>
          <cell r="AH13">
            <v>6112498</v>
          </cell>
          <cell r="AI13"/>
          <cell r="AJ13">
            <v>32099994</v>
          </cell>
          <cell r="AK13">
            <v>0</v>
          </cell>
          <cell r="AL13">
            <v>0</v>
          </cell>
          <cell r="AM13">
            <v>0</v>
          </cell>
          <cell r="AN13">
            <v>0</v>
          </cell>
          <cell r="AO13">
            <v>0</v>
          </cell>
          <cell r="AP13">
            <v>32099994</v>
          </cell>
          <cell r="AQ13" t="str">
            <v>Bahia</v>
          </cell>
          <cell r="AS13" t="str">
            <v>x</v>
          </cell>
          <cell r="AT13">
            <v>18987498</v>
          </cell>
        </row>
        <row r="14">
          <cell r="B14" t="str">
            <v>COO0099</v>
          </cell>
          <cell r="C14" t="str">
            <v>OOMG.C</v>
          </cell>
          <cell r="D14" t="str">
            <v>OOMG.S-S-2025-I-0001</v>
          </cell>
          <cell r="E14" t="str">
            <v>C-2025-G-0031</v>
          </cell>
          <cell r="F14" t="str">
            <v>C-2025-G-079</v>
          </cell>
          <cell r="G14" t="str">
            <v>Chesf</v>
          </cell>
          <cell r="H14" t="str">
            <v>Nova Demanda</v>
          </cell>
          <cell r="I14" t="str">
            <v>Aquisição de sistema de filtragem de óleo dos reguladores de velocidade de diversas usinas da Chesf</v>
          </cell>
          <cell r="J14" t="str">
            <v>Sistema de filtragem de óleo</v>
          </cell>
          <cell r="K14" t="str">
            <v>Aquisição de sistemas de filtragem de óleo do sistema de regulação de velocidade das unidades geradoras para diversas usinas</v>
          </cell>
          <cell r="L14" t="str">
            <v>Diversos</v>
          </cell>
          <cell r="M14" t="str">
            <v>Diversas UHE</v>
          </cell>
          <cell r="N14" t="str">
            <v>Geração</v>
          </cell>
          <cell r="O14" t="str">
            <v>Modernização de pequeno porte</v>
          </cell>
          <cell r="P14" t="str">
            <v>Modernização de pequeno porte</v>
          </cell>
          <cell r="Q14" t="str">
            <v>MH.6002</v>
          </cell>
          <cell r="R14" t="str">
            <v>PLANO DE MELHORIAS DOMG 20-25</v>
          </cell>
          <cell r="S14">
            <v>250000</v>
          </cell>
          <cell r="T14">
            <v>250000</v>
          </cell>
          <cell r="U14">
            <v>250000</v>
          </cell>
          <cell r="V14">
            <v>250000</v>
          </cell>
          <cell r="W14">
            <v>250000</v>
          </cell>
          <cell r="X14">
            <v>250000</v>
          </cell>
          <cell r="Y14">
            <v>250000</v>
          </cell>
          <cell r="Z14">
            <v>250000</v>
          </cell>
          <cell r="AA14">
            <v>250000</v>
          </cell>
          <cell r="AB14">
            <v>250000</v>
          </cell>
          <cell r="AC14">
            <v>250000</v>
          </cell>
          <cell r="AD14">
            <v>250000</v>
          </cell>
          <cell r="AE14">
            <v>3000000</v>
          </cell>
          <cell r="AF14">
            <v>7027539</v>
          </cell>
          <cell r="AG14">
            <v>5274000</v>
          </cell>
          <cell r="AH14"/>
          <cell r="AI14"/>
          <cell r="AJ14">
            <v>15301539</v>
          </cell>
          <cell r="AK14">
            <v>0</v>
          </cell>
          <cell r="AL14">
            <v>0</v>
          </cell>
          <cell r="AM14">
            <v>0</v>
          </cell>
          <cell r="AN14">
            <v>0</v>
          </cell>
          <cell r="AO14">
            <v>0</v>
          </cell>
          <cell r="AP14">
            <v>15301539</v>
          </cell>
          <cell r="AQ14" t="str">
            <v>Bahia</v>
          </cell>
          <cell r="AS14" t="str">
            <v>x</v>
          </cell>
          <cell r="AT14">
            <v>12301539</v>
          </cell>
        </row>
        <row r="15">
          <cell r="B15" t="str">
            <v>COO0100</v>
          </cell>
          <cell r="C15" t="str">
            <v>OOMG.C</v>
          </cell>
          <cell r="D15" t="str">
            <v>OOGS.S-S-2025-I-0215</v>
          </cell>
          <cell r="E15" t="str">
            <v>C-2025-G-0080</v>
          </cell>
          <cell r="F15" t="str">
            <v>C-2025-G-003</v>
          </cell>
          <cell r="G15" t="str">
            <v>Chesf</v>
          </cell>
          <cell r="H15" t="str">
            <v>Nova Demanda</v>
          </cell>
          <cell r="I15" t="str">
            <v>Aquisição de válvulas do sistema de água industrial da UHE Luiz Gonzaga</v>
          </cell>
          <cell r="J15" t="str">
            <v>Válvulas água bruta G2 Luiz Gonzaga</v>
          </cell>
          <cell r="K15" t="str">
            <v xml:space="preserve">Aquisição de válvula DN500 para filtro de água bruta da 01G2 </v>
          </cell>
          <cell r="L15" t="str">
            <v>H400040104</v>
          </cell>
          <cell r="M15" t="str">
            <v>UHE Luiz Gonzaga</v>
          </cell>
          <cell r="N15" t="str">
            <v>Geração</v>
          </cell>
          <cell r="O15" t="str">
            <v>Modernização de pequeno porte</v>
          </cell>
          <cell r="P15" t="str">
            <v>Modernização de pequeno porte</v>
          </cell>
          <cell r="Q15" t="str">
            <v>MH.6002</v>
          </cell>
          <cell r="R15" t="str">
            <v>PLANO DE MELHORIAS DOMG 20-25</v>
          </cell>
          <cell r="S15">
            <v>12500</v>
          </cell>
          <cell r="T15">
            <v>12500</v>
          </cell>
          <cell r="U15">
            <v>12500</v>
          </cell>
          <cell r="V15">
            <v>12500</v>
          </cell>
          <cell r="W15">
            <v>12500</v>
          </cell>
          <cell r="X15">
            <v>12500</v>
          </cell>
          <cell r="Y15">
            <v>12500</v>
          </cell>
          <cell r="Z15">
            <v>12500</v>
          </cell>
          <cell r="AA15">
            <v>12500</v>
          </cell>
          <cell r="AB15">
            <v>12500</v>
          </cell>
          <cell r="AC15">
            <v>12500</v>
          </cell>
          <cell r="AD15">
            <v>12500</v>
          </cell>
          <cell r="AE15">
            <v>150000</v>
          </cell>
          <cell r="AF15">
            <v>7500</v>
          </cell>
          <cell r="AG15"/>
          <cell r="AH15"/>
          <cell r="AI15"/>
          <cell r="AJ15">
            <v>157500</v>
          </cell>
          <cell r="AK15">
            <v>0</v>
          </cell>
          <cell r="AL15">
            <v>0</v>
          </cell>
          <cell r="AM15">
            <v>0</v>
          </cell>
          <cell r="AN15">
            <v>0</v>
          </cell>
          <cell r="AO15">
            <v>0</v>
          </cell>
          <cell r="AP15">
            <v>157500</v>
          </cell>
          <cell r="AQ15" t="str">
            <v>Pernambuco</v>
          </cell>
          <cell r="AS15" t="str">
            <v>x</v>
          </cell>
          <cell r="AT15">
            <v>7500</v>
          </cell>
        </row>
        <row r="16">
          <cell r="B16" t="str">
            <v>COO0101</v>
          </cell>
          <cell r="C16" t="str">
            <v>OOMG.C</v>
          </cell>
          <cell r="D16" t="str">
            <v>OOGS.S-S-2025-I-0251</v>
          </cell>
          <cell r="E16" t="str">
            <v>C-2025-G-0050</v>
          </cell>
          <cell r="F16" t="str">
            <v>C-2025-G-068</v>
          </cell>
          <cell r="G16" t="str">
            <v>Chesf</v>
          </cell>
          <cell r="H16" t="str">
            <v>Nova Demanda</v>
          </cell>
          <cell r="I16" t="str">
            <v>Expansão da rede de fibra óptica do EOL Pindaí</v>
          </cell>
          <cell r="J16" t="str">
            <v>Rede fibra óptica complexo eólico Pindaí</v>
          </cell>
          <cell r="K16" t="str">
            <v>Complementação rede fibra óptica complexo eólico GPEXPAN</v>
          </cell>
          <cell r="L16" t="str">
            <v>H400010080</v>
          </cell>
          <cell r="M16" t="str">
            <v>EOL Complexo Pindaí II</v>
          </cell>
          <cell r="N16" t="str">
            <v>Geração</v>
          </cell>
          <cell r="O16" t="str">
            <v>Modernização de pequeno porte</v>
          </cell>
          <cell r="P16" t="str">
            <v>Modernização de pequeno porte</v>
          </cell>
          <cell r="Q16" t="str">
            <v>MH.6002</v>
          </cell>
          <cell r="R16" t="str">
            <v>PLANO DE MELHORIAS DOMG 20-25</v>
          </cell>
          <cell r="S16">
            <v>8333</v>
          </cell>
          <cell r="T16">
            <v>8333</v>
          </cell>
          <cell r="U16">
            <v>8333</v>
          </cell>
          <cell r="V16">
            <v>8333</v>
          </cell>
          <cell r="W16">
            <v>8333</v>
          </cell>
          <cell r="X16">
            <v>8333</v>
          </cell>
          <cell r="Y16">
            <v>8333</v>
          </cell>
          <cell r="Z16">
            <v>8333</v>
          </cell>
          <cell r="AA16">
            <v>8333</v>
          </cell>
          <cell r="AB16">
            <v>8333</v>
          </cell>
          <cell r="AC16">
            <v>8333</v>
          </cell>
          <cell r="AD16">
            <v>8333</v>
          </cell>
          <cell r="AE16">
            <v>99996</v>
          </cell>
          <cell r="AF16">
            <v>900000</v>
          </cell>
          <cell r="AG16"/>
          <cell r="AH16"/>
          <cell r="AI16"/>
          <cell r="AJ16">
            <v>999996</v>
          </cell>
          <cell r="AK16">
            <v>0</v>
          </cell>
          <cell r="AL16">
            <v>0</v>
          </cell>
          <cell r="AM16">
            <v>0</v>
          </cell>
          <cell r="AN16">
            <v>0</v>
          </cell>
          <cell r="AO16">
            <v>0</v>
          </cell>
          <cell r="AP16">
            <v>999996</v>
          </cell>
          <cell r="AQ16" t="str">
            <v>Bahia</v>
          </cell>
          <cell r="AS16" t="str">
            <v>x</v>
          </cell>
          <cell r="AT16">
            <v>900000</v>
          </cell>
        </row>
        <row r="17">
          <cell r="B17" t="str">
            <v>COO0103</v>
          </cell>
          <cell r="C17" t="str">
            <v>OOMB.C</v>
          </cell>
          <cell r="D17" t="str">
            <v>OOO.S-S-2025-I-0028</v>
          </cell>
          <cell r="E17" t="str">
            <v>C-2025-G-0107</v>
          </cell>
          <cell r="F17" t="str">
            <v>C-2025-G-023</v>
          </cell>
          <cell r="G17" t="str">
            <v>Chesf</v>
          </cell>
          <cell r="H17" t="str">
            <v>Nova Demanda</v>
          </cell>
          <cell r="I17" t="str">
            <v>Implantação dos sistemas de drenagem das plataformas da EOL GPEXPAN</v>
          </cell>
          <cell r="J17" t="str">
            <v>Construção de dispositivos de drenagem e execução de melhoria dos acessos</v>
          </cell>
          <cell r="K17" t="str">
            <v>Construção de dispositivos de drenagem e execução de melhoria dos acessos</v>
          </cell>
          <cell r="L17" t="str">
            <v>HO10505003</v>
          </cell>
          <cell r="M17" t="str">
            <v>EOL Complexo Pindaí II</v>
          </cell>
          <cell r="N17" t="str">
            <v>Geração</v>
          </cell>
          <cell r="O17" t="str">
            <v>Modernização de pequeno porte</v>
          </cell>
          <cell r="P17" t="str">
            <v>Modernização de pequeno porte</v>
          </cell>
          <cell r="Q17" t="str">
            <v>MH.6001</v>
          </cell>
          <cell r="R17" t="str">
            <v>Investimento Civil Geração PDNG 2019-202</v>
          </cell>
          <cell r="S17">
            <v>0</v>
          </cell>
          <cell r="T17">
            <v>0</v>
          </cell>
          <cell r="U17">
            <v>0</v>
          </cell>
          <cell r="V17">
            <v>0</v>
          </cell>
          <cell r="W17">
            <v>332000</v>
          </cell>
          <cell r="X17">
            <v>332000</v>
          </cell>
          <cell r="Y17">
            <v>334000</v>
          </cell>
          <cell r="Z17">
            <v>334000</v>
          </cell>
          <cell r="AA17">
            <v>334000</v>
          </cell>
          <cell r="AB17">
            <v>334000</v>
          </cell>
          <cell r="AC17">
            <v>0</v>
          </cell>
          <cell r="AD17">
            <v>0</v>
          </cell>
          <cell r="AE17">
            <v>2000000</v>
          </cell>
          <cell r="AF17">
            <v>790012</v>
          </cell>
          <cell r="AG17"/>
          <cell r="AH17"/>
          <cell r="AI17"/>
          <cell r="AJ17">
            <v>2790012</v>
          </cell>
          <cell r="AK17">
            <v>0</v>
          </cell>
          <cell r="AL17">
            <v>0</v>
          </cell>
          <cell r="AM17">
            <v>0</v>
          </cell>
          <cell r="AN17">
            <v>0</v>
          </cell>
          <cell r="AO17">
            <v>0</v>
          </cell>
          <cell r="AP17">
            <v>2790012</v>
          </cell>
          <cell r="AQ17" t="str">
            <v>Bahia</v>
          </cell>
          <cell r="AS17" t="str">
            <v>x</v>
          </cell>
          <cell r="AT17">
            <v>790012</v>
          </cell>
        </row>
        <row r="18">
          <cell r="B18" t="str">
            <v>COO0104</v>
          </cell>
          <cell r="C18" t="str">
            <v>OOMB.C</v>
          </cell>
          <cell r="D18" t="str">
            <v>OOPM.S-S-2025-I-0064</v>
          </cell>
          <cell r="E18" t="str">
            <v>C-2025-G-0106</v>
          </cell>
          <cell r="F18" t="str">
            <v>C-2025-G-022</v>
          </cell>
          <cell r="G18" t="str">
            <v>Chesf</v>
          </cell>
          <cell r="H18" t="str">
            <v>Nova Demanda</v>
          </cell>
          <cell r="I18" t="str">
            <v>Implantação dos sistemas de drenagem das plataformas da EOL Casa Nova A</v>
          </cell>
          <cell r="J18" t="str">
            <v>Melhorias Civis nas estrades e Taludes nas Usinas Eólicas de Casa Nova A e GPEXPAN</v>
          </cell>
          <cell r="K18" t="str">
            <v>Construção de dispositivos de drenagem nas plataformas dos aerogeradores e melhoria dos acessos, Construção de dispositivos de drenagem e execução de melhoria dos acessos  e Serviços de Engenharia Referentes a Proteção de Taludes, Drenagem e Reparos Emergenciais das Plataformas dos Aerogeradores do Complexo Eólico GPEXPAN.</v>
          </cell>
          <cell r="L18" t="str">
            <v>H400010083</v>
          </cell>
          <cell r="M18" t="str">
            <v>EOL Casa Nova A</v>
          </cell>
          <cell r="N18" t="str">
            <v>Geração</v>
          </cell>
          <cell r="O18" t="str">
            <v>Modernização de pequeno porte</v>
          </cell>
          <cell r="P18" t="str">
            <v>Modernização de pequeno porte</v>
          </cell>
          <cell r="Q18" t="str">
            <v>MH.6001</v>
          </cell>
          <cell r="R18" t="str">
            <v>Investimento Civil Geração PDNG 2019-202</v>
          </cell>
          <cell r="S18">
            <v>0</v>
          </cell>
          <cell r="T18">
            <v>0</v>
          </cell>
          <cell r="U18">
            <v>0</v>
          </cell>
          <cell r="V18">
            <v>0</v>
          </cell>
          <cell r="W18">
            <v>166000</v>
          </cell>
          <cell r="X18">
            <v>166000</v>
          </cell>
          <cell r="Y18">
            <v>167000</v>
          </cell>
          <cell r="Z18">
            <v>167000</v>
          </cell>
          <cell r="AA18">
            <v>167000</v>
          </cell>
          <cell r="AB18">
            <v>167000</v>
          </cell>
          <cell r="AC18">
            <v>0</v>
          </cell>
          <cell r="AD18">
            <v>0</v>
          </cell>
          <cell r="AE18">
            <v>1000000</v>
          </cell>
          <cell r="AF18">
            <v>150000</v>
          </cell>
          <cell r="AG18"/>
          <cell r="AH18"/>
          <cell r="AI18"/>
          <cell r="AJ18">
            <v>1150000</v>
          </cell>
          <cell r="AK18">
            <v>0</v>
          </cell>
          <cell r="AL18">
            <v>0</v>
          </cell>
          <cell r="AM18">
            <v>0</v>
          </cell>
          <cell r="AN18">
            <v>0</v>
          </cell>
          <cell r="AO18">
            <v>0</v>
          </cell>
          <cell r="AP18">
            <v>1150000</v>
          </cell>
          <cell r="AQ18" t="str">
            <v>Bahia</v>
          </cell>
          <cell r="AS18" t="str">
            <v>x</v>
          </cell>
          <cell r="AT18">
            <v>150000</v>
          </cell>
        </row>
        <row r="19">
          <cell r="B19" t="str">
            <v>COO0105</v>
          </cell>
          <cell r="C19" t="str">
            <v>OOMG.C</v>
          </cell>
          <cell r="D19" t="str">
            <v>OOMS.S-S-2025-I-0014</v>
          </cell>
          <cell r="E19" t="str">
            <v>C-2025-G-0101</v>
          </cell>
          <cell r="F19" t="str">
            <v>C-2025-G-071</v>
          </cell>
          <cell r="G19" t="str">
            <v>Chesf</v>
          </cell>
          <cell r="H19" t="str">
            <v>Nova Demanda</v>
          </cell>
          <cell r="I19" t="str">
            <v>Reserva imobilizada para usinas da Chesf</v>
          </cell>
          <cell r="J19" t="str">
            <v>Reserva técnica</v>
          </cell>
          <cell r="K19" t="str">
            <v>Reserva técnica para diversos sistemas e usinas</v>
          </cell>
          <cell r="L19" t="str">
            <v>Diversos</v>
          </cell>
          <cell r="M19" t="str">
            <v>Diversas UHE</v>
          </cell>
          <cell r="N19" t="str">
            <v>Geração</v>
          </cell>
          <cell r="O19" t="str">
            <v>Modernização de pequeno porte</v>
          </cell>
          <cell r="P19" t="str">
            <v>Modernização de pequeno porte</v>
          </cell>
          <cell r="Q19" t="str">
            <v>Diversos</v>
          </cell>
          <cell r="R19" t="str">
            <v>Diversas</v>
          </cell>
          <cell r="S19">
            <v>217067</v>
          </cell>
          <cell r="T19">
            <v>217067</v>
          </cell>
          <cell r="U19">
            <v>217067</v>
          </cell>
          <cell r="V19">
            <v>217067</v>
          </cell>
          <cell r="W19">
            <v>217067</v>
          </cell>
          <cell r="X19">
            <v>217067</v>
          </cell>
          <cell r="Y19">
            <v>217067</v>
          </cell>
          <cell r="Z19">
            <v>217067</v>
          </cell>
          <cell r="AA19">
            <v>217067</v>
          </cell>
          <cell r="AB19">
            <v>217067</v>
          </cell>
          <cell r="AC19">
            <v>217067</v>
          </cell>
          <cell r="AD19">
            <v>217067</v>
          </cell>
          <cell r="AE19">
            <v>2604804</v>
          </cell>
          <cell r="AF19">
            <v>5209616</v>
          </cell>
          <cell r="AG19"/>
          <cell r="AH19"/>
          <cell r="AI19"/>
          <cell r="AJ19">
            <v>7814420</v>
          </cell>
          <cell r="AK19">
            <v>0</v>
          </cell>
          <cell r="AL19">
            <v>0</v>
          </cell>
          <cell r="AM19">
            <v>0</v>
          </cell>
          <cell r="AN19">
            <v>0</v>
          </cell>
          <cell r="AO19">
            <v>0</v>
          </cell>
          <cell r="AP19">
            <v>7814420</v>
          </cell>
          <cell r="AQ19"/>
          <cell r="AS19" t="str">
            <v>x</v>
          </cell>
          <cell r="AT19">
            <v>5209616</v>
          </cell>
        </row>
        <row r="20">
          <cell r="B20" t="str">
            <v>COO0106</v>
          </cell>
          <cell r="C20" t="str">
            <v>OOMG.C</v>
          </cell>
          <cell r="D20" t="str">
            <v>OOPT.C-C-2025-I-0039</v>
          </cell>
          <cell r="E20" t="str">
            <v>C-2024-G-0007</v>
          </cell>
          <cell r="F20" t="str">
            <v>C-2024-G-002</v>
          </cell>
          <cell r="G20" t="str">
            <v>Chesf</v>
          </cell>
          <cell r="H20" t="str">
            <v>Nova Demanda</v>
          </cell>
          <cell r="I20" t="str">
            <v>Implantação de 04 elevadores de cremalheira nas UHE Xingó e UHE Sobradinho</v>
          </cell>
          <cell r="J20" t="str">
            <v>Elevadores Cremalheira Xingó e Sobradinho</v>
          </cell>
          <cell r="K20" t="str">
            <v>Fornecimento e instalação de 04 elevadores de cremalheira para acesso à sucção da usina Sobradinho (02) e acesso à tomada d'água da usina Xingó (02)</v>
          </cell>
          <cell r="L20" t="str">
            <v>Diversos</v>
          </cell>
          <cell r="M20" t="str">
            <v>Diversas UHE</v>
          </cell>
          <cell r="N20" t="str">
            <v>Geração</v>
          </cell>
          <cell r="O20" t="str">
            <v>Modernização de pequeno porte</v>
          </cell>
          <cell r="P20" t="str">
            <v>Modernização de pequeno porte</v>
          </cell>
          <cell r="Q20" t="str">
            <v>MH.6002</v>
          </cell>
          <cell r="R20" t="str">
            <v>PLANO DE MELHORIAS DOMG 20-25</v>
          </cell>
          <cell r="S20">
            <v>371298</v>
          </cell>
          <cell r="T20">
            <v>371298</v>
          </cell>
          <cell r="U20">
            <v>371298</v>
          </cell>
          <cell r="V20">
            <v>371298</v>
          </cell>
          <cell r="W20">
            <v>371298</v>
          </cell>
          <cell r="X20">
            <v>371298</v>
          </cell>
          <cell r="Y20">
            <v>371298</v>
          </cell>
          <cell r="Z20">
            <v>371298</v>
          </cell>
          <cell r="AA20">
            <v>371298</v>
          </cell>
          <cell r="AB20">
            <v>371298</v>
          </cell>
          <cell r="AC20">
            <v>371298</v>
          </cell>
          <cell r="AD20">
            <v>371298</v>
          </cell>
          <cell r="AE20">
            <v>4455576</v>
          </cell>
          <cell r="AF20">
            <v>222778.80000000002</v>
          </cell>
          <cell r="AG20"/>
          <cell r="AH20"/>
          <cell r="AI20"/>
          <cell r="AJ20">
            <v>4678354.8</v>
          </cell>
          <cell r="AK20">
            <v>0</v>
          </cell>
          <cell r="AL20">
            <v>0</v>
          </cell>
          <cell r="AM20">
            <v>0</v>
          </cell>
          <cell r="AN20">
            <v>0</v>
          </cell>
          <cell r="AO20">
            <v>0</v>
          </cell>
          <cell r="AP20">
            <v>4678354.8</v>
          </cell>
          <cell r="AQ20" t="str">
            <v>Bahia</v>
          </cell>
          <cell r="AS20" t="str">
            <v>x</v>
          </cell>
          <cell r="AT20">
            <v>222778.80000000002</v>
          </cell>
        </row>
        <row r="21">
          <cell r="B21" t="str">
            <v>COO0107</v>
          </cell>
          <cell r="C21" t="str">
            <v>OOMG.C</v>
          </cell>
          <cell r="D21" t="str">
            <v>OOGS.S-S-2025-I-0285</v>
          </cell>
          <cell r="E21" t="str">
            <v>C-2024-G-0022</v>
          </cell>
          <cell r="F21" t="str">
            <v>C-2024-G-025</v>
          </cell>
          <cell r="G21" t="str">
            <v>Chesf</v>
          </cell>
          <cell r="H21" t="str">
            <v>Contratado</v>
          </cell>
          <cell r="I21" t="str">
            <v>Modernização de 20 transformadores elevadores para as UHE Paulo Afonso III e Apolônio Sales</v>
          </cell>
          <cell r="J21" t="str">
            <v>Transformadores elevadores PA-III e Apolônio Sales</v>
          </cell>
          <cell r="K21" t="str">
            <v>Fornecimento e instalação de 07 transformadores elevadores da usina Apolônio Sales e 13  da usina Paulo Afonso III, incluindo a alienação e destinação dos antigos</v>
          </cell>
          <cell r="L21" t="str">
            <v>Diversos</v>
          </cell>
          <cell r="M21" t="str">
            <v>Complexo Paulo Afonso</v>
          </cell>
          <cell r="N21" t="str">
            <v>Geração</v>
          </cell>
          <cell r="O21" t="str">
            <v>Modernização de pequeno porte</v>
          </cell>
          <cell r="P21" t="str">
            <v>Modernização de pequeno porte</v>
          </cell>
          <cell r="Q21" t="str">
            <v>MH.6002</v>
          </cell>
          <cell r="R21" t="str">
            <v>PLANO DE MELHORIAS DOMG 20-25</v>
          </cell>
          <cell r="S21">
            <v>4167</v>
          </cell>
          <cell r="T21">
            <v>4167</v>
          </cell>
          <cell r="U21">
            <v>4167</v>
          </cell>
          <cell r="V21">
            <v>4167</v>
          </cell>
          <cell r="W21">
            <v>4167</v>
          </cell>
          <cell r="X21">
            <v>4167</v>
          </cell>
          <cell r="Y21">
            <v>4167</v>
          </cell>
          <cell r="Z21">
            <v>4167</v>
          </cell>
          <cell r="AA21">
            <v>4167</v>
          </cell>
          <cell r="AB21">
            <v>4167</v>
          </cell>
          <cell r="AC21">
            <v>4167</v>
          </cell>
          <cell r="AD21">
            <v>4167</v>
          </cell>
          <cell r="AE21">
            <v>50004</v>
          </cell>
          <cell r="AF21"/>
          <cell r="AG21"/>
          <cell r="AH21"/>
          <cell r="AI21"/>
          <cell r="AJ21">
            <v>50004</v>
          </cell>
          <cell r="AK21">
            <v>0</v>
          </cell>
          <cell r="AL21">
            <v>0</v>
          </cell>
          <cell r="AM21">
            <v>0</v>
          </cell>
          <cell r="AN21">
            <v>0</v>
          </cell>
          <cell r="AO21">
            <v>0</v>
          </cell>
          <cell r="AP21">
            <v>50004</v>
          </cell>
          <cell r="AQ21" t="str">
            <v>Bahia</v>
          </cell>
          <cell r="AS21" t="str">
            <v>x</v>
          </cell>
          <cell r="AT21">
            <v>0</v>
          </cell>
        </row>
        <row r="22">
          <cell r="B22" t="str">
            <v>COO0108</v>
          </cell>
          <cell r="C22" t="str">
            <v>OOMG.C</v>
          </cell>
          <cell r="D22" t="str">
            <v>OOGS.S-S-2025-I-0279</v>
          </cell>
          <cell r="E22" t="str">
            <v>C-2024-G-0002</v>
          </cell>
          <cell r="F22" t="str">
            <v>C-2024-G-008</v>
          </cell>
          <cell r="G22" t="str">
            <v>Chesf</v>
          </cell>
          <cell r="H22" t="str">
            <v>Nova Demanda</v>
          </cell>
          <cell r="I22" t="str">
            <v>Substituição do banco de baterias da UHE Xingó</v>
          </cell>
          <cell r="J22" t="str">
            <v>Banco de baterias Xingó</v>
          </cell>
          <cell r="K22" t="str">
            <v>Fornecimento e instalação de banco de baterias para a usina Xingó</v>
          </cell>
          <cell r="L22" t="str">
            <v>H400040109</v>
          </cell>
          <cell r="M22" t="str">
            <v>UHE Xingó</v>
          </cell>
          <cell r="N22" t="str">
            <v>Geração</v>
          </cell>
          <cell r="O22" t="str">
            <v>Modernização de pequeno porte</v>
          </cell>
          <cell r="P22" t="str">
            <v>Modernização de pequeno porte</v>
          </cell>
          <cell r="Q22" t="str">
            <v>MH.6002</v>
          </cell>
          <cell r="R22" t="str">
            <v>PLANO DE MELHORIAS DOMG 20-25</v>
          </cell>
          <cell r="S22">
            <v>5184</v>
          </cell>
          <cell r="T22">
            <v>5184</v>
          </cell>
          <cell r="U22">
            <v>5184</v>
          </cell>
          <cell r="V22">
            <v>5184</v>
          </cell>
          <cell r="W22">
            <v>5184</v>
          </cell>
          <cell r="X22">
            <v>5184</v>
          </cell>
          <cell r="Y22">
            <v>5184</v>
          </cell>
          <cell r="Z22">
            <v>5184</v>
          </cell>
          <cell r="AA22">
            <v>5184</v>
          </cell>
          <cell r="AB22">
            <v>5184</v>
          </cell>
          <cell r="AC22">
            <v>5184</v>
          </cell>
          <cell r="AD22">
            <v>5184</v>
          </cell>
          <cell r="AE22">
            <v>62208</v>
          </cell>
          <cell r="AF22"/>
          <cell r="AG22"/>
          <cell r="AH22"/>
          <cell r="AI22"/>
          <cell r="AJ22">
            <v>62208</v>
          </cell>
          <cell r="AK22">
            <v>0</v>
          </cell>
          <cell r="AL22">
            <v>0</v>
          </cell>
          <cell r="AM22">
            <v>0</v>
          </cell>
          <cell r="AN22">
            <v>0</v>
          </cell>
          <cell r="AO22">
            <v>0</v>
          </cell>
          <cell r="AP22">
            <v>62208</v>
          </cell>
          <cell r="AQ22" t="str">
            <v>Alagoas</v>
          </cell>
          <cell r="AS22" t="str">
            <v>x</v>
          </cell>
          <cell r="AT22">
            <v>0</v>
          </cell>
        </row>
        <row r="23">
          <cell r="B23" t="str">
            <v>COO0109</v>
          </cell>
          <cell r="C23" t="str">
            <v>OOMG.C</v>
          </cell>
          <cell r="D23" t="str">
            <v>OOGN.S-S-2025-I-0125</v>
          </cell>
          <cell r="E23" t="str">
            <v>C-2024-G-0003</v>
          </cell>
          <cell r="F23" t="str">
            <v>C-2024-G-009</v>
          </cell>
          <cell r="G23" t="str">
            <v>Chesf</v>
          </cell>
          <cell r="H23" t="str">
            <v>Nova Demanda</v>
          </cell>
          <cell r="I23" t="str">
            <v>Substituição do banco de baterias das PCH Funil e Pedra</v>
          </cell>
          <cell r="J23" t="str">
            <v>Banco de baterias Funil e Pedra</v>
          </cell>
          <cell r="K23" t="str">
            <v>Fornecimento e instalação de banco de baterias para as usinas Funil e Pedra</v>
          </cell>
          <cell r="L23" t="str">
            <v>Diversos</v>
          </cell>
          <cell r="M23" t="str">
            <v>PCH Pedra</v>
          </cell>
          <cell r="N23" t="str">
            <v>Geração</v>
          </cell>
          <cell r="O23" t="str">
            <v>Modernização de pequeno porte</v>
          </cell>
          <cell r="P23" t="str">
            <v>Modernização de pequeno porte</v>
          </cell>
          <cell r="Q23" t="str">
            <v>MH.6002</v>
          </cell>
          <cell r="R23" t="str">
            <v>PLANO DE MELHORIAS DOMG 20-25</v>
          </cell>
          <cell r="S23">
            <v>39323</v>
          </cell>
          <cell r="T23">
            <v>39323</v>
          </cell>
          <cell r="U23">
            <v>39323</v>
          </cell>
          <cell r="V23">
            <v>39323</v>
          </cell>
          <cell r="W23">
            <v>39323</v>
          </cell>
          <cell r="X23">
            <v>39323</v>
          </cell>
          <cell r="Y23">
            <v>39323</v>
          </cell>
          <cell r="Z23">
            <v>39323</v>
          </cell>
          <cell r="AA23">
            <v>39323</v>
          </cell>
          <cell r="AB23">
            <v>39323</v>
          </cell>
          <cell r="AC23">
            <v>39323</v>
          </cell>
          <cell r="AD23">
            <v>39323</v>
          </cell>
          <cell r="AE23">
            <v>471876</v>
          </cell>
          <cell r="AF23">
            <v>23593.800000000003</v>
          </cell>
          <cell r="AG23"/>
          <cell r="AH23"/>
          <cell r="AI23"/>
          <cell r="AJ23">
            <v>495469.8</v>
          </cell>
          <cell r="AK23">
            <v>0</v>
          </cell>
          <cell r="AL23">
            <v>0</v>
          </cell>
          <cell r="AM23">
            <v>0</v>
          </cell>
          <cell r="AN23">
            <v>0</v>
          </cell>
          <cell r="AO23">
            <v>0</v>
          </cell>
          <cell r="AP23">
            <v>495469.8</v>
          </cell>
          <cell r="AQ23" t="str">
            <v>Bahia</v>
          </cell>
          <cell r="AS23" t="str">
            <v>x</v>
          </cell>
          <cell r="AT23">
            <v>23593.800000000003</v>
          </cell>
        </row>
        <row r="24">
          <cell r="B24" t="str">
            <v>COO0110</v>
          </cell>
          <cell r="C24" t="str">
            <v>OOMG.C</v>
          </cell>
          <cell r="D24" t="str">
            <v>OOPM.S-S-2025-I-0063</v>
          </cell>
          <cell r="E24" t="str">
            <v>C-2024-G-0008</v>
          </cell>
          <cell r="F24" t="str">
            <v>C-2024-G-006</v>
          </cell>
          <cell r="G24" t="str">
            <v>Chesf</v>
          </cell>
          <cell r="H24" t="str">
            <v>Contratado</v>
          </cell>
          <cell r="I24" t="str">
            <v>Implantação de elevadores na UHE Boa Esperança e PCH Funil</v>
          </cell>
          <cell r="J24" t="str">
            <v>Elevadores Boa Esperança e Funil</v>
          </cell>
          <cell r="K24" t="str">
            <v>Fornecimento e instalação de elevadores de passageiros para as usinas de Funil e Boa Esperança (Projeto contratado, porém teve contrato rescindido)</v>
          </cell>
          <cell r="L24" t="str">
            <v>Diversos</v>
          </cell>
          <cell r="M24" t="str">
            <v>UHE Boa Esperança</v>
          </cell>
          <cell r="N24" t="str">
            <v>Geração</v>
          </cell>
          <cell r="O24" t="str">
            <v>Modernização de pequeno porte</v>
          </cell>
          <cell r="P24" t="str">
            <v>Modernização de pequeno porte</v>
          </cell>
          <cell r="Q24" t="str">
            <v>MH.6002</v>
          </cell>
          <cell r="R24" t="str">
            <v>PLANO DE MELHORIAS DOMG 20-25</v>
          </cell>
          <cell r="S24">
            <v>84000</v>
          </cell>
          <cell r="T24">
            <v>84000</v>
          </cell>
          <cell r="U24">
            <v>84000</v>
          </cell>
          <cell r="V24">
            <v>84000</v>
          </cell>
          <cell r="W24">
            <v>84000</v>
          </cell>
          <cell r="X24">
            <v>84000</v>
          </cell>
          <cell r="Y24">
            <v>84000</v>
          </cell>
          <cell r="Z24">
            <v>84000</v>
          </cell>
          <cell r="AA24">
            <v>84000</v>
          </cell>
          <cell r="AB24">
            <v>84000</v>
          </cell>
          <cell r="AC24">
            <v>84000</v>
          </cell>
          <cell r="AD24">
            <v>84000</v>
          </cell>
          <cell r="AE24">
            <v>1008000</v>
          </cell>
          <cell r="AF24"/>
          <cell r="AG24"/>
          <cell r="AH24"/>
          <cell r="AI24"/>
          <cell r="AJ24">
            <v>1008000</v>
          </cell>
          <cell r="AK24">
            <v>0</v>
          </cell>
          <cell r="AL24">
            <v>0</v>
          </cell>
          <cell r="AM24">
            <v>0</v>
          </cell>
          <cell r="AN24">
            <v>0</v>
          </cell>
          <cell r="AO24">
            <v>0</v>
          </cell>
          <cell r="AP24">
            <v>1008000</v>
          </cell>
          <cell r="AQ24" t="str">
            <v>Piauí</v>
          </cell>
          <cell r="AS24" t="str">
            <v>x</v>
          </cell>
          <cell r="AT24">
            <v>0</v>
          </cell>
        </row>
        <row r="25">
          <cell r="B25" t="str">
            <v>COO0111</v>
          </cell>
          <cell r="C25" t="str">
            <v>OOMG.C</v>
          </cell>
          <cell r="D25" t="str">
            <v>OOMB.C-C-2025-I-0014</v>
          </cell>
          <cell r="E25" t="str">
            <v>C-2024-G-0004</v>
          </cell>
          <cell r="F25" t="str">
            <v>C-2024-G-004</v>
          </cell>
          <cell r="G25" t="str">
            <v>Chesf</v>
          </cell>
          <cell r="H25" t="str">
            <v>Nova Demanda</v>
          </cell>
          <cell r="I25" t="str">
            <v>Substituição do sistema de grades de retenção na tomada d'água das UHE Paulo Afonso I e III</v>
          </cell>
          <cell r="J25" t="str">
            <v>Grades TDA PAI e PAIII</v>
          </cell>
          <cell r="K25" t="str">
            <v>Fornecimento e instalação de grades de retenção da tomada d'água da usina Paulo Afonso III e I</v>
          </cell>
          <cell r="L25" t="str">
            <v>Diversos</v>
          </cell>
          <cell r="M25" t="str">
            <v>Complexo Paulo Afonso</v>
          </cell>
          <cell r="N25" t="str">
            <v>Geração</v>
          </cell>
          <cell r="O25" t="str">
            <v>Modernização de pequeno porte</v>
          </cell>
          <cell r="P25" t="str">
            <v>Modernização de pequeno porte</v>
          </cell>
          <cell r="Q25" t="str">
            <v>MH.6002</v>
          </cell>
          <cell r="R25" t="str">
            <v>PLANO DE MELHORIAS DOMG 20-25</v>
          </cell>
          <cell r="S25">
            <v>587363</v>
          </cell>
          <cell r="T25">
            <v>587363</v>
          </cell>
          <cell r="U25">
            <v>587363</v>
          </cell>
          <cell r="V25">
            <v>587363</v>
          </cell>
          <cell r="W25">
            <v>587363</v>
          </cell>
          <cell r="X25">
            <v>587363</v>
          </cell>
          <cell r="Y25">
            <v>587363</v>
          </cell>
          <cell r="Z25">
            <v>587363</v>
          </cell>
          <cell r="AA25">
            <v>587363</v>
          </cell>
          <cell r="AB25">
            <v>587363</v>
          </cell>
          <cell r="AC25">
            <v>587363</v>
          </cell>
          <cell r="AD25">
            <v>587363</v>
          </cell>
          <cell r="AE25">
            <v>7048356</v>
          </cell>
          <cell r="AF25">
            <v>360000</v>
          </cell>
          <cell r="AG25"/>
          <cell r="AH25"/>
          <cell r="AI25"/>
          <cell r="AJ25">
            <v>7408356</v>
          </cell>
          <cell r="AK25">
            <v>0</v>
          </cell>
          <cell r="AL25">
            <v>0</v>
          </cell>
          <cell r="AM25">
            <v>0</v>
          </cell>
          <cell r="AN25">
            <v>0</v>
          </cell>
          <cell r="AO25">
            <v>0</v>
          </cell>
          <cell r="AP25">
            <v>7408356</v>
          </cell>
          <cell r="AQ25" t="str">
            <v>Bahia</v>
          </cell>
          <cell r="AS25" t="str">
            <v>x</v>
          </cell>
          <cell r="AT25">
            <v>360000</v>
          </cell>
        </row>
        <row r="26">
          <cell r="B26" t="str">
            <v>COO0112</v>
          </cell>
          <cell r="C26" t="str">
            <v>OOMG.C</v>
          </cell>
          <cell r="D26" t="str">
            <v>OOGS.S-S-2025-I-0100</v>
          </cell>
          <cell r="E26" t="str">
            <v>C-2024-G-0010</v>
          </cell>
          <cell r="F26" t="str">
            <v>C-2024-G-011</v>
          </cell>
          <cell r="G26" t="str">
            <v>Chesf</v>
          </cell>
          <cell r="H26" t="str">
            <v>Contratado</v>
          </cell>
          <cell r="I26" t="str">
            <v>Substituição das bombas do sistema de drenagem e esgotamento de diversas usinas da Chesf</v>
          </cell>
          <cell r="J26" t="str">
            <v>Bombas drenagem e esgotamento</v>
          </cell>
          <cell r="K26" t="str">
            <v xml:space="preserve">Fornecimento e instalação de motobombas de drenagem e esgotamento para diversas usinas </v>
          </cell>
          <cell r="L26" t="str">
            <v>Diversos</v>
          </cell>
          <cell r="M26" t="str">
            <v>Diversas UHE</v>
          </cell>
          <cell r="N26" t="str">
            <v>Geração</v>
          </cell>
          <cell r="O26" t="str">
            <v>Modernização de pequeno porte</v>
          </cell>
          <cell r="P26" t="str">
            <v>Modernização de pequeno porte</v>
          </cell>
          <cell r="Q26" t="str">
            <v>MH.6002</v>
          </cell>
          <cell r="R26" t="str">
            <v>PLANO DE MELHORIAS DOMG 20-25</v>
          </cell>
          <cell r="S26">
            <v>52680</v>
          </cell>
          <cell r="T26">
            <v>52680</v>
          </cell>
          <cell r="U26">
            <v>52680</v>
          </cell>
          <cell r="V26">
            <v>52680</v>
          </cell>
          <cell r="W26">
            <v>52680</v>
          </cell>
          <cell r="X26">
            <v>52680</v>
          </cell>
          <cell r="Y26">
            <v>52680</v>
          </cell>
          <cell r="Z26">
            <v>52680</v>
          </cell>
          <cell r="AA26">
            <v>52680</v>
          </cell>
          <cell r="AB26">
            <v>52680</v>
          </cell>
          <cell r="AC26">
            <v>52680</v>
          </cell>
          <cell r="AD26">
            <v>52680</v>
          </cell>
          <cell r="AE26">
            <v>632160</v>
          </cell>
          <cell r="AF26"/>
          <cell r="AG26"/>
          <cell r="AH26"/>
          <cell r="AI26"/>
          <cell r="AJ26">
            <v>632160</v>
          </cell>
          <cell r="AK26">
            <v>0</v>
          </cell>
          <cell r="AL26">
            <v>0</v>
          </cell>
          <cell r="AM26">
            <v>0</v>
          </cell>
          <cell r="AN26">
            <v>0</v>
          </cell>
          <cell r="AO26">
            <v>0</v>
          </cell>
          <cell r="AP26">
            <v>632160</v>
          </cell>
          <cell r="AQ26" t="str">
            <v>Bahia</v>
          </cell>
          <cell r="AS26" t="str">
            <v>x</v>
          </cell>
          <cell r="AT26">
            <v>0</v>
          </cell>
        </row>
        <row r="27">
          <cell r="B27" t="str">
            <v>COO0113</v>
          </cell>
          <cell r="C27" t="str">
            <v>OOMG.C</v>
          </cell>
          <cell r="D27" t="str">
            <v>OOGS.S-S-2025-I-0280</v>
          </cell>
          <cell r="E27" t="str">
            <v>C-2024-G-0009</v>
          </cell>
          <cell r="F27" t="str">
            <v>C-2024-G-017</v>
          </cell>
          <cell r="G27" t="str">
            <v>Chesf</v>
          </cell>
          <cell r="H27" t="str">
            <v>Contratado</v>
          </cell>
          <cell r="I27" t="str">
            <v>Substituição do sistema de ventilação da UHE Paulo Afonso IV</v>
          </cell>
          <cell r="J27" t="str">
            <v>Quadros ventilação PAIV</v>
          </cell>
          <cell r="K27" t="str">
            <v xml:space="preserve">Fornecimento e instalação de quadros elétricos de baixa tensão para modernização do sistema de ventilação da usina Paulo Afonso IV </v>
          </cell>
          <cell r="L27" t="str">
            <v>H400040108</v>
          </cell>
          <cell r="M27" t="str">
            <v>UHE Paulo Afonso IV</v>
          </cell>
          <cell r="N27" t="str">
            <v>Geração</v>
          </cell>
          <cell r="O27" t="str">
            <v>Modernização de pequeno porte</v>
          </cell>
          <cell r="P27" t="str">
            <v>Modernização de pequeno porte</v>
          </cell>
          <cell r="Q27" t="str">
            <v>MH.6002</v>
          </cell>
          <cell r="R27" t="str">
            <v>PLANO DE MELHORIAS DOMG 20-25</v>
          </cell>
          <cell r="S27">
            <v>5000</v>
          </cell>
          <cell r="T27">
            <v>5000</v>
          </cell>
          <cell r="U27">
            <v>5000</v>
          </cell>
          <cell r="V27">
            <v>5000</v>
          </cell>
          <cell r="W27">
            <v>5000</v>
          </cell>
          <cell r="X27">
            <v>5000</v>
          </cell>
          <cell r="Y27">
            <v>5000</v>
          </cell>
          <cell r="Z27">
            <v>5000</v>
          </cell>
          <cell r="AA27">
            <v>5000</v>
          </cell>
          <cell r="AB27">
            <v>5000</v>
          </cell>
          <cell r="AC27">
            <v>5000</v>
          </cell>
          <cell r="AD27">
            <v>5000</v>
          </cell>
          <cell r="AE27">
            <v>60000</v>
          </cell>
          <cell r="AF27"/>
          <cell r="AG27"/>
          <cell r="AH27"/>
          <cell r="AI27"/>
          <cell r="AJ27">
            <v>60000</v>
          </cell>
          <cell r="AK27">
            <v>0</v>
          </cell>
          <cell r="AL27">
            <v>0</v>
          </cell>
          <cell r="AM27">
            <v>0</v>
          </cell>
          <cell r="AN27">
            <v>0</v>
          </cell>
          <cell r="AO27">
            <v>0</v>
          </cell>
          <cell r="AP27">
            <v>60000</v>
          </cell>
          <cell r="AQ27" t="str">
            <v>Bahia</v>
          </cell>
          <cell r="AS27" t="str">
            <v>x</v>
          </cell>
          <cell r="AT27">
            <v>0</v>
          </cell>
        </row>
        <row r="28">
          <cell r="B28" t="str">
            <v>COO0114</v>
          </cell>
          <cell r="C28" t="str">
            <v>OOMG.C</v>
          </cell>
          <cell r="D28" t="str">
            <v>OOGS.S-S-2025-I-0301</v>
          </cell>
          <cell r="E28" t="str">
            <v>C-2024-G-0005</v>
          </cell>
          <cell r="F28" t="str">
            <v>C-2024-G-021</v>
          </cell>
          <cell r="G28" t="str">
            <v>Chesf</v>
          </cell>
          <cell r="H28" t="str">
            <v>Contratado</v>
          </cell>
          <cell r="I28" t="str">
            <v>Modernização do servomotor para a válvula borboleta da PCH Pedra</v>
          </cell>
          <cell r="J28" t="str">
            <v>Servomotor borboleta Pedra</v>
          </cell>
          <cell r="K28" t="str">
            <v>Fornecimento e instalação de servomotor para válvula borboleta da usina Pedra</v>
          </cell>
          <cell r="L28" t="str">
            <v>H400060130</v>
          </cell>
          <cell r="M28" t="str">
            <v>PCH Pedra</v>
          </cell>
          <cell r="N28" t="str">
            <v>Geração</v>
          </cell>
          <cell r="O28" t="str">
            <v>Modernização de pequeno porte</v>
          </cell>
          <cell r="P28" t="str">
            <v>Modernização de pequeno porte</v>
          </cell>
          <cell r="Q28" t="str">
            <v>MH.6002</v>
          </cell>
          <cell r="R28" t="str">
            <v>PLANO DE MELHORIAS DOMG 20-25</v>
          </cell>
          <cell r="S28">
            <v>3141</v>
          </cell>
          <cell r="T28">
            <v>3141</v>
          </cell>
          <cell r="U28">
            <v>3141</v>
          </cell>
          <cell r="V28">
            <v>3141</v>
          </cell>
          <cell r="W28">
            <v>3141</v>
          </cell>
          <cell r="X28">
            <v>3141</v>
          </cell>
          <cell r="Y28">
            <v>3141</v>
          </cell>
          <cell r="Z28">
            <v>3141</v>
          </cell>
          <cell r="AA28">
            <v>3141</v>
          </cell>
          <cell r="AB28">
            <v>3141</v>
          </cell>
          <cell r="AC28">
            <v>3141</v>
          </cell>
          <cell r="AD28">
            <v>3141</v>
          </cell>
          <cell r="AE28">
            <v>37692</v>
          </cell>
          <cell r="AF28"/>
          <cell r="AG28"/>
          <cell r="AH28"/>
          <cell r="AI28"/>
          <cell r="AJ28">
            <v>37692</v>
          </cell>
          <cell r="AK28">
            <v>0</v>
          </cell>
          <cell r="AL28">
            <v>0</v>
          </cell>
          <cell r="AM28">
            <v>0</v>
          </cell>
          <cell r="AN28">
            <v>0</v>
          </cell>
          <cell r="AO28">
            <v>0</v>
          </cell>
          <cell r="AP28">
            <v>37692</v>
          </cell>
          <cell r="AQ28" t="str">
            <v>Bahia</v>
          </cell>
          <cell r="AS28" t="str">
            <v>x</v>
          </cell>
          <cell r="AT28">
            <v>0</v>
          </cell>
        </row>
        <row r="29">
          <cell r="B29" t="str">
            <v>COO0115</v>
          </cell>
          <cell r="C29" t="str">
            <v>OOMG.C</v>
          </cell>
          <cell r="D29" t="str">
            <v>OOMB.C-C-2025-I-0006</v>
          </cell>
          <cell r="E29" t="str">
            <v>C-2024-G-0006</v>
          </cell>
          <cell r="F29" t="str">
            <v>C-2024-G-003</v>
          </cell>
          <cell r="G29" t="str">
            <v>Chesf</v>
          </cell>
          <cell r="H29" t="str">
            <v>Nova Demanda</v>
          </cell>
          <cell r="I29" t="str">
            <v>Substituição de um Gerador Diesel de Emergência para a UHE Apolônio Sales</v>
          </cell>
          <cell r="J29" t="str">
            <v>GGE Apolônio Sales</v>
          </cell>
          <cell r="K29" t="str">
            <v>Fornecimento e instalação de sistema de geração de emergência para a usina Apolônio Sales</v>
          </cell>
          <cell r="L29" t="str">
            <v>H400040103</v>
          </cell>
          <cell r="M29" t="str">
            <v>UHE Apolônio Sales</v>
          </cell>
          <cell r="N29" t="str">
            <v>Geração</v>
          </cell>
          <cell r="O29" t="str">
            <v>Modernização de pequeno porte</v>
          </cell>
          <cell r="P29" t="str">
            <v>Modernização de pequeno porte</v>
          </cell>
          <cell r="Q29" t="str">
            <v>MH.6002</v>
          </cell>
          <cell r="R29" t="str">
            <v>PLANO DE MELHORIAS DOMG 20-25</v>
          </cell>
          <cell r="S29">
            <v>928885</v>
          </cell>
          <cell r="T29">
            <v>928885</v>
          </cell>
          <cell r="U29">
            <v>928885</v>
          </cell>
          <cell r="V29">
            <v>928885</v>
          </cell>
          <cell r="W29">
            <v>928885</v>
          </cell>
          <cell r="X29">
            <v>928885</v>
          </cell>
          <cell r="Y29">
            <v>928885</v>
          </cell>
          <cell r="Z29">
            <v>928885</v>
          </cell>
          <cell r="AA29">
            <v>928885</v>
          </cell>
          <cell r="AB29">
            <v>928885</v>
          </cell>
          <cell r="AC29">
            <v>928885</v>
          </cell>
          <cell r="AD29">
            <v>928885</v>
          </cell>
          <cell r="AE29">
            <v>11146620</v>
          </cell>
          <cell r="AF29"/>
          <cell r="AG29"/>
          <cell r="AH29"/>
          <cell r="AI29"/>
          <cell r="AJ29">
            <v>11146620</v>
          </cell>
          <cell r="AK29">
            <v>0</v>
          </cell>
          <cell r="AL29">
            <v>0</v>
          </cell>
          <cell r="AM29">
            <v>0</v>
          </cell>
          <cell r="AN29">
            <v>0</v>
          </cell>
          <cell r="AO29">
            <v>0</v>
          </cell>
          <cell r="AP29">
            <v>11146620</v>
          </cell>
          <cell r="AQ29" t="str">
            <v>Alagoas</v>
          </cell>
          <cell r="AS29" t="str">
            <v>x</v>
          </cell>
          <cell r="AT29">
            <v>0</v>
          </cell>
        </row>
        <row r="30">
          <cell r="B30" t="str">
            <v>COO0116</v>
          </cell>
          <cell r="C30" t="str">
            <v>OOMG.C</v>
          </cell>
          <cell r="D30" t="str">
            <v>OOMS.C-C-2025-I-0035</v>
          </cell>
          <cell r="E30" t="str">
            <v>C-2024-G-0013</v>
          </cell>
          <cell r="F30" t="str">
            <v>C-2024-G-023</v>
          </cell>
          <cell r="G30" t="str">
            <v>Chesf</v>
          </cell>
          <cell r="H30" t="str">
            <v>Contratado</v>
          </cell>
          <cell r="I30" t="str">
            <v>Implantação do sistema de rebaixamento da UHE Xingó</v>
          </cell>
          <cell r="J30" t="str">
            <v>Sistema de rebaixamento Xingó</v>
          </cell>
          <cell r="K30" t="str">
            <v>Fornecimento e instalação de sistema de rebaixamento na usina Xingó para operação das unidades geradoras como compensador síncrono</v>
          </cell>
          <cell r="L30" t="str">
            <v>H400040109</v>
          </cell>
          <cell r="M30" t="str">
            <v>UHE Xingó</v>
          </cell>
          <cell r="N30" t="str">
            <v>Geração</v>
          </cell>
          <cell r="O30" t="str">
            <v>Modernização de pequeno porte</v>
          </cell>
          <cell r="P30" t="str">
            <v>Modernização de pequeno porte</v>
          </cell>
          <cell r="Q30" t="str">
            <v>MH.6002</v>
          </cell>
          <cell r="R30" t="str">
            <v>PLANO DE MELHORIAS DOMG 20-25</v>
          </cell>
          <cell r="S30">
            <v>378211</v>
          </cell>
          <cell r="T30">
            <v>378211</v>
          </cell>
          <cell r="U30">
            <v>378211</v>
          </cell>
          <cell r="V30">
            <v>378211</v>
          </cell>
          <cell r="W30">
            <v>378211</v>
          </cell>
          <cell r="X30">
            <v>378211</v>
          </cell>
          <cell r="Y30">
            <v>378211</v>
          </cell>
          <cell r="Z30">
            <v>378211</v>
          </cell>
          <cell r="AA30">
            <v>378211</v>
          </cell>
          <cell r="AB30">
            <v>378211</v>
          </cell>
          <cell r="AC30">
            <v>378211</v>
          </cell>
          <cell r="AD30">
            <v>378211</v>
          </cell>
          <cell r="AE30">
            <v>4538532</v>
          </cell>
          <cell r="AF30"/>
          <cell r="AG30"/>
          <cell r="AH30"/>
          <cell r="AI30"/>
          <cell r="AJ30">
            <v>4538532</v>
          </cell>
          <cell r="AK30">
            <v>0</v>
          </cell>
          <cell r="AL30">
            <v>0</v>
          </cell>
          <cell r="AM30">
            <v>0</v>
          </cell>
          <cell r="AN30">
            <v>0</v>
          </cell>
          <cell r="AO30">
            <v>0</v>
          </cell>
          <cell r="AP30">
            <v>4538532</v>
          </cell>
          <cell r="AQ30" t="str">
            <v>Alagoas</v>
          </cell>
          <cell r="AS30" t="str">
            <v>x</v>
          </cell>
          <cell r="AT30">
            <v>0</v>
          </cell>
        </row>
        <row r="31">
          <cell r="B31" t="str">
            <v>COO0117</v>
          </cell>
          <cell r="C31" t="str">
            <v>OOMG.C</v>
          </cell>
          <cell r="D31" t="str">
            <v>OOGS.S-S-2025-I-0211</v>
          </cell>
          <cell r="E31" t="str">
            <v>C-2024-G-0011</v>
          </cell>
          <cell r="F31" t="str">
            <v>C-2024-G-026</v>
          </cell>
          <cell r="G31" t="str">
            <v>Chesf</v>
          </cell>
          <cell r="H31" t="str">
            <v>Contratado</v>
          </cell>
          <cell r="I31" t="str">
            <v>Modernização do sistema de proteção, controle e supervisão (SPCS) da UHE Paulo Afonso II B</v>
          </cell>
          <cell r="J31" t="str">
            <v>UA supervisão e controle PAII-B</v>
          </cell>
          <cell r="K31" t="str">
            <v>Fornecimento e instalação de sistema de supervisão e controle de 03 unidades geradoras da usina Paulo Afonso II-B</v>
          </cell>
          <cell r="L31" t="str">
            <v>H400040106</v>
          </cell>
          <cell r="M31" t="str">
            <v>UHE Paulo Afonso II</v>
          </cell>
          <cell r="N31" t="str">
            <v>Geração</v>
          </cell>
          <cell r="O31" t="str">
            <v>Modernização de pequeno porte</v>
          </cell>
          <cell r="P31" t="str">
            <v>Modernização de pequeno porte</v>
          </cell>
          <cell r="Q31" t="str">
            <v>MH.6002</v>
          </cell>
          <cell r="R31" t="str">
            <v>PLANO DE MELHORIAS DOMG 20-25</v>
          </cell>
          <cell r="S31">
            <v>12826</v>
          </cell>
          <cell r="T31">
            <v>12826</v>
          </cell>
          <cell r="U31">
            <v>12826</v>
          </cell>
          <cell r="V31">
            <v>12826</v>
          </cell>
          <cell r="W31">
            <v>12826</v>
          </cell>
          <cell r="X31">
            <v>12826</v>
          </cell>
          <cell r="Y31">
            <v>12826</v>
          </cell>
          <cell r="Z31">
            <v>12826</v>
          </cell>
          <cell r="AA31">
            <v>12826</v>
          </cell>
          <cell r="AB31">
            <v>12826</v>
          </cell>
          <cell r="AC31">
            <v>12826</v>
          </cell>
          <cell r="AD31">
            <v>12826</v>
          </cell>
          <cell r="AE31">
            <v>153912</v>
          </cell>
          <cell r="AF31"/>
          <cell r="AG31"/>
          <cell r="AH31"/>
          <cell r="AI31"/>
          <cell r="AJ31">
            <v>153912</v>
          </cell>
          <cell r="AK31">
            <v>0</v>
          </cell>
          <cell r="AL31">
            <v>0</v>
          </cell>
          <cell r="AM31">
            <v>0</v>
          </cell>
          <cell r="AN31">
            <v>0</v>
          </cell>
          <cell r="AO31">
            <v>0</v>
          </cell>
          <cell r="AP31">
            <v>153912</v>
          </cell>
          <cell r="AQ31" t="str">
            <v>Bahia</v>
          </cell>
          <cell r="AS31" t="str">
            <v>x</v>
          </cell>
          <cell r="AT31">
            <v>0</v>
          </cell>
        </row>
        <row r="32">
          <cell r="B32" t="str">
            <v>COO0118</v>
          </cell>
          <cell r="C32" t="str">
            <v>OOMG.C</v>
          </cell>
          <cell r="D32" t="str">
            <v>OOPT.C-C-2025-I-0037</v>
          </cell>
          <cell r="E32" t="str">
            <v>C-2025-G-0026</v>
          </cell>
          <cell r="F32" t="str">
            <v>C-2025-G-089</v>
          </cell>
          <cell r="G32" t="str">
            <v>Chesf</v>
          </cell>
          <cell r="H32" t="str">
            <v>Nova Demanda</v>
          </cell>
          <cell r="I32" t="str">
            <v>Aquisição de transformadores elevadores para diversas usinas Chesf</v>
          </cell>
          <cell r="J32" t="str">
            <v>Transformadores elevadores UHE</v>
          </cell>
          <cell r="K32" t="str">
            <v>Fornecimento e instalação de transformadores elevadores das usinas Boa Esperança, Luiz Gonzaga, Paulo Afonso II e Paulo Afonso I</v>
          </cell>
          <cell r="L32" t="str">
            <v>Diversos</v>
          </cell>
          <cell r="M32" t="str">
            <v>Diversas UHE</v>
          </cell>
          <cell r="N32" t="str">
            <v>Geração</v>
          </cell>
          <cell r="O32" t="str">
            <v>Modernização de pequeno porte</v>
          </cell>
          <cell r="P32" t="str">
            <v>Modernização de pequeno porte</v>
          </cell>
          <cell r="Q32" t="str">
            <v>MH.6002</v>
          </cell>
          <cell r="R32" t="str">
            <v>PLANO DE MELHORIAS DOMG 20-25</v>
          </cell>
          <cell r="S32">
            <v>375000</v>
          </cell>
          <cell r="T32">
            <v>375000</v>
          </cell>
          <cell r="U32">
            <v>375000</v>
          </cell>
          <cell r="V32">
            <v>375000</v>
          </cell>
          <cell r="W32">
            <v>375000</v>
          </cell>
          <cell r="X32">
            <v>375000</v>
          </cell>
          <cell r="Y32">
            <v>375000</v>
          </cell>
          <cell r="Z32">
            <v>375000</v>
          </cell>
          <cell r="AA32">
            <v>375000</v>
          </cell>
          <cell r="AB32">
            <v>375000</v>
          </cell>
          <cell r="AC32">
            <v>375000</v>
          </cell>
          <cell r="AD32">
            <v>375000</v>
          </cell>
          <cell r="AE32">
            <v>4500000</v>
          </cell>
          <cell r="AF32">
            <v>45000000</v>
          </cell>
          <cell r="AG32">
            <v>45000000</v>
          </cell>
          <cell r="AH32">
            <v>45000000</v>
          </cell>
          <cell r="AI32">
            <v>45000000</v>
          </cell>
          <cell r="AJ32">
            <v>184500000</v>
          </cell>
          <cell r="AK32">
            <v>45000000</v>
          </cell>
          <cell r="AL32">
            <v>34500000</v>
          </cell>
          <cell r="AM32">
            <v>0</v>
          </cell>
          <cell r="AN32">
            <v>0</v>
          </cell>
          <cell r="AO32">
            <v>0</v>
          </cell>
          <cell r="AP32">
            <v>264000000</v>
          </cell>
          <cell r="AQ32" t="str">
            <v>Bahia</v>
          </cell>
          <cell r="AS32" t="str">
            <v>x</v>
          </cell>
          <cell r="AT32">
            <v>225000000</v>
          </cell>
        </row>
        <row r="33">
          <cell r="B33" t="str">
            <v>COO0119</v>
          </cell>
          <cell r="C33" t="str">
            <v>OOPM.C</v>
          </cell>
          <cell r="D33" t="str">
            <v>OOPM.S-S-2025-I-0084</v>
          </cell>
          <cell r="E33" t="str">
            <v>C-2025-G-0102</v>
          </cell>
          <cell r="F33" t="str">
            <v>C-2025-G-016</v>
          </cell>
          <cell r="G33" t="str">
            <v>Chesf</v>
          </cell>
          <cell r="H33" t="str">
            <v>Nova Demanda</v>
          </cell>
          <cell r="I33" t="str">
            <v>Implantação de 06 Postos Hidrométricos de Calha de Rio</v>
          </cell>
          <cell r="J33" t="str">
            <v>Implantação 6 Postos Hidrométricos Bacias S. Francisco, Parnaíba e Contas</v>
          </cell>
          <cell r="K33" t="str">
            <v>Implantação 6 Postos Hidrométricos Bacias S. Francisco, Parnaíba e Contas</v>
          </cell>
          <cell r="L33" t="str">
            <v>Diversos</v>
          </cell>
          <cell r="M33" t="str">
            <v>Diversas UHE</v>
          </cell>
          <cell r="N33" t="str">
            <v>Geração</v>
          </cell>
          <cell r="O33" t="str">
            <v>Modernização de pequeno porte</v>
          </cell>
          <cell r="P33" t="str">
            <v>Modernização de pequeno porte</v>
          </cell>
          <cell r="Q33" t="str">
            <v>Diversos</v>
          </cell>
          <cell r="R33" t="str">
            <v>Diversas</v>
          </cell>
          <cell r="S33">
            <v>16379.999999999998</v>
          </cell>
          <cell r="T33">
            <v>16379.999999999998</v>
          </cell>
          <cell r="U33">
            <v>16379.999999999998</v>
          </cell>
          <cell r="V33">
            <v>16379.999999999998</v>
          </cell>
          <cell r="W33">
            <v>8189.9999999999991</v>
          </cell>
          <cell r="X33">
            <v>8189.9999999999991</v>
          </cell>
          <cell r="Y33">
            <v>327600</v>
          </cell>
          <cell r="Z33">
            <v>327600</v>
          </cell>
          <cell r="AA33">
            <v>25725</v>
          </cell>
          <cell r="AB33">
            <v>25725</v>
          </cell>
          <cell r="AC33">
            <v>25725</v>
          </cell>
          <cell r="AD33">
            <v>25725</v>
          </cell>
          <cell r="AE33">
            <v>840000</v>
          </cell>
          <cell r="AF33">
            <v>42000</v>
          </cell>
          <cell r="AG33"/>
          <cell r="AH33"/>
          <cell r="AI33"/>
          <cell r="AJ33">
            <v>882000</v>
          </cell>
          <cell r="AK33">
            <v>0</v>
          </cell>
          <cell r="AL33">
            <v>0</v>
          </cell>
          <cell r="AM33">
            <v>0</v>
          </cell>
          <cell r="AN33">
            <v>0</v>
          </cell>
          <cell r="AO33">
            <v>0</v>
          </cell>
          <cell r="AP33">
            <v>882000</v>
          </cell>
          <cell r="AQ33" t="str">
            <v>Bahia</v>
          </cell>
          <cell r="AS33" t="str">
            <v>x</v>
          </cell>
          <cell r="AT33">
            <v>42000</v>
          </cell>
        </row>
        <row r="34">
          <cell r="B34" t="str">
            <v>COO0120</v>
          </cell>
          <cell r="C34" t="str">
            <v>OOMG.C</v>
          </cell>
          <cell r="D34" t="str">
            <v>OOGS.S-S-2025-I-0201</v>
          </cell>
          <cell r="E34" t="str">
            <v>C-2025-G-0077</v>
          </cell>
          <cell r="F34" t="str">
            <v>C-2025-G-021</v>
          </cell>
          <cell r="G34" t="str">
            <v>Chesf</v>
          </cell>
          <cell r="H34" t="str">
            <v>Nova Demanda</v>
          </cell>
          <cell r="I34" t="str">
            <v>Implantação de sistema indicador de posição das comportas do vertedouro da UHE Xingó</v>
          </cell>
          <cell r="J34" t="str">
            <v>Medidores angular comporta Xingó</v>
          </cell>
          <cell r="K34" t="str">
            <v>Implantação de 12 medidores angular das comportas do vertedouro</v>
          </cell>
          <cell r="L34" t="str">
            <v>H400040109</v>
          </cell>
          <cell r="M34" t="str">
            <v>UHE Xingó</v>
          </cell>
          <cell r="N34" t="str">
            <v>Geração</v>
          </cell>
          <cell r="O34" t="str">
            <v>Modernização de pequeno porte</v>
          </cell>
          <cell r="P34" t="str">
            <v>Modernização de pequeno porte</v>
          </cell>
          <cell r="Q34" t="str">
            <v>MH.6002</v>
          </cell>
          <cell r="R34" t="str">
            <v>PLANO DE MELHORIAS DOMG 20-25</v>
          </cell>
          <cell r="S34">
            <v>15000</v>
          </cell>
          <cell r="T34">
            <v>15000</v>
          </cell>
          <cell r="U34">
            <v>15000</v>
          </cell>
          <cell r="V34">
            <v>15000</v>
          </cell>
          <cell r="W34">
            <v>15000</v>
          </cell>
          <cell r="X34">
            <v>15000</v>
          </cell>
          <cell r="Y34">
            <v>15000</v>
          </cell>
          <cell r="Z34">
            <v>15000</v>
          </cell>
          <cell r="AA34">
            <v>15000</v>
          </cell>
          <cell r="AB34">
            <v>15000</v>
          </cell>
          <cell r="AC34">
            <v>15000</v>
          </cell>
          <cell r="AD34">
            <v>15000</v>
          </cell>
          <cell r="AE34">
            <v>180000</v>
          </cell>
          <cell r="AF34">
            <v>9000</v>
          </cell>
          <cell r="AG34"/>
          <cell r="AH34"/>
          <cell r="AI34"/>
          <cell r="AJ34">
            <v>189000</v>
          </cell>
          <cell r="AK34">
            <v>0</v>
          </cell>
          <cell r="AL34">
            <v>0</v>
          </cell>
          <cell r="AM34">
            <v>0</v>
          </cell>
          <cell r="AN34">
            <v>0</v>
          </cell>
          <cell r="AO34">
            <v>0</v>
          </cell>
          <cell r="AP34">
            <v>189000</v>
          </cell>
          <cell r="AQ34" t="str">
            <v>Alagoas</v>
          </cell>
          <cell r="AS34" t="str">
            <v>x</v>
          </cell>
          <cell r="AT34">
            <v>9000</v>
          </cell>
        </row>
        <row r="35">
          <cell r="B35" t="str">
            <v>COO0121</v>
          </cell>
          <cell r="C35" t="str">
            <v>OOMG.C</v>
          </cell>
          <cell r="D35" t="str">
            <v>OOGS.S-S-2025-I-0233</v>
          </cell>
          <cell r="E35" t="str">
            <v>C-2025-G-0084</v>
          </cell>
          <cell r="F35" t="str">
            <v>C-2025-G-017</v>
          </cell>
          <cell r="G35" t="str">
            <v>Chesf</v>
          </cell>
          <cell r="H35" t="str">
            <v>Nova Demanda</v>
          </cell>
          <cell r="I35" t="str">
            <v>Implantação de sistema indicador de posição das comporta do vertedouro da PCH Pedra</v>
          </cell>
          <cell r="J35" t="str">
            <v>Indicadores posição comporta Pedra</v>
          </cell>
          <cell r="K35" t="str">
            <v>Implantação de Indicadores e transdutores de posição para as comportas de vertedouro</v>
          </cell>
          <cell r="L35" t="str">
            <v>H400060130</v>
          </cell>
          <cell r="M35" t="str">
            <v>PCH Pedra</v>
          </cell>
          <cell r="N35" t="str">
            <v>Geração</v>
          </cell>
          <cell r="O35" t="str">
            <v>Modernização de pequeno porte</v>
          </cell>
          <cell r="P35" t="str">
            <v>Modernização de pequeno porte</v>
          </cell>
          <cell r="Q35" t="str">
            <v>MH.6002</v>
          </cell>
          <cell r="R35" t="str">
            <v>PLANO DE MELHORIAS DOMG 20-25</v>
          </cell>
          <cell r="S35">
            <v>8750</v>
          </cell>
          <cell r="T35">
            <v>8750</v>
          </cell>
          <cell r="U35">
            <v>8750</v>
          </cell>
          <cell r="V35">
            <v>8750</v>
          </cell>
          <cell r="W35">
            <v>8750</v>
          </cell>
          <cell r="X35">
            <v>8750</v>
          </cell>
          <cell r="Y35">
            <v>8750</v>
          </cell>
          <cell r="Z35">
            <v>8750</v>
          </cell>
          <cell r="AA35">
            <v>8750</v>
          </cell>
          <cell r="AB35">
            <v>8750</v>
          </cell>
          <cell r="AC35">
            <v>8750</v>
          </cell>
          <cell r="AD35">
            <v>8750</v>
          </cell>
          <cell r="AE35">
            <v>105000</v>
          </cell>
          <cell r="AF35">
            <v>5250</v>
          </cell>
          <cell r="AG35"/>
          <cell r="AH35"/>
          <cell r="AI35"/>
          <cell r="AJ35">
            <v>110250</v>
          </cell>
          <cell r="AK35">
            <v>0</v>
          </cell>
          <cell r="AL35">
            <v>0</v>
          </cell>
          <cell r="AM35">
            <v>0</v>
          </cell>
          <cell r="AN35">
            <v>0</v>
          </cell>
          <cell r="AO35">
            <v>0</v>
          </cell>
          <cell r="AP35">
            <v>110250</v>
          </cell>
          <cell r="AQ35" t="str">
            <v>Bahia</v>
          </cell>
          <cell r="AS35" t="str">
            <v>x</v>
          </cell>
          <cell r="AT35">
            <v>5250</v>
          </cell>
        </row>
        <row r="36">
          <cell r="B36" t="str">
            <v>COO0122</v>
          </cell>
          <cell r="C36" t="str">
            <v>OOMG.C</v>
          </cell>
          <cell r="D36" t="str">
            <v>OOTM.F-OS-2025-I-0558</v>
          </cell>
          <cell r="E36" t="str">
            <v>C-2025-G-0066</v>
          </cell>
          <cell r="F36" t="str">
            <v>C-2025-G-044</v>
          </cell>
          <cell r="G36" t="str">
            <v>Chesf</v>
          </cell>
          <cell r="H36" t="str">
            <v>Nova Demanda</v>
          </cell>
          <cell r="I36" t="str">
            <v>Modernização do sistema de ar comprimido da UHE Xingó</v>
          </cell>
          <cell r="J36" t="str">
            <v>Ar comprimido geral Xingó</v>
          </cell>
          <cell r="K36" t="str">
            <v>Implantação de mais 01 compressor 7 bar e modernização do painel de supervisão e controle do QA1</v>
          </cell>
          <cell r="L36" t="str">
            <v>H400040109</v>
          </cell>
          <cell r="M36" t="str">
            <v>UHE Xingó</v>
          </cell>
          <cell r="N36" t="str">
            <v>Geração</v>
          </cell>
          <cell r="O36" t="str">
            <v>Modernização de pequeno porte</v>
          </cell>
          <cell r="P36" t="str">
            <v>Modernização de pequeno porte</v>
          </cell>
          <cell r="Q36" t="str">
            <v>MH.6002</v>
          </cell>
          <cell r="R36" t="str">
            <v>PLANO DE MELHORIAS DOMG 20-25</v>
          </cell>
          <cell r="S36">
            <v>0</v>
          </cell>
          <cell r="T36">
            <v>0</v>
          </cell>
          <cell r="U36">
            <v>0</v>
          </cell>
          <cell r="V36">
            <v>0</v>
          </cell>
          <cell r="W36">
            <v>0</v>
          </cell>
          <cell r="X36">
            <v>0</v>
          </cell>
          <cell r="Y36">
            <v>0</v>
          </cell>
          <cell r="Z36">
            <v>0</v>
          </cell>
          <cell r="AA36">
            <v>0</v>
          </cell>
          <cell r="AB36">
            <v>0</v>
          </cell>
          <cell r="AC36">
            <v>0</v>
          </cell>
          <cell r="AD36">
            <v>0</v>
          </cell>
          <cell r="AE36">
            <v>0</v>
          </cell>
          <cell r="AF36">
            <v>300000</v>
          </cell>
          <cell r="AG36"/>
          <cell r="AH36"/>
          <cell r="AI36"/>
          <cell r="AJ36">
            <v>300000</v>
          </cell>
          <cell r="AK36">
            <v>0</v>
          </cell>
          <cell r="AL36">
            <v>0</v>
          </cell>
          <cell r="AM36">
            <v>0</v>
          </cell>
          <cell r="AN36">
            <v>0</v>
          </cell>
          <cell r="AO36">
            <v>0</v>
          </cell>
          <cell r="AP36">
            <v>300000</v>
          </cell>
          <cell r="AQ36" t="str">
            <v>Alagoas</v>
          </cell>
          <cell r="AS36" t="str">
            <v>x</v>
          </cell>
          <cell r="AT36">
            <v>300000</v>
          </cell>
        </row>
        <row r="37">
          <cell r="B37" t="str">
            <v>COO0124</v>
          </cell>
          <cell r="C37" t="str">
            <v>OOMG.C</v>
          </cell>
          <cell r="D37" t="str">
            <v>OOMB.C-C-2025-I-0003</v>
          </cell>
          <cell r="E37" t="str">
            <v>C-2024-G-0012</v>
          </cell>
          <cell r="F37" t="str">
            <v>C-2024-G-012</v>
          </cell>
          <cell r="G37" t="str">
            <v>Chesf</v>
          </cell>
          <cell r="H37" t="str">
            <v>Contratado</v>
          </cell>
          <cell r="I37" t="str">
            <v>Substituição do sistema de vedação do distribuidor da UHE Xingó</v>
          </cell>
          <cell r="J37" t="str">
            <v>Vedações aletas Xingó</v>
          </cell>
          <cell r="K37" t="str">
            <v>Implantação de melhorias no sistema de vedação das aletas móveis do distribuidor de todas as turbinas da usina Xingó</v>
          </cell>
          <cell r="L37" t="str">
            <v>H400040109</v>
          </cell>
          <cell r="M37" t="str">
            <v>UHE Xingó</v>
          </cell>
          <cell r="N37" t="str">
            <v>Geração</v>
          </cell>
          <cell r="O37" t="str">
            <v>Modernização de pequeno porte</v>
          </cell>
          <cell r="P37" t="str">
            <v>Modernização de pequeno porte</v>
          </cell>
          <cell r="Q37" t="str">
            <v>MH.6002</v>
          </cell>
          <cell r="R37" t="str">
            <v>PLANO DE MELHORIAS DOMG 20-25</v>
          </cell>
          <cell r="S37">
            <v>1023188</v>
          </cell>
          <cell r="T37">
            <v>1023188</v>
          </cell>
          <cell r="U37">
            <v>1023188</v>
          </cell>
          <cell r="V37">
            <v>1023188</v>
          </cell>
          <cell r="W37">
            <v>1023188</v>
          </cell>
          <cell r="X37">
            <v>1023188</v>
          </cell>
          <cell r="Y37">
            <v>1023188</v>
          </cell>
          <cell r="Z37">
            <v>1023188</v>
          </cell>
          <cell r="AA37">
            <v>1023188</v>
          </cell>
          <cell r="AB37">
            <v>1023188</v>
          </cell>
          <cell r="AC37">
            <v>1023188</v>
          </cell>
          <cell r="AD37">
            <v>1023188</v>
          </cell>
          <cell r="AE37">
            <v>12278256</v>
          </cell>
          <cell r="AF37"/>
          <cell r="AG37"/>
          <cell r="AH37"/>
          <cell r="AI37"/>
          <cell r="AJ37">
            <v>12278256</v>
          </cell>
          <cell r="AK37">
            <v>0</v>
          </cell>
          <cell r="AL37">
            <v>0</v>
          </cell>
          <cell r="AM37">
            <v>0</v>
          </cell>
          <cell r="AN37">
            <v>0</v>
          </cell>
          <cell r="AO37">
            <v>0</v>
          </cell>
          <cell r="AP37">
            <v>12278256</v>
          </cell>
          <cell r="AQ37" t="str">
            <v>Alagoas</v>
          </cell>
          <cell r="AS37" t="str">
            <v>x</v>
          </cell>
          <cell r="AT37">
            <v>0</v>
          </cell>
        </row>
        <row r="38">
          <cell r="B38" t="str">
            <v>COO0125</v>
          </cell>
          <cell r="C38" t="str">
            <v>OOMG.C</v>
          </cell>
          <cell r="D38" t="str">
            <v>OOGR.S-S-2025-I-0079</v>
          </cell>
          <cell r="E38" t="str">
            <v>C-2025-G-0029</v>
          </cell>
          <cell r="F38" t="str">
            <v>C-2025-G-020</v>
          </cell>
          <cell r="G38" t="str">
            <v>Chesf</v>
          </cell>
          <cell r="H38" t="str">
            <v>Nova Demanda</v>
          </cell>
          <cell r="I38" t="str">
            <v>Implantação de sistemas de limpa-grade na tomada d'água das UHE Paulo Afonso I, II, III</v>
          </cell>
          <cell r="J38" t="str">
            <v>Limpa-grades Paulo Afonso I, II, III</v>
          </cell>
          <cell r="K38" t="str">
            <v xml:space="preserve">Implantação de novos sistemas de limpa-grades na tomada d'água das usinas Paulo Afonso I, II, III </v>
          </cell>
          <cell r="L38" t="str">
            <v>Diversos</v>
          </cell>
          <cell r="M38" t="str">
            <v>Complexo Paulo Afonso</v>
          </cell>
          <cell r="N38" t="str">
            <v>Geração</v>
          </cell>
          <cell r="O38" t="str">
            <v>Modernização de pequeno porte</v>
          </cell>
          <cell r="P38" t="str">
            <v>Modernização de pequeno porte</v>
          </cell>
          <cell r="Q38" t="str">
            <v>MH.6002</v>
          </cell>
          <cell r="R38" t="str">
            <v>PLANO DE MELHORIAS DOMG 20-25</v>
          </cell>
          <cell r="S38">
            <v>83333</v>
          </cell>
          <cell r="T38">
            <v>83333</v>
          </cell>
          <cell r="U38">
            <v>83333</v>
          </cell>
          <cell r="V38">
            <v>83333</v>
          </cell>
          <cell r="W38">
            <v>83333</v>
          </cell>
          <cell r="X38">
            <v>83333</v>
          </cell>
          <cell r="Y38">
            <v>83333</v>
          </cell>
          <cell r="Z38">
            <v>83333</v>
          </cell>
          <cell r="AA38">
            <v>83333</v>
          </cell>
          <cell r="AB38">
            <v>83333</v>
          </cell>
          <cell r="AC38">
            <v>83333</v>
          </cell>
          <cell r="AD38">
            <v>83333</v>
          </cell>
          <cell r="AE38">
            <v>999996</v>
          </cell>
          <cell r="AF38">
            <v>10340000</v>
          </cell>
          <cell r="AG38">
            <v>11340000</v>
          </cell>
          <cell r="AH38">
            <v>2520000</v>
          </cell>
          <cell r="AI38"/>
          <cell r="AJ38">
            <v>25199996</v>
          </cell>
          <cell r="AK38">
            <v>0</v>
          </cell>
          <cell r="AL38">
            <v>0</v>
          </cell>
          <cell r="AM38">
            <v>0</v>
          </cell>
          <cell r="AN38">
            <v>0</v>
          </cell>
          <cell r="AO38">
            <v>0</v>
          </cell>
          <cell r="AP38">
            <v>25199996</v>
          </cell>
          <cell r="AQ38" t="str">
            <v>Bahia</v>
          </cell>
          <cell r="AS38" t="str">
            <v>x</v>
          </cell>
          <cell r="AT38">
            <v>24200000</v>
          </cell>
        </row>
        <row r="39">
          <cell r="B39" t="str">
            <v>COO0126</v>
          </cell>
          <cell r="C39" t="str">
            <v>OOMG.C</v>
          </cell>
          <cell r="D39" t="str">
            <v>OOGN.S-S-2025-I-0128</v>
          </cell>
          <cell r="E39" t="str">
            <v>C-2024-G-0025</v>
          </cell>
          <cell r="F39" t="str">
            <v>C-2024-G-024</v>
          </cell>
          <cell r="G39" t="str">
            <v>Chesf</v>
          </cell>
          <cell r="H39" t="str">
            <v>Nova Demanda</v>
          </cell>
          <cell r="I39" t="str">
            <v>Implantação de operação teleassistida da UHE Boa Esperança</v>
          </cell>
          <cell r="J39" t="str">
            <v>Implantação de operação teleassistida da usina Boa Esperança</v>
          </cell>
          <cell r="K39" t="str">
            <v>Implantação de operação teleassistida da usina Boa Esperança</v>
          </cell>
          <cell r="L39" t="str">
            <v>H400070047</v>
          </cell>
          <cell r="M39" t="str">
            <v>UHE Boa Esperança</v>
          </cell>
          <cell r="N39" t="str">
            <v>Geração</v>
          </cell>
          <cell r="O39" t="str">
            <v>Modernização de pequeno porte</v>
          </cell>
          <cell r="P39" t="str">
            <v>Modernização de pequeno porte</v>
          </cell>
          <cell r="Q39" t="str">
            <v>MH.6002</v>
          </cell>
          <cell r="R39" t="str">
            <v>PLANO DE MELHORIAS DOMG 20-25</v>
          </cell>
          <cell r="S39">
            <v>37500</v>
          </cell>
          <cell r="T39">
            <v>37500</v>
          </cell>
          <cell r="U39">
            <v>37500</v>
          </cell>
          <cell r="V39">
            <v>37500</v>
          </cell>
          <cell r="W39">
            <v>37500</v>
          </cell>
          <cell r="X39">
            <v>37500</v>
          </cell>
          <cell r="Y39">
            <v>37500</v>
          </cell>
          <cell r="Z39">
            <v>37500</v>
          </cell>
          <cell r="AA39">
            <v>37500</v>
          </cell>
          <cell r="AB39">
            <v>37500</v>
          </cell>
          <cell r="AC39">
            <v>37500</v>
          </cell>
          <cell r="AD39">
            <v>37500</v>
          </cell>
          <cell r="AE39">
            <v>450000</v>
          </cell>
          <cell r="AF39">
            <v>2550000</v>
          </cell>
          <cell r="AG39"/>
          <cell r="AH39"/>
          <cell r="AI39"/>
          <cell r="AJ39">
            <v>3000000</v>
          </cell>
          <cell r="AK39">
            <v>0</v>
          </cell>
          <cell r="AL39">
            <v>0</v>
          </cell>
          <cell r="AM39">
            <v>0</v>
          </cell>
          <cell r="AN39">
            <v>0</v>
          </cell>
          <cell r="AO39">
            <v>0</v>
          </cell>
          <cell r="AP39">
            <v>3000000</v>
          </cell>
          <cell r="AQ39" t="str">
            <v>Piauí</v>
          </cell>
          <cell r="AS39" t="str">
            <v>x</v>
          </cell>
          <cell r="AT39">
            <v>2550000</v>
          </cell>
        </row>
        <row r="40">
          <cell r="B40" t="str">
            <v>COO0128</v>
          </cell>
          <cell r="C40" t="str">
            <v>OOMG.C</v>
          </cell>
          <cell r="D40" t="str">
            <v>OOGS.S-S-2025-I-0281</v>
          </cell>
          <cell r="E40" t="str">
            <v>C-2025-G-0097</v>
          </cell>
          <cell r="F40" t="str">
            <v>C-2025-G-047</v>
          </cell>
          <cell r="G40" t="str">
            <v>Chesf</v>
          </cell>
          <cell r="H40" t="str">
            <v>Nova Demanda</v>
          </cell>
          <cell r="I40" t="str">
            <v>Modernização do sistema de controle do sistema de drenagem da UHE Luiz Gonzaga</v>
          </cell>
          <cell r="J40" t="str">
            <v>Automação motobombas drenagem Luiz Gonzaga</v>
          </cell>
          <cell r="K40" t="str">
            <v>Implantação de sistema de automação das motobombas do poço de esgotamento</v>
          </cell>
          <cell r="L40" t="str">
            <v>H400040104</v>
          </cell>
          <cell r="M40" t="str">
            <v>UHE Luiz Gonzaga</v>
          </cell>
          <cell r="N40" t="str">
            <v>Geração</v>
          </cell>
          <cell r="O40" t="str">
            <v>Modernização de pequeno porte</v>
          </cell>
          <cell r="P40" t="str">
            <v>Modernização de pequeno porte</v>
          </cell>
          <cell r="Q40" t="str">
            <v>MH.6002</v>
          </cell>
          <cell r="R40" t="str">
            <v>PLANO DE MELHORIAS DOMG 20-25</v>
          </cell>
          <cell r="S40">
            <v>5000</v>
          </cell>
          <cell r="T40">
            <v>5000</v>
          </cell>
          <cell r="U40">
            <v>5000</v>
          </cell>
          <cell r="V40">
            <v>5000</v>
          </cell>
          <cell r="W40">
            <v>5000</v>
          </cell>
          <cell r="X40">
            <v>5000</v>
          </cell>
          <cell r="Y40">
            <v>5000</v>
          </cell>
          <cell r="Z40">
            <v>5000</v>
          </cell>
          <cell r="AA40">
            <v>5000</v>
          </cell>
          <cell r="AB40">
            <v>5000</v>
          </cell>
          <cell r="AC40">
            <v>5000</v>
          </cell>
          <cell r="AD40">
            <v>5000</v>
          </cell>
          <cell r="AE40">
            <v>60000</v>
          </cell>
          <cell r="AF40"/>
          <cell r="AG40"/>
          <cell r="AH40"/>
          <cell r="AI40"/>
          <cell r="AJ40">
            <v>60000</v>
          </cell>
          <cell r="AK40">
            <v>0</v>
          </cell>
          <cell r="AL40">
            <v>0</v>
          </cell>
          <cell r="AM40">
            <v>0</v>
          </cell>
          <cell r="AN40">
            <v>0</v>
          </cell>
          <cell r="AO40">
            <v>0</v>
          </cell>
          <cell r="AP40">
            <v>60000</v>
          </cell>
          <cell r="AQ40" t="str">
            <v>Pernambuco</v>
          </cell>
          <cell r="AS40" t="str">
            <v>x</v>
          </cell>
          <cell r="AT40">
            <v>0</v>
          </cell>
        </row>
        <row r="41">
          <cell r="B41" t="str">
            <v>COO0129</v>
          </cell>
          <cell r="C41" t="str">
            <v>OOMG.C</v>
          </cell>
          <cell r="D41" t="str">
            <v>OOMI.S-S-2025-I-0086</v>
          </cell>
          <cell r="E41" t="str">
            <v>C-2025-G-0041</v>
          </cell>
          <cell r="F41" t="str">
            <v>C-2025-G-077</v>
          </cell>
          <cell r="G41" t="str">
            <v>Chesf</v>
          </cell>
          <cell r="H41" t="str">
            <v>Nova Demanda</v>
          </cell>
          <cell r="I41" t="str">
            <v>Modernização do sistema de detecção de inundação de diversas usinas da Chesf</v>
          </cell>
          <cell r="J41" t="str">
            <v>Sistema de detecção de inundação</v>
          </cell>
          <cell r="K41" t="str">
            <v>Implantação de sistema de detecção de umidade no air housing (gerador)</v>
          </cell>
          <cell r="L41" t="str">
            <v>Diversos</v>
          </cell>
          <cell r="M41" t="str">
            <v>Diversas UHE</v>
          </cell>
          <cell r="N41" t="str">
            <v>Geração</v>
          </cell>
          <cell r="O41" t="str">
            <v>Modernização de pequeno porte</v>
          </cell>
          <cell r="P41" t="str">
            <v>Modernização de pequeno porte</v>
          </cell>
          <cell r="Q41" t="str">
            <v>MH.6002</v>
          </cell>
          <cell r="R41" t="str">
            <v>PLANO DE MELHORIAS DOMG 20-25</v>
          </cell>
          <cell r="S41">
            <v>66667</v>
          </cell>
          <cell r="T41">
            <v>66667</v>
          </cell>
          <cell r="U41">
            <v>66667</v>
          </cell>
          <cell r="V41">
            <v>66667</v>
          </cell>
          <cell r="W41">
            <v>66667</v>
          </cell>
          <cell r="X41">
            <v>66667</v>
          </cell>
          <cell r="Y41">
            <v>66667</v>
          </cell>
          <cell r="Z41">
            <v>66667</v>
          </cell>
          <cell r="AA41">
            <v>66667</v>
          </cell>
          <cell r="AB41">
            <v>66667</v>
          </cell>
          <cell r="AC41">
            <v>66667</v>
          </cell>
          <cell r="AD41">
            <v>66667</v>
          </cell>
          <cell r="AE41">
            <v>800004</v>
          </cell>
          <cell r="AF41">
            <v>1000000</v>
          </cell>
          <cell r="AG41">
            <v>1000000</v>
          </cell>
          <cell r="AH41"/>
          <cell r="AI41"/>
          <cell r="AJ41">
            <v>2800004</v>
          </cell>
          <cell r="AK41">
            <v>0</v>
          </cell>
          <cell r="AL41">
            <v>0</v>
          </cell>
          <cell r="AM41">
            <v>0</v>
          </cell>
          <cell r="AN41">
            <v>0</v>
          </cell>
          <cell r="AO41">
            <v>0</v>
          </cell>
          <cell r="AP41">
            <v>2800004</v>
          </cell>
          <cell r="AQ41"/>
          <cell r="AS41" t="str">
            <v>x</v>
          </cell>
          <cell r="AT41">
            <v>2000000</v>
          </cell>
        </row>
        <row r="42">
          <cell r="B42" t="str">
            <v>COO0130</v>
          </cell>
          <cell r="C42" t="str">
            <v>OOMG.C</v>
          </cell>
          <cell r="D42" t="str">
            <v>OOPM.S-S-2025-I-0060</v>
          </cell>
          <cell r="E42" t="str">
            <v>C-2025-G-0032</v>
          </cell>
          <cell r="F42" t="str">
            <v>C-2025-G-078</v>
          </cell>
          <cell r="G42" t="str">
            <v>Chesf</v>
          </cell>
          <cell r="H42" t="str">
            <v>Nova Demanda</v>
          </cell>
          <cell r="I42" t="str">
            <v>Implantação de sistema de detecção de umidade no air housing (gerador) de diversas usinas da Chesf</v>
          </cell>
          <cell r="J42" t="str">
            <v>Sistema de detecção de umidade gerador</v>
          </cell>
          <cell r="K42" t="str">
            <v xml:space="preserve">Implantação de sistema de detecção de umidade no air housing (gerador) de diversas usinas </v>
          </cell>
          <cell r="L42" t="str">
            <v>Diversos</v>
          </cell>
          <cell r="M42" t="str">
            <v>Diversas UHE</v>
          </cell>
          <cell r="N42" t="str">
            <v>Geração</v>
          </cell>
          <cell r="O42" t="str">
            <v>Modernização de pequeno porte</v>
          </cell>
          <cell r="P42" t="str">
            <v>Modernização de pequeno porte</v>
          </cell>
          <cell r="Q42" t="str">
            <v>MH.6002</v>
          </cell>
          <cell r="R42" t="str">
            <v>PLANO DE MELHORIAS DOMG 20-25</v>
          </cell>
          <cell r="S42">
            <v>91667</v>
          </cell>
          <cell r="T42">
            <v>91667</v>
          </cell>
          <cell r="U42">
            <v>91667</v>
          </cell>
          <cell r="V42">
            <v>91667</v>
          </cell>
          <cell r="W42">
            <v>91667</v>
          </cell>
          <cell r="X42">
            <v>91667</v>
          </cell>
          <cell r="Y42">
            <v>91667</v>
          </cell>
          <cell r="Z42">
            <v>91667</v>
          </cell>
          <cell r="AA42">
            <v>91667</v>
          </cell>
          <cell r="AB42">
            <v>91667</v>
          </cell>
          <cell r="AC42">
            <v>91667</v>
          </cell>
          <cell r="AD42">
            <v>91667</v>
          </cell>
          <cell r="AE42">
            <v>1100004</v>
          </cell>
          <cell r="AF42">
            <v>2677500</v>
          </cell>
          <cell r="AG42">
            <v>1572500</v>
          </cell>
          <cell r="AH42"/>
          <cell r="AI42"/>
          <cell r="AJ42">
            <v>5350004</v>
          </cell>
          <cell r="AK42">
            <v>0</v>
          </cell>
          <cell r="AL42">
            <v>0</v>
          </cell>
          <cell r="AM42">
            <v>0</v>
          </cell>
          <cell r="AN42">
            <v>0</v>
          </cell>
          <cell r="AO42">
            <v>0</v>
          </cell>
          <cell r="AP42">
            <v>5350004</v>
          </cell>
          <cell r="AQ42"/>
          <cell r="AS42" t="str">
            <v>x</v>
          </cell>
          <cell r="AT42">
            <v>4250000</v>
          </cell>
        </row>
        <row r="43">
          <cell r="B43" t="str">
            <v>COO0131</v>
          </cell>
          <cell r="C43" t="str">
            <v>OOMG.C</v>
          </cell>
          <cell r="D43" t="str">
            <v>OOGS.S-S-2025-I-0254</v>
          </cell>
          <cell r="E43" t="str">
            <v>C-2025-G-0086</v>
          </cell>
          <cell r="F43" t="str">
            <v>C-2025-G-011</v>
          </cell>
          <cell r="G43" t="str">
            <v>Chesf</v>
          </cell>
          <cell r="H43" t="str">
            <v>Nova Demanda</v>
          </cell>
          <cell r="I43" t="str">
            <v>Implantação do sistema de fechamento de emergência das comportas da UHE Paulo Afonso I</v>
          </cell>
          <cell r="J43" t="str">
            <v>Fechamento emergência comporta PA-I</v>
          </cell>
          <cell r="K43" t="str">
            <v>Implantação de sistema de fechamento de emergência das comportas</v>
          </cell>
          <cell r="L43" t="str">
            <v>H400040105</v>
          </cell>
          <cell r="M43" t="str">
            <v>UHE Paulo Afonso I</v>
          </cell>
          <cell r="N43" t="str">
            <v>Geração</v>
          </cell>
          <cell r="O43" t="str">
            <v>Modernização de pequeno porte</v>
          </cell>
          <cell r="P43" t="str">
            <v>Modernização de pequeno porte</v>
          </cell>
          <cell r="Q43" t="str">
            <v>MH.6002</v>
          </cell>
          <cell r="R43" t="str">
            <v>PLANO DE MELHORIAS DOMG 20-25</v>
          </cell>
          <cell r="S43">
            <v>8333</v>
          </cell>
          <cell r="T43">
            <v>8333</v>
          </cell>
          <cell r="U43">
            <v>8333</v>
          </cell>
          <cell r="V43">
            <v>8333</v>
          </cell>
          <cell r="W43">
            <v>8333</v>
          </cell>
          <cell r="X43">
            <v>8333</v>
          </cell>
          <cell r="Y43">
            <v>8333</v>
          </cell>
          <cell r="Z43">
            <v>8333</v>
          </cell>
          <cell r="AA43">
            <v>8333</v>
          </cell>
          <cell r="AB43">
            <v>8333</v>
          </cell>
          <cell r="AC43">
            <v>8333</v>
          </cell>
          <cell r="AD43">
            <v>8333</v>
          </cell>
          <cell r="AE43">
            <v>99996</v>
          </cell>
          <cell r="AF43"/>
          <cell r="AG43"/>
          <cell r="AH43"/>
          <cell r="AI43"/>
          <cell r="AJ43">
            <v>99996</v>
          </cell>
          <cell r="AK43">
            <v>0</v>
          </cell>
          <cell r="AL43">
            <v>0</v>
          </cell>
          <cell r="AM43">
            <v>0</v>
          </cell>
          <cell r="AN43">
            <v>0</v>
          </cell>
          <cell r="AO43">
            <v>0</v>
          </cell>
          <cell r="AP43">
            <v>99996</v>
          </cell>
          <cell r="AQ43" t="str">
            <v>Bahia</v>
          </cell>
          <cell r="AS43" t="str">
            <v>x</v>
          </cell>
          <cell r="AT43">
            <v>0</v>
          </cell>
        </row>
        <row r="44">
          <cell r="B44" t="str">
            <v>COO0132</v>
          </cell>
          <cell r="C44" t="str">
            <v>OOMG.C</v>
          </cell>
          <cell r="D44" t="str">
            <v>OOGR.S-S-2025-I-0087</v>
          </cell>
          <cell r="E44" t="str">
            <v>C-2025-G-0051</v>
          </cell>
          <cell r="F44" t="str">
            <v>C-2025-G-081</v>
          </cell>
          <cell r="G44" t="str">
            <v>Chesf</v>
          </cell>
          <cell r="H44" t="str">
            <v>Nova Demanda</v>
          </cell>
          <cell r="I44" t="str">
            <v>Implantação de sistema de injeção química na UHE Boa Esperança</v>
          </cell>
          <cell r="J44" t="str">
            <v>Sistema de injeção química Boa Esperança</v>
          </cell>
          <cell r="K44" t="str">
            <v>Implantação de sistema de injeção química para sistema de resfriamento</v>
          </cell>
          <cell r="L44" t="str">
            <v>H400070047</v>
          </cell>
          <cell r="M44" t="str">
            <v>UHE Boa Esperança</v>
          </cell>
          <cell r="N44" t="str">
            <v>Geração</v>
          </cell>
          <cell r="O44" t="str">
            <v>Modernização de pequeno porte</v>
          </cell>
          <cell r="P44" t="str">
            <v>Modernização de pequeno porte</v>
          </cell>
          <cell r="Q44" t="str">
            <v>MH.6002</v>
          </cell>
          <cell r="R44" t="str">
            <v>PLANO DE MELHORIAS DOMG 20-25</v>
          </cell>
          <cell r="S44">
            <v>66667</v>
          </cell>
          <cell r="T44">
            <v>66667</v>
          </cell>
          <cell r="U44">
            <v>66667</v>
          </cell>
          <cell r="V44">
            <v>66667</v>
          </cell>
          <cell r="W44">
            <v>66667</v>
          </cell>
          <cell r="X44">
            <v>66667</v>
          </cell>
          <cell r="Y44">
            <v>66667</v>
          </cell>
          <cell r="Z44">
            <v>66667</v>
          </cell>
          <cell r="AA44">
            <v>66667</v>
          </cell>
          <cell r="AB44">
            <v>66667</v>
          </cell>
          <cell r="AC44">
            <v>66667</v>
          </cell>
          <cell r="AD44">
            <v>66667</v>
          </cell>
          <cell r="AE44">
            <v>800004</v>
          </cell>
          <cell r="AF44">
            <v>40000.200000000004</v>
          </cell>
          <cell r="AG44"/>
          <cell r="AH44"/>
          <cell r="AI44"/>
          <cell r="AJ44">
            <v>840004.2</v>
          </cell>
          <cell r="AK44">
            <v>0</v>
          </cell>
          <cell r="AL44">
            <v>0</v>
          </cell>
          <cell r="AM44">
            <v>0</v>
          </cell>
          <cell r="AN44">
            <v>0</v>
          </cell>
          <cell r="AO44">
            <v>0</v>
          </cell>
          <cell r="AP44">
            <v>840004.2</v>
          </cell>
          <cell r="AQ44" t="str">
            <v>Piauí</v>
          </cell>
          <cell r="AS44" t="str">
            <v>x</v>
          </cell>
          <cell r="AT44">
            <v>40000.200000000004</v>
          </cell>
        </row>
        <row r="45">
          <cell r="B45" t="str">
            <v>COO0133</v>
          </cell>
          <cell r="C45" t="str">
            <v>OOMG.C</v>
          </cell>
          <cell r="D45" t="str">
            <v>OOGS.S-S-2025-I-0248</v>
          </cell>
          <cell r="E45" t="str">
            <v>C-2025-G-0035</v>
          </cell>
          <cell r="F45" t="str">
            <v>C-2025-G-082</v>
          </cell>
          <cell r="G45" t="str">
            <v>Chesf</v>
          </cell>
          <cell r="H45" t="str">
            <v>Nova Demanda</v>
          </cell>
          <cell r="I45" t="str">
            <v>Implantação de sistema de separação água/óleo dos poços de drenagem da UHE.</v>
          </cell>
          <cell r="J45" t="str">
            <v>Sistema de tratamento de água da drenagem</v>
          </cell>
          <cell r="K45" t="str">
            <v>Implantação de sistema de tratamento de água dos poços de drenagem da casa de força (separação do óleo e da água)</v>
          </cell>
          <cell r="L45" t="str">
            <v>Diversos</v>
          </cell>
          <cell r="M45" t="str">
            <v>Diversas UHE</v>
          </cell>
          <cell r="N45" t="str">
            <v>Geração</v>
          </cell>
          <cell r="O45" t="str">
            <v>Modernização de pequeno porte</v>
          </cell>
          <cell r="P45" t="str">
            <v>Modernização de pequeno porte</v>
          </cell>
          <cell r="Q45" t="str">
            <v>MH.6002</v>
          </cell>
          <cell r="R45" t="str">
            <v>PLANO DE MELHORIAS DOMG 20-25</v>
          </cell>
          <cell r="S45">
            <v>8333</v>
          </cell>
          <cell r="T45">
            <v>8333</v>
          </cell>
          <cell r="U45">
            <v>8333</v>
          </cell>
          <cell r="V45">
            <v>8333</v>
          </cell>
          <cell r="W45">
            <v>8333</v>
          </cell>
          <cell r="X45">
            <v>8333</v>
          </cell>
          <cell r="Y45">
            <v>8333</v>
          </cell>
          <cell r="Z45">
            <v>8333</v>
          </cell>
          <cell r="AA45">
            <v>8333</v>
          </cell>
          <cell r="AB45">
            <v>8333</v>
          </cell>
          <cell r="AC45">
            <v>8333</v>
          </cell>
          <cell r="AD45">
            <v>8333</v>
          </cell>
          <cell r="AE45">
            <v>99996</v>
          </cell>
          <cell r="AF45">
            <v>1100000</v>
          </cell>
          <cell r="AG45">
            <v>1600000</v>
          </cell>
          <cell r="AH45">
            <v>1200000</v>
          </cell>
          <cell r="AI45"/>
          <cell r="AJ45">
            <v>3999996</v>
          </cell>
          <cell r="AK45">
            <v>0</v>
          </cell>
          <cell r="AL45">
            <v>0</v>
          </cell>
          <cell r="AM45">
            <v>0</v>
          </cell>
          <cell r="AN45">
            <v>0</v>
          </cell>
          <cell r="AO45">
            <v>0</v>
          </cell>
          <cell r="AP45">
            <v>3999996</v>
          </cell>
          <cell r="AQ45"/>
          <cell r="AS45" t="str">
            <v>x</v>
          </cell>
          <cell r="AT45">
            <v>3900000</v>
          </cell>
        </row>
        <row r="46">
          <cell r="B46" t="str">
            <v>COO0135</v>
          </cell>
          <cell r="C46" t="str">
            <v>OOMG.C</v>
          </cell>
          <cell r="D46" t="str">
            <v>OOGS.S-S-2025-I-0264</v>
          </cell>
          <cell r="E46" t="str">
            <v>C-2025-G-0090</v>
          </cell>
          <cell r="F46" t="str">
            <v>C-2025-G-050</v>
          </cell>
          <cell r="G46" t="str">
            <v>Chesf</v>
          </cell>
          <cell r="H46" t="str">
            <v>Nova Demanda</v>
          </cell>
          <cell r="I46" t="str">
            <v>Substituição dos inversores de frequência do pórtico da barragem móvel da UHE Apolônio Sales</v>
          </cell>
          <cell r="J46" t="str">
            <v>Inversores Barragem móvel Apolônio Sales</v>
          </cell>
          <cell r="K46" t="str">
            <v>Inversores de Frequência para o Pórtico da Barragem Móvel</v>
          </cell>
          <cell r="L46" t="str">
            <v>H400040103</v>
          </cell>
          <cell r="M46" t="str">
            <v>UHE Apolônio Sales</v>
          </cell>
          <cell r="N46" t="str">
            <v>Geração</v>
          </cell>
          <cell r="O46" t="str">
            <v>Modernização de pequeno porte</v>
          </cell>
          <cell r="P46" t="str">
            <v>Modernização de pequeno porte</v>
          </cell>
          <cell r="Q46" t="str">
            <v>MH.6002</v>
          </cell>
          <cell r="R46" t="str">
            <v>PLANO DE MELHORIAS DOMG 20-25</v>
          </cell>
          <cell r="S46">
            <v>7857</v>
          </cell>
          <cell r="T46">
            <v>7857</v>
          </cell>
          <cell r="U46">
            <v>7857</v>
          </cell>
          <cell r="V46">
            <v>7857</v>
          </cell>
          <cell r="W46">
            <v>7857</v>
          </cell>
          <cell r="X46">
            <v>7857</v>
          </cell>
          <cell r="Y46">
            <v>7857</v>
          </cell>
          <cell r="Z46">
            <v>7857</v>
          </cell>
          <cell r="AA46">
            <v>7857</v>
          </cell>
          <cell r="AB46">
            <v>7857</v>
          </cell>
          <cell r="AC46">
            <v>7857</v>
          </cell>
          <cell r="AD46">
            <v>7857</v>
          </cell>
          <cell r="AE46">
            <v>94284</v>
          </cell>
          <cell r="AF46"/>
          <cell r="AG46"/>
          <cell r="AH46"/>
          <cell r="AI46"/>
          <cell r="AJ46">
            <v>94284</v>
          </cell>
          <cell r="AK46">
            <v>0</v>
          </cell>
          <cell r="AL46">
            <v>0</v>
          </cell>
          <cell r="AM46">
            <v>0</v>
          </cell>
          <cell r="AN46">
            <v>0</v>
          </cell>
          <cell r="AO46">
            <v>0</v>
          </cell>
          <cell r="AP46">
            <v>94284</v>
          </cell>
          <cell r="AQ46" t="str">
            <v>Alagoas</v>
          </cell>
          <cell r="AS46" t="str">
            <v>x</v>
          </cell>
          <cell r="AT46">
            <v>0</v>
          </cell>
        </row>
        <row r="47">
          <cell r="B47" t="str">
            <v>COO0138</v>
          </cell>
          <cell r="C47" t="str">
            <v>OOMG.C</v>
          </cell>
          <cell r="D47" t="str">
            <v>OOGS.S-S-2025-I-0252</v>
          </cell>
          <cell r="E47" t="str">
            <v>C-2025-G-0072</v>
          </cell>
          <cell r="F47" t="str">
            <v>C-2025-G-006</v>
          </cell>
          <cell r="G47" t="str">
            <v>Chesf</v>
          </cell>
          <cell r="H47" t="str">
            <v>Nova Demanda</v>
          </cell>
          <cell r="I47" t="str">
            <v>Modernização da estação de tratamento de água (ETA) da PCH Pedra</v>
          </cell>
          <cell r="J47" t="str">
            <v>Estação tratamento água Pedra</v>
          </cell>
          <cell r="K47" t="str">
            <v>Modernização da Estação de tratamento de água (ETA)</v>
          </cell>
          <cell r="L47" t="str">
            <v>H400060130</v>
          </cell>
          <cell r="M47" t="str">
            <v>PCH Pedra</v>
          </cell>
          <cell r="N47" t="str">
            <v>Geração</v>
          </cell>
          <cell r="O47" t="str">
            <v>Modernização de pequeno porte</v>
          </cell>
          <cell r="P47" t="str">
            <v>Modernização de pequeno porte</v>
          </cell>
          <cell r="Q47" t="str">
            <v>MH.6002</v>
          </cell>
          <cell r="R47" t="str">
            <v>PLANO DE MELHORIAS DOMG 20-25</v>
          </cell>
          <cell r="S47">
            <v>8333</v>
          </cell>
          <cell r="T47">
            <v>8333</v>
          </cell>
          <cell r="U47">
            <v>8333</v>
          </cell>
          <cell r="V47">
            <v>8333</v>
          </cell>
          <cell r="W47">
            <v>8333</v>
          </cell>
          <cell r="X47">
            <v>8333</v>
          </cell>
          <cell r="Y47">
            <v>8333</v>
          </cell>
          <cell r="Z47">
            <v>8333</v>
          </cell>
          <cell r="AA47">
            <v>8333</v>
          </cell>
          <cell r="AB47">
            <v>8333</v>
          </cell>
          <cell r="AC47">
            <v>8333</v>
          </cell>
          <cell r="AD47">
            <v>8333</v>
          </cell>
          <cell r="AE47">
            <v>99996</v>
          </cell>
          <cell r="AF47">
            <v>100000</v>
          </cell>
          <cell r="AG47"/>
          <cell r="AH47"/>
          <cell r="AI47"/>
          <cell r="AJ47">
            <v>199996</v>
          </cell>
          <cell r="AK47">
            <v>0</v>
          </cell>
          <cell r="AL47">
            <v>0</v>
          </cell>
          <cell r="AM47">
            <v>0</v>
          </cell>
          <cell r="AN47">
            <v>0</v>
          </cell>
          <cell r="AO47">
            <v>0</v>
          </cell>
          <cell r="AP47">
            <v>199996</v>
          </cell>
          <cell r="AQ47" t="str">
            <v>Bahia</v>
          </cell>
          <cell r="AS47" t="str">
            <v>x</v>
          </cell>
          <cell r="AT47">
            <v>100000</v>
          </cell>
        </row>
        <row r="48">
          <cell r="B48" t="str">
            <v>COO0139</v>
          </cell>
          <cell r="C48" t="str">
            <v>OOMG.C</v>
          </cell>
          <cell r="D48" t="str">
            <v>OOGS.S-S-2025-I-0212</v>
          </cell>
          <cell r="E48" t="str">
            <v>C-2025-G-0067</v>
          </cell>
          <cell r="F48" t="str">
            <v>C-2025-G-007</v>
          </cell>
          <cell r="G48" t="str">
            <v>Chesf</v>
          </cell>
          <cell r="H48" t="str">
            <v>Nova Demanda</v>
          </cell>
          <cell r="I48" t="str">
            <v>Modernização da estação de tratamento de água (ETA) da UHE Xingó</v>
          </cell>
          <cell r="J48" t="str">
            <v>Estação tratamento água Xingó</v>
          </cell>
          <cell r="K48" t="str">
            <v>Modernização da ETA</v>
          </cell>
          <cell r="L48" t="str">
            <v>H400040109</v>
          </cell>
          <cell r="M48" t="str">
            <v>UHE Xingó</v>
          </cell>
          <cell r="N48" t="str">
            <v>Geração</v>
          </cell>
          <cell r="O48" t="str">
            <v>Modernização de pequeno porte</v>
          </cell>
          <cell r="P48" t="str">
            <v>Modernização de pequeno porte</v>
          </cell>
          <cell r="Q48" t="str">
            <v>MH.6002</v>
          </cell>
          <cell r="R48" t="str">
            <v>PLANO DE MELHORIAS DOMG 20-25</v>
          </cell>
          <cell r="S48">
            <v>12500</v>
          </cell>
          <cell r="T48">
            <v>12500</v>
          </cell>
          <cell r="U48">
            <v>12500</v>
          </cell>
          <cell r="V48">
            <v>12500</v>
          </cell>
          <cell r="W48">
            <v>12500</v>
          </cell>
          <cell r="X48">
            <v>12500</v>
          </cell>
          <cell r="Y48">
            <v>12500</v>
          </cell>
          <cell r="Z48">
            <v>12500</v>
          </cell>
          <cell r="AA48">
            <v>12500</v>
          </cell>
          <cell r="AB48">
            <v>12500</v>
          </cell>
          <cell r="AC48">
            <v>12500</v>
          </cell>
          <cell r="AD48">
            <v>12500</v>
          </cell>
          <cell r="AE48">
            <v>150000</v>
          </cell>
          <cell r="AF48">
            <v>150000</v>
          </cell>
          <cell r="AG48"/>
          <cell r="AH48"/>
          <cell r="AI48"/>
          <cell r="AJ48">
            <v>300000</v>
          </cell>
          <cell r="AK48">
            <v>0</v>
          </cell>
          <cell r="AL48">
            <v>0</v>
          </cell>
          <cell r="AM48">
            <v>0</v>
          </cell>
          <cell r="AN48">
            <v>0</v>
          </cell>
          <cell r="AO48">
            <v>0</v>
          </cell>
          <cell r="AP48">
            <v>300000</v>
          </cell>
          <cell r="AQ48" t="str">
            <v>Alagoas</v>
          </cell>
          <cell r="AS48" t="str">
            <v>x</v>
          </cell>
          <cell r="AT48">
            <v>150000</v>
          </cell>
        </row>
        <row r="49">
          <cell r="B49" t="str">
            <v>COO0140</v>
          </cell>
          <cell r="C49" t="str">
            <v>OOMG.C</v>
          </cell>
          <cell r="D49" t="str">
            <v>OOMS.S-S-2025-I-0022</v>
          </cell>
          <cell r="E49" t="str">
            <v>C-2024-G-0014</v>
          </cell>
          <cell r="F49" t="str">
            <v>C-2024-G-005</v>
          </cell>
          <cell r="G49" t="str">
            <v>Chesf</v>
          </cell>
          <cell r="H49" t="str">
            <v>Nova Demanda</v>
          </cell>
          <cell r="I49" t="str">
            <v>Modernização do sistema de iluminação das UHE Paulo Afonso I, II, III e UHE Apolônio Sales</v>
          </cell>
          <cell r="J49" t="str">
            <v>Iluminação vias Paulo Afonso I, II. III e Apolônio Sales</v>
          </cell>
          <cell r="K49" t="str">
            <v>Modernização da iluminação das vias das usinas Paulo Afonso I, II, III e Apolônio Sales</v>
          </cell>
          <cell r="L49" t="str">
            <v>Diversos</v>
          </cell>
          <cell r="M49" t="str">
            <v>Complexo Paulo Afonso</v>
          </cell>
          <cell r="N49" t="str">
            <v>Geração</v>
          </cell>
          <cell r="O49" t="str">
            <v>Modernização de pequeno porte</v>
          </cell>
          <cell r="P49" t="str">
            <v>Modernização de pequeno porte</v>
          </cell>
          <cell r="Q49" t="str">
            <v>MH.6002</v>
          </cell>
          <cell r="R49" t="str">
            <v>PLANO DE MELHORIAS DOMG 20-25</v>
          </cell>
          <cell r="S49">
            <v>185500</v>
          </cell>
          <cell r="T49">
            <v>185500</v>
          </cell>
          <cell r="U49">
            <v>185500</v>
          </cell>
          <cell r="V49">
            <v>185500</v>
          </cell>
          <cell r="W49">
            <v>185500</v>
          </cell>
          <cell r="X49">
            <v>185500</v>
          </cell>
          <cell r="Y49">
            <v>185500</v>
          </cell>
          <cell r="Z49">
            <v>185500</v>
          </cell>
          <cell r="AA49">
            <v>185500</v>
          </cell>
          <cell r="AB49">
            <v>185500</v>
          </cell>
          <cell r="AC49">
            <v>185500</v>
          </cell>
          <cell r="AD49">
            <v>185500</v>
          </cell>
          <cell r="AE49">
            <v>2226000</v>
          </cell>
          <cell r="AF49">
            <v>150000</v>
          </cell>
          <cell r="AG49"/>
          <cell r="AH49"/>
          <cell r="AI49"/>
          <cell r="AJ49">
            <v>2376000</v>
          </cell>
          <cell r="AK49">
            <v>0</v>
          </cell>
          <cell r="AL49">
            <v>0</v>
          </cell>
          <cell r="AM49">
            <v>0</v>
          </cell>
          <cell r="AN49">
            <v>0</v>
          </cell>
          <cell r="AO49">
            <v>0</v>
          </cell>
          <cell r="AP49">
            <v>2376000</v>
          </cell>
          <cell r="AQ49" t="str">
            <v>Bahia</v>
          </cell>
          <cell r="AS49" t="str">
            <v>x</v>
          </cell>
          <cell r="AT49">
            <v>150000</v>
          </cell>
        </row>
        <row r="50">
          <cell r="B50" t="str">
            <v>COO0141</v>
          </cell>
          <cell r="C50" t="str">
            <v>OOMG.C</v>
          </cell>
          <cell r="D50" t="str">
            <v>OOTR.F-OS-2025-I-0180</v>
          </cell>
          <cell r="E50" t="str">
            <v>C-2025-G-0058</v>
          </cell>
          <cell r="F50" t="str">
            <v>C-2025-G-018</v>
          </cell>
          <cell r="G50" t="str">
            <v>Chesf</v>
          </cell>
          <cell r="H50" t="str">
            <v>Nova Demanda</v>
          </cell>
          <cell r="I50" t="str">
            <v>Modernização da instrumentação da UHE Xingó</v>
          </cell>
          <cell r="J50" t="str">
            <v>Instrumentação Xingó</v>
          </cell>
          <cell r="K50" t="str">
            <v>Modernização da instrumentação da UXG (sensores de fluxo óleo, água, vazão turbinada)</v>
          </cell>
          <cell r="L50" t="str">
            <v>H400040109</v>
          </cell>
          <cell r="M50" t="str">
            <v>UHE Xingó</v>
          </cell>
          <cell r="N50" t="str">
            <v>Geração</v>
          </cell>
          <cell r="O50" t="str">
            <v>Modernização de pequeno porte</v>
          </cell>
          <cell r="P50" t="str">
            <v>Modernização de pequeno porte</v>
          </cell>
          <cell r="Q50" t="str">
            <v>MH.6002</v>
          </cell>
          <cell r="R50" t="str">
            <v>PLANO DE MELHORIAS DOMG 20-25</v>
          </cell>
          <cell r="S50">
            <v>0</v>
          </cell>
          <cell r="T50">
            <v>0</v>
          </cell>
          <cell r="U50">
            <v>0</v>
          </cell>
          <cell r="V50">
            <v>0</v>
          </cell>
          <cell r="W50">
            <v>0</v>
          </cell>
          <cell r="X50">
            <v>0</v>
          </cell>
          <cell r="Y50">
            <v>0</v>
          </cell>
          <cell r="Z50">
            <v>0</v>
          </cell>
          <cell r="AA50">
            <v>0</v>
          </cell>
          <cell r="AB50">
            <v>0</v>
          </cell>
          <cell r="AC50">
            <v>0</v>
          </cell>
          <cell r="AD50">
            <v>0</v>
          </cell>
          <cell r="AE50">
            <v>0</v>
          </cell>
          <cell r="AF50">
            <v>400000</v>
          </cell>
          <cell r="AG50"/>
          <cell r="AH50"/>
          <cell r="AI50"/>
          <cell r="AJ50">
            <v>400000</v>
          </cell>
          <cell r="AK50">
            <v>0</v>
          </cell>
          <cell r="AL50">
            <v>0</v>
          </cell>
          <cell r="AM50">
            <v>0</v>
          </cell>
          <cell r="AN50">
            <v>0</v>
          </cell>
          <cell r="AO50">
            <v>0</v>
          </cell>
          <cell r="AP50">
            <v>400000</v>
          </cell>
          <cell r="AQ50" t="str">
            <v>Alagoas</v>
          </cell>
          <cell r="AS50" t="str">
            <v>x</v>
          </cell>
          <cell r="AT50">
            <v>400000</v>
          </cell>
        </row>
        <row r="51">
          <cell r="B51" t="str">
            <v>COO0142</v>
          </cell>
          <cell r="C51" t="str">
            <v>OOMG.C</v>
          </cell>
          <cell r="D51" t="str">
            <v>OOGR.S-S-2025-I-0163</v>
          </cell>
          <cell r="E51" t="str">
            <v>C-2025-G-0054</v>
          </cell>
          <cell r="F51" t="str">
            <v>C-2025-G-060</v>
          </cell>
          <cell r="G51" t="str">
            <v>Chesf</v>
          </cell>
          <cell r="H51" t="str">
            <v>Nova Demanda</v>
          </cell>
          <cell r="I51" t="str">
            <v>Substituição dos motofreios das comportas tomada d'água da UHE Paulo Afonso I</v>
          </cell>
          <cell r="J51" t="str">
            <v>Motores e freios comportas TDA PA-I</v>
          </cell>
          <cell r="K51" t="str">
            <v>Modernização da motorização e freios-magnéticos para guinchos das comportas de tomada d'água</v>
          </cell>
          <cell r="L51" t="str">
            <v>H400040105</v>
          </cell>
          <cell r="M51" t="str">
            <v>UHE Paulo Afonso I</v>
          </cell>
          <cell r="N51" t="str">
            <v>Geração</v>
          </cell>
          <cell r="O51" t="str">
            <v>Modernização de pequeno porte</v>
          </cell>
          <cell r="P51" t="str">
            <v>Modernização de pequeno porte</v>
          </cell>
          <cell r="Q51" t="str">
            <v>MH.6002</v>
          </cell>
          <cell r="R51" t="str">
            <v>PLANO DE MELHORIAS DOMG 20-25</v>
          </cell>
          <cell r="S51">
            <v>25000</v>
          </cell>
          <cell r="T51">
            <v>25000</v>
          </cell>
          <cell r="U51">
            <v>25000</v>
          </cell>
          <cell r="V51">
            <v>25000</v>
          </cell>
          <cell r="W51">
            <v>25000</v>
          </cell>
          <cell r="X51">
            <v>25000</v>
          </cell>
          <cell r="Y51">
            <v>25000</v>
          </cell>
          <cell r="Z51">
            <v>25000</v>
          </cell>
          <cell r="AA51">
            <v>25000</v>
          </cell>
          <cell r="AB51">
            <v>25000</v>
          </cell>
          <cell r="AC51">
            <v>25000</v>
          </cell>
          <cell r="AD51">
            <v>25000</v>
          </cell>
          <cell r="AE51">
            <v>300000</v>
          </cell>
          <cell r="AF51">
            <v>15000</v>
          </cell>
          <cell r="AG51"/>
          <cell r="AH51"/>
          <cell r="AI51"/>
          <cell r="AJ51">
            <v>315000</v>
          </cell>
          <cell r="AK51">
            <v>0</v>
          </cell>
          <cell r="AL51">
            <v>0</v>
          </cell>
          <cell r="AM51">
            <v>0</v>
          </cell>
          <cell r="AN51">
            <v>0</v>
          </cell>
          <cell r="AO51">
            <v>0</v>
          </cell>
          <cell r="AP51">
            <v>315000</v>
          </cell>
          <cell r="AQ51" t="str">
            <v>Bahia</v>
          </cell>
          <cell r="AS51" t="str">
            <v>x</v>
          </cell>
          <cell r="AT51">
            <v>15000</v>
          </cell>
        </row>
        <row r="52">
          <cell r="B52" t="str">
            <v>COO0143</v>
          </cell>
          <cell r="C52" t="str">
            <v>OOMG.C</v>
          </cell>
          <cell r="D52" t="str">
            <v>OOGN.S-S-2025-I-0137</v>
          </cell>
          <cell r="E52" t="str">
            <v>C-2025-G-0053</v>
          </cell>
          <cell r="F52" t="str">
            <v>C-2025-G-061</v>
          </cell>
          <cell r="G52" t="str">
            <v>Chesf</v>
          </cell>
          <cell r="H52" t="str">
            <v>Nova Demanda</v>
          </cell>
          <cell r="I52" t="str">
            <v>Substituição dos motofreios das comportas tomada d'água da UHE Paulo Afonso III</v>
          </cell>
          <cell r="J52" t="str">
            <v>Motores e freios comportas TDA PA-III</v>
          </cell>
          <cell r="K52" t="str">
            <v>Modernização da motorização e freios-magnéticos para guinchos das comportas de tomada d'água</v>
          </cell>
          <cell r="L52" t="str">
            <v>H400040107</v>
          </cell>
          <cell r="M52" t="str">
            <v>UHE Paulo Afonso III</v>
          </cell>
          <cell r="N52" t="str">
            <v>Geração</v>
          </cell>
          <cell r="O52" t="str">
            <v>Modernização de pequeno porte</v>
          </cell>
          <cell r="P52" t="str">
            <v>Modernização de pequeno porte</v>
          </cell>
          <cell r="Q52" t="str">
            <v>MH.6002</v>
          </cell>
          <cell r="R52" t="str">
            <v>PLANO DE MELHORIAS DOMG 20-25</v>
          </cell>
          <cell r="S52">
            <v>33333</v>
          </cell>
          <cell r="T52">
            <v>33333</v>
          </cell>
          <cell r="U52">
            <v>33333</v>
          </cell>
          <cell r="V52">
            <v>33333</v>
          </cell>
          <cell r="W52">
            <v>33333</v>
          </cell>
          <cell r="X52">
            <v>33333</v>
          </cell>
          <cell r="Y52">
            <v>33333</v>
          </cell>
          <cell r="Z52">
            <v>33333</v>
          </cell>
          <cell r="AA52">
            <v>33333</v>
          </cell>
          <cell r="AB52">
            <v>33333</v>
          </cell>
          <cell r="AC52">
            <v>33333</v>
          </cell>
          <cell r="AD52">
            <v>33333</v>
          </cell>
          <cell r="AE52">
            <v>399996</v>
          </cell>
          <cell r="AF52">
            <v>19999.800000000003</v>
          </cell>
          <cell r="AG52"/>
          <cell r="AH52"/>
          <cell r="AI52"/>
          <cell r="AJ52">
            <v>419995.8</v>
          </cell>
          <cell r="AK52">
            <v>0</v>
          </cell>
          <cell r="AL52">
            <v>0</v>
          </cell>
          <cell r="AM52">
            <v>0</v>
          </cell>
          <cell r="AN52">
            <v>0</v>
          </cell>
          <cell r="AO52">
            <v>0</v>
          </cell>
          <cell r="AP52">
            <v>419995.8</v>
          </cell>
          <cell r="AQ52" t="str">
            <v>Bahia</v>
          </cell>
          <cell r="AS52" t="str">
            <v>x</v>
          </cell>
          <cell r="AT52">
            <v>19999.800000000003</v>
          </cell>
        </row>
        <row r="53">
          <cell r="B53" t="str">
            <v>COO0144</v>
          </cell>
          <cell r="C53" t="str">
            <v>OOMG.C</v>
          </cell>
          <cell r="D53" t="str">
            <v>OOMB.C-C-2025-I-0008</v>
          </cell>
          <cell r="E53" t="str">
            <v>C-2024-G-0015</v>
          </cell>
          <cell r="F53" t="str">
            <v>C-2024-G-016</v>
          </cell>
          <cell r="G53" t="str">
            <v>Chesf</v>
          </cell>
          <cell r="H53" t="str">
            <v>Contratado</v>
          </cell>
          <cell r="I53" t="str">
            <v>Modernização das UG8 e UG9 da UHE Paulo Afonso II</v>
          </cell>
          <cell r="J53" t="str">
            <v>Modernização G8 e G9 PA-II</v>
          </cell>
          <cell r="K53" t="str">
            <v>Modernização das unidades geradoras G8 e G9 da usina Paulo Afonso II e sistema hidráulico de acionamento das comportas da tomada d'água da usina</v>
          </cell>
          <cell r="L53" t="str">
            <v>H400040106</v>
          </cell>
          <cell r="M53" t="str">
            <v>UHE Paulo Afonso II</v>
          </cell>
          <cell r="N53" t="str">
            <v>Geração</v>
          </cell>
          <cell r="O53" t="str">
            <v>Modernização de pequeno porte</v>
          </cell>
          <cell r="P53" t="str">
            <v>Modernização de pequeno porte</v>
          </cell>
          <cell r="Q53" t="str">
            <v>MH.6002</v>
          </cell>
          <cell r="R53" t="str">
            <v>PLANO DE MELHORIAS DOMG 20-25</v>
          </cell>
          <cell r="S53">
            <v>864667</v>
          </cell>
          <cell r="T53">
            <v>864667</v>
          </cell>
          <cell r="U53">
            <v>864667</v>
          </cell>
          <cell r="V53">
            <v>864667</v>
          </cell>
          <cell r="W53">
            <v>864667</v>
          </cell>
          <cell r="X53">
            <v>864667</v>
          </cell>
          <cell r="Y53">
            <v>864667</v>
          </cell>
          <cell r="Z53">
            <v>864667</v>
          </cell>
          <cell r="AA53">
            <v>864667</v>
          </cell>
          <cell r="AB53">
            <v>864667</v>
          </cell>
          <cell r="AC53">
            <v>864667</v>
          </cell>
          <cell r="AD53">
            <v>864667</v>
          </cell>
          <cell r="AE53">
            <v>10376004</v>
          </cell>
          <cell r="AF53"/>
          <cell r="AG53"/>
          <cell r="AH53"/>
          <cell r="AI53"/>
          <cell r="AJ53">
            <v>10376004</v>
          </cell>
          <cell r="AK53">
            <v>0</v>
          </cell>
          <cell r="AL53">
            <v>0</v>
          </cell>
          <cell r="AM53">
            <v>0</v>
          </cell>
          <cell r="AN53">
            <v>0</v>
          </cell>
          <cell r="AO53">
            <v>0</v>
          </cell>
          <cell r="AP53">
            <v>10376004</v>
          </cell>
          <cell r="AQ53" t="str">
            <v>Bahia</v>
          </cell>
          <cell r="AS53" t="str">
            <v>x</v>
          </cell>
          <cell r="AT53">
            <v>0</v>
          </cell>
        </row>
        <row r="54">
          <cell r="B54" t="str">
            <v>COO0145</v>
          </cell>
          <cell r="C54" t="str">
            <v>OOPM.C</v>
          </cell>
          <cell r="D54" t="str">
            <v>OOGN.S-S-2025-I-0140</v>
          </cell>
          <cell r="E54" t="str">
            <v>C-2025-G-0103</v>
          </cell>
          <cell r="F54" t="str">
            <v>C-2025-G-037</v>
          </cell>
          <cell r="G54" t="str">
            <v>Chesf</v>
          </cell>
          <cell r="H54" t="str">
            <v>Nova Demanda</v>
          </cell>
          <cell r="I54" t="str">
            <v>Modernização de Postos de diversas usinas da Chesf</v>
          </cell>
          <cell r="J54" t="str">
            <v>Modernização de Postos das Usinas UAS, UBE, USD, ULG, USB, USQ, UXG</v>
          </cell>
          <cell r="K54" t="str">
            <v>Modernização de Postos das Usinas UAS, UBE, USD, ULG, USB, USQ, UXG</v>
          </cell>
          <cell r="L54" t="str">
            <v>Diversos</v>
          </cell>
          <cell r="M54" t="str">
            <v>Diversas UHE</v>
          </cell>
          <cell r="N54" t="str">
            <v>Geração</v>
          </cell>
          <cell r="O54" t="str">
            <v>Modernização de pequeno porte</v>
          </cell>
          <cell r="P54" t="str">
            <v>Modernização de pequeno porte</v>
          </cell>
          <cell r="Q54" t="str">
            <v>Diversos</v>
          </cell>
          <cell r="R54" t="str">
            <v>Diversas</v>
          </cell>
          <cell r="S54">
            <v>13200</v>
          </cell>
          <cell r="T54">
            <v>13200</v>
          </cell>
          <cell r="U54">
            <v>13200</v>
          </cell>
          <cell r="V54">
            <v>26400</v>
          </cell>
          <cell r="W54">
            <v>52800</v>
          </cell>
          <cell r="X54">
            <v>26400</v>
          </cell>
          <cell r="Y54">
            <v>26400</v>
          </cell>
          <cell r="Z54">
            <v>26400</v>
          </cell>
          <cell r="AA54">
            <v>26400</v>
          </cell>
          <cell r="AB54">
            <v>105600</v>
          </cell>
          <cell r="AC54">
            <v>26400</v>
          </cell>
          <cell r="AD54">
            <v>26400</v>
          </cell>
          <cell r="AE54">
            <v>382800</v>
          </cell>
          <cell r="AF54">
            <v>19140</v>
          </cell>
          <cell r="AG54"/>
          <cell r="AH54"/>
          <cell r="AI54"/>
          <cell r="AJ54">
            <v>401940</v>
          </cell>
          <cell r="AK54">
            <v>0</v>
          </cell>
          <cell r="AL54">
            <v>0</v>
          </cell>
          <cell r="AM54">
            <v>0</v>
          </cell>
          <cell r="AN54">
            <v>0</v>
          </cell>
          <cell r="AO54">
            <v>0</v>
          </cell>
          <cell r="AP54">
            <v>401940</v>
          </cell>
          <cell r="AQ54" t="str">
            <v>Bahia</v>
          </cell>
          <cell r="AS54" t="str">
            <v>x</v>
          </cell>
          <cell r="AT54">
            <v>19140</v>
          </cell>
        </row>
        <row r="55">
          <cell r="B55" t="str">
            <v>COO0146</v>
          </cell>
          <cell r="C55" t="str">
            <v>OOMI.C</v>
          </cell>
          <cell r="D55" t="str">
            <v>OOMB.C-C-2025-I-0011</v>
          </cell>
          <cell r="E55" t="str">
            <v>C-2025-G-0120</v>
          </cell>
          <cell r="F55" t="str">
            <v>C-2025-G-038</v>
          </cell>
          <cell r="G55" t="str">
            <v>Chesf</v>
          </cell>
          <cell r="H55" t="str">
            <v>Nova Demanda</v>
          </cell>
          <cell r="I55" t="str">
            <v>Modernização de Sistemas de Geração da UHE</v>
          </cell>
          <cell r="J55" t="str">
            <v>Modernização de Sistemas de Geração</v>
          </cell>
          <cell r="K55" t="str">
            <v>Modernização de Sistemas de Geração</v>
          </cell>
          <cell r="L55" t="str">
            <v>Diversos</v>
          </cell>
          <cell r="M55" t="str">
            <v>Diversas UHE</v>
          </cell>
          <cell r="N55" t="str">
            <v>Geração</v>
          </cell>
          <cell r="O55" t="str">
            <v>Modernização de pequeno porte</v>
          </cell>
          <cell r="P55" t="str">
            <v>Modernização de pequeno porte</v>
          </cell>
          <cell r="Q55" t="str">
            <v>Diversos</v>
          </cell>
          <cell r="R55" t="str">
            <v>Diversas</v>
          </cell>
          <cell r="S55">
            <v>0</v>
          </cell>
          <cell r="T55">
            <v>0</v>
          </cell>
          <cell r="U55">
            <v>0</v>
          </cell>
          <cell r="V55">
            <v>0</v>
          </cell>
          <cell r="W55">
            <v>0</v>
          </cell>
          <cell r="X55">
            <v>0</v>
          </cell>
          <cell r="Y55">
            <v>0</v>
          </cell>
          <cell r="Z55">
            <v>0</v>
          </cell>
          <cell r="AA55">
            <v>1000000</v>
          </cell>
          <cell r="AB55">
            <v>1000000</v>
          </cell>
          <cell r="AC55">
            <v>2000000</v>
          </cell>
          <cell r="AD55">
            <v>2000000</v>
          </cell>
          <cell r="AE55">
            <v>6000000</v>
          </cell>
          <cell r="AF55">
            <v>300000</v>
          </cell>
          <cell r="AG55"/>
          <cell r="AH55"/>
          <cell r="AI55"/>
          <cell r="AJ55">
            <v>6300000</v>
          </cell>
          <cell r="AK55">
            <v>0</v>
          </cell>
          <cell r="AL55">
            <v>0</v>
          </cell>
          <cell r="AM55">
            <v>0</v>
          </cell>
          <cell r="AN55">
            <v>0</v>
          </cell>
          <cell r="AO55">
            <v>0</v>
          </cell>
          <cell r="AP55">
            <v>6300000</v>
          </cell>
          <cell r="AQ55"/>
          <cell r="AS55" t="str">
            <v>x</v>
          </cell>
          <cell r="AT55">
            <v>300000</v>
          </cell>
        </row>
        <row r="56">
          <cell r="B56" t="str">
            <v>COO0148</v>
          </cell>
          <cell r="C56" t="str">
            <v>OOMG.C</v>
          </cell>
          <cell r="D56" t="str">
            <v>OOGS.S-S-2025-I-0266</v>
          </cell>
          <cell r="E56" t="str">
            <v>C-2025-G-0091</v>
          </cell>
          <cell r="F56" t="str">
            <v>C-2025-G-042</v>
          </cell>
          <cell r="G56" t="str">
            <v>Chesf</v>
          </cell>
          <cell r="H56" t="str">
            <v>Nova Demanda</v>
          </cell>
          <cell r="I56" t="str">
            <v>Modernização do comando e controle do sistema de esgotamento e drenagem da UHE Boa Esperança</v>
          </cell>
          <cell r="J56" t="str">
            <v>Controle sistema de esgotamento e drenagem Boa Esperança</v>
          </cell>
          <cell r="K56" t="str">
            <v>Modernização do controle do sistema de esgotamento e drenagem, substituindo os presys por CLP e IHM</v>
          </cell>
          <cell r="L56" t="str">
            <v>H400070047</v>
          </cell>
          <cell r="M56" t="str">
            <v>UHE Boa Esperança</v>
          </cell>
          <cell r="N56" t="str">
            <v>Geração</v>
          </cell>
          <cell r="O56" t="str">
            <v>Modernização de pequeno porte</v>
          </cell>
          <cell r="P56" t="str">
            <v>Modernização de pequeno porte</v>
          </cell>
          <cell r="Q56" t="str">
            <v>MH.6002</v>
          </cell>
          <cell r="R56" t="str">
            <v>PLANO DE MELHORIAS DOMG 20-25</v>
          </cell>
          <cell r="S56">
            <v>7500</v>
          </cell>
          <cell r="T56">
            <v>7500</v>
          </cell>
          <cell r="U56">
            <v>7500</v>
          </cell>
          <cell r="V56">
            <v>7500</v>
          </cell>
          <cell r="W56">
            <v>7500</v>
          </cell>
          <cell r="X56">
            <v>7500</v>
          </cell>
          <cell r="Y56">
            <v>7500</v>
          </cell>
          <cell r="Z56">
            <v>7500</v>
          </cell>
          <cell r="AA56">
            <v>7500</v>
          </cell>
          <cell r="AB56">
            <v>7500</v>
          </cell>
          <cell r="AC56">
            <v>7500</v>
          </cell>
          <cell r="AD56">
            <v>7500</v>
          </cell>
          <cell r="AE56">
            <v>90000</v>
          </cell>
          <cell r="AF56"/>
          <cell r="AG56"/>
          <cell r="AH56"/>
          <cell r="AI56"/>
          <cell r="AJ56">
            <v>90000</v>
          </cell>
          <cell r="AK56">
            <v>0</v>
          </cell>
          <cell r="AL56">
            <v>0</v>
          </cell>
          <cell r="AM56">
            <v>0</v>
          </cell>
          <cell r="AN56">
            <v>0</v>
          </cell>
          <cell r="AO56">
            <v>0</v>
          </cell>
          <cell r="AP56">
            <v>90000</v>
          </cell>
          <cell r="AQ56" t="str">
            <v>Piauí</v>
          </cell>
          <cell r="AS56" t="str">
            <v>x</v>
          </cell>
          <cell r="AT56">
            <v>0</v>
          </cell>
        </row>
        <row r="57">
          <cell r="B57" t="str">
            <v>COO0149</v>
          </cell>
          <cell r="C57" t="str">
            <v>OOMG.C</v>
          </cell>
          <cell r="D57" t="str">
            <v>OOGS.S-S-2025-I-0217</v>
          </cell>
          <cell r="E57" t="str">
            <v>C-2025-G-0083</v>
          </cell>
          <cell r="F57" t="str">
            <v>C-2025-G-055</v>
          </cell>
          <cell r="G57" t="str">
            <v>Chesf</v>
          </cell>
          <cell r="H57" t="str">
            <v>Nova Demanda</v>
          </cell>
          <cell r="I57" t="str">
            <v>Modernização do sistema de instrumentação do distribuidor da UHE Paulo Afonso I</v>
          </cell>
          <cell r="J57" t="str">
            <v>Monitoramento pinos cisalhamento PA-I</v>
          </cell>
          <cell r="K57" t="str">
            <v>Modernização do monitoramento dos pinos de cisalhamento das unidades geradoras</v>
          </cell>
          <cell r="L57" t="str">
            <v>H400040105</v>
          </cell>
          <cell r="M57" t="str">
            <v>UHE Paulo Afonso I</v>
          </cell>
          <cell r="N57" t="str">
            <v>Geração</v>
          </cell>
          <cell r="O57" t="str">
            <v>Modernização de pequeno porte</v>
          </cell>
          <cell r="P57" t="str">
            <v>Modernização de pequeno porte</v>
          </cell>
          <cell r="Q57" t="str">
            <v>MH.6002</v>
          </cell>
          <cell r="R57" t="str">
            <v>PLANO DE MELHORIAS DOMG 20-25</v>
          </cell>
          <cell r="S57">
            <v>12500</v>
          </cell>
          <cell r="T57">
            <v>12500</v>
          </cell>
          <cell r="U57">
            <v>12500</v>
          </cell>
          <cell r="V57">
            <v>12500</v>
          </cell>
          <cell r="W57">
            <v>12500</v>
          </cell>
          <cell r="X57">
            <v>12500</v>
          </cell>
          <cell r="Y57">
            <v>12500</v>
          </cell>
          <cell r="Z57">
            <v>12500</v>
          </cell>
          <cell r="AA57">
            <v>12500</v>
          </cell>
          <cell r="AB57">
            <v>12500</v>
          </cell>
          <cell r="AC57">
            <v>12500</v>
          </cell>
          <cell r="AD57">
            <v>12500</v>
          </cell>
          <cell r="AE57">
            <v>150000</v>
          </cell>
          <cell r="AF57">
            <v>7500</v>
          </cell>
          <cell r="AG57"/>
          <cell r="AH57"/>
          <cell r="AI57"/>
          <cell r="AJ57">
            <v>157500</v>
          </cell>
          <cell r="AK57">
            <v>0</v>
          </cell>
          <cell r="AL57">
            <v>0</v>
          </cell>
          <cell r="AM57">
            <v>0</v>
          </cell>
          <cell r="AN57">
            <v>0</v>
          </cell>
          <cell r="AO57">
            <v>0</v>
          </cell>
          <cell r="AP57">
            <v>157500</v>
          </cell>
          <cell r="AQ57" t="str">
            <v>Bahia</v>
          </cell>
          <cell r="AS57" t="str">
            <v>x</v>
          </cell>
          <cell r="AT57">
            <v>7500</v>
          </cell>
        </row>
        <row r="58">
          <cell r="B58" t="str">
            <v>COO0150</v>
          </cell>
          <cell r="C58" t="str">
            <v>OOMG.C</v>
          </cell>
          <cell r="D58" t="str">
            <v>OOME.C-C-2024-I-0030</v>
          </cell>
          <cell r="E58" t="str">
            <v>C-2024-G-0016</v>
          </cell>
          <cell r="F58" t="str">
            <v>C-2024-G-010</v>
          </cell>
          <cell r="G58" t="str">
            <v>Chesf</v>
          </cell>
          <cell r="H58" t="str">
            <v>Contratado</v>
          </cell>
          <cell r="I58" t="str">
            <v>Modernização do sistema de proteção, controle e supervisão (SPCS) da UHE Xingó - CCX2</v>
          </cell>
          <cell r="J58" t="str">
            <v>Automação e controle Xingó - CCX2</v>
          </cell>
          <cell r="K58" t="str">
            <v xml:space="preserve">Modernização do serviço auxiliar e do sistema de automação e controle da usina Xingó </v>
          </cell>
          <cell r="L58" t="str">
            <v>H400040109</v>
          </cell>
          <cell r="M58" t="str">
            <v>UHE Xingó</v>
          </cell>
          <cell r="N58" t="str">
            <v>Geração</v>
          </cell>
          <cell r="O58" t="str">
            <v>Modernização de pequeno porte</v>
          </cell>
          <cell r="P58" t="str">
            <v>Modernização de pequeno porte</v>
          </cell>
          <cell r="Q58" t="str">
            <v>MH.6002</v>
          </cell>
          <cell r="R58" t="str">
            <v>PLANO DE MELHORIAS DOMG 20-25</v>
          </cell>
          <cell r="S58">
            <v>1551652</v>
          </cell>
          <cell r="T58">
            <v>1551652</v>
          </cell>
          <cell r="U58">
            <v>1551652</v>
          </cell>
          <cell r="V58">
            <v>1551652</v>
          </cell>
          <cell r="W58">
            <v>1551652</v>
          </cell>
          <cell r="X58">
            <v>1551652</v>
          </cell>
          <cell r="Y58">
            <v>1551652</v>
          </cell>
          <cell r="Z58">
            <v>1551652</v>
          </cell>
          <cell r="AA58">
            <v>1551652</v>
          </cell>
          <cell r="AB58">
            <v>1551652</v>
          </cell>
          <cell r="AC58">
            <v>1551652</v>
          </cell>
          <cell r="AD58">
            <v>1551652</v>
          </cell>
          <cell r="AE58">
            <v>18619824</v>
          </cell>
          <cell r="AF58">
            <v>21712862</v>
          </cell>
          <cell r="AG58"/>
          <cell r="AH58"/>
          <cell r="AI58"/>
          <cell r="AJ58">
            <v>40332686</v>
          </cell>
          <cell r="AK58">
            <v>0</v>
          </cell>
          <cell r="AL58">
            <v>0</v>
          </cell>
          <cell r="AM58">
            <v>0</v>
          </cell>
          <cell r="AN58">
            <v>0</v>
          </cell>
          <cell r="AO58">
            <v>0</v>
          </cell>
          <cell r="AP58">
            <v>40332686</v>
          </cell>
          <cell r="AQ58" t="str">
            <v>Alagoas</v>
          </cell>
          <cell r="AS58" t="str">
            <v>x</v>
          </cell>
          <cell r="AT58">
            <v>21712862</v>
          </cell>
        </row>
        <row r="59">
          <cell r="B59" t="str">
            <v>COO0151</v>
          </cell>
          <cell r="C59" t="str">
            <v>OOMG.C</v>
          </cell>
          <cell r="D59" t="str">
            <v>OOPM.C-C-2024-I-0025</v>
          </cell>
          <cell r="E59" t="str">
            <v>C-2024-G-0017</v>
          </cell>
          <cell r="F59" t="str">
            <v>C-2024-G-007</v>
          </cell>
          <cell r="G59" t="str">
            <v>Chesf</v>
          </cell>
          <cell r="H59" t="str">
            <v>Contratado</v>
          </cell>
          <cell r="I59" t="str">
            <v>Modernização do sistema de alimentação de energia da Barragem DG</v>
          </cell>
          <cell r="J59" t="str">
            <v>Alimentação energia e controle pontes Barragem DG</v>
          </cell>
          <cell r="K59" t="str">
            <v>Modernização do sistema de alimentação de energia e controle pontes rolantes do vertedouro da barragem Delmiro Gouveia</v>
          </cell>
          <cell r="L59" t="str">
            <v>Diversos</v>
          </cell>
          <cell r="M59" t="str">
            <v>Complexo Paulo Afonso</v>
          </cell>
          <cell r="N59" t="str">
            <v>Geração</v>
          </cell>
          <cell r="O59" t="str">
            <v>Modernização de pequeno porte</v>
          </cell>
          <cell r="P59" t="str">
            <v>Modernização de pequeno porte</v>
          </cell>
          <cell r="Q59" t="str">
            <v>MH.6002</v>
          </cell>
          <cell r="R59" t="str">
            <v>PLANO DE MELHORIAS DOMG 20-25</v>
          </cell>
          <cell r="S59">
            <v>2683360</v>
          </cell>
          <cell r="T59">
            <v>2683360</v>
          </cell>
          <cell r="U59">
            <v>2683360</v>
          </cell>
          <cell r="V59">
            <v>2683360</v>
          </cell>
          <cell r="W59">
            <v>2683360</v>
          </cell>
          <cell r="X59">
            <v>2683360</v>
          </cell>
          <cell r="Y59">
            <v>2683360</v>
          </cell>
          <cell r="Z59">
            <v>2683360</v>
          </cell>
          <cell r="AA59">
            <v>2683360</v>
          </cell>
          <cell r="AB59">
            <v>2683360</v>
          </cell>
          <cell r="AC59">
            <v>2683360</v>
          </cell>
          <cell r="AD59">
            <v>2683360</v>
          </cell>
          <cell r="AE59">
            <v>32200320</v>
          </cell>
          <cell r="AF59">
            <v>18771523</v>
          </cell>
          <cell r="AG59"/>
          <cell r="AH59"/>
          <cell r="AI59"/>
          <cell r="AJ59">
            <v>50971843</v>
          </cell>
          <cell r="AK59">
            <v>0</v>
          </cell>
          <cell r="AL59">
            <v>0</v>
          </cell>
          <cell r="AM59">
            <v>0</v>
          </cell>
          <cell r="AN59">
            <v>0</v>
          </cell>
          <cell r="AO59">
            <v>0</v>
          </cell>
          <cell r="AP59">
            <v>50971843</v>
          </cell>
          <cell r="AQ59" t="str">
            <v>Bahia</v>
          </cell>
          <cell r="AS59" t="str">
            <v>x</v>
          </cell>
          <cell r="AT59">
            <v>18771523</v>
          </cell>
        </row>
        <row r="60">
          <cell r="B60" t="str">
            <v>COO0152</v>
          </cell>
          <cell r="C60" t="str">
            <v>OOMG.C</v>
          </cell>
          <cell r="D60" t="str">
            <v>OOGS.S-S-2025-I-0250</v>
          </cell>
          <cell r="E60" t="str">
            <v>C-2025-G-0047</v>
          </cell>
          <cell r="F60" t="str">
            <v>C-2025-G-080</v>
          </cell>
          <cell r="G60" t="str">
            <v>Chesf</v>
          </cell>
          <cell r="H60" t="str">
            <v>Nova Demanda</v>
          </cell>
          <cell r="I60" t="str">
            <v>Modernização do sistema de frenagem da UHE Boa esperança</v>
          </cell>
          <cell r="J60" t="str">
            <v>Sistema de frenagem Boa esperança</v>
          </cell>
          <cell r="K60" t="str">
            <v xml:space="preserve">Modernização do sistema de frenagem das unidades geradoras </v>
          </cell>
          <cell r="L60" t="str">
            <v>H400070047</v>
          </cell>
          <cell r="M60" t="str">
            <v>UHE Boa Esperança</v>
          </cell>
          <cell r="N60" t="str">
            <v>Geração</v>
          </cell>
          <cell r="O60" t="str">
            <v>Modernização de pequeno porte</v>
          </cell>
          <cell r="P60" t="str">
            <v>Modernização de pequeno porte</v>
          </cell>
          <cell r="Q60" t="str">
            <v>MH.6002</v>
          </cell>
          <cell r="R60" t="str">
            <v>PLANO DE MELHORIAS DOMG 20-25</v>
          </cell>
          <cell r="S60">
            <v>8333</v>
          </cell>
          <cell r="T60">
            <v>8333</v>
          </cell>
          <cell r="U60">
            <v>8333</v>
          </cell>
          <cell r="V60">
            <v>8333</v>
          </cell>
          <cell r="W60">
            <v>8333</v>
          </cell>
          <cell r="X60">
            <v>8333</v>
          </cell>
          <cell r="Y60">
            <v>8333</v>
          </cell>
          <cell r="Z60">
            <v>8333</v>
          </cell>
          <cell r="AA60">
            <v>8333</v>
          </cell>
          <cell r="AB60">
            <v>8333</v>
          </cell>
          <cell r="AC60">
            <v>8333</v>
          </cell>
          <cell r="AD60">
            <v>8333</v>
          </cell>
          <cell r="AE60">
            <v>99996</v>
          </cell>
          <cell r="AF60"/>
          <cell r="AG60"/>
          <cell r="AH60"/>
          <cell r="AI60"/>
          <cell r="AJ60">
            <v>99996</v>
          </cell>
          <cell r="AK60">
            <v>0</v>
          </cell>
          <cell r="AL60">
            <v>0</v>
          </cell>
          <cell r="AM60">
            <v>0</v>
          </cell>
          <cell r="AN60">
            <v>0</v>
          </cell>
          <cell r="AO60">
            <v>0</v>
          </cell>
          <cell r="AP60">
            <v>99996</v>
          </cell>
          <cell r="AQ60" t="str">
            <v>Piauí</v>
          </cell>
          <cell r="AS60" t="str">
            <v>x</v>
          </cell>
          <cell r="AT60">
            <v>0</v>
          </cell>
        </row>
        <row r="61">
          <cell r="B61" t="str">
            <v>COO0153</v>
          </cell>
          <cell r="C61" t="str">
            <v>OOMG.C</v>
          </cell>
          <cell r="D61" t="str">
            <v>OOGR.S-S-2025-I-0162</v>
          </cell>
          <cell r="E61" t="str">
            <v>C-2024-G-0019</v>
          </cell>
          <cell r="F61" t="str">
            <v>C-2024-G-014</v>
          </cell>
          <cell r="G61" t="str">
            <v>Chesf</v>
          </cell>
          <cell r="H61" t="str">
            <v>Contratado</v>
          </cell>
          <cell r="I61" t="str">
            <v>Modernização dos pórticos e pontes rolantes da PCH Funil</v>
          </cell>
          <cell r="J61" t="str">
            <v>Pórticos e pontes rolantes Funil</v>
          </cell>
          <cell r="K61" t="str">
            <v>Modernização dos pórticos e pontes rolantes da usina Funil</v>
          </cell>
          <cell r="L61" t="str">
            <v>H400060129</v>
          </cell>
          <cell r="M61" t="str">
            <v>PCH Funil</v>
          </cell>
          <cell r="N61" t="str">
            <v>Geração</v>
          </cell>
          <cell r="O61" t="str">
            <v>Modernização de pequeno porte</v>
          </cell>
          <cell r="P61" t="str">
            <v>Modernização de pequeno porte</v>
          </cell>
          <cell r="Q61" t="str">
            <v>UH.6011</v>
          </cell>
          <cell r="R61" t="str">
            <v>MODERNIZAÇÃO UFL-ELETROMECANICOS</v>
          </cell>
          <cell r="S61">
            <v>25000</v>
          </cell>
          <cell r="T61">
            <v>25000</v>
          </cell>
          <cell r="U61">
            <v>25000</v>
          </cell>
          <cell r="V61">
            <v>25000</v>
          </cell>
          <cell r="W61">
            <v>25000</v>
          </cell>
          <cell r="X61">
            <v>25000</v>
          </cell>
          <cell r="Y61">
            <v>25000</v>
          </cell>
          <cell r="Z61">
            <v>25000</v>
          </cell>
          <cell r="AA61">
            <v>25000</v>
          </cell>
          <cell r="AB61">
            <v>25000</v>
          </cell>
          <cell r="AC61">
            <v>25000</v>
          </cell>
          <cell r="AD61">
            <v>25000</v>
          </cell>
          <cell r="AE61">
            <v>300000</v>
          </cell>
          <cell r="AF61"/>
          <cell r="AG61"/>
          <cell r="AH61"/>
          <cell r="AI61"/>
          <cell r="AJ61">
            <v>300000</v>
          </cell>
          <cell r="AK61">
            <v>0</v>
          </cell>
          <cell r="AL61">
            <v>0</v>
          </cell>
          <cell r="AM61">
            <v>0</v>
          </cell>
          <cell r="AN61">
            <v>0</v>
          </cell>
          <cell r="AO61">
            <v>0</v>
          </cell>
          <cell r="AP61">
            <v>300000</v>
          </cell>
          <cell r="AQ61" t="str">
            <v>Bahia</v>
          </cell>
          <cell r="AS61" t="str">
            <v>x</v>
          </cell>
          <cell r="AT61">
            <v>0</v>
          </cell>
        </row>
        <row r="62">
          <cell r="B62" t="str">
            <v>COO0154</v>
          </cell>
          <cell r="C62" t="str">
            <v>OOMG.C</v>
          </cell>
          <cell r="D62" t="str">
            <v>OOGR.S-S-2025-I-0173</v>
          </cell>
          <cell r="E62" t="str">
            <v>C-2024-G-0020</v>
          </cell>
          <cell r="F62" t="str">
            <v>C-2024-G-015</v>
          </cell>
          <cell r="G62" t="str">
            <v>Chesf</v>
          </cell>
          <cell r="H62" t="str">
            <v>Contratado</v>
          </cell>
          <cell r="I62" t="str">
            <v>Modernização dos pórticos rolantes da PCH Pedra</v>
          </cell>
          <cell r="J62" t="str">
            <v>Pórticos rolantes Pedra</v>
          </cell>
          <cell r="K62" t="str">
            <v>Modernização dos pórticos rolantes da usina Pedra</v>
          </cell>
          <cell r="L62" t="str">
            <v>H400060130</v>
          </cell>
          <cell r="M62" t="str">
            <v>PCH Pedra</v>
          </cell>
          <cell r="N62" t="str">
            <v>Geração</v>
          </cell>
          <cell r="O62" t="str">
            <v>Modernização de pequeno porte</v>
          </cell>
          <cell r="P62" t="str">
            <v>Modernização de pequeno porte</v>
          </cell>
          <cell r="Q62" t="str">
            <v>MH.6002</v>
          </cell>
          <cell r="R62" t="str">
            <v>PLANO DE MELHORIAS DOMG 20-25</v>
          </cell>
          <cell r="S62">
            <v>20833</v>
          </cell>
          <cell r="T62">
            <v>20833</v>
          </cell>
          <cell r="U62">
            <v>20833</v>
          </cell>
          <cell r="V62">
            <v>20833</v>
          </cell>
          <cell r="W62">
            <v>20833</v>
          </cell>
          <cell r="X62">
            <v>20833</v>
          </cell>
          <cell r="Y62">
            <v>20833</v>
          </cell>
          <cell r="Z62">
            <v>20833</v>
          </cell>
          <cell r="AA62">
            <v>20833</v>
          </cell>
          <cell r="AB62">
            <v>20833</v>
          </cell>
          <cell r="AC62">
            <v>20833</v>
          </cell>
          <cell r="AD62">
            <v>20833</v>
          </cell>
          <cell r="AE62">
            <v>249996</v>
          </cell>
          <cell r="AF62"/>
          <cell r="AG62"/>
          <cell r="AH62"/>
          <cell r="AI62"/>
          <cell r="AJ62">
            <v>249996</v>
          </cell>
          <cell r="AK62">
            <v>0</v>
          </cell>
          <cell r="AL62">
            <v>0</v>
          </cell>
          <cell r="AM62">
            <v>0</v>
          </cell>
          <cell r="AN62">
            <v>0</v>
          </cell>
          <cell r="AO62">
            <v>0</v>
          </cell>
          <cell r="AP62">
            <v>249996</v>
          </cell>
          <cell r="AQ62" t="str">
            <v>Bahia</v>
          </cell>
          <cell r="AS62" t="str">
            <v>x</v>
          </cell>
          <cell r="AT62">
            <v>0</v>
          </cell>
        </row>
        <row r="63">
          <cell r="B63" t="str">
            <v>COO0155</v>
          </cell>
          <cell r="C63" t="str">
            <v>OOMG.C</v>
          </cell>
          <cell r="D63" t="str">
            <v>OOGR.S-S-2025-I-0175</v>
          </cell>
          <cell r="E63" t="str">
            <v>C-2025-G-0069</v>
          </cell>
          <cell r="F63" t="str">
            <v>C-2025-G-066</v>
          </cell>
          <cell r="G63" t="str">
            <v>Chesf</v>
          </cell>
          <cell r="H63" t="str">
            <v>Nova Demanda</v>
          </cell>
          <cell r="I63" t="str">
            <v>Modernização do sistema de alimentação do Vertedouro e Tomada d'água da UHE Xingó</v>
          </cell>
          <cell r="J63" t="str">
            <v>Quadros QV e QT Xingó</v>
          </cell>
          <cell r="K63" t="str">
            <v>Modernização dos quadros QV e QT</v>
          </cell>
          <cell r="L63" t="str">
            <v>H400040109</v>
          </cell>
          <cell r="M63" t="str">
            <v>UHE Xingó</v>
          </cell>
          <cell r="N63" t="str">
            <v>Geração</v>
          </cell>
          <cell r="O63" t="str">
            <v>Modernização de pequeno porte</v>
          </cell>
          <cell r="P63" t="str">
            <v>Modernização de pequeno porte</v>
          </cell>
          <cell r="Q63" t="str">
            <v>MH.6002</v>
          </cell>
          <cell r="R63" t="str">
            <v>PLANO DE MELHORIAS DOMG 20-25</v>
          </cell>
          <cell r="S63">
            <v>20833</v>
          </cell>
          <cell r="T63">
            <v>20833</v>
          </cell>
          <cell r="U63">
            <v>20833</v>
          </cell>
          <cell r="V63">
            <v>20833</v>
          </cell>
          <cell r="W63">
            <v>20833</v>
          </cell>
          <cell r="X63">
            <v>20833</v>
          </cell>
          <cell r="Y63">
            <v>20833</v>
          </cell>
          <cell r="Z63">
            <v>20833</v>
          </cell>
          <cell r="AA63">
            <v>20833</v>
          </cell>
          <cell r="AB63">
            <v>20833</v>
          </cell>
          <cell r="AC63">
            <v>20833</v>
          </cell>
          <cell r="AD63">
            <v>20833</v>
          </cell>
          <cell r="AE63">
            <v>249996</v>
          </cell>
          <cell r="AF63">
            <v>12499.800000000001</v>
          </cell>
          <cell r="AG63"/>
          <cell r="AH63"/>
          <cell r="AI63"/>
          <cell r="AJ63">
            <v>262495.8</v>
          </cell>
          <cell r="AK63">
            <v>0</v>
          </cell>
          <cell r="AL63">
            <v>0</v>
          </cell>
          <cell r="AM63">
            <v>0</v>
          </cell>
          <cell r="AN63">
            <v>0</v>
          </cell>
          <cell r="AO63">
            <v>0</v>
          </cell>
          <cell r="AP63">
            <v>262495.8</v>
          </cell>
          <cell r="AQ63" t="str">
            <v>Alagoas</v>
          </cell>
          <cell r="AS63" t="str">
            <v>x</v>
          </cell>
          <cell r="AT63">
            <v>12499.800000000001</v>
          </cell>
        </row>
        <row r="64">
          <cell r="B64" t="str">
            <v>COO0156</v>
          </cell>
          <cell r="C64" t="str">
            <v>OOMG.C</v>
          </cell>
          <cell r="D64" t="str">
            <v>OOGN.S-S-2025-I-0127</v>
          </cell>
          <cell r="E64" t="str">
            <v>C-2024-G-0021</v>
          </cell>
          <cell r="F64" t="str">
            <v>C-2024-G-018</v>
          </cell>
          <cell r="G64" t="str">
            <v>Chesf</v>
          </cell>
          <cell r="H64" t="str">
            <v>Contratado</v>
          </cell>
          <cell r="I64" t="str">
            <v>Modernização dos reguladores de velocidade das usinas Paulo Afonso I, II e III</v>
          </cell>
          <cell r="J64" t="str">
            <v>Reguladores de velocidade Paulo Afonso</v>
          </cell>
          <cell r="K64" t="str">
            <v>Modernização dos reguladores de velocidade das usinas Paulo Afonso I, II e III</v>
          </cell>
          <cell r="L64" t="str">
            <v>Diversos</v>
          </cell>
          <cell r="M64" t="str">
            <v>Complexo Paulo Afonso</v>
          </cell>
          <cell r="N64" t="str">
            <v>Geração</v>
          </cell>
          <cell r="O64" t="str">
            <v>Modernização de pequeno porte</v>
          </cell>
          <cell r="P64" t="str">
            <v>Modernização de pequeno porte</v>
          </cell>
          <cell r="Q64" t="str">
            <v>MH.6002</v>
          </cell>
          <cell r="R64" t="str">
            <v>PLANO DE MELHORIAS DOMG 20-25</v>
          </cell>
          <cell r="S64">
            <v>37838</v>
          </cell>
          <cell r="T64">
            <v>37838</v>
          </cell>
          <cell r="U64">
            <v>37838</v>
          </cell>
          <cell r="V64">
            <v>37838</v>
          </cell>
          <cell r="W64">
            <v>37838</v>
          </cell>
          <cell r="X64">
            <v>37838</v>
          </cell>
          <cell r="Y64">
            <v>37838</v>
          </cell>
          <cell r="Z64">
            <v>37838</v>
          </cell>
          <cell r="AA64">
            <v>37838</v>
          </cell>
          <cell r="AB64">
            <v>37838</v>
          </cell>
          <cell r="AC64">
            <v>37838</v>
          </cell>
          <cell r="AD64">
            <v>37838</v>
          </cell>
          <cell r="AE64">
            <v>454056</v>
          </cell>
          <cell r="AF64">
            <v>240000</v>
          </cell>
          <cell r="AG64"/>
          <cell r="AH64"/>
          <cell r="AI64"/>
          <cell r="AJ64">
            <v>694056</v>
          </cell>
          <cell r="AK64">
            <v>0</v>
          </cell>
          <cell r="AL64">
            <v>0</v>
          </cell>
          <cell r="AM64">
            <v>0</v>
          </cell>
          <cell r="AN64">
            <v>0</v>
          </cell>
          <cell r="AO64">
            <v>0</v>
          </cell>
          <cell r="AP64">
            <v>694056</v>
          </cell>
          <cell r="AQ64" t="str">
            <v>Bahia</v>
          </cell>
          <cell r="AS64" t="str">
            <v>x</v>
          </cell>
          <cell r="AT64">
            <v>240000</v>
          </cell>
        </row>
        <row r="65">
          <cell r="B65" t="str">
            <v>COO0157</v>
          </cell>
          <cell r="C65" t="str">
            <v>OOMG.C</v>
          </cell>
          <cell r="D65" t="str">
            <v>OOGR.S-S-2025-I-0080</v>
          </cell>
          <cell r="E65" t="str">
            <v>C-2025-G-0034</v>
          </cell>
          <cell r="F65" t="str">
            <v>C-2024-G-022</v>
          </cell>
          <cell r="G65" t="str">
            <v>Chesf</v>
          </cell>
          <cell r="H65" t="str">
            <v>Nova Demanda</v>
          </cell>
          <cell r="I65" t="str">
            <v>Modernização do sistema de proteção contra incêndio do gerador da UHE.</v>
          </cell>
          <cell r="J65" t="str">
            <v>Sistema combate a incêndio de Gerador</v>
          </cell>
          <cell r="K65" t="str">
            <v>Modernização dos sistemas de combate a incêndio do Gerador (CO2)</v>
          </cell>
          <cell r="L65" t="str">
            <v>Diversos</v>
          </cell>
          <cell r="M65" t="str">
            <v>Diversas UHE</v>
          </cell>
          <cell r="N65" t="str">
            <v>Geração</v>
          </cell>
          <cell r="O65" t="str">
            <v>Modernização de pequeno porte</v>
          </cell>
          <cell r="P65" t="str">
            <v>Modernização de pequeno porte</v>
          </cell>
          <cell r="Q65" t="str">
            <v>MH.6002</v>
          </cell>
          <cell r="R65" t="str">
            <v>PLANO DE MELHORIAS DOMG 20-25</v>
          </cell>
          <cell r="S65">
            <v>83333</v>
          </cell>
          <cell r="T65">
            <v>83333</v>
          </cell>
          <cell r="U65">
            <v>83333</v>
          </cell>
          <cell r="V65">
            <v>83333</v>
          </cell>
          <cell r="W65">
            <v>83333</v>
          </cell>
          <cell r="X65">
            <v>83333</v>
          </cell>
          <cell r="Y65">
            <v>83333</v>
          </cell>
          <cell r="Z65">
            <v>83333</v>
          </cell>
          <cell r="AA65">
            <v>83333</v>
          </cell>
          <cell r="AB65">
            <v>83333</v>
          </cell>
          <cell r="AC65">
            <v>83333</v>
          </cell>
          <cell r="AD65">
            <v>83333</v>
          </cell>
          <cell r="AE65">
            <v>999996</v>
          </cell>
          <cell r="AF65">
            <v>3200000</v>
          </cell>
          <cell r="AG65"/>
          <cell r="AH65"/>
          <cell r="AI65"/>
          <cell r="AJ65">
            <v>4199996</v>
          </cell>
          <cell r="AK65">
            <v>0</v>
          </cell>
          <cell r="AL65">
            <v>0</v>
          </cell>
          <cell r="AM65">
            <v>0</v>
          </cell>
          <cell r="AN65">
            <v>0</v>
          </cell>
          <cell r="AO65">
            <v>0</v>
          </cell>
          <cell r="AP65">
            <v>4199996</v>
          </cell>
          <cell r="AQ65"/>
          <cell r="AS65" t="str">
            <v>x</v>
          </cell>
          <cell r="AT65">
            <v>3200000</v>
          </cell>
        </row>
        <row r="66">
          <cell r="B66" t="str">
            <v>COO0158</v>
          </cell>
          <cell r="C66" t="str">
            <v>OOMG.C</v>
          </cell>
          <cell r="D66" t="str">
            <v>OOTM.F-OS-2025-I-0463</v>
          </cell>
          <cell r="E66" t="str">
            <v>C-2025-G-0028</v>
          </cell>
          <cell r="F66" t="str">
            <v>C-2025-G-039</v>
          </cell>
          <cell r="G66" t="str">
            <v>Chesf</v>
          </cell>
          <cell r="H66" t="str">
            <v>Nova Demanda</v>
          </cell>
          <cell r="I66" t="str">
            <v>Modernização de vertedouros das diversas usinas da Chesf</v>
          </cell>
          <cell r="J66" t="str">
            <v>Modernização de vertedouros</v>
          </cell>
          <cell r="K66" t="str">
            <v>Modernização dos vertedouros das usinas Boa Esperança, Pedra, Sobradinho e Paulo Afonso I</v>
          </cell>
          <cell r="L66" t="str">
            <v>Diversos</v>
          </cell>
          <cell r="M66" t="str">
            <v>Diversas UHE</v>
          </cell>
          <cell r="N66" t="str">
            <v>Geração</v>
          </cell>
          <cell r="O66" t="str">
            <v>Modernização de pequeno porte</v>
          </cell>
          <cell r="P66" t="str">
            <v>Modernização de pequeno porte</v>
          </cell>
          <cell r="Q66" t="str">
            <v>MH.6002</v>
          </cell>
          <cell r="R66" t="str">
            <v>PLANO DE MELHORIAS DOMG 20-25</v>
          </cell>
          <cell r="S66">
            <v>0</v>
          </cell>
          <cell r="T66">
            <v>0</v>
          </cell>
          <cell r="U66">
            <v>0</v>
          </cell>
          <cell r="V66">
            <v>0</v>
          </cell>
          <cell r="W66">
            <v>0</v>
          </cell>
          <cell r="X66">
            <v>0</v>
          </cell>
          <cell r="Y66">
            <v>0</v>
          </cell>
          <cell r="Z66">
            <v>0</v>
          </cell>
          <cell r="AA66">
            <v>0</v>
          </cell>
          <cell r="AB66">
            <v>0</v>
          </cell>
          <cell r="AC66">
            <v>0</v>
          </cell>
          <cell r="AD66">
            <v>0</v>
          </cell>
          <cell r="AE66">
            <v>0</v>
          </cell>
          <cell r="AF66">
            <v>4610000</v>
          </cell>
          <cell r="AG66">
            <v>9500000</v>
          </cell>
          <cell r="AH66">
            <v>13780000</v>
          </cell>
          <cell r="AI66">
            <v>7950000</v>
          </cell>
          <cell r="AJ66">
            <v>35840000</v>
          </cell>
          <cell r="AK66">
            <v>8480000</v>
          </cell>
          <cell r="AL66">
            <v>8480000</v>
          </cell>
          <cell r="AM66">
            <v>0</v>
          </cell>
          <cell r="AN66">
            <v>0</v>
          </cell>
          <cell r="AO66">
            <v>0</v>
          </cell>
          <cell r="AP66">
            <v>52800000</v>
          </cell>
          <cell r="AQ66" t="str">
            <v>Bahia</v>
          </cell>
          <cell r="AS66" t="str">
            <v>x</v>
          </cell>
          <cell r="AT66">
            <v>44320000</v>
          </cell>
        </row>
        <row r="67">
          <cell r="B67" t="str">
            <v>COO0159</v>
          </cell>
          <cell r="C67" t="str">
            <v>OOMG.C</v>
          </cell>
          <cell r="D67" t="str">
            <v>OOMS.S-S-2025-I-0027</v>
          </cell>
          <cell r="E67" t="str">
            <v>C-2025-G-0030</v>
          </cell>
          <cell r="F67" t="str">
            <v>C-2025-G-051</v>
          </cell>
          <cell r="G67" t="str">
            <v>Chesf</v>
          </cell>
          <cell r="H67" t="str">
            <v>Nova Demanda</v>
          </cell>
          <cell r="I67" t="str">
            <v>Modernização eletromecânica da PCH Funil</v>
          </cell>
          <cell r="J67" t="str">
            <v>Modernização eletromecânica Funil</v>
          </cell>
          <cell r="K67" t="str">
            <v>Modernização eletromecânica (mínima) da UHE Funil</v>
          </cell>
          <cell r="L67" t="str">
            <v>H400060129</v>
          </cell>
          <cell r="M67" t="str">
            <v>PCH Funil</v>
          </cell>
          <cell r="N67" t="str">
            <v>Geração</v>
          </cell>
          <cell r="O67" t="str">
            <v>Modernização de pequeno porte</v>
          </cell>
          <cell r="P67" t="str">
            <v>Modernização de pequeno porte</v>
          </cell>
          <cell r="Q67" t="str">
            <v>UH.6011</v>
          </cell>
          <cell r="R67" t="str">
            <v>MODERNIZAÇÃO UFL-ELETROMECANICOS</v>
          </cell>
          <cell r="S67">
            <v>166667</v>
          </cell>
          <cell r="T67">
            <v>166667</v>
          </cell>
          <cell r="U67">
            <v>166667</v>
          </cell>
          <cell r="V67">
            <v>166667</v>
          </cell>
          <cell r="W67">
            <v>166667</v>
          </cell>
          <cell r="X67">
            <v>166667</v>
          </cell>
          <cell r="Y67">
            <v>166667</v>
          </cell>
          <cell r="Z67">
            <v>166667</v>
          </cell>
          <cell r="AA67">
            <v>166667</v>
          </cell>
          <cell r="AB67">
            <v>166667</v>
          </cell>
          <cell r="AC67">
            <v>166667</v>
          </cell>
          <cell r="AD67">
            <v>166667</v>
          </cell>
          <cell r="AE67">
            <v>2000004</v>
          </cell>
          <cell r="AF67">
            <v>5000000</v>
          </cell>
          <cell r="AG67">
            <v>5000000</v>
          </cell>
          <cell r="AH67">
            <v>5000000</v>
          </cell>
          <cell r="AI67">
            <v>5000000</v>
          </cell>
          <cell r="AJ67">
            <v>22000004</v>
          </cell>
          <cell r="AK67">
            <v>3000000</v>
          </cell>
          <cell r="AL67">
            <v>0</v>
          </cell>
          <cell r="AM67">
            <v>0</v>
          </cell>
          <cell r="AN67">
            <v>0</v>
          </cell>
          <cell r="AO67">
            <v>0</v>
          </cell>
          <cell r="AP67">
            <v>25000004</v>
          </cell>
          <cell r="AQ67" t="str">
            <v>Bahia</v>
          </cell>
          <cell r="AS67" t="str">
            <v>x</v>
          </cell>
          <cell r="AT67">
            <v>23000000</v>
          </cell>
        </row>
        <row r="68">
          <cell r="B68" t="str">
            <v>COO0160</v>
          </cell>
          <cell r="C68" t="str">
            <v>OOMG.C</v>
          </cell>
          <cell r="D68" t="str">
            <v>OOMS.S-S-2025-I-0026</v>
          </cell>
          <cell r="E68" t="str">
            <v>C-2025-G-0027</v>
          </cell>
          <cell r="F68" t="str">
            <v>C-2025-G-052</v>
          </cell>
          <cell r="G68" t="str">
            <v>Chesf</v>
          </cell>
          <cell r="H68" t="str">
            <v>Nova Demanda</v>
          </cell>
          <cell r="I68" t="str">
            <v>Modernização da UHE Paulo Afonso III</v>
          </cell>
          <cell r="J68" t="str">
            <v>Modernização Paulo Afonso III</v>
          </cell>
          <cell r="K68" t="str">
            <v>Modernização eletromecânica da usina Paulo Afonso III</v>
          </cell>
          <cell r="L68" t="str">
            <v>Diversos</v>
          </cell>
          <cell r="M68" t="str">
            <v>UHE Paulo Afonso III</v>
          </cell>
          <cell r="N68" t="str">
            <v>Geração</v>
          </cell>
          <cell r="O68" t="str">
            <v>Modernização de pequeno porte</v>
          </cell>
          <cell r="P68" t="str">
            <v>Modernização de pequeno porte</v>
          </cell>
          <cell r="Q68" t="str">
            <v>MH.6002</v>
          </cell>
          <cell r="R68" t="str">
            <v>PLANO DE MELHORIAS DOMG 20-25</v>
          </cell>
          <cell r="S68">
            <v>166667</v>
          </cell>
          <cell r="T68">
            <v>166667</v>
          </cell>
          <cell r="U68">
            <v>166667</v>
          </cell>
          <cell r="V68">
            <v>166667</v>
          </cell>
          <cell r="W68">
            <v>166667</v>
          </cell>
          <cell r="X68">
            <v>166667</v>
          </cell>
          <cell r="Y68">
            <v>166667</v>
          </cell>
          <cell r="Z68">
            <v>166667</v>
          </cell>
          <cell r="AA68">
            <v>166667</v>
          </cell>
          <cell r="AB68">
            <v>166667</v>
          </cell>
          <cell r="AC68">
            <v>166667</v>
          </cell>
          <cell r="AD68">
            <v>166667</v>
          </cell>
          <cell r="AE68">
            <v>2000004</v>
          </cell>
          <cell r="AF68">
            <v>1300000</v>
          </cell>
          <cell r="AG68">
            <v>20000000</v>
          </cell>
          <cell r="AH68">
            <v>50000000</v>
          </cell>
          <cell r="AI68">
            <v>50000000</v>
          </cell>
          <cell r="AJ68">
            <v>123300004</v>
          </cell>
          <cell r="AK68">
            <v>50000000</v>
          </cell>
          <cell r="AL68">
            <v>28000000</v>
          </cell>
          <cell r="AM68">
            <v>0</v>
          </cell>
          <cell r="AN68">
            <v>0</v>
          </cell>
          <cell r="AO68">
            <v>0</v>
          </cell>
          <cell r="AP68">
            <v>201300004</v>
          </cell>
          <cell r="AQ68" t="str">
            <v>Bahia</v>
          </cell>
          <cell r="AS68" t="str">
            <v>x</v>
          </cell>
          <cell r="AT68">
            <v>171300000</v>
          </cell>
        </row>
        <row r="69">
          <cell r="B69" t="str">
            <v>COO0161</v>
          </cell>
          <cell r="C69" t="str">
            <v>OOMG.C</v>
          </cell>
          <cell r="D69" t="str">
            <v>OOTM.F-OS-2025-I-0385</v>
          </cell>
          <cell r="E69" t="str">
            <v>C-2025-G-0033</v>
          </cell>
          <cell r="F69" t="str">
            <v>C-2025-G-070</v>
          </cell>
          <cell r="G69" t="str">
            <v>Chesf</v>
          </cell>
          <cell r="H69" t="str">
            <v>Nova Demanda</v>
          </cell>
          <cell r="I69" t="str">
            <v>Modernização do regulador de velocidade mecânico da UHE Xingó</v>
          </cell>
          <cell r="J69" t="str">
            <v>Regulador de velocidade (mecânica) Xingó</v>
          </cell>
          <cell r="K69" t="str">
            <v>Modernização mecânica do regulador de velocidade das unidades geradoras</v>
          </cell>
          <cell r="L69" t="str">
            <v>H400040109</v>
          </cell>
          <cell r="M69" t="str">
            <v>UHE Xingó</v>
          </cell>
          <cell r="N69" t="str">
            <v>Geração</v>
          </cell>
          <cell r="O69" t="str">
            <v>Modernização de pequeno porte</v>
          </cell>
          <cell r="P69" t="str">
            <v>Modernização de pequeno porte</v>
          </cell>
          <cell r="Q69" t="str">
            <v>MH.6002</v>
          </cell>
          <cell r="R69" t="str">
            <v>PLANO DE MELHORIAS DOMG 20-25</v>
          </cell>
          <cell r="S69">
            <v>0</v>
          </cell>
          <cell r="T69">
            <v>0</v>
          </cell>
          <cell r="U69">
            <v>0</v>
          </cell>
          <cell r="V69">
            <v>0</v>
          </cell>
          <cell r="W69">
            <v>0</v>
          </cell>
          <cell r="X69">
            <v>0</v>
          </cell>
          <cell r="Y69">
            <v>0</v>
          </cell>
          <cell r="Z69">
            <v>0</v>
          </cell>
          <cell r="AA69">
            <v>0</v>
          </cell>
          <cell r="AB69">
            <v>0</v>
          </cell>
          <cell r="AC69">
            <v>0</v>
          </cell>
          <cell r="AD69">
            <v>0</v>
          </cell>
          <cell r="AE69">
            <v>0</v>
          </cell>
          <cell r="AF69"/>
          <cell r="AG69">
            <v>2000000</v>
          </cell>
          <cell r="AH69">
            <v>2000000</v>
          </cell>
          <cell r="AI69">
            <v>2000000</v>
          </cell>
          <cell r="AJ69">
            <v>6000000</v>
          </cell>
          <cell r="AK69">
            <v>0</v>
          </cell>
          <cell r="AL69">
            <v>0</v>
          </cell>
          <cell r="AM69">
            <v>0</v>
          </cell>
          <cell r="AN69">
            <v>0</v>
          </cell>
          <cell r="AO69">
            <v>0</v>
          </cell>
          <cell r="AP69">
            <v>6000000</v>
          </cell>
          <cell r="AQ69" t="str">
            <v>Alagoas</v>
          </cell>
          <cell r="AS69" t="str">
            <v>x</v>
          </cell>
          <cell r="AT69">
            <v>6000000</v>
          </cell>
        </row>
        <row r="70">
          <cell r="B70" t="str">
            <v>COO0162</v>
          </cell>
          <cell r="C70" t="str">
            <v>OOPM.C</v>
          </cell>
          <cell r="D70" t="str">
            <v>OOGS.S-S-2025-I-0227</v>
          </cell>
          <cell r="E70" t="str">
            <v>C-2025-G-0104</v>
          </cell>
          <cell r="F70" t="str">
            <v>C-2025-G-053</v>
          </cell>
          <cell r="G70" t="str">
            <v>Chesf</v>
          </cell>
          <cell r="H70" t="str">
            <v>Nova Demanda</v>
          </cell>
          <cell r="I70" t="str">
            <v>Modernização Postos Calhas de Rio (Grupo 2)</v>
          </cell>
          <cell r="J70" t="str">
            <v>Modernização Postos Calhas de Rio (Grupo 2)</v>
          </cell>
          <cell r="K70" t="str">
            <v>Modernização Postos Calhas de Rio (Grupo 2)</v>
          </cell>
          <cell r="L70" t="str">
            <v>Diversos</v>
          </cell>
          <cell r="M70" t="str">
            <v>Diversas UHE</v>
          </cell>
          <cell r="N70" t="str">
            <v>Geração</v>
          </cell>
          <cell r="O70" t="str">
            <v>Modernização de pequeno porte</v>
          </cell>
          <cell r="P70" t="str">
            <v>Modernização de pequeno porte</v>
          </cell>
          <cell r="Q70" t="str">
            <v>Diversos</v>
          </cell>
          <cell r="R70" t="str">
            <v>Diversas</v>
          </cell>
          <cell r="S70">
            <v>2808</v>
          </cell>
          <cell r="T70">
            <v>2808</v>
          </cell>
          <cell r="U70">
            <v>2808</v>
          </cell>
          <cell r="V70">
            <v>2808</v>
          </cell>
          <cell r="W70">
            <v>1404</v>
          </cell>
          <cell r="X70">
            <v>1404</v>
          </cell>
          <cell r="Y70">
            <v>56160</v>
          </cell>
          <cell r="Z70">
            <v>56160</v>
          </cell>
          <cell r="AA70">
            <v>4410</v>
          </cell>
          <cell r="AB70">
            <v>4410</v>
          </cell>
          <cell r="AC70">
            <v>4410</v>
          </cell>
          <cell r="AD70">
            <v>4410</v>
          </cell>
          <cell r="AE70">
            <v>144000</v>
          </cell>
          <cell r="AF70">
            <v>7200</v>
          </cell>
          <cell r="AG70"/>
          <cell r="AH70"/>
          <cell r="AI70"/>
          <cell r="AJ70">
            <v>151200</v>
          </cell>
          <cell r="AK70">
            <v>0</v>
          </cell>
          <cell r="AL70">
            <v>0</v>
          </cell>
          <cell r="AM70">
            <v>0</v>
          </cell>
          <cell r="AN70">
            <v>0</v>
          </cell>
          <cell r="AO70">
            <v>0</v>
          </cell>
          <cell r="AP70">
            <v>151200</v>
          </cell>
          <cell r="AQ70"/>
          <cell r="AS70" t="str">
            <v>x</v>
          </cell>
          <cell r="AT70">
            <v>7200</v>
          </cell>
        </row>
        <row r="71">
          <cell r="B71" t="str">
            <v>COO0163</v>
          </cell>
          <cell r="C71" t="str">
            <v>OOMG.C</v>
          </cell>
          <cell r="D71" t="str">
            <v>OOGS.S-S-2025-I-0213</v>
          </cell>
          <cell r="E71" t="str">
            <v>C-2025-G-0068</v>
          </cell>
          <cell r="F71" t="str">
            <v>C-2025-G-035</v>
          </cell>
          <cell r="G71" t="str">
            <v>Chesf</v>
          </cell>
          <cell r="H71" t="str">
            <v>Nova Demanda</v>
          </cell>
          <cell r="I71" t="str">
            <v>Aquisição das válvulas do sistema de esvaziamento da UHE Xingó</v>
          </cell>
          <cell r="J71" t="str">
            <v>Válvulas esvaziamento Xingó</v>
          </cell>
          <cell r="K71" t="str">
            <v>Motorização da válvula de esvaziamento final das UG (06 UN)</v>
          </cell>
          <cell r="L71" t="str">
            <v>H400040109</v>
          </cell>
          <cell r="M71" t="str">
            <v>UHE Xingó</v>
          </cell>
          <cell r="N71" t="str">
            <v>Geração</v>
          </cell>
          <cell r="O71" t="str">
            <v>Modernização de pequeno porte</v>
          </cell>
          <cell r="P71" t="str">
            <v>Modernização de pequeno porte</v>
          </cell>
          <cell r="Q71" t="str">
            <v>MH.6002</v>
          </cell>
          <cell r="R71" t="str">
            <v>PLANO DE MELHORIAS DOMG 20-25</v>
          </cell>
          <cell r="S71">
            <v>12500</v>
          </cell>
          <cell r="T71">
            <v>12500</v>
          </cell>
          <cell r="U71">
            <v>12500</v>
          </cell>
          <cell r="V71">
            <v>12500</v>
          </cell>
          <cell r="W71">
            <v>12500</v>
          </cell>
          <cell r="X71">
            <v>12500</v>
          </cell>
          <cell r="Y71">
            <v>12500</v>
          </cell>
          <cell r="Z71">
            <v>12500</v>
          </cell>
          <cell r="AA71">
            <v>12500</v>
          </cell>
          <cell r="AB71">
            <v>12500</v>
          </cell>
          <cell r="AC71">
            <v>12500</v>
          </cell>
          <cell r="AD71">
            <v>12500</v>
          </cell>
          <cell r="AE71">
            <v>150000</v>
          </cell>
          <cell r="AF71">
            <v>100000</v>
          </cell>
          <cell r="AG71"/>
          <cell r="AH71"/>
          <cell r="AI71"/>
          <cell r="AJ71">
            <v>250000</v>
          </cell>
          <cell r="AK71">
            <v>0</v>
          </cell>
          <cell r="AL71">
            <v>0</v>
          </cell>
          <cell r="AM71">
            <v>0</v>
          </cell>
          <cell r="AN71">
            <v>0</v>
          </cell>
          <cell r="AO71">
            <v>0</v>
          </cell>
          <cell r="AP71">
            <v>250000</v>
          </cell>
          <cell r="AQ71" t="str">
            <v>Alagoas</v>
          </cell>
          <cell r="AS71" t="str">
            <v>x</v>
          </cell>
          <cell r="AT71">
            <v>100000</v>
          </cell>
        </row>
        <row r="72">
          <cell r="B72" t="str">
            <v>COO0164</v>
          </cell>
          <cell r="C72" t="str">
            <v>OOMG.C</v>
          </cell>
          <cell r="D72" t="str">
            <v>OOGS.S-S-2025-I-0214</v>
          </cell>
          <cell r="E72" t="str">
            <v>C-2025-G-0070</v>
          </cell>
          <cell r="F72" t="str">
            <v>C-2025-G-034</v>
          </cell>
          <cell r="G72" t="str">
            <v>Chesf</v>
          </cell>
          <cell r="H72" t="str">
            <v>Nova Demanda</v>
          </cell>
          <cell r="I72" t="str">
            <v>Aquisição das válvulas de by-bass da caixa espiral e tubo de Sucção da UHE Xingó</v>
          </cell>
          <cell r="J72" t="str">
            <v>Válvulas by-pass Xingó</v>
          </cell>
          <cell r="K72" t="str">
            <v>Motorização da válvulas de bybass caixa espiral/Sucção das UG (06 UN)</v>
          </cell>
          <cell r="L72" t="str">
            <v>H400040109</v>
          </cell>
          <cell r="M72" t="str">
            <v>UHE Xingó</v>
          </cell>
          <cell r="N72" t="str">
            <v>Geração</v>
          </cell>
          <cell r="O72" t="str">
            <v>Modernização de pequeno porte</v>
          </cell>
          <cell r="P72" t="str">
            <v>Modernização de pequeno porte</v>
          </cell>
          <cell r="Q72" t="str">
            <v>MH.6002</v>
          </cell>
          <cell r="R72" t="str">
            <v>PLANO DE MELHORIAS DOMG 20-25</v>
          </cell>
          <cell r="S72">
            <v>12500</v>
          </cell>
          <cell r="T72">
            <v>12500</v>
          </cell>
          <cell r="U72">
            <v>12500</v>
          </cell>
          <cell r="V72">
            <v>12500</v>
          </cell>
          <cell r="W72">
            <v>12500</v>
          </cell>
          <cell r="X72">
            <v>12500</v>
          </cell>
          <cell r="Y72">
            <v>12500</v>
          </cell>
          <cell r="Z72">
            <v>12500</v>
          </cell>
          <cell r="AA72">
            <v>12500</v>
          </cell>
          <cell r="AB72">
            <v>12500</v>
          </cell>
          <cell r="AC72">
            <v>12500</v>
          </cell>
          <cell r="AD72">
            <v>12500</v>
          </cell>
          <cell r="AE72">
            <v>150000</v>
          </cell>
          <cell r="AF72">
            <v>100000</v>
          </cell>
          <cell r="AG72"/>
          <cell r="AH72"/>
          <cell r="AI72"/>
          <cell r="AJ72">
            <v>250000</v>
          </cell>
          <cell r="AK72">
            <v>0</v>
          </cell>
          <cell r="AL72">
            <v>0</v>
          </cell>
          <cell r="AM72">
            <v>0</v>
          </cell>
          <cell r="AN72">
            <v>0</v>
          </cell>
          <cell r="AO72">
            <v>0</v>
          </cell>
          <cell r="AP72">
            <v>250000</v>
          </cell>
          <cell r="AQ72" t="str">
            <v>Alagoas</v>
          </cell>
          <cell r="AS72" t="str">
            <v>x</v>
          </cell>
          <cell r="AT72">
            <v>100000</v>
          </cell>
        </row>
        <row r="73">
          <cell r="B73" t="str">
            <v>COO0167</v>
          </cell>
          <cell r="C73" t="str">
            <v>OOMB.C</v>
          </cell>
          <cell r="D73"/>
          <cell r="E73" t="str">
            <v>C-2025-G-0124</v>
          </cell>
          <cell r="F73" t="str">
            <v>C-2025-G-065</v>
          </cell>
          <cell r="G73" t="str">
            <v>Chesf</v>
          </cell>
          <cell r="H73" t="str">
            <v>Contratado</v>
          </cell>
          <cell r="I73" t="str">
            <v>Adequação às NRs das instalações das usinas da Chesf - Projeto Previnir+</v>
          </cell>
          <cell r="J73" t="str">
            <v>Projeto para atendimento aos requisitos legais referentes às NRs 10, 12, 17, 18, 23 e 24.</v>
          </cell>
          <cell r="K73" t="str">
            <v>Projeto para atendimento aos requisitos legais referentes às NRs 10, 12, 17, 18, 23 e 24.</v>
          </cell>
          <cell r="L73" t="str">
            <v>Diversos</v>
          </cell>
          <cell r="M73" t="str">
            <v>Diversas UHE</v>
          </cell>
          <cell r="N73" t="str">
            <v>Geração</v>
          </cell>
          <cell r="O73" t="str">
            <v>Modernização de pequeno porte</v>
          </cell>
          <cell r="P73" t="str">
            <v>Modernização de pequeno porte</v>
          </cell>
          <cell r="Q73" t="str">
            <v>MH.6001</v>
          </cell>
          <cell r="R73" t="str">
            <v>Investimento Civil Geração PDNG 2019-202</v>
          </cell>
          <cell r="S73">
            <v>0</v>
          </cell>
          <cell r="T73">
            <v>255000</v>
          </cell>
          <cell r="U73">
            <v>1410000</v>
          </cell>
          <cell r="V73">
            <v>1410000</v>
          </cell>
          <cell r="W73">
            <v>1410000</v>
          </cell>
          <cell r="X73">
            <v>1680000</v>
          </cell>
          <cell r="Y73">
            <v>1680000</v>
          </cell>
          <cell r="Z73">
            <v>1640000</v>
          </cell>
          <cell r="AA73">
            <v>1510000</v>
          </cell>
          <cell r="AB73">
            <v>1510000</v>
          </cell>
          <cell r="AC73">
            <v>1380000</v>
          </cell>
          <cell r="AD73">
            <v>1065000</v>
          </cell>
          <cell r="AE73">
            <v>14950000</v>
          </cell>
          <cell r="AF73">
            <v>9609716.8904924393</v>
          </cell>
          <cell r="AG73"/>
          <cell r="AH73"/>
          <cell r="AI73"/>
          <cell r="AJ73">
            <v>24559716.890492439</v>
          </cell>
          <cell r="AK73">
            <v>0</v>
          </cell>
          <cell r="AL73">
            <v>0</v>
          </cell>
          <cell r="AM73">
            <v>0</v>
          </cell>
          <cell r="AN73">
            <v>0</v>
          </cell>
          <cell r="AO73">
            <v>0</v>
          </cell>
          <cell r="AP73">
            <v>24559716.890492439</v>
          </cell>
          <cell r="AQ73" t="str">
            <v>Bahia</v>
          </cell>
          <cell r="AS73" t="str">
            <v>x</v>
          </cell>
          <cell r="AT73">
            <v>9609716.8904924393</v>
          </cell>
        </row>
        <row r="74">
          <cell r="B74" t="str">
            <v>COO0170</v>
          </cell>
          <cell r="C74" t="str">
            <v>OOMG.C</v>
          </cell>
          <cell r="D74" t="str">
            <v>OOGN.S-S-2025-I-0112</v>
          </cell>
          <cell r="E74" t="str">
            <v>C-2025-G-0048</v>
          </cell>
          <cell r="F74" t="str">
            <v>C-2025-G-043</v>
          </cell>
          <cell r="G74" t="str">
            <v>Chesf</v>
          </cell>
          <cell r="H74" t="str">
            <v>Nova Demanda</v>
          </cell>
          <cell r="I74" t="str">
            <v>Modernização do descarregador de fundo da barragem da PCH Funil</v>
          </cell>
          <cell r="J74" t="str">
            <v>Descarregador de fundo Funil</v>
          </cell>
          <cell r="K74" t="str">
            <v>Restauração do descarregador de fundo da barragem</v>
          </cell>
          <cell r="L74" t="str">
            <v>H400060129</v>
          </cell>
          <cell r="M74" t="str">
            <v>PCH Funil</v>
          </cell>
          <cell r="N74" t="str">
            <v>Geração</v>
          </cell>
          <cell r="O74" t="str">
            <v>Modernização de pequeno porte</v>
          </cell>
          <cell r="P74" t="str">
            <v>Modernização de pequeno porte</v>
          </cell>
          <cell r="Q74" t="str">
            <v>MH.6002</v>
          </cell>
          <cell r="R74" t="str">
            <v>PLANO DE MELHORIAS DOMG 20-25</v>
          </cell>
          <cell r="S74">
            <v>41667</v>
          </cell>
          <cell r="T74">
            <v>41667</v>
          </cell>
          <cell r="U74">
            <v>41667</v>
          </cell>
          <cell r="V74">
            <v>41667</v>
          </cell>
          <cell r="W74">
            <v>41667</v>
          </cell>
          <cell r="X74">
            <v>41667</v>
          </cell>
          <cell r="Y74">
            <v>41667</v>
          </cell>
          <cell r="Z74">
            <v>41667</v>
          </cell>
          <cell r="AA74">
            <v>41667</v>
          </cell>
          <cell r="AB74">
            <v>41667</v>
          </cell>
          <cell r="AC74">
            <v>41667</v>
          </cell>
          <cell r="AD74">
            <v>41667</v>
          </cell>
          <cell r="AE74">
            <v>500004</v>
          </cell>
          <cell r="AF74">
            <v>25000.2</v>
          </cell>
          <cell r="AG74"/>
          <cell r="AH74"/>
          <cell r="AI74"/>
          <cell r="AJ74">
            <v>525004.19999999995</v>
          </cell>
          <cell r="AK74">
            <v>0</v>
          </cell>
          <cell r="AL74">
            <v>0</v>
          </cell>
          <cell r="AM74">
            <v>0</v>
          </cell>
          <cell r="AN74">
            <v>0</v>
          </cell>
          <cell r="AO74">
            <v>0</v>
          </cell>
          <cell r="AP74">
            <v>525004.19999999995</v>
          </cell>
          <cell r="AQ74" t="str">
            <v>Bahia</v>
          </cell>
          <cell r="AS74" t="str">
            <v>x</v>
          </cell>
          <cell r="AT74">
            <v>25000.2</v>
          </cell>
        </row>
        <row r="75">
          <cell r="B75" t="str">
            <v>COO0171</v>
          </cell>
          <cell r="C75" t="str">
            <v>OOMG.C</v>
          </cell>
          <cell r="D75" t="str">
            <v>OOGN.S-S-2025-I-0124</v>
          </cell>
          <cell r="E75" t="str">
            <v>C-2024-G-0023</v>
          </cell>
          <cell r="F75" t="str">
            <v>C-2024-G-020</v>
          </cell>
          <cell r="G75" t="str">
            <v>Chesf</v>
          </cell>
          <cell r="H75" t="str">
            <v>Contratado</v>
          </cell>
          <cell r="I75" t="str">
            <v>Modernização dos reguladores de tensão das diversas usinas da Chesf</v>
          </cell>
          <cell r="J75" t="str">
            <v>Retrofit reguladores de tensão</v>
          </cell>
          <cell r="K75" t="str">
            <v>Retrofit dos reguladores de tensão das usinas Paulo Afonso I, II, III , Apolônio Sales e Boa Esperança</v>
          </cell>
          <cell r="L75" t="str">
            <v>Diversos</v>
          </cell>
          <cell r="M75" t="str">
            <v>Diversas UHE</v>
          </cell>
          <cell r="N75" t="str">
            <v>Geração</v>
          </cell>
          <cell r="O75" t="str">
            <v>Modernização de pequeno porte</v>
          </cell>
          <cell r="P75" t="str">
            <v>Modernização de pequeno porte</v>
          </cell>
          <cell r="Q75" t="str">
            <v>MH.6002</v>
          </cell>
          <cell r="R75" t="str">
            <v>PLANO DE MELHORIAS DOMG 20-25</v>
          </cell>
          <cell r="S75">
            <v>40000</v>
          </cell>
          <cell r="T75">
            <v>40000</v>
          </cell>
          <cell r="U75">
            <v>40000</v>
          </cell>
          <cell r="V75">
            <v>40000</v>
          </cell>
          <cell r="W75">
            <v>40000</v>
          </cell>
          <cell r="X75">
            <v>40000</v>
          </cell>
          <cell r="Y75">
            <v>40000</v>
          </cell>
          <cell r="Z75">
            <v>40000</v>
          </cell>
          <cell r="AA75">
            <v>40000</v>
          </cell>
          <cell r="AB75">
            <v>40000</v>
          </cell>
          <cell r="AC75">
            <v>40000</v>
          </cell>
          <cell r="AD75">
            <v>40000</v>
          </cell>
          <cell r="AE75">
            <v>480000</v>
          </cell>
          <cell r="AF75">
            <v>480000</v>
          </cell>
          <cell r="AG75">
            <v>480000</v>
          </cell>
          <cell r="AH75"/>
          <cell r="AI75"/>
          <cell r="AJ75">
            <v>1440000</v>
          </cell>
          <cell r="AK75">
            <v>0</v>
          </cell>
          <cell r="AL75">
            <v>0</v>
          </cell>
          <cell r="AM75">
            <v>0</v>
          </cell>
          <cell r="AN75">
            <v>0</v>
          </cell>
          <cell r="AO75">
            <v>0</v>
          </cell>
          <cell r="AP75">
            <v>1440000</v>
          </cell>
          <cell r="AQ75" t="str">
            <v>Alagoas</v>
          </cell>
          <cell r="AS75" t="str">
            <v>x</v>
          </cell>
          <cell r="AT75">
            <v>960000</v>
          </cell>
        </row>
        <row r="76">
          <cell r="B76" t="str">
            <v>COO0172</v>
          </cell>
          <cell r="C76" t="str">
            <v>OOMB.C</v>
          </cell>
          <cell r="D76" t="str">
            <v>OOP.C-C-2025-I-0048</v>
          </cell>
          <cell r="E76" t="str">
            <v>C-2025-G-0112</v>
          </cell>
          <cell r="F76" t="str">
            <v>C-2025-G-075</v>
          </cell>
          <cell r="G76" t="str">
            <v>Chesf</v>
          </cell>
          <cell r="H76" t="str">
            <v>Contratado</v>
          </cell>
          <cell r="I76" t="str">
            <v>Modernização do sistema de drenagem dos taludes da EOL Pindaí</v>
          </cell>
          <cell r="J76" t="str">
            <v>Serviços de Engenharia Referentes a Proteção de Taludes, Drenagem e Reparos Emergenciais das Plataformas dos Aerogeradores do Complexo Eólico GPEXPAN.</v>
          </cell>
          <cell r="K76" t="str">
            <v>Serviços de Engenharia Referentes a Proteção de Taludes, Drenagem e Reparos Emergenciais das Plataformas dos Aerogeradores do Complexo Eólico GPEXPAN.</v>
          </cell>
          <cell r="L76" t="str">
            <v>HO10505003</v>
          </cell>
          <cell r="M76" t="str">
            <v>EOL Complexo Pindaí II</v>
          </cell>
          <cell r="N76" t="str">
            <v>Geração</v>
          </cell>
          <cell r="O76" t="str">
            <v>Modernização de pequeno porte</v>
          </cell>
          <cell r="P76" t="str">
            <v>Modernização de pequeno porte</v>
          </cell>
          <cell r="Q76" t="str">
            <v>MH.6001</v>
          </cell>
          <cell r="R76" t="str">
            <v>Investimento Civil Geração PDNG 2019-202</v>
          </cell>
          <cell r="S76">
            <v>0</v>
          </cell>
          <cell r="T76">
            <v>0</v>
          </cell>
          <cell r="U76">
            <v>0</v>
          </cell>
          <cell r="V76">
            <v>0</v>
          </cell>
          <cell r="W76">
            <v>0</v>
          </cell>
          <cell r="X76">
            <v>0</v>
          </cell>
          <cell r="Y76">
            <v>498000</v>
          </cell>
          <cell r="Z76">
            <v>498000</v>
          </cell>
          <cell r="AA76">
            <v>501000</v>
          </cell>
          <cell r="AB76">
            <v>501000</v>
          </cell>
          <cell r="AC76">
            <v>501000</v>
          </cell>
          <cell r="AD76">
            <v>501000</v>
          </cell>
          <cell r="AE76">
            <v>3000000</v>
          </cell>
          <cell r="AF76"/>
          <cell r="AG76"/>
          <cell r="AH76"/>
          <cell r="AI76"/>
          <cell r="AJ76">
            <v>3000000</v>
          </cell>
          <cell r="AK76">
            <v>0</v>
          </cell>
          <cell r="AL76">
            <v>0</v>
          </cell>
          <cell r="AM76">
            <v>0</v>
          </cell>
          <cell r="AN76">
            <v>0</v>
          </cell>
          <cell r="AO76">
            <v>0</v>
          </cell>
          <cell r="AP76">
            <v>3000000</v>
          </cell>
          <cell r="AQ76" t="str">
            <v>Bahia</v>
          </cell>
          <cell r="AS76" t="str">
            <v>x</v>
          </cell>
          <cell r="AT76">
            <v>0</v>
          </cell>
        </row>
        <row r="77">
          <cell r="B77" t="str">
            <v>COO0174</v>
          </cell>
          <cell r="C77" t="str">
            <v>OOMS.C</v>
          </cell>
          <cell r="D77" t="str">
            <v>OOMT.S-S-2025-I-0041</v>
          </cell>
          <cell r="E77" t="str">
            <v>C-2025-G-0105</v>
          </cell>
          <cell r="F77" t="str">
            <v>C-2025-G-083</v>
          </cell>
          <cell r="G77" t="str">
            <v>Chesf</v>
          </cell>
          <cell r="H77" t="str">
            <v>Nova Demanda</v>
          </cell>
          <cell r="I77" t="str">
            <v>Modernização dos equipamentos de SE da UHE.</v>
          </cell>
          <cell r="J77" t="str">
            <v>Subsituição de TCs, PRs e seccionadores</v>
          </cell>
          <cell r="K77" t="str">
            <v>Subsituição de TCs, PRs e seccionadores</v>
          </cell>
          <cell r="L77" t="str">
            <v>Diversos</v>
          </cell>
          <cell r="M77" t="str">
            <v>Diversas UHE</v>
          </cell>
          <cell r="N77" t="str">
            <v>Geração</v>
          </cell>
          <cell r="O77" t="str">
            <v>Modernização de pequeno porte</v>
          </cell>
          <cell r="P77" t="str">
            <v>Modernização de pequeno porte</v>
          </cell>
          <cell r="Q77" t="str">
            <v>MS.6002</v>
          </cell>
          <cell r="R77" t="str">
            <v>PLANO DE MELHORIAS DOMS - US</v>
          </cell>
          <cell r="S77">
            <v>0</v>
          </cell>
          <cell r="T77">
            <v>0</v>
          </cell>
          <cell r="U77">
            <v>0</v>
          </cell>
          <cell r="V77">
            <v>0</v>
          </cell>
          <cell r="W77">
            <v>0</v>
          </cell>
          <cell r="X77">
            <v>0</v>
          </cell>
          <cell r="Y77">
            <v>0</v>
          </cell>
          <cell r="Z77">
            <v>0</v>
          </cell>
          <cell r="AA77">
            <v>0</v>
          </cell>
          <cell r="AB77">
            <v>0</v>
          </cell>
          <cell r="AC77">
            <v>0</v>
          </cell>
          <cell r="AD77">
            <v>1542233</v>
          </cell>
          <cell r="AE77">
            <v>1542233</v>
          </cell>
          <cell r="AF77">
            <v>937200</v>
          </cell>
          <cell r="AG77"/>
          <cell r="AH77"/>
          <cell r="AI77"/>
          <cell r="AJ77">
            <v>2479433</v>
          </cell>
          <cell r="AK77">
            <v>0</v>
          </cell>
          <cell r="AL77">
            <v>0</v>
          </cell>
          <cell r="AM77">
            <v>0</v>
          </cell>
          <cell r="AN77">
            <v>0</v>
          </cell>
          <cell r="AO77">
            <v>0</v>
          </cell>
          <cell r="AP77">
            <v>2479433</v>
          </cell>
          <cell r="AQ77"/>
          <cell r="AS77" t="str">
            <v>x</v>
          </cell>
          <cell r="AT77">
            <v>937200</v>
          </cell>
        </row>
        <row r="78">
          <cell r="B78" t="str">
            <v>COO0175</v>
          </cell>
          <cell r="C78" t="str">
            <v>OOMG.C</v>
          </cell>
          <cell r="D78" t="str">
            <v>OOGR.S-S-2025-I-0174</v>
          </cell>
          <cell r="E78" t="str">
            <v>C-2025-G-0060</v>
          </cell>
          <cell r="F78" t="str">
            <v>C-2025-G-015</v>
          </cell>
          <cell r="G78" t="str">
            <v>Chesf</v>
          </cell>
          <cell r="H78" t="str">
            <v>Nova Demanda</v>
          </cell>
          <cell r="I78" t="str">
            <v>Modernização do sistema de iluminação da UHE Xingó</v>
          </cell>
          <cell r="J78" t="str">
            <v>Iluminação LED Xingó</v>
          </cell>
          <cell r="K78" t="str">
            <v>Substituição da Iluminação por LED UXG</v>
          </cell>
          <cell r="L78" t="str">
            <v>H400040109</v>
          </cell>
          <cell r="M78" t="str">
            <v>UHE Xingó</v>
          </cell>
          <cell r="N78" t="str">
            <v>Geração</v>
          </cell>
          <cell r="O78" t="str">
            <v>Modernização de pequeno porte</v>
          </cell>
          <cell r="P78" t="str">
            <v>Modernização de pequeno porte</v>
          </cell>
          <cell r="Q78" t="str">
            <v>MH.6002</v>
          </cell>
          <cell r="R78" t="str">
            <v>PLANO DE MELHORIAS DOMG 20-25</v>
          </cell>
          <cell r="S78">
            <v>20833</v>
          </cell>
          <cell r="T78">
            <v>20833</v>
          </cell>
          <cell r="U78">
            <v>20833</v>
          </cell>
          <cell r="V78">
            <v>20833</v>
          </cell>
          <cell r="W78">
            <v>20833</v>
          </cell>
          <cell r="X78">
            <v>20833</v>
          </cell>
          <cell r="Y78">
            <v>20833</v>
          </cell>
          <cell r="Z78">
            <v>20833</v>
          </cell>
          <cell r="AA78">
            <v>20833</v>
          </cell>
          <cell r="AB78">
            <v>20833</v>
          </cell>
          <cell r="AC78">
            <v>20833</v>
          </cell>
          <cell r="AD78">
            <v>20833</v>
          </cell>
          <cell r="AE78">
            <v>249996</v>
          </cell>
          <cell r="AF78">
            <v>110000</v>
          </cell>
          <cell r="AG78"/>
          <cell r="AH78"/>
          <cell r="AI78"/>
          <cell r="AJ78">
            <v>359996</v>
          </cell>
          <cell r="AK78">
            <v>0</v>
          </cell>
          <cell r="AL78">
            <v>0</v>
          </cell>
          <cell r="AM78">
            <v>0</v>
          </cell>
          <cell r="AN78">
            <v>0</v>
          </cell>
          <cell r="AO78">
            <v>0</v>
          </cell>
          <cell r="AP78">
            <v>359996</v>
          </cell>
          <cell r="AQ78" t="str">
            <v>Alagoas</v>
          </cell>
          <cell r="AS78" t="str">
            <v>x</v>
          </cell>
          <cell r="AT78">
            <v>110000</v>
          </cell>
        </row>
        <row r="79">
          <cell r="B79" t="str">
            <v>COO0176</v>
          </cell>
          <cell r="C79" t="str">
            <v>OOMG.C</v>
          </cell>
          <cell r="D79" t="str">
            <v>OOGN.S-S-2025-I-0113</v>
          </cell>
          <cell r="E79" t="str">
            <v>C-2025-G-0049</v>
          </cell>
          <cell r="F79" t="str">
            <v>C-2025-G-033</v>
          </cell>
          <cell r="G79" t="str">
            <v>Chesf</v>
          </cell>
          <cell r="H79" t="str">
            <v>Nova Demanda</v>
          </cell>
          <cell r="I79" t="str">
            <v>Modernização das unidades hidráulicas das comporta da PCH Pedra</v>
          </cell>
          <cell r="J79" t="str">
            <v>Unidades hidráulicas comporta Pedra</v>
          </cell>
          <cell r="K79" t="str">
            <v>Substituição da unidade hidráulica das comportas vagão da Pedra e modernização do sistema</v>
          </cell>
          <cell r="L79" t="str">
            <v>H400060130</v>
          </cell>
          <cell r="M79" t="str">
            <v>PCH Pedra</v>
          </cell>
          <cell r="N79" t="str">
            <v>Geração</v>
          </cell>
          <cell r="O79" t="str">
            <v>Modernização de pequeno porte</v>
          </cell>
          <cell r="P79" t="str">
            <v>Modernização de pequeno porte</v>
          </cell>
          <cell r="Q79" t="str">
            <v>MH.6002</v>
          </cell>
          <cell r="R79" t="str">
            <v>PLANO DE MELHORIAS DOMG 20-25</v>
          </cell>
          <cell r="S79">
            <v>41667</v>
          </cell>
          <cell r="T79">
            <v>41667</v>
          </cell>
          <cell r="U79">
            <v>41667</v>
          </cell>
          <cell r="V79">
            <v>41667</v>
          </cell>
          <cell r="W79">
            <v>41667</v>
          </cell>
          <cell r="X79">
            <v>41667</v>
          </cell>
          <cell r="Y79">
            <v>41667</v>
          </cell>
          <cell r="Z79">
            <v>41667</v>
          </cell>
          <cell r="AA79">
            <v>41667</v>
          </cell>
          <cell r="AB79">
            <v>41667</v>
          </cell>
          <cell r="AC79">
            <v>41667</v>
          </cell>
          <cell r="AD79">
            <v>41667</v>
          </cell>
          <cell r="AE79">
            <v>500004</v>
          </cell>
          <cell r="AF79">
            <v>25000.2</v>
          </cell>
          <cell r="AG79"/>
          <cell r="AH79"/>
          <cell r="AI79"/>
          <cell r="AJ79">
            <v>525004.19999999995</v>
          </cell>
          <cell r="AK79">
            <v>0</v>
          </cell>
          <cell r="AL79">
            <v>0</v>
          </cell>
          <cell r="AM79">
            <v>0</v>
          </cell>
          <cell r="AN79">
            <v>0</v>
          </cell>
          <cell r="AO79">
            <v>0</v>
          </cell>
          <cell r="AP79">
            <v>525004.19999999995</v>
          </cell>
          <cell r="AQ79" t="str">
            <v>Bahia</v>
          </cell>
          <cell r="AS79" t="str">
            <v>x</v>
          </cell>
          <cell r="AT79">
            <v>25000.2</v>
          </cell>
        </row>
        <row r="80">
          <cell r="B80" t="str">
            <v>COO0177</v>
          </cell>
          <cell r="C80" t="str">
            <v>OOMG.C</v>
          </cell>
          <cell r="D80" t="str">
            <v>OOGN.S-S-2025-I-0146</v>
          </cell>
          <cell r="E80" t="str">
            <v>C-2025-G-0062</v>
          </cell>
          <cell r="F80" t="str">
            <v>C-2025-G-091</v>
          </cell>
          <cell r="G80" t="str">
            <v>Chesf</v>
          </cell>
          <cell r="H80" t="str">
            <v>Nova Demanda</v>
          </cell>
          <cell r="I80" t="str">
            <v>Modernização do sistema de resfriamento da UHE Boa Esperança</v>
          </cell>
          <cell r="J80" t="str">
            <v>Tubulações resfriamento Boa Esperança</v>
          </cell>
          <cell r="K80" t="str">
            <v>Substituição das tubulação do sistema de resfriamento das unidades geradoras</v>
          </cell>
          <cell r="L80" t="str">
            <v>H400070047</v>
          </cell>
          <cell r="M80" t="str">
            <v>UHE Boa Esperança</v>
          </cell>
          <cell r="N80" t="str">
            <v>Geração</v>
          </cell>
          <cell r="O80" t="str">
            <v>Modernização de pequeno porte</v>
          </cell>
          <cell r="P80" t="str">
            <v>Modernização de pequeno porte</v>
          </cell>
          <cell r="Q80" t="str">
            <v>MH.6002</v>
          </cell>
          <cell r="R80" t="str">
            <v>PLANO DE MELHORIAS DOMG 20-25</v>
          </cell>
          <cell r="S80">
            <v>29167</v>
          </cell>
          <cell r="T80">
            <v>29167</v>
          </cell>
          <cell r="U80">
            <v>29167</v>
          </cell>
          <cell r="V80">
            <v>29167</v>
          </cell>
          <cell r="W80">
            <v>29167</v>
          </cell>
          <cell r="X80">
            <v>29167</v>
          </cell>
          <cell r="Y80">
            <v>29167</v>
          </cell>
          <cell r="Z80">
            <v>29167</v>
          </cell>
          <cell r="AA80">
            <v>29167</v>
          </cell>
          <cell r="AB80">
            <v>29167</v>
          </cell>
          <cell r="AC80">
            <v>29167</v>
          </cell>
          <cell r="AD80">
            <v>29167</v>
          </cell>
          <cell r="AE80">
            <v>350004</v>
          </cell>
          <cell r="AF80">
            <v>17500.2</v>
          </cell>
          <cell r="AG80"/>
          <cell r="AH80"/>
          <cell r="AI80"/>
          <cell r="AJ80">
            <v>367504.2</v>
          </cell>
          <cell r="AK80">
            <v>0</v>
          </cell>
          <cell r="AL80">
            <v>0</v>
          </cell>
          <cell r="AM80">
            <v>0</v>
          </cell>
          <cell r="AN80">
            <v>0</v>
          </cell>
          <cell r="AO80">
            <v>0</v>
          </cell>
          <cell r="AP80">
            <v>367504.2</v>
          </cell>
          <cell r="AQ80" t="str">
            <v>Piauí</v>
          </cell>
          <cell r="AS80" t="str">
            <v>x</v>
          </cell>
          <cell r="AT80">
            <v>17500.2</v>
          </cell>
        </row>
        <row r="81">
          <cell r="B81" t="str">
            <v>COO0178</v>
          </cell>
          <cell r="C81" t="str">
            <v>OOMG.C</v>
          </cell>
          <cell r="D81" t="str">
            <v>OOTP.F-OS-2025-I-0583</v>
          </cell>
          <cell r="E81" t="str">
            <v>C-2025-G-0081</v>
          </cell>
          <cell r="F81" t="str">
            <v>C-2025-G-036</v>
          </cell>
          <cell r="G81" t="str">
            <v>Chesf</v>
          </cell>
          <cell r="H81" t="str">
            <v>Nova Demanda</v>
          </cell>
          <cell r="I81" t="str">
            <v>Aquisição das válvulas do sistema de resfriamento da UHE Xingó</v>
          </cell>
          <cell r="J81" t="str">
            <v>Válvulas resfriamento Xingó</v>
          </cell>
          <cell r="K81" t="str">
            <v xml:space="preserve">Substituição de 15 válvulas para o sistema de resfriamento da usina </v>
          </cell>
          <cell r="L81" t="str">
            <v>H400040109</v>
          </cell>
          <cell r="M81" t="str">
            <v>UHE Xingó</v>
          </cell>
          <cell r="N81" t="str">
            <v>Geração</v>
          </cell>
          <cell r="O81" t="str">
            <v>Modernização de pequeno porte</v>
          </cell>
          <cell r="P81" t="str">
            <v>Modernização de pequeno porte</v>
          </cell>
          <cell r="Q81" t="str">
            <v>MH.6002</v>
          </cell>
          <cell r="R81" t="str">
            <v>PLANO DE MELHORIAS DOMG 20-25</v>
          </cell>
          <cell r="S81">
            <v>0</v>
          </cell>
          <cell r="T81">
            <v>0</v>
          </cell>
          <cell r="U81">
            <v>0</v>
          </cell>
          <cell r="V81">
            <v>0</v>
          </cell>
          <cell r="W81">
            <v>0</v>
          </cell>
          <cell r="X81">
            <v>0</v>
          </cell>
          <cell r="Y81">
            <v>0</v>
          </cell>
          <cell r="Z81">
            <v>0</v>
          </cell>
          <cell r="AA81">
            <v>0</v>
          </cell>
          <cell r="AB81">
            <v>0</v>
          </cell>
          <cell r="AC81">
            <v>0</v>
          </cell>
          <cell r="AD81">
            <v>0</v>
          </cell>
          <cell r="AE81">
            <v>0</v>
          </cell>
          <cell r="AF81">
            <v>150000</v>
          </cell>
          <cell r="AG81"/>
          <cell r="AH81"/>
          <cell r="AI81"/>
          <cell r="AJ81">
            <v>150000</v>
          </cell>
          <cell r="AK81">
            <v>0</v>
          </cell>
          <cell r="AL81">
            <v>0</v>
          </cell>
          <cell r="AM81">
            <v>0</v>
          </cell>
          <cell r="AN81">
            <v>0</v>
          </cell>
          <cell r="AO81">
            <v>0</v>
          </cell>
          <cell r="AP81">
            <v>150000</v>
          </cell>
          <cell r="AQ81" t="str">
            <v>Alagoas</v>
          </cell>
          <cell r="AS81" t="str">
            <v>x</v>
          </cell>
          <cell r="AT81">
            <v>150000</v>
          </cell>
        </row>
        <row r="82">
          <cell r="B82" t="str">
            <v>COO0179</v>
          </cell>
          <cell r="C82" t="str">
            <v>OOMG.C</v>
          </cell>
          <cell r="D82" t="str">
            <v>OOGN.S-S-2025-I-0145</v>
          </cell>
          <cell r="E82" t="str">
            <v>C-2025-G-0061</v>
          </cell>
          <cell r="F82" t="str">
            <v>C-2025-G-087</v>
          </cell>
          <cell r="G82" t="str">
            <v>Chesf</v>
          </cell>
          <cell r="H82" t="str">
            <v>Nova Demanda</v>
          </cell>
          <cell r="I82" t="str">
            <v>Modernização de 02 transformadores do serviço auxiliar da UHE Boa Esperança</v>
          </cell>
          <cell r="J82" t="str">
            <v>Trafos Ser. Aux. Boa Esperança</v>
          </cell>
          <cell r="K82" t="str">
            <v>Substituição de 2 transformadores do Serviço Auxiliar 13,8 kV</v>
          </cell>
          <cell r="L82" t="str">
            <v>H400070047</v>
          </cell>
          <cell r="M82" t="str">
            <v>UHE Boa Esperança</v>
          </cell>
          <cell r="N82" t="str">
            <v>Geração</v>
          </cell>
          <cell r="O82" t="str">
            <v>Modernização de pequeno porte</v>
          </cell>
          <cell r="P82" t="str">
            <v>Modernização de pequeno porte</v>
          </cell>
          <cell r="Q82" t="str">
            <v>MH.6002</v>
          </cell>
          <cell r="R82" t="str">
            <v>PLANO DE MELHORIAS DOMG 20-25</v>
          </cell>
          <cell r="S82">
            <v>29167</v>
          </cell>
          <cell r="T82">
            <v>29167</v>
          </cell>
          <cell r="U82">
            <v>29167</v>
          </cell>
          <cell r="V82">
            <v>29167</v>
          </cell>
          <cell r="W82">
            <v>29167</v>
          </cell>
          <cell r="X82">
            <v>29167</v>
          </cell>
          <cell r="Y82">
            <v>29167</v>
          </cell>
          <cell r="Z82">
            <v>29167</v>
          </cell>
          <cell r="AA82">
            <v>29167</v>
          </cell>
          <cell r="AB82">
            <v>29167</v>
          </cell>
          <cell r="AC82">
            <v>29167</v>
          </cell>
          <cell r="AD82">
            <v>29167</v>
          </cell>
          <cell r="AE82">
            <v>350004</v>
          </cell>
          <cell r="AF82">
            <v>17500.2</v>
          </cell>
          <cell r="AG82"/>
          <cell r="AH82"/>
          <cell r="AI82"/>
          <cell r="AJ82">
            <v>367504.2</v>
          </cell>
          <cell r="AK82">
            <v>0</v>
          </cell>
          <cell r="AL82">
            <v>0</v>
          </cell>
          <cell r="AM82">
            <v>0</v>
          </cell>
          <cell r="AN82">
            <v>0</v>
          </cell>
          <cell r="AO82">
            <v>0</v>
          </cell>
          <cell r="AP82">
            <v>367504.2</v>
          </cell>
          <cell r="AQ82" t="str">
            <v>Piauí</v>
          </cell>
          <cell r="AS82" t="str">
            <v>x</v>
          </cell>
          <cell r="AT82">
            <v>17500.2</v>
          </cell>
        </row>
        <row r="83">
          <cell r="B83" t="str">
            <v>COO0180</v>
          </cell>
          <cell r="C83" t="str">
            <v>OOMG.C</v>
          </cell>
          <cell r="D83" t="str">
            <v>OOGS.S-S-2025-I-0249</v>
          </cell>
          <cell r="E83" t="str">
            <v>C-2025-G-0046</v>
          </cell>
          <cell r="F83" t="str">
            <v>C-2025-G-005</v>
          </cell>
          <cell r="G83" t="str">
            <v>Chesf</v>
          </cell>
          <cell r="H83" t="str">
            <v>Nova Demanda</v>
          </cell>
          <cell r="I83" t="str">
            <v>Modernização do sistema de esgotamento da UHE Paulo Afonso III</v>
          </cell>
          <cell r="J83" t="str">
            <v>Esgotamento Paulo Afonso III</v>
          </cell>
          <cell r="K83" t="str">
            <v>Substituição de bomba, tubulações e válvulas para esgotamento das UGs</v>
          </cell>
          <cell r="L83" t="str">
            <v>H400040107</v>
          </cell>
          <cell r="M83" t="str">
            <v>UHE Paulo Afonso III</v>
          </cell>
          <cell r="N83" t="str">
            <v>Geração</v>
          </cell>
          <cell r="O83" t="str">
            <v>Modernização de pequeno porte</v>
          </cell>
          <cell r="P83" t="str">
            <v>Modernização de pequeno porte</v>
          </cell>
          <cell r="Q83" t="str">
            <v>MH.6002</v>
          </cell>
          <cell r="R83" t="str">
            <v>PLANO DE MELHORIAS DOMG 20-25</v>
          </cell>
          <cell r="S83">
            <v>8333</v>
          </cell>
          <cell r="T83">
            <v>8333</v>
          </cell>
          <cell r="U83">
            <v>8333</v>
          </cell>
          <cell r="V83">
            <v>8333</v>
          </cell>
          <cell r="W83">
            <v>8333</v>
          </cell>
          <cell r="X83">
            <v>8333</v>
          </cell>
          <cell r="Y83">
            <v>8333</v>
          </cell>
          <cell r="Z83">
            <v>8333</v>
          </cell>
          <cell r="AA83">
            <v>8333</v>
          </cell>
          <cell r="AB83">
            <v>8333</v>
          </cell>
          <cell r="AC83">
            <v>8333</v>
          </cell>
          <cell r="AD83">
            <v>8333</v>
          </cell>
          <cell r="AE83">
            <v>99996</v>
          </cell>
          <cell r="AF83"/>
          <cell r="AG83"/>
          <cell r="AH83"/>
          <cell r="AI83"/>
          <cell r="AJ83">
            <v>99996</v>
          </cell>
          <cell r="AK83">
            <v>0</v>
          </cell>
          <cell r="AL83">
            <v>0</v>
          </cell>
          <cell r="AM83">
            <v>0</v>
          </cell>
          <cell r="AN83">
            <v>0</v>
          </cell>
          <cell r="AO83">
            <v>0</v>
          </cell>
          <cell r="AP83">
            <v>99996</v>
          </cell>
          <cell r="AQ83" t="str">
            <v>Bahia</v>
          </cell>
          <cell r="AS83" t="str">
            <v>x</v>
          </cell>
          <cell r="AT83">
            <v>0</v>
          </cell>
        </row>
        <row r="84">
          <cell r="B84" t="str">
            <v>COO0181</v>
          </cell>
          <cell r="C84" t="str">
            <v>OOMG.C</v>
          </cell>
          <cell r="D84" t="str">
            <v>OOGR.S-S-2025-I-0165</v>
          </cell>
          <cell r="E84" t="str">
            <v>C-2025-G-0065</v>
          </cell>
          <cell r="F84" t="str">
            <v>C-2025-G-048</v>
          </cell>
          <cell r="G84" t="str">
            <v>Chesf</v>
          </cell>
          <cell r="H84" t="str">
            <v>Nova Demanda</v>
          </cell>
          <cell r="I84" t="str">
            <v>Modernização do sistema de supervisão da UHE Boa Esperança</v>
          </cell>
          <cell r="J84" t="str">
            <v>Computadores supervisório Boa Esperança</v>
          </cell>
          <cell r="K84" t="str">
            <v>Substituição de computadores industriais (04) para modernização do sistema supervisório ( EBD 1 e 2, EOL 1 e 2)</v>
          </cell>
          <cell r="L84" t="str">
            <v>H400070047</v>
          </cell>
          <cell r="M84" t="str">
            <v>UHE Boa Esperança</v>
          </cell>
          <cell r="N84" t="str">
            <v>Geração</v>
          </cell>
          <cell r="O84" t="str">
            <v>Modernização de pequeno porte</v>
          </cell>
          <cell r="P84" t="str">
            <v>Modernização de pequeno porte</v>
          </cell>
          <cell r="Q84" t="str">
            <v>MH.6002</v>
          </cell>
          <cell r="R84" t="str">
            <v>PLANO DE MELHORIAS DOMG 20-25</v>
          </cell>
          <cell r="S84">
            <v>25000</v>
          </cell>
          <cell r="T84">
            <v>25000</v>
          </cell>
          <cell r="U84">
            <v>25000</v>
          </cell>
          <cell r="V84">
            <v>25000</v>
          </cell>
          <cell r="W84">
            <v>25000</v>
          </cell>
          <cell r="X84">
            <v>25000</v>
          </cell>
          <cell r="Y84">
            <v>25000</v>
          </cell>
          <cell r="Z84">
            <v>25000</v>
          </cell>
          <cell r="AA84">
            <v>25000</v>
          </cell>
          <cell r="AB84">
            <v>25000</v>
          </cell>
          <cell r="AC84">
            <v>25000</v>
          </cell>
          <cell r="AD84">
            <v>25000</v>
          </cell>
          <cell r="AE84">
            <v>300000</v>
          </cell>
          <cell r="AF84">
            <v>15000</v>
          </cell>
          <cell r="AG84"/>
          <cell r="AH84"/>
          <cell r="AI84"/>
          <cell r="AJ84">
            <v>315000</v>
          </cell>
          <cell r="AK84">
            <v>0</v>
          </cell>
          <cell r="AL84">
            <v>0</v>
          </cell>
          <cell r="AM84">
            <v>0</v>
          </cell>
          <cell r="AN84">
            <v>0</v>
          </cell>
          <cell r="AO84">
            <v>0</v>
          </cell>
          <cell r="AP84">
            <v>315000</v>
          </cell>
          <cell r="AQ84" t="str">
            <v>Piauí</v>
          </cell>
          <cell r="AS84" t="str">
            <v>x</v>
          </cell>
          <cell r="AT84">
            <v>15000</v>
          </cell>
        </row>
        <row r="85">
          <cell r="B85" t="str">
            <v>COO0182</v>
          </cell>
          <cell r="C85" t="str">
            <v>OOMG.C</v>
          </cell>
          <cell r="D85" t="str">
            <v>OOGN.S-S-2025-I-0138</v>
          </cell>
          <cell r="E85" t="str">
            <v>C-2025-G-0057</v>
          </cell>
          <cell r="F85" t="str">
            <v>C-2025-G-008</v>
          </cell>
          <cell r="G85" t="str">
            <v>Chesf</v>
          </cell>
          <cell r="H85" t="str">
            <v>Nova Demanda</v>
          </cell>
          <cell r="I85" t="str">
            <v>Modernização do sistema de ventilação e exaustão da UHE Paulo Afonso II</v>
          </cell>
          <cell r="J85" t="str">
            <v>Exaustores drenagem Paulo Afonso II</v>
          </cell>
          <cell r="K85" t="str">
            <v>Substituição de exaustores (02) das galerias drenagem</v>
          </cell>
          <cell r="L85" t="str">
            <v>H400040106</v>
          </cell>
          <cell r="M85" t="str">
            <v>UHE Paulo Afonso II</v>
          </cell>
          <cell r="N85" t="str">
            <v>Geração</v>
          </cell>
          <cell r="O85" t="str">
            <v>Modernização de pequeno porte</v>
          </cell>
          <cell r="P85" t="str">
            <v>Modernização de pequeno porte</v>
          </cell>
          <cell r="Q85" t="str">
            <v>MH.6002</v>
          </cell>
          <cell r="R85" t="str">
            <v>PLANO DE MELHORIAS DOMG 20-25</v>
          </cell>
          <cell r="S85">
            <v>33333</v>
          </cell>
          <cell r="T85">
            <v>33333</v>
          </cell>
          <cell r="U85">
            <v>33333</v>
          </cell>
          <cell r="V85">
            <v>33333</v>
          </cell>
          <cell r="W85">
            <v>33333</v>
          </cell>
          <cell r="X85">
            <v>33333</v>
          </cell>
          <cell r="Y85">
            <v>33333</v>
          </cell>
          <cell r="Z85">
            <v>33333</v>
          </cell>
          <cell r="AA85">
            <v>33333</v>
          </cell>
          <cell r="AB85">
            <v>33333</v>
          </cell>
          <cell r="AC85">
            <v>33333</v>
          </cell>
          <cell r="AD85">
            <v>33333</v>
          </cell>
          <cell r="AE85">
            <v>399996</v>
          </cell>
          <cell r="AF85">
            <v>19999.800000000003</v>
          </cell>
          <cell r="AG85"/>
          <cell r="AH85"/>
          <cell r="AI85"/>
          <cell r="AJ85">
            <v>419995.8</v>
          </cell>
          <cell r="AK85">
            <v>0</v>
          </cell>
          <cell r="AL85">
            <v>0</v>
          </cell>
          <cell r="AM85">
            <v>0</v>
          </cell>
          <cell r="AN85">
            <v>0</v>
          </cell>
          <cell r="AO85">
            <v>0</v>
          </cell>
          <cell r="AP85">
            <v>419995.8</v>
          </cell>
          <cell r="AQ85" t="str">
            <v>Bahia</v>
          </cell>
          <cell r="AS85" t="str">
            <v>x</v>
          </cell>
          <cell r="AT85">
            <v>19999.800000000003</v>
          </cell>
        </row>
        <row r="86">
          <cell r="B86" t="str">
            <v>COO0183</v>
          </cell>
          <cell r="C86" t="str">
            <v>OOMG.C</v>
          </cell>
          <cell r="D86" t="str">
            <v>OOGS.S-S-2025-I-0256</v>
          </cell>
          <cell r="E86" t="str">
            <v>C-2025-G-0088</v>
          </cell>
          <cell r="F86" t="str">
            <v>C-2025-G-012</v>
          </cell>
          <cell r="G86" t="str">
            <v>Chesf</v>
          </cell>
          <cell r="H86" t="str">
            <v>Nova Demanda</v>
          </cell>
          <cell r="I86" t="str">
            <v>Aquisição da Interface Homem-Máquina do Regulador de Velocidade da UHE Boa Esperança</v>
          </cell>
          <cell r="J86" t="str">
            <v>IHM RV Boa Esperança</v>
          </cell>
          <cell r="K86" t="str">
            <v>Substituição de IHMs (02) touchscreen  para o Regulador de Velocidade</v>
          </cell>
          <cell r="L86" t="str">
            <v>H400070047</v>
          </cell>
          <cell r="M86" t="str">
            <v>UHE Boa Esperança</v>
          </cell>
          <cell r="N86" t="str">
            <v>Geração</v>
          </cell>
          <cell r="O86" t="str">
            <v>Modernização de pequeno porte</v>
          </cell>
          <cell r="P86" t="str">
            <v>Modernização de pequeno porte</v>
          </cell>
          <cell r="Q86" t="str">
            <v>MH.6002</v>
          </cell>
          <cell r="R86" t="str">
            <v>PLANO DE MELHORIAS DOMG 20-25</v>
          </cell>
          <cell r="S86">
            <v>8333</v>
          </cell>
          <cell r="T86">
            <v>8333</v>
          </cell>
          <cell r="U86">
            <v>8333</v>
          </cell>
          <cell r="V86">
            <v>8333</v>
          </cell>
          <cell r="W86">
            <v>8333</v>
          </cell>
          <cell r="X86">
            <v>8333</v>
          </cell>
          <cell r="Y86">
            <v>8333</v>
          </cell>
          <cell r="Z86">
            <v>8333</v>
          </cell>
          <cell r="AA86">
            <v>8333</v>
          </cell>
          <cell r="AB86">
            <v>8333</v>
          </cell>
          <cell r="AC86">
            <v>8333</v>
          </cell>
          <cell r="AD86">
            <v>8333</v>
          </cell>
          <cell r="AE86">
            <v>99996</v>
          </cell>
          <cell r="AF86"/>
          <cell r="AG86"/>
          <cell r="AH86"/>
          <cell r="AI86"/>
          <cell r="AJ86">
            <v>99996</v>
          </cell>
          <cell r="AK86">
            <v>0</v>
          </cell>
          <cell r="AL86">
            <v>0</v>
          </cell>
          <cell r="AM86">
            <v>0</v>
          </cell>
          <cell r="AN86">
            <v>0</v>
          </cell>
          <cell r="AO86">
            <v>0</v>
          </cell>
          <cell r="AP86">
            <v>99996</v>
          </cell>
          <cell r="AQ86" t="str">
            <v>Piauí</v>
          </cell>
          <cell r="AS86" t="str">
            <v>x</v>
          </cell>
          <cell r="AT86">
            <v>0</v>
          </cell>
        </row>
        <row r="87">
          <cell r="B87" t="str">
            <v>COO0184</v>
          </cell>
          <cell r="C87" t="str">
            <v>OOMG.C</v>
          </cell>
          <cell r="D87" t="str">
            <v>OOGN.S-S-2025-I-0126</v>
          </cell>
          <cell r="E87" t="str">
            <v>C-2025-G-0055</v>
          </cell>
          <cell r="F87" t="str">
            <v>C-2025-G-019</v>
          </cell>
          <cell r="G87" t="str">
            <v>Chesf</v>
          </cell>
          <cell r="H87" t="str">
            <v>Nova Demanda</v>
          </cell>
          <cell r="I87" t="str">
            <v>Aquisição de inversores de frequência para o sistema de supervisão da UHE Xingó</v>
          </cell>
          <cell r="J87" t="str">
            <v>Inversores supervisão Xingó</v>
          </cell>
          <cell r="K87" t="str">
            <v>Substituição de Inversores para atendimento da supervisão da usina</v>
          </cell>
          <cell r="L87" t="str">
            <v>H400040109</v>
          </cell>
          <cell r="M87" t="str">
            <v>UHE Xingó</v>
          </cell>
          <cell r="N87" t="str">
            <v>Geração</v>
          </cell>
          <cell r="O87" t="str">
            <v>Modernização de pequeno porte</v>
          </cell>
          <cell r="P87" t="str">
            <v>Modernização de pequeno porte</v>
          </cell>
          <cell r="Q87" t="str">
            <v>MH.6002</v>
          </cell>
          <cell r="R87" t="str">
            <v>PLANO DE MELHORIAS DOMG 20-25</v>
          </cell>
          <cell r="S87">
            <v>39219</v>
          </cell>
          <cell r="T87">
            <v>39219</v>
          </cell>
          <cell r="U87">
            <v>39219</v>
          </cell>
          <cell r="V87">
            <v>39219</v>
          </cell>
          <cell r="W87">
            <v>39219</v>
          </cell>
          <cell r="X87">
            <v>39219</v>
          </cell>
          <cell r="Y87">
            <v>39219</v>
          </cell>
          <cell r="Z87">
            <v>39219</v>
          </cell>
          <cell r="AA87">
            <v>39219</v>
          </cell>
          <cell r="AB87">
            <v>39219</v>
          </cell>
          <cell r="AC87">
            <v>39219</v>
          </cell>
          <cell r="AD87">
            <v>39219</v>
          </cell>
          <cell r="AE87">
            <v>470628</v>
          </cell>
          <cell r="AF87">
            <v>23531.4</v>
          </cell>
          <cell r="AG87"/>
          <cell r="AH87"/>
          <cell r="AI87"/>
          <cell r="AJ87">
            <v>494159.4</v>
          </cell>
          <cell r="AK87">
            <v>0</v>
          </cell>
          <cell r="AL87">
            <v>0</v>
          </cell>
          <cell r="AM87">
            <v>0</v>
          </cell>
          <cell r="AN87">
            <v>0</v>
          </cell>
          <cell r="AO87">
            <v>0</v>
          </cell>
          <cell r="AP87">
            <v>494159.4</v>
          </cell>
          <cell r="AQ87" t="str">
            <v>Alagoas</v>
          </cell>
          <cell r="AS87" t="str">
            <v>x</v>
          </cell>
          <cell r="AT87">
            <v>23531.4</v>
          </cell>
        </row>
        <row r="88">
          <cell r="B88" t="str">
            <v>COO0185</v>
          </cell>
          <cell r="C88" t="str">
            <v>OOMG.C</v>
          </cell>
          <cell r="D88" t="str">
            <v>OOGN.S-S-2025-I-0278</v>
          </cell>
          <cell r="E88" t="str">
            <v>C-2025-G-0096</v>
          </cell>
          <cell r="F88" t="str">
            <v>C-2025-G-056</v>
          </cell>
          <cell r="G88" t="str">
            <v>Chesf</v>
          </cell>
          <cell r="H88" t="str">
            <v>Nova Demanda</v>
          </cell>
          <cell r="I88" t="str">
            <v>Modernização do sistema de supervisão da UHE Boa Esperança</v>
          </cell>
          <cell r="J88" t="str">
            <v>Monitores operação Boa Esperança</v>
          </cell>
          <cell r="K88" t="str">
            <v>Substituição de monitores para a sala de comando, sala de engenharia e sala de comando local</v>
          </cell>
          <cell r="L88" t="str">
            <v>H400070047</v>
          </cell>
          <cell r="M88" t="str">
            <v>UHE Boa Esperança</v>
          </cell>
          <cell r="N88" t="str">
            <v>Geração</v>
          </cell>
          <cell r="O88" t="str">
            <v>Modernização de pequeno porte</v>
          </cell>
          <cell r="P88" t="str">
            <v>Modernização de pequeno porte</v>
          </cell>
          <cell r="Q88" t="str">
            <v>MH.6002</v>
          </cell>
          <cell r="R88" t="str">
            <v>PLANO DE MELHORIAS DOMG 20-25</v>
          </cell>
          <cell r="S88">
            <v>5833</v>
          </cell>
          <cell r="T88">
            <v>5833</v>
          </cell>
          <cell r="U88">
            <v>5833</v>
          </cell>
          <cell r="V88">
            <v>5833</v>
          </cell>
          <cell r="W88">
            <v>5833</v>
          </cell>
          <cell r="X88">
            <v>5833</v>
          </cell>
          <cell r="Y88">
            <v>5833</v>
          </cell>
          <cell r="Z88">
            <v>5833</v>
          </cell>
          <cell r="AA88">
            <v>5833</v>
          </cell>
          <cell r="AB88">
            <v>5833</v>
          </cell>
          <cell r="AC88">
            <v>5833</v>
          </cell>
          <cell r="AD88">
            <v>5833</v>
          </cell>
          <cell r="AE88">
            <v>69996</v>
          </cell>
          <cell r="AF88"/>
          <cell r="AG88"/>
          <cell r="AH88"/>
          <cell r="AI88"/>
          <cell r="AJ88">
            <v>69996</v>
          </cell>
          <cell r="AK88">
            <v>0</v>
          </cell>
          <cell r="AL88">
            <v>0</v>
          </cell>
          <cell r="AM88">
            <v>0</v>
          </cell>
          <cell r="AN88">
            <v>0</v>
          </cell>
          <cell r="AO88">
            <v>0</v>
          </cell>
          <cell r="AP88">
            <v>69996</v>
          </cell>
          <cell r="AQ88" t="str">
            <v>Piauí</v>
          </cell>
          <cell r="AS88" t="str">
            <v>x</v>
          </cell>
          <cell r="AT88">
            <v>0</v>
          </cell>
        </row>
        <row r="89">
          <cell r="B89" t="str">
            <v>COO0186</v>
          </cell>
          <cell r="C89" t="str">
            <v>OOMG.C</v>
          </cell>
          <cell r="D89" t="str">
            <v>OOGS.S-S-2025-I-0300</v>
          </cell>
          <cell r="E89" t="str">
            <v>C-2025-G-0098</v>
          </cell>
          <cell r="F89" t="str">
            <v>C-2025-G-057</v>
          </cell>
          <cell r="G89" t="str">
            <v>Chesf</v>
          </cell>
          <cell r="H89" t="str">
            <v>Nova Demanda</v>
          </cell>
          <cell r="I89" t="str">
            <v>Aquisição da motobomba sanitária da UHE Sobradinho</v>
          </cell>
          <cell r="J89" t="str">
            <v>Motobomba sanitária Sobradinho</v>
          </cell>
          <cell r="K89" t="str">
            <v>Substituição de motobomba de esgotamento sanitário</v>
          </cell>
          <cell r="L89" t="str">
            <v>H400010047</v>
          </cell>
          <cell r="M89" t="str">
            <v>UHE Sobradinho</v>
          </cell>
          <cell r="N89" t="str">
            <v>Geração</v>
          </cell>
          <cell r="O89" t="str">
            <v>Modernização de pequeno porte</v>
          </cell>
          <cell r="P89" t="str">
            <v>Modernização de pequeno porte</v>
          </cell>
          <cell r="Q89" t="str">
            <v>MH.6002</v>
          </cell>
          <cell r="R89" t="str">
            <v>PLANO DE MELHORIAS DOMG 20-25</v>
          </cell>
          <cell r="S89">
            <v>3333</v>
          </cell>
          <cell r="T89">
            <v>3333</v>
          </cell>
          <cell r="U89">
            <v>3333</v>
          </cell>
          <cell r="V89">
            <v>3333</v>
          </cell>
          <cell r="W89">
            <v>3333</v>
          </cell>
          <cell r="X89">
            <v>3333</v>
          </cell>
          <cell r="Y89">
            <v>3333</v>
          </cell>
          <cell r="Z89">
            <v>3333</v>
          </cell>
          <cell r="AA89">
            <v>3333</v>
          </cell>
          <cell r="AB89">
            <v>3333</v>
          </cell>
          <cell r="AC89">
            <v>3333</v>
          </cell>
          <cell r="AD89">
            <v>3333</v>
          </cell>
          <cell r="AE89">
            <v>39996</v>
          </cell>
          <cell r="AF89"/>
          <cell r="AG89"/>
          <cell r="AH89"/>
          <cell r="AI89"/>
          <cell r="AJ89">
            <v>39996</v>
          </cell>
          <cell r="AK89">
            <v>0</v>
          </cell>
          <cell r="AL89">
            <v>0</v>
          </cell>
          <cell r="AM89">
            <v>0</v>
          </cell>
          <cell r="AN89">
            <v>0</v>
          </cell>
          <cell r="AO89">
            <v>0</v>
          </cell>
          <cell r="AP89">
            <v>39996</v>
          </cell>
          <cell r="AQ89" t="str">
            <v>Bahia</v>
          </cell>
          <cell r="AS89" t="str">
            <v>x</v>
          </cell>
          <cell r="AT89">
            <v>0</v>
          </cell>
        </row>
        <row r="90">
          <cell r="B90" t="str">
            <v>COO0187</v>
          </cell>
          <cell r="C90" t="str">
            <v>OOMG.C</v>
          </cell>
          <cell r="D90" t="str">
            <v>OOGS.S-S-2025-I-0202</v>
          </cell>
          <cell r="E90" t="str">
            <v>C-2025-G-0079</v>
          </cell>
          <cell r="F90" t="str">
            <v>C-2025-G-058</v>
          </cell>
          <cell r="G90" t="str">
            <v>Chesf</v>
          </cell>
          <cell r="H90" t="str">
            <v>Nova Demanda</v>
          </cell>
          <cell r="I90" t="str">
            <v>Modernização dos motofreios das comportas tomada d'água da UHE Boa Esperança</v>
          </cell>
          <cell r="J90" t="str">
            <v>Motofreios comporta TDA Boa Esperança</v>
          </cell>
          <cell r="K90" t="str">
            <v>Substituição de moto-freios (03) para as comportas da Tomada D'Água (75 CV)</v>
          </cell>
          <cell r="L90" t="str">
            <v>H400070047</v>
          </cell>
          <cell r="M90" t="str">
            <v>UHE Boa Esperança</v>
          </cell>
          <cell r="N90" t="str">
            <v>Geração</v>
          </cell>
          <cell r="O90" t="str">
            <v>Modernização de pequeno porte</v>
          </cell>
          <cell r="P90" t="str">
            <v>Modernização de pequeno porte</v>
          </cell>
          <cell r="Q90" t="str">
            <v>MH.6002</v>
          </cell>
          <cell r="R90" t="str">
            <v>PLANO DE MELHORIAS DOMG 20-25</v>
          </cell>
          <cell r="S90">
            <v>15000</v>
          </cell>
          <cell r="T90">
            <v>15000</v>
          </cell>
          <cell r="U90">
            <v>15000</v>
          </cell>
          <cell r="V90">
            <v>15000</v>
          </cell>
          <cell r="W90">
            <v>15000</v>
          </cell>
          <cell r="X90">
            <v>15000</v>
          </cell>
          <cell r="Y90">
            <v>15000</v>
          </cell>
          <cell r="Z90">
            <v>15000</v>
          </cell>
          <cell r="AA90">
            <v>15000</v>
          </cell>
          <cell r="AB90">
            <v>15000</v>
          </cell>
          <cell r="AC90">
            <v>15000</v>
          </cell>
          <cell r="AD90">
            <v>15000</v>
          </cell>
          <cell r="AE90">
            <v>180000</v>
          </cell>
          <cell r="AF90">
            <v>9000</v>
          </cell>
          <cell r="AG90"/>
          <cell r="AH90"/>
          <cell r="AI90"/>
          <cell r="AJ90">
            <v>189000</v>
          </cell>
          <cell r="AK90">
            <v>0</v>
          </cell>
          <cell r="AL90">
            <v>0</v>
          </cell>
          <cell r="AM90">
            <v>0</v>
          </cell>
          <cell r="AN90">
            <v>0</v>
          </cell>
          <cell r="AO90">
            <v>0</v>
          </cell>
          <cell r="AP90">
            <v>189000</v>
          </cell>
          <cell r="AQ90" t="str">
            <v>Piauí</v>
          </cell>
          <cell r="AS90" t="str">
            <v>x</v>
          </cell>
          <cell r="AT90">
            <v>9000</v>
          </cell>
        </row>
        <row r="91">
          <cell r="B91" t="str">
            <v>COO0188</v>
          </cell>
          <cell r="C91" t="str">
            <v>OOMG.C</v>
          </cell>
          <cell r="D91" t="str">
            <v>OOGR.S-S-2025-I-0187</v>
          </cell>
          <cell r="E91" t="str">
            <v>C-2025-G-0075</v>
          </cell>
          <cell r="F91" t="str">
            <v>C-2025-G-059</v>
          </cell>
          <cell r="G91" t="str">
            <v>Chesf</v>
          </cell>
          <cell r="H91" t="str">
            <v>Nova Demanda</v>
          </cell>
          <cell r="I91" t="str">
            <v>Modernização dos motores das comportas das PCH Pedra</v>
          </cell>
          <cell r="J91" t="str">
            <v>Motores comportas Pedra</v>
          </cell>
          <cell r="K91" t="str">
            <v>Substituição de motores para as comportas da Pedra</v>
          </cell>
          <cell r="L91" t="str">
            <v>H400060130</v>
          </cell>
          <cell r="M91" t="str">
            <v>PCH Pedra</v>
          </cell>
          <cell r="N91" t="str">
            <v>Geração</v>
          </cell>
          <cell r="O91" t="str">
            <v>Modernização de pequeno porte</v>
          </cell>
          <cell r="P91" t="str">
            <v>Modernização de pequeno porte</v>
          </cell>
          <cell r="Q91" t="str">
            <v>MH.6002</v>
          </cell>
          <cell r="R91" t="str">
            <v>PLANO DE MELHORIAS DOMG 20-25</v>
          </cell>
          <cell r="S91">
            <v>16667</v>
          </cell>
          <cell r="T91">
            <v>16667</v>
          </cell>
          <cell r="U91">
            <v>16667</v>
          </cell>
          <cell r="V91">
            <v>16667</v>
          </cell>
          <cell r="W91">
            <v>16667</v>
          </cell>
          <cell r="X91">
            <v>16667</v>
          </cell>
          <cell r="Y91">
            <v>16667</v>
          </cell>
          <cell r="Z91">
            <v>16667</v>
          </cell>
          <cell r="AA91">
            <v>16667</v>
          </cell>
          <cell r="AB91">
            <v>16667</v>
          </cell>
          <cell r="AC91">
            <v>16667</v>
          </cell>
          <cell r="AD91">
            <v>16667</v>
          </cell>
          <cell r="AE91">
            <v>200004</v>
          </cell>
          <cell r="AF91">
            <v>10000.200000000001</v>
          </cell>
          <cell r="AG91"/>
          <cell r="AH91"/>
          <cell r="AI91"/>
          <cell r="AJ91">
            <v>210004.2</v>
          </cell>
          <cell r="AK91">
            <v>0</v>
          </cell>
          <cell r="AL91">
            <v>0</v>
          </cell>
          <cell r="AM91">
            <v>0</v>
          </cell>
          <cell r="AN91">
            <v>0</v>
          </cell>
          <cell r="AO91">
            <v>0</v>
          </cell>
          <cell r="AP91">
            <v>210004.2</v>
          </cell>
          <cell r="AQ91" t="str">
            <v>Bahia</v>
          </cell>
          <cell r="AS91" t="str">
            <v>x</v>
          </cell>
          <cell r="AT91">
            <v>10000.200000000001</v>
          </cell>
        </row>
        <row r="92">
          <cell r="B92" t="str">
            <v>COO0189</v>
          </cell>
          <cell r="C92" t="str">
            <v>OOMG.C</v>
          </cell>
          <cell r="D92" t="str">
            <v>OOGS.S-S-2025-I-0255</v>
          </cell>
          <cell r="E92" t="str">
            <v>C-2025-G-0087</v>
          </cell>
          <cell r="F92" t="str">
            <v>C-2025-G-062</v>
          </cell>
          <cell r="G92" t="str">
            <v>Chesf</v>
          </cell>
          <cell r="H92" t="str">
            <v>Nova Demanda</v>
          </cell>
          <cell r="I92" t="str">
            <v>Modernização dos sistemas multimedidores de grandezas elétricas da UHE Boa Esperança</v>
          </cell>
          <cell r="J92" t="str">
            <v>Multimedidores painéis Boa Esperança</v>
          </cell>
          <cell r="K92" t="str">
            <v xml:space="preserve">Substituição de Multimedidores de Grandezas Elétricas (MGE) para os painéis </v>
          </cell>
          <cell r="L92" t="str">
            <v>H400070047</v>
          </cell>
          <cell r="M92" t="str">
            <v>UHE Boa Esperança</v>
          </cell>
          <cell r="N92" t="str">
            <v>Geração</v>
          </cell>
          <cell r="O92" t="str">
            <v>Modernização de pequeno porte</v>
          </cell>
          <cell r="P92" t="str">
            <v>Modernização de pequeno porte</v>
          </cell>
          <cell r="Q92" t="str">
            <v>MH.6002</v>
          </cell>
          <cell r="R92" t="str">
            <v>PLANO DE MELHORIAS DOMG 20-25</v>
          </cell>
          <cell r="S92">
            <v>8333</v>
          </cell>
          <cell r="T92">
            <v>8333</v>
          </cell>
          <cell r="U92">
            <v>8333</v>
          </cell>
          <cell r="V92">
            <v>8333</v>
          </cell>
          <cell r="W92">
            <v>8333</v>
          </cell>
          <cell r="X92">
            <v>8333</v>
          </cell>
          <cell r="Y92">
            <v>8333</v>
          </cell>
          <cell r="Z92">
            <v>8333</v>
          </cell>
          <cell r="AA92">
            <v>8333</v>
          </cell>
          <cell r="AB92">
            <v>8333</v>
          </cell>
          <cell r="AC92">
            <v>8333</v>
          </cell>
          <cell r="AD92">
            <v>8333</v>
          </cell>
          <cell r="AE92">
            <v>99996</v>
          </cell>
          <cell r="AF92"/>
          <cell r="AG92"/>
          <cell r="AH92"/>
          <cell r="AI92"/>
          <cell r="AJ92">
            <v>99996</v>
          </cell>
          <cell r="AK92">
            <v>0</v>
          </cell>
          <cell r="AL92">
            <v>0</v>
          </cell>
          <cell r="AM92">
            <v>0</v>
          </cell>
          <cell r="AN92">
            <v>0</v>
          </cell>
          <cell r="AO92">
            <v>0</v>
          </cell>
          <cell r="AP92">
            <v>99996</v>
          </cell>
          <cell r="AQ92" t="str">
            <v>Piauí</v>
          </cell>
          <cell r="AS92" t="str">
            <v>x</v>
          </cell>
          <cell r="AT92">
            <v>0</v>
          </cell>
        </row>
        <row r="93">
          <cell r="B93" t="str">
            <v>COO0190</v>
          </cell>
          <cell r="C93" t="str">
            <v>OOMG.C</v>
          </cell>
          <cell r="D93" t="str">
            <v>OOME.F-OS-2025-I-0077</v>
          </cell>
          <cell r="E93" t="str">
            <v>C-2025-G-0037</v>
          </cell>
          <cell r="F93" t="str">
            <v>C-2025-G-063</v>
          </cell>
          <cell r="G93" t="str">
            <v>Chesf</v>
          </cell>
          <cell r="H93" t="str">
            <v>Nova Demanda</v>
          </cell>
          <cell r="I93" t="str">
            <v>Modernização do sistema de automação da UHE Paulo Afonso II</v>
          </cell>
          <cell r="J93" t="str">
            <v>Painéis automação PA-II-A</v>
          </cell>
          <cell r="K93" t="str">
            <v>Substituição de painéis da UA de 3 unidades geradoras da PA-II-A</v>
          </cell>
          <cell r="L93" t="str">
            <v>H400040106</v>
          </cell>
          <cell r="M93" t="str">
            <v>UHE Paulo Afonso II</v>
          </cell>
          <cell r="N93" t="str">
            <v>Geração</v>
          </cell>
          <cell r="O93" t="str">
            <v>Modernização de pequeno porte</v>
          </cell>
          <cell r="P93" t="str">
            <v>Modernização de pequeno porte</v>
          </cell>
          <cell r="Q93" t="str">
            <v>MH.6002</v>
          </cell>
          <cell r="R93" t="str">
            <v>PLANO DE MELHORIAS DOMG 20-25</v>
          </cell>
          <cell r="S93">
            <v>0</v>
          </cell>
          <cell r="T93">
            <v>0</v>
          </cell>
          <cell r="U93">
            <v>0</v>
          </cell>
          <cell r="V93">
            <v>0</v>
          </cell>
          <cell r="W93">
            <v>0</v>
          </cell>
          <cell r="X93">
            <v>0</v>
          </cell>
          <cell r="Y93">
            <v>0</v>
          </cell>
          <cell r="Z93">
            <v>0</v>
          </cell>
          <cell r="AA93">
            <v>0</v>
          </cell>
          <cell r="AB93">
            <v>0</v>
          </cell>
          <cell r="AC93">
            <v>0</v>
          </cell>
          <cell r="AD93">
            <v>0</v>
          </cell>
          <cell r="AE93">
            <v>0</v>
          </cell>
          <cell r="AF93"/>
          <cell r="AG93"/>
          <cell r="AH93">
            <v>1000000</v>
          </cell>
          <cell r="AI93">
            <v>2500000</v>
          </cell>
          <cell r="AJ93">
            <v>3500000</v>
          </cell>
          <cell r="AK93">
            <v>0</v>
          </cell>
          <cell r="AL93">
            <v>0</v>
          </cell>
          <cell r="AM93">
            <v>0</v>
          </cell>
          <cell r="AN93">
            <v>0</v>
          </cell>
          <cell r="AO93">
            <v>0</v>
          </cell>
          <cell r="AP93">
            <v>3500000</v>
          </cell>
          <cell r="AQ93" t="str">
            <v>Bahia</v>
          </cell>
          <cell r="AS93" t="str">
            <v>x</v>
          </cell>
          <cell r="AT93">
            <v>3500000</v>
          </cell>
        </row>
        <row r="94">
          <cell r="B94" t="str">
            <v>COO0191</v>
          </cell>
          <cell r="C94" t="str">
            <v>OOMG.C</v>
          </cell>
          <cell r="D94" t="str">
            <v>OOGR.S-S-2025-I-0186</v>
          </cell>
          <cell r="E94" t="str">
            <v>C-2025-G-0074</v>
          </cell>
          <cell r="F94" t="str">
            <v>C-2025-G-090</v>
          </cell>
          <cell r="G94" t="str">
            <v>Chesf</v>
          </cell>
          <cell r="H94" t="str">
            <v>Nova Demanda</v>
          </cell>
          <cell r="I94" t="str">
            <v>Modernização do sistema de drenagem da PCH Funil</v>
          </cell>
          <cell r="J94" t="str">
            <v>Tubulações drenagem Funil</v>
          </cell>
          <cell r="K94" t="str">
            <v>Substituição de tubulações e registros do sistema de Drenagem da Usina</v>
          </cell>
          <cell r="L94" t="str">
            <v>H400060129</v>
          </cell>
          <cell r="M94" t="str">
            <v>PCH Funil</v>
          </cell>
          <cell r="N94" t="str">
            <v>Geração</v>
          </cell>
          <cell r="O94" t="str">
            <v>Modernização de pequeno porte</v>
          </cell>
          <cell r="P94" t="str">
            <v>Modernização de pequeno porte</v>
          </cell>
          <cell r="Q94" t="str">
            <v>MH.6002</v>
          </cell>
          <cell r="R94" t="str">
            <v>PLANO DE MELHORIAS DOMG 20-25</v>
          </cell>
          <cell r="S94">
            <v>16667</v>
          </cell>
          <cell r="T94">
            <v>16667</v>
          </cell>
          <cell r="U94">
            <v>16667</v>
          </cell>
          <cell r="V94">
            <v>16667</v>
          </cell>
          <cell r="W94">
            <v>16667</v>
          </cell>
          <cell r="X94">
            <v>16667</v>
          </cell>
          <cell r="Y94">
            <v>16667</v>
          </cell>
          <cell r="Z94">
            <v>16667</v>
          </cell>
          <cell r="AA94">
            <v>16667</v>
          </cell>
          <cell r="AB94">
            <v>16667</v>
          </cell>
          <cell r="AC94">
            <v>16667</v>
          </cell>
          <cell r="AD94">
            <v>16667</v>
          </cell>
          <cell r="AE94">
            <v>200004</v>
          </cell>
          <cell r="AF94">
            <v>10000.200000000001</v>
          </cell>
          <cell r="AG94"/>
          <cell r="AH94"/>
          <cell r="AI94"/>
          <cell r="AJ94">
            <v>210004.2</v>
          </cell>
          <cell r="AK94">
            <v>0</v>
          </cell>
          <cell r="AL94">
            <v>0</v>
          </cell>
          <cell r="AM94">
            <v>0</v>
          </cell>
          <cell r="AN94">
            <v>0</v>
          </cell>
          <cell r="AO94">
            <v>0</v>
          </cell>
          <cell r="AP94">
            <v>210004.2</v>
          </cell>
          <cell r="AQ94" t="str">
            <v>Bahia</v>
          </cell>
          <cell r="AS94" t="str">
            <v>x</v>
          </cell>
          <cell r="AT94">
            <v>10000.200000000001</v>
          </cell>
        </row>
        <row r="95">
          <cell r="B95" t="str">
            <v>COO0192</v>
          </cell>
          <cell r="C95" t="str">
            <v>OOMG.C</v>
          </cell>
          <cell r="D95" t="str">
            <v>OOGR.S-S-2025-I-0185</v>
          </cell>
          <cell r="E95" t="str">
            <v>C-2025-G-0073</v>
          </cell>
          <cell r="F95" t="str">
            <v>C-2025-G-004</v>
          </cell>
          <cell r="G95" t="str">
            <v>Chesf</v>
          </cell>
          <cell r="H95" t="str">
            <v>Nova Demanda</v>
          </cell>
          <cell r="I95" t="str">
            <v>Modernização do sistema de enchimento do adutor da PCH Funil</v>
          </cell>
          <cell r="J95" t="str">
            <v>Enchimento do adutor Funil</v>
          </cell>
          <cell r="K95" t="str">
            <v>Substituição de tubulações e registros do Sistema de Enchimento do Adutor</v>
          </cell>
          <cell r="L95" t="str">
            <v>H400060129</v>
          </cell>
          <cell r="M95" t="str">
            <v>PCH Funil</v>
          </cell>
          <cell r="N95" t="str">
            <v>Geração</v>
          </cell>
          <cell r="O95" t="str">
            <v>Modernização de pequeno porte</v>
          </cell>
          <cell r="P95" t="str">
            <v>Modernização de pequeno porte</v>
          </cell>
          <cell r="Q95" t="str">
            <v>MH.6002</v>
          </cell>
          <cell r="R95" t="str">
            <v>PLANO DE MELHORIAS DOMG 20-25</v>
          </cell>
          <cell r="S95">
            <v>16667</v>
          </cell>
          <cell r="T95">
            <v>16667</v>
          </cell>
          <cell r="U95">
            <v>16667</v>
          </cell>
          <cell r="V95">
            <v>16667</v>
          </cell>
          <cell r="W95">
            <v>16667</v>
          </cell>
          <cell r="X95">
            <v>16667</v>
          </cell>
          <cell r="Y95">
            <v>16667</v>
          </cell>
          <cell r="Z95">
            <v>16667</v>
          </cell>
          <cell r="AA95">
            <v>16667</v>
          </cell>
          <cell r="AB95">
            <v>16667</v>
          </cell>
          <cell r="AC95">
            <v>16667</v>
          </cell>
          <cell r="AD95">
            <v>16667</v>
          </cell>
          <cell r="AE95">
            <v>200004</v>
          </cell>
          <cell r="AF95">
            <v>10000.200000000001</v>
          </cell>
          <cell r="AG95"/>
          <cell r="AH95"/>
          <cell r="AI95"/>
          <cell r="AJ95">
            <v>210004.2</v>
          </cell>
          <cell r="AK95">
            <v>0</v>
          </cell>
          <cell r="AL95">
            <v>0</v>
          </cell>
          <cell r="AM95">
            <v>0</v>
          </cell>
          <cell r="AN95">
            <v>0</v>
          </cell>
          <cell r="AO95">
            <v>0</v>
          </cell>
          <cell r="AP95">
            <v>210004.2</v>
          </cell>
          <cell r="AQ95" t="str">
            <v>Bahia</v>
          </cell>
          <cell r="AS95" t="str">
            <v>x</v>
          </cell>
          <cell r="AT95">
            <v>10000.200000000001</v>
          </cell>
        </row>
        <row r="96">
          <cell r="B96" t="str">
            <v>COO0193</v>
          </cell>
          <cell r="C96" t="str">
            <v>OOMG.C</v>
          </cell>
          <cell r="D96" t="str">
            <v>OOGN.S-S-2025-I-0267</v>
          </cell>
          <cell r="E96" t="str">
            <v>C-2025-G-0092</v>
          </cell>
          <cell r="F96" t="str">
            <v>C-2025-G-001</v>
          </cell>
          <cell r="G96" t="str">
            <v>Chesf</v>
          </cell>
          <cell r="H96" t="str">
            <v>Nova Demanda</v>
          </cell>
          <cell r="I96" t="str">
            <v>Adequação dos vasos pressão NR13 do SPCI dos transformadores da UHE Sobradinho</v>
          </cell>
          <cell r="J96" t="str">
            <v>Vaso pressão Sobradinho</v>
          </cell>
          <cell r="K96" t="str">
            <v>Substituição de vaso de pressão do sistema anti-incêndio dos transformadores</v>
          </cell>
          <cell r="L96" t="str">
            <v>H400010047</v>
          </cell>
          <cell r="M96" t="str">
            <v>UHE Sobradinho</v>
          </cell>
          <cell r="N96" t="str">
            <v>Geração</v>
          </cell>
          <cell r="O96" t="str">
            <v>Modernização de pequeno porte</v>
          </cell>
          <cell r="P96" t="str">
            <v>Modernização de pequeno porte</v>
          </cell>
          <cell r="Q96" t="str">
            <v>MH.6002</v>
          </cell>
          <cell r="R96" t="str">
            <v>PLANO DE MELHORIAS DOMG 20-25</v>
          </cell>
          <cell r="S96">
            <v>7500</v>
          </cell>
          <cell r="T96">
            <v>7500</v>
          </cell>
          <cell r="U96">
            <v>7500</v>
          </cell>
          <cell r="V96">
            <v>7500</v>
          </cell>
          <cell r="W96">
            <v>7500</v>
          </cell>
          <cell r="X96">
            <v>7500</v>
          </cell>
          <cell r="Y96">
            <v>7500</v>
          </cell>
          <cell r="Z96">
            <v>7500</v>
          </cell>
          <cell r="AA96">
            <v>7500</v>
          </cell>
          <cell r="AB96">
            <v>7500</v>
          </cell>
          <cell r="AC96">
            <v>7500</v>
          </cell>
          <cell r="AD96">
            <v>7500</v>
          </cell>
          <cell r="AE96">
            <v>90000</v>
          </cell>
          <cell r="AF96"/>
          <cell r="AG96"/>
          <cell r="AH96"/>
          <cell r="AI96"/>
          <cell r="AJ96">
            <v>90000</v>
          </cell>
          <cell r="AK96">
            <v>0</v>
          </cell>
          <cell r="AL96">
            <v>0</v>
          </cell>
          <cell r="AM96">
            <v>0</v>
          </cell>
          <cell r="AN96">
            <v>0</v>
          </cell>
          <cell r="AO96">
            <v>0</v>
          </cell>
          <cell r="AP96">
            <v>90000</v>
          </cell>
          <cell r="AQ96" t="str">
            <v>Bahia</v>
          </cell>
          <cell r="AS96" t="str">
            <v>x</v>
          </cell>
          <cell r="AT96">
            <v>0</v>
          </cell>
        </row>
        <row r="97">
          <cell r="B97" t="str">
            <v>COO0194</v>
          </cell>
          <cell r="C97" t="str">
            <v>OOMG.C</v>
          </cell>
          <cell r="D97" t="str">
            <v>OOGM.F-OS-2025-I-0215</v>
          </cell>
          <cell r="E97" t="str">
            <v>C-2025-G-0036</v>
          </cell>
          <cell r="F97" t="str">
            <v>C-2025-G-002</v>
          </cell>
          <cell r="G97" t="str">
            <v>Chesf</v>
          </cell>
          <cell r="H97" t="str">
            <v>Nova Demanda</v>
          </cell>
          <cell r="I97" t="str">
            <v>Modernização dos disjuntores de campo para a UHE Paulo Afonso I</v>
          </cell>
          <cell r="J97" t="str">
            <v>Disjuntores campo Paulo Afonso I</v>
          </cell>
          <cell r="K97" t="str">
            <v>Substituição do disjuntores de campo das UGs</v>
          </cell>
          <cell r="L97" t="str">
            <v>H400040105</v>
          </cell>
          <cell r="M97" t="str">
            <v>UHE Paulo Afonso I</v>
          </cell>
          <cell r="N97" t="str">
            <v>Geração</v>
          </cell>
          <cell r="O97" t="str">
            <v>Modernização de pequeno porte</v>
          </cell>
          <cell r="P97" t="str">
            <v>Modernização de pequeno porte</v>
          </cell>
          <cell r="Q97" t="str">
            <v>MH.6002</v>
          </cell>
          <cell r="R97" t="str">
            <v>PLANO DE MELHORIAS DOMG 20-25</v>
          </cell>
          <cell r="S97">
            <v>0</v>
          </cell>
          <cell r="T97">
            <v>0</v>
          </cell>
          <cell r="U97">
            <v>0</v>
          </cell>
          <cell r="V97">
            <v>0</v>
          </cell>
          <cell r="W97">
            <v>0</v>
          </cell>
          <cell r="X97">
            <v>0</v>
          </cell>
          <cell r="Y97">
            <v>0</v>
          </cell>
          <cell r="Z97">
            <v>0</v>
          </cell>
          <cell r="AA97">
            <v>0</v>
          </cell>
          <cell r="AB97">
            <v>0</v>
          </cell>
          <cell r="AC97">
            <v>0</v>
          </cell>
          <cell r="AD97">
            <v>0</v>
          </cell>
          <cell r="AE97">
            <v>0</v>
          </cell>
          <cell r="AF97">
            <v>1000000</v>
          </cell>
          <cell r="AG97">
            <v>1500000</v>
          </cell>
          <cell r="AH97">
            <v>1500000</v>
          </cell>
          <cell r="AI97"/>
          <cell r="AJ97">
            <v>4000000</v>
          </cell>
          <cell r="AK97">
            <v>0</v>
          </cell>
          <cell r="AL97">
            <v>0</v>
          </cell>
          <cell r="AM97">
            <v>0</v>
          </cell>
          <cell r="AN97">
            <v>0</v>
          </cell>
          <cell r="AO97">
            <v>0</v>
          </cell>
          <cell r="AP97">
            <v>4000000</v>
          </cell>
          <cell r="AQ97" t="str">
            <v>Bahia</v>
          </cell>
          <cell r="AT97">
            <v>4000000</v>
          </cell>
        </row>
        <row r="98">
          <cell r="B98" t="str">
            <v>COO0195</v>
          </cell>
          <cell r="C98" t="str">
            <v>OOMG.C</v>
          </cell>
          <cell r="D98" t="str">
            <v>OOGR.S-S-2025-I-0176</v>
          </cell>
          <cell r="E98" t="str">
            <v>C-2025-G-0123</v>
          </cell>
          <cell r="F98" t="str">
            <v>C-2025-G-032</v>
          </cell>
          <cell r="G98" t="str">
            <v>Chesf</v>
          </cell>
          <cell r="H98" t="str">
            <v>Nova Demanda</v>
          </cell>
          <cell r="I98" t="str">
            <v>Modernização das barras estatóricas das UG08 e UG09 da UHE Paulo Afonso II</v>
          </cell>
          <cell r="J98" t="str">
            <v>Substituição do enrolamento e núcleo do estator dos geradores G8 e G9 de PA-II</v>
          </cell>
          <cell r="K98" t="str">
            <v>Substituição do enrolamento e núcleo do estator dos geradores G8 e G9 de PA-II</v>
          </cell>
          <cell r="L98" t="str">
            <v>H400040106</v>
          </cell>
          <cell r="M98" t="str">
            <v>UHE Paulo Afonso II</v>
          </cell>
          <cell r="N98" t="str">
            <v>Geração</v>
          </cell>
          <cell r="O98" t="str">
            <v>Modernização de pequeno porte</v>
          </cell>
          <cell r="P98" t="str">
            <v>Modernização de pequeno porte</v>
          </cell>
          <cell r="Q98" t="str">
            <v>MH.6002</v>
          </cell>
          <cell r="R98" t="str">
            <v>PLANO DE MELHORIAS DOMG 20-25</v>
          </cell>
          <cell r="S98">
            <v>0</v>
          </cell>
          <cell r="T98">
            <v>0</v>
          </cell>
          <cell r="U98">
            <v>0</v>
          </cell>
          <cell r="V98">
            <v>0</v>
          </cell>
          <cell r="W98">
            <v>0</v>
          </cell>
          <cell r="X98">
            <v>0</v>
          </cell>
          <cell r="Y98">
            <v>0</v>
          </cell>
          <cell r="Z98">
            <v>0</v>
          </cell>
          <cell r="AA98">
            <v>0</v>
          </cell>
          <cell r="AB98">
            <v>0</v>
          </cell>
          <cell r="AC98">
            <v>0</v>
          </cell>
          <cell r="AD98">
            <v>240000</v>
          </cell>
          <cell r="AE98">
            <v>240000</v>
          </cell>
          <cell r="AF98">
            <v>20000000</v>
          </cell>
          <cell r="AG98">
            <v>30000000</v>
          </cell>
          <cell r="AH98">
            <v>10000000</v>
          </cell>
          <cell r="AI98"/>
          <cell r="AJ98">
            <v>60240000</v>
          </cell>
          <cell r="AK98">
            <v>0</v>
          </cell>
          <cell r="AL98">
            <v>0</v>
          </cell>
          <cell r="AM98">
            <v>0</v>
          </cell>
          <cell r="AN98">
            <v>0</v>
          </cell>
          <cell r="AO98">
            <v>0</v>
          </cell>
          <cell r="AP98">
            <v>60240000</v>
          </cell>
          <cell r="AQ98" t="str">
            <v>Bahia</v>
          </cell>
          <cell r="AS98" t="str">
            <v>x</v>
          </cell>
          <cell r="AT98">
            <v>60000000</v>
          </cell>
        </row>
        <row r="99">
          <cell r="B99" t="str">
            <v>COO0196</v>
          </cell>
          <cell r="C99" t="str">
            <v>OOMB.C</v>
          </cell>
          <cell r="D99" t="str">
            <v>OOTM.F-OS-2025-I-0356</v>
          </cell>
          <cell r="E99" t="str">
            <v>C-2025-G-0119</v>
          </cell>
          <cell r="F99" t="str">
            <v>C-2025-G-025</v>
          </cell>
          <cell r="G99" t="str">
            <v>Chesf</v>
          </cell>
          <cell r="H99" t="str">
            <v>Nova Demanda</v>
          </cell>
          <cell r="I99" t="str">
            <v>Modernização do sistema de iluminação da UHE Apolônio Sales</v>
          </cell>
          <cell r="J99" t="str">
            <v>Substituição do sistema de iluminação da subestação e elevadora UAS e dos arruamentos da usina.</v>
          </cell>
          <cell r="K99" t="str">
            <v>Substituição do sistema de iluminação da subestação e elevadora UAS e dos arruamentos da usina.</v>
          </cell>
          <cell r="L99" t="str">
            <v>HO10104003</v>
          </cell>
          <cell r="M99" t="str">
            <v>UHE Apolônio Sales</v>
          </cell>
          <cell r="N99" t="str">
            <v>Geração</v>
          </cell>
          <cell r="O99" t="str">
            <v>Modernização de pequeno porte</v>
          </cell>
          <cell r="P99" t="str">
            <v>Modernização de pequeno porte</v>
          </cell>
          <cell r="Q99" t="str">
            <v>MH.6001</v>
          </cell>
          <cell r="R99" t="str">
            <v>Investimento Civil Geração PDNG 2019-202</v>
          </cell>
          <cell r="S99">
            <v>0</v>
          </cell>
          <cell r="T99">
            <v>0</v>
          </cell>
          <cell r="U99">
            <v>0</v>
          </cell>
          <cell r="V99">
            <v>0</v>
          </cell>
          <cell r="W99">
            <v>0</v>
          </cell>
          <cell r="X99">
            <v>0</v>
          </cell>
          <cell r="Y99">
            <v>0</v>
          </cell>
          <cell r="Z99">
            <v>0</v>
          </cell>
          <cell r="AA99">
            <v>0</v>
          </cell>
          <cell r="AB99">
            <v>0</v>
          </cell>
          <cell r="AC99">
            <v>0</v>
          </cell>
          <cell r="AD99">
            <v>0</v>
          </cell>
          <cell r="AE99">
            <v>0</v>
          </cell>
          <cell r="AF99">
            <v>1500000</v>
          </cell>
          <cell r="AG99"/>
          <cell r="AH99"/>
          <cell r="AI99"/>
          <cell r="AJ99">
            <v>1500000</v>
          </cell>
          <cell r="AK99">
            <v>0</v>
          </cell>
          <cell r="AL99">
            <v>0</v>
          </cell>
          <cell r="AM99">
            <v>0</v>
          </cell>
          <cell r="AN99">
            <v>0</v>
          </cell>
          <cell r="AO99">
            <v>0</v>
          </cell>
          <cell r="AP99">
            <v>1500000</v>
          </cell>
          <cell r="AQ99" t="str">
            <v>Alagoas</v>
          </cell>
          <cell r="AS99" t="str">
            <v>x</v>
          </cell>
          <cell r="AT99">
            <v>1500000</v>
          </cell>
        </row>
        <row r="100">
          <cell r="B100" t="str">
            <v>COO0197</v>
          </cell>
          <cell r="C100" t="str">
            <v>OOMB.C</v>
          </cell>
          <cell r="D100" t="str">
            <v>OOTM.F-OS-2025-I-0364</v>
          </cell>
          <cell r="E100" t="str">
            <v>C-2025-G-0117</v>
          </cell>
          <cell r="F100" t="str">
            <v>C-2025-G-026</v>
          </cell>
          <cell r="G100" t="str">
            <v>Chesf</v>
          </cell>
          <cell r="H100" t="str">
            <v>Nova Demanda</v>
          </cell>
          <cell r="I100" t="str">
            <v>Modernização do sistema de iluminação da UHE Luiz Gonzaga</v>
          </cell>
          <cell r="J100" t="str">
            <v>Substituição do sistema de iluminação da subestação e elevadora ULG e dos arruamentos da usina.</v>
          </cell>
          <cell r="K100" t="str">
            <v>Substituição do sistema de iluminação da subestação e elevadora ULG e dos arruamentos da usina.</v>
          </cell>
          <cell r="L100" t="str">
            <v>HO10103003</v>
          </cell>
          <cell r="M100" t="str">
            <v>UHE Luiz Gonzaga</v>
          </cell>
          <cell r="N100" t="str">
            <v>Geração</v>
          </cell>
          <cell r="O100" t="str">
            <v>Modernização de pequeno porte</v>
          </cell>
          <cell r="P100" t="str">
            <v>Modernização de pequeno porte</v>
          </cell>
          <cell r="Q100" t="str">
            <v>MH.6001</v>
          </cell>
          <cell r="R100" t="str">
            <v>Investimento Civil Geração PDNG 2019-202</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2000000</v>
          </cell>
          <cell r="AG100"/>
          <cell r="AH100"/>
          <cell r="AI100"/>
          <cell r="AJ100">
            <v>2000000</v>
          </cell>
          <cell r="AK100">
            <v>0</v>
          </cell>
          <cell r="AL100">
            <v>0</v>
          </cell>
          <cell r="AM100">
            <v>0</v>
          </cell>
          <cell r="AN100">
            <v>0</v>
          </cell>
          <cell r="AO100">
            <v>0</v>
          </cell>
          <cell r="AP100">
            <v>2000000</v>
          </cell>
          <cell r="AQ100" t="str">
            <v>Pernambuco</v>
          </cell>
          <cell r="AS100" t="str">
            <v>x</v>
          </cell>
          <cell r="AT100">
            <v>2000000</v>
          </cell>
        </row>
        <row r="101">
          <cell r="B101" t="str">
            <v>COO0198</v>
          </cell>
          <cell r="C101" t="str">
            <v>OOMB.C</v>
          </cell>
          <cell r="D101" t="str">
            <v>OOMT.S-S-2025-I-0039</v>
          </cell>
          <cell r="E101" t="str">
            <v>C-2025-G-0114</v>
          </cell>
          <cell r="F101" t="str">
            <v>C-2025-G-028</v>
          </cell>
          <cell r="G101" t="str">
            <v>Chesf</v>
          </cell>
          <cell r="H101" t="str">
            <v>Nova Demanda</v>
          </cell>
          <cell r="I101" t="str">
            <v>Modernização do sistema de iluminação da UHE Paulo Afonso II</v>
          </cell>
          <cell r="J101" t="str">
            <v>Substituição do sistema de iluminação da subestação e elevadora USD e dos arruamentos da usina.</v>
          </cell>
          <cell r="K101" t="str">
            <v>Substituição do sistema de iluminação da subestação e elevadora USD e dos arruamentos da usina.</v>
          </cell>
          <cell r="L101" t="str">
            <v>HO10106003</v>
          </cell>
          <cell r="M101" t="str">
            <v>UHE Paulo Afonso II</v>
          </cell>
          <cell r="N101" t="str">
            <v>Geração</v>
          </cell>
          <cell r="O101" t="str">
            <v>Modernização de pequeno porte</v>
          </cell>
          <cell r="P101" t="str">
            <v>Modernização de pequeno porte</v>
          </cell>
          <cell r="Q101" t="str">
            <v>MH.6001</v>
          </cell>
          <cell r="R101" t="str">
            <v>Investimento Civil Geração PDNG 2019-202</v>
          </cell>
          <cell r="S101">
            <v>0</v>
          </cell>
          <cell r="T101">
            <v>0</v>
          </cell>
          <cell r="U101">
            <v>0</v>
          </cell>
          <cell r="V101">
            <v>0</v>
          </cell>
          <cell r="W101">
            <v>0</v>
          </cell>
          <cell r="X101">
            <v>0</v>
          </cell>
          <cell r="Y101">
            <v>0</v>
          </cell>
          <cell r="Z101">
            <v>0</v>
          </cell>
          <cell r="AA101">
            <v>0</v>
          </cell>
          <cell r="AB101">
            <v>625000</v>
          </cell>
          <cell r="AC101">
            <v>625000</v>
          </cell>
          <cell r="AD101">
            <v>625000</v>
          </cell>
          <cell r="AE101">
            <v>1875000</v>
          </cell>
          <cell r="AF101">
            <v>625000</v>
          </cell>
          <cell r="AG101"/>
          <cell r="AH101"/>
          <cell r="AI101"/>
          <cell r="AJ101">
            <v>2500000</v>
          </cell>
          <cell r="AK101">
            <v>0</v>
          </cell>
          <cell r="AL101">
            <v>0</v>
          </cell>
          <cell r="AM101">
            <v>0</v>
          </cell>
          <cell r="AN101">
            <v>0</v>
          </cell>
          <cell r="AO101">
            <v>0</v>
          </cell>
          <cell r="AP101">
            <v>2500000</v>
          </cell>
          <cell r="AQ101" t="str">
            <v>Bahia</v>
          </cell>
          <cell r="AS101" t="str">
            <v>x</v>
          </cell>
          <cell r="AT101">
            <v>625000</v>
          </cell>
        </row>
        <row r="102">
          <cell r="B102" t="str">
            <v>COO0199</v>
          </cell>
          <cell r="C102" t="str">
            <v>OOMB.C</v>
          </cell>
          <cell r="D102" t="str">
            <v>OOTM.F-OS-2025-I-0363</v>
          </cell>
          <cell r="E102" t="str">
            <v>C-2025-G-0116</v>
          </cell>
          <cell r="F102" t="str">
            <v>C-2025-G-030</v>
          </cell>
          <cell r="G102" t="str">
            <v>Chesf</v>
          </cell>
          <cell r="H102" t="str">
            <v>Nova Demanda</v>
          </cell>
          <cell r="I102" t="str">
            <v>Modernização do sistema de iluminação da UHE Paulo Afonso IV</v>
          </cell>
          <cell r="J102" t="str">
            <v>Substituição do sistema de iluminação da subestação e elevadora USQ e dos arruamentos da usina.</v>
          </cell>
          <cell r="K102" t="str">
            <v>Substituição do sistema de iluminação da subestação e elevadora USQ e dos arruamentos da usina.</v>
          </cell>
          <cell r="L102" t="str">
            <v>HO10108003</v>
          </cell>
          <cell r="M102" t="str">
            <v>UHE Paulo Afonso IV</v>
          </cell>
          <cell r="N102" t="str">
            <v>Geração</v>
          </cell>
          <cell r="O102" t="str">
            <v>Modernização de pequeno porte</v>
          </cell>
          <cell r="P102" t="str">
            <v>Modernização de pequeno porte</v>
          </cell>
          <cell r="Q102" t="str">
            <v>MH.6001</v>
          </cell>
          <cell r="R102" t="str">
            <v>Investimento Civil Geração PDNG 2019-202</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2500000</v>
          </cell>
          <cell r="AG102"/>
          <cell r="AH102"/>
          <cell r="AI102"/>
          <cell r="AJ102">
            <v>2500000</v>
          </cell>
          <cell r="AK102">
            <v>0</v>
          </cell>
          <cell r="AL102">
            <v>0</v>
          </cell>
          <cell r="AM102">
            <v>0</v>
          </cell>
          <cell r="AN102">
            <v>0</v>
          </cell>
          <cell r="AO102">
            <v>0</v>
          </cell>
          <cell r="AP102">
            <v>2500000</v>
          </cell>
          <cell r="AQ102" t="str">
            <v>Bahia</v>
          </cell>
          <cell r="AS102" t="str">
            <v>x</v>
          </cell>
          <cell r="AT102">
            <v>2500000</v>
          </cell>
        </row>
        <row r="103">
          <cell r="B103" t="str">
            <v>COO0200</v>
          </cell>
          <cell r="C103" t="str">
            <v>OOMB.C</v>
          </cell>
          <cell r="D103" t="str">
            <v>OOGS.S-S-2025-I-0101</v>
          </cell>
          <cell r="E103" t="str">
            <v>C-2025-G-0115</v>
          </cell>
          <cell r="F103" t="str">
            <v>C-2025-G-029</v>
          </cell>
          <cell r="G103" t="str">
            <v>Chesf</v>
          </cell>
          <cell r="H103" t="str">
            <v>Nova Demanda</v>
          </cell>
          <cell r="I103" t="str">
            <v>Modernização do sistema de iluminação da UHE Paulo Afonso III</v>
          </cell>
          <cell r="J103" t="str">
            <v>Substituição do sistema de iluminação da subestação e elevadora UST e dos arruamentos da usina.</v>
          </cell>
          <cell r="K103" t="str">
            <v>Substituição do sistema de iluminação da subestação e elevadora UST e dos arruamentos da usina.</v>
          </cell>
          <cell r="L103" t="str">
            <v>HO10107003</v>
          </cell>
          <cell r="M103" t="str">
            <v>UHE Paulo Afonso III</v>
          </cell>
          <cell r="N103" t="str">
            <v>Geração</v>
          </cell>
          <cell r="O103" t="str">
            <v>Modernização de pequeno porte</v>
          </cell>
          <cell r="P103" t="str">
            <v>Modernização de pequeno porte</v>
          </cell>
          <cell r="Q103" t="str">
            <v>MH.6001</v>
          </cell>
          <cell r="R103" t="str">
            <v>Investimento Civil Geração PDNG 2019-202</v>
          </cell>
          <cell r="S103">
            <v>0</v>
          </cell>
          <cell r="T103">
            <v>0</v>
          </cell>
          <cell r="U103">
            <v>0</v>
          </cell>
          <cell r="V103">
            <v>0</v>
          </cell>
          <cell r="W103">
            <v>0</v>
          </cell>
          <cell r="X103">
            <v>0</v>
          </cell>
          <cell r="Y103">
            <v>0</v>
          </cell>
          <cell r="Z103">
            <v>0</v>
          </cell>
          <cell r="AA103">
            <v>0</v>
          </cell>
          <cell r="AB103">
            <v>0</v>
          </cell>
          <cell r="AC103">
            <v>0</v>
          </cell>
          <cell r="AD103">
            <v>625000</v>
          </cell>
          <cell r="AE103">
            <v>625000</v>
          </cell>
          <cell r="AF103">
            <v>1875000</v>
          </cell>
          <cell r="AG103"/>
          <cell r="AH103"/>
          <cell r="AI103"/>
          <cell r="AJ103">
            <v>2500000</v>
          </cell>
          <cell r="AK103">
            <v>0</v>
          </cell>
          <cell r="AL103">
            <v>0</v>
          </cell>
          <cell r="AM103">
            <v>0</v>
          </cell>
          <cell r="AN103">
            <v>0</v>
          </cell>
          <cell r="AO103">
            <v>0</v>
          </cell>
          <cell r="AP103">
            <v>2500000</v>
          </cell>
          <cell r="AQ103" t="str">
            <v>Bahia</v>
          </cell>
          <cell r="AS103" t="str">
            <v>x</v>
          </cell>
          <cell r="AT103">
            <v>1875000</v>
          </cell>
        </row>
        <row r="104">
          <cell r="B104" t="str">
            <v>COO0201</v>
          </cell>
          <cell r="C104" t="str">
            <v>OOMB.C</v>
          </cell>
          <cell r="D104" t="str">
            <v>OOMS.S-S-2025-I-0016</v>
          </cell>
          <cell r="E104" t="str">
            <v>C-2025-G-0113</v>
          </cell>
          <cell r="F104" t="str">
            <v>C-2025-G-027</v>
          </cell>
          <cell r="G104" t="str">
            <v>Chesf</v>
          </cell>
          <cell r="H104" t="str">
            <v>Nova Demanda</v>
          </cell>
          <cell r="I104" t="str">
            <v>Modernização do sistema de iluminação da UHE Paulo Afonso I</v>
          </cell>
          <cell r="J104" t="str">
            <v>Substituição do sistema de iluminação da subestação e elevadora USU e dos arruamentos da usina.</v>
          </cell>
          <cell r="K104" t="str">
            <v>Substituição do sistema de iluminação da subestação e elevadora USU e dos arruamentos da usina.</v>
          </cell>
          <cell r="L104" t="str">
            <v>HO10105003</v>
          </cell>
          <cell r="M104" t="str">
            <v>UHE Paulo Afonso I</v>
          </cell>
          <cell r="N104" t="str">
            <v>Geração</v>
          </cell>
          <cell r="O104" t="str">
            <v>Modernização de pequeno porte</v>
          </cell>
          <cell r="P104" t="str">
            <v>Modernização de pequeno porte</v>
          </cell>
          <cell r="Q104" t="str">
            <v>MH.6001</v>
          </cell>
          <cell r="R104" t="str">
            <v>Investimento Civil Geração PDNG 2019-202</v>
          </cell>
          <cell r="S104">
            <v>0</v>
          </cell>
          <cell r="T104">
            <v>0</v>
          </cell>
          <cell r="U104">
            <v>0</v>
          </cell>
          <cell r="V104">
            <v>0</v>
          </cell>
          <cell r="W104">
            <v>0</v>
          </cell>
          <cell r="X104">
            <v>0</v>
          </cell>
          <cell r="Y104">
            <v>0</v>
          </cell>
          <cell r="Z104">
            <v>625000</v>
          </cell>
          <cell r="AA104">
            <v>625000</v>
          </cell>
          <cell r="AB104">
            <v>625000</v>
          </cell>
          <cell r="AC104">
            <v>625000</v>
          </cell>
          <cell r="AD104">
            <v>0</v>
          </cell>
          <cell r="AE104">
            <v>2500000</v>
          </cell>
          <cell r="AF104">
            <v>125000</v>
          </cell>
          <cell r="AG104"/>
          <cell r="AH104"/>
          <cell r="AI104"/>
          <cell r="AJ104">
            <v>2625000</v>
          </cell>
          <cell r="AK104">
            <v>0</v>
          </cell>
          <cell r="AL104">
            <v>0</v>
          </cell>
          <cell r="AM104">
            <v>0</v>
          </cell>
          <cell r="AN104">
            <v>0</v>
          </cell>
          <cell r="AO104">
            <v>0</v>
          </cell>
          <cell r="AP104">
            <v>2625000</v>
          </cell>
          <cell r="AQ104" t="str">
            <v>Bahia</v>
          </cell>
          <cell r="AS104" t="str">
            <v>x</v>
          </cell>
          <cell r="AT104">
            <v>125000</v>
          </cell>
        </row>
        <row r="105">
          <cell r="B105" t="str">
            <v>COO0202</v>
          </cell>
          <cell r="C105" t="str">
            <v>OOMB.C</v>
          </cell>
          <cell r="D105" t="str">
            <v>OOTM.F-OS-2025-I-0432</v>
          </cell>
          <cell r="E105" t="str">
            <v>C-2025-G-0118</v>
          </cell>
          <cell r="F105" t="str">
            <v>C-2025-G-031</v>
          </cell>
          <cell r="G105" t="str">
            <v>Chesf</v>
          </cell>
          <cell r="H105" t="str">
            <v>Nova Demanda</v>
          </cell>
          <cell r="I105" t="str">
            <v>Modernização do sistema de iluminação da UHE Xingó</v>
          </cell>
          <cell r="J105" t="str">
            <v>Substituição do sistema de iluminação da subestação e elevadora UXG e dos arruamentos da usina.</v>
          </cell>
          <cell r="K105" t="str">
            <v>Substituição do sistema de iluminação da subestação e elevadora UXG e dos arruamentos da usina.</v>
          </cell>
          <cell r="L105" t="str">
            <v>HO10111003</v>
          </cell>
          <cell r="M105" t="str">
            <v>UHE Xingó</v>
          </cell>
          <cell r="N105" t="str">
            <v>Geração</v>
          </cell>
          <cell r="O105" t="str">
            <v>Modernização de pequeno porte</v>
          </cell>
          <cell r="P105" t="str">
            <v>Modernização de pequeno porte</v>
          </cell>
          <cell r="Q105" t="str">
            <v>MH.6001</v>
          </cell>
          <cell r="R105" t="str">
            <v>Investimento Civil Geração PDNG 2019-202</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2400000</v>
          </cell>
          <cell r="AG105"/>
          <cell r="AH105"/>
          <cell r="AI105"/>
          <cell r="AJ105">
            <v>2400000</v>
          </cell>
          <cell r="AK105">
            <v>0</v>
          </cell>
          <cell r="AL105">
            <v>0</v>
          </cell>
          <cell r="AM105">
            <v>0</v>
          </cell>
          <cell r="AN105">
            <v>0</v>
          </cell>
          <cell r="AO105">
            <v>0</v>
          </cell>
          <cell r="AP105">
            <v>2400000</v>
          </cell>
          <cell r="AQ105" t="str">
            <v>Alagoas</v>
          </cell>
          <cell r="AS105" t="str">
            <v>x</v>
          </cell>
          <cell r="AT105">
            <v>2400000</v>
          </cell>
        </row>
        <row r="106">
          <cell r="B106" t="str">
            <v>COO0203</v>
          </cell>
          <cell r="C106" t="str">
            <v>OOMG.C</v>
          </cell>
          <cell r="D106" t="str">
            <v>OOGS.S-S-2025-I-0216</v>
          </cell>
          <cell r="E106" t="str">
            <v>C-2025-G-0082</v>
          </cell>
          <cell r="F106" t="str">
            <v>C-2025-G-076</v>
          </cell>
          <cell r="G106" t="str">
            <v>Chesf</v>
          </cell>
          <cell r="H106" t="str">
            <v>Nova Demanda</v>
          </cell>
          <cell r="I106" t="str">
            <v>Implantação do sistema de injeção química para combate ao mexilhão dourado na UHE Luiz Gonzaga</v>
          </cell>
          <cell r="J106" t="str">
            <v>Sistema de combate mexilhão Luiz Gonzaga</v>
          </cell>
          <cell r="K106" t="str">
            <v>Substituição do sistema de injeção química para controle do Mexilhão Dourado</v>
          </cell>
          <cell r="L106" t="str">
            <v>H400040104</v>
          </cell>
          <cell r="M106" t="str">
            <v>UHE Luiz Gonzaga</v>
          </cell>
          <cell r="N106" t="str">
            <v>Geração</v>
          </cell>
          <cell r="O106" t="str">
            <v>Modernização de pequeno porte</v>
          </cell>
          <cell r="P106" t="str">
            <v>Modernização de pequeno porte</v>
          </cell>
          <cell r="Q106" t="str">
            <v>MH.6002</v>
          </cell>
          <cell r="R106" t="str">
            <v>PLANO DE MELHORIAS DOMG 20-25</v>
          </cell>
          <cell r="S106">
            <v>12500</v>
          </cell>
          <cell r="T106">
            <v>12500</v>
          </cell>
          <cell r="U106">
            <v>12500</v>
          </cell>
          <cell r="V106">
            <v>12500</v>
          </cell>
          <cell r="W106">
            <v>12500</v>
          </cell>
          <cell r="X106">
            <v>12500</v>
          </cell>
          <cell r="Y106">
            <v>12500</v>
          </cell>
          <cell r="Z106">
            <v>12500</v>
          </cell>
          <cell r="AA106">
            <v>12500</v>
          </cell>
          <cell r="AB106">
            <v>12500</v>
          </cell>
          <cell r="AC106">
            <v>12500</v>
          </cell>
          <cell r="AD106">
            <v>12500</v>
          </cell>
          <cell r="AE106">
            <v>150000</v>
          </cell>
          <cell r="AF106">
            <v>7500</v>
          </cell>
          <cell r="AG106"/>
          <cell r="AH106"/>
          <cell r="AI106"/>
          <cell r="AJ106">
            <v>157500</v>
          </cell>
          <cell r="AK106">
            <v>0</v>
          </cell>
          <cell r="AL106">
            <v>0</v>
          </cell>
          <cell r="AM106">
            <v>0</v>
          </cell>
          <cell r="AN106">
            <v>0</v>
          </cell>
          <cell r="AO106">
            <v>0</v>
          </cell>
          <cell r="AP106">
            <v>157500</v>
          </cell>
          <cell r="AQ106" t="str">
            <v>Pernambuco</v>
          </cell>
          <cell r="AS106" t="str">
            <v>x</v>
          </cell>
          <cell r="AT106">
            <v>7500</v>
          </cell>
        </row>
        <row r="107">
          <cell r="B107" t="str">
            <v>COO0204</v>
          </cell>
          <cell r="C107" t="str">
            <v>OOMG.C</v>
          </cell>
          <cell r="D107" t="str">
            <v>OOGM.F-OS-2025-I-0221</v>
          </cell>
          <cell r="E107" t="str">
            <v>C-2025-G-0059</v>
          </cell>
          <cell r="F107" t="str">
            <v>C-2025-G-054</v>
          </cell>
          <cell r="G107" t="str">
            <v>Chesf</v>
          </cell>
          <cell r="H107" t="str">
            <v>Nova Demanda</v>
          </cell>
          <cell r="I107" t="str">
            <v>Aquisição de sistema de monitoramento do entreferro da UHE Xingó</v>
          </cell>
          <cell r="J107" t="str">
            <v>Monitoramento entreferro Xingó</v>
          </cell>
          <cell r="K107" t="str">
            <v>Substituição do sistema de monitoramento do entreferro dos geradores</v>
          </cell>
          <cell r="L107" t="str">
            <v>H400040109</v>
          </cell>
          <cell r="M107" t="str">
            <v>UHE Xingó</v>
          </cell>
          <cell r="N107" t="str">
            <v>Geração</v>
          </cell>
          <cell r="O107" t="str">
            <v>Modernização de pequeno porte</v>
          </cell>
          <cell r="P107" t="str">
            <v>Modernização de pequeno porte</v>
          </cell>
          <cell r="Q107" t="str">
            <v>MH.6002</v>
          </cell>
          <cell r="R107" t="str">
            <v>PLANO DE MELHORIAS DOMG 20-25</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380000</v>
          </cell>
          <cell r="AG107"/>
          <cell r="AH107"/>
          <cell r="AI107"/>
          <cell r="AJ107">
            <v>380000</v>
          </cell>
          <cell r="AK107">
            <v>0</v>
          </cell>
          <cell r="AL107">
            <v>0</v>
          </cell>
          <cell r="AM107">
            <v>0</v>
          </cell>
          <cell r="AN107">
            <v>0</v>
          </cell>
          <cell r="AO107">
            <v>0</v>
          </cell>
          <cell r="AP107">
            <v>380000</v>
          </cell>
          <cell r="AQ107" t="str">
            <v>Alagoas</v>
          </cell>
          <cell r="AS107" t="str">
            <v>x</v>
          </cell>
          <cell r="AT107">
            <v>380000</v>
          </cell>
        </row>
        <row r="108">
          <cell r="B108" t="str">
            <v>COO0205</v>
          </cell>
          <cell r="C108" t="str">
            <v>OOMG.C</v>
          </cell>
          <cell r="D108" t="str">
            <v>OOMS.S-S-2025-I-0002</v>
          </cell>
          <cell r="E108" t="str">
            <v>C-2025-G-0038</v>
          </cell>
          <cell r="F108" t="str">
            <v>C-2025-G-086</v>
          </cell>
          <cell r="G108" t="str">
            <v>Chesf</v>
          </cell>
          <cell r="H108" t="str">
            <v>Nova Demanda</v>
          </cell>
          <cell r="I108" t="str">
            <v>Modernização de 02 transformadores reguladores e 06 reatores na UHE Sobradinho</v>
          </cell>
          <cell r="J108" t="str">
            <v>Trafos reguladores e reatores Sobradinho</v>
          </cell>
          <cell r="K108" t="str">
            <v>Substituição dos 06 (seis) reatores limitadores série 13,8 kV e dos 02 (dois) transformadores reguladores 13,8/13,8 kV, que compõem as derivações de serviços auxiliares associadas às unidades geradoras 01G3 e 01G5/USB</v>
          </cell>
          <cell r="L108" t="str">
            <v>H400010047</v>
          </cell>
          <cell r="M108" t="str">
            <v>UHE Sobradinho</v>
          </cell>
          <cell r="N108" t="str">
            <v>Geração</v>
          </cell>
          <cell r="O108" t="str">
            <v>Modernização de pequeno porte</v>
          </cell>
          <cell r="P108" t="str">
            <v>Modernização de pequeno porte</v>
          </cell>
          <cell r="Q108" t="str">
            <v>MH.6002</v>
          </cell>
          <cell r="R108" t="str">
            <v>PLANO DE MELHORIAS DOMG 20-25</v>
          </cell>
          <cell r="S108">
            <v>250000</v>
          </cell>
          <cell r="T108">
            <v>250000</v>
          </cell>
          <cell r="U108">
            <v>250000</v>
          </cell>
          <cell r="V108">
            <v>250000</v>
          </cell>
          <cell r="W108">
            <v>250000</v>
          </cell>
          <cell r="X108">
            <v>250000</v>
          </cell>
          <cell r="Y108">
            <v>250000</v>
          </cell>
          <cell r="Z108">
            <v>250000</v>
          </cell>
          <cell r="AA108">
            <v>250000</v>
          </cell>
          <cell r="AB108">
            <v>250000</v>
          </cell>
          <cell r="AC108">
            <v>250000</v>
          </cell>
          <cell r="AD108">
            <v>250000</v>
          </cell>
          <cell r="AE108">
            <v>3000000</v>
          </cell>
          <cell r="AF108">
            <v>150000</v>
          </cell>
          <cell r="AG108"/>
          <cell r="AH108"/>
          <cell r="AI108"/>
          <cell r="AJ108">
            <v>3150000</v>
          </cell>
          <cell r="AK108">
            <v>0</v>
          </cell>
          <cell r="AL108">
            <v>0</v>
          </cell>
          <cell r="AM108">
            <v>0</v>
          </cell>
          <cell r="AN108">
            <v>0</v>
          </cell>
          <cell r="AO108">
            <v>0</v>
          </cell>
          <cell r="AP108">
            <v>3150000</v>
          </cell>
          <cell r="AQ108" t="str">
            <v>Bahia</v>
          </cell>
          <cell r="AS108" t="str">
            <v>x</v>
          </cell>
          <cell r="AT108">
            <v>150000</v>
          </cell>
        </row>
        <row r="109">
          <cell r="B109" t="str">
            <v>COO0206</v>
          </cell>
          <cell r="C109" t="str">
            <v>OOMG.C</v>
          </cell>
          <cell r="D109" t="str">
            <v>OOGR.S-S-2025-I-0184</v>
          </cell>
          <cell r="E109" t="str">
            <v>C-2025-G-0071</v>
          </cell>
          <cell r="F109" t="str">
            <v>C-2025-G-046</v>
          </cell>
          <cell r="G109" t="str">
            <v>Chesf</v>
          </cell>
          <cell r="H109" t="str">
            <v>Nova Demanda</v>
          </cell>
          <cell r="I109" t="str">
            <v>Modernização do sistema de controle AUX1 e AUX2 da UHE Boa Esperança</v>
          </cell>
          <cell r="J109" t="str">
            <v>CLPs AUX1 e AUX2 Boa Esperança</v>
          </cell>
          <cell r="K109" t="str">
            <v>Substituição dos CLPs AUX1 e AUX2</v>
          </cell>
          <cell r="L109" t="str">
            <v>H400070047</v>
          </cell>
          <cell r="M109" t="str">
            <v>UHE Boa Esperança</v>
          </cell>
          <cell r="N109" t="str">
            <v>Geração</v>
          </cell>
          <cell r="O109" t="str">
            <v>Modernização de pequeno porte</v>
          </cell>
          <cell r="P109" t="str">
            <v>Modernização de pequeno porte</v>
          </cell>
          <cell r="Q109" t="str">
            <v>MH.6002</v>
          </cell>
          <cell r="R109" t="str">
            <v>PLANO DE MELHORIAS DOMG 20-25</v>
          </cell>
          <cell r="S109">
            <v>16667</v>
          </cell>
          <cell r="T109">
            <v>16667</v>
          </cell>
          <cell r="U109">
            <v>16667</v>
          </cell>
          <cell r="V109">
            <v>16667</v>
          </cell>
          <cell r="W109">
            <v>16667</v>
          </cell>
          <cell r="X109">
            <v>16667</v>
          </cell>
          <cell r="Y109">
            <v>16667</v>
          </cell>
          <cell r="Z109">
            <v>16667</v>
          </cell>
          <cell r="AA109">
            <v>16667</v>
          </cell>
          <cell r="AB109">
            <v>16667</v>
          </cell>
          <cell r="AC109">
            <v>16667</v>
          </cell>
          <cell r="AD109">
            <v>16667</v>
          </cell>
          <cell r="AE109">
            <v>200004</v>
          </cell>
          <cell r="AF109">
            <v>10000.200000000001</v>
          </cell>
          <cell r="AG109"/>
          <cell r="AH109"/>
          <cell r="AI109"/>
          <cell r="AJ109">
            <v>210004.2</v>
          </cell>
          <cell r="AK109">
            <v>0</v>
          </cell>
          <cell r="AL109">
            <v>0</v>
          </cell>
          <cell r="AM109">
            <v>0</v>
          </cell>
          <cell r="AN109">
            <v>0</v>
          </cell>
          <cell r="AO109">
            <v>0</v>
          </cell>
          <cell r="AP109">
            <v>210004.2</v>
          </cell>
          <cell r="AQ109" t="str">
            <v>Piauí</v>
          </cell>
          <cell r="AS109" t="str">
            <v>x</v>
          </cell>
          <cell r="AT109">
            <v>10000.200000000001</v>
          </cell>
        </row>
        <row r="110">
          <cell r="B110" t="str">
            <v>COO0207</v>
          </cell>
          <cell r="C110" t="str">
            <v>OOMG.C</v>
          </cell>
          <cell r="D110" t="str">
            <v>OOGR.S-S-2025-I-0270</v>
          </cell>
          <cell r="E110" t="str">
            <v>C-2025-G-0095</v>
          </cell>
          <cell r="F110" t="str">
            <v>C-2025-G-049</v>
          </cell>
          <cell r="G110" t="str">
            <v>Chesf</v>
          </cell>
          <cell r="H110" t="str">
            <v>Nova Demanda</v>
          </cell>
          <cell r="I110" t="str">
            <v>Modernização dos disjuntores do serviço auxiliar 440V da UHE Apolônio Sales</v>
          </cell>
          <cell r="J110" t="str">
            <v>Disjuntores painéis auxiliares 440V Apolônio Sales</v>
          </cell>
          <cell r="K110" t="str">
            <v>Substituição dos disjuntores Principais para os Painéis Auxiliares Gerais de 440Vca</v>
          </cell>
          <cell r="L110" t="str">
            <v>H400040103</v>
          </cell>
          <cell r="M110" t="str">
            <v>UHE Apolônio Sales</v>
          </cell>
          <cell r="N110" t="str">
            <v>Geração</v>
          </cell>
          <cell r="O110" t="str">
            <v>Modernização de pequeno porte</v>
          </cell>
          <cell r="P110" t="str">
            <v>Modernização de pequeno porte</v>
          </cell>
          <cell r="Q110" t="str">
            <v>MH.6002</v>
          </cell>
          <cell r="R110" t="str">
            <v>PLANO DE MELHORIAS DOMG 20-25</v>
          </cell>
          <cell r="S110">
            <v>7333</v>
          </cell>
          <cell r="T110">
            <v>7333</v>
          </cell>
          <cell r="U110">
            <v>7333</v>
          </cell>
          <cell r="V110">
            <v>7333</v>
          </cell>
          <cell r="W110">
            <v>7333</v>
          </cell>
          <cell r="X110">
            <v>7333</v>
          </cell>
          <cell r="Y110">
            <v>7333</v>
          </cell>
          <cell r="Z110">
            <v>7333</v>
          </cell>
          <cell r="AA110">
            <v>7333</v>
          </cell>
          <cell r="AB110">
            <v>7333</v>
          </cell>
          <cell r="AC110">
            <v>7333</v>
          </cell>
          <cell r="AD110">
            <v>7333</v>
          </cell>
          <cell r="AE110">
            <v>87996</v>
          </cell>
          <cell r="AF110"/>
          <cell r="AG110"/>
          <cell r="AH110"/>
          <cell r="AI110"/>
          <cell r="AJ110">
            <v>87996</v>
          </cell>
          <cell r="AK110">
            <v>0</v>
          </cell>
          <cell r="AL110">
            <v>0</v>
          </cell>
          <cell r="AM110">
            <v>0</v>
          </cell>
          <cell r="AN110">
            <v>0</v>
          </cell>
          <cell r="AO110">
            <v>0</v>
          </cell>
          <cell r="AP110">
            <v>87996</v>
          </cell>
          <cell r="AQ110" t="str">
            <v>Alagoas</v>
          </cell>
          <cell r="AS110" t="str">
            <v>x</v>
          </cell>
          <cell r="AT110">
            <v>0</v>
          </cell>
        </row>
        <row r="111">
          <cell r="B111" t="str">
            <v>COO0208</v>
          </cell>
          <cell r="C111" t="str">
            <v>OOMG.C</v>
          </cell>
          <cell r="D111" t="str">
            <v>OOTM.F-OS-2025-I-0403</v>
          </cell>
          <cell r="E111" t="str">
            <v>C-2025-G-0078</v>
          </cell>
          <cell r="F111" t="str">
            <v>C-2025-G-009</v>
          </cell>
          <cell r="G111" t="str">
            <v>Chesf</v>
          </cell>
          <cell r="H111" t="str">
            <v>Nova Demanda</v>
          </cell>
          <cell r="I111" t="str">
            <v>Modernização do sistema de ventilação e exaustão da UHE Paulo Afonso I</v>
          </cell>
          <cell r="J111" t="str">
            <v>Exaustores PA-I</v>
          </cell>
          <cell r="K111" t="str">
            <v>Substituição dos exaustores (03) gerais da usina;</v>
          </cell>
          <cell r="L111" t="str">
            <v>H400040105</v>
          </cell>
          <cell r="M111" t="str">
            <v>UHE Paulo Afonso I</v>
          </cell>
          <cell r="N111" t="str">
            <v>Geração</v>
          </cell>
          <cell r="O111" t="str">
            <v>Modernização de pequeno porte</v>
          </cell>
          <cell r="P111" t="str">
            <v>Modernização de pequeno porte</v>
          </cell>
          <cell r="Q111" t="str">
            <v>MH.6002</v>
          </cell>
          <cell r="R111" t="str">
            <v>PLANO DE MELHORIAS DOMG 20-25</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180000</v>
          </cell>
          <cell r="AG111"/>
          <cell r="AH111"/>
          <cell r="AI111"/>
          <cell r="AJ111">
            <v>180000</v>
          </cell>
          <cell r="AK111">
            <v>0</v>
          </cell>
          <cell r="AL111">
            <v>0</v>
          </cell>
          <cell r="AM111">
            <v>0</v>
          </cell>
          <cell r="AN111">
            <v>0</v>
          </cell>
          <cell r="AO111">
            <v>0</v>
          </cell>
          <cell r="AP111">
            <v>180000</v>
          </cell>
          <cell r="AQ111" t="str">
            <v>Bahia</v>
          </cell>
          <cell r="AT111">
            <v>180000</v>
          </cell>
        </row>
        <row r="112">
          <cell r="B112" t="str">
            <v>COO0209</v>
          </cell>
          <cell r="C112" t="str">
            <v>OOMG.C</v>
          </cell>
          <cell r="D112" t="str">
            <v>OOTM.F-OS-2025-I-0451</v>
          </cell>
          <cell r="E112" t="str">
            <v>C-2025-G-0063</v>
          </cell>
          <cell r="F112" t="str">
            <v>C-2025-G-010</v>
          </cell>
          <cell r="G112" t="str">
            <v>Chesf</v>
          </cell>
          <cell r="H112" t="str">
            <v>Nova Demanda</v>
          </cell>
          <cell r="I112" t="str">
            <v>Modernização do sistema de ventilação e exaustão da UHE Xingó</v>
          </cell>
          <cell r="J112" t="str">
            <v>Exaustores Xingó</v>
          </cell>
          <cell r="K112" t="str">
            <v>Substituição dos exaustores para sistema de exaustão da usina</v>
          </cell>
          <cell r="L112" t="str">
            <v>H400040109</v>
          </cell>
          <cell r="M112" t="str">
            <v>UHE Xingó</v>
          </cell>
          <cell r="N112" t="str">
            <v>Geração</v>
          </cell>
          <cell r="O112" t="str">
            <v>Modernização de pequeno porte</v>
          </cell>
          <cell r="P112" t="str">
            <v>Modernização de pequeno porte</v>
          </cell>
          <cell r="Q112" t="str">
            <v>MH.6002</v>
          </cell>
          <cell r="R112" t="str">
            <v>PLANO DE MELHORIAS DOMG 20-25</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350000</v>
          </cell>
          <cell r="AG112"/>
          <cell r="AH112"/>
          <cell r="AI112"/>
          <cell r="AJ112">
            <v>350000</v>
          </cell>
          <cell r="AK112">
            <v>0</v>
          </cell>
          <cell r="AL112">
            <v>0</v>
          </cell>
          <cell r="AM112">
            <v>0</v>
          </cell>
          <cell r="AN112">
            <v>0</v>
          </cell>
          <cell r="AO112">
            <v>0</v>
          </cell>
          <cell r="AP112">
            <v>350000</v>
          </cell>
          <cell r="AQ112" t="str">
            <v>Alagoas</v>
          </cell>
          <cell r="AT112">
            <v>350000</v>
          </cell>
        </row>
        <row r="113">
          <cell r="B113" t="str">
            <v>COO0210</v>
          </cell>
          <cell r="C113" t="str">
            <v>OOMG.C</v>
          </cell>
          <cell r="D113" t="str">
            <v>OOGR.S-S-2025-I-0164</v>
          </cell>
          <cell r="E113" t="str">
            <v>C-2025-G-0064</v>
          </cell>
          <cell r="F113" t="str">
            <v>C-2025-G-067</v>
          </cell>
          <cell r="G113" t="str">
            <v>Chesf</v>
          </cell>
          <cell r="H113" t="str">
            <v>Nova Demanda</v>
          </cell>
          <cell r="I113" t="str">
            <v>Modernização do sistema de ventilação da UHE Xingó</v>
          </cell>
          <cell r="J113" t="str">
            <v>Quadros ventilação Xingó</v>
          </cell>
          <cell r="K113" t="str">
            <v>Substituição dos quadros dos VT (04 unidades) quadros de comando de partida lenta dos ventiladores e exautores.</v>
          </cell>
          <cell r="L113" t="str">
            <v>H400040109</v>
          </cell>
          <cell r="M113" t="str">
            <v>UHE Xingó</v>
          </cell>
          <cell r="N113" t="str">
            <v>Geração</v>
          </cell>
          <cell r="O113" t="str">
            <v>Modernização de pequeno porte</v>
          </cell>
          <cell r="P113" t="str">
            <v>Modernização de pequeno porte</v>
          </cell>
          <cell r="Q113" t="str">
            <v>MH.6002</v>
          </cell>
          <cell r="R113" t="str">
            <v>PLANO DE MELHORIAS DOMG 20-25</v>
          </cell>
          <cell r="S113">
            <v>25000</v>
          </cell>
          <cell r="T113">
            <v>25000</v>
          </cell>
          <cell r="U113">
            <v>25000</v>
          </cell>
          <cell r="V113">
            <v>25000</v>
          </cell>
          <cell r="W113">
            <v>25000</v>
          </cell>
          <cell r="X113">
            <v>25000</v>
          </cell>
          <cell r="Y113">
            <v>25000</v>
          </cell>
          <cell r="Z113">
            <v>25000</v>
          </cell>
          <cell r="AA113">
            <v>25000</v>
          </cell>
          <cell r="AB113">
            <v>25000</v>
          </cell>
          <cell r="AC113">
            <v>25000</v>
          </cell>
          <cell r="AD113">
            <v>25000</v>
          </cell>
          <cell r="AE113">
            <v>300000</v>
          </cell>
          <cell r="AF113">
            <v>15000</v>
          </cell>
          <cell r="AG113"/>
          <cell r="AH113"/>
          <cell r="AI113"/>
          <cell r="AJ113">
            <v>315000</v>
          </cell>
          <cell r="AK113">
            <v>0</v>
          </cell>
          <cell r="AL113">
            <v>0</v>
          </cell>
          <cell r="AM113">
            <v>0</v>
          </cell>
          <cell r="AN113">
            <v>0</v>
          </cell>
          <cell r="AO113">
            <v>0</v>
          </cell>
          <cell r="AP113">
            <v>315000</v>
          </cell>
          <cell r="AQ113" t="str">
            <v>Alagoas</v>
          </cell>
          <cell r="AS113" t="str">
            <v>x</v>
          </cell>
          <cell r="AT113">
            <v>15000</v>
          </cell>
        </row>
        <row r="114">
          <cell r="B114" t="str">
            <v>COO0211</v>
          </cell>
          <cell r="C114" t="str">
            <v>OOMG.C</v>
          </cell>
          <cell r="D114" t="str">
            <v>OOGN.S-S-2025-I-0136</v>
          </cell>
          <cell r="E114" t="str">
            <v>C-2025-G-0052</v>
          </cell>
          <cell r="F114" t="str">
            <v>C-2025-G-072</v>
          </cell>
          <cell r="G114" t="str">
            <v>Chesf</v>
          </cell>
          <cell r="H114" t="str">
            <v>Nova Demanda</v>
          </cell>
          <cell r="I114" t="str">
            <v>Substituição dos retificadores da UHE Boa Esperança</v>
          </cell>
          <cell r="J114" t="str">
            <v>Retificadores Boa Esperança</v>
          </cell>
          <cell r="K114" t="str">
            <v>Substituição dos retificadores da usina</v>
          </cell>
          <cell r="L114" t="str">
            <v>H400070047</v>
          </cell>
          <cell r="M114" t="str">
            <v>UHE Boa Esperança</v>
          </cell>
          <cell r="N114" t="str">
            <v>Geração</v>
          </cell>
          <cell r="O114" t="str">
            <v>Modernização de pequeno porte</v>
          </cell>
          <cell r="P114" t="str">
            <v>Modernização de pequeno porte</v>
          </cell>
          <cell r="Q114" t="str">
            <v>MH.6002</v>
          </cell>
          <cell r="R114" t="str">
            <v>PLANO DE MELHORIAS DOMG 20-25</v>
          </cell>
          <cell r="S114">
            <v>33333</v>
          </cell>
          <cell r="T114">
            <v>33333</v>
          </cell>
          <cell r="U114">
            <v>33333</v>
          </cell>
          <cell r="V114">
            <v>33333</v>
          </cell>
          <cell r="W114">
            <v>33333</v>
          </cell>
          <cell r="X114">
            <v>33333</v>
          </cell>
          <cell r="Y114">
            <v>33333</v>
          </cell>
          <cell r="Z114">
            <v>33333</v>
          </cell>
          <cell r="AA114">
            <v>33333</v>
          </cell>
          <cell r="AB114">
            <v>33333</v>
          </cell>
          <cell r="AC114">
            <v>33333</v>
          </cell>
          <cell r="AD114">
            <v>33333</v>
          </cell>
          <cell r="AE114">
            <v>399996</v>
          </cell>
          <cell r="AF114">
            <v>400000</v>
          </cell>
          <cell r="AG114"/>
          <cell r="AH114"/>
          <cell r="AI114"/>
          <cell r="AJ114">
            <v>799996</v>
          </cell>
          <cell r="AK114">
            <v>0</v>
          </cell>
          <cell r="AL114">
            <v>0</v>
          </cell>
          <cell r="AM114">
            <v>0</v>
          </cell>
          <cell r="AN114">
            <v>0</v>
          </cell>
          <cell r="AO114">
            <v>0</v>
          </cell>
          <cell r="AP114">
            <v>799996</v>
          </cell>
          <cell r="AQ114" t="str">
            <v>Piauí</v>
          </cell>
          <cell r="AS114" t="str">
            <v>x</v>
          </cell>
          <cell r="AT114">
            <v>400000</v>
          </cell>
        </row>
        <row r="115">
          <cell r="B115" t="str">
            <v>COO0212</v>
          </cell>
          <cell r="C115" t="str">
            <v>OOMB.C</v>
          </cell>
          <cell r="D115"/>
          <cell r="E115" t="str">
            <v>C-2025-G-0126</v>
          </cell>
          <cell r="F115" t="str">
            <v>C-2025-G-024</v>
          </cell>
          <cell r="G115" t="str">
            <v>Chesf</v>
          </cell>
          <cell r="H115" t="str">
            <v>Nova Demanda</v>
          </cell>
          <cell r="I115" t="str">
            <v>Adequação da cobertura das instalações do Complexo Paulo Afonso</v>
          </cell>
          <cell r="J115" t="str">
            <v>Substituição e Readequação da cobertura do edifício técnico do complexo de Paulo Afonso</v>
          </cell>
          <cell r="K115" t="str">
            <v>Substituição e Readequação da cobertura do edifício técnico do complexo de Paulo Afonso</v>
          </cell>
          <cell r="L115" t="str">
            <v>Diversos</v>
          </cell>
          <cell r="M115" t="str">
            <v>Complexo Paulo Afonso</v>
          </cell>
          <cell r="N115" t="str">
            <v>Geração</v>
          </cell>
          <cell r="O115" t="str">
            <v>Modernização de pequeno porte</v>
          </cell>
          <cell r="P115" t="str">
            <v>Modernização de pequeno porte</v>
          </cell>
          <cell r="Q115" t="str">
            <v>MH.6001</v>
          </cell>
          <cell r="R115" t="str">
            <v>Investimento Civil Geração PDNG 2019-202</v>
          </cell>
          <cell r="S115">
            <v>0</v>
          </cell>
          <cell r="T115">
            <v>0</v>
          </cell>
          <cell r="U115">
            <v>0</v>
          </cell>
          <cell r="V115">
            <v>0</v>
          </cell>
          <cell r="W115">
            <v>0</v>
          </cell>
          <cell r="X115">
            <v>112000</v>
          </cell>
          <cell r="Y115">
            <v>112000</v>
          </cell>
          <cell r="Z115">
            <v>112000</v>
          </cell>
          <cell r="AA115">
            <v>112000</v>
          </cell>
          <cell r="AB115">
            <v>112000</v>
          </cell>
          <cell r="AC115">
            <v>112000</v>
          </cell>
          <cell r="AD115">
            <v>112000</v>
          </cell>
          <cell r="AE115">
            <v>784000</v>
          </cell>
          <cell r="AF115">
            <v>116000</v>
          </cell>
          <cell r="AG115"/>
          <cell r="AH115"/>
          <cell r="AI115"/>
          <cell r="AJ115">
            <v>900000</v>
          </cell>
          <cell r="AK115">
            <v>0</v>
          </cell>
          <cell r="AL115">
            <v>0</v>
          </cell>
          <cell r="AM115">
            <v>0</v>
          </cell>
          <cell r="AN115">
            <v>0</v>
          </cell>
          <cell r="AO115">
            <v>0</v>
          </cell>
          <cell r="AP115">
            <v>900000</v>
          </cell>
          <cell r="AQ115" t="str">
            <v>Bahia</v>
          </cell>
          <cell r="AS115" t="str">
            <v>x</v>
          </cell>
          <cell r="AT115">
            <v>116000</v>
          </cell>
        </row>
        <row r="116">
          <cell r="B116" t="str">
            <v>COO0213</v>
          </cell>
          <cell r="C116" t="str">
            <v>OOP.C</v>
          </cell>
          <cell r="D116" t="str">
            <v>OOPM.S-S-2025-I-0065</v>
          </cell>
          <cell r="E116" t="str">
            <v>C-2025-G-0121</v>
          </cell>
          <cell r="F116" t="str">
            <v>C-2025-G-084</v>
          </cell>
          <cell r="G116" t="str">
            <v>Chesf</v>
          </cell>
          <cell r="H116" t="str">
            <v>Nova Demanda</v>
          </cell>
          <cell r="I116" t="str">
            <v>Implantação do Projeto do Segmento SPAT 1</v>
          </cell>
          <cell r="J116" t="str">
            <v>Suporte Fiscalização e Projeto do Segmento SPAT 1</v>
          </cell>
          <cell r="K116" t="str">
            <v>Suporte Fiscalização e Projeto do Segmento SPAT 1</v>
          </cell>
          <cell r="L116" t="str">
            <v>Diversos</v>
          </cell>
          <cell r="M116" t="str">
            <v>Diversas UHE</v>
          </cell>
          <cell r="N116" t="str">
            <v>Geração</v>
          </cell>
          <cell r="O116" t="str">
            <v>Modernização de pequeno porte</v>
          </cell>
          <cell r="P116" t="str">
            <v>Modernização de pequeno porte</v>
          </cell>
          <cell r="Q116" t="str">
            <v>Diversos</v>
          </cell>
          <cell r="R116" t="str">
            <v>Diversas</v>
          </cell>
          <cell r="S116">
            <v>0</v>
          </cell>
          <cell r="T116">
            <v>0</v>
          </cell>
          <cell r="U116">
            <v>0</v>
          </cell>
          <cell r="V116">
            <v>0</v>
          </cell>
          <cell r="W116">
            <v>0</v>
          </cell>
          <cell r="X116">
            <v>0</v>
          </cell>
          <cell r="Y116">
            <v>166667</v>
          </cell>
          <cell r="Z116">
            <v>166667</v>
          </cell>
          <cell r="AA116">
            <v>166667</v>
          </cell>
          <cell r="AB116">
            <v>166667</v>
          </cell>
          <cell r="AC116">
            <v>166667</v>
          </cell>
          <cell r="AD116">
            <v>166665</v>
          </cell>
          <cell r="AE116">
            <v>1000000</v>
          </cell>
          <cell r="AF116">
            <v>1004000</v>
          </cell>
          <cell r="AG116">
            <v>1008016</v>
          </cell>
          <cell r="AH116">
            <v>1012048</v>
          </cell>
          <cell r="AI116"/>
          <cell r="AJ116">
            <v>4024064</v>
          </cell>
          <cell r="AK116">
            <v>0</v>
          </cell>
          <cell r="AL116">
            <v>0</v>
          </cell>
          <cell r="AM116">
            <v>0</v>
          </cell>
          <cell r="AN116">
            <v>0</v>
          </cell>
          <cell r="AO116">
            <v>0</v>
          </cell>
          <cell r="AP116">
            <v>4024064</v>
          </cell>
          <cell r="AQ116"/>
          <cell r="AS116" t="str">
            <v>x</v>
          </cell>
          <cell r="AT116">
            <v>3024064</v>
          </cell>
        </row>
        <row r="117">
          <cell r="B117" t="str">
            <v>COO0214</v>
          </cell>
          <cell r="C117" t="str">
            <v>OOP.C</v>
          </cell>
          <cell r="D117" t="str">
            <v>OOPM.S-S-2025-I-0066</v>
          </cell>
          <cell r="E117" t="str">
            <v>C-2025-G-0122</v>
          </cell>
          <cell r="F117" t="str">
            <v>C-2025-G-085</v>
          </cell>
          <cell r="G117" t="str">
            <v>Chesf</v>
          </cell>
          <cell r="H117" t="str">
            <v>Nova Demanda</v>
          </cell>
          <cell r="I117" t="str">
            <v>Implantação do Projeto do Segmento SPAT 2</v>
          </cell>
          <cell r="J117" t="str">
            <v>Suporte Fiscalização e Projeto do Segmento SPAT 2</v>
          </cell>
          <cell r="K117" t="str">
            <v>Suporte Fiscalização e Projeto do Segmento SPAT 2</v>
          </cell>
          <cell r="L117" t="str">
            <v>Diversos</v>
          </cell>
          <cell r="M117" t="str">
            <v>Diversas UHE</v>
          </cell>
          <cell r="N117" t="str">
            <v>Geração</v>
          </cell>
          <cell r="O117" t="str">
            <v>Modernização de pequeno porte</v>
          </cell>
          <cell r="P117" t="str">
            <v>Modernização de pequeno porte</v>
          </cell>
          <cell r="Q117" t="str">
            <v>Diversos</v>
          </cell>
          <cell r="R117" t="str">
            <v>Diversas</v>
          </cell>
          <cell r="S117">
            <v>0</v>
          </cell>
          <cell r="T117">
            <v>0</v>
          </cell>
          <cell r="U117">
            <v>0</v>
          </cell>
          <cell r="V117">
            <v>0</v>
          </cell>
          <cell r="W117">
            <v>0</v>
          </cell>
          <cell r="X117">
            <v>0</v>
          </cell>
          <cell r="Y117">
            <v>166667</v>
          </cell>
          <cell r="Z117">
            <v>166667</v>
          </cell>
          <cell r="AA117">
            <v>166667</v>
          </cell>
          <cell r="AB117">
            <v>166667</v>
          </cell>
          <cell r="AC117">
            <v>166667</v>
          </cell>
          <cell r="AD117">
            <v>166665</v>
          </cell>
          <cell r="AE117">
            <v>1000000</v>
          </cell>
          <cell r="AF117">
            <v>602400</v>
          </cell>
          <cell r="AG117">
            <v>604810</v>
          </cell>
          <cell r="AH117">
            <v>607229</v>
          </cell>
          <cell r="AI117"/>
          <cell r="AJ117">
            <v>2814439</v>
          </cell>
          <cell r="AK117">
            <v>0</v>
          </cell>
          <cell r="AL117">
            <v>0</v>
          </cell>
          <cell r="AM117">
            <v>0</v>
          </cell>
          <cell r="AN117">
            <v>0</v>
          </cell>
          <cell r="AO117">
            <v>0</v>
          </cell>
          <cell r="AP117">
            <v>2814439</v>
          </cell>
          <cell r="AQ117"/>
          <cell r="AS117" t="str">
            <v>x</v>
          </cell>
          <cell r="AT117">
            <v>1814439</v>
          </cell>
        </row>
        <row r="118">
          <cell r="B118" t="str">
            <v>COO0225</v>
          </cell>
          <cell r="C118" t="str">
            <v>OOMG.C</v>
          </cell>
          <cell r="D118" t="str">
            <v>OOGN.S-S-2025-I-0153</v>
          </cell>
          <cell r="E118" t="str">
            <v>C-2024-G-0018</v>
          </cell>
          <cell r="F118" t="str">
            <v>C-2024-G-013</v>
          </cell>
          <cell r="G118" t="str">
            <v>Chesf</v>
          </cell>
          <cell r="H118" t="str">
            <v>Nova Demanda</v>
          </cell>
          <cell r="I118" t="str">
            <v>Modernização do sistema de ventilação da UHE  Boa Esperança</v>
          </cell>
          <cell r="J118" t="str">
            <v>Ventilação Boa Esperança</v>
          </cell>
          <cell r="K118" t="str">
            <v>Modernização do sistema de ventilação da usina Boa Esperança</v>
          </cell>
          <cell r="L118" t="str">
            <v>H400070047</v>
          </cell>
          <cell r="M118" t="str">
            <v>UHE Boa Esperança</v>
          </cell>
          <cell r="N118" t="str">
            <v>Geração</v>
          </cell>
          <cell r="O118" t="str">
            <v>Modernização de pequeno porte</v>
          </cell>
          <cell r="P118" t="str">
            <v>Modernização de pequeno porte</v>
          </cell>
          <cell r="Q118" t="str">
            <v>MH.6002</v>
          </cell>
          <cell r="R118" t="str">
            <v>PLANO DE MELHORIAS DOMG 20-25</v>
          </cell>
          <cell r="S118">
            <v>28000</v>
          </cell>
          <cell r="T118">
            <v>28000</v>
          </cell>
          <cell r="U118">
            <v>28000</v>
          </cell>
          <cell r="V118">
            <v>28000</v>
          </cell>
          <cell r="W118">
            <v>28000</v>
          </cell>
          <cell r="X118">
            <v>28000</v>
          </cell>
          <cell r="Y118">
            <v>28000</v>
          </cell>
          <cell r="Z118">
            <v>28000</v>
          </cell>
          <cell r="AA118">
            <v>28000</v>
          </cell>
          <cell r="AB118">
            <v>28000</v>
          </cell>
          <cell r="AC118">
            <v>28000</v>
          </cell>
          <cell r="AD118">
            <v>28000</v>
          </cell>
          <cell r="AE118">
            <v>336000</v>
          </cell>
          <cell r="AF118">
            <v>16800</v>
          </cell>
          <cell r="AG118"/>
          <cell r="AH118"/>
          <cell r="AI118"/>
          <cell r="AJ118">
            <v>352800</v>
          </cell>
          <cell r="AK118">
            <v>0</v>
          </cell>
          <cell r="AL118">
            <v>0</v>
          </cell>
          <cell r="AM118">
            <v>0</v>
          </cell>
          <cell r="AN118">
            <v>0</v>
          </cell>
          <cell r="AO118">
            <v>0</v>
          </cell>
          <cell r="AP118">
            <v>352800</v>
          </cell>
          <cell r="AQ118" t="str">
            <v>Piauí</v>
          </cell>
          <cell r="AS118" t="str">
            <v>x</v>
          </cell>
          <cell r="AT118">
            <v>16800</v>
          </cell>
        </row>
        <row r="119">
          <cell r="B119" t="str">
            <v>COO0547</v>
          </cell>
          <cell r="C119" t="str">
            <v>OOGSA.N</v>
          </cell>
          <cell r="D119" t="str">
            <v>OOGN.S-S-2025-I-0271</v>
          </cell>
          <cell r="E119" t="str">
            <v>N-2025-G-0057</v>
          </cell>
          <cell r="F119" t="str">
            <v>N-2025-G-108</v>
          </cell>
          <cell r="G119" t="str">
            <v>Eletronorte</v>
          </cell>
          <cell r="H119" t="str">
            <v>Nova Demanda</v>
          </cell>
          <cell r="I119" t="str">
            <v>Modernização do sistema de proteção, controle e supervisão dos geradores diesel da UHE Samuel</v>
          </cell>
          <cell r="J119"/>
          <cell r="K119"/>
          <cell r="L119" t="str">
            <v>NO10104003</v>
          </cell>
          <cell r="M119" t="str">
            <v>UHE Samuel</v>
          </cell>
          <cell r="N119" t="str">
            <v>Geração</v>
          </cell>
          <cell r="O119" t="str">
            <v>Modernização de pequeno porte</v>
          </cell>
          <cell r="P119" t="str">
            <v>Modernização de pequeno porte</v>
          </cell>
          <cell r="Q119" t="str">
            <v>NGHI.0143</v>
          </cell>
          <cell r="R119" t="str">
            <v>OOG Modern. G PP 2025</v>
          </cell>
          <cell r="S119">
            <v>0</v>
          </cell>
          <cell r="T119">
            <v>0</v>
          </cell>
          <cell r="U119">
            <v>0</v>
          </cell>
          <cell r="V119">
            <v>0</v>
          </cell>
          <cell r="W119">
            <v>0</v>
          </cell>
          <cell r="X119">
            <v>0</v>
          </cell>
          <cell r="Y119">
            <v>0</v>
          </cell>
          <cell r="Z119">
            <v>0</v>
          </cell>
          <cell r="AA119">
            <v>0</v>
          </cell>
          <cell r="AB119">
            <v>80000</v>
          </cell>
          <cell r="AC119">
            <v>0</v>
          </cell>
          <cell r="AD119">
            <v>0</v>
          </cell>
          <cell r="AE119">
            <v>80000</v>
          </cell>
          <cell r="AF119"/>
          <cell r="AG119"/>
          <cell r="AH119"/>
          <cell r="AI119"/>
          <cell r="AJ119">
            <v>80000</v>
          </cell>
          <cell r="AK119">
            <v>0</v>
          </cell>
          <cell r="AL119">
            <v>0</v>
          </cell>
          <cell r="AM119">
            <v>0</v>
          </cell>
          <cell r="AN119">
            <v>0</v>
          </cell>
          <cell r="AO119">
            <v>0</v>
          </cell>
          <cell r="AP119">
            <v>80000</v>
          </cell>
          <cell r="AQ119" t="str">
            <v>Rondônia</v>
          </cell>
          <cell r="AS119" t="str">
            <v>x</v>
          </cell>
          <cell r="AT119">
            <v>0</v>
          </cell>
        </row>
        <row r="120">
          <cell r="B120" t="str">
            <v>COO0548</v>
          </cell>
          <cell r="C120" t="str">
            <v>OOMG.N</v>
          </cell>
          <cell r="D120" t="str">
            <v>OOO.C-C-2025-I-0044</v>
          </cell>
          <cell r="E120" t="str">
            <v>N-2025-G-0076</v>
          </cell>
          <cell r="F120" t="str">
            <v>N-2025-G-098</v>
          </cell>
          <cell r="G120" t="str">
            <v>Eletronorte</v>
          </cell>
          <cell r="H120" t="str">
            <v>Contratado</v>
          </cell>
          <cell r="I120" t="str">
            <v>Modernização do sistema auto-limpante de água industrial da UHE Tucuruí</v>
          </cell>
          <cell r="J120"/>
          <cell r="K120"/>
          <cell r="L120" t="str">
            <v>NO10105003</v>
          </cell>
          <cell r="M120" t="str">
            <v>UHE Tucuruí</v>
          </cell>
          <cell r="N120" t="str">
            <v>Geração</v>
          </cell>
          <cell r="O120" t="str">
            <v>Modernização de pequeno porte</v>
          </cell>
          <cell r="P120" t="str">
            <v>Modernização de pequeno porte</v>
          </cell>
          <cell r="Q120" t="str">
            <v>NGHI.0141</v>
          </cell>
          <cell r="R120" t="str">
            <v>Não cadastrado</v>
          </cell>
          <cell r="S120">
            <v>0</v>
          </cell>
          <cell r="T120">
            <v>1034883</v>
          </cell>
          <cell r="U120">
            <v>0</v>
          </cell>
          <cell r="V120">
            <v>0</v>
          </cell>
          <cell r="W120">
            <v>0</v>
          </cell>
          <cell r="X120">
            <v>0</v>
          </cell>
          <cell r="Y120">
            <v>0</v>
          </cell>
          <cell r="Z120">
            <v>1000000</v>
          </cell>
          <cell r="AA120">
            <v>1000000</v>
          </cell>
          <cell r="AB120">
            <v>500000</v>
          </cell>
          <cell r="AC120">
            <v>0</v>
          </cell>
          <cell r="AD120">
            <v>0</v>
          </cell>
          <cell r="AE120">
            <v>3534883</v>
          </cell>
          <cell r="AF120"/>
          <cell r="AG120"/>
          <cell r="AH120"/>
          <cell r="AI120"/>
          <cell r="AJ120">
            <v>3534883</v>
          </cell>
          <cell r="AK120">
            <v>0</v>
          </cell>
          <cell r="AL120">
            <v>0</v>
          </cell>
          <cell r="AM120">
            <v>0</v>
          </cell>
          <cell r="AN120">
            <v>0</v>
          </cell>
          <cell r="AO120">
            <v>0</v>
          </cell>
          <cell r="AP120">
            <v>3534883</v>
          </cell>
          <cell r="AQ120" t="str">
            <v>Pará</v>
          </cell>
          <cell r="AS120" t="str">
            <v>x</v>
          </cell>
          <cell r="AT120">
            <v>0</v>
          </cell>
        </row>
        <row r="121">
          <cell r="B121" t="str">
            <v>COO0549</v>
          </cell>
          <cell r="C121" t="str">
            <v>OOMG.N</v>
          </cell>
          <cell r="D121" t="str">
            <v>OOMB.C-C-2025-I-0013</v>
          </cell>
          <cell r="E121" t="str">
            <v>N-2025-G-0080</v>
          </cell>
          <cell r="F121" t="str">
            <v>N-2025-G-113</v>
          </cell>
          <cell r="G121" t="str">
            <v>Eletronorte</v>
          </cell>
          <cell r="H121" t="str">
            <v>Contratado</v>
          </cell>
          <cell r="I121" t="str">
            <v>Implantação do sistema de injeção química para combate ao mexilhão dourado na UHE Tucuruí</v>
          </cell>
          <cell r="J121"/>
          <cell r="K121"/>
          <cell r="L121" t="str">
            <v>NO10105003</v>
          </cell>
          <cell r="M121" t="str">
            <v>UHE Tucuruí</v>
          </cell>
          <cell r="N121" t="str">
            <v>Geração</v>
          </cell>
          <cell r="O121" t="str">
            <v>Modernização de pequeno porte</v>
          </cell>
          <cell r="P121" t="str">
            <v>Modernização de pequeno porte</v>
          </cell>
          <cell r="Q121" t="str">
            <v>NGHI.0141</v>
          </cell>
          <cell r="R121" t="str">
            <v>Não cadastrado</v>
          </cell>
          <cell r="S121">
            <v>0</v>
          </cell>
          <cell r="T121">
            <v>1498983.9</v>
          </cell>
          <cell r="U121">
            <v>1498983.9</v>
          </cell>
          <cell r="V121">
            <v>0</v>
          </cell>
          <cell r="W121">
            <v>1590433.2</v>
          </cell>
          <cell r="X121">
            <v>0</v>
          </cell>
          <cell r="Y121">
            <v>685401.10000000009</v>
          </cell>
          <cell r="Z121">
            <v>1590433.2</v>
          </cell>
          <cell r="AA121">
            <v>0</v>
          </cell>
          <cell r="AB121">
            <v>557200</v>
          </cell>
          <cell r="AC121">
            <v>0</v>
          </cell>
          <cell r="AD121">
            <v>0</v>
          </cell>
          <cell r="AE121">
            <v>7421435.2999999998</v>
          </cell>
          <cell r="AF121">
            <v>1114400</v>
          </cell>
          <cell r="AG121">
            <v>557200</v>
          </cell>
          <cell r="AH121"/>
          <cell r="AI121"/>
          <cell r="AJ121">
            <v>9093035.3000000007</v>
          </cell>
          <cell r="AK121">
            <v>0</v>
          </cell>
          <cell r="AL121">
            <v>0</v>
          </cell>
          <cell r="AM121">
            <v>0</v>
          </cell>
          <cell r="AN121">
            <v>0</v>
          </cell>
          <cell r="AO121">
            <v>0</v>
          </cell>
          <cell r="AP121">
            <v>9093035.3000000007</v>
          </cell>
          <cell r="AQ121" t="str">
            <v>Pará</v>
          </cell>
          <cell r="AS121" t="str">
            <v>x</v>
          </cell>
          <cell r="AT121">
            <v>1671600</v>
          </cell>
        </row>
        <row r="122">
          <cell r="B122" t="str">
            <v>COO0550</v>
          </cell>
          <cell r="C122" t="str">
            <v>OOMG.N</v>
          </cell>
          <cell r="D122" t="str">
            <v>OOGN.S-S-2025-I-0092</v>
          </cell>
          <cell r="E122" t="str">
            <v>N-2025-G-0077</v>
          </cell>
          <cell r="F122" t="str">
            <v>N-2025-G-178</v>
          </cell>
          <cell r="G122" t="str">
            <v>Eletronorte</v>
          </cell>
          <cell r="H122" t="str">
            <v>Contratado</v>
          </cell>
          <cell r="I122" t="str">
            <v>Modernização do sistema de resfriamento da UHE Tucuruí - Projeto Siri</v>
          </cell>
          <cell r="J122"/>
          <cell r="K122"/>
          <cell r="L122" t="str">
            <v>NO10105003</v>
          </cell>
          <cell r="M122" t="str">
            <v>UHE Tucuruí</v>
          </cell>
          <cell r="N122" t="str">
            <v>Geração</v>
          </cell>
          <cell r="O122" t="str">
            <v>Modernização de pequeno porte</v>
          </cell>
          <cell r="P122" t="str">
            <v>Modernização de pequeno porte</v>
          </cell>
          <cell r="Q122" t="str">
            <v>NGHI.0141</v>
          </cell>
          <cell r="R122" t="str">
            <v>Não cadastrado</v>
          </cell>
          <cell r="S122">
            <v>0</v>
          </cell>
          <cell r="T122">
            <v>0</v>
          </cell>
          <cell r="U122">
            <v>0</v>
          </cell>
          <cell r="V122">
            <v>0</v>
          </cell>
          <cell r="W122">
            <v>200000</v>
          </cell>
          <cell r="X122">
            <v>0</v>
          </cell>
          <cell r="Y122">
            <v>0</v>
          </cell>
          <cell r="Z122">
            <v>300000</v>
          </cell>
          <cell r="AA122">
            <v>200000</v>
          </cell>
          <cell r="AB122">
            <v>0</v>
          </cell>
          <cell r="AC122">
            <v>0</v>
          </cell>
          <cell r="AD122">
            <v>0</v>
          </cell>
          <cell r="AE122">
            <v>700000</v>
          </cell>
          <cell r="AF122"/>
          <cell r="AG122"/>
          <cell r="AH122"/>
          <cell r="AI122"/>
          <cell r="AJ122">
            <v>700000</v>
          </cell>
          <cell r="AK122">
            <v>0</v>
          </cell>
          <cell r="AL122">
            <v>0</v>
          </cell>
          <cell r="AM122">
            <v>0</v>
          </cell>
          <cell r="AN122">
            <v>0</v>
          </cell>
          <cell r="AO122">
            <v>0</v>
          </cell>
          <cell r="AP122">
            <v>700000</v>
          </cell>
          <cell r="AQ122" t="str">
            <v>Pará</v>
          </cell>
          <cell r="AS122" t="str">
            <v>x</v>
          </cell>
          <cell r="AT122">
            <v>0</v>
          </cell>
        </row>
        <row r="123">
          <cell r="B123" t="str">
            <v>COO0551</v>
          </cell>
          <cell r="C123" t="str">
            <v>OOMS.N</v>
          </cell>
          <cell r="D123" t="str">
            <v>OOMT.S-S-2025-I-0042</v>
          </cell>
          <cell r="E123" t="str">
            <v>N-2025-G-0078</v>
          </cell>
          <cell r="F123" t="str">
            <v>N-2025-G-181</v>
          </cell>
          <cell r="G123" t="str">
            <v>Eletronorte</v>
          </cell>
          <cell r="H123" t="str">
            <v>Contratado</v>
          </cell>
          <cell r="I123" t="str">
            <v>Aquisição de sistema de monitoramento de bucha para a UHE.</v>
          </cell>
          <cell r="J123"/>
          <cell r="K123"/>
          <cell r="L123" t="str">
            <v>NO10105003</v>
          </cell>
          <cell r="M123" t="str">
            <v>Não cadastrado</v>
          </cell>
          <cell r="N123" t="str">
            <v>Geração</v>
          </cell>
          <cell r="O123" t="str">
            <v>Modernização de pequeno porte</v>
          </cell>
          <cell r="P123" t="str">
            <v>Modernização de pequeno porte</v>
          </cell>
          <cell r="Q123" t="str">
            <v>NGHI.0141</v>
          </cell>
          <cell r="R123" t="str">
            <v>Não cadastrado</v>
          </cell>
          <cell r="S123">
            <v>0</v>
          </cell>
          <cell r="T123">
            <v>164820</v>
          </cell>
          <cell r="U123">
            <v>0</v>
          </cell>
          <cell r="V123">
            <v>945335</v>
          </cell>
          <cell r="W123">
            <v>0</v>
          </cell>
          <cell r="X123">
            <v>0</v>
          </cell>
          <cell r="Y123">
            <v>430587</v>
          </cell>
          <cell r="Z123"/>
          <cell r="AA123">
            <v>0</v>
          </cell>
          <cell r="AB123">
            <v>0</v>
          </cell>
          <cell r="AC123">
            <v>0</v>
          </cell>
          <cell r="AD123">
            <v>0</v>
          </cell>
          <cell r="AE123">
            <v>1540742</v>
          </cell>
          <cell r="AF123"/>
          <cell r="AG123"/>
          <cell r="AH123"/>
          <cell r="AI123"/>
          <cell r="AJ123">
            <v>1540742</v>
          </cell>
          <cell r="AK123">
            <v>0</v>
          </cell>
          <cell r="AL123">
            <v>0</v>
          </cell>
          <cell r="AM123">
            <v>0</v>
          </cell>
          <cell r="AN123">
            <v>0</v>
          </cell>
          <cell r="AO123">
            <v>0</v>
          </cell>
          <cell r="AP123">
            <v>1540742</v>
          </cell>
          <cell r="AQ123" t="str">
            <v>Pará</v>
          </cell>
          <cell r="AT123">
            <v>0</v>
          </cell>
        </row>
        <row r="124">
          <cell r="B124" t="str">
            <v>COO0552</v>
          </cell>
          <cell r="C124" t="str">
            <v>OOMG.N</v>
          </cell>
          <cell r="D124" t="str">
            <v>OOGR.S-S-2025-I-0083</v>
          </cell>
          <cell r="E124" t="str">
            <v>N-2025-G-0111</v>
          </cell>
          <cell r="F124" t="str">
            <v>N-2025-G-200</v>
          </cell>
          <cell r="G124" t="str">
            <v>Eletronorte</v>
          </cell>
          <cell r="H124" t="str">
            <v>Nova Demanda</v>
          </cell>
          <cell r="I124" t="str">
            <v>Modernização do transformador TUTF-21 da UHE Tucuruí</v>
          </cell>
          <cell r="J124"/>
          <cell r="K124"/>
          <cell r="L124" t="str">
            <v>NO10105003</v>
          </cell>
          <cell r="M124" t="str">
            <v>UHE Tucuruí</v>
          </cell>
          <cell r="N124" t="str">
            <v>Geração</v>
          </cell>
          <cell r="O124" t="str">
            <v>Modernização de pequeno porte</v>
          </cell>
          <cell r="P124" t="str">
            <v>Modernização de pequeno porte</v>
          </cell>
          <cell r="Q124" t="str">
            <v>NGHI.0141</v>
          </cell>
          <cell r="R124" t="str">
            <v>Não cadastrado</v>
          </cell>
          <cell r="S124">
            <v>859090</v>
          </cell>
          <cell r="T124">
            <v>0</v>
          </cell>
          <cell r="U124">
            <v>0</v>
          </cell>
          <cell r="V124">
            <v>0</v>
          </cell>
          <cell r="W124">
            <v>0</v>
          </cell>
          <cell r="X124">
            <v>0</v>
          </cell>
          <cell r="Y124">
            <v>0</v>
          </cell>
          <cell r="Z124">
            <v>0</v>
          </cell>
          <cell r="AA124">
            <v>0</v>
          </cell>
          <cell r="AB124">
            <v>0</v>
          </cell>
          <cell r="AC124">
            <v>0</v>
          </cell>
          <cell r="AD124">
            <v>0</v>
          </cell>
          <cell r="AE124">
            <v>859090</v>
          </cell>
          <cell r="AF124"/>
          <cell r="AG124"/>
          <cell r="AH124"/>
          <cell r="AI124"/>
          <cell r="AJ124">
            <v>859090</v>
          </cell>
          <cell r="AK124">
            <v>0</v>
          </cell>
          <cell r="AL124">
            <v>0</v>
          </cell>
          <cell r="AM124">
            <v>0</v>
          </cell>
          <cell r="AN124">
            <v>0</v>
          </cell>
          <cell r="AO124">
            <v>0</v>
          </cell>
          <cell r="AP124">
            <v>859090</v>
          </cell>
          <cell r="AQ124" t="str">
            <v>Pará</v>
          </cell>
          <cell r="AS124" t="str">
            <v>x</v>
          </cell>
          <cell r="AT124">
            <v>0</v>
          </cell>
        </row>
        <row r="125">
          <cell r="B125" t="str">
            <v>COO0553</v>
          </cell>
          <cell r="C125" t="str">
            <v>OOMG.N</v>
          </cell>
          <cell r="D125" t="str">
            <v>OOTM.F-OS-2025-I-0416</v>
          </cell>
          <cell r="E125" t="str">
            <v>N-2025-G-0115</v>
          </cell>
          <cell r="F125" t="str">
            <v>N-2025-G-202</v>
          </cell>
          <cell r="G125" t="str">
            <v>Eletronorte</v>
          </cell>
          <cell r="H125" t="str">
            <v>Nova Demanda</v>
          </cell>
          <cell r="I125" t="str">
            <v>Modernização do geradores elétricos da UHE Curuá-Una</v>
          </cell>
          <cell r="J125"/>
          <cell r="K125"/>
          <cell r="L125" t="str">
            <v>NO10105003</v>
          </cell>
          <cell r="M125" t="str">
            <v>UHE Curuá-Una</v>
          </cell>
          <cell r="N125" t="str">
            <v>Geração</v>
          </cell>
          <cell r="O125" t="str">
            <v>Modernização de pequeno porte</v>
          </cell>
          <cell r="P125" t="str">
            <v>Modernização de pequeno porte</v>
          </cell>
          <cell r="Q125" t="str">
            <v>NGHI.0141</v>
          </cell>
          <cell r="R125" t="str">
            <v>Não cadastrado</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cell r="AG125">
            <v>10000000</v>
          </cell>
          <cell r="AH125"/>
          <cell r="AI125"/>
          <cell r="AJ125">
            <v>10000000</v>
          </cell>
          <cell r="AK125">
            <v>0</v>
          </cell>
          <cell r="AL125">
            <v>0</v>
          </cell>
          <cell r="AM125">
            <v>0</v>
          </cell>
          <cell r="AN125">
            <v>0</v>
          </cell>
          <cell r="AO125">
            <v>0</v>
          </cell>
          <cell r="AP125">
            <v>10000000</v>
          </cell>
          <cell r="AQ125" t="str">
            <v>Pará</v>
          </cell>
          <cell r="AS125" t="str">
            <v>x</v>
          </cell>
          <cell r="AT125">
            <v>10000000</v>
          </cell>
        </row>
        <row r="126">
          <cell r="B126" t="str">
            <v>COO0554</v>
          </cell>
          <cell r="C126" t="str">
            <v>OOMG.N</v>
          </cell>
          <cell r="D126" t="str">
            <v>OOMT.S-S-2025-I-0037</v>
          </cell>
          <cell r="E126" t="str">
            <v>N-2025-G-0105</v>
          </cell>
          <cell r="F126" t="str">
            <v>N-2025-G-233</v>
          </cell>
          <cell r="G126" t="str">
            <v>Eletronorte</v>
          </cell>
          <cell r="H126" t="str">
            <v>Nova Demanda</v>
          </cell>
          <cell r="I126" t="str">
            <v>Modernização de 01 transformador para a UHE Curuá-Una</v>
          </cell>
          <cell r="J126"/>
          <cell r="K126"/>
          <cell r="L126" t="str">
            <v>NO10103003</v>
          </cell>
          <cell r="M126" t="str">
            <v>UHE Curuá-Una</v>
          </cell>
          <cell r="N126" t="str">
            <v>Geração</v>
          </cell>
          <cell r="O126" t="str">
            <v>Modernização de pequeno porte</v>
          </cell>
          <cell r="P126" t="str">
            <v>Modernização de pequeno porte</v>
          </cell>
          <cell r="Q126" t="str">
            <v>NGHI.0141</v>
          </cell>
          <cell r="R126" t="str">
            <v>Não cadastrado</v>
          </cell>
          <cell r="S126">
            <v>0</v>
          </cell>
          <cell r="T126">
            <v>0</v>
          </cell>
          <cell r="U126">
            <v>0</v>
          </cell>
          <cell r="V126">
            <v>0</v>
          </cell>
          <cell r="W126">
            <v>280330</v>
          </cell>
          <cell r="X126">
            <v>0</v>
          </cell>
          <cell r="Y126">
            <v>560660</v>
          </cell>
          <cell r="Z126">
            <v>280330</v>
          </cell>
          <cell r="AA126">
            <v>0</v>
          </cell>
          <cell r="AB126">
            <v>840990</v>
          </cell>
          <cell r="AC126">
            <v>0</v>
          </cell>
          <cell r="AD126">
            <v>0</v>
          </cell>
          <cell r="AE126">
            <v>1962310</v>
          </cell>
          <cell r="AF126">
            <v>1335690</v>
          </cell>
          <cell r="AG126"/>
          <cell r="AH126"/>
          <cell r="AI126"/>
          <cell r="AJ126">
            <v>3298000</v>
          </cell>
          <cell r="AK126">
            <v>0</v>
          </cell>
          <cell r="AL126">
            <v>0</v>
          </cell>
          <cell r="AM126">
            <v>0</v>
          </cell>
          <cell r="AN126">
            <v>0</v>
          </cell>
          <cell r="AO126">
            <v>0</v>
          </cell>
          <cell r="AP126">
            <v>3298000</v>
          </cell>
          <cell r="AQ126" t="str">
            <v>Pará</v>
          </cell>
          <cell r="AS126" t="str">
            <v>x</v>
          </cell>
          <cell r="AT126">
            <v>1335690</v>
          </cell>
        </row>
        <row r="127">
          <cell r="B127" t="str">
            <v>COO0555</v>
          </cell>
          <cell r="C127" t="str">
            <v>OOGCN.N</v>
          </cell>
          <cell r="D127" t="str">
            <v>OOGR.S-S-2025-I-0081</v>
          </cell>
          <cell r="E127" t="str">
            <v>N-2025-G-0027</v>
          </cell>
          <cell r="F127" t="str">
            <v>N-2025-G-198</v>
          </cell>
          <cell r="G127" t="str">
            <v>Eletronorte</v>
          </cell>
          <cell r="H127" t="str">
            <v>Nova Demanda</v>
          </cell>
          <cell r="I127" t="str">
            <v>Modernização do sistema de resfriamento dos geradores da UHE Coaracy Nunes</v>
          </cell>
          <cell r="J127"/>
          <cell r="K127"/>
          <cell r="L127" t="str">
            <v>NO10102003</v>
          </cell>
          <cell r="M127" t="str">
            <v>UHE Coaracy Nunes</v>
          </cell>
          <cell r="N127" t="str">
            <v>Geração</v>
          </cell>
          <cell r="O127" t="str">
            <v>Modernização de pequeno porte</v>
          </cell>
          <cell r="P127" t="str">
            <v>Modernização de pequeno porte</v>
          </cell>
          <cell r="Q127" t="str">
            <v>NGHI.0143</v>
          </cell>
          <cell r="R127" t="str">
            <v>OOG Modern. G PP 2025</v>
          </cell>
          <cell r="S127">
            <v>0</v>
          </cell>
          <cell r="T127">
            <v>0</v>
          </cell>
          <cell r="U127">
            <v>0</v>
          </cell>
          <cell r="V127">
            <v>0</v>
          </cell>
          <cell r="W127">
            <v>0</v>
          </cell>
          <cell r="X127">
            <v>0</v>
          </cell>
          <cell r="Y127">
            <v>0</v>
          </cell>
          <cell r="Z127">
            <v>0</v>
          </cell>
          <cell r="AA127">
            <v>0</v>
          </cell>
          <cell r="AB127">
            <v>900000</v>
          </cell>
          <cell r="AC127">
            <v>0</v>
          </cell>
          <cell r="AD127">
            <v>0</v>
          </cell>
          <cell r="AE127">
            <v>900000</v>
          </cell>
          <cell r="AF127">
            <v>900000</v>
          </cell>
          <cell r="AG127"/>
          <cell r="AH127"/>
          <cell r="AI127"/>
          <cell r="AJ127">
            <v>1800000</v>
          </cell>
          <cell r="AK127">
            <v>0</v>
          </cell>
          <cell r="AL127">
            <v>0</v>
          </cell>
          <cell r="AM127">
            <v>0</v>
          </cell>
          <cell r="AN127">
            <v>0</v>
          </cell>
          <cell r="AO127">
            <v>0</v>
          </cell>
          <cell r="AP127">
            <v>1800000</v>
          </cell>
          <cell r="AQ127" t="str">
            <v>Amapá</v>
          </cell>
          <cell r="AS127" t="str">
            <v>x</v>
          </cell>
          <cell r="AT127">
            <v>900000</v>
          </cell>
        </row>
        <row r="128">
          <cell r="B128" t="str">
            <v>COO0556</v>
          </cell>
          <cell r="C128" t="str">
            <v>OOGBA.N</v>
          </cell>
          <cell r="D128" t="str">
            <v>OOGN.S-S-2025-I-0155</v>
          </cell>
          <cell r="E128" t="str">
            <v>N-2025-G-0035</v>
          </cell>
          <cell r="F128" t="str">
            <v>N-2025-G-182</v>
          </cell>
          <cell r="G128" t="str">
            <v>Eletronorte</v>
          </cell>
          <cell r="H128" t="str">
            <v>Nova Demanda</v>
          </cell>
          <cell r="I128" t="str">
            <v>Modernização de motobombas diversas para aplicação na UHE Balbina</v>
          </cell>
          <cell r="J128"/>
          <cell r="K128"/>
          <cell r="L128" t="str">
            <v>NO10101003</v>
          </cell>
          <cell r="M128" t="str">
            <v>UHE Balbina</v>
          </cell>
          <cell r="N128" t="str">
            <v>Geração</v>
          </cell>
          <cell r="O128" t="str">
            <v>Modernização de pequeno porte</v>
          </cell>
          <cell r="P128" t="str">
            <v>Modernização de pequeno porte</v>
          </cell>
          <cell r="Q128" t="str">
            <v>NGHI.0143</v>
          </cell>
          <cell r="R128" t="str">
            <v>OOG Modern. G PP 2025</v>
          </cell>
          <cell r="S128">
            <v>0</v>
          </cell>
          <cell r="T128">
            <v>0</v>
          </cell>
          <cell r="U128">
            <v>0</v>
          </cell>
          <cell r="V128">
            <v>0</v>
          </cell>
          <cell r="W128">
            <v>0</v>
          </cell>
          <cell r="X128">
            <v>0</v>
          </cell>
          <cell r="Y128">
            <v>0</v>
          </cell>
          <cell r="Z128">
            <v>0</v>
          </cell>
          <cell r="AA128">
            <v>320000</v>
          </cell>
          <cell r="AB128">
            <v>0</v>
          </cell>
          <cell r="AC128">
            <v>0</v>
          </cell>
          <cell r="AD128">
            <v>0</v>
          </cell>
          <cell r="AE128">
            <v>320000</v>
          </cell>
          <cell r="AF128">
            <v>200000</v>
          </cell>
          <cell r="AG128">
            <v>150000</v>
          </cell>
          <cell r="AH128">
            <v>150000</v>
          </cell>
          <cell r="AI128">
            <v>150000</v>
          </cell>
          <cell r="AJ128">
            <v>970000</v>
          </cell>
          <cell r="AK128">
            <v>0</v>
          </cell>
          <cell r="AL128">
            <v>0</v>
          </cell>
          <cell r="AM128">
            <v>0</v>
          </cell>
          <cell r="AN128">
            <v>0</v>
          </cell>
          <cell r="AO128">
            <v>0</v>
          </cell>
          <cell r="AP128">
            <v>970000</v>
          </cell>
          <cell r="AQ128" t="str">
            <v>Amazonas</v>
          </cell>
          <cell r="AS128" t="str">
            <v>x</v>
          </cell>
          <cell r="AT128">
            <v>650000</v>
          </cell>
        </row>
        <row r="129">
          <cell r="B129" t="str">
            <v>COO0557</v>
          </cell>
          <cell r="C129" t="str">
            <v>OOMG.N</v>
          </cell>
          <cell r="D129" t="str">
            <v>OOGR.S-S-2025-I-0082</v>
          </cell>
          <cell r="E129" t="str">
            <v>N-2025-G-0110</v>
          </cell>
          <cell r="F129" t="str">
            <v>N-2025-G-109</v>
          </cell>
          <cell r="G129" t="str">
            <v>Eletronorte</v>
          </cell>
          <cell r="H129" t="str">
            <v>Nova Demanda</v>
          </cell>
          <cell r="I129" t="str">
            <v xml:space="preserve">Implantação do sistema de análise LCC – Life Cycle Cost em ativos </v>
          </cell>
          <cell r="J129"/>
          <cell r="K129"/>
          <cell r="L129" t="str">
            <v>NO10105003</v>
          </cell>
          <cell r="M129" t="str">
            <v>Diversas UHE</v>
          </cell>
          <cell r="N129" t="str">
            <v>Geração</v>
          </cell>
          <cell r="O129" t="str">
            <v>Modernização de pequeno porte</v>
          </cell>
          <cell r="P129" t="str">
            <v>Modernização de pequeno porte</v>
          </cell>
          <cell r="Q129" t="str">
            <v>NGHI.0141</v>
          </cell>
          <cell r="R129" t="str">
            <v>Não cadastrado</v>
          </cell>
          <cell r="S129">
            <v>0</v>
          </cell>
          <cell r="T129">
            <v>886000</v>
          </cell>
          <cell r="U129">
            <v>0</v>
          </cell>
          <cell r="V129">
            <v>0</v>
          </cell>
          <cell r="W129">
            <v>0</v>
          </cell>
          <cell r="X129">
            <v>0</v>
          </cell>
          <cell r="Y129">
            <v>0</v>
          </cell>
          <cell r="Z129">
            <v>0</v>
          </cell>
          <cell r="AA129">
            <v>0</v>
          </cell>
          <cell r="AB129">
            <v>0</v>
          </cell>
          <cell r="AC129">
            <v>0</v>
          </cell>
          <cell r="AD129">
            <v>0</v>
          </cell>
          <cell r="AE129">
            <v>886000</v>
          </cell>
          <cell r="AF129"/>
          <cell r="AG129"/>
          <cell r="AH129"/>
          <cell r="AI129"/>
          <cell r="AJ129">
            <v>886000</v>
          </cell>
          <cell r="AK129">
            <v>0</v>
          </cell>
          <cell r="AL129">
            <v>0</v>
          </cell>
          <cell r="AM129">
            <v>0</v>
          </cell>
          <cell r="AN129">
            <v>0</v>
          </cell>
          <cell r="AO129">
            <v>0</v>
          </cell>
          <cell r="AP129">
            <v>886000</v>
          </cell>
          <cell r="AQ129" t="str">
            <v>Pará</v>
          </cell>
          <cell r="AS129" t="str">
            <v>x</v>
          </cell>
          <cell r="AT129">
            <v>0</v>
          </cell>
        </row>
        <row r="130">
          <cell r="B130" t="str">
            <v>COO0558</v>
          </cell>
          <cell r="C130" t="str">
            <v>OOMG.N</v>
          </cell>
          <cell r="D130" t="str">
            <v>OOGN.S-S-2025-I-0115</v>
          </cell>
          <cell r="E130" t="str">
            <v>N-2025-G-0082</v>
          </cell>
          <cell r="F130" t="str">
            <v>N-2025-G-100</v>
          </cell>
          <cell r="G130" t="str">
            <v>Eletronorte</v>
          </cell>
          <cell r="H130" t="str">
            <v>Nova Demanda</v>
          </cell>
          <cell r="I130" t="str">
            <v>Aquisição de um Gerador Diesel de Emergência para a CFII da UHE Tucuruí</v>
          </cell>
          <cell r="J130"/>
          <cell r="K130"/>
          <cell r="L130" t="str">
            <v>NO10105003</v>
          </cell>
          <cell r="M130" t="str">
            <v>UHE Tucuruí</v>
          </cell>
          <cell r="N130" t="str">
            <v>Geração</v>
          </cell>
          <cell r="O130" t="str">
            <v>Modernização de pequeno porte</v>
          </cell>
          <cell r="P130" t="str">
            <v>Modernização de pequeno porte</v>
          </cell>
          <cell r="Q130" t="str">
            <v>NGHI.0141</v>
          </cell>
          <cell r="R130" t="str">
            <v>Não cadastrado</v>
          </cell>
          <cell r="S130">
            <v>0</v>
          </cell>
          <cell r="T130">
            <v>0</v>
          </cell>
          <cell r="U130">
            <v>0</v>
          </cell>
          <cell r="V130">
            <v>0</v>
          </cell>
          <cell r="W130">
            <v>0</v>
          </cell>
          <cell r="X130">
            <v>0</v>
          </cell>
          <cell r="Y130">
            <v>0</v>
          </cell>
          <cell r="Z130">
            <v>0</v>
          </cell>
          <cell r="AA130">
            <v>0</v>
          </cell>
          <cell r="AB130">
            <v>0</v>
          </cell>
          <cell r="AC130">
            <v>500000</v>
          </cell>
          <cell r="AD130">
            <v>0</v>
          </cell>
          <cell r="AE130">
            <v>500000</v>
          </cell>
          <cell r="AF130">
            <v>500000</v>
          </cell>
          <cell r="AG130"/>
          <cell r="AH130"/>
          <cell r="AI130"/>
          <cell r="AJ130">
            <v>1000000</v>
          </cell>
          <cell r="AK130">
            <v>0</v>
          </cell>
          <cell r="AL130">
            <v>0</v>
          </cell>
          <cell r="AM130">
            <v>0</v>
          </cell>
          <cell r="AN130">
            <v>0</v>
          </cell>
          <cell r="AO130">
            <v>0</v>
          </cell>
          <cell r="AP130">
            <v>1000000</v>
          </cell>
          <cell r="AQ130" t="str">
            <v>Pará</v>
          </cell>
          <cell r="AS130" t="str">
            <v>x</v>
          </cell>
          <cell r="AT130">
            <v>500000</v>
          </cell>
        </row>
        <row r="131">
          <cell r="B131" t="str">
            <v>COO0559</v>
          </cell>
          <cell r="C131" t="str">
            <v>OOMG.N</v>
          </cell>
          <cell r="D131" t="str">
            <v>OOMB.C-C-2025-I-0015</v>
          </cell>
          <cell r="E131" t="str">
            <v>N-2025-G-0103</v>
          </cell>
          <cell r="F131" t="str">
            <v>N-2025-G-171</v>
          </cell>
          <cell r="G131" t="str">
            <v>Eletronorte</v>
          </cell>
          <cell r="H131" t="str">
            <v>Nova Demanda</v>
          </cell>
          <cell r="I131" t="str">
            <v>Modernização dos pórticos de jusante da UHE.</v>
          </cell>
          <cell r="J131"/>
          <cell r="K131"/>
          <cell r="L131" t="str">
            <v>NO10105003</v>
          </cell>
          <cell r="M131" t="str">
            <v>Não cadastrado</v>
          </cell>
          <cell r="N131" t="str">
            <v>Geração</v>
          </cell>
          <cell r="O131" t="str">
            <v>Modernização de pequeno porte</v>
          </cell>
          <cell r="P131" t="str">
            <v>Modernização de pequeno porte</v>
          </cell>
          <cell r="Q131" t="str">
            <v>NGHI.0141</v>
          </cell>
          <cell r="R131" t="str">
            <v>Não cadastrado</v>
          </cell>
          <cell r="S131">
            <v>0</v>
          </cell>
          <cell r="T131">
            <v>0</v>
          </cell>
          <cell r="U131">
            <v>0</v>
          </cell>
          <cell r="V131">
            <v>0</v>
          </cell>
          <cell r="W131">
            <v>0</v>
          </cell>
          <cell r="X131">
            <v>0</v>
          </cell>
          <cell r="Y131">
            <v>0</v>
          </cell>
          <cell r="Z131">
            <v>0</v>
          </cell>
          <cell r="AA131">
            <v>0</v>
          </cell>
          <cell r="AB131">
            <v>0</v>
          </cell>
          <cell r="AC131">
            <v>7000000</v>
          </cell>
          <cell r="AD131">
            <v>0</v>
          </cell>
          <cell r="AE131">
            <v>7000000</v>
          </cell>
          <cell r="AF131"/>
          <cell r="AG131"/>
          <cell r="AH131"/>
          <cell r="AI131">
            <v>7000000</v>
          </cell>
          <cell r="AJ131">
            <v>14000000</v>
          </cell>
          <cell r="AK131">
            <v>0</v>
          </cell>
          <cell r="AL131">
            <v>0</v>
          </cell>
          <cell r="AM131">
            <v>0</v>
          </cell>
          <cell r="AN131">
            <v>0</v>
          </cell>
          <cell r="AO131">
            <v>0</v>
          </cell>
          <cell r="AP131">
            <v>14000000</v>
          </cell>
          <cell r="AQ131" t="str">
            <v>Pará</v>
          </cell>
          <cell r="AT131">
            <v>7000000</v>
          </cell>
        </row>
        <row r="132">
          <cell r="B132" t="str">
            <v>COO0560</v>
          </cell>
          <cell r="C132" t="str">
            <v>OOMG.N</v>
          </cell>
          <cell r="D132" t="str">
            <v>OOPM.F-OS-2025-I-0570</v>
          </cell>
          <cell r="E132" t="str">
            <v>N-2025-G-0104</v>
          </cell>
          <cell r="F132" t="str">
            <v>N-2025-G-172</v>
          </cell>
          <cell r="G132" t="str">
            <v>Eletronorte</v>
          </cell>
          <cell r="H132" t="str">
            <v>Nova Demanda</v>
          </cell>
          <cell r="I132" t="str">
            <v>Modernização dos pórticos montante da UHE.</v>
          </cell>
          <cell r="J132"/>
          <cell r="K132"/>
          <cell r="L132" t="str">
            <v>NO10105003</v>
          </cell>
          <cell r="M132" t="str">
            <v>Não cadastrado</v>
          </cell>
          <cell r="N132" t="str">
            <v>Geração</v>
          </cell>
          <cell r="O132" t="str">
            <v>Modernização de pequeno porte</v>
          </cell>
          <cell r="P132" t="str">
            <v>Modernização de pequeno porte</v>
          </cell>
          <cell r="Q132" t="str">
            <v>NGHI.0141</v>
          </cell>
          <cell r="R132" t="str">
            <v>Não cadastrado</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cell r="AG132"/>
          <cell r="AH132">
            <v>7000000</v>
          </cell>
          <cell r="AI132">
            <v>7000000</v>
          </cell>
          <cell r="AJ132">
            <v>14000000</v>
          </cell>
          <cell r="AK132">
            <v>0</v>
          </cell>
          <cell r="AL132">
            <v>0</v>
          </cell>
          <cell r="AM132">
            <v>0</v>
          </cell>
          <cell r="AN132">
            <v>0</v>
          </cell>
          <cell r="AO132">
            <v>0</v>
          </cell>
          <cell r="AP132">
            <v>14000000</v>
          </cell>
          <cell r="AQ132" t="str">
            <v>Pará</v>
          </cell>
          <cell r="AS132" t="str">
            <v>x</v>
          </cell>
          <cell r="AT132">
            <v>14000000</v>
          </cell>
        </row>
        <row r="133">
          <cell r="B133" t="str">
            <v>COO0561</v>
          </cell>
          <cell r="C133" t="str">
            <v>OOMG.N</v>
          </cell>
          <cell r="D133" t="str">
            <v>OOMS.S-S-2025-I-0012</v>
          </cell>
          <cell r="E133" t="str">
            <v>N-2025-G-0081</v>
          </cell>
          <cell r="F133" t="str">
            <v>N-2025-G-232</v>
          </cell>
          <cell r="G133" t="str">
            <v>Eletronorte</v>
          </cell>
          <cell r="H133" t="str">
            <v>Contratado</v>
          </cell>
          <cell r="I133" t="str">
            <v>Modernização de 01 transformador novo para a CFI da UHE Tucurui</v>
          </cell>
          <cell r="J133"/>
          <cell r="K133"/>
          <cell r="L133" t="str">
            <v>NO10105003</v>
          </cell>
          <cell r="M133" t="str">
            <v>UHE Tucuruí</v>
          </cell>
          <cell r="N133" t="str">
            <v>Geração</v>
          </cell>
          <cell r="O133" t="str">
            <v>Modernização de pequeno porte</v>
          </cell>
          <cell r="P133" t="str">
            <v>Modernização de pequeno porte</v>
          </cell>
          <cell r="Q133" t="str">
            <v>NGHI.0141</v>
          </cell>
          <cell r="R133" t="str">
            <v>Não cadastrado</v>
          </cell>
          <cell r="S133">
            <v>0</v>
          </cell>
          <cell r="T133">
            <v>0</v>
          </cell>
          <cell r="U133">
            <v>2750000</v>
          </cell>
          <cell r="V133">
            <v>0</v>
          </cell>
          <cell r="W133">
            <v>0</v>
          </cell>
          <cell r="X133">
            <v>0</v>
          </cell>
          <cell r="Y133">
            <v>0</v>
          </cell>
          <cell r="Z133">
            <v>0</v>
          </cell>
          <cell r="AA133">
            <v>0</v>
          </cell>
          <cell r="AB133">
            <v>0</v>
          </cell>
          <cell r="AC133">
            <v>0</v>
          </cell>
          <cell r="AD133">
            <v>0</v>
          </cell>
          <cell r="AE133">
            <v>2750000</v>
          </cell>
          <cell r="AF133"/>
          <cell r="AG133"/>
          <cell r="AH133"/>
          <cell r="AI133"/>
          <cell r="AJ133">
            <v>2750000</v>
          </cell>
          <cell r="AK133">
            <v>0</v>
          </cell>
          <cell r="AL133">
            <v>0</v>
          </cell>
          <cell r="AM133">
            <v>0</v>
          </cell>
          <cell r="AN133">
            <v>0</v>
          </cell>
          <cell r="AO133">
            <v>0</v>
          </cell>
          <cell r="AP133">
            <v>2750000</v>
          </cell>
          <cell r="AQ133" t="str">
            <v>Pará</v>
          </cell>
          <cell r="AS133" t="str">
            <v>x</v>
          </cell>
          <cell r="AT133">
            <v>0</v>
          </cell>
        </row>
        <row r="134">
          <cell r="B134" t="str">
            <v>COO0562</v>
          </cell>
          <cell r="C134" t="str">
            <v>OOGBA.N</v>
          </cell>
          <cell r="D134" t="str">
            <v>OOGS.S-S-2025-I-0241</v>
          </cell>
          <cell r="E134" t="str">
            <v>N-2025-G-0054</v>
          </cell>
          <cell r="F134" t="str">
            <v>N-2025-G-225</v>
          </cell>
          <cell r="G134" t="str">
            <v>Eletronorte</v>
          </cell>
          <cell r="H134" t="str">
            <v>Nova Demanda</v>
          </cell>
          <cell r="I134" t="str">
            <v>Modernização do sistema de controle das motobombas de drenagem e esgotamento e regulação da UHE Balbina</v>
          </cell>
          <cell r="J134"/>
          <cell r="K134"/>
          <cell r="L134" t="str">
            <v>NO10101003</v>
          </cell>
          <cell r="M134" t="str">
            <v>UHE Balbina</v>
          </cell>
          <cell r="N134" t="str">
            <v>Geração</v>
          </cell>
          <cell r="O134" t="str">
            <v>Modernização de pequeno porte</v>
          </cell>
          <cell r="P134" t="str">
            <v>Modernização de pequeno porte</v>
          </cell>
          <cell r="Q134" t="str">
            <v>NGHI.0143</v>
          </cell>
          <cell r="R134" t="str">
            <v>OOG Modern. G PP 2025</v>
          </cell>
          <cell r="S134">
            <v>0</v>
          </cell>
          <cell r="T134">
            <v>0</v>
          </cell>
          <cell r="U134">
            <v>0</v>
          </cell>
          <cell r="V134">
            <v>0</v>
          </cell>
          <cell r="W134">
            <v>0</v>
          </cell>
          <cell r="X134">
            <v>0</v>
          </cell>
          <cell r="Y134">
            <v>0</v>
          </cell>
          <cell r="Z134">
            <v>0</v>
          </cell>
          <cell r="AA134">
            <v>0</v>
          </cell>
          <cell r="AB134">
            <v>0</v>
          </cell>
          <cell r="AC134">
            <v>0</v>
          </cell>
          <cell r="AD134">
            <v>100000</v>
          </cell>
          <cell r="AE134">
            <v>100000</v>
          </cell>
          <cell r="AF134">
            <v>200000</v>
          </cell>
          <cell r="AG134"/>
          <cell r="AH134"/>
          <cell r="AI134"/>
          <cell r="AJ134">
            <v>300000</v>
          </cell>
          <cell r="AK134">
            <v>0</v>
          </cell>
          <cell r="AL134">
            <v>0</v>
          </cell>
          <cell r="AM134">
            <v>0</v>
          </cell>
          <cell r="AN134">
            <v>0</v>
          </cell>
          <cell r="AO134">
            <v>0</v>
          </cell>
          <cell r="AP134">
            <v>300000</v>
          </cell>
          <cell r="AQ134" t="str">
            <v>Amazonas</v>
          </cell>
          <cell r="AT134">
            <v>200000</v>
          </cell>
        </row>
        <row r="135">
          <cell r="B135" t="str">
            <v>COO0563</v>
          </cell>
          <cell r="C135" t="str">
            <v>OOGSA.N</v>
          </cell>
          <cell r="D135" t="str">
            <v>OOGFU.F-OS-2025-I-0006</v>
          </cell>
          <cell r="E135" t="str">
            <v>N-2025-G-0073</v>
          </cell>
          <cell r="F135" t="str">
            <v>N-2025-G-173</v>
          </cell>
          <cell r="G135" t="str">
            <v>Eletronorte</v>
          </cell>
          <cell r="H135" t="str">
            <v>Nova Demanda</v>
          </cell>
          <cell r="I135" t="str">
            <v>Modernização dos registradores digitais de perturbação da UHE Samuel</v>
          </cell>
          <cell r="J135"/>
          <cell r="K135"/>
          <cell r="L135" t="str">
            <v>NO10104003</v>
          </cell>
          <cell r="M135" t="str">
            <v>UHE Samuel</v>
          </cell>
          <cell r="N135" t="str">
            <v>Geração</v>
          </cell>
          <cell r="O135" t="str">
            <v>Modernização de pequeno porte</v>
          </cell>
          <cell r="P135" t="str">
            <v>Modernização de pequeno porte</v>
          </cell>
          <cell r="Q135" t="str">
            <v>NGHI.0143</v>
          </cell>
          <cell r="R135" t="str">
            <v>OOG Modern. G PP 2025</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cell r="AG135">
            <v>750000</v>
          </cell>
          <cell r="AH135"/>
          <cell r="AI135"/>
          <cell r="AJ135">
            <v>750000</v>
          </cell>
          <cell r="AK135">
            <v>0</v>
          </cell>
          <cell r="AL135">
            <v>0</v>
          </cell>
          <cell r="AM135">
            <v>0</v>
          </cell>
          <cell r="AN135">
            <v>0</v>
          </cell>
          <cell r="AO135">
            <v>0</v>
          </cell>
          <cell r="AP135">
            <v>750000</v>
          </cell>
          <cell r="AQ135" t="str">
            <v>Rondônia</v>
          </cell>
          <cell r="AS135" t="str">
            <v>x</v>
          </cell>
          <cell r="AT135">
            <v>750000</v>
          </cell>
        </row>
        <row r="136">
          <cell r="B136" t="str">
            <v>COO0564</v>
          </cell>
          <cell r="C136" t="str">
            <v>OOMG.N</v>
          </cell>
          <cell r="D136" t="str">
            <v>OOGR.S-S-2025-I-0189</v>
          </cell>
          <cell r="E136" t="str">
            <v>N-2025-G-0120</v>
          </cell>
          <cell r="F136" t="str">
            <v>N-2025-G-229</v>
          </cell>
          <cell r="G136" t="str">
            <v>Eletronorte</v>
          </cell>
          <cell r="H136" t="str">
            <v>Nova Demanda</v>
          </cell>
          <cell r="I136" t="str">
            <v>Modernização do disjuntor 6.9 kV da UHE Curuá-Una</v>
          </cell>
          <cell r="J136"/>
          <cell r="K136"/>
          <cell r="L136" t="str">
            <v>NO10103003</v>
          </cell>
          <cell r="M136" t="str">
            <v>UHE Curuá-Una</v>
          </cell>
          <cell r="N136" t="str">
            <v>Geração</v>
          </cell>
          <cell r="O136" t="str">
            <v>Modernização de pequeno porte</v>
          </cell>
          <cell r="P136" t="str">
            <v>Modernização de pequeno porte</v>
          </cell>
          <cell r="Q136" t="str">
            <v>NGHI.0141</v>
          </cell>
          <cell r="R136" t="str">
            <v>Não cadastrado</v>
          </cell>
          <cell r="S136">
            <v>0</v>
          </cell>
          <cell r="T136">
            <v>0</v>
          </cell>
          <cell r="U136">
            <v>0</v>
          </cell>
          <cell r="V136">
            <v>0</v>
          </cell>
          <cell r="W136">
            <v>0</v>
          </cell>
          <cell r="X136">
            <v>0</v>
          </cell>
          <cell r="Y136">
            <v>0</v>
          </cell>
          <cell r="Z136">
            <v>200000</v>
          </cell>
          <cell r="AA136">
            <v>0</v>
          </cell>
          <cell r="AB136">
            <v>0</v>
          </cell>
          <cell r="AC136">
            <v>0</v>
          </cell>
          <cell r="AD136">
            <v>0</v>
          </cell>
          <cell r="AE136">
            <v>200000</v>
          </cell>
          <cell r="AF136"/>
          <cell r="AG136"/>
          <cell r="AH136"/>
          <cell r="AI136"/>
          <cell r="AJ136">
            <v>200000</v>
          </cell>
          <cell r="AK136">
            <v>0</v>
          </cell>
          <cell r="AL136">
            <v>0</v>
          </cell>
          <cell r="AM136">
            <v>0</v>
          </cell>
          <cell r="AN136">
            <v>0</v>
          </cell>
          <cell r="AO136">
            <v>0</v>
          </cell>
          <cell r="AP136">
            <v>200000</v>
          </cell>
          <cell r="AQ136" t="str">
            <v>Pará</v>
          </cell>
          <cell r="AS136" t="str">
            <v>x</v>
          </cell>
          <cell r="AT136">
            <v>0</v>
          </cell>
        </row>
        <row r="137">
          <cell r="B137" t="str">
            <v>COO0565</v>
          </cell>
          <cell r="C137" t="str">
            <v>OOGSA.N</v>
          </cell>
          <cell r="D137" t="str">
            <v>OOTM.F-OS-2025-I-0423</v>
          </cell>
          <cell r="E137" t="str">
            <v>N-2025-G-0070</v>
          </cell>
          <cell r="F137" t="str">
            <v>N-2025-G-211</v>
          </cell>
          <cell r="G137" t="str">
            <v>Eletronorte</v>
          </cell>
          <cell r="H137" t="str">
            <v>Nova Demanda</v>
          </cell>
          <cell r="I137" t="str">
            <v>Instalação de 30 Para-raios e 15 TCs na UHE Samuel</v>
          </cell>
          <cell r="J137"/>
          <cell r="K137"/>
          <cell r="L137" t="str">
            <v>NO10104003</v>
          </cell>
          <cell r="M137" t="str">
            <v>UHE Samuel</v>
          </cell>
          <cell r="N137" t="str">
            <v>Geração</v>
          </cell>
          <cell r="O137" t="str">
            <v>Modernização de pequeno porte</v>
          </cell>
          <cell r="P137" t="str">
            <v>Modernização de pequeno porte</v>
          </cell>
          <cell r="Q137" t="str">
            <v>NGHI.0143</v>
          </cell>
          <cell r="R137" t="str">
            <v>OOG Modern. G PP 2025</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100000</v>
          </cell>
          <cell r="AG137"/>
          <cell r="AH137"/>
          <cell r="AI137"/>
          <cell r="AJ137">
            <v>100000</v>
          </cell>
          <cell r="AK137">
            <v>0</v>
          </cell>
          <cell r="AL137">
            <v>0</v>
          </cell>
          <cell r="AM137">
            <v>0</v>
          </cell>
          <cell r="AN137">
            <v>0</v>
          </cell>
          <cell r="AO137">
            <v>0</v>
          </cell>
          <cell r="AP137">
            <v>100000</v>
          </cell>
          <cell r="AQ137" t="str">
            <v>Rondônia</v>
          </cell>
          <cell r="AS137" t="str">
            <v>x</v>
          </cell>
          <cell r="AT137">
            <v>100000</v>
          </cell>
        </row>
        <row r="138">
          <cell r="B138" t="str">
            <v>COO0566</v>
          </cell>
          <cell r="C138" t="str">
            <v>OOGCU.N</v>
          </cell>
          <cell r="D138" t="str">
            <v>OOGS.S-S-2025-I-0220</v>
          </cell>
          <cell r="E138" t="str">
            <v>N-2025-G-0049</v>
          </cell>
          <cell r="F138" t="str">
            <v>N-2025-G-095</v>
          </cell>
          <cell r="G138" t="str">
            <v>Eletronorte</v>
          </cell>
          <cell r="H138" t="str">
            <v>Nova Demanda</v>
          </cell>
          <cell r="I138" t="str">
            <v>Modernização de disjuntor 6,9kV para a UHE Curuá-Una</v>
          </cell>
          <cell r="J138" t="str">
            <v>Substituição de equipamentos com fim de vida util</v>
          </cell>
          <cell r="K138" t="str">
            <v>Aumento da confiabilidade da função</v>
          </cell>
          <cell r="L138" t="str">
            <v>NO10103003</v>
          </cell>
          <cell r="M138" t="str">
            <v>UHE Curuá-Una</v>
          </cell>
          <cell r="N138" t="str">
            <v>Geração</v>
          </cell>
          <cell r="O138" t="str">
            <v>Modernização de pequeno porte</v>
          </cell>
          <cell r="P138" t="str">
            <v>Modernização de pequeno porte</v>
          </cell>
          <cell r="Q138" t="str">
            <v>NGHI.0143</v>
          </cell>
          <cell r="R138" t="str">
            <v>OOG Modern. G PP 2025</v>
          </cell>
          <cell r="S138">
            <v>0</v>
          </cell>
          <cell r="T138">
            <v>0</v>
          </cell>
          <cell r="U138">
            <v>0</v>
          </cell>
          <cell r="V138">
            <v>0</v>
          </cell>
          <cell r="W138">
            <v>0</v>
          </cell>
          <cell r="X138">
            <v>0</v>
          </cell>
          <cell r="Y138">
            <v>0</v>
          </cell>
          <cell r="Z138">
            <v>0</v>
          </cell>
          <cell r="AA138">
            <v>0</v>
          </cell>
          <cell r="AB138">
            <v>0</v>
          </cell>
          <cell r="AC138">
            <v>150000</v>
          </cell>
          <cell r="AD138">
            <v>0</v>
          </cell>
          <cell r="AE138">
            <v>150000</v>
          </cell>
          <cell r="AF138"/>
          <cell r="AG138"/>
          <cell r="AH138"/>
          <cell r="AI138"/>
          <cell r="AJ138">
            <v>150000</v>
          </cell>
          <cell r="AK138">
            <v>0</v>
          </cell>
          <cell r="AL138">
            <v>0</v>
          </cell>
          <cell r="AM138">
            <v>0</v>
          </cell>
          <cell r="AN138">
            <v>0</v>
          </cell>
          <cell r="AO138">
            <v>0</v>
          </cell>
          <cell r="AP138">
            <v>150000</v>
          </cell>
          <cell r="AQ138" t="str">
            <v>Pará</v>
          </cell>
          <cell r="AS138" t="str">
            <v>x</v>
          </cell>
          <cell r="AT138">
            <v>0</v>
          </cell>
        </row>
        <row r="139">
          <cell r="B139" t="str">
            <v>COO0567</v>
          </cell>
          <cell r="C139" t="str">
            <v>OOGT.N</v>
          </cell>
          <cell r="D139" t="str">
            <v>OOTM.F-OS-2025-I-0383</v>
          </cell>
          <cell r="E139" t="str">
            <v>N-2025-G-0066</v>
          </cell>
          <cell r="F139" t="str">
            <v>N-2025-G-195</v>
          </cell>
          <cell r="G139" t="str">
            <v>Eletronorte</v>
          </cell>
          <cell r="H139" t="str">
            <v>Nova Demanda</v>
          </cell>
          <cell r="I139" t="str">
            <v>Aquisição de servomotor do distribuir da UHE Tucuruí</v>
          </cell>
          <cell r="J139"/>
          <cell r="K139"/>
          <cell r="L139" t="str">
            <v>NO10105003</v>
          </cell>
          <cell r="M139" t="str">
            <v>UHE Tucuruí</v>
          </cell>
          <cell r="N139" t="str">
            <v>Geração</v>
          </cell>
          <cell r="O139" t="str">
            <v>Modernização de pequeno porte</v>
          </cell>
          <cell r="P139" t="str">
            <v>Modernização de pequeno porte</v>
          </cell>
          <cell r="Q139" t="str">
            <v>NGHI.0016</v>
          </cell>
          <cell r="R139" t="str">
            <v>OOG Modern. G PP 2025</v>
          </cell>
          <cell r="S139">
            <v>0</v>
          </cell>
          <cell r="T139">
            <v>0</v>
          </cell>
          <cell r="U139">
            <v>0</v>
          </cell>
          <cell r="V139">
            <v>0</v>
          </cell>
          <cell r="W139">
            <v>0</v>
          </cell>
          <cell r="X139">
            <v>0</v>
          </cell>
          <cell r="Y139">
            <v>0</v>
          </cell>
          <cell r="Z139">
            <v>0</v>
          </cell>
          <cell r="AA139">
            <v>0</v>
          </cell>
          <cell r="AB139">
            <v>0</v>
          </cell>
          <cell r="AC139">
            <v>0</v>
          </cell>
          <cell r="AD139">
            <v>0</v>
          </cell>
          <cell r="AE139">
            <v>4361.1099999999997</v>
          </cell>
          <cell r="AF139">
            <v>1200000</v>
          </cell>
          <cell r="AG139"/>
          <cell r="AH139"/>
          <cell r="AI139"/>
          <cell r="AJ139">
            <v>1204361.1100000001</v>
          </cell>
          <cell r="AK139">
            <v>0</v>
          </cell>
          <cell r="AL139">
            <v>0</v>
          </cell>
          <cell r="AM139">
            <v>0</v>
          </cell>
          <cell r="AN139">
            <v>0</v>
          </cell>
          <cell r="AO139">
            <v>0</v>
          </cell>
          <cell r="AP139">
            <v>1204361.1100000001</v>
          </cell>
          <cell r="AQ139" t="str">
            <v>Pará</v>
          </cell>
          <cell r="AT139">
            <v>1200000</v>
          </cell>
        </row>
        <row r="140">
          <cell r="B140" t="str">
            <v>COO0568</v>
          </cell>
          <cell r="C140" t="str">
            <v>OOMG.N</v>
          </cell>
          <cell r="D140" t="str">
            <v>OOMS.S-S-2025-I-0024</v>
          </cell>
          <cell r="E140" t="str">
            <v>N-2025-G-0109</v>
          </cell>
          <cell r="F140" t="str">
            <v>N-2025-G-193</v>
          </cell>
          <cell r="G140" t="str">
            <v>Eletronorte</v>
          </cell>
          <cell r="H140" t="str">
            <v>Nova Demanda</v>
          </cell>
          <cell r="I140" t="str">
            <v>Aquisição de componentes para o UHE.</v>
          </cell>
          <cell r="J140"/>
          <cell r="K140"/>
          <cell r="L140" t="str">
            <v>NO10105003</v>
          </cell>
          <cell r="M140" t="str">
            <v>Não cadastrado</v>
          </cell>
          <cell r="N140" t="str">
            <v>Geração</v>
          </cell>
          <cell r="O140" t="str">
            <v>Modernização de pequeno porte</v>
          </cell>
          <cell r="P140" t="str">
            <v>Modernização de pequeno porte</v>
          </cell>
          <cell r="Q140" t="str">
            <v>NGHI.0141</v>
          </cell>
          <cell r="R140" t="str">
            <v>Não cadastrado</v>
          </cell>
          <cell r="S140">
            <v>0</v>
          </cell>
          <cell r="T140">
            <v>0</v>
          </cell>
          <cell r="U140">
            <v>0</v>
          </cell>
          <cell r="V140">
            <v>0</v>
          </cell>
          <cell r="W140">
            <v>0</v>
          </cell>
          <cell r="X140">
            <v>2082116.5999999999</v>
          </cell>
          <cell r="Y140">
            <v>0</v>
          </cell>
          <cell r="Z140">
            <v>0</v>
          </cell>
          <cell r="AA140">
            <v>0</v>
          </cell>
          <cell r="AB140">
            <v>0</v>
          </cell>
          <cell r="AC140">
            <v>0</v>
          </cell>
          <cell r="AD140">
            <v>0</v>
          </cell>
          <cell r="AE140">
            <v>2082116.5999999999</v>
          </cell>
          <cell r="AF140"/>
          <cell r="AG140"/>
          <cell r="AH140"/>
          <cell r="AI140"/>
          <cell r="AJ140">
            <v>2082116.5999999999</v>
          </cell>
          <cell r="AK140">
            <v>0</v>
          </cell>
          <cell r="AL140">
            <v>0</v>
          </cell>
          <cell r="AM140">
            <v>0</v>
          </cell>
          <cell r="AN140">
            <v>0</v>
          </cell>
          <cell r="AO140">
            <v>0</v>
          </cell>
          <cell r="AP140">
            <v>2082116.5999999999</v>
          </cell>
          <cell r="AQ140" t="str">
            <v>Pará</v>
          </cell>
          <cell r="AS140" t="str">
            <v>x</v>
          </cell>
          <cell r="AT140">
            <v>0</v>
          </cell>
        </row>
        <row r="141">
          <cell r="B141" t="str">
            <v>COO0569</v>
          </cell>
          <cell r="C141" t="str">
            <v>OOGSA.N</v>
          </cell>
          <cell r="D141" t="str">
            <v>OOGS.S-S-2025-I-0238</v>
          </cell>
          <cell r="E141" t="str">
            <v>N-2025-G-0053</v>
          </cell>
          <cell r="F141" t="str">
            <v>N-2025-G-197</v>
          </cell>
          <cell r="G141" t="str">
            <v>Eletronorte</v>
          </cell>
          <cell r="H141" t="str">
            <v>Nova Demanda</v>
          </cell>
          <cell r="I141" t="str">
            <v>Modernização do sistema de monitoramento de nível do poço da turbina da UHE Samuel</v>
          </cell>
          <cell r="J141"/>
          <cell r="K141"/>
          <cell r="L141" t="str">
            <v>NO10104003</v>
          </cell>
          <cell r="M141" t="str">
            <v>UHE Samuel</v>
          </cell>
          <cell r="N141" t="str">
            <v>Geração</v>
          </cell>
          <cell r="O141" t="str">
            <v>Modernização de pequeno porte</v>
          </cell>
          <cell r="P141" t="str">
            <v>Modernização de pequeno porte</v>
          </cell>
          <cell r="Q141" t="str">
            <v>NGHI.0143</v>
          </cell>
          <cell r="R141" t="str">
            <v>OOG Modern. G PP 2025</v>
          </cell>
          <cell r="S141">
            <v>0</v>
          </cell>
          <cell r="T141">
            <v>0</v>
          </cell>
          <cell r="U141">
            <v>0</v>
          </cell>
          <cell r="V141">
            <v>100000</v>
          </cell>
          <cell r="W141">
            <v>0</v>
          </cell>
          <cell r="X141">
            <v>0</v>
          </cell>
          <cell r="Y141">
            <v>0</v>
          </cell>
          <cell r="Z141">
            <v>0</v>
          </cell>
          <cell r="AA141">
            <v>0</v>
          </cell>
          <cell r="AB141">
            <v>0</v>
          </cell>
          <cell r="AC141">
            <v>0</v>
          </cell>
          <cell r="AD141">
            <v>0</v>
          </cell>
          <cell r="AE141">
            <v>100000</v>
          </cell>
          <cell r="AF141"/>
          <cell r="AG141"/>
          <cell r="AH141"/>
          <cell r="AI141"/>
          <cell r="AJ141">
            <v>100000</v>
          </cell>
          <cell r="AK141">
            <v>0</v>
          </cell>
          <cell r="AL141">
            <v>0</v>
          </cell>
          <cell r="AM141">
            <v>0</v>
          </cell>
          <cell r="AN141">
            <v>0</v>
          </cell>
          <cell r="AO141">
            <v>0</v>
          </cell>
          <cell r="AP141">
            <v>100000</v>
          </cell>
          <cell r="AQ141" t="str">
            <v>Rondônia</v>
          </cell>
          <cell r="AS141" t="str">
            <v>x</v>
          </cell>
          <cell r="AT141">
            <v>0</v>
          </cell>
        </row>
        <row r="142">
          <cell r="B142" t="str">
            <v>COO0570</v>
          </cell>
          <cell r="C142" t="str">
            <v>OOMG.N</v>
          </cell>
          <cell r="D142" t="str">
            <v>OOMS.S-S-2025-I-0009</v>
          </cell>
          <cell r="E142" t="str">
            <v>N-2025-G-0108</v>
          </cell>
          <cell r="F142" t="str">
            <v>N-2025-G-099</v>
          </cell>
          <cell r="G142" t="str">
            <v>Eletronorte</v>
          </cell>
          <cell r="H142" t="str">
            <v>Nova Demanda</v>
          </cell>
          <cell r="I142" t="str">
            <v>Aquisição de buchas da UHE.</v>
          </cell>
          <cell r="J142"/>
          <cell r="K142"/>
          <cell r="L142" t="str">
            <v>NO10105003</v>
          </cell>
          <cell r="M142" t="str">
            <v>Diversas UHE</v>
          </cell>
          <cell r="N142" t="str">
            <v>Geração</v>
          </cell>
          <cell r="O142" t="str">
            <v>Modernização de pequeno porte</v>
          </cell>
          <cell r="P142" t="str">
            <v>Modernização de pequeno porte</v>
          </cell>
          <cell r="Q142" t="str">
            <v>NGHI.0141</v>
          </cell>
          <cell r="R142" t="str">
            <v>Não cadastrado</v>
          </cell>
          <cell r="S142">
            <v>0</v>
          </cell>
          <cell r="T142">
            <v>0</v>
          </cell>
          <cell r="U142">
            <v>0</v>
          </cell>
          <cell r="V142">
            <v>0</v>
          </cell>
          <cell r="W142">
            <v>0</v>
          </cell>
          <cell r="X142">
            <v>0</v>
          </cell>
          <cell r="Y142">
            <v>2992740</v>
          </cell>
          <cell r="Z142"/>
          <cell r="AA142">
            <v>0</v>
          </cell>
          <cell r="AB142">
            <v>0</v>
          </cell>
          <cell r="AC142">
            <v>0</v>
          </cell>
          <cell r="AD142">
            <v>0</v>
          </cell>
          <cell r="AE142">
            <v>2992740</v>
          </cell>
          <cell r="AF142"/>
          <cell r="AG142"/>
          <cell r="AH142"/>
          <cell r="AI142"/>
          <cell r="AJ142">
            <v>2992740</v>
          </cell>
          <cell r="AK142">
            <v>0</v>
          </cell>
          <cell r="AL142">
            <v>0</v>
          </cell>
          <cell r="AM142">
            <v>0</v>
          </cell>
          <cell r="AN142">
            <v>0</v>
          </cell>
          <cell r="AO142">
            <v>0</v>
          </cell>
          <cell r="AP142">
            <v>2992740</v>
          </cell>
          <cell r="AQ142" t="str">
            <v>Pará</v>
          </cell>
          <cell r="AS142" t="str">
            <v>x</v>
          </cell>
          <cell r="AT142">
            <v>0</v>
          </cell>
        </row>
        <row r="143">
          <cell r="B143" t="str">
            <v>COO0571</v>
          </cell>
          <cell r="C143" t="str">
            <v>OOGBA.N</v>
          </cell>
          <cell r="D143" t="str">
            <v>OOGS.S-S-2025-I-0222</v>
          </cell>
          <cell r="E143" t="str">
            <v>N-2025-G-0050</v>
          </cell>
          <cell r="F143" t="str">
            <v>N-2025-G-196</v>
          </cell>
          <cell r="G143" t="str">
            <v>Eletronorte</v>
          </cell>
          <cell r="H143" t="str">
            <v>Nova Demanda</v>
          </cell>
          <cell r="I143" t="str">
            <v>Modernização do sistema de monitoramento de nível do poço da turbina da UHE Balbina</v>
          </cell>
          <cell r="J143"/>
          <cell r="K143"/>
          <cell r="L143" t="str">
            <v>NO10101003</v>
          </cell>
          <cell r="M143" t="str">
            <v>UHE Balbina</v>
          </cell>
          <cell r="N143" t="str">
            <v>Geração</v>
          </cell>
          <cell r="O143" t="str">
            <v>Modernização de pequeno porte</v>
          </cell>
          <cell r="P143" t="str">
            <v>Modernização de pequeno porte</v>
          </cell>
          <cell r="Q143" t="str">
            <v>NGHI.0143</v>
          </cell>
          <cell r="R143" t="str">
            <v>OOG Modern. G PP 2025</v>
          </cell>
          <cell r="S143">
            <v>0</v>
          </cell>
          <cell r="T143">
            <v>0</v>
          </cell>
          <cell r="U143">
            <v>0</v>
          </cell>
          <cell r="V143">
            <v>0</v>
          </cell>
          <cell r="W143">
            <v>0</v>
          </cell>
          <cell r="X143">
            <v>0</v>
          </cell>
          <cell r="Y143">
            <v>0</v>
          </cell>
          <cell r="Z143">
            <v>150000</v>
          </cell>
          <cell r="AA143">
            <v>0</v>
          </cell>
          <cell r="AB143">
            <v>0</v>
          </cell>
          <cell r="AC143">
            <v>0</v>
          </cell>
          <cell r="AD143">
            <v>0</v>
          </cell>
          <cell r="AE143">
            <v>150000</v>
          </cell>
          <cell r="AF143"/>
          <cell r="AG143"/>
          <cell r="AH143"/>
          <cell r="AI143"/>
          <cell r="AJ143">
            <v>150000</v>
          </cell>
          <cell r="AK143">
            <v>0</v>
          </cell>
          <cell r="AL143">
            <v>0</v>
          </cell>
          <cell r="AM143">
            <v>0</v>
          </cell>
          <cell r="AN143">
            <v>0</v>
          </cell>
          <cell r="AO143">
            <v>0</v>
          </cell>
          <cell r="AP143">
            <v>150000</v>
          </cell>
          <cell r="AQ143" t="str">
            <v>Amazonas</v>
          </cell>
          <cell r="AS143" t="str">
            <v>x</v>
          </cell>
          <cell r="AT143">
            <v>0</v>
          </cell>
        </row>
        <row r="144">
          <cell r="B144" t="str">
            <v>COO0572</v>
          </cell>
          <cell r="C144" t="str">
            <v>OOGBA.N</v>
          </cell>
          <cell r="D144" t="str">
            <v>OOGN.S-S-2025-I-0277</v>
          </cell>
          <cell r="E144" t="str">
            <v>N-2025-G-0060</v>
          </cell>
          <cell r="F144" t="str">
            <v>N-2025-G-205</v>
          </cell>
          <cell r="G144" t="str">
            <v>Eletronorte</v>
          </cell>
          <cell r="H144" t="str">
            <v>Nova Demanda</v>
          </cell>
          <cell r="I144" t="str">
            <v>Aquisição dos relés de sobrecorrente URP da UHE Balbina</v>
          </cell>
          <cell r="J144"/>
          <cell r="K144"/>
          <cell r="L144" t="str">
            <v>NO10101003</v>
          </cell>
          <cell r="M144" t="str">
            <v>UHE Balbina</v>
          </cell>
          <cell r="N144" t="str">
            <v>Geração</v>
          </cell>
          <cell r="O144" t="str">
            <v>Modernização de pequeno porte</v>
          </cell>
          <cell r="P144" t="str">
            <v>Modernização de pequeno porte</v>
          </cell>
          <cell r="Q144" t="str">
            <v>NGHI.0143</v>
          </cell>
          <cell r="R144" t="str">
            <v>OOG Modern. G PP 2025</v>
          </cell>
          <cell r="S144">
            <v>0</v>
          </cell>
          <cell r="T144">
            <v>0</v>
          </cell>
          <cell r="U144">
            <v>0</v>
          </cell>
          <cell r="V144">
            <v>0</v>
          </cell>
          <cell r="W144">
            <v>0</v>
          </cell>
          <cell r="X144">
            <v>0</v>
          </cell>
          <cell r="Y144">
            <v>0</v>
          </cell>
          <cell r="Z144">
            <v>70000</v>
          </cell>
          <cell r="AA144">
            <v>0</v>
          </cell>
          <cell r="AB144">
            <v>0</v>
          </cell>
          <cell r="AC144">
            <v>0</v>
          </cell>
          <cell r="AD144">
            <v>0</v>
          </cell>
          <cell r="AE144">
            <v>70000</v>
          </cell>
          <cell r="AF144"/>
          <cell r="AG144"/>
          <cell r="AH144"/>
          <cell r="AI144"/>
          <cell r="AJ144">
            <v>70000</v>
          </cell>
          <cell r="AK144">
            <v>0</v>
          </cell>
          <cell r="AL144">
            <v>0</v>
          </cell>
          <cell r="AM144">
            <v>0</v>
          </cell>
          <cell r="AN144">
            <v>0</v>
          </cell>
          <cell r="AO144">
            <v>0</v>
          </cell>
          <cell r="AP144">
            <v>70000</v>
          </cell>
          <cell r="AQ144" t="str">
            <v>Amazonas</v>
          </cell>
          <cell r="AS144" t="str">
            <v>x</v>
          </cell>
          <cell r="AT144">
            <v>0</v>
          </cell>
        </row>
        <row r="145">
          <cell r="B145" t="str">
            <v>COO0573</v>
          </cell>
          <cell r="C145" t="str">
            <v>OOMG.N</v>
          </cell>
          <cell r="D145" t="str">
            <v>OOO.C-C-2025-I-0046</v>
          </cell>
          <cell r="E145" t="str">
            <v>N-2025-G-0079</v>
          </cell>
          <cell r="F145" t="str">
            <v>N-2025-G-218</v>
          </cell>
          <cell r="G145" t="str">
            <v>Eletronorte</v>
          </cell>
          <cell r="H145" t="str">
            <v>Contratado</v>
          </cell>
          <cell r="I145" t="str">
            <v>Reserva imobilizada para usinas da Eletronorte</v>
          </cell>
          <cell r="J145"/>
          <cell r="K145"/>
          <cell r="L145" t="str">
            <v>NO10105003</v>
          </cell>
          <cell r="M145" t="str">
            <v>Não cadastrado</v>
          </cell>
          <cell r="N145" t="str">
            <v>Geração</v>
          </cell>
          <cell r="O145" t="str">
            <v>Modernização de pequeno porte</v>
          </cell>
          <cell r="P145" t="str">
            <v>Modernização de pequeno porte</v>
          </cell>
          <cell r="Q145" t="str">
            <v>NGHI.0141</v>
          </cell>
          <cell r="R145" t="str">
            <v>Não cadastrado</v>
          </cell>
          <cell r="S145">
            <v>0</v>
          </cell>
          <cell r="T145">
            <v>0</v>
          </cell>
          <cell r="U145">
            <v>0</v>
          </cell>
          <cell r="V145">
            <v>0</v>
          </cell>
          <cell r="W145">
            <v>0</v>
          </cell>
          <cell r="X145">
            <v>0</v>
          </cell>
          <cell r="Y145">
            <v>3367185</v>
          </cell>
          <cell r="Z145"/>
          <cell r="AA145">
            <v>0</v>
          </cell>
          <cell r="AB145">
            <v>0</v>
          </cell>
          <cell r="AC145">
            <v>0</v>
          </cell>
          <cell r="AD145">
            <v>0</v>
          </cell>
          <cell r="AE145">
            <v>3367185</v>
          </cell>
          <cell r="AF145"/>
          <cell r="AG145"/>
          <cell r="AH145"/>
          <cell r="AI145"/>
          <cell r="AJ145">
            <v>3367185</v>
          </cell>
          <cell r="AK145">
            <v>0</v>
          </cell>
          <cell r="AL145">
            <v>0</v>
          </cell>
          <cell r="AM145">
            <v>0</v>
          </cell>
          <cell r="AN145">
            <v>0</v>
          </cell>
          <cell r="AO145">
            <v>0</v>
          </cell>
          <cell r="AP145">
            <v>3367185</v>
          </cell>
          <cell r="AQ145" t="str">
            <v>Pará</v>
          </cell>
          <cell r="AS145" t="str">
            <v>x</v>
          </cell>
          <cell r="AT145">
            <v>0</v>
          </cell>
        </row>
        <row r="146">
          <cell r="B146" t="str">
            <v>COO0574</v>
          </cell>
          <cell r="C146" t="str">
            <v>OOGBA.N</v>
          </cell>
          <cell r="D146" t="str">
            <v>OOGS.S-S-2025-I-0219</v>
          </cell>
          <cell r="E146" t="str">
            <v>N-2025-G-0051</v>
          </cell>
          <cell r="F146" t="str">
            <v>N-2025-G-104</v>
          </cell>
          <cell r="G146" t="str">
            <v>Eletronorte</v>
          </cell>
          <cell r="H146" t="str">
            <v>Nova Demanda</v>
          </cell>
          <cell r="I146" t="str">
            <v>Implantação do circuito de alimentação de energia da Sala de Contigência da UHE Balbina</v>
          </cell>
          <cell r="J146"/>
          <cell r="K146"/>
          <cell r="L146" t="str">
            <v>NO10101003</v>
          </cell>
          <cell r="M146" t="str">
            <v>UHE Balbina</v>
          </cell>
          <cell r="N146" t="str">
            <v>Geração</v>
          </cell>
          <cell r="O146" t="str">
            <v>Modernização de pequeno porte</v>
          </cell>
          <cell r="P146" t="str">
            <v>Modernização de pequeno porte</v>
          </cell>
          <cell r="Q146" t="str">
            <v>NGHI.0143</v>
          </cell>
          <cell r="R146" t="str">
            <v>OOG Modern. G PP 2025</v>
          </cell>
          <cell r="S146">
            <v>0</v>
          </cell>
          <cell r="T146">
            <v>0</v>
          </cell>
          <cell r="U146">
            <v>0</v>
          </cell>
          <cell r="V146">
            <v>0</v>
          </cell>
          <cell r="W146">
            <v>0</v>
          </cell>
          <cell r="X146">
            <v>0</v>
          </cell>
          <cell r="Y146">
            <v>0</v>
          </cell>
          <cell r="Z146">
            <v>0</v>
          </cell>
          <cell r="AA146">
            <v>0</v>
          </cell>
          <cell r="AB146">
            <v>0</v>
          </cell>
          <cell r="AC146">
            <v>150000</v>
          </cell>
          <cell r="AD146">
            <v>0</v>
          </cell>
          <cell r="AE146">
            <v>150000</v>
          </cell>
          <cell r="AF146"/>
          <cell r="AG146"/>
          <cell r="AH146"/>
          <cell r="AI146"/>
          <cell r="AJ146">
            <v>150000</v>
          </cell>
          <cell r="AK146">
            <v>0</v>
          </cell>
          <cell r="AL146">
            <v>0</v>
          </cell>
          <cell r="AM146">
            <v>0</v>
          </cell>
          <cell r="AN146">
            <v>0</v>
          </cell>
          <cell r="AO146">
            <v>0</v>
          </cell>
          <cell r="AP146">
            <v>150000</v>
          </cell>
          <cell r="AQ146" t="str">
            <v>Amazonas</v>
          </cell>
          <cell r="AT146">
            <v>0</v>
          </cell>
        </row>
        <row r="147">
          <cell r="B147" t="str">
            <v>COO0575</v>
          </cell>
          <cell r="C147" t="str">
            <v>OOGBA.N</v>
          </cell>
          <cell r="D147" t="str">
            <v>OOGN.S-S-2025-I-0116</v>
          </cell>
          <cell r="E147" t="str">
            <v>N-2025-G-0034</v>
          </cell>
          <cell r="F147" t="str">
            <v>N-2025-G-106</v>
          </cell>
          <cell r="G147" t="str">
            <v>Eletronorte</v>
          </cell>
          <cell r="H147" t="str">
            <v>Nova Demanda</v>
          </cell>
          <cell r="I147" t="str">
            <v>Implantação do sistema de proteção contra descargas atmosféricas da UHE Balbina</v>
          </cell>
          <cell r="J147"/>
          <cell r="K147"/>
          <cell r="L147" t="str">
            <v>NO10101003</v>
          </cell>
          <cell r="M147" t="str">
            <v>UHE Balbina</v>
          </cell>
          <cell r="N147" t="str">
            <v>Geração</v>
          </cell>
          <cell r="O147" t="str">
            <v>Modernização de pequeno porte</v>
          </cell>
          <cell r="P147" t="str">
            <v>Modernização de pequeno porte</v>
          </cell>
          <cell r="Q147" t="str">
            <v>NGHI.0143</v>
          </cell>
          <cell r="R147" t="str">
            <v>OOG Modern. G PP 2025</v>
          </cell>
          <cell r="S147">
            <v>0</v>
          </cell>
          <cell r="T147">
            <v>0</v>
          </cell>
          <cell r="U147">
            <v>0</v>
          </cell>
          <cell r="V147">
            <v>0</v>
          </cell>
          <cell r="W147">
            <v>0</v>
          </cell>
          <cell r="X147">
            <v>0</v>
          </cell>
          <cell r="Y147">
            <v>0</v>
          </cell>
          <cell r="Z147">
            <v>0</v>
          </cell>
          <cell r="AA147">
            <v>150000</v>
          </cell>
          <cell r="AB147">
            <v>350000</v>
          </cell>
          <cell r="AC147">
            <v>0</v>
          </cell>
          <cell r="AD147">
            <v>0</v>
          </cell>
          <cell r="AE147">
            <v>500000</v>
          </cell>
          <cell r="AF147">
            <v>300000</v>
          </cell>
          <cell r="AG147"/>
          <cell r="AH147"/>
          <cell r="AI147"/>
          <cell r="AJ147">
            <v>800000</v>
          </cell>
          <cell r="AK147">
            <v>0</v>
          </cell>
          <cell r="AL147">
            <v>0</v>
          </cell>
          <cell r="AM147">
            <v>0</v>
          </cell>
          <cell r="AN147">
            <v>0</v>
          </cell>
          <cell r="AO147">
            <v>0</v>
          </cell>
          <cell r="AP147">
            <v>800000</v>
          </cell>
          <cell r="AQ147" t="str">
            <v>Amazonas</v>
          </cell>
          <cell r="AS147" t="str">
            <v>x</v>
          </cell>
          <cell r="AT147">
            <v>300000</v>
          </cell>
        </row>
        <row r="148">
          <cell r="B148" t="str">
            <v>COO0576</v>
          </cell>
          <cell r="C148" t="str">
            <v>OOGBA.N</v>
          </cell>
          <cell r="D148" t="str">
            <v>OOGN.S-S-2025-I-0272</v>
          </cell>
          <cell r="E148" t="str">
            <v>N-2025-G-0058</v>
          </cell>
          <cell r="F148" t="str">
            <v>N-2025-G-227</v>
          </cell>
          <cell r="G148" t="str">
            <v>Eletronorte</v>
          </cell>
          <cell r="H148" t="str">
            <v>Nova Demanda</v>
          </cell>
          <cell r="I148" t="str">
            <v>Adequação civil das plataformas de acesso aos poços de drenagem e esgotamento da UHE Balbina</v>
          </cell>
          <cell r="J148"/>
          <cell r="K148"/>
          <cell r="L148" t="str">
            <v>NO10101003</v>
          </cell>
          <cell r="M148" t="str">
            <v>UHE Balbina</v>
          </cell>
          <cell r="N148" t="str">
            <v>Geração</v>
          </cell>
          <cell r="O148" t="str">
            <v>Modernização de pequeno porte</v>
          </cell>
          <cell r="P148" t="str">
            <v>Modernização de pequeno porte</v>
          </cell>
          <cell r="Q148" t="str">
            <v>NGHI.0143</v>
          </cell>
          <cell r="R148" t="str">
            <v>OOG Modern. G PP 2025</v>
          </cell>
          <cell r="S148">
            <v>0</v>
          </cell>
          <cell r="T148">
            <v>0</v>
          </cell>
          <cell r="U148">
            <v>0</v>
          </cell>
          <cell r="V148">
            <v>0</v>
          </cell>
          <cell r="W148">
            <v>0</v>
          </cell>
          <cell r="X148">
            <v>0</v>
          </cell>
          <cell r="Y148">
            <v>0</v>
          </cell>
          <cell r="Z148">
            <v>0</v>
          </cell>
          <cell r="AA148">
            <v>0</v>
          </cell>
          <cell r="AB148">
            <v>80000</v>
          </cell>
          <cell r="AC148">
            <v>0</v>
          </cell>
          <cell r="AD148">
            <v>0</v>
          </cell>
          <cell r="AE148">
            <v>80000</v>
          </cell>
          <cell r="AF148"/>
          <cell r="AG148"/>
          <cell r="AH148"/>
          <cell r="AI148"/>
          <cell r="AJ148">
            <v>80000</v>
          </cell>
          <cell r="AK148">
            <v>0</v>
          </cell>
          <cell r="AL148">
            <v>0</v>
          </cell>
          <cell r="AM148">
            <v>0</v>
          </cell>
          <cell r="AN148">
            <v>0</v>
          </cell>
          <cell r="AO148">
            <v>0</v>
          </cell>
          <cell r="AP148">
            <v>80000</v>
          </cell>
          <cell r="AQ148" t="str">
            <v>Amazonas</v>
          </cell>
          <cell r="AS148" t="str">
            <v>x</v>
          </cell>
          <cell r="AT148">
            <v>0</v>
          </cell>
        </row>
        <row r="149">
          <cell r="B149" t="str">
            <v>COO0577</v>
          </cell>
          <cell r="C149" t="str">
            <v>OOGCN.N</v>
          </cell>
          <cell r="D149" t="str">
            <v>OOGR.S-S-2025-I-0177</v>
          </cell>
          <cell r="E149" t="str">
            <v>N-2025-G-0044</v>
          </cell>
          <cell r="F149" t="str">
            <v>N-2025-G-116</v>
          </cell>
          <cell r="G149" t="str">
            <v>Eletronorte</v>
          </cell>
          <cell r="H149" t="str">
            <v>Contratado</v>
          </cell>
          <cell r="I149" t="str">
            <v>Modernização do sistema de comando da comporta tomada d'água da UHE Coaracy Nunes</v>
          </cell>
          <cell r="J149"/>
          <cell r="K149"/>
          <cell r="L149" t="str">
            <v>NO10102003</v>
          </cell>
          <cell r="M149" t="str">
            <v>UHE Coaracy Nunes</v>
          </cell>
          <cell r="N149" t="str">
            <v>Geração</v>
          </cell>
          <cell r="O149" t="str">
            <v>Modernização de pequeno porte</v>
          </cell>
          <cell r="P149" t="str">
            <v>Modernização de pequeno porte</v>
          </cell>
          <cell r="Q149" t="str">
            <v>NGHI.0143</v>
          </cell>
          <cell r="R149" t="str">
            <v>OOG Modern. G PP 2025</v>
          </cell>
          <cell r="S149">
            <v>0</v>
          </cell>
          <cell r="T149">
            <v>69000</v>
          </cell>
          <cell r="U149">
            <v>0</v>
          </cell>
          <cell r="V149">
            <v>0</v>
          </cell>
          <cell r="W149">
            <v>69000</v>
          </cell>
          <cell r="X149">
            <v>23000</v>
          </cell>
          <cell r="Y149">
            <v>23000</v>
          </cell>
          <cell r="Z149">
            <v>46000</v>
          </cell>
          <cell r="AA149">
            <v>0</v>
          </cell>
          <cell r="AB149">
            <v>0</v>
          </cell>
          <cell r="AC149">
            <v>0</v>
          </cell>
          <cell r="AD149">
            <v>0</v>
          </cell>
          <cell r="AE149">
            <v>230000</v>
          </cell>
          <cell r="AF149"/>
          <cell r="AG149"/>
          <cell r="AH149"/>
          <cell r="AI149"/>
          <cell r="AJ149">
            <v>230000</v>
          </cell>
          <cell r="AK149">
            <v>0</v>
          </cell>
          <cell r="AL149">
            <v>0</v>
          </cell>
          <cell r="AM149">
            <v>0</v>
          </cell>
          <cell r="AN149">
            <v>0</v>
          </cell>
          <cell r="AO149">
            <v>0</v>
          </cell>
          <cell r="AP149">
            <v>230000</v>
          </cell>
          <cell r="AQ149" t="str">
            <v>Amapá</v>
          </cell>
          <cell r="AS149" t="str">
            <v>x</v>
          </cell>
          <cell r="AT149">
            <v>0</v>
          </cell>
        </row>
        <row r="150">
          <cell r="B150" t="str">
            <v>COO0578</v>
          </cell>
          <cell r="C150" t="str">
            <v>OOGCU.N</v>
          </cell>
          <cell r="D150" t="str">
            <v>OOTM.F-OS-2025-I-0301</v>
          </cell>
          <cell r="E150" t="str">
            <v>N-2025-G-0026</v>
          </cell>
          <cell r="F150" t="str">
            <v>N-2025-G-107</v>
          </cell>
          <cell r="G150" t="str">
            <v>Eletronorte</v>
          </cell>
          <cell r="H150" t="str">
            <v>Nova Demanda</v>
          </cell>
          <cell r="I150" t="str">
            <v>Modernização da instrumentação da UHE Curuá-Una</v>
          </cell>
          <cell r="J150" t="str">
            <v>Substituição de equipamentos com fim de vida util</v>
          </cell>
          <cell r="K150" t="str">
            <v>Aumento da confiabilidade da função</v>
          </cell>
          <cell r="L150" t="str">
            <v>NO10103003</v>
          </cell>
          <cell r="M150" t="str">
            <v>UHE Curuá-Una</v>
          </cell>
          <cell r="N150" t="str">
            <v>Geração</v>
          </cell>
          <cell r="O150" t="str">
            <v>Modernização de pequeno porte</v>
          </cell>
          <cell r="P150" t="str">
            <v>Modernização de pequeno porte</v>
          </cell>
          <cell r="Q150" t="str">
            <v>NGHI.0110</v>
          </cell>
          <cell r="R150" t="str">
            <v>OOMODGUHCUINSTRUMENTOS ELETRICOS</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1963000</v>
          </cell>
          <cell r="AG150"/>
          <cell r="AH150"/>
          <cell r="AI150"/>
          <cell r="AJ150">
            <v>1963000</v>
          </cell>
          <cell r="AK150">
            <v>0</v>
          </cell>
          <cell r="AL150">
            <v>0</v>
          </cell>
          <cell r="AM150">
            <v>0</v>
          </cell>
          <cell r="AN150">
            <v>0</v>
          </cell>
          <cell r="AO150">
            <v>0</v>
          </cell>
          <cell r="AP150">
            <v>1963000</v>
          </cell>
          <cell r="AQ150" t="str">
            <v>Pará</v>
          </cell>
          <cell r="AS150" t="str">
            <v>x</v>
          </cell>
          <cell r="AT150">
            <v>1963000</v>
          </cell>
        </row>
        <row r="151">
          <cell r="B151" t="str">
            <v>COO0579</v>
          </cell>
          <cell r="C151" t="str">
            <v>OOGSA.N</v>
          </cell>
          <cell r="D151" t="str">
            <v>OOGR.S-S-2025-I-0188</v>
          </cell>
          <cell r="E151" t="str">
            <v>N-2025-G-0046</v>
          </cell>
          <cell r="F151" t="str">
            <v>N-2025-G-215</v>
          </cell>
          <cell r="G151" t="str">
            <v>Eletronorte</v>
          </cell>
          <cell r="H151" t="str">
            <v>Nova Demanda</v>
          </cell>
          <cell r="I151" t="str">
            <v>Modernização do sistema de drenagem e esgotamento da UHE Samuel</v>
          </cell>
          <cell r="J151"/>
          <cell r="K151"/>
          <cell r="L151" t="str">
            <v>NO10104003</v>
          </cell>
          <cell r="M151" t="str">
            <v>UHE Samuel</v>
          </cell>
          <cell r="N151" t="str">
            <v>Geração</v>
          </cell>
          <cell r="O151" t="str">
            <v>Modernização de pequeno porte</v>
          </cell>
          <cell r="P151" t="str">
            <v>Modernização de pequeno porte</v>
          </cell>
          <cell r="Q151" t="str">
            <v>NGHI.0143</v>
          </cell>
          <cell r="R151" t="str">
            <v>OOG Modern. G PP 2025</v>
          </cell>
          <cell r="S151">
            <v>0</v>
          </cell>
          <cell r="T151">
            <v>0</v>
          </cell>
          <cell r="U151">
            <v>0</v>
          </cell>
          <cell r="V151">
            <v>0</v>
          </cell>
          <cell r="W151">
            <v>0</v>
          </cell>
          <cell r="X151">
            <v>0</v>
          </cell>
          <cell r="Y151">
            <v>0</v>
          </cell>
          <cell r="Z151">
            <v>0</v>
          </cell>
          <cell r="AA151">
            <v>0</v>
          </cell>
          <cell r="AB151">
            <v>200000</v>
          </cell>
          <cell r="AC151">
            <v>0</v>
          </cell>
          <cell r="AD151">
            <v>0</v>
          </cell>
          <cell r="AE151">
            <v>200000</v>
          </cell>
          <cell r="AF151"/>
          <cell r="AG151"/>
          <cell r="AH151"/>
          <cell r="AI151"/>
          <cell r="AJ151">
            <v>200000</v>
          </cell>
          <cell r="AK151">
            <v>0</v>
          </cell>
          <cell r="AL151">
            <v>0</v>
          </cell>
          <cell r="AM151">
            <v>0</v>
          </cell>
          <cell r="AN151">
            <v>0</v>
          </cell>
          <cell r="AO151">
            <v>0</v>
          </cell>
          <cell r="AP151">
            <v>200000</v>
          </cell>
          <cell r="AQ151" t="str">
            <v>Rondônia</v>
          </cell>
          <cell r="AS151" t="str">
            <v>x</v>
          </cell>
          <cell r="AT151">
            <v>0</v>
          </cell>
        </row>
        <row r="152">
          <cell r="B152" t="str">
            <v>COO0580</v>
          </cell>
          <cell r="C152" t="str">
            <v>OOGT.N</v>
          </cell>
          <cell r="D152" t="str">
            <v>OOGFU.F-OS-2025-I-0007</v>
          </cell>
          <cell r="E152" t="str">
            <v>N-2025-G-0067</v>
          </cell>
          <cell r="F152" t="str">
            <v>N-2025-G-179</v>
          </cell>
          <cell r="G152" t="str">
            <v>Eletronorte</v>
          </cell>
          <cell r="H152" t="str">
            <v>Nova Demanda</v>
          </cell>
          <cell r="I152" t="str">
            <v>Modernização do sistema de iluminação da UHE Tucuruí</v>
          </cell>
          <cell r="J152"/>
          <cell r="K152"/>
          <cell r="L152" t="str">
            <v>NO10105003</v>
          </cell>
          <cell r="M152" t="str">
            <v>UHE Tucuruí</v>
          </cell>
          <cell r="N152" t="str">
            <v>Geração</v>
          </cell>
          <cell r="O152" t="str">
            <v>Modernização de pequeno porte</v>
          </cell>
          <cell r="P152" t="str">
            <v>Modernização de pequeno porte</v>
          </cell>
          <cell r="Q152" t="str">
            <v>NGHI.0143</v>
          </cell>
          <cell r="R152" t="str">
            <v>OOG Modern. G PP 2025</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500000</v>
          </cell>
          <cell r="AG152"/>
          <cell r="AH152"/>
          <cell r="AI152"/>
          <cell r="AJ152">
            <v>500000</v>
          </cell>
          <cell r="AK152">
            <v>0</v>
          </cell>
          <cell r="AL152">
            <v>0</v>
          </cell>
          <cell r="AM152">
            <v>0</v>
          </cell>
          <cell r="AN152">
            <v>0</v>
          </cell>
          <cell r="AO152">
            <v>0</v>
          </cell>
          <cell r="AP152">
            <v>500000</v>
          </cell>
          <cell r="AQ152" t="str">
            <v>Pará</v>
          </cell>
          <cell r="AT152">
            <v>500000</v>
          </cell>
        </row>
        <row r="153">
          <cell r="B153" t="str">
            <v>COO0581</v>
          </cell>
          <cell r="C153" t="str">
            <v>OOGT.N</v>
          </cell>
          <cell r="D153" t="str">
            <v>OOGN.S-S-2025-I-0104</v>
          </cell>
          <cell r="E153" t="str">
            <v>N-2025-G-0033</v>
          </cell>
          <cell r="F153" t="str">
            <v>N-2025-G-203</v>
          </cell>
          <cell r="G153" t="str">
            <v>Eletronorte</v>
          </cell>
          <cell r="H153" t="str">
            <v>Nova Demanda</v>
          </cell>
          <cell r="I153" t="str">
            <v>Modernização do teto da casa de força da UHE Samuel</v>
          </cell>
          <cell r="J153"/>
          <cell r="K153"/>
          <cell r="L153" t="str">
            <v>NO10104003</v>
          </cell>
          <cell r="M153" t="str">
            <v>UHE Samuel</v>
          </cell>
          <cell r="N153" t="str">
            <v>Geração</v>
          </cell>
          <cell r="O153" t="str">
            <v>Modernização de pequeno porte</v>
          </cell>
          <cell r="P153" t="str">
            <v>Modernização de pequeno porte</v>
          </cell>
          <cell r="Q153" t="str">
            <v>NGHI.0143</v>
          </cell>
          <cell r="R153" t="str">
            <v>OOG Modern. G PP 2025</v>
          </cell>
          <cell r="S153">
            <v>600000</v>
          </cell>
          <cell r="T153">
            <v>0</v>
          </cell>
          <cell r="U153">
            <v>0</v>
          </cell>
          <cell r="V153">
            <v>0</v>
          </cell>
          <cell r="W153">
            <v>0</v>
          </cell>
          <cell r="X153">
            <v>0</v>
          </cell>
          <cell r="Y153">
            <v>0</v>
          </cell>
          <cell r="Z153">
            <v>0</v>
          </cell>
          <cell r="AA153">
            <v>0</v>
          </cell>
          <cell r="AB153">
            <v>0</v>
          </cell>
          <cell r="AC153">
            <v>0</v>
          </cell>
          <cell r="AD153">
            <v>0</v>
          </cell>
          <cell r="AE153">
            <v>600000</v>
          </cell>
          <cell r="AF153"/>
          <cell r="AG153"/>
          <cell r="AH153"/>
          <cell r="AI153"/>
          <cell r="AJ153">
            <v>600000</v>
          </cell>
          <cell r="AK153">
            <v>0</v>
          </cell>
          <cell r="AL153">
            <v>0</v>
          </cell>
          <cell r="AM153">
            <v>0</v>
          </cell>
          <cell r="AN153">
            <v>0</v>
          </cell>
          <cell r="AO153">
            <v>0</v>
          </cell>
          <cell r="AP153">
            <v>600000</v>
          </cell>
          <cell r="AQ153" t="str">
            <v>Rondônia</v>
          </cell>
          <cell r="AS153" t="str">
            <v>x</v>
          </cell>
          <cell r="AT153">
            <v>0</v>
          </cell>
        </row>
        <row r="154">
          <cell r="B154" t="str">
            <v>COO0582</v>
          </cell>
          <cell r="C154" t="str">
            <v>OOMG.N</v>
          </cell>
          <cell r="D154" t="str">
            <v>OOTM.F-OS-2025-I-0422</v>
          </cell>
          <cell r="E154" t="str">
            <v>N-2025-G-0123</v>
          </cell>
          <cell r="F154" t="str">
            <v>N-2025-G-115</v>
          </cell>
          <cell r="G154" t="str">
            <v>Eletronorte</v>
          </cell>
          <cell r="H154" t="str">
            <v>Nova Demanda</v>
          </cell>
          <cell r="I154" t="str">
            <v>Modernização sistema de proteção contra incêndio na UHE Samuel</v>
          </cell>
          <cell r="J154"/>
          <cell r="K154"/>
          <cell r="L154" t="str">
            <v>NO10104003</v>
          </cell>
          <cell r="M154" t="str">
            <v>UHE Samuel</v>
          </cell>
          <cell r="N154" t="str">
            <v>Geração</v>
          </cell>
          <cell r="O154" t="str">
            <v>Modernização de pequeno porte</v>
          </cell>
          <cell r="P154" t="str">
            <v>Modernização de pequeno porte</v>
          </cell>
          <cell r="Q154" t="str">
            <v>NGHI.0141</v>
          </cell>
          <cell r="R154" t="str">
            <v>Não cadastrado</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5000000</v>
          </cell>
          <cell r="AG154"/>
          <cell r="AH154"/>
          <cell r="AI154"/>
          <cell r="AJ154">
            <v>5000000</v>
          </cell>
          <cell r="AK154">
            <v>0</v>
          </cell>
          <cell r="AL154">
            <v>0</v>
          </cell>
          <cell r="AM154">
            <v>0</v>
          </cell>
          <cell r="AN154">
            <v>0</v>
          </cell>
          <cell r="AO154">
            <v>0</v>
          </cell>
          <cell r="AP154">
            <v>5000000</v>
          </cell>
          <cell r="AQ154" t="str">
            <v>Rondônia</v>
          </cell>
          <cell r="AS154" t="str">
            <v>x</v>
          </cell>
          <cell r="AT154">
            <v>5000000</v>
          </cell>
        </row>
        <row r="155">
          <cell r="B155" t="str">
            <v>COO0583</v>
          </cell>
          <cell r="C155" t="str">
            <v>OOMG.N</v>
          </cell>
          <cell r="D155" t="str">
            <v>OOO.S-S-2025-I-0030</v>
          </cell>
          <cell r="E155" t="str">
            <v>N-2025-G-0127</v>
          </cell>
          <cell r="F155" t="str">
            <v>N-2025-G-118</v>
          </cell>
          <cell r="G155" t="str">
            <v>Eletronorte</v>
          </cell>
          <cell r="H155" t="str">
            <v>Nova Demanda</v>
          </cell>
          <cell r="I155" t="str">
            <v>Modernização da instrumentação da Unidades Geradoras da UHE Curuá-Una</v>
          </cell>
          <cell r="J155"/>
          <cell r="K155"/>
          <cell r="L155" t="str">
            <v>NO10103003</v>
          </cell>
          <cell r="M155" t="str">
            <v>UHE Curuá-Una</v>
          </cell>
          <cell r="N155" t="str">
            <v>Geração</v>
          </cell>
          <cell r="O155" t="str">
            <v>Modernização de pequeno porte</v>
          </cell>
          <cell r="P155" t="str">
            <v>Modernização de pequeno porte</v>
          </cell>
          <cell r="Q155" t="str">
            <v>NGHI.0141</v>
          </cell>
          <cell r="R155" t="str">
            <v>Não cadastrado</v>
          </cell>
          <cell r="S155">
            <v>0</v>
          </cell>
          <cell r="T155">
            <v>0</v>
          </cell>
          <cell r="U155">
            <v>0</v>
          </cell>
          <cell r="V155">
            <v>0</v>
          </cell>
          <cell r="W155">
            <v>0</v>
          </cell>
          <cell r="X155">
            <v>2000000</v>
          </cell>
          <cell r="Y155">
            <v>0</v>
          </cell>
          <cell r="Z155">
            <v>0</v>
          </cell>
          <cell r="AA155">
            <v>0</v>
          </cell>
          <cell r="AB155">
            <v>0</v>
          </cell>
          <cell r="AC155">
            <v>0</v>
          </cell>
          <cell r="AD155">
            <v>0</v>
          </cell>
          <cell r="AE155">
            <v>2000000</v>
          </cell>
          <cell r="AF155"/>
          <cell r="AG155"/>
          <cell r="AH155"/>
          <cell r="AI155"/>
          <cell r="AJ155">
            <v>2000000</v>
          </cell>
          <cell r="AK155">
            <v>0</v>
          </cell>
          <cell r="AL155">
            <v>0</v>
          </cell>
          <cell r="AM155">
            <v>0</v>
          </cell>
          <cell r="AN155">
            <v>0</v>
          </cell>
          <cell r="AO155">
            <v>0</v>
          </cell>
          <cell r="AP155">
            <v>2000000</v>
          </cell>
          <cell r="AQ155" t="str">
            <v>Pará</v>
          </cell>
          <cell r="AS155" t="str">
            <v>x</v>
          </cell>
          <cell r="AT155">
            <v>0</v>
          </cell>
        </row>
        <row r="156">
          <cell r="B156" t="str">
            <v>COO0584</v>
          </cell>
          <cell r="C156" t="str">
            <v>OOMG.N</v>
          </cell>
          <cell r="D156" t="str">
            <v>OOGS.S-S-2025-I-0236</v>
          </cell>
          <cell r="E156" t="str">
            <v>N-2025-G-0112</v>
          </cell>
          <cell r="F156" t="str">
            <v>N-2025-G-119</v>
          </cell>
          <cell r="G156" t="str">
            <v>Eletronorte</v>
          </cell>
          <cell r="H156" t="str">
            <v>Nova Demanda</v>
          </cell>
          <cell r="I156" t="str">
            <v>Modernização da Subestação 138kV da UHE.</v>
          </cell>
          <cell r="J156"/>
          <cell r="K156"/>
          <cell r="L156" t="str">
            <v>NO10103003</v>
          </cell>
          <cell r="M156" t="str">
            <v>Não cadastrado</v>
          </cell>
          <cell r="N156" t="str">
            <v>Geração</v>
          </cell>
          <cell r="O156" t="str">
            <v>Modernização de pequeno porte</v>
          </cell>
          <cell r="P156" t="str">
            <v>Modernização de pequeno porte</v>
          </cell>
          <cell r="Q156" t="str">
            <v>NGHI.0141</v>
          </cell>
          <cell r="R156" t="str">
            <v>Não cadastrado</v>
          </cell>
          <cell r="S156">
            <v>0</v>
          </cell>
          <cell r="T156">
            <v>0</v>
          </cell>
          <cell r="U156">
            <v>0</v>
          </cell>
          <cell r="V156">
            <v>100000</v>
          </cell>
          <cell r="W156">
            <v>0</v>
          </cell>
          <cell r="X156">
            <v>0</v>
          </cell>
          <cell r="Y156">
            <v>0</v>
          </cell>
          <cell r="Z156">
            <v>0</v>
          </cell>
          <cell r="AA156">
            <v>0</v>
          </cell>
          <cell r="AB156">
            <v>0</v>
          </cell>
          <cell r="AC156">
            <v>0</v>
          </cell>
          <cell r="AD156">
            <v>0</v>
          </cell>
          <cell r="AE156">
            <v>100000</v>
          </cell>
          <cell r="AF156"/>
          <cell r="AG156"/>
          <cell r="AH156"/>
          <cell r="AI156"/>
          <cell r="AJ156">
            <v>100000</v>
          </cell>
          <cell r="AK156">
            <v>0</v>
          </cell>
          <cell r="AL156">
            <v>0</v>
          </cell>
          <cell r="AM156">
            <v>0</v>
          </cell>
          <cell r="AN156">
            <v>0</v>
          </cell>
          <cell r="AO156">
            <v>0</v>
          </cell>
          <cell r="AP156">
            <v>100000</v>
          </cell>
          <cell r="AQ156" t="str">
            <v>Pará</v>
          </cell>
          <cell r="AS156" t="str">
            <v>x</v>
          </cell>
          <cell r="AT156">
            <v>0</v>
          </cell>
        </row>
        <row r="157">
          <cell r="B157" t="str">
            <v>COO0585</v>
          </cell>
          <cell r="C157" t="str">
            <v>OOMG.N</v>
          </cell>
          <cell r="D157" t="str">
            <v>OOMB.C-C-2025-I-0017</v>
          </cell>
          <cell r="E157" t="str">
            <v>N-2025-G-0133</v>
          </cell>
          <cell r="F157" t="str">
            <v>N-2025-G-126</v>
          </cell>
          <cell r="G157" t="str">
            <v>Eletronorte</v>
          </cell>
          <cell r="H157" t="str">
            <v>Contratado</v>
          </cell>
          <cell r="I157" t="str">
            <v>Modernização do Barramento Blindado (13,8kV) UG19 da UHE Tucuruí</v>
          </cell>
          <cell r="J157"/>
          <cell r="K157"/>
          <cell r="L157" t="str">
            <v>NO10105003</v>
          </cell>
          <cell r="M157" t="str">
            <v>UHE Tucuruí</v>
          </cell>
          <cell r="N157" t="str">
            <v>Geração</v>
          </cell>
          <cell r="O157" t="str">
            <v>Modernização de pequeno porte</v>
          </cell>
          <cell r="P157" t="str">
            <v>Modernização de pequeno porte</v>
          </cell>
          <cell r="Q157" t="str">
            <v>NGHI.0141</v>
          </cell>
          <cell r="R157" t="str">
            <v>Não cadastrado</v>
          </cell>
          <cell r="S157">
            <v>0</v>
          </cell>
          <cell r="T157">
            <v>1340415</v>
          </cell>
          <cell r="U157">
            <v>1340415</v>
          </cell>
          <cell r="V157">
            <v>4021244</v>
          </cell>
          <cell r="W157">
            <v>0</v>
          </cell>
          <cell r="X157">
            <v>0</v>
          </cell>
          <cell r="Y157">
            <v>0</v>
          </cell>
          <cell r="Z157">
            <v>0</v>
          </cell>
          <cell r="AA157">
            <v>0</v>
          </cell>
          <cell r="AB157">
            <v>0</v>
          </cell>
          <cell r="AC157">
            <v>0</v>
          </cell>
          <cell r="AD157">
            <v>0</v>
          </cell>
          <cell r="AE157">
            <v>6702074</v>
          </cell>
          <cell r="AF157"/>
          <cell r="AG157"/>
          <cell r="AH157"/>
          <cell r="AI157"/>
          <cell r="AJ157">
            <v>6702074</v>
          </cell>
          <cell r="AK157">
            <v>0</v>
          </cell>
          <cell r="AL157">
            <v>0</v>
          </cell>
          <cell r="AM157">
            <v>0</v>
          </cell>
          <cell r="AN157">
            <v>0</v>
          </cell>
          <cell r="AO157">
            <v>0</v>
          </cell>
          <cell r="AP157">
            <v>6702074</v>
          </cell>
          <cell r="AQ157" t="str">
            <v>Pará</v>
          </cell>
          <cell r="AS157" t="str">
            <v>x</v>
          </cell>
          <cell r="AT157">
            <v>0</v>
          </cell>
        </row>
        <row r="158">
          <cell r="B158" t="str">
            <v>COO0586</v>
          </cell>
          <cell r="C158" t="str">
            <v>OOMG.N</v>
          </cell>
          <cell r="D158" t="str">
            <v>OOGFU.F-OS-2025-I-0530</v>
          </cell>
          <cell r="E158" t="str">
            <v>N-2025-G-0117</v>
          </cell>
          <cell r="F158" t="str">
            <v>N-2025-G-139</v>
          </cell>
          <cell r="G158" t="str">
            <v>Eletronorte</v>
          </cell>
          <cell r="H158" t="str">
            <v>Nova Demanda</v>
          </cell>
          <cell r="I158" t="str">
            <v>Modernização do sistema de comando e controle das comportas Tomada D'água da UHE Samuel</v>
          </cell>
          <cell r="J158"/>
          <cell r="K158"/>
          <cell r="L158" t="str">
            <v>NO10104003</v>
          </cell>
          <cell r="M158" t="str">
            <v>UHE Samuel</v>
          </cell>
          <cell r="N158" t="str">
            <v>Geração</v>
          </cell>
          <cell r="O158" t="str">
            <v>Modernização de pequeno porte</v>
          </cell>
          <cell r="P158" t="str">
            <v>Modernização de pequeno porte</v>
          </cell>
          <cell r="Q158" t="str">
            <v>NGHI.0141</v>
          </cell>
          <cell r="R158" t="str">
            <v>Não cadastrado</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1000000</v>
          </cell>
          <cell r="AG158"/>
          <cell r="AH158"/>
          <cell r="AI158"/>
          <cell r="AJ158">
            <v>1000000</v>
          </cell>
          <cell r="AK158">
            <v>0</v>
          </cell>
          <cell r="AL158">
            <v>0</v>
          </cell>
          <cell r="AM158">
            <v>0</v>
          </cell>
          <cell r="AN158">
            <v>0</v>
          </cell>
          <cell r="AO158">
            <v>0</v>
          </cell>
          <cell r="AP158">
            <v>1000000</v>
          </cell>
          <cell r="AQ158" t="str">
            <v>Rondônia</v>
          </cell>
          <cell r="AS158" t="str">
            <v>x</v>
          </cell>
          <cell r="AT158">
            <v>1000000</v>
          </cell>
        </row>
        <row r="159">
          <cell r="B159" t="str">
            <v>COO0587</v>
          </cell>
          <cell r="C159" t="str">
            <v>OOMG.N</v>
          </cell>
          <cell r="D159" t="str">
            <v>OOGR.S-S-2025-I-0169</v>
          </cell>
          <cell r="E159" t="str">
            <v>N-2025-G-0132</v>
          </cell>
          <cell r="F159" t="str">
            <v>N-2025-G-153</v>
          </cell>
          <cell r="G159" t="str">
            <v>Eletronorte</v>
          </cell>
          <cell r="H159" t="str">
            <v>Nova Demanda</v>
          </cell>
          <cell r="I159" t="str">
            <v>Modernização do sistema de resfriamento do regulador de velocidade da UHE Curuá-Una</v>
          </cell>
          <cell r="J159"/>
          <cell r="K159"/>
          <cell r="L159" t="str">
            <v>NO10102003</v>
          </cell>
          <cell r="M159" t="str">
            <v>UHE Curuá-Una</v>
          </cell>
          <cell r="N159" t="str">
            <v>Geração</v>
          </cell>
          <cell r="O159" t="str">
            <v>Modernização de pequeno porte</v>
          </cell>
          <cell r="P159" t="str">
            <v>Modernização de pequeno porte</v>
          </cell>
          <cell r="Q159" t="str">
            <v>NGHI.0141</v>
          </cell>
          <cell r="R159" t="str">
            <v>Não cadastrado</v>
          </cell>
          <cell r="S159">
            <v>0</v>
          </cell>
          <cell r="T159">
            <v>0</v>
          </cell>
          <cell r="U159">
            <v>0</v>
          </cell>
          <cell r="V159">
            <v>0</v>
          </cell>
          <cell r="W159">
            <v>0</v>
          </cell>
          <cell r="X159">
            <v>0</v>
          </cell>
          <cell r="Y159">
            <v>0</v>
          </cell>
          <cell r="Z159">
            <v>0</v>
          </cell>
          <cell r="AA159">
            <v>300000</v>
          </cell>
          <cell r="AB159">
            <v>0</v>
          </cell>
          <cell r="AC159">
            <v>0</v>
          </cell>
          <cell r="AD159">
            <v>0</v>
          </cell>
          <cell r="AE159">
            <v>300000</v>
          </cell>
          <cell r="AF159"/>
          <cell r="AG159"/>
          <cell r="AH159"/>
          <cell r="AI159"/>
          <cell r="AJ159">
            <v>300000</v>
          </cell>
          <cell r="AK159">
            <v>0</v>
          </cell>
          <cell r="AL159">
            <v>0</v>
          </cell>
          <cell r="AM159">
            <v>0</v>
          </cell>
          <cell r="AN159">
            <v>0</v>
          </cell>
          <cell r="AO159">
            <v>0</v>
          </cell>
          <cell r="AP159">
            <v>300000</v>
          </cell>
          <cell r="AQ159" t="str">
            <v>Pará</v>
          </cell>
          <cell r="AS159" t="str">
            <v>x</v>
          </cell>
          <cell r="AT159">
            <v>0</v>
          </cell>
        </row>
        <row r="160">
          <cell r="B160" t="str">
            <v>COO0588</v>
          </cell>
          <cell r="C160" t="str">
            <v>OOMG.N</v>
          </cell>
          <cell r="D160" t="str">
            <v>OOPM.S-S-2025-I-0070</v>
          </cell>
          <cell r="E160" t="str">
            <v>N-2025-G-0130</v>
          </cell>
          <cell r="F160" t="str">
            <v>N-2025-G-169</v>
          </cell>
          <cell r="G160" t="str">
            <v>Eletronorte</v>
          </cell>
          <cell r="H160" t="str">
            <v>Nova Demanda</v>
          </cell>
          <cell r="I160" t="str">
            <v>Modernização dos mancais de guia da Turbina UG 01 e 02 - UHE Curuá-Una</v>
          </cell>
          <cell r="J160"/>
          <cell r="K160"/>
          <cell r="L160" t="str">
            <v>NO10103003</v>
          </cell>
          <cell r="M160" t="str">
            <v>UHE Curuá-Una</v>
          </cell>
          <cell r="N160" t="str">
            <v>Geração</v>
          </cell>
          <cell r="O160" t="str">
            <v>Modernização de pequeno porte</v>
          </cell>
          <cell r="P160" t="str">
            <v>Modernização de pequeno porte</v>
          </cell>
          <cell r="Q160" t="str">
            <v>NGHI.0141</v>
          </cell>
          <cell r="R160" t="str">
            <v>Não cadastrado</v>
          </cell>
          <cell r="S160">
            <v>0</v>
          </cell>
          <cell r="T160">
            <v>0</v>
          </cell>
          <cell r="U160">
            <v>0</v>
          </cell>
          <cell r="V160">
            <v>0</v>
          </cell>
          <cell r="W160">
            <v>0</v>
          </cell>
          <cell r="X160">
            <v>0</v>
          </cell>
          <cell r="Y160">
            <v>0</v>
          </cell>
          <cell r="Z160">
            <v>600000</v>
          </cell>
          <cell r="AA160">
            <v>0</v>
          </cell>
          <cell r="AB160">
            <v>0</v>
          </cell>
          <cell r="AC160">
            <v>0</v>
          </cell>
          <cell r="AD160">
            <v>400000</v>
          </cell>
          <cell r="AE160">
            <v>1000000</v>
          </cell>
          <cell r="AF160"/>
          <cell r="AG160"/>
          <cell r="AH160"/>
          <cell r="AI160"/>
          <cell r="AJ160">
            <v>1000000</v>
          </cell>
          <cell r="AK160">
            <v>0</v>
          </cell>
          <cell r="AL160">
            <v>0</v>
          </cell>
          <cell r="AM160">
            <v>0</v>
          </cell>
          <cell r="AN160">
            <v>0</v>
          </cell>
          <cell r="AO160">
            <v>0</v>
          </cell>
          <cell r="AP160">
            <v>1000000</v>
          </cell>
          <cell r="AQ160" t="str">
            <v>Pará</v>
          </cell>
          <cell r="AS160" t="str">
            <v>x</v>
          </cell>
          <cell r="AT160">
            <v>0</v>
          </cell>
        </row>
        <row r="161">
          <cell r="B161" t="str">
            <v>COO0589</v>
          </cell>
          <cell r="C161" t="str">
            <v>OOMG.N</v>
          </cell>
          <cell r="D161" t="str">
            <v>OOMT.S-S-2025-I-0046</v>
          </cell>
          <cell r="E161" t="str">
            <v>N-2025-G-0107</v>
          </cell>
          <cell r="F161" t="str">
            <v>N-2025-G-176</v>
          </cell>
          <cell r="G161" t="str">
            <v>Eletronorte</v>
          </cell>
          <cell r="H161" t="str">
            <v>Nova Demanda</v>
          </cell>
          <cell r="I161" t="str">
            <v>Modernização do regulador de velocidade e tensão da UHE Curuá-Una</v>
          </cell>
          <cell r="J161"/>
          <cell r="K161"/>
          <cell r="L161" t="str">
            <v>NO10103003</v>
          </cell>
          <cell r="M161" t="str">
            <v>UHE Curuá-Una</v>
          </cell>
          <cell r="N161" t="str">
            <v>Geração</v>
          </cell>
          <cell r="O161" t="str">
            <v>Modernização de pequeno porte</v>
          </cell>
          <cell r="P161" t="str">
            <v>Modernização de pequeno porte</v>
          </cell>
          <cell r="Q161" t="str">
            <v>NGHI.0141</v>
          </cell>
          <cell r="R161" t="str">
            <v>Não cadastrado</v>
          </cell>
          <cell r="S161">
            <v>0</v>
          </cell>
          <cell r="T161">
            <v>0</v>
          </cell>
          <cell r="U161">
            <v>0</v>
          </cell>
          <cell r="V161">
            <v>0</v>
          </cell>
          <cell r="W161">
            <v>0</v>
          </cell>
          <cell r="X161">
            <v>0</v>
          </cell>
          <cell r="Y161">
            <v>0</v>
          </cell>
          <cell r="Z161">
            <v>0</v>
          </cell>
          <cell r="AA161">
            <v>0</v>
          </cell>
          <cell r="AB161">
            <v>0</v>
          </cell>
          <cell r="AC161">
            <v>0</v>
          </cell>
          <cell r="AD161">
            <v>1500000</v>
          </cell>
          <cell r="AE161">
            <v>1500000</v>
          </cell>
          <cell r="AF161">
            <v>1800000</v>
          </cell>
          <cell r="AG161"/>
          <cell r="AH161"/>
          <cell r="AI161"/>
          <cell r="AJ161">
            <v>3300000</v>
          </cell>
          <cell r="AK161">
            <v>0</v>
          </cell>
          <cell r="AL161">
            <v>0</v>
          </cell>
          <cell r="AM161">
            <v>0</v>
          </cell>
          <cell r="AN161">
            <v>0</v>
          </cell>
          <cell r="AO161">
            <v>0</v>
          </cell>
          <cell r="AP161">
            <v>3300000</v>
          </cell>
          <cell r="AQ161" t="str">
            <v>Pará</v>
          </cell>
          <cell r="AS161" t="str">
            <v>x</v>
          </cell>
          <cell r="AT161">
            <v>1800000</v>
          </cell>
        </row>
        <row r="162">
          <cell r="B162" t="str">
            <v>COO0590</v>
          </cell>
          <cell r="C162" t="str">
            <v>OOMG.N</v>
          </cell>
          <cell r="D162" t="str">
            <v>OOGSI.F-OS-2025-I-0012</v>
          </cell>
          <cell r="E162" t="str">
            <v>N-2025-G-0128</v>
          </cell>
          <cell r="F162" t="str">
            <v>N-2025-G-177</v>
          </cell>
          <cell r="G162" t="str">
            <v>Eletronorte</v>
          </cell>
          <cell r="H162" t="str">
            <v>Nova Demanda</v>
          </cell>
          <cell r="I162" t="str">
            <v>Modernização do serviço auxiliar da UHE Curuá-Una</v>
          </cell>
          <cell r="J162"/>
          <cell r="K162"/>
          <cell r="L162" t="str">
            <v>NO10103003</v>
          </cell>
          <cell r="M162" t="str">
            <v>UHE Curuá-Una</v>
          </cell>
          <cell r="N162" t="str">
            <v>Geração</v>
          </cell>
          <cell r="O162" t="str">
            <v>Modernização de pequeno porte</v>
          </cell>
          <cell r="P162" t="str">
            <v>Modernização de pequeno porte</v>
          </cell>
          <cell r="Q162" t="str">
            <v>NGHI.0141</v>
          </cell>
          <cell r="R162" t="str">
            <v>Não cadastrado</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500000</v>
          </cell>
          <cell r="AG162"/>
          <cell r="AH162"/>
          <cell r="AI162"/>
          <cell r="AJ162">
            <v>500000</v>
          </cell>
          <cell r="AK162">
            <v>0</v>
          </cell>
          <cell r="AL162">
            <v>0</v>
          </cell>
          <cell r="AM162">
            <v>0</v>
          </cell>
          <cell r="AN162">
            <v>0</v>
          </cell>
          <cell r="AO162">
            <v>0</v>
          </cell>
          <cell r="AP162">
            <v>500000</v>
          </cell>
          <cell r="AQ162" t="str">
            <v>Pará</v>
          </cell>
          <cell r="AS162" t="str">
            <v>x</v>
          </cell>
          <cell r="AT162">
            <v>500000</v>
          </cell>
        </row>
        <row r="163">
          <cell r="B163" t="str">
            <v>COO0591</v>
          </cell>
          <cell r="C163" t="str">
            <v>OOMG.N</v>
          </cell>
          <cell r="D163" t="str">
            <v>OOGSI.F-OS-2025-I-0013</v>
          </cell>
          <cell r="E163" t="str">
            <v>N-2025-G-0113</v>
          </cell>
          <cell r="F163" t="str">
            <v>N-2025-G-180</v>
          </cell>
          <cell r="G163" t="str">
            <v>Eletronorte</v>
          </cell>
          <cell r="H163" t="str">
            <v>Nova Demanda</v>
          </cell>
          <cell r="I163" t="str">
            <v>Modernização da subestação 138kV da UHE.</v>
          </cell>
          <cell r="J163"/>
          <cell r="K163"/>
          <cell r="L163" t="str">
            <v>NO10103003</v>
          </cell>
          <cell r="M163" t="str">
            <v>UHE Curuá-Una</v>
          </cell>
          <cell r="N163" t="str">
            <v>Geração</v>
          </cell>
          <cell r="O163" t="str">
            <v>Modernização de pequeno porte</v>
          </cell>
          <cell r="P163" t="str">
            <v>Modernização de pequeno porte</v>
          </cell>
          <cell r="Q163" t="str">
            <v>NGHI.0141</v>
          </cell>
          <cell r="R163" t="str">
            <v>Não cadastrado</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800000</v>
          </cell>
          <cell r="AG163"/>
          <cell r="AH163"/>
          <cell r="AI163"/>
          <cell r="AJ163">
            <v>800000</v>
          </cell>
          <cell r="AK163">
            <v>0</v>
          </cell>
          <cell r="AL163">
            <v>0</v>
          </cell>
          <cell r="AM163">
            <v>0</v>
          </cell>
          <cell r="AN163">
            <v>0</v>
          </cell>
          <cell r="AO163">
            <v>0</v>
          </cell>
          <cell r="AP163">
            <v>800000</v>
          </cell>
          <cell r="AQ163" t="str">
            <v>Pará</v>
          </cell>
          <cell r="AS163" t="str">
            <v>x</v>
          </cell>
          <cell r="AT163">
            <v>800000</v>
          </cell>
        </row>
        <row r="164">
          <cell r="B164" t="str">
            <v>COO0592</v>
          </cell>
          <cell r="C164" t="str">
            <v>OOMG.N</v>
          </cell>
          <cell r="D164" t="str">
            <v>OOGS.S-S-2025-I-0240</v>
          </cell>
          <cell r="E164" t="str">
            <v>N-2025-G-0125</v>
          </cell>
          <cell r="F164" t="str">
            <v>N-2025-G-208</v>
          </cell>
          <cell r="G164" t="str">
            <v>Eletronorte</v>
          </cell>
          <cell r="H164" t="str">
            <v>Nova Demanda</v>
          </cell>
          <cell r="I164" t="str">
            <v>Modernização da rede 13,8kV da UHE Samuel - 2025</v>
          </cell>
          <cell r="J164"/>
          <cell r="K164"/>
          <cell r="L164" t="str">
            <v>NO10104003</v>
          </cell>
          <cell r="M164" t="str">
            <v>UHE Samuel</v>
          </cell>
          <cell r="N164" t="str">
            <v>Geração</v>
          </cell>
          <cell r="O164" t="str">
            <v>Modernização de pequeno porte</v>
          </cell>
          <cell r="P164" t="str">
            <v>Modernização de pequeno porte</v>
          </cell>
          <cell r="Q164" t="str">
            <v>NGHI.0141</v>
          </cell>
          <cell r="R164" t="str">
            <v>Não cadastrado</v>
          </cell>
          <cell r="S164">
            <v>0</v>
          </cell>
          <cell r="T164">
            <v>0</v>
          </cell>
          <cell r="U164">
            <v>100000</v>
          </cell>
          <cell r="V164">
            <v>0</v>
          </cell>
          <cell r="W164">
            <v>0</v>
          </cell>
          <cell r="X164">
            <v>0</v>
          </cell>
          <cell r="Y164">
            <v>0</v>
          </cell>
          <cell r="Z164">
            <v>0</v>
          </cell>
          <cell r="AA164">
            <v>0</v>
          </cell>
          <cell r="AB164">
            <v>0</v>
          </cell>
          <cell r="AC164">
            <v>0</v>
          </cell>
          <cell r="AD164">
            <v>0</v>
          </cell>
          <cell r="AE164">
            <v>100000</v>
          </cell>
          <cell r="AF164"/>
          <cell r="AG164"/>
          <cell r="AH164"/>
          <cell r="AI164"/>
          <cell r="AJ164">
            <v>100000</v>
          </cell>
          <cell r="AK164">
            <v>0</v>
          </cell>
          <cell r="AL164">
            <v>0</v>
          </cell>
          <cell r="AM164">
            <v>0</v>
          </cell>
          <cell r="AN164">
            <v>0</v>
          </cell>
          <cell r="AO164">
            <v>0</v>
          </cell>
          <cell r="AP164">
            <v>100000</v>
          </cell>
          <cell r="AQ164" t="str">
            <v>Rondônia</v>
          </cell>
          <cell r="AS164" t="str">
            <v>x</v>
          </cell>
          <cell r="AT164">
            <v>0</v>
          </cell>
        </row>
        <row r="165">
          <cell r="B165" t="str">
            <v>COO0593</v>
          </cell>
          <cell r="C165" t="str">
            <v>OOMG.N</v>
          </cell>
          <cell r="D165" t="str">
            <v>OOGSI.F-OS-2025-I-0102</v>
          </cell>
          <cell r="E165" t="str">
            <v>N-2025-G-0126</v>
          </cell>
          <cell r="F165" t="str">
            <v>N-2025-G-209</v>
          </cell>
          <cell r="G165" t="str">
            <v>Eletronorte</v>
          </cell>
          <cell r="H165" t="str">
            <v>Nova Demanda</v>
          </cell>
          <cell r="I165" t="str">
            <v>Modernização da rede 13,8kV da UHE Samuel - 2026 em diante</v>
          </cell>
          <cell r="J165"/>
          <cell r="K165"/>
          <cell r="L165" t="str">
            <v>NO10104003</v>
          </cell>
          <cell r="M165" t="str">
            <v>UHE Samuel</v>
          </cell>
          <cell r="N165" t="str">
            <v>Geração</v>
          </cell>
          <cell r="O165" t="str">
            <v>Modernização de pequeno porte</v>
          </cell>
          <cell r="P165" t="str">
            <v>Modernização de pequeno porte</v>
          </cell>
          <cell r="Q165" t="str">
            <v>NGHI.0141</v>
          </cell>
          <cell r="R165" t="str">
            <v>Não cadastrado</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1600000</v>
          </cell>
          <cell r="AG165"/>
          <cell r="AH165"/>
          <cell r="AI165"/>
          <cell r="AJ165">
            <v>1600000</v>
          </cell>
          <cell r="AK165">
            <v>0</v>
          </cell>
          <cell r="AL165">
            <v>0</v>
          </cell>
          <cell r="AM165">
            <v>0</v>
          </cell>
          <cell r="AN165">
            <v>0</v>
          </cell>
          <cell r="AO165">
            <v>0</v>
          </cell>
          <cell r="AP165">
            <v>1600000</v>
          </cell>
          <cell r="AQ165" t="str">
            <v>Rondônia</v>
          </cell>
          <cell r="AS165" t="str">
            <v>x</v>
          </cell>
          <cell r="AT165">
            <v>1600000</v>
          </cell>
        </row>
        <row r="166">
          <cell r="B166" t="str">
            <v>COO0594</v>
          </cell>
          <cell r="C166" t="str">
            <v>OOMG.N</v>
          </cell>
          <cell r="D166" t="str">
            <v>OOGSI.F-OS-2025-I-0103</v>
          </cell>
          <cell r="E166" t="str">
            <v>N-2025-G-0129</v>
          </cell>
          <cell r="F166" t="str">
            <v>N-2025-G-216</v>
          </cell>
          <cell r="G166" t="str">
            <v>Eletronorte</v>
          </cell>
          <cell r="H166" t="str">
            <v>Nova Demanda</v>
          </cell>
          <cell r="I166" t="str">
            <v>Implantação de sistema de tratamento de água para a UHE.</v>
          </cell>
          <cell r="J166"/>
          <cell r="K166"/>
          <cell r="L166" t="str">
            <v>NO10103003</v>
          </cell>
          <cell r="M166" t="str">
            <v>Não cadastrado</v>
          </cell>
          <cell r="N166" t="str">
            <v>Geração</v>
          </cell>
          <cell r="O166" t="str">
            <v>Modernização de pequeno porte</v>
          </cell>
          <cell r="P166" t="str">
            <v>Modernização de pequeno porte</v>
          </cell>
          <cell r="Q166" t="str">
            <v>NGHI.0141</v>
          </cell>
          <cell r="R166" t="str">
            <v>Não cadastrado</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600000</v>
          </cell>
          <cell r="AG166"/>
          <cell r="AH166"/>
          <cell r="AI166"/>
          <cell r="AJ166">
            <v>600000</v>
          </cell>
          <cell r="AK166">
            <v>0</v>
          </cell>
          <cell r="AL166">
            <v>0</v>
          </cell>
          <cell r="AM166">
            <v>0</v>
          </cell>
          <cell r="AN166">
            <v>0</v>
          </cell>
          <cell r="AO166">
            <v>0</v>
          </cell>
          <cell r="AP166">
            <v>600000</v>
          </cell>
          <cell r="AQ166" t="str">
            <v>Pará</v>
          </cell>
          <cell r="AS166" t="str">
            <v>x</v>
          </cell>
          <cell r="AT166">
            <v>600000</v>
          </cell>
        </row>
        <row r="167">
          <cell r="B167" t="str">
            <v>COO0595</v>
          </cell>
          <cell r="C167" t="str">
            <v>OOGBA.N</v>
          </cell>
          <cell r="D167" t="str">
            <v>OOGS.S-S-2025-I-0207</v>
          </cell>
          <cell r="E167" t="str">
            <v>N-2025-G-0048</v>
          </cell>
          <cell r="F167" t="str">
            <v>N-2024-G-044</v>
          </cell>
          <cell r="G167" t="str">
            <v>Eletronorte</v>
          </cell>
          <cell r="H167" t="str">
            <v>Nova Demanda</v>
          </cell>
          <cell r="I167" t="str">
            <v>Modernização dos anéis coletores e dinamômetro da UHE Balbina</v>
          </cell>
          <cell r="J167" t="str">
            <v>3700000177-CONTRATAÇÃO DE EMPRESA ESPECIALIZADA PARA PRESTAÇÃO DE SERVIÇO DE MANUTENÇÃO NOS ANÉIS COLETORES RESERVAS DA UGs DA UHE BALBINA.
COM FORNECIMENTO DE DINAMÔMETRO.</v>
          </cell>
          <cell r="K167" t="str">
            <v>3700000177-CONTRATAÇÃO DE EMPRESA ESPECIALIZADA PARA PRESTAÇÃO DE SERVIÇO DE MANUTENÇÃO NOS ANÉIS COLETORES RESERVAS DA UGs DA UHE BALBINA.
COM FORNECIMENTO DE DINAMÔMETRO.</v>
          </cell>
          <cell r="L167" t="str">
            <v>NO10101003</v>
          </cell>
          <cell r="M167" t="str">
            <v>UHE Balbina</v>
          </cell>
          <cell r="N167" t="str">
            <v>Geração</v>
          </cell>
          <cell r="O167" t="str">
            <v>Modernização de pequeno porte</v>
          </cell>
          <cell r="P167" t="str">
            <v>Modernização de pequeno porte</v>
          </cell>
          <cell r="Q167" t="str">
            <v>NGHI.0143</v>
          </cell>
          <cell r="R167" t="str">
            <v>OOG Modern. G PP 2025</v>
          </cell>
          <cell r="S167">
            <v>0</v>
          </cell>
          <cell r="T167">
            <v>0</v>
          </cell>
          <cell r="U167">
            <v>0</v>
          </cell>
          <cell r="V167">
            <v>0</v>
          </cell>
          <cell r="W167">
            <v>0</v>
          </cell>
          <cell r="X167">
            <v>0</v>
          </cell>
          <cell r="Y167">
            <v>162830</v>
          </cell>
          <cell r="Z167"/>
          <cell r="AA167">
            <v>0</v>
          </cell>
          <cell r="AB167">
            <v>0</v>
          </cell>
          <cell r="AC167">
            <v>0</v>
          </cell>
          <cell r="AD167">
            <v>0</v>
          </cell>
          <cell r="AE167">
            <v>162830</v>
          </cell>
          <cell r="AF167"/>
          <cell r="AG167"/>
          <cell r="AH167"/>
          <cell r="AI167"/>
          <cell r="AJ167">
            <v>162830</v>
          </cell>
          <cell r="AK167">
            <v>0</v>
          </cell>
          <cell r="AL167">
            <v>0</v>
          </cell>
          <cell r="AM167">
            <v>0</v>
          </cell>
          <cell r="AN167">
            <v>0</v>
          </cell>
          <cell r="AO167">
            <v>0</v>
          </cell>
          <cell r="AP167">
            <v>162830</v>
          </cell>
          <cell r="AQ167" t="str">
            <v>Amazonas</v>
          </cell>
          <cell r="AS167" t="str">
            <v>x</v>
          </cell>
          <cell r="AT167">
            <v>0</v>
          </cell>
        </row>
        <row r="168">
          <cell r="B168" t="str">
            <v>COO0596</v>
          </cell>
          <cell r="C168" t="str">
            <v>OOGT.N</v>
          </cell>
          <cell r="D168" t="str">
            <v>OOMT.S-S-2025-I-0043</v>
          </cell>
          <cell r="E168" t="str">
            <v>N-2025-G-0019</v>
          </cell>
          <cell r="F168" t="str">
            <v>N-2024-G-049</v>
          </cell>
          <cell r="G168" t="str">
            <v>Eletronorte</v>
          </cell>
          <cell r="H168" t="str">
            <v>Nova Demanda</v>
          </cell>
          <cell r="I168" t="str">
            <v>Aquisição de sistema de monitoramento de bucha para a UHE Tucuruí</v>
          </cell>
          <cell r="J168" t="str">
            <v>3700000401-Fornecimento, instalação e comissionamento de Quadro de Manobra de 13,8kV e 1200A de corrente nominal para utilização no Quadro de Manobra TUQM2-03 e 04 do sistema de alimentação CA da UHE Tucuruí, no âmbito da Superintendência de Produção da Geração Hidráulica.</v>
          </cell>
          <cell r="K168" t="str">
            <v>3700000401-Fornecimento, instalação e comissionamento de Quadro de Manobra de 13,8kV e 1200A de corrente nominal para utilização no Quadro de Manobra TUQM2-03 e 04 do sistema de alimentação CA da UHE Tucuruí, no âmbito da Superintendência de Produção da Geração Hidráulica.</v>
          </cell>
          <cell r="L168" t="str">
            <v>NO10105003</v>
          </cell>
          <cell r="M168" t="str">
            <v>UHE Tucuruí</v>
          </cell>
          <cell r="N168" t="str">
            <v>Geração</v>
          </cell>
          <cell r="O168" t="str">
            <v>Modernização de pequeno porte</v>
          </cell>
          <cell r="P168" t="str">
            <v>Modernização de pequeno porte</v>
          </cell>
          <cell r="Q168" t="str">
            <v>NGHI.0088</v>
          </cell>
          <cell r="R168" t="str">
            <v>OO|MODERN|UHTU|UGH-19 Cubículo 13,8kv QM</v>
          </cell>
          <cell r="S168">
            <v>0</v>
          </cell>
          <cell r="T168">
            <v>0</v>
          </cell>
          <cell r="U168">
            <v>0</v>
          </cell>
          <cell r="V168">
            <v>458959.7</v>
          </cell>
          <cell r="W168">
            <v>0</v>
          </cell>
          <cell r="X168">
            <v>0</v>
          </cell>
          <cell r="Y168">
            <v>611946.29999999993</v>
          </cell>
          <cell r="Z168"/>
          <cell r="AA168">
            <v>0</v>
          </cell>
          <cell r="AB168">
            <v>458959.7</v>
          </cell>
          <cell r="AC168">
            <v>0</v>
          </cell>
          <cell r="AD168">
            <v>0</v>
          </cell>
          <cell r="AE168">
            <v>1529865.7</v>
          </cell>
          <cell r="AF168"/>
          <cell r="AG168"/>
          <cell r="AH168"/>
          <cell r="AI168"/>
          <cell r="AJ168">
            <v>1529865.7</v>
          </cell>
          <cell r="AK168">
            <v>0</v>
          </cell>
          <cell r="AL168">
            <v>0</v>
          </cell>
          <cell r="AM168">
            <v>0</v>
          </cell>
          <cell r="AN168">
            <v>0</v>
          </cell>
          <cell r="AO168">
            <v>0</v>
          </cell>
          <cell r="AP168">
            <v>1529865.7</v>
          </cell>
          <cell r="AQ168" t="str">
            <v>Pará</v>
          </cell>
          <cell r="AT168">
            <v>0</v>
          </cell>
        </row>
        <row r="169">
          <cell r="B169" t="str">
            <v>COO0597</v>
          </cell>
          <cell r="C169" t="str">
            <v>OOGT.N</v>
          </cell>
          <cell r="D169" t="str">
            <v>OOPM.C-C-2025-I-0019</v>
          </cell>
          <cell r="E169" t="str">
            <v>N-2025-G-0008</v>
          </cell>
          <cell r="F169" t="str">
            <v>N-2024-G-051</v>
          </cell>
          <cell r="G169" t="str">
            <v>Eletronorte</v>
          </cell>
          <cell r="H169" t="str">
            <v>Nova Demanda</v>
          </cell>
          <cell r="I169" t="str">
            <v>Modernização da comporta 17 do Vertedouro da UHE Tucuruí</v>
          </cell>
          <cell r="J169" t="str">
            <v>3700000484 - Contratação de empresa para de fabricação, fornecimento e instalação do painel inferior, acrescido dos serviços de recuperação da soleira inferior, substituição de todas as borrachas de vedação com as respectivas talas de fixação, parafusos em aço inox, serviços de pintura, mão de obra necessária para a realização dos serviços (montagem e desmontagem) e comissionamento da Comporta de Segmento no 17 do Vertedouro da UHE Tucuruí, no âmbito da Superintendência de  fornecimento e in</v>
          </cell>
          <cell r="K169" t="str">
            <v>3700000484 - Contratação de empresa para de fabricação, fornecimento e instalação do painel inferior, acrescido dos serviços de recuperação da soleira inferior, substituição de todas as borrachas de vedação com as respectivas talas de fixação, parafusos em aço inox, serviços de pintura, mão de obra necessária para a realização dos serviços (montagem e desmontagem) e comissionamento da Comporta de Segmento no 17 do Vertedouro da UHE Tucuruí, no âmbito da Superintendência de  fornecimento e in</v>
          </cell>
          <cell r="L169" t="str">
            <v>NO10105003</v>
          </cell>
          <cell r="M169" t="str">
            <v>UHE Tucuruí</v>
          </cell>
          <cell r="N169" t="str">
            <v>Geração</v>
          </cell>
          <cell r="O169" t="str">
            <v>Modernização de pequeno porte</v>
          </cell>
          <cell r="P169" t="str">
            <v>Modernização de pequeno porte</v>
          </cell>
          <cell r="Q169" t="str">
            <v>NGHI.0091</v>
          </cell>
          <cell r="R169" t="str">
            <v>OOSEGGUHTU Revit. comporta VT17</v>
          </cell>
          <cell r="S169">
            <v>0</v>
          </cell>
          <cell r="T169">
            <v>0</v>
          </cell>
          <cell r="U169">
            <v>110000</v>
          </cell>
          <cell r="V169">
            <v>165000</v>
          </cell>
          <cell r="W169">
            <v>550000</v>
          </cell>
          <cell r="X169">
            <v>0</v>
          </cell>
          <cell r="Y169">
            <v>0</v>
          </cell>
          <cell r="Z169">
            <v>275000</v>
          </cell>
          <cell r="AA169">
            <v>825000</v>
          </cell>
          <cell r="AB169">
            <v>0</v>
          </cell>
          <cell r="AC169">
            <v>3575000</v>
          </cell>
          <cell r="AD169">
            <v>0</v>
          </cell>
          <cell r="AE169">
            <v>5500000</v>
          </cell>
          <cell r="AF169"/>
          <cell r="AG169"/>
          <cell r="AH169"/>
          <cell r="AI169"/>
          <cell r="AJ169">
            <v>5500000</v>
          </cell>
          <cell r="AK169">
            <v>0</v>
          </cell>
          <cell r="AL169">
            <v>0</v>
          </cell>
          <cell r="AM169">
            <v>0</v>
          </cell>
          <cell r="AN169">
            <v>0</v>
          </cell>
          <cell r="AO169">
            <v>0</v>
          </cell>
          <cell r="AP169">
            <v>5500000</v>
          </cell>
          <cell r="AQ169" t="str">
            <v>Pará</v>
          </cell>
          <cell r="AT169">
            <v>0</v>
          </cell>
        </row>
        <row r="170">
          <cell r="B170" t="str">
            <v>COO0598</v>
          </cell>
          <cell r="C170" t="str">
            <v>OOGBA.N</v>
          </cell>
          <cell r="D170" t="str">
            <v>OOGN.S-S-2025-I-0260</v>
          </cell>
          <cell r="E170" t="str">
            <v>N-2025-G-0056</v>
          </cell>
          <cell r="F170" t="str">
            <v>N-2024-G-033</v>
          </cell>
          <cell r="G170" t="str">
            <v>Eletronorte</v>
          </cell>
          <cell r="H170" t="str">
            <v>Nova Demanda</v>
          </cell>
          <cell r="I170" t="str">
            <v>Modernização do sistema de iluminação da UHE Balbina</v>
          </cell>
          <cell r="J170" t="str">
            <v>3700001022-Aquisição de lâmpadas, luminárias e refletores para o complexo da UHE Balbina.</v>
          </cell>
          <cell r="K170" t="str">
            <v>3700001022-Aquisição de lâmpadas, luminárias e refletores para o complexo da UHE Balbina.</v>
          </cell>
          <cell r="L170" t="str">
            <v>NO10101003</v>
          </cell>
          <cell r="M170" t="str">
            <v>UHE Balbina</v>
          </cell>
          <cell r="N170" t="str">
            <v>Geração</v>
          </cell>
          <cell r="O170" t="str">
            <v>Modernização de pequeno porte</v>
          </cell>
          <cell r="P170" t="str">
            <v>Modernização de pequeno porte</v>
          </cell>
          <cell r="Q170" t="str">
            <v>NGHI.0143</v>
          </cell>
          <cell r="R170" t="str">
            <v>OOG Modern. G PP 2025</v>
          </cell>
          <cell r="S170">
            <v>0</v>
          </cell>
          <cell r="T170">
            <v>0</v>
          </cell>
          <cell r="U170">
            <v>95000</v>
          </cell>
          <cell r="V170">
            <v>0</v>
          </cell>
          <cell r="W170">
            <v>0</v>
          </cell>
          <cell r="X170">
            <v>0</v>
          </cell>
          <cell r="Y170">
            <v>0</v>
          </cell>
          <cell r="Z170">
            <v>0</v>
          </cell>
          <cell r="AA170">
            <v>0</v>
          </cell>
          <cell r="AB170">
            <v>0</v>
          </cell>
          <cell r="AC170">
            <v>0</v>
          </cell>
          <cell r="AD170">
            <v>0</v>
          </cell>
          <cell r="AE170">
            <v>95000</v>
          </cell>
          <cell r="AF170"/>
          <cell r="AG170"/>
          <cell r="AH170"/>
          <cell r="AI170"/>
          <cell r="AJ170">
            <v>95000</v>
          </cell>
          <cell r="AK170">
            <v>0</v>
          </cell>
          <cell r="AL170">
            <v>0</v>
          </cell>
          <cell r="AM170">
            <v>0</v>
          </cell>
          <cell r="AN170">
            <v>0</v>
          </cell>
          <cell r="AO170">
            <v>0</v>
          </cell>
          <cell r="AP170">
            <v>95000</v>
          </cell>
          <cell r="AQ170" t="str">
            <v>Amazonas</v>
          </cell>
          <cell r="AS170" t="str">
            <v>x</v>
          </cell>
          <cell r="AT170">
            <v>0</v>
          </cell>
        </row>
        <row r="171">
          <cell r="B171" t="str">
            <v>COO0599</v>
          </cell>
          <cell r="C171" t="str">
            <v>OOGT.N</v>
          </cell>
          <cell r="D171" t="str">
            <v>OOMB.C-C-2025-I-0009</v>
          </cell>
          <cell r="E171" t="str">
            <v>N-2025-G-0005</v>
          </cell>
          <cell r="F171" t="str">
            <v>N-2024-G-047</v>
          </cell>
          <cell r="G171" t="str">
            <v>Eletronorte</v>
          </cell>
          <cell r="H171" t="str">
            <v>Nova Demanda</v>
          </cell>
          <cell r="I171" t="str">
            <v>Modernização do pórtico tomada d'água da UHE Tucuruí</v>
          </cell>
          <cell r="J171" t="str">
            <v>3700001914-AQUISICAO DE PORTICO PARA TOMADA D'AGUA PARA A CASA DE FORCA</v>
          </cell>
          <cell r="K171" t="str">
            <v>3700001914-AQUISICAO DE PORTICO PARA TOMADA D'AGUA PARA A CASA DE FORCA</v>
          </cell>
          <cell r="L171" t="str">
            <v>NO10105003</v>
          </cell>
          <cell r="M171" t="str">
            <v>UHE Tucuruí</v>
          </cell>
          <cell r="N171" t="str">
            <v>Geração</v>
          </cell>
          <cell r="O171" t="str">
            <v>Modernização de pequeno porte</v>
          </cell>
          <cell r="P171" t="str">
            <v>Modernização de pequeno porte</v>
          </cell>
          <cell r="Q171" t="str">
            <v>NGHI.0077</v>
          </cell>
          <cell r="R171" t="str">
            <v>UHTU|Aquisição Pórtico de Tomada D’agua</v>
          </cell>
          <cell r="S171">
            <v>0</v>
          </cell>
          <cell r="T171">
            <v>0</v>
          </cell>
          <cell r="U171">
            <v>967701</v>
          </cell>
          <cell r="V171">
            <v>0</v>
          </cell>
          <cell r="W171">
            <v>1935402</v>
          </cell>
          <cell r="X171">
            <v>0</v>
          </cell>
          <cell r="Y171">
            <v>3870804</v>
          </cell>
          <cell r="Z171"/>
          <cell r="AA171">
            <v>2903103</v>
          </cell>
          <cell r="AB171">
            <v>0</v>
          </cell>
          <cell r="AC171">
            <v>0</v>
          </cell>
          <cell r="AD171">
            <v>0</v>
          </cell>
          <cell r="AE171">
            <v>9677010</v>
          </cell>
          <cell r="AF171"/>
          <cell r="AG171"/>
          <cell r="AH171"/>
          <cell r="AI171"/>
          <cell r="AJ171">
            <v>9677010</v>
          </cell>
          <cell r="AK171">
            <v>0</v>
          </cell>
          <cell r="AL171">
            <v>0</v>
          </cell>
          <cell r="AM171">
            <v>0</v>
          </cell>
          <cell r="AN171">
            <v>0</v>
          </cell>
          <cell r="AO171">
            <v>0</v>
          </cell>
          <cell r="AP171">
            <v>9677010</v>
          </cell>
          <cell r="AQ171" t="str">
            <v>Pará</v>
          </cell>
          <cell r="AT171">
            <v>0</v>
          </cell>
        </row>
        <row r="172">
          <cell r="B172" t="str">
            <v>COO0600</v>
          </cell>
          <cell r="C172" t="str">
            <v>OOGCU.N</v>
          </cell>
          <cell r="D172" t="str">
            <v>OOGS.S-S-2025-I-0229</v>
          </cell>
          <cell r="E172" t="str">
            <v>N-2025-G-0052</v>
          </cell>
          <cell r="F172" t="str">
            <v>N-2024-G-034</v>
          </cell>
          <cell r="G172" t="str">
            <v>Eletronorte</v>
          </cell>
          <cell r="H172" t="str">
            <v>Nova Demanda</v>
          </cell>
          <cell r="I172" t="str">
            <v>Aquisição das bombas do sistema de regulação de velocidade da UHE Curuá-Una</v>
          </cell>
          <cell r="J172" t="str">
            <v>3700001979 - Aquisição de MB para o sistema de Regulação de Velocidade</v>
          </cell>
          <cell r="K172" t="str">
            <v>3700001979 - Aquisição de MB para o sistema de Regulação de Velocidade</v>
          </cell>
          <cell r="L172" t="str">
            <v>NO10103003</v>
          </cell>
          <cell r="M172" t="str">
            <v>UHE Curuá-Una</v>
          </cell>
          <cell r="N172" t="str">
            <v>Geração</v>
          </cell>
          <cell r="O172" t="str">
            <v>Modernização de pequeno porte</v>
          </cell>
          <cell r="P172" t="str">
            <v>Modernização de pequeno porte</v>
          </cell>
          <cell r="Q172" t="str">
            <v>NGHI.0143</v>
          </cell>
          <cell r="R172" t="str">
            <v>OOG Modern. G PP 2025</v>
          </cell>
          <cell r="S172">
            <v>0</v>
          </cell>
          <cell r="T172">
            <v>0</v>
          </cell>
          <cell r="U172">
            <v>0</v>
          </cell>
          <cell r="V172">
            <v>0</v>
          </cell>
          <cell r="W172">
            <v>0</v>
          </cell>
          <cell r="X172">
            <v>0</v>
          </cell>
          <cell r="Y172">
            <v>0</v>
          </cell>
          <cell r="Z172">
            <v>0</v>
          </cell>
          <cell r="AA172">
            <v>120000</v>
          </cell>
          <cell r="AB172">
            <v>0</v>
          </cell>
          <cell r="AC172">
            <v>0</v>
          </cell>
          <cell r="AD172">
            <v>0</v>
          </cell>
          <cell r="AE172">
            <v>120000</v>
          </cell>
          <cell r="AF172"/>
          <cell r="AG172"/>
          <cell r="AH172"/>
          <cell r="AI172"/>
          <cell r="AJ172">
            <v>120000</v>
          </cell>
          <cell r="AK172">
            <v>0</v>
          </cell>
          <cell r="AL172">
            <v>0</v>
          </cell>
          <cell r="AM172">
            <v>0</v>
          </cell>
          <cell r="AN172">
            <v>0</v>
          </cell>
          <cell r="AO172">
            <v>0</v>
          </cell>
          <cell r="AP172">
            <v>120000</v>
          </cell>
          <cell r="AQ172" t="str">
            <v>Pará</v>
          </cell>
          <cell r="AS172" t="str">
            <v>x</v>
          </cell>
          <cell r="AT172">
            <v>0</v>
          </cell>
        </row>
        <row r="173">
          <cell r="B173" t="str">
            <v>COO0601</v>
          </cell>
          <cell r="C173" t="str">
            <v>OOR</v>
          </cell>
          <cell r="D173" t="str">
            <v>OOM.C-C-2024-I-0028</v>
          </cell>
          <cell r="E173" t="str">
            <v>N-2025-G-0002</v>
          </cell>
          <cell r="F173" t="str">
            <v>N-2024-G-028</v>
          </cell>
          <cell r="G173" t="str">
            <v>Eletronorte</v>
          </cell>
          <cell r="H173" t="str">
            <v>Em contrataçao</v>
          </cell>
          <cell r="I173" t="str">
            <v>Modernização de 05 Transforadores elevadores (CF I e II) da UHE Tucuruí</v>
          </cell>
          <cell r="J173" t="str">
            <v>3700002226-FORNECIMENTO DE 5 (CINCO) TRANSFORMADORES ELEVADORES TRIFÁSICOS, SENDO 4 (QUATRO) TRANSFORMADORES ELEVADORES TRIFÁSICOS 13,8/ 550 KV - 378 MVA PARA CASA DE FORÇA I E 01 (UM) TRANSFORMADOR ELEVADOR TRIFÁSICO 13,8/ 550 - 4X12,5KV – 405 MVA PARA CASA DE FORÇA II INCLUINDO PROJETO, DOCUMENTAÇÃO DE PROJETO, FABRICAÇÃO, MONTAGEM PARA ENSAIO NA FÁBRICA, CONTROLE DE QUALIDADE NA FABRICAÇÃO, INSPEÇÃO, ENSAIOS, EMBALAGEM, TRANSPORTE ATÉ À OBRA, DESCARREGAMENTO, MONTAGEM NO CAMPO, SUPERVISÃO DE MONTAGEM E TESTES DE COMISSIONAMENTO, DESLOCAMENTO ATÉ A POSIÇÃO DEFINITIVA E ACOMPANHAMENTO DA ENERGIZAÇÃO INICIAL DESTES TRANSFORMADORES DESTINADOS À USINA HIDRELÉTRICA TUCURUÍ – UHE TUCURUÍ.</v>
          </cell>
          <cell r="K173" t="str">
            <v>3700002226-FORNECIMENTO DE 5 (CINCO) TRANSFORMADORES ELEVADORES TRIFÁSICOS, SENDO 4 (QUATRO) TRANSFORMADORES ELEVADORES TRIFÁSICOS 13,8/ 550 KV - 378 MVA PARA CASA DE FORÇA I E 01 (UM) TRANSFORMADOR ELEVADOR TRIFÁSICO 13,8/ 550 - 4X12,5KV – 405 MVA PARA CASA DE FORÇA II INCLUINDO PROJETO, DOCUMENTAÇÃO DE PROJETO, FABRICAÇÃO, MONTAGEM PARA ENSAIO NA FÁBRICA, CONTROLE DE QUALIDADE NA FABRICAÇÃO, INSPEÇÃO, ENSAIOS, EMBALAGEM, TRANSPORTE ATÉ À OBRA, DESCARREGAMENTO, MONTAGEM NO CAMPO, SUPERVISÃO DE MONTAGEM E TESTES DE COMISSIONAMENTO, DESLOCAMENTO ATÉ A POSIÇÃO DEFINITIVA E ACOMPANHAMENTO DA ENERGIZAÇÃO INICIAL DESTES TRANSFORMADORES DESTINADOS À USINA HIDRELÉTRICA TUCURUÍ – UHE TUCURUÍ.</v>
          </cell>
          <cell r="L173" t="str">
            <v>NO10105003</v>
          </cell>
          <cell r="M173" t="str">
            <v>UHE Tucuruí</v>
          </cell>
          <cell r="N173" t="str">
            <v>Geração</v>
          </cell>
          <cell r="O173" t="str">
            <v>Modernização de pequeno porte</v>
          </cell>
          <cell r="P173" t="str">
            <v>Modernização de pequeno porte</v>
          </cell>
          <cell r="Q173" t="str">
            <v>NGHI.0099</v>
          </cell>
          <cell r="R173" t="str">
            <v>UHTU|TRANSFORMADOR ELEVADOR CF1</v>
          </cell>
          <cell r="S173">
            <v>0</v>
          </cell>
          <cell r="T173">
            <v>0</v>
          </cell>
          <cell r="U173">
            <v>0</v>
          </cell>
          <cell r="V173">
            <v>0</v>
          </cell>
          <cell r="W173">
            <v>0</v>
          </cell>
          <cell r="X173">
            <v>0</v>
          </cell>
          <cell r="Y173">
            <v>0</v>
          </cell>
          <cell r="Z173">
            <v>0</v>
          </cell>
          <cell r="AA173">
            <v>0</v>
          </cell>
          <cell r="AB173">
            <v>0</v>
          </cell>
          <cell r="AC173">
            <v>30084000</v>
          </cell>
          <cell r="AD173">
            <v>0</v>
          </cell>
          <cell r="AE173">
            <v>30084000</v>
          </cell>
          <cell r="AF173">
            <v>33084000</v>
          </cell>
          <cell r="AG173">
            <v>60168000</v>
          </cell>
          <cell r="AH173">
            <v>30084000</v>
          </cell>
          <cell r="AI173"/>
          <cell r="AJ173">
            <v>153420000</v>
          </cell>
          <cell r="AK173">
            <v>0</v>
          </cell>
          <cell r="AL173">
            <v>0</v>
          </cell>
          <cell r="AM173">
            <v>0</v>
          </cell>
          <cell r="AN173">
            <v>0</v>
          </cell>
          <cell r="AO173">
            <v>0</v>
          </cell>
          <cell r="AP173">
            <v>153420000</v>
          </cell>
          <cell r="AQ173" t="str">
            <v>Pará</v>
          </cell>
          <cell r="AT173">
            <v>123336000</v>
          </cell>
        </row>
        <row r="174">
          <cell r="B174" t="str">
            <v>COO0603</v>
          </cell>
          <cell r="C174" t="str">
            <v>OOGBA.N</v>
          </cell>
          <cell r="D174" t="str">
            <v>OOGR.S-S-2025-I-0166</v>
          </cell>
          <cell r="E174" t="str">
            <v>N-2025-G-0043</v>
          </cell>
          <cell r="F174" t="str">
            <v>N-2024-G-031</v>
          </cell>
          <cell r="G174" t="str">
            <v>Eletronorte</v>
          </cell>
          <cell r="H174" t="str">
            <v>Nova Demanda</v>
          </cell>
          <cell r="I174" t="str">
            <v>Implantação de caixas de contenção da UHE Balbina</v>
          </cell>
          <cell r="J174" t="str">
            <v>3700002376-Contratação de fornecimento e serviço para instalação de 5 caixas de contenção serem instaladas no skid de bombas de circulação de óleo dos mancais guia do gerador e combinado.</v>
          </cell>
          <cell r="K174" t="str">
            <v>3700002376-Contratação de fornecimento e serviço para instalação de 5 caixas de contenção serem instaladas no skid de bombas de circulação de óleo dos mancais guia do gerador e combinado.</v>
          </cell>
          <cell r="L174" t="str">
            <v>NO10101003</v>
          </cell>
          <cell r="M174" t="str">
            <v>UHE Balbina</v>
          </cell>
          <cell r="N174" t="str">
            <v>Geração</v>
          </cell>
          <cell r="O174" t="str">
            <v>Modernização de pequeno porte</v>
          </cell>
          <cell r="P174" t="str">
            <v>Modernização de pequeno porte</v>
          </cell>
          <cell r="Q174" t="str">
            <v>NGHI.0143</v>
          </cell>
          <cell r="R174" t="str">
            <v>OOG Modern. G PP 2025</v>
          </cell>
          <cell r="S174">
            <v>0</v>
          </cell>
          <cell r="T174">
            <v>0</v>
          </cell>
          <cell r="U174">
            <v>0</v>
          </cell>
          <cell r="V174">
            <v>0</v>
          </cell>
          <cell r="W174">
            <v>300000</v>
          </cell>
          <cell r="X174">
            <v>0</v>
          </cell>
          <cell r="Y174">
            <v>0</v>
          </cell>
          <cell r="Z174">
            <v>0</v>
          </cell>
          <cell r="AA174">
            <v>0</v>
          </cell>
          <cell r="AB174">
            <v>0</v>
          </cell>
          <cell r="AC174">
            <v>0</v>
          </cell>
          <cell r="AD174">
            <v>0</v>
          </cell>
          <cell r="AE174">
            <v>300000</v>
          </cell>
          <cell r="AF174"/>
          <cell r="AG174"/>
          <cell r="AH174"/>
          <cell r="AI174"/>
          <cell r="AJ174">
            <v>300000</v>
          </cell>
          <cell r="AK174">
            <v>0</v>
          </cell>
          <cell r="AL174">
            <v>0</v>
          </cell>
          <cell r="AM174">
            <v>0</v>
          </cell>
          <cell r="AN174">
            <v>0</v>
          </cell>
          <cell r="AO174">
            <v>0</v>
          </cell>
          <cell r="AP174">
            <v>300000</v>
          </cell>
          <cell r="AQ174" t="str">
            <v>Amazonas</v>
          </cell>
          <cell r="AS174" t="str">
            <v>x</v>
          </cell>
          <cell r="AT174">
            <v>0</v>
          </cell>
        </row>
        <row r="175">
          <cell r="B175" t="str">
            <v>COO0604</v>
          </cell>
          <cell r="C175" t="str">
            <v>OOGCU.N</v>
          </cell>
          <cell r="D175" t="str">
            <v>OOGN.S-S-2025-I-0152</v>
          </cell>
          <cell r="E175" t="str">
            <v>N-2025-G-0041</v>
          </cell>
          <cell r="F175" t="str">
            <v>N-2024-G-030</v>
          </cell>
          <cell r="G175" t="str">
            <v>Eletronorte</v>
          </cell>
          <cell r="H175" t="str">
            <v>Nova Demanda</v>
          </cell>
          <cell r="I175" t="str">
            <v>Aquisição de um Gerador Diesel de Emergência para a UHE Curuá-Una</v>
          </cell>
          <cell r="J175" t="str">
            <v>3700003220 - Gerador Diesel para a sala de Emergencia</v>
          </cell>
          <cell r="K175" t="str">
            <v>3700003220 - Gerador Diesel para a sala de Emergencia</v>
          </cell>
          <cell r="L175" t="str">
            <v>NO10103003</v>
          </cell>
          <cell r="M175" t="str">
            <v>UHE Curuá-Una</v>
          </cell>
          <cell r="N175" t="str">
            <v>Geração</v>
          </cell>
          <cell r="O175" t="str">
            <v>Modernização de pequeno porte</v>
          </cell>
          <cell r="P175" t="str">
            <v>Modernização de pequeno porte</v>
          </cell>
          <cell r="Q175" t="str">
            <v>NGHI.0128</v>
          </cell>
          <cell r="R175" t="str">
            <v>OO|MODERN|UHCU|GERADOR DIESEL EMERG.</v>
          </cell>
          <cell r="S175">
            <v>0</v>
          </cell>
          <cell r="T175">
            <v>0</v>
          </cell>
          <cell r="U175">
            <v>337836</v>
          </cell>
          <cell r="V175">
            <v>0</v>
          </cell>
          <cell r="W175">
            <v>0</v>
          </cell>
          <cell r="X175">
            <v>0</v>
          </cell>
          <cell r="Y175">
            <v>0</v>
          </cell>
          <cell r="Z175">
            <v>0</v>
          </cell>
          <cell r="AA175">
            <v>0</v>
          </cell>
          <cell r="AB175">
            <v>0</v>
          </cell>
          <cell r="AC175">
            <v>0</v>
          </cell>
          <cell r="AD175">
            <v>0</v>
          </cell>
          <cell r="AE175">
            <v>337836</v>
          </cell>
          <cell r="AF175"/>
          <cell r="AG175"/>
          <cell r="AH175"/>
          <cell r="AI175"/>
          <cell r="AJ175">
            <v>337836</v>
          </cell>
          <cell r="AK175">
            <v>0</v>
          </cell>
          <cell r="AL175">
            <v>0</v>
          </cell>
          <cell r="AM175">
            <v>0</v>
          </cell>
          <cell r="AN175">
            <v>0</v>
          </cell>
          <cell r="AO175">
            <v>0</v>
          </cell>
          <cell r="AP175">
            <v>337836</v>
          </cell>
          <cell r="AQ175" t="str">
            <v>Pará</v>
          </cell>
          <cell r="AS175" t="str">
            <v>x</v>
          </cell>
          <cell r="AT175">
            <v>0</v>
          </cell>
        </row>
        <row r="176">
          <cell r="B176" t="str">
            <v>COO0606</v>
          </cell>
          <cell r="C176" t="str">
            <v>OOGT.N</v>
          </cell>
          <cell r="D176" t="str">
            <v>OOGR.S-S-2025-I-0179</v>
          </cell>
          <cell r="E176" t="str">
            <v>N-2025-G-0045</v>
          </cell>
          <cell r="F176" t="str">
            <v>N-2024-G-046</v>
          </cell>
          <cell r="G176" t="str">
            <v>Eletronorte</v>
          </cell>
          <cell r="H176" t="str">
            <v>Nova Demanda</v>
          </cell>
          <cell r="I176" t="str">
            <v>Modernização dos disjuntores MERLIN GERIN para a UHE Tucuruí</v>
          </cell>
          <cell r="J176" t="str">
            <v>3700003731-Fornecimento de disjuntores para substituição dos disjuntores fora de linha de fabricação MERLIN GERIN, modelo NT 12H1, número de série 424289.</v>
          </cell>
          <cell r="K176" t="str">
            <v>3700003731-Fornecimento de disjuntores para substituição dos disjuntores fora de linha de fabricação MERLIN GERIN, modelo NT 12H1, número de série 424289.</v>
          </cell>
          <cell r="L176" t="str">
            <v>NO10105003</v>
          </cell>
          <cell r="M176" t="str">
            <v>UHE Tucuruí</v>
          </cell>
          <cell r="N176" t="str">
            <v>Geração</v>
          </cell>
          <cell r="O176" t="str">
            <v>Modernização de pequeno porte</v>
          </cell>
          <cell r="P176" t="str">
            <v>Modernização de pequeno porte</v>
          </cell>
          <cell r="Q176" t="str">
            <v>NGHI.0143</v>
          </cell>
          <cell r="R176" t="str">
            <v>OOG Modern. G PP 2025</v>
          </cell>
          <cell r="S176">
            <v>0</v>
          </cell>
          <cell r="T176">
            <v>0</v>
          </cell>
          <cell r="U176">
            <v>0</v>
          </cell>
          <cell r="V176">
            <v>0</v>
          </cell>
          <cell r="W176">
            <v>0</v>
          </cell>
          <cell r="X176">
            <v>0</v>
          </cell>
          <cell r="Y176">
            <v>0</v>
          </cell>
          <cell r="Z176">
            <v>0</v>
          </cell>
          <cell r="AA176">
            <v>0</v>
          </cell>
          <cell r="AB176">
            <v>223686</v>
          </cell>
          <cell r="AC176">
            <v>0</v>
          </cell>
          <cell r="AD176">
            <v>0</v>
          </cell>
          <cell r="AE176">
            <v>223686</v>
          </cell>
          <cell r="AF176"/>
          <cell r="AG176"/>
          <cell r="AH176"/>
          <cell r="AI176"/>
          <cell r="AJ176">
            <v>223686</v>
          </cell>
          <cell r="AK176">
            <v>0</v>
          </cell>
          <cell r="AL176">
            <v>0</v>
          </cell>
          <cell r="AM176">
            <v>0</v>
          </cell>
          <cell r="AN176">
            <v>0</v>
          </cell>
          <cell r="AO176">
            <v>0</v>
          </cell>
          <cell r="AP176">
            <v>223686</v>
          </cell>
          <cell r="AQ176" t="str">
            <v>Pará</v>
          </cell>
          <cell r="AT176">
            <v>0</v>
          </cell>
        </row>
        <row r="177">
          <cell r="B177" t="str">
            <v>COO0607</v>
          </cell>
          <cell r="C177" t="str">
            <v>OOR</v>
          </cell>
          <cell r="D177" t="str">
            <v>OOPM.S-S-2025-I-0061</v>
          </cell>
          <cell r="E177" t="str">
            <v>N-2025-G-0022</v>
          </cell>
          <cell r="F177" t="str">
            <v>N-2024-G-035</v>
          </cell>
          <cell r="G177" t="str">
            <v>Eletronorte</v>
          </cell>
          <cell r="H177" t="str">
            <v>Contratado</v>
          </cell>
          <cell r="I177" t="str">
            <v>Modernização de 04 módulos GIS UHE Tucuruí - Equipamentos</v>
          </cell>
          <cell r="J177" t="str">
            <v>3700003872-Substituição de 04 módulos da subestação blindada SF6 (GIS), de 550 kV, destinados a Casa de Força 1 da UHE Tucuruí.</v>
          </cell>
          <cell r="K177" t="str">
            <v>3700003872-Substituição de 04 módulos da subestação blindada SF6 (GIS), de 550 kV, destinados a Casa de Força 1 da UHE Tucuruí.</v>
          </cell>
          <cell r="L177" t="str">
            <v>NO10105003</v>
          </cell>
          <cell r="M177" t="str">
            <v>UHE Tucuruí</v>
          </cell>
          <cell r="N177" t="str">
            <v>Geração</v>
          </cell>
          <cell r="O177" t="str">
            <v>Modernização de pequeno porte</v>
          </cell>
          <cell r="P177" t="str">
            <v>Modernização de pequeno porte</v>
          </cell>
          <cell r="Q177" t="str">
            <v>NGHI.0143</v>
          </cell>
          <cell r="R177" t="str">
            <v>OOG Modern. G PP 2025</v>
          </cell>
          <cell r="S177">
            <v>0</v>
          </cell>
          <cell r="T177">
            <v>0</v>
          </cell>
          <cell r="U177">
            <v>0</v>
          </cell>
          <cell r="V177">
            <v>0</v>
          </cell>
          <cell r="W177">
            <v>0</v>
          </cell>
          <cell r="X177">
            <v>0</v>
          </cell>
          <cell r="Y177">
            <v>0</v>
          </cell>
          <cell r="Z177">
            <v>0</v>
          </cell>
          <cell r="AA177">
            <v>0</v>
          </cell>
          <cell r="AB177">
            <v>49352130</v>
          </cell>
          <cell r="AC177">
            <v>2897976</v>
          </cell>
          <cell r="AD177">
            <v>0</v>
          </cell>
          <cell r="AE177">
            <v>52250106</v>
          </cell>
          <cell r="AF177">
            <v>8865421</v>
          </cell>
          <cell r="AG177"/>
          <cell r="AH177"/>
          <cell r="AI177"/>
          <cell r="AJ177">
            <v>61115527</v>
          </cell>
          <cell r="AK177">
            <v>0</v>
          </cell>
          <cell r="AL177">
            <v>0</v>
          </cell>
          <cell r="AM177">
            <v>0</v>
          </cell>
          <cell r="AN177">
            <v>0</v>
          </cell>
          <cell r="AO177">
            <v>0</v>
          </cell>
          <cell r="AP177">
            <v>61115527</v>
          </cell>
          <cell r="AQ177" t="str">
            <v>Pará</v>
          </cell>
          <cell r="AT177">
            <v>8865421</v>
          </cell>
        </row>
        <row r="178">
          <cell r="B178" t="str">
            <v>COO0608</v>
          </cell>
          <cell r="C178" t="str">
            <v>OOR</v>
          </cell>
          <cell r="D178" t="str">
            <v>OOMS.S-S-2025-I-0004</v>
          </cell>
          <cell r="E178" t="str">
            <v>N-2025-G-0012</v>
          </cell>
          <cell r="F178" t="str">
            <v>N-2024-G-036</v>
          </cell>
          <cell r="G178" t="str">
            <v>Eletronorte</v>
          </cell>
          <cell r="H178" t="str">
            <v>Contratado</v>
          </cell>
          <cell r="I178" t="str">
            <v>Modernização de 04 módulos GIS UHE Tucuruí - Serviço</v>
          </cell>
          <cell r="J178" t="str">
            <v>3700003873-Contratação de empresa especializada para substituição de 04 módulos da subestação blindada SF6 (GIS), de 550 kV, destinados a Casa de Força 1 da UHE Tucuruí.
Requisição de serviço.</v>
          </cell>
          <cell r="K178" t="str">
            <v>3700003873-Contratação de empresa especializada para substituição de 04 módulos da subestação blindada SF6 (GIS), de 550 kV, destinados a Casa de Força 1 da UHE Tucuruí.
Requisição de serviço.</v>
          </cell>
          <cell r="L178" t="str">
            <v>NO10105003</v>
          </cell>
          <cell r="M178" t="str">
            <v>UHE Tucuruí</v>
          </cell>
          <cell r="N178" t="str">
            <v>Geração</v>
          </cell>
          <cell r="O178" t="str">
            <v>Modernização de pequeno porte</v>
          </cell>
          <cell r="P178" t="str">
            <v>Modernização de pequeno porte</v>
          </cell>
          <cell r="Q178" t="str">
            <v>NGHI.0143</v>
          </cell>
          <cell r="R178" t="str">
            <v>OOG Modern. G PP 2025</v>
          </cell>
          <cell r="S178">
            <v>166376</v>
          </cell>
          <cell r="T178">
            <v>176796</v>
          </cell>
          <cell r="U178">
            <v>260543.99999999997</v>
          </cell>
          <cell r="V178">
            <v>141745</v>
          </cell>
          <cell r="W178">
            <v>150508</v>
          </cell>
          <cell r="X178">
            <v>3121496</v>
          </cell>
          <cell r="Y178">
            <v>125877</v>
          </cell>
          <cell r="Z178">
            <v>121496</v>
          </cell>
          <cell r="AA178">
            <v>150508</v>
          </cell>
          <cell r="AB178">
            <v>341692</v>
          </cell>
          <cell r="AC178">
            <v>1970895</v>
          </cell>
          <cell r="AD178">
            <v>536595</v>
          </cell>
          <cell r="AE178">
            <v>7264528</v>
          </cell>
          <cell r="AF178">
            <v>24299537</v>
          </cell>
          <cell r="AG178">
            <v>10144019</v>
          </cell>
          <cell r="AH178">
            <v>221434</v>
          </cell>
          <cell r="AI178"/>
          <cell r="AJ178">
            <v>41929518</v>
          </cell>
          <cell r="AK178">
            <v>0</v>
          </cell>
          <cell r="AL178">
            <v>0</v>
          </cell>
          <cell r="AM178">
            <v>0</v>
          </cell>
          <cell r="AN178">
            <v>0</v>
          </cell>
          <cell r="AO178">
            <v>0</v>
          </cell>
          <cell r="AP178">
            <v>41929518</v>
          </cell>
          <cell r="AQ178" t="str">
            <v>Pará</v>
          </cell>
          <cell r="AS178" t="str">
            <v>x</v>
          </cell>
          <cell r="AT178">
            <v>34664990</v>
          </cell>
        </row>
        <row r="179">
          <cell r="B179" t="str">
            <v>COO0609</v>
          </cell>
          <cell r="C179" t="str">
            <v>OOGBA.N</v>
          </cell>
          <cell r="D179" t="str">
            <v>OOGN.S-S-2025-I-0157</v>
          </cell>
          <cell r="E179" t="str">
            <v>N-2025-G-0042</v>
          </cell>
          <cell r="F179" t="str">
            <v>N-2024-G-042</v>
          </cell>
          <cell r="G179" t="str">
            <v>Eletronorte</v>
          </cell>
          <cell r="H179" t="str">
            <v>Nova Demanda</v>
          </cell>
          <cell r="I179" t="str">
            <v>Modernização do sistema de controle remoto das pontes rolantes da UHE Balbina</v>
          </cell>
          <cell r="J179" t="str">
            <v>3700004461-Fornecimento de mão de obra especializada, equipamentos, materiais, componentes, ferramentas, armazenagem, guarda de materiais, montagem do conjunto completo e toda sua infraestrutura para realização instalação de 02 (DOIS) controle remoto na Ponte Rolante da Oficina da Usina Hidroelétrica de Balbina, sendo um controle na ponte piloto e outro na ponte asservida.</v>
          </cell>
          <cell r="K179" t="str">
            <v>3700004461-Fornecimento de mão de obra especializada, equipamentos, materiais, componentes, ferramentas, armazenagem, guarda de materiais, montagem do conjunto completo e toda sua infraestrutura para realização instalação de 02 (DOIS) controle remoto na Ponte Rolante da Oficina da Usina Hidroelétrica de Balbina, sendo um controle na ponte piloto e outro na ponte asservida.</v>
          </cell>
          <cell r="L179" t="str">
            <v>NO10101003</v>
          </cell>
          <cell r="M179" t="str">
            <v>UHE Balbina</v>
          </cell>
          <cell r="N179" t="str">
            <v>Geração</v>
          </cell>
          <cell r="O179" t="str">
            <v>Modernização de pequeno porte</v>
          </cell>
          <cell r="P179" t="str">
            <v>Modernização de pequeno porte</v>
          </cell>
          <cell r="Q179" t="str">
            <v>NGHI.0122</v>
          </cell>
          <cell r="R179" t="str">
            <v>OOMODGUHBA2 CONTROLES REMOT PONT ROL</v>
          </cell>
          <cell r="S179">
            <v>0</v>
          </cell>
          <cell r="T179">
            <v>0</v>
          </cell>
          <cell r="U179">
            <v>158000</v>
          </cell>
          <cell r="V179">
            <v>0</v>
          </cell>
          <cell r="W179">
            <v>0</v>
          </cell>
          <cell r="X179">
            <v>0</v>
          </cell>
          <cell r="Y179">
            <v>0</v>
          </cell>
          <cell r="Z179">
            <v>0</v>
          </cell>
          <cell r="AA179">
            <v>0</v>
          </cell>
          <cell r="AB179">
            <v>0</v>
          </cell>
          <cell r="AC179">
            <v>0</v>
          </cell>
          <cell r="AD179">
            <v>157852</v>
          </cell>
          <cell r="AE179">
            <v>315852</v>
          </cell>
          <cell r="AF179"/>
          <cell r="AG179"/>
          <cell r="AH179"/>
          <cell r="AI179"/>
          <cell r="AJ179">
            <v>315852</v>
          </cell>
          <cell r="AK179">
            <v>0</v>
          </cell>
          <cell r="AL179">
            <v>0</v>
          </cell>
          <cell r="AM179">
            <v>0</v>
          </cell>
          <cell r="AN179">
            <v>0</v>
          </cell>
          <cell r="AO179">
            <v>0</v>
          </cell>
          <cell r="AP179">
            <v>315852</v>
          </cell>
          <cell r="AQ179" t="str">
            <v>Amazonas</v>
          </cell>
          <cell r="AS179" t="str">
            <v>x</v>
          </cell>
          <cell r="AT179">
            <v>0</v>
          </cell>
        </row>
        <row r="180">
          <cell r="B180" t="str">
            <v>COO0610</v>
          </cell>
          <cell r="C180" t="str">
            <v>OOPE.N</v>
          </cell>
          <cell r="D180" t="str">
            <v>OOMS.S-S-2025-I-0011</v>
          </cell>
          <cell r="E180" t="str">
            <v>N-2025-G-0015</v>
          </cell>
          <cell r="F180" t="str">
            <v>N-2024-G-057</v>
          </cell>
          <cell r="G180" t="str">
            <v>Eletronorte</v>
          </cell>
          <cell r="H180" t="str">
            <v>Nova Demanda</v>
          </cell>
          <cell r="I180" t="str">
            <v>Modernização do Sistema de Proteção, Controle e Supervisão (SPCS+) da UHE Tucuruí - Suporte Engenharia Aplicada</v>
          </cell>
          <cell r="J180" t="str">
            <v>3700004862 - Contratação de serviço de suporte técnico a projetos de modernização, reforços e ampliação de empreendimentos de geração da Eletronorte com objetivo de auxiliar os Departamentos de Engenharia Aplicada de Geração.</v>
          </cell>
          <cell r="K180" t="str">
            <v>3700004862 - Contratação de serviço de suporte técnico a projetos de modernização, reforços e ampliação de empreendimentos de geração da Eletronorte com objetivo de auxiliar os Departamentos de Engenharia Aplicada de Geração.</v>
          </cell>
          <cell r="L180" t="str">
            <v>NO10105003</v>
          </cell>
          <cell r="M180" t="str">
            <v>UHE Tucuruí</v>
          </cell>
          <cell r="N180" t="str">
            <v>Geração</v>
          </cell>
          <cell r="O180" t="str">
            <v>Modernização de pequeno porte</v>
          </cell>
          <cell r="P180" t="str">
            <v>Modernização de pequeno porte</v>
          </cell>
          <cell r="Q180" t="str">
            <v>NGHI.0066</v>
          </cell>
          <cell r="R180" t="str">
            <v>UHTU- MODERNIZAÇÃO DE SISTEMAS DA USINA</v>
          </cell>
          <cell r="S180">
            <v>0</v>
          </cell>
          <cell r="T180">
            <v>0</v>
          </cell>
          <cell r="U180">
            <v>0</v>
          </cell>
          <cell r="V180">
            <v>0</v>
          </cell>
          <cell r="W180">
            <v>0</v>
          </cell>
          <cell r="X180">
            <v>0</v>
          </cell>
          <cell r="Y180">
            <v>0</v>
          </cell>
          <cell r="Z180">
            <v>0</v>
          </cell>
          <cell r="AA180">
            <v>0</v>
          </cell>
          <cell r="AB180">
            <v>0</v>
          </cell>
          <cell r="AC180">
            <v>2806169</v>
          </cell>
          <cell r="AD180">
            <v>0</v>
          </cell>
          <cell r="AE180">
            <v>2806169</v>
          </cell>
          <cell r="AF180">
            <v>3106830</v>
          </cell>
          <cell r="AG180">
            <v>2071220</v>
          </cell>
          <cell r="AH180"/>
          <cell r="AI180"/>
          <cell r="AJ180">
            <v>7984219</v>
          </cell>
          <cell r="AK180">
            <v>0</v>
          </cell>
          <cell r="AL180">
            <v>0</v>
          </cell>
          <cell r="AM180">
            <v>0</v>
          </cell>
          <cell r="AN180">
            <v>0</v>
          </cell>
          <cell r="AO180">
            <v>0</v>
          </cell>
          <cell r="AP180">
            <v>7984219</v>
          </cell>
          <cell r="AQ180" t="str">
            <v>Pará</v>
          </cell>
          <cell r="AS180" t="str">
            <v>x</v>
          </cell>
          <cell r="AT180">
            <v>5178050</v>
          </cell>
        </row>
        <row r="181">
          <cell r="B181" t="str">
            <v>COO0611</v>
          </cell>
          <cell r="C181" t="str">
            <v>OOR</v>
          </cell>
          <cell r="D181" t="str">
            <v>OOGS.S-S-2025-I-0102</v>
          </cell>
          <cell r="E181" t="str">
            <v>N-2025-G-0032</v>
          </cell>
          <cell r="F181" t="str">
            <v>N-2024-G-029</v>
          </cell>
          <cell r="G181" t="str">
            <v>Eletronorte</v>
          </cell>
          <cell r="H181" t="str">
            <v>Em contrataçao</v>
          </cell>
          <cell r="I181" t="str">
            <v>Modernização de 05 Transforadores elevadores (CF I e II) da UHE Tucuruí - Suporte técnico e projeto</v>
          </cell>
          <cell r="J181" t="str">
            <v>3700004863-Contratação de serviço de suporte técnico a projetos de modernização, reforços e ampliação de empreendimentos de geração da Eletronorte com objetivo de auxiliar os Departamentos de Engenharia Aplicada de Geração.</v>
          </cell>
          <cell r="K181" t="str">
            <v>3700004863-Contratação de serviço de suporte técnico a projetos de modernização, reforços e ampliação de empreendimentos de geração da Eletronorte com objetivo de auxiliar os Departamentos de Engenharia Aplicada de Geração.</v>
          </cell>
          <cell r="L181" t="str">
            <v>NO10105003</v>
          </cell>
          <cell r="M181" t="str">
            <v>UHE Tucuruí</v>
          </cell>
          <cell r="N181" t="str">
            <v>Geração</v>
          </cell>
          <cell r="O181" t="str">
            <v>Modernização de pequeno porte</v>
          </cell>
          <cell r="P181" t="str">
            <v>Modernização de pequeno porte</v>
          </cell>
          <cell r="Q181" t="str">
            <v>NGHI.0099</v>
          </cell>
          <cell r="R181" t="str">
            <v>UHTU|TRANSFORMADOR ELEVADOR CF1</v>
          </cell>
          <cell r="S181">
            <v>0</v>
          </cell>
          <cell r="T181">
            <v>0</v>
          </cell>
          <cell r="U181">
            <v>0</v>
          </cell>
          <cell r="V181">
            <v>0</v>
          </cell>
          <cell r="W181">
            <v>0</v>
          </cell>
          <cell r="X181">
            <v>0</v>
          </cell>
          <cell r="Y181">
            <v>0</v>
          </cell>
          <cell r="Z181">
            <v>0</v>
          </cell>
          <cell r="AA181">
            <v>0</v>
          </cell>
          <cell r="AB181">
            <v>0</v>
          </cell>
          <cell r="AC181">
            <v>601322</v>
          </cell>
          <cell r="AD181">
            <v>0</v>
          </cell>
          <cell r="AE181">
            <v>601322</v>
          </cell>
          <cell r="AF181"/>
          <cell r="AG181"/>
          <cell r="AH181"/>
          <cell r="AI181"/>
          <cell r="AJ181">
            <v>601322</v>
          </cell>
          <cell r="AK181">
            <v>0</v>
          </cell>
          <cell r="AL181">
            <v>0</v>
          </cell>
          <cell r="AM181">
            <v>0</v>
          </cell>
          <cell r="AN181">
            <v>0</v>
          </cell>
          <cell r="AO181">
            <v>0</v>
          </cell>
          <cell r="AP181">
            <v>601322</v>
          </cell>
          <cell r="AQ181" t="str">
            <v>Pará</v>
          </cell>
          <cell r="AS181" t="str">
            <v>x</v>
          </cell>
          <cell r="AT181">
            <v>0</v>
          </cell>
        </row>
        <row r="182">
          <cell r="B182" t="str">
            <v>COO0612</v>
          </cell>
          <cell r="C182" t="str">
            <v>OOR</v>
          </cell>
          <cell r="D182" t="str">
            <v>OOMS.S-S-2025-I-0017</v>
          </cell>
          <cell r="E182" t="str">
            <v>N-2025-G-0016</v>
          </cell>
          <cell r="F182" t="str">
            <v>N-2024-G-037</v>
          </cell>
          <cell r="G182" t="str">
            <v>Eletronorte</v>
          </cell>
          <cell r="H182" t="str">
            <v>Nova Demanda</v>
          </cell>
          <cell r="I182" t="str">
            <v>Modernização de 04 módulos GIS UHE Tucuruí Suporte Engenharia Aplicada</v>
          </cell>
          <cell r="J182" t="str">
            <v>3700004864-Contratação de serviço de suporte técnico a projetos de modernização, reforços e ampliação de empreendimentos de geração da Eletronorte com objetivo de auxiliar os Departamentos de Engenharia Aplicada de Geração.</v>
          </cell>
          <cell r="K182" t="str">
            <v>3700004864-Contratação de serviço de suporte técnico a projetos de modernização, reforços e ampliação de empreendimentos de geração da Eletronorte com objetivo de auxiliar os Departamentos de Engenharia Aplicada de Geração.</v>
          </cell>
          <cell r="L182" t="str">
            <v>NO10105003</v>
          </cell>
          <cell r="M182" t="str">
            <v>UHE Tucuruí</v>
          </cell>
          <cell r="N182" t="str">
            <v>Geração</v>
          </cell>
          <cell r="O182" t="str">
            <v>Modernização de pequeno porte</v>
          </cell>
          <cell r="P182" t="str">
            <v>Modernização de pequeno porte</v>
          </cell>
          <cell r="Q182" t="str">
            <v>NGHI.0143</v>
          </cell>
          <cell r="R182" t="str">
            <v>OOG Modern. G PP 2025</v>
          </cell>
          <cell r="S182">
            <v>0</v>
          </cell>
          <cell r="T182">
            <v>0</v>
          </cell>
          <cell r="U182">
            <v>0</v>
          </cell>
          <cell r="V182">
            <v>0</v>
          </cell>
          <cell r="W182">
            <v>0</v>
          </cell>
          <cell r="X182">
            <v>0</v>
          </cell>
          <cell r="Y182">
            <v>1000000</v>
          </cell>
          <cell r="Z182">
            <v>1000000</v>
          </cell>
          <cell r="AA182">
            <v>500000</v>
          </cell>
          <cell r="AB182">
            <v>0</v>
          </cell>
          <cell r="AC182">
            <v>0</v>
          </cell>
          <cell r="AD182">
            <v>0</v>
          </cell>
          <cell r="AE182">
            <v>2500000</v>
          </cell>
          <cell r="AF182">
            <v>901983</v>
          </cell>
          <cell r="AG182">
            <v>601322</v>
          </cell>
          <cell r="AH182"/>
          <cell r="AI182"/>
          <cell r="AJ182">
            <v>4003305</v>
          </cell>
          <cell r="AK182">
            <v>0</v>
          </cell>
          <cell r="AL182">
            <v>0</v>
          </cell>
          <cell r="AM182">
            <v>0</v>
          </cell>
          <cell r="AN182">
            <v>0</v>
          </cell>
          <cell r="AO182">
            <v>0</v>
          </cell>
          <cell r="AP182">
            <v>4003305</v>
          </cell>
          <cell r="AQ182" t="str">
            <v>Pará</v>
          </cell>
          <cell r="AS182" t="str">
            <v>x</v>
          </cell>
          <cell r="AT182">
            <v>1503305</v>
          </cell>
        </row>
        <row r="183">
          <cell r="B183" t="str">
            <v>COO0613</v>
          </cell>
          <cell r="C183" t="str">
            <v>OOPE.N</v>
          </cell>
          <cell r="D183" t="str">
            <v>OOPM.C-C-2024-I-0021</v>
          </cell>
          <cell r="E183" t="str">
            <v>N-2024-G-056</v>
          </cell>
          <cell r="F183" t="str">
            <v>N-2024-G-056</v>
          </cell>
          <cell r="G183" t="str">
            <v>Eletronorte</v>
          </cell>
          <cell r="H183" t="str">
            <v>Contratado</v>
          </cell>
          <cell r="I183" t="str">
            <v>Modernização do Sistema de Proteção, Controle e Supervisão (SPCS+) da UHE Tucuruí</v>
          </cell>
          <cell r="J183" t="str">
            <v>3700005163-Modernizar equipamentos e sistemas da UHE Tucuruí, conforme processo de compra aprovado no CA (DEL-134/2024, de 18.07.2024).</v>
          </cell>
          <cell r="K183" t="str">
            <v>3700005163-Modernizar equipamentos e sistemas da UHE Tucuruí, conforme processo de compra aprovado no CA (DEL-134/2024, de 18.07.2024).</v>
          </cell>
          <cell r="L183" t="str">
            <v>NO10105003</v>
          </cell>
          <cell r="M183" t="str">
            <v>UHE Tucuruí</v>
          </cell>
          <cell r="N183" t="str">
            <v>Geração</v>
          </cell>
          <cell r="O183" t="str">
            <v>Modernização de pequeno porte</v>
          </cell>
          <cell r="P183" t="str">
            <v>Modernização de pequeno porte</v>
          </cell>
          <cell r="Q183" t="str">
            <v>NGHI.0066</v>
          </cell>
          <cell r="R183" t="str">
            <v>UHTU- MODERNIZAÇÃO DE SISTEMAS DA USINA</v>
          </cell>
          <cell r="S183">
            <v>0</v>
          </cell>
          <cell r="T183">
            <v>0</v>
          </cell>
          <cell r="U183">
            <v>0</v>
          </cell>
          <cell r="V183">
            <v>0</v>
          </cell>
          <cell r="W183">
            <v>0</v>
          </cell>
          <cell r="X183">
            <v>0</v>
          </cell>
          <cell r="Y183">
            <v>0</v>
          </cell>
          <cell r="Z183">
            <v>0</v>
          </cell>
          <cell r="AA183">
            <v>0</v>
          </cell>
          <cell r="AB183">
            <v>0</v>
          </cell>
          <cell r="AC183">
            <v>111912572</v>
          </cell>
          <cell r="AD183">
            <v>0</v>
          </cell>
          <cell r="AE183">
            <v>111912572</v>
          </cell>
          <cell r="AF183">
            <v>124127189</v>
          </cell>
          <cell r="AG183">
            <v>125250222</v>
          </cell>
          <cell r="AH183">
            <v>123794862</v>
          </cell>
          <cell r="AI183">
            <v>68956378</v>
          </cell>
          <cell r="AJ183">
            <v>554041223</v>
          </cell>
          <cell r="AK183">
            <v>0</v>
          </cell>
          <cell r="AL183">
            <v>0</v>
          </cell>
          <cell r="AM183">
            <v>0</v>
          </cell>
          <cell r="AN183">
            <v>0</v>
          </cell>
          <cell r="AO183">
            <v>0</v>
          </cell>
          <cell r="AP183">
            <v>554041223</v>
          </cell>
          <cell r="AQ183" t="str">
            <v>Pará</v>
          </cell>
          <cell r="AT183">
            <v>442128651</v>
          </cell>
        </row>
        <row r="184">
          <cell r="B184" t="str">
            <v>COO0615</v>
          </cell>
          <cell r="C184" t="str">
            <v>OOMG.N</v>
          </cell>
          <cell r="D184" t="str">
            <v>OOMB.C-C-2025-I-0012</v>
          </cell>
          <cell r="E184" t="str">
            <v>N-2025-G-0075</v>
          </cell>
          <cell r="F184" t="str">
            <v>N-2024-G-027</v>
          </cell>
          <cell r="G184" t="str">
            <v>Eletronorte</v>
          </cell>
          <cell r="H184" t="str">
            <v>Nova Demanda</v>
          </cell>
          <cell r="I184" t="str">
            <v>Modernização de 02 Transformadores elevadores (UGHs 24 e 25) da UHE Tucuruí</v>
          </cell>
          <cell r="J184" t="str">
            <v xml:space="preserve">3700005628-Fornecimento de 2 (dois) transformadores elevadores trifásicos 69/13,8 kV – 28,75 MVA para casa de força I incluindo projeto, documentação de projeto, fabricação, montagem para ensaio na fábrica, controle de qualidade na fabricação, inspeção, ensaios, embalagem, transporte até à obra, descarregamento, montagem no campo, supervisão de montagem e testes de comissionamento, deslocamento até a posição definitiva e acompanhamento da energização inicial destes transformadores destinados à Usina </v>
          </cell>
          <cell r="K184" t="str">
            <v xml:space="preserve">3700005628-Fornecimento de 2 (dois) transformadores elevadores trifásicos 69/13,8 kV – 28,75 MVA para casa de força I incluindo projeto, documentação de projeto, fabricação, montagem para ensaio na fábrica, controle de qualidade na fabricação, inspeção, ensaios, embalagem, transporte até à obra, descarregamento, montagem no campo, supervisão de montagem e testes de comissionamento, deslocamento até a posição definitiva e acompanhamento da energização inicial destes transformadores destinados à Usina </v>
          </cell>
          <cell r="L184" t="str">
            <v>NO10105003</v>
          </cell>
          <cell r="M184" t="str">
            <v>UHE Tucuruí</v>
          </cell>
          <cell r="N184" t="str">
            <v>Geração</v>
          </cell>
          <cell r="O184" t="str">
            <v>Modernização de pequeno porte</v>
          </cell>
          <cell r="P184" t="str">
            <v>Modernização de pequeno porte</v>
          </cell>
          <cell r="Q184" t="str">
            <v>NGHI.0141</v>
          </cell>
          <cell r="R184" t="str">
            <v>OOM Modern. G PP 2025</v>
          </cell>
          <cell r="S184">
            <v>0</v>
          </cell>
          <cell r="T184">
            <v>0</v>
          </cell>
          <cell r="U184">
            <v>0</v>
          </cell>
          <cell r="V184">
            <v>0</v>
          </cell>
          <cell r="W184">
            <v>1151356</v>
          </cell>
          <cell r="X184">
            <v>0</v>
          </cell>
          <cell r="Y184">
            <v>1151356</v>
          </cell>
          <cell r="Z184">
            <v>1151356</v>
          </cell>
          <cell r="AA184">
            <v>1151356</v>
          </cell>
          <cell r="AB184">
            <v>0</v>
          </cell>
          <cell r="AC184">
            <v>3454067</v>
          </cell>
          <cell r="AD184">
            <v>0</v>
          </cell>
          <cell r="AE184">
            <v>8059491</v>
          </cell>
          <cell r="AF184">
            <v>5485870</v>
          </cell>
          <cell r="AG184"/>
          <cell r="AH184"/>
          <cell r="AI184"/>
          <cell r="AJ184">
            <v>13545361</v>
          </cell>
          <cell r="AK184">
            <v>0</v>
          </cell>
          <cell r="AL184">
            <v>0</v>
          </cell>
          <cell r="AM184">
            <v>0</v>
          </cell>
          <cell r="AN184">
            <v>0</v>
          </cell>
          <cell r="AO184">
            <v>0</v>
          </cell>
          <cell r="AP184">
            <v>13545361</v>
          </cell>
          <cell r="AQ184" t="str">
            <v>Pará</v>
          </cell>
          <cell r="AS184" t="str">
            <v>x</v>
          </cell>
          <cell r="AT184">
            <v>5485870</v>
          </cell>
        </row>
        <row r="185">
          <cell r="B185" t="str">
            <v>COO0618</v>
          </cell>
          <cell r="C185" t="str">
            <v>OOMG.N</v>
          </cell>
          <cell r="D185" t="str">
            <v>OOPM.S-S-2025-I-0059</v>
          </cell>
          <cell r="E185" t="str">
            <v>N-2025-G-0121</v>
          </cell>
          <cell r="F185" t="str">
            <v>N-2024-G-032</v>
          </cell>
          <cell r="G185" t="str">
            <v>Eletronorte</v>
          </cell>
          <cell r="H185" t="str">
            <v>Contratado</v>
          </cell>
          <cell r="I185" t="str">
            <v>Implantação de sistemas de monitoramento de gases dissolvidos para diversas usinas</v>
          </cell>
          <cell r="J185" t="str">
            <v>4500062835-Aquisição de 15 (quinze) sistemas de monitoramento de gases dissolvidos em óleo isolante de transformadores de potência, modelo Calisto 901, fabricante Morgan Schaffer.</v>
          </cell>
          <cell r="K185" t="str">
            <v>4500062835-Aquisição de 15 (quinze) sistemas de monitoramento de gases dissolvidos em óleo isolante de transformadores de potência, modelo Calisto 901, fabricante Morgan Schaffer.</v>
          </cell>
          <cell r="L185" t="str">
            <v>NO10105003</v>
          </cell>
          <cell r="M185" t="str">
            <v>UHE Tucuruí</v>
          </cell>
          <cell r="N185" t="str">
            <v>Geração</v>
          </cell>
          <cell r="O185" t="str">
            <v>Modernização de pequeno porte</v>
          </cell>
          <cell r="P185" t="str">
            <v>Modernização de pequeno porte</v>
          </cell>
          <cell r="Q185" t="str">
            <v>NGHI.0141</v>
          </cell>
          <cell r="R185" t="str">
            <v>OOM Modern. G PP 2025</v>
          </cell>
          <cell r="S185">
            <v>0</v>
          </cell>
          <cell r="T185">
            <v>0</v>
          </cell>
          <cell r="U185">
            <v>1119930</v>
          </cell>
          <cell r="V185">
            <v>0</v>
          </cell>
          <cell r="W185">
            <v>0</v>
          </cell>
          <cell r="X185">
            <v>0</v>
          </cell>
          <cell r="Y185">
            <v>0</v>
          </cell>
          <cell r="Z185">
            <v>0</v>
          </cell>
          <cell r="AA185">
            <v>0</v>
          </cell>
          <cell r="AB185">
            <v>0</v>
          </cell>
          <cell r="AC185">
            <v>0</v>
          </cell>
          <cell r="AD185">
            <v>0</v>
          </cell>
          <cell r="AE185">
            <v>1119930</v>
          </cell>
          <cell r="AF185"/>
          <cell r="AG185"/>
          <cell r="AH185"/>
          <cell r="AI185"/>
          <cell r="AJ185">
            <v>1119930</v>
          </cell>
          <cell r="AK185">
            <v>0</v>
          </cell>
          <cell r="AL185">
            <v>0</v>
          </cell>
          <cell r="AM185">
            <v>0</v>
          </cell>
          <cell r="AN185">
            <v>0</v>
          </cell>
          <cell r="AO185">
            <v>0</v>
          </cell>
          <cell r="AP185">
            <v>1119930</v>
          </cell>
          <cell r="AQ185" t="str">
            <v>Pará</v>
          </cell>
          <cell r="AS185" t="str">
            <v>x</v>
          </cell>
          <cell r="AT185">
            <v>0</v>
          </cell>
        </row>
        <row r="186">
          <cell r="B186" t="str">
            <v>COO0619</v>
          </cell>
          <cell r="C186" t="str">
            <v>OOGT.N</v>
          </cell>
          <cell r="D186" t="str">
            <v>OOMT.S-S-2025-I-0044</v>
          </cell>
          <cell r="E186" t="str">
            <v>N-2025-G-0020</v>
          </cell>
          <cell r="F186" t="str">
            <v>N-2024-G-043</v>
          </cell>
          <cell r="G186" t="str">
            <v>Eletronorte</v>
          </cell>
          <cell r="H186" t="str">
            <v>Contratado</v>
          </cell>
          <cell r="I186" t="str">
            <v>Modernização do sistema de drenagem e esgotamento da UHE Tucuruí</v>
          </cell>
          <cell r="J186" t="str">
            <v>4500063694-Fornecimento, adequação, instalação e comissionamento de bombasverticais do sistema de drenagem e esgotamento da UHE Tucuruí no âmbitoda Superintendência de Produção da Geração Hidráulica – OGH, comfornecimento de materiais, equipamentos e mão de obra especializada.</v>
          </cell>
          <cell r="K186" t="str">
            <v>4500063694-Fornecimento, adequação, instalação e comissionamento de bombasverticais do sistema de drenagem e esgotamento da UHE Tucuruí no âmbitoda Superintendência de Produção da Geração Hidráulica – OGH, comfornecimento de materiais, equipamentos e mão de obra especializada.</v>
          </cell>
          <cell r="L186" t="str">
            <v>NO10105003</v>
          </cell>
          <cell r="M186" t="str">
            <v>UHE Tucuruí</v>
          </cell>
          <cell r="N186" t="str">
            <v>Geração</v>
          </cell>
          <cell r="O186" t="str">
            <v>Modernização de pequeno porte</v>
          </cell>
          <cell r="P186" t="str">
            <v>Modernização de pequeno porte</v>
          </cell>
          <cell r="Q186" t="str">
            <v>NGHI.0028</v>
          </cell>
          <cell r="R186" t="str">
            <v>UHTU-MOTOBOMBA DRENAGEM</v>
          </cell>
          <cell r="S186">
            <v>0</v>
          </cell>
          <cell r="T186">
            <v>625255.19999999995</v>
          </cell>
          <cell r="U186">
            <v>0</v>
          </cell>
          <cell r="V186">
            <v>200000</v>
          </cell>
          <cell r="W186">
            <v>0</v>
          </cell>
          <cell r="X186">
            <v>0</v>
          </cell>
          <cell r="Y186">
            <v>300000</v>
          </cell>
          <cell r="Z186">
            <v>200000</v>
          </cell>
          <cell r="AA186">
            <v>0</v>
          </cell>
          <cell r="AB186">
            <v>200000</v>
          </cell>
          <cell r="AC186">
            <v>0</v>
          </cell>
          <cell r="AD186">
            <v>0</v>
          </cell>
          <cell r="AE186">
            <v>1525255.2</v>
          </cell>
          <cell r="AF186"/>
          <cell r="AG186"/>
          <cell r="AH186"/>
          <cell r="AI186"/>
          <cell r="AJ186">
            <v>1525255.2</v>
          </cell>
          <cell r="AK186">
            <v>0</v>
          </cell>
          <cell r="AL186">
            <v>0</v>
          </cell>
          <cell r="AM186">
            <v>0</v>
          </cell>
          <cell r="AN186">
            <v>0</v>
          </cell>
          <cell r="AO186">
            <v>0</v>
          </cell>
          <cell r="AP186">
            <v>1525255.2</v>
          </cell>
          <cell r="AQ186" t="str">
            <v>Pará</v>
          </cell>
          <cell r="AT186">
            <v>0</v>
          </cell>
        </row>
        <row r="187">
          <cell r="B187" t="str">
            <v>COO0620</v>
          </cell>
          <cell r="C187" t="str">
            <v>OOGCN.N</v>
          </cell>
          <cell r="D187" t="str">
            <v>OOGN.S-S-2025-I-0148</v>
          </cell>
          <cell r="E187" t="str">
            <v>N-2025-G-0039</v>
          </cell>
          <cell r="F187" t="str">
            <v>N-2024-G-041</v>
          </cell>
          <cell r="G187" t="str">
            <v>Eletronorte</v>
          </cell>
          <cell r="H187" t="str">
            <v>Contratado</v>
          </cell>
          <cell r="I187" t="str">
            <v>Modernização do sistema de controle das comportas da UHE Coaracy Nunes</v>
          </cell>
          <cell r="J187" t="str">
            <v>4500064241 - SISTEMAS DE AUTOMAÇAO DAS COMPORTAS DE EMERGENCIA DA USINA HIDRELETRICA COARACY NUNES</v>
          </cell>
          <cell r="K187" t="str">
            <v>4500064241 - SISTEMAS DE AUTOMAÇAO DAS COMPORTAS DE EMERGENCIA DA USINA HIDRELETRICA COARACY NUNES</v>
          </cell>
          <cell r="L187" t="str">
            <v>NO10102003</v>
          </cell>
          <cell r="M187" t="str">
            <v>UHE Coaracy Nunes</v>
          </cell>
          <cell r="N187" t="str">
            <v>Geração</v>
          </cell>
          <cell r="O187" t="str">
            <v>Modernização de pequeno porte</v>
          </cell>
          <cell r="P187" t="str">
            <v>Modernização de pequeno porte</v>
          </cell>
          <cell r="Q187" t="str">
            <v>NGHI.0007</v>
          </cell>
          <cell r="R187" t="str">
            <v>UHCN - PAINEL COMANDO COMPORTA</v>
          </cell>
          <cell r="S187">
            <v>0</v>
          </cell>
          <cell r="T187">
            <v>0</v>
          </cell>
          <cell r="U187">
            <v>0</v>
          </cell>
          <cell r="V187">
            <v>0</v>
          </cell>
          <cell r="W187">
            <v>0</v>
          </cell>
          <cell r="X187">
            <v>0</v>
          </cell>
          <cell r="Y187">
            <v>0</v>
          </cell>
          <cell r="Z187">
            <v>350000</v>
          </cell>
          <cell r="AA187">
            <v>0</v>
          </cell>
          <cell r="AB187">
            <v>0</v>
          </cell>
          <cell r="AC187">
            <v>0</v>
          </cell>
          <cell r="AD187">
            <v>0</v>
          </cell>
          <cell r="AE187">
            <v>350000</v>
          </cell>
          <cell r="AF187"/>
          <cell r="AG187"/>
          <cell r="AH187"/>
          <cell r="AI187"/>
          <cell r="AJ187">
            <v>350000</v>
          </cell>
          <cell r="AK187">
            <v>0</v>
          </cell>
          <cell r="AL187">
            <v>0</v>
          </cell>
          <cell r="AM187">
            <v>0</v>
          </cell>
          <cell r="AN187">
            <v>0</v>
          </cell>
          <cell r="AO187">
            <v>0</v>
          </cell>
          <cell r="AP187">
            <v>350000</v>
          </cell>
          <cell r="AQ187" t="str">
            <v>Amapá</v>
          </cell>
          <cell r="AS187" t="str">
            <v>x</v>
          </cell>
          <cell r="AT187">
            <v>0</v>
          </cell>
        </row>
        <row r="188">
          <cell r="B188" t="str">
            <v>COO0626</v>
          </cell>
          <cell r="C188" t="str">
            <v>OOGT.N</v>
          </cell>
          <cell r="D188" t="str">
            <v>OOMB.C-C-2025-I-0016</v>
          </cell>
          <cell r="E188" t="str">
            <v>N-2025-G-0007</v>
          </cell>
          <cell r="F188" t="str">
            <v>N-2024-G-053</v>
          </cell>
          <cell r="G188" t="str">
            <v>Eletronorte</v>
          </cell>
          <cell r="H188" t="str">
            <v>Contratado</v>
          </cell>
          <cell r="I188" t="str">
            <v>Modernização das estruturas metálicas da UHE Tucuruí</v>
          </cell>
          <cell r="J188" t="str">
            <v>4500071331-Contratação de serviço para Revitalização de Estruturas Metálicas das partes metálicas da UHE Tucuruí. (Termo aditivo previsto VT)</v>
          </cell>
          <cell r="K188" t="str">
            <v>4500071331-Contratação de serviço para Revitalização de Estruturas Metálicas das partes metálicas da UHE Tucuruí. (Termo aditivo previsto VT)</v>
          </cell>
          <cell r="L188" t="str">
            <v>NO10105003</v>
          </cell>
          <cell r="M188" t="str">
            <v>UHE Tucuruí</v>
          </cell>
          <cell r="N188" t="str">
            <v>Geração</v>
          </cell>
          <cell r="O188" t="str">
            <v>Modernização de pequeno porte</v>
          </cell>
          <cell r="P188" t="str">
            <v>Modernização de pequeno porte</v>
          </cell>
          <cell r="Q188" t="str">
            <v>NGHI.0143</v>
          </cell>
          <cell r="R188" t="str">
            <v>OOG Modern. G PP 2025</v>
          </cell>
          <cell r="S188">
            <v>1000000</v>
          </cell>
          <cell r="T188">
            <v>1000000</v>
          </cell>
          <cell r="U188">
            <v>1000000</v>
          </cell>
          <cell r="V188">
            <v>1000000</v>
          </cell>
          <cell r="W188">
            <v>1000000</v>
          </cell>
          <cell r="X188">
            <v>1000000</v>
          </cell>
          <cell r="Y188">
            <v>1000000</v>
          </cell>
          <cell r="Z188"/>
          <cell r="AA188">
            <v>0</v>
          </cell>
          <cell r="AB188">
            <v>0</v>
          </cell>
          <cell r="AC188">
            <v>0</v>
          </cell>
          <cell r="AD188">
            <v>0</v>
          </cell>
          <cell r="AE188">
            <v>7000000</v>
          </cell>
          <cell r="AF188"/>
          <cell r="AG188"/>
          <cell r="AH188"/>
          <cell r="AI188"/>
          <cell r="AJ188">
            <v>7000000</v>
          </cell>
          <cell r="AK188">
            <v>0</v>
          </cell>
          <cell r="AL188">
            <v>0</v>
          </cell>
          <cell r="AM188">
            <v>0</v>
          </cell>
          <cell r="AN188">
            <v>0</v>
          </cell>
          <cell r="AO188">
            <v>0</v>
          </cell>
          <cell r="AP188">
            <v>7000000</v>
          </cell>
          <cell r="AQ188" t="str">
            <v>Pará</v>
          </cell>
          <cell r="AT188">
            <v>0</v>
          </cell>
        </row>
        <row r="189">
          <cell r="B189" t="str">
            <v>COO0627</v>
          </cell>
          <cell r="C189" t="str">
            <v>OOGT.N</v>
          </cell>
          <cell r="D189" t="str">
            <v>OOMS.S-S-2025-I-0010</v>
          </cell>
          <cell r="E189" t="str">
            <v>N-2025-G-0014</v>
          </cell>
          <cell r="F189" t="str">
            <v>N-2024-G-050</v>
          </cell>
          <cell r="G189" t="str">
            <v>Eletronorte</v>
          </cell>
          <cell r="H189" t="str">
            <v>Contratado</v>
          </cell>
          <cell r="I189" t="str">
            <v>Modernização do sistema de resfriamento dos geradores da CFI da UHE Tucuruí</v>
          </cell>
          <cell r="J189" t="str">
            <v>4500073190-Aquisição de trocadores de calor ar/água (radiadores) para o sistema de resfriamento do ar dos geradores de fabricação GE da casa de força 1 daUHE Tucuruí.</v>
          </cell>
          <cell r="K189" t="str">
            <v>4500073190-Aquisição de trocadores de calor ar/água (radiadores) para o sistema de resfriamento do ar dos geradores de fabricação GE da casa de força 1 daUHE Tucuruí.</v>
          </cell>
          <cell r="L189" t="str">
            <v>NO10105003</v>
          </cell>
          <cell r="M189" t="str">
            <v>UHE Tucuruí</v>
          </cell>
          <cell r="N189" t="str">
            <v>Geração</v>
          </cell>
          <cell r="O189" t="str">
            <v>Modernização de pequeno porte</v>
          </cell>
          <cell r="P189" t="str">
            <v>Modernização de pequeno porte</v>
          </cell>
          <cell r="Q189" t="str">
            <v>NGHI.0073</v>
          </cell>
          <cell r="R189" t="str">
            <v>UHTU - SIST. RESFRIAMENTO UGHs CF-I</v>
          </cell>
          <cell r="S189">
            <v>0</v>
          </cell>
          <cell r="T189">
            <v>0</v>
          </cell>
          <cell r="U189">
            <v>0</v>
          </cell>
          <cell r="V189">
            <v>0</v>
          </cell>
          <cell r="W189">
            <v>0</v>
          </cell>
          <cell r="X189">
            <v>0</v>
          </cell>
          <cell r="Y189">
            <v>0</v>
          </cell>
          <cell r="Z189">
            <v>0</v>
          </cell>
          <cell r="AA189">
            <v>2955250</v>
          </cell>
          <cell r="AB189">
            <v>0</v>
          </cell>
          <cell r="AC189">
            <v>0</v>
          </cell>
          <cell r="AD189">
            <v>0</v>
          </cell>
          <cell r="AE189">
            <v>2955250</v>
          </cell>
          <cell r="AF189"/>
          <cell r="AG189"/>
          <cell r="AH189"/>
          <cell r="AI189"/>
          <cell r="AJ189">
            <v>2955250</v>
          </cell>
          <cell r="AK189">
            <v>0</v>
          </cell>
          <cell r="AL189">
            <v>0</v>
          </cell>
          <cell r="AM189">
            <v>0</v>
          </cell>
          <cell r="AN189">
            <v>0</v>
          </cell>
          <cell r="AO189">
            <v>0</v>
          </cell>
          <cell r="AP189">
            <v>2955250</v>
          </cell>
          <cell r="AQ189" t="str">
            <v>Pará</v>
          </cell>
          <cell r="AT189">
            <v>0</v>
          </cell>
        </row>
        <row r="190">
          <cell r="B190" t="str">
            <v>COO0628</v>
          </cell>
          <cell r="C190" t="str">
            <v>OOGT.N</v>
          </cell>
          <cell r="D190" t="str">
            <v>OOO.C-C-2025-I-0043</v>
          </cell>
          <cell r="E190" t="str">
            <v>N-2025-G-0010</v>
          </cell>
          <cell r="F190" t="str">
            <v>N-2024-G-054</v>
          </cell>
          <cell r="G190" t="str">
            <v>Eletronorte</v>
          </cell>
          <cell r="H190" t="str">
            <v>Contratado</v>
          </cell>
          <cell r="I190" t="str">
            <v>Modernização dos Stop Logs da UHE Tucuruí</v>
          </cell>
          <cell r="J190" t="str">
            <v>4500073892-Contratação de Serviço de Revitalização dos Stop Logs das Casas de Força 01 e 02 da UHE Tucuruí.</v>
          </cell>
          <cell r="K190" t="str">
            <v>4500073892-Contratação de Serviço de Revitalização dos Stop Logs das Casas de Força 01 e 02 da UHE Tucuruí.</v>
          </cell>
          <cell r="L190" t="str">
            <v>NO10105003</v>
          </cell>
          <cell r="M190" t="str">
            <v>UHE Tucuruí</v>
          </cell>
          <cell r="N190" t="str">
            <v>Geração</v>
          </cell>
          <cell r="O190" t="str">
            <v>Modernização de pequeno porte</v>
          </cell>
          <cell r="P190" t="str">
            <v>Modernização de pequeno porte</v>
          </cell>
          <cell r="Q190" t="str">
            <v>NGHI.0143</v>
          </cell>
          <cell r="R190" t="str">
            <v>OOG Modern. G PP 2025</v>
          </cell>
          <cell r="S190">
            <v>0</v>
          </cell>
          <cell r="T190">
            <v>0</v>
          </cell>
          <cell r="U190">
            <v>0</v>
          </cell>
          <cell r="V190">
            <v>0</v>
          </cell>
          <cell r="W190">
            <v>0</v>
          </cell>
          <cell r="X190">
            <v>0</v>
          </cell>
          <cell r="Y190">
            <v>3781591.6999999997</v>
          </cell>
          <cell r="Z190"/>
          <cell r="AA190">
            <v>0</v>
          </cell>
          <cell r="AB190">
            <v>0</v>
          </cell>
          <cell r="AC190">
            <v>0</v>
          </cell>
          <cell r="AD190">
            <v>0</v>
          </cell>
          <cell r="AE190">
            <v>3781591.6999999997</v>
          </cell>
          <cell r="AF190">
            <v>2285260</v>
          </cell>
          <cell r="AG190"/>
          <cell r="AH190"/>
          <cell r="AI190"/>
          <cell r="AJ190">
            <v>6066851.6999999993</v>
          </cell>
          <cell r="AK190">
            <v>0</v>
          </cell>
          <cell r="AL190">
            <v>0</v>
          </cell>
          <cell r="AM190">
            <v>0</v>
          </cell>
          <cell r="AN190">
            <v>0</v>
          </cell>
          <cell r="AO190">
            <v>0</v>
          </cell>
          <cell r="AP190">
            <v>6066851.6999999993</v>
          </cell>
          <cell r="AQ190" t="str">
            <v>Pará</v>
          </cell>
          <cell r="AT190">
            <v>2285260</v>
          </cell>
        </row>
        <row r="191">
          <cell r="B191" t="str">
            <v>COO0629</v>
          </cell>
          <cell r="C191" t="str">
            <v>OOGCU.N</v>
          </cell>
          <cell r="D191" t="str">
            <v>OOMT.S-S-2025-I-0048</v>
          </cell>
          <cell r="E191" t="str">
            <v>N-2025-G-0021</v>
          </cell>
          <cell r="F191" t="str">
            <v>N-2024-G-048</v>
          </cell>
          <cell r="G191" t="str">
            <v>Eletronorte</v>
          </cell>
          <cell r="H191" t="str">
            <v>Contratado</v>
          </cell>
          <cell r="I191" t="str">
            <v>Modernização do sistema de proteção das UGs da UHE Curuá-Una</v>
          </cell>
          <cell r="J191" t="str">
            <v>4500076139-Contratação de empresa para elaboração e execução dos projetosexecutivos para modernização do sistema de proteção das unidades 01, 02e 03 e fornecimento do Sistema de Oscilógrafa Integrado as 04 UnidadesGeradoras de Curuá Una.</v>
          </cell>
          <cell r="K191" t="str">
            <v>4500076139-Contratação de empresa para elaboração e execução dos projetosexecutivos para modernização do sistema de proteção das unidades 01, 02e 03 e fornecimento do Sistema de Oscilógrafa Integrado as 04 UnidadesGeradoras de Curuá Una.</v>
          </cell>
          <cell r="L191" t="str">
            <v>NO10103003</v>
          </cell>
          <cell r="M191" t="str">
            <v>UHE Curuá-Una</v>
          </cell>
          <cell r="N191" t="str">
            <v>Geração</v>
          </cell>
          <cell r="O191" t="str">
            <v>Modernização de pequeno porte</v>
          </cell>
          <cell r="P191" t="str">
            <v>Modernização de pequeno porte</v>
          </cell>
          <cell r="Q191" t="str">
            <v>NGHI.0097</v>
          </cell>
          <cell r="R191" t="str">
            <v>UHCU | MODERN REL PROT GER E TRANSF</v>
          </cell>
          <cell r="S191">
            <v>0</v>
          </cell>
          <cell r="T191">
            <v>0</v>
          </cell>
          <cell r="U191">
            <v>0</v>
          </cell>
          <cell r="V191">
            <v>0</v>
          </cell>
          <cell r="W191">
            <v>500000</v>
          </cell>
          <cell r="X191">
            <v>0</v>
          </cell>
          <cell r="Y191">
            <v>0</v>
          </cell>
          <cell r="Z191">
            <v>500000</v>
          </cell>
          <cell r="AA191">
            <v>0</v>
          </cell>
          <cell r="AB191">
            <v>0</v>
          </cell>
          <cell r="AC191">
            <v>0</v>
          </cell>
          <cell r="AD191">
            <v>500000</v>
          </cell>
          <cell r="AE191">
            <v>1500000</v>
          </cell>
          <cell r="AF191"/>
          <cell r="AG191"/>
          <cell r="AH191"/>
          <cell r="AI191"/>
          <cell r="AJ191">
            <v>1500000</v>
          </cell>
          <cell r="AK191">
            <v>0</v>
          </cell>
          <cell r="AL191">
            <v>0</v>
          </cell>
          <cell r="AM191">
            <v>0</v>
          </cell>
          <cell r="AN191">
            <v>0</v>
          </cell>
          <cell r="AO191">
            <v>0</v>
          </cell>
          <cell r="AP191">
            <v>1500000</v>
          </cell>
          <cell r="AQ191" t="str">
            <v>Pará</v>
          </cell>
          <cell r="AS191" t="str">
            <v>x</v>
          </cell>
          <cell r="AT191">
            <v>0</v>
          </cell>
        </row>
        <row r="192">
          <cell r="B192" t="str">
            <v>COO0630</v>
          </cell>
          <cell r="C192" t="str">
            <v>OOMG.N</v>
          </cell>
          <cell r="D192" t="str">
            <v>OOO.C-C-2025-I-0045</v>
          </cell>
          <cell r="E192" t="str">
            <v>N-2025-G-0137</v>
          </cell>
          <cell r="F192" t="str">
            <v>N-2024-G-055</v>
          </cell>
          <cell r="G192" t="str">
            <v>Eletronorte</v>
          </cell>
          <cell r="H192" t="str">
            <v>Contratado</v>
          </cell>
          <cell r="I192" t="str">
            <v>Modernização da GIS TUUGH-19 da UHE Tucuruí</v>
          </cell>
          <cell r="J192" t="str">
            <v>4500076990-Fornecimento de peças "Equipamentos o Materiais" e serviços de inspeção,montagem e comissionamento "Serviços" para revitalização da subestaçãoisolada a gás SF6 tuugh-19 da UHE Tucuruí.</v>
          </cell>
          <cell r="K192" t="str">
            <v>4500076990-Fornecimento de peças "Equipamentos o Materiais" e serviços de inspeção,montagem e comissionamento "Serviços" para revitalização da subestaçãoisolada a gás SF6 tuugh-19 da UHE Tucuruí.</v>
          </cell>
          <cell r="L192" t="str">
            <v>NO10105003</v>
          </cell>
          <cell r="M192" t="str">
            <v>UHE Tucuruí</v>
          </cell>
          <cell r="N192" t="str">
            <v>Geração</v>
          </cell>
          <cell r="O192" t="str">
            <v>Modernização de pequeno porte</v>
          </cell>
          <cell r="P192" t="str">
            <v>Modernização de pequeno porte</v>
          </cell>
          <cell r="Q192" t="str">
            <v>NGHI.0083</v>
          </cell>
          <cell r="R192" t="str">
            <v>UHTU | REFORMA GIS SF6</v>
          </cell>
          <cell r="S192">
            <v>0</v>
          </cell>
          <cell r="T192">
            <v>0</v>
          </cell>
          <cell r="U192">
            <v>0</v>
          </cell>
          <cell r="V192">
            <v>0</v>
          </cell>
          <cell r="W192">
            <v>0</v>
          </cell>
          <cell r="X192">
            <v>0</v>
          </cell>
          <cell r="Y192">
            <v>3367185</v>
          </cell>
          <cell r="Z192"/>
          <cell r="AA192">
            <v>0</v>
          </cell>
          <cell r="AB192">
            <v>0</v>
          </cell>
          <cell r="AC192">
            <v>0</v>
          </cell>
          <cell r="AD192">
            <v>0</v>
          </cell>
          <cell r="AE192">
            <v>3367185</v>
          </cell>
          <cell r="AF192"/>
          <cell r="AG192"/>
          <cell r="AH192"/>
          <cell r="AI192"/>
          <cell r="AJ192">
            <v>3367185</v>
          </cell>
          <cell r="AK192">
            <v>0</v>
          </cell>
          <cell r="AL192">
            <v>0</v>
          </cell>
          <cell r="AM192">
            <v>0</v>
          </cell>
          <cell r="AN192">
            <v>0</v>
          </cell>
          <cell r="AO192">
            <v>0</v>
          </cell>
          <cell r="AP192">
            <v>3367185</v>
          </cell>
          <cell r="AQ192" t="str">
            <v>Pará</v>
          </cell>
          <cell r="AS192" t="str">
            <v>x</v>
          </cell>
          <cell r="AT192">
            <v>0</v>
          </cell>
        </row>
        <row r="193">
          <cell r="B193" t="str">
            <v>COO0632</v>
          </cell>
          <cell r="C193" t="str">
            <v>OOGBA.N</v>
          </cell>
          <cell r="D193" t="str">
            <v>OOMB.S-S-2025-I-0091</v>
          </cell>
          <cell r="E193" t="str">
            <v>N-2025-G-0028</v>
          </cell>
          <cell r="F193" t="str">
            <v>N-2024-G-052</v>
          </cell>
          <cell r="G193" t="str">
            <v>Eletronorte</v>
          </cell>
          <cell r="H193" t="str">
            <v>Contratado</v>
          </cell>
          <cell r="I193" t="str">
            <v>Modernização dos disjuntores 13,8 kV PVO da UHE Balbina</v>
          </cell>
          <cell r="J193" t="str">
            <v>4500078761-Retrofit de 12 (doze)  Disjuntores a Pequeno Volume de Óleo – PVO, defabricação Sprecher Energie, do Serviço Auxiliar 13.8 kV da UHE Balbina,por unidades a vácuo com substituição de peças e aquisição desobressalentes</v>
          </cell>
          <cell r="K193" t="str">
            <v>4500078761-Retrofit de 12 (doze)  Disjuntores a Pequeno Volume de Óleo – PVO, defabricação Sprecher Energie, do Serviço Auxiliar 13.8 kV da UHE Balbina,por unidades a vácuo com substituição de peças e aquisição desobressalentes</v>
          </cell>
          <cell r="L193" t="str">
            <v>NO10101003</v>
          </cell>
          <cell r="M193" t="str">
            <v>UHE Balbina</v>
          </cell>
          <cell r="N193" t="str">
            <v>Geração</v>
          </cell>
          <cell r="O193" t="str">
            <v>Modernização de pequeno porte</v>
          </cell>
          <cell r="P193" t="str">
            <v>Modernização de pequeno porte</v>
          </cell>
          <cell r="Q193" t="str">
            <v>NGHI.0143</v>
          </cell>
          <cell r="R193" t="str">
            <v>OOG Modern. G PP 2025</v>
          </cell>
          <cell r="S193">
            <v>0</v>
          </cell>
          <cell r="T193">
            <v>0</v>
          </cell>
          <cell r="U193">
            <v>130076.2</v>
          </cell>
          <cell r="V193">
            <v>576218.60000000009</v>
          </cell>
          <cell r="W193">
            <v>0</v>
          </cell>
          <cell r="X193">
            <v>0</v>
          </cell>
          <cell r="Y193">
            <v>0</v>
          </cell>
          <cell r="Z193">
            <v>0</v>
          </cell>
          <cell r="AA193">
            <v>0</v>
          </cell>
          <cell r="AB193">
            <v>0</v>
          </cell>
          <cell r="AC193">
            <v>0</v>
          </cell>
          <cell r="AD193">
            <v>0</v>
          </cell>
          <cell r="AE193">
            <v>706294.8</v>
          </cell>
          <cell r="AF193"/>
          <cell r="AG193"/>
          <cell r="AH193"/>
          <cell r="AI193"/>
          <cell r="AJ193">
            <v>706294.8</v>
          </cell>
          <cell r="AK193">
            <v>0</v>
          </cell>
          <cell r="AL193">
            <v>0</v>
          </cell>
          <cell r="AM193">
            <v>0</v>
          </cell>
          <cell r="AN193">
            <v>0</v>
          </cell>
          <cell r="AO193">
            <v>0</v>
          </cell>
          <cell r="AP193">
            <v>706294.8</v>
          </cell>
          <cell r="AQ193" t="str">
            <v>Amazonas</v>
          </cell>
          <cell r="AS193" t="str">
            <v>x</v>
          </cell>
          <cell r="AT193">
            <v>0</v>
          </cell>
        </row>
        <row r="194">
          <cell r="B194" t="str">
            <v>COO0634</v>
          </cell>
          <cell r="C194" t="str">
            <v>OOGBA.N</v>
          </cell>
          <cell r="D194" t="str">
            <v>OOGS.S-S-2025-I-0276</v>
          </cell>
          <cell r="E194" t="str">
            <v>N-2025-G-0059</v>
          </cell>
          <cell r="F194" t="str">
            <v>N-2024-G-040</v>
          </cell>
          <cell r="G194" t="str">
            <v>Eletronorte</v>
          </cell>
          <cell r="H194" t="str">
            <v>Contratado</v>
          </cell>
          <cell r="I194" t="str">
            <v xml:space="preserve">Modernização do sistema de ar de serviço da UHE Balbina </v>
          </cell>
          <cell r="J194" t="str">
            <v>4500079184-Constitui objeto do presente Termo de Referência, a Contratação de empresa especializada para fornecimento, instalação, comissionamento, treinamento e manutenção/inspeção de um compressor de ar estacionário rotativo de parafuso com secador integrado (Capacidade de vazão à pressão nominal de 9,0 bar (Max.), 6569 l/min ou 232 PCM, Pressão de trabalho de 9,0 bar(g) / 131 psi, Potência do motor de 60 Hp, Voltagem do Motor, 380V em 60 Hz, Refrigeração a Ar, etc.), para o sistema de ar de serviço da UHE Balbina, com fornecimento de toda infraestrutura e adequações necessárias tais como, mão de obra especializada, materiais, serviços, peças, ferramentas, equipamentos, insumos, acessórios e outros.</v>
          </cell>
          <cell r="K194" t="str">
            <v>4500079184-Constitui objeto do presente Termo de Referência, a Contratação de empresa especializada para fornecimento, instalação, comissionamento, treinamento e manutenção/inspeção de um compressor de ar estacionário rotativo de parafuso com secador integrado (Capacidade de vazão à pressão nominal de 9,0 bar (Max.), 6569 l/min ou 232 PCM, Pressão de trabalho de 9,0 bar(g) / 131 psi, Potência do motor de 60 Hp, Voltagem do Motor, 380V em 60 Hz, Refrigeração a Ar, etc.), para o sistema de ar de serviço da UHE Balbina, com fornecimento de toda infraestrutura e adequações necessárias tais como, mão de obra especializada, materiais, serviços, peças, ferramentas, equipamentos, insumos, acessórios e outros.</v>
          </cell>
          <cell r="L194" t="str">
            <v>NO10101003</v>
          </cell>
          <cell r="M194" t="str">
            <v>UHE Balbina</v>
          </cell>
          <cell r="N194" t="str">
            <v>Geração</v>
          </cell>
          <cell r="O194" t="str">
            <v>Modernização de pequeno porte</v>
          </cell>
          <cell r="P194" t="str">
            <v>Modernização de pequeno porte</v>
          </cell>
          <cell r="Q194" t="str">
            <v>NGHI.0143</v>
          </cell>
          <cell r="R194" t="str">
            <v>OOG Modern. G PP 2025</v>
          </cell>
          <cell r="S194">
            <v>0</v>
          </cell>
          <cell r="T194">
            <v>17500</v>
          </cell>
          <cell r="U194">
            <v>0</v>
          </cell>
          <cell r="V194">
            <v>0</v>
          </cell>
          <cell r="W194">
            <v>17500</v>
          </cell>
          <cell r="X194">
            <v>0</v>
          </cell>
          <cell r="Y194">
            <v>0</v>
          </cell>
          <cell r="Z194">
            <v>17500</v>
          </cell>
          <cell r="AA194">
            <v>0</v>
          </cell>
          <cell r="AB194">
            <v>0</v>
          </cell>
          <cell r="AC194">
            <v>17500</v>
          </cell>
          <cell r="AD194">
            <v>0</v>
          </cell>
          <cell r="AE194">
            <v>70000</v>
          </cell>
          <cell r="AF194"/>
          <cell r="AG194"/>
          <cell r="AH194"/>
          <cell r="AI194"/>
          <cell r="AJ194">
            <v>70000</v>
          </cell>
          <cell r="AK194">
            <v>0</v>
          </cell>
          <cell r="AL194">
            <v>0</v>
          </cell>
          <cell r="AM194">
            <v>0</v>
          </cell>
          <cell r="AN194">
            <v>0</v>
          </cell>
          <cell r="AO194">
            <v>0</v>
          </cell>
          <cell r="AP194">
            <v>70000</v>
          </cell>
          <cell r="AQ194" t="str">
            <v>Amazonas</v>
          </cell>
          <cell r="AS194" t="str">
            <v>x</v>
          </cell>
          <cell r="AT194">
            <v>0</v>
          </cell>
        </row>
        <row r="195">
          <cell r="B195" t="str">
            <v>COO0635</v>
          </cell>
          <cell r="C195" t="str">
            <v>OOGBA.N</v>
          </cell>
          <cell r="D195" t="str">
            <v>OOGN.S-S-2025-I-0259</v>
          </cell>
          <cell r="E195" t="str">
            <v>N-2025-G-0055</v>
          </cell>
          <cell r="F195" t="str">
            <v>N-2024-G-045</v>
          </cell>
          <cell r="G195" t="str">
            <v>Eletronorte</v>
          </cell>
          <cell r="H195" t="str">
            <v>Contratado</v>
          </cell>
          <cell r="I195" t="str">
            <v>Modernização dos contatores para comando e controle da UHE Balbina</v>
          </cell>
          <cell r="J195" t="str">
            <v>4500079722-Fornecimento de contatores para usina hidreletrica de Balbin</v>
          </cell>
          <cell r="K195" t="str">
            <v>4500079722-Fornecimento de contatores para usina hidreletrica de Balbin</v>
          </cell>
          <cell r="L195" t="str">
            <v>NO10101003</v>
          </cell>
          <cell r="M195" t="str">
            <v>UHE Balbina</v>
          </cell>
          <cell r="N195" t="str">
            <v>Geração</v>
          </cell>
          <cell r="O195" t="str">
            <v>Modernização de pequeno porte</v>
          </cell>
          <cell r="P195" t="str">
            <v>Modernização de pequeno porte</v>
          </cell>
          <cell r="Q195" t="str">
            <v>NGHI.0143</v>
          </cell>
          <cell r="R195" t="str">
            <v>OOG Modern. G PP 2025</v>
          </cell>
          <cell r="S195">
            <v>95544</v>
          </cell>
          <cell r="T195">
            <v>0</v>
          </cell>
          <cell r="U195">
            <v>0</v>
          </cell>
          <cell r="V195">
            <v>0</v>
          </cell>
          <cell r="W195">
            <v>0</v>
          </cell>
          <cell r="X195">
            <v>0</v>
          </cell>
          <cell r="Y195">
            <v>0</v>
          </cell>
          <cell r="Z195">
            <v>0</v>
          </cell>
          <cell r="AA195">
            <v>0</v>
          </cell>
          <cell r="AB195">
            <v>0</v>
          </cell>
          <cell r="AC195">
            <v>0</v>
          </cell>
          <cell r="AD195">
            <v>0</v>
          </cell>
          <cell r="AE195">
            <v>95544</v>
          </cell>
          <cell r="AF195">
            <v>0</v>
          </cell>
          <cell r="AG195">
            <v>0</v>
          </cell>
          <cell r="AH195">
            <v>0</v>
          </cell>
          <cell r="AI195">
            <v>0</v>
          </cell>
          <cell r="AJ195">
            <v>95544</v>
          </cell>
          <cell r="AK195">
            <v>0</v>
          </cell>
          <cell r="AL195">
            <v>0</v>
          </cell>
          <cell r="AM195">
            <v>0</v>
          </cell>
          <cell r="AN195">
            <v>0</v>
          </cell>
          <cell r="AO195">
            <v>0</v>
          </cell>
          <cell r="AP195">
            <v>95544</v>
          </cell>
          <cell r="AQ195" t="str">
            <v>Amazonas</v>
          </cell>
          <cell r="AS195" t="str">
            <v>x</v>
          </cell>
          <cell r="AT195">
            <v>0</v>
          </cell>
        </row>
        <row r="196">
          <cell r="B196" t="str">
            <v>COO0636</v>
          </cell>
          <cell r="C196" t="str">
            <v>OOGSA.N</v>
          </cell>
          <cell r="D196" t="str">
            <v>OOGN.S-S-2025-I-0142</v>
          </cell>
          <cell r="E196" t="str">
            <v>N-2025-G-0038</v>
          </cell>
          <cell r="F196" t="str">
            <v>N-2024-G-039</v>
          </cell>
          <cell r="G196" t="str">
            <v>Eletronorte</v>
          </cell>
          <cell r="H196" t="str">
            <v>Contratado</v>
          </cell>
          <cell r="I196" t="str">
            <v>Substituição do Banco de Baterias da UHE Samuel</v>
          </cell>
          <cell r="J196" t="str">
            <v>4500080092-Aquisição de banco de baterias, visando possibilitar a substituição dos bancos de baterias instalados na usina hidrelétrica de Balbina e Samuel.</v>
          </cell>
          <cell r="K196" t="str">
            <v>4500080092-Aquisição de banco de baterias, visando possibilitar a substituição dos bancos de baterias instalados na usina hidrelétrica de Balbina e Samuel.</v>
          </cell>
          <cell r="L196" t="str">
            <v>NO10104003</v>
          </cell>
          <cell r="M196" t="str">
            <v>UHE Samuel</v>
          </cell>
          <cell r="N196" t="str">
            <v>Geração</v>
          </cell>
          <cell r="O196" t="str">
            <v>Modernização de pequeno porte</v>
          </cell>
          <cell r="P196" t="str">
            <v>Modernização de pequeno porte</v>
          </cell>
          <cell r="Q196" t="str">
            <v>NGHI.0143</v>
          </cell>
          <cell r="R196" t="str">
            <v>OOG Modern. G PP 2025</v>
          </cell>
          <cell r="S196">
            <v>0</v>
          </cell>
          <cell r="T196">
            <v>0</v>
          </cell>
          <cell r="U196">
            <v>0</v>
          </cell>
          <cell r="V196">
            <v>0</v>
          </cell>
          <cell r="W196">
            <v>0</v>
          </cell>
          <cell r="X196">
            <v>0</v>
          </cell>
          <cell r="Y196">
            <v>0</v>
          </cell>
          <cell r="Z196">
            <v>381642</v>
          </cell>
          <cell r="AA196">
            <v>0</v>
          </cell>
          <cell r="AB196">
            <v>0</v>
          </cell>
          <cell r="AC196">
            <v>0</v>
          </cell>
          <cell r="AD196">
            <v>0</v>
          </cell>
          <cell r="AE196">
            <v>381642</v>
          </cell>
          <cell r="AF196"/>
          <cell r="AG196"/>
          <cell r="AH196"/>
          <cell r="AI196"/>
          <cell r="AJ196">
            <v>381642</v>
          </cell>
          <cell r="AK196">
            <v>0</v>
          </cell>
          <cell r="AL196">
            <v>0</v>
          </cell>
          <cell r="AM196">
            <v>0</v>
          </cell>
          <cell r="AN196">
            <v>0</v>
          </cell>
          <cell r="AO196">
            <v>0</v>
          </cell>
          <cell r="AP196">
            <v>381642</v>
          </cell>
          <cell r="AQ196" t="str">
            <v>Rondônia</v>
          </cell>
          <cell r="AS196" t="str">
            <v>x</v>
          </cell>
          <cell r="AT196">
            <v>0</v>
          </cell>
        </row>
        <row r="197">
          <cell r="B197" t="str">
            <v>COO0637</v>
          </cell>
          <cell r="C197" t="str">
            <v>OOGBA.N</v>
          </cell>
          <cell r="D197" t="str">
            <v>OOGN.S-S-2025-I-0150</v>
          </cell>
          <cell r="E197" t="str">
            <v>N-2025-G-0040</v>
          </cell>
          <cell r="F197" t="str">
            <v>N-2024-G-038</v>
          </cell>
          <cell r="G197" t="str">
            <v>Eletronorte</v>
          </cell>
          <cell r="H197" t="str">
            <v>Contratado</v>
          </cell>
          <cell r="I197" t="str">
            <v>Substituição do Banco de Baterias da UHE Balbina</v>
          </cell>
          <cell r="J197" t="str">
            <v>4500080092-Aquisição de banco de baterias, visando possibilitar a substituição dos bancos de baterias instalados na usina hidrelétrica de Balbina e Samuel.</v>
          </cell>
          <cell r="K197" t="str">
            <v>4500080092-Aquisição de banco de baterias, visando possibilitar a substituição dos bancos de baterias instalados na usina hidrelétrica de Balbina e Samuel.</v>
          </cell>
          <cell r="L197" t="str">
            <v>NO10101003</v>
          </cell>
          <cell r="M197" t="str">
            <v>UHE Balbina</v>
          </cell>
          <cell r="N197" t="str">
            <v>Geração</v>
          </cell>
          <cell r="O197" t="str">
            <v>Modernização de pequeno porte</v>
          </cell>
          <cell r="P197" t="str">
            <v>Modernização de pequeno porte</v>
          </cell>
          <cell r="Q197" t="str">
            <v>NGHI.0143</v>
          </cell>
          <cell r="R197" t="str">
            <v>OOG Modern. G PP 2025</v>
          </cell>
          <cell r="S197">
            <v>0</v>
          </cell>
          <cell r="T197">
            <v>341000</v>
          </cell>
          <cell r="U197">
            <v>0</v>
          </cell>
          <cell r="V197">
            <v>0</v>
          </cell>
          <cell r="W197">
            <v>0</v>
          </cell>
          <cell r="X197">
            <v>0</v>
          </cell>
          <cell r="Y197">
            <v>0</v>
          </cell>
          <cell r="Z197">
            <v>0</v>
          </cell>
          <cell r="AA197">
            <v>0</v>
          </cell>
          <cell r="AB197">
            <v>0</v>
          </cell>
          <cell r="AC197">
            <v>0</v>
          </cell>
          <cell r="AD197">
            <v>0</v>
          </cell>
          <cell r="AE197">
            <v>341000</v>
          </cell>
          <cell r="AF197"/>
          <cell r="AG197"/>
          <cell r="AH197"/>
          <cell r="AI197"/>
          <cell r="AJ197">
            <v>341000</v>
          </cell>
          <cell r="AK197">
            <v>0</v>
          </cell>
          <cell r="AL197">
            <v>0</v>
          </cell>
          <cell r="AM197">
            <v>0</v>
          </cell>
          <cell r="AN197">
            <v>0</v>
          </cell>
          <cell r="AO197">
            <v>0</v>
          </cell>
          <cell r="AP197">
            <v>341000</v>
          </cell>
          <cell r="AQ197" t="str">
            <v>Amazonas</v>
          </cell>
          <cell r="AS197" t="str">
            <v>x</v>
          </cell>
          <cell r="AT197">
            <v>0</v>
          </cell>
        </row>
        <row r="198">
          <cell r="B198" t="str">
            <v>COO0638</v>
          </cell>
          <cell r="C198" t="str">
            <v>OOGBA.N</v>
          </cell>
          <cell r="D198" t="str">
            <v>OOGN.S-S-2025-I-0129</v>
          </cell>
          <cell r="E198" t="str">
            <v>N-2025-G-0036</v>
          </cell>
          <cell r="F198" t="str">
            <v>N-2025-G-092</v>
          </cell>
          <cell r="G198" t="str">
            <v>Eletronorte</v>
          </cell>
          <cell r="H198" t="str">
            <v>Nova Demanda</v>
          </cell>
          <cell r="I198" t="str">
            <v>Adequação de segurança das instalações da UHE Balbina</v>
          </cell>
          <cell r="J198" t="str">
            <v>Adequação dos guarda corpos externos da UHE Balbina, visando atender as normas de técncias e segurança</v>
          </cell>
          <cell r="K198" t="str">
            <v>Adequação dos guarda corpos externos da UHE Balbina, visando atender as normas de técncias e segurança</v>
          </cell>
          <cell r="L198" t="str">
            <v>NO10101003</v>
          </cell>
          <cell r="M198" t="str">
            <v>UHE Balbina</v>
          </cell>
          <cell r="N198" t="str">
            <v>Geração</v>
          </cell>
          <cell r="O198" t="str">
            <v>Modernização de pequeno porte</v>
          </cell>
          <cell r="P198" t="str">
            <v>Modernização de pequeno porte</v>
          </cell>
          <cell r="Q198" t="str">
            <v>NGHI.0143</v>
          </cell>
          <cell r="R198" t="str">
            <v>OOG Modern. G PP 2025</v>
          </cell>
          <cell r="S198">
            <v>0</v>
          </cell>
          <cell r="T198">
            <v>0</v>
          </cell>
          <cell r="U198">
            <v>0</v>
          </cell>
          <cell r="V198">
            <v>0</v>
          </cell>
          <cell r="W198">
            <v>0</v>
          </cell>
          <cell r="X198">
            <v>0</v>
          </cell>
          <cell r="Y198">
            <v>0</v>
          </cell>
          <cell r="Z198">
            <v>0</v>
          </cell>
          <cell r="AA198">
            <v>150000</v>
          </cell>
          <cell r="AB198">
            <v>150000</v>
          </cell>
          <cell r="AC198">
            <v>150000</v>
          </cell>
          <cell r="AD198">
            <v>0</v>
          </cell>
          <cell r="AE198">
            <v>450000</v>
          </cell>
          <cell r="AF198">
            <v>450000</v>
          </cell>
          <cell r="AG198">
            <v>200000</v>
          </cell>
          <cell r="AH198"/>
          <cell r="AI198"/>
          <cell r="AJ198">
            <v>1100000</v>
          </cell>
          <cell r="AK198">
            <v>0</v>
          </cell>
          <cell r="AL198">
            <v>0</v>
          </cell>
          <cell r="AM198">
            <v>0</v>
          </cell>
          <cell r="AN198">
            <v>0</v>
          </cell>
          <cell r="AO198">
            <v>0</v>
          </cell>
          <cell r="AP198">
            <v>1100000</v>
          </cell>
          <cell r="AQ198" t="str">
            <v>Amazonas</v>
          </cell>
          <cell r="AS198" t="str">
            <v>x</v>
          </cell>
          <cell r="AT198">
            <v>650000</v>
          </cell>
        </row>
        <row r="199">
          <cell r="B199" t="str">
            <v>COO0639</v>
          </cell>
          <cell r="C199" t="str">
            <v>OOGCN.N</v>
          </cell>
          <cell r="D199" t="str">
            <v>OOGN.S-S-2025-I-0131</v>
          </cell>
          <cell r="E199" t="str">
            <v>N-2025-G-0037</v>
          </cell>
          <cell r="F199" t="str">
            <v>N-2025-G-194</v>
          </cell>
          <cell r="G199" t="str">
            <v>Eletronorte</v>
          </cell>
          <cell r="H199" t="str">
            <v>Nova Demanda</v>
          </cell>
          <cell r="I199" t="str">
            <v>Modernização do sistema de proteção contra incêndio da UHE Coaracy Nunes</v>
          </cell>
          <cell r="J199" t="str">
            <v>Atendimento a demanda do CBMAP (projeto que está em analise na instuição)</v>
          </cell>
          <cell r="K199" t="str">
            <v>Atendimento a demanda do CBMAP (projeto que está em analise na instuição)</v>
          </cell>
          <cell r="L199" t="str">
            <v>NO10102003</v>
          </cell>
          <cell r="M199" t="str">
            <v>UHE Coaracy Nunes</v>
          </cell>
          <cell r="N199" t="str">
            <v>Geração</v>
          </cell>
          <cell r="O199" t="str">
            <v>Modernização de pequeno porte</v>
          </cell>
          <cell r="P199" t="str">
            <v>Modernização de pequeno porte</v>
          </cell>
          <cell r="Q199" t="str">
            <v>NGHI.0003</v>
          </cell>
          <cell r="R199" t="str">
            <v>UHCN - ADEQUAÇÃO PROJ COMBAT INC - AVCB</v>
          </cell>
          <cell r="S199">
            <v>0</v>
          </cell>
          <cell r="T199">
            <v>0</v>
          </cell>
          <cell r="U199">
            <v>0</v>
          </cell>
          <cell r="V199">
            <v>0</v>
          </cell>
          <cell r="W199">
            <v>0</v>
          </cell>
          <cell r="X199">
            <v>400000</v>
          </cell>
          <cell r="Y199">
            <v>0</v>
          </cell>
          <cell r="Z199">
            <v>0</v>
          </cell>
          <cell r="AA199">
            <v>0</v>
          </cell>
          <cell r="AB199">
            <v>0</v>
          </cell>
          <cell r="AC199">
            <v>0</v>
          </cell>
          <cell r="AD199">
            <v>0</v>
          </cell>
          <cell r="AE199">
            <v>400000</v>
          </cell>
          <cell r="AF199">
            <v>1000000</v>
          </cell>
          <cell r="AG199"/>
          <cell r="AH199"/>
          <cell r="AI199"/>
          <cell r="AJ199">
            <v>1400000</v>
          </cell>
          <cell r="AK199">
            <v>0</v>
          </cell>
          <cell r="AL199">
            <v>0</v>
          </cell>
          <cell r="AM199">
            <v>0</v>
          </cell>
          <cell r="AN199">
            <v>0</v>
          </cell>
          <cell r="AO199">
            <v>0</v>
          </cell>
          <cell r="AP199">
            <v>1400000</v>
          </cell>
          <cell r="AQ199" t="str">
            <v>Amapá</v>
          </cell>
          <cell r="AS199" t="str">
            <v>x</v>
          </cell>
          <cell r="AT199">
            <v>1000000</v>
          </cell>
        </row>
        <row r="200">
          <cell r="B200" t="str">
            <v>COO0640</v>
          </cell>
          <cell r="C200" t="str">
            <v>OOMG.N</v>
          </cell>
          <cell r="D200"/>
          <cell r="E200" t="str">
            <v>N-2025-G-0180</v>
          </cell>
          <cell r="F200" t="str">
            <v>N-2025-G-093</v>
          </cell>
          <cell r="G200" t="str">
            <v>Eletronorte</v>
          </cell>
          <cell r="H200" t="str">
            <v>Nova Demanda</v>
          </cell>
          <cell r="I200" t="str">
            <v>Modernização de DCP 138 kV para diversas usinas da Eletronorte</v>
          </cell>
          <cell r="J200" t="str">
            <v>Aquisição DCP</v>
          </cell>
          <cell r="K200" t="str">
            <v>Aquisição DCP</v>
          </cell>
          <cell r="L200" t="str">
            <v>Diversos</v>
          </cell>
          <cell r="M200" t="str">
            <v>Diversas UHE</v>
          </cell>
          <cell r="N200" t="str">
            <v>Geração</v>
          </cell>
          <cell r="O200" t="str">
            <v>Modernização de pequeno porte</v>
          </cell>
          <cell r="P200" t="str">
            <v>Modernização de pequeno porte</v>
          </cell>
          <cell r="Q200" t="str">
            <v>nghi.0141</v>
          </cell>
          <cell r="R200" t="str">
            <v>Não cadastrado</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500000</v>
          </cell>
          <cell r="AG200"/>
          <cell r="AH200"/>
          <cell r="AI200"/>
          <cell r="AJ200">
            <v>500000</v>
          </cell>
          <cell r="AK200">
            <v>0</v>
          </cell>
          <cell r="AL200">
            <v>0</v>
          </cell>
          <cell r="AM200">
            <v>0</v>
          </cell>
          <cell r="AN200">
            <v>0</v>
          </cell>
          <cell r="AO200">
            <v>0</v>
          </cell>
          <cell r="AP200">
            <v>500000</v>
          </cell>
          <cell r="AQ200" t="str">
            <v>Pará</v>
          </cell>
          <cell r="AS200" t="str">
            <v>x</v>
          </cell>
          <cell r="AT200">
            <v>500000</v>
          </cell>
        </row>
        <row r="201">
          <cell r="B201" t="str">
            <v>COO0641</v>
          </cell>
          <cell r="C201" t="str">
            <v>OOGR.S</v>
          </cell>
          <cell r="D201" t="str">
            <v>OOME.C-C-2025-I-0031</v>
          </cell>
          <cell r="E201" t="str">
            <v>N-2025-G-0135</v>
          </cell>
          <cell r="F201" t="str">
            <v>N-2025-G-147</v>
          </cell>
          <cell r="G201" t="str">
            <v>Eletronorte</v>
          </cell>
          <cell r="H201" t="str">
            <v>Nova Demanda</v>
          </cell>
          <cell r="I201" t="str">
            <v>Modernização do sistema de reestabelecimento em emergência do serviço auxiliar da UHE Balbina</v>
          </cell>
          <cell r="J201" t="str">
            <v>Aquisição de 02 GDE (480Vca / 750kVA), 02 transformadores (0,48/13,8kV) e 02 GDE (380Vca / 350kVA) + sistema de controle e comutação de fontes.</v>
          </cell>
          <cell r="K201" t="str">
            <v>Aquisição de 02 GDE (480Vca / 750kVA), 02 transformadores (0,48/13,8kV) e 02 GDE (380Vca / 350kVA) + sistema de controle e comutação de fontes.</v>
          </cell>
          <cell r="L201" t="str">
            <v>NO10101003</v>
          </cell>
          <cell r="M201" t="str">
            <v>UHE Balbina</v>
          </cell>
          <cell r="N201" t="str">
            <v>Geração</v>
          </cell>
          <cell r="O201" t="str">
            <v>Modernização de pequeno porte</v>
          </cell>
          <cell r="P201" t="str">
            <v>Modernização de pequeno porte</v>
          </cell>
          <cell r="Q201" t="str">
            <v>NGHI.0141</v>
          </cell>
          <cell r="R201" t="str">
            <v>OOM Modern. G PP 2025</v>
          </cell>
          <cell r="S201">
            <v>0</v>
          </cell>
          <cell r="T201">
            <v>0</v>
          </cell>
          <cell r="U201">
            <v>0</v>
          </cell>
          <cell r="V201">
            <v>0</v>
          </cell>
          <cell r="W201">
            <v>0</v>
          </cell>
          <cell r="X201">
            <v>0</v>
          </cell>
          <cell r="Y201">
            <v>0</v>
          </cell>
          <cell r="Z201">
            <v>0</v>
          </cell>
          <cell r="AA201">
            <v>0</v>
          </cell>
          <cell r="AB201">
            <v>0</v>
          </cell>
          <cell r="AC201">
            <v>5000000</v>
          </cell>
          <cell r="AD201">
            <v>0</v>
          </cell>
          <cell r="AE201">
            <v>5000000</v>
          </cell>
          <cell r="AF201"/>
          <cell r="AG201"/>
          <cell r="AH201"/>
          <cell r="AI201"/>
          <cell r="AJ201">
            <v>5000000</v>
          </cell>
          <cell r="AK201">
            <v>0</v>
          </cell>
          <cell r="AL201">
            <v>0</v>
          </cell>
          <cell r="AM201">
            <v>0</v>
          </cell>
          <cell r="AN201">
            <v>0</v>
          </cell>
          <cell r="AO201">
            <v>0</v>
          </cell>
          <cell r="AP201">
            <v>5000000</v>
          </cell>
          <cell r="AQ201" t="str">
            <v>Amazonas</v>
          </cell>
          <cell r="AS201" t="str">
            <v>x</v>
          </cell>
          <cell r="AT201">
            <v>0</v>
          </cell>
        </row>
        <row r="202">
          <cell r="B202" t="str">
            <v>COO0642</v>
          </cell>
          <cell r="C202" t="str">
            <v>OOET.N</v>
          </cell>
          <cell r="D202" t="str">
            <v>OOMB.C-C-2025-I-0004</v>
          </cell>
          <cell r="E202" t="str">
            <v>N-2025-G-0156</v>
          </cell>
          <cell r="F202" t="str">
            <v>N-2025-G-123</v>
          </cell>
          <cell r="G202" t="str">
            <v>Eletronorte</v>
          </cell>
          <cell r="H202" t="str">
            <v>Nova Demanda</v>
          </cell>
          <cell r="I202" t="str">
            <v>Modernização de 03 unidade geradoras novas para substituir as existentes nas usinas do interior.</v>
          </cell>
          <cell r="J202" t="str">
            <v xml:space="preserve">Aquisição de 03 unidade geradoras novas para substituir as existentes nas usinas do interior. (pendente aprovação da diretoria) </v>
          </cell>
          <cell r="K202" t="str">
            <v xml:space="preserve">Aquisição de 03 unidade geradoras novas para substituir as existentes nas usinas do interior. (pendente aprovação da diretoria) </v>
          </cell>
          <cell r="L202" t="str">
            <v>Diversos</v>
          </cell>
          <cell r="M202" t="str">
            <v>Diversas UTE</v>
          </cell>
          <cell r="N202" t="str">
            <v>Geração</v>
          </cell>
          <cell r="O202" t="str">
            <v>Modernização de pequeno porte</v>
          </cell>
          <cell r="P202" t="str">
            <v>Modernização de pequeno porte</v>
          </cell>
          <cell r="Q202" t="str">
            <v>NGTE.0030</v>
          </cell>
          <cell r="R202" t="str">
            <v>Mordernização Térmicas 2025</v>
          </cell>
          <cell r="S202">
            <v>0</v>
          </cell>
          <cell r="T202">
            <v>0</v>
          </cell>
          <cell r="U202">
            <v>0</v>
          </cell>
          <cell r="V202">
            <v>5290070</v>
          </cell>
          <cell r="W202">
            <v>0</v>
          </cell>
          <cell r="X202">
            <v>0</v>
          </cell>
          <cell r="Y202">
            <v>0</v>
          </cell>
          <cell r="Z202">
            <v>0</v>
          </cell>
          <cell r="AA202">
            <v>0</v>
          </cell>
          <cell r="AB202">
            <v>0</v>
          </cell>
          <cell r="AC202">
            <v>0</v>
          </cell>
          <cell r="AD202">
            <v>0</v>
          </cell>
          <cell r="AE202">
            <v>5290070</v>
          </cell>
          <cell r="AF202"/>
          <cell r="AG202"/>
          <cell r="AH202"/>
          <cell r="AI202"/>
          <cell r="AJ202">
            <v>5290070</v>
          </cell>
          <cell r="AK202">
            <v>0</v>
          </cell>
          <cell r="AL202">
            <v>0</v>
          </cell>
          <cell r="AM202">
            <v>0</v>
          </cell>
          <cell r="AN202">
            <v>0</v>
          </cell>
          <cell r="AO202">
            <v>0</v>
          </cell>
          <cell r="AP202">
            <v>5290070</v>
          </cell>
          <cell r="AQ202" t="str">
            <v>Desinvestimento</v>
          </cell>
          <cell r="AS202" t="str">
            <v>x</v>
          </cell>
          <cell r="AT202">
            <v>0</v>
          </cell>
        </row>
        <row r="203">
          <cell r="B203" t="str">
            <v>COO0643</v>
          </cell>
          <cell r="C203" t="str">
            <v>OOEA.N</v>
          </cell>
          <cell r="D203" t="str">
            <v>OOGN.S-S-2025-I-0147</v>
          </cell>
          <cell r="E203" t="str">
            <v>N-2025-G-0154</v>
          </cell>
          <cell r="F203" t="str">
            <v>N-2025-G-121</v>
          </cell>
          <cell r="G203" t="str">
            <v>Eletronorte</v>
          </cell>
          <cell r="H203" t="str">
            <v>Nova Demanda</v>
          </cell>
          <cell r="I203" t="str">
            <v>Aquisição das bombas para os sistema do Gerador Elétrico, Turbina e STA da UTE Aparecida</v>
          </cell>
          <cell r="J203" t="str">
            <v>Aquisição de bombas para os sistema do Gerador Elétrico, Turbina e STA – UTE Aparecida</v>
          </cell>
          <cell r="K203" t="str">
            <v>Aquisição de bombas para os sistema do Gerador Elétrico, Turbina e STA – UTE Aparecida</v>
          </cell>
          <cell r="L203" t="str">
            <v>NO10603003</v>
          </cell>
          <cell r="M203" t="str">
            <v>UTE Aparecida</v>
          </cell>
          <cell r="N203" t="str">
            <v>Geração</v>
          </cell>
          <cell r="O203" t="str">
            <v>Modernização de pequeno porte</v>
          </cell>
          <cell r="P203" t="str">
            <v>Modernização de pequeno porte</v>
          </cell>
          <cell r="Q203" t="str">
            <v>NGTE.0030</v>
          </cell>
          <cell r="R203" t="str">
            <v>Mordernização Térmicas 2025</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cell r="AG203"/>
          <cell r="AH203"/>
          <cell r="AI203"/>
          <cell r="AJ203">
            <v>0</v>
          </cell>
          <cell r="AK203">
            <v>0</v>
          </cell>
          <cell r="AL203">
            <v>0</v>
          </cell>
          <cell r="AM203">
            <v>0</v>
          </cell>
          <cell r="AN203">
            <v>0</v>
          </cell>
          <cell r="AO203">
            <v>0</v>
          </cell>
          <cell r="AP203">
            <v>0</v>
          </cell>
          <cell r="AQ203" t="str">
            <v>Desinvestimento</v>
          </cell>
          <cell r="AS203" t="str">
            <v>x</v>
          </cell>
          <cell r="AT203">
            <v>0</v>
          </cell>
        </row>
        <row r="204">
          <cell r="B204" t="str">
            <v>COO0644</v>
          </cell>
          <cell r="C204" t="str">
            <v>OOEU.N</v>
          </cell>
          <cell r="D204" t="str">
            <v>OOGN.S-S-2025-I-0110</v>
          </cell>
          <cell r="E204" t="str">
            <v>N-2025-G-0161</v>
          </cell>
          <cell r="F204" t="str">
            <v>N-2025-G-117</v>
          </cell>
          <cell r="G204" t="str">
            <v>Eletronorte</v>
          </cell>
          <cell r="H204" t="str">
            <v>Nova Demanda</v>
          </cell>
          <cell r="I204" t="str">
            <v>Aquisição da bomba centrífuga de lodo da UTE Mauá 3</v>
          </cell>
          <cell r="J204" t="str">
            <v>Aquisição de centrífuga de lodo</v>
          </cell>
          <cell r="K204" t="str">
            <v>Aquisição de centrífuga de lodo</v>
          </cell>
          <cell r="L204" t="str">
            <v>NO10606003</v>
          </cell>
          <cell r="M204" t="str">
            <v>UTE Mauá 3</v>
          </cell>
          <cell r="N204" t="str">
            <v>Geração</v>
          </cell>
          <cell r="O204" t="str">
            <v>Modernização de pequeno porte</v>
          </cell>
          <cell r="P204" t="str">
            <v>Modernização de pequeno porte</v>
          </cell>
          <cell r="Q204" t="str">
            <v>NGTE.0021</v>
          </cell>
          <cell r="R204" t="str">
            <v>OOMODGUTMAALFA LAVAL CENTRIFUGADORA</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cell r="AG204"/>
          <cell r="AH204"/>
          <cell r="AI204"/>
          <cell r="AJ204">
            <v>0</v>
          </cell>
          <cell r="AK204">
            <v>0</v>
          </cell>
          <cell r="AL204">
            <v>0</v>
          </cell>
          <cell r="AM204">
            <v>0</v>
          </cell>
          <cell r="AN204">
            <v>0</v>
          </cell>
          <cell r="AO204">
            <v>0</v>
          </cell>
          <cell r="AP204">
            <v>0</v>
          </cell>
          <cell r="AQ204" t="str">
            <v>Desinvestimento</v>
          </cell>
          <cell r="AS204" t="str">
            <v>x</v>
          </cell>
          <cell r="AT204">
            <v>0</v>
          </cell>
        </row>
        <row r="205">
          <cell r="B205" t="str">
            <v>COO0645</v>
          </cell>
          <cell r="C205" t="str">
            <v>OOEA.N</v>
          </cell>
          <cell r="D205" t="str">
            <v>OOMB.C-C-2025-I-0002</v>
          </cell>
          <cell r="E205" t="str">
            <v>N-2025-G-0153</v>
          </cell>
          <cell r="F205" t="str">
            <v>N-2025-G-167</v>
          </cell>
          <cell r="G205" t="str">
            <v>Eletronorte</v>
          </cell>
          <cell r="H205" t="str">
            <v>Nova Demanda</v>
          </cell>
          <cell r="I205" t="str">
            <v>Modernização dos chillers centrífugos da UTE Aparecida</v>
          </cell>
          <cell r="J205" t="str">
            <v>Aquisição de chillers centrífugos</v>
          </cell>
          <cell r="K205" t="str">
            <v>Aquisição de chillers centrífugos</v>
          </cell>
          <cell r="L205" t="str">
            <v>NO10603003</v>
          </cell>
          <cell r="M205" t="str">
            <v>UTE Aparecida</v>
          </cell>
          <cell r="N205" t="str">
            <v>Geração</v>
          </cell>
          <cell r="O205" t="str">
            <v>Modernização de pequeno porte</v>
          </cell>
          <cell r="P205" t="str">
            <v>Modernização de pequeno porte</v>
          </cell>
          <cell r="Q205" t="str">
            <v>NGTE.0030</v>
          </cell>
          <cell r="R205" t="str">
            <v>Mordernização Térmicas 2025</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cell r="AG205"/>
          <cell r="AH205"/>
          <cell r="AI205"/>
          <cell r="AJ205">
            <v>0</v>
          </cell>
          <cell r="AK205">
            <v>0</v>
          </cell>
          <cell r="AL205">
            <v>0</v>
          </cell>
          <cell r="AM205">
            <v>0</v>
          </cell>
          <cell r="AN205">
            <v>0</v>
          </cell>
          <cell r="AO205">
            <v>0</v>
          </cell>
          <cell r="AP205">
            <v>0</v>
          </cell>
          <cell r="AQ205" t="str">
            <v>Desinvestimento</v>
          </cell>
          <cell r="AS205" t="str">
            <v>x</v>
          </cell>
          <cell r="AT205">
            <v>0</v>
          </cell>
        </row>
        <row r="206">
          <cell r="B206" t="str">
            <v>COO0646</v>
          </cell>
          <cell r="C206" t="str">
            <v>OOGSA.N</v>
          </cell>
          <cell r="D206" t="str">
            <v>OOGFU.F-OS-2025-I-0534</v>
          </cell>
          <cell r="E206" t="str">
            <v>N-2025-G-0071</v>
          </cell>
          <cell r="F206" t="str">
            <v>N-2025-G-125</v>
          </cell>
          <cell r="G206" t="str">
            <v>Eletronorte</v>
          </cell>
          <cell r="H206" t="str">
            <v>Nova Demanda</v>
          </cell>
          <cell r="I206" t="str">
            <v>Substituição do Banco de Baterias da UHE Samuel</v>
          </cell>
          <cell r="J206" t="str">
            <v>Aquisição de dois bancos e baterias 770AH 125 VCC (substituição bancos 4 e 5)</v>
          </cell>
          <cell r="K206" t="str">
            <v>Aquisição de dois bancos e baterias 770AH 125 VCC (substituição bancos 4 e 5)</v>
          </cell>
          <cell r="L206" t="str">
            <v>NO10104003</v>
          </cell>
          <cell r="M206" t="str">
            <v>UHE Samuel</v>
          </cell>
          <cell r="N206" t="str">
            <v>Geração</v>
          </cell>
          <cell r="O206" t="str">
            <v>Modernização de pequeno porte</v>
          </cell>
          <cell r="P206" t="str">
            <v>Modernização de pequeno porte</v>
          </cell>
          <cell r="Q206" t="str">
            <v>NGHI.0143</v>
          </cell>
          <cell r="R206" t="str">
            <v>OOG Modern. G PP 2025</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500000</v>
          </cell>
          <cell r="AG206"/>
          <cell r="AH206"/>
          <cell r="AI206"/>
          <cell r="AJ206">
            <v>500000</v>
          </cell>
          <cell r="AK206">
            <v>0</v>
          </cell>
          <cell r="AL206">
            <v>0</v>
          </cell>
          <cell r="AM206">
            <v>0</v>
          </cell>
          <cell r="AN206">
            <v>0</v>
          </cell>
          <cell r="AO206">
            <v>0</v>
          </cell>
          <cell r="AP206">
            <v>500000</v>
          </cell>
          <cell r="AQ206" t="str">
            <v>Rondônia</v>
          </cell>
          <cell r="AS206" t="str">
            <v>x</v>
          </cell>
          <cell r="AT206">
            <v>500000</v>
          </cell>
        </row>
        <row r="207">
          <cell r="B207" t="str">
            <v>COO0647</v>
          </cell>
          <cell r="C207" t="str">
            <v>OOMG.N</v>
          </cell>
          <cell r="D207" t="str">
            <v>OOPM.S-S-2025-I-0072</v>
          </cell>
          <cell r="E207" t="str">
            <v>N-2025-G-0118</v>
          </cell>
          <cell r="F207" t="str">
            <v>N-2025-G-236</v>
          </cell>
          <cell r="G207" t="str">
            <v>Eletronorte</v>
          </cell>
          <cell r="H207" t="str">
            <v>Nova Demanda</v>
          </cell>
          <cell r="I207" t="str">
            <v>Modernização de 02 transformadores 13,8/440V para alimentação Vertedouro da UHE Tucuruí</v>
          </cell>
          <cell r="J207" t="str">
            <v>Aquisição de dois Transformadores de 13,8/440V para alimantação Vertedouro</v>
          </cell>
          <cell r="K207" t="str">
            <v>Aquisição de dois Transformadores de 13,8/440V para alimantação Vertedouro</v>
          </cell>
          <cell r="L207" t="str">
            <v>NO10105003</v>
          </cell>
          <cell r="M207" t="str">
            <v>UHE Tucuruí</v>
          </cell>
          <cell r="N207" t="str">
            <v>Geração</v>
          </cell>
          <cell r="O207" t="str">
            <v>Modernização de pequeno porte</v>
          </cell>
          <cell r="P207" t="str">
            <v>Modernização de pequeno porte</v>
          </cell>
          <cell r="Q207" t="str">
            <v>NGHI.0141</v>
          </cell>
          <cell r="R207" t="str">
            <v>OOM Modern. G PP 2025</v>
          </cell>
          <cell r="S207">
            <v>0</v>
          </cell>
          <cell r="T207">
            <v>0</v>
          </cell>
          <cell r="U207">
            <v>0</v>
          </cell>
          <cell r="V207">
            <v>0</v>
          </cell>
          <cell r="W207">
            <v>0</v>
          </cell>
          <cell r="X207">
            <v>0</v>
          </cell>
          <cell r="Y207">
            <v>0</v>
          </cell>
          <cell r="Z207">
            <v>0</v>
          </cell>
          <cell r="AA207">
            <v>0</v>
          </cell>
          <cell r="AB207">
            <v>0</v>
          </cell>
          <cell r="AC207">
            <v>0</v>
          </cell>
          <cell r="AD207">
            <v>1000000</v>
          </cell>
          <cell r="AE207">
            <v>1000000</v>
          </cell>
          <cell r="AF207">
            <v>1000000</v>
          </cell>
          <cell r="AG207"/>
          <cell r="AH207"/>
          <cell r="AI207"/>
          <cell r="AJ207">
            <v>2000000</v>
          </cell>
          <cell r="AK207">
            <v>0</v>
          </cell>
          <cell r="AL207">
            <v>0</v>
          </cell>
          <cell r="AM207">
            <v>0</v>
          </cell>
          <cell r="AN207">
            <v>0</v>
          </cell>
          <cell r="AO207">
            <v>0</v>
          </cell>
          <cell r="AP207">
            <v>2000000</v>
          </cell>
          <cell r="AQ207" t="str">
            <v>Pará</v>
          </cell>
          <cell r="AS207" t="str">
            <v>x</v>
          </cell>
          <cell r="AT207">
            <v>1000000</v>
          </cell>
        </row>
        <row r="208">
          <cell r="B208" t="str">
            <v>COO0648</v>
          </cell>
          <cell r="C208" t="str">
            <v>OOGT.N</v>
          </cell>
          <cell r="D208" t="str">
            <v>OOGS.S-S-2025-I-0221</v>
          </cell>
          <cell r="E208" t="str">
            <v>N-2025-G-0011</v>
          </cell>
          <cell r="F208" t="str">
            <v>N-2025-G-190</v>
          </cell>
          <cell r="G208" t="str">
            <v>Eletronorte</v>
          </cell>
          <cell r="H208" t="str">
            <v>Nova Demanda</v>
          </cell>
          <cell r="I208" t="str">
            <v>Aquisição de para-raios e DCP de linha para a UHE Tucuruí</v>
          </cell>
          <cell r="J208" t="str">
            <v>Aquisição de equipamentos de proteção e limitadores  de valores dos surtos de tensão transitórios</v>
          </cell>
          <cell r="K208" t="str">
            <v>Aquisição de equipamentos de proteção e limitadores  de valores dos surtos de tensão transitórios</v>
          </cell>
          <cell r="L208" t="str">
            <v>NO10105003</v>
          </cell>
          <cell r="M208" t="str">
            <v>UHE Tucuruí</v>
          </cell>
          <cell r="N208" t="str">
            <v>Geração</v>
          </cell>
          <cell r="O208" t="str">
            <v>Modernização de pequeno porte</v>
          </cell>
          <cell r="P208" t="str">
            <v>Modernização de pequeno porte</v>
          </cell>
          <cell r="Q208" t="str">
            <v>NGHI.0046</v>
          </cell>
          <cell r="R208" t="str">
            <v>UHTU-PARA RAIOS</v>
          </cell>
          <cell r="S208">
            <v>0</v>
          </cell>
          <cell r="T208">
            <v>0</v>
          </cell>
          <cell r="U208">
            <v>0</v>
          </cell>
          <cell r="V208">
            <v>0</v>
          </cell>
          <cell r="W208">
            <v>0</v>
          </cell>
          <cell r="X208">
            <v>0</v>
          </cell>
          <cell r="Y208">
            <v>0</v>
          </cell>
          <cell r="Z208">
            <v>0</v>
          </cell>
          <cell r="AA208">
            <v>0</v>
          </cell>
          <cell r="AB208">
            <v>0</v>
          </cell>
          <cell r="AC208">
            <v>150000</v>
          </cell>
          <cell r="AD208">
            <v>0</v>
          </cell>
          <cell r="AE208">
            <v>150000</v>
          </cell>
          <cell r="AF208">
            <v>1500000</v>
          </cell>
          <cell r="AG208"/>
          <cell r="AH208"/>
          <cell r="AI208"/>
          <cell r="AJ208">
            <v>1650000</v>
          </cell>
          <cell r="AK208">
            <v>0</v>
          </cell>
          <cell r="AL208">
            <v>0</v>
          </cell>
          <cell r="AM208">
            <v>0</v>
          </cell>
          <cell r="AN208">
            <v>0</v>
          </cell>
          <cell r="AO208">
            <v>0</v>
          </cell>
          <cell r="AP208">
            <v>1650000</v>
          </cell>
          <cell r="AQ208" t="str">
            <v>Pará</v>
          </cell>
          <cell r="AT208">
            <v>1500000</v>
          </cell>
        </row>
        <row r="209">
          <cell r="B209" t="str">
            <v>COO0649</v>
          </cell>
          <cell r="C209" t="str">
            <v>OOMG.N</v>
          </cell>
          <cell r="D209"/>
          <cell r="E209" t="str">
            <v>N-2025-G-0011</v>
          </cell>
          <cell r="F209" t="str">
            <v>N-2025-G-094</v>
          </cell>
          <cell r="G209" t="str">
            <v>Eletronorte</v>
          </cell>
          <cell r="H209" t="str">
            <v>Nova Demanda</v>
          </cell>
          <cell r="I209" t="str">
            <v>Modernização de DCP 500 kV para diversas usinas da Eletronorte</v>
          </cell>
          <cell r="J209" t="str">
            <v>Aquisição de equipamentos de proteção e limitadores  de valores dos surtos de tensão transitórios</v>
          </cell>
          <cell r="K209" t="str">
            <v>Aquisição de equipamentos de proteção e limitadores  de valores dos surtos de tensão transitórios</v>
          </cell>
          <cell r="L209" t="str">
            <v>NO10105003</v>
          </cell>
          <cell r="M209" t="str">
            <v>Diversas UHE</v>
          </cell>
          <cell r="N209" t="str">
            <v>Geração</v>
          </cell>
          <cell r="O209" t="str">
            <v>Modernização de pequeno porte</v>
          </cell>
          <cell r="P209" t="str">
            <v>Modernização de pequeno porte</v>
          </cell>
          <cell r="Q209" t="str">
            <v>NGHI.0141</v>
          </cell>
          <cell r="R209" t="str">
            <v>Não cadastrado</v>
          </cell>
          <cell r="S209">
            <v>0</v>
          </cell>
          <cell r="T209">
            <v>0</v>
          </cell>
          <cell r="U209">
            <v>0</v>
          </cell>
          <cell r="V209">
            <v>0</v>
          </cell>
          <cell r="W209">
            <v>0</v>
          </cell>
          <cell r="X209">
            <v>0</v>
          </cell>
          <cell r="Y209">
            <v>0</v>
          </cell>
          <cell r="Z209">
            <v>0</v>
          </cell>
          <cell r="AA209">
            <v>0</v>
          </cell>
          <cell r="AB209">
            <v>0</v>
          </cell>
          <cell r="AC209">
            <v>150000</v>
          </cell>
          <cell r="AD209">
            <v>0</v>
          </cell>
          <cell r="AE209">
            <v>150000</v>
          </cell>
          <cell r="AF209">
            <v>1500000</v>
          </cell>
          <cell r="AG209"/>
          <cell r="AH209"/>
          <cell r="AI209"/>
          <cell r="AJ209">
            <v>1650000</v>
          </cell>
          <cell r="AK209">
            <v>0</v>
          </cell>
          <cell r="AL209">
            <v>0</v>
          </cell>
          <cell r="AM209">
            <v>0</v>
          </cell>
          <cell r="AN209">
            <v>0</v>
          </cell>
          <cell r="AO209">
            <v>0</v>
          </cell>
          <cell r="AP209">
            <v>1650000</v>
          </cell>
          <cell r="AQ209" t="str">
            <v>Pará</v>
          </cell>
          <cell r="AT209">
            <v>1500000</v>
          </cell>
        </row>
        <row r="210">
          <cell r="B210" t="str">
            <v>COO0650</v>
          </cell>
          <cell r="C210" t="str">
            <v>OOMG.N</v>
          </cell>
          <cell r="D210"/>
          <cell r="E210" t="str">
            <v>N-2025-G-0178</v>
          </cell>
          <cell r="F210" t="str">
            <v>N-2025-G-188</v>
          </cell>
          <cell r="G210" t="str">
            <v>Eletronorte</v>
          </cell>
          <cell r="H210" t="str">
            <v>Nova Demanda</v>
          </cell>
          <cell r="I210" t="str">
            <v>Aquisição de para-raios 230 kV para a UHE.</v>
          </cell>
          <cell r="J210" t="str">
            <v>Aquisição de para raio</v>
          </cell>
          <cell r="K210" t="str">
            <v>Aquisição de para raio</v>
          </cell>
          <cell r="L210" t="str">
            <v>Diversos</v>
          </cell>
          <cell r="M210" t="str">
            <v>Não cadastrado</v>
          </cell>
          <cell r="N210" t="str">
            <v>Geração</v>
          </cell>
          <cell r="O210" t="str">
            <v>Modernização de pequeno porte</v>
          </cell>
          <cell r="P210" t="str">
            <v>Modernização de pequeno porte</v>
          </cell>
          <cell r="Q210" t="str">
            <v>nghi.0141</v>
          </cell>
          <cell r="R210" t="str">
            <v>Não cadastrado</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900000</v>
          </cell>
          <cell r="AG210"/>
          <cell r="AH210"/>
          <cell r="AI210"/>
          <cell r="AJ210">
            <v>900000</v>
          </cell>
          <cell r="AK210">
            <v>0</v>
          </cell>
          <cell r="AL210">
            <v>0</v>
          </cell>
          <cell r="AM210">
            <v>0</v>
          </cell>
          <cell r="AN210">
            <v>0</v>
          </cell>
          <cell r="AO210">
            <v>0</v>
          </cell>
          <cell r="AP210">
            <v>900000</v>
          </cell>
          <cell r="AQ210" t="str">
            <v>Pará</v>
          </cell>
          <cell r="AS210" t="str">
            <v>x</v>
          </cell>
          <cell r="AT210">
            <v>900000</v>
          </cell>
        </row>
        <row r="211">
          <cell r="B211" t="str">
            <v>COO0651</v>
          </cell>
          <cell r="C211" t="str">
            <v>OOMG.N</v>
          </cell>
          <cell r="D211"/>
          <cell r="E211" t="str">
            <v>N-2025-G-0177</v>
          </cell>
          <cell r="F211" t="str">
            <v>N-2025-G-189</v>
          </cell>
          <cell r="G211" t="str">
            <v>Eletronorte</v>
          </cell>
          <cell r="H211" t="str">
            <v>Nova Demanda</v>
          </cell>
          <cell r="I211" t="str">
            <v>Aquisição de para-raios 500 kV para a UHE.</v>
          </cell>
          <cell r="J211" t="str">
            <v>Aquisição de para raio</v>
          </cell>
          <cell r="K211" t="str">
            <v>Aquisição de para raio</v>
          </cell>
          <cell r="L211" t="str">
            <v>Diversos</v>
          </cell>
          <cell r="M211" t="str">
            <v>Não cadastrado</v>
          </cell>
          <cell r="N211" t="str">
            <v>Geração</v>
          </cell>
          <cell r="O211" t="str">
            <v>Modernização de pequeno porte</v>
          </cell>
          <cell r="P211" t="str">
            <v>Modernização de pequeno porte</v>
          </cell>
          <cell r="Q211" t="str">
            <v>NGHI.0046</v>
          </cell>
          <cell r="R211" t="str">
            <v>Não cadastrado</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1500000</v>
          </cell>
          <cell r="AG211"/>
          <cell r="AH211"/>
          <cell r="AI211"/>
          <cell r="AJ211">
            <v>1500000</v>
          </cell>
          <cell r="AK211">
            <v>0</v>
          </cell>
          <cell r="AL211">
            <v>0</v>
          </cell>
          <cell r="AM211">
            <v>0</v>
          </cell>
          <cell r="AN211">
            <v>0</v>
          </cell>
          <cell r="AO211">
            <v>0</v>
          </cell>
          <cell r="AP211">
            <v>1500000</v>
          </cell>
          <cell r="AQ211" t="str">
            <v>Pará</v>
          </cell>
          <cell r="AS211" t="str">
            <v>x</v>
          </cell>
          <cell r="AT211">
            <v>1500000</v>
          </cell>
        </row>
        <row r="212">
          <cell r="B212" t="str">
            <v>COO0652</v>
          </cell>
          <cell r="C212" t="str">
            <v>OOMG.N</v>
          </cell>
          <cell r="D212"/>
          <cell r="E212" t="str">
            <v>N-2025-G-0179</v>
          </cell>
          <cell r="F212" t="str">
            <v>N-2025-G-187</v>
          </cell>
          <cell r="G212" t="str">
            <v>Eletronorte</v>
          </cell>
          <cell r="H212" t="str">
            <v>Nova Demanda</v>
          </cell>
          <cell r="I212" t="str">
            <v>Aquisição de para-raios 138 kV para a UHE.</v>
          </cell>
          <cell r="J212" t="str">
            <v>Aquisição de para raio</v>
          </cell>
          <cell r="K212" t="str">
            <v>Aquisição de para raio</v>
          </cell>
          <cell r="L212" t="str">
            <v>Diversos</v>
          </cell>
          <cell r="M212" t="str">
            <v>Não cadastrado</v>
          </cell>
          <cell r="N212" t="str">
            <v>Geração</v>
          </cell>
          <cell r="O212" t="str">
            <v>Modernização de pequeno porte</v>
          </cell>
          <cell r="P212" t="str">
            <v>Modernização de pequeno porte</v>
          </cell>
          <cell r="Q212" t="str">
            <v>nghi.0141</v>
          </cell>
          <cell r="R212" t="str">
            <v>Não cadastrado</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1800000</v>
          </cell>
          <cell r="AG212"/>
          <cell r="AH212"/>
          <cell r="AI212"/>
          <cell r="AJ212">
            <v>1800000</v>
          </cell>
          <cell r="AK212">
            <v>0</v>
          </cell>
          <cell r="AL212">
            <v>0</v>
          </cell>
          <cell r="AM212">
            <v>0</v>
          </cell>
          <cell r="AN212">
            <v>0</v>
          </cell>
          <cell r="AO212">
            <v>0</v>
          </cell>
          <cell r="AP212">
            <v>1800000</v>
          </cell>
          <cell r="AQ212" t="str">
            <v>Pará</v>
          </cell>
          <cell r="AS212" t="str">
            <v>x</v>
          </cell>
          <cell r="AT212">
            <v>1800000</v>
          </cell>
        </row>
        <row r="213">
          <cell r="B213" t="str">
            <v>COO0653</v>
          </cell>
          <cell r="C213" t="str">
            <v>OOEA.N</v>
          </cell>
          <cell r="D213" t="str">
            <v>OOGS.S-S-2025-I-0103</v>
          </cell>
          <cell r="E213" t="str">
            <v>N-2025-G-0140</v>
          </cell>
          <cell r="F213" t="str">
            <v>N-2025-G-143</v>
          </cell>
          <cell r="G213" t="str">
            <v>Eletronorte</v>
          </cell>
          <cell r="H213" t="str">
            <v>Nova Demanda</v>
          </cell>
          <cell r="I213" t="str">
            <v>Aquisição de RDP do sistema de monitoramento de grandezas da UTE Aparecida</v>
          </cell>
          <cell r="J213" t="str">
            <v>Aquisição de RDP com Unidade de Medição Fasorial (PMU) para a UTE Aparecida</v>
          </cell>
          <cell r="K213" t="str">
            <v>Aquisição de RDP com Unidade de Medição Fasorial (PMU) para a UTE Aparecida</v>
          </cell>
          <cell r="L213" t="str">
            <v>NO10603003</v>
          </cell>
          <cell r="M213" t="str">
            <v>UTE Aparecida</v>
          </cell>
          <cell r="N213" t="str">
            <v>Geração</v>
          </cell>
          <cell r="O213" t="str">
            <v>Modernização de pequeno porte</v>
          </cell>
          <cell r="P213" t="str">
            <v>Modernização de pequeno porte</v>
          </cell>
          <cell r="Q213" t="str">
            <v>NGTE.0030</v>
          </cell>
          <cell r="R213" t="str">
            <v>Mordernização Térmicas 2025</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cell r="AG213"/>
          <cell r="AH213"/>
          <cell r="AI213"/>
          <cell r="AJ213">
            <v>0</v>
          </cell>
          <cell r="AK213">
            <v>0</v>
          </cell>
          <cell r="AL213">
            <v>0</v>
          </cell>
          <cell r="AM213">
            <v>0</v>
          </cell>
          <cell r="AN213">
            <v>0</v>
          </cell>
          <cell r="AO213">
            <v>0</v>
          </cell>
          <cell r="AP213">
            <v>0</v>
          </cell>
          <cell r="AQ213" t="str">
            <v>Desinvestimento</v>
          </cell>
          <cell r="AS213" t="str">
            <v>x</v>
          </cell>
          <cell r="AT213">
            <v>0</v>
          </cell>
        </row>
        <row r="214">
          <cell r="B214" t="str">
            <v>COO0654</v>
          </cell>
          <cell r="C214" t="str">
            <v>OOEU.N</v>
          </cell>
          <cell r="D214" t="str">
            <v>OOPM.S-S-2025-I-0053</v>
          </cell>
          <cell r="E214" t="str">
            <v>N-2025-G-0141</v>
          </cell>
          <cell r="F214" t="str">
            <v>N-2025-G-144</v>
          </cell>
          <cell r="G214" t="str">
            <v>Eletronorte</v>
          </cell>
          <cell r="H214" t="str">
            <v>Nova Demanda</v>
          </cell>
          <cell r="I214" t="str">
            <v>Aquisição de RDP do sistema de monitoramento de grandezas da UTE Mauá 3</v>
          </cell>
          <cell r="J214" t="str">
            <v>Aquisição de RDP com Unidade de Medição Fasorial (PMU) para a UTE Mauá 3</v>
          </cell>
          <cell r="K214" t="str">
            <v>Aquisição de RDP com Unidade de Medição Fasorial (PMU) para a UTE Mauá 3</v>
          </cell>
          <cell r="L214" t="str">
            <v>NO10606003</v>
          </cell>
          <cell r="M214" t="str">
            <v>UTE Mauá 3</v>
          </cell>
          <cell r="N214" t="str">
            <v>Geração</v>
          </cell>
          <cell r="O214" t="str">
            <v>Modernização de pequeno porte</v>
          </cell>
          <cell r="P214" t="str">
            <v>Modernização de pequeno porte</v>
          </cell>
          <cell r="Q214" t="str">
            <v>NGTE.0030</v>
          </cell>
          <cell r="R214" t="str">
            <v>Mordernização Térmicas 2025</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cell r="AG214"/>
          <cell r="AH214"/>
          <cell r="AI214"/>
          <cell r="AJ214">
            <v>0</v>
          </cell>
          <cell r="AK214">
            <v>0</v>
          </cell>
          <cell r="AL214">
            <v>0</v>
          </cell>
          <cell r="AM214">
            <v>0</v>
          </cell>
          <cell r="AN214">
            <v>0</v>
          </cell>
          <cell r="AO214">
            <v>0</v>
          </cell>
          <cell r="AP214">
            <v>0</v>
          </cell>
          <cell r="AQ214" t="str">
            <v>Desinvestimento</v>
          </cell>
          <cell r="AS214" t="str">
            <v>x</v>
          </cell>
          <cell r="AT214">
            <v>0</v>
          </cell>
        </row>
        <row r="215">
          <cell r="B215" t="str">
            <v>COO0655</v>
          </cell>
          <cell r="C215" t="str">
            <v>OOGT.N</v>
          </cell>
          <cell r="D215" t="str">
            <v>OOO.C-C-2025-I-0041</v>
          </cell>
          <cell r="E215" t="str">
            <v>N-2025-G-0006</v>
          </cell>
          <cell r="F215" t="str">
            <v>N-2025-G-217</v>
          </cell>
          <cell r="G215" t="str">
            <v>Eletronorte</v>
          </cell>
          <cell r="H215" t="str">
            <v>Nova Demanda</v>
          </cell>
          <cell r="I215" t="str">
            <v>Reserva imobilizada para UHE Tucuruí</v>
          </cell>
          <cell r="J215" t="str">
            <v>Aquisição de sobressalentes estrategicos sistema de vedação de eixo pista superior, pista inferior e anel de desgaste</v>
          </cell>
          <cell r="K215" t="str">
            <v>Aquisição de sobressalentes estrategicos sistema de vedação de eixo pista superior, pista inferior e anel de desgaste</v>
          </cell>
          <cell r="L215" t="str">
            <v>NO10105003</v>
          </cell>
          <cell r="M215" t="str">
            <v>UHE Tucuruí</v>
          </cell>
          <cell r="N215" t="str">
            <v>Geração</v>
          </cell>
          <cell r="O215" t="str">
            <v>Modernização de pequeno porte</v>
          </cell>
          <cell r="P215" t="str">
            <v>Modernização de pequeno porte</v>
          </cell>
          <cell r="Q215" t="str">
            <v>NGHI.0143</v>
          </cell>
          <cell r="R215" t="str">
            <v>OOG Modern. G PP 2025</v>
          </cell>
          <cell r="S215">
            <v>0</v>
          </cell>
          <cell r="T215">
            <v>0</v>
          </cell>
          <cell r="U215">
            <v>0</v>
          </cell>
          <cell r="V215">
            <v>0</v>
          </cell>
          <cell r="W215">
            <v>0</v>
          </cell>
          <cell r="X215">
            <v>0</v>
          </cell>
          <cell r="Y215">
            <v>1000000</v>
          </cell>
          <cell r="Z215"/>
          <cell r="AA215">
            <v>1000000</v>
          </cell>
          <cell r="AB215">
            <v>0</v>
          </cell>
          <cell r="AC215">
            <v>1000000</v>
          </cell>
          <cell r="AD215">
            <v>0</v>
          </cell>
          <cell r="AE215">
            <v>3000000</v>
          </cell>
          <cell r="AF215"/>
          <cell r="AG215"/>
          <cell r="AH215"/>
          <cell r="AI215"/>
          <cell r="AJ215">
            <v>3000000</v>
          </cell>
          <cell r="AK215">
            <v>0</v>
          </cell>
          <cell r="AL215">
            <v>0</v>
          </cell>
          <cell r="AM215">
            <v>0</v>
          </cell>
          <cell r="AN215">
            <v>0</v>
          </cell>
          <cell r="AO215">
            <v>0</v>
          </cell>
          <cell r="AP215">
            <v>3000000</v>
          </cell>
          <cell r="AQ215" t="str">
            <v>Pará</v>
          </cell>
          <cell r="AS215" t="str">
            <v>x</v>
          </cell>
          <cell r="AT215">
            <v>0</v>
          </cell>
        </row>
        <row r="216">
          <cell r="B216" t="str">
            <v>COO0656</v>
          </cell>
          <cell r="C216" t="str">
            <v>OOEA.N</v>
          </cell>
          <cell r="D216" t="str">
            <v>OOO.S-S-2025-I-0029</v>
          </cell>
          <cell r="E216" t="str">
            <v>N-2025-G-0152</v>
          </cell>
          <cell r="F216" t="str">
            <v>N-2025-G-103</v>
          </cell>
          <cell r="G216" t="str">
            <v>Eletronorte</v>
          </cell>
          <cell r="H216" t="str">
            <v>Nova Demanda</v>
          </cell>
          <cell r="I216" t="str">
            <v>Implantação de sistemas de monitoramento de vibração da UTE Aparecida</v>
          </cell>
          <cell r="J216" t="str">
            <v>Aquisição de software e hardware para Sistema de Medição de Vibração – UTE Aparecida (PDTIC)</v>
          </cell>
          <cell r="K216" t="str">
            <v>Aquisição de software e hardware para Sistema de Medição de Vibração – UTE Aparecida (PDTIC)</v>
          </cell>
          <cell r="L216" t="str">
            <v>NO10603003</v>
          </cell>
          <cell r="M216" t="str">
            <v>UTE Aparecida</v>
          </cell>
          <cell r="N216" t="str">
            <v>Geração</v>
          </cell>
          <cell r="O216" t="str">
            <v>Modernização de pequeno porte</v>
          </cell>
          <cell r="P216" t="str">
            <v>Modernização de pequeno porte</v>
          </cell>
          <cell r="Q216" t="str">
            <v>NGTE.0030</v>
          </cell>
          <cell r="R216" t="str">
            <v>Mordernização Térmicas 2025</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cell r="AG216"/>
          <cell r="AH216"/>
          <cell r="AI216"/>
          <cell r="AJ216">
            <v>0</v>
          </cell>
          <cell r="AK216">
            <v>0</v>
          </cell>
          <cell r="AL216">
            <v>0</v>
          </cell>
          <cell r="AM216">
            <v>0</v>
          </cell>
          <cell r="AN216">
            <v>0</v>
          </cell>
          <cell r="AO216">
            <v>0</v>
          </cell>
          <cell r="AP216">
            <v>0</v>
          </cell>
          <cell r="AQ216" t="str">
            <v>Desinvestimento</v>
          </cell>
          <cell r="AS216" t="str">
            <v>x</v>
          </cell>
          <cell r="AT216">
            <v>0</v>
          </cell>
        </row>
        <row r="217">
          <cell r="B217" t="str">
            <v>COO0657</v>
          </cell>
          <cell r="C217" t="str">
            <v>OOGT.N</v>
          </cell>
          <cell r="D217" t="str">
            <v>OOGN.S-S-2025-I-0106</v>
          </cell>
          <cell r="E217" t="str">
            <v>N-2025-G-0025</v>
          </cell>
          <cell r="F217" t="str">
            <v>N-2025-G-224</v>
          </cell>
          <cell r="G217" t="str">
            <v>Eletronorte</v>
          </cell>
          <cell r="H217" t="str">
            <v>Nova Demanda</v>
          </cell>
          <cell r="I217" t="str">
            <v>Reserva imobilizada para UHE Tucuruí</v>
          </cell>
          <cell r="J217" t="str">
            <v>Aquisição Sobressalentes Estrategicos sistema comporta</v>
          </cell>
          <cell r="K217" t="str">
            <v>Aquisição Sobressalentes Estrategicos sistema comporta</v>
          </cell>
          <cell r="L217" t="str">
            <v>NO10105003</v>
          </cell>
          <cell r="M217" t="str">
            <v>UHE Tucuruí</v>
          </cell>
          <cell r="N217" t="str">
            <v>Geração</v>
          </cell>
          <cell r="O217" t="str">
            <v>Modernização de pequeno porte</v>
          </cell>
          <cell r="P217" t="str">
            <v>Modernização de pequeno porte</v>
          </cell>
          <cell r="Q217" t="str">
            <v>NGHI.0143</v>
          </cell>
          <cell r="R217" t="str">
            <v>OOG Modern. G PP 2025</v>
          </cell>
          <cell r="S217">
            <v>0</v>
          </cell>
          <cell r="T217">
            <v>0</v>
          </cell>
          <cell r="U217">
            <v>0</v>
          </cell>
          <cell r="V217">
            <v>200000</v>
          </cell>
          <cell r="W217">
            <v>0</v>
          </cell>
          <cell r="X217">
            <v>0</v>
          </cell>
          <cell r="Y217">
            <v>0</v>
          </cell>
          <cell r="Z217">
            <v>200000</v>
          </cell>
          <cell r="AA217">
            <v>0</v>
          </cell>
          <cell r="AB217">
            <v>200000</v>
          </cell>
          <cell r="AC217">
            <v>0</v>
          </cell>
          <cell r="AD217">
            <v>0</v>
          </cell>
          <cell r="AE217">
            <v>600000</v>
          </cell>
          <cell r="AF217"/>
          <cell r="AG217"/>
          <cell r="AH217"/>
          <cell r="AI217"/>
          <cell r="AJ217">
            <v>600000</v>
          </cell>
          <cell r="AK217">
            <v>0</v>
          </cell>
          <cell r="AL217">
            <v>0</v>
          </cell>
          <cell r="AM217">
            <v>0</v>
          </cell>
          <cell r="AN217">
            <v>0</v>
          </cell>
          <cell r="AO217">
            <v>0</v>
          </cell>
          <cell r="AP217">
            <v>600000</v>
          </cell>
          <cell r="AQ217" t="str">
            <v>Pará</v>
          </cell>
          <cell r="AT217">
            <v>0</v>
          </cell>
        </row>
        <row r="218">
          <cell r="B218" t="str">
            <v>COO0658</v>
          </cell>
          <cell r="C218" t="str">
            <v>OOGT.N</v>
          </cell>
          <cell r="D218" t="str">
            <v>OOMT.S-S-2025-I-0049</v>
          </cell>
          <cell r="E218" t="str">
            <v>N-2025-G-0018</v>
          </cell>
          <cell r="F218" t="str">
            <v>N-2025-G-220</v>
          </cell>
          <cell r="G218" t="str">
            <v>Eletronorte</v>
          </cell>
          <cell r="H218" t="str">
            <v>Nova Demanda</v>
          </cell>
          <cell r="I218" t="str">
            <v>Reserva imobilizada para UHE Tucuruí</v>
          </cell>
          <cell r="J218" t="str">
            <v>Aquisição Sobressalentes Estrategicos sistema distribuidor</v>
          </cell>
          <cell r="K218" t="str">
            <v>Aquisição Sobressalentes Estrategicos sistema distribuidor</v>
          </cell>
          <cell r="L218" t="str">
            <v>NO10105003</v>
          </cell>
          <cell r="M218" t="str">
            <v>UHE Tucuruí</v>
          </cell>
          <cell r="N218" t="str">
            <v>Geração</v>
          </cell>
          <cell r="O218" t="str">
            <v>Modernização de pequeno porte</v>
          </cell>
          <cell r="P218" t="str">
            <v>Modernização de pequeno porte</v>
          </cell>
          <cell r="Q218" t="str">
            <v>NGHI.0143</v>
          </cell>
          <cell r="R218" t="str">
            <v>OOG Modern. G PP 2025</v>
          </cell>
          <cell r="S218">
            <v>0</v>
          </cell>
          <cell r="T218">
            <v>0</v>
          </cell>
          <cell r="U218">
            <v>0</v>
          </cell>
          <cell r="V218">
            <v>0</v>
          </cell>
          <cell r="W218">
            <v>0</v>
          </cell>
          <cell r="X218">
            <v>0</v>
          </cell>
          <cell r="Y218">
            <v>0</v>
          </cell>
          <cell r="Z218">
            <v>1000000</v>
          </cell>
          <cell r="AA218">
            <v>0</v>
          </cell>
          <cell r="AB218">
            <v>0</v>
          </cell>
          <cell r="AC218">
            <v>0</v>
          </cell>
          <cell r="AD218">
            <v>0</v>
          </cell>
          <cell r="AE218">
            <v>1000000</v>
          </cell>
          <cell r="AF218"/>
          <cell r="AG218"/>
          <cell r="AH218"/>
          <cell r="AI218"/>
          <cell r="AJ218">
            <v>1000000</v>
          </cell>
          <cell r="AK218">
            <v>0</v>
          </cell>
          <cell r="AL218">
            <v>0</v>
          </cell>
          <cell r="AM218">
            <v>0</v>
          </cell>
          <cell r="AN218">
            <v>0</v>
          </cell>
          <cell r="AO218">
            <v>0</v>
          </cell>
          <cell r="AP218">
            <v>1000000</v>
          </cell>
          <cell r="AQ218" t="str">
            <v>Pará</v>
          </cell>
          <cell r="AS218" t="str">
            <v>x</v>
          </cell>
          <cell r="AT218">
            <v>0</v>
          </cell>
        </row>
        <row r="219">
          <cell r="B219" t="str">
            <v>COO0659</v>
          </cell>
          <cell r="C219" t="str">
            <v>OOGT.N</v>
          </cell>
          <cell r="D219" t="str">
            <v>OOMS.S-S-2025-I-0020</v>
          </cell>
          <cell r="E219" t="str">
            <v>N-2025-G-0017</v>
          </cell>
          <cell r="F219" t="str">
            <v>N-2025-G-219</v>
          </cell>
          <cell r="G219" t="str">
            <v>Eletronorte</v>
          </cell>
          <cell r="H219" t="str">
            <v>Nova Demanda</v>
          </cell>
          <cell r="I219" t="str">
            <v>Reserva imobilizada para UHE Tucuruí</v>
          </cell>
          <cell r="J219" t="str">
            <v>Aquisição Sobressalentes Estrategicos sistema Gerador (sensores, barras, cunhas, travas, reisolação polos, molas, porta escova, calço e capas isolantes)</v>
          </cell>
          <cell r="K219" t="str">
            <v>Aquisição Sobressalentes Estrategicos sistema Gerador (sensores, barras, cunhas, travas, reisolação polos, molas, porta escova, calço e capas isolantes)</v>
          </cell>
          <cell r="L219" t="str">
            <v>NO10105003</v>
          </cell>
          <cell r="M219" t="str">
            <v>UHE Tucuruí</v>
          </cell>
          <cell r="N219" t="str">
            <v>Geração</v>
          </cell>
          <cell r="O219" t="str">
            <v>Modernização de pequeno porte</v>
          </cell>
          <cell r="P219" t="str">
            <v>Modernização de pequeno porte</v>
          </cell>
          <cell r="Q219" t="str">
            <v>NGHI.0143</v>
          </cell>
          <cell r="R219" t="str">
            <v>OOG Modern. G PP 2025</v>
          </cell>
          <cell r="S219">
            <v>0</v>
          </cell>
          <cell r="T219">
            <v>0</v>
          </cell>
          <cell r="U219">
            <v>0</v>
          </cell>
          <cell r="V219">
            <v>0</v>
          </cell>
          <cell r="W219">
            <v>0</v>
          </cell>
          <cell r="X219">
            <v>0</v>
          </cell>
          <cell r="Y219">
            <v>0</v>
          </cell>
          <cell r="Z219">
            <v>1000000</v>
          </cell>
          <cell r="AA219">
            <v>500000</v>
          </cell>
          <cell r="AB219">
            <v>0</v>
          </cell>
          <cell r="AC219">
            <v>0</v>
          </cell>
          <cell r="AD219">
            <v>0</v>
          </cell>
          <cell r="AE219">
            <v>1500000</v>
          </cell>
          <cell r="AF219"/>
          <cell r="AG219"/>
          <cell r="AH219"/>
          <cell r="AI219"/>
          <cell r="AJ219">
            <v>1500000</v>
          </cell>
          <cell r="AK219">
            <v>0</v>
          </cell>
          <cell r="AL219">
            <v>0</v>
          </cell>
          <cell r="AM219">
            <v>0</v>
          </cell>
          <cell r="AN219">
            <v>0</v>
          </cell>
          <cell r="AO219">
            <v>0</v>
          </cell>
          <cell r="AP219">
            <v>1500000</v>
          </cell>
          <cell r="AQ219" t="str">
            <v>Pará</v>
          </cell>
          <cell r="AT219">
            <v>0</v>
          </cell>
        </row>
        <row r="220">
          <cell r="B220" t="str">
            <v>COO0660</v>
          </cell>
          <cell r="C220" t="str">
            <v>OOGT.N</v>
          </cell>
          <cell r="D220" t="str">
            <v>OOGN.S-S-2025-I-0093</v>
          </cell>
          <cell r="E220" t="str">
            <v>N-2025-G-0029</v>
          </cell>
          <cell r="F220" t="str">
            <v>N-2025-G-223</v>
          </cell>
          <cell r="G220" t="str">
            <v>Eletronorte</v>
          </cell>
          <cell r="H220" t="str">
            <v>Nova Demanda</v>
          </cell>
          <cell r="I220" t="str">
            <v>Reserva imobilizada para UHE Tucuruí</v>
          </cell>
          <cell r="J220" t="str">
            <v>Aquisição Sobressalentes Estrategicos sistema transformador</v>
          </cell>
          <cell r="K220" t="str">
            <v>Aquisição Sobressalentes Estrategicos sistema transformador</v>
          </cell>
          <cell r="L220" t="str">
            <v>NO10105003</v>
          </cell>
          <cell r="M220" t="str">
            <v>UHE Tucuruí</v>
          </cell>
          <cell r="N220" t="str">
            <v>Geração</v>
          </cell>
          <cell r="O220" t="str">
            <v>Modernização de pequeno porte</v>
          </cell>
          <cell r="P220" t="str">
            <v>Modernização de pequeno porte</v>
          </cell>
          <cell r="Q220" t="str">
            <v>NGHI.0143</v>
          </cell>
          <cell r="R220" t="str">
            <v>OOG Modern. G PP 2025</v>
          </cell>
          <cell r="S220">
            <v>0</v>
          </cell>
          <cell r="T220">
            <v>0</v>
          </cell>
          <cell r="U220">
            <v>0</v>
          </cell>
          <cell r="V220">
            <v>0</v>
          </cell>
          <cell r="W220">
            <v>200000</v>
          </cell>
          <cell r="X220">
            <v>0</v>
          </cell>
          <cell r="Y220">
            <v>0</v>
          </cell>
          <cell r="Z220">
            <v>300000</v>
          </cell>
          <cell r="AA220">
            <v>200000</v>
          </cell>
          <cell r="AB220">
            <v>0</v>
          </cell>
          <cell r="AC220">
            <v>0</v>
          </cell>
          <cell r="AD220">
            <v>0</v>
          </cell>
          <cell r="AE220">
            <v>700000</v>
          </cell>
          <cell r="AF220"/>
          <cell r="AG220"/>
          <cell r="AH220"/>
          <cell r="AI220"/>
          <cell r="AJ220">
            <v>700000</v>
          </cell>
          <cell r="AK220">
            <v>0</v>
          </cell>
          <cell r="AL220">
            <v>0</v>
          </cell>
          <cell r="AM220">
            <v>0</v>
          </cell>
          <cell r="AN220">
            <v>0</v>
          </cell>
          <cell r="AO220">
            <v>0</v>
          </cell>
          <cell r="AP220">
            <v>700000</v>
          </cell>
          <cell r="AQ220" t="str">
            <v>Pará</v>
          </cell>
          <cell r="AT220">
            <v>0</v>
          </cell>
        </row>
        <row r="221">
          <cell r="B221" t="str">
            <v>COO0661</v>
          </cell>
          <cell r="C221" t="str">
            <v>OOGT.N</v>
          </cell>
          <cell r="D221" t="str">
            <v>OOGR.S-S-2025-I-0094</v>
          </cell>
          <cell r="E221" t="str">
            <v>N-2025-G-0030</v>
          </cell>
          <cell r="F221" t="str">
            <v>N-2025-G-222</v>
          </cell>
          <cell r="G221" t="str">
            <v>Eletronorte</v>
          </cell>
          <cell r="H221" t="str">
            <v>Nova Demanda</v>
          </cell>
          <cell r="I221" t="str">
            <v>Reserva imobilizada para UHE Tucuruí</v>
          </cell>
          <cell r="J221" t="str">
            <v>Aquisição Sobressalentes Estrategicos sistema Subestação Blindada a Gas</v>
          </cell>
          <cell r="K221" t="str">
            <v>Aquisição Sobressalentes Estrategicos sistema Subestação Blindada a Gas</v>
          </cell>
          <cell r="L221" t="str">
            <v>NO10105003</v>
          </cell>
          <cell r="M221" t="str">
            <v>UHE Tucuruí</v>
          </cell>
          <cell r="N221" t="str">
            <v>Geração</v>
          </cell>
          <cell r="O221" t="str">
            <v>Modernização de pequeno porte</v>
          </cell>
          <cell r="P221" t="str">
            <v>Modernização de pequeno porte</v>
          </cell>
          <cell r="Q221" t="str">
            <v>NGHI.0143</v>
          </cell>
          <cell r="R221" t="str">
            <v>OOG Modern. G PP 2025</v>
          </cell>
          <cell r="S221">
            <v>0</v>
          </cell>
          <cell r="T221">
            <v>0</v>
          </cell>
          <cell r="U221">
            <v>0</v>
          </cell>
          <cell r="V221">
            <v>0</v>
          </cell>
          <cell r="W221">
            <v>200000</v>
          </cell>
          <cell r="X221">
            <v>0</v>
          </cell>
          <cell r="Y221">
            <v>0</v>
          </cell>
          <cell r="Z221">
            <v>300000</v>
          </cell>
          <cell r="AA221">
            <v>200000</v>
          </cell>
          <cell r="AB221">
            <v>0</v>
          </cell>
          <cell r="AC221">
            <v>0</v>
          </cell>
          <cell r="AD221">
            <v>0</v>
          </cell>
          <cell r="AE221">
            <v>700000</v>
          </cell>
          <cell r="AF221"/>
          <cell r="AG221"/>
          <cell r="AH221"/>
          <cell r="AI221"/>
          <cell r="AJ221">
            <v>700000</v>
          </cell>
          <cell r="AK221">
            <v>0</v>
          </cell>
          <cell r="AL221">
            <v>0</v>
          </cell>
          <cell r="AM221">
            <v>0</v>
          </cell>
          <cell r="AN221">
            <v>0</v>
          </cell>
          <cell r="AO221">
            <v>0</v>
          </cell>
          <cell r="AP221">
            <v>700000</v>
          </cell>
          <cell r="AQ221" t="str">
            <v>Pará</v>
          </cell>
          <cell r="AT221">
            <v>0</v>
          </cell>
        </row>
        <row r="222">
          <cell r="B222" t="str">
            <v>COO0662</v>
          </cell>
          <cell r="C222" t="str">
            <v>OOGT.N</v>
          </cell>
          <cell r="D222" t="str">
            <v>OOGS.S-S-2025-I-0095</v>
          </cell>
          <cell r="E222" t="str">
            <v>N-2025-G-0031</v>
          </cell>
          <cell r="F222" t="str">
            <v>N-2025-G-221</v>
          </cell>
          <cell r="G222" t="str">
            <v>Eletronorte</v>
          </cell>
          <cell r="H222" t="str">
            <v>Nova Demanda</v>
          </cell>
          <cell r="I222" t="str">
            <v>Reserva imobilizada para UHE Tucuruí</v>
          </cell>
          <cell r="J222" t="str">
            <v>Aquisição Sobressalentes Estrategicos sistema regulador de velocidade</v>
          </cell>
          <cell r="K222" t="str">
            <v>Aquisição Sobressalentes Estrategicos sistema regulador de velocidade</v>
          </cell>
          <cell r="L222" t="str">
            <v>NO10105003</v>
          </cell>
          <cell r="M222" t="str">
            <v>UHE Tucuruí</v>
          </cell>
          <cell r="N222" t="str">
            <v>Geração</v>
          </cell>
          <cell r="O222" t="str">
            <v>Modernização de pequeno porte</v>
          </cell>
          <cell r="P222" t="str">
            <v>Modernização de pequeno porte</v>
          </cell>
          <cell r="Q222" t="str">
            <v>NGHI.0143</v>
          </cell>
          <cell r="R222" t="str">
            <v>OOG Modern. G PP 2025</v>
          </cell>
          <cell r="S222">
            <v>0</v>
          </cell>
          <cell r="T222">
            <v>0</v>
          </cell>
          <cell r="U222">
            <v>0</v>
          </cell>
          <cell r="V222">
            <v>0</v>
          </cell>
          <cell r="W222">
            <v>200000</v>
          </cell>
          <cell r="X222">
            <v>0</v>
          </cell>
          <cell r="Y222">
            <v>0</v>
          </cell>
          <cell r="Z222">
            <v>300000</v>
          </cell>
          <cell r="AA222">
            <v>200000</v>
          </cell>
          <cell r="AB222">
            <v>0</v>
          </cell>
          <cell r="AC222">
            <v>0</v>
          </cell>
          <cell r="AD222">
            <v>0</v>
          </cell>
          <cell r="AE222">
            <v>700000</v>
          </cell>
          <cell r="AF222"/>
          <cell r="AG222"/>
          <cell r="AH222"/>
          <cell r="AI222"/>
          <cell r="AJ222">
            <v>700000</v>
          </cell>
          <cell r="AK222">
            <v>0</v>
          </cell>
          <cell r="AL222">
            <v>0</v>
          </cell>
          <cell r="AM222">
            <v>0</v>
          </cell>
          <cell r="AN222">
            <v>0</v>
          </cell>
          <cell r="AO222">
            <v>0</v>
          </cell>
          <cell r="AP222">
            <v>700000</v>
          </cell>
          <cell r="AQ222" t="str">
            <v>Pará</v>
          </cell>
          <cell r="AT222">
            <v>0</v>
          </cell>
        </row>
        <row r="223">
          <cell r="B223" t="str">
            <v>COO0663</v>
          </cell>
          <cell r="C223" t="str">
            <v>OOMG.N</v>
          </cell>
          <cell r="D223" t="str">
            <v>OOGN.S-S-2025-I-0156</v>
          </cell>
          <cell r="E223" t="str">
            <v>N-2025-G-0131</v>
          </cell>
          <cell r="F223" t="str">
            <v>N-2025-G-168</v>
          </cell>
          <cell r="G223" t="str">
            <v>Eletronorte</v>
          </cell>
          <cell r="H223" t="str">
            <v>Contratado</v>
          </cell>
          <cell r="I223" t="str">
            <v>Modernização dos disjuntores 138kV das Ugs da UHE Coaracy Nunes</v>
          </cell>
          <cell r="J223" t="str">
            <v>UHE Coaracy Nunes</v>
          </cell>
          <cell r="K223" t="str">
            <v>UHE Coaracy Nunes</v>
          </cell>
          <cell r="L223" t="str">
            <v>NO10102003</v>
          </cell>
          <cell r="M223" t="str">
            <v>UHE Coaracy Nunes</v>
          </cell>
          <cell r="N223" t="str">
            <v>Geração</v>
          </cell>
          <cell r="O223" t="str">
            <v>Modernização de pequeno porte</v>
          </cell>
          <cell r="P223" t="str">
            <v>Modernização de pequeno porte</v>
          </cell>
          <cell r="Q223" t="str">
            <v>NGHI.0141</v>
          </cell>
          <cell r="R223" t="str">
            <v>Não cadastrado</v>
          </cell>
          <cell r="S223">
            <v>0</v>
          </cell>
          <cell r="T223">
            <v>0</v>
          </cell>
          <cell r="U223">
            <v>0</v>
          </cell>
          <cell r="V223">
            <v>0</v>
          </cell>
          <cell r="W223">
            <v>0</v>
          </cell>
          <cell r="X223">
            <v>0</v>
          </cell>
          <cell r="Y223">
            <v>0</v>
          </cell>
          <cell r="Z223">
            <v>0</v>
          </cell>
          <cell r="AA223">
            <v>0</v>
          </cell>
          <cell r="AB223">
            <v>0</v>
          </cell>
          <cell r="AC223">
            <v>318779.90000000002</v>
          </cell>
          <cell r="AD223">
            <v>0</v>
          </cell>
          <cell r="AE223">
            <v>318779.90000000002</v>
          </cell>
          <cell r="AF223"/>
          <cell r="AG223"/>
          <cell r="AH223"/>
          <cell r="AI223"/>
          <cell r="AJ223">
            <v>318779.90000000002</v>
          </cell>
          <cell r="AK223">
            <v>0</v>
          </cell>
          <cell r="AL223">
            <v>0</v>
          </cell>
          <cell r="AM223">
            <v>0</v>
          </cell>
          <cell r="AN223">
            <v>0</v>
          </cell>
          <cell r="AO223">
            <v>0</v>
          </cell>
          <cell r="AP223">
            <v>318779.90000000002</v>
          </cell>
          <cell r="AQ223" t="str">
            <v>Amapá</v>
          </cell>
          <cell r="AS223" t="str">
            <v>x</v>
          </cell>
          <cell r="AT223">
            <v>0</v>
          </cell>
        </row>
        <row r="224">
          <cell r="B224" t="str">
            <v>COO0664</v>
          </cell>
          <cell r="C224" t="str">
            <v>OOEU.N</v>
          </cell>
          <cell r="D224" t="str">
            <v>OOMT.S-S-2025-I-0045</v>
          </cell>
          <cell r="E224" t="str">
            <v>N-2025-G-0172</v>
          </cell>
          <cell r="F224" t="str">
            <v>N-2025-G-152</v>
          </cell>
          <cell r="G224" t="str">
            <v>Eletronorte</v>
          </cell>
          <cell r="H224" t="str">
            <v>Nova Demanda</v>
          </cell>
          <cell r="I224" t="str">
            <v>Modernização do sistema recirculação de condensado da UTE Mauá 3</v>
          </cell>
          <cell r="J224" t="str">
            <v>Bomba e motor de recirculação de condensado</v>
          </cell>
          <cell r="K224" t="str">
            <v>Bomba e motor de recirculação de condensado</v>
          </cell>
          <cell r="L224" t="str">
            <v>NO10606003</v>
          </cell>
          <cell r="M224" t="str">
            <v>UTE Mauá 3</v>
          </cell>
          <cell r="N224" t="str">
            <v>Geração</v>
          </cell>
          <cell r="O224" t="str">
            <v>Modernização de pequeno porte</v>
          </cell>
          <cell r="P224" t="str">
            <v>Modernização de pequeno porte</v>
          </cell>
          <cell r="Q224" t="str">
            <v>NGTE - Mordernização Térmicas</v>
          </cell>
          <cell r="R224" t="str">
            <v>Não cadastrado</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cell r="AG224"/>
          <cell r="AH224"/>
          <cell r="AI224"/>
          <cell r="AJ224">
            <v>0</v>
          </cell>
          <cell r="AK224">
            <v>0</v>
          </cell>
          <cell r="AL224">
            <v>0</v>
          </cell>
          <cell r="AM224">
            <v>0</v>
          </cell>
          <cell r="AN224">
            <v>0</v>
          </cell>
          <cell r="AO224">
            <v>0</v>
          </cell>
          <cell r="AP224">
            <v>0</v>
          </cell>
          <cell r="AQ224" t="str">
            <v>Desinvestimento</v>
          </cell>
          <cell r="AS224" t="str">
            <v>x</v>
          </cell>
          <cell r="AT224">
            <v>0</v>
          </cell>
        </row>
        <row r="225">
          <cell r="B225" t="str">
            <v>COO0665</v>
          </cell>
          <cell r="C225" t="str">
            <v>OOEU.N</v>
          </cell>
          <cell r="D225" t="str">
            <v>OOPM.S-S-2025-I-0068</v>
          </cell>
          <cell r="E225" t="str">
            <v>N-2025-G-0165</v>
          </cell>
          <cell r="F225" t="str">
            <v>N-2025-G-138</v>
          </cell>
          <cell r="G225" t="str">
            <v>Eletronorte</v>
          </cell>
          <cell r="H225" t="str">
            <v>Nova Demanda</v>
          </cell>
          <cell r="I225" t="str">
            <v>Modernização do sistema de circulação de água CCW da UTE Mauá 3</v>
          </cell>
          <cell r="J225" t="str">
            <v>Bomba e motor do sistema de circulação de agua CCW</v>
          </cell>
          <cell r="K225" t="str">
            <v>Bomba e motor do sistema de circulação de agua CCW</v>
          </cell>
          <cell r="L225" t="str">
            <v>NO10606003</v>
          </cell>
          <cell r="M225" t="str">
            <v>UTE Mauá 3</v>
          </cell>
          <cell r="N225" t="str">
            <v>Geração</v>
          </cell>
          <cell r="O225" t="str">
            <v>Modernização de pequeno porte</v>
          </cell>
          <cell r="P225" t="str">
            <v>Modernização de pequeno porte</v>
          </cell>
          <cell r="Q225" t="str">
            <v>NGTE - Mordernização Térmicas</v>
          </cell>
          <cell r="R225" t="str">
            <v>Não cadastrado</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cell r="AG225"/>
          <cell r="AH225"/>
          <cell r="AI225"/>
          <cell r="AJ225">
            <v>0</v>
          </cell>
          <cell r="AK225">
            <v>0</v>
          </cell>
          <cell r="AL225">
            <v>0</v>
          </cell>
          <cell r="AM225">
            <v>0</v>
          </cell>
          <cell r="AN225">
            <v>0</v>
          </cell>
          <cell r="AO225">
            <v>0</v>
          </cell>
          <cell r="AP225">
            <v>0</v>
          </cell>
          <cell r="AQ225" t="str">
            <v>Desinvestimento</v>
          </cell>
          <cell r="AS225" t="str">
            <v>x</v>
          </cell>
          <cell r="AT225">
            <v>0</v>
          </cell>
        </row>
        <row r="226">
          <cell r="B226" t="str">
            <v>COO0666</v>
          </cell>
          <cell r="C226" t="str">
            <v>OOEU.N</v>
          </cell>
          <cell r="D226" t="str">
            <v>OOMS.S-S-2025-I-0005</v>
          </cell>
          <cell r="E226" t="str">
            <v>N-2025-G-0166</v>
          </cell>
          <cell r="F226" t="str">
            <v>N-2025-G-142</v>
          </cell>
          <cell r="G226" t="str">
            <v>Eletronorte</v>
          </cell>
          <cell r="H226" t="str">
            <v>Nova Demanda</v>
          </cell>
          <cell r="I226" t="str">
            <v>Modernização do sistema de extração de condensado da UTE Mauá 3</v>
          </cell>
          <cell r="J226" t="str">
            <v xml:space="preserve">Bomba e motor do sistema de extração de condensado </v>
          </cell>
          <cell r="K226" t="str">
            <v xml:space="preserve">Bomba e motor do sistema de extração de condensado </v>
          </cell>
          <cell r="L226" t="str">
            <v>NO10606003</v>
          </cell>
          <cell r="M226" t="str">
            <v>UTE Mauá 3</v>
          </cell>
          <cell r="N226" t="str">
            <v>Geração</v>
          </cell>
          <cell r="O226" t="str">
            <v>Modernização de pequeno porte</v>
          </cell>
          <cell r="P226" t="str">
            <v>Modernização de pequeno porte</v>
          </cell>
          <cell r="Q226" t="str">
            <v>NGTE - Mordernização Térmicas</v>
          </cell>
          <cell r="R226" t="str">
            <v>Não cadastrado</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cell r="AG226"/>
          <cell r="AH226"/>
          <cell r="AI226"/>
          <cell r="AJ226">
            <v>0</v>
          </cell>
          <cell r="AK226">
            <v>0</v>
          </cell>
          <cell r="AL226">
            <v>0</v>
          </cell>
          <cell r="AM226">
            <v>0</v>
          </cell>
          <cell r="AN226">
            <v>0</v>
          </cell>
          <cell r="AO226">
            <v>0</v>
          </cell>
          <cell r="AP226">
            <v>0</v>
          </cell>
          <cell r="AQ226" t="str">
            <v>Desinvestimento</v>
          </cell>
          <cell r="AS226" t="str">
            <v>x</v>
          </cell>
          <cell r="AT226">
            <v>0</v>
          </cell>
        </row>
        <row r="227">
          <cell r="B227" t="str">
            <v>COO0667</v>
          </cell>
          <cell r="C227" t="str">
            <v>OOMG.N</v>
          </cell>
          <cell r="D227" t="str">
            <v>OOMS.S-S-2025-I-0018</v>
          </cell>
          <cell r="E227" t="str">
            <v>N-2025-G-0114</v>
          </cell>
          <cell r="F227" t="str">
            <v>N-2025-G-148</v>
          </cell>
          <cell r="G227" t="str">
            <v>Eletronorte</v>
          </cell>
          <cell r="H227" t="str">
            <v>Nova Demanda</v>
          </cell>
          <cell r="I227" t="str">
            <v>Modernização do sistema de regulação das UGs da UHE Curuá-Una</v>
          </cell>
          <cell r="J227"/>
          <cell r="K227"/>
          <cell r="L227" t="str">
            <v>NO10103003</v>
          </cell>
          <cell r="M227" t="str">
            <v>UHE Curuá-Una</v>
          </cell>
          <cell r="N227" t="str">
            <v>Geração</v>
          </cell>
          <cell r="O227" t="str">
            <v>Modernização de pequeno porte</v>
          </cell>
          <cell r="P227" t="str">
            <v>Modernização de pequeno porte</v>
          </cell>
          <cell r="Q227" t="str">
            <v>NGHI.0141</v>
          </cell>
          <cell r="R227" t="str">
            <v>Não cadastrado</v>
          </cell>
          <cell r="S227">
            <v>0</v>
          </cell>
          <cell r="T227">
            <v>0</v>
          </cell>
          <cell r="U227">
            <v>0</v>
          </cell>
          <cell r="V227">
            <v>0</v>
          </cell>
          <cell r="W227">
            <v>0</v>
          </cell>
          <cell r="X227">
            <v>0</v>
          </cell>
          <cell r="Y227">
            <v>0</v>
          </cell>
          <cell r="Z227">
            <v>0</v>
          </cell>
          <cell r="AA227">
            <v>0</v>
          </cell>
          <cell r="AB227">
            <v>0</v>
          </cell>
          <cell r="AC227">
            <v>2500000</v>
          </cell>
          <cell r="AD227">
            <v>0</v>
          </cell>
          <cell r="AE227">
            <v>2500000</v>
          </cell>
          <cell r="AF227"/>
          <cell r="AG227"/>
          <cell r="AH227"/>
          <cell r="AI227"/>
          <cell r="AJ227">
            <v>2500000</v>
          </cell>
          <cell r="AK227">
            <v>0</v>
          </cell>
          <cell r="AL227">
            <v>0</v>
          </cell>
          <cell r="AM227">
            <v>0</v>
          </cell>
          <cell r="AN227">
            <v>0</v>
          </cell>
          <cell r="AO227">
            <v>0</v>
          </cell>
          <cell r="AP227">
            <v>2500000</v>
          </cell>
          <cell r="AQ227" t="str">
            <v>Pará</v>
          </cell>
          <cell r="AS227" t="str">
            <v>x</v>
          </cell>
          <cell r="AT227">
            <v>0</v>
          </cell>
        </row>
        <row r="228">
          <cell r="B228" t="str">
            <v>COO0668</v>
          </cell>
          <cell r="C228" t="str">
            <v>OOEU.N</v>
          </cell>
          <cell r="D228" t="str">
            <v>OOGN.S-S-2025-I-0114</v>
          </cell>
          <cell r="E228" t="str">
            <v>N-2025-G-0171</v>
          </cell>
          <cell r="F228" t="str">
            <v>N-2025-G-134</v>
          </cell>
          <cell r="G228" t="str">
            <v>Eletronorte</v>
          </cell>
          <cell r="H228" t="str">
            <v>Nova Demanda</v>
          </cell>
          <cell r="I228" t="str">
            <v>Modernização do sistema Blowdown da UTE Mauá 3</v>
          </cell>
          <cell r="J228" t="str">
            <v>Bombas do Blowdown</v>
          </cell>
          <cell r="K228" t="str">
            <v>Bombas do Blowdown</v>
          </cell>
          <cell r="L228" t="str">
            <v>NO10606003</v>
          </cell>
          <cell r="M228" t="str">
            <v>UTE Mauá 3</v>
          </cell>
          <cell r="N228" t="str">
            <v>Geração</v>
          </cell>
          <cell r="O228" t="str">
            <v>Modernização de pequeno porte</v>
          </cell>
          <cell r="P228" t="str">
            <v>Modernização de pequeno porte</v>
          </cell>
          <cell r="Q228" t="str">
            <v>NGTE.0027</v>
          </cell>
          <cell r="R228" t="str">
            <v>OOMANGUTMA4 BOMBAS P O BLOWDON</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cell r="AG228"/>
          <cell r="AH228"/>
          <cell r="AI228"/>
          <cell r="AJ228">
            <v>0</v>
          </cell>
          <cell r="AK228">
            <v>0</v>
          </cell>
          <cell r="AL228">
            <v>0</v>
          </cell>
          <cell r="AM228">
            <v>0</v>
          </cell>
          <cell r="AN228">
            <v>0</v>
          </cell>
          <cell r="AO228">
            <v>0</v>
          </cell>
          <cell r="AP228">
            <v>0</v>
          </cell>
          <cell r="AQ228" t="str">
            <v>Desinvestimento</v>
          </cell>
          <cell r="AS228" t="str">
            <v>x</v>
          </cell>
          <cell r="AT228">
            <v>0</v>
          </cell>
        </row>
        <row r="229">
          <cell r="B229" t="str">
            <v>COO0669</v>
          </cell>
          <cell r="C229" t="str">
            <v>OOEU.N</v>
          </cell>
          <cell r="D229" t="str">
            <v>OOGS.S-S-2025-I-0218</v>
          </cell>
          <cell r="E229" t="str">
            <v>N-2025-G-0170</v>
          </cell>
          <cell r="F229" t="str">
            <v>N-2025-G-137</v>
          </cell>
          <cell r="G229" t="str">
            <v>Eletronorte</v>
          </cell>
          <cell r="H229" t="str">
            <v>Nova Demanda</v>
          </cell>
          <cell r="I229" t="str">
            <v>Modernização do sistema de bombas PAS da UTE Mauá 3</v>
          </cell>
          <cell r="J229" t="str">
            <v>Bombas PAS</v>
          </cell>
          <cell r="K229" t="str">
            <v>Bombas PAS</v>
          </cell>
          <cell r="L229" t="str">
            <v>NO10606003</v>
          </cell>
          <cell r="M229" t="str">
            <v>UTE Mauá 3</v>
          </cell>
          <cell r="N229" t="str">
            <v>Geração</v>
          </cell>
          <cell r="O229" t="str">
            <v>Modernização de pequeno porte</v>
          </cell>
          <cell r="P229" t="str">
            <v>Modernização de pequeno porte</v>
          </cell>
          <cell r="Q229" t="str">
            <v>NGTE - Mordernização Térmicas</v>
          </cell>
          <cell r="R229" t="str">
            <v>Não cadastrado</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cell r="AG229"/>
          <cell r="AH229"/>
          <cell r="AI229"/>
          <cell r="AJ229">
            <v>0</v>
          </cell>
          <cell r="AK229">
            <v>0</v>
          </cell>
          <cell r="AL229">
            <v>0</v>
          </cell>
          <cell r="AM229">
            <v>0</v>
          </cell>
          <cell r="AN229">
            <v>0</v>
          </cell>
          <cell r="AO229">
            <v>0</v>
          </cell>
          <cell r="AP229">
            <v>0</v>
          </cell>
          <cell r="AQ229" t="str">
            <v>Desinvestimento</v>
          </cell>
          <cell r="AS229" t="str">
            <v>x</v>
          </cell>
          <cell r="AT229">
            <v>0</v>
          </cell>
        </row>
        <row r="230">
          <cell r="B230" t="str">
            <v>COO0670</v>
          </cell>
          <cell r="C230" t="str">
            <v>OOMG.N</v>
          </cell>
          <cell r="D230" t="str">
            <v>OOGR.S-S-2025-I-0088</v>
          </cell>
          <cell r="E230" t="str">
            <v>N-2025-G-0116</v>
          </cell>
          <cell r="F230" t="str">
            <v>N-2025-G-174</v>
          </cell>
          <cell r="G230" t="str">
            <v>Eletronorte</v>
          </cell>
          <cell r="H230" t="str">
            <v>Nova Demanda</v>
          </cell>
          <cell r="I230" t="str">
            <v>Modernização do sistema de resfriamento das Ugs da UHE Curuá-Una</v>
          </cell>
          <cell r="J230"/>
          <cell r="K230"/>
          <cell r="L230" t="str">
            <v>NO10103003</v>
          </cell>
          <cell r="M230" t="str">
            <v>UHE Curuá-Una</v>
          </cell>
          <cell r="N230" t="str">
            <v>Geração</v>
          </cell>
          <cell r="O230" t="str">
            <v>Modernização de pequeno porte</v>
          </cell>
          <cell r="P230" t="str">
            <v>Modernização de pequeno porte</v>
          </cell>
          <cell r="Q230" t="str">
            <v>NGHI.0141</v>
          </cell>
          <cell r="R230" t="str">
            <v>Não cadastrado</v>
          </cell>
          <cell r="S230">
            <v>0</v>
          </cell>
          <cell r="T230">
            <v>0</v>
          </cell>
          <cell r="U230">
            <v>0</v>
          </cell>
          <cell r="V230">
            <v>0</v>
          </cell>
          <cell r="W230">
            <v>0</v>
          </cell>
          <cell r="X230">
            <v>0</v>
          </cell>
          <cell r="Y230">
            <v>0</v>
          </cell>
          <cell r="Z230">
            <v>800000</v>
          </cell>
          <cell r="AA230">
            <v>0</v>
          </cell>
          <cell r="AB230">
            <v>0</v>
          </cell>
          <cell r="AC230">
            <v>0</v>
          </cell>
          <cell r="AD230">
            <v>0</v>
          </cell>
          <cell r="AE230">
            <v>800000</v>
          </cell>
          <cell r="AF230"/>
          <cell r="AG230"/>
          <cell r="AH230"/>
          <cell r="AI230"/>
          <cell r="AJ230">
            <v>800000</v>
          </cell>
          <cell r="AK230">
            <v>0</v>
          </cell>
          <cell r="AL230">
            <v>0</v>
          </cell>
          <cell r="AM230">
            <v>0</v>
          </cell>
          <cell r="AN230">
            <v>0</v>
          </cell>
          <cell r="AO230">
            <v>0</v>
          </cell>
          <cell r="AP230">
            <v>800000</v>
          </cell>
          <cell r="AQ230" t="str">
            <v>Pará</v>
          </cell>
          <cell r="AS230" t="str">
            <v>x</v>
          </cell>
          <cell r="AT230">
            <v>0</v>
          </cell>
        </row>
        <row r="231">
          <cell r="B231" t="str">
            <v>COO0671</v>
          </cell>
          <cell r="C231" t="str">
            <v>OOEU.N</v>
          </cell>
          <cell r="D231" t="str">
            <v>OOGS.S-S-2025-I-0209</v>
          </cell>
          <cell r="E231" t="str">
            <v>N-2025-G-0168</v>
          </cell>
          <cell r="F231" t="str">
            <v>N-2025-G-151</v>
          </cell>
          <cell r="G231" t="str">
            <v>Eletronorte</v>
          </cell>
          <cell r="H231" t="str">
            <v>Nova Demanda</v>
          </cell>
          <cell r="I231" t="str">
            <v>Modernização do sistema moto-redutor para os ventiladores da torre da UTE Mauá 3</v>
          </cell>
          <cell r="J231" t="str">
            <v>Caixa redutora motor para os ventiladores da torre</v>
          </cell>
          <cell r="K231" t="str">
            <v>Caixa redutora motor para os ventiladores da torre</v>
          </cell>
          <cell r="L231" t="str">
            <v>NO10606003</v>
          </cell>
          <cell r="M231" t="str">
            <v>UTE Mauá 3</v>
          </cell>
          <cell r="N231" t="str">
            <v>Geração</v>
          </cell>
          <cell r="O231" t="str">
            <v>Modernização de pequeno porte</v>
          </cell>
          <cell r="P231" t="str">
            <v>Modernização de pequeno porte</v>
          </cell>
          <cell r="Q231" t="str">
            <v>NGTE.0025</v>
          </cell>
          <cell r="R231" t="str">
            <v>OOMANGUTMACAIXA REDUTORA VENTILADOR</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cell r="AG231"/>
          <cell r="AH231"/>
          <cell r="AI231"/>
          <cell r="AJ231">
            <v>0</v>
          </cell>
          <cell r="AK231">
            <v>0</v>
          </cell>
          <cell r="AL231">
            <v>0</v>
          </cell>
          <cell r="AM231">
            <v>0</v>
          </cell>
          <cell r="AN231">
            <v>0</v>
          </cell>
          <cell r="AO231">
            <v>0</v>
          </cell>
          <cell r="AP231">
            <v>0</v>
          </cell>
          <cell r="AQ231" t="str">
            <v>Desinvestimento</v>
          </cell>
          <cell r="AS231" t="str">
            <v>x</v>
          </cell>
          <cell r="AT231">
            <v>0</v>
          </cell>
        </row>
        <row r="232">
          <cell r="B232" t="str">
            <v>COO0672</v>
          </cell>
          <cell r="C232" t="str">
            <v>OOEU.N</v>
          </cell>
          <cell r="D232" t="str">
            <v>OOGR.S-S-2025-I-0183</v>
          </cell>
          <cell r="E232" t="str">
            <v>N-2025-G-0163</v>
          </cell>
          <cell r="F232" t="str">
            <v>N-2025-G-135</v>
          </cell>
          <cell r="G232" t="str">
            <v>Eletronorte</v>
          </cell>
          <cell r="H232" t="str">
            <v>Nova Demanda</v>
          </cell>
          <cell r="I232" t="str">
            <v>Modernização do sistema de ar da clarificação GDC30 e GDC31 da UTE Mauá 3</v>
          </cell>
          <cell r="J232" t="str">
            <v>Compressores de ar da clarificação - GDC30 e GDC31</v>
          </cell>
          <cell r="K232" t="str">
            <v>Compressores de ar da clarificação - GDC30 e GDC31</v>
          </cell>
          <cell r="L232" t="str">
            <v>NO10606003</v>
          </cell>
          <cell r="M232" t="str">
            <v>UTE Mauá 3</v>
          </cell>
          <cell r="N232" t="str">
            <v>Geração</v>
          </cell>
          <cell r="O232" t="str">
            <v>Modernização de pequeno porte</v>
          </cell>
          <cell r="P232" t="str">
            <v>Modernização de pequeno porte</v>
          </cell>
          <cell r="Q232" t="str">
            <v>NGTE.0017</v>
          </cell>
          <cell r="R232" t="str">
            <v>OOMANGUTMA2 compress. ar compr.Mauá3</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cell r="AG232"/>
          <cell r="AH232"/>
          <cell r="AI232"/>
          <cell r="AJ232">
            <v>0</v>
          </cell>
          <cell r="AK232">
            <v>0</v>
          </cell>
          <cell r="AL232">
            <v>0</v>
          </cell>
          <cell r="AM232">
            <v>0</v>
          </cell>
          <cell r="AN232">
            <v>0</v>
          </cell>
          <cell r="AO232">
            <v>0</v>
          </cell>
          <cell r="AP232">
            <v>0</v>
          </cell>
          <cell r="AQ232" t="str">
            <v>Desinvestimento</v>
          </cell>
          <cell r="AS232" t="str">
            <v>x</v>
          </cell>
          <cell r="AT232">
            <v>0</v>
          </cell>
        </row>
        <row r="233">
          <cell r="B233" t="str">
            <v>COO0673</v>
          </cell>
          <cell r="C233" t="str">
            <v>OOMG.N</v>
          </cell>
          <cell r="D233" t="str">
            <v>OOMS.S-S-2025-I-0021</v>
          </cell>
          <cell r="E233" t="str">
            <v>N-2025-G-0106</v>
          </cell>
          <cell r="F233" t="str">
            <v>N-2025-G-136</v>
          </cell>
          <cell r="G233" t="str">
            <v>Eletronorte</v>
          </cell>
          <cell r="H233" t="str">
            <v>Nova Demanda</v>
          </cell>
          <cell r="I233" t="str">
            <v>Modernização do sistema de ar de regulação da UHE.</v>
          </cell>
          <cell r="J233"/>
          <cell r="K233"/>
          <cell r="L233" t="str">
            <v>NO10105003</v>
          </cell>
          <cell r="M233" t="str">
            <v>UHE Curuá-Una</v>
          </cell>
          <cell r="N233" t="str">
            <v>Geração</v>
          </cell>
          <cell r="O233" t="str">
            <v>Modernização de pequeno porte</v>
          </cell>
          <cell r="P233" t="str">
            <v>Modernização de pequeno porte</v>
          </cell>
          <cell r="Q233" t="str">
            <v>NGHI.0141</v>
          </cell>
          <cell r="R233" t="str">
            <v>Não cadastrado</v>
          </cell>
          <cell r="S233">
            <v>0</v>
          </cell>
          <cell r="T233">
            <v>0</v>
          </cell>
          <cell r="U233">
            <v>0</v>
          </cell>
          <cell r="V233">
            <v>0</v>
          </cell>
          <cell r="W233">
            <v>0</v>
          </cell>
          <cell r="X233">
            <v>0</v>
          </cell>
          <cell r="Y233">
            <v>0</v>
          </cell>
          <cell r="Z233">
            <v>2399800</v>
          </cell>
          <cell r="AA233">
            <v>0</v>
          </cell>
          <cell r="AB233">
            <v>0</v>
          </cell>
          <cell r="AC233">
            <v>0</v>
          </cell>
          <cell r="AD233">
            <v>0</v>
          </cell>
          <cell r="AE233">
            <v>2399800</v>
          </cell>
          <cell r="AF233"/>
          <cell r="AG233"/>
          <cell r="AH233"/>
          <cell r="AI233"/>
          <cell r="AJ233">
            <v>2399800</v>
          </cell>
          <cell r="AK233">
            <v>0</v>
          </cell>
          <cell r="AL233">
            <v>0</v>
          </cell>
          <cell r="AM233">
            <v>0</v>
          </cell>
          <cell r="AN233">
            <v>0</v>
          </cell>
          <cell r="AO233">
            <v>0</v>
          </cell>
          <cell r="AP233">
            <v>2399800</v>
          </cell>
          <cell r="AQ233" t="str">
            <v>Pará</v>
          </cell>
          <cell r="AS233" t="str">
            <v>x</v>
          </cell>
          <cell r="AT233">
            <v>0</v>
          </cell>
        </row>
        <row r="234">
          <cell r="B234" t="str">
            <v>COO0674</v>
          </cell>
          <cell r="C234" t="str">
            <v>OOEU.N</v>
          </cell>
          <cell r="D234" t="str">
            <v>OOGS.S-S-2025-I-0265</v>
          </cell>
          <cell r="E234" t="str">
            <v>N-2025-G-0167</v>
          </cell>
          <cell r="F234" t="str">
            <v>N-2025-G-140</v>
          </cell>
          <cell r="G234" t="str">
            <v>Eletronorte</v>
          </cell>
          <cell r="H234" t="str">
            <v>Nova Demanda</v>
          </cell>
          <cell r="I234" t="str">
            <v>Modernização do sistema de comunicação HART TREX da UTE Mauá 3</v>
          </cell>
          <cell r="J234" t="str">
            <v xml:space="preserve">Comunicador HART TREX </v>
          </cell>
          <cell r="K234" t="str">
            <v xml:space="preserve">Comunicador HART TREX </v>
          </cell>
          <cell r="L234" t="str">
            <v>NO10606003</v>
          </cell>
          <cell r="M234" t="str">
            <v>UTE Mauá 3</v>
          </cell>
          <cell r="N234" t="str">
            <v>Geração</v>
          </cell>
          <cell r="O234" t="str">
            <v>Modernização de pequeno porte</v>
          </cell>
          <cell r="P234" t="str">
            <v>Modernização de pequeno porte</v>
          </cell>
          <cell r="Q234" t="str">
            <v>NGTE.0022</v>
          </cell>
          <cell r="R234" t="str">
            <v>Não cadastrado</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cell r="AG234"/>
          <cell r="AH234"/>
          <cell r="AI234"/>
          <cell r="AJ234">
            <v>0</v>
          </cell>
          <cell r="AK234">
            <v>0</v>
          </cell>
          <cell r="AL234">
            <v>0</v>
          </cell>
          <cell r="AM234">
            <v>0</v>
          </cell>
          <cell r="AN234">
            <v>0</v>
          </cell>
          <cell r="AO234">
            <v>0</v>
          </cell>
          <cell r="AP234">
            <v>0</v>
          </cell>
          <cell r="AQ234" t="str">
            <v>Desinvestimento</v>
          </cell>
          <cell r="AS234" t="str">
            <v>x</v>
          </cell>
          <cell r="AT234">
            <v>0</v>
          </cell>
        </row>
        <row r="235">
          <cell r="B235" t="str">
            <v>COO0675</v>
          </cell>
          <cell r="C235" t="str">
            <v>OOGT.N</v>
          </cell>
          <cell r="D235" t="str">
            <v>OOTM.F-OS-2025-I-0352</v>
          </cell>
          <cell r="E235" t="str">
            <v>N-2025-G-0068</v>
          </cell>
          <cell r="F235" t="str">
            <v>N-2025-G-149</v>
          </cell>
          <cell r="G235" t="str">
            <v>Eletronorte</v>
          </cell>
          <cell r="H235" t="str">
            <v>Nova Demanda</v>
          </cell>
          <cell r="I235" t="str">
            <v>Modernização do sistema de resfriamento dos mancais da CFI da UHE Tucuruí</v>
          </cell>
          <cell r="J235" t="str">
            <v>Conjunto de motobombas, trocadores de calor, válvulas, instrumenção etc., para os sistemas do MGG, MGT e ME.</v>
          </cell>
          <cell r="K235" t="str">
            <v>Conjunto de motobombas, trocadores de calor, válvulas, instrumenção etc., para os sistemas do MGG, MGT e ME.</v>
          </cell>
          <cell r="L235" t="str">
            <v>NO10105003</v>
          </cell>
          <cell r="M235" t="str">
            <v>UHE Tucuruí</v>
          </cell>
          <cell r="N235" t="str">
            <v>Geração</v>
          </cell>
          <cell r="O235" t="str">
            <v>Modernização de pequeno porte</v>
          </cell>
          <cell r="P235" t="str">
            <v>Modernização de pequeno porte</v>
          </cell>
          <cell r="Q235" t="str">
            <v>NGHI.0143</v>
          </cell>
          <cell r="R235" t="str">
            <v>OOG Modern. G PP 2025</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3000000</v>
          </cell>
          <cell r="AG235">
            <v>2000000</v>
          </cell>
          <cell r="AH235"/>
          <cell r="AI235"/>
          <cell r="AJ235">
            <v>5000000</v>
          </cell>
          <cell r="AK235">
            <v>0</v>
          </cell>
          <cell r="AL235">
            <v>0</v>
          </cell>
          <cell r="AM235">
            <v>0</v>
          </cell>
          <cell r="AN235">
            <v>0</v>
          </cell>
          <cell r="AO235">
            <v>0</v>
          </cell>
          <cell r="AP235">
            <v>5000000</v>
          </cell>
          <cell r="AQ235" t="str">
            <v>Pará</v>
          </cell>
          <cell r="AT235">
            <v>5000000</v>
          </cell>
        </row>
        <row r="236">
          <cell r="B236" t="str">
            <v>COO0676</v>
          </cell>
          <cell r="C236" t="str">
            <v>OOEA.N</v>
          </cell>
          <cell r="D236" t="str">
            <v>OOGR.S-S-2025-I-0167</v>
          </cell>
          <cell r="E236" t="str">
            <v>N-2025-G-0149</v>
          </cell>
          <cell r="F236" t="str">
            <v>N-2025-G-102</v>
          </cell>
          <cell r="G236" t="str">
            <v>Eletronorte</v>
          </cell>
          <cell r="H236" t="str">
            <v>Nova Demanda</v>
          </cell>
          <cell r="I236" t="str">
            <v>Implantação de 02 caixas separadoras água/óleo na UTE Aparecida</v>
          </cell>
          <cell r="J236" t="str">
            <v>Construção de 02 caixas de separação de água e óleo nos blocos 1 e 2</v>
          </cell>
          <cell r="K236" t="str">
            <v>Construção de 02 caixas de separação de água e óleo nos blocos 1 e 2</v>
          </cell>
          <cell r="L236" t="str">
            <v>NO10603003</v>
          </cell>
          <cell r="M236" t="str">
            <v>UTE Aparecida</v>
          </cell>
          <cell r="N236" t="str">
            <v>Geração</v>
          </cell>
          <cell r="O236" t="str">
            <v>Modernização de pequeno porte</v>
          </cell>
          <cell r="P236" t="str">
            <v>Modernização de pequeno porte</v>
          </cell>
          <cell r="Q236" t="str">
            <v>NGTE - Mordernização Térmicas</v>
          </cell>
          <cell r="R236" t="str">
            <v>Não cadastrado</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cell r="AG236"/>
          <cell r="AH236"/>
          <cell r="AI236"/>
          <cell r="AJ236">
            <v>0</v>
          </cell>
          <cell r="AK236">
            <v>0</v>
          </cell>
          <cell r="AL236">
            <v>0</v>
          </cell>
          <cell r="AM236">
            <v>0</v>
          </cell>
          <cell r="AN236">
            <v>0</v>
          </cell>
          <cell r="AO236">
            <v>0</v>
          </cell>
          <cell r="AP236">
            <v>0</v>
          </cell>
          <cell r="AQ236" t="str">
            <v>Desinvestimento</v>
          </cell>
          <cell r="AS236" t="str">
            <v>x</v>
          </cell>
          <cell r="AT236">
            <v>0</v>
          </cell>
        </row>
        <row r="237">
          <cell r="B237" t="str">
            <v>COO0685</v>
          </cell>
          <cell r="C237" t="str">
            <v>OOGT.N</v>
          </cell>
          <cell r="D237" t="str">
            <v>OOPT.C-C-2025-I-0040</v>
          </cell>
          <cell r="E237" t="str">
            <v>N-2025-G-0013</v>
          </cell>
          <cell r="F237" t="str">
            <v>N-2025-G-199</v>
          </cell>
          <cell r="G237" t="str">
            <v>Eletronorte</v>
          </cell>
          <cell r="H237" t="str">
            <v>Nova Demanda</v>
          </cell>
          <cell r="I237" t="str">
            <v>Recuperação de cavitação da UHE.</v>
          </cell>
          <cell r="J237" t="str">
            <v>Contratação de empresa especializada para manutenção e reforço operacional sistema de turbina recuperação de cavitação</v>
          </cell>
          <cell r="K237" t="str">
            <v>Contratação de empresa especializada para manutenção e reforço operacional sistema de turbina recuperação de cavitação</v>
          </cell>
          <cell r="L237" t="str">
            <v>NO10105003</v>
          </cell>
          <cell r="M237" t="str">
            <v>UHE Tucuruí</v>
          </cell>
          <cell r="N237" t="str">
            <v>Geração</v>
          </cell>
          <cell r="O237" t="str">
            <v>Modernização de pequeno porte</v>
          </cell>
          <cell r="P237" t="str">
            <v>Modernização de pequeno porte</v>
          </cell>
          <cell r="Q237" t="str">
            <v>NGHI.0143</v>
          </cell>
          <cell r="R237" t="str">
            <v>OOG Modern. G PP 2025</v>
          </cell>
          <cell r="S237">
            <v>0</v>
          </cell>
          <cell r="T237">
            <v>0</v>
          </cell>
          <cell r="U237">
            <v>0</v>
          </cell>
          <cell r="V237">
            <v>1000000</v>
          </cell>
          <cell r="W237">
            <v>1000000</v>
          </cell>
          <cell r="X237">
            <v>1000000</v>
          </cell>
          <cell r="Y237">
            <v>0</v>
          </cell>
          <cell r="Z237">
            <v>0</v>
          </cell>
          <cell r="AA237">
            <v>0</v>
          </cell>
          <cell r="AB237">
            <v>1000000</v>
          </cell>
          <cell r="AC237">
            <v>0</v>
          </cell>
          <cell r="AD237">
            <v>0</v>
          </cell>
          <cell r="AE237">
            <v>4000000</v>
          </cell>
          <cell r="AF237"/>
          <cell r="AG237"/>
          <cell r="AH237"/>
          <cell r="AI237"/>
          <cell r="AJ237">
            <v>4000000</v>
          </cell>
          <cell r="AK237">
            <v>0</v>
          </cell>
          <cell r="AL237">
            <v>0</v>
          </cell>
          <cell r="AM237">
            <v>0</v>
          </cell>
          <cell r="AN237">
            <v>0</v>
          </cell>
          <cell r="AO237">
            <v>0</v>
          </cell>
          <cell r="AP237">
            <v>4000000</v>
          </cell>
          <cell r="AQ237" t="str">
            <v>Pará</v>
          </cell>
          <cell r="AT237">
            <v>0</v>
          </cell>
        </row>
        <row r="238">
          <cell r="B238" t="str">
            <v>COO0686</v>
          </cell>
          <cell r="C238" t="str">
            <v>OOEA.N</v>
          </cell>
          <cell r="D238" t="str">
            <v>OOPM.S-S-2025-I-0069</v>
          </cell>
          <cell r="E238" t="str">
            <v>N-2025-G-0155</v>
          </cell>
          <cell r="F238" t="str">
            <v>N-2025-G-105</v>
          </cell>
          <cell r="G238" t="str">
            <v>Eletronorte</v>
          </cell>
          <cell r="H238" t="str">
            <v>Nova Demanda</v>
          </cell>
          <cell r="I238" t="str">
            <v>Implantação do sistema de atenuação de ruído da UTE Aparecida</v>
          </cell>
          <cell r="J238" t="str">
            <v>Contratação de empresa para a execução de Obras para contenção/atenuação de ruído da UTE Aparecida, conforme Projeto Executivo contratado.</v>
          </cell>
          <cell r="K238" t="str">
            <v>Contratação de empresa para a execução de Obras para contenção/atenuação de ruído da UTE Aparecida, conforme Projeto Executivo contratado.</v>
          </cell>
          <cell r="L238" t="str">
            <v>NO10603003</v>
          </cell>
          <cell r="M238" t="str">
            <v>UTE Aparecida</v>
          </cell>
          <cell r="N238" t="str">
            <v>Geração</v>
          </cell>
          <cell r="O238" t="str">
            <v>Modernização de pequeno porte</v>
          </cell>
          <cell r="P238" t="str">
            <v>Modernização de pequeno porte</v>
          </cell>
          <cell r="Q238" t="str">
            <v>NGTE - Mordernização Térmicas</v>
          </cell>
          <cell r="R238" t="str">
            <v>Não cadastrado</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cell r="AG238"/>
          <cell r="AH238"/>
          <cell r="AI238"/>
          <cell r="AJ238">
            <v>0</v>
          </cell>
          <cell r="AK238">
            <v>0</v>
          </cell>
          <cell r="AL238">
            <v>0</v>
          </cell>
          <cell r="AM238">
            <v>0</v>
          </cell>
          <cell r="AN238">
            <v>0</v>
          </cell>
          <cell r="AO238">
            <v>0</v>
          </cell>
          <cell r="AP238">
            <v>0</v>
          </cell>
          <cell r="AQ238" t="str">
            <v>Desinvestimento</v>
          </cell>
          <cell r="AS238" t="str">
            <v>x</v>
          </cell>
          <cell r="AT238">
            <v>0</v>
          </cell>
        </row>
        <row r="239">
          <cell r="B239" t="str">
            <v>COO0687</v>
          </cell>
          <cell r="C239" t="str">
            <v>OOGT.N</v>
          </cell>
          <cell r="D239" t="str">
            <v>OOGFU.F-OS-2025-I-0536</v>
          </cell>
          <cell r="E239" t="str">
            <v>N-2025-G-0064</v>
          </cell>
          <cell r="F239" t="str">
            <v>N-2025-G-145</v>
          </cell>
          <cell r="G239" t="str">
            <v>Eletronorte</v>
          </cell>
          <cell r="H239" t="str">
            <v>Nova Demanda</v>
          </cell>
          <cell r="I239" t="str">
            <v>Modernização do sistema de proteção contra incêndio da UHE Tucuruí</v>
          </cell>
          <cell r="J239" t="str">
            <v>CONTRATAÇAO DE EMPRESA PARA ELABORAÇAO E EXECUÇAO DE PROJETO PARA MODERNIZAÇAO/ADEQUAÇAO DO SISTEMA DE SUPRESSAO CONTRA INCENDIO, SISTEMA DE DETECÇÃO, COMBATE A INCENDIO E ALARME (ULCPs, CO2 UNIDADES GERADORAS)DA UHE TUCURUI.</v>
          </cell>
          <cell r="K239" t="str">
            <v>CONTRATAÇAO DE EMPRESA PARA ELABORAÇAO E EXECUÇAO DE PROJETO PARA MODERNIZAÇAO/ADEQUAÇAO DO SISTEMA DE SUPRESSAO CONTRA INCENDIO, SISTEMA DE DETECÇÃO, COMBATE A INCENDIO E ALARME (ULCPs, CO2 UNIDADES GERADORAS)DA UHE TUCURUI.</v>
          </cell>
          <cell r="L239" t="str">
            <v>NO10105003</v>
          </cell>
          <cell r="M239" t="str">
            <v>UHE Tucuruí</v>
          </cell>
          <cell r="N239" t="str">
            <v>Geração</v>
          </cell>
          <cell r="O239" t="str">
            <v>Modernização de pequeno porte</v>
          </cell>
          <cell r="P239" t="str">
            <v>Modernização de pequeno porte</v>
          </cell>
          <cell r="Q239" t="str">
            <v>NGHI.0075</v>
          </cell>
          <cell r="R239" t="str">
            <v>UHTU-MODERNIZAÇÃO DO SIST. ANTI-INCÊNDIO</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5000000</v>
          </cell>
          <cell r="AG239"/>
          <cell r="AH239"/>
          <cell r="AI239"/>
          <cell r="AJ239">
            <v>5000000</v>
          </cell>
          <cell r="AK239">
            <v>0</v>
          </cell>
          <cell r="AL239">
            <v>0</v>
          </cell>
          <cell r="AM239">
            <v>0</v>
          </cell>
          <cell r="AN239">
            <v>0</v>
          </cell>
          <cell r="AO239">
            <v>0</v>
          </cell>
          <cell r="AP239">
            <v>5000000</v>
          </cell>
          <cell r="AQ239" t="str">
            <v>Pará</v>
          </cell>
          <cell r="AS239" t="str">
            <v>x</v>
          </cell>
          <cell r="AT239">
            <v>5000000</v>
          </cell>
        </row>
        <row r="240">
          <cell r="B240" t="str">
            <v>COO0692</v>
          </cell>
          <cell r="C240" t="str">
            <v>OOGSA.N</v>
          </cell>
          <cell r="D240" t="str">
            <v>OOTM.F-OS-2025-I-0289</v>
          </cell>
          <cell r="E240" t="str">
            <v>N-2025-G-0072</v>
          </cell>
          <cell r="F240" t="str">
            <v>N-2025-G-175</v>
          </cell>
          <cell r="G240" t="str">
            <v>Eletronorte</v>
          </cell>
          <cell r="H240" t="str">
            <v>Nova Demanda</v>
          </cell>
          <cell r="I240" t="str">
            <v>Aquisição de gerador diesel de emergência do vertedouro da UHE Samuel</v>
          </cell>
          <cell r="J240" t="str">
            <v>Detalhar</v>
          </cell>
          <cell r="K240" t="str">
            <v>Detalhar</v>
          </cell>
          <cell r="L240" t="str">
            <v>NO10104003</v>
          </cell>
          <cell r="M240" t="str">
            <v>UHE Samuel</v>
          </cell>
          <cell r="N240" t="str">
            <v>Geração</v>
          </cell>
          <cell r="O240" t="str">
            <v>Modernização de pequeno porte</v>
          </cell>
          <cell r="P240" t="str">
            <v>Modernização de pequeno porte</v>
          </cell>
          <cell r="Q240" t="str">
            <v>NGHI.0143</v>
          </cell>
          <cell r="R240" t="str">
            <v>OOG Modern. G PP 2025</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3500000</v>
          </cell>
          <cell r="AG240"/>
          <cell r="AH240"/>
          <cell r="AI240"/>
          <cell r="AJ240">
            <v>3500000</v>
          </cell>
          <cell r="AK240">
            <v>0</v>
          </cell>
          <cell r="AL240">
            <v>0</v>
          </cell>
          <cell r="AM240">
            <v>0</v>
          </cell>
          <cell r="AN240">
            <v>0</v>
          </cell>
          <cell r="AO240">
            <v>0</v>
          </cell>
          <cell r="AP240">
            <v>3500000</v>
          </cell>
          <cell r="AQ240" t="str">
            <v>Rondônia</v>
          </cell>
          <cell r="AS240" t="str">
            <v>x</v>
          </cell>
          <cell r="AT240">
            <v>3500000</v>
          </cell>
        </row>
        <row r="241">
          <cell r="B241" t="str">
            <v>COO0693</v>
          </cell>
          <cell r="C241" t="str">
            <v>OOEU.N</v>
          </cell>
          <cell r="D241" t="str">
            <v>OOGR.S-S-2025-I-0168</v>
          </cell>
          <cell r="E241" t="str">
            <v>N-2025-G-0164</v>
          </cell>
          <cell r="F241" t="str">
            <v>N-2025-G-101</v>
          </cell>
          <cell r="G241" t="str">
            <v>Eletronorte</v>
          </cell>
          <cell r="H241" t="str">
            <v>Nova Demanda</v>
          </cell>
          <cell r="I241" t="str">
            <v>Aquisição de sistema de monitoramento HYDRAN para a UTE Mauá 3</v>
          </cell>
          <cell r="J241" t="str">
            <v xml:space="preserve">HYDRAN e sobressalentes </v>
          </cell>
          <cell r="K241" t="str">
            <v xml:space="preserve">HYDRAN e sobressalentes </v>
          </cell>
          <cell r="L241" t="str">
            <v>NO10606003</v>
          </cell>
          <cell r="M241" t="str">
            <v>UTE Mauá 3</v>
          </cell>
          <cell r="N241" t="str">
            <v>Geração</v>
          </cell>
          <cell r="O241" t="str">
            <v>Modernização de pequeno porte</v>
          </cell>
          <cell r="P241" t="str">
            <v>Modernização de pequeno porte</v>
          </cell>
          <cell r="Q241" t="str">
            <v>NGTE - Mordernização Térmicas</v>
          </cell>
          <cell r="R241" t="str">
            <v>Não cadastrado</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cell r="AG241"/>
          <cell r="AH241"/>
          <cell r="AI241"/>
          <cell r="AJ241">
            <v>0</v>
          </cell>
          <cell r="AK241">
            <v>0</v>
          </cell>
          <cell r="AL241">
            <v>0</v>
          </cell>
          <cell r="AM241">
            <v>0</v>
          </cell>
          <cell r="AN241">
            <v>0</v>
          </cell>
          <cell r="AO241">
            <v>0</v>
          </cell>
          <cell r="AP241">
            <v>0</v>
          </cell>
          <cell r="AQ241" t="str">
            <v>Desinvestimento</v>
          </cell>
          <cell r="AS241" t="str">
            <v>x</v>
          </cell>
          <cell r="AT241">
            <v>0</v>
          </cell>
        </row>
        <row r="242">
          <cell r="B242" t="str">
            <v>COO0697</v>
          </cell>
          <cell r="C242" t="str">
            <v>OOGCU.N</v>
          </cell>
          <cell r="D242" t="str">
            <v>OOGS.S-S-2025-I-0286</v>
          </cell>
          <cell r="E242" t="str">
            <v>N-2025-G-0061</v>
          </cell>
          <cell r="F242" t="str">
            <v>N-2025-G-112</v>
          </cell>
          <cell r="G242" t="str">
            <v>Eletronorte</v>
          </cell>
          <cell r="H242" t="str">
            <v>Nova Demanda</v>
          </cell>
          <cell r="I242" t="str">
            <v>Implantação da mesa de comando da sala de controle da UHE Curuá-Una</v>
          </cell>
          <cell r="J242" t="str">
            <v>Implantação de mesa para facilitação do comando das UGHs</v>
          </cell>
          <cell r="K242" t="str">
            <v>Implantação de mesa para facilitação do comando das UGHs</v>
          </cell>
          <cell r="L242" t="str">
            <v>NO10103003</v>
          </cell>
          <cell r="M242" t="str">
            <v>UHE Curuá-Una</v>
          </cell>
          <cell r="N242" t="str">
            <v>Geração</v>
          </cell>
          <cell r="O242" t="str">
            <v>Modernização de pequeno porte</v>
          </cell>
          <cell r="P242" t="str">
            <v>Modernização de pequeno porte</v>
          </cell>
          <cell r="Q242" t="str">
            <v>NGHI.0143</v>
          </cell>
          <cell r="R242" t="str">
            <v>OOG Modern. G PP 2025</v>
          </cell>
          <cell r="S242">
            <v>0</v>
          </cell>
          <cell r="T242">
            <v>0</v>
          </cell>
          <cell r="U242">
            <v>0</v>
          </cell>
          <cell r="V242">
            <v>0</v>
          </cell>
          <cell r="W242">
            <v>0</v>
          </cell>
          <cell r="X242">
            <v>0</v>
          </cell>
          <cell r="Y242">
            <v>50000</v>
          </cell>
          <cell r="Z242"/>
          <cell r="AA242">
            <v>0</v>
          </cell>
          <cell r="AB242">
            <v>0</v>
          </cell>
          <cell r="AC242">
            <v>0</v>
          </cell>
          <cell r="AD242">
            <v>0</v>
          </cell>
          <cell r="AE242">
            <v>50000</v>
          </cell>
          <cell r="AF242"/>
          <cell r="AG242"/>
          <cell r="AH242"/>
          <cell r="AI242"/>
          <cell r="AJ242">
            <v>50000</v>
          </cell>
          <cell r="AK242">
            <v>0</v>
          </cell>
          <cell r="AL242">
            <v>0</v>
          </cell>
          <cell r="AM242">
            <v>0</v>
          </cell>
          <cell r="AN242">
            <v>0</v>
          </cell>
          <cell r="AO242">
            <v>0</v>
          </cell>
          <cell r="AP242">
            <v>50000</v>
          </cell>
          <cell r="AQ242" t="str">
            <v>Pará</v>
          </cell>
          <cell r="AS242" t="str">
            <v>x</v>
          </cell>
          <cell r="AT242">
            <v>0</v>
          </cell>
        </row>
        <row r="243">
          <cell r="B243" t="str">
            <v>COO0701</v>
          </cell>
          <cell r="C243" t="str">
            <v>OOMG.N</v>
          </cell>
          <cell r="D243" t="str">
            <v>OOGN.S-S-2025-I-0105</v>
          </cell>
          <cell r="E243" t="str">
            <v>N-2025-G-0136</v>
          </cell>
          <cell r="F243" t="str">
            <v>N-2025-G-207</v>
          </cell>
          <cell r="G243" t="str">
            <v>Eletronorte</v>
          </cell>
          <cell r="H243" t="str">
            <v>Nova Demanda</v>
          </cell>
          <cell r="I243" t="str">
            <v>Modernização do sistema de resfriamento em circuito fechado dos equipamentos da UHE Tucuruí</v>
          </cell>
          <cell r="J243" t="str">
            <v>Instalação de sistema de resfriamento em cirtuito fechado para o transformador, Regulador de tensão e Velocidade.</v>
          </cell>
          <cell r="K243" t="str">
            <v>Instalação de sistema de resfriamento em cirtuito fechado para o transformador, Regulador de tensão e Velocidade.</v>
          </cell>
          <cell r="L243" t="str">
            <v>NO10105003</v>
          </cell>
          <cell r="M243" t="str">
            <v>UHE Tucuruí</v>
          </cell>
          <cell r="N243" t="str">
            <v>Geração</v>
          </cell>
          <cell r="O243" t="str">
            <v>Modernização de pequeno porte</v>
          </cell>
          <cell r="P243" t="str">
            <v>Modernização de pequeno porte</v>
          </cell>
          <cell r="Q243" t="str">
            <v>NGHI.0141</v>
          </cell>
          <cell r="R243" t="str">
            <v>OOM Modern. G PP 2025</v>
          </cell>
          <cell r="S243">
            <v>0</v>
          </cell>
          <cell r="T243">
            <v>0</v>
          </cell>
          <cell r="U243">
            <v>0</v>
          </cell>
          <cell r="V243">
            <v>0</v>
          </cell>
          <cell r="W243">
            <v>0</v>
          </cell>
          <cell r="X243">
            <v>0</v>
          </cell>
          <cell r="Y243">
            <v>0</v>
          </cell>
          <cell r="Z243">
            <v>0</v>
          </cell>
          <cell r="AA243">
            <v>300000</v>
          </cell>
          <cell r="AB243">
            <v>0</v>
          </cell>
          <cell r="AC243">
            <v>300000</v>
          </cell>
          <cell r="AD243">
            <v>0</v>
          </cell>
          <cell r="AE243">
            <v>600000</v>
          </cell>
          <cell r="AF243"/>
          <cell r="AG243"/>
          <cell r="AH243"/>
          <cell r="AI243"/>
          <cell r="AJ243">
            <v>600000</v>
          </cell>
          <cell r="AK243">
            <v>0</v>
          </cell>
          <cell r="AL243">
            <v>0</v>
          </cell>
          <cell r="AM243">
            <v>0</v>
          </cell>
          <cell r="AN243">
            <v>0</v>
          </cell>
          <cell r="AO243">
            <v>0</v>
          </cell>
          <cell r="AP243">
            <v>600000</v>
          </cell>
          <cell r="AQ243" t="str">
            <v>Pará</v>
          </cell>
          <cell r="AS243" t="str">
            <v>x</v>
          </cell>
          <cell r="AT243">
            <v>0</v>
          </cell>
        </row>
        <row r="244">
          <cell r="B244" t="str">
            <v>COO0703</v>
          </cell>
          <cell r="C244" t="str">
            <v>OOEU.N</v>
          </cell>
          <cell r="D244" t="str">
            <v>OOGR.S-S-2025-I-0052</v>
          </cell>
          <cell r="E244" t="str">
            <v>N-2025-G-0162</v>
          </cell>
          <cell r="F244" t="str">
            <v>N-2025-G-110</v>
          </cell>
          <cell r="G244" t="str">
            <v>Eletronorte</v>
          </cell>
          <cell r="H244" t="str">
            <v>Contratado</v>
          </cell>
          <cell r="I244" t="str">
            <v>Modernização do mancal de apoio e escora da turbina a vapor da UTE Mauá 3</v>
          </cell>
          <cell r="J244" t="str">
            <v>Mancal de apoio e escora, BEARING P0087701400, para a turbina a vapor da UTE Mauá 3</v>
          </cell>
          <cell r="K244" t="str">
            <v>Mancal de apoio e escora, BEARING P0087701400, para a turbina a vapor da UTE Mauá 3</v>
          </cell>
          <cell r="L244" t="str">
            <v>NO10606003</v>
          </cell>
          <cell r="M244" t="str">
            <v>UTE Mauá 3</v>
          </cell>
          <cell r="N244" t="str">
            <v>Geração</v>
          </cell>
          <cell r="O244" t="str">
            <v>Modernização de pequeno porte</v>
          </cell>
          <cell r="P244" t="str">
            <v>Modernização de pequeno porte</v>
          </cell>
          <cell r="Q244" t="str">
            <v>NGTE - Mordernização Térmicas</v>
          </cell>
          <cell r="R244" t="str">
            <v>Não cadastrado</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cell r="AG244"/>
          <cell r="AH244"/>
          <cell r="AI244"/>
          <cell r="AJ244">
            <v>0</v>
          </cell>
          <cell r="AK244">
            <v>0</v>
          </cell>
          <cell r="AL244">
            <v>0</v>
          </cell>
          <cell r="AM244">
            <v>0</v>
          </cell>
          <cell r="AN244">
            <v>0</v>
          </cell>
          <cell r="AO244">
            <v>0</v>
          </cell>
          <cell r="AP244">
            <v>0</v>
          </cell>
          <cell r="AQ244" t="str">
            <v>Desinvestimento</v>
          </cell>
          <cell r="AS244" t="str">
            <v>x</v>
          </cell>
          <cell r="AT244">
            <v>0</v>
          </cell>
        </row>
        <row r="245">
          <cell r="B245" t="str">
            <v>COO0704</v>
          </cell>
          <cell r="C245" t="str">
            <v>OOEU.N</v>
          </cell>
          <cell r="D245" t="str">
            <v>OOO.C-C-2025-I-0042</v>
          </cell>
          <cell r="E245" t="str">
            <v>N-2025-G-0174</v>
          </cell>
          <cell r="F245" t="str">
            <v>N-2025-G-111</v>
          </cell>
          <cell r="G245" t="str">
            <v>Eletronorte</v>
          </cell>
          <cell r="H245" t="str">
            <v>Nova Demanda</v>
          </cell>
          <cell r="I245" t="str">
            <v>Adequação do sistema de captação de água da UTE Mauá 3</v>
          </cell>
          <cell r="J245" t="str">
            <v>Melhoria no sistema de captação de água (reposicionamento da balsa)</v>
          </cell>
          <cell r="K245" t="str">
            <v>Melhoria no sistema de captação de água (reposicionamento da balsa)</v>
          </cell>
          <cell r="L245" t="str">
            <v>NO10606003</v>
          </cell>
          <cell r="M245" t="str">
            <v>UTE Mauá 3</v>
          </cell>
          <cell r="N245" t="str">
            <v>Geração</v>
          </cell>
          <cell r="O245" t="str">
            <v>Modernização de pequeno porte</v>
          </cell>
          <cell r="P245" t="str">
            <v>Modernização de pequeno porte</v>
          </cell>
          <cell r="Q245" t="str">
            <v>NGTE - Mordernização Térmicas</v>
          </cell>
          <cell r="R245" t="str">
            <v>Não cadastrado</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cell r="AG245"/>
          <cell r="AH245"/>
          <cell r="AI245"/>
          <cell r="AJ245">
            <v>0</v>
          </cell>
          <cell r="AK245">
            <v>0</v>
          </cell>
          <cell r="AL245">
            <v>0</v>
          </cell>
          <cell r="AM245">
            <v>0</v>
          </cell>
          <cell r="AN245">
            <v>0</v>
          </cell>
          <cell r="AO245">
            <v>0</v>
          </cell>
          <cell r="AP245">
            <v>0</v>
          </cell>
          <cell r="AQ245" t="str">
            <v>Desinvestimento</v>
          </cell>
          <cell r="AS245" t="str">
            <v>x</v>
          </cell>
          <cell r="AT245">
            <v>0</v>
          </cell>
        </row>
        <row r="246">
          <cell r="B246" t="str">
            <v>COO0705</v>
          </cell>
          <cell r="C246" t="str">
            <v>OOGR.S</v>
          </cell>
          <cell r="D246" t="str">
            <v>OOTM.F-OS-2025-I-0294</v>
          </cell>
          <cell r="E246" t="str">
            <v>N-2025-G-0139</v>
          </cell>
          <cell r="F246" t="str">
            <v>N-2025-G-124</v>
          </cell>
          <cell r="G246" t="str">
            <v>Eletronorte</v>
          </cell>
          <cell r="H246" t="str">
            <v>Nova Demanda</v>
          </cell>
          <cell r="I246" t="str">
            <v>Modernização do pórtico justante e do vertedouro da UHE Coaracy Nunes</v>
          </cell>
          <cell r="J246" t="str">
            <v>Modernização de portico de Jusante e vertedouro da UHE Coaracy Nunes</v>
          </cell>
          <cell r="K246" t="str">
            <v>Modernização de portico de Jusante e vertedouro da UHE Coaracy Nunes</v>
          </cell>
          <cell r="L246" t="str">
            <v>NO10102003</v>
          </cell>
          <cell r="M246" t="str">
            <v>UHE Coaracy Nunes</v>
          </cell>
          <cell r="N246" t="str">
            <v>Geração</v>
          </cell>
          <cell r="O246" t="str">
            <v>Modernização de pequeno porte</v>
          </cell>
          <cell r="P246" t="str">
            <v>Modernização de pequeno porte</v>
          </cell>
          <cell r="Q246" t="str">
            <v>NGHI.0141</v>
          </cell>
          <cell r="R246" t="str">
            <v>OOM Modern. G PP 2025</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2000000</v>
          </cell>
          <cell r="AG246"/>
          <cell r="AH246"/>
          <cell r="AI246"/>
          <cell r="AJ246">
            <v>2000000</v>
          </cell>
          <cell r="AK246">
            <v>0</v>
          </cell>
          <cell r="AL246">
            <v>0</v>
          </cell>
          <cell r="AM246">
            <v>0</v>
          </cell>
          <cell r="AN246">
            <v>0</v>
          </cell>
          <cell r="AO246">
            <v>0</v>
          </cell>
          <cell r="AP246">
            <v>2000000</v>
          </cell>
          <cell r="AQ246" t="str">
            <v>Amapá</v>
          </cell>
          <cell r="AS246" t="str">
            <v>x</v>
          </cell>
          <cell r="AT246">
            <v>2000000</v>
          </cell>
        </row>
        <row r="247">
          <cell r="B247" t="str">
            <v>COO0706</v>
          </cell>
          <cell r="C247" t="str">
            <v>OOGT.N</v>
          </cell>
          <cell r="D247" t="str">
            <v>OOTM.F-OS-2025-I-0419</v>
          </cell>
          <cell r="E247" t="str">
            <v>N-2025-G-0065</v>
          </cell>
          <cell r="F247" t="str">
            <v>N-2025-G-204</v>
          </cell>
          <cell r="G247" t="str">
            <v>Eletronorte</v>
          </cell>
          <cell r="H247" t="str">
            <v>Nova Demanda</v>
          </cell>
          <cell r="I247" t="str">
            <v>Modernização do sistema de refrigeração do edíficio de comando e supervisão da UHE Tucuruí</v>
          </cell>
          <cell r="J247" t="str">
            <v>MODERNIZAÇÃO DO SISTEMA DE REFRIGERAÇÃO DO EDIFICIO DE SUPERVISÃO, DE COMANDO e das ULCPS DA UHE-TUCURUÍ</v>
          </cell>
          <cell r="K247" t="str">
            <v>MODERNIZAÇÃO DO SISTEMA DE REFRIGERAÇÃO DO EDIFICIO DE SUPERVISÃO, DE COMANDO e das ULCPS DA UHE-TUCURUÍ</v>
          </cell>
          <cell r="L247" t="str">
            <v>NO10105003</v>
          </cell>
          <cell r="M247" t="str">
            <v>UHE Tucuruí</v>
          </cell>
          <cell r="N247" t="str">
            <v>Geração</v>
          </cell>
          <cell r="O247" t="str">
            <v>Modernização de pequeno porte</v>
          </cell>
          <cell r="P247" t="str">
            <v>Modernização de pequeno porte</v>
          </cell>
          <cell r="Q247" t="str">
            <v>NGHI.0075</v>
          </cell>
          <cell r="R247" t="str">
            <v>UHTU-MODERNIZAÇÃO DO SIST. ANTI-INCÊNDIO</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2500000</v>
          </cell>
          <cell r="AG247"/>
          <cell r="AH247"/>
          <cell r="AI247"/>
          <cell r="AJ247">
            <v>2500000</v>
          </cell>
          <cell r="AK247">
            <v>0</v>
          </cell>
          <cell r="AL247">
            <v>0</v>
          </cell>
          <cell r="AM247">
            <v>0</v>
          </cell>
          <cell r="AN247">
            <v>0</v>
          </cell>
          <cell r="AO247">
            <v>0</v>
          </cell>
          <cell r="AP247">
            <v>2500000</v>
          </cell>
          <cell r="AQ247" t="str">
            <v>Pará</v>
          </cell>
          <cell r="AS247" t="str">
            <v>x</v>
          </cell>
          <cell r="AT247">
            <v>2500000</v>
          </cell>
        </row>
        <row r="248">
          <cell r="B248" t="str">
            <v>COO0707</v>
          </cell>
          <cell r="C248" t="str">
            <v>OOPE.N</v>
          </cell>
          <cell r="D248" t="str">
            <v>OOPT.C-C-2025-I-0033</v>
          </cell>
          <cell r="E248" t="str">
            <v>N-2025-G-0009</v>
          </cell>
          <cell r="F248" t="str">
            <v>N-2025-G-226</v>
          </cell>
          <cell r="G248" t="str">
            <v>Eletronorte</v>
          </cell>
          <cell r="H248" t="str">
            <v>Nova Demanda</v>
          </cell>
          <cell r="I248" t="str">
            <v>Modernização do Sistema de Proteção, Controle e Supervisão (SPCS+) da UHE Tucuruí - Contrato Suporte Material</v>
          </cell>
          <cell r="J248" t="str">
            <v>Modernização dos Sistemas de Proteção, Telecontrole e Supervisão, Aquisição de Dados (Instrumentos e Sensores), Cubículos e Painéis dos Auxiliares Elétricos de Média e Baixa Tensão das Casas de Força I, II e Auxiliar, como também dos Reguladores de Tensão, Transformadores de Excitação, Reguladores de Velocidade (eletrônicos e hidráulicos), Servomotores e Mecanismo do Distribuidor das unidades geradoras da Casa de Força I e Painéis de Comando e Controle das Comportas da Tomada D'água e do Vertedouro da UHE Tucuruí.</v>
          </cell>
          <cell r="K248" t="str">
            <v>Modernização dos Sistemas de Proteção, Telecontrole e Supervisão, Aquisição de Dados (Instrumentos e Sensores), Cubículos e Painéis dos Auxiliares Elétricos de Média e Baixa Tensão das Casas de Força I, II e Auxiliar, como também dos Reguladores de Tensão, Transformadores de Excitação, Reguladores de Velocidade (eletrônicos e hidráulicos), Servomotores e Mecanismo do Distribuidor das unidades geradoras da Casa de Força I e Painéis de Comando e Controle das Comportas da Tomada D'água e do Vertedouro da UHE Tucuruí.</v>
          </cell>
          <cell r="L248" t="str">
            <v>NO10105003</v>
          </cell>
          <cell r="M248" t="str">
            <v>UHE Tucuruí</v>
          </cell>
          <cell r="N248" t="str">
            <v>Geração</v>
          </cell>
          <cell r="O248" t="str">
            <v>Modernização de pequeno porte</v>
          </cell>
          <cell r="P248" t="str">
            <v>Modernização de pequeno porte</v>
          </cell>
          <cell r="Q248" t="str">
            <v>NGHI.0066</v>
          </cell>
          <cell r="R248" t="str">
            <v>UHTU- MODERNIZAÇÃO DE SISTEMAS DA USINA</v>
          </cell>
          <cell r="S248">
            <v>0</v>
          </cell>
          <cell r="T248">
            <v>0</v>
          </cell>
          <cell r="U248">
            <v>0</v>
          </cell>
          <cell r="V248">
            <v>0</v>
          </cell>
          <cell r="W248">
            <v>0</v>
          </cell>
          <cell r="X248">
            <v>0</v>
          </cell>
          <cell r="Y248">
            <v>0</v>
          </cell>
          <cell r="Z248">
            <v>0</v>
          </cell>
          <cell r="AA248">
            <v>0</v>
          </cell>
          <cell r="AB248">
            <v>0</v>
          </cell>
          <cell r="AC248">
            <v>5000000</v>
          </cell>
          <cell r="AD248">
            <v>0</v>
          </cell>
          <cell r="AE248">
            <v>5000000</v>
          </cell>
          <cell r="AF248">
            <v>10000000</v>
          </cell>
          <cell r="AG248">
            <v>10000000</v>
          </cell>
          <cell r="AH248">
            <v>5000000</v>
          </cell>
          <cell r="AI248">
            <v>5000000</v>
          </cell>
          <cell r="AJ248">
            <v>35000000</v>
          </cell>
          <cell r="AK248">
            <v>0</v>
          </cell>
          <cell r="AL248">
            <v>0</v>
          </cell>
          <cell r="AM248">
            <v>0</v>
          </cell>
          <cell r="AN248">
            <v>0</v>
          </cell>
          <cell r="AO248">
            <v>0</v>
          </cell>
          <cell r="AP248">
            <v>35000000</v>
          </cell>
          <cell r="AQ248" t="str">
            <v>Pará</v>
          </cell>
          <cell r="AS248" t="str">
            <v>x</v>
          </cell>
          <cell r="AT248">
            <v>30000000</v>
          </cell>
        </row>
        <row r="249">
          <cell r="B249" t="str">
            <v>COO0708</v>
          </cell>
          <cell r="C249" t="str">
            <v>OOEU.N</v>
          </cell>
          <cell r="D249" t="str">
            <v>OOOP.F-OS-2025-I-0542</v>
          </cell>
          <cell r="E249" t="str">
            <v>N-2025-G-0124</v>
          </cell>
          <cell r="F249" t="str">
            <v>N-2025-G-146</v>
          </cell>
          <cell r="G249" t="str">
            <v>Eletronorte</v>
          </cell>
          <cell r="H249" t="str">
            <v>Nova Demanda</v>
          </cell>
          <cell r="I249" t="str">
            <v>Modernização do sistema de proteção, controle e supervisão do Vertedouro da UHE Samuel</v>
          </cell>
          <cell r="J249" t="str">
            <v>Modernizar o sistema de acionamento elétrico, SPCS e revitalização da pintura</v>
          </cell>
          <cell r="K249" t="str">
            <v>Modernizar o sistema de acionamento elétrico, SPCS e revitalização da pintura</v>
          </cell>
          <cell r="L249" t="str">
            <v>NO10104003</v>
          </cell>
          <cell r="M249" t="str">
            <v>UHE Samuel</v>
          </cell>
          <cell r="N249" t="str">
            <v>Geração</v>
          </cell>
          <cell r="O249" t="str">
            <v>Modernização de pequeno porte</v>
          </cell>
          <cell r="P249" t="str">
            <v>Modernização de pequeno porte</v>
          </cell>
          <cell r="Q249" t="str">
            <v>NGHI.0141</v>
          </cell>
          <cell r="R249" t="str">
            <v>OOM Modern. G PP 2025</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3500000</v>
          </cell>
          <cell r="AG249"/>
          <cell r="AH249"/>
          <cell r="AI249"/>
          <cell r="AJ249">
            <v>3500000</v>
          </cell>
          <cell r="AK249">
            <v>0</v>
          </cell>
          <cell r="AL249">
            <v>0</v>
          </cell>
          <cell r="AM249">
            <v>0</v>
          </cell>
          <cell r="AN249">
            <v>0</v>
          </cell>
          <cell r="AO249">
            <v>0</v>
          </cell>
          <cell r="AP249">
            <v>3500000</v>
          </cell>
          <cell r="AQ249" t="str">
            <v>Rondônia</v>
          </cell>
          <cell r="AT249">
            <v>3500000</v>
          </cell>
        </row>
        <row r="250">
          <cell r="B250" t="str">
            <v>COO0709</v>
          </cell>
          <cell r="C250" t="str">
            <v>OOGR.S</v>
          </cell>
          <cell r="D250" t="str">
            <v>OOGS.S-S-2025-I-0237</v>
          </cell>
          <cell r="E250" t="str">
            <v>N-2025-G-0138</v>
          </cell>
          <cell r="F250" t="str">
            <v>N-2025-G-114</v>
          </cell>
          <cell r="G250" t="str">
            <v>Eletronorte</v>
          </cell>
          <cell r="H250" t="str">
            <v>Nova Demanda</v>
          </cell>
          <cell r="I250" t="str">
            <v>Modernização sistema de proteção contra incêndio na UHE Coaracy Nunes</v>
          </cell>
          <cell r="J250" t="str">
            <v>Modernizar o sistema de combate a incendio das unidades geradoras UG01 e UG02 da UHE Coaracy Nunes</v>
          </cell>
          <cell r="K250" t="str">
            <v>Modernizar o sistema de combate a incendio das unidades geradoras UG01 e UG02 da UHE Coaracy Nunes</v>
          </cell>
          <cell r="L250" t="str">
            <v>NO10102003</v>
          </cell>
          <cell r="M250" t="str">
            <v>UHE Coaracy Nunes</v>
          </cell>
          <cell r="N250" t="str">
            <v>Geração</v>
          </cell>
          <cell r="O250" t="str">
            <v>Modernização de pequeno porte</v>
          </cell>
          <cell r="P250" t="str">
            <v>Modernização de pequeno porte</v>
          </cell>
          <cell r="Q250" t="str">
            <v>NGHI.0141</v>
          </cell>
          <cell r="R250" t="str">
            <v>OOM Modern. G PP 2025</v>
          </cell>
          <cell r="S250">
            <v>0</v>
          </cell>
          <cell r="T250">
            <v>0</v>
          </cell>
          <cell r="U250">
            <v>0</v>
          </cell>
          <cell r="V250">
            <v>0</v>
          </cell>
          <cell r="W250">
            <v>0</v>
          </cell>
          <cell r="X250">
            <v>0</v>
          </cell>
          <cell r="Y250">
            <v>0</v>
          </cell>
          <cell r="Z250">
            <v>0</v>
          </cell>
          <cell r="AA250">
            <v>0</v>
          </cell>
          <cell r="AB250">
            <v>100000</v>
          </cell>
          <cell r="AC250">
            <v>0</v>
          </cell>
          <cell r="AD250">
            <v>0</v>
          </cell>
          <cell r="AE250">
            <v>100000</v>
          </cell>
          <cell r="AF250"/>
          <cell r="AG250"/>
          <cell r="AH250"/>
          <cell r="AI250"/>
          <cell r="AJ250">
            <v>100000</v>
          </cell>
          <cell r="AK250">
            <v>0</v>
          </cell>
          <cell r="AL250">
            <v>0</v>
          </cell>
          <cell r="AM250">
            <v>0</v>
          </cell>
          <cell r="AN250">
            <v>0</v>
          </cell>
          <cell r="AO250">
            <v>0</v>
          </cell>
          <cell r="AP250">
            <v>100000</v>
          </cell>
          <cell r="AQ250" t="str">
            <v>Amapá</v>
          </cell>
          <cell r="AS250" t="str">
            <v>x</v>
          </cell>
          <cell r="AT250">
            <v>0</v>
          </cell>
        </row>
        <row r="251">
          <cell r="B251" t="str">
            <v>COO0710</v>
          </cell>
          <cell r="C251" t="str">
            <v>OOEU.N</v>
          </cell>
          <cell r="D251" t="str">
            <v>OOGN.S-S-2025-I-0143</v>
          </cell>
          <cell r="E251" t="str">
            <v>N-2025-G-0175</v>
          </cell>
          <cell r="F251" t="str">
            <v>N-2025-G-183</v>
          </cell>
          <cell r="G251" t="str">
            <v>Eletronorte</v>
          </cell>
          <cell r="H251" t="str">
            <v>Nova Demanda</v>
          </cell>
          <cell r="I251" t="str">
            <v>Aquisição das motobombas do sistema de neutralização da UTE Mauá 3</v>
          </cell>
          <cell r="J251" t="str">
            <v>Motobombas do sistema de neutralização</v>
          </cell>
          <cell r="K251" t="str">
            <v>Motobombas do sistema de neutralização</v>
          </cell>
          <cell r="L251" t="str">
            <v>NO10606003</v>
          </cell>
          <cell r="M251" t="str">
            <v>UTE Mauá 3</v>
          </cell>
          <cell r="N251" t="str">
            <v>Geração</v>
          </cell>
          <cell r="O251" t="str">
            <v>Modernização de pequeno porte</v>
          </cell>
          <cell r="P251" t="str">
            <v>Modernização de pequeno porte</v>
          </cell>
          <cell r="Q251" t="str">
            <v>NGTE.0018</v>
          </cell>
          <cell r="R251" t="str">
            <v>OOMANGUTMA2 motobomba centrífug Neut</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cell r="AG251"/>
          <cell r="AH251"/>
          <cell r="AI251"/>
          <cell r="AJ251">
            <v>0</v>
          </cell>
          <cell r="AK251">
            <v>0</v>
          </cell>
          <cell r="AL251">
            <v>0</v>
          </cell>
          <cell r="AM251">
            <v>0</v>
          </cell>
          <cell r="AN251">
            <v>0</v>
          </cell>
          <cell r="AO251">
            <v>0</v>
          </cell>
          <cell r="AP251">
            <v>0</v>
          </cell>
          <cell r="AQ251" t="str">
            <v>Desinvestimento</v>
          </cell>
          <cell r="AS251" t="str">
            <v>x</v>
          </cell>
          <cell r="AT251">
            <v>0</v>
          </cell>
        </row>
        <row r="252">
          <cell r="B252" t="str">
            <v>COO0711</v>
          </cell>
          <cell r="C252" t="str">
            <v>OOEU.N</v>
          </cell>
          <cell r="D252" t="str">
            <v>OOGN.S-S-2025-I-0141</v>
          </cell>
          <cell r="E252" t="str">
            <v>N-2025-G-0169</v>
          </cell>
          <cell r="F252" t="str">
            <v>N-2025-G-184</v>
          </cell>
          <cell r="G252" t="str">
            <v>Eletronorte</v>
          </cell>
          <cell r="H252" t="str">
            <v>Nova Demanda</v>
          </cell>
          <cell r="I252" t="str">
            <v>Modernização do sistema de resfriamento e captação de água bruta da UTE Mauá 3</v>
          </cell>
          <cell r="J252" t="str">
            <v>Motores do ventilador da torrre de resfriamento e motor da bomba de captação de agua bruta</v>
          </cell>
          <cell r="K252" t="str">
            <v>Motores do ventilador da torrre de resfriamento e motor da bomba de captação de agua bruta</v>
          </cell>
          <cell r="L252" t="str">
            <v>NO10606003</v>
          </cell>
          <cell r="M252" t="str">
            <v>UTE Mauá 3</v>
          </cell>
          <cell r="N252" t="str">
            <v>Geração</v>
          </cell>
          <cell r="O252" t="str">
            <v>Modernização de pequeno porte</v>
          </cell>
          <cell r="P252" t="str">
            <v>Modernização de pequeno porte</v>
          </cell>
          <cell r="Q252" t="str">
            <v>NGTE.0023</v>
          </cell>
          <cell r="R252" t="str">
            <v>Não cadastrado</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cell r="AG252"/>
          <cell r="AH252"/>
          <cell r="AI252"/>
          <cell r="AJ252">
            <v>0</v>
          </cell>
          <cell r="AK252">
            <v>0</v>
          </cell>
          <cell r="AL252">
            <v>0</v>
          </cell>
          <cell r="AM252">
            <v>0</v>
          </cell>
          <cell r="AN252">
            <v>0</v>
          </cell>
          <cell r="AO252">
            <v>0</v>
          </cell>
          <cell r="AP252">
            <v>0</v>
          </cell>
          <cell r="AQ252" t="str">
            <v>Desinvestimento</v>
          </cell>
          <cell r="AS252" t="str">
            <v>x</v>
          </cell>
          <cell r="AT252">
            <v>0</v>
          </cell>
        </row>
        <row r="253">
          <cell r="B253" t="str">
            <v>COO0712</v>
          </cell>
          <cell r="C253" t="str">
            <v>OOEU.N</v>
          </cell>
          <cell r="D253" t="str">
            <v>OOMT.S-S-2025-I-0047</v>
          </cell>
          <cell r="E253" t="str">
            <v>N-2025-G-0173</v>
          </cell>
          <cell r="F253" t="str">
            <v>N-2025-G-185</v>
          </cell>
          <cell r="G253" t="str">
            <v>Eletronorte</v>
          </cell>
          <cell r="H253" t="str">
            <v>Nova Demanda</v>
          </cell>
          <cell r="I253" t="str">
            <v>Modernização dos motores dos auxiliares das turbinas a gás e turbina a vapor da UTE Mauá 3</v>
          </cell>
          <cell r="J253" t="str">
            <v>Motores dos auxiliares das turbinas a gás e turbina a vapor</v>
          </cell>
          <cell r="K253" t="str">
            <v>Motores dos auxiliares das turbinas a gás e turbina a vapor</v>
          </cell>
          <cell r="L253" t="str">
            <v>NO10606003</v>
          </cell>
          <cell r="M253" t="str">
            <v>UTE Mauá 3</v>
          </cell>
          <cell r="N253" t="str">
            <v>Geração</v>
          </cell>
          <cell r="O253" t="str">
            <v>Modernização de pequeno porte</v>
          </cell>
          <cell r="P253" t="str">
            <v>Modernização de pequeno porte</v>
          </cell>
          <cell r="Q253" t="str">
            <v>NGTE - Mordernização Térmicas</v>
          </cell>
          <cell r="R253" t="str">
            <v>Não cadastrado</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cell r="AG253"/>
          <cell r="AH253"/>
          <cell r="AI253"/>
          <cell r="AJ253">
            <v>0</v>
          </cell>
          <cell r="AK253">
            <v>0</v>
          </cell>
          <cell r="AL253">
            <v>0</v>
          </cell>
          <cell r="AM253">
            <v>0</v>
          </cell>
          <cell r="AN253">
            <v>0</v>
          </cell>
          <cell r="AO253">
            <v>0</v>
          </cell>
          <cell r="AP253">
            <v>0</v>
          </cell>
          <cell r="AQ253" t="str">
            <v>Desinvestimento</v>
          </cell>
          <cell r="AS253" t="str">
            <v>x</v>
          </cell>
          <cell r="AT253">
            <v>0</v>
          </cell>
        </row>
        <row r="254">
          <cell r="B254" t="str">
            <v>COO0713</v>
          </cell>
          <cell r="C254" t="str">
            <v>OOEU.N</v>
          </cell>
          <cell r="D254" t="str">
            <v>OOMT.C-C-2025-I-0032</v>
          </cell>
          <cell r="E254" t="str">
            <v>N-2025-G-0151</v>
          </cell>
          <cell r="F254" t="str">
            <v>N-2025-G-191</v>
          </cell>
          <cell r="G254" t="str">
            <v>Eletronorte</v>
          </cell>
          <cell r="H254" t="str">
            <v>Contratado</v>
          </cell>
          <cell r="I254" t="str">
            <v>Aquisição de peças major inspections das unidades geradoras da UTE Mauá 3</v>
          </cell>
          <cell r="J254" t="str">
            <v>Peças Major Inspections das unidades geradoras</v>
          </cell>
          <cell r="K254" t="str">
            <v>Peças Major Inspections das unidades geradoras</v>
          </cell>
          <cell r="L254" t="str">
            <v>NO10606003</v>
          </cell>
          <cell r="M254" t="str">
            <v>UTE Mauá 3</v>
          </cell>
          <cell r="N254" t="str">
            <v>Geração</v>
          </cell>
          <cell r="O254" t="str">
            <v>Modernização de pequeno porte</v>
          </cell>
          <cell r="P254" t="str">
            <v>Modernização de pequeno porte</v>
          </cell>
          <cell r="Q254" t="str">
            <v>NGTE.0019</v>
          </cell>
          <cell r="R254" t="str">
            <v>OOMANGUTMAServ. Manutenç Longo Prazo</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cell r="AG254"/>
          <cell r="AH254"/>
          <cell r="AI254"/>
          <cell r="AJ254">
            <v>0</v>
          </cell>
          <cell r="AK254">
            <v>0</v>
          </cell>
          <cell r="AL254">
            <v>0</v>
          </cell>
          <cell r="AM254">
            <v>0</v>
          </cell>
          <cell r="AN254">
            <v>0</v>
          </cell>
          <cell r="AO254">
            <v>0</v>
          </cell>
          <cell r="AP254">
            <v>0</v>
          </cell>
          <cell r="AQ254" t="str">
            <v>Desinvestimento</v>
          </cell>
          <cell r="AS254" t="str">
            <v>x</v>
          </cell>
          <cell r="AT254">
            <v>0</v>
          </cell>
        </row>
        <row r="255">
          <cell r="B255" t="str">
            <v>COO0714</v>
          </cell>
          <cell r="C255" t="str">
            <v>OOEU.N</v>
          </cell>
          <cell r="D255" t="str">
            <v>OOMS.S-S-2025-I-0006</v>
          </cell>
          <cell r="E255" t="str">
            <v>N-2025-G-0157</v>
          </cell>
          <cell r="F255" t="str">
            <v>N-2025-G-192</v>
          </cell>
          <cell r="G255" t="str">
            <v>Eletronorte</v>
          </cell>
          <cell r="H255" t="str">
            <v>Nova Demanda</v>
          </cell>
          <cell r="I255" t="str">
            <v>Aquisição de peças para torre de resfriamento da UTE Mauá 3</v>
          </cell>
          <cell r="J255" t="str">
            <v xml:space="preserve">Peças para torre de resfriamento </v>
          </cell>
          <cell r="K255" t="str">
            <v xml:space="preserve">Peças para torre de resfriamento </v>
          </cell>
          <cell r="L255" t="str">
            <v>NO10606003</v>
          </cell>
          <cell r="M255" t="str">
            <v>UTE Mauá 3</v>
          </cell>
          <cell r="N255" t="str">
            <v>Geração</v>
          </cell>
          <cell r="O255" t="str">
            <v>Modernização de pequeno porte</v>
          </cell>
          <cell r="P255" t="str">
            <v>Modernização de pequeno porte</v>
          </cell>
          <cell r="Q255" t="str">
            <v>NGTE.0024</v>
          </cell>
          <cell r="R255" t="str">
            <v>OOMODGUTMAMELHORIA TORRE RESFRIAMENT</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cell r="AG255"/>
          <cell r="AH255"/>
          <cell r="AI255"/>
          <cell r="AJ255">
            <v>0</v>
          </cell>
          <cell r="AK255">
            <v>0</v>
          </cell>
          <cell r="AL255">
            <v>0</v>
          </cell>
          <cell r="AM255">
            <v>0</v>
          </cell>
          <cell r="AN255">
            <v>0</v>
          </cell>
          <cell r="AO255">
            <v>0</v>
          </cell>
          <cell r="AP255">
            <v>0</v>
          </cell>
          <cell r="AQ255" t="str">
            <v>Desinvestimento</v>
          </cell>
          <cell r="AS255" t="str">
            <v>x</v>
          </cell>
          <cell r="AT255">
            <v>0</v>
          </cell>
        </row>
        <row r="256">
          <cell r="B256" t="str">
            <v>COO0717</v>
          </cell>
          <cell r="C256" t="str">
            <v>OOEU.N</v>
          </cell>
          <cell r="D256" t="str">
            <v>OOGS.S-S-2025-I-0239</v>
          </cell>
          <cell r="E256" t="str">
            <v>N-2025-G-0148</v>
          </cell>
          <cell r="F256" t="str">
            <v>N-2025-G-201</v>
          </cell>
          <cell r="G256" t="str">
            <v>Eletronorte</v>
          </cell>
          <cell r="H256" t="str">
            <v>Nova Demanda</v>
          </cell>
          <cell r="I256" t="str">
            <v>Adequação estrutural da laje da centrífuga de lodo da UTE Mauá 3</v>
          </cell>
          <cell r="J256" t="str">
            <v>Reforço estrutural da laje da centrífuga de lodo</v>
          </cell>
          <cell r="K256" t="str">
            <v>Reforço estrutural da laje da centrífuga de lodo</v>
          </cell>
          <cell r="L256" t="str">
            <v>NO10606003</v>
          </cell>
          <cell r="M256" t="str">
            <v>UTE Mauá 3</v>
          </cell>
          <cell r="N256" t="str">
            <v>Geração</v>
          </cell>
          <cell r="O256" t="str">
            <v>Modernização de pequeno porte</v>
          </cell>
          <cell r="P256" t="str">
            <v>Modernização de pequeno porte</v>
          </cell>
          <cell r="Q256" t="str">
            <v>NGTE - Mordernização Térmicas</v>
          </cell>
          <cell r="R256" t="str">
            <v>Não cadastrado</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cell r="AG256"/>
          <cell r="AH256"/>
          <cell r="AI256"/>
          <cell r="AJ256">
            <v>0</v>
          </cell>
          <cell r="AK256">
            <v>0</v>
          </cell>
          <cell r="AL256">
            <v>0</v>
          </cell>
          <cell r="AM256">
            <v>0</v>
          </cell>
          <cell r="AN256">
            <v>0</v>
          </cell>
          <cell r="AO256">
            <v>0</v>
          </cell>
          <cell r="AP256">
            <v>0</v>
          </cell>
          <cell r="AQ256" t="str">
            <v>Desinvestimento</v>
          </cell>
          <cell r="AS256" t="str">
            <v>x</v>
          </cell>
          <cell r="AT256">
            <v>0</v>
          </cell>
        </row>
        <row r="257">
          <cell r="B257" t="str">
            <v>COO0719</v>
          </cell>
          <cell r="C257" t="str">
            <v>OOGT.N</v>
          </cell>
          <cell r="D257" t="str">
            <v>OOMB.C-C-2025-I-0007</v>
          </cell>
          <cell r="E257" t="str">
            <v>N-2025-G-0003</v>
          </cell>
          <cell r="F257" t="str">
            <v>N-2025-G-210</v>
          </cell>
          <cell r="G257" t="str">
            <v>Eletronorte</v>
          </cell>
          <cell r="H257" t="str">
            <v>Nova Demanda</v>
          </cell>
          <cell r="I257" t="str">
            <v>Substituição das capas isolantes dos geradores da casa de força 2 da UHE Tucuruí</v>
          </cell>
          <cell r="J257" t="str">
            <v>Serviço de alteração das capas isolantes dos geradores da casa de força 2</v>
          </cell>
          <cell r="K257" t="str">
            <v>Serviço de alteração das capas isolantes dos geradores da casa de força 2</v>
          </cell>
          <cell r="L257" t="str">
            <v>NO10105003</v>
          </cell>
          <cell r="M257" t="str">
            <v>UHE Tucuruí</v>
          </cell>
          <cell r="N257" t="str">
            <v>Geração</v>
          </cell>
          <cell r="O257" t="str">
            <v>Modernização de pequeno porte</v>
          </cell>
          <cell r="P257" t="str">
            <v>Modernização de pequeno porte</v>
          </cell>
          <cell r="Q257" t="str">
            <v>NGHI.0118</v>
          </cell>
          <cell r="R257" t="str">
            <v>OOMODGUHTURevitalização UGH Gerador</v>
          </cell>
          <cell r="S257">
            <v>832873</v>
          </cell>
          <cell r="T257">
            <v>832873</v>
          </cell>
          <cell r="U257">
            <v>0</v>
          </cell>
          <cell r="V257">
            <v>3000000</v>
          </cell>
          <cell r="W257">
            <v>0</v>
          </cell>
          <cell r="X257">
            <v>0</v>
          </cell>
          <cell r="Y257">
            <v>3000000</v>
          </cell>
          <cell r="Z257"/>
          <cell r="AA257">
            <v>0</v>
          </cell>
          <cell r="AB257">
            <v>3000000</v>
          </cell>
          <cell r="AC257">
            <v>0</v>
          </cell>
          <cell r="AD257">
            <v>0</v>
          </cell>
          <cell r="AE257">
            <v>10665746</v>
          </cell>
          <cell r="AF257"/>
          <cell r="AG257"/>
          <cell r="AH257"/>
          <cell r="AI257"/>
          <cell r="AJ257">
            <v>10665746</v>
          </cell>
          <cell r="AK257">
            <v>0</v>
          </cell>
          <cell r="AL257">
            <v>0</v>
          </cell>
          <cell r="AM257">
            <v>0</v>
          </cell>
          <cell r="AN257">
            <v>0</v>
          </cell>
          <cell r="AO257">
            <v>0</v>
          </cell>
          <cell r="AP257">
            <v>10665746</v>
          </cell>
          <cell r="AQ257" t="str">
            <v>Pará</v>
          </cell>
          <cell r="AS257" t="str">
            <v>x</v>
          </cell>
          <cell r="AT257">
            <v>0</v>
          </cell>
        </row>
        <row r="258">
          <cell r="B258" t="str">
            <v>COO0721</v>
          </cell>
          <cell r="C258" t="str">
            <v>OOEA.N</v>
          </cell>
          <cell r="D258" t="str">
            <v>OOPM.C-C-2024-I-0022</v>
          </cell>
          <cell r="E258" t="str">
            <v>N-2025-G-0150</v>
          </cell>
          <cell r="F258" t="str">
            <v>N-2025-G-212</v>
          </cell>
          <cell r="G258" t="str">
            <v>Eletronorte</v>
          </cell>
          <cell r="H258" t="str">
            <v>Contratado</v>
          </cell>
          <cell r="I258" t="str">
            <v>Serviço de LTSA das turbinas LM6000</v>
          </cell>
          <cell r="J258" t="str">
            <v>Serviço de LTSA das turbinas LM6000</v>
          </cell>
          <cell r="K258" t="str">
            <v>Serviço de LTSA das turbinas LM6000</v>
          </cell>
          <cell r="L258" t="str">
            <v>NO10603003</v>
          </cell>
          <cell r="M258" t="str">
            <v>UTE Aparecida</v>
          </cell>
          <cell r="N258" t="str">
            <v>Geração</v>
          </cell>
          <cell r="O258" t="str">
            <v>Modernização de pequeno porte</v>
          </cell>
          <cell r="P258" t="str">
            <v>Modernização de pequeno porte</v>
          </cell>
          <cell r="Q258" t="str">
            <v>NGTE.0016</v>
          </cell>
          <cell r="R258" t="str">
            <v>OOMANGUTAPServ. LTSA turbin. LM6000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cell r="AG258"/>
          <cell r="AH258"/>
          <cell r="AI258"/>
          <cell r="AJ258">
            <v>0</v>
          </cell>
          <cell r="AK258">
            <v>0</v>
          </cell>
          <cell r="AL258">
            <v>0</v>
          </cell>
          <cell r="AM258">
            <v>0</v>
          </cell>
          <cell r="AN258">
            <v>0</v>
          </cell>
          <cell r="AO258">
            <v>0</v>
          </cell>
          <cell r="AP258">
            <v>0</v>
          </cell>
          <cell r="AQ258" t="str">
            <v>Desinvestimento</v>
          </cell>
          <cell r="AS258" t="str">
            <v>x</v>
          </cell>
          <cell r="AT258">
            <v>0</v>
          </cell>
        </row>
        <row r="259">
          <cell r="B259" t="str">
            <v>COO0722</v>
          </cell>
          <cell r="C259" t="str">
            <v>OOEU.N</v>
          </cell>
          <cell r="D259" t="str">
            <v>OOMS.S-S-2025-I-0019</v>
          </cell>
          <cell r="E259" t="str">
            <v>N-2025-G-0158</v>
          </cell>
          <cell r="F259" t="str">
            <v>N-2025-G-213</v>
          </cell>
          <cell r="G259" t="str">
            <v>Eletronorte</v>
          </cell>
          <cell r="H259" t="str">
            <v>Nova Demanda</v>
          </cell>
          <cell r="I259" t="str">
            <v>Adequação da torre de resfriamento da UTE Mauá 3</v>
          </cell>
          <cell r="J259" t="str">
            <v xml:space="preserve">Serviço de manutenção e melhoria da torre de resfriamento </v>
          </cell>
          <cell r="K259" t="str">
            <v xml:space="preserve">Serviço de manutenção e melhoria da torre de resfriamento </v>
          </cell>
          <cell r="L259" t="str">
            <v>NO10606003</v>
          </cell>
          <cell r="M259" t="str">
            <v>UTE Mauá 3</v>
          </cell>
          <cell r="N259" t="str">
            <v>Geração</v>
          </cell>
          <cell r="O259" t="str">
            <v>Modernização de pequeno porte</v>
          </cell>
          <cell r="P259" t="str">
            <v>Modernização de pequeno porte</v>
          </cell>
          <cell r="Q259" t="str">
            <v>NGTE.0024</v>
          </cell>
          <cell r="R259" t="str">
            <v>OOMODGUTMAMELHORIA TORRE RESFRIAMENT</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cell r="AG259"/>
          <cell r="AH259"/>
          <cell r="AI259"/>
          <cell r="AJ259">
            <v>0</v>
          </cell>
          <cell r="AK259">
            <v>0</v>
          </cell>
          <cell r="AL259">
            <v>0</v>
          </cell>
          <cell r="AM259">
            <v>0</v>
          </cell>
          <cell r="AN259">
            <v>0</v>
          </cell>
          <cell r="AO259">
            <v>0</v>
          </cell>
          <cell r="AP259">
            <v>0</v>
          </cell>
          <cell r="AQ259" t="str">
            <v>Desinvestimento</v>
          </cell>
          <cell r="AS259" t="str">
            <v>x</v>
          </cell>
          <cell r="AT259">
            <v>0</v>
          </cell>
        </row>
        <row r="260">
          <cell r="B260" t="str">
            <v>COO0724</v>
          </cell>
          <cell r="C260" t="str">
            <v>OOEA.N</v>
          </cell>
          <cell r="D260" t="str">
            <v>OOPM.S-S-2025-I-0071</v>
          </cell>
          <cell r="E260" t="str">
            <v>N-2025-G-0142</v>
          </cell>
          <cell r="F260" t="str">
            <v>N-2025-G-214</v>
          </cell>
          <cell r="G260" t="str">
            <v>Eletronorte</v>
          </cell>
          <cell r="H260" t="str">
            <v>Nova Demanda</v>
          </cell>
          <cell r="I260" t="str">
            <v>Adequação civil das estruturas e acessos da casa de força da UTE Aparecida</v>
          </cell>
          <cell r="J260" t="str">
            <v>Serviços de substituição de cobertura dos prédios do bloco II do plano inclinado</v>
          </cell>
          <cell r="K260" t="str">
            <v>Serviços de substituição de cobertura dos prédios do bloco II do plano inclinado</v>
          </cell>
          <cell r="L260" t="str">
            <v>NO10603003</v>
          </cell>
          <cell r="M260" t="str">
            <v>UTE Aparecida</v>
          </cell>
          <cell r="N260" t="str">
            <v>Geração</v>
          </cell>
          <cell r="O260" t="str">
            <v>Modernização de pequeno porte</v>
          </cell>
          <cell r="P260" t="str">
            <v>Modernização de pequeno porte</v>
          </cell>
          <cell r="Q260" t="str">
            <v>NGTE.0030</v>
          </cell>
          <cell r="R260" t="str">
            <v>Mordernização Térmicas 2025</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cell r="AG260"/>
          <cell r="AH260"/>
          <cell r="AI260"/>
          <cell r="AJ260">
            <v>0</v>
          </cell>
          <cell r="AK260">
            <v>0</v>
          </cell>
          <cell r="AL260">
            <v>0</v>
          </cell>
          <cell r="AM260">
            <v>0</v>
          </cell>
          <cell r="AN260">
            <v>0</v>
          </cell>
          <cell r="AO260">
            <v>0</v>
          </cell>
          <cell r="AP260">
            <v>0</v>
          </cell>
          <cell r="AQ260" t="str">
            <v>Desinvestimento</v>
          </cell>
          <cell r="AS260" t="str">
            <v>x</v>
          </cell>
          <cell r="AT260">
            <v>0</v>
          </cell>
        </row>
        <row r="261">
          <cell r="B261" t="str">
            <v>COO0725</v>
          </cell>
          <cell r="C261" t="str">
            <v>OOMG.N</v>
          </cell>
          <cell r="D261" t="str">
            <v>OOTP.F-OS-2025-I-0603</v>
          </cell>
          <cell r="E261" t="str">
            <v>N-2025-G-0119</v>
          </cell>
          <cell r="F261" t="str">
            <v>N-2025-G-234</v>
          </cell>
          <cell r="G261" t="str">
            <v>Eletronorte</v>
          </cell>
          <cell r="H261" t="str">
            <v>Nova Demanda</v>
          </cell>
          <cell r="I261" t="str">
            <v>Modernização de 01 transformador monofásico 13,8kV (trafo limitador) CF2 da UHE Tucuruí</v>
          </cell>
          <cell r="J261" t="str">
            <v>Sobressalente</v>
          </cell>
          <cell r="K261" t="str">
            <v>Sobressalente</v>
          </cell>
          <cell r="L261" t="str">
            <v>NO10105003</v>
          </cell>
          <cell r="M261" t="str">
            <v>UHE Tucuruí</v>
          </cell>
          <cell r="N261" t="str">
            <v>Geração</v>
          </cell>
          <cell r="O261" t="str">
            <v>Modernização de pequeno porte</v>
          </cell>
          <cell r="P261" t="str">
            <v>Modernização de pequeno porte</v>
          </cell>
          <cell r="Q261" t="str">
            <v>NGHI.0141</v>
          </cell>
          <cell r="R261" t="str">
            <v>OOM Modern. G PP 2025</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1500000</v>
          </cell>
          <cell r="AG261">
            <v>1000000</v>
          </cell>
          <cell r="AH261"/>
          <cell r="AI261"/>
          <cell r="AJ261">
            <v>2500000</v>
          </cell>
          <cell r="AK261">
            <v>0</v>
          </cell>
          <cell r="AL261">
            <v>0</v>
          </cell>
          <cell r="AM261">
            <v>0</v>
          </cell>
          <cell r="AN261">
            <v>0</v>
          </cell>
          <cell r="AO261">
            <v>0</v>
          </cell>
          <cell r="AP261">
            <v>2500000</v>
          </cell>
          <cell r="AQ261" t="str">
            <v>Pará</v>
          </cell>
          <cell r="AS261" t="str">
            <v>x</v>
          </cell>
          <cell r="AT261">
            <v>2500000</v>
          </cell>
        </row>
        <row r="262">
          <cell r="B262" t="str">
            <v>COO0726</v>
          </cell>
          <cell r="C262" t="str">
            <v>OOGT.N</v>
          </cell>
          <cell r="D262" t="str">
            <v>OOPM.S-S-2025-I-0062</v>
          </cell>
          <cell r="E262" t="str">
            <v>N-2025-G-0023</v>
          </cell>
          <cell r="F262" t="str">
            <v>N-2025-G-228</v>
          </cell>
          <cell r="G262" t="str">
            <v>Eletronorte</v>
          </cell>
          <cell r="H262" t="str">
            <v>Nova Demanda</v>
          </cell>
          <cell r="I262" t="str">
            <v>Aquisição das rodas das comportas de emergência da UHE Tucuruí</v>
          </cell>
          <cell r="J262" t="str">
            <v>Substituição das rodas das comportas de emergência</v>
          </cell>
          <cell r="K262" t="str">
            <v>Substituição das rodas das comportas de emergência</v>
          </cell>
          <cell r="L262" t="str">
            <v>NO10105003</v>
          </cell>
          <cell r="M262" t="str">
            <v>UHE Tucuruí</v>
          </cell>
          <cell r="N262" t="str">
            <v>Geração</v>
          </cell>
          <cell r="O262" t="str">
            <v>Modernização de pequeno porte</v>
          </cell>
          <cell r="P262" t="str">
            <v>Modernização de pequeno porte</v>
          </cell>
          <cell r="Q262" t="str">
            <v>NGHI.0143</v>
          </cell>
          <cell r="R262" t="str">
            <v>OOG Modern. G PP 2025</v>
          </cell>
          <cell r="S262">
            <v>0</v>
          </cell>
          <cell r="T262">
            <v>0</v>
          </cell>
          <cell r="U262">
            <v>0</v>
          </cell>
          <cell r="V262">
            <v>0</v>
          </cell>
          <cell r="W262">
            <v>450000</v>
          </cell>
          <cell r="X262">
            <v>0</v>
          </cell>
          <cell r="Y262">
            <v>300000</v>
          </cell>
          <cell r="Z262"/>
          <cell r="AA262">
            <v>0</v>
          </cell>
          <cell r="AB262">
            <v>300000</v>
          </cell>
          <cell r="AC262">
            <v>0</v>
          </cell>
          <cell r="AD262">
            <v>0</v>
          </cell>
          <cell r="AE262">
            <v>1050000</v>
          </cell>
          <cell r="AF262"/>
          <cell r="AG262"/>
          <cell r="AH262"/>
          <cell r="AI262"/>
          <cell r="AJ262">
            <v>1050000</v>
          </cell>
          <cell r="AK262">
            <v>0</v>
          </cell>
          <cell r="AL262">
            <v>0</v>
          </cell>
          <cell r="AM262">
            <v>0</v>
          </cell>
          <cell r="AN262">
            <v>0</v>
          </cell>
          <cell r="AO262">
            <v>0</v>
          </cell>
          <cell r="AP262">
            <v>1050000</v>
          </cell>
          <cell r="AQ262" t="str">
            <v>Pará</v>
          </cell>
          <cell r="AT262">
            <v>0</v>
          </cell>
        </row>
        <row r="263">
          <cell r="B263" t="str">
            <v>COO0727</v>
          </cell>
          <cell r="C263" t="str">
            <v>OOGT.N</v>
          </cell>
          <cell r="D263" t="str">
            <v>OOPM.S-S-2025-I-0067</v>
          </cell>
          <cell r="E263" t="str">
            <v>N-2025-G-0024</v>
          </cell>
          <cell r="F263" t="str">
            <v>N-2025-G-122</v>
          </cell>
          <cell r="G263" t="str">
            <v>Eletronorte</v>
          </cell>
          <cell r="H263" t="str">
            <v>Nova Demanda</v>
          </cell>
          <cell r="I263" t="str">
            <v>Aquisição das válvulas do sistema de ar de rebaixamento da UHE Tucuruí</v>
          </cell>
          <cell r="J263" t="str">
            <v>Substituição das válvulas de acionamento manual por válvulas de acionamento motorizado.</v>
          </cell>
          <cell r="K263" t="str">
            <v>Substituição das válvulas de acionamento manual por válvulas de acionamento motorizado.</v>
          </cell>
          <cell r="L263" t="str">
            <v>NO10105003</v>
          </cell>
          <cell r="M263" t="str">
            <v>UHE Tucuruí</v>
          </cell>
          <cell r="N263" t="str">
            <v>Geração</v>
          </cell>
          <cell r="O263" t="str">
            <v>Modernização de pequeno porte</v>
          </cell>
          <cell r="P263" t="str">
            <v>Modernização de pequeno porte</v>
          </cell>
          <cell r="Q263" t="str">
            <v>NGHI.0143</v>
          </cell>
          <cell r="R263" t="str">
            <v>OOG Modern. G PP 2025</v>
          </cell>
          <cell r="S263">
            <v>0</v>
          </cell>
          <cell r="T263">
            <v>0</v>
          </cell>
          <cell r="U263">
            <v>0</v>
          </cell>
          <cell r="V263">
            <v>0</v>
          </cell>
          <cell r="W263">
            <v>0</v>
          </cell>
          <cell r="X263">
            <v>0</v>
          </cell>
          <cell r="Y263">
            <v>0</v>
          </cell>
          <cell r="Z263">
            <v>0</v>
          </cell>
          <cell r="AA263">
            <v>0</v>
          </cell>
          <cell r="AB263">
            <v>1000000</v>
          </cell>
          <cell r="AC263">
            <v>0</v>
          </cell>
          <cell r="AD263">
            <v>0</v>
          </cell>
          <cell r="AE263">
            <v>1000000</v>
          </cell>
          <cell r="AF263">
            <v>1000000</v>
          </cell>
          <cell r="AG263"/>
          <cell r="AH263"/>
          <cell r="AI263"/>
          <cell r="AJ263">
            <v>2000000</v>
          </cell>
          <cell r="AK263">
            <v>0</v>
          </cell>
          <cell r="AL263">
            <v>0</v>
          </cell>
          <cell r="AM263">
            <v>0</v>
          </cell>
          <cell r="AN263">
            <v>0</v>
          </cell>
          <cell r="AO263">
            <v>0</v>
          </cell>
          <cell r="AP263">
            <v>2000000</v>
          </cell>
          <cell r="AQ263" t="str">
            <v>Pará</v>
          </cell>
          <cell r="AT263">
            <v>1000000</v>
          </cell>
        </row>
        <row r="264">
          <cell r="B264" t="str">
            <v>COO0728</v>
          </cell>
          <cell r="C264" t="str">
            <v>OOGSA.N</v>
          </cell>
          <cell r="D264" t="str">
            <v>OOTM.F-OS-2025-I-0284</v>
          </cell>
          <cell r="E264" t="str">
            <v>N-2025-G-0069</v>
          </cell>
          <cell r="F264" t="str">
            <v>N-2025-G-170</v>
          </cell>
          <cell r="G264" t="str">
            <v>Eletronorte</v>
          </cell>
          <cell r="H264" t="str">
            <v>Nova Demanda</v>
          </cell>
          <cell r="I264" t="str">
            <v>Modernização dos para-raios da UHE Samuel</v>
          </cell>
          <cell r="J264" t="str">
            <v>Substituição de equipamentos em fim de vida útil (TEM DE POR PARA OOMI.N)</v>
          </cell>
          <cell r="K264" t="str">
            <v>Substituição de equipamentos em fim de vida útil (TEM DE POR PARA OOMI.N)</v>
          </cell>
          <cell r="L264" t="str">
            <v>NO10104003</v>
          </cell>
          <cell r="M264" t="str">
            <v>UHE Samuel</v>
          </cell>
          <cell r="N264" t="str">
            <v>Geração</v>
          </cell>
          <cell r="O264" t="str">
            <v>Modernização de pequeno porte</v>
          </cell>
          <cell r="P264" t="str">
            <v>Modernização de pequeno porte</v>
          </cell>
          <cell r="Q264" t="str">
            <v>NGHI.0143</v>
          </cell>
          <cell r="R264" t="str">
            <v>OOG Modern. G PP 2025</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225000</v>
          </cell>
          <cell r="AG264"/>
          <cell r="AH264"/>
          <cell r="AI264"/>
          <cell r="AJ264">
            <v>225000</v>
          </cell>
          <cell r="AK264">
            <v>0</v>
          </cell>
          <cell r="AL264">
            <v>0</v>
          </cell>
          <cell r="AM264">
            <v>0</v>
          </cell>
          <cell r="AN264">
            <v>0</v>
          </cell>
          <cell r="AO264">
            <v>0</v>
          </cell>
          <cell r="AP264">
            <v>225000</v>
          </cell>
          <cell r="AQ264" t="str">
            <v>Rondônia</v>
          </cell>
          <cell r="AS264" t="str">
            <v>x</v>
          </cell>
          <cell r="AT264">
            <v>225000</v>
          </cell>
        </row>
        <row r="265">
          <cell r="B265" t="str">
            <v>COO0729</v>
          </cell>
          <cell r="C265" t="str">
            <v>OOGCU.N</v>
          </cell>
          <cell r="D265" t="str">
            <v>OOTP.F-OS-2025-I-0602</v>
          </cell>
          <cell r="E265" t="str">
            <v>N-2025-G-0074</v>
          </cell>
          <cell r="F265" t="str">
            <v>N-2025-G-120</v>
          </cell>
          <cell r="G265" t="str">
            <v>Eletronorte</v>
          </cell>
          <cell r="H265" t="str">
            <v>Nova Demanda</v>
          </cell>
          <cell r="I265" t="str">
            <v>Aquisição das bombas do sistema de resfriamento das uidades geradoras da UHE Curuá-Una</v>
          </cell>
          <cell r="J265" t="str">
            <v>Substituição de equipamentos com fim de vida util</v>
          </cell>
          <cell r="K265" t="str">
            <v>Substituição de equipamentos com fim de vida util</v>
          </cell>
          <cell r="L265" t="str">
            <v>NO10103003</v>
          </cell>
          <cell r="M265" t="str">
            <v>UHE Curuá-Una</v>
          </cell>
          <cell r="N265" t="str">
            <v>Geração</v>
          </cell>
          <cell r="O265" t="str">
            <v>Modernização de pequeno porte</v>
          </cell>
          <cell r="P265" t="str">
            <v>Modernização de pequeno porte</v>
          </cell>
          <cell r="Q265" t="str">
            <v>NGHI.0143</v>
          </cell>
          <cell r="R265" t="str">
            <v>OOG Modern. G PP 2025</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400000</v>
          </cell>
          <cell r="AG265"/>
          <cell r="AH265"/>
          <cell r="AI265"/>
          <cell r="AJ265">
            <v>400000</v>
          </cell>
          <cell r="AK265">
            <v>0</v>
          </cell>
          <cell r="AL265">
            <v>0</v>
          </cell>
          <cell r="AM265">
            <v>0</v>
          </cell>
          <cell r="AN265">
            <v>0</v>
          </cell>
          <cell r="AO265">
            <v>0</v>
          </cell>
          <cell r="AP265">
            <v>400000</v>
          </cell>
          <cell r="AQ265" t="str">
            <v>Pará</v>
          </cell>
          <cell r="AS265" t="str">
            <v>x</v>
          </cell>
          <cell r="AT265">
            <v>400000</v>
          </cell>
        </row>
        <row r="266">
          <cell r="B266" t="str">
            <v>COO0730</v>
          </cell>
          <cell r="C266" t="str">
            <v>OOMI.N</v>
          </cell>
          <cell r="D266" t="str">
            <v>OOTM.F-OS-2025-I-0283</v>
          </cell>
          <cell r="E266" t="str">
            <v>N-2025-G-0091</v>
          </cell>
          <cell r="F266" t="str">
            <v>N-2025-G-155</v>
          </cell>
          <cell r="G266" t="str">
            <v>Eletronorte</v>
          </cell>
          <cell r="H266" t="str">
            <v>Nova Demanda</v>
          </cell>
          <cell r="I266" t="str">
            <v>Modernização dos cabos para-raios da LT SUSMLT6-01 Fase A da UHE Samuel</v>
          </cell>
          <cell r="J266" t="str">
            <v>Substituição de Para Raios - 01 UNIDADE PARA A LINHA SUSMLT6-03 - FASE A (Unidade Geradora 03).</v>
          </cell>
          <cell r="K266" t="str">
            <v>Substituição de Para Raios - 01 UNIDADE PARA A LINHA SUSMLT6-03 - FASE A (Unidade Geradora 03).</v>
          </cell>
          <cell r="L266" t="str">
            <v>NO10104003</v>
          </cell>
          <cell r="M266" t="str">
            <v>UHE Samuel</v>
          </cell>
          <cell r="N266" t="str">
            <v>Geração</v>
          </cell>
          <cell r="O266" t="str">
            <v>Modernização de pequeno porte</v>
          </cell>
          <cell r="P266" t="str">
            <v>Modernização de pequeno porte</v>
          </cell>
          <cell r="Q266" t="str">
            <v>NGHI.0141</v>
          </cell>
          <cell r="R266" t="str">
            <v>OOM Modern. G PP 2025</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15000</v>
          </cell>
          <cell r="AG266"/>
          <cell r="AH266"/>
          <cell r="AI266"/>
          <cell r="AJ266">
            <v>15000</v>
          </cell>
          <cell r="AK266">
            <v>0</v>
          </cell>
          <cell r="AL266">
            <v>0</v>
          </cell>
          <cell r="AM266">
            <v>0</v>
          </cell>
          <cell r="AN266">
            <v>0</v>
          </cell>
          <cell r="AO266">
            <v>0</v>
          </cell>
          <cell r="AP266">
            <v>15000</v>
          </cell>
          <cell r="AQ266" t="str">
            <v>Rondônia</v>
          </cell>
          <cell r="AS266" t="str">
            <v>x</v>
          </cell>
          <cell r="AT266">
            <v>15000</v>
          </cell>
        </row>
        <row r="267">
          <cell r="B267" t="str">
            <v>COO0731</v>
          </cell>
          <cell r="C267" t="str">
            <v>OOMI.N</v>
          </cell>
          <cell r="D267" t="str">
            <v>OOGSI.F-OS-2025-I-0099</v>
          </cell>
          <cell r="E267" t="str">
            <v>N-2025-G-0092</v>
          </cell>
          <cell r="F267" t="str">
            <v>N-2025-G-156</v>
          </cell>
          <cell r="G267" t="str">
            <v>Eletronorte</v>
          </cell>
          <cell r="H267" t="str">
            <v>Nova Demanda</v>
          </cell>
          <cell r="I267" t="str">
            <v>Modernização dos cabos para-raios da LT SUSMLT6-01 Fase B da UHE Samuel</v>
          </cell>
          <cell r="J267" t="str">
            <v>Substituição de Para Raios - 01 UNIDADE PARA A LINHA SUSMLT6-02 - FASE A (Unidade Geradora 02).</v>
          </cell>
          <cell r="K267" t="str">
            <v>Substituição de Para Raios - 01 UNIDADE PARA A LINHA SUSMLT6-02 - FASE A (Unidade Geradora 02).</v>
          </cell>
          <cell r="L267" t="str">
            <v>NO10104003</v>
          </cell>
          <cell r="M267" t="str">
            <v>UHE Samuel</v>
          </cell>
          <cell r="N267" t="str">
            <v>Geração</v>
          </cell>
          <cell r="O267" t="str">
            <v>Modernização de pequeno porte</v>
          </cell>
          <cell r="P267" t="str">
            <v>Modernização de pequeno porte</v>
          </cell>
          <cell r="Q267" t="str">
            <v>NGHI.0141</v>
          </cell>
          <cell r="R267" t="str">
            <v>OOM Modern. G PP 2025</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15000</v>
          </cell>
          <cell r="AG267"/>
          <cell r="AH267"/>
          <cell r="AI267"/>
          <cell r="AJ267">
            <v>15000</v>
          </cell>
          <cell r="AK267">
            <v>0</v>
          </cell>
          <cell r="AL267">
            <v>0</v>
          </cell>
          <cell r="AM267">
            <v>0</v>
          </cell>
          <cell r="AN267">
            <v>0</v>
          </cell>
          <cell r="AO267">
            <v>0</v>
          </cell>
          <cell r="AP267">
            <v>15000</v>
          </cell>
          <cell r="AQ267" t="str">
            <v>Rondônia</v>
          </cell>
          <cell r="AS267" t="str">
            <v>x</v>
          </cell>
          <cell r="AT267">
            <v>15000</v>
          </cell>
        </row>
        <row r="268">
          <cell r="B268" t="str">
            <v>COO0732</v>
          </cell>
          <cell r="C268" t="str">
            <v>OOMI.N</v>
          </cell>
          <cell r="D268" t="str">
            <v>OOTM.F-OS-2025-I-0467</v>
          </cell>
          <cell r="E268" t="str">
            <v>N-2025-G-0093</v>
          </cell>
          <cell r="F268" t="str">
            <v>N-2025-G-157</v>
          </cell>
          <cell r="G268" t="str">
            <v>Eletronorte</v>
          </cell>
          <cell r="H268" t="str">
            <v>Nova Demanda</v>
          </cell>
          <cell r="I268" t="str">
            <v>Modernização dos cabos para-raios da LT SUSMLT6-01 Fase C da UHE Samuel</v>
          </cell>
          <cell r="J268" t="str">
            <v>Substituição de Para Raios - 01 UNIDADE PARA A LINHA SUSMLT6-01 - FASE A (Unidade Geradora 01).</v>
          </cell>
          <cell r="K268" t="str">
            <v>Substituição de Para Raios - 01 UNIDADE PARA A LINHA SUSMLT6-01 - FASE A (Unidade Geradora 01).</v>
          </cell>
          <cell r="L268" t="str">
            <v>NO10104003</v>
          </cell>
          <cell r="M268" t="str">
            <v>UHE Samuel</v>
          </cell>
          <cell r="N268" t="str">
            <v>Geração</v>
          </cell>
          <cell r="O268" t="str">
            <v>Modernização de pequeno porte</v>
          </cell>
          <cell r="P268" t="str">
            <v>Modernização de pequeno porte</v>
          </cell>
          <cell r="Q268" t="str">
            <v>NGHI.0141</v>
          </cell>
          <cell r="R268" t="str">
            <v>OOM Modern. G PP 2025</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15000</v>
          </cell>
          <cell r="AG268"/>
          <cell r="AH268"/>
          <cell r="AI268"/>
          <cell r="AJ268">
            <v>15000</v>
          </cell>
          <cell r="AK268">
            <v>0</v>
          </cell>
          <cell r="AL268">
            <v>0</v>
          </cell>
          <cell r="AM268">
            <v>0</v>
          </cell>
          <cell r="AN268">
            <v>0</v>
          </cell>
          <cell r="AO268">
            <v>0</v>
          </cell>
          <cell r="AP268">
            <v>15000</v>
          </cell>
          <cell r="AQ268" t="str">
            <v>Rondônia</v>
          </cell>
          <cell r="AS268" t="str">
            <v>x</v>
          </cell>
          <cell r="AT268">
            <v>15000</v>
          </cell>
        </row>
        <row r="269">
          <cell r="B269" t="str">
            <v>COO0733</v>
          </cell>
          <cell r="C269" t="str">
            <v>OOMI.N</v>
          </cell>
          <cell r="D269" t="str">
            <v>OOTM.F-OS-2025-I-0303</v>
          </cell>
          <cell r="E269" t="str">
            <v>N-2025-G-0094</v>
          </cell>
          <cell r="F269" t="str">
            <v>N-2025-G-158</v>
          </cell>
          <cell r="G269" t="str">
            <v>Eletronorte</v>
          </cell>
          <cell r="H269" t="str">
            <v>Nova Demanda</v>
          </cell>
          <cell r="I269" t="str">
            <v>Modernização dos cabos para-raios da LT SUSMLT6-02 Fase A da UHE Samuel</v>
          </cell>
          <cell r="J269" t="str">
            <v>Substituição de Para Raios - 01 UNIDADE PARA A LINHA SUSMLT6-05 - FASE V (Unidade Geradora 05).</v>
          </cell>
          <cell r="K269" t="str">
            <v>Substituição de Para Raios - 01 UNIDADE PARA A LINHA SUSMLT6-05 - FASE V (Unidade Geradora 05).</v>
          </cell>
          <cell r="L269" t="str">
            <v>NO10104003</v>
          </cell>
          <cell r="M269" t="str">
            <v>UHE Samuel</v>
          </cell>
          <cell r="N269" t="str">
            <v>Geração</v>
          </cell>
          <cell r="O269" t="str">
            <v>Modernização de pequeno porte</v>
          </cell>
          <cell r="P269" t="str">
            <v>Modernização de pequeno porte</v>
          </cell>
          <cell r="Q269" t="str">
            <v>NGHI.0141</v>
          </cell>
          <cell r="R269" t="str">
            <v>OOM Modern. G PP 2025</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15000</v>
          </cell>
          <cell r="AG269"/>
          <cell r="AH269"/>
          <cell r="AI269"/>
          <cell r="AJ269">
            <v>15000</v>
          </cell>
          <cell r="AK269">
            <v>0</v>
          </cell>
          <cell r="AL269">
            <v>0</v>
          </cell>
          <cell r="AM269">
            <v>0</v>
          </cell>
          <cell r="AN269">
            <v>0</v>
          </cell>
          <cell r="AO269">
            <v>0</v>
          </cell>
          <cell r="AP269">
            <v>15000</v>
          </cell>
          <cell r="AQ269" t="str">
            <v>Rondônia</v>
          </cell>
          <cell r="AS269" t="str">
            <v>x</v>
          </cell>
          <cell r="AT269">
            <v>15000</v>
          </cell>
        </row>
        <row r="270">
          <cell r="B270" t="str">
            <v>COO0734</v>
          </cell>
          <cell r="C270" t="str">
            <v>OOMI.N</v>
          </cell>
          <cell r="D270" t="str">
            <v>OOGSI.F-OS-2025-I-0015</v>
          </cell>
          <cell r="E270" t="str">
            <v>N-2025-G-0095</v>
          </cell>
          <cell r="F270" t="str">
            <v>N-2025-G-159</v>
          </cell>
          <cell r="G270" t="str">
            <v>Eletronorte</v>
          </cell>
          <cell r="H270" t="str">
            <v>Nova Demanda</v>
          </cell>
          <cell r="I270" t="str">
            <v>Modernização dos cabos para-raios da LT SUSMLT6-02 Fase B da UHE Samuel</v>
          </cell>
          <cell r="J270" t="str">
            <v>Substituição de Para Raios - 01 UNIDADE PARA A LINHA SUSMLT6-04 - FASE A (Unidade Geradora 04)</v>
          </cell>
          <cell r="K270" t="str">
            <v>Substituição de Para Raios - 01 UNIDADE PARA A LINHA SUSMLT6-04 - FASE A (Unidade Geradora 04)</v>
          </cell>
          <cell r="L270" t="str">
            <v>NO10104003</v>
          </cell>
          <cell r="M270" t="str">
            <v>UHE Samuel</v>
          </cell>
          <cell r="N270" t="str">
            <v>Geração</v>
          </cell>
          <cell r="O270" t="str">
            <v>Modernização de pequeno porte</v>
          </cell>
          <cell r="P270" t="str">
            <v>Modernização de pequeno porte</v>
          </cell>
          <cell r="Q270" t="str">
            <v>NGHI.0141</v>
          </cell>
          <cell r="R270" t="str">
            <v>OOM Modern. G PP 2025</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15000</v>
          </cell>
          <cell r="AG270"/>
          <cell r="AH270"/>
          <cell r="AI270"/>
          <cell r="AJ270">
            <v>15000</v>
          </cell>
          <cell r="AK270">
            <v>0</v>
          </cell>
          <cell r="AL270">
            <v>0</v>
          </cell>
          <cell r="AM270">
            <v>0</v>
          </cell>
          <cell r="AN270">
            <v>0</v>
          </cell>
          <cell r="AO270">
            <v>0</v>
          </cell>
          <cell r="AP270">
            <v>15000</v>
          </cell>
          <cell r="AQ270" t="str">
            <v>Rondônia</v>
          </cell>
          <cell r="AS270" t="str">
            <v>x</v>
          </cell>
          <cell r="AT270">
            <v>15000</v>
          </cell>
        </row>
        <row r="271">
          <cell r="B271" t="str">
            <v>COO0735</v>
          </cell>
          <cell r="C271" t="str">
            <v>OOMI.N</v>
          </cell>
          <cell r="D271" t="str">
            <v>OOTP.F-OS-2025-I-0593</v>
          </cell>
          <cell r="E271" t="str">
            <v>N-2025-G-0096</v>
          </cell>
          <cell r="F271" t="str">
            <v>N-2025-G-160</v>
          </cell>
          <cell r="G271" t="str">
            <v>Eletronorte</v>
          </cell>
          <cell r="H271" t="str">
            <v>Nova Demanda</v>
          </cell>
          <cell r="I271" t="str">
            <v>Modernização dos cabos para-raios da LT SUSMLT6-02 Fase C da UHE Samuel</v>
          </cell>
          <cell r="J271" t="str">
            <v>Substituição de Para Raios - 01 UNIDADE PARA A LINHA SUSMLT6-04 - FASE B (Unidade Geradora 04).</v>
          </cell>
          <cell r="K271" t="str">
            <v>Substituição de Para Raios - 01 UNIDADE PARA A LINHA SUSMLT6-04 - FASE B (Unidade Geradora 04).</v>
          </cell>
          <cell r="L271" t="str">
            <v>NO10104003</v>
          </cell>
          <cell r="M271" t="str">
            <v>UHE Samuel</v>
          </cell>
          <cell r="N271" t="str">
            <v>Geração</v>
          </cell>
          <cell r="O271" t="str">
            <v>Modernização de pequeno porte</v>
          </cell>
          <cell r="P271" t="str">
            <v>Modernização de pequeno porte</v>
          </cell>
          <cell r="Q271" t="str">
            <v>NGHI.0141</v>
          </cell>
          <cell r="R271" t="str">
            <v>OOM Modern. G PP 2025</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15000</v>
          </cell>
          <cell r="AG271"/>
          <cell r="AH271"/>
          <cell r="AI271"/>
          <cell r="AJ271">
            <v>15000</v>
          </cell>
          <cell r="AK271">
            <v>0</v>
          </cell>
          <cell r="AL271">
            <v>0</v>
          </cell>
          <cell r="AM271">
            <v>0</v>
          </cell>
          <cell r="AN271">
            <v>0</v>
          </cell>
          <cell r="AO271">
            <v>0</v>
          </cell>
          <cell r="AP271">
            <v>15000</v>
          </cell>
          <cell r="AQ271" t="str">
            <v>Rondônia</v>
          </cell>
          <cell r="AS271" t="str">
            <v>x</v>
          </cell>
          <cell r="AT271">
            <v>15000</v>
          </cell>
        </row>
        <row r="272">
          <cell r="B272" t="str">
            <v>COO0736</v>
          </cell>
          <cell r="C272" t="str">
            <v>OOMI.N</v>
          </cell>
          <cell r="D272" t="str">
            <v>OOTP.F-OS-2025-I-0629</v>
          </cell>
          <cell r="E272" t="str">
            <v>N-2025-G-0097</v>
          </cell>
          <cell r="F272" t="str">
            <v>N-2025-G-161</v>
          </cell>
          <cell r="G272" t="str">
            <v>Eletronorte</v>
          </cell>
          <cell r="H272" t="str">
            <v>Nova Demanda</v>
          </cell>
          <cell r="I272" t="str">
            <v>Modernização dos cabos para-raios da LT SUSMLT6-03 Fase A da UHE Samuel</v>
          </cell>
          <cell r="J272" t="str">
            <v>Substituição de Para Raios - 01 UNIDADE PARA A LINHA SUSMLT6-05 - FASE B (Unidade Geradora 05).</v>
          </cell>
          <cell r="K272" t="str">
            <v>Substituição de Para Raios - 01 UNIDADE PARA A LINHA SUSMLT6-05 - FASE B (Unidade Geradora 05).</v>
          </cell>
          <cell r="L272" t="str">
            <v>NO10104003</v>
          </cell>
          <cell r="M272" t="str">
            <v>UHE Samuel</v>
          </cell>
          <cell r="N272" t="str">
            <v>Geração</v>
          </cell>
          <cell r="O272" t="str">
            <v>Modernização de pequeno porte</v>
          </cell>
          <cell r="P272" t="str">
            <v>Modernização de pequeno porte</v>
          </cell>
          <cell r="Q272" t="str">
            <v>NGHI.0141</v>
          </cell>
          <cell r="R272" t="str">
            <v>OOM Modern. G PP 2025</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15000</v>
          </cell>
          <cell r="AG272"/>
          <cell r="AH272"/>
          <cell r="AI272"/>
          <cell r="AJ272">
            <v>15000</v>
          </cell>
          <cell r="AK272">
            <v>0</v>
          </cell>
          <cell r="AL272">
            <v>0</v>
          </cell>
          <cell r="AM272">
            <v>0</v>
          </cell>
          <cell r="AN272">
            <v>0</v>
          </cell>
          <cell r="AO272">
            <v>0</v>
          </cell>
          <cell r="AP272">
            <v>15000</v>
          </cell>
          <cell r="AQ272" t="str">
            <v>Rondônia</v>
          </cell>
          <cell r="AS272" t="str">
            <v>x</v>
          </cell>
          <cell r="AT272">
            <v>15000</v>
          </cell>
        </row>
        <row r="273">
          <cell r="B273" t="str">
            <v>COO0737</v>
          </cell>
          <cell r="C273" t="str">
            <v>OOMI.N</v>
          </cell>
          <cell r="D273" t="str">
            <v>OOGSI.F-OS-2025-I-0011</v>
          </cell>
          <cell r="E273" t="str">
            <v>N-2025-G-0098</v>
          </cell>
          <cell r="F273" t="str">
            <v>N-2025-G-162</v>
          </cell>
          <cell r="G273" t="str">
            <v>Eletronorte</v>
          </cell>
          <cell r="H273" t="str">
            <v>Nova Demanda</v>
          </cell>
          <cell r="I273" t="str">
            <v>Modernização dos cabos para-raios da LT SUSMLT6-04 Fase A da UHE Samuel</v>
          </cell>
          <cell r="J273" t="str">
            <v>Substituição de Para Raios - 01 UNIDADE PARA A LINHA SUSMLT6-04 - FASE V (Unidade Geradora 04).</v>
          </cell>
          <cell r="K273" t="str">
            <v>Substituição de Para Raios - 01 UNIDADE PARA A LINHA SUSMLT6-04 - FASE V (Unidade Geradora 04).</v>
          </cell>
          <cell r="L273" t="str">
            <v>NO10104003</v>
          </cell>
          <cell r="M273" t="str">
            <v>UHE Samuel</v>
          </cell>
          <cell r="N273" t="str">
            <v>Geração</v>
          </cell>
          <cell r="O273" t="str">
            <v>Modernização de pequeno porte</v>
          </cell>
          <cell r="P273" t="str">
            <v>Modernização de pequeno porte</v>
          </cell>
          <cell r="Q273" t="str">
            <v>NGHI.0141</v>
          </cell>
          <cell r="R273" t="str">
            <v>OOM Modern. G PP 2025</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15000</v>
          </cell>
          <cell r="AG273"/>
          <cell r="AH273"/>
          <cell r="AI273"/>
          <cell r="AJ273">
            <v>15000</v>
          </cell>
          <cell r="AK273">
            <v>0</v>
          </cell>
          <cell r="AL273">
            <v>0</v>
          </cell>
          <cell r="AM273">
            <v>0</v>
          </cell>
          <cell r="AN273">
            <v>0</v>
          </cell>
          <cell r="AO273">
            <v>0</v>
          </cell>
          <cell r="AP273">
            <v>15000</v>
          </cell>
          <cell r="AQ273" t="str">
            <v>Rondônia</v>
          </cell>
          <cell r="AS273" t="str">
            <v>x</v>
          </cell>
          <cell r="AT273">
            <v>15000</v>
          </cell>
        </row>
        <row r="274">
          <cell r="B274" t="str">
            <v>COO0738</v>
          </cell>
          <cell r="C274" t="str">
            <v>OOMI.N</v>
          </cell>
          <cell r="D274" t="str">
            <v>OOGSI.F-OS-2025-I-0104</v>
          </cell>
          <cell r="E274" t="str">
            <v>N-2025-G-0099</v>
          </cell>
          <cell r="F274" t="str">
            <v>N-2025-G-163</v>
          </cell>
          <cell r="G274" t="str">
            <v>Eletronorte</v>
          </cell>
          <cell r="H274" t="str">
            <v>Nova Demanda</v>
          </cell>
          <cell r="I274" t="str">
            <v>Modernização dos cabos para-raios da LT SUSMLT6-04 Fase B da UHE Samuel</v>
          </cell>
          <cell r="J274" t="str">
            <v>Substituição de Para Raios - 01 UNIDADE PARA A LINHA SUSMLT6-02 - FASE V (Unidade Geradora 02).</v>
          </cell>
          <cell r="K274" t="str">
            <v>Substituição de Para Raios - 01 UNIDADE PARA A LINHA SUSMLT6-02 - FASE V (Unidade Geradora 02).</v>
          </cell>
          <cell r="L274" t="str">
            <v>NO10104003</v>
          </cell>
          <cell r="M274" t="str">
            <v>UHE Samuel</v>
          </cell>
          <cell r="N274" t="str">
            <v>Geração</v>
          </cell>
          <cell r="O274" t="str">
            <v>Modernização de pequeno porte</v>
          </cell>
          <cell r="P274" t="str">
            <v>Modernização de pequeno porte</v>
          </cell>
          <cell r="Q274" t="str">
            <v>NGHI.0141</v>
          </cell>
          <cell r="R274" t="str">
            <v>OOM Modern. G PP 2025</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15000</v>
          </cell>
          <cell r="AG274"/>
          <cell r="AH274"/>
          <cell r="AI274"/>
          <cell r="AJ274">
            <v>15000</v>
          </cell>
          <cell r="AK274">
            <v>0</v>
          </cell>
          <cell r="AL274">
            <v>0</v>
          </cell>
          <cell r="AM274">
            <v>0</v>
          </cell>
          <cell r="AN274">
            <v>0</v>
          </cell>
          <cell r="AO274">
            <v>0</v>
          </cell>
          <cell r="AP274">
            <v>15000</v>
          </cell>
          <cell r="AQ274" t="str">
            <v>Rondônia</v>
          </cell>
          <cell r="AS274" t="str">
            <v>x</v>
          </cell>
          <cell r="AT274">
            <v>15000</v>
          </cell>
        </row>
        <row r="275">
          <cell r="B275" t="str">
            <v>COO0739</v>
          </cell>
          <cell r="C275" t="str">
            <v>OOMI.N</v>
          </cell>
          <cell r="D275" t="str">
            <v>OOGFU.F-OS-2025-I-0531</v>
          </cell>
          <cell r="E275" t="str">
            <v>N-2025-G-0100</v>
          </cell>
          <cell r="F275" t="str">
            <v>N-2025-G-164</v>
          </cell>
          <cell r="G275" t="str">
            <v>Eletronorte</v>
          </cell>
          <cell r="H275" t="str">
            <v>Nova Demanda</v>
          </cell>
          <cell r="I275" t="str">
            <v>Modernização dos cabos para-raios da LT SUSMLT6-04 Fase C da UHE Samuel</v>
          </cell>
          <cell r="J275" t="str">
            <v>Substituição de Para Raios - 01 UNIDADE PARA A LINHA SUSMLT6-02 - FASE B (Unidade Geradora 02).</v>
          </cell>
          <cell r="K275" t="str">
            <v>Substituição de Para Raios - 01 UNIDADE PARA A LINHA SUSMLT6-02 - FASE B (Unidade Geradora 02).</v>
          </cell>
          <cell r="L275" t="str">
            <v>NO10104003</v>
          </cell>
          <cell r="M275" t="str">
            <v>UHE Samuel</v>
          </cell>
          <cell r="N275" t="str">
            <v>Geração</v>
          </cell>
          <cell r="O275" t="str">
            <v>Modernização de pequeno porte</v>
          </cell>
          <cell r="P275" t="str">
            <v>Modernização de pequeno porte</v>
          </cell>
          <cell r="Q275" t="str">
            <v>NGHI.0141</v>
          </cell>
          <cell r="R275" t="str">
            <v>OOM Modern. G PP 2025</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15000</v>
          </cell>
          <cell r="AG275"/>
          <cell r="AH275"/>
          <cell r="AI275"/>
          <cell r="AJ275">
            <v>15000</v>
          </cell>
          <cell r="AK275">
            <v>0</v>
          </cell>
          <cell r="AL275">
            <v>0</v>
          </cell>
          <cell r="AM275">
            <v>0</v>
          </cell>
          <cell r="AN275">
            <v>0</v>
          </cell>
          <cell r="AO275">
            <v>0</v>
          </cell>
          <cell r="AP275">
            <v>15000</v>
          </cell>
          <cell r="AQ275" t="str">
            <v>Rondônia</v>
          </cell>
          <cell r="AS275" t="str">
            <v>x</v>
          </cell>
          <cell r="AT275">
            <v>15000</v>
          </cell>
        </row>
        <row r="276">
          <cell r="B276" t="str">
            <v>COO0740</v>
          </cell>
          <cell r="C276" t="str">
            <v>OOMI.N</v>
          </cell>
          <cell r="D276" t="str">
            <v>OOGFU.F-OS-2025-I-0532</v>
          </cell>
          <cell r="E276" t="str">
            <v>N-2025-G-0101</v>
          </cell>
          <cell r="F276" t="str">
            <v>N-2025-G-165</v>
          </cell>
          <cell r="G276" t="str">
            <v>Eletronorte</v>
          </cell>
          <cell r="H276" t="str">
            <v>Nova Demanda</v>
          </cell>
          <cell r="I276" t="str">
            <v>Modernização dos cabos para-raios da LT SUSMLT6-05 Fase B da UHE Samuel</v>
          </cell>
          <cell r="J276" t="str">
            <v>Substituição de Para Raios - 01 UNIDADE PARA A LINHA SUSMLT6-01 - FASE V (Unidade Geradora 01).</v>
          </cell>
          <cell r="K276" t="str">
            <v>Substituição de Para Raios - 01 UNIDADE PARA A LINHA SUSMLT6-01 - FASE V (Unidade Geradora 01).</v>
          </cell>
          <cell r="L276" t="str">
            <v>NO10104003</v>
          </cell>
          <cell r="M276" t="str">
            <v>UHE Samuel</v>
          </cell>
          <cell r="N276" t="str">
            <v>Geração</v>
          </cell>
          <cell r="O276" t="str">
            <v>Modernização de pequeno porte</v>
          </cell>
          <cell r="P276" t="str">
            <v>Modernização de pequeno porte</v>
          </cell>
          <cell r="Q276" t="str">
            <v>NGHI.0141</v>
          </cell>
          <cell r="R276" t="str">
            <v>OOM Modern. G PP 2025</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15000</v>
          </cell>
          <cell r="AG276"/>
          <cell r="AH276"/>
          <cell r="AI276"/>
          <cell r="AJ276">
            <v>15000</v>
          </cell>
          <cell r="AK276">
            <v>0</v>
          </cell>
          <cell r="AL276">
            <v>0</v>
          </cell>
          <cell r="AM276">
            <v>0</v>
          </cell>
          <cell r="AN276">
            <v>0</v>
          </cell>
          <cell r="AO276">
            <v>0</v>
          </cell>
          <cell r="AP276">
            <v>15000</v>
          </cell>
          <cell r="AQ276" t="str">
            <v>Rondônia</v>
          </cell>
          <cell r="AS276" t="str">
            <v>x</v>
          </cell>
          <cell r="AT276">
            <v>15000</v>
          </cell>
        </row>
        <row r="277">
          <cell r="B277" t="str">
            <v>COO0741</v>
          </cell>
          <cell r="C277" t="str">
            <v>OOMI.N</v>
          </cell>
          <cell r="D277" t="str">
            <v>OOGFU.F-OS-2025-I-0533</v>
          </cell>
          <cell r="E277" t="str">
            <v>N-2025-G-0102</v>
          </cell>
          <cell r="F277" t="str">
            <v>N-2025-G-166</v>
          </cell>
          <cell r="G277" t="str">
            <v>Eletronorte</v>
          </cell>
          <cell r="H277" t="str">
            <v>Nova Demanda</v>
          </cell>
          <cell r="I277" t="str">
            <v>Modernização dos cabos para-raios da LT SUSMLT6-05 Fase C da UHE Samuel</v>
          </cell>
          <cell r="J277" t="str">
            <v>Substituição de Para Raios - 01 UNIDADE PARA A LINHA SUSMLT6-01 - FASE B (Unidade Geradora 01).</v>
          </cell>
          <cell r="K277" t="str">
            <v>Substituição de Para Raios - 01 UNIDADE PARA A LINHA SUSMLT6-01 - FASE B (Unidade Geradora 01).</v>
          </cell>
          <cell r="L277" t="str">
            <v>NO10104003</v>
          </cell>
          <cell r="M277" t="str">
            <v>UHE Samuel</v>
          </cell>
          <cell r="N277" t="str">
            <v>Geração</v>
          </cell>
          <cell r="O277" t="str">
            <v>Modernização de pequeno porte</v>
          </cell>
          <cell r="P277" t="str">
            <v>Modernização de pequeno porte</v>
          </cell>
          <cell r="Q277" t="str">
            <v>NGHI.0141</v>
          </cell>
          <cell r="R277" t="str">
            <v>OOM Modern. G PP 2025</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15000</v>
          </cell>
          <cell r="AG277"/>
          <cell r="AH277"/>
          <cell r="AI277"/>
          <cell r="AJ277">
            <v>15000</v>
          </cell>
          <cell r="AK277">
            <v>0</v>
          </cell>
          <cell r="AL277">
            <v>0</v>
          </cell>
          <cell r="AM277">
            <v>0</v>
          </cell>
          <cell r="AN277">
            <v>0</v>
          </cell>
          <cell r="AO277">
            <v>0</v>
          </cell>
          <cell r="AP277">
            <v>15000</v>
          </cell>
          <cell r="AQ277" t="str">
            <v>Rondônia</v>
          </cell>
          <cell r="AS277" t="str">
            <v>x</v>
          </cell>
          <cell r="AT277">
            <v>15000</v>
          </cell>
        </row>
        <row r="278">
          <cell r="B278" t="str">
            <v>COO0742</v>
          </cell>
          <cell r="C278" t="str">
            <v>OOGCU.N</v>
          </cell>
          <cell r="D278" t="str">
            <v>OOTP.F-OS-2025-I-0595</v>
          </cell>
          <cell r="E278" t="str">
            <v>N-2025-G-0063</v>
          </cell>
          <cell r="F278" t="str">
            <v>N-2025-G-206</v>
          </cell>
          <cell r="G278" t="str">
            <v>Eletronorte</v>
          </cell>
          <cell r="H278" t="str">
            <v>Nova Demanda</v>
          </cell>
          <cell r="I278" t="str">
            <v>Modernização das turbinas hidráulicas da UHE Curuá-Una</v>
          </cell>
          <cell r="J278" t="str">
            <v>Substituição de Turbinas para ganho de potencia na Geração</v>
          </cell>
          <cell r="K278" t="str">
            <v>Substituição de Turbinas para ganho de potencia na Geração</v>
          </cell>
          <cell r="L278" t="str">
            <v>NO10103003</v>
          </cell>
          <cell r="M278" t="str">
            <v>UHE Curuá-Una</v>
          </cell>
          <cell r="N278" t="str">
            <v>Geração</v>
          </cell>
          <cell r="O278" t="str">
            <v>Modernização de pequeno porte</v>
          </cell>
          <cell r="P278" t="str">
            <v>Modernização de pequeno porte</v>
          </cell>
          <cell r="Q278" t="str">
            <v>NGHI.0143</v>
          </cell>
          <cell r="R278" t="str">
            <v>OOG Modern. G PP 2025</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cell r="AG278"/>
          <cell r="AH278"/>
          <cell r="AI278">
            <v>10000000</v>
          </cell>
          <cell r="AJ278">
            <v>10000000</v>
          </cell>
          <cell r="AK278">
            <v>0</v>
          </cell>
          <cell r="AL278">
            <v>0</v>
          </cell>
          <cell r="AM278">
            <v>0</v>
          </cell>
          <cell r="AN278">
            <v>0</v>
          </cell>
          <cell r="AO278">
            <v>0</v>
          </cell>
          <cell r="AP278">
            <v>10000000</v>
          </cell>
          <cell r="AQ278" t="str">
            <v>Pará</v>
          </cell>
          <cell r="AS278" t="str">
            <v>x</v>
          </cell>
          <cell r="AT278">
            <v>10000000</v>
          </cell>
        </row>
        <row r="279">
          <cell r="B279" t="str">
            <v>COO0743</v>
          </cell>
          <cell r="C279" t="str">
            <v>OOMI.N</v>
          </cell>
          <cell r="D279" t="str">
            <v>OOGFU.F-OS-2025-I-0008</v>
          </cell>
          <cell r="E279" t="str">
            <v>N-2025-G-0085</v>
          </cell>
          <cell r="F279" t="str">
            <v>N-2025-G-154</v>
          </cell>
          <cell r="G279" t="str">
            <v>Eletronorte</v>
          </cell>
          <cell r="H279" t="str">
            <v>Nova Demanda</v>
          </cell>
          <cell r="I279" t="str">
            <v>Modernização dos cabos para-raios da LT CUTA-LI5-01 da UHE Curuá-Una</v>
          </cell>
          <cell r="J279" t="str">
            <v>Substituição do cabo para raios da linha de CUTA-LI5-01</v>
          </cell>
          <cell r="K279" t="str">
            <v>Substituição do cabo para raios da linha de CUTA-LI5-01</v>
          </cell>
          <cell r="L279" t="str">
            <v>NO10103003</v>
          </cell>
          <cell r="M279" t="str">
            <v>UHE Curuá-Una</v>
          </cell>
          <cell r="N279" t="str">
            <v>Geração</v>
          </cell>
          <cell r="O279" t="str">
            <v>Modernização de pequeno porte</v>
          </cell>
          <cell r="P279" t="str">
            <v>Modernização de pequeno porte</v>
          </cell>
          <cell r="Q279" t="str">
            <v>NGHI.0141</v>
          </cell>
          <cell r="R279" t="str">
            <v>OOM Modern. G PP 2025</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33000</v>
          </cell>
          <cell r="AG279"/>
          <cell r="AH279"/>
          <cell r="AI279"/>
          <cell r="AJ279">
            <v>33000</v>
          </cell>
          <cell r="AK279">
            <v>0</v>
          </cell>
          <cell r="AL279">
            <v>0</v>
          </cell>
          <cell r="AM279">
            <v>0</v>
          </cell>
          <cell r="AN279">
            <v>0</v>
          </cell>
          <cell r="AO279">
            <v>0</v>
          </cell>
          <cell r="AP279">
            <v>33000</v>
          </cell>
          <cell r="AQ279" t="str">
            <v>Pará</v>
          </cell>
          <cell r="AS279" t="str">
            <v>x</v>
          </cell>
          <cell r="AT279">
            <v>33000</v>
          </cell>
        </row>
        <row r="280">
          <cell r="B280" t="str">
            <v>COO0744</v>
          </cell>
          <cell r="C280" t="str">
            <v>OOMI.N</v>
          </cell>
          <cell r="D280" t="str">
            <v>OOTM.F-OS-2025-I-0302</v>
          </cell>
          <cell r="E280" t="str">
            <v>N-2025-G-0084</v>
          </cell>
          <cell r="F280" t="str">
            <v>N-2025-G-127</v>
          </cell>
          <cell r="G280" t="str">
            <v>Eletronorte</v>
          </cell>
          <cell r="H280" t="str">
            <v>Nova Demanda</v>
          </cell>
          <cell r="I280" t="str">
            <v>Modernização do conjunto de TCs da LT CUTA-LI5-01 da UHE Curuá-Una</v>
          </cell>
          <cell r="J280" t="str">
            <v>Substituição do conjunto de TC's da linha de CUTA-LI5-01 no terminal da SE Tapajós</v>
          </cell>
          <cell r="K280" t="str">
            <v>Substituição do conjunto de TC's da linha de CUTA-LI5-01 no terminal da SE Tapajós</v>
          </cell>
          <cell r="L280" t="str">
            <v>NO10103003</v>
          </cell>
          <cell r="M280" t="str">
            <v>UHE Curuá-Una</v>
          </cell>
          <cell r="N280" t="str">
            <v>Geração</v>
          </cell>
          <cell r="O280" t="str">
            <v>Modernização de pequeno porte</v>
          </cell>
          <cell r="P280" t="str">
            <v>Modernização de pequeno porte</v>
          </cell>
          <cell r="Q280" t="str">
            <v>NGHI.0141</v>
          </cell>
          <cell r="R280" t="str">
            <v>OOM Modern. G PP 2025</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367792</v>
          </cell>
          <cell r="AG280"/>
          <cell r="AH280"/>
          <cell r="AI280"/>
          <cell r="AJ280">
            <v>367792</v>
          </cell>
          <cell r="AK280">
            <v>0</v>
          </cell>
          <cell r="AL280">
            <v>0</v>
          </cell>
          <cell r="AM280">
            <v>0</v>
          </cell>
          <cell r="AN280">
            <v>0</v>
          </cell>
          <cell r="AO280">
            <v>0</v>
          </cell>
          <cell r="AP280">
            <v>367792</v>
          </cell>
          <cell r="AQ280" t="str">
            <v>Pará</v>
          </cell>
          <cell r="AS280" t="str">
            <v>x</v>
          </cell>
          <cell r="AT280">
            <v>367792</v>
          </cell>
        </row>
        <row r="281">
          <cell r="B281" t="str">
            <v>COO0745</v>
          </cell>
          <cell r="C281" t="str">
            <v>OOMI.N</v>
          </cell>
          <cell r="D281" t="str">
            <v>OOTP.F-OS-2025-I-0597</v>
          </cell>
          <cell r="E281" t="str">
            <v>N-2025-G-0083</v>
          </cell>
          <cell r="F281" t="str">
            <v>N-2025-G-128</v>
          </cell>
          <cell r="G281" t="str">
            <v>Eletronorte</v>
          </cell>
          <cell r="H281" t="str">
            <v>Nova Demanda</v>
          </cell>
          <cell r="I281" t="str">
            <v>Modernização do disjuntor da LT CUTA-LI5-01 da UHE Curuá-Una</v>
          </cell>
          <cell r="J281" t="str">
            <v>Substituição do disjuntor da linha de CUTA-LI5-01 no terminal da SE Tapajós</v>
          </cell>
          <cell r="K281" t="str">
            <v>Substituição do disjuntor da linha de CUTA-LI5-01 no terminal da SE Tapajós</v>
          </cell>
          <cell r="L281" t="str">
            <v>NO10103003</v>
          </cell>
          <cell r="M281" t="str">
            <v>UHE Curuá-Una</v>
          </cell>
          <cell r="N281" t="str">
            <v>Geração</v>
          </cell>
          <cell r="O281" t="str">
            <v>Modernização de pequeno porte</v>
          </cell>
          <cell r="P281" t="str">
            <v>Modernização de pequeno porte</v>
          </cell>
          <cell r="Q281" t="str">
            <v>NGHI.0141</v>
          </cell>
          <cell r="R281" t="str">
            <v>OOM Modern. G PP 2025</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240000</v>
          </cell>
          <cell r="AG281"/>
          <cell r="AH281"/>
          <cell r="AI281"/>
          <cell r="AJ281">
            <v>240000</v>
          </cell>
          <cell r="AK281">
            <v>0</v>
          </cell>
          <cell r="AL281">
            <v>0</v>
          </cell>
          <cell r="AM281">
            <v>0</v>
          </cell>
          <cell r="AN281">
            <v>0</v>
          </cell>
          <cell r="AO281">
            <v>0</v>
          </cell>
          <cell r="AP281">
            <v>240000</v>
          </cell>
          <cell r="AQ281" t="str">
            <v>Pará</v>
          </cell>
          <cell r="AS281" t="str">
            <v>x</v>
          </cell>
          <cell r="AT281">
            <v>240000</v>
          </cell>
        </row>
        <row r="282">
          <cell r="B282" t="str">
            <v>COO0746</v>
          </cell>
          <cell r="C282" t="str">
            <v>OOMG.N</v>
          </cell>
          <cell r="D282" t="str">
            <v>OOTP.F-OS-2025-I-0599</v>
          </cell>
          <cell r="E282" t="str">
            <v>N-2025-G-0134</v>
          </cell>
          <cell r="F282" t="str">
            <v>N-2025-G-230</v>
          </cell>
          <cell r="G282" t="str">
            <v>Eletronorte</v>
          </cell>
          <cell r="H282" t="str">
            <v>Nova Demanda</v>
          </cell>
          <cell r="I282" t="str">
            <v>Substituição do sistema de filtro autolimpante da UHE Balbina</v>
          </cell>
          <cell r="J282" t="str">
            <v>Substituição dos filtros autolimpantes das 05 UGH</v>
          </cell>
          <cell r="K282" t="str">
            <v>Substituição dos filtros autolimpantes das 05 UGH</v>
          </cell>
          <cell r="L282" t="str">
            <v>NO10101003</v>
          </cell>
          <cell r="M282" t="str">
            <v>UHE Balbina</v>
          </cell>
          <cell r="N282" t="str">
            <v>Geração</v>
          </cell>
          <cell r="O282" t="str">
            <v>Modernização de pequeno porte</v>
          </cell>
          <cell r="P282" t="str">
            <v>Modernização de pequeno porte</v>
          </cell>
          <cell r="Q282" t="str">
            <v>NGHI.0141</v>
          </cell>
          <cell r="R282" t="str">
            <v>OOM Modern. G PP 2025</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4000000</v>
          </cell>
          <cell r="AG282"/>
          <cell r="AH282"/>
          <cell r="AI282"/>
          <cell r="AJ282">
            <v>4000000</v>
          </cell>
          <cell r="AK282">
            <v>0</v>
          </cell>
          <cell r="AL282">
            <v>0</v>
          </cell>
          <cell r="AM282">
            <v>0</v>
          </cell>
          <cell r="AN282">
            <v>0</v>
          </cell>
          <cell r="AO282">
            <v>0</v>
          </cell>
          <cell r="AP282">
            <v>4000000</v>
          </cell>
          <cell r="AQ282" t="str">
            <v>Amazonas</v>
          </cell>
          <cell r="AS282" t="str">
            <v>x</v>
          </cell>
          <cell r="AT282">
            <v>4000000</v>
          </cell>
        </row>
        <row r="283">
          <cell r="B283" t="str">
            <v>COO0747</v>
          </cell>
          <cell r="C283" t="str">
            <v>OOGT.N</v>
          </cell>
          <cell r="D283" t="str">
            <v>OOMB.C-C-2025-I-0010</v>
          </cell>
          <cell r="E283" t="str">
            <v>N-2025-G-0004</v>
          </cell>
          <cell r="F283" t="str">
            <v>N-2025-G-231</v>
          </cell>
          <cell r="G283" t="str">
            <v>Eletronorte</v>
          </cell>
          <cell r="H283" t="str">
            <v>Nova Demanda</v>
          </cell>
          <cell r="I283" t="str">
            <v>Modernização eletromecânica dos distribuidores da UHE Tucuruí</v>
          </cell>
          <cell r="J283" t="str">
            <v>Substituição dos sistemas de buchas e bielismo dos distribuidores</v>
          </cell>
          <cell r="K283" t="str">
            <v>Substituição dos sistemas de buchas e bielismo dos distribuidores</v>
          </cell>
          <cell r="L283" t="str">
            <v>NO10105003</v>
          </cell>
          <cell r="M283" t="str">
            <v>UHE Tucuruí</v>
          </cell>
          <cell r="N283" t="str">
            <v>Geração</v>
          </cell>
          <cell r="O283" t="str">
            <v>Modernização de pequeno porte</v>
          </cell>
          <cell r="P283" t="str">
            <v>Modernização de pequeno porte</v>
          </cell>
          <cell r="Q283" t="str">
            <v>NGHI.0143</v>
          </cell>
          <cell r="R283" t="str">
            <v>OOG Modern. G PP 2025</v>
          </cell>
          <cell r="S283">
            <v>0</v>
          </cell>
          <cell r="T283">
            <v>0</v>
          </cell>
          <cell r="U283">
            <v>0</v>
          </cell>
          <cell r="V283">
            <v>3447481</v>
          </cell>
          <cell r="W283">
            <v>0</v>
          </cell>
          <cell r="X283">
            <v>0</v>
          </cell>
          <cell r="Y283">
            <v>3000000</v>
          </cell>
          <cell r="Z283"/>
          <cell r="AA283">
            <v>0</v>
          </cell>
          <cell r="AB283">
            <v>3000000</v>
          </cell>
          <cell r="AC283">
            <v>0</v>
          </cell>
          <cell r="AD283">
            <v>0</v>
          </cell>
          <cell r="AE283">
            <v>9447481</v>
          </cell>
          <cell r="AF283"/>
          <cell r="AG283"/>
          <cell r="AH283"/>
          <cell r="AI283"/>
          <cell r="AJ283">
            <v>9447481</v>
          </cell>
          <cell r="AK283">
            <v>0</v>
          </cell>
          <cell r="AL283">
            <v>0</v>
          </cell>
          <cell r="AM283">
            <v>0</v>
          </cell>
          <cell r="AN283">
            <v>0</v>
          </cell>
          <cell r="AO283">
            <v>0</v>
          </cell>
          <cell r="AP283">
            <v>9447481</v>
          </cell>
          <cell r="AQ283" t="str">
            <v>Pará</v>
          </cell>
          <cell r="AT283">
            <v>0</v>
          </cell>
        </row>
        <row r="284">
          <cell r="B284" t="str">
            <v>COO0748</v>
          </cell>
          <cell r="C284" t="str">
            <v>OOMI.N</v>
          </cell>
          <cell r="D284" t="str">
            <v>OOTM.F-OS-2025-I-0458</v>
          </cell>
          <cell r="E284" t="str">
            <v>N-2025-G-0086</v>
          </cell>
          <cell r="F284" t="str">
            <v>N-2025-G-129</v>
          </cell>
          <cell r="G284" t="str">
            <v>Eletronorte</v>
          </cell>
          <cell r="H284" t="str">
            <v>Nova Demanda</v>
          </cell>
          <cell r="I284" t="str">
            <v>Modernização do disjuntor SMDJ6-01 da UHE Samuel</v>
          </cell>
          <cell r="J284" t="str">
            <v>Substituir o disjuntor SMDJ6-01, por fim de vida útil e obsolescência</v>
          </cell>
          <cell r="K284" t="str">
            <v>Substituir o disjuntor SMDJ6-01, por fim de vida útil e obsolescência</v>
          </cell>
          <cell r="L284" t="str">
            <v>NO10104003</v>
          </cell>
          <cell r="M284" t="str">
            <v>UHE Samuel</v>
          </cell>
          <cell r="N284" t="str">
            <v>Geração</v>
          </cell>
          <cell r="O284" t="str">
            <v>Modernização de pequeno porte</v>
          </cell>
          <cell r="P284" t="str">
            <v>Modernização de pequeno porte</v>
          </cell>
          <cell r="Q284" t="str">
            <v>NGHI.0141</v>
          </cell>
          <cell r="R284" t="str">
            <v>OOM Modern. G PP 2025</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900000</v>
          </cell>
          <cell r="AG284"/>
          <cell r="AH284"/>
          <cell r="AI284"/>
          <cell r="AJ284">
            <v>900000</v>
          </cell>
          <cell r="AK284">
            <v>0</v>
          </cell>
          <cell r="AL284">
            <v>0</v>
          </cell>
          <cell r="AM284">
            <v>0</v>
          </cell>
          <cell r="AN284">
            <v>0</v>
          </cell>
          <cell r="AO284">
            <v>0</v>
          </cell>
          <cell r="AP284">
            <v>900000</v>
          </cell>
          <cell r="AQ284" t="str">
            <v>Rondônia</v>
          </cell>
          <cell r="AS284" t="str">
            <v>x</v>
          </cell>
          <cell r="AT284">
            <v>900000</v>
          </cell>
        </row>
        <row r="285">
          <cell r="B285" t="str">
            <v>COO0749</v>
          </cell>
          <cell r="C285" t="str">
            <v>OOMI.N</v>
          </cell>
          <cell r="D285" t="str">
            <v>OOTM.F-OS-2025-I-0297</v>
          </cell>
          <cell r="E285" t="str">
            <v>N-2025-G-0087</v>
          </cell>
          <cell r="F285" t="str">
            <v>N-2025-G-130</v>
          </cell>
          <cell r="G285" t="str">
            <v>Eletronorte</v>
          </cell>
          <cell r="H285" t="str">
            <v>Nova Demanda</v>
          </cell>
          <cell r="I285" t="str">
            <v>Modernização do disjuntor SMDJ6-02 da UHE Samuel</v>
          </cell>
          <cell r="J285" t="str">
            <v>Substituir o disjuntor SMDJ6-02, por fim de vida útil e obsolescência</v>
          </cell>
          <cell r="K285" t="str">
            <v>Substituir o disjuntor SMDJ6-02, por fim de vida útil e obsolescência</v>
          </cell>
          <cell r="L285" t="str">
            <v>NO10104003</v>
          </cell>
          <cell r="M285" t="str">
            <v>UHE Samuel</v>
          </cell>
          <cell r="N285" t="str">
            <v>Geração</v>
          </cell>
          <cell r="O285" t="str">
            <v>Modernização de pequeno porte</v>
          </cell>
          <cell r="P285" t="str">
            <v>Modernização de pequeno porte</v>
          </cell>
          <cell r="Q285" t="str">
            <v>NGHI.0141</v>
          </cell>
          <cell r="R285" t="str">
            <v>OOM Modern. G PP 2025</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900000</v>
          </cell>
          <cell r="AG285"/>
          <cell r="AH285"/>
          <cell r="AI285"/>
          <cell r="AJ285">
            <v>900000</v>
          </cell>
          <cell r="AK285">
            <v>0</v>
          </cell>
          <cell r="AL285">
            <v>0</v>
          </cell>
          <cell r="AM285">
            <v>0</v>
          </cell>
          <cell r="AN285">
            <v>0</v>
          </cell>
          <cell r="AO285">
            <v>0</v>
          </cell>
          <cell r="AP285">
            <v>900000</v>
          </cell>
          <cell r="AQ285" t="str">
            <v>Rondônia</v>
          </cell>
          <cell r="AS285" t="str">
            <v>x</v>
          </cell>
          <cell r="AT285">
            <v>900000</v>
          </cell>
        </row>
        <row r="286">
          <cell r="B286" t="str">
            <v>COO0750</v>
          </cell>
          <cell r="C286" t="str">
            <v>OOMI.N</v>
          </cell>
          <cell r="D286" t="str">
            <v>OOTM.F-OS-2025-I-0421</v>
          </cell>
          <cell r="E286" t="str">
            <v>N-2025-G-0088</v>
          </cell>
          <cell r="F286" t="str">
            <v>N-2025-G-131</v>
          </cell>
          <cell r="G286" t="str">
            <v>Eletronorte</v>
          </cell>
          <cell r="H286" t="str">
            <v>Nova Demanda</v>
          </cell>
          <cell r="I286" t="str">
            <v>Modernização do disjuntor SMDJ6-03 da UHE Samuel</v>
          </cell>
          <cell r="J286" t="str">
            <v>Substituir o disjuntor SMDJ6-03, por fim de vida útil e obsolescência</v>
          </cell>
          <cell r="K286" t="str">
            <v>Substituir o disjuntor SMDJ6-03, por fim de vida útil e obsolescência</v>
          </cell>
          <cell r="L286" t="str">
            <v>NO10104003</v>
          </cell>
          <cell r="M286" t="str">
            <v>UHE Samuel</v>
          </cell>
          <cell r="N286" t="str">
            <v>Geração</v>
          </cell>
          <cell r="O286" t="str">
            <v>Modernização de pequeno porte</v>
          </cell>
          <cell r="P286" t="str">
            <v>Modernização de pequeno porte</v>
          </cell>
          <cell r="Q286" t="str">
            <v>NGHI.0141</v>
          </cell>
          <cell r="R286" t="str">
            <v>OOM Modern. G PP 2025</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900000</v>
          </cell>
          <cell r="AG286"/>
          <cell r="AH286"/>
          <cell r="AI286"/>
          <cell r="AJ286">
            <v>900000</v>
          </cell>
          <cell r="AK286">
            <v>0</v>
          </cell>
          <cell r="AL286">
            <v>0</v>
          </cell>
          <cell r="AM286">
            <v>0</v>
          </cell>
          <cell r="AN286">
            <v>0</v>
          </cell>
          <cell r="AO286">
            <v>0</v>
          </cell>
          <cell r="AP286">
            <v>900000</v>
          </cell>
          <cell r="AQ286" t="str">
            <v>Rondônia</v>
          </cell>
          <cell r="AS286" t="str">
            <v>x</v>
          </cell>
          <cell r="AT286">
            <v>900000</v>
          </cell>
        </row>
        <row r="287">
          <cell r="B287" t="str">
            <v>COO0751</v>
          </cell>
          <cell r="C287" t="str">
            <v>OOMI.N</v>
          </cell>
          <cell r="D287" t="str">
            <v>OOTM.F-OS-2025-I-0282</v>
          </cell>
          <cell r="E287" t="str">
            <v>N-2025-G-0089</v>
          </cell>
          <cell r="F287" t="str">
            <v>N-2025-G-132</v>
          </cell>
          <cell r="G287" t="str">
            <v>Eletronorte</v>
          </cell>
          <cell r="H287" t="str">
            <v>Nova Demanda</v>
          </cell>
          <cell r="I287" t="str">
            <v>Modernização do disjuntor SMDJ6-04 da UHE Samuel</v>
          </cell>
          <cell r="J287" t="str">
            <v>Substituir o disjuntor SMDJ6-04, por fim de vida útil e obsolescência</v>
          </cell>
          <cell r="K287" t="str">
            <v>Substituir o disjuntor SMDJ6-04, por fim de vida útil e obsolescência</v>
          </cell>
          <cell r="L287" t="str">
            <v>NO10104003</v>
          </cell>
          <cell r="M287" t="str">
            <v>UHE Samuel</v>
          </cell>
          <cell r="N287" t="str">
            <v>Geração</v>
          </cell>
          <cell r="O287" t="str">
            <v>Modernização de pequeno porte</v>
          </cell>
          <cell r="P287" t="str">
            <v>Modernização de pequeno porte</v>
          </cell>
          <cell r="Q287" t="str">
            <v>NGHI.0141</v>
          </cell>
          <cell r="R287" t="str">
            <v>OOM Modern. G PP 2025</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900000</v>
          </cell>
          <cell r="AG287"/>
          <cell r="AH287"/>
          <cell r="AI287"/>
          <cell r="AJ287">
            <v>900000</v>
          </cell>
          <cell r="AK287">
            <v>0</v>
          </cell>
          <cell r="AL287">
            <v>0</v>
          </cell>
          <cell r="AM287">
            <v>0</v>
          </cell>
          <cell r="AN287">
            <v>0</v>
          </cell>
          <cell r="AO287">
            <v>0</v>
          </cell>
          <cell r="AP287">
            <v>900000</v>
          </cell>
          <cell r="AQ287" t="str">
            <v>Rondônia</v>
          </cell>
          <cell r="AS287" t="str">
            <v>x</v>
          </cell>
          <cell r="AT287">
            <v>900000</v>
          </cell>
        </row>
        <row r="288">
          <cell r="B288" t="str">
            <v>COO0752</v>
          </cell>
          <cell r="C288" t="str">
            <v>OOMI.N</v>
          </cell>
          <cell r="D288" t="str">
            <v>OOGN.S-S-2025-I-0144</v>
          </cell>
          <cell r="E288" t="str">
            <v>N-2025-G-0090</v>
          </cell>
          <cell r="F288" t="str">
            <v>N-2025-G-133</v>
          </cell>
          <cell r="G288" t="str">
            <v>Eletronorte</v>
          </cell>
          <cell r="H288" t="str">
            <v>Contratado</v>
          </cell>
          <cell r="I288" t="str">
            <v>Modernização do disjuntor SMDJ6-05 da UHE Samuel</v>
          </cell>
          <cell r="J288" t="str">
            <v>Substituir o disjuntor SMDJ6-05, por fim de vida útil e obsolescência</v>
          </cell>
          <cell r="K288" t="str">
            <v>Substituir o disjuntor SMDJ6-05, por fim de vida útil e obsolescência</v>
          </cell>
          <cell r="L288" t="str">
            <v>NO10104003</v>
          </cell>
          <cell r="M288" t="str">
            <v>UHE Samuel</v>
          </cell>
          <cell r="N288" t="str">
            <v>Geração</v>
          </cell>
          <cell r="O288" t="str">
            <v>Modernização de pequeno porte</v>
          </cell>
          <cell r="P288" t="str">
            <v>Modernização de pequeno porte</v>
          </cell>
          <cell r="Q288" t="str">
            <v>NGHI.0141</v>
          </cell>
          <cell r="R288" t="str">
            <v>OOM Modern. G PP 2025</v>
          </cell>
          <cell r="S288">
            <v>0</v>
          </cell>
          <cell r="T288">
            <v>0</v>
          </cell>
          <cell r="U288">
            <v>0</v>
          </cell>
          <cell r="V288">
            <v>0</v>
          </cell>
          <cell r="W288">
            <v>0</v>
          </cell>
          <cell r="X288">
            <v>0</v>
          </cell>
          <cell r="Y288">
            <v>100000</v>
          </cell>
          <cell r="Z288">
            <v>100000</v>
          </cell>
          <cell r="AA288">
            <v>100000</v>
          </cell>
          <cell r="AB288">
            <v>58278</v>
          </cell>
          <cell r="AC288">
            <v>0</v>
          </cell>
          <cell r="AD288">
            <v>0</v>
          </cell>
          <cell r="AE288">
            <v>358278</v>
          </cell>
          <cell r="AF288">
            <v>900000</v>
          </cell>
          <cell r="AG288"/>
          <cell r="AH288"/>
          <cell r="AI288"/>
          <cell r="AJ288">
            <v>1258278</v>
          </cell>
          <cell r="AK288">
            <v>0</v>
          </cell>
          <cell r="AL288">
            <v>0</v>
          </cell>
          <cell r="AM288">
            <v>0</v>
          </cell>
          <cell r="AN288">
            <v>0</v>
          </cell>
          <cell r="AO288">
            <v>0</v>
          </cell>
          <cell r="AP288">
            <v>1258278</v>
          </cell>
          <cell r="AQ288" t="str">
            <v>Rondônia</v>
          </cell>
          <cell r="AS288" t="str">
            <v>x</v>
          </cell>
          <cell r="AT288">
            <v>900000</v>
          </cell>
        </row>
        <row r="289">
          <cell r="B289" t="str">
            <v>COO0753</v>
          </cell>
          <cell r="C289" t="str">
            <v>OOMG.N</v>
          </cell>
          <cell r="D289" t="str">
            <v>OOTM.F-OS-2025-I-0304</v>
          </cell>
          <cell r="E289" t="str">
            <v>N-2025-G-0122</v>
          </cell>
          <cell r="F289" t="str">
            <v>N-2025-G-235</v>
          </cell>
          <cell r="G289" t="str">
            <v>Eletronorte</v>
          </cell>
          <cell r="H289" t="str">
            <v>Nova Demanda</v>
          </cell>
          <cell r="I289" t="str">
            <v>Modernização de 01 transformador regulador 13,8/0,46 kV (Serviço Auxiliar) CF1 da UHE Tucuruí</v>
          </cell>
          <cell r="J289" t="str">
            <v xml:space="preserve">Transformador regulador CF1 para alimentação do serviço auxiliar </v>
          </cell>
          <cell r="K289" t="str">
            <v xml:space="preserve">Transformador regulador CF1 para alimentação do serviço auxiliar </v>
          </cell>
          <cell r="L289" t="str">
            <v>NO10105003</v>
          </cell>
          <cell r="M289" t="str">
            <v>UHE Tucuruí</v>
          </cell>
          <cell r="N289" t="str">
            <v>Geração</v>
          </cell>
          <cell r="O289" t="str">
            <v>Modernização de pequeno porte</v>
          </cell>
          <cell r="P289" t="str">
            <v>Modernização de pequeno porte</v>
          </cell>
          <cell r="Q289" t="str">
            <v>NGHI.0141</v>
          </cell>
          <cell r="R289" t="str">
            <v>OOM Modern. G PP 2025</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1500000</v>
          </cell>
          <cell r="AG289">
            <v>1500000</v>
          </cell>
          <cell r="AH289">
            <v>1500000</v>
          </cell>
          <cell r="AI289">
            <v>1500000</v>
          </cell>
          <cell r="AJ289">
            <v>6000000</v>
          </cell>
          <cell r="AK289">
            <v>0</v>
          </cell>
          <cell r="AL289">
            <v>0</v>
          </cell>
          <cell r="AM289">
            <v>0</v>
          </cell>
          <cell r="AN289">
            <v>0</v>
          </cell>
          <cell r="AO289">
            <v>0</v>
          </cell>
          <cell r="AP289">
            <v>6000000</v>
          </cell>
          <cell r="AQ289" t="str">
            <v>Pará</v>
          </cell>
          <cell r="AS289" t="str">
            <v>x</v>
          </cell>
          <cell r="AT289">
            <v>6000000</v>
          </cell>
        </row>
        <row r="290">
          <cell r="B290" t="str">
            <v>COO0754</v>
          </cell>
          <cell r="C290" t="str">
            <v>OOGSA.N</v>
          </cell>
          <cell r="D290" t="str">
            <v>OOGN.S-S-2025-I-0287</v>
          </cell>
          <cell r="E290" t="str">
            <v>N-2025-G-0062</v>
          </cell>
          <cell r="F290" t="str">
            <v>N-2025-G-096</v>
          </cell>
          <cell r="G290" t="str">
            <v>Eletronorte</v>
          </cell>
          <cell r="H290" t="str">
            <v>Nova Demanda</v>
          </cell>
          <cell r="I290" t="str">
            <v>Aquisição de sistema de filtragem de óleo das centrais hidráulicas da UHE Samuel</v>
          </cell>
          <cell r="J290" t="str">
            <v>Unidade Fixa de Filtragem das Comportas de Tomada D'água</v>
          </cell>
          <cell r="K290" t="str">
            <v>Unidade Fixa de Filtragem das Comportas de Tomada D'água</v>
          </cell>
          <cell r="L290" t="str">
            <v>NO10104003</v>
          </cell>
          <cell r="M290" t="str">
            <v>UHE Samuel</v>
          </cell>
          <cell r="N290" t="str">
            <v>Geração</v>
          </cell>
          <cell r="O290" t="str">
            <v>Modernização de pequeno porte</v>
          </cell>
          <cell r="P290" t="str">
            <v>Modernização de pequeno porte</v>
          </cell>
          <cell r="Q290" t="str">
            <v>NGHI.0143</v>
          </cell>
          <cell r="R290" t="str">
            <v>OOG Modern. G PP 2025</v>
          </cell>
          <cell r="S290">
            <v>50000</v>
          </cell>
          <cell r="T290">
            <v>0</v>
          </cell>
          <cell r="U290">
            <v>0</v>
          </cell>
          <cell r="V290">
            <v>0</v>
          </cell>
          <cell r="W290">
            <v>0</v>
          </cell>
          <cell r="X290">
            <v>0</v>
          </cell>
          <cell r="Y290">
            <v>0</v>
          </cell>
          <cell r="Z290">
            <v>0</v>
          </cell>
          <cell r="AA290">
            <v>0</v>
          </cell>
          <cell r="AB290">
            <v>0</v>
          </cell>
          <cell r="AC290">
            <v>0</v>
          </cell>
          <cell r="AD290">
            <v>0</v>
          </cell>
          <cell r="AE290">
            <v>50000</v>
          </cell>
          <cell r="AF290"/>
          <cell r="AG290"/>
          <cell r="AH290"/>
          <cell r="AI290"/>
          <cell r="AJ290">
            <v>50000</v>
          </cell>
          <cell r="AK290">
            <v>0</v>
          </cell>
          <cell r="AL290">
            <v>0</v>
          </cell>
          <cell r="AM290">
            <v>0</v>
          </cell>
          <cell r="AN290">
            <v>0</v>
          </cell>
          <cell r="AO290">
            <v>0</v>
          </cell>
          <cell r="AP290">
            <v>50000</v>
          </cell>
          <cell r="AQ290" t="str">
            <v>Rondônia</v>
          </cell>
          <cell r="AT290">
            <v>0</v>
          </cell>
        </row>
        <row r="291">
          <cell r="B291" t="str">
            <v>COO0755</v>
          </cell>
          <cell r="C291" t="str">
            <v>OOGCU.N</v>
          </cell>
          <cell r="D291" t="str">
            <v>OOGR.S-S-2025-I-0190</v>
          </cell>
          <cell r="E291" t="str">
            <v>N-2025-G-0047</v>
          </cell>
          <cell r="F291" t="str">
            <v>N-2025-G-097</v>
          </cell>
          <cell r="G291" t="str">
            <v>Eletronorte</v>
          </cell>
          <cell r="H291" t="str">
            <v>Nova Demanda</v>
          </cell>
          <cell r="I291" t="str">
            <v>Aquisição de sistema de filtragem de óleo do geradores diesel da UHE Samuel</v>
          </cell>
          <cell r="J291" t="str">
            <v>Unidade Fixa de Filtragem de óleo Diesel dos GDEs da UHE Samuel</v>
          </cell>
          <cell r="K291" t="str">
            <v>Unidade Fixa de Filtragem de óleo Diesel dos GDEs da UHE Samuel</v>
          </cell>
          <cell r="L291" t="str">
            <v>NO10104003</v>
          </cell>
          <cell r="M291" t="str">
            <v>UHE Samuel</v>
          </cell>
          <cell r="N291" t="str">
            <v>Geração</v>
          </cell>
          <cell r="O291" t="str">
            <v>Modernização de pequeno porte</v>
          </cell>
          <cell r="P291" t="str">
            <v>Modernização de pequeno porte</v>
          </cell>
          <cell r="Q291" t="str">
            <v>NGHI.0143</v>
          </cell>
          <cell r="R291" t="str">
            <v>OOG Modern. G PP 2025</v>
          </cell>
          <cell r="S291">
            <v>200000</v>
          </cell>
          <cell r="T291">
            <v>0</v>
          </cell>
          <cell r="U291">
            <v>0</v>
          </cell>
          <cell r="V291">
            <v>0</v>
          </cell>
          <cell r="W291">
            <v>0</v>
          </cell>
          <cell r="X291">
            <v>0</v>
          </cell>
          <cell r="Y291">
            <v>0</v>
          </cell>
          <cell r="Z291">
            <v>0</v>
          </cell>
          <cell r="AA291">
            <v>0</v>
          </cell>
          <cell r="AB291">
            <v>0</v>
          </cell>
          <cell r="AC291">
            <v>0</v>
          </cell>
          <cell r="AD291">
            <v>0</v>
          </cell>
          <cell r="AE291">
            <v>200000</v>
          </cell>
          <cell r="AF291"/>
          <cell r="AG291"/>
          <cell r="AH291"/>
          <cell r="AI291"/>
          <cell r="AJ291">
            <v>200000</v>
          </cell>
          <cell r="AK291">
            <v>0</v>
          </cell>
          <cell r="AL291">
            <v>0</v>
          </cell>
          <cell r="AM291">
            <v>0</v>
          </cell>
          <cell r="AN291">
            <v>0</v>
          </cell>
          <cell r="AO291">
            <v>0</v>
          </cell>
          <cell r="AP291">
            <v>200000</v>
          </cell>
          <cell r="AQ291" t="str">
            <v>Rondônia</v>
          </cell>
          <cell r="AS291" t="str">
            <v>x</v>
          </cell>
          <cell r="AT291">
            <v>0</v>
          </cell>
        </row>
        <row r="292">
          <cell r="B292" t="str">
            <v>COO0756</v>
          </cell>
          <cell r="C292" t="str">
            <v>OOGSA.N</v>
          </cell>
          <cell r="D292" t="str">
            <v>OOPP.C-C-2025-I-0020</v>
          </cell>
          <cell r="E292" t="str">
            <v>N-2025-G-0159</v>
          </cell>
          <cell r="F292" t="str">
            <v>N-2025-G-141</v>
          </cell>
          <cell r="G292" t="str">
            <v>Eletronorte</v>
          </cell>
          <cell r="H292" t="str">
            <v>Nova Demanda</v>
          </cell>
          <cell r="I292" t="str">
            <v>Modernização do sistema de controle das caldeiras de recuperação da UTE Mauá 3</v>
          </cell>
          <cell r="J292" t="str">
            <v>Válvulas de bloqueio/controle das caldeiras de recuperação</v>
          </cell>
          <cell r="K292" t="str">
            <v>Válvulas de bloqueio/controle das caldeiras de recuperação</v>
          </cell>
          <cell r="L292" t="str">
            <v>NO10606003</v>
          </cell>
          <cell r="M292" t="str">
            <v>UTE Mauá 3</v>
          </cell>
          <cell r="N292" t="str">
            <v>Geração</v>
          </cell>
          <cell r="O292" t="str">
            <v>Modernização de pequeno porte</v>
          </cell>
          <cell r="P292" t="str">
            <v>Modernização de pequeno porte</v>
          </cell>
          <cell r="Q292" t="str">
            <v>NGTE.0030</v>
          </cell>
          <cell r="R292" t="str">
            <v>Mordernização Térmicas 2025</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cell r="AG292"/>
          <cell r="AH292"/>
          <cell r="AI292"/>
          <cell r="AJ292">
            <v>0</v>
          </cell>
          <cell r="AK292">
            <v>0</v>
          </cell>
          <cell r="AL292">
            <v>0</v>
          </cell>
          <cell r="AM292">
            <v>0</v>
          </cell>
          <cell r="AN292">
            <v>0</v>
          </cell>
          <cell r="AO292">
            <v>0</v>
          </cell>
          <cell r="AP292">
            <v>0</v>
          </cell>
          <cell r="AQ292" t="str">
            <v>Desinvestimento</v>
          </cell>
          <cell r="AS292" t="str">
            <v>x</v>
          </cell>
          <cell r="AT292">
            <v>0</v>
          </cell>
        </row>
        <row r="293">
          <cell r="B293" t="str">
            <v>COO0757</v>
          </cell>
          <cell r="C293" t="str">
            <v>OOEU.N</v>
          </cell>
          <cell r="D293" t="str">
            <v>OOMS.S-S-2025-I-0023</v>
          </cell>
          <cell r="E293" t="str">
            <v>N-2025-G-0160</v>
          </cell>
          <cell r="F293" t="str">
            <v>N-2025-G-150</v>
          </cell>
          <cell r="G293" t="str">
            <v>Eletronorte</v>
          </cell>
          <cell r="H293" t="str">
            <v>Contratado</v>
          </cell>
          <cell r="I293" t="str">
            <v>Modernização do sistema de vapor da caldeira e válvulas de gás das turbinas da UTE Mauá 3</v>
          </cell>
          <cell r="J293" t="str">
            <v>Válvulas do sistema de vapor da caldeira e válvulas de gás das TGs</v>
          </cell>
          <cell r="K293" t="str">
            <v>Válvulas do sistema de vapor da caldeira e válvulas de gás das TGs</v>
          </cell>
          <cell r="L293" t="str">
            <v>NO10606003</v>
          </cell>
          <cell r="M293" t="str">
            <v>UTE Mauá 3</v>
          </cell>
          <cell r="N293" t="str">
            <v>Geração</v>
          </cell>
          <cell r="O293" t="str">
            <v>Modernização de pequeno porte</v>
          </cell>
          <cell r="P293" t="str">
            <v>Modernização de pequeno porte</v>
          </cell>
          <cell r="Q293" t="str">
            <v>NGTE.0015</v>
          </cell>
          <cell r="R293" t="str">
            <v>FORNECIMENTO VÁLVULAS DE CONTROLE</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cell r="AG293"/>
          <cell r="AH293"/>
          <cell r="AI293"/>
          <cell r="AJ293">
            <v>0</v>
          </cell>
          <cell r="AK293">
            <v>0</v>
          </cell>
          <cell r="AL293">
            <v>0</v>
          </cell>
          <cell r="AM293">
            <v>0</v>
          </cell>
          <cell r="AN293">
            <v>0</v>
          </cell>
          <cell r="AO293">
            <v>0</v>
          </cell>
          <cell r="AP293">
            <v>0</v>
          </cell>
          <cell r="AQ293" t="str">
            <v>Desinvestimento</v>
          </cell>
          <cell r="AS293" t="str">
            <v>x</v>
          </cell>
          <cell r="AT293">
            <v>0</v>
          </cell>
        </row>
        <row r="294">
          <cell r="B294" t="str">
            <v>COO1316</v>
          </cell>
          <cell r="C294" t="str">
            <v>OOMG.S</v>
          </cell>
          <cell r="D294" t="str">
            <v>OOGN.S-S-2025-I-0151</v>
          </cell>
          <cell r="E294" t="str">
            <v>S-2025-G-0002</v>
          </cell>
          <cell r="F294" t="str">
            <v>S-2024-G-076</v>
          </cell>
          <cell r="G294" t="str">
            <v>Eletrosul</v>
          </cell>
          <cell r="H294" t="str">
            <v>Contratado</v>
          </cell>
          <cell r="I294" t="str">
            <v>Modernização do sistema de resfriamento dos geradores da UHE São Domingos</v>
          </cell>
          <cell r="J294" t="str">
            <v>Contrato 4500078099 - Os radiadores têm apresentado recorrentes vazamentos e gerando riscos para integridade dos geradores.</v>
          </cell>
          <cell r="K294" t="str">
            <v>Contrato 4500078099 - Os radiadores têm apresentado recorrentes vazamentos e gerando riscos para integridade dos geradores.</v>
          </cell>
          <cell r="L294" t="str">
            <v>SO10103003</v>
          </cell>
          <cell r="M294" t="str">
            <v>UHE São Domingos</v>
          </cell>
          <cell r="N294" t="str">
            <v>Geração</v>
          </cell>
          <cell r="O294" t="str">
            <v>Modernização de pequeno porte</v>
          </cell>
          <cell r="P294" t="str">
            <v>Modernização de pequeno porte</v>
          </cell>
          <cell r="Q294" t="str">
            <v>SGHI.0001</v>
          </cell>
          <cell r="R294" t="str">
            <v>Manutenção da Geração Hidráulica</v>
          </cell>
          <cell r="S294">
            <v>0</v>
          </cell>
          <cell r="T294">
            <v>0</v>
          </cell>
          <cell r="U294">
            <v>4200</v>
          </cell>
          <cell r="V294">
            <v>4200</v>
          </cell>
          <cell r="W294">
            <v>4200</v>
          </cell>
          <cell r="X294">
            <v>12000</v>
          </cell>
          <cell r="Y294">
            <v>315630</v>
          </cell>
          <cell r="Z294"/>
          <cell r="AA294">
            <v>0</v>
          </cell>
          <cell r="AB294">
            <v>0</v>
          </cell>
          <cell r="AC294">
            <v>0</v>
          </cell>
          <cell r="AD294">
            <v>0</v>
          </cell>
          <cell r="AE294">
            <v>340230</v>
          </cell>
          <cell r="AF294"/>
          <cell r="AG294"/>
          <cell r="AH294"/>
          <cell r="AI294" t="str">
            <v xml:space="preserve">                              </v>
          </cell>
          <cell r="AJ294">
            <v>340230</v>
          </cell>
          <cell r="AK294">
            <v>0</v>
          </cell>
          <cell r="AL294">
            <v>0</v>
          </cell>
          <cell r="AM294">
            <v>0</v>
          </cell>
          <cell r="AN294">
            <v>0</v>
          </cell>
          <cell r="AO294">
            <v>0</v>
          </cell>
          <cell r="AP294">
            <v>340230</v>
          </cell>
          <cell r="AQ294" t="str">
            <v>Mato Grosso do Sul</v>
          </cell>
          <cell r="AT294">
            <v>0</v>
          </cell>
        </row>
        <row r="295">
          <cell r="B295" t="str">
            <v>COO1317</v>
          </cell>
          <cell r="C295" t="str">
            <v>OOMG.S</v>
          </cell>
          <cell r="D295" t="str">
            <v>OOGS.S-S-2025-I-0206</v>
          </cell>
          <cell r="E295" t="str">
            <v>S-2025-G-0020</v>
          </cell>
          <cell r="F295" t="str">
            <v>S-2024-G-070</v>
          </cell>
          <cell r="G295" t="str">
            <v>Eletrosul</v>
          </cell>
          <cell r="H295" t="str">
            <v>Nova Demanda</v>
          </cell>
          <cell r="I295" t="str">
            <v>Modernização de 10 inversores da UFV Megawatt Solar</v>
          </cell>
          <cell r="J295" t="str">
            <v>Contrato 4500079144 - Os inversores atuais foram descontinuados não possuem mais peça sobressalente e é necessário troca de alguns inversores.</v>
          </cell>
          <cell r="K295" t="str">
            <v>Contrato 4500079144 - Os inversores atuais foram descontinuados não possuem mais peça sobressalente e é necessário troca de alguns inversores.</v>
          </cell>
          <cell r="L295" t="str">
            <v>SO10401003</v>
          </cell>
          <cell r="M295" t="str">
            <v>UFV Megawatt Solar</v>
          </cell>
          <cell r="N295" t="str">
            <v>Geração</v>
          </cell>
          <cell r="O295" t="str">
            <v>Modernização de pequeno porte</v>
          </cell>
          <cell r="P295" t="str">
            <v>Modernização de pequeno porte</v>
          </cell>
          <cell r="Q295" t="str">
            <v>SGSO.0002</v>
          </cell>
          <cell r="R295" t="str">
            <v>Manutenção da Geração Solar</v>
          </cell>
          <cell r="S295">
            <v>0</v>
          </cell>
          <cell r="T295">
            <v>0</v>
          </cell>
          <cell r="U295">
            <v>8400</v>
          </cell>
          <cell r="V295">
            <v>160000</v>
          </cell>
          <cell r="W295">
            <v>0</v>
          </cell>
          <cell r="X295">
            <v>0</v>
          </cell>
          <cell r="Y295">
            <v>0</v>
          </cell>
          <cell r="Z295">
            <v>0</v>
          </cell>
          <cell r="AA295">
            <v>0</v>
          </cell>
          <cell r="AB295">
            <v>0</v>
          </cell>
          <cell r="AC295">
            <v>0</v>
          </cell>
          <cell r="AD295">
            <v>0</v>
          </cell>
          <cell r="AE295">
            <v>168400</v>
          </cell>
          <cell r="AF295"/>
          <cell r="AG295"/>
          <cell r="AH295"/>
          <cell r="AI295" t="str">
            <v xml:space="preserve">                              </v>
          </cell>
          <cell r="AJ295">
            <v>168400</v>
          </cell>
          <cell r="AK295">
            <v>0</v>
          </cell>
          <cell r="AL295">
            <v>0</v>
          </cell>
          <cell r="AM295">
            <v>0</v>
          </cell>
          <cell r="AN295">
            <v>0</v>
          </cell>
          <cell r="AO295">
            <v>0</v>
          </cell>
          <cell r="AP295">
            <v>168400</v>
          </cell>
          <cell r="AQ295" t="str">
            <v>Santa Catarina</v>
          </cell>
          <cell r="AT295">
            <v>0</v>
          </cell>
        </row>
        <row r="296">
          <cell r="B296" t="str">
            <v>COO1318</v>
          </cell>
          <cell r="C296" t="str">
            <v>OOMG.S</v>
          </cell>
          <cell r="D296" t="str">
            <v>OOGS.S-S-2025-I-0232</v>
          </cell>
          <cell r="E296" t="str">
            <v>S-2025-G-0031</v>
          </cell>
          <cell r="F296" t="str">
            <v>S-2024-G-075</v>
          </cell>
          <cell r="G296" t="str">
            <v>Eletrosul</v>
          </cell>
          <cell r="H296" t="str">
            <v>Contratado</v>
          </cell>
          <cell r="I296" t="str">
            <v>Modernização do sistema de monitoramento e vibração da UFV Megawatt Solar</v>
          </cell>
          <cell r="J296" t="str">
            <v>Contrato 4500079338 - Melhorar a confiabilidade do sistema de controle e proteção do MWsolar. Baterias atuais no final da vida útil.</v>
          </cell>
          <cell r="K296" t="str">
            <v>Contrato 4500079338 - Melhorar a confiabilidade do sistema de controle e proteção do MWsolar. Baterias atuais no final da vida útil.</v>
          </cell>
          <cell r="L296" t="str">
            <v>SO10401003</v>
          </cell>
          <cell r="M296" t="str">
            <v>UFV Megawatt Solar</v>
          </cell>
          <cell r="N296" t="str">
            <v>Geração</v>
          </cell>
          <cell r="O296" t="str">
            <v>Modernização de pequeno porte</v>
          </cell>
          <cell r="P296" t="str">
            <v>Modernização de pequeno porte</v>
          </cell>
          <cell r="Q296" t="str">
            <v>SGSO.0002</v>
          </cell>
          <cell r="R296" t="str">
            <v>Manutenção da Geração Solar</v>
          </cell>
          <cell r="S296">
            <v>106400</v>
          </cell>
          <cell r="T296">
            <v>0</v>
          </cell>
          <cell r="U296">
            <v>0</v>
          </cell>
          <cell r="V296">
            <v>0</v>
          </cell>
          <cell r="W296">
            <v>0</v>
          </cell>
          <cell r="X296">
            <v>0</v>
          </cell>
          <cell r="Y296">
            <v>0</v>
          </cell>
          <cell r="Z296">
            <v>0</v>
          </cell>
          <cell r="AA296">
            <v>0</v>
          </cell>
          <cell r="AB296">
            <v>0</v>
          </cell>
          <cell r="AC296">
            <v>0</v>
          </cell>
          <cell r="AD296">
            <v>0</v>
          </cell>
          <cell r="AE296">
            <v>106400</v>
          </cell>
          <cell r="AF296"/>
          <cell r="AG296"/>
          <cell r="AH296"/>
          <cell r="AI296" t="str">
            <v xml:space="preserve">                              </v>
          </cell>
          <cell r="AJ296">
            <v>106400</v>
          </cell>
          <cell r="AK296">
            <v>0</v>
          </cell>
          <cell r="AL296">
            <v>0</v>
          </cell>
          <cell r="AM296">
            <v>0</v>
          </cell>
          <cell r="AN296">
            <v>0</v>
          </cell>
          <cell r="AO296">
            <v>0</v>
          </cell>
          <cell r="AP296">
            <v>106400</v>
          </cell>
          <cell r="AQ296" t="str">
            <v>Santa Catarina</v>
          </cell>
          <cell r="AR296" t="str">
            <v>[não vai para as abas de projeto e subprojeto] Não será executado. Não existem monitoramento de vibração para uma planta fotovoltaica. Em algum momento houve um erro de este erro vem se propagando através da diversas versões de planilhas.</v>
          </cell>
          <cell r="AS296" t="str">
            <v>x</v>
          </cell>
          <cell r="AT296">
            <v>0</v>
          </cell>
        </row>
        <row r="297">
          <cell r="B297" t="str">
            <v>COO1319</v>
          </cell>
          <cell r="C297" t="str">
            <v>OOMG.S</v>
          </cell>
          <cell r="D297" t="str">
            <v>OOXT-H-2025-I-0001</v>
          </cell>
          <cell r="E297" t="str">
            <v>S-2025-G-0003</v>
          </cell>
          <cell r="F297" t="str">
            <v>S-2024-G-059</v>
          </cell>
          <cell r="G297" t="str">
            <v>Eletrosul</v>
          </cell>
          <cell r="H297" t="str">
            <v>Contratado</v>
          </cell>
          <cell r="I297" t="str">
            <v>Implantação de Central de Monitoramento de Equipamentos da UHE Passo São João</v>
          </cell>
          <cell r="J297" t="str">
            <v>Contrato 4500079578 - Tem como objetivo montar o centro de monitoramento de ativos, permitindo uma melhor avaliação da saúde dos ativos da geração.</v>
          </cell>
          <cell r="K297" t="str">
            <v>Contrato 4500079578 - Tem como objetivo montar o centro de monitoramento de ativos, permitindo uma melhor avaliação da saúde dos ativos da geração.</v>
          </cell>
          <cell r="L297" t="str">
            <v>SO10102003</v>
          </cell>
          <cell r="M297" t="str">
            <v>UHE Passo São João</v>
          </cell>
          <cell r="N297" t="str">
            <v>Geração</v>
          </cell>
          <cell r="O297" t="str">
            <v>Modernização de pequeno porte</v>
          </cell>
          <cell r="P297" t="str">
            <v>Modernização de pequeno porte</v>
          </cell>
          <cell r="Q297" t="str">
            <v>SGHI.0001</v>
          </cell>
          <cell r="R297" t="str">
            <v>Manutenção da Geração Hidráulica</v>
          </cell>
          <cell r="S297">
            <v>0</v>
          </cell>
          <cell r="T297">
            <v>0</v>
          </cell>
          <cell r="U297">
            <v>0</v>
          </cell>
          <cell r="V297">
            <v>0</v>
          </cell>
          <cell r="W297">
            <v>0</v>
          </cell>
          <cell r="X297">
            <v>0</v>
          </cell>
          <cell r="Y297">
            <v>0</v>
          </cell>
          <cell r="Z297">
            <v>8400</v>
          </cell>
          <cell r="AA297">
            <v>12600</v>
          </cell>
          <cell r="AB297">
            <v>0</v>
          </cell>
          <cell r="AC297">
            <v>0</v>
          </cell>
          <cell r="AD297">
            <v>0</v>
          </cell>
          <cell r="AE297">
            <v>21000</v>
          </cell>
          <cell r="AF297"/>
          <cell r="AG297"/>
          <cell r="AH297"/>
          <cell r="AI297" t="str">
            <v xml:space="preserve">                              </v>
          </cell>
          <cell r="AJ297">
            <v>21000</v>
          </cell>
          <cell r="AK297">
            <v>0</v>
          </cell>
          <cell r="AL297">
            <v>0</v>
          </cell>
          <cell r="AM297">
            <v>0</v>
          </cell>
          <cell r="AN297">
            <v>0</v>
          </cell>
          <cell r="AO297">
            <v>0</v>
          </cell>
          <cell r="AP297">
            <v>21000</v>
          </cell>
          <cell r="AQ297" t="str">
            <v>Rio Grande do Sul</v>
          </cell>
          <cell r="AT297">
            <v>0</v>
          </cell>
        </row>
        <row r="298">
          <cell r="B298" t="str">
            <v>COO1320</v>
          </cell>
          <cell r="C298" t="str">
            <v>OOMG.S</v>
          </cell>
          <cell r="D298" t="str">
            <v>OOGR.S-S-2025-I-0269</v>
          </cell>
          <cell r="E298" t="str">
            <v>S-2025-G-0015</v>
          </cell>
          <cell r="F298" t="str">
            <v>S-2024-G-074</v>
          </cell>
          <cell r="G298" t="str">
            <v>Eletrosul</v>
          </cell>
          <cell r="H298" t="str">
            <v>Contratado</v>
          </cell>
          <cell r="I298" t="str">
            <v>Modernização do sistema de monitoramento e vibração da UHE São Domingos</v>
          </cell>
          <cell r="J298" t="str">
            <v>Contrato 4500079740 - Troca de hardware, atualização tecnológica e fornecimento de sobressalentes</v>
          </cell>
          <cell r="K298" t="str">
            <v>Contrato 4500079740 - Troca de hardware, atualização tecnológica e fornecimento de sobressalentes</v>
          </cell>
          <cell r="L298" t="str">
            <v>SO10103003</v>
          </cell>
          <cell r="M298" t="str">
            <v>UHE São Domingos</v>
          </cell>
          <cell r="N298" t="str">
            <v>Geração</v>
          </cell>
          <cell r="O298" t="str">
            <v>Modernização de pequeno porte</v>
          </cell>
          <cell r="P298" t="str">
            <v>Modernização de pequeno porte</v>
          </cell>
          <cell r="Q298" t="str">
            <v>SGHI.0001</v>
          </cell>
          <cell r="R298" t="str">
            <v>Manutenção da Geração Hidráulica</v>
          </cell>
          <cell r="S298">
            <v>20400</v>
          </cell>
          <cell r="T298">
            <v>68050</v>
          </cell>
          <cell r="U298">
            <v>0</v>
          </cell>
          <cell r="V298">
            <v>0</v>
          </cell>
          <cell r="W298">
            <v>0</v>
          </cell>
          <cell r="X298">
            <v>0</v>
          </cell>
          <cell r="Y298">
            <v>0</v>
          </cell>
          <cell r="Z298">
            <v>0</v>
          </cell>
          <cell r="AA298">
            <v>0</v>
          </cell>
          <cell r="AB298">
            <v>0</v>
          </cell>
          <cell r="AC298">
            <v>0</v>
          </cell>
          <cell r="AD298">
            <v>0</v>
          </cell>
          <cell r="AE298">
            <v>88450</v>
          </cell>
          <cell r="AF298"/>
          <cell r="AG298"/>
          <cell r="AH298"/>
          <cell r="AI298" t="str">
            <v xml:space="preserve">                              </v>
          </cell>
          <cell r="AJ298">
            <v>88450</v>
          </cell>
          <cell r="AK298">
            <v>0</v>
          </cell>
          <cell r="AL298">
            <v>0</v>
          </cell>
          <cell r="AM298">
            <v>0</v>
          </cell>
          <cell r="AN298">
            <v>0</v>
          </cell>
          <cell r="AO298">
            <v>0</v>
          </cell>
          <cell r="AP298">
            <v>88450</v>
          </cell>
          <cell r="AQ298" t="str">
            <v>Mato Grosso do Sul</v>
          </cell>
          <cell r="AT298">
            <v>0</v>
          </cell>
        </row>
        <row r="299">
          <cell r="B299" t="str">
            <v>COO1321</v>
          </cell>
          <cell r="C299" t="str">
            <v>OOMG.S</v>
          </cell>
          <cell r="D299" t="str">
            <v>OOMS.S-S-2025-I-0013</v>
          </cell>
          <cell r="E299" t="str">
            <v>S-2025-G-0004</v>
          </cell>
          <cell r="F299" t="str">
            <v>S-2024-G-058</v>
          </cell>
          <cell r="G299" t="str">
            <v>Eletrosul</v>
          </cell>
          <cell r="H299" t="str">
            <v>Contratado</v>
          </cell>
          <cell r="I299" t="str">
            <v>Aquisição de pá sobressalente para aerogerador Weg4.2 da EOL Coxilha Negra</v>
          </cell>
          <cell r="J299" t="str">
            <v>Contrato 4500079894 - Possuir uma pá sobressalente, pois tem-se registrado nos parques eólicos da CGT Eletrosul sinistros de pás por descargas atmosféricas.  Se uma pá idêntica não estiver disponível no mercado no momento da substituição, será necessário aguardar a fabricação de uma nova unidade, o que pode causar atrasos significativos no retorno do aerogerador à operação</v>
          </cell>
          <cell r="K299" t="str">
            <v>Contrato 4500079894 - Possuir uma pá sobressalente, pois tem-se registrado nos parques eólicos da CGT Eletrosul sinistros de pás por descargas atmosféricas.  Se uma pá idêntica não estiver disponível no mercado no momento da substituição, será necessário aguardar a fabricação de uma nova unidade, o que pode causar atrasos significativos no retorno do aerogerador à operação</v>
          </cell>
          <cell r="L299" t="str">
            <v>SO10508003</v>
          </cell>
          <cell r="M299" t="str">
            <v>EOL Coxilha Negra</v>
          </cell>
          <cell r="N299" t="str">
            <v>Geração</v>
          </cell>
          <cell r="O299" t="str">
            <v>Modernização de pequeno porte</v>
          </cell>
          <cell r="P299" t="str">
            <v>Modernização de pequeno porte</v>
          </cell>
          <cell r="Q299" t="str">
            <v>SGEO.0001</v>
          </cell>
          <cell r="R299" t="str">
            <v>Manutenção da Geração Eólica</v>
          </cell>
          <cell r="S299">
            <v>0</v>
          </cell>
          <cell r="T299">
            <v>0</v>
          </cell>
          <cell r="U299">
            <v>0</v>
          </cell>
          <cell r="V299">
            <v>2700000</v>
          </cell>
          <cell r="W299">
            <v>0</v>
          </cell>
          <cell r="X299">
            <v>0</v>
          </cell>
          <cell r="Y299">
            <v>0</v>
          </cell>
          <cell r="Z299">
            <v>0</v>
          </cell>
          <cell r="AA299">
            <v>0</v>
          </cell>
          <cell r="AB299">
            <v>0</v>
          </cell>
          <cell r="AC299">
            <v>0</v>
          </cell>
          <cell r="AD299">
            <v>0</v>
          </cell>
          <cell r="AE299">
            <v>2700000</v>
          </cell>
          <cell r="AF299"/>
          <cell r="AG299"/>
          <cell r="AH299"/>
          <cell r="AI299" t="str">
            <v xml:space="preserve">                              </v>
          </cell>
          <cell r="AJ299">
            <v>2700000</v>
          </cell>
          <cell r="AK299">
            <v>0</v>
          </cell>
          <cell r="AL299">
            <v>0</v>
          </cell>
          <cell r="AM299">
            <v>0</v>
          </cell>
          <cell r="AN299">
            <v>0</v>
          </cell>
          <cell r="AO299">
            <v>0</v>
          </cell>
          <cell r="AP299">
            <v>2700000</v>
          </cell>
          <cell r="AQ299" t="str">
            <v>Rio Grande do Sul</v>
          </cell>
          <cell r="AR299" t="str">
            <v>[não vai para as abas de projeto e subprojeto]  Concluído</v>
          </cell>
          <cell r="AS299" t="str">
            <v>x</v>
          </cell>
          <cell r="AT299">
            <v>0</v>
          </cell>
        </row>
        <row r="300">
          <cell r="B300" t="str">
            <v>COO1322</v>
          </cell>
          <cell r="C300" t="str">
            <v>OOMG.S</v>
          </cell>
          <cell r="D300" t="str">
            <v>OOGSI.F-OS-2025-I-0014</v>
          </cell>
          <cell r="E300" t="str">
            <v>S-2025-G-0016</v>
          </cell>
          <cell r="F300" t="str">
            <v>S-2024-G-071</v>
          </cell>
          <cell r="G300" t="str">
            <v>Eletrosul</v>
          </cell>
          <cell r="H300" t="str">
            <v>Nova Demanda</v>
          </cell>
          <cell r="I300" t="str">
            <v>Modernização do regulador de tensão e velocidade da UHE Passo São João</v>
          </cell>
          <cell r="J300" t="str">
            <v>Não contratado - Em elaboração de TR e Especificação Técnica. Sistema atual sem componentes sobressalentes. Componentes sem fornecimento no mercado. Necessidade de modernizar e implantar uma nova plataforma. Substituição da parte de controle do RT, RV e PUH.</v>
          </cell>
          <cell r="K300" t="str">
            <v>Não contratado - Em elaboração de TR e Especificação Técnica. Sistema atual sem componentes sobressalentes. Componentes sem fornecimento no mercado. Necessidade de modernizar e implantar uma nova plataforma. Substituição da parte de controle do RT, RV e PUH.</v>
          </cell>
          <cell r="L300" t="str">
            <v>SO10102003</v>
          </cell>
          <cell r="M300" t="str">
            <v>UHE Passo São João</v>
          </cell>
          <cell r="N300" t="str">
            <v>Geração</v>
          </cell>
          <cell r="O300" t="str">
            <v>Modernização de pequeno porte</v>
          </cell>
          <cell r="P300" t="str">
            <v>Modernização de pequeno porte</v>
          </cell>
          <cell r="Q300" t="str">
            <v>SGHI.0006</v>
          </cell>
          <cell r="R300" t="str">
            <v>Modernização da Geração Hidrelétrica</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1145400</v>
          </cell>
          <cell r="AG300">
            <v>1125000</v>
          </cell>
          <cell r="AH300"/>
          <cell r="AI300" t="str">
            <v xml:space="preserve">                              </v>
          </cell>
          <cell r="AJ300">
            <v>2270400</v>
          </cell>
          <cell r="AK300">
            <v>0</v>
          </cell>
          <cell r="AL300">
            <v>0</v>
          </cell>
          <cell r="AM300">
            <v>0</v>
          </cell>
          <cell r="AN300">
            <v>0</v>
          </cell>
          <cell r="AO300">
            <v>0</v>
          </cell>
          <cell r="AP300">
            <v>2270400</v>
          </cell>
          <cell r="AQ300" t="str">
            <v>Rio Grande do Sul</v>
          </cell>
          <cell r="AT300">
            <v>2270400</v>
          </cell>
        </row>
        <row r="301">
          <cell r="B301" t="str">
            <v>COO1323</v>
          </cell>
          <cell r="C301" t="str">
            <v>OOMG.S</v>
          </cell>
          <cell r="D301" t="str">
            <v>OOPM.S-S-2025-I-0057</v>
          </cell>
          <cell r="E301" t="str">
            <v>S-2025-G-0017</v>
          </cell>
          <cell r="F301" t="str">
            <v>S-2024-G-072</v>
          </cell>
          <cell r="G301" t="str">
            <v>Eletrosul</v>
          </cell>
          <cell r="H301" t="str">
            <v>Nova Demanda</v>
          </cell>
          <cell r="I301" t="str">
            <v>Modernização do regulador de tensão e velocidade da UHE São Domingos</v>
          </cell>
          <cell r="J301" t="str">
            <v>Não contratado - Em elaboração de TR e Especificação Técnica. Sistema atual sem componentes sobressalentes. Componentes sem fornecimento no mercado. Necessidade de modernizar e implantar uma nova plataforma. Substituição da parte de controle do RT, RV e PUH.</v>
          </cell>
          <cell r="K301" t="str">
            <v>Não contratado - Em elaboração de TR e Especificação Técnica. Sistema atual sem componentes sobressalentes. Componentes sem fornecimento no mercado. Necessidade de modernizar e implantar uma nova plataforma. Substituição da parte de controle do RT, RV e PUH.</v>
          </cell>
          <cell r="L301" t="str">
            <v>SO10103003</v>
          </cell>
          <cell r="M301" t="str">
            <v>UHE São Domingos</v>
          </cell>
          <cell r="N301" t="str">
            <v>Geração</v>
          </cell>
          <cell r="O301" t="str">
            <v>Modernização de pequeno porte</v>
          </cell>
          <cell r="P301" t="str">
            <v>Modernização de pequeno porte</v>
          </cell>
          <cell r="Q301" t="str">
            <v>SGHI.0006</v>
          </cell>
          <cell r="R301" t="str">
            <v>Modernização da Geração Hidrelétrica</v>
          </cell>
          <cell r="S301">
            <v>0</v>
          </cell>
          <cell r="T301">
            <v>0</v>
          </cell>
          <cell r="U301">
            <v>0</v>
          </cell>
          <cell r="V301">
            <v>0</v>
          </cell>
          <cell r="W301">
            <v>0</v>
          </cell>
          <cell r="X301">
            <v>0</v>
          </cell>
          <cell r="Y301">
            <v>20400</v>
          </cell>
          <cell r="Z301">
            <v>1125000</v>
          </cell>
          <cell r="AA301">
            <v>0</v>
          </cell>
          <cell r="AB301">
            <v>0</v>
          </cell>
          <cell r="AC301">
            <v>0</v>
          </cell>
          <cell r="AD301">
            <v>0</v>
          </cell>
          <cell r="AE301">
            <v>1145400</v>
          </cell>
          <cell r="AF301">
            <v>1125000</v>
          </cell>
          <cell r="AG301"/>
          <cell r="AH301"/>
          <cell r="AI301" t="str">
            <v xml:space="preserve">                              </v>
          </cell>
          <cell r="AJ301">
            <v>2270400</v>
          </cell>
          <cell r="AK301">
            <v>0</v>
          </cell>
          <cell r="AL301">
            <v>0</v>
          </cell>
          <cell r="AM301">
            <v>0</v>
          </cell>
          <cell r="AN301">
            <v>0</v>
          </cell>
          <cell r="AO301">
            <v>0</v>
          </cell>
          <cell r="AP301">
            <v>2270400</v>
          </cell>
          <cell r="AQ301" t="str">
            <v>Mato Grosso do Sul</v>
          </cell>
          <cell r="AT301">
            <v>1125000</v>
          </cell>
        </row>
        <row r="302">
          <cell r="B302" t="str">
            <v>COO1326</v>
          </cell>
          <cell r="C302" t="str">
            <v>OOMG.S</v>
          </cell>
          <cell r="D302" t="str">
            <v>OOMB.C-C-2025-I-0018</v>
          </cell>
          <cell r="E302" t="str">
            <v>S-2025-G-0001</v>
          </cell>
          <cell r="F302" t="str">
            <v>S-2024-G-069</v>
          </cell>
          <cell r="G302" t="str">
            <v>Eletrosul</v>
          </cell>
          <cell r="H302" t="str">
            <v>Contratado</v>
          </cell>
          <cell r="I302" t="str">
            <v>Modernização da turbina Kaplan da UG02 da UHE São Domingos</v>
          </cell>
          <cell r="J302" t="str">
            <v>Contrato 4500074357 - A unidade geradora está com as pás travadas e ocasionando vibrações excessivas na partida, não permite variação de carga e não é possível atingir potência máxima.</v>
          </cell>
          <cell r="K302" t="str">
            <v>Contrato 4500074357 - A unidade geradora está com as pás travadas e ocasionando vibrações excessivas na partida, não permite variação de carga e não é possível atingir potência máxima.</v>
          </cell>
          <cell r="L302" t="str">
            <v>SO10103003</v>
          </cell>
          <cell r="M302" t="str">
            <v>UHE São Domingos</v>
          </cell>
          <cell r="N302" t="str">
            <v>Geração</v>
          </cell>
          <cell r="O302" t="str">
            <v>Modernização de pequeno porte</v>
          </cell>
          <cell r="P302" t="str">
            <v>Modernização de pequeno porte</v>
          </cell>
          <cell r="Q302" t="str">
            <v>SGHI.0003</v>
          </cell>
          <cell r="R302" t="str">
            <v>Fornecimento Rotor Kaplan UG2 UHSD</v>
          </cell>
          <cell r="S302">
            <v>0</v>
          </cell>
          <cell r="T302">
            <v>2604310</v>
          </cell>
          <cell r="U302">
            <v>26838</v>
          </cell>
          <cell r="V302">
            <v>50000</v>
          </cell>
          <cell r="W302">
            <v>94306</v>
          </cell>
          <cell r="X302">
            <v>1098539</v>
          </cell>
          <cell r="Y302">
            <v>421710</v>
          </cell>
          <cell r="Z302">
            <v>7668</v>
          </cell>
          <cell r="AA302">
            <v>344572</v>
          </cell>
          <cell r="AB302">
            <v>115195</v>
          </cell>
          <cell r="AC302">
            <v>23004</v>
          </cell>
          <cell r="AD302">
            <v>1136004</v>
          </cell>
          <cell r="AE302">
            <v>5922146</v>
          </cell>
          <cell r="AF302">
            <v>10354592</v>
          </cell>
          <cell r="AG302">
            <v>1388445</v>
          </cell>
          <cell r="AH302"/>
          <cell r="AI302" t="str">
            <v xml:space="preserve">                              </v>
          </cell>
          <cell r="AJ302">
            <v>17665183</v>
          </cell>
          <cell r="AK302">
            <v>0</v>
          </cell>
          <cell r="AL302">
            <v>0</v>
          </cell>
          <cell r="AM302">
            <v>0</v>
          </cell>
          <cell r="AN302">
            <v>0</v>
          </cell>
          <cell r="AO302">
            <v>0</v>
          </cell>
          <cell r="AP302">
            <v>17665183</v>
          </cell>
          <cell r="AQ302" t="str">
            <v>Mato Grosso do Sul</v>
          </cell>
          <cell r="AT302">
            <v>11743037</v>
          </cell>
        </row>
        <row r="303">
          <cell r="B303" t="str">
            <v>COO1327</v>
          </cell>
          <cell r="C303" t="str">
            <v>OOMG.S</v>
          </cell>
          <cell r="D303" t="str">
            <v>OOGS.S-S-2025-I-0293</v>
          </cell>
          <cell r="E303" t="str">
            <v>S-2025-G-0008</v>
          </cell>
          <cell r="F303" t="str">
            <v>S-2024-G-061</v>
          </cell>
          <cell r="G303" t="str">
            <v>Eletrosul</v>
          </cell>
          <cell r="H303" t="str">
            <v>Contratado</v>
          </cell>
          <cell r="I303" t="str">
            <v>Implantação do sistema de monitoramento online de vibração da EOL Cerro Chato 1</v>
          </cell>
          <cell r="J303"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K303"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L303" t="str">
            <v>SO10501003</v>
          </cell>
          <cell r="M303" t="str">
            <v>EOL Cerro Chato</v>
          </cell>
          <cell r="N303" t="str">
            <v>Geração</v>
          </cell>
          <cell r="O303" t="str">
            <v>Modernização de pequeno porte</v>
          </cell>
          <cell r="P303" t="str">
            <v>Modernização de pequeno porte</v>
          </cell>
          <cell r="Q303" t="str">
            <v>SGEO.0001</v>
          </cell>
          <cell r="R303" t="str">
            <v>Manutenção da Geração Eólica</v>
          </cell>
          <cell r="S303">
            <v>4000</v>
          </cell>
          <cell r="T303">
            <v>4000</v>
          </cell>
          <cell r="U303">
            <v>4000</v>
          </cell>
          <cell r="V303">
            <v>4000</v>
          </cell>
          <cell r="W303">
            <v>4000</v>
          </cell>
          <cell r="X303">
            <v>4000</v>
          </cell>
          <cell r="Y303">
            <v>4000</v>
          </cell>
          <cell r="Z303">
            <v>4000</v>
          </cell>
          <cell r="AA303">
            <v>4000</v>
          </cell>
          <cell r="AB303">
            <v>4000</v>
          </cell>
          <cell r="AC303">
            <v>4000</v>
          </cell>
          <cell r="AD303">
            <v>4000</v>
          </cell>
          <cell r="AE303">
            <v>48000</v>
          </cell>
          <cell r="AF303"/>
          <cell r="AG303"/>
          <cell r="AH303"/>
          <cell r="AI303" t="str">
            <v xml:space="preserve">                              </v>
          </cell>
          <cell r="AJ303">
            <v>48000</v>
          </cell>
          <cell r="AK303">
            <v>0</v>
          </cell>
          <cell r="AL303">
            <v>0</v>
          </cell>
          <cell r="AM303">
            <v>0</v>
          </cell>
          <cell r="AN303">
            <v>0</v>
          </cell>
          <cell r="AO303">
            <v>0</v>
          </cell>
          <cell r="AP303">
            <v>48000</v>
          </cell>
          <cell r="AQ303" t="str">
            <v>Rio Grande do Sul</v>
          </cell>
          <cell r="AT303">
            <v>0</v>
          </cell>
        </row>
        <row r="304">
          <cell r="B304" t="str">
            <v>COO1328</v>
          </cell>
          <cell r="C304" t="str">
            <v>OOMG.S</v>
          </cell>
          <cell r="D304" t="str">
            <v>OOGS.S-S-2025-I-0294</v>
          </cell>
          <cell r="E304" t="str">
            <v>S-2025-G-0009</v>
          </cell>
          <cell r="F304" t="str">
            <v>S-2024-G-062</v>
          </cell>
          <cell r="G304" t="str">
            <v>Eletrosul</v>
          </cell>
          <cell r="H304" t="str">
            <v>Contratado</v>
          </cell>
          <cell r="I304" t="str">
            <v>Implantação do sistema de monitoramento online de vibração da EOL Cerro Chato 2</v>
          </cell>
          <cell r="J304"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K304"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L304" t="str">
            <v>SO10502003</v>
          </cell>
          <cell r="M304" t="str">
            <v>EOL Cerro Chato</v>
          </cell>
          <cell r="N304" t="str">
            <v>Geração</v>
          </cell>
          <cell r="O304" t="str">
            <v>Modernização de pequeno porte</v>
          </cell>
          <cell r="P304" t="str">
            <v>Modernização de pequeno porte</v>
          </cell>
          <cell r="Q304" t="str">
            <v>SGEO.0001</v>
          </cell>
          <cell r="R304" t="str">
            <v>Manutenção da Geração Eólica</v>
          </cell>
          <cell r="S304">
            <v>4000</v>
          </cell>
          <cell r="T304">
            <v>4000</v>
          </cell>
          <cell r="U304">
            <v>4000</v>
          </cell>
          <cell r="V304">
            <v>4000</v>
          </cell>
          <cell r="W304">
            <v>4000</v>
          </cell>
          <cell r="X304">
            <v>4000</v>
          </cell>
          <cell r="Y304">
            <v>4000</v>
          </cell>
          <cell r="Z304">
            <v>4000</v>
          </cell>
          <cell r="AA304">
            <v>4000</v>
          </cell>
          <cell r="AB304">
            <v>4000</v>
          </cell>
          <cell r="AC304">
            <v>4000</v>
          </cell>
          <cell r="AD304">
            <v>4000</v>
          </cell>
          <cell r="AE304">
            <v>48000</v>
          </cell>
          <cell r="AF304"/>
          <cell r="AG304"/>
          <cell r="AH304"/>
          <cell r="AI304" t="str">
            <v xml:space="preserve">                              </v>
          </cell>
          <cell r="AJ304">
            <v>48000</v>
          </cell>
          <cell r="AK304">
            <v>0</v>
          </cell>
          <cell r="AL304">
            <v>0</v>
          </cell>
          <cell r="AM304">
            <v>0</v>
          </cell>
          <cell r="AN304">
            <v>0</v>
          </cell>
          <cell r="AO304">
            <v>0</v>
          </cell>
          <cell r="AP304">
            <v>48000</v>
          </cell>
          <cell r="AQ304" t="str">
            <v>Rio Grande do Sul</v>
          </cell>
          <cell r="AT304">
            <v>0</v>
          </cell>
        </row>
        <row r="305">
          <cell r="B305" t="str">
            <v>COO1329</v>
          </cell>
          <cell r="C305" t="str">
            <v>OOMG.S</v>
          </cell>
          <cell r="D305" t="str">
            <v>OOGS.S-S-2025-I-0295</v>
          </cell>
          <cell r="E305" t="str">
            <v>S-2025-G-0010</v>
          </cell>
          <cell r="F305" t="str">
            <v>S-2024-G-063</v>
          </cell>
          <cell r="G305" t="str">
            <v>Eletrosul</v>
          </cell>
          <cell r="H305" t="str">
            <v>Contratado</v>
          </cell>
          <cell r="I305" t="str">
            <v>Implantação do sistema de monitoramento online de vibração da EOL Cerro Chato 3</v>
          </cell>
          <cell r="J305"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K305"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L305" t="str">
            <v>SO10503003</v>
          </cell>
          <cell r="M305" t="str">
            <v>EOL Cerro Chato</v>
          </cell>
          <cell r="N305" t="str">
            <v>Geração</v>
          </cell>
          <cell r="O305" t="str">
            <v>Modernização de pequeno porte</v>
          </cell>
          <cell r="P305" t="str">
            <v>Modernização de pequeno porte</v>
          </cell>
          <cell r="Q305" t="str">
            <v>SGEO.0001</v>
          </cell>
          <cell r="R305" t="str">
            <v>Manutenção da Geração Eólica</v>
          </cell>
          <cell r="S305">
            <v>4000</v>
          </cell>
          <cell r="T305">
            <v>4000</v>
          </cell>
          <cell r="U305">
            <v>4000</v>
          </cell>
          <cell r="V305">
            <v>4000</v>
          </cell>
          <cell r="W305">
            <v>4000</v>
          </cell>
          <cell r="X305">
            <v>4000</v>
          </cell>
          <cell r="Y305">
            <v>4000</v>
          </cell>
          <cell r="Z305">
            <v>4000</v>
          </cell>
          <cell r="AA305">
            <v>4000</v>
          </cell>
          <cell r="AB305">
            <v>4000</v>
          </cell>
          <cell r="AC305">
            <v>4000</v>
          </cell>
          <cell r="AD305">
            <v>4000</v>
          </cell>
          <cell r="AE305">
            <v>48000</v>
          </cell>
          <cell r="AF305"/>
          <cell r="AG305"/>
          <cell r="AH305"/>
          <cell r="AI305" t="str">
            <v xml:space="preserve">                              </v>
          </cell>
          <cell r="AJ305">
            <v>48000</v>
          </cell>
          <cell r="AK305">
            <v>0</v>
          </cell>
          <cell r="AL305">
            <v>0</v>
          </cell>
          <cell r="AM305">
            <v>0</v>
          </cell>
          <cell r="AN305">
            <v>0</v>
          </cell>
          <cell r="AO305">
            <v>0</v>
          </cell>
          <cell r="AP305">
            <v>48000</v>
          </cell>
          <cell r="AQ305" t="str">
            <v>Rio Grande do Sul</v>
          </cell>
          <cell r="AT305">
            <v>0</v>
          </cell>
        </row>
        <row r="306">
          <cell r="B306" t="str">
            <v>COO1330</v>
          </cell>
          <cell r="C306" t="str">
            <v>OOMG.S</v>
          </cell>
          <cell r="D306" t="str">
            <v>OOGS.S-S-2025-I-0296</v>
          </cell>
          <cell r="E306" t="str">
            <v>S-2025-G-0011</v>
          </cell>
          <cell r="F306" t="str">
            <v>S-2024-G-067</v>
          </cell>
          <cell r="G306" t="str">
            <v>Eletrosul</v>
          </cell>
          <cell r="H306" t="str">
            <v>Contratado</v>
          </cell>
          <cell r="I306" t="str">
            <v>Implantação do sistema de monitoramento online de vibração da EOL Coxilha Seca</v>
          </cell>
          <cell r="J306"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K306"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L306" t="str">
            <v>SO10504003</v>
          </cell>
          <cell r="M306" t="str">
            <v>EOL Entorno 2</v>
          </cell>
          <cell r="N306" t="str">
            <v>Geração</v>
          </cell>
          <cell r="O306" t="str">
            <v>Modernização de pequeno porte</v>
          </cell>
          <cell r="P306" t="str">
            <v>Modernização de pequeno porte</v>
          </cell>
          <cell r="Q306" t="str">
            <v>SGEO.0001</v>
          </cell>
          <cell r="R306" t="str">
            <v>Manutenção da Geração Eólica</v>
          </cell>
          <cell r="S306">
            <v>4000</v>
          </cell>
          <cell r="T306">
            <v>4000</v>
          </cell>
          <cell r="U306">
            <v>4000</v>
          </cell>
          <cell r="V306">
            <v>4000</v>
          </cell>
          <cell r="W306">
            <v>4000</v>
          </cell>
          <cell r="X306">
            <v>4000</v>
          </cell>
          <cell r="Y306">
            <v>4000</v>
          </cell>
          <cell r="Z306">
            <v>4000</v>
          </cell>
          <cell r="AA306">
            <v>4000</v>
          </cell>
          <cell r="AB306">
            <v>4000</v>
          </cell>
          <cell r="AC306">
            <v>4000</v>
          </cell>
          <cell r="AD306">
            <v>4000</v>
          </cell>
          <cell r="AE306">
            <v>48000</v>
          </cell>
          <cell r="AF306"/>
          <cell r="AG306"/>
          <cell r="AH306"/>
          <cell r="AI306" t="str">
            <v xml:space="preserve">                              </v>
          </cell>
          <cell r="AJ306">
            <v>48000</v>
          </cell>
          <cell r="AK306">
            <v>0</v>
          </cell>
          <cell r="AL306">
            <v>0</v>
          </cell>
          <cell r="AM306">
            <v>0</v>
          </cell>
          <cell r="AN306">
            <v>0</v>
          </cell>
          <cell r="AO306">
            <v>0</v>
          </cell>
          <cell r="AP306">
            <v>48000</v>
          </cell>
          <cell r="AQ306" t="str">
            <v>Rio Grande do Sul</v>
          </cell>
          <cell r="AT306">
            <v>0</v>
          </cell>
        </row>
        <row r="307">
          <cell r="B307" t="str">
            <v>COO1331</v>
          </cell>
          <cell r="C307" t="str">
            <v>OOMG.S</v>
          </cell>
          <cell r="D307" t="str">
            <v>OOGS.S-S-2025-I-0297</v>
          </cell>
          <cell r="E307" t="str">
            <v>S-2025-G-0007</v>
          </cell>
          <cell r="F307" t="str">
            <v>S-2024-G-066</v>
          </cell>
          <cell r="G307" t="str">
            <v>Eletrosul</v>
          </cell>
          <cell r="H307" t="str">
            <v>Contratado</v>
          </cell>
          <cell r="I307" t="str">
            <v>Implantação do sistema de monitoramento online de vibração da EOL Coxilha Negra 4</v>
          </cell>
          <cell r="J307"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K307"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L307" t="str">
            <v>SO10509003</v>
          </cell>
          <cell r="M307" t="str">
            <v>EOL Coxilha Negra</v>
          </cell>
          <cell r="N307" t="str">
            <v>Geração</v>
          </cell>
          <cell r="O307" t="str">
            <v>Modernização de pequeno porte</v>
          </cell>
          <cell r="P307" t="str">
            <v>Modernização de pequeno porte</v>
          </cell>
          <cell r="Q307" t="str">
            <v>SGEO.0004</v>
          </cell>
          <cell r="R307" t="str">
            <v>EO Coxilha Negra: Moder Sist Monit Vibra</v>
          </cell>
          <cell r="S307">
            <v>3500</v>
          </cell>
          <cell r="T307">
            <v>3500</v>
          </cell>
          <cell r="U307">
            <v>3500</v>
          </cell>
          <cell r="V307">
            <v>3500</v>
          </cell>
          <cell r="W307">
            <v>3500</v>
          </cell>
          <cell r="X307">
            <v>3500</v>
          </cell>
          <cell r="Y307">
            <v>3500</v>
          </cell>
          <cell r="Z307">
            <v>3500</v>
          </cell>
          <cell r="AA307">
            <v>3500</v>
          </cell>
          <cell r="AB307">
            <v>3500</v>
          </cell>
          <cell r="AC307">
            <v>3500</v>
          </cell>
          <cell r="AD307">
            <v>3500</v>
          </cell>
          <cell r="AE307">
            <v>42000</v>
          </cell>
          <cell r="AF307"/>
          <cell r="AG307"/>
          <cell r="AH307"/>
          <cell r="AI307" t="str">
            <v xml:space="preserve">                              </v>
          </cell>
          <cell r="AJ307">
            <v>42000</v>
          </cell>
          <cell r="AK307">
            <v>0</v>
          </cell>
          <cell r="AL307">
            <v>0</v>
          </cell>
          <cell r="AM307">
            <v>0</v>
          </cell>
          <cell r="AN307">
            <v>0</v>
          </cell>
          <cell r="AO307">
            <v>0</v>
          </cell>
          <cell r="AP307">
            <v>42000</v>
          </cell>
          <cell r="AQ307" t="str">
            <v>Rio Grande do Sul</v>
          </cell>
          <cell r="AT307">
            <v>0</v>
          </cell>
        </row>
        <row r="308">
          <cell r="B308" t="str">
            <v>COO1332</v>
          </cell>
          <cell r="C308" t="str">
            <v>OOMG.S</v>
          </cell>
          <cell r="D308" t="str">
            <v>OOGN.S-S-2025-I-0274</v>
          </cell>
          <cell r="E308" t="str">
            <v>S-2025-G-0005</v>
          </cell>
          <cell r="F308" t="str">
            <v>S-2024-G-064</v>
          </cell>
          <cell r="G308" t="str">
            <v>Eletrosul</v>
          </cell>
          <cell r="H308" t="str">
            <v>Contratado</v>
          </cell>
          <cell r="I308" t="str">
            <v>Implantação do sistema de monitoramento online de vibração da EOL Coxilha Negra 2</v>
          </cell>
          <cell r="J308"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K308"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L308" t="str">
            <v>SO10507003</v>
          </cell>
          <cell r="M308" t="str">
            <v>EOL Coxilha Negra</v>
          </cell>
          <cell r="N308" t="str">
            <v>Geração</v>
          </cell>
          <cell r="O308" t="str">
            <v>Modernização de pequeno porte</v>
          </cell>
          <cell r="P308" t="str">
            <v>Modernização de pequeno porte</v>
          </cell>
          <cell r="Q308" t="str">
            <v>SGEO.0004</v>
          </cell>
          <cell r="R308" t="str">
            <v>EO Coxilha Negra: Moder Sist Monit Vibra</v>
          </cell>
          <cell r="S308">
            <v>6500</v>
          </cell>
          <cell r="T308">
            <v>6500</v>
          </cell>
          <cell r="U308">
            <v>6500</v>
          </cell>
          <cell r="V308">
            <v>6500</v>
          </cell>
          <cell r="W308">
            <v>6500</v>
          </cell>
          <cell r="X308">
            <v>6500</v>
          </cell>
          <cell r="Y308">
            <v>6500</v>
          </cell>
          <cell r="Z308">
            <v>6500</v>
          </cell>
          <cell r="AA308">
            <v>6500</v>
          </cell>
          <cell r="AB308">
            <v>6500</v>
          </cell>
          <cell r="AC308">
            <v>6500</v>
          </cell>
          <cell r="AD308">
            <v>6500</v>
          </cell>
          <cell r="AE308">
            <v>78000</v>
          </cell>
          <cell r="AF308"/>
          <cell r="AG308"/>
          <cell r="AH308"/>
          <cell r="AI308" t="str">
            <v xml:space="preserve">                              </v>
          </cell>
          <cell r="AJ308">
            <v>78000</v>
          </cell>
          <cell r="AK308">
            <v>0</v>
          </cell>
          <cell r="AL308">
            <v>0</v>
          </cell>
          <cell r="AM308">
            <v>0</v>
          </cell>
          <cell r="AN308">
            <v>0</v>
          </cell>
          <cell r="AO308">
            <v>0</v>
          </cell>
          <cell r="AP308">
            <v>78000</v>
          </cell>
          <cell r="AQ308" t="str">
            <v>Rio Grande do Sul</v>
          </cell>
          <cell r="AT308">
            <v>0</v>
          </cell>
        </row>
        <row r="309">
          <cell r="B309" t="str">
            <v>COO1333</v>
          </cell>
          <cell r="C309" t="str">
            <v>OOMG.S</v>
          </cell>
          <cell r="D309" t="str">
            <v>OOGS.S-S-2025-I-0275</v>
          </cell>
          <cell r="E309" t="str">
            <v>S-2025-G-0006</v>
          </cell>
          <cell r="F309" t="str">
            <v>S-2024-G-065</v>
          </cell>
          <cell r="G309" t="str">
            <v>Eletrosul</v>
          </cell>
          <cell r="H309" t="str">
            <v>Contratado</v>
          </cell>
          <cell r="I309" t="str">
            <v>Implantação do sistema de monitoramento online de vibração da EOL Coxilha Negra 3</v>
          </cell>
          <cell r="J309"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K309"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L309" t="str">
            <v>SO10508003</v>
          </cell>
          <cell r="M309" t="str">
            <v>EOL Coxilha Negra</v>
          </cell>
          <cell r="N309" t="str">
            <v>Geração</v>
          </cell>
          <cell r="O309" t="str">
            <v>Modernização de pequeno porte</v>
          </cell>
          <cell r="P309" t="str">
            <v>Modernização de pequeno porte</v>
          </cell>
          <cell r="Q309" t="str">
            <v>SGEO.0004</v>
          </cell>
          <cell r="R309" t="str">
            <v>EO Coxilha Negra: Moder Sist Monit Vibra</v>
          </cell>
          <cell r="S309">
            <v>6500</v>
          </cell>
          <cell r="T309">
            <v>6500</v>
          </cell>
          <cell r="U309">
            <v>6500</v>
          </cell>
          <cell r="V309">
            <v>6500</v>
          </cell>
          <cell r="W309">
            <v>6500</v>
          </cell>
          <cell r="X309">
            <v>6500</v>
          </cell>
          <cell r="Y309">
            <v>6500</v>
          </cell>
          <cell r="Z309">
            <v>6500</v>
          </cell>
          <cell r="AA309">
            <v>6500</v>
          </cell>
          <cell r="AB309">
            <v>6500</v>
          </cell>
          <cell r="AC309">
            <v>6500</v>
          </cell>
          <cell r="AD309">
            <v>6500</v>
          </cell>
          <cell r="AE309">
            <v>78000</v>
          </cell>
          <cell r="AF309"/>
          <cell r="AG309"/>
          <cell r="AH309"/>
          <cell r="AI309" t="str">
            <v xml:space="preserve">                              </v>
          </cell>
          <cell r="AJ309">
            <v>78000</v>
          </cell>
          <cell r="AK309">
            <v>0</v>
          </cell>
          <cell r="AL309">
            <v>0</v>
          </cell>
          <cell r="AM309">
            <v>0</v>
          </cell>
          <cell r="AN309">
            <v>0</v>
          </cell>
          <cell r="AO309">
            <v>0</v>
          </cell>
          <cell r="AP309">
            <v>78000</v>
          </cell>
          <cell r="AQ309" t="str">
            <v>Rio Grande do Sul</v>
          </cell>
          <cell r="AT309">
            <v>0</v>
          </cell>
        </row>
        <row r="310">
          <cell r="B310" t="str">
            <v>COO1334</v>
          </cell>
          <cell r="C310" t="str">
            <v>OOMG.S</v>
          </cell>
          <cell r="D310" t="str">
            <v>OOTR.F-OS-2025-I-0151</v>
          </cell>
          <cell r="E310" t="str">
            <v>S-2025-G-0013</v>
          </cell>
          <cell r="F310" t="str">
            <v>S-2024-G-068</v>
          </cell>
          <cell r="G310" t="str">
            <v>Eletrosul</v>
          </cell>
          <cell r="H310" t="str">
            <v>Contratado</v>
          </cell>
          <cell r="I310" t="str">
            <v>Implantação do sistema de monitoramento online de vibração da EOL Galpões</v>
          </cell>
          <cell r="J310"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K310"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L310" t="str">
            <v>SO10506003</v>
          </cell>
          <cell r="M310" t="str">
            <v>EOL Entorno 2</v>
          </cell>
          <cell r="N310" t="str">
            <v>Geração</v>
          </cell>
          <cell r="O310" t="str">
            <v>Modernização de pequeno porte</v>
          </cell>
          <cell r="P310" t="str">
            <v>Modernização de pequeno porte</v>
          </cell>
          <cell r="Q310" t="str">
            <v>SGEO.0001</v>
          </cell>
          <cell r="R310" t="str">
            <v>Manutenção da Geração Eólica</v>
          </cell>
          <cell r="S310">
            <v>1000</v>
          </cell>
          <cell r="T310">
            <v>1000</v>
          </cell>
          <cell r="U310">
            <v>1000</v>
          </cell>
          <cell r="V310">
            <v>1000</v>
          </cell>
          <cell r="W310">
            <v>1000</v>
          </cell>
          <cell r="X310">
            <v>1000</v>
          </cell>
          <cell r="Y310">
            <v>1000</v>
          </cell>
          <cell r="Z310">
            <v>1000</v>
          </cell>
          <cell r="AA310">
            <v>1000</v>
          </cell>
          <cell r="AB310">
            <v>1000</v>
          </cell>
          <cell r="AC310">
            <v>1000</v>
          </cell>
          <cell r="AD310">
            <v>1000</v>
          </cell>
          <cell r="AE310">
            <v>12000</v>
          </cell>
          <cell r="AF310"/>
          <cell r="AG310"/>
          <cell r="AH310"/>
          <cell r="AI310" t="str">
            <v xml:space="preserve">                              </v>
          </cell>
          <cell r="AJ310">
            <v>12000</v>
          </cell>
          <cell r="AK310">
            <v>0</v>
          </cell>
          <cell r="AL310">
            <v>0</v>
          </cell>
          <cell r="AM310">
            <v>0</v>
          </cell>
          <cell r="AN310">
            <v>0</v>
          </cell>
          <cell r="AO310">
            <v>0</v>
          </cell>
          <cell r="AP310">
            <v>12000</v>
          </cell>
          <cell r="AQ310" t="str">
            <v>Rio Grande do Sul</v>
          </cell>
          <cell r="AT310">
            <v>0</v>
          </cell>
        </row>
        <row r="311">
          <cell r="B311" t="str">
            <v>COO1335</v>
          </cell>
          <cell r="C311" t="str">
            <v>OOMG.S</v>
          </cell>
          <cell r="D311" t="str">
            <v>OOTP.F-OS-2025-I-0577</v>
          </cell>
          <cell r="E311" t="str">
            <v>S-2025-G-0012</v>
          </cell>
          <cell r="F311" t="str">
            <v>S-2024-G-060</v>
          </cell>
          <cell r="G311" t="str">
            <v>Eletrosul</v>
          </cell>
          <cell r="H311" t="str">
            <v>Contratado</v>
          </cell>
          <cell r="I311" t="str">
            <v>Implantação do sistema de monitoramento online de vibração da EOL Capão do Inglês</v>
          </cell>
          <cell r="J311"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K311" t="str">
            <v>Contrato 4500079902 - Suporte no monitoramento da integridade de componentes dos ativos de geração eólica. Com este sistema será possível identificar problemas nos rolamentos ou desbalanceamentos nos aerogeradores, permitindo que a CGT Eletrosul atue de forma planejada nas manutenções e/ou determinados casos, evitar sinistros maiores.</v>
          </cell>
          <cell r="L311" t="str">
            <v>SO10505003</v>
          </cell>
          <cell r="M311" t="str">
            <v>EOL Entorno 2</v>
          </cell>
          <cell r="N311" t="str">
            <v>Geração</v>
          </cell>
          <cell r="O311" t="str">
            <v>Modernização de pequeno porte</v>
          </cell>
          <cell r="P311" t="str">
            <v>Modernização de pequeno porte</v>
          </cell>
          <cell r="Q311" t="str">
            <v>SGEO.0001</v>
          </cell>
          <cell r="R311" t="str">
            <v>Manutenção da Geração Eólica</v>
          </cell>
          <cell r="S311">
            <v>1300</v>
          </cell>
          <cell r="T311">
            <v>1300</v>
          </cell>
          <cell r="U311">
            <v>1300</v>
          </cell>
          <cell r="V311">
            <v>1300</v>
          </cell>
          <cell r="W311">
            <v>1300</v>
          </cell>
          <cell r="X311">
            <v>1300</v>
          </cell>
          <cell r="Y311">
            <v>1300</v>
          </cell>
          <cell r="Z311">
            <v>1300</v>
          </cell>
          <cell r="AA311">
            <v>1300</v>
          </cell>
          <cell r="AB311">
            <v>1300</v>
          </cell>
          <cell r="AC311">
            <v>1300</v>
          </cell>
          <cell r="AD311">
            <v>1300</v>
          </cell>
          <cell r="AE311">
            <v>15600</v>
          </cell>
          <cell r="AF311"/>
          <cell r="AG311"/>
          <cell r="AH311"/>
          <cell r="AI311" t="str">
            <v xml:space="preserve">                              </v>
          </cell>
          <cell r="AJ311">
            <v>15600</v>
          </cell>
          <cell r="AK311">
            <v>0</v>
          </cell>
          <cell r="AL311">
            <v>0</v>
          </cell>
          <cell r="AM311">
            <v>0</v>
          </cell>
          <cell r="AN311">
            <v>0</v>
          </cell>
          <cell r="AO311">
            <v>0</v>
          </cell>
          <cell r="AP311">
            <v>15600</v>
          </cell>
          <cell r="AQ311" t="str">
            <v>Rio Grande do Sul</v>
          </cell>
          <cell r="AT311">
            <v>0</v>
          </cell>
        </row>
        <row r="312">
          <cell r="B312" t="str">
            <v>COO1336</v>
          </cell>
          <cell r="C312" t="str">
            <v>OOGR.S</v>
          </cell>
          <cell r="D312" t="str">
            <v>OOPM.S-S-2025-I-0055</v>
          </cell>
          <cell r="E312" t="str">
            <v>S-2025-G-0080</v>
          </cell>
          <cell r="F312" t="str">
            <v>S-2025-G-243</v>
          </cell>
          <cell r="G312" t="str">
            <v>Eletrosul</v>
          </cell>
          <cell r="H312" t="str">
            <v>Nova Demanda</v>
          </cell>
          <cell r="I312" t="str">
            <v>Adequação de segurança e infraestrutura das instalações da EOL Cerro Chato</v>
          </cell>
          <cell r="J312" t="str">
            <v>EOLIC-Adequação Operação - Primarização O&amp;M Wobben</v>
          </cell>
          <cell r="K312" t="str">
            <v>EOLIC-Adequação Operação - Primarização O&amp;M Wobben</v>
          </cell>
          <cell r="L312" t="str">
            <v>SA04130200</v>
          </cell>
          <cell r="M312" t="str">
            <v>EOL Cerro Chato</v>
          </cell>
          <cell r="N312" t="str">
            <v>Geração</v>
          </cell>
          <cell r="O312" t="str">
            <v>Modernização de pequeno porte</v>
          </cell>
          <cell r="P312" t="str">
            <v>Modernização de pequeno porte</v>
          </cell>
          <cell r="Q312" t="str">
            <v>SGEO.0001</v>
          </cell>
          <cell r="R312" t="str">
            <v>Manutenção da Geração Eólica</v>
          </cell>
          <cell r="S312">
            <v>0</v>
          </cell>
          <cell r="T312">
            <v>0</v>
          </cell>
          <cell r="U312">
            <v>0</v>
          </cell>
          <cell r="V312">
            <v>0</v>
          </cell>
          <cell r="W312">
            <v>0</v>
          </cell>
          <cell r="X312">
            <v>0</v>
          </cell>
          <cell r="Y312">
            <v>300000</v>
          </cell>
          <cell r="Z312">
            <v>300000</v>
          </cell>
          <cell r="AA312">
            <v>300000</v>
          </cell>
          <cell r="AB312">
            <v>300000</v>
          </cell>
          <cell r="AC312">
            <v>0</v>
          </cell>
          <cell r="AD312">
            <v>0</v>
          </cell>
          <cell r="AE312">
            <v>1200000</v>
          </cell>
          <cell r="AF312"/>
          <cell r="AG312"/>
          <cell r="AH312"/>
          <cell r="AI312" t="str">
            <v xml:space="preserve">                              </v>
          </cell>
          <cell r="AJ312">
            <v>1200000</v>
          </cell>
          <cell r="AK312">
            <v>0</v>
          </cell>
          <cell r="AL312">
            <v>0</v>
          </cell>
          <cell r="AM312">
            <v>0</v>
          </cell>
          <cell r="AN312">
            <v>0</v>
          </cell>
          <cell r="AO312">
            <v>0</v>
          </cell>
          <cell r="AP312">
            <v>1200000</v>
          </cell>
          <cell r="AQ312" t="str">
            <v>Rio Grande do Sul</v>
          </cell>
          <cell r="AT312">
            <v>0</v>
          </cell>
        </row>
        <row r="313">
          <cell r="B313" t="str">
            <v>COO1337</v>
          </cell>
          <cell r="C313" t="str">
            <v>OOMG.S</v>
          </cell>
          <cell r="D313" t="str">
            <v>OOGS.S-S-2025-I-0234</v>
          </cell>
          <cell r="E313" t="str">
            <v>S-2025-G-0028</v>
          </cell>
          <cell r="F313" t="str">
            <v>S-2025-G-251</v>
          </cell>
          <cell r="G313" t="str">
            <v>Eletrosul</v>
          </cell>
          <cell r="H313" t="str">
            <v>Nova Demanda</v>
          </cell>
          <cell r="I313" t="str">
            <v>Implantação de Linhas de Vida na PCH Barra do Rio Chapéu</v>
          </cell>
          <cell r="J313" t="str">
            <v>Instalação de linhas de vida para trabalhos em altura em UHBC com ART, projeto e memória de cálculo para realização de serviços de manutenção.</v>
          </cell>
          <cell r="K313" t="str">
            <v>Instalação de linhas de vida para trabalhos em altura em UHBC com ART, projeto e memória de cálculo para realização de serviços de manutenção.</v>
          </cell>
          <cell r="L313" t="str">
            <v>SO10201003</v>
          </cell>
          <cell r="M313" t="str">
            <v>PCH Barra do Rio Chapéu</v>
          </cell>
          <cell r="N313" t="str">
            <v>Geração</v>
          </cell>
          <cell r="O313" t="str">
            <v>Modernização de pequeno porte</v>
          </cell>
          <cell r="P313" t="str">
            <v>Modernização de pequeno porte</v>
          </cell>
          <cell r="Q313" t="str">
            <v>SGHI.0001</v>
          </cell>
          <cell r="R313" t="str">
            <v>Manutenção da Geração Hidráulica</v>
          </cell>
          <cell r="S313">
            <v>0</v>
          </cell>
          <cell r="T313">
            <v>0</v>
          </cell>
          <cell r="U313">
            <v>2100</v>
          </cell>
          <cell r="V313">
            <v>100000</v>
          </cell>
          <cell r="W313">
            <v>0</v>
          </cell>
          <cell r="X313">
            <v>0</v>
          </cell>
          <cell r="Y313">
            <v>0</v>
          </cell>
          <cell r="Z313">
            <v>0</v>
          </cell>
          <cell r="AA313">
            <v>0</v>
          </cell>
          <cell r="AB313">
            <v>0</v>
          </cell>
          <cell r="AC313">
            <v>0</v>
          </cell>
          <cell r="AD313">
            <v>0</v>
          </cell>
          <cell r="AE313">
            <v>102100</v>
          </cell>
          <cell r="AF313"/>
          <cell r="AG313"/>
          <cell r="AH313"/>
          <cell r="AI313" t="str">
            <v xml:space="preserve">                              </v>
          </cell>
          <cell r="AJ313">
            <v>102100</v>
          </cell>
          <cell r="AK313">
            <v>0</v>
          </cell>
          <cell r="AL313">
            <v>0</v>
          </cell>
          <cell r="AM313">
            <v>0</v>
          </cell>
          <cell r="AN313">
            <v>0</v>
          </cell>
          <cell r="AO313">
            <v>0</v>
          </cell>
          <cell r="AP313">
            <v>102100</v>
          </cell>
          <cell r="AQ313" t="str">
            <v>Santa Catarina</v>
          </cell>
          <cell r="AT313">
            <v>0</v>
          </cell>
        </row>
        <row r="314">
          <cell r="B314" t="str">
            <v>COO1338</v>
          </cell>
          <cell r="C314" t="str">
            <v>OOMG.S</v>
          </cell>
          <cell r="D314" t="str">
            <v>OOGS.S-S-2025-I-0235</v>
          </cell>
          <cell r="E314" t="str">
            <v>S-2025-G-0029</v>
          </cell>
          <cell r="F314" t="str">
            <v>S-2025-G-252</v>
          </cell>
          <cell r="G314" t="str">
            <v>Eletrosul</v>
          </cell>
          <cell r="H314" t="str">
            <v>Nova Demanda</v>
          </cell>
          <cell r="I314" t="str">
            <v>Implantação de Linhas de Vida na PCH João Borges</v>
          </cell>
          <cell r="J314" t="str">
            <v>Instalação de linhas de vida para trabalhos em altura em UHJB com ART, projeto e memória de cálculo para realização de serviços de manutenção.</v>
          </cell>
          <cell r="K314" t="str">
            <v>Instalação de linhas de vida para trabalhos em altura em UHJB com ART, projeto e memória de cálculo para realização de serviços de manutenção.</v>
          </cell>
          <cell r="L314" t="str">
            <v>SO10202003</v>
          </cell>
          <cell r="M314" t="str">
            <v>PCH João Borges</v>
          </cell>
          <cell r="N314" t="str">
            <v>Geração</v>
          </cell>
          <cell r="O314" t="str">
            <v>Modernização de pequeno porte</v>
          </cell>
          <cell r="P314" t="str">
            <v>Modernização de pequeno porte</v>
          </cell>
          <cell r="Q314" t="str">
            <v>SGHI.0001</v>
          </cell>
          <cell r="R314" t="str">
            <v>Manutenção da Geração Hidráulica</v>
          </cell>
          <cell r="S314">
            <v>0</v>
          </cell>
          <cell r="T314">
            <v>0</v>
          </cell>
          <cell r="U314">
            <v>2100</v>
          </cell>
          <cell r="V314">
            <v>0</v>
          </cell>
          <cell r="W314">
            <v>100000</v>
          </cell>
          <cell r="X314">
            <v>0</v>
          </cell>
          <cell r="Y314">
            <v>0</v>
          </cell>
          <cell r="Z314">
            <v>0</v>
          </cell>
          <cell r="AA314">
            <v>0</v>
          </cell>
          <cell r="AB314">
            <v>0</v>
          </cell>
          <cell r="AC314">
            <v>0</v>
          </cell>
          <cell r="AD314">
            <v>0</v>
          </cell>
          <cell r="AE314">
            <v>102100</v>
          </cell>
          <cell r="AF314"/>
          <cell r="AG314"/>
          <cell r="AH314"/>
          <cell r="AI314" t="str">
            <v xml:space="preserve">                              </v>
          </cell>
          <cell r="AJ314">
            <v>102100</v>
          </cell>
          <cell r="AK314">
            <v>0</v>
          </cell>
          <cell r="AL314">
            <v>0</v>
          </cell>
          <cell r="AM314">
            <v>0</v>
          </cell>
          <cell r="AN314">
            <v>0</v>
          </cell>
          <cell r="AO314">
            <v>0</v>
          </cell>
          <cell r="AP314">
            <v>102100</v>
          </cell>
          <cell r="AQ314" t="str">
            <v>Santa Catarina</v>
          </cell>
          <cell r="AT314">
            <v>0</v>
          </cell>
        </row>
        <row r="315">
          <cell r="B315" t="str">
            <v>COO1339</v>
          </cell>
          <cell r="C315" t="str">
            <v>OOMG.S</v>
          </cell>
          <cell r="D315" t="str">
            <v>OOGS.S-S-2025-I-0198</v>
          </cell>
          <cell r="E315" t="str">
            <v>S-2025-G-0026</v>
          </cell>
          <cell r="F315" t="str">
            <v>S-2025-G-249</v>
          </cell>
          <cell r="G315" t="str">
            <v>Eletrosul</v>
          </cell>
          <cell r="H315" t="str">
            <v>Nova Demanda</v>
          </cell>
          <cell r="I315" t="str">
            <v>Implantação de Linhas de Vida na UHE Passo São João</v>
          </cell>
          <cell r="J315" t="str">
            <v>Instalação de linhas de vida para trabalhos em altura em UHPJ com ART, projeto e memória de cálculo para realização de serviços de manutenção.</v>
          </cell>
          <cell r="K315" t="str">
            <v>Instalação de linhas de vida para trabalhos em altura em UHPJ com ART, projeto e memória de cálculo para realização de serviços de manutenção.</v>
          </cell>
          <cell r="L315" t="str">
            <v>SO10102003</v>
          </cell>
          <cell r="M315" t="str">
            <v>UHE Passo São João</v>
          </cell>
          <cell r="N315" t="str">
            <v>Geração</v>
          </cell>
          <cell r="O315" t="str">
            <v>Modernização de pequeno porte</v>
          </cell>
          <cell r="P315" t="str">
            <v>Modernização de pequeno porte</v>
          </cell>
          <cell r="Q315" t="str">
            <v>SGHI.0001</v>
          </cell>
          <cell r="R315" t="str">
            <v>Manutenção da Geração Hidráulica</v>
          </cell>
          <cell r="S315">
            <v>0</v>
          </cell>
          <cell r="T315">
            <v>0</v>
          </cell>
          <cell r="U315">
            <v>2100</v>
          </cell>
          <cell r="V315">
            <v>180000</v>
          </cell>
          <cell r="W315">
            <v>0</v>
          </cell>
          <cell r="X315">
            <v>0</v>
          </cell>
          <cell r="Y315">
            <v>0</v>
          </cell>
          <cell r="Z315">
            <v>0</v>
          </cell>
          <cell r="AA315">
            <v>0</v>
          </cell>
          <cell r="AB315">
            <v>0</v>
          </cell>
          <cell r="AC315">
            <v>0</v>
          </cell>
          <cell r="AD315">
            <v>0</v>
          </cell>
          <cell r="AE315">
            <v>182100</v>
          </cell>
          <cell r="AF315"/>
          <cell r="AG315"/>
          <cell r="AH315"/>
          <cell r="AI315" t="str">
            <v xml:space="preserve">                              </v>
          </cell>
          <cell r="AJ315">
            <v>182100</v>
          </cell>
          <cell r="AK315">
            <v>0</v>
          </cell>
          <cell r="AL315">
            <v>0</v>
          </cell>
          <cell r="AM315">
            <v>0</v>
          </cell>
          <cell r="AN315">
            <v>0</v>
          </cell>
          <cell r="AO315">
            <v>0</v>
          </cell>
          <cell r="AP315">
            <v>182100</v>
          </cell>
          <cell r="AQ315" t="str">
            <v>Rio Grande do Sul</v>
          </cell>
          <cell r="AT315">
            <v>0</v>
          </cell>
        </row>
        <row r="316">
          <cell r="B316" t="str">
            <v>COO1340</v>
          </cell>
          <cell r="C316" t="str">
            <v>OOMG.S</v>
          </cell>
          <cell r="D316" t="str">
            <v>OOGS.S-S-2025-I-0199</v>
          </cell>
          <cell r="E316" t="str">
            <v>S-2025-G-0027</v>
          </cell>
          <cell r="F316" t="str">
            <v>S-2025-G-250</v>
          </cell>
          <cell r="G316" t="str">
            <v>Eletrosul</v>
          </cell>
          <cell r="H316" t="str">
            <v>Nova Demanda</v>
          </cell>
          <cell r="I316" t="str">
            <v>Implantação de Linhas de Vida na UHE São Domingos</v>
          </cell>
          <cell r="J316" t="str">
            <v>Instalação de linhas de vida para trabalhos em altura em UHSD com ART, projeto e memória de cálculo para realização de serviços de manutenção.</v>
          </cell>
          <cell r="K316" t="str">
            <v>Instalação de linhas de vida para trabalhos em altura em UHSD com ART, projeto e memória de cálculo para realização de serviços de manutenção.</v>
          </cell>
          <cell r="L316" t="str">
            <v>SO10103003</v>
          </cell>
          <cell r="M316" t="str">
            <v>UHE São Domingos</v>
          </cell>
          <cell r="N316" t="str">
            <v>Geração</v>
          </cell>
          <cell r="O316" t="str">
            <v>Modernização de pequeno porte</v>
          </cell>
          <cell r="P316" t="str">
            <v>Modernização de pequeno porte</v>
          </cell>
          <cell r="Q316" t="str">
            <v>SGHI.0001</v>
          </cell>
          <cell r="R316" t="str">
            <v>Manutenção da Geração Hidráulica</v>
          </cell>
          <cell r="S316">
            <v>0</v>
          </cell>
          <cell r="T316">
            <v>0</v>
          </cell>
          <cell r="U316">
            <v>2100</v>
          </cell>
          <cell r="V316">
            <v>0</v>
          </cell>
          <cell r="W316">
            <v>180000</v>
          </cell>
          <cell r="X316">
            <v>0</v>
          </cell>
          <cell r="Y316">
            <v>0</v>
          </cell>
          <cell r="Z316">
            <v>0</v>
          </cell>
          <cell r="AA316">
            <v>0</v>
          </cell>
          <cell r="AB316">
            <v>0</v>
          </cell>
          <cell r="AC316">
            <v>0</v>
          </cell>
          <cell r="AD316">
            <v>0</v>
          </cell>
          <cell r="AE316">
            <v>182100</v>
          </cell>
          <cell r="AF316"/>
          <cell r="AG316"/>
          <cell r="AH316"/>
          <cell r="AI316" t="str">
            <v xml:space="preserve">                              </v>
          </cell>
          <cell r="AJ316">
            <v>182100</v>
          </cell>
          <cell r="AK316">
            <v>0</v>
          </cell>
          <cell r="AL316">
            <v>0</v>
          </cell>
          <cell r="AM316">
            <v>0</v>
          </cell>
          <cell r="AN316">
            <v>0</v>
          </cell>
          <cell r="AO316">
            <v>0</v>
          </cell>
          <cell r="AP316">
            <v>182100</v>
          </cell>
          <cell r="AQ316" t="str">
            <v>Mato Grosso do Sul</v>
          </cell>
          <cell r="AT316">
            <v>0</v>
          </cell>
        </row>
        <row r="317">
          <cell r="B317" t="str">
            <v>COO1341</v>
          </cell>
          <cell r="C317" t="str">
            <v>OOMG.S</v>
          </cell>
          <cell r="D317" t="str">
            <v>OOGR.S-S-2025-I-0182</v>
          </cell>
          <cell r="E317" t="str">
            <v>S-2025-G-0024</v>
          </cell>
          <cell r="F317" t="str">
            <v>S-2025-G-269</v>
          </cell>
          <cell r="G317" t="str">
            <v>Eletrosul</v>
          </cell>
          <cell r="H317" t="str">
            <v>Nova Demanda</v>
          </cell>
          <cell r="I317" t="str">
            <v>Adequação civil das plataformas de acesso à caixa espiral na PCH João Borges</v>
          </cell>
          <cell r="J317" t="str">
            <v>Instalação de plataforma de trabalho para aumentar a segurança das pessoas para acesso da caixa espiral e das válvulas bu-pass</v>
          </cell>
          <cell r="K317" t="str">
            <v>Instalação de plataforma de trabalho para aumentar a segurança das pessoas para acesso da caixa espiral e das válvulas bu-pass</v>
          </cell>
          <cell r="L317" t="str">
            <v>SO10202003</v>
          </cell>
          <cell r="M317" t="str">
            <v>PCH João Borges</v>
          </cell>
          <cell r="N317" t="str">
            <v>Geração</v>
          </cell>
          <cell r="O317" t="str">
            <v>Modernização de pequeno porte</v>
          </cell>
          <cell r="P317" t="str">
            <v>Modernização de pequeno porte</v>
          </cell>
          <cell r="Q317" t="str">
            <v>SGHI.0001</v>
          </cell>
          <cell r="R317" t="str">
            <v>Manutenção da Geração Hidráulica</v>
          </cell>
          <cell r="S317">
            <v>0</v>
          </cell>
          <cell r="T317">
            <v>0</v>
          </cell>
          <cell r="U317">
            <v>0</v>
          </cell>
          <cell r="V317">
            <v>4200</v>
          </cell>
          <cell r="W317">
            <v>4200</v>
          </cell>
          <cell r="X317">
            <v>200000</v>
          </cell>
          <cell r="Y317">
            <v>0</v>
          </cell>
          <cell r="Z317">
            <v>0</v>
          </cell>
          <cell r="AA317">
            <v>0</v>
          </cell>
          <cell r="AB317">
            <v>0</v>
          </cell>
          <cell r="AC317">
            <v>0</v>
          </cell>
          <cell r="AD317">
            <v>0</v>
          </cell>
          <cell r="AE317">
            <v>208400</v>
          </cell>
          <cell r="AF317"/>
          <cell r="AG317"/>
          <cell r="AH317"/>
          <cell r="AI317" t="str">
            <v xml:space="preserve">                              </v>
          </cell>
          <cell r="AJ317">
            <v>208400</v>
          </cell>
          <cell r="AK317">
            <v>0</v>
          </cell>
          <cell r="AL317">
            <v>0</v>
          </cell>
          <cell r="AM317">
            <v>0</v>
          </cell>
          <cell r="AN317">
            <v>0</v>
          </cell>
          <cell r="AO317">
            <v>0</v>
          </cell>
          <cell r="AP317">
            <v>208400</v>
          </cell>
          <cell r="AQ317" t="str">
            <v>Santa Catarina</v>
          </cell>
          <cell r="AT317">
            <v>0</v>
          </cell>
        </row>
        <row r="318">
          <cell r="B318" t="str">
            <v>COO1342</v>
          </cell>
          <cell r="C318" t="str">
            <v>OOMG.S</v>
          </cell>
          <cell r="D318" t="str">
            <v>OOMT.S-S-2025-I-0040</v>
          </cell>
          <cell r="E318" t="str">
            <v>S-2025-G-0018</v>
          </cell>
          <cell r="F318" t="str">
            <v>S-2025-G-260</v>
          </cell>
          <cell r="G318" t="str">
            <v>Eletrosul</v>
          </cell>
          <cell r="H318" t="str">
            <v>Nova Demanda</v>
          </cell>
          <cell r="I318" t="str">
            <v>Modernização do pórtico do vertodouro da UHE São Domingos</v>
          </cell>
          <cell r="J318" t="str">
            <v>Instalação de pórtico novo em UHSD. Antigo colapsou após vendaval.</v>
          </cell>
          <cell r="K318" t="str">
            <v>Instalação de pórtico novo em UHSD. Antigo colapsou após vendaval.</v>
          </cell>
          <cell r="L318" t="str">
            <v>SO10103003</v>
          </cell>
          <cell r="M318" t="str">
            <v>UHE São Domingos</v>
          </cell>
          <cell r="N318" t="str">
            <v>Geração</v>
          </cell>
          <cell r="O318" t="str">
            <v>Modernização de pequeno porte</v>
          </cell>
          <cell r="P318" t="str">
            <v>Modernização de pequeno porte</v>
          </cell>
          <cell r="Q318" t="str">
            <v>SGHI.0006</v>
          </cell>
          <cell r="R318" t="str">
            <v>Modernização da Geração Hidrelétrica</v>
          </cell>
          <cell r="S318">
            <v>0</v>
          </cell>
          <cell r="T318">
            <v>150368</v>
          </cell>
          <cell r="U318">
            <v>150368</v>
          </cell>
          <cell r="V318">
            <v>0</v>
          </cell>
          <cell r="W318">
            <v>0</v>
          </cell>
          <cell r="X318">
            <v>16200</v>
          </cell>
          <cell r="Y318">
            <v>300736</v>
          </cell>
          <cell r="Z318">
            <v>451104</v>
          </cell>
          <cell r="AA318">
            <v>300736</v>
          </cell>
          <cell r="AB318">
            <v>12000</v>
          </cell>
          <cell r="AC318">
            <v>150368</v>
          </cell>
          <cell r="AD318">
            <v>12000</v>
          </cell>
          <cell r="AE318">
            <v>1543880</v>
          </cell>
          <cell r="AF318"/>
          <cell r="AG318"/>
          <cell r="AH318"/>
          <cell r="AI318" t="str">
            <v xml:space="preserve">                              </v>
          </cell>
          <cell r="AJ318">
            <v>1543880</v>
          </cell>
          <cell r="AK318">
            <v>0</v>
          </cell>
          <cell r="AL318">
            <v>0</v>
          </cell>
          <cell r="AM318">
            <v>0</v>
          </cell>
          <cell r="AN318">
            <v>0</v>
          </cell>
          <cell r="AO318">
            <v>0</v>
          </cell>
          <cell r="AP318">
            <v>1543880</v>
          </cell>
          <cell r="AQ318" t="str">
            <v>Mato Grosso do Sul</v>
          </cell>
          <cell r="AT318">
            <v>0</v>
          </cell>
        </row>
        <row r="319">
          <cell r="B319" t="str">
            <v>COO1343</v>
          </cell>
          <cell r="C319" t="str">
            <v>OOMG.S</v>
          </cell>
          <cell r="D319" t="str">
            <v>OOGS.S-S-2025-I-0243</v>
          </cell>
          <cell r="E319" t="str">
            <v>S-2025-G-0035</v>
          </cell>
          <cell r="F319" t="str">
            <v>S-2025-G-266</v>
          </cell>
          <cell r="G319" t="str">
            <v>Eletrosul</v>
          </cell>
          <cell r="H319" t="str">
            <v>Nova Demanda</v>
          </cell>
          <cell r="I319" t="str">
            <v>Modernização do pórtico rolante da tomada d'água da PCH João Borges</v>
          </cell>
          <cell r="J319" t="str">
            <v>Melhorias no pórtico da tomada da água, pois foram identificados problemas de pintura, controles, travamento e cobertura.</v>
          </cell>
          <cell r="K319" t="str">
            <v>Melhorias no pórtico da tomada da água, pois foram identificados problemas de pintura, controles, travamento e cobertura.</v>
          </cell>
          <cell r="L319" t="str">
            <v>SO10202003</v>
          </cell>
          <cell r="M319" t="str">
            <v>PCH João Borges</v>
          </cell>
          <cell r="N319" t="str">
            <v>Geração</v>
          </cell>
          <cell r="O319" t="str">
            <v>Modernização de pequeno porte</v>
          </cell>
          <cell r="P319" t="str">
            <v>Modernização de pequeno porte</v>
          </cell>
          <cell r="Q319" t="str">
            <v>SGHI.0001</v>
          </cell>
          <cell r="R319" t="str">
            <v>Manutenção da Geração Hidráulica</v>
          </cell>
          <cell r="S319">
            <v>0</v>
          </cell>
          <cell r="T319">
            <v>0</v>
          </cell>
          <cell r="U319">
            <v>0</v>
          </cell>
          <cell r="V319">
            <v>0</v>
          </cell>
          <cell r="W319">
            <v>0</v>
          </cell>
          <cell r="X319">
            <v>0</v>
          </cell>
          <cell r="Y319">
            <v>0</v>
          </cell>
          <cell r="Z319">
            <v>0</v>
          </cell>
          <cell r="AA319">
            <v>0</v>
          </cell>
          <cell r="AB319">
            <v>100000</v>
          </cell>
          <cell r="AC319">
            <v>0</v>
          </cell>
          <cell r="AD319">
            <v>0</v>
          </cell>
          <cell r="AE319">
            <v>100000</v>
          </cell>
          <cell r="AF319"/>
          <cell r="AG319"/>
          <cell r="AH319"/>
          <cell r="AI319" t="str">
            <v xml:space="preserve">                              </v>
          </cell>
          <cell r="AJ319">
            <v>100000</v>
          </cell>
          <cell r="AK319">
            <v>0</v>
          </cell>
          <cell r="AL319">
            <v>0</v>
          </cell>
          <cell r="AM319">
            <v>0</v>
          </cell>
          <cell r="AN319">
            <v>0</v>
          </cell>
          <cell r="AO319">
            <v>0</v>
          </cell>
          <cell r="AP319">
            <v>100000</v>
          </cell>
          <cell r="AQ319" t="str">
            <v>Santa Catarina</v>
          </cell>
          <cell r="AT319">
            <v>0</v>
          </cell>
        </row>
        <row r="320">
          <cell r="B320" t="str">
            <v>COO1344</v>
          </cell>
          <cell r="C320" t="str">
            <v>OOMG.S</v>
          </cell>
          <cell r="D320" t="str">
            <v>OOGS.S-S-2025-I-0231</v>
          </cell>
          <cell r="E320" t="str">
            <v>S-2025-G-0019</v>
          </cell>
          <cell r="F320" t="str">
            <v>S-2025-G-272</v>
          </cell>
          <cell r="G320" t="str">
            <v>Eletrosul</v>
          </cell>
          <cell r="H320" t="str">
            <v>Nova Demanda</v>
          </cell>
          <cell r="I320" t="str">
            <v>Modernização do carregador de baterias da UFV Megawatt Solar</v>
          </cell>
          <cell r="J320" t="str">
            <v>Não contratado - Em elaboração de TR e Especificação Técnica.  Retificador no final da vida útil apresentando problemas.</v>
          </cell>
          <cell r="K320" t="str">
            <v>Não contratado - Em elaboração de TR e Especificação Técnica.  Retificador no final da vida útil apresentando problemas.</v>
          </cell>
          <cell r="L320" t="str">
            <v>SO10401003</v>
          </cell>
          <cell r="M320" t="str">
            <v>UFV Megawatt Solar</v>
          </cell>
          <cell r="N320" t="str">
            <v>Geração</v>
          </cell>
          <cell r="O320" t="str">
            <v>Modernização de pequeno porte</v>
          </cell>
          <cell r="P320" t="str">
            <v>Modernização de pequeno porte</v>
          </cell>
          <cell r="Q320" t="str">
            <v>SGSO.0002</v>
          </cell>
          <cell r="R320" t="str">
            <v>Manutenção da Geração Solar</v>
          </cell>
          <cell r="S320">
            <v>0</v>
          </cell>
          <cell r="T320">
            <v>0</v>
          </cell>
          <cell r="U320">
            <v>0</v>
          </cell>
          <cell r="V320">
            <v>8400</v>
          </cell>
          <cell r="W320">
            <v>100000</v>
          </cell>
          <cell r="X320">
            <v>0</v>
          </cell>
          <cell r="Y320">
            <v>0</v>
          </cell>
          <cell r="Z320">
            <v>0</v>
          </cell>
          <cell r="AA320">
            <v>0</v>
          </cell>
          <cell r="AB320">
            <v>0</v>
          </cell>
          <cell r="AC320">
            <v>0</v>
          </cell>
          <cell r="AD320">
            <v>0</v>
          </cell>
          <cell r="AE320">
            <v>108400</v>
          </cell>
          <cell r="AF320"/>
          <cell r="AG320"/>
          <cell r="AH320"/>
          <cell r="AI320" t="str">
            <v xml:space="preserve">                              </v>
          </cell>
          <cell r="AJ320">
            <v>108400</v>
          </cell>
          <cell r="AK320">
            <v>0</v>
          </cell>
          <cell r="AL320">
            <v>0</v>
          </cell>
          <cell r="AM320">
            <v>0</v>
          </cell>
          <cell r="AN320">
            <v>0</v>
          </cell>
          <cell r="AO320">
            <v>0</v>
          </cell>
          <cell r="AP320">
            <v>108400</v>
          </cell>
          <cell r="AQ320" t="str">
            <v>Santa Catarina</v>
          </cell>
          <cell r="AR320" t="str">
            <v>[não vai para as abas de projeto e subprojeto]  Concluído</v>
          </cell>
          <cell r="AS320" t="str">
            <v>x</v>
          </cell>
          <cell r="AT320">
            <v>0</v>
          </cell>
        </row>
        <row r="321">
          <cell r="B321" t="str">
            <v>COO1345</v>
          </cell>
          <cell r="C321" t="str">
            <v>OOMG.S</v>
          </cell>
          <cell r="D321" t="str">
            <v>OOGS.S-S-2025-I-0205</v>
          </cell>
          <cell r="E321" t="str">
            <v>S-2025-G-0030</v>
          </cell>
          <cell r="F321" t="str">
            <v>S-2025-G-278</v>
          </cell>
          <cell r="G321" t="str">
            <v>Eletrosul</v>
          </cell>
          <cell r="H321" t="str">
            <v>Nova Demanda</v>
          </cell>
          <cell r="I321" t="str">
            <v>Modernização do sistema de ventilação dos reguladores de tensão da UHE São Domingos</v>
          </cell>
          <cell r="J321" t="str">
            <v>Não contratado - Em elaboração de TR e Especificação Técnica. Equipamento obsoleto. Necessária modernização. Risco de parar a geração.</v>
          </cell>
          <cell r="K321" t="str">
            <v>Não contratado - Em elaboração de TR e Especificação Técnica. Equipamento obsoleto. Necessária modernização. Risco de parar a geração.</v>
          </cell>
          <cell r="L321" t="str">
            <v>SO10103003</v>
          </cell>
          <cell r="M321" t="str">
            <v>UHE São Domingos</v>
          </cell>
          <cell r="N321" t="str">
            <v>Geração</v>
          </cell>
          <cell r="O321" t="str">
            <v>Modernização de pequeno porte</v>
          </cell>
          <cell r="P321" t="str">
            <v>Modernização de pequeno porte</v>
          </cell>
          <cell r="Q321" t="str">
            <v>SGHI.0001</v>
          </cell>
          <cell r="R321" t="str">
            <v>Manutenção da Geração Hidráulica</v>
          </cell>
          <cell r="S321">
            <v>0</v>
          </cell>
          <cell r="T321">
            <v>0</v>
          </cell>
          <cell r="U321">
            <v>0</v>
          </cell>
          <cell r="V321">
            <v>0</v>
          </cell>
          <cell r="W321">
            <v>0</v>
          </cell>
          <cell r="X321">
            <v>0</v>
          </cell>
          <cell r="Y321">
            <v>20400</v>
          </cell>
          <cell r="Z321">
            <v>150000</v>
          </cell>
          <cell r="AA321">
            <v>0</v>
          </cell>
          <cell r="AB321">
            <v>0</v>
          </cell>
          <cell r="AC321">
            <v>0</v>
          </cell>
          <cell r="AD321">
            <v>0</v>
          </cell>
          <cell r="AE321">
            <v>170400</v>
          </cell>
          <cell r="AF321">
            <v>170400</v>
          </cell>
          <cell r="AG321"/>
          <cell r="AH321"/>
          <cell r="AI321" t="str">
            <v xml:space="preserve">                              </v>
          </cell>
          <cell r="AJ321">
            <v>340800</v>
          </cell>
          <cell r="AK321">
            <v>0</v>
          </cell>
          <cell r="AL321">
            <v>0</v>
          </cell>
          <cell r="AM321">
            <v>0</v>
          </cell>
          <cell r="AN321">
            <v>0</v>
          </cell>
          <cell r="AO321">
            <v>0</v>
          </cell>
          <cell r="AP321">
            <v>340800</v>
          </cell>
          <cell r="AQ321" t="str">
            <v>Mato Grosso do Sul</v>
          </cell>
          <cell r="AT321">
            <v>170400</v>
          </cell>
        </row>
        <row r="322">
          <cell r="B322" t="str">
            <v>COO1346</v>
          </cell>
          <cell r="C322" t="str">
            <v>OOMG.S</v>
          </cell>
          <cell r="D322" t="str">
            <v>OOGN.S-S-2025-I-0158</v>
          </cell>
          <cell r="E322" t="str">
            <v>S-2025-G-0021</v>
          </cell>
          <cell r="F322" t="str">
            <v>S-2025-G-265</v>
          </cell>
          <cell r="G322" t="str">
            <v>Eletrosul</v>
          </cell>
          <cell r="H322" t="str">
            <v>Nova Demanda</v>
          </cell>
          <cell r="I322" t="str">
            <v>Modernização do sistema de supervisão SCADA da EOL Entorno 2 (Coxilha Seca)</v>
          </cell>
          <cell r="J322" t="str">
            <v>Não contratado - Em elaboração de TR e Especificação Técnica. Equipamento obsoleto. Necessária modernização. Risco de parar o parque eólico.</v>
          </cell>
          <cell r="K322" t="str">
            <v>Não contratado - Em elaboração de TR e Especificação Técnica. Equipamento obsoleto. Necessária modernização. Risco de parar o parque eólico.</v>
          </cell>
          <cell r="L322" t="str">
            <v>SO10504003</v>
          </cell>
          <cell r="M322" t="str">
            <v>EOL Entorno 2</v>
          </cell>
          <cell r="N322" t="str">
            <v>Geração</v>
          </cell>
          <cell r="O322" t="str">
            <v>Modernização de pequeno porte</v>
          </cell>
          <cell r="P322" t="str">
            <v>Modernização de pequeno porte</v>
          </cell>
          <cell r="Q322" t="str">
            <v>SGEO.0001</v>
          </cell>
          <cell r="R322" t="str">
            <v>Manutenção da Geração Eólica</v>
          </cell>
          <cell r="S322">
            <v>0</v>
          </cell>
          <cell r="T322">
            <v>0</v>
          </cell>
          <cell r="U322">
            <v>0</v>
          </cell>
          <cell r="V322">
            <v>0</v>
          </cell>
          <cell r="W322">
            <v>0</v>
          </cell>
          <cell r="X322">
            <v>0</v>
          </cell>
          <cell r="Y322">
            <v>0</v>
          </cell>
          <cell r="Z322">
            <v>0</v>
          </cell>
          <cell r="AA322">
            <v>0</v>
          </cell>
          <cell r="AB322">
            <v>15400</v>
          </cell>
          <cell r="AC322">
            <v>300000</v>
          </cell>
          <cell r="AD322">
            <v>0</v>
          </cell>
          <cell r="AE322">
            <v>315400</v>
          </cell>
          <cell r="AF322"/>
          <cell r="AG322"/>
          <cell r="AH322"/>
          <cell r="AI322" t="str">
            <v xml:space="preserve">                              </v>
          </cell>
          <cell r="AJ322">
            <v>315400</v>
          </cell>
          <cell r="AK322">
            <v>0</v>
          </cell>
          <cell r="AL322">
            <v>0</v>
          </cell>
          <cell r="AM322">
            <v>0</v>
          </cell>
          <cell r="AN322">
            <v>0</v>
          </cell>
          <cell r="AO322">
            <v>0</v>
          </cell>
          <cell r="AP322">
            <v>315400</v>
          </cell>
          <cell r="AQ322" t="str">
            <v>Rio Grande do Sul</v>
          </cell>
          <cell r="AT322">
            <v>0</v>
          </cell>
        </row>
        <row r="323">
          <cell r="B323" t="str">
            <v>COO1347</v>
          </cell>
          <cell r="C323" t="str">
            <v>OOMG.S</v>
          </cell>
          <cell r="D323" t="str">
            <v>OOGN.S-S-2025-I-0139</v>
          </cell>
          <cell r="E323" t="str">
            <v>S-2025-G-0022</v>
          </cell>
          <cell r="F323" t="str">
            <v>S-2025-G-264</v>
          </cell>
          <cell r="G323" t="str">
            <v>Eletrosul</v>
          </cell>
          <cell r="H323" t="str">
            <v>Nova Demanda</v>
          </cell>
          <cell r="I323" t="str">
            <v>Modernização do sistema de supervisão SCADA da EOL Entorno 2 (Capão do Inglês)</v>
          </cell>
          <cell r="J323" t="str">
            <v>Não contratado - Em elaboração de TR e Especificação Técnica. Equipamento obsoleto. Necessária modernização. Risco de parar o parque eólico.</v>
          </cell>
          <cell r="K323" t="str">
            <v>Não contratado - Em elaboração de TR e Especificação Técnica. Equipamento obsoleto. Necessária modernização. Risco de parar o parque eólico.</v>
          </cell>
          <cell r="L323" t="str">
            <v>SO10505003</v>
          </cell>
          <cell r="M323" t="str">
            <v>EOL Entorno 2</v>
          </cell>
          <cell r="N323" t="str">
            <v>Geração</v>
          </cell>
          <cell r="O323" t="str">
            <v>Modernização de pequeno porte</v>
          </cell>
          <cell r="P323" t="str">
            <v>Modernização de pequeno porte</v>
          </cell>
          <cell r="Q323" t="str">
            <v>SGEO.0001</v>
          </cell>
          <cell r="R323" t="str">
            <v>Manutenção da Geração Eólica</v>
          </cell>
          <cell r="S323">
            <v>0</v>
          </cell>
          <cell r="T323">
            <v>0</v>
          </cell>
          <cell r="U323">
            <v>0</v>
          </cell>
          <cell r="V323">
            <v>0</v>
          </cell>
          <cell r="W323">
            <v>0</v>
          </cell>
          <cell r="X323">
            <v>0</v>
          </cell>
          <cell r="Y323">
            <v>0</v>
          </cell>
          <cell r="Z323">
            <v>0</v>
          </cell>
          <cell r="AA323">
            <v>0</v>
          </cell>
          <cell r="AB323">
            <v>15400</v>
          </cell>
          <cell r="AC323">
            <v>375000</v>
          </cell>
          <cell r="AD323">
            <v>0</v>
          </cell>
          <cell r="AE323">
            <v>390400</v>
          </cell>
          <cell r="AF323"/>
          <cell r="AG323"/>
          <cell r="AH323"/>
          <cell r="AI323" t="str">
            <v xml:space="preserve">                              </v>
          </cell>
          <cell r="AJ323">
            <v>390400</v>
          </cell>
          <cell r="AK323">
            <v>0</v>
          </cell>
          <cell r="AL323">
            <v>0</v>
          </cell>
          <cell r="AM323">
            <v>0</v>
          </cell>
          <cell r="AN323">
            <v>0</v>
          </cell>
          <cell r="AO323">
            <v>0</v>
          </cell>
          <cell r="AP323">
            <v>390400</v>
          </cell>
          <cell r="AQ323" t="str">
            <v>Rio Grande do Sul</v>
          </cell>
          <cell r="AT323">
            <v>0</v>
          </cell>
        </row>
        <row r="324">
          <cell r="B324" t="str">
            <v>COO1348</v>
          </cell>
          <cell r="C324" t="str">
            <v>OOMG.S</v>
          </cell>
          <cell r="D324" t="str">
            <v>OOPM.S-S-2025-I-0058</v>
          </cell>
          <cell r="E324" t="str">
            <v>S-2025-G-0023</v>
          </cell>
          <cell r="F324" t="str">
            <v>S-2025-G-263</v>
          </cell>
          <cell r="G324" t="str">
            <v>Eletrosul</v>
          </cell>
          <cell r="H324" t="str">
            <v>Nova Demanda</v>
          </cell>
          <cell r="I324" t="str">
            <v>Modernização do sistema de supervisão SCADA da EOL Entorno 2 (Galpões)</v>
          </cell>
          <cell r="J324" t="str">
            <v>Não contratado - Em elaboração de TR e Especificação Técnica. Equipamento obsoleto. Necessária modernização. Risco de parar o parque eólico.</v>
          </cell>
          <cell r="K324" t="str">
            <v>Não contratado - Em elaboração de TR e Especificação Técnica. Equipamento obsoleto. Necessária modernização. Risco de parar o parque eólico.</v>
          </cell>
          <cell r="L324" t="str">
            <v>SO10506003</v>
          </cell>
          <cell r="M324" t="str">
            <v>EOL Entorno 2</v>
          </cell>
          <cell r="N324" t="str">
            <v>Geração</v>
          </cell>
          <cell r="O324" t="str">
            <v>Modernização de pequeno porte</v>
          </cell>
          <cell r="P324" t="str">
            <v>Modernização de pequeno porte</v>
          </cell>
          <cell r="Q324" t="str">
            <v>SGEO.0001</v>
          </cell>
          <cell r="R324" t="str">
            <v>Manutenção da Geração Eólica</v>
          </cell>
          <cell r="S324">
            <v>0</v>
          </cell>
          <cell r="T324">
            <v>0</v>
          </cell>
          <cell r="U324">
            <v>0</v>
          </cell>
          <cell r="V324">
            <v>0</v>
          </cell>
          <cell r="W324">
            <v>0</v>
          </cell>
          <cell r="X324">
            <v>0</v>
          </cell>
          <cell r="Y324">
            <v>0</v>
          </cell>
          <cell r="Z324">
            <v>0</v>
          </cell>
          <cell r="AA324">
            <v>0</v>
          </cell>
          <cell r="AB324">
            <v>15400</v>
          </cell>
          <cell r="AC324">
            <v>1125000</v>
          </cell>
          <cell r="AD324">
            <v>0</v>
          </cell>
          <cell r="AE324">
            <v>1140400</v>
          </cell>
          <cell r="AF324"/>
          <cell r="AG324"/>
          <cell r="AH324"/>
          <cell r="AI324" t="str">
            <v xml:space="preserve">                              </v>
          </cell>
          <cell r="AJ324">
            <v>1140400</v>
          </cell>
          <cell r="AK324">
            <v>0</v>
          </cell>
          <cell r="AL324">
            <v>0</v>
          </cell>
          <cell r="AM324">
            <v>0</v>
          </cell>
          <cell r="AN324">
            <v>0</v>
          </cell>
          <cell r="AO324">
            <v>0</v>
          </cell>
          <cell r="AP324">
            <v>1140400</v>
          </cell>
          <cell r="AQ324" t="str">
            <v>Rio Grande do Sul</v>
          </cell>
          <cell r="AT324">
            <v>0</v>
          </cell>
        </row>
        <row r="325">
          <cell r="B325" t="str">
            <v>COO1349</v>
          </cell>
          <cell r="C325" t="str">
            <v>OOMG.S</v>
          </cell>
          <cell r="D325" t="str">
            <v>OOXT-H-2024-I-0001</v>
          </cell>
          <cell r="E325" t="str">
            <v>S-2025-G-0032</v>
          </cell>
          <cell r="F325" t="str">
            <v>S-2025-G-255</v>
          </cell>
          <cell r="G325" t="str">
            <v>Eletrosul</v>
          </cell>
          <cell r="H325" t="str">
            <v>Nova Demanda</v>
          </cell>
          <cell r="I325" t="str">
            <v>Aquisição de inversor de frequência para o sistema de alimentação initerrupta da PCH Barra do Rio Chapéu</v>
          </cell>
          <cell r="J325" t="str">
            <v>Não contratado - Em elaboração de TR e Especificação Técnica. Equipamento obsoleto. Necessária substituição. Risco de segurança. Equipamento necessário para iluminação em caso de emergência.</v>
          </cell>
          <cell r="K325" t="str">
            <v>Não contratado - Em elaboração de TR e Especificação Técnica. Equipamento obsoleto. Necessária substituição. Risco de segurança. Equipamento necessário para iluminação em caso de emergência.</v>
          </cell>
          <cell r="L325" t="str">
            <v>SO10201003</v>
          </cell>
          <cell r="M325" t="str">
            <v>PCH Barra do Rio Chapéu</v>
          </cell>
          <cell r="N325" t="str">
            <v>Geração</v>
          </cell>
          <cell r="O325" t="str">
            <v>Modernização de pequeno porte</v>
          </cell>
          <cell r="P325" t="str">
            <v>Modernização de pequeno porte</v>
          </cell>
          <cell r="Q325" t="str">
            <v>SGHI.0001</v>
          </cell>
          <cell r="R325" t="str">
            <v>Manutenção da Geração Hidráulica</v>
          </cell>
          <cell r="S325">
            <v>0</v>
          </cell>
          <cell r="T325">
            <v>0</v>
          </cell>
          <cell r="U325">
            <v>0</v>
          </cell>
          <cell r="V325">
            <v>0</v>
          </cell>
          <cell r="W325">
            <v>0</v>
          </cell>
          <cell r="X325">
            <v>0</v>
          </cell>
          <cell r="Y325">
            <v>0</v>
          </cell>
          <cell r="Z325">
            <v>13400</v>
          </cell>
          <cell r="AA325">
            <v>10000</v>
          </cell>
          <cell r="AB325">
            <v>0</v>
          </cell>
          <cell r="AC325">
            <v>0</v>
          </cell>
          <cell r="AD325">
            <v>0</v>
          </cell>
          <cell r="AE325">
            <v>23400</v>
          </cell>
          <cell r="AF325"/>
          <cell r="AG325"/>
          <cell r="AH325"/>
          <cell r="AI325" t="str">
            <v xml:space="preserve">                              </v>
          </cell>
          <cell r="AJ325">
            <v>23400</v>
          </cell>
          <cell r="AK325">
            <v>0</v>
          </cell>
          <cell r="AL325">
            <v>0</v>
          </cell>
          <cell r="AM325">
            <v>0</v>
          </cell>
          <cell r="AN325">
            <v>0</v>
          </cell>
          <cell r="AO325">
            <v>0</v>
          </cell>
          <cell r="AP325">
            <v>23400</v>
          </cell>
          <cell r="AQ325" t="str">
            <v>Santa Catarina</v>
          </cell>
          <cell r="AR325" t="str">
            <v>[não vai para as abas de projeto e subprojeto]  a equipe encontrou uma solução mais barata e mais eficiente via opex.</v>
          </cell>
          <cell r="AS325" t="str">
            <v>x</v>
          </cell>
          <cell r="AT325">
            <v>0</v>
          </cell>
        </row>
        <row r="326">
          <cell r="B326" t="str">
            <v>COO1353</v>
          </cell>
          <cell r="C326" t="str">
            <v>OOMG.S</v>
          </cell>
          <cell r="D326" t="str">
            <v>OOGS.S-S-2025-I-0197</v>
          </cell>
          <cell r="E326" t="str">
            <v>S-2025-G-0033</v>
          </cell>
          <cell r="F326" t="str">
            <v>S-2024-G-073</v>
          </cell>
          <cell r="G326" t="str">
            <v>Eletrosul</v>
          </cell>
          <cell r="H326" t="str">
            <v>Nova Demanda</v>
          </cell>
          <cell r="I326" t="str">
            <v>Modernização do sistema de lubrificação de óleo dos mancais da PCH Barra do Rio Chapéu</v>
          </cell>
          <cell r="J326" t="str">
            <v>Sensores de medição de vazão de óleo na PCH Barra do Rio Chapéu. Tem como objetivo permitir o ajuste individual de vazão de óleo destinado para cada mancal e evitar transbordamentos quando o óleo está frio.</v>
          </cell>
          <cell r="K326" t="str">
            <v>Sensores de medição de vazão de óleo na PCH Barra do Rio Chapéu. Tem como objetivo permitir o ajuste individual de vazão de óleo destinado para cada mancal e evitar transbordamentos quando o óleo está frio.</v>
          </cell>
          <cell r="L326" t="str">
            <v>SO10201003</v>
          </cell>
          <cell r="M326" t="str">
            <v>PCH Barra do Rio Chapéu</v>
          </cell>
          <cell r="N326" t="str">
            <v>Geração</v>
          </cell>
          <cell r="O326" t="str">
            <v>Modernização de pequeno porte</v>
          </cell>
          <cell r="P326" t="str">
            <v>Modernização de pequeno porte</v>
          </cell>
          <cell r="Q326" t="str">
            <v>SGHI.0001</v>
          </cell>
          <cell r="R326" t="str">
            <v>Manutenção da Geração Hidráulica</v>
          </cell>
          <cell r="S326">
            <v>0</v>
          </cell>
          <cell r="T326">
            <v>0</v>
          </cell>
          <cell r="U326">
            <v>0</v>
          </cell>
          <cell r="V326">
            <v>170000</v>
          </cell>
          <cell r="W326">
            <v>4200</v>
          </cell>
          <cell r="X326">
            <v>9200</v>
          </cell>
          <cell r="Y326">
            <v>0</v>
          </cell>
          <cell r="Z326">
            <v>0</v>
          </cell>
          <cell r="AA326">
            <v>0</v>
          </cell>
          <cell r="AB326">
            <v>0</v>
          </cell>
          <cell r="AC326">
            <v>0</v>
          </cell>
          <cell r="AD326">
            <v>0</v>
          </cell>
          <cell r="AE326">
            <v>183400</v>
          </cell>
          <cell r="AF326"/>
          <cell r="AG326"/>
          <cell r="AH326"/>
          <cell r="AI326" t="str">
            <v xml:space="preserve">                              </v>
          </cell>
          <cell r="AJ326">
            <v>183400</v>
          </cell>
          <cell r="AK326">
            <v>0</v>
          </cell>
          <cell r="AL326">
            <v>0</v>
          </cell>
          <cell r="AM326">
            <v>0</v>
          </cell>
          <cell r="AN326">
            <v>0</v>
          </cell>
          <cell r="AO326">
            <v>0</v>
          </cell>
          <cell r="AP326">
            <v>183400</v>
          </cell>
          <cell r="AQ326" t="str">
            <v>Santa Catarina</v>
          </cell>
          <cell r="AT326">
            <v>0</v>
          </cell>
        </row>
        <row r="327">
          <cell r="B327" t="str">
            <v>COO1354</v>
          </cell>
          <cell r="C327" t="str">
            <v>OOMG.S</v>
          </cell>
          <cell r="D327" t="str">
            <v>OOGR.S-S-2025-I-0170</v>
          </cell>
          <cell r="E327" t="str">
            <v>S-2025-G-0025</v>
          </cell>
          <cell r="F327" t="str">
            <v>S-2025-G-276</v>
          </cell>
          <cell r="G327" t="str">
            <v>Eletrosul</v>
          </cell>
          <cell r="H327" t="str">
            <v>Nova Demanda</v>
          </cell>
          <cell r="I327" t="str">
            <v>Modernização do compressores de ar de regulação da UHE São Domingos</v>
          </cell>
          <cell r="J327" t="str">
            <v>Substituição dos compressores de regulação de UHSD, pois os compressotes atuais são chineses e com difícil reposição de componentes.</v>
          </cell>
          <cell r="K327" t="str">
            <v>Substituição dos compressores de regulação de UHSD, pois os compressotes atuais são chineses e com difícil reposição de componentes.</v>
          </cell>
          <cell r="L327" t="str">
            <v>SO10103003</v>
          </cell>
          <cell r="M327" t="str">
            <v>UHE São Domingos</v>
          </cell>
          <cell r="N327" t="str">
            <v>Geração</v>
          </cell>
          <cell r="O327" t="str">
            <v>Modernização de pequeno porte</v>
          </cell>
          <cell r="P327" t="str">
            <v>Modernização de pequeno porte</v>
          </cell>
          <cell r="Q327" t="str">
            <v>SGHI.0001</v>
          </cell>
          <cell r="R327" t="str">
            <v>Manutenção da Geração Hidráulica</v>
          </cell>
          <cell r="S327">
            <v>290000</v>
          </cell>
          <cell r="T327">
            <v>0</v>
          </cell>
          <cell r="U327">
            <v>0</v>
          </cell>
          <cell r="V327">
            <v>0</v>
          </cell>
          <cell r="W327">
            <v>0</v>
          </cell>
          <cell r="X327">
            <v>0</v>
          </cell>
          <cell r="Y327">
            <v>0</v>
          </cell>
          <cell r="Z327">
            <v>0</v>
          </cell>
          <cell r="AA327">
            <v>0</v>
          </cell>
          <cell r="AB327">
            <v>0</v>
          </cell>
          <cell r="AC327">
            <v>0</v>
          </cell>
          <cell r="AD327">
            <v>0</v>
          </cell>
          <cell r="AE327">
            <v>290000</v>
          </cell>
          <cell r="AF327"/>
          <cell r="AG327"/>
          <cell r="AH327"/>
          <cell r="AI327" t="str">
            <v xml:space="preserve">                              </v>
          </cell>
          <cell r="AJ327">
            <v>290000</v>
          </cell>
          <cell r="AK327">
            <v>0</v>
          </cell>
          <cell r="AL327">
            <v>0</v>
          </cell>
          <cell r="AM327">
            <v>0</v>
          </cell>
          <cell r="AN327">
            <v>0</v>
          </cell>
          <cell r="AO327">
            <v>0</v>
          </cell>
          <cell r="AP327">
            <v>290000</v>
          </cell>
          <cell r="AQ327" t="str">
            <v>Mato Grosso do Sul</v>
          </cell>
          <cell r="AT327">
            <v>0</v>
          </cell>
        </row>
        <row r="328">
          <cell r="B328" t="str">
            <v>COO1355</v>
          </cell>
          <cell r="C328" t="str">
            <v>OOGR.S</v>
          </cell>
          <cell r="D328" t="str">
            <v>OOGR.S-S-2025-I-0289</v>
          </cell>
          <cell r="E328" t="str">
            <v>S-2025-G-0063</v>
          </cell>
          <cell r="F328" t="str">
            <v>S-2025-G-268</v>
          </cell>
          <cell r="G328" t="str">
            <v>Eletrosul</v>
          </cell>
          <cell r="H328" t="str">
            <v>Nova Demanda</v>
          </cell>
          <cell r="I328" t="str">
            <v>Adequação do plano de prevenção contra incêndio da PCH Barra do Rio Chapéu</v>
          </cell>
          <cell r="J328" t="str">
            <v>UHBC - Adequação do prédio da PCH Barra do Rio Chapéu ao PPCI</v>
          </cell>
          <cell r="K328" t="str">
            <v>UHBC - Adequação do prédio da PCH Barra do Rio Chapéu ao PPCI</v>
          </cell>
          <cell r="L328" t="str">
            <v>SO10201003</v>
          </cell>
          <cell r="M328" t="str">
            <v>PCH Barra do Rio Chapéu</v>
          </cell>
          <cell r="N328" t="str">
            <v>Geração</v>
          </cell>
          <cell r="O328" t="str">
            <v>Modernização de pequeno porte</v>
          </cell>
          <cell r="P328" t="str">
            <v>Modernização de pequeno porte</v>
          </cell>
          <cell r="Q328" t="str">
            <v>SGHI.0001</v>
          </cell>
          <cell r="R328" t="str">
            <v>Manutenção da Geração Hidráulica</v>
          </cell>
          <cell r="S328">
            <v>0</v>
          </cell>
          <cell r="T328">
            <v>0</v>
          </cell>
          <cell r="U328">
            <v>0</v>
          </cell>
          <cell r="V328">
            <v>0</v>
          </cell>
          <cell r="W328">
            <v>25000</v>
          </cell>
          <cell r="X328">
            <v>25000</v>
          </cell>
          <cell r="Y328">
            <v>0</v>
          </cell>
          <cell r="Z328">
            <v>0</v>
          </cell>
          <cell r="AA328">
            <v>0</v>
          </cell>
          <cell r="AB328">
            <v>0</v>
          </cell>
          <cell r="AC328">
            <v>0</v>
          </cell>
          <cell r="AD328">
            <v>0</v>
          </cell>
          <cell r="AE328">
            <v>50000</v>
          </cell>
          <cell r="AF328"/>
          <cell r="AG328"/>
          <cell r="AH328"/>
          <cell r="AI328" t="str">
            <v xml:space="preserve">                              </v>
          </cell>
          <cell r="AJ328">
            <v>50000</v>
          </cell>
          <cell r="AK328">
            <v>0</v>
          </cell>
          <cell r="AL328">
            <v>0</v>
          </cell>
          <cell r="AM328">
            <v>0</v>
          </cell>
          <cell r="AN328">
            <v>0</v>
          </cell>
          <cell r="AO328">
            <v>0</v>
          </cell>
          <cell r="AP328">
            <v>50000</v>
          </cell>
          <cell r="AQ328" t="str">
            <v>Santa Catarina</v>
          </cell>
          <cell r="AT328">
            <v>0</v>
          </cell>
        </row>
        <row r="329">
          <cell r="B329" t="str">
            <v>COO1356</v>
          </cell>
          <cell r="C329" t="str">
            <v>OOGR.S</v>
          </cell>
          <cell r="D329" t="str">
            <v>OOTG.F-OS-2025-I-0196</v>
          </cell>
          <cell r="E329" t="str">
            <v>S-2025-G-0075</v>
          </cell>
          <cell r="F329" t="str">
            <v>S-2025-G-262</v>
          </cell>
          <cell r="G329" t="str">
            <v>Eletrosul</v>
          </cell>
          <cell r="H329" t="str">
            <v>Nova Demanda</v>
          </cell>
          <cell r="I329" t="str">
            <v>Modernização do sistema de refrigeração da PCH Barra do Rio Chapéu</v>
          </cell>
          <cell r="J329" t="str">
            <v>UHBC - Aquisição de 01 equipamento de ar condicionado de 36000 Btus para PCH Barra do Rio Chapéu</v>
          </cell>
          <cell r="K329" t="str">
            <v>UHBC - Aquisição de 01 equipamento de ar condicionado de 36000 Btus para PCH Barra do Rio Chapéu</v>
          </cell>
          <cell r="L329" t="str">
            <v>SO10201003</v>
          </cell>
          <cell r="M329" t="str">
            <v>PCH Barra do Rio Chapéu</v>
          </cell>
          <cell r="N329" t="str">
            <v>Geração</v>
          </cell>
          <cell r="O329" t="str">
            <v>Modernização de pequeno porte</v>
          </cell>
          <cell r="P329" t="str">
            <v>Modernização de pequeno porte</v>
          </cell>
          <cell r="Q329" t="str">
            <v>SGHI.0001</v>
          </cell>
          <cell r="R329" t="str">
            <v>Manutenção da Geração Hidráulica</v>
          </cell>
          <cell r="S329">
            <v>0</v>
          </cell>
          <cell r="T329">
            <v>0</v>
          </cell>
          <cell r="U329">
            <v>0</v>
          </cell>
          <cell r="V329">
            <v>0</v>
          </cell>
          <cell r="W329">
            <v>0</v>
          </cell>
          <cell r="X329">
            <v>0</v>
          </cell>
          <cell r="Y329">
            <v>10000</v>
          </cell>
          <cell r="Z329"/>
          <cell r="AA329">
            <v>0</v>
          </cell>
          <cell r="AB329">
            <v>0</v>
          </cell>
          <cell r="AC329">
            <v>0</v>
          </cell>
          <cell r="AD329">
            <v>0</v>
          </cell>
          <cell r="AE329">
            <v>10000</v>
          </cell>
          <cell r="AF329"/>
          <cell r="AG329"/>
          <cell r="AH329"/>
          <cell r="AI329" t="str">
            <v xml:space="preserve">                              </v>
          </cell>
          <cell r="AJ329">
            <v>10000</v>
          </cell>
          <cell r="AK329">
            <v>0</v>
          </cell>
          <cell r="AL329">
            <v>0</v>
          </cell>
          <cell r="AM329">
            <v>0</v>
          </cell>
          <cell r="AN329">
            <v>0</v>
          </cell>
          <cell r="AO329">
            <v>0</v>
          </cell>
          <cell r="AP329">
            <v>10000</v>
          </cell>
          <cell r="AQ329" t="str">
            <v>Santa Catarina</v>
          </cell>
          <cell r="AT329">
            <v>0</v>
          </cell>
        </row>
        <row r="330">
          <cell r="B330" t="str">
            <v>COO1357</v>
          </cell>
          <cell r="C330" t="str">
            <v>OOGR.S</v>
          </cell>
          <cell r="D330" t="str">
            <v>OOGFU.F-OS-2025-I-0538</v>
          </cell>
          <cell r="E330" t="str">
            <v>S-2025-G-0076</v>
          </cell>
          <cell r="F330" t="str">
            <v>S-2025-G-261</v>
          </cell>
          <cell r="G330" t="str">
            <v>Eletrosul</v>
          </cell>
          <cell r="H330" t="str">
            <v>Nova Demanda</v>
          </cell>
          <cell r="I330" t="str">
            <v>Modernização do sistema de refrigeração da PCH Barra do Rio Chapéu</v>
          </cell>
          <cell r="J330" t="str">
            <v>UHBC - Aquisição de 03 equipamentos de ar condicionado de 12000 Btus para PCH Barra do Rio Chapéu</v>
          </cell>
          <cell r="K330" t="str">
            <v>UHBC - Aquisição de 03 equipamentos de ar condicionado de 12000 Btus para PCH Barra do Rio Chapéu</v>
          </cell>
          <cell r="L330" t="str">
            <v>SO10201003</v>
          </cell>
          <cell r="M330" t="str">
            <v>PCH Barra do Rio Chapéu</v>
          </cell>
          <cell r="N330" t="str">
            <v>Geração</v>
          </cell>
          <cell r="O330" t="str">
            <v>Modernização de pequeno porte</v>
          </cell>
          <cell r="P330" t="str">
            <v>Modernização de pequeno porte</v>
          </cell>
          <cell r="Q330" t="str">
            <v>SGHI.0001</v>
          </cell>
          <cell r="R330" t="str">
            <v>Manutenção da Geração Hidráulica</v>
          </cell>
          <cell r="S330">
            <v>0</v>
          </cell>
          <cell r="T330">
            <v>0</v>
          </cell>
          <cell r="U330">
            <v>0</v>
          </cell>
          <cell r="V330">
            <v>0</v>
          </cell>
          <cell r="W330">
            <v>0</v>
          </cell>
          <cell r="X330">
            <v>0</v>
          </cell>
          <cell r="Y330">
            <v>10000</v>
          </cell>
          <cell r="Z330"/>
          <cell r="AA330">
            <v>0</v>
          </cell>
          <cell r="AB330">
            <v>0</v>
          </cell>
          <cell r="AC330">
            <v>0</v>
          </cell>
          <cell r="AD330">
            <v>0</v>
          </cell>
          <cell r="AE330">
            <v>10000</v>
          </cell>
          <cell r="AF330"/>
          <cell r="AG330"/>
          <cell r="AH330"/>
          <cell r="AI330" t="str">
            <v xml:space="preserve">                              </v>
          </cell>
          <cell r="AJ330">
            <v>10000</v>
          </cell>
          <cell r="AK330">
            <v>0</v>
          </cell>
          <cell r="AL330">
            <v>0</v>
          </cell>
          <cell r="AM330">
            <v>0</v>
          </cell>
          <cell r="AN330">
            <v>0</v>
          </cell>
          <cell r="AO330">
            <v>0</v>
          </cell>
          <cell r="AP330">
            <v>10000</v>
          </cell>
          <cell r="AQ330" t="str">
            <v>Santa Catarina</v>
          </cell>
          <cell r="AT330">
            <v>0</v>
          </cell>
        </row>
        <row r="331">
          <cell r="B331" t="str">
            <v>COO1358</v>
          </cell>
          <cell r="C331" t="str">
            <v>OOGR.S</v>
          </cell>
          <cell r="D331" t="str">
            <v>OOME.F-OS-2025-I-0003</v>
          </cell>
          <cell r="E331" t="str">
            <v>S-2025-G-0083</v>
          </cell>
          <cell r="F331" t="str">
            <v>S-2025-G-259</v>
          </cell>
          <cell r="G331" t="str">
            <v>Eletrosul</v>
          </cell>
          <cell r="H331" t="str">
            <v>Nova Demanda</v>
          </cell>
          <cell r="I331" t="str">
            <v>Modernização do controle remoto para pórtico da PCH Barra do Rio Chapéu</v>
          </cell>
          <cell r="J331" t="str">
            <v>UHBC - Aquisição de 2 conjuntos de controles remotos para pórticos da tomada d'água e sucção da PCH Barra do Rio Chapéu</v>
          </cell>
          <cell r="K331" t="str">
            <v>UHBC - Aquisição de 2 conjuntos de controles remotos para pórticos da tomada d'água e sucção da PCH Barra do Rio Chapéu</v>
          </cell>
          <cell r="L331" t="str">
            <v>SO10201003</v>
          </cell>
          <cell r="M331" t="str">
            <v>PCH Barra do Rio Chapéu</v>
          </cell>
          <cell r="N331" t="str">
            <v>Geração</v>
          </cell>
          <cell r="O331" t="str">
            <v>Modernização de pequeno porte</v>
          </cell>
          <cell r="P331" t="str">
            <v>Modernização de pequeno porte</v>
          </cell>
          <cell r="Q331" t="str">
            <v>SGHI.0001</v>
          </cell>
          <cell r="R331" t="str">
            <v>Manutenção da Geração Hidráulica</v>
          </cell>
          <cell r="S331">
            <v>0</v>
          </cell>
          <cell r="T331">
            <v>0</v>
          </cell>
          <cell r="U331">
            <v>0</v>
          </cell>
          <cell r="V331">
            <v>0</v>
          </cell>
          <cell r="W331">
            <v>10000</v>
          </cell>
          <cell r="X331">
            <v>0</v>
          </cell>
          <cell r="Y331">
            <v>0</v>
          </cell>
          <cell r="Z331">
            <v>0</v>
          </cell>
          <cell r="AA331">
            <v>0</v>
          </cell>
          <cell r="AB331">
            <v>0</v>
          </cell>
          <cell r="AC331">
            <v>0</v>
          </cell>
          <cell r="AD331">
            <v>0</v>
          </cell>
          <cell r="AE331">
            <v>10000</v>
          </cell>
          <cell r="AF331"/>
          <cell r="AG331"/>
          <cell r="AH331"/>
          <cell r="AI331" t="str">
            <v xml:space="preserve">                              </v>
          </cell>
          <cell r="AJ331">
            <v>10000</v>
          </cell>
          <cell r="AK331">
            <v>0</v>
          </cell>
          <cell r="AL331">
            <v>0</v>
          </cell>
          <cell r="AM331">
            <v>0</v>
          </cell>
          <cell r="AN331">
            <v>0</v>
          </cell>
          <cell r="AO331">
            <v>0</v>
          </cell>
          <cell r="AP331">
            <v>10000</v>
          </cell>
          <cell r="AQ331" t="str">
            <v>Santa Catarina</v>
          </cell>
          <cell r="AR331" t="str">
            <v>[não vai para as abas de projeto e subprojeto] Não UC/UAR. Não é investimento.</v>
          </cell>
          <cell r="AS331" t="str">
            <v>x</v>
          </cell>
          <cell r="AT331">
            <v>0</v>
          </cell>
        </row>
        <row r="332">
          <cell r="B332" t="str">
            <v>COO1359</v>
          </cell>
          <cell r="C332" t="str">
            <v>OOGR.S</v>
          </cell>
          <cell r="D332" t="str">
            <v>OOTM.F-OS-2025-I-0319</v>
          </cell>
          <cell r="E332" t="str">
            <v>S-2025-G-0039</v>
          </cell>
          <cell r="F332" t="str">
            <v>S-2025-G-253</v>
          </cell>
          <cell r="G332" t="str">
            <v>Eletrosul</v>
          </cell>
          <cell r="H332" t="str">
            <v>Nova Demanda</v>
          </cell>
          <cell r="I332" t="str">
            <v>Aquisição de inversor de frequência para o sistema de alimentação initerrupta da PCH Barra do Rio Chapéu</v>
          </cell>
          <cell r="J332" t="str">
            <v>UHBC - Substituição do inversor de frequência e quadro de iluminação initerrupta da casa de força da PCH Barra do Rio Chapéu</v>
          </cell>
          <cell r="K332" t="str">
            <v>UHBC - Substituição do inversor de frequência e quadro de iluminação initerrupta da casa de força da PCH Barra do Rio Chapéu</v>
          </cell>
          <cell r="L332" t="str">
            <v>SO10201003</v>
          </cell>
          <cell r="M332" t="str">
            <v>PCH Barra do Rio Chapéu</v>
          </cell>
          <cell r="N332" t="str">
            <v>Geração</v>
          </cell>
          <cell r="O332" t="str">
            <v>Modernização de pequeno porte</v>
          </cell>
          <cell r="P332" t="str">
            <v>Modernização de pequeno porte</v>
          </cell>
          <cell r="Q332" t="str">
            <v>SGHI.0001</v>
          </cell>
          <cell r="R332" t="str">
            <v>Manutenção da Geração Hidráulica</v>
          </cell>
          <cell r="S332">
            <v>0</v>
          </cell>
          <cell r="T332">
            <v>0</v>
          </cell>
          <cell r="U332">
            <v>0</v>
          </cell>
          <cell r="V332">
            <v>0</v>
          </cell>
          <cell r="W332">
            <v>0</v>
          </cell>
          <cell r="X332">
            <v>0</v>
          </cell>
          <cell r="Y332">
            <v>15000</v>
          </cell>
          <cell r="Z332"/>
          <cell r="AA332">
            <v>0</v>
          </cell>
          <cell r="AB332">
            <v>0</v>
          </cell>
          <cell r="AC332">
            <v>0</v>
          </cell>
          <cell r="AD332">
            <v>0</v>
          </cell>
          <cell r="AE332">
            <v>15000</v>
          </cell>
          <cell r="AF332"/>
          <cell r="AG332"/>
          <cell r="AH332"/>
          <cell r="AI332" t="str">
            <v xml:space="preserve">                              </v>
          </cell>
          <cell r="AJ332">
            <v>15000</v>
          </cell>
          <cell r="AK332">
            <v>0</v>
          </cell>
          <cell r="AL332">
            <v>0</v>
          </cell>
          <cell r="AM332">
            <v>0</v>
          </cell>
          <cell r="AN332">
            <v>0</v>
          </cell>
          <cell r="AO332">
            <v>0</v>
          </cell>
          <cell r="AP332">
            <v>15000</v>
          </cell>
          <cell r="AQ332" t="str">
            <v>Santa Catarina</v>
          </cell>
          <cell r="AT332">
            <v>0</v>
          </cell>
        </row>
        <row r="333">
          <cell r="B333" t="str">
            <v>COO1360</v>
          </cell>
          <cell r="C333" t="str">
            <v>OOGR.S</v>
          </cell>
          <cell r="D333" t="str">
            <v>OOGR.S-S-2025-I-0288</v>
          </cell>
          <cell r="E333" t="str">
            <v>S-2025-G-0040</v>
          </cell>
          <cell r="F333" t="str">
            <v>S-2025-G-247</v>
          </cell>
          <cell r="G333" t="str">
            <v>Eletrosul</v>
          </cell>
          <cell r="H333" t="str">
            <v>Nova Demanda</v>
          </cell>
          <cell r="I333" t="str">
            <v>Modernização do sistema de água bruta da PCH Barra do Rio Chapéu</v>
          </cell>
          <cell r="J333" t="str">
            <v>UHBC - Substituição dos filtros de água bruta da PCH Barra do Rio Chapéu</v>
          </cell>
          <cell r="K333" t="str">
            <v>UHBC - Substituição dos filtros de água bruta da PCH Barra do Rio Chapéu</v>
          </cell>
          <cell r="L333" t="str">
            <v>SO10201003</v>
          </cell>
          <cell r="M333" t="str">
            <v>PCH Barra do Rio Chapéu</v>
          </cell>
          <cell r="N333" t="str">
            <v>Geração</v>
          </cell>
          <cell r="O333" t="str">
            <v>Modernização de pequeno porte</v>
          </cell>
          <cell r="P333" t="str">
            <v>Modernização de pequeno porte</v>
          </cell>
          <cell r="Q333" t="str">
            <v>SGHI.0001</v>
          </cell>
          <cell r="R333" t="str">
            <v>Manutenção da Geração Hidráulica</v>
          </cell>
          <cell r="S333">
            <v>0</v>
          </cell>
          <cell r="T333">
            <v>0</v>
          </cell>
          <cell r="U333">
            <v>0</v>
          </cell>
          <cell r="V333">
            <v>0</v>
          </cell>
          <cell r="W333">
            <v>0</v>
          </cell>
          <cell r="X333">
            <v>0</v>
          </cell>
          <cell r="Y333">
            <v>0</v>
          </cell>
          <cell r="Z333">
            <v>0</v>
          </cell>
          <cell r="AA333">
            <v>25000</v>
          </cell>
          <cell r="AB333">
            <v>25000</v>
          </cell>
          <cell r="AC333">
            <v>0</v>
          </cell>
          <cell r="AD333">
            <v>0</v>
          </cell>
          <cell r="AE333">
            <v>50000</v>
          </cell>
          <cell r="AF333"/>
          <cell r="AG333"/>
          <cell r="AH333"/>
          <cell r="AI333" t="str">
            <v xml:space="preserve">                              </v>
          </cell>
          <cell r="AJ333">
            <v>50000</v>
          </cell>
          <cell r="AK333">
            <v>0</v>
          </cell>
          <cell r="AL333">
            <v>0</v>
          </cell>
          <cell r="AM333">
            <v>0</v>
          </cell>
          <cell r="AN333">
            <v>0</v>
          </cell>
          <cell r="AO333">
            <v>0</v>
          </cell>
          <cell r="AP333">
            <v>50000</v>
          </cell>
          <cell r="AQ333" t="str">
            <v>Santa Catarina</v>
          </cell>
          <cell r="AT333">
            <v>0</v>
          </cell>
        </row>
        <row r="334">
          <cell r="B334" t="str">
            <v>COO1361</v>
          </cell>
          <cell r="C334" t="str">
            <v>OOGR.S</v>
          </cell>
          <cell r="D334" t="str">
            <v>OOGS.S-S-2025-I-0273</v>
          </cell>
          <cell r="E334" t="str">
            <v>S-2025-G-0062</v>
          </cell>
          <cell r="F334" t="str">
            <v>S-2025-G-277</v>
          </cell>
          <cell r="G334" t="str">
            <v>Eletrosul</v>
          </cell>
          <cell r="H334" t="str">
            <v>Nova Demanda</v>
          </cell>
          <cell r="I334" t="str">
            <v>Adequação civil das estruturas e acessos da casa de força da PCH Barra do Rio Chapéu</v>
          </cell>
          <cell r="J334" t="str">
            <v>UHBC - Substituição dos portões de acesso a casa de força da PCH Barra do Rio Chapéu</v>
          </cell>
          <cell r="K334" t="str">
            <v>UHBC - Substituição dos portões de acesso a casa de força da PCH Barra do Rio Chapéu</v>
          </cell>
          <cell r="L334" t="str">
            <v>SO10201003</v>
          </cell>
          <cell r="M334" t="str">
            <v>PCH Barra do Rio Chapéu</v>
          </cell>
          <cell r="N334" t="str">
            <v>Geração</v>
          </cell>
          <cell r="O334" t="str">
            <v>Modernização de pequeno porte</v>
          </cell>
          <cell r="P334" t="str">
            <v>Modernização de pequeno porte</v>
          </cell>
          <cell r="Q334" t="str">
            <v>SGHI.0001</v>
          </cell>
          <cell r="R334" t="str">
            <v>Manutenção da Geração Hidráulica</v>
          </cell>
          <cell r="S334">
            <v>0</v>
          </cell>
          <cell r="T334">
            <v>0</v>
          </cell>
          <cell r="U334">
            <v>0</v>
          </cell>
          <cell r="V334">
            <v>0</v>
          </cell>
          <cell r="W334">
            <v>0</v>
          </cell>
          <cell r="X334">
            <v>0</v>
          </cell>
          <cell r="Y334">
            <v>0</v>
          </cell>
          <cell r="Z334">
            <v>0</v>
          </cell>
          <cell r="AA334">
            <v>80000</v>
          </cell>
          <cell r="AB334">
            <v>0</v>
          </cell>
          <cell r="AC334">
            <v>0</v>
          </cell>
          <cell r="AD334">
            <v>0</v>
          </cell>
          <cell r="AE334">
            <v>80000</v>
          </cell>
          <cell r="AF334"/>
          <cell r="AG334"/>
          <cell r="AH334"/>
          <cell r="AI334" t="str">
            <v xml:space="preserve">                              </v>
          </cell>
          <cell r="AJ334">
            <v>80000</v>
          </cell>
          <cell r="AK334">
            <v>0</v>
          </cell>
          <cell r="AL334">
            <v>0</v>
          </cell>
          <cell r="AM334">
            <v>0</v>
          </cell>
          <cell r="AN334">
            <v>0</v>
          </cell>
          <cell r="AO334">
            <v>0</v>
          </cell>
          <cell r="AP334">
            <v>80000</v>
          </cell>
          <cell r="AQ334" t="str">
            <v>Santa Catarina</v>
          </cell>
          <cell r="AT334">
            <v>0</v>
          </cell>
        </row>
        <row r="335">
          <cell r="B335" t="str">
            <v>COO1362</v>
          </cell>
          <cell r="C335" t="str">
            <v>OOGR.S</v>
          </cell>
          <cell r="D335" t="str">
            <v>OOGR.S-S-2025-I-0191</v>
          </cell>
          <cell r="E335" t="str">
            <v>S-2025-G-0038</v>
          </cell>
          <cell r="F335" t="str">
            <v>S-2025-G-271</v>
          </cell>
          <cell r="G335" t="str">
            <v>Eletrosul</v>
          </cell>
          <cell r="H335" t="str">
            <v>Nova Demanda</v>
          </cell>
          <cell r="I335" t="str">
            <v>Modernização no sistema de drenagem da PCH Barra do Rio Chapéu</v>
          </cell>
          <cell r="J335" t="str">
            <v>UHBC- Melhoria no sistema de drenagem PCH Barra do RIo Chapéu</v>
          </cell>
          <cell r="K335" t="str">
            <v>UHBC- Melhoria no sistema de drenagem PCH Barra do RIo Chapéu</v>
          </cell>
          <cell r="L335" t="str">
            <v>SO10201003</v>
          </cell>
          <cell r="M335" t="str">
            <v>PCH Barra do Rio Chapéu</v>
          </cell>
          <cell r="N335" t="str">
            <v>Geração</v>
          </cell>
          <cell r="O335" t="str">
            <v>Modernização de pequeno porte</v>
          </cell>
          <cell r="P335" t="str">
            <v>Modernização de pequeno porte</v>
          </cell>
          <cell r="Q335" t="str">
            <v>SGHI.0001</v>
          </cell>
          <cell r="R335" t="str">
            <v>Infraestrutura - Bens imóveis</v>
          </cell>
          <cell r="S335">
            <v>0</v>
          </cell>
          <cell r="T335">
            <v>0</v>
          </cell>
          <cell r="U335">
            <v>0</v>
          </cell>
          <cell r="V335">
            <v>50000</v>
          </cell>
          <cell r="W335">
            <v>50000</v>
          </cell>
          <cell r="X335">
            <v>50000</v>
          </cell>
          <cell r="Y335">
            <v>50000</v>
          </cell>
          <cell r="Z335"/>
          <cell r="AA335">
            <v>0</v>
          </cell>
          <cell r="AB335">
            <v>0</v>
          </cell>
          <cell r="AC335">
            <v>0</v>
          </cell>
          <cell r="AD335">
            <v>0</v>
          </cell>
          <cell r="AE335">
            <v>200000</v>
          </cell>
          <cell r="AF335"/>
          <cell r="AG335"/>
          <cell r="AH335"/>
          <cell r="AI335" t="str">
            <v xml:space="preserve">                              </v>
          </cell>
          <cell r="AJ335">
            <v>200000</v>
          </cell>
          <cell r="AK335">
            <v>0</v>
          </cell>
          <cell r="AL335">
            <v>0</v>
          </cell>
          <cell r="AM335">
            <v>0</v>
          </cell>
          <cell r="AN335">
            <v>0</v>
          </cell>
          <cell r="AO335">
            <v>0</v>
          </cell>
          <cell r="AP335">
            <v>200000</v>
          </cell>
          <cell r="AQ335" t="str">
            <v>Santa Catarina</v>
          </cell>
          <cell r="AT335">
            <v>0</v>
          </cell>
        </row>
        <row r="336">
          <cell r="B336" t="str">
            <v>COO1363</v>
          </cell>
          <cell r="C336" t="str">
            <v>OOGR.S</v>
          </cell>
          <cell r="D336" t="str">
            <v>OOGN.S-S-2025-I-0117</v>
          </cell>
          <cell r="E336" t="str">
            <v>S-2025-G-0067</v>
          </cell>
          <cell r="F336" t="str">
            <v>S-2025-G-237</v>
          </cell>
          <cell r="G336" t="str">
            <v>Eletrosul</v>
          </cell>
          <cell r="H336" t="str">
            <v>Nova Demanda</v>
          </cell>
          <cell r="I336" t="str">
            <v>Adequação de segurança das instalações da PCH João Borges</v>
          </cell>
          <cell r="J336" t="str">
            <v>UHJB - Ampliação predial das instalações da UHJB</v>
          </cell>
          <cell r="K336" t="str">
            <v>UHJB - Ampliação predial das instalações da UHJB</v>
          </cell>
          <cell r="L336" t="str">
            <v>SO10202003</v>
          </cell>
          <cell r="M336" t="str">
            <v>PCH João Borges</v>
          </cell>
          <cell r="N336" t="str">
            <v>Geração</v>
          </cell>
          <cell r="O336" t="str">
            <v>Modernização de pequeno porte</v>
          </cell>
          <cell r="P336" t="str">
            <v>Modernização de pequeno porte</v>
          </cell>
          <cell r="Q336" t="str">
            <v>SGHI.0001</v>
          </cell>
          <cell r="R336" t="str">
            <v>Manutenção da Geração Hidráulica</v>
          </cell>
          <cell r="S336">
            <v>0</v>
          </cell>
          <cell r="T336">
            <v>0</v>
          </cell>
          <cell r="U336">
            <v>0</v>
          </cell>
          <cell r="V336">
            <v>500000</v>
          </cell>
          <cell r="W336">
            <v>0</v>
          </cell>
          <cell r="X336">
            <v>0</v>
          </cell>
          <cell r="Y336">
            <v>0</v>
          </cell>
          <cell r="Z336">
            <v>0</v>
          </cell>
          <cell r="AA336">
            <v>0</v>
          </cell>
          <cell r="AB336">
            <v>0</v>
          </cell>
          <cell r="AC336">
            <v>0</v>
          </cell>
          <cell r="AD336">
            <v>0</v>
          </cell>
          <cell r="AE336">
            <v>500000</v>
          </cell>
          <cell r="AF336"/>
          <cell r="AG336"/>
          <cell r="AH336"/>
          <cell r="AI336" t="str">
            <v xml:space="preserve">                              </v>
          </cell>
          <cell r="AJ336">
            <v>500000</v>
          </cell>
          <cell r="AK336">
            <v>0</v>
          </cell>
          <cell r="AL336">
            <v>0</v>
          </cell>
          <cell r="AM336">
            <v>0</v>
          </cell>
          <cell r="AN336">
            <v>0</v>
          </cell>
          <cell r="AO336">
            <v>0</v>
          </cell>
          <cell r="AP336">
            <v>500000</v>
          </cell>
          <cell r="AQ336" t="str">
            <v>Santa Catarina</v>
          </cell>
          <cell r="AT336">
            <v>0</v>
          </cell>
        </row>
        <row r="337">
          <cell r="B337" t="str">
            <v>COO1364</v>
          </cell>
          <cell r="C337" t="str">
            <v>OOGR.S</v>
          </cell>
          <cell r="D337" t="str">
            <v>OOTM.F-OS-2025-I-0430</v>
          </cell>
          <cell r="E337" t="str">
            <v>S-2025-G-0071</v>
          </cell>
          <cell r="F337" t="str">
            <v>S-2025-G-244</v>
          </cell>
          <cell r="G337" t="str">
            <v>Eletrosul</v>
          </cell>
          <cell r="H337" t="str">
            <v>Nova Demanda</v>
          </cell>
          <cell r="I337" t="str">
            <v>Adequação civil das estruturas e acessos da casa de força da UHE Passo São João</v>
          </cell>
          <cell r="J337" t="str">
            <v>UHPJ - Aquisição de sisetma de controle de Acesso a área de risco alocadas em Usinas Hidrelétricas em conformidade ao processo de auditoria, quesitos de segurança, da ANEEL ( DARDO )</v>
          </cell>
          <cell r="K337" t="str">
            <v>UHPJ - Aquisição de sisetma de controle de Acesso a área de risco alocadas em Usinas Hidrelétricas em conformidade ao processo de auditoria, quesitos de segurança, da ANEEL ( DARDO )</v>
          </cell>
          <cell r="L337" t="str">
            <v>SO10102003</v>
          </cell>
          <cell r="M337" t="str">
            <v>UHE Passo São João</v>
          </cell>
          <cell r="N337" t="str">
            <v>Geração</v>
          </cell>
          <cell r="O337" t="str">
            <v>Modernização de pequeno porte</v>
          </cell>
          <cell r="P337" t="str">
            <v>Modernização de pequeno porte</v>
          </cell>
          <cell r="Q337" t="str">
            <v>SGHI.0001</v>
          </cell>
          <cell r="R337" t="str">
            <v>Manutenção da Geração Hidráulica</v>
          </cell>
          <cell r="S337">
            <v>0</v>
          </cell>
          <cell r="T337">
            <v>0</v>
          </cell>
          <cell r="U337">
            <v>0</v>
          </cell>
          <cell r="V337">
            <v>0</v>
          </cell>
          <cell r="W337">
            <v>7500</v>
          </cell>
          <cell r="X337">
            <v>0</v>
          </cell>
          <cell r="Y337">
            <v>0</v>
          </cell>
          <cell r="Z337">
            <v>0</v>
          </cell>
          <cell r="AA337">
            <v>0</v>
          </cell>
          <cell r="AB337">
            <v>0</v>
          </cell>
          <cell r="AC337">
            <v>0</v>
          </cell>
          <cell r="AD337">
            <v>0</v>
          </cell>
          <cell r="AE337">
            <v>7500</v>
          </cell>
          <cell r="AF337"/>
          <cell r="AG337"/>
          <cell r="AH337"/>
          <cell r="AI337" t="str">
            <v xml:space="preserve">                              </v>
          </cell>
          <cell r="AJ337">
            <v>7500</v>
          </cell>
          <cell r="AK337">
            <v>0</v>
          </cell>
          <cell r="AL337">
            <v>0</v>
          </cell>
          <cell r="AM337">
            <v>0</v>
          </cell>
          <cell r="AN337">
            <v>0</v>
          </cell>
          <cell r="AO337">
            <v>0</v>
          </cell>
          <cell r="AP337">
            <v>7500</v>
          </cell>
          <cell r="AQ337" t="str">
            <v>Rio Grande do Sul</v>
          </cell>
          <cell r="AT337">
            <v>0</v>
          </cell>
        </row>
        <row r="338">
          <cell r="B338" t="str">
            <v>COO1365</v>
          </cell>
          <cell r="C338" t="str">
            <v>OOGR.S</v>
          </cell>
          <cell r="D338" t="str">
            <v>OOGN.S-S-2025-I-0262</v>
          </cell>
          <cell r="E338" t="str">
            <v>S-2025-G-0065</v>
          </cell>
          <cell r="F338" t="str">
            <v>S-2025-G-270</v>
          </cell>
          <cell r="G338" t="str">
            <v>Eletrosul</v>
          </cell>
          <cell r="H338" t="str">
            <v>Nova Demanda</v>
          </cell>
          <cell r="I338" t="str">
            <v>Adequação do plano de prevenção contra incêndio da UHE Passo São João</v>
          </cell>
          <cell r="J338" t="str">
            <v>UHPJ - Atualização do PPCI de acordo com projeto aprovado</v>
          </cell>
          <cell r="K338" t="str">
            <v>UHPJ - Atualização do PPCI de acordo com projeto aprovado</v>
          </cell>
          <cell r="L338" t="str">
            <v>SO10102003</v>
          </cell>
          <cell r="M338" t="str">
            <v>UHE Passo São João</v>
          </cell>
          <cell r="N338" t="str">
            <v>Geração</v>
          </cell>
          <cell r="O338" t="str">
            <v>Modernização de pequeno porte</v>
          </cell>
          <cell r="P338" t="str">
            <v>Modernização de pequeno porte</v>
          </cell>
          <cell r="Q338" t="str">
            <v>SGHI.0001</v>
          </cell>
          <cell r="R338" t="str">
            <v>Manutenção da Geração Hidráulica</v>
          </cell>
          <cell r="S338">
            <v>0</v>
          </cell>
          <cell r="T338">
            <v>0</v>
          </cell>
          <cell r="U338">
            <v>0</v>
          </cell>
          <cell r="V338">
            <v>0</v>
          </cell>
          <cell r="W338">
            <v>0</v>
          </cell>
          <cell r="X338">
            <v>95000</v>
          </cell>
          <cell r="Y338">
            <v>0</v>
          </cell>
          <cell r="Z338">
            <v>0</v>
          </cell>
          <cell r="AA338">
            <v>0</v>
          </cell>
          <cell r="AB338">
            <v>0</v>
          </cell>
          <cell r="AC338">
            <v>0</v>
          </cell>
          <cell r="AD338">
            <v>0</v>
          </cell>
          <cell r="AE338">
            <v>95000</v>
          </cell>
          <cell r="AF338"/>
          <cell r="AG338"/>
          <cell r="AH338"/>
          <cell r="AI338" t="str">
            <v xml:space="preserve">                              </v>
          </cell>
          <cell r="AJ338">
            <v>95000</v>
          </cell>
          <cell r="AK338">
            <v>0</v>
          </cell>
          <cell r="AL338">
            <v>0</v>
          </cell>
          <cell r="AM338">
            <v>0</v>
          </cell>
          <cell r="AN338">
            <v>0</v>
          </cell>
          <cell r="AO338">
            <v>0</v>
          </cell>
          <cell r="AP338">
            <v>95000</v>
          </cell>
          <cell r="AQ338" t="str">
            <v>Rio Grande do Sul</v>
          </cell>
          <cell r="AT338">
            <v>0</v>
          </cell>
        </row>
        <row r="339">
          <cell r="B339" t="str">
            <v>COO1366</v>
          </cell>
          <cell r="C339" t="str">
            <v>OOGR.S</v>
          </cell>
          <cell r="D339" t="str">
            <v>OOGR.S-S-2025-I-0306</v>
          </cell>
          <cell r="E339" t="str">
            <v>S-2025-G-0064</v>
          </cell>
          <cell r="F339" t="str">
            <v>S-2025-G-238</v>
          </cell>
          <cell r="G339" t="str">
            <v>Eletrosul</v>
          </cell>
          <cell r="H339" t="str">
            <v>Nova Demanda</v>
          </cell>
          <cell r="I339" t="str">
            <v>Adequação de segurança das instalações do canal de fuga da UHE Passo São João</v>
          </cell>
          <cell r="J339" t="str">
            <v>UHPJ - Confecção de alambrado junto ao canal de fuga do Vertedoro</v>
          </cell>
          <cell r="K339" t="str">
            <v>UHPJ - Confecção de alambrado junto ao canal de fuga do Vertedoro</v>
          </cell>
          <cell r="L339" t="str">
            <v>SO10102001</v>
          </cell>
          <cell r="M339" t="str">
            <v>UHE Passo São João</v>
          </cell>
          <cell r="N339" t="str">
            <v>Geração</v>
          </cell>
          <cell r="O339" t="str">
            <v>Modernização de pequeno porte</v>
          </cell>
          <cell r="P339" t="str">
            <v>Modernização de pequeno porte</v>
          </cell>
          <cell r="Q339" t="str">
            <v>SGHI.0001</v>
          </cell>
          <cell r="R339" t="str">
            <v>Infraestrutura - Bens imóveis</v>
          </cell>
          <cell r="S339">
            <v>0</v>
          </cell>
          <cell r="T339">
            <v>0</v>
          </cell>
          <cell r="U339">
            <v>0</v>
          </cell>
          <cell r="V339">
            <v>0</v>
          </cell>
          <cell r="W339">
            <v>25000</v>
          </cell>
          <cell r="X339">
            <v>0</v>
          </cell>
          <cell r="Y339">
            <v>0</v>
          </cell>
          <cell r="Z339">
            <v>0</v>
          </cell>
          <cell r="AA339">
            <v>0</v>
          </cell>
          <cell r="AB339">
            <v>0</v>
          </cell>
          <cell r="AC339">
            <v>0</v>
          </cell>
          <cell r="AD339">
            <v>0</v>
          </cell>
          <cell r="AE339">
            <v>25000</v>
          </cell>
          <cell r="AF339"/>
          <cell r="AG339"/>
          <cell r="AH339"/>
          <cell r="AI339" t="str">
            <v xml:space="preserve">                              </v>
          </cell>
          <cell r="AJ339">
            <v>25000</v>
          </cell>
          <cell r="AK339">
            <v>0</v>
          </cell>
          <cell r="AL339">
            <v>0</v>
          </cell>
          <cell r="AM339">
            <v>0</v>
          </cell>
          <cell r="AN339">
            <v>0</v>
          </cell>
          <cell r="AO339">
            <v>0</v>
          </cell>
          <cell r="AP339">
            <v>25000</v>
          </cell>
          <cell r="AQ339" t="str">
            <v>Rio Grande do Sul</v>
          </cell>
          <cell r="AT339">
            <v>0</v>
          </cell>
        </row>
        <row r="340">
          <cell r="B340" t="str">
            <v>COO1367</v>
          </cell>
          <cell r="C340" t="str">
            <v>OOGR.S</v>
          </cell>
          <cell r="D340" t="str">
            <v>OOGSI.F-OS-2025-I-0010</v>
          </cell>
          <cell r="E340" t="str">
            <v>S-2025-G-0070</v>
          </cell>
          <cell r="F340" t="str">
            <v>S-2025-G-239</v>
          </cell>
          <cell r="G340" t="str">
            <v>Eletrosul</v>
          </cell>
          <cell r="H340" t="str">
            <v>Nova Demanda</v>
          </cell>
          <cell r="I340" t="str">
            <v>Adequação de segurança das instalações do vertedouro da UHE Passo São João</v>
          </cell>
          <cell r="J340" t="str">
            <v>UHPJ - Construção de Portão para interrupção do acesso ao Vertedoruo</v>
          </cell>
          <cell r="K340" t="str">
            <v>UHPJ - Construção de Portão para interrupção do acesso ao Vertedoruo</v>
          </cell>
          <cell r="L340" t="str">
            <v>SO10102003</v>
          </cell>
          <cell r="M340" t="str">
            <v>UHE Passo São João</v>
          </cell>
          <cell r="N340" t="str">
            <v>Geração</v>
          </cell>
          <cell r="O340" t="str">
            <v>Modernização de pequeno porte</v>
          </cell>
          <cell r="P340" t="str">
            <v>Modernização de pequeno porte</v>
          </cell>
          <cell r="Q340" t="str">
            <v>SGHI.0001</v>
          </cell>
          <cell r="R340" t="str">
            <v>Manutenção da Geração Hidráulica</v>
          </cell>
          <cell r="S340">
            <v>0</v>
          </cell>
          <cell r="T340">
            <v>0</v>
          </cell>
          <cell r="U340">
            <v>0</v>
          </cell>
          <cell r="V340">
            <v>0</v>
          </cell>
          <cell r="W340">
            <v>20000</v>
          </cell>
          <cell r="X340">
            <v>0</v>
          </cell>
          <cell r="Y340">
            <v>0</v>
          </cell>
          <cell r="Z340">
            <v>0</v>
          </cell>
          <cell r="AA340">
            <v>0</v>
          </cell>
          <cell r="AB340">
            <v>0</v>
          </cell>
          <cell r="AC340">
            <v>0</v>
          </cell>
          <cell r="AD340">
            <v>0</v>
          </cell>
          <cell r="AE340">
            <v>20000</v>
          </cell>
          <cell r="AF340"/>
          <cell r="AG340"/>
          <cell r="AH340"/>
          <cell r="AI340" t="str">
            <v xml:space="preserve">                              </v>
          </cell>
          <cell r="AJ340">
            <v>20000</v>
          </cell>
          <cell r="AK340">
            <v>0</v>
          </cell>
          <cell r="AL340">
            <v>0</v>
          </cell>
          <cell r="AM340">
            <v>0</v>
          </cell>
          <cell r="AN340">
            <v>0</v>
          </cell>
          <cell r="AO340">
            <v>0</v>
          </cell>
          <cell r="AP340">
            <v>20000</v>
          </cell>
          <cell r="AQ340" t="str">
            <v>Rio Grande do Sul</v>
          </cell>
          <cell r="AR340" t="str">
            <v>[não vai para as abas de projeto e subprojeto] Não é UC/UAR. Trata-se de infraestrutura.</v>
          </cell>
          <cell r="AS340" t="str">
            <v>x</v>
          </cell>
          <cell r="AT340">
            <v>0</v>
          </cell>
        </row>
        <row r="341">
          <cell r="B341" t="str">
            <v>COO1368</v>
          </cell>
          <cell r="C341" t="str">
            <v>OOGR.S</v>
          </cell>
          <cell r="D341" t="str">
            <v>OOGS.S-S-2025-I-0230</v>
          </cell>
          <cell r="E341" t="str">
            <v>S-2025-G-0066</v>
          </cell>
          <cell r="F341" t="str">
            <v>S-2025-G-248</v>
          </cell>
          <cell r="G341" t="str">
            <v>Eletrosul</v>
          </cell>
          <cell r="H341" t="str">
            <v>Nova Demanda</v>
          </cell>
          <cell r="I341" t="str">
            <v>Modernização do sistema de iluminação da UHE Passo São João</v>
          </cell>
          <cell r="J341" t="str">
            <v>UHPJ - Implantação de IP tipo  Pétalas LED para Iluminação Pública do anel viário e TransforamdoreP</v>
          </cell>
          <cell r="K341" t="str">
            <v>UHPJ - Implantação de IP tipo  Pétalas LED para Iluminação Pública do anel viário e TransforamdoreP</v>
          </cell>
          <cell r="L341" t="str">
            <v>SO10102003</v>
          </cell>
          <cell r="M341" t="str">
            <v>UHE Passo São João</v>
          </cell>
          <cell r="N341" t="str">
            <v>Geração</v>
          </cell>
          <cell r="O341" t="str">
            <v>Modernização de pequeno porte</v>
          </cell>
          <cell r="P341" t="str">
            <v>Modernização de pequeno porte</v>
          </cell>
          <cell r="Q341" t="str">
            <v>SGHI.0001</v>
          </cell>
          <cell r="R341" t="str">
            <v>Manutenção da Geração Hidráulica</v>
          </cell>
          <cell r="S341">
            <v>0</v>
          </cell>
          <cell r="T341">
            <v>0</v>
          </cell>
          <cell r="U341">
            <v>0</v>
          </cell>
          <cell r="V341">
            <v>0</v>
          </cell>
          <cell r="W341">
            <v>0</v>
          </cell>
          <cell r="X341">
            <v>0</v>
          </cell>
          <cell r="Y341">
            <v>110000</v>
          </cell>
          <cell r="Z341"/>
          <cell r="AA341">
            <v>0</v>
          </cell>
          <cell r="AB341">
            <v>0</v>
          </cell>
          <cell r="AC341">
            <v>0</v>
          </cell>
          <cell r="AD341">
            <v>0</v>
          </cell>
          <cell r="AE341">
            <v>110000</v>
          </cell>
          <cell r="AF341"/>
          <cell r="AG341"/>
          <cell r="AH341"/>
          <cell r="AI341" t="str">
            <v xml:space="preserve">                              </v>
          </cell>
          <cell r="AJ341">
            <v>110000</v>
          </cell>
          <cell r="AK341">
            <v>0</v>
          </cell>
          <cell r="AL341">
            <v>0</v>
          </cell>
          <cell r="AM341">
            <v>0</v>
          </cell>
          <cell r="AN341">
            <v>0</v>
          </cell>
          <cell r="AO341">
            <v>0</v>
          </cell>
          <cell r="AP341">
            <v>110000</v>
          </cell>
          <cell r="AQ341" t="str">
            <v>Rio Grande do Sul</v>
          </cell>
          <cell r="AT341">
            <v>0</v>
          </cell>
        </row>
        <row r="342">
          <cell r="B342" t="str">
            <v>COO1369</v>
          </cell>
          <cell r="C342" t="str">
            <v>OOGR.S</v>
          </cell>
          <cell r="D342" t="str">
            <v>OOGR.S-S-2025-I-0181</v>
          </cell>
          <cell r="E342" t="str">
            <v>S-2025-G-0036</v>
          </cell>
          <cell r="F342" t="str">
            <v>S-2025-G-273</v>
          </cell>
          <cell r="G342" t="str">
            <v>Eletrosul</v>
          </cell>
          <cell r="H342" t="str">
            <v>Nova Demanda</v>
          </cell>
          <cell r="I342" t="str">
            <v>Adequação das estruturas civis do Circuito de Geração da UHE Passo São João</v>
          </cell>
          <cell r="J342" t="str">
            <v>UHPJ - Revitalização Geral das estruturas Civis de geração</v>
          </cell>
          <cell r="K342" t="str">
            <v>UHPJ - Revitalização Geral das estruturas Civis de geração</v>
          </cell>
          <cell r="L342" t="str">
            <v>SO10102003</v>
          </cell>
          <cell r="M342" t="str">
            <v>UHE Passo São João</v>
          </cell>
          <cell r="N342" t="str">
            <v>Geração</v>
          </cell>
          <cell r="O342" t="str">
            <v>Modernização de pequeno porte</v>
          </cell>
          <cell r="P342" t="str">
            <v>Modernização de pequeno porte</v>
          </cell>
          <cell r="Q342" t="str">
            <v>SGHI.0001</v>
          </cell>
          <cell r="R342" t="str">
            <v>Infraestrutura - Bens imóveis</v>
          </cell>
          <cell r="S342">
            <v>0</v>
          </cell>
          <cell r="T342">
            <v>0</v>
          </cell>
          <cell r="U342">
            <v>0</v>
          </cell>
          <cell r="V342">
            <v>0</v>
          </cell>
          <cell r="W342">
            <v>0</v>
          </cell>
          <cell r="X342">
            <v>0</v>
          </cell>
          <cell r="Y342">
            <v>0</v>
          </cell>
          <cell r="Z342">
            <v>0</v>
          </cell>
          <cell r="AA342">
            <v>0</v>
          </cell>
          <cell r="AB342">
            <v>0</v>
          </cell>
          <cell r="AC342">
            <v>210000</v>
          </cell>
          <cell r="AD342">
            <v>0</v>
          </cell>
          <cell r="AE342">
            <v>210000</v>
          </cell>
          <cell r="AF342"/>
          <cell r="AG342"/>
          <cell r="AH342"/>
          <cell r="AI342" t="str">
            <v xml:space="preserve">                              </v>
          </cell>
          <cell r="AJ342">
            <v>210000</v>
          </cell>
          <cell r="AK342">
            <v>0</v>
          </cell>
          <cell r="AL342">
            <v>0</v>
          </cell>
          <cell r="AM342">
            <v>0</v>
          </cell>
          <cell r="AN342">
            <v>0</v>
          </cell>
          <cell r="AO342">
            <v>0</v>
          </cell>
          <cell r="AP342">
            <v>210000</v>
          </cell>
          <cell r="AQ342" t="str">
            <v>Rio Grande do Sul</v>
          </cell>
          <cell r="AT342">
            <v>0</v>
          </cell>
        </row>
        <row r="343">
          <cell r="B343" t="str">
            <v>COO1370</v>
          </cell>
          <cell r="C343" t="str">
            <v>OOGR.S</v>
          </cell>
          <cell r="D343" t="str">
            <v>OOGR.S-S-2025-I-0290</v>
          </cell>
          <cell r="E343" t="str">
            <v>S-2025-G-0069</v>
          </cell>
          <cell r="F343" t="str">
            <v>S-2025-G-258</v>
          </cell>
          <cell r="G343" t="str">
            <v>Eletrosul</v>
          </cell>
          <cell r="H343" t="str">
            <v>Nova Demanda</v>
          </cell>
          <cell r="I343" t="str">
            <v>Modernização de equipamentos de proteção, controle e acionamento da UHE Passo São João</v>
          </cell>
          <cell r="J343" t="str">
            <v>UHPJ - Troca de equipamentos essenciais com possibilidade de falhas</v>
          </cell>
          <cell r="K343" t="str">
            <v>UHPJ - Troca de equipamentos essenciais com possibilidade de falhas</v>
          </cell>
          <cell r="L343" t="str">
            <v>SO10102003</v>
          </cell>
          <cell r="M343" t="str">
            <v>UHE Passo São João</v>
          </cell>
          <cell r="N343" t="str">
            <v>Geração</v>
          </cell>
          <cell r="O343" t="str">
            <v>Modernização de pequeno porte</v>
          </cell>
          <cell r="P343" t="str">
            <v>Modernização de pequeno porte</v>
          </cell>
          <cell r="Q343" t="str">
            <v>SGHI.0001</v>
          </cell>
          <cell r="R343" t="str">
            <v>Manutenção da Geração Hidráulica</v>
          </cell>
          <cell r="S343">
            <v>0</v>
          </cell>
          <cell r="T343">
            <v>0</v>
          </cell>
          <cell r="U343">
            <v>0</v>
          </cell>
          <cell r="V343">
            <v>0</v>
          </cell>
          <cell r="W343">
            <v>0</v>
          </cell>
          <cell r="X343">
            <v>0</v>
          </cell>
          <cell r="Y343">
            <v>0</v>
          </cell>
          <cell r="Z343">
            <v>0</v>
          </cell>
          <cell r="AA343">
            <v>0</v>
          </cell>
          <cell r="AB343">
            <v>0</v>
          </cell>
          <cell r="AC343">
            <v>0</v>
          </cell>
          <cell r="AD343">
            <v>50000</v>
          </cell>
          <cell r="AE343">
            <v>50000</v>
          </cell>
          <cell r="AF343"/>
          <cell r="AG343"/>
          <cell r="AH343"/>
          <cell r="AI343" t="str">
            <v xml:space="preserve">                              </v>
          </cell>
          <cell r="AJ343">
            <v>50000</v>
          </cell>
          <cell r="AK343">
            <v>0</v>
          </cell>
          <cell r="AL343">
            <v>0</v>
          </cell>
          <cell r="AM343">
            <v>0</v>
          </cell>
          <cell r="AN343">
            <v>0</v>
          </cell>
          <cell r="AO343">
            <v>0</v>
          </cell>
          <cell r="AP343">
            <v>50000</v>
          </cell>
          <cell r="AQ343" t="str">
            <v>Rio Grande do Sul</v>
          </cell>
          <cell r="AT343">
            <v>0</v>
          </cell>
        </row>
        <row r="344">
          <cell r="B344" t="str">
            <v>COO1371</v>
          </cell>
          <cell r="C344" t="str">
            <v>OOGR.S</v>
          </cell>
          <cell r="D344" t="str">
            <v>OOGFU.F-OS-2025-I-0009</v>
          </cell>
          <cell r="E344" t="str">
            <v>S-2025-G-0073</v>
          </cell>
          <cell r="F344" t="str">
            <v>S-2025-G-240</v>
          </cell>
          <cell r="G344" t="str">
            <v>Eletrosul</v>
          </cell>
          <cell r="H344" t="str">
            <v>Nova Demanda</v>
          </cell>
          <cell r="I344" t="str">
            <v>Adequação de segurança das instalações eletromecânicas da UHE São Domingos</v>
          </cell>
          <cell r="J344" t="str">
            <v>UHSD - Ampliação da sala elétrica.</v>
          </cell>
          <cell r="K344" t="str">
            <v>UHSD - Ampliação da sala elétrica.</v>
          </cell>
          <cell r="L344" t="str">
            <v>SO10103003</v>
          </cell>
          <cell r="M344" t="str">
            <v>UHE São Domingos</v>
          </cell>
          <cell r="N344" t="str">
            <v>Geração</v>
          </cell>
          <cell r="O344" t="str">
            <v>Modernização de pequeno porte</v>
          </cell>
          <cell r="P344" t="str">
            <v>Modernização de pequeno porte</v>
          </cell>
          <cell r="Q344" t="str">
            <v>SGHI.0001</v>
          </cell>
          <cell r="R344" t="str">
            <v>Manutenção da Geração Hidráulica</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100000</v>
          </cell>
          <cell r="AG344"/>
          <cell r="AH344"/>
          <cell r="AI344" t="str">
            <v xml:space="preserve">                              </v>
          </cell>
          <cell r="AJ344">
            <v>100000</v>
          </cell>
          <cell r="AK344">
            <v>0</v>
          </cell>
          <cell r="AL344">
            <v>0</v>
          </cell>
          <cell r="AM344">
            <v>0</v>
          </cell>
          <cell r="AN344">
            <v>0</v>
          </cell>
          <cell r="AO344">
            <v>0</v>
          </cell>
          <cell r="AP344">
            <v>100000</v>
          </cell>
          <cell r="AQ344" t="str">
            <v>Mato Grosso do Sul</v>
          </cell>
          <cell r="AT344">
            <v>100000</v>
          </cell>
        </row>
        <row r="345">
          <cell r="B345" t="str">
            <v>COO1372</v>
          </cell>
          <cell r="C345" t="str">
            <v>OOGR.S</v>
          </cell>
          <cell r="D345" t="str">
            <v>OOXT-H-2025-I-0002</v>
          </cell>
          <cell r="E345" t="str">
            <v>S-2025-G-0059</v>
          </cell>
          <cell r="F345" t="str">
            <v>S-2025-G-246</v>
          </cell>
          <cell r="G345" t="str">
            <v>Eletrosul</v>
          </cell>
          <cell r="H345" t="str">
            <v>Nova Demanda</v>
          </cell>
          <cell r="I345" t="str">
            <v>Aquisição de cartões para o CLP do sistema de controle da tomada d'água da UHE São Domingos</v>
          </cell>
          <cell r="J345" t="str">
            <v>UHSD - Aquisição de 01 cartão de memória CLP Rexroth TAG</v>
          </cell>
          <cell r="K345" t="str">
            <v>UHSD - Aquisição de 01 cartão de memória CLP Rexroth TAG</v>
          </cell>
          <cell r="L345" t="str">
            <v>SO10103003</v>
          </cell>
          <cell r="M345" t="str">
            <v>UHE São Domingos</v>
          </cell>
          <cell r="N345" t="str">
            <v>Geração</v>
          </cell>
          <cell r="O345" t="str">
            <v>Modernização de pequeno porte</v>
          </cell>
          <cell r="P345" t="str">
            <v>Modernização de pequeno porte</v>
          </cell>
          <cell r="Q345" t="str">
            <v>SGHI.0001</v>
          </cell>
          <cell r="R345" t="str">
            <v>Manutenção da Geração Hidráulica</v>
          </cell>
          <cell r="S345">
            <v>7000</v>
          </cell>
          <cell r="T345">
            <v>0</v>
          </cell>
          <cell r="U345">
            <v>0</v>
          </cell>
          <cell r="V345">
            <v>0</v>
          </cell>
          <cell r="W345">
            <v>0</v>
          </cell>
          <cell r="X345">
            <v>7000</v>
          </cell>
          <cell r="Y345">
            <v>0</v>
          </cell>
          <cell r="Z345">
            <v>0</v>
          </cell>
          <cell r="AA345">
            <v>0</v>
          </cell>
          <cell r="AB345">
            <v>0</v>
          </cell>
          <cell r="AC345">
            <v>0</v>
          </cell>
          <cell r="AD345">
            <v>7000</v>
          </cell>
          <cell r="AE345">
            <v>21000</v>
          </cell>
          <cell r="AF345"/>
          <cell r="AG345"/>
          <cell r="AH345"/>
          <cell r="AI345"/>
          <cell r="AJ345">
            <v>21000</v>
          </cell>
          <cell r="AK345">
            <v>0</v>
          </cell>
          <cell r="AL345">
            <v>0</v>
          </cell>
          <cell r="AM345">
            <v>0</v>
          </cell>
          <cell r="AN345">
            <v>0</v>
          </cell>
          <cell r="AO345">
            <v>0</v>
          </cell>
          <cell r="AP345">
            <v>21000</v>
          </cell>
          <cell r="AQ345" t="str">
            <v>Mato Grosso do Sul</v>
          </cell>
          <cell r="AT345">
            <v>0</v>
          </cell>
        </row>
        <row r="346">
          <cell r="B346" t="str">
            <v>COO1373</v>
          </cell>
          <cell r="C346" t="str">
            <v>OOGR.S</v>
          </cell>
          <cell r="D346" t="str">
            <v>OOTM.F-OS-2025-I-0433</v>
          </cell>
          <cell r="E346" t="str">
            <v>S-2025-G-0084</v>
          </cell>
          <cell r="F346" t="str">
            <v>S-2025-G-254</v>
          </cell>
          <cell r="G346" t="str">
            <v>Eletrosul</v>
          </cell>
          <cell r="H346" t="str">
            <v>Nova Demanda</v>
          </cell>
          <cell r="I346" t="str">
            <v>Aquisição de inversor de tensão 12Vcc para a UHE São Domingos</v>
          </cell>
          <cell r="J346" t="str">
            <v>UHSD - Aquisição de 01 inversor de tensão 12Vcc para 220 Vca para susbstiruir gerador a gasolina.</v>
          </cell>
          <cell r="K346" t="str">
            <v>UHSD - Aquisição de 01 inversor de tensão 12Vcc para 220 Vca para susbstiruir gerador a gasolina.</v>
          </cell>
          <cell r="L346" t="str">
            <v>SO10103003</v>
          </cell>
          <cell r="M346" t="str">
            <v>UHE São Domingos</v>
          </cell>
          <cell r="N346" t="str">
            <v>Geração</v>
          </cell>
          <cell r="O346" t="str">
            <v>Modernização de pequeno porte</v>
          </cell>
          <cell r="P346" t="str">
            <v>Modernização de pequeno porte</v>
          </cell>
          <cell r="Q346" t="str">
            <v>SGHI.0001</v>
          </cell>
          <cell r="R346" t="str">
            <v>Manutenção da Geração Hidráulica</v>
          </cell>
          <cell r="S346">
            <v>0</v>
          </cell>
          <cell r="T346">
            <v>0</v>
          </cell>
          <cell r="U346">
            <v>3000</v>
          </cell>
          <cell r="V346">
            <v>0</v>
          </cell>
          <cell r="W346">
            <v>0</v>
          </cell>
          <cell r="X346">
            <v>0</v>
          </cell>
          <cell r="Y346">
            <v>0</v>
          </cell>
          <cell r="Z346">
            <v>0</v>
          </cell>
          <cell r="AA346">
            <v>0</v>
          </cell>
          <cell r="AB346">
            <v>0</v>
          </cell>
          <cell r="AC346">
            <v>0</v>
          </cell>
          <cell r="AD346">
            <v>0</v>
          </cell>
          <cell r="AE346">
            <v>3000</v>
          </cell>
          <cell r="AF346"/>
          <cell r="AG346"/>
          <cell r="AH346"/>
          <cell r="AI346" t="str">
            <v xml:space="preserve">                              </v>
          </cell>
          <cell r="AJ346">
            <v>3000</v>
          </cell>
          <cell r="AK346">
            <v>0</v>
          </cell>
          <cell r="AL346">
            <v>0</v>
          </cell>
          <cell r="AM346">
            <v>0</v>
          </cell>
          <cell r="AN346">
            <v>0</v>
          </cell>
          <cell r="AO346">
            <v>0</v>
          </cell>
          <cell r="AP346">
            <v>3000</v>
          </cell>
          <cell r="AQ346" t="str">
            <v>Mato Grosso do Sul</v>
          </cell>
          <cell r="AT346">
            <v>0</v>
          </cell>
        </row>
        <row r="347">
          <cell r="B347" t="str">
            <v>COO1374</v>
          </cell>
          <cell r="C347" t="str">
            <v>OOGR.S</v>
          </cell>
          <cell r="D347" t="str">
            <v>OOGS.S-S-2025-I-0303</v>
          </cell>
          <cell r="E347" t="str">
            <v>S-2025-G-0060</v>
          </cell>
          <cell r="F347" t="str">
            <v>S-2025-G-256</v>
          </cell>
          <cell r="G347" t="str">
            <v>Eletrosul</v>
          </cell>
          <cell r="H347" t="str">
            <v>Nova Demanda</v>
          </cell>
          <cell r="I347" t="str">
            <v>Aquisição da bomba do regulador de velocidade da UHE São Domingos</v>
          </cell>
          <cell r="J347" t="str">
            <v>UHSD - Aquisição de 01 motor 40cv para UHRV.</v>
          </cell>
          <cell r="K347" t="str">
            <v>UHSD - Aquisição de 01 motor 40cv para UHRV.</v>
          </cell>
          <cell r="L347" t="str">
            <v>SO10103003</v>
          </cell>
          <cell r="M347" t="str">
            <v>UHE São Domingos</v>
          </cell>
          <cell r="N347" t="str">
            <v>Geração</v>
          </cell>
          <cell r="O347" t="str">
            <v>Modernização de pequeno porte</v>
          </cell>
          <cell r="P347" t="str">
            <v>Modernização de pequeno porte</v>
          </cell>
          <cell r="Q347" t="str">
            <v>SGHI.0001</v>
          </cell>
          <cell r="R347" t="str">
            <v>Manutenção da Geração Hidráulica</v>
          </cell>
          <cell r="S347">
            <v>0</v>
          </cell>
          <cell r="T347">
            <v>0</v>
          </cell>
          <cell r="U347">
            <v>0</v>
          </cell>
          <cell r="V347">
            <v>0</v>
          </cell>
          <cell r="W347">
            <v>35000</v>
          </cell>
          <cell r="X347">
            <v>0</v>
          </cell>
          <cell r="Y347">
            <v>0</v>
          </cell>
          <cell r="Z347">
            <v>0</v>
          </cell>
          <cell r="AA347">
            <v>0</v>
          </cell>
          <cell r="AB347">
            <v>0</v>
          </cell>
          <cell r="AC347">
            <v>0</v>
          </cell>
          <cell r="AD347">
            <v>0</v>
          </cell>
          <cell r="AE347">
            <v>35000</v>
          </cell>
          <cell r="AF347"/>
          <cell r="AG347"/>
          <cell r="AH347"/>
          <cell r="AI347" t="str">
            <v xml:space="preserve">                              </v>
          </cell>
          <cell r="AJ347">
            <v>35000</v>
          </cell>
          <cell r="AK347">
            <v>0</v>
          </cell>
          <cell r="AL347">
            <v>0</v>
          </cell>
          <cell r="AM347">
            <v>0</v>
          </cell>
          <cell r="AN347">
            <v>0</v>
          </cell>
          <cell r="AO347">
            <v>0</v>
          </cell>
          <cell r="AP347">
            <v>35000</v>
          </cell>
          <cell r="AQ347" t="str">
            <v>Mato Grosso do Sul</v>
          </cell>
          <cell r="AT347">
            <v>0</v>
          </cell>
        </row>
        <row r="348">
          <cell r="B348" t="str">
            <v>COO1375</v>
          </cell>
          <cell r="C348" t="str">
            <v>OOGR.S</v>
          </cell>
          <cell r="D348" t="str">
            <v>OOTM.F-OS-2025-I-0355</v>
          </cell>
          <cell r="E348" t="str">
            <v>S-2025-G-0061</v>
          </cell>
          <cell r="F348" t="str">
            <v>S-2025-G-257</v>
          </cell>
          <cell r="G348" t="str">
            <v>Eletrosul</v>
          </cell>
          <cell r="H348" t="str">
            <v>Nova Demanda</v>
          </cell>
          <cell r="I348" t="str">
            <v>Aquisição das bombas da unidade hidráulica de lubrificação dos mancais da UHE São Domingos</v>
          </cell>
          <cell r="J348" t="str">
            <v>UHSD - Aquisição de 01 motor de 15kW para UHLM</v>
          </cell>
          <cell r="K348" t="str">
            <v>UHSD - Aquisição de 01 motor de 15kW para UHLM</v>
          </cell>
          <cell r="L348" t="str">
            <v>SO10103003</v>
          </cell>
          <cell r="M348" t="str">
            <v>UHE São Domingos</v>
          </cell>
          <cell r="N348" t="str">
            <v>Geração</v>
          </cell>
          <cell r="O348" t="str">
            <v>Modernização de pequeno porte</v>
          </cell>
          <cell r="P348" t="str">
            <v>Modernização de pequeno porte</v>
          </cell>
          <cell r="Q348" t="str">
            <v>SGHI.0001</v>
          </cell>
          <cell r="R348" t="str">
            <v>Manutenção da Geração Hidráulica</v>
          </cell>
          <cell r="S348">
            <v>0</v>
          </cell>
          <cell r="T348">
            <v>0</v>
          </cell>
          <cell r="U348">
            <v>0</v>
          </cell>
          <cell r="V348">
            <v>0</v>
          </cell>
          <cell r="W348">
            <v>15000</v>
          </cell>
          <cell r="X348">
            <v>0</v>
          </cell>
          <cell r="Y348">
            <v>0</v>
          </cell>
          <cell r="Z348">
            <v>0</v>
          </cell>
          <cell r="AA348">
            <v>0</v>
          </cell>
          <cell r="AB348">
            <v>0</v>
          </cell>
          <cell r="AC348">
            <v>0</v>
          </cell>
          <cell r="AD348">
            <v>0</v>
          </cell>
          <cell r="AE348">
            <v>15000</v>
          </cell>
          <cell r="AF348">
            <v>15000</v>
          </cell>
          <cell r="AG348"/>
          <cell r="AH348"/>
          <cell r="AI348" t="str">
            <v xml:space="preserve">                              </v>
          </cell>
          <cell r="AJ348">
            <v>30000</v>
          </cell>
          <cell r="AK348">
            <v>0</v>
          </cell>
          <cell r="AL348">
            <v>0</v>
          </cell>
          <cell r="AM348">
            <v>0</v>
          </cell>
          <cell r="AN348">
            <v>0</v>
          </cell>
          <cell r="AO348">
            <v>0</v>
          </cell>
          <cell r="AP348">
            <v>30000</v>
          </cell>
          <cell r="AQ348" t="str">
            <v>Mato Grosso do Sul</v>
          </cell>
          <cell r="AT348">
            <v>15000</v>
          </cell>
        </row>
        <row r="349">
          <cell r="B349" t="str">
            <v>COO1376</v>
          </cell>
          <cell r="C349" t="str">
            <v>OOGR.S</v>
          </cell>
          <cell r="D349" t="str">
            <v>OOGS.S-S-2025-I-0203</v>
          </cell>
          <cell r="E349" t="str">
            <v>S-2025-G-0058</v>
          </cell>
          <cell r="F349" t="str">
            <v>S-2025-G-245</v>
          </cell>
          <cell r="G349" t="str">
            <v>Eletrosul</v>
          </cell>
          <cell r="H349" t="str">
            <v>Nova Demanda</v>
          </cell>
          <cell r="I349" t="str">
            <v>Aquisição de cartões para a Unidade de Aquisição e Controle da tomada d'água da UHE São Domingos</v>
          </cell>
          <cell r="J349" t="str">
            <v>UHSD - Aquisição de 02 cartões de memória para a UACTAG</v>
          </cell>
          <cell r="K349" t="str">
            <v>UHSD - Aquisição de 02 cartões de memória para a UACTAG</v>
          </cell>
          <cell r="L349" t="str">
            <v>SO10103003</v>
          </cell>
          <cell r="M349" t="str">
            <v>UHE São Domingos</v>
          </cell>
          <cell r="N349" t="str">
            <v>Geração</v>
          </cell>
          <cell r="O349" t="str">
            <v>Modernização de pequeno porte</v>
          </cell>
          <cell r="P349" t="str">
            <v>Modernização de pequeno porte</v>
          </cell>
          <cell r="Q349" t="str">
            <v>SGHI.0001</v>
          </cell>
          <cell r="R349" t="str">
            <v>Manutenção da Geração Hidráulica</v>
          </cell>
          <cell r="S349">
            <v>60000</v>
          </cell>
          <cell r="T349">
            <v>0</v>
          </cell>
          <cell r="U349">
            <v>0</v>
          </cell>
          <cell r="V349">
            <v>0</v>
          </cell>
          <cell r="W349">
            <v>0</v>
          </cell>
          <cell r="X349">
            <v>60000</v>
          </cell>
          <cell r="Y349">
            <v>0</v>
          </cell>
          <cell r="Z349">
            <v>0</v>
          </cell>
          <cell r="AA349">
            <v>0</v>
          </cell>
          <cell r="AB349">
            <v>0</v>
          </cell>
          <cell r="AC349">
            <v>0</v>
          </cell>
          <cell r="AD349">
            <v>60000</v>
          </cell>
          <cell r="AE349">
            <v>180000</v>
          </cell>
          <cell r="AF349"/>
          <cell r="AG349"/>
          <cell r="AH349"/>
          <cell r="AI349"/>
          <cell r="AJ349">
            <v>180000</v>
          </cell>
          <cell r="AK349">
            <v>0</v>
          </cell>
          <cell r="AL349">
            <v>0</v>
          </cell>
          <cell r="AM349">
            <v>0</v>
          </cell>
          <cell r="AN349">
            <v>0</v>
          </cell>
          <cell r="AO349">
            <v>0</v>
          </cell>
          <cell r="AP349">
            <v>180000</v>
          </cell>
          <cell r="AQ349" t="str">
            <v>Mato Grosso do Sul</v>
          </cell>
          <cell r="AT349">
            <v>0</v>
          </cell>
        </row>
        <row r="350">
          <cell r="B350" t="str">
            <v>COO1377</v>
          </cell>
          <cell r="C350" t="str">
            <v>OOGR.S</v>
          </cell>
          <cell r="D350" t="str">
            <v>OOME.F-OS-2025-I-0021</v>
          </cell>
          <cell r="E350" t="str">
            <v>S-2025-G-0082</v>
          </cell>
          <cell r="F350" t="str">
            <v>S-2025-G-241</v>
          </cell>
          <cell r="G350" t="str">
            <v>Eletrosul</v>
          </cell>
          <cell r="H350" t="str">
            <v>Nova Demanda</v>
          </cell>
          <cell r="I350" t="str">
            <v>Implantação de Linhas de Vida da tomada d'água da UHE São Domingos</v>
          </cell>
          <cell r="J350" t="str">
            <v>UHSD - Aquisição de linha de vida e equipamentos contra queda para TAG.</v>
          </cell>
          <cell r="K350" t="str">
            <v>UHSD - Aquisição de linha de vida e equipamentos contra queda para TAG.</v>
          </cell>
          <cell r="L350" t="str">
            <v>SO10103003</v>
          </cell>
          <cell r="M350" t="str">
            <v>UHE São Domingos</v>
          </cell>
          <cell r="N350" t="str">
            <v>Geração</v>
          </cell>
          <cell r="O350" t="str">
            <v>Modernização de pequeno porte</v>
          </cell>
          <cell r="P350" t="str">
            <v>Modernização de pequeno porte</v>
          </cell>
          <cell r="Q350" t="str">
            <v>SGHI.0001</v>
          </cell>
          <cell r="R350" t="str">
            <v>Manutenção da Geração Hidráulica</v>
          </cell>
          <cell r="S350">
            <v>0</v>
          </cell>
          <cell r="T350">
            <v>11000</v>
          </cell>
          <cell r="U350">
            <v>0</v>
          </cell>
          <cell r="V350">
            <v>0</v>
          </cell>
          <cell r="W350">
            <v>0</v>
          </cell>
          <cell r="X350">
            <v>0</v>
          </cell>
          <cell r="Y350">
            <v>0</v>
          </cell>
          <cell r="Z350">
            <v>0</v>
          </cell>
          <cell r="AA350">
            <v>0</v>
          </cell>
          <cell r="AB350">
            <v>0</v>
          </cell>
          <cell r="AC350">
            <v>0</v>
          </cell>
          <cell r="AD350">
            <v>0</v>
          </cell>
          <cell r="AE350">
            <v>11000</v>
          </cell>
          <cell r="AF350"/>
          <cell r="AG350"/>
          <cell r="AH350"/>
          <cell r="AI350" t="str">
            <v xml:space="preserve">                              </v>
          </cell>
          <cell r="AJ350">
            <v>11000</v>
          </cell>
          <cell r="AK350">
            <v>0</v>
          </cell>
          <cell r="AL350">
            <v>0</v>
          </cell>
          <cell r="AM350">
            <v>0</v>
          </cell>
          <cell r="AN350">
            <v>0</v>
          </cell>
          <cell r="AO350">
            <v>0</v>
          </cell>
          <cell r="AP350">
            <v>11000</v>
          </cell>
          <cell r="AQ350" t="str">
            <v>Mato Grosso do Sul</v>
          </cell>
          <cell r="AT350">
            <v>0</v>
          </cell>
        </row>
        <row r="351">
          <cell r="B351" t="str">
            <v>COO1378</v>
          </cell>
          <cell r="C351" t="str">
            <v>OOGR.S</v>
          </cell>
          <cell r="D351" t="str">
            <v>OOGS.S-S-2025-I-0298</v>
          </cell>
          <cell r="E351" t="str">
            <v>S-2025-G-0078</v>
          </cell>
          <cell r="F351" t="str">
            <v>S-2025-G-275</v>
          </cell>
          <cell r="G351" t="str">
            <v>Eletrosul</v>
          </cell>
          <cell r="H351" t="str">
            <v>Nova Demanda</v>
          </cell>
          <cell r="I351" t="str">
            <v>Implantação de sistema de irrigação da tomada d'água da UHE São Domingos</v>
          </cell>
          <cell r="J351" t="str">
            <v>UHSD - Aquisição de material para sistema de irrigação no talude da TAG.</v>
          </cell>
          <cell r="K351" t="str">
            <v>UHSD - Aquisição de material para sistema de irrigação no talude da TAG.</v>
          </cell>
          <cell r="L351" t="str">
            <v>SO10103003</v>
          </cell>
          <cell r="M351" t="str">
            <v>UHE São Domingos</v>
          </cell>
          <cell r="N351" t="str">
            <v>Geração</v>
          </cell>
          <cell r="O351" t="str">
            <v>Modernização de pequeno porte</v>
          </cell>
          <cell r="P351" t="str">
            <v>Modernização de pequeno porte</v>
          </cell>
          <cell r="Q351" t="str">
            <v>SGHI.0001</v>
          </cell>
          <cell r="R351" t="str">
            <v>Manutenção da Geração Hidráulica</v>
          </cell>
          <cell r="S351">
            <v>0</v>
          </cell>
          <cell r="T351">
            <v>0</v>
          </cell>
          <cell r="U351">
            <v>0</v>
          </cell>
          <cell r="V351">
            <v>40000</v>
          </cell>
          <cell r="W351">
            <v>0</v>
          </cell>
          <cell r="X351">
            <v>0</v>
          </cell>
          <cell r="Y351">
            <v>0</v>
          </cell>
          <cell r="Z351">
            <v>0</v>
          </cell>
          <cell r="AA351">
            <v>0</v>
          </cell>
          <cell r="AB351">
            <v>0</v>
          </cell>
          <cell r="AC351">
            <v>0</v>
          </cell>
          <cell r="AD351">
            <v>0</v>
          </cell>
          <cell r="AE351">
            <v>40000</v>
          </cell>
          <cell r="AF351"/>
          <cell r="AG351"/>
          <cell r="AH351"/>
          <cell r="AI351" t="str">
            <v xml:space="preserve">                              </v>
          </cell>
          <cell r="AJ351">
            <v>40000</v>
          </cell>
          <cell r="AK351">
            <v>0</v>
          </cell>
          <cell r="AL351">
            <v>0</v>
          </cell>
          <cell r="AM351">
            <v>0</v>
          </cell>
          <cell r="AN351">
            <v>0</v>
          </cell>
          <cell r="AO351">
            <v>0</v>
          </cell>
          <cell r="AP351">
            <v>40000</v>
          </cell>
          <cell r="AQ351" t="str">
            <v>Mato Grosso do Sul</v>
          </cell>
          <cell r="AT351">
            <v>0</v>
          </cell>
        </row>
        <row r="352">
          <cell r="B352" t="str">
            <v>COO1379</v>
          </cell>
          <cell r="C352" t="str">
            <v>OOGR.S</v>
          </cell>
          <cell r="D352" t="str">
            <v>OOGR.S-S-2025-I-0171</v>
          </cell>
          <cell r="E352" t="str">
            <v>S-2025-G-0068</v>
          </cell>
          <cell r="F352" t="str">
            <v>S-2025-G-267</v>
          </cell>
          <cell r="G352" t="str">
            <v>Eletrosul</v>
          </cell>
          <cell r="H352" t="str">
            <v>Nova Demanda</v>
          </cell>
          <cell r="I352" t="str">
            <v>Adequação de segurança no acesso à casa de força da UHE São Domingos</v>
          </cell>
          <cell r="J352" t="str">
            <v>UHSD - Aquisição de paver para arruamento de acesso a casa de força.</v>
          </cell>
          <cell r="K352" t="str">
            <v>UHSD - Aquisição de paver para arruamento de acesso a casa de força.</v>
          </cell>
          <cell r="L352" t="str">
            <v>SO10103003</v>
          </cell>
          <cell r="M352" t="str">
            <v>UHE São Domingos</v>
          </cell>
          <cell r="N352" t="str">
            <v>Geração</v>
          </cell>
          <cell r="O352" t="str">
            <v>Modernização de pequeno porte</v>
          </cell>
          <cell r="P352" t="str">
            <v>Modernização de pequeno porte</v>
          </cell>
          <cell r="Q352" t="str">
            <v>SGHI.0001</v>
          </cell>
          <cell r="R352" t="str">
            <v>Infraestrutura - Bens imóveis</v>
          </cell>
          <cell r="S352">
            <v>0</v>
          </cell>
          <cell r="T352">
            <v>0</v>
          </cell>
          <cell r="U352">
            <v>0</v>
          </cell>
          <cell r="V352">
            <v>250000</v>
          </cell>
          <cell r="W352">
            <v>0</v>
          </cell>
          <cell r="X352">
            <v>0</v>
          </cell>
          <cell r="Y352">
            <v>0</v>
          </cell>
          <cell r="Z352">
            <v>0</v>
          </cell>
          <cell r="AA352">
            <v>0</v>
          </cell>
          <cell r="AB352">
            <v>0</v>
          </cell>
          <cell r="AC352">
            <v>0</v>
          </cell>
          <cell r="AD352">
            <v>0</v>
          </cell>
          <cell r="AE352">
            <v>250000</v>
          </cell>
          <cell r="AF352">
            <v>250000</v>
          </cell>
          <cell r="AG352"/>
          <cell r="AH352"/>
          <cell r="AI352" t="str">
            <v xml:space="preserve">                              </v>
          </cell>
          <cell r="AJ352">
            <v>500000</v>
          </cell>
          <cell r="AK352">
            <v>0</v>
          </cell>
          <cell r="AL352">
            <v>0</v>
          </cell>
          <cell r="AM352">
            <v>0</v>
          </cell>
          <cell r="AN352">
            <v>0</v>
          </cell>
          <cell r="AO352">
            <v>0</v>
          </cell>
          <cell r="AP352">
            <v>500000</v>
          </cell>
          <cell r="AQ352" t="str">
            <v>Mato Grosso do Sul</v>
          </cell>
          <cell r="AT352">
            <v>250000</v>
          </cell>
        </row>
        <row r="353">
          <cell r="B353" t="str">
            <v>COO1380</v>
          </cell>
          <cell r="C353" t="str">
            <v>OOGR.S</v>
          </cell>
          <cell r="D353" t="str">
            <v>OOTM.F-OS-2025-I-0354</v>
          </cell>
          <cell r="E353" t="str">
            <v>S-2025-G-0081</v>
          </cell>
          <cell r="F353" t="str">
            <v>S-2025-G-242</v>
          </cell>
          <cell r="G353" t="str">
            <v>Eletrosul</v>
          </cell>
          <cell r="H353" t="str">
            <v>Nova Demanda</v>
          </cell>
          <cell r="I353" t="str">
            <v>Implantação de Linhas de Vida dos geradores da UHE São Domingos</v>
          </cell>
          <cell r="J353" t="str">
            <v>UHSD - Aquisição de sistema contra queda para trabalhos nos geradores</v>
          </cell>
          <cell r="K353" t="str">
            <v>UHSD - Aquisição de sistema contra queda para trabalhos nos geradores</v>
          </cell>
          <cell r="L353" t="str">
            <v>SO10103003</v>
          </cell>
          <cell r="M353" t="str">
            <v>UHE São Domingos</v>
          </cell>
          <cell r="N353" t="str">
            <v>Geração</v>
          </cell>
          <cell r="O353" t="str">
            <v>Modernização de pequeno porte</v>
          </cell>
          <cell r="P353" t="str">
            <v>Modernização de pequeno porte</v>
          </cell>
          <cell r="Q353" t="str">
            <v>SGHI.0001</v>
          </cell>
          <cell r="R353" t="str">
            <v>Manutenção da Geração Hidráulica</v>
          </cell>
          <cell r="S353">
            <v>0</v>
          </cell>
          <cell r="T353">
            <v>15000</v>
          </cell>
          <cell r="U353">
            <v>0</v>
          </cell>
          <cell r="V353">
            <v>0</v>
          </cell>
          <cell r="W353">
            <v>0</v>
          </cell>
          <cell r="X353">
            <v>0</v>
          </cell>
          <cell r="Y353">
            <v>0</v>
          </cell>
          <cell r="Z353">
            <v>0</v>
          </cell>
          <cell r="AA353">
            <v>0</v>
          </cell>
          <cell r="AB353">
            <v>0</v>
          </cell>
          <cell r="AC353">
            <v>0</v>
          </cell>
          <cell r="AD353">
            <v>0</v>
          </cell>
          <cell r="AE353">
            <v>15000</v>
          </cell>
          <cell r="AF353"/>
          <cell r="AG353"/>
          <cell r="AH353"/>
          <cell r="AI353" t="str">
            <v xml:space="preserve">                              </v>
          </cell>
          <cell r="AJ353">
            <v>15000</v>
          </cell>
          <cell r="AK353">
            <v>0</v>
          </cell>
          <cell r="AL353">
            <v>0</v>
          </cell>
          <cell r="AM353">
            <v>0</v>
          </cell>
          <cell r="AN353">
            <v>0</v>
          </cell>
          <cell r="AO353">
            <v>0</v>
          </cell>
          <cell r="AP353">
            <v>15000</v>
          </cell>
          <cell r="AQ353" t="str">
            <v>Mato Grosso do Sul</v>
          </cell>
          <cell r="AT353">
            <v>0</v>
          </cell>
        </row>
        <row r="354">
          <cell r="B354" t="str">
            <v>COO1381</v>
          </cell>
          <cell r="C354" t="str">
            <v>OOGR.S</v>
          </cell>
          <cell r="D354" t="str">
            <v>OOGS.S-S-2025-I-0242</v>
          </cell>
          <cell r="E354" t="str">
            <v>S-2025-G-0074</v>
          </cell>
          <cell r="F354" t="str">
            <v>S-2025-G-274</v>
          </cell>
          <cell r="G354" t="str">
            <v>Eletrosul</v>
          </cell>
          <cell r="H354" t="str">
            <v>Nova Demanda</v>
          </cell>
          <cell r="I354" t="str">
            <v>Modernização do sistema de proteção contra incêndio da UHE São Domingos</v>
          </cell>
          <cell r="J354" t="str">
            <v>UHSD - Revitalização sistema de prevenção contra incêncio.</v>
          </cell>
          <cell r="K354" t="str">
            <v>UHSD - Revitalização sistema de prevenção contra incêncio.</v>
          </cell>
          <cell r="L354" t="str">
            <v>SO10103003</v>
          </cell>
          <cell r="M354" t="str">
            <v>UHE São Domingos</v>
          </cell>
          <cell r="N354" t="str">
            <v>Geração</v>
          </cell>
          <cell r="O354" t="str">
            <v>Modernização de pequeno porte</v>
          </cell>
          <cell r="P354" t="str">
            <v>Modernização de pequeno porte</v>
          </cell>
          <cell r="Q354" t="str">
            <v>SGHI.0001</v>
          </cell>
          <cell r="R354" t="str">
            <v>Manutenção da Geração Hidráulica</v>
          </cell>
          <cell r="S354">
            <v>0</v>
          </cell>
          <cell r="T354">
            <v>100000</v>
          </cell>
          <cell r="U354">
            <v>0</v>
          </cell>
          <cell r="V354">
            <v>0</v>
          </cell>
          <cell r="W354">
            <v>0</v>
          </cell>
          <cell r="X354">
            <v>0</v>
          </cell>
          <cell r="Y354">
            <v>0</v>
          </cell>
          <cell r="Z354">
            <v>0</v>
          </cell>
          <cell r="AA354">
            <v>0</v>
          </cell>
          <cell r="AB354">
            <v>0</v>
          </cell>
          <cell r="AC354">
            <v>0</v>
          </cell>
          <cell r="AD354">
            <v>0</v>
          </cell>
          <cell r="AE354">
            <v>100000</v>
          </cell>
          <cell r="AF354"/>
          <cell r="AG354"/>
          <cell r="AH354"/>
          <cell r="AI354" t="str">
            <v xml:space="preserve">                              </v>
          </cell>
          <cell r="AJ354">
            <v>100000</v>
          </cell>
          <cell r="AK354">
            <v>0</v>
          </cell>
          <cell r="AL354">
            <v>0</v>
          </cell>
          <cell r="AM354">
            <v>0</v>
          </cell>
          <cell r="AN354">
            <v>0</v>
          </cell>
          <cell r="AO354">
            <v>0</v>
          </cell>
          <cell r="AP354">
            <v>100000</v>
          </cell>
          <cell r="AQ354" t="str">
            <v>Mato Grosso do Sul</v>
          </cell>
          <cell r="AT354">
            <v>0</v>
          </cell>
        </row>
        <row r="355">
          <cell r="B355" t="str">
            <v>COO1864</v>
          </cell>
          <cell r="C355" t="str">
            <v>OORV</v>
          </cell>
          <cell r="D355"/>
          <cell r="E355" t="str">
            <v>E-2025-G-</v>
          </cell>
          <cell r="F355" t="str">
            <v>H-2025-G-279</v>
          </cell>
          <cell r="G355" t="str">
            <v>Holding</v>
          </cell>
          <cell r="H355" t="str">
            <v>Nova Demanda</v>
          </cell>
          <cell r="I355" t="str">
            <v>Implementação de sistemas de monitoramento de ativos em usinas</v>
          </cell>
          <cell r="J355" t="str">
            <v>Implementação de sistemas de monitoramento de ativos em usinas</v>
          </cell>
          <cell r="K355" t="str">
            <v>Implementação de sistemas de monitoramento de ativos em usinas</v>
          </cell>
          <cell r="L355" t="str">
            <v>E010302000</v>
          </cell>
          <cell r="M355" t="str">
            <v>Diversas UHE</v>
          </cell>
          <cell r="N355" t="str">
            <v>Geração</v>
          </cell>
          <cell r="O355" t="str">
            <v>Modernização de pequeno porte</v>
          </cell>
          <cell r="P355" t="str">
            <v>Modernização de pequeno porte</v>
          </cell>
          <cell r="Q355"/>
          <cell r="R355"/>
          <cell r="S355">
            <v>650000</v>
          </cell>
          <cell r="T355">
            <v>650000</v>
          </cell>
          <cell r="U355">
            <v>650000</v>
          </cell>
          <cell r="V355">
            <v>650000</v>
          </cell>
          <cell r="W355">
            <v>650000</v>
          </cell>
          <cell r="X355">
            <v>650000</v>
          </cell>
          <cell r="Y355">
            <v>650000</v>
          </cell>
          <cell r="Z355">
            <v>650000</v>
          </cell>
          <cell r="AA355">
            <v>650000</v>
          </cell>
          <cell r="AB355">
            <v>650000</v>
          </cell>
          <cell r="AC355">
            <v>650000</v>
          </cell>
          <cell r="AD355">
            <v>650000</v>
          </cell>
          <cell r="AE355">
            <v>7800000</v>
          </cell>
          <cell r="AF355">
            <v>7800000</v>
          </cell>
          <cell r="AG355">
            <v>7800000</v>
          </cell>
          <cell r="AH355">
            <v>7800000</v>
          </cell>
          <cell r="AI355">
            <v>7800000</v>
          </cell>
          <cell r="AJ355">
            <v>39000000</v>
          </cell>
          <cell r="AK355">
            <v>0</v>
          </cell>
          <cell r="AL355">
            <v>0</v>
          </cell>
          <cell r="AM355">
            <v>0</v>
          </cell>
          <cell r="AN355">
            <v>0</v>
          </cell>
          <cell r="AO355">
            <v>0</v>
          </cell>
          <cell r="AP355">
            <v>39000000</v>
          </cell>
          <cell r="AQ355"/>
          <cell r="AS355" t="str">
            <v>x</v>
          </cell>
          <cell r="AT355">
            <v>31200000</v>
          </cell>
        </row>
        <row r="356">
          <cell r="B356" t="str">
            <v>COO1963</v>
          </cell>
          <cell r="C356" t="str">
            <v>OOGG.F</v>
          </cell>
          <cell r="D356" t="str">
            <v>OOGM.F-OS-2025-I-0237</v>
          </cell>
          <cell r="E356" t="str">
            <v>OS-2025-G-0071</v>
          </cell>
          <cell r="F356" t="str">
            <v>OS-2025-G-354</v>
          </cell>
          <cell r="G356" t="str">
            <v>Operação Sudeste</v>
          </cell>
          <cell r="H356" t="str">
            <v>Nova Demanda</v>
          </cell>
          <cell r="I356" t="str">
            <v>Modernização do serviço auxiliar da Usina pelo terciário AT01 (CNT) da UHE Corumbá</v>
          </cell>
          <cell r="J356" t="str">
            <v>Alimentação externa através do terciário do AT01 (CNT) para alimentar o serviço auxiliar da usina deixando a estação com mais uma redundância de segurança em caso de falta de alimentação pelo gerador diesel da central-UHE Corumbá</v>
          </cell>
          <cell r="K356" t="str">
            <v>Alimentação externa através do terciário do AT01 (CNT) para alimentar o serviço auxiliar da usina deixando a estação com mais uma redundância de segurança em caso de falta de alimentação pelo gerador diesel da central-UHE Corumbá</v>
          </cell>
          <cell r="L356" t="str">
            <v>FA04110101</v>
          </cell>
          <cell r="M356" t="str">
            <v>UHE Corumbá</v>
          </cell>
          <cell r="N356" t="str">
            <v>Geração</v>
          </cell>
          <cell r="O356" t="str">
            <v>Modernização de pequeno porte</v>
          </cell>
          <cell r="P356" t="str">
            <v>Modernização de pequeno porte</v>
          </cell>
          <cell r="Q356" t="str">
            <v>FGHI.0001</v>
          </cell>
          <cell r="R356" t="str">
            <v>PO.O_DRG.O_215U</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75000</v>
          </cell>
          <cell r="AG356"/>
          <cell r="AH356"/>
          <cell r="AI356" t="str">
            <v xml:space="preserve">                              </v>
          </cell>
          <cell r="AJ356">
            <v>75000</v>
          </cell>
          <cell r="AK356">
            <v>0</v>
          </cell>
          <cell r="AL356">
            <v>0</v>
          </cell>
          <cell r="AM356">
            <v>0</v>
          </cell>
          <cell r="AN356">
            <v>0</v>
          </cell>
          <cell r="AO356">
            <v>0</v>
          </cell>
          <cell r="AP356">
            <v>75000</v>
          </cell>
          <cell r="AQ356" t="str">
            <v>Goiás</v>
          </cell>
          <cell r="AS356" t="str">
            <v>x</v>
          </cell>
          <cell r="AT356">
            <v>75000</v>
          </cell>
        </row>
        <row r="357">
          <cell r="B357" t="str">
            <v>COO1964</v>
          </cell>
          <cell r="C357" t="str">
            <v>OOGG.F</v>
          </cell>
          <cell r="D357" t="str">
            <v>OOG.S-S-2025-I-0284</v>
          </cell>
          <cell r="E357" t="str">
            <v>OS-2025-G-0085</v>
          </cell>
          <cell r="F357" t="str">
            <v>OS-2025-G-390</v>
          </cell>
          <cell r="G357" t="str">
            <v>Operação Sudeste</v>
          </cell>
          <cell r="H357" t="str">
            <v>Nova Demanda</v>
          </cell>
          <cell r="I357" t="str">
            <v>Modernização do sistema de vigilância da UHE Manso</v>
          </cell>
          <cell r="J357" t="str">
            <v>Ampliação da cobertura de monitoramento com novas câmeras-UHE Manso</v>
          </cell>
          <cell r="K357" t="str">
            <v>Ampliação da cobertura de monitoramento com novas câmeras-UHE Manso</v>
          </cell>
          <cell r="L357" t="str">
            <v>FA04110103</v>
          </cell>
          <cell r="M357" t="str">
            <v>UHE Manso</v>
          </cell>
          <cell r="N357" t="str">
            <v>Geração</v>
          </cell>
          <cell r="O357" t="str">
            <v>Modernização de pequeno porte</v>
          </cell>
          <cell r="P357" t="str">
            <v>Modernização de pequeno porte</v>
          </cell>
          <cell r="Q357" t="str">
            <v>FGHI.0011</v>
          </cell>
          <cell r="R357" t="str">
            <v>PO.O_DRG.O_20OM_UHMSO</v>
          </cell>
          <cell r="S357">
            <v>0</v>
          </cell>
          <cell r="T357">
            <v>0</v>
          </cell>
          <cell r="U357">
            <v>0</v>
          </cell>
          <cell r="V357">
            <v>0</v>
          </cell>
          <cell r="W357">
            <v>55000</v>
          </cell>
          <cell r="X357">
            <v>0</v>
          </cell>
          <cell r="Y357">
            <v>0</v>
          </cell>
          <cell r="Z357">
            <v>0</v>
          </cell>
          <cell r="AA357">
            <v>0</v>
          </cell>
          <cell r="AB357">
            <v>0</v>
          </cell>
          <cell r="AC357">
            <v>0</v>
          </cell>
          <cell r="AD357">
            <v>0</v>
          </cell>
          <cell r="AE357">
            <v>55000</v>
          </cell>
          <cell r="AF357">
            <v>60000</v>
          </cell>
          <cell r="AG357">
            <v>60000</v>
          </cell>
          <cell r="AH357"/>
          <cell r="AI357" t="str">
            <v xml:space="preserve">                              </v>
          </cell>
          <cell r="AJ357">
            <v>175000</v>
          </cell>
          <cell r="AK357">
            <v>0</v>
          </cell>
          <cell r="AL357">
            <v>0</v>
          </cell>
          <cell r="AM357">
            <v>0</v>
          </cell>
          <cell r="AN357">
            <v>0</v>
          </cell>
          <cell r="AO357">
            <v>0</v>
          </cell>
          <cell r="AP357">
            <v>175000</v>
          </cell>
          <cell r="AQ357" t="str">
            <v>Mato Grosso</v>
          </cell>
          <cell r="AT357">
            <v>120000</v>
          </cell>
        </row>
        <row r="358">
          <cell r="B358" t="str">
            <v>COO1965</v>
          </cell>
          <cell r="C358" t="str">
            <v>OOGM.F</v>
          </cell>
          <cell r="D358" t="str">
            <v>OOGR.S-S-2025-I-0178</v>
          </cell>
          <cell r="E358" t="str">
            <v>OS-2025-G-0059</v>
          </cell>
          <cell r="F358" t="str">
            <v>OS-2025-G-306</v>
          </cell>
          <cell r="G358" t="str">
            <v>Operação Sudeste</v>
          </cell>
          <cell r="H358" t="str">
            <v>Nova Demanda</v>
          </cell>
          <cell r="I358" t="str">
            <v>Modernização do sistema de ar de serviço da UHE Porto Colombia</v>
          </cell>
          <cell r="J358" t="str">
            <v>Aquisição de 01 compressor de grande porte GA 160 Atlas para o sistema de ar de serviço da UHE de Porto Colômbia. Ampliar capacidade.</v>
          </cell>
          <cell r="K358" t="str">
            <v>Aquisição de 01 compressor de grande porte GA 160 Atlas para o sistema de ar de serviço da UHE de Porto Colômbia. Ampliar capacidade.</v>
          </cell>
          <cell r="L358" t="str">
            <v>FA04110204</v>
          </cell>
          <cell r="M358" t="str">
            <v>UHE Porto Colombia</v>
          </cell>
          <cell r="N358" t="str">
            <v>Geração</v>
          </cell>
          <cell r="O358" t="str">
            <v>Modernização de pequeno porte</v>
          </cell>
          <cell r="P358" t="str">
            <v>Modernização de pequeno porte</v>
          </cell>
          <cell r="Q358" t="str">
            <v>FGHI.0004</v>
          </cell>
          <cell r="R358" t="str">
            <v>PO.O_DRT.O_215U</v>
          </cell>
          <cell r="S358">
            <v>0</v>
          </cell>
          <cell r="T358">
            <v>0</v>
          </cell>
          <cell r="U358">
            <v>50000</v>
          </cell>
          <cell r="V358">
            <v>50000</v>
          </cell>
          <cell r="W358">
            <v>50000</v>
          </cell>
          <cell r="X358">
            <v>76876</v>
          </cell>
          <cell r="Y358">
            <v>0</v>
          </cell>
          <cell r="Z358">
            <v>0</v>
          </cell>
          <cell r="AA358">
            <v>0</v>
          </cell>
          <cell r="AB358">
            <v>0</v>
          </cell>
          <cell r="AC358">
            <v>0</v>
          </cell>
          <cell r="AD358">
            <v>0</v>
          </cell>
          <cell r="AE358">
            <v>226876</v>
          </cell>
          <cell r="AF358"/>
          <cell r="AG358"/>
          <cell r="AH358"/>
          <cell r="AI358" t="str">
            <v xml:space="preserve">                              </v>
          </cell>
          <cell r="AJ358">
            <v>226876</v>
          </cell>
          <cell r="AK358">
            <v>0</v>
          </cell>
          <cell r="AL358">
            <v>0</v>
          </cell>
          <cell r="AM358">
            <v>0</v>
          </cell>
          <cell r="AN358">
            <v>0</v>
          </cell>
          <cell r="AO358">
            <v>0</v>
          </cell>
          <cell r="AP358">
            <v>226876</v>
          </cell>
          <cell r="AQ358" t="str">
            <v>Minas Gerais</v>
          </cell>
          <cell r="AT358">
            <v>0</v>
          </cell>
        </row>
        <row r="359">
          <cell r="B359" t="str">
            <v>COO1966</v>
          </cell>
          <cell r="C359" t="str">
            <v>OOGM.F</v>
          </cell>
          <cell r="D359" t="str">
            <v>OOGR.S-S-2025-I-0291</v>
          </cell>
          <cell r="E359" t="str">
            <v>OS-2025-G-0036</v>
          </cell>
          <cell r="F359" t="str">
            <v>OS-2025-G-283</v>
          </cell>
          <cell r="G359" t="str">
            <v>Operação Sudeste</v>
          </cell>
          <cell r="H359" t="str">
            <v>Nova Demanda</v>
          </cell>
          <cell r="I359" t="str">
            <v>Aquisição de bucha de baixa tensão para os transformadores da UHE Luiz Carlos Barreto de Carvalho</v>
          </cell>
          <cell r="J359" t="str">
            <v>Aquisição de bucha de baixa sobressalente para transformadores WEG por fim de vida útil</v>
          </cell>
          <cell r="K359" t="str">
            <v>Aquisição de bucha de baixa sobressalente para transformadores WEG por fim de vida útil</v>
          </cell>
          <cell r="L359" t="str">
            <v>FA04110202</v>
          </cell>
          <cell r="M359" t="str">
            <v>UHE Luiz Carlos Barreto de Carvalho</v>
          </cell>
          <cell r="N359" t="str">
            <v>Geração</v>
          </cell>
          <cell r="O359" t="str">
            <v>Modernização de pequeno porte</v>
          </cell>
          <cell r="P359" t="str">
            <v>Modernização de pequeno porte</v>
          </cell>
          <cell r="Q359" t="str">
            <v>FGHI.0009</v>
          </cell>
          <cell r="R359" t="str">
            <v>PO.O_DRM.O_215U_UHLBA</v>
          </cell>
          <cell r="S359">
            <v>0</v>
          </cell>
          <cell r="T359">
            <v>0</v>
          </cell>
          <cell r="U359">
            <v>0</v>
          </cell>
          <cell r="V359">
            <v>0</v>
          </cell>
          <cell r="W359">
            <v>0</v>
          </cell>
          <cell r="X359">
            <v>0</v>
          </cell>
          <cell r="Y359">
            <v>0</v>
          </cell>
          <cell r="Z359">
            <v>50000</v>
          </cell>
          <cell r="AA359">
            <v>0</v>
          </cell>
          <cell r="AB359">
            <v>0</v>
          </cell>
          <cell r="AC359">
            <v>0</v>
          </cell>
          <cell r="AD359">
            <v>0</v>
          </cell>
          <cell r="AE359">
            <v>50000</v>
          </cell>
          <cell r="AF359"/>
          <cell r="AG359"/>
          <cell r="AH359"/>
          <cell r="AI359" t="str">
            <v xml:space="preserve">                              </v>
          </cell>
          <cell r="AJ359">
            <v>50000</v>
          </cell>
          <cell r="AK359">
            <v>0</v>
          </cell>
          <cell r="AL359">
            <v>0</v>
          </cell>
          <cell r="AM359">
            <v>0</v>
          </cell>
          <cell r="AN359">
            <v>0</v>
          </cell>
          <cell r="AO359">
            <v>0</v>
          </cell>
          <cell r="AP359">
            <v>50000</v>
          </cell>
          <cell r="AQ359" t="str">
            <v>São Paulo</v>
          </cell>
          <cell r="AT359">
            <v>0</v>
          </cell>
        </row>
        <row r="360">
          <cell r="B360" t="str">
            <v>COO1967</v>
          </cell>
          <cell r="C360" t="str">
            <v>OOGG.F</v>
          </cell>
          <cell r="D360" t="str">
            <v>OOGS.S-S-2025-I-0208</v>
          </cell>
          <cell r="E360" t="str">
            <v>OS-2025-G-0076</v>
          </cell>
          <cell r="F360" t="str">
            <v>OS-2025-G-367</v>
          </cell>
          <cell r="G360" t="str">
            <v>Operação Sudeste</v>
          </cell>
          <cell r="H360" t="str">
            <v>Nova Demanda</v>
          </cell>
          <cell r="I360" t="str">
            <v>Modernização do monitoramento de grandezas elétricas e mecânicas da UHE Itumbiara</v>
          </cell>
          <cell r="J360" t="str">
            <v>Aquisição de CLP para modernização do monitoramento de grandezas elétricas e mecânicas das Unidades Geradoras da UHE Itumbiara</v>
          </cell>
          <cell r="K360" t="str">
            <v>Aquisição de CLP para modernização do monitoramento de grandezas elétricas e mecânicas das Unidades Geradoras da UHE Itumbiara</v>
          </cell>
          <cell r="L360" t="str">
            <v>FA04110102</v>
          </cell>
          <cell r="M360" t="str">
            <v>UHE Itumbiara</v>
          </cell>
          <cell r="N360" t="str">
            <v>Geração</v>
          </cell>
          <cell r="O360" t="str">
            <v>Modernização de pequeno porte</v>
          </cell>
          <cell r="P360" t="str">
            <v>Modernização de pequeno porte</v>
          </cell>
          <cell r="Q360" t="str">
            <v>FGHI.0003</v>
          </cell>
          <cell r="R360" t="str">
            <v>PO.O_DRG.O_20OM</v>
          </cell>
          <cell r="S360">
            <v>0</v>
          </cell>
          <cell r="T360">
            <v>0</v>
          </cell>
          <cell r="U360">
            <v>0</v>
          </cell>
          <cell r="V360">
            <v>0</v>
          </cell>
          <cell r="W360">
            <v>0</v>
          </cell>
          <cell r="X360">
            <v>0</v>
          </cell>
          <cell r="Y360">
            <v>0</v>
          </cell>
          <cell r="Z360">
            <v>160000</v>
          </cell>
          <cell r="AA360">
            <v>0</v>
          </cell>
          <cell r="AB360">
            <v>0</v>
          </cell>
          <cell r="AC360">
            <v>0</v>
          </cell>
          <cell r="AD360">
            <v>0</v>
          </cell>
          <cell r="AE360">
            <v>160000</v>
          </cell>
          <cell r="AF360"/>
          <cell r="AG360"/>
          <cell r="AH360"/>
          <cell r="AI360" t="str">
            <v xml:space="preserve">                              </v>
          </cell>
          <cell r="AJ360">
            <v>160000</v>
          </cell>
          <cell r="AK360">
            <v>0</v>
          </cell>
          <cell r="AL360">
            <v>0</v>
          </cell>
          <cell r="AM360">
            <v>0</v>
          </cell>
          <cell r="AN360">
            <v>0</v>
          </cell>
          <cell r="AO360">
            <v>0</v>
          </cell>
          <cell r="AP360">
            <v>160000</v>
          </cell>
          <cell r="AQ360" t="str">
            <v>Minas Gerais</v>
          </cell>
          <cell r="AT360">
            <v>0</v>
          </cell>
        </row>
        <row r="361">
          <cell r="B361" t="str">
            <v>COO1968</v>
          </cell>
          <cell r="C361" t="str">
            <v>OOGM.F</v>
          </cell>
          <cell r="D361" t="str">
            <v>OOGS.S-S-2025-I-0245</v>
          </cell>
          <cell r="E361" t="str">
            <v>OS-2025-G-0037</v>
          </cell>
          <cell r="F361" t="str">
            <v>OS-2025-G-309</v>
          </cell>
          <cell r="G361" t="str">
            <v>Operação Sudeste</v>
          </cell>
          <cell r="H361" t="str">
            <v>Nova Demanda</v>
          </cell>
          <cell r="I361" t="str">
            <v>Modernização do sistema de comando e controle do Vertedouro da UHE Luiz Carlos Barreto de Carvalho</v>
          </cell>
          <cell r="J361" t="str">
            <v>Aquisição de componentes para modernização do sistema de comando do vertedouro - modernização de equipamento</v>
          </cell>
          <cell r="K361" t="str">
            <v>Aquisição de componentes para modernização do sistema de comando do vertedouro - modernização de equipamento</v>
          </cell>
          <cell r="L361" t="str">
            <v>FA04110202</v>
          </cell>
          <cell r="M361" t="str">
            <v>UHE Luiz Carlos Barreto de Carvalho</v>
          </cell>
          <cell r="N361" t="str">
            <v>Geração</v>
          </cell>
          <cell r="O361" t="str">
            <v>Modernização de pequeno porte</v>
          </cell>
          <cell r="P361" t="str">
            <v>Modernização de pequeno porte</v>
          </cell>
          <cell r="Q361" t="str">
            <v>FGHI.0009</v>
          </cell>
          <cell r="R361" t="str">
            <v>PO.O_DRM.O_215U_UHLBA</v>
          </cell>
          <cell r="S361">
            <v>0</v>
          </cell>
          <cell r="T361">
            <v>0</v>
          </cell>
          <cell r="U361">
            <v>0</v>
          </cell>
          <cell r="V361">
            <v>0</v>
          </cell>
          <cell r="W361">
            <v>0</v>
          </cell>
          <cell r="X361">
            <v>0</v>
          </cell>
          <cell r="Y361">
            <v>0</v>
          </cell>
          <cell r="Z361">
            <v>0</v>
          </cell>
          <cell r="AA361">
            <v>0</v>
          </cell>
          <cell r="AB361">
            <v>0</v>
          </cell>
          <cell r="AC361">
            <v>100000</v>
          </cell>
          <cell r="AD361">
            <v>0</v>
          </cell>
          <cell r="AE361">
            <v>100000</v>
          </cell>
          <cell r="AF361"/>
          <cell r="AG361"/>
          <cell r="AH361"/>
          <cell r="AI361" t="str">
            <v xml:space="preserve">                              </v>
          </cell>
          <cell r="AJ361">
            <v>100000</v>
          </cell>
          <cell r="AK361">
            <v>0</v>
          </cell>
          <cell r="AL361">
            <v>0</v>
          </cell>
          <cell r="AM361">
            <v>0</v>
          </cell>
          <cell r="AN361">
            <v>0</v>
          </cell>
          <cell r="AO361">
            <v>0</v>
          </cell>
          <cell r="AP361">
            <v>100000</v>
          </cell>
          <cell r="AQ361" t="str">
            <v>São Paulo</v>
          </cell>
          <cell r="AT361">
            <v>0</v>
          </cell>
        </row>
        <row r="362">
          <cell r="B362" t="str">
            <v>COO1969</v>
          </cell>
          <cell r="C362" t="str">
            <v>OOGSI.F</v>
          </cell>
          <cell r="D362" t="str">
            <v>OOGN.S-S-2025-I-0130</v>
          </cell>
          <cell r="E362" t="str">
            <v>OS-2025-G-0033</v>
          </cell>
          <cell r="F362" t="str">
            <v>OS-2025-G-322</v>
          </cell>
          <cell r="G362" t="str">
            <v>Operação Sudeste</v>
          </cell>
          <cell r="H362" t="str">
            <v>Nova Demanda</v>
          </cell>
          <cell r="I362" t="str">
            <v>Modernização do sistema de proteção e controle da UHE Simplicio</v>
          </cell>
          <cell r="J362" t="str">
            <v>Aquisição de Conjunto de Descarga de Baterias MEGGER modelo TORKEL 930 equipado com 61 monitores de tensão BVM600 e com software TORKEL Win 3.0 ou TORKEL Viewer ou DV Power BLU300C com Módulo de Tensão de Célula (CVM) equipado com 61 monitores de tensão (BVS) e software DV-B Win</v>
          </cell>
          <cell r="K362" t="str">
            <v>Aquisição de Conjunto de Descarga de Baterias MEGGER modelo TORKEL 930 equipado com 61 monitores de tensão BVM600 e com software TORKEL Win 3.0 ou TORKEL Viewer ou DV Power BLU300C com Módulo de Tensão de Célula (CVM) equipado com 61 monitores de tensão (BVS) e software DV-B Win</v>
          </cell>
          <cell r="L362" t="str">
            <v>FA04110003</v>
          </cell>
          <cell r="M362" t="str">
            <v>UHE Simplício</v>
          </cell>
          <cell r="N362" t="str">
            <v>Geração</v>
          </cell>
          <cell r="O362" t="str">
            <v>Modernização de pequeno porte</v>
          </cell>
          <cell r="P362" t="str">
            <v>Modernização de pequeno porte</v>
          </cell>
          <cell r="Q362" t="str">
            <v>FGHI.0005</v>
          </cell>
          <cell r="R362" t="str">
            <v>PS.O_DRN.O_20OM</v>
          </cell>
          <cell r="S362">
            <v>0</v>
          </cell>
          <cell r="T362">
            <v>0</v>
          </cell>
          <cell r="U362">
            <v>0</v>
          </cell>
          <cell r="V362">
            <v>0</v>
          </cell>
          <cell r="W362">
            <v>0</v>
          </cell>
          <cell r="X362">
            <v>0</v>
          </cell>
          <cell r="Y362">
            <v>430000</v>
          </cell>
          <cell r="Z362"/>
          <cell r="AA362">
            <v>0</v>
          </cell>
          <cell r="AB362">
            <v>0</v>
          </cell>
          <cell r="AC362">
            <v>0</v>
          </cell>
          <cell r="AD362">
            <v>0</v>
          </cell>
          <cell r="AE362">
            <v>430000</v>
          </cell>
          <cell r="AF362"/>
          <cell r="AG362"/>
          <cell r="AH362"/>
          <cell r="AI362" t="str">
            <v xml:space="preserve">                              </v>
          </cell>
          <cell r="AJ362">
            <v>430000</v>
          </cell>
          <cell r="AK362">
            <v>0</v>
          </cell>
          <cell r="AL362">
            <v>0</v>
          </cell>
          <cell r="AM362">
            <v>0</v>
          </cell>
          <cell r="AN362">
            <v>0</v>
          </cell>
          <cell r="AO362">
            <v>0</v>
          </cell>
          <cell r="AP362">
            <v>430000</v>
          </cell>
          <cell r="AQ362" t="str">
            <v>Minas Gerais</v>
          </cell>
          <cell r="AS362" t="str">
            <v>x</v>
          </cell>
          <cell r="AT362">
            <v>0</v>
          </cell>
        </row>
        <row r="363">
          <cell r="B363" t="str">
            <v>COO1970</v>
          </cell>
          <cell r="C363" t="str">
            <v>OOGG.F</v>
          </cell>
          <cell r="D363" t="str">
            <v>OOGS.S-S-2025-I-0224</v>
          </cell>
          <cell r="E363" t="str">
            <v>OS-2025-G-0124</v>
          </cell>
          <cell r="F363" t="str">
            <v>OS-2025-G-377</v>
          </cell>
          <cell r="G363" t="str">
            <v>Operação Sudeste</v>
          </cell>
          <cell r="H363" t="str">
            <v>Nova Demanda</v>
          </cell>
          <cell r="I363" t="str">
            <v>Modernização do sistema de drenagem da tampa da turbina da UHE Manso</v>
          </cell>
          <cell r="J363" t="str">
            <v>Aquisição de conjunto de motobombas com acessórios e demais materiais para reforço de confiabilidade operacional das unidades geradoras, de modo a evitar desligamentos intempestivos em virtude de nível alto de água na tampa da turbina-UHE Manso</v>
          </cell>
          <cell r="K363" t="str">
            <v>Aquisição de conjunto de motobombas com acessórios e demais materiais para reforço de confiabilidade operacional das unidades geradoras, de modo a evitar desligamentos intempestivos em virtude de nível alto de água na tampa da turbina-UHE Manso</v>
          </cell>
          <cell r="L363" t="str">
            <v>FA04110103</v>
          </cell>
          <cell r="M363" t="str">
            <v>UHE Manso</v>
          </cell>
          <cell r="N363" t="str">
            <v>Geração</v>
          </cell>
          <cell r="O363" t="str">
            <v>Modernização de pequeno porte</v>
          </cell>
          <cell r="P363" t="str">
            <v>Modernização de pequeno porte</v>
          </cell>
          <cell r="Q363" t="str">
            <v>FGHI.0011</v>
          </cell>
          <cell r="R363" t="str">
            <v>PO.O_DRG.O_20OM_UHMSO</v>
          </cell>
          <cell r="S363">
            <v>0</v>
          </cell>
          <cell r="T363">
            <v>0</v>
          </cell>
          <cell r="U363">
            <v>0</v>
          </cell>
          <cell r="V363">
            <v>0</v>
          </cell>
          <cell r="W363">
            <v>150000</v>
          </cell>
          <cell r="X363">
            <v>0</v>
          </cell>
          <cell r="Y363">
            <v>0</v>
          </cell>
          <cell r="Z363">
            <v>0</v>
          </cell>
          <cell r="AA363">
            <v>0</v>
          </cell>
          <cell r="AB363">
            <v>0</v>
          </cell>
          <cell r="AC363">
            <v>0</v>
          </cell>
          <cell r="AD363">
            <v>0</v>
          </cell>
          <cell r="AE363">
            <v>150000</v>
          </cell>
          <cell r="AF363"/>
          <cell r="AG363"/>
          <cell r="AH363"/>
          <cell r="AI363" t="str">
            <v xml:space="preserve">                              </v>
          </cell>
          <cell r="AJ363">
            <v>150000</v>
          </cell>
          <cell r="AK363">
            <v>0</v>
          </cell>
          <cell r="AL363">
            <v>0</v>
          </cell>
          <cell r="AM363">
            <v>0</v>
          </cell>
          <cell r="AN363">
            <v>0</v>
          </cell>
          <cell r="AO363">
            <v>0</v>
          </cell>
          <cell r="AP363">
            <v>150000</v>
          </cell>
          <cell r="AQ363" t="str">
            <v>Mato Grosso</v>
          </cell>
          <cell r="AT363">
            <v>0</v>
          </cell>
        </row>
        <row r="364">
          <cell r="B364" t="str">
            <v>COO1971</v>
          </cell>
          <cell r="C364" t="str">
            <v>OOMG.F</v>
          </cell>
          <cell r="D364" t="str">
            <v>OOGN.S-S-2025-I-0135</v>
          </cell>
          <cell r="E364" t="str">
            <v>OS-2025-G-0008</v>
          </cell>
          <cell r="F364" t="str">
            <v>OS-2025-G-317</v>
          </cell>
          <cell r="G364" t="str">
            <v>Operação Sudeste</v>
          </cell>
          <cell r="H364" t="str">
            <v>Nova Demanda</v>
          </cell>
          <cell r="I364" t="str">
            <v>Modernização dos compressores de ar de serviço da UHE Marimbondo</v>
          </cell>
          <cell r="J364" t="str">
            <v>Aquisição de dois Compressores para o sistema de ar de serviço</v>
          </cell>
          <cell r="K364" t="str">
            <v>Aquisição de dois Compressores para o sistema de ar de serviço</v>
          </cell>
          <cell r="L364" t="str">
            <v>FA04090200</v>
          </cell>
          <cell r="M364" t="str">
            <v>UHE Marimbondo</v>
          </cell>
          <cell r="N364" t="str">
            <v>Geração</v>
          </cell>
          <cell r="O364" t="str">
            <v>Modernização de pequeno porte</v>
          </cell>
          <cell r="P364" t="str">
            <v>Modernização de pequeno porte</v>
          </cell>
          <cell r="Q364" t="str">
            <v>FGHI.0098</v>
          </cell>
          <cell r="R364" t="str">
            <v>EM.O_DER.O_215U</v>
          </cell>
          <cell r="S364">
            <v>0</v>
          </cell>
          <cell r="T364">
            <v>0</v>
          </cell>
          <cell r="U364">
            <v>0</v>
          </cell>
          <cell r="V364">
            <v>0</v>
          </cell>
          <cell r="W364">
            <v>0</v>
          </cell>
          <cell r="X364">
            <v>0</v>
          </cell>
          <cell r="Y364">
            <v>400000</v>
          </cell>
          <cell r="Z364"/>
          <cell r="AA364">
            <v>0</v>
          </cell>
          <cell r="AB364">
            <v>0</v>
          </cell>
          <cell r="AC364">
            <v>0</v>
          </cell>
          <cell r="AD364">
            <v>0</v>
          </cell>
          <cell r="AE364">
            <v>400000</v>
          </cell>
          <cell r="AF364"/>
          <cell r="AG364"/>
          <cell r="AH364"/>
          <cell r="AI364" t="str">
            <v xml:space="preserve">                              </v>
          </cell>
          <cell r="AJ364">
            <v>400000</v>
          </cell>
          <cell r="AK364">
            <v>0</v>
          </cell>
          <cell r="AL364">
            <v>0</v>
          </cell>
          <cell r="AM364">
            <v>0</v>
          </cell>
          <cell r="AN364">
            <v>0</v>
          </cell>
          <cell r="AO364">
            <v>0</v>
          </cell>
          <cell r="AP364">
            <v>400000</v>
          </cell>
          <cell r="AQ364" t="str">
            <v>Minas Gerais</v>
          </cell>
          <cell r="AS364" t="str">
            <v>x</v>
          </cell>
          <cell r="AT364">
            <v>0</v>
          </cell>
        </row>
        <row r="365">
          <cell r="B365" t="str">
            <v>COO1972</v>
          </cell>
          <cell r="C365" t="str">
            <v>OOGM.F</v>
          </cell>
          <cell r="D365" t="str">
            <v>OOGR.S-S-2025-I-0180</v>
          </cell>
          <cell r="E365" t="str">
            <v>OS-2025-G-0048</v>
          </cell>
          <cell r="F365" t="str">
            <v>OS-2025-G-287</v>
          </cell>
          <cell r="G365" t="str">
            <v>Operação Sudeste</v>
          </cell>
          <cell r="H365" t="str">
            <v>Nova Demanda</v>
          </cell>
          <cell r="I365" t="str">
            <v>Aquisição da haste do servomotor da comporta da tomada d'água da UHE Furnas</v>
          </cell>
          <cell r="J365" t="str">
            <v>Aquisição de haste para o servomotor da comporta de serviço da Tomada Dágua da UHE Furnas - fim de vida útil</v>
          </cell>
          <cell r="K365" t="str">
            <v>Aquisição de haste para o servomotor da comporta de serviço da Tomada Dágua da UHE Furnas - fim de vida útil</v>
          </cell>
          <cell r="L365" t="str">
            <v>FA04110203</v>
          </cell>
          <cell r="M365" t="str">
            <v>UHE Furnas</v>
          </cell>
          <cell r="N365" t="str">
            <v>Geração</v>
          </cell>
          <cell r="O365" t="str">
            <v>Modernização de pequeno porte</v>
          </cell>
          <cell r="P365" t="str">
            <v>Modernização de pequeno porte</v>
          </cell>
          <cell r="Q365" t="str">
            <v>FGHI.0002</v>
          </cell>
          <cell r="R365" t="str">
            <v>PO.O_DRM.O_215U</v>
          </cell>
          <cell r="S365">
            <v>0</v>
          </cell>
          <cell r="T365">
            <v>0</v>
          </cell>
          <cell r="U365">
            <v>0</v>
          </cell>
          <cell r="V365">
            <v>218028</v>
          </cell>
          <cell r="W365">
            <v>0</v>
          </cell>
          <cell r="X365">
            <v>0</v>
          </cell>
          <cell r="Y365">
            <v>0</v>
          </cell>
          <cell r="Z365">
            <v>0</v>
          </cell>
          <cell r="AA365">
            <v>0</v>
          </cell>
          <cell r="AB365">
            <v>0</v>
          </cell>
          <cell r="AC365">
            <v>0</v>
          </cell>
          <cell r="AD365">
            <v>0</v>
          </cell>
          <cell r="AE365">
            <v>218028</v>
          </cell>
          <cell r="AF365"/>
          <cell r="AG365"/>
          <cell r="AH365"/>
          <cell r="AI365" t="str">
            <v xml:space="preserve">                              </v>
          </cell>
          <cell r="AJ365">
            <v>218028</v>
          </cell>
          <cell r="AK365">
            <v>0</v>
          </cell>
          <cell r="AL365">
            <v>0</v>
          </cell>
          <cell r="AM365">
            <v>0</v>
          </cell>
          <cell r="AN365">
            <v>0</v>
          </cell>
          <cell r="AO365">
            <v>0</v>
          </cell>
          <cell r="AP365">
            <v>218028</v>
          </cell>
          <cell r="AQ365" t="str">
            <v>Minas Gerais</v>
          </cell>
          <cell r="AS365" t="str">
            <v>x</v>
          </cell>
          <cell r="AT365">
            <v>0</v>
          </cell>
        </row>
        <row r="366">
          <cell r="B366" t="str">
            <v>COO1973</v>
          </cell>
          <cell r="C366" t="str">
            <v>OOGM.F</v>
          </cell>
          <cell r="D366" t="str">
            <v>OOGS.S-S-2025-I-0283</v>
          </cell>
          <cell r="E366" t="str">
            <v>OS-2025-G-0038</v>
          </cell>
          <cell r="F366" t="str">
            <v>OS-2025-G-288</v>
          </cell>
          <cell r="G366" t="str">
            <v>Operação Sudeste</v>
          </cell>
          <cell r="H366" t="str">
            <v>Nova Demanda</v>
          </cell>
          <cell r="I366" t="str">
            <v>Aquisição da haste do servomotor da turbina da UHE Luiz Carlos Barreto de Carvalho</v>
          </cell>
          <cell r="J366" t="str">
            <v>Aquisição de haste sobressalente para servomotor da turbina por fim de vida útil</v>
          </cell>
          <cell r="K366" t="str">
            <v>Aquisição de haste sobressalente para servomotor da turbina por fim de vida útil</v>
          </cell>
          <cell r="L366" t="str">
            <v>FA04110202</v>
          </cell>
          <cell r="M366" t="str">
            <v>UHE Luiz Carlos Barreto de Carvalho</v>
          </cell>
          <cell r="N366" t="str">
            <v>Geração</v>
          </cell>
          <cell r="O366" t="str">
            <v>Modernização de pequeno porte</v>
          </cell>
          <cell r="P366" t="str">
            <v>Modernização de pequeno porte</v>
          </cell>
          <cell r="Q366" t="str">
            <v>FGHI.0009</v>
          </cell>
          <cell r="R366" t="str">
            <v>PO.O_DRM.O_215U_UHLBA</v>
          </cell>
          <cell r="S366">
            <v>0</v>
          </cell>
          <cell r="T366">
            <v>0</v>
          </cell>
          <cell r="U366">
            <v>0</v>
          </cell>
          <cell r="V366">
            <v>0</v>
          </cell>
          <cell r="W366">
            <v>0</v>
          </cell>
          <cell r="X366">
            <v>0</v>
          </cell>
          <cell r="Y366">
            <v>0</v>
          </cell>
          <cell r="Z366">
            <v>0</v>
          </cell>
          <cell r="AA366">
            <v>60000</v>
          </cell>
          <cell r="AB366">
            <v>0</v>
          </cell>
          <cell r="AC366">
            <v>0</v>
          </cell>
          <cell r="AD366">
            <v>0</v>
          </cell>
          <cell r="AE366">
            <v>60000</v>
          </cell>
          <cell r="AF366"/>
          <cell r="AG366"/>
          <cell r="AH366"/>
          <cell r="AI366" t="str">
            <v xml:space="preserve">                              </v>
          </cell>
          <cell r="AJ366">
            <v>60000</v>
          </cell>
          <cell r="AK366">
            <v>0</v>
          </cell>
          <cell r="AL366">
            <v>0</v>
          </cell>
          <cell r="AM366">
            <v>0</v>
          </cell>
          <cell r="AN366">
            <v>0</v>
          </cell>
          <cell r="AO366">
            <v>0</v>
          </cell>
          <cell r="AP366">
            <v>60000</v>
          </cell>
          <cell r="AQ366" t="str">
            <v>São Paulo</v>
          </cell>
          <cell r="AT366">
            <v>0</v>
          </cell>
        </row>
        <row r="367">
          <cell r="B367" t="str">
            <v>COO1974</v>
          </cell>
          <cell r="C367" t="str">
            <v>OOGM.F</v>
          </cell>
          <cell r="D367" t="str">
            <v>OOGS.S-S-2025-I-0299</v>
          </cell>
          <cell r="E367" t="str">
            <v>OS-2025-G-0039</v>
          </cell>
          <cell r="F367" t="str">
            <v>OS-2025-G-289</v>
          </cell>
          <cell r="G367" t="str">
            <v>Operação Sudeste</v>
          </cell>
          <cell r="H367" t="str">
            <v>Nova Demanda</v>
          </cell>
          <cell r="I367" t="str">
            <v>Aquisição de relés IED SEL para os transformadores elevadores da UHE Luiz Carlos Barreto de Carvalho</v>
          </cell>
          <cell r="J367" t="str">
            <v>Aquisição de IED sobressalente para os transformadores WEG por fim de vida útil</v>
          </cell>
          <cell r="K367" t="str">
            <v>Aquisição de IED sobressalente para os transformadores WEG por fim de vida útil</v>
          </cell>
          <cell r="L367" t="str">
            <v>FA04110202</v>
          </cell>
          <cell r="M367" t="str">
            <v>UHE Luiz Carlos Barreto de Carvalho</v>
          </cell>
          <cell r="N367" t="str">
            <v>Geração</v>
          </cell>
          <cell r="O367" t="str">
            <v>Modernização de pequeno porte</v>
          </cell>
          <cell r="P367" t="str">
            <v>Modernização de pequeno porte</v>
          </cell>
          <cell r="Q367" t="str">
            <v>FGHI.0009</v>
          </cell>
          <cell r="R367" t="str">
            <v>PO.O_DRM.O_215U_UHLBA</v>
          </cell>
          <cell r="S367">
            <v>0</v>
          </cell>
          <cell r="T367">
            <v>0</v>
          </cell>
          <cell r="U367">
            <v>0</v>
          </cell>
          <cell r="V367">
            <v>0</v>
          </cell>
          <cell r="W367">
            <v>0</v>
          </cell>
          <cell r="X367">
            <v>40000</v>
          </cell>
          <cell r="Y367">
            <v>0</v>
          </cell>
          <cell r="Z367">
            <v>0</v>
          </cell>
          <cell r="AA367">
            <v>0</v>
          </cell>
          <cell r="AB367">
            <v>0</v>
          </cell>
          <cell r="AC367">
            <v>0</v>
          </cell>
          <cell r="AD367">
            <v>0</v>
          </cell>
          <cell r="AE367">
            <v>40000</v>
          </cell>
          <cell r="AF367"/>
          <cell r="AG367"/>
          <cell r="AH367"/>
          <cell r="AI367" t="str">
            <v xml:space="preserve">                              </v>
          </cell>
          <cell r="AJ367">
            <v>40000</v>
          </cell>
          <cell r="AK367">
            <v>0</v>
          </cell>
          <cell r="AL367">
            <v>0</v>
          </cell>
          <cell r="AM367">
            <v>0</v>
          </cell>
          <cell r="AN367">
            <v>0</v>
          </cell>
          <cell r="AO367">
            <v>0</v>
          </cell>
          <cell r="AP367">
            <v>40000</v>
          </cell>
          <cell r="AQ367" t="str">
            <v>São Paulo</v>
          </cell>
          <cell r="AT367">
            <v>0</v>
          </cell>
        </row>
        <row r="368">
          <cell r="B368" t="str">
            <v>COO1975</v>
          </cell>
          <cell r="C368" t="str">
            <v>OOGM.F</v>
          </cell>
          <cell r="D368" t="str">
            <v>OOGN.S-S-2025-I-0111</v>
          </cell>
          <cell r="E368" t="str">
            <v>OS-2025-G-0047</v>
          </cell>
          <cell r="F368" t="str">
            <v>OS-2025-G-314</v>
          </cell>
          <cell r="G368" t="str">
            <v>Operação Sudeste</v>
          </cell>
          <cell r="H368" t="str">
            <v>Nova Demanda</v>
          </cell>
          <cell r="I368" t="str">
            <v>Modernização do sistema de monitoramento por câmera da UHE Furnas</v>
          </cell>
          <cell r="J368" t="str">
            <v>Aquisição de material e instalação de novas câmeras de segurança na UHE Furnas - equipamento anterior em fim de vida útil</v>
          </cell>
          <cell r="K368" t="str">
            <v>Aquisição de material e instalação de novas câmeras de segurança na UHE Furnas - equipamento anterior em fim de vida útil</v>
          </cell>
          <cell r="L368" t="str">
            <v>FA04110203</v>
          </cell>
          <cell r="M368" t="str">
            <v>UHE Furnas</v>
          </cell>
          <cell r="N368" t="str">
            <v>Geração</v>
          </cell>
          <cell r="O368" t="str">
            <v>Modernização de pequeno porte</v>
          </cell>
          <cell r="P368" t="str">
            <v>Modernização de pequeno porte</v>
          </cell>
          <cell r="Q368" t="str">
            <v>FGHI.0002</v>
          </cell>
          <cell r="R368" t="str">
            <v>PO.O_DRM.O_215U</v>
          </cell>
          <cell r="S368">
            <v>0</v>
          </cell>
          <cell r="T368">
            <v>0</v>
          </cell>
          <cell r="U368">
            <v>0</v>
          </cell>
          <cell r="V368">
            <v>0</v>
          </cell>
          <cell r="W368">
            <v>0</v>
          </cell>
          <cell r="X368">
            <v>100000</v>
          </cell>
          <cell r="Y368">
            <v>100000</v>
          </cell>
          <cell r="Z368">
            <v>100000</v>
          </cell>
          <cell r="AA368">
            <v>100000</v>
          </cell>
          <cell r="AB368">
            <v>100000</v>
          </cell>
          <cell r="AC368">
            <v>20000</v>
          </cell>
          <cell r="AD368">
            <v>0</v>
          </cell>
          <cell r="AE368">
            <v>520000</v>
          </cell>
          <cell r="AF368"/>
          <cell r="AG368"/>
          <cell r="AH368"/>
          <cell r="AI368" t="str">
            <v xml:space="preserve">                              </v>
          </cell>
          <cell r="AJ368">
            <v>520000</v>
          </cell>
          <cell r="AK368">
            <v>0</v>
          </cell>
          <cell r="AL368">
            <v>0</v>
          </cell>
          <cell r="AM368">
            <v>0</v>
          </cell>
          <cell r="AN368">
            <v>0</v>
          </cell>
          <cell r="AO368">
            <v>0</v>
          </cell>
          <cell r="AP368">
            <v>520000</v>
          </cell>
          <cell r="AQ368" t="str">
            <v>Minas Gerais</v>
          </cell>
          <cell r="AT368">
            <v>0</v>
          </cell>
        </row>
        <row r="369">
          <cell r="B369" t="str">
            <v>COO1976</v>
          </cell>
          <cell r="C369" t="str">
            <v>OOGG.F</v>
          </cell>
          <cell r="D369" t="str">
            <v>OOGN.S-S-2025-I-0120</v>
          </cell>
          <cell r="E369" t="str">
            <v>OS-2025-G-0125</v>
          </cell>
          <cell r="F369" t="str">
            <v>OS-2025-G-391</v>
          </cell>
          <cell r="G369" t="str">
            <v>Operação Sudeste</v>
          </cell>
          <cell r="H369" t="str">
            <v>Nova Demanda</v>
          </cell>
          <cell r="I369" t="str">
            <v>Modernização dos módulos das UAC de controle das Unidades Geradoras da UHE Manso</v>
          </cell>
          <cell r="J369" t="str">
            <v>Aquisição de módulos da UAC para atualização do SSC das unidades geradoras. Equipamentos existentes sem reposição-UHE Manso</v>
          </cell>
          <cell r="K369" t="str">
            <v>Aquisição de módulos da UAC para atualização do SSC das unidades geradoras. Equipamentos existentes sem reposição-UHE Manso</v>
          </cell>
          <cell r="L369" t="str">
            <v>FA04110103</v>
          </cell>
          <cell r="M369" t="str">
            <v>UHE Manso</v>
          </cell>
          <cell r="N369" t="str">
            <v>Geração</v>
          </cell>
          <cell r="O369" t="str">
            <v>Modernização de pequeno porte</v>
          </cell>
          <cell r="P369" t="str">
            <v>Modernização de pequeno porte</v>
          </cell>
          <cell r="Q369" t="str">
            <v>FGHI.0011</v>
          </cell>
          <cell r="R369" t="str">
            <v>PO.O_DRG.O_20OM_UHMSO</v>
          </cell>
          <cell r="S369">
            <v>0</v>
          </cell>
          <cell r="T369">
            <v>0</v>
          </cell>
          <cell r="U369">
            <v>0</v>
          </cell>
          <cell r="V369">
            <v>0</v>
          </cell>
          <cell r="W369">
            <v>500000</v>
          </cell>
          <cell r="X369">
            <v>0</v>
          </cell>
          <cell r="Y369">
            <v>0</v>
          </cell>
          <cell r="Z369">
            <v>0</v>
          </cell>
          <cell r="AA369">
            <v>0</v>
          </cell>
          <cell r="AB369">
            <v>0</v>
          </cell>
          <cell r="AC369">
            <v>0</v>
          </cell>
          <cell r="AD369">
            <v>0</v>
          </cell>
          <cell r="AE369">
            <v>500000</v>
          </cell>
          <cell r="AF369"/>
          <cell r="AG369"/>
          <cell r="AH369"/>
          <cell r="AI369" t="str">
            <v xml:space="preserve">                              </v>
          </cell>
          <cell r="AJ369">
            <v>500000</v>
          </cell>
          <cell r="AK369">
            <v>0</v>
          </cell>
          <cell r="AL369">
            <v>0</v>
          </cell>
          <cell r="AM369">
            <v>0</v>
          </cell>
          <cell r="AN369">
            <v>0</v>
          </cell>
          <cell r="AO369">
            <v>0</v>
          </cell>
          <cell r="AP369">
            <v>500000</v>
          </cell>
          <cell r="AQ369" t="str">
            <v>Mato Grosso</v>
          </cell>
          <cell r="AT369">
            <v>0</v>
          </cell>
        </row>
        <row r="370">
          <cell r="B370" t="str">
            <v>COO1977</v>
          </cell>
          <cell r="C370" t="str">
            <v>OOGM.F</v>
          </cell>
          <cell r="D370" t="str">
            <v>OOGR.S-S-2025-I-0302</v>
          </cell>
          <cell r="E370" t="str">
            <v>OS-2025-G-0040</v>
          </cell>
          <cell r="F370" t="str">
            <v>OS-2025-G-323</v>
          </cell>
          <cell r="G370" t="str">
            <v>Operação Sudeste</v>
          </cell>
          <cell r="H370" t="str">
            <v>Nova Demanda</v>
          </cell>
          <cell r="I370" t="str">
            <v>Aquisição de sistema de monitoramento de temperatura para os transformadores da UHE Luiz Carlos Barreto de Carvalho</v>
          </cell>
          <cell r="J370" t="str">
            <v>Aquisição de monitor de temperatura TM1 para transformadores ABB - modernização de equipmento</v>
          </cell>
          <cell r="K370" t="str">
            <v>Aquisição de monitor de temperatura TM1 para transformadores ABB - modernização de equipmento</v>
          </cell>
          <cell r="L370" t="str">
            <v>FA04110202</v>
          </cell>
          <cell r="M370" t="str">
            <v>UHE Luiz Carlos Barreto de Carvalho</v>
          </cell>
          <cell r="N370" t="str">
            <v>Geração</v>
          </cell>
          <cell r="O370" t="str">
            <v>Modernização de pequeno porte</v>
          </cell>
          <cell r="P370" t="str">
            <v>Modernização de pequeno porte</v>
          </cell>
          <cell r="Q370" t="str">
            <v>FGHI.0009</v>
          </cell>
          <cell r="R370" t="str">
            <v>PO.O_DRM.O_215U_UHLBA</v>
          </cell>
          <cell r="S370">
            <v>0</v>
          </cell>
          <cell r="T370">
            <v>0</v>
          </cell>
          <cell r="U370">
            <v>0</v>
          </cell>
          <cell r="V370">
            <v>0</v>
          </cell>
          <cell r="W370">
            <v>0</v>
          </cell>
          <cell r="X370">
            <v>36000</v>
          </cell>
          <cell r="Y370">
            <v>0</v>
          </cell>
          <cell r="Z370">
            <v>0</v>
          </cell>
          <cell r="AA370">
            <v>0</v>
          </cell>
          <cell r="AB370">
            <v>0</v>
          </cell>
          <cell r="AC370">
            <v>0</v>
          </cell>
          <cell r="AD370">
            <v>0</v>
          </cell>
          <cell r="AE370">
            <v>36000</v>
          </cell>
          <cell r="AF370"/>
          <cell r="AG370"/>
          <cell r="AH370"/>
          <cell r="AI370" t="str">
            <v xml:space="preserve">                              </v>
          </cell>
          <cell r="AJ370">
            <v>36000</v>
          </cell>
          <cell r="AK370">
            <v>0</v>
          </cell>
          <cell r="AL370">
            <v>0</v>
          </cell>
          <cell r="AM370">
            <v>0</v>
          </cell>
          <cell r="AN370">
            <v>0</v>
          </cell>
          <cell r="AO370">
            <v>0</v>
          </cell>
          <cell r="AP370">
            <v>36000</v>
          </cell>
          <cell r="AQ370" t="str">
            <v>São Paulo</v>
          </cell>
          <cell r="AS370" t="str">
            <v>x</v>
          </cell>
          <cell r="AT370">
            <v>0</v>
          </cell>
        </row>
        <row r="371">
          <cell r="B371" t="str">
            <v>COO1978</v>
          </cell>
          <cell r="C371" t="str">
            <v>OOGG.F</v>
          </cell>
          <cell r="D371" t="str">
            <v>OOTP.F-OS-2025-I-0623</v>
          </cell>
          <cell r="E371" t="str">
            <v>OS-2025-G-0094</v>
          </cell>
          <cell r="F371" t="str">
            <v>OS-2025-G-371</v>
          </cell>
          <cell r="G371" t="str">
            <v>Operação Sudeste</v>
          </cell>
          <cell r="H371" t="str">
            <v>Nova Demanda</v>
          </cell>
          <cell r="I371" t="str">
            <v>Modernização da instrumentação da UHE Itumbiara</v>
          </cell>
          <cell r="J371" t="str">
            <v>Aquisição de Pressostado digital para utilização nas bombas de circulação de óleo, caixa de vedação-UHE Itumbiara</v>
          </cell>
          <cell r="K371" t="str">
            <v>Aquisição de Pressostado digital para utilização nas bombas de circulação de óleo, caixa de vedação-UHE Itumbiara</v>
          </cell>
          <cell r="L371" t="str">
            <v>FA04110102</v>
          </cell>
          <cell r="M371" t="str">
            <v>UHE Itumbiara</v>
          </cell>
          <cell r="N371" t="str">
            <v>Geração</v>
          </cell>
          <cell r="O371" t="str">
            <v>Modernização de pequeno porte</v>
          </cell>
          <cell r="P371" t="str">
            <v>Modernização de pequeno porte</v>
          </cell>
          <cell r="Q371" t="str">
            <v>FGHI.0003</v>
          </cell>
          <cell r="R371" t="str">
            <v>PO.O_DRG.O_20OM</v>
          </cell>
          <cell r="S371">
            <v>0</v>
          </cell>
          <cell r="T371">
            <v>0</v>
          </cell>
          <cell r="U371">
            <v>0</v>
          </cell>
          <cell r="V371">
            <v>5000</v>
          </cell>
          <cell r="W371">
            <v>0</v>
          </cell>
          <cell r="X371">
            <v>0</v>
          </cell>
          <cell r="Y371">
            <v>0</v>
          </cell>
          <cell r="Z371">
            <v>0</v>
          </cell>
          <cell r="AA371">
            <v>0</v>
          </cell>
          <cell r="AB371">
            <v>0</v>
          </cell>
          <cell r="AC371">
            <v>0</v>
          </cell>
          <cell r="AD371">
            <v>0</v>
          </cell>
          <cell r="AE371">
            <v>5000</v>
          </cell>
          <cell r="AF371">
            <v>1000000</v>
          </cell>
          <cell r="AG371"/>
          <cell r="AH371"/>
          <cell r="AI371" t="str">
            <v xml:space="preserve">                              </v>
          </cell>
          <cell r="AJ371">
            <v>1005000</v>
          </cell>
          <cell r="AK371">
            <v>0</v>
          </cell>
          <cell r="AL371">
            <v>0</v>
          </cell>
          <cell r="AM371">
            <v>0</v>
          </cell>
          <cell r="AN371">
            <v>0</v>
          </cell>
          <cell r="AO371">
            <v>0</v>
          </cell>
          <cell r="AP371">
            <v>1005000</v>
          </cell>
          <cell r="AQ371" t="str">
            <v>Minas Gerais</v>
          </cell>
          <cell r="AT371">
            <v>1000000</v>
          </cell>
        </row>
        <row r="372">
          <cell r="B372" t="str">
            <v>COO1979</v>
          </cell>
          <cell r="C372" t="str">
            <v>OOMG.F</v>
          </cell>
          <cell r="D372" t="str">
            <v>OOMT.S-S-2025-I-0038</v>
          </cell>
          <cell r="E372" t="str">
            <v>OS-2025-G-0009</v>
          </cell>
          <cell r="F372" t="str">
            <v>OS-2025-G-316</v>
          </cell>
          <cell r="G372" t="str">
            <v>Operação Sudeste</v>
          </cell>
          <cell r="H372" t="str">
            <v>Contratado</v>
          </cell>
          <cell r="I372" t="str">
            <v>Modernização do sistema de resfriamento dos geradores da UHE Marimbondo</v>
          </cell>
          <cell r="J372" t="str">
            <v>Aquisição de radiadores para os geradores das UGS da UHE Marimbondo</v>
          </cell>
          <cell r="K372" t="str">
            <v>Aquisição de radiadores para os geradores das UGS da UHE Marimbondo</v>
          </cell>
          <cell r="L372" t="str">
            <v>FA04090200</v>
          </cell>
          <cell r="M372" t="str">
            <v>UHE Marimbondo</v>
          </cell>
          <cell r="N372" t="str">
            <v>Geração</v>
          </cell>
          <cell r="O372" t="str">
            <v>Modernização de pequeno porte</v>
          </cell>
          <cell r="P372" t="str">
            <v>Modernização de pequeno porte</v>
          </cell>
          <cell r="Q372" t="str">
            <v>FGHI.0098</v>
          </cell>
          <cell r="R372" t="str">
            <v>EM.O_DER.O_215U</v>
          </cell>
          <cell r="S372">
            <v>0</v>
          </cell>
          <cell r="T372">
            <v>0</v>
          </cell>
          <cell r="U372">
            <v>0</v>
          </cell>
          <cell r="V372">
            <v>0</v>
          </cell>
          <cell r="W372">
            <v>0</v>
          </cell>
          <cell r="X372">
            <v>0</v>
          </cell>
          <cell r="Y372">
            <v>0</v>
          </cell>
          <cell r="Z372">
            <v>0</v>
          </cell>
          <cell r="AA372">
            <v>0</v>
          </cell>
          <cell r="AB372">
            <v>0</v>
          </cell>
          <cell r="AC372">
            <v>0</v>
          </cell>
          <cell r="AD372">
            <v>1900000</v>
          </cell>
          <cell r="AE372">
            <v>1900000</v>
          </cell>
          <cell r="AF372">
            <v>1900000</v>
          </cell>
          <cell r="AG372"/>
          <cell r="AH372"/>
          <cell r="AI372" t="str">
            <v xml:space="preserve">                              </v>
          </cell>
          <cell r="AJ372">
            <v>3800000</v>
          </cell>
          <cell r="AK372">
            <v>0</v>
          </cell>
          <cell r="AL372">
            <v>0</v>
          </cell>
          <cell r="AM372">
            <v>0</v>
          </cell>
          <cell r="AN372">
            <v>0</v>
          </cell>
          <cell r="AO372">
            <v>0</v>
          </cell>
          <cell r="AP372">
            <v>3800000</v>
          </cell>
          <cell r="AQ372" t="str">
            <v>Minas Gerais</v>
          </cell>
          <cell r="AS372" t="str">
            <v>x</v>
          </cell>
          <cell r="AT372">
            <v>1900000</v>
          </cell>
        </row>
        <row r="373">
          <cell r="B373" t="str">
            <v>COO1980</v>
          </cell>
          <cell r="C373" t="str">
            <v>OOGG.F</v>
          </cell>
          <cell r="D373" t="str">
            <v>OOGN.S-S-2025-I-0132</v>
          </cell>
          <cell r="E373" t="str">
            <v>OS-2025-G-0126</v>
          </cell>
          <cell r="F373" t="str">
            <v>OS-2025-G-394</v>
          </cell>
          <cell r="G373" t="str">
            <v>Operação Sudeste</v>
          </cell>
          <cell r="H373" t="str">
            <v>Nova Demanda</v>
          </cell>
          <cell r="I373" t="str">
            <v>Modernização dos relés de sincronismo para as Unidades Geradoras da UHE Manso</v>
          </cell>
          <cell r="J373" t="str">
            <v>Aquisição de relés para individualização do sincronismo das Unidades Geradoras, para melhoria da confiabilidade operacional-UHE Manso</v>
          </cell>
          <cell r="K373" t="str">
            <v>Aquisição de relés para individualização do sincronismo das Unidades Geradoras, para melhoria da confiabilidade operacional-UHE Manso</v>
          </cell>
          <cell r="L373" t="str">
            <v>FA04110103</v>
          </cell>
          <cell r="M373" t="str">
            <v>UHE Manso</v>
          </cell>
          <cell r="N373" t="str">
            <v>Geração</v>
          </cell>
          <cell r="O373" t="str">
            <v>Modernização de pequeno porte</v>
          </cell>
          <cell r="P373" t="str">
            <v>Modernização de pequeno porte</v>
          </cell>
          <cell r="Q373" t="str">
            <v>FGHI.0011</v>
          </cell>
          <cell r="R373" t="str">
            <v>PO.O_DRG.O_20OM_UHMSO</v>
          </cell>
          <cell r="S373">
            <v>0</v>
          </cell>
          <cell r="T373">
            <v>0</v>
          </cell>
          <cell r="U373">
            <v>0</v>
          </cell>
          <cell r="V373">
            <v>400000</v>
          </cell>
          <cell r="W373">
            <v>0</v>
          </cell>
          <cell r="X373">
            <v>0</v>
          </cell>
          <cell r="Y373">
            <v>0</v>
          </cell>
          <cell r="Z373">
            <v>0</v>
          </cell>
          <cell r="AA373">
            <v>0</v>
          </cell>
          <cell r="AB373">
            <v>0</v>
          </cell>
          <cell r="AC373">
            <v>0</v>
          </cell>
          <cell r="AD373">
            <v>0</v>
          </cell>
          <cell r="AE373">
            <v>400000</v>
          </cell>
          <cell r="AF373"/>
          <cell r="AG373"/>
          <cell r="AH373"/>
          <cell r="AI373" t="str">
            <v xml:space="preserve">                              </v>
          </cell>
          <cell r="AJ373">
            <v>400000</v>
          </cell>
          <cell r="AK373">
            <v>0</v>
          </cell>
          <cell r="AL373">
            <v>0</v>
          </cell>
          <cell r="AM373">
            <v>0</v>
          </cell>
          <cell r="AN373">
            <v>0</v>
          </cell>
          <cell r="AO373">
            <v>0</v>
          </cell>
          <cell r="AP373">
            <v>400000</v>
          </cell>
          <cell r="AQ373" t="str">
            <v>Mato Grosso</v>
          </cell>
          <cell r="AT373">
            <v>0</v>
          </cell>
        </row>
        <row r="374">
          <cell r="B374" t="str">
            <v>COO1981</v>
          </cell>
          <cell r="C374" t="str">
            <v>OOGG.F</v>
          </cell>
          <cell r="D374" t="str">
            <v>OOTM.F-OS-2025-I-0281</v>
          </cell>
          <cell r="E374" t="str">
            <v>OS-2025-G-0105</v>
          </cell>
          <cell r="F374" t="str">
            <v>OS-2025-G-362</v>
          </cell>
          <cell r="G374" t="str">
            <v>Operação Sudeste</v>
          </cell>
          <cell r="H374" t="str">
            <v>Nova Demanda</v>
          </cell>
          <cell r="I374" t="str">
            <v>Modernização do sistema de Registro de Perturbações da UHE Corumbá</v>
          </cell>
          <cell r="J374" t="str">
            <v>Aquisição de Sistema de Registro de Perturbações para as Unidades Geradoras de Corumbá, visando substituir as atuais em final de vida útil</v>
          </cell>
          <cell r="K374" t="str">
            <v>Aquisição de Sistema de Registro de Perturbações para as Unidades Geradoras de Corumbá, visando substituir as atuais em final de vida útil</v>
          </cell>
          <cell r="L374" t="str">
            <v>FA04110101</v>
          </cell>
          <cell r="M374" t="str">
            <v>UHE Corumbá</v>
          </cell>
          <cell r="N374" t="str">
            <v>Geração</v>
          </cell>
          <cell r="O374" t="str">
            <v>Modernização de pequeno porte</v>
          </cell>
          <cell r="P374" t="str">
            <v>Modernização de pequeno porte</v>
          </cell>
          <cell r="Q374" t="str">
            <v>FGHI.0001</v>
          </cell>
          <cell r="R374" t="str">
            <v>PO.O_DRG.O_215U</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300000</v>
          </cell>
          <cell r="AG374"/>
          <cell r="AH374"/>
          <cell r="AI374" t="str">
            <v xml:space="preserve">                              </v>
          </cell>
          <cell r="AJ374">
            <v>300000</v>
          </cell>
          <cell r="AK374">
            <v>0</v>
          </cell>
          <cell r="AL374">
            <v>0</v>
          </cell>
          <cell r="AM374">
            <v>0</v>
          </cell>
          <cell r="AN374">
            <v>0</v>
          </cell>
          <cell r="AO374">
            <v>0</v>
          </cell>
          <cell r="AP374">
            <v>300000</v>
          </cell>
          <cell r="AQ374" t="str">
            <v>Goiás</v>
          </cell>
          <cell r="AS374" t="str">
            <v>x</v>
          </cell>
          <cell r="AT374">
            <v>300000</v>
          </cell>
        </row>
        <row r="375">
          <cell r="B375" t="str">
            <v>COO1982</v>
          </cell>
          <cell r="C375" t="str">
            <v>OOGG.F</v>
          </cell>
          <cell r="D375" t="str">
            <v>OOGN.S-S-2025-I-0107</v>
          </cell>
          <cell r="E375" t="str">
            <v>OS-2025-G-0075</v>
          </cell>
          <cell r="F375" t="str">
            <v>OS-2025-G-372</v>
          </cell>
          <cell r="G375" t="str">
            <v>Operação Sudeste</v>
          </cell>
          <cell r="H375" t="str">
            <v>Nova Demanda</v>
          </cell>
          <cell r="I375" t="str">
            <v>Modernização do sistema de Registro de Perturbações da UHE Itumbiara</v>
          </cell>
          <cell r="J375" t="str">
            <v>Aquisição de Sistema de Registro de Perturbações para as Unidades Geradoras de Itumbiara, visando substituir as atuais em final de vida útil</v>
          </cell>
          <cell r="K375" t="str">
            <v>Aquisição de Sistema de Registro de Perturbações para as Unidades Geradoras de Itumbiara, visando substituir as atuais em final de vida útil</v>
          </cell>
          <cell r="L375" t="str">
            <v>FA04110102</v>
          </cell>
          <cell r="M375" t="str">
            <v>UHE Itumbiara</v>
          </cell>
          <cell r="N375" t="str">
            <v>Geração</v>
          </cell>
          <cell r="O375" t="str">
            <v>Modernização de pequeno porte</v>
          </cell>
          <cell r="P375" t="str">
            <v>Modernização de pequeno porte</v>
          </cell>
          <cell r="Q375" t="str">
            <v>FGHI.0003</v>
          </cell>
          <cell r="R375" t="str">
            <v>PO.O_DRG.O_20OM</v>
          </cell>
          <cell r="S375">
            <v>0</v>
          </cell>
          <cell r="T375">
            <v>0</v>
          </cell>
          <cell r="U375">
            <v>0</v>
          </cell>
          <cell r="V375">
            <v>0</v>
          </cell>
          <cell r="W375">
            <v>0</v>
          </cell>
          <cell r="X375">
            <v>0</v>
          </cell>
          <cell r="Y375">
            <v>0</v>
          </cell>
          <cell r="Z375">
            <v>0</v>
          </cell>
          <cell r="AA375">
            <v>600000</v>
          </cell>
          <cell r="AB375">
            <v>0</v>
          </cell>
          <cell r="AC375">
            <v>0</v>
          </cell>
          <cell r="AD375">
            <v>0</v>
          </cell>
          <cell r="AE375">
            <v>600000</v>
          </cell>
          <cell r="AF375"/>
          <cell r="AG375"/>
          <cell r="AH375"/>
          <cell r="AI375" t="str">
            <v xml:space="preserve">                              </v>
          </cell>
          <cell r="AJ375">
            <v>600000</v>
          </cell>
          <cell r="AK375">
            <v>0</v>
          </cell>
          <cell r="AL375">
            <v>0</v>
          </cell>
          <cell r="AM375">
            <v>0</v>
          </cell>
          <cell r="AN375">
            <v>0</v>
          </cell>
          <cell r="AO375">
            <v>0</v>
          </cell>
          <cell r="AP375">
            <v>600000</v>
          </cell>
          <cell r="AQ375" t="str">
            <v>Minas Gerais</v>
          </cell>
          <cell r="AT375">
            <v>0</v>
          </cell>
        </row>
        <row r="376">
          <cell r="B376" t="str">
            <v>COO1983</v>
          </cell>
          <cell r="C376" t="str">
            <v>OOGG.F</v>
          </cell>
          <cell r="D376" t="str">
            <v>OOTM.F-OS-2025-I-0288</v>
          </cell>
          <cell r="E376" t="str">
            <v>OS-2025-G-0080</v>
          </cell>
          <cell r="F376" t="str">
            <v>OS-2025-G-353</v>
          </cell>
          <cell r="G376" t="str">
            <v>Operação Sudeste</v>
          </cell>
          <cell r="H376" t="str">
            <v>Nova Demanda</v>
          </cell>
          <cell r="I376" t="str">
            <v>Modernização do sistema de Registro de Perturbações da UHE Batalha</v>
          </cell>
          <cell r="J376" t="str">
            <v>Aquisição de Sistema de Registro de Perturbações para instalação nas unidades geradoras de Batalha, que não possuem tal dispositivo.</v>
          </cell>
          <cell r="K376" t="str">
            <v>Aquisição de Sistema de Registro de Perturbações para instalação nas unidades geradoras de Batalha, que não possuem tal dispositivo.</v>
          </cell>
          <cell r="L376" t="str">
            <v>FA04110101</v>
          </cell>
          <cell r="M376" t="str">
            <v>UHE Batalha</v>
          </cell>
          <cell r="N376" t="str">
            <v>Geração</v>
          </cell>
          <cell r="O376" t="str">
            <v>Modernização de pequeno porte</v>
          </cell>
          <cell r="P376" t="str">
            <v>Modernização de pequeno porte</v>
          </cell>
          <cell r="Q376" t="str">
            <v>FGHI.0007</v>
          </cell>
          <cell r="R376" t="str">
            <v>PO.O_DRG.O_20OM_UHBHA</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300000</v>
          </cell>
          <cell r="AG376"/>
          <cell r="AH376"/>
          <cell r="AI376" t="str">
            <v xml:space="preserve">                              </v>
          </cell>
          <cell r="AJ376">
            <v>300000</v>
          </cell>
          <cell r="AK376">
            <v>0</v>
          </cell>
          <cell r="AL376">
            <v>0</v>
          </cell>
          <cell r="AM376">
            <v>0</v>
          </cell>
          <cell r="AN376">
            <v>0</v>
          </cell>
          <cell r="AO376">
            <v>0</v>
          </cell>
          <cell r="AP376">
            <v>300000</v>
          </cell>
          <cell r="AQ376" t="str">
            <v>Goiás</v>
          </cell>
          <cell r="AS376" t="str">
            <v>x</v>
          </cell>
          <cell r="AT376">
            <v>300000</v>
          </cell>
        </row>
        <row r="377">
          <cell r="B377" t="str">
            <v>COO1984</v>
          </cell>
          <cell r="C377" t="str">
            <v>OOGM.F</v>
          </cell>
          <cell r="D377" t="str">
            <v>OOGN.S-S-2025-I-0154</v>
          </cell>
          <cell r="E377" t="str">
            <v>OS-2025-G-0043</v>
          </cell>
          <cell r="F377" t="str">
            <v>OS-2025-G-346</v>
          </cell>
          <cell r="G377" t="str">
            <v>Operação Sudeste</v>
          </cell>
          <cell r="H377" t="str">
            <v>Nova Demanda</v>
          </cell>
          <cell r="I377" t="str">
            <v>Aquisição de 01 Transformador de Excitação para unidade 4 da UHE Luiz Carlos Barreto de Carvalho</v>
          </cell>
          <cell r="J377" t="str">
            <v>Aquisição de transformador para o sistema de excitação da unidade geradora 04 da UHE Luiz Carlos Barreto de Carvalho - hoje não há trafo reserva</v>
          </cell>
          <cell r="K377" t="str">
            <v>Aquisição de transformador para o sistema de excitação da unidade geradora 04 da UHE Luiz Carlos Barreto de Carvalho - hoje não há trafo reserva</v>
          </cell>
          <cell r="L377" t="str">
            <v>FA04110202</v>
          </cell>
          <cell r="M377" t="str">
            <v>UHE Luiz Carlos Barreto de Carvalho</v>
          </cell>
          <cell r="N377" t="str">
            <v>Geração</v>
          </cell>
          <cell r="O377" t="str">
            <v>Modernização de pequeno porte</v>
          </cell>
          <cell r="P377" t="str">
            <v>Modernização de pequeno porte</v>
          </cell>
          <cell r="Q377" t="str">
            <v>FGHI.0009</v>
          </cell>
          <cell r="R377" t="str">
            <v>PO.O_DRM.O_215U_UHLBA</v>
          </cell>
          <cell r="S377">
            <v>0</v>
          </cell>
          <cell r="T377">
            <v>0</v>
          </cell>
          <cell r="U377">
            <v>0</v>
          </cell>
          <cell r="V377">
            <v>0</v>
          </cell>
          <cell r="W377">
            <v>326000</v>
          </cell>
          <cell r="X377">
            <v>0</v>
          </cell>
          <cell r="Y377">
            <v>0</v>
          </cell>
          <cell r="Z377">
            <v>0</v>
          </cell>
          <cell r="AA377">
            <v>0</v>
          </cell>
          <cell r="AB377">
            <v>0</v>
          </cell>
          <cell r="AC377">
            <v>0</v>
          </cell>
          <cell r="AD377">
            <v>0</v>
          </cell>
          <cell r="AE377">
            <v>326000</v>
          </cell>
          <cell r="AF377"/>
          <cell r="AG377"/>
          <cell r="AH377"/>
          <cell r="AI377" t="str">
            <v xml:space="preserve">                              </v>
          </cell>
          <cell r="AJ377">
            <v>326000</v>
          </cell>
          <cell r="AK377">
            <v>0</v>
          </cell>
          <cell r="AL377">
            <v>0</v>
          </cell>
          <cell r="AM377">
            <v>0</v>
          </cell>
          <cell r="AN377">
            <v>0</v>
          </cell>
          <cell r="AO377">
            <v>0</v>
          </cell>
          <cell r="AP377">
            <v>326000</v>
          </cell>
          <cell r="AQ377" t="str">
            <v>São Paulo</v>
          </cell>
          <cell r="AT377">
            <v>0</v>
          </cell>
        </row>
        <row r="378">
          <cell r="B378" t="str">
            <v>COO1985</v>
          </cell>
          <cell r="C378" t="str">
            <v>OOGM.F</v>
          </cell>
          <cell r="D378" t="str">
            <v>OOTR.F-OS-2025-I-0141</v>
          </cell>
          <cell r="E378" t="str">
            <v>OS-2025-G-0063</v>
          </cell>
          <cell r="F378" t="str">
            <v>OS-2025-G-347</v>
          </cell>
          <cell r="G378" t="str">
            <v>Operação Sudeste</v>
          </cell>
          <cell r="H378" t="str">
            <v>Nova Demanda</v>
          </cell>
          <cell r="I378" t="str">
            <v>Modernização do sistema de resfriamento dos reguladores de velocidade da UHE Luiz Carlos Barreto de Carvalho</v>
          </cell>
          <cell r="J378" t="str">
            <v>Aquisição de trocadores de calor sobressalentes para os reguladores de velocidade</v>
          </cell>
          <cell r="K378" t="str">
            <v>Aquisição de trocadores de calor sobressalentes para os reguladores de velocidade</v>
          </cell>
          <cell r="L378" t="str">
            <v>FA04110202</v>
          </cell>
          <cell r="M378" t="str">
            <v>UHE Luiz Carlos Barreto de Carvalho</v>
          </cell>
          <cell r="N378" t="str">
            <v>Geração</v>
          </cell>
          <cell r="O378" t="str">
            <v>Modernização de pequeno porte</v>
          </cell>
          <cell r="P378" t="str">
            <v>Modernização de pequeno porte</v>
          </cell>
          <cell r="Q378" t="str">
            <v>FGHI.0009</v>
          </cell>
          <cell r="R378" t="str">
            <v>PO.O_DRM.O_215U_UHLBA</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100000</v>
          </cell>
          <cell r="AG378"/>
          <cell r="AH378"/>
          <cell r="AI378" t="str">
            <v xml:space="preserve">                              </v>
          </cell>
          <cell r="AJ378">
            <v>100000</v>
          </cell>
          <cell r="AK378">
            <v>0</v>
          </cell>
          <cell r="AL378">
            <v>0</v>
          </cell>
          <cell r="AM378">
            <v>0</v>
          </cell>
          <cell r="AN378">
            <v>0</v>
          </cell>
          <cell r="AO378">
            <v>0</v>
          </cell>
          <cell r="AP378">
            <v>100000</v>
          </cell>
          <cell r="AQ378" t="str">
            <v>São Paulo</v>
          </cell>
          <cell r="AT378">
            <v>100000</v>
          </cell>
        </row>
        <row r="379">
          <cell r="B379" t="str">
            <v>COO1986</v>
          </cell>
          <cell r="C379" t="str">
            <v>OOGM.F</v>
          </cell>
          <cell r="D379" t="str">
            <v>OOGR.S-S-2025-I-0292</v>
          </cell>
          <cell r="E379" t="str">
            <v>OS-2025-G-0044</v>
          </cell>
          <cell r="F379" t="str">
            <v>OS-2025-G-282</v>
          </cell>
          <cell r="G379" t="str">
            <v>Operação Sudeste</v>
          </cell>
          <cell r="H379" t="str">
            <v>Nova Demanda</v>
          </cell>
          <cell r="I379" t="str">
            <v>Adequação dos vasos pressão NR13 da UHE Luiz Carlos Barreto de Carvalho</v>
          </cell>
          <cell r="J379" t="str">
            <v>Aquisição de válvulas de segurança sobressalentes para os vasos de pressão - não há reserva e não atende a NR13</v>
          </cell>
          <cell r="K379" t="str">
            <v>Aquisição de válvulas de segurança sobressalentes para os vasos de pressão - não há reserva e não atende a NR13</v>
          </cell>
          <cell r="L379" t="str">
            <v>FA04110202</v>
          </cell>
          <cell r="M379" t="str">
            <v>UHE Luiz Carlos Barreto de Carvalho</v>
          </cell>
          <cell r="N379" t="str">
            <v>Geração</v>
          </cell>
          <cell r="O379" t="str">
            <v>Modernização de pequeno porte</v>
          </cell>
          <cell r="P379" t="str">
            <v>Modernização de pequeno porte</v>
          </cell>
          <cell r="Q379" t="str">
            <v>FGHI.0009</v>
          </cell>
          <cell r="R379" t="str">
            <v>PO.O_DRM.O_215U_UHLBA</v>
          </cell>
          <cell r="S379">
            <v>0</v>
          </cell>
          <cell r="T379">
            <v>0</v>
          </cell>
          <cell r="U379">
            <v>0</v>
          </cell>
          <cell r="V379">
            <v>0</v>
          </cell>
          <cell r="W379">
            <v>0</v>
          </cell>
          <cell r="X379">
            <v>0</v>
          </cell>
          <cell r="Y379">
            <v>50000</v>
          </cell>
          <cell r="Z379"/>
          <cell r="AA379">
            <v>0</v>
          </cell>
          <cell r="AB379">
            <v>0</v>
          </cell>
          <cell r="AC379">
            <v>0</v>
          </cell>
          <cell r="AD379">
            <v>0</v>
          </cell>
          <cell r="AE379">
            <v>50000</v>
          </cell>
          <cell r="AF379"/>
          <cell r="AG379"/>
          <cell r="AH379"/>
          <cell r="AI379" t="str">
            <v xml:space="preserve">                              </v>
          </cell>
          <cell r="AJ379">
            <v>50000</v>
          </cell>
          <cell r="AK379">
            <v>0</v>
          </cell>
          <cell r="AL379">
            <v>0</v>
          </cell>
          <cell r="AM379">
            <v>0</v>
          </cell>
          <cell r="AN379">
            <v>0</v>
          </cell>
          <cell r="AO379">
            <v>0</v>
          </cell>
          <cell r="AP379">
            <v>50000</v>
          </cell>
          <cell r="AQ379" t="str">
            <v>São Paulo</v>
          </cell>
          <cell r="AS379" t="str">
            <v>x</v>
          </cell>
          <cell r="AT379">
            <v>0</v>
          </cell>
        </row>
        <row r="380">
          <cell r="B380" t="str">
            <v>COO1987</v>
          </cell>
          <cell r="C380" t="str">
            <v>OOGM.F</v>
          </cell>
          <cell r="D380" t="str">
            <v>OOGS.S-S-2025-I-0210</v>
          </cell>
          <cell r="E380" t="str">
            <v>OS-2025-G-0035</v>
          </cell>
          <cell r="F380" t="str">
            <v>OS-2025-G-296</v>
          </cell>
          <cell r="G380" t="str">
            <v>Operação Sudeste</v>
          </cell>
          <cell r="H380" t="str">
            <v>Nova Demanda</v>
          </cell>
          <cell r="I380" t="str">
            <v>Implantação de sistemas de monitoramento de óleo no Sistema de Drenagem da UHE Mascarenhas de Moraes</v>
          </cell>
          <cell r="J380" t="str">
            <v>Aquisição e instalação de sistema de monitoramento de presença de óleo no poço de drenagem da UHE Mascarenhas de Moraes visando prevenir vazamentos de óleo para o leito do rio a jusante</v>
          </cell>
          <cell r="K380" t="str">
            <v>Aquisição e instalação de sistema de monitoramento de presença de óleo no poço de drenagem da UHE Mascarenhas de Moraes visando prevenir vazamentos de óleo para o leito do rio a jusante</v>
          </cell>
          <cell r="L380" t="str">
            <v>FA04110201</v>
          </cell>
          <cell r="M380" t="str">
            <v>UHE Mascarenhas de Moraes</v>
          </cell>
          <cell r="N380" t="str">
            <v>Geração</v>
          </cell>
          <cell r="O380" t="str">
            <v>Modernização de pequeno porte</v>
          </cell>
          <cell r="P380" t="str">
            <v>Modernização de pequeno porte</v>
          </cell>
          <cell r="Q380" t="str">
            <v>FGHI.0010</v>
          </cell>
          <cell r="R380" t="str">
            <v>PO.O_DRM.O_20OM</v>
          </cell>
          <cell r="S380">
            <v>0</v>
          </cell>
          <cell r="T380">
            <v>0</v>
          </cell>
          <cell r="U380">
            <v>0</v>
          </cell>
          <cell r="V380">
            <v>0</v>
          </cell>
          <cell r="W380">
            <v>156728</v>
          </cell>
          <cell r="X380">
            <v>0</v>
          </cell>
          <cell r="Y380">
            <v>0</v>
          </cell>
          <cell r="Z380">
            <v>0</v>
          </cell>
          <cell r="AA380">
            <v>0</v>
          </cell>
          <cell r="AB380">
            <v>0</v>
          </cell>
          <cell r="AC380">
            <v>0</v>
          </cell>
          <cell r="AD380">
            <v>0</v>
          </cell>
          <cell r="AE380">
            <v>156728</v>
          </cell>
          <cell r="AF380"/>
          <cell r="AG380"/>
          <cell r="AH380"/>
          <cell r="AI380" t="str">
            <v xml:space="preserve">                              </v>
          </cell>
          <cell r="AJ380">
            <v>156728</v>
          </cell>
          <cell r="AK380">
            <v>0</v>
          </cell>
          <cell r="AL380">
            <v>0</v>
          </cell>
          <cell r="AM380">
            <v>0</v>
          </cell>
          <cell r="AN380">
            <v>0</v>
          </cell>
          <cell r="AO380">
            <v>0</v>
          </cell>
          <cell r="AP380">
            <v>156728</v>
          </cell>
          <cell r="AQ380" t="str">
            <v>Minas Gerais</v>
          </cell>
          <cell r="AT380">
            <v>0</v>
          </cell>
        </row>
        <row r="381">
          <cell r="B381" t="str">
            <v>COO1988</v>
          </cell>
          <cell r="C381" t="str">
            <v>OOGM.F</v>
          </cell>
          <cell r="D381" t="str">
            <v>OOGS.S-S-2025-I-0246</v>
          </cell>
          <cell r="E381" t="str">
            <v>OS-2025-G-0046</v>
          </cell>
          <cell r="F381" t="str">
            <v>OS-2025-G-295</v>
          </cell>
          <cell r="G381" t="str">
            <v>Operação Sudeste</v>
          </cell>
          <cell r="H381" t="str">
            <v>Nova Demanda</v>
          </cell>
          <cell r="I381" t="str">
            <v>Implantação de sistema redundante de drenagem e esvaziamento da UHE Furnas</v>
          </cell>
          <cell r="J381" t="str">
            <v>Bomba auxiliar de drenagem/esvaziamento portátil para uso em situações de emergência - hoje não existente</v>
          </cell>
          <cell r="K381" t="str">
            <v>Bomba auxiliar de drenagem/esvaziamento portátil para uso em situações de emergência - hoje não existente</v>
          </cell>
          <cell r="L381" t="str">
            <v>FA04110203</v>
          </cell>
          <cell r="M381" t="str">
            <v>UHE Furnas</v>
          </cell>
          <cell r="N381" t="str">
            <v>Geração</v>
          </cell>
          <cell r="O381" t="str">
            <v>Modernização de pequeno porte</v>
          </cell>
          <cell r="P381" t="str">
            <v>Modernização de pequeno porte</v>
          </cell>
          <cell r="Q381" t="str">
            <v>FGHI.0002</v>
          </cell>
          <cell r="R381" t="str">
            <v>PO.O_DRM.O_215U</v>
          </cell>
          <cell r="S381">
            <v>0</v>
          </cell>
          <cell r="T381">
            <v>0</v>
          </cell>
          <cell r="U381">
            <v>0</v>
          </cell>
          <cell r="V381">
            <v>0</v>
          </cell>
          <cell r="W381">
            <v>0</v>
          </cell>
          <cell r="X381">
            <v>50000</v>
          </cell>
          <cell r="Y381">
            <v>50000</v>
          </cell>
          <cell r="Z381"/>
          <cell r="AA381">
            <v>0</v>
          </cell>
          <cell r="AB381">
            <v>0</v>
          </cell>
          <cell r="AC381">
            <v>0</v>
          </cell>
          <cell r="AD381">
            <v>0</v>
          </cell>
          <cell r="AE381">
            <v>100000</v>
          </cell>
          <cell r="AF381"/>
          <cell r="AG381"/>
          <cell r="AH381"/>
          <cell r="AI381" t="str">
            <v xml:space="preserve">                              </v>
          </cell>
          <cell r="AJ381">
            <v>100000</v>
          </cell>
          <cell r="AK381">
            <v>0</v>
          </cell>
          <cell r="AL381">
            <v>0</v>
          </cell>
          <cell r="AM381">
            <v>0</v>
          </cell>
          <cell r="AN381">
            <v>0</v>
          </cell>
          <cell r="AO381">
            <v>0</v>
          </cell>
          <cell r="AP381">
            <v>100000</v>
          </cell>
          <cell r="AQ381" t="str">
            <v>Minas Gerais</v>
          </cell>
          <cell r="AS381" t="str">
            <v>x</v>
          </cell>
          <cell r="AT381">
            <v>0</v>
          </cell>
        </row>
        <row r="382">
          <cell r="B382" t="str">
            <v>COO1989</v>
          </cell>
          <cell r="C382" t="str">
            <v>OOGG.F</v>
          </cell>
          <cell r="D382" t="str">
            <v>OOGR.S-S-2025-I-0172</v>
          </cell>
          <cell r="E382" t="str">
            <v>OS-2025-G-0104</v>
          </cell>
          <cell r="F382" t="str">
            <v>OS-2025-G-383</v>
          </cell>
          <cell r="G382" t="str">
            <v>Operação Sudeste</v>
          </cell>
          <cell r="H382" t="str">
            <v>Nova Demanda</v>
          </cell>
          <cell r="I382" t="str">
            <v>Modernização do sistema de lubrificação dos mancais da UHE Manso</v>
          </cell>
          <cell r="J382" t="str">
            <v>Bombas obsoletas; Tubulações desalinhadas; Vazamentos em válvulas/conexões - UHE Manso</v>
          </cell>
          <cell r="K382" t="str">
            <v>Bombas obsoletas; Tubulações desalinhadas; Vazamentos em válvulas/conexões - UHE Manso</v>
          </cell>
          <cell r="L382" t="str">
            <v>FA04110103</v>
          </cell>
          <cell r="M382" t="str">
            <v>UHE Manso</v>
          </cell>
          <cell r="N382" t="str">
            <v>Geração</v>
          </cell>
          <cell r="O382" t="str">
            <v>Modernização de pequeno porte</v>
          </cell>
          <cell r="P382" t="str">
            <v>Modernização de pequeno porte</v>
          </cell>
          <cell r="Q382" t="str">
            <v>FGHI.0011</v>
          </cell>
          <cell r="R382" t="str">
            <v>PO.O_DRG.O_20OM_UHMSO</v>
          </cell>
          <cell r="S382">
            <v>0</v>
          </cell>
          <cell r="T382">
            <v>0</v>
          </cell>
          <cell r="U382">
            <v>0</v>
          </cell>
          <cell r="V382">
            <v>0</v>
          </cell>
          <cell r="W382">
            <v>250000</v>
          </cell>
          <cell r="X382">
            <v>0</v>
          </cell>
          <cell r="Y382">
            <v>0</v>
          </cell>
          <cell r="Z382">
            <v>0</v>
          </cell>
          <cell r="AA382">
            <v>0</v>
          </cell>
          <cell r="AB382">
            <v>0</v>
          </cell>
          <cell r="AC382">
            <v>0</v>
          </cell>
          <cell r="AD382">
            <v>0</v>
          </cell>
          <cell r="AE382">
            <v>250000</v>
          </cell>
          <cell r="AF382"/>
          <cell r="AG382"/>
          <cell r="AH382"/>
          <cell r="AI382" t="str">
            <v xml:space="preserve">                              </v>
          </cell>
          <cell r="AJ382">
            <v>250000</v>
          </cell>
          <cell r="AK382">
            <v>0</v>
          </cell>
          <cell r="AL382">
            <v>0</v>
          </cell>
          <cell r="AM382">
            <v>0</v>
          </cell>
          <cell r="AN382">
            <v>0</v>
          </cell>
          <cell r="AO382">
            <v>0</v>
          </cell>
          <cell r="AP382">
            <v>250000</v>
          </cell>
          <cell r="AQ382" t="str">
            <v>Mato Grosso</v>
          </cell>
          <cell r="AT382">
            <v>0</v>
          </cell>
        </row>
        <row r="383">
          <cell r="B383" t="str">
            <v>COO1992</v>
          </cell>
          <cell r="C383" t="str">
            <v>OOGM.F</v>
          </cell>
          <cell r="D383" t="str">
            <v>OOTP.F-OS-2025-I-0611</v>
          </cell>
          <cell r="E383" t="str">
            <v>OS-2025-G-0062</v>
          </cell>
          <cell r="F383" t="str">
            <v>OS-2025-G-290</v>
          </cell>
          <cell r="G383" t="str">
            <v>Operação Sudeste</v>
          </cell>
          <cell r="H383" t="str">
            <v>Nova Demanda</v>
          </cell>
          <cell r="I383" t="str">
            <v>Implantação de caixa separadora água/óleo atendentendo aos requisitos ambientais da UHE Porto Colombia</v>
          </cell>
          <cell r="J383" t="str">
            <v>Construção de uma nova Caixa Separado de Agua e Oleo - SAO para  UHE Porto Colombia</v>
          </cell>
          <cell r="K383" t="str">
            <v>Construção de uma nova Caixa Separado de Agua e Oleo - SAO para  UHE Porto Colombia</v>
          </cell>
          <cell r="L383" t="str">
            <v>FA04110204</v>
          </cell>
          <cell r="M383" t="str">
            <v>UHE Porto Colombia</v>
          </cell>
          <cell r="N383" t="str">
            <v>Geração</v>
          </cell>
          <cell r="O383" t="str">
            <v>Modernização de pequeno porte</v>
          </cell>
          <cell r="P383" t="str">
            <v>Modernização de pequeno porte</v>
          </cell>
          <cell r="Q383" t="str">
            <v>FGHI.0004</v>
          </cell>
          <cell r="R383" t="str">
            <v>PO.O_DRT.O_215U</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1100000</v>
          </cell>
          <cell r="AG383"/>
          <cell r="AH383"/>
          <cell r="AI383" t="str">
            <v xml:space="preserve">                              </v>
          </cell>
          <cell r="AJ383">
            <v>1100000</v>
          </cell>
          <cell r="AK383">
            <v>0</v>
          </cell>
          <cell r="AL383">
            <v>0</v>
          </cell>
          <cell r="AM383">
            <v>0</v>
          </cell>
          <cell r="AN383">
            <v>0</v>
          </cell>
          <cell r="AO383">
            <v>0</v>
          </cell>
          <cell r="AP383">
            <v>1100000</v>
          </cell>
          <cell r="AQ383" t="str">
            <v>Minas Gerais</v>
          </cell>
          <cell r="AT383">
            <v>1100000</v>
          </cell>
        </row>
        <row r="384">
          <cell r="B384" t="str">
            <v>COO1998</v>
          </cell>
          <cell r="C384" t="str">
            <v>OOGM.F</v>
          </cell>
          <cell r="D384" t="str">
            <v>OOGN.S-S-2025-I-0085</v>
          </cell>
          <cell r="E384" t="str">
            <v>OS-2025-G-0034</v>
          </cell>
          <cell r="F384" t="str">
            <v>OS-2025-G-327</v>
          </cell>
          <cell r="G384" t="str">
            <v>Operação Sudeste</v>
          </cell>
          <cell r="H384" t="str">
            <v>Nova Demanda</v>
          </cell>
          <cell r="I384" t="str">
            <v>Aquisição das comportas de manutenção Stop-Log da UHE Mascarenhas de Moraes</v>
          </cell>
          <cell r="J384" t="str">
            <v>Contratação de serviço de reforma das comportas de manutenção (stop log) de jusante da UHE Mascarenhas de Moraes, incluindo remoção da pintura, oxidação e outros materiais incrustados, pintura, substituição das vedações e demais serviços constantes na especificação.</v>
          </cell>
          <cell r="K384" t="str">
            <v>Contratação de serviço de reforma das comportas de manutenção (stop log) de jusante da UHE Mascarenhas de Moraes, incluindo remoção da pintura, oxidação e outros materiais incrustados, pintura, substituição das vedações e demais serviços constantes na especificação.</v>
          </cell>
          <cell r="L384" t="str">
            <v>FA04110201</v>
          </cell>
          <cell r="M384" t="str">
            <v>UHE Mascarenhas de Moraes</v>
          </cell>
          <cell r="N384" t="str">
            <v>Geração</v>
          </cell>
          <cell r="O384" t="str">
            <v>Modernização de pequeno porte</v>
          </cell>
          <cell r="P384" t="str">
            <v>Modernização de pequeno porte</v>
          </cell>
          <cell r="Q384" t="str">
            <v>FGHI.0010</v>
          </cell>
          <cell r="R384" t="str">
            <v>PO.O_DRM.O_20OM</v>
          </cell>
          <cell r="S384">
            <v>0</v>
          </cell>
          <cell r="T384">
            <v>0</v>
          </cell>
          <cell r="U384">
            <v>400000</v>
          </cell>
          <cell r="V384">
            <v>439600</v>
          </cell>
          <cell r="W384">
            <v>0</v>
          </cell>
          <cell r="X384">
            <v>0</v>
          </cell>
          <cell r="Y384">
            <v>0</v>
          </cell>
          <cell r="Z384">
            <v>0</v>
          </cell>
          <cell r="AA384">
            <v>0</v>
          </cell>
          <cell r="AB384">
            <v>0</v>
          </cell>
          <cell r="AC384">
            <v>0</v>
          </cell>
          <cell r="AD384">
            <v>0</v>
          </cell>
          <cell r="AE384">
            <v>839600</v>
          </cell>
          <cell r="AF384"/>
          <cell r="AG384"/>
          <cell r="AH384"/>
          <cell r="AI384" t="str">
            <v xml:space="preserve">                              </v>
          </cell>
          <cell r="AJ384">
            <v>839600</v>
          </cell>
          <cell r="AK384">
            <v>0</v>
          </cell>
          <cell r="AL384">
            <v>0</v>
          </cell>
          <cell r="AM384">
            <v>0</v>
          </cell>
          <cell r="AN384">
            <v>0</v>
          </cell>
          <cell r="AO384">
            <v>0</v>
          </cell>
          <cell r="AP384">
            <v>839600</v>
          </cell>
          <cell r="AQ384" t="str">
            <v>Minas Gerais</v>
          </cell>
          <cell r="AT384">
            <v>0</v>
          </cell>
        </row>
        <row r="385">
          <cell r="B385" t="str">
            <v>COO2008</v>
          </cell>
          <cell r="C385" t="str">
            <v>OOGG.F</v>
          </cell>
          <cell r="D385" t="str">
            <v>OOME.F-OS-2025-I-0029</v>
          </cell>
          <cell r="E385" t="str">
            <v>OS-2025-G-0120</v>
          </cell>
          <cell r="F385" t="str">
            <v>OS-2025-G-328</v>
          </cell>
          <cell r="G385" t="str">
            <v>Operação Sudeste</v>
          </cell>
          <cell r="H385" t="str">
            <v>Nova Demanda</v>
          </cell>
          <cell r="I385" t="str">
            <v>Reserva imobilizada para usinas da Operação Sudeste</v>
          </cell>
          <cell r="J385" t="str">
            <v>Reserva Técnica para atividades emergenciais</v>
          </cell>
          <cell r="K385" t="str">
            <v>Reserva Técnica para atividades emergenciais</v>
          </cell>
          <cell r="L385" t="str">
            <v>DIVERSOS</v>
          </cell>
          <cell r="M385" t="str">
            <v>Diversas UHE</v>
          </cell>
          <cell r="N385" t="str">
            <v>Geração</v>
          </cell>
          <cell r="O385" t="str">
            <v>Modernização de pequeno porte</v>
          </cell>
          <cell r="P385" t="str">
            <v>Modernização de pequeno porte</v>
          </cell>
          <cell r="Q385" t="str">
            <v>DIVERSOS</v>
          </cell>
          <cell r="R385" t="str">
            <v>Diversas</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cell r="AG385">
            <v>2000000</v>
          </cell>
          <cell r="AH385">
            <v>2000000</v>
          </cell>
          <cell r="AI385"/>
          <cell r="AJ385">
            <v>4000000</v>
          </cell>
          <cell r="AK385">
            <v>8300000</v>
          </cell>
          <cell r="AL385">
            <v>8700000</v>
          </cell>
          <cell r="AM385">
            <v>9000000</v>
          </cell>
          <cell r="AN385">
            <v>9000000</v>
          </cell>
          <cell r="AO385">
            <v>9000000</v>
          </cell>
          <cell r="AP385">
            <v>48000000</v>
          </cell>
          <cell r="AQ385" t="str">
            <v>Minas Gerais</v>
          </cell>
          <cell r="AS385" t="str">
            <v>x</v>
          </cell>
          <cell r="AT385">
            <v>12300000</v>
          </cell>
        </row>
        <row r="386">
          <cell r="B386" t="str">
            <v>COO2009</v>
          </cell>
          <cell r="C386" t="str">
            <v>OOGM.F</v>
          </cell>
          <cell r="D386" t="str">
            <v>OOGS.S-S-2025-I-0099</v>
          </cell>
          <cell r="E386" t="str">
            <v>OS-2025-G-0045</v>
          </cell>
          <cell r="F386" t="str">
            <v>OS-2025-G-281</v>
          </cell>
          <cell r="G386" t="str">
            <v>Operação Sudeste</v>
          </cell>
          <cell r="H386" t="str">
            <v>Nova Demanda</v>
          </cell>
          <cell r="I386" t="str">
            <v>Adequação de segurança do pátio dos transformadores da UHE Furnas</v>
          </cell>
          <cell r="J386" t="str">
            <v>Execução de barreira contra queda de rochas no talude próximo aos trafos da casa de força em atendimento ao relatório de segurança</v>
          </cell>
          <cell r="K386" t="str">
            <v>Execução de barreira contra queda de rochas no talude próximo aos trafos da casa de força em atendimento ao relatório de segurança</v>
          </cell>
          <cell r="L386" t="str">
            <v>FA04110203</v>
          </cell>
          <cell r="M386" t="str">
            <v>UHE Furnas</v>
          </cell>
          <cell r="N386" t="str">
            <v>Geração</v>
          </cell>
          <cell r="O386" t="str">
            <v>Modernização de pequeno porte</v>
          </cell>
          <cell r="P386" t="str">
            <v>Modernização de pequeno porte</v>
          </cell>
          <cell r="Q386" t="str">
            <v>FGHI.0002</v>
          </cell>
          <cell r="R386" t="str">
            <v>PO.O_DRM.O_215U</v>
          </cell>
          <cell r="S386">
            <v>0</v>
          </cell>
          <cell r="T386">
            <v>0</v>
          </cell>
          <cell r="U386">
            <v>0</v>
          </cell>
          <cell r="V386">
            <v>0</v>
          </cell>
          <cell r="W386">
            <v>100000</v>
          </cell>
          <cell r="X386">
            <v>100000</v>
          </cell>
          <cell r="Y386">
            <v>100000</v>
          </cell>
          <cell r="Z386">
            <v>100000</v>
          </cell>
          <cell r="AA386">
            <v>100000</v>
          </cell>
          <cell r="AB386">
            <v>132500</v>
          </cell>
          <cell r="AC386">
            <v>0</v>
          </cell>
          <cell r="AD386">
            <v>0</v>
          </cell>
          <cell r="AE386">
            <v>632500</v>
          </cell>
          <cell r="AF386"/>
          <cell r="AG386"/>
          <cell r="AH386"/>
          <cell r="AI386" t="str">
            <v xml:space="preserve">                              </v>
          </cell>
          <cell r="AJ386">
            <v>632500</v>
          </cell>
          <cell r="AK386">
            <v>0</v>
          </cell>
          <cell r="AL386">
            <v>0</v>
          </cell>
          <cell r="AM386">
            <v>0</v>
          </cell>
          <cell r="AN386">
            <v>0</v>
          </cell>
          <cell r="AO386">
            <v>0</v>
          </cell>
          <cell r="AP386">
            <v>632500</v>
          </cell>
          <cell r="AQ386" t="str">
            <v>Minas Gerais</v>
          </cell>
          <cell r="AT386">
            <v>0</v>
          </cell>
        </row>
        <row r="387">
          <cell r="B387" t="str">
            <v>COO2011</v>
          </cell>
          <cell r="C387" t="str">
            <v>OOGG.F</v>
          </cell>
          <cell r="D387" t="str">
            <v>OOTP.F-OS-2025-I-0637</v>
          </cell>
          <cell r="E387" t="str">
            <v>OS-2025-G-0117</v>
          </cell>
          <cell r="F387" t="str">
            <v>OS-2025-G-380</v>
          </cell>
          <cell r="G387" t="str">
            <v>Operação Sudeste</v>
          </cell>
          <cell r="H387" t="str">
            <v>Nova Demanda</v>
          </cell>
          <cell r="I387" t="str">
            <v>Modernização do sistema de drenagem e esvaziamento da UHE Manso</v>
          </cell>
          <cell r="J387" t="str">
            <v>Fabricante do sistema existente descontinuado (ESCO). Dificuldades de encontrar empresas que trabalham com essa marca-UHE Manso</v>
          </cell>
          <cell r="K387" t="str">
            <v>Fabricante do sistema existente descontinuado (ESCO). Dificuldades de encontrar empresas que trabalham com essa marca-UHE Manso</v>
          </cell>
          <cell r="L387" t="str">
            <v>FA04110103</v>
          </cell>
          <cell r="M387" t="str">
            <v>UHE Manso</v>
          </cell>
          <cell r="N387" t="str">
            <v>Geração</v>
          </cell>
          <cell r="O387" t="str">
            <v>Modernização de pequeno porte</v>
          </cell>
          <cell r="P387" t="str">
            <v>Modernização de pequeno porte</v>
          </cell>
          <cell r="Q387" t="str">
            <v>FGHI.0011</v>
          </cell>
          <cell r="R387" t="str">
            <v>PO.O_DRG.O_20OM_UHMSO</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cell r="AG387"/>
          <cell r="AH387"/>
          <cell r="AI387" t="str">
            <v xml:space="preserve">                              </v>
          </cell>
          <cell r="AJ387">
            <v>0</v>
          </cell>
          <cell r="AK387">
            <v>500000</v>
          </cell>
          <cell r="AL387">
            <v>0</v>
          </cell>
          <cell r="AM387">
            <v>0</v>
          </cell>
          <cell r="AN387">
            <v>0</v>
          </cell>
          <cell r="AO387">
            <v>0</v>
          </cell>
          <cell r="AP387">
            <v>500000</v>
          </cell>
          <cell r="AQ387" t="str">
            <v>Mato Grosso</v>
          </cell>
          <cell r="AS387" t="str">
            <v>x</v>
          </cell>
          <cell r="AT387">
            <v>500000</v>
          </cell>
        </row>
        <row r="388">
          <cell r="B388" t="str">
            <v>COO2012</v>
          </cell>
          <cell r="C388" t="str">
            <v>OOMG.F</v>
          </cell>
          <cell r="D388" t="str">
            <v>OOMS.S-S-2025-I-0015</v>
          </cell>
          <cell r="E388" t="str">
            <v>OS-2025-G-0010</v>
          </cell>
          <cell r="F388" t="str">
            <v>OS-2025-G-284</v>
          </cell>
          <cell r="G388" t="str">
            <v>Operação Sudeste</v>
          </cell>
          <cell r="H388" t="str">
            <v>Nova Demanda</v>
          </cell>
          <cell r="I388" t="str">
            <v>Implantação de sistema de monitoramento descargas de parciais para diversas usinas</v>
          </cell>
          <cell r="J388" t="str">
            <v>Fornecimento de Componentes para o SOMA DP para o monitoramento de descargas parciais das UHEs Marimbondo e Luiz Carlos</v>
          </cell>
          <cell r="K388" t="str">
            <v>Fornecimento de Componentes para o SOMA DP para o monitoramento de descargas parciais das UHEs Marimbondo e Luiz Carlos</v>
          </cell>
          <cell r="L388" t="str">
            <v>FA04090200</v>
          </cell>
          <cell r="M388" t="str">
            <v>Diversas UHE</v>
          </cell>
          <cell r="N388" t="str">
            <v>Geração</v>
          </cell>
          <cell r="O388" t="str">
            <v>Modernização de pequeno porte</v>
          </cell>
          <cell r="P388" t="str">
            <v>Modernização de pequeno porte</v>
          </cell>
          <cell r="Q388" t="str">
            <v>FGHI.0098</v>
          </cell>
          <cell r="R388" t="str">
            <v>EM.O_DER.O_215U</v>
          </cell>
          <cell r="S388">
            <v>0</v>
          </cell>
          <cell r="T388">
            <v>0</v>
          </cell>
          <cell r="U388">
            <v>0</v>
          </cell>
          <cell r="V388">
            <v>0</v>
          </cell>
          <cell r="W388">
            <v>0</v>
          </cell>
          <cell r="X388">
            <v>1300000</v>
          </cell>
          <cell r="Y388">
            <v>0</v>
          </cell>
          <cell r="Z388">
            <v>0</v>
          </cell>
          <cell r="AA388">
            <v>0</v>
          </cell>
          <cell r="AB388">
            <v>0</v>
          </cell>
          <cell r="AC388">
            <v>0</v>
          </cell>
          <cell r="AD388">
            <v>1300000</v>
          </cell>
          <cell r="AE388">
            <v>2600000</v>
          </cell>
          <cell r="AF388"/>
          <cell r="AG388"/>
          <cell r="AH388"/>
          <cell r="AI388" t="str">
            <v xml:space="preserve">                              </v>
          </cell>
          <cell r="AJ388">
            <v>2600000</v>
          </cell>
          <cell r="AK388">
            <v>0</v>
          </cell>
          <cell r="AL388">
            <v>0</v>
          </cell>
          <cell r="AM388">
            <v>0</v>
          </cell>
          <cell r="AN388">
            <v>0</v>
          </cell>
          <cell r="AO388">
            <v>0</v>
          </cell>
          <cell r="AP388">
            <v>2600000</v>
          </cell>
          <cell r="AQ388" t="str">
            <v>Minas Gerais</v>
          </cell>
          <cell r="AS388" t="str">
            <v>x</v>
          </cell>
          <cell r="AT388">
            <v>0</v>
          </cell>
        </row>
        <row r="389">
          <cell r="B389" t="str">
            <v>COO2013</v>
          </cell>
          <cell r="C389" t="str">
            <v>OOMG.F</v>
          </cell>
          <cell r="D389" t="str">
            <v>OOGR.S-S-2025-I-0074</v>
          </cell>
          <cell r="E389" t="str">
            <v>OS-2025-G-0013</v>
          </cell>
          <cell r="F389" t="str">
            <v>OS-2025-G-285</v>
          </cell>
          <cell r="G389" t="str">
            <v>Operação Sudeste</v>
          </cell>
          <cell r="H389" t="str">
            <v>Nova Demanda</v>
          </cell>
          <cell r="I389" t="str">
            <v>Aquisição de um Gerador Diesel de Emergência para a PCH Anta</v>
          </cell>
          <cell r="J389" t="str">
            <v>Fornecimento de GMG para PCH Anta</v>
          </cell>
          <cell r="K389" t="str">
            <v>Fornecimento de GMG para PCH Anta</v>
          </cell>
          <cell r="L389" t="str">
            <v>FA04090200</v>
          </cell>
          <cell r="M389" t="str">
            <v>UHE Simplício</v>
          </cell>
          <cell r="N389" t="str">
            <v>Geração</v>
          </cell>
          <cell r="O389" t="str">
            <v>Modernização de pequeno porte</v>
          </cell>
          <cell r="P389" t="str">
            <v>Modernização de pequeno porte</v>
          </cell>
          <cell r="Q389" t="str">
            <v>FGHI.0103</v>
          </cell>
          <cell r="R389" t="str">
            <v>EM.O_DER.O_20OM_Hidro</v>
          </cell>
          <cell r="S389">
            <v>0</v>
          </cell>
          <cell r="T389">
            <v>0</v>
          </cell>
          <cell r="U389">
            <v>0</v>
          </cell>
          <cell r="V389">
            <v>0</v>
          </cell>
          <cell r="W389">
            <v>0</v>
          </cell>
          <cell r="X389">
            <v>1000000</v>
          </cell>
          <cell r="Y389">
            <v>0</v>
          </cell>
          <cell r="Z389">
            <v>0</v>
          </cell>
          <cell r="AA389">
            <v>0</v>
          </cell>
          <cell r="AB389">
            <v>0</v>
          </cell>
          <cell r="AC389">
            <v>0</v>
          </cell>
          <cell r="AD389">
            <v>0</v>
          </cell>
          <cell r="AE389">
            <v>1000000</v>
          </cell>
          <cell r="AF389"/>
          <cell r="AG389"/>
          <cell r="AH389"/>
          <cell r="AI389" t="str">
            <v xml:space="preserve">                              </v>
          </cell>
          <cell r="AJ389">
            <v>1000000</v>
          </cell>
          <cell r="AK389">
            <v>0</v>
          </cell>
          <cell r="AL389">
            <v>0</v>
          </cell>
          <cell r="AM389">
            <v>0</v>
          </cell>
          <cell r="AN389">
            <v>0</v>
          </cell>
          <cell r="AO389">
            <v>0</v>
          </cell>
          <cell r="AP389">
            <v>1000000</v>
          </cell>
          <cell r="AQ389" t="str">
            <v>Minas Gerais</v>
          </cell>
          <cell r="AS389" t="str">
            <v>x</v>
          </cell>
          <cell r="AT389">
            <v>0</v>
          </cell>
        </row>
        <row r="390">
          <cell r="B390" t="str">
            <v>COO2016</v>
          </cell>
          <cell r="C390" t="str">
            <v>OOMG.F</v>
          </cell>
          <cell r="D390" t="str">
            <v>OOMI.C-C-2025-I-0047</v>
          </cell>
          <cell r="E390" t="str">
            <v>OS-2025-G-0128</v>
          </cell>
          <cell r="F390" t="str">
            <v>OS-2025-G-286</v>
          </cell>
          <cell r="G390" t="str">
            <v>Operação Sudeste</v>
          </cell>
          <cell r="H390" t="str">
            <v>Nova Demanda</v>
          </cell>
          <cell r="I390" t="str">
            <v>Implantação de um sistema de proteção contra incêndio na planta de H2 verde da UHE Itumbiara</v>
          </cell>
          <cell r="J390" t="str">
            <v>H2 verde - SPCI da UHE Itumbiara.  Implantação de um Sistema de Proteção contra Incêndio-SPCI, que é uma exigência legal do Corpo de Bombeiros para a emissão da Licença de Operação da Planta de Hidrogênio existente</v>
          </cell>
          <cell r="K390" t="str">
            <v>H2 verde - SPCI da UHE Itumbiara.  Implantação de um Sistema de Proteção contra Incêndio-SPCI, que é uma exigência legal do Corpo de Bombeiros para a emissão da Licença de Operação da Planta de Hidrogênio existente</v>
          </cell>
          <cell r="L390" t="str">
            <v>FA04090200</v>
          </cell>
          <cell r="M390" t="str">
            <v>UHE Itumbiara</v>
          </cell>
          <cell r="N390" t="str">
            <v>Geração</v>
          </cell>
          <cell r="O390" t="str">
            <v>Modernização de pequeno porte</v>
          </cell>
          <cell r="P390" t="str">
            <v>Modernização de pequeno porte</v>
          </cell>
          <cell r="Q390" t="str">
            <v>FGHI.0103</v>
          </cell>
          <cell r="R390" t="str">
            <v>EM.O_DER.O_20OM_Hidro</v>
          </cell>
          <cell r="S390">
            <v>0</v>
          </cell>
          <cell r="T390">
            <v>0</v>
          </cell>
          <cell r="U390">
            <v>0</v>
          </cell>
          <cell r="V390">
            <v>0</v>
          </cell>
          <cell r="W390">
            <v>0</v>
          </cell>
          <cell r="X390">
            <v>0</v>
          </cell>
          <cell r="Y390">
            <v>0</v>
          </cell>
          <cell r="Z390">
            <v>0</v>
          </cell>
          <cell r="AA390">
            <v>0</v>
          </cell>
          <cell r="AB390">
            <v>0</v>
          </cell>
          <cell r="AC390">
            <v>3300000</v>
          </cell>
          <cell r="AD390">
            <v>0</v>
          </cell>
          <cell r="AE390">
            <v>3300000</v>
          </cell>
          <cell r="AF390">
            <v>1000000</v>
          </cell>
          <cell r="AG390">
            <v>2000000</v>
          </cell>
          <cell r="AH390">
            <v>1000000</v>
          </cell>
          <cell r="AI390">
            <v>1000000</v>
          </cell>
          <cell r="AJ390">
            <v>8300000</v>
          </cell>
          <cell r="AK390">
            <v>0</v>
          </cell>
          <cell r="AL390">
            <v>0</v>
          </cell>
          <cell r="AM390">
            <v>0</v>
          </cell>
          <cell r="AN390">
            <v>0</v>
          </cell>
          <cell r="AO390">
            <v>0</v>
          </cell>
          <cell r="AP390">
            <v>8300000</v>
          </cell>
          <cell r="AQ390" t="str">
            <v>Minas Gerais</v>
          </cell>
          <cell r="AS390" t="str">
            <v>x</v>
          </cell>
          <cell r="AT390">
            <v>5000000</v>
          </cell>
        </row>
        <row r="391">
          <cell r="B391" t="str">
            <v>COO2017</v>
          </cell>
          <cell r="C391" t="str">
            <v>OOGG.F</v>
          </cell>
          <cell r="D391" t="str">
            <v>OOGR.S-S-2025-I-0051</v>
          </cell>
          <cell r="E391" t="str">
            <v>OS-2025-G-0102</v>
          </cell>
          <cell r="F391" t="str">
            <v>OS-2025-G-379</v>
          </cell>
          <cell r="G391" t="str">
            <v>Operação Sudeste</v>
          </cell>
          <cell r="H391" t="str">
            <v>Nova Demanda</v>
          </cell>
          <cell r="I391" t="str">
            <v>Implantação de defensas metálicas na UHE Manso</v>
          </cell>
          <cell r="J391" t="str">
            <v>Implantação de defensas metálicas ao longo de toda a barragem principal (margem esquerda, direita e rampa de acesso), com dupla função: barreira contra queda de veículos e ponto de ancoragem para trabalhos nos planos inclinados do barramento (trabalho em altura) - UHE Manso</v>
          </cell>
          <cell r="K391" t="str">
            <v>Implantação de defensas metálicas ao longo de toda a barragem principal (margem esquerda, direita e rampa de acesso), com dupla função: barreira contra queda de veículos e ponto de ancoragem para trabalhos nos planos inclinados do barramento (trabalho em altura) - UHE Manso</v>
          </cell>
          <cell r="L391" t="str">
            <v>FA04110103</v>
          </cell>
          <cell r="M391" t="str">
            <v>UHE Manso</v>
          </cell>
          <cell r="N391" t="str">
            <v>Geração</v>
          </cell>
          <cell r="O391" t="str">
            <v>Modernização de pequeno porte</v>
          </cell>
          <cell r="P391" t="str">
            <v>Modernização de pequeno porte</v>
          </cell>
          <cell r="Q391" t="str">
            <v>FGHI.0011</v>
          </cell>
          <cell r="R391" t="str">
            <v>PO.O_DRG.O_20OM_UHMSO</v>
          </cell>
          <cell r="S391">
            <v>0</v>
          </cell>
          <cell r="T391">
            <v>0</v>
          </cell>
          <cell r="U391">
            <v>1470000</v>
          </cell>
          <cell r="V391">
            <v>0</v>
          </cell>
          <cell r="W391">
            <v>0</v>
          </cell>
          <cell r="X391">
            <v>0</v>
          </cell>
          <cell r="Y391">
            <v>0</v>
          </cell>
          <cell r="Z391">
            <v>0</v>
          </cell>
          <cell r="AA391">
            <v>0</v>
          </cell>
          <cell r="AB391">
            <v>0</v>
          </cell>
          <cell r="AC391">
            <v>0</v>
          </cell>
          <cell r="AD391">
            <v>0</v>
          </cell>
          <cell r="AE391">
            <v>1470000</v>
          </cell>
          <cell r="AF391"/>
          <cell r="AG391"/>
          <cell r="AH391"/>
          <cell r="AI391" t="str">
            <v xml:space="preserve">                              </v>
          </cell>
          <cell r="AJ391">
            <v>1470000</v>
          </cell>
          <cell r="AK391">
            <v>0</v>
          </cell>
          <cell r="AL391">
            <v>0</v>
          </cell>
          <cell r="AM391">
            <v>0</v>
          </cell>
          <cell r="AN391">
            <v>0</v>
          </cell>
          <cell r="AO391">
            <v>0</v>
          </cell>
          <cell r="AP391">
            <v>1470000</v>
          </cell>
          <cell r="AQ391" t="str">
            <v>Mato Grosso</v>
          </cell>
          <cell r="AT391">
            <v>0</v>
          </cell>
        </row>
        <row r="392">
          <cell r="B392" t="str">
            <v>COO2018</v>
          </cell>
          <cell r="C392" t="str">
            <v>OOGSI.F</v>
          </cell>
          <cell r="D392" t="str">
            <v>OOTM.F-OS-2025-I-0444</v>
          </cell>
          <cell r="E392" t="str">
            <v>OS-2025-G-0025</v>
          </cell>
          <cell r="F392" t="str">
            <v>OS-2025-G-291</v>
          </cell>
          <cell r="G392" t="str">
            <v>Operação Sudeste</v>
          </cell>
          <cell r="H392" t="str">
            <v>Nova Demanda</v>
          </cell>
          <cell r="I392" t="str">
            <v>Implantação de Linhas de Vida na PCH Anta</v>
          </cell>
          <cell r="J392" t="str">
            <v>Implantação de Linhas de Vida na PCH Antaem atendimentoàs Nomas da Segurança do Trabalho</v>
          </cell>
          <cell r="K392" t="str">
            <v>Implantação de Linhas de Vida na PCH Antaem atendimentoàs Nomas da Segurança do Trabalho</v>
          </cell>
          <cell r="L392" t="str">
            <v>FA04110003</v>
          </cell>
          <cell r="M392" t="str">
            <v>UHE Simplício</v>
          </cell>
          <cell r="N392" t="str">
            <v>Geração</v>
          </cell>
          <cell r="O392" t="str">
            <v>Modernização de pequeno porte</v>
          </cell>
          <cell r="P392" t="str">
            <v>Modernização de pequeno porte</v>
          </cell>
          <cell r="Q392" t="str">
            <v>FGHI.0005</v>
          </cell>
          <cell r="R392" t="str">
            <v>PS.O_DRN.O_20OM</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1300000</v>
          </cell>
          <cell r="AG392"/>
          <cell r="AH392"/>
          <cell r="AI392" t="str">
            <v xml:space="preserve">                              </v>
          </cell>
          <cell r="AJ392">
            <v>1300000</v>
          </cell>
          <cell r="AK392">
            <v>0</v>
          </cell>
          <cell r="AL392">
            <v>0</v>
          </cell>
          <cell r="AM392">
            <v>0</v>
          </cell>
          <cell r="AN392">
            <v>0</v>
          </cell>
          <cell r="AO392">
            <v>0</v>
          </cell>
          <cell r="AP392">
            <v>1300000</v>
          </cell>
          <cell r="AQ392" t="str">
            <v>Minas Gerais</v>
          </cell>
          <cell r="AS392" t="str">
            <v>x</v>
          </cell>
          <cell r="AT392">
            <v>1300000</v>
          </cell>
        </row>
        <row r="393">
          <cell r="B393" t="str">
            <v>COO2019</v>
          </cell>
          <cell r="C393" t="str">
            <v>OOGSI.F</v>
          </cell>
          <cell r="D393" t="str">
            <v>OOMS.S-S-2025-I-0025</v>
          </cell>
          <cell r="E393" t="str">
            <v>OS-2025-G-0024</v>
          </cell>
          <cell r="F393" t="str">
            <v>OS-2025-G-292</v>
          </cell>
          <cell r="G393" t="str">
            <v>Operação Sudeste</v>
          </cell>
          <cell r="H393" t="str">
            <v>Nova Demanda</v>
          </cell>
          <cell r="I393" t="str">
            <v>Implantação de Linhas de Vida na UHE Simplício</v>
          </cell>
          <cell r="J393" t="str">
            <v>Implantação de Linhas de Vida na UHE Simplício em atendimentoàs Nomas da Segurança do Trabalho- Contempla o valor de HH.</v>
          </cell>
          <cell r="K393" t="str">
            <v>Implantação de Linhas de Vida na UHE Simplício em atendimentoàs Nomas da Segurança do Trabalho- Contempla o valor de HH.</v>
          </cell>
          <cell r="L393" t="str">
            <v>FA04110003</v>
          </cell>
          <cell r="M393" t="str">
            <v>UHE Simplício</v>
          </cell>
          <cell r="N393" t="str">
            <v>Geração</v>
          </cell>
          <cell r="O393" t="str">
            <v>Modernização de pequeno porte</v>
          </cell>
          <cell r="P393" t="str">
            <v>Modernização de pequeno porte</v>
          </cell>
          <cell r="Q393" t="str">
            <v>FGHI.0005</v>
          </cell>
          <cell r="R393" t="str">
            <v>PS.O_DRN.O_20OM</v>
          </cell>
          <cell r="S393">
            <v>0</v>
          </cell>
          <cell r="T393">
            <v>0</v>
          </cell>
          <cell r="U393">
            <v>0</v>
          </cell>
          <cell r="V393">
            <v>0</v>
          </cell>
          <cell r="W393">
            <v>500000</v>
          </cell>
          <cell r="X393">
            <v>500000</v>
          </cell>
          <cell r="Y393">
            <v>500000</v>
          </cell>
          <cell r="Z393">
            <v>500000</v>
          </cell>
          <cell r="AA393">
            <v>60000</v>
          </cell>
          <cell r="AB393">
            <v>0</v>
          </cell>
          <cell r="AC393">
            <v>0</v>
          </cell>
          <cell r="AD393">
            <v>0</v>
          </cell>
          <cell r="AE393">
            <v>2060000</v>
          </cell>
          <cell r="AF393"/>
          <cell r="AG393"/>
          <cell r="AH393"/>
          <cell r="AI393" t="str">
            <v xml:space="preserve">                              </v>
          </cell>
          <cell r="AJ393">
            <v>2060000</v>
          </cell>
          <cell r="AK393">
            <v>0</v>
          </cell>
          <cell r="AL393">
            <v>0</v>
          </cell>
          <cell r="AM393">
            <v>0</v>
          </cell>
          <cell r="AN393">
            <v>0</v>
          </cell>
          <cell r="AO393">
            <v>0</v>
          </cell>
          <cell r="AP393">
            <v>2060000</v>
          </cell>
          <cell r="AQ393" t="str">
            <v>Minas Gerais</v>
          </cell>
          <cell r="AS393" t="str">
            <v>x</v>
          </cell>
          <cell r="AT393">
            <v>0</v>
          </cell>
        </row>
        <row r="394">
          <cell r="B394" t="str">
            <v>COO2020</v>
          </cell>
          <cell r="C394" t="str">
            <v>OOMG.F</v>
          </cell>
          <cell r="D394" t="str">
            <v>OOPM.S-S-2025-I-0056</v>
          </cell>
          <cell r="E394" t="str">
            <v>OS-2025-G-0012</v>
          </cell>
          <cell r="F394" t="str">
            <v>OS-2025-G-294</v>
          </cell>
          <cell r="G394" t="str">
            <v>Operação Sudeste</v>
          </cell>
          <cell r="H394" t="str">
            <v>Nova Demanda</v>
          </cell>
          <cell r="I394" t="str">
            <v>Implantação de sistema de injeção química na UHE Funil</v>
          </cell>
          <cell r="J394" t="str">
            <v>Implantação de sistema de injeção química para as UGs da UHE Funil</v>
          </cell>
          <cell r="K394" t="str">
            <v>Implantação de sistema de injeção química para as UGs da UHE Funil</v>
          </cell>
          <cell r="L394" t="str">
            <v>FA04090200</v>
          </cell>
          <cell r="M394" t="str">
            <v>UHE Funil</v>
          </cell>
          <cell r="N394" t="str">
            <v>Geração</v>
          </cell>
          <cell r="O394" t="str">
            <v>Modernização de pequeno porte</v>
          </cell>
          <cell r="P394" t="str">
            <v>Modernização de pequeno porte</v>
          </cell>
          <cell r="Q394" t="str">
            <v>FGHI.0103</v>
          </cell>
          <cell r="R394" t="str">
            <v>EM.O_DER.O_20OM_Hidro</v>
          </cell>
          <cell r="S394">
            <v>0</v>
          </cell>
          <cell r="T394">
            <v>0</v>
          </cell>
          <cell r="U394">
            <v>400000</v>
          </cell>
          <cell r="V394">
            <v>0</v>
          </cell>
          <cell r="W394">
            <v>0</v>
          </cell>
          <cell r="X394">
            <v>400000</v>
          </cell>
          <cell r="Y394">
            <v>0</v>
          </cell>
          <cell r="Z394">
            <v>0</v>
          </cell>
          <cell r="AA394">
            <v>0</v>
          </cell>
          <cell r="AB394">
            <v>400000</v>
          </cell>
          <cell r="AC394">
            <v>0</v>
          </cell>
          <cell r="AD394">
            <v>0</v>
          </cell>
          <cell r="AE394">
            <v>1200000</v>
          </cell>
          <cell r="AF394"/>
          <cell r="AG394"/>
          <cell r="AH394"/>
          <cell r="AI394" t="str">
            <v xml:space="preserve">                              </v>
          </cell>
          <cell r="AJ394">
            <v>1200000</v>
          </cell>
          <cell r="AK394">
            <v>0</v>
          </cell>
          <cell r="AL394">
            <v>0</v>
          </cell>
          <cell r="AM394">
            <v>0</v>
          </cell>
          <cell r="AN394">
            <v>0</v>
          </cell>
          <cell r="AO394">
            <v>0</v>
          </cell>
          <cell r="AP394">
            <v>1200000</v>
          </cell>
          <cell r="AQ394" t="str">
            <v>Rio de Janeiro</v>
          </cell>
          <cell r="AS394" t="str">
            <v>x</v>
          </cell>
          <cell r="AT394">
            <v>0</v>
          </cell>
        </row>
        <row r="395">
          <cell r="B395" t="str">
            <v>COO2021</v>
          </cell>
          <cell r="C395" t="str">
            <v>OOMG.F</v>
          </cell>
          <cell r="D395" t="str">
            <v>OOGR.S-S-2025-I-0078</v>
          </cell>
          <cell r="E395" t="str">
            <v>OS-2025-G-0017</v>
          </cell>
          <cell r="F395" t="str">
            <v>OS-2025-G-293</v>
          </cell>
          <cell r="G395" t="str">
            <v>Operação Sudeste</v>
          </cell>
          <cell r="H395" t="str">
            <v>Nova Demanda</v>
          </cell>
          <cell r="I395" t="str">
            <v>Implantação de sistema de injeção química na UHE Simplicio</v>
          </cell>
          <cell r="J395" t="str">
            <v>Implantação de sistema de injeção química para as UGs da UHE Simplicio</v>
          </cell>
          <cell r="K395" t="str">
            <v>Implantação de sistema de injeção química para as UGs da UHE Simplicio</v>
          </cell>
          <cell r="L395" t="str">
            <v>FA04090200</v>
          </cell>
          <cell r="M395" t="str">
            <v>UHE Simplício</v>
          </cell>
          <cell r="N395" t="str">
            <v>Geração</v>
          </cell>
          <cell r="O395" t="str">
            <v>Modernização de pequeno porte</v>
          </cell>
          <cell r="P395" t="str">
            <v>Modernização de pequeno porte</v>
          </cell>
          <cell r="Q395" t="str">
            <v>FGHI.0103</v>
          </cell>
          <cell r="R395" t="str">
            <v>EM.O_DER.O_20OM_Hidro</v>
          </cell>
          <cell r="S395">
            <v>0</v>
          </cell>
          <cell r="T395">
            <v>0</v>
          </cell>
          <cell r="U395">
            <v>0</v>
          </cell>
          <cell r="V395">
            <v>0</v>
          </cell>
          <cell r="W395">
            <v>0</v>
          </cell>
          <cell r="X395">
            <v>0</v>
          </cell>
          <cell r="Y395">
            <v>0</v>
          </cell>
          <cell r="Z395">
            <v>0</v>
          </cell>
          <cell r="AA395">
            <v>0</v>
          </cell>
          <cell r="AB395">
            <v>0</v>
          </cell>
          <cell r="AC395">
            <v>1000000</v>
          </cell>
          <cell r="AD395">
            <v>0</v>
          </cell>
          <cell r="AE395">
            <v>1000000</v>
          </cell>
          <cell r="AF395">
            <v>500000</v>
          </cell>
          <cell r="AG395"/>
          <cell r="AH395"/>
          <cell r="AI395" t="str">
            <v xml:space="preserve">                              </v>
          </cell>
          <cell r="AJ395">
            <v>1500000</v>
          </cell>
          <cell r="AK395">
            <v>0</v>
          </cell>
          <cell r="AL395">
            <v>0</v>
          </cell>
          <cell r="AM395">
            <v>0</v>
          </cell>
          <cell r="AN395">
            <v>0</v>
          </cell>
          <cell r="AO395">
            <v>0</v>
          </cell>
          <cell r="AP395">
            <v>1500000</v>
          </cell>
          <cell r="AQ395" t="str">
            <v>Minas Gerais</v>
          </cell>
          <cell r="AS395" t="str">
            <v>x</v>
          </cell>
          <cell r="AT395">
            <v>500000</v>
          </cell>
        </row>
        <row r="396">
          <cell r="B396" t="str">
            <v>COO2022</v>
          </cell>
          <cell r="C396" t="str">
            <v>OOGG.F</v>
          </cell>
          <cell r="D396" t="str">
            <v>OOTM.F-OS-2025-I-0393</v>
          </cell>
          <cell r="E396" t="str">
            <v>OS-2025-G-0116</v>
          </cell>
          <cell r="F396" t="str">
            <v>OS-2025-G-356</v>
          </cell>
          <cell r="G396" t="str">
            <v>Operação Sudeste</v>
          </cell>
          <cell r="H396" t="str">
            <v>Nova Demanda</v>
          </cell>
          <cell r="I396" t="str">
            <v>Modernização da instrumentação de supervisão dos mancais das Unidades Geradoras da UHE Corumbá</v>
          </cell>
          <cell r="J396" t="str">
            <v>Implementação de nova instrumetação incluindo pressostatos, fluxômetros, termômetros, sensores etc-UHE Corumbá</v>
          </cell>
          <cell r="K396" t="str">
            <v>Implementação de nova instrumetação incluindo pressostatos, fluxômetros, termômetros, sensores etc-UHE Corumbá</v>
          </cell>
          <cell r="L396" t="str">
            <v>FA04110101</v>
          </cell>
          <cell r="M396" t="str">
            <v>UHE Corumbá</v>
          </cell>
          <cell r="N396" t="str">
            <v>Geração</v>
          </cell>
          <cell r="O396" t="str">
            <v>Modernização de pequeno porte</v>
          </cell>
          <cell r="P396" t="str">
            <v>Modernização de pequeno porte</v>
          </cell>
          <cell r="Q396" t="str">
            <v>FGHI.0001</v>
          </cell>
          <cell r="R396" t="str">
            <v>PO.O_DRG.O_215U</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cell r="AG396"/>
          <cell r="AH396"/>
          <cell r="AI396" t="str">
            <v xml:space="preserve">                              </v>
          </cell>
          <cell r="AJ396">
            <v>0</v>
          </cell>
          <cell r="AK396">
            <v>200000</v>
          </cell>
          <cell r="AL396">
            <v>0</v>
          </cell>
          <cell r="AM396">
            <v>0</v>
          </cell>
          <cell r="AN396">
            <v>0</v>
          </cell>
          <cell r="AO396">
            <v>0</v>
          </cell>
          <cell r="AP396">
            <v>200000</v>
          </cell>
          <cell r="AQ396" t="str">
            <v>Goiás</v>
          </cell>
          <cell r="AS396" t="str">
            <v>x</v>
          </cell>
          <cell r="AT396">
            <v>200000</v>
          </cell>
        </row>
        <row r="397">
          <cell r="B397" t="str">
            <v>COO2023</v>
          </cell>
          <cell r="C397" t="str">
            <v>OOGG.F</v>
          </cell>
          <cell r="D397" t="str">
            <v>OOGS.S-S-2025-I-0282</v>
          </cell>
          <cell r="E397" t="str">
            <v>OS-2025-G-0032</v>
          </cell>
          <cell r="F397" t="str">
            <v>OS-2025-G-348</v>
          </cell>
          <cell r="G397" t="str">
            <v>Operação Sudeste</v>
          </cell>
          <cell r="H397" t="str">
            <v>Nova Demanda</v>
          </cell>
          <cell r="I397" t="str">
            <v>Adequação civil das estruturas e acessos da casa de força da UHE Batalha</v>
          </cell>
          <cell r="J397" t="str">
            <v>Instalação de acesso as estruturas civis da UHE Batalha (cobertura da casa de força, calha do vertedouro e equipamentos de instrumentação) Falta de acesso a estruturas dificultando manutenções das instalações prediais</v>
          </cell>
          <cell r="K397" t="str">
            <v>Instalação de acesso as estruturas civis da UHE Batalha (cobertura da casa de força, calha do vertedouro e equipamentos de instrumentação) Falta de acesso a estruturas dificultando manutenções das instalações prediais</v>
          </cell>
          <cell r="L397" t="str">
            <v>FA04110101</v>
          </cell>
          <cell r="M397" t="str">
            <v>UHE Batalha</v>
          </cell>
          <cell r="N397" t="str">
            <v>Geração</v>
          </cell>
          <cell r="O397" t="str">
            <v>Modernização de pequeno porte</v>
          </cell>
          <cell r="P397" t="str">
            <v>Modernização de pequeno porte</v>
          </cell>
          <cell r="Q397" t="str">
            <v>FGHI.0007</v>
          </cell>
          <cell r="R397" t="str">
            <v>PO.O_DRG.O_20OM_UHBHA</v>
          </cell>
          <cell r="S397">
            <v>0</v>
          </cell>
          <cell r="T397">
            <v>0</v>
          </cell>
          <cell r="U397">
            <v>0</v>
          </cell>
          <cell r="V397">
            <v>0</v>
          </cell>
          <cell r="W397">
            <v>0</v>
          </cell>
          <cell r="X397">
            <v>0</v>
          </cell>
          <cell r="Y397">
            <v>0</v>
          </cell>
          <cell r="Z397">
            <v>0</v>
          </cell>
          <cell r="AA397">
            <v>0</v>
          </cell>
          <cell r="AB397">
            <v>60000</v>
          </cell>
          <cell r="AC397">
            <v>0</v>
          </cell>
          <cell r="AD397">
            <v>0</v>
          </cell>
          <cell r="AE397">
            <v>60000</v>
          </cell>
          <cell r="AF397"/>
          <cell r="AG397"/>
          <cell r="AH397"/>
          <cell r="AI397" t="str">
            <v xml:space="preserve">                              </v>
          </cell>
          <cell r="AJ397">
            <v>60000</v>
          </cell>
          <cell r="AK397">
            <v>0</v>
          </cell>
          <cell r="AL397">
            <v>0</v>
          </cell>
          <cell r="AM397">
            <v>0</v>
          </cell>
          <cell r="AN397">
            <v>0</v>
          </cell>
          <cell r="AO397">
            <v>0</v>
          </cell>
          <cell r="AP397">
            <v>60000</v>
          </cell>
          <cell r="AQ397" t="str">
            <v>Goiás</v>
          </cell>
          <cell r="AS397" t="str">
            <v>x</v>
          </cell>
          <cell r="AT397">
            <v>0</v>
          </cell>
        </row>
        <row r="398">
          <cell r="B398" t="str">
            <v>COO2027</v>
          </cell>
          <cell r="C398" t="str">
            <v>OOGFU.F</v>
          </cell>
          <cell r="D398" t="str">
            <v>OOGR.S-S-2025-I-0192</v>
          </cell>
          <cell r="E398" t="str">
            <v>OS-2025-G-0099</v>
          </cell>
          <cell r="F398" t="str">
            <v>OS-2025-G-280</v>
          </cell>
          <cell r="G398" t="str">
            <v>Operação Sudeste</v>
          </cell>
          <cell r="H398" t="str">
            <v>Nova Demanda</v>
          </cell>
          <cell r="I398" t="str">
            <v>Adequação de segurança das instalações da UHE Funil</v>
          </cell>
          <cell r="J398" t="str">
            <v>Instalação de GUARDA CORPO em vias internas da área industrial da UHE Funil</v>
          </cell>
          <cell r="K398" t="str">
            <v>Instalação de GUARDA CORPO em vias internas da área industrial da UHE Funil</v>
          </cell>
          <cell r="L398" t="str">
            <v>FA04110001</v>
          </cell>
          <cell r="M398" t="str">
            <v>UHE Funil</v>
          </cell>
          <cell r="N398" t="str">
            <v>Geração</v>
          </cell>
          <cell r="O398" t="str">
            <v>Modernização de pequeno porte</v>
          </cell>
          <cell r="P398" t="str">
            <v>Modernização de pequeno porte</v>
          </cell>
          <cell r="Q398" t="str">
            <v>DIVERSOS</v>
          </cell>
          <cell r="R398" t="str">
            <v>Diversas</v>
          </cell>
          <cell r="S398">
            <v>0</v>
          </cell>
          <cell r="T398">
            <v>0</v>
          </cell>
          <cell r="U398">
            <v>0</v>
          </cell>
          <cell r="V398">
            <v>0</v>
          </cell>
          <cell r="W398">
            <v>0</v>
          </cell>
          <cell r="X398">
            <v>0</v>
          </cell>
          <cell r="Y398">
            <v>0</v>
          </cell>
          <cell r="Z398">
            <v>200000</v>
          </cell>
          <cell r="AA398">
            <v>0</v>
          </cell>
          <cell r="AB398">
            <v>0</v>
          </cell>
          <cell r="AC398">
            <v>0</v>
          </cell>
          <cell r="AD398">
            <v>0</v>
          </cell>
          <cell r="AE398">
            <v>200000</v>
          </cell>
          <cell r="AF398"/>
          <cell r="AG398"/>
          <cell r="AH398"/>
          <cell r="AI398" t="str">
            <v xml:space="preserve">                              </v>
          </cell>
          <cell r="AJ398">
            <v>200000</v>
          </cell>
          <cell r="AK398">
            <v>0</v>
          </cell>
          <cell r="AL398">
            <v>0</v>
          </cell>
          <cell r="AM398">
            <v>0</v>
          </cell>
          <cell r="AN398">
            <v>0</v>
          </cell>
          <cell r="AO398">
            <v>0</v>
          </cell>
          <cell r="AP398">
            <v>200000</v>
          </cell>
          <cell r="AQ398" t="str">
            <v>Rio de Janeiro</v>
          </cell>
          <cell r="AS398" t="str">
            <v>x</v>
          </cell>
          <cell r="AT398">
            <v>0</v>
          </cell>
        </row>
        <row r="399">
          <cell r="B399" t="str">
            <v>COO2034</v>
          </cell>
          <cell r="C399" t="str">
            <v>OOGG.F</v>
          </cell>
          <cell r="D399" t="str">
            <v>OOGSI.F-OS-2025-I-0101</v>
          </cell>
          <cell r="E399" t="str">
            <v>OS-2025-G-0096</v>
          </cell>
          <cell r="F399" t="str">
            <v>OS-2025-G-315</v>
          </cell>
          <cell r="G399" t="str">
            <v>Operação Sudeste</v>
          </cell>
          <cell r="H399" t="str">
            <v>Nova Demanda</v>
          </cell>
          <cell r="I399" t="str">
            <v>Modernização do sistema de monitoramento por câmera das usinas da Operação Sudeste</v>
          </cell>
          <cell r="J399" t="str">
            <v>Manutenção no sistema visando melhoria da confiabilidade</v>
          </cell>
          <cell r="K399" t="str">
            <v>Manutenção no sistema visando melhoria da confiabilidade</v>
          </cell>
          <cell r="L399" t="str">
            <v>DIVERSOS</v>
          </cell>
          <cell r="M399" t="str">
            <v>Diversas UHE</v>
          </cell>
          <cell r="N399" t="str">
            <v>Geração</v>
          </cell>
          <cell r="O399" t="str">
            <v>Modernização de pequeno porte</v>
          </cell>
          <cell r="P399" t="str">
            <v>Modernização de pequeno porte</v>
          </cell>
          <cell r="Q399" t="str">
            <v>DIVERSOS</v>
          </cell>
          <cell r="R399" t="str">
            <v>Diversas</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cell r="AG399"/>
          <cell r="AH399">
            <v>200000</v>
          </cell>
          <cell r="AI399" t="str">
            <v xml:space="preserve">                              </v>
          </cell>
          <cell r="AJ399">
            <v>200000</v>
          </cell>
          <cell r="AK399">
            <v>0</v>
          </cell>
          <cell r="AL399">
            <v>0</v>
          </cell>
          <cell r="AM399">
            <v>0</v>
          </cell>
          <cell r="AN399">
            <v>0</v>
          </cell>
          <cell r="AO399">
            <v>0</v>
          </cell>
          <cell r="AP399">
            <v>200000</v>
          </cell>
          <cell r="AQ399" t="str">
            <v>Minas Gerais</v>
          </cell>
          <cell r="AS399" t="str">
            <v>x</v>
          </cell>
          <cell r="AT399">
            <v>200000</v>
          </cell>
        </row>
        <row r="400">
          <cell r="B400" t="str">
            <v>COO2035</v>
          </cell>
          <cell r="C400" t="str">
            <v>OOGG.F</v>
          </cell>
          <cell r="D400" t="str">
            <v>OOTM.F-OS-2025-I-0410</v>
          </cell>
          <cell r="E400" t="str">
            <v>OS-2025-G-0108</v>
          </cell>
          <cell r="F400" t="str">
            <v>OS-2025-G-349</v>
          </cell>
          <cell r="G400" t="str">
            <v>Operação Sudeste</v>
          </cell>
          <cell r="H400" t="str">
            <v>Nova Demanda</v>
          </cell>
          <cell r="I400" t="str">
            <v>Modernização na ponte rolante da casa de força da UHE Batalha</v>
          </cell>
          <cell r="J400" t="str">
            <v>Melhoria na ponte rolante da casa de força com implementação de controle remoto individual-UHE Batalha</v>
          </cell>
          <cell r="K400" t="str">
            <v>Melhoria na ponte rolante da casa de força com implementação de controle remoto individual-UHE Batalha</v>
          </cell>
          <cell r="L400" t="str">
            <v>FA04110101</v>
          </cell>
          <cell r="M400" t="str">
            <v>UHE Batalha</v>
          </cell>
          <cell r="N400" t="str">
            <v>Geração</v>
          </cell>
          <cell r="O400" t="str">
            <v>Modernização de pequeno porte</v>
          </cell>
          <cell r="P400" t="str">
            <v>Modernização de pequeno porte</v>
          </cell>
          <cell r="Q400" t="str">
            <v>FGHI.0007</v>
          </cell>
          <cell r="R400" t="str">
            <v>PO.O_DRG.O_20OM_UHBHA</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cell r="AG400"/>
          <cell r="AH400">
            <v>50000</v>
          </cell>
          <cell r="AI400" t="str">
            <v xml:space="preserve">                              </v>
          </cell>
          <cell r="AJ400">
            <v>50000</v>
          </cell>
          <cell r="AK400">
            <v>0</v>
          </cell>
          <cell r="AL400">
            <v>0</v>
          </cell>
          <cell r="AM400">
            <v>0</v>
          </cell>
          <cell r="AN400">
            <v>0</v>
          </cell>
          <cell r="AO400">
            <v>0</v>
          </cell>
          <cell r="AP400">
            <v>50000</v>
          </cell>
          <cell r="AQ400" t="str">
            <v>Goiás</v>
          </cell>
          <cell r="AS400" t="str">
            <v>x</v>
          </cell>
          <cell r="AT400">
            <v>50000</v>
          </cell>
        </row>
        <row r="401">
          <cell r="B401" t="str">
            <v>COO2036</v>
          </cell>
          <cell r="C401" t="str">
            <v>OOGG.F</v>
          </cell>
          <cell r="D401" t="str">
            <v>OOME.F-OS-2025-I-0032</v>
          </cell>
          <cell r="E401" t="str">
            <v>OS-2025-G-0114</v>
          </cell>
          <cell r="F401" t="str">
            <v>OS-2025-G-299</v>
          </cell>
          <cell r="G401" t="str">
            <v>Operação Sudeste</v>
          </cell>
          <cell r="H401" t="str">
            <v>Nova Demanda</v>
          </cell>
          <cell r="I401" t="str">
            <v>Modernização das pontes rolantes da casa de força da UHE Corumbá</v>
          </cell>
          <cell r="J401" t="str">
            <v>Melhoria nas pontes rolantes da casa de força com implementação de controle remoto individual -UHE Corumbá</v>
          </cell>
          <cell r="K401" t="str">
            <v>Melhoria nas pontes rolantes da casa de força com implementação de controle remoto individual -UHE Corumbá</v>
          </cell>
          <cell r="L401" t="str">
            <v>FA04110101</v>
          </cell>
          <cell r="M401" t="str">
            <v>UHE Corumbá</v>
          </cell>
          <cell r="N401" t="str">
            <v>Geração</v>
          </cell>
          <cell r="O401" t="str">
            <v>Modernização de pequeno porte</v>
          </cell>
          <cell r="P401" t="str">
            <v>Modernização de pequeno porte</v>
          </cell>
          <cell r="Q401" t="str">
            <v>FGHI.0001</v>
          </cell>
          <cell r="R401" t="str">
            <v>PO.O_DRG.O_215U</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cell r="AG401"/>
          <cell r="AH401"/>
          <cell r="AI401">
            <v>500000</v>
          </cell>
          <cell r="AJ401">
            <v>500000</v>
          </cell>
          <cell r="AK401">
            <v>0</v>
          </cell>
          <cell r="AL401">
            <v>0</v>
          </cell>
          <cell r="AM401">
            <v>0</v>
          </cell>
          <cell r="AN401">
            <v>0</v>
          </cell>
          <cell r="AO401">
            <v>0</v>
          </cell>
          <cell r="AP401">
            <v>500000</v>
          </cell>
          <cell r="AQ401" t="str">
            <v>Goiás</v>
          </cell>
          <cell r="AS401" t="str">
            <v>x</v>
          </cell>
          <cell r="AT401">
            <v>500000</v>
          </cell>
        </row>
        <row r="402">
          <cell r="B402" t="str">
            <v>COO2037</v>
          </cell>
          <cell r="C402" t="str">
            <v>OOMG.F</v>
          </cell>
          <cell r="D402" t="str">
            <v>OOMB.C-C-2025-I-0005</v>
          </cell>
          <cell r="E402" t="str">
            <v>OS-2025-G-0129</v>
          </cell>
          <cell r="F402" t="str">
            <v>OS-2025-G-297</v>
          </cell>
          <cell r="G402" t="str">
            <v>Operação Sudeste</v>
          </cell>
          <cell r="H402" t="str">
            <v>Em contrataçao</v>
          </cell>
          <cell r="I402" t="str">
            <v>Modernização do sistema de proteção, controle e supervisão, Regulador de Tensão e Velocidade da UHE Itumbiara</v>
          </cell>
          <cell r="J402" t="str">
            <v>Modernização  SPCS obsoleto e sem sobressalentes. -- Modernização do RV e RT de Itumbiara  -  UHE ITUMBIARA</v>
          </cell>
          <cell r="K402" t="str">
            <v>Modernização  SPCS obsoleto e sem sobressalentes. -- Modernização do RV e RT de Itumbiara  -  UHE ITUMBIARA</v>
          </cell>
          <cell r="L402" t="str">
            <v>FA04090200</v>
          </cell>
          <cell r="M402" t="str">
            <v>UHE Itumbiara</v>
          </cell>
          <cell r="N402" t="str">
            <v>Geração</v>
          </cell>
          <cell r="O402" t="str">
            <v>Modernização de pequeno porte</v>
          </cell>
          <cell r="P402" t="str">
            <v>Modernização de pequeno porte</v>
          </cell>
          <cell r="Q402" t="str">
            <v>FGHI.0003</v>
          </cell>
          <cell r="R402" t="str">
            <v>PO.O_DRG.O_20OM</v>
          </cell>
          <cell r="S402">
            <v>134650</v>
          </cell>
          <cell r="T402">
            <v>134650</v>
          </cell>
          <cell r="U402">
            <v>134650</v>
          </cell>
          <cell r="V402">
            <v>134650</v>
          </cell>
          <cell r="W402">
            <v>134650</v>
          </cell>
          <cell r="X402">
            <v>134650</v>
          </cell>
          <cell r="Y402">
            <v>189000</v>
          </cell>
          <cell r="Z402">
            <v>189000</v>
          </cell>
          <cell r="AA402">
            <v>189000</v>
          </cell>
          <cell r="AB402">
            <v>189000</v>
          </cell>
          <cell r="AC402">
            <v>5000000</v>
          </cell>
          <cell r="AD402">
            <v>5000000</v>
          </cell>
          <cell r="AE402">
            <v>11563900</v>
          </cell>
          <cell r="AF402">
            <v>71853100</v>
          </cell>
          <cell r="AG402">
            <v>96935000</v>
          </cell>
          <cell r="AH402">
            <v>102400124</v>
          </cell>
          <cell r="AI402">
            <v>38770000</v>
          </cell>
          <cell r="AJ402">
            <v>321522124</v>
          </cell>
          <cell r="AK402">
            <v>0</v>
          </cell>
          <cell r="AL402">
            <v>0</v>
          </cell>
          <cell r="AM402">
            <v>0</v>
          </cell>
          <cell r="AN402">
            <v>0</v>
          </cell>
          <cell r="AO402">
            <v>0</v>
          </cell>
          <cell r="AP402">
            <v>321522124</v>
          </cell>
          <cell r="AQ402" t="str">
            <v>Minas Gerais</v>
          </cell>
          <cell r="AS402" t="str">
            <v>x</v>
          </cell>
          <cell r="AT402">
            <v>309958224</v>
          </cell>
        </row>
        <row r="403">
          <cell r="B403" t="str">
            <v>COO2038</v>
          </cell>
          <cell r="C403" t="str">
            <v>OOGSI.F</v>
          </cell>
          <cell r="D403" t="str">
            <v>OOGN.S-S-2025-I-0121</v>
          </cell>
          <cell r="E403" t="str">
            <v>OS-2025-G-0002</v>
          </cell>
          <cell r="F403" t="str">
            <v>OS-2025-G-298</v>
          </cell>
          <cell r="G403" t="str">
            <v>Operação Sudeste</v>
          </cell>
          <cell r="H403" t="str">
            <v>Nova Demanda</v>
          </cell>
          <cell r="I403" t="str">
            <v>Modernização do sistema de iluminação da UHE Simplicio</v>
          </cell>
          <cell r="J403" t="str">
            <v>Modernização da iluminação das vias de acesso as estruturas da área industrial da UHE Simplício</v>
          </cell>
          <cell r="K403" t="str">
            <v>Modernização da iluminação das vias de acesso as estruturas da área industrial da UHE Simplício</v>
          </cell>
          <cell r="L403" t="str">
            <v>FA04110003</v>
          </cell>
          <cell r="M403" t="str">
            <v>UHE Simplício</v>
          </cell>
          <cell r="N403" t="str">
            <v>Geração</v>
          </cell>
          <cell r="O403" t="str">
            <v>Modernização de pequeno porte</v>
          </cell>
          <cell r="P403" t="str">
            <v>Modernização de pequeno porte</v>
          </cell>
          <cell r="Q403" t="str">
            <v>FGHI.0005</v>
          </cell>
          <cell r="R403" t="str">
            <v>PS.O_DRN.O_20OM</v>
          </cell>
          <cell r="S403">
            <v>0</v>
          </cell>
          <cell r="T403">
            <v>0</v>
          </cell>
          <cell r="U403">
            <v>0</v>
          </cell>
          <cell r="V403">
            <v>0</v>
          </cell>
          <cell r="W403">
            <v>250000</v>
          </cell>
          <cell r="X403">
            <v>250000</v>
          </cell>
          <cell r="Y403">
            <v>0</v>
          </cell>
          <cell r="Z403">
            <v>0</v>
          </cell>
          <cell r="AA403">
            <v>0</v>
          </cell>
          <cell r="AB403">
            <v>0</v>
          </cell>
          <cell r="AC403">
            <v>0</v>
          </cell>
          <cell r="AD403">
            <v>0</v>
          </cell>
          <cell r="AE403">
            <v>500000</v>
          </cell>
          <cell r="AF403"/>
          <cell r="AG403"/>
          <cell r="AH403"/>
          <cell r="AI403" t="str">
            <v xml:space="preserve">                              </v>
          </cell>
          <cell r="AJ403">
            <v>500000</v>
          </cell>
          <cell r="AK403">
            <v>0</v>
          </cell>
          <cell r="AL403">
            <v>0</v>
          </cell>
          <cell r="AM403">
            <v>0</v>
          </cell>
          <cell r="AN403">
            <v>0</v>
          </cell>
          <cell r="AO403">
            <v>0</v>
          </cell>
          <cell r="AP403">
            <v>500000</v>
          </cell>
          <cell r="AQ403" t="str">
            <v>Minas Gerais</v>
          </cell>
          <cell r="AS403" t="str">
            <v>x</v>
          </cell>
          <cell r="AT403">
            <v>0</v>
          </cell>
        </row>
        <row r="404">
          <cell r="B404" t="str">
            <v>COO2039</v>
          </cell>
          <cell r="C404" t="str">
            <v>OOGG.F</v>
          </cell>
          <cell r="D404" t="str">
            <v>OOGS.S-S-2025-I-0244</v>
          </cell>
          <cell r="E404" t="str">
            <v>OS-2025-G-0026</v>
          </cell>
          <cell r="F404" t="str">
            <v>OS-2025-G-352</v>
          </cell>
          <cell r="G404" t="str">
            <v>Operação Sudeste</v>
          </cell>
          <cell r="H404" t="str">
            <v>Nova Demanda</v>
          </cell>
          <cell r="I404" t="str">
            <v>Modernização do sistema de iluminação da UHE Batalha</v>
          </cell>
          <cell r="J404" t="str">
            <v>Modernização da iluminação externa, vias, subestação área externa da UHE Batalha. Sistema obsoleto e com componentes em fim de vida útil.</v>
          </cell>
          <cell r="K404" t="str">
            <v>Modernização da iluminação externa, vias, subestação área externa da UHE Batalha. Sistema obsoleto e com componentes em fim de vida útil.</v>
          </cell>
          <cell r="L404" t="str">
            <v>FA04110101</v>
          </cell>
          <cell r="M404" t="str">
            <v>UHE Batalha</v>
          </cell>
          <cell r="N404" t="str">
            <v>Geração</v>
          </cell>
          <cell r="O404" t="str">
            <v>Modernização de pequeno porte</v>
          </cell>
          <cell r="P404" t="str">
            <v>Modernização de pequeno porte</v>
          </cell>
          <cell r="Q404" t="str">
            <v>FGHI.0007</v>
          </cell>
          <cell r="R404" t="str">
            <v>PO.O_DRG.O_20OM_UHBHA</v>
          </cell>
          <cell r="S404">
            <v>0</v>
          </cell>
          <cell r="T404">
            <v>0</v>
          </cell>
          <cell r="U404">
            <v>0</v>
          </cell>
          <cell r="V404">
            <v>0</v>
          </cell>
          <cell r="W404">
            <v>0</v>
          </cell>
          <cell r="X404">
            <v>0</v>
          </cell>
          <cell r="Y404">
            <v>0</v>
          </cell>
          <cell r="Z404">
            <v>0</v>
          </cell>
          <cell r="AA404">
            <v>0</v>
          </cell>
          <cell r="AB404">
            <v>0</v>
          </cell>
          <cell r="AC404">
            <v>100000</v>
          </cell>
          <cell r="AD404">
            <v>0</v>
          </cell>
          <cell r="AE404">
            <v>100000</v>
          </cell>
          <cell r="AF404"/>
          <cell r="AG404"/>
          <cell r="AH404"/>
          <cell r="AI404" t="str">
            <v xml:space="preserve">                              </v>
          </cell>
          <cell r="AJ404">
            <v>100000</v>
          </cell>
          <cell r="AK404">
            <v>0</v>
          </cell>
          <cell r="AL404">
            <v>0</v>
          </cell>
          <cell r="AM404">
            <v>0</v>
          </cell>
          <cell r="AN404">
            <v>0</v>
          </cell>
          <cell r="AO404">
            <v>0</v>
          </cell>
          <cell r="AP404">
            <v>100000</v>
          </cell>
          <cell r="AQ404" t="str">
            <v>Goiás</v>
          </cell>
          <cell r="AS404" t="str">
            <v>x</v>
          </cell>
          <cell r="AT404">
            <v>0</v>
          </cell>
        </row>
        <row r="405">
          <cell r="B405" t="str">
            <v>COO2040</v>
          </cell>
          <cell r="C405" t="str">
            <v>OOGG.F</v>
          </cell>
          <cell r="D405" t="str">
            <v>OOGN.S-S-2025-I-0119</v>
          </cell>
          <cell r="E405" t="str">
            <v>OS-2025-G-0093</v>
          </cell>
          <cell r="F405" t="str">
            <v>OS-2025-G-319</v>
          </cell>
          <cell r="G405" t="str">
            <v>Operação Sudeste</v>
          </cell>
          <cell r="H405" t="str">
            <v>Nova Demanda</v>
          </cell>
          <cell r="I405" t="str">
            <v>Modernização dos pórticos e pontes rolantes da UHE Manso</v>
          </cell>
          <cell r="J405" t="str">
            <v>Modernização das ponte e pórticos rolantes da UHE Manso, equipamentos com componentes obsoletos e sem peças de reposição-UHE Manso</v>
          </cell>
          <cell r="K405" t="str">
            <v>Modernização das ponte e pórticos rolantes da UHE Manso, equipamentos com componentes obsoletos e sem peças de reposição-UHE Manso</v>
          </cell>
          <cell r="L405" t="str">
            <v>FA04110103</v>
          </cell>
          <cell r="M405" t="str">
            <v>UHE Manso</v>
          </cell>
          <cell r="N405" t="str">
            <v>Geração</v>
          </cell>
          <cell r="O405" t="str">
            <v>Modernização de pequeno porte</v>
          </cell>
          <cell r="P405" t="str">
            <v>Modernização de pequeno porte</v>
          </cell>
          <cell r="Q405" t="str">
            <v>FGHI.0011</v>
          </cell>
          <cell r="R405" t="str">
            <v>PO.O_DRG.O_20OM_UHMSO</v>
          </cell>
          <cell r="S405">
            <v>0</v>
          </cell>
          <cell r="T405">
            <v>0</v>
          </cell>
          <cell r="U405">
            <v>0</v>
          </cell>
          <cell r="V405">
            <v>0</v>
          </cell>
          <cell r="W405">
            <v>500000</v>
          </cell>
          <cell r="X405">
            <v>0</v>
          </cell>
          <cell r="Y405">
            <v>0</v>
          </cell>
          <cell r="Z405">
            <v>0</v>
          </cell>
          <cell r="AA405">
            <v>0</v>
          </cell>
          <cell r="AB405">
            <v>0</v>
          </cell>
          <cell r="AC405">
            <v>0</v>
          </cell>
          <cell r="AD405">
            <v>0</v>
          </cell>
          <cell r="AE405">
            <v>500000</v>
          </cell>
          <cell r="AF405">
            <v>6000000</v>
          </cell>
          <cell r="AG405"/>
          <cell r="AH405"/>
          <cell r="AI405" t="str">
            <v xml:space="preserve">                              </v>
          </cell>
          <cell r="AJ405">
            <v>6500000</v>
          </cell>
          <cell r="AK405">
            <v>0</v>
          </cell>
          <cell r="AL405">
            <v>0</v>
          </cell>
          <cell r="AM405">
            <v>0</v>
          </cell>
          <cell r="AN405">
            <v>0</v>
          </cell>
          <cell r="AO405">
            <v>0</v>
          </cell>
          <cell r="AP405">
            <v>6500000</v>
          </cell>
          <cell r="AQ405" t="str">
            <v>Mato Grosso</v>
          </cell>
          <cell r="AT405">
            <v>6000000</v>
          </cell>
        </row>
        <row r="406">
          <cell r="B406" t="str">
            <v>COO2041</v>
          </cell>
          <cell r="C406" t="str">
            <v>OOMG.F</v>
          </cell>
          <cell r="D406" t="str">
            <v>OOMT.S-S-2025-I-0050</v>
          </cell>
          <cell r="E406" t="str">
            <v>OS-2025-G-0089</v>
          </cell>
          <cell r="F406" t="str">
            <v>OS-2025-G-300</v>
          </cell>
          <cell r="G406" t="str">
            <v>Operação Sudeste</v>
          </cell>
          <cell r="H406" t="str">
            <v>Nova Demanda</v>
          </cell>
          <cell r="I406" t="str">
            <v>Modernização das UACs de controle das UGs de várias usinas</v>
          </cell>
          <cell r="J406" t="str">
            <v>Modernização das UACs de controle das UGs de várias usinas</v>
          </cell>
          <cell r="K406" t="str">
            <v>Modernização das UACs de controle das UGs de várias usinas</v>
          </cell>
          <cell r="L406" t="str">
            <v>FA04090200</v>
          </cell>
          <cell r="M406" t="str">
            <v>Diversas UHE</v>
          </cell>
          <cell r="N406" t="str">
            <v>Geração</v>
          </cell>
          <cell r="O406" t="str">
            <v>Modernização de pequeno porte</v>
          </cell>
          <cell r="P406" t="str">
            <v>Modernização de pequeno porte</v>
          </cell>
          <cell r="Q406" t="str">
            <v>FGHI.0103</v>
          </cell>
          <cell r="R406" t="str">
            <v>EM.O_DER.O_20OM_Hidro</v>
          </cell>
          <cell r="S406">
            <v>0</v>
          </cell>
          <cell r="T406">
            <v>0</v>
          </cell>
          <cell r="U406">
            <v>0</v>
          </cell>
          <cell r="V406">
            <v>0</v>
          </cell>
          <cell r="W406">
            <v>0</v>
          </cell>
          <cell r="X406">
            <v>0</v>
          </cell>
          <cell r="Y406">
            <v>0</v>
          </cell>
          <cell r="Z406">
            <v>0</v>
          </cell>
          <cell r="AA406">
            <v>0</v>
          </cell>
          <cell r="AB406">
            <v>0</v>
          </cell>
          <cell r="AC406">
            <v>1500000</v>
          </cell>
          <cell r="AD406">
            <v>0</v>
          </cell>
          <cell r="AE406">
            <v>1500000</v>
          </cell>
          <cell r="AF406">
            <v>1500000</v>
          </cell>
          <cell r="AG406">
            <v>1500000</v>
          </cell>
          <cell r="AH406">
            <v>1500000</v>
          </cell>
          <cell r="AI406">
            <v>1500000</v>
          </cell>
          <cell r="AJ406">
            <v>7500000</v>
          </cell>
          <cell r="AK406">
            <v>0</v>
          </cell>
          <cell r="AL406">
            <v>0</v>
          </cell>
          <cell r="AM406">
            <v>0</v>
          </cell>
          <cell r="AN406">
            <v>0</v>
          </cell>
          <cell r="AO406">
            <v>0</v>
          </cell>
          <cell r="AP406">
            <v>7500000</v>
          </cell>
          <cell r="AQ406" t="str">
            <v>São Paulo</v>
          </cell>
          <cell r="AS406" t="str">
            <v>x</v>
          </cell>
          <cell r="AT406">
            <v>6000000</v>
          </cell>
        </row>
        <row r="407">
          <cell r="B407" t="str">
            <v>COO2042</v>
          </cell>
          <cell r="C407" t="str">
            <v>OOGG.F</v>
          </cell>
          <cell r="D407" t="str">
            <v>OOGSI.F-OS-2025-I-0100</v>
          </cell>
          <cell r="E407" t="str">
            <v>OS-2025-G-0095</v>
          </cell>
          <cell r="F407" t="str">
            <v>OS-2025-G-393</v>
          </cell>
          <cell r="G407" t="str">
            <v>Operação Sudeste</v>
          </cell>
          <cell r="H407" t="str">
            <v>Nova Demanda</v>
          </cell>
          <cell r="I407" t="str">
            <v>Adequação civil das estruturas e acessos da casa de força da UHE Manso</v>
          </cell>
          <cell r="J407" t="str">
            <v>Modernização de telhado e fachadas, impermeabilização de lajes, pintura interna e externa da casa de força.</v>
          </cell>
          <cell r="K407" t="str">
            <v>Modernização de telhado e fachadas, impermeabilização de lajes, pintura interna e externa da casa de força.</v>
          </cell>
          <cell r="L407" t="str">
            <v>FA04110103</v>
          </cell>
          <cell r="M407" t="str">
            <v>UHE Manso</v>
          </cell>
          <cell r="N407" t="str">
            <v>Geração</v>
          </cell>
          <cell r="O407" t="str">
            <v>Modernização de pequeno porte</v>
          </cell>
          <cell r="P407" t="str">
            <v>Modernização de pequeno porte</v>
          </cell>
          <cell r="Q407" t="str">
            <v>FGHI.0011</v>
          </cell>
          <cell r="R407" t="str">
            <v>PO.O_DRG.O_20OM_UHMSO</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1000000</v>
          </cell>
          <cell r="AG407"/>
          <cell r="AH407"/>
          <cell r="AI407" t="str">
            <v xml:space="preserve">                              </v>
          </cell>
          <cell r="AJ407">
            <v>1000000</v>
          </cell>
          <cell r="AK407">
            <v>0</v>
          </cell>
          <cell r="AL407">
            <v>300000</v>
          </cell>
          <cell r="AM407">
            <v>0</v>
          </cell>
          <cell r="AN407">
            <v>0</v>
          </cell>
          <cell r="AO407">
            <v>0</v>
          </cell>
          <cell r="AP407">
            <v>1300000</v>
          </cell>
          <cell r="AQ407" t="str">
            <v>Mato Grosso</v>
          </cell>
          <cell r="AS407" t="str">
            <v>x</v>
          </cell>
          <cell r="AT407">
            <v>1000000</v>
          </cell>
        </row>
        <row r="408">
          <cell r="B408" t="str">
            <v>COO2043</v>
          </cell>
          <cell r="C408" t="str">
            <v>OOGG.F</v>
          </cell>
          <cell r="D408" t="str">
            <v>OOME.F-OS-2025-I-0045</v>
          </cell>
          <cell r="E408" t="str">
            <v>OS-2025-G-0118</v>
          </cell>
          <cell r="F408" t="str">
            <v>OS-2025-G-359</v>
          </cell>
          <cell r="G408" t="str">
            <v>Operação Sudeste</v>
          </cell>
          <cell r="H408" t="str">
            <v>Nova Demanda</v>
          </cell>
          <cell r="I408" t="str">
            <v>Modernização do sistema de proteção contra incêndio da UHE Corumbá</v>
          </cell>
          <cell r="J408" t="str">
            <v>Modernização de toda a instalação do SPCI incluindo novo painel, sistema de detecção, layout e laudo do corpo de bombeiros-UHE Corumbá</v>
          </cell>
          <cell r="K408" t="str">
            <v>Modernização de toda a instalação do SPCI incluindo novo painel, sistema de detecção, layout e laudo do corpo de bombeiros-UHE Corumbá</v>
          </cell>
          <cell r="L408" t="str">
            <v>FA04110101</v>
          </cell>
          <cell r="M408" t="str">
            <v>UHE Corumbá</v>
          </cell>
          <cell r="N408" t="str">
            <v>Geração</v>
          </cell>
          <cell r="O408" t="str">
            <v>Modernização de pequeno porte</v>
          </cell>
          <cell r="P408" t="str">
            <v>Modernização de pequeno porte</v>
          </cell>
          <cell r="Q408" t="str">
            <v>FGHI.0001</v>
          </cell>
          <cell r="R408" t="str">
            <v>PO.O_DRG.O_215U</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cell r="AG408"/>
          <cell r="AH408"/>
          <cell r="AI408">
            <v>230000</v>
          </cell>
          <cell r="AJ408">
            <v>230000</v>
          </cell>
          <cell r="AK408">
            <v>0</v>
          </cell>
          <cell r="AL408">
            <v>0</v>
          </cell>
          <cell r="AM408">
            <v>0</v>
          </cell>
          <cell r="AN408">
            <v>0</v>
          </cell>
          <cell r="AO408">
            <v>0</v>
          </cell>
          <cell r="AP408">
            <v>230000</v>
          </cell>
          <cell r="AQ408" t="str">
            <v>Goiás</v>
          </cell>
          <cell r="AS408" t="str">
            <v>x</v>
          </cell>
          <cell r="AT408">
            <v>230000</v>
          </cell>
        </row>
        <row r="409">
          <cell r="B409" t="str">
            <v>COO2044</v>
          </cell>
          <cell r="C409" t="str">
            <v>OOGG.F</v>
          </cell>
          <cell r="D409" t="str">
            <v>OOGN.S-S-2025-I-0149</v>
          </cell>
          <cell r="E409" t="str">
            <v>OS-2025-G-0106</v>
          </cell>
          <cell r="F409" t="str">
            <v>OS-2025-G-381</v>
          </cell>
          <cell r="G409" t="str">
            <v>Operação Sudeste</v>
          </cell>
          <cell r="H409" t="str">
            <v>Nova Demanda</v>
          </cell>
          <cell r="I409" t="str">
            <v>Modernização do controle dos Geradores de Emergência da UHE Manso</v>
          </cell>
          <cell r="J409" t="str">
            <v>Modernização do controle dos geradores de emergência, visando regularização da confiabilidade operacional-UHE Manso</v>
          </cell>
          <cell r="K409" t="str">
            <v>Modernização do controle dos geradores de emergência, visando regularização da confiabilidade operacional-UHE Manso</v>
          </cell>
          <cell r="L409" t="str">
            <v>FA04110103</v>
          </cell>
          <cell r="M409" t="str">
            <v>UHE Manso</v>
          </cell>
          <cell r="N409" t="str">
            <v>Geração</v>
          </cell>
          <cell r="O409" t="str">
            <v>Modernização de pequeno porte</v>
          </cell>
          <cell r="P409" t="str">
            <v>Modernização de pequeno porte</v>
          </cell>
          <cell r="Q409" t="str">
            <v>FGHI.0011</v>
          </cell>
          <cell r="R409" t="str">
            <v>PO.O_DRG.O_20OM_UHMSO</v>
          </cell>
          <cell r="S409">
            <v>0</v>
          </cell>
          <cell r="T409">
            <v>0</v>
          </cell>
          <cell r="U409">
            <v>0</v>
          </cell>
          <cell r="V409">
            <v>0</v>
          </cell>
          <cell r="W409">
            <v>350000</v>
          </cell>
          <cell r="X409">
            <v>0</v>
          </cell>
          <cell r="Y409">
            <v>0</v>
          </cell>
          <cell r="Z409">
            <v>0</v>
          </cell>
          <cell r="AA409">
            <v>0</v>
          </cell>
          <cell r="AB409">
            <v>0</v>
          </cell>
          <cell r="AC409">
            <v>0</v>
          </cell>
          <cell r="AD409">
            <v>0</v>
          </cell>
          <cell r="AE409">
            <v>350000</v>
          </cell>
          <cell r="AF409"/>
          <cell r="AG409"/>
          <cell r="AH409"/>
          <cell r="AI409" t="str">
            <v xml:space="preserve">                              </v>
          </cell>
          <cell r="AJ409">
            <v>350000</v>
          </cell>
          <cell r="AK409">
            <v>0</v>
          </cell>
          <cell r="AL409">
            <v>0</v>
          </cell>
          <cell r="AM409">
            <v>0</v>
          </cell>
          <cell r="AN409">
            <v>0</v>
          </cell>
          <cell r="AO409">
            <v>0</v>
          </cell>
          <cell r="AP409">
            <v>350000</v>
          </cell>
          <cell r="AQ409" t="str">
            <v>Mato Grosso</v>
          </cell>
          <cell r="AT409">
            <v>0</v>
          </cell>
        </row>
        <row r="410">
          <cell r="B410" t="str">
            <v>COO2045</v>
          </cell>
          <cell r="C410" t="str">
            <v>OOMG.F</v>
          </cell>
          <cell r="D410" t="str">
            <v>OOGR.S-S-2025-I-0075</v>
          </cell>
          <cell r="E410" t="str">
            <v>OS-2025-G-0014</v>
          </cell>
          <cell r="F410" t="str">
            <v>OS-2025-G-302</v>
          </cell>
          <cell r="G410" t="str">
            <v>Operação Sudeste</v>
          </cell>
          <cell r="H410" t="str">
            <v>Nova Demanda</v>
          </cell>
          <cell r="I410" t="str">
            <v>Modernização do controle dos Reguladores de tensão</v>
          </cell>
          <cell r="J410" t="str">
            <v>Modernização do controle dos Reguladores de tensão das UGs da UHE Corumbá</v>
          </cell>
          <cell r="K410" t="str">
            <v>Modernização do controle dos Reguladores de tensão das UGs da UHE Corumbá</v>
          </cell>
          <cell r="L410" t="str">
            <v>FA04090200</v>
          </cell>
          <cell r="M410" t="str">
            <v>UHE Corumbá</v>
          </cell>
          <cell r="N410" t="str">
            <v>Geração</v>
          </cell>
          <cell r="O410" t="str">
            <v>Modernização de pequeno porte</v>
          </cell>
          <cell r="P410" t="str">
            <v>Modernização de pequeno porte</v>
          </cell>
          <cell r="Q410" t="str">
            <v>FGHI.0001</v>
          </cell>
          <cell r="R410" t="str">
            <v>PO.O_DRG.O_215U</v>
          </cell>
          <cell r="S410">
            <v>0</v>
          </cell>
          <cell r="T410">
            <v>0</v>
          </cell>
          <cell r="U410">
            <v>0</v>
          </cell>
          <cell r="V410">
            <v>0</v>
          </cell>
          <cell r="W410">
            <v>0</v>
          </cell>
          <cell r="X410">
            <v>0</v>
          </cell>
          <cell r="Y410">
            <v>0</v>
          </cell>
          <cell r="Z410">
            <v>0</v>
          </cell>
          <cell r="AA410">
            <v>0</v>
          </cell>
          <cell r="AB410">
            <v>0</v>
          </cell>
          <cell r="AC410">
            <v>0</v>
          </cell>
          <cell r="AD410">
            <v>1000000</v>
          </cell>
          <cell r="AE410">
            <v>1000000</v>
          </cell>
          <cell r="AF410">
            <v>1000000</v>
          </cell>
          <cell r="AG410"/>
          <cell r="AH410"/>
          <cell r="AI410" t="str">
            <v xml:space="preserve">                              </v>
          </cell>
          <cell r="AJ410">
            <v>2000000</v>
          </cell>
          <cell r="AK410">
            <v>0</v>
          </cell>
          <cell r="AL410">
            <v>0</v>
          </cell>
          <cell r="AM410">
            <v>0</v>
          </cell>
          <cell r="AN410">
            <v>0</v>
          </cell>
          <cell r="AO410">
            <v>0</v>
          </cell>
          <cell r="AP410">
            <v>2000000</v>
          </cell>
          <cell r="AQ410" t="str">
            <v>Goiás</v>
          </cell>
          <cell r="AS410" t="str">
            <v>x</v>
          </cell>
          <cell r="AT410">
            <v>1000000</v>
          </cell>
        </row>
        <row r="411">
          <cell r="B411" t="str">
            <v>COO2046</v>
          </cell>
          <cell r="C411" t="str">
            <v>OOMG.F</v>
          </cell>
          <cell r="D411" t="str">
            <v>OOGR.S-S-2025-I-0076</v>
          </cell>
          <cell r="E411" t="str">
            <v>OS-2025-G-0015</v>
          </cell>
          <cell r="F411" t="str">
            <v>OS-2025-G-304</v>
          </cell>
          <cell r="G411" t="str">
            <v>Operação Sudeste</v>
          </cell>
          <cell r="H411" t="str">
            <v>Nova Demanda</v>
          </cell>
          <cell r="I411" t="str">
            <v>Modernização do controle dos reguladores de velocidade</v>
          </cell>
          <cell r="J411" t="str">
            <v>Modernização do controle dos reguladores de velocidade das UGs da UHE Corumbá</v>
          </cell>
          <cell r="K411" t="str">
            <v>Modernização do controle dos reguladores de velocidade das UGs da UHE Corumbá</v>
          </cell>
          <cell r="L411" t="str">
            <v>FA04090200</v>
          </cell>
          <cell r="M411" t="str">
            <v>UHE Corumbá</v>
          </cell>
          <cell r="N411" t="str">
            <v>Geração</v>
          </cell>
          <cell r="O411" t="str">
            <v>Modernização de pequeno porte</v>
          </cell>
          <cell r="P411" t="str">
            <v>Modernização de pequeno porte</v>
          </cell>
          <cell r="Q411" t="str">
            <v>FGHI.0001</v>
          </cell>
          <cell r="R411" t="str">
            <v>PO.O_DRG.O_215U</v>
          </cell>
          <cell r="S411">
            <v>0</v>
          </cell>
          <cell r="T411">
            <v>0</v>
          </cell>
          <cell r="U411">
            <v>0</v>
          </cell>
          <cell r="V411">
            <v>0</v>
          </cell>
          <cell r="W411">
            <v>0</v>
          </cell>
          <cell r="X411">
            <v>0</v>
          </cell>
          <cell r="Y411">
            <v>0</v>
          </cell>
          <cell r="Z411">
            <v>0</v>
          </cell>
          <cell r="AA411">
            <v>0</v>
          </cell>
          <cell r="AB411">
            <v>0</v>
          </cell>
          <cell r="AC411">
            <v>0</v>
          </cell>
          <cell r="AD411">
            <v>1000000</v>
          </cell>
          <cell r="AE411">
            <v>1000000</v>
          </cell>
          <cell r="AF411">
            <v>2000000</v>
          </cell>
          <cell r="AG411"/>
          <cell r="AH411"/>
          <cell r="AI411" t="str">
            <v xml:space="preserve">                              </v>
          </cell>
          <cell r="AJ411">
            <v>3000000</v>
          </cell>
          <cell r="AK411">
            <v>0</v>
          </cell>
          <cell r="AL411">
            <v>0</v>
          </cell>
          <cell r="AM411">
            <v>0</v>
          </cell>
          <cell r="AN411">
            <v>0</v>
          </cell>
          <cell r="AO411">
            <v>0</v>
          </cell>
          <cell r="AP411">
            <v>3000000</v>
          </cell>
          <cell r="AQ411" t="str">
            <v>Goiás</v>
          </cell>
          <cell r="AS411" t="str">
            <v>x</v>
          </cell>
          <cell r="AT411">
            <v>2000000</v>
          </cell>
        </row>
        <row r="412">
          <cell r="B412" t="str">
            <v>COO2047</v>
          </cell>
          <cell r="C412" t="str">
            <v>OOMG.F</v>
          </cell>
          <cell r="D412" t="str">
            <v>OOGR.S-S-2025-I-0077</v>
          </cell>
          <cell r="E412" t="str">
            <v>OS-2025-G-0016</v>
          </cell>
          <cell r="F412" t="str">
            <v>OS-2025-G-303</v>
          </cell>
          <cell r="G412" t="str">
            <v>Operação Sudeste</v>
          </cell>
          <cell r="H412" t="str">
            <v>Nova Demanda</v>
          </cell>
          <cell r="I412" t="str">
            <v>Modernização do controle dos reguladores de velocidade</v>
          </cell>
          <cell r="J412" t="str">
            <v>Modernização do controle dos reguladores de velocidade das UGs da UHE Manso</v>
          </cell>
          <cell r="K412" t="str">
            <v>Modernização do controle dos reguladores de velocidade das UGs da UHE Manso</v>
          </cell>
          <cell r="L412" t="str">
            <v>FA04090200</v>
          </cell>
          <cell r="M412" t="str">
            <v>UHE Manso</v>
          </cell>
          <cell r="N412" t="str">
            <v>Geração</v>
          </cell>
          <cell r="O412" t="str">
            <v>Modernização de pequeno porte</v>
          </cell>
          <cell r="P412" t="str">
            <v>Modernização de pequeno porte</v>
          </cell>
          <cell r="Q412" t="str">
            <v>FGHI.0103</v>
          </cell>
          <cell r="R412" t="str">
            <v>EM.O_DER.O_20OM_Hidro</v>
          </cell>
          <cell r="S412">
            <v>0</v>
          </cell>
          <cell r="T412">
            <v>0</v>
          </cell>
          <cell r="U412">
            <v>0</v>
          </cell>
          <cell r="V412">
            <v>0</v>
          </cell>
          <cell r="W412">
            <v>0</v>
          </cell>
          <cell r="X412">
            <v>0</v>
          </cell>
          <cell r="Y412">
            <v>0</v>
          </cell>
          <cell r="Z412">
            <v>0</v>
          </cell>
          <cell r="AA412">
            <v>0</v>
          </cell>
          <cell r="AB412">
            <v>0</v>
          </cell>
          <cell r="AC412">
            <v>0</v>
          </cell>
          <cell r="AD412">
            <v>1000000</v>
          </cell>
          <cell r="AE412">
            <v>1000000</v>
          </cell>
          <cell r="AF412">
            <v>2000000</v>
          </cell>
          <cell r="AG412">
            <v>1000000</v>
          </cell>
          <cell r="AH412"/>
          <cell r="AI412" t="str">
            <v xml:space="preserve">                              </v>
          </cell>
          <cell r="AJ412">
            <v>4000000</v>
          </cell>
          <cell r="AK412">
            <v>0</v>
          </cell>
          <cell r="AL412">
            <v>0</v>
          </cell>
          <cell r="AM412">
            <v>0</v>
          </cell>
          <cell r="AN412">
            <v>0</v>
          </cell>
          <cell r="AO412">
            <v>0</v>
          </cell>
          <cell r="AP412">
            <v>4000000</v>
          </cell>
          <cell r="AQ412" t="str">
            <v>Mato Grosso</v>
          </cell>
          <cell r="AS412" t="str">
            <v>x</v>
          </cell>
          <cell r="AT412">
            <v>3000000</v>
          </cell>
        </row>
        <row r="413">
          <cell r="B413" t="str">
            <v>COO2048</v>
          </cell>
          <cell r="C413" t="str">
            <v>OOMG.F</v>
          </cell>
          <cell r="D413" t="str">
            <v>OOTM.F-OS-2025-I-0442</v>
          </cell>
          <cell r="E413" t="str">
            <v>OS-2025-G-0023</v>
          </cell>
          <cell r="F413" t="str">
            <v>OS-2025-G-305</v>
          </cell>
          <cell r="G413" t="str">
            <v>Operação Sudeste</v>
          </cell>
          <cell r="H413" t="str">
            <v>Nova Demanda</v>
          </cell>
          <cell r="I413" t="str">
            <v>Modernização do sistema digital de supervisão e controle da UHE Mascarenhas de Moraes</v>
          </cell>
          <cell r="J413" t="str">
            <v>Modernização do SDSC, RDP e  RT (90,4 milhões, previsão VEE + 20,6 milhões em T)</v>
          </cell>
          <cell r="K413" t="str">
            <v>Modernização do SDSC, RDP e  RT (90,4 milhões, previsão VEE + 20,6 milhões em T)</v>
          </cell>
          <cell r="L413" t="str">
            <v>FA04090200</v>
          </cell>
          <cell r="M413" t="str">
            <v>UHE Mascarenhas de Moraes</v>
          </cell>
          <cell r="N413" t="str">
            <v>Geração</v>
          </cell>
          <cell r="O413" t="str">
            <v>Modernização de pequeno porte</v>
          </cell>
          <cell r="P413" t="str">
            <v>Modernização de pequeno porte</v>
          </cell>
          <cell r="Q413" t="str">
            <v>FGHI.0103</v>
          </cell>
          <cell r="R413" t="str">
            <v>EM.O_DER.O_20OM_Hidro</v>
          </cell>
          <cell r="S413">
            <v>38500</v>
          </cell>
          <cell r="T413">
            <v>38500</v>
          </cell>
          <cell r="U413">
            <v>38500</v>
          </cell>
          <cell r="V413">
            <v>38500</v>
          </cell>
          <cell r="W413">
            <v>38500</v>
          </cell>
          <cell r="X413">
            <v>38500</v>
          </cell>
          <cell r="Y413">
            <v>38500</v>
          </cell>
          <cell r="Z413">
            <v>38500</v>
          </cell>
          <cell r="AA413">
            <v>38500</v>
          </cell>
          <cell r="AB413">
            <v>38500</v>
          </cell>
          <cell r="AC413">
            <v>38500</v>
          </cell>
          <cell r="AD413">
            <v>3000000</v>
          </cell>
          <cell r="AE413">
            <v>3423500</v>
          </cell>
          <cell r="AF413">
            <v>9576500</v>
          </cell>
          <cell r="AG413">
            <v>10000000</v>
          </cell>
          <cell r="AH413">
            <v>52000000</v>
          </cell>
          <cell r="AI413">
            <v>40000000</v>
          </cell>
          <cell r="AJ413">
            <v>115000000</v>
          </cell>
          <cell r="AK413">
            <v>0</v>
          </cell>
          <cell r="AL413">
            <v>0</v>
          </cell>
          <cell r="AM413">
            <v>0</v>
          </cell>
          <cell r="AN413">
            <v>0</v>
          </cell>
          <cell r="AO413">
            <v>0</v>
          </cell>
          <cell r="AP413">
            <v>115000000</v>
          </cell>
          <cell r="AQ413" t="str">
            <v>Minas Gerais</v>
          </cell>
          <cell r="AT413">
            <v>111576500</v>
          </cell>
        </row>
        <row r="414">
          <cell r="B414" t="str">
            <v>COO2049</v>
          </cell>
          <cell r="C414" t="str">
            <v>OOMG.F</v>
          </cell>
          <cell r="D414" t="str">
            <v>OOMS.S-S-2025-I-0008</v>
          </cell>
          <cell r="E414" t="str">
            <v>OS-2025-G-0011</v>
          </cell>
          <cell r="F414" t="str">
            <v>OS-2025-G-307</v>
          </cell>
          <cell r="G414" t="str">
            <v>Operação Sudeste</v>
          </cell>
          <cell r="H414" t="str">
            <v>Nova Demanda</v>
          </cell>
          <cell r="I414" t="str">
            <v>Modernização do sistema de proteção contra incêndio da UHE Manso</v>
          </cell>
          <cell r="J414" t="str">
            <v>Modernização do Sistema de CO2 das UGs da UHE Manso</v>
          </cell>
          <cell r="K414" t="str">
            <v>Modernização do Sistema de CO2 das UGs da UHE Manso</v>
          </cell>
          <cell r="L414" t="str">
            <v>FA04090200</v>
          </cell>
          <cell r="M414" t="str">
            <v>UHE Manso</v>
          </cell>
          <cell r="N414" t="str">
            <v>Geração</v>
          </cell>
          <cell r="O414" t="str">
            <v>Modernização de pequeno porte</v>
          </cell>
          <cell r="P414" t="str">
            <v>Modernização de pequeno porte</v>
          </cell>
          <cell r="Q414" t="str">
            <v>FGHI.0103</v>
          </cell>
          <cell r="R414" t="str">
            <v>EM.O_DER.O_20OM_Hidro</v>
          </cell>
          <cell r="S414">
            <v>0</v>
          </cell>
          <cell r="T414">
            <v>0</v>
          </cell>
          <cell r="U414">
            <v>0</v>
          </cell>
          <cell r="V414">
            <v>0</v>
          </cell>
          <cell r="W414">
            <v>1500000</v>
          </cell>
          <cell r="X414">
            <v>0</v>
          </cell>
          <cell r="Y414">
            <v>0</v>
          </cell>
          <cell r="Z414">
            <v>0</v>
          </cell>
          <cell r="AA414">
            <v>0</v>
          </cell>
          <cell r="AB414">
            <v>0</v>
          </cell>
          <cell r="AC414">
            <v>0</v>
          </cell>
          <cell r="AD414">
            <v>1500000</v>
          </cell>
          <cell r="AE414">
            <v>3000000</v>
          </cell>
          <cell r="AF414"/>
          <cell r="AG414"/>
          <cell r="AH414"/>
          <cell r="AI414" t="str">
            <v xml:space="preserve">                              </v>
          </cell>
          <cell r="AJ414">
            <v>3000000</v>
          </cell>
          <cell r="AK414">
            <v>0</v>
          </cell>
          <cell r="AL414">
            <v>0</v>
          </cell>
          <cell r="AM414">
            <v>0</v>
          </cell>
          <cell r="AN414">
            <v>0</v>
          </cell>
          <cell r="AO414">
            <v>0</v>
          </cell>
          <cell r="AP414">
            <v>3000000</v>
          </cell>
          <cell r="AQ414" t="str">
            <v>Mato Grosso</v>
          </cell>
          <cell r="AT414">
            <v>0</v>
          </cell>
        </row>
        <row r="415">
          <cell r="B415" t="str">
            <v>COO2050</v>
          </cell>
          <cell r="C415" t="str">
            <v>OOMG.F</v>
          </cell>
          <cell r="D415" t="str">
            <v>OOO.S-S-2025-I-0035</v>
          </cell>
          <cell r="E415" t="str">
            <v>OS-2025-G-0018</v>
          </cell>
          <cell r="F415" t="str">
            <v>OS-2025-G-308</v>
          </cell>
          <cell r="G415" t="str">
            <v>Operação Sudeste</v>
          </cell>
          <cell r="H415" t="str">
            <v>Nova Demanda</v>
          </cell>
          <cell r="I415" t="str">
            <v>Modernização do sistema de proteção contra incêndio da UHE Simplicio</v>
          </cell>
          <cell r="J415" t="str">
            <v>Modernização do Sistema de CO2 das UGs da UHE Simplicio</v>
          </cell>
          <cell r="K415" t="str">
            <v>Modernização do Sistema de CO2 das UGs da UHE Simplicio</v>
          </cell>
          <cell r="L415" t="str">
            <v>FA04090200</v>
          </cell>
          <cell r="M415" t="str">
            <v>UHE Simplício</v>
          </cell>
          <cell r="N415" t="str">
            <v>Geração</v>
          </cell>
          <cell r="O415" t="str">
            <v>Modernização de pequeno porte</v>
          </cell>
          <cell r="P415" t="str">
            <v>Modernização de pequeno porte</v>
          </cell>
          <cell r="Q415" t="str">
            <v>FGHI.0103</v>
          </cell>
          <cell r="R415" t="str">
            <v>EM.O_DER.O_20OM_Hidro</v>
          </cell>
          <cell r="S415">
            <v>0</v>
          </cell>
          <cell r="T415">
            <v>0</v>
          </cell>
          <cell r="U415">
            <v>0</v>
          </cell>
          <cell r="V415">
            <v>0</v>
          </cell>
          <cell r="W415">
            <v>0</v>
          </cell>
          <cell r="X415">
            <v>0</v>
          </cell>
          <cell r="Y415">
            <v>1000000</v>
          </cell>
          <cell r="Z415"/>
          <cell r="AA415">
            <v>0</v>
          </cell>
          <cell r="AB415">
            <v>0</v>
          </cell>
          <cell r="AC415">
            <v>1000000</v>
          </cell>
          <cell r="AD415">
            <v>0</v>
          </cell>
          <cell r="AE415">
            <v>2000000</v>
          </cell>
          <cell r="AF415">
            <v>400000</v>
          </cell>
          <cell r="AG415"/>
          <cell r="AH415"/>
          <cell r="AI415" t="str">
            <v xml:space="preserve">                              </v>
          </cell>
          <cell r="AJ415">
            <v>2400000</v>
          </cell>
          <cell r="AK415">
            <v>0</v>
          </cell>
          <cell r="AL415">
            <v>0</v>
          </cell>
          <cell r="AM415">
            <v>0</v>
          </cell>
          <cell r="AN415">
            <v>0</v>
          </cell>
          <cell r="AO415">
            <v>0</v>
          </cell>
          <cell r="AP415">
            <v>2400000</v>
          </cell>
          <cell r="AQ415" t="str">
            <v>Minas Gerais</v>
          </cell>
          <cell r="AS415" t="str">
            <v>x</v>
          </cell>
          <cell r="AT415">
            <v>400000</v>
          </cell>
        </row>
        <row r="416">
          <cell r="B416" t="str">
            <v>COO2051</v>
          </cell>
          <cell r="C416" t="str">
            <v>OOGM.F</v>
          </cell>
          <cell r="D416" t="str">
            <v>OOGN.S-S-2025-I-0133</v>
          </cell>
          <cell r="E416" t="str">
            <v>OS-2025-G-0049</v>
          </cell>
          <cell r="F416" t="str">
            <v>OS-2025-G-310</v>
          </cell>
          <cell r="G416" t="str">
            <v>Operação Sudeste</v>
          </cell>
          <cell r="H416" t="str">
            <v>Nova Demanda</v>
          </cell>
          <cell r="I416" t="str">
            <v>Modernização do sistema de drenagem de água na tampa da turbina das UG07 e UG08 da UHE Furnas</v>
          </cell>
          <cell r="J416" t="str">
            <v>Modernização do sistema de drenagem da tampa da turbina das Ugs 07 e 08 com o redimensionamento e substiuição das bombas AC para DC ou inversor, inteligação da drenagem da água para o poço de drenagem</v>
          </cell>
          <cell r="K416" t="str">
            <v>Modernização do sistema de drenagem da tampa da turbina das Ugs 07 e 08 com o redimensionamento e substiuição das bombas AC para DC ou inversor, inteligação da drenagem da água para o poço de drenagem</v>
          </cell>
          <cell r="L416" t="str">
            <v>FA04110203</v>
          </cell>
          <cell r="M416" t="str">
            <v>UHE Furnas</v>
          </cell>
          <cell r="N416" t="str">
            <v>Geração</v>
          </cell>
          <cell r="O416" t="str">
            <v>Modernização de pequeno porte</v>
          </cell>
          <cell r="P416" t="str">
            <v>Modernização de pequeno porte</v>
          </cell>
          <cell r="Q416" t="str">
            <v>FGHI.0002</v>
          </cell>
          <cell r="R416" t="str">
            <v>PO.O_DRM.O_215U</v>
          </cell>
          <cell r="S416">
            <v>0</v>
          </cell>
          <cell r="T416">
            <v>0</v>
          </cell>
          <cell r="U416">
            <v>0</v>
          </cell>
          <cell r="V416">
            <v>0</v>
          </cell>
          <cell r="W416">
            <v>0</v>
          </cell>
          <cell r="X416">
            <v>0</v>
          </cell>
          <cell r="Y416">
            <v>0</v>
          </cell>
          <cell r="Z416">
            <v>0</v>
          </cell>
          <cell r="AA416">
            <v>100000</v>
          </cell>
          <cell r="AB416">
            <v>100000</v>
          </cell>
          <cell r="AC416">
            <v>100000</v>
          </cell>
          <cell r="AD416">
            <v>100000</v>
          </cell>
          <cell r="AE416">
            <v>400000</v>
          </cell>
          <cell r="AF416"/>
          <cell r="AG416"/>
          <cell r="AH416"/>
          <cell r="AI416" t="str">
            <v xml:space="preserve">                              </v>
          </cell>
          <cell r="AJ416">
            <v>400000</v>
          </cell>
          <cell r="AK416">
            <v>0</v>
          </cell>
          <cell r="AL416">
            <v>0</v>
          </cell>
          <cell r="AM416">
            <v>0</v>
          </cell>
          <cell r="AN416">
            <v>0</v>
          </cell>
          <cell r="AO416">
            <v>0</v>
          </cell>
          <cell r="AP416">
            <v>400000</v>
          </cell>
          <cell r="AQ416" t="str">
            <v>Minas Gerais</v>
          </cell>
          <cell r="AT416">
            <v>0</v>
          </cell>
        </row>
        <row r="417">
          <cell r="B417" t="str">
            <v>COO2052</v>
          </cell>
          <cell r="C417" t="str">
            <v>OOGM.F</v>
          </cell>
          <cell r="D417" t="str">
            <v>OOTM.F-OS-2025-I-0315</v>
          </cell>
          <cell r="E417" t="str">
            <v>OS-2025-G-0061</v>
          </cell>
          <cell r="F417" t="str">
            <v>OS-2025-G-311</v>
          </cell>
          <cell r="G417" t="str">
            <v>Operação Sudeste</v>
          </cell>
          <cell r="H417" t="str">
            <v>Nova Demanda</v>
          </cell>
          <cell r="I417" t="str">
            <v>Modernização do sistema de drenagem e esvaziamento da casa de Força da UHE Marimbondo</v>
          </cell>
          <cell r="J417" t="str">
            <v>Modernização do sistema de drenagem e Esvaziamento da Casa de Força da UHE Marimbondo em razã da obsolescencia do sistema atual</v>
          </cell>
          <cell r="K417" t="str">
            <v>Modernização do sistema de drenagem e Esvaziamento da Casa de Força da UHE Marimbondo em razã da obsolescencia do sistema atual</v>
          </cell>
          <cell r="L417" t="str">
            <v>FA04110204</v>
          </cell>
          <cell r="M417" t="str">
            <v>UHE Marimbondo</v>
          </cell>
          <cell r="N417" t="str">
            <v>Geração</v>
          </cell>
          <cell r="O417" t="str">
            <v>Modernização de pequeno porte</v>
          </cell>
          <cell r="P417" t="str">
            <v>Modernização de pequeno porte</v>
          </cell>
          <cell r="Q417" t="str">
            <v>FGHI.0004</v>
          </cell>
          <cell r="R417" t="str">
            <v>PO.O_DRT.O_215U</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850000</v>
          </cell>
          <cell r="AG417"/>
          <cell r="AH417"/>
          <cell r="AI417" t="str">
            <v xml:space="preserve">                              </v>
          </cell>
          <cell r="AJ417">
            <v>850000</v>
          </cell>
          <cell r="AK417">
            <v>0</v>
          </cell>
          <cell r="AL417">
            <v>0</v>
          </cell>
          <cell r="AM417">
            <v>0</v>
          </cell>
          <cell r="AN417">
            <v>0</v>
          </cell>
          <cell r="AO417">
            <v>0</v>
          </cell>
          <cell r="AP417">
            <v>850000</v>
          </cell>
          <cell r="AQ417" t="str">
            <v>Minas Gerais</v>
          </cell>
          <cell r="AS417" t="str">
            <v>x</v>
          </cell>
          <cell r="AT417">
            <v>850000</v>
          </cell>
        </row>
        <row r="418">
          <cell r="B418" t="str">
            <v>COO2053</v>
          </cell>
          <cell r="C418" t="str">
            <v>OOGM.F</v>
          </cell>
          <cell r="D418" t="str">
            <v>OOTM.F-OS-2025-I-0446</v>
          </cell>
          <cell r="E418" t="str">
            <v>OS-2025-G-0070</v>
          </cell>
          <cell r="F418" t="str">
            <v>OS-2025-G-313</v>
          </cell>
          <cell r="G418" t="str">
            <v>Operação Sudeste</v>
          </cell>
          <cell r="H418" t="str">
            <v>Nova Demanda</v>
          </cell>
          <cell r="I418" t="str">
            <v>Modernização do sistema de esvaziamento e drenagem da casa de força da UHE Mascarenhas de Moraes</v>
          </cell>
          <cell r="J418" t="str">
            <v>Modernização do sistema de esvaziamento e drenagem da casa de força da UHE Mascarenhas de Moraes - acrescentando um novo encaminhamento da água de drenagem da usina, da turbina e dos trocadores de calor do regulador de velocidade das unidades geradoras para uma nova caixa separadora de água e óleo que deverá ser construída. Serão instaladas duas novas bombas de drenagem um painel de acionamento e toda a tubulação necessária para o encaminhamento da água.</v>
          </cell>
          <cell r="K418" t="str">
            <v>Modernização do sistema de esvaziamento e drenagem da casa de força da UHE Mascarenhas de Moraes - acrescentando um novo encaminhamento da água de drenagem da usina, da turbina e dos trocadores de calor do regulador de velocidade das unidades geradoras para uma nova caixa separadora de água e óleo que deverá ser construída. Serão instaladas duas novas bombas de drenagem um painel de acionamento e toda a tubulação necessária para o encaminhamento da água.</v>
          </cell>
          <cell r="L418" t="str">
            <v>FA04110201</v>
          </cell>
          <cell r="M418" t="str">
            <v>UHE Mascarenhas de Moraes</v>
          </cell>
          <cell r="N418" t="str">
            <v>Geração</v>
          </cell>
          <cell r="O418" t="str">
            <v>Modernização de pequeno porte</v>
          </cell>
          <cell r="P418" t="str">
            <v>Modernização de pequeno porte</v>
          </cell>
          <cell r="Q418" t="str">
            <v>FGHI.0010</v>
          </cell>
          <cell r="R418" t="str">
            <v>PO.O_DRM.O_20OM</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7000000</v>
          </cell>
          <cell r="AG418"/>
          <cell r="AH418"/>
          <cell r="AI418" t="str">
            <v xml:space="preserve">                              </v>
          </cell>
          <cell r="AJ418">
            <v>7000000</v>
          </cell>
          <cell r="AK418">
            <v>0</v>
          </cell>
          <cell r="AL418">
            <v>0</v>
          </cell>
          <cell r="AM418">
            <v>0</v>
          </cell>
          <cell r="AN418">
            <v>0</v>
          </cell>
          <cell r="AO418">
            <v>0</v>
          </cell>
          <cell r="AP418">
            <v>7000000</v>
          </cell>
          <cell r="AQ418" t="str">
            <v>Minas Gerais</v>
          </cell>
          <cell r="AT418">
            <v>7000000</v>
          </cell>
        </row>
        <row r="419">
          <cell r="B419" t="str">
            <v>COO2054</v>
          </cell>
          <cell r="C419" t="str">
            <v>OOGG.F</v>
          </cell>
          <cell r="D419" t="str">
            <v>OOTM.F-OS-2025-I-0418</v>
          </cell>
          <cell r="E419" t="str">
            <v>OS-2025-G-0081</v>
          </cell>
          <cell r="F419" t="str">
            <v>OS-2025-G-378</v>
          </cell>
          <cell r="G419" t="str">
            <v>Operação Sudeste</v>
          </cell>
          <cell r="H419" t="str">
            <v>Nova Demanda</v>
          </cell>
          <cell r="I419" t="str">
            <v>Modernização dos Extratores de Vapor das Unidades Geradoras da UHE Manso</v>
          </cell>
          <cell r="J419" t="str">
            <v>Modernização do sistema de Extratores de Vapor das Unidades Geradoras-UHE Manso
Componentes em final de vida útil, obsoletos e dificuldades de aquisição de peças reposição.</v>
          </cell>
          <cell r="K419" t="str">
            <v>Modernização do sistema de Extratores de Vapor das Unidades Geradoras-UHE Manso
Componentes em final de vida útil, obsoletos e dificuldades de aquisição de peças reposição.</v>
          </cell>
          <cell r="L419" t="str">
            <v>FA04110103</v>
          </cell>
          <cell r="M419" t="str">
            <v>UHE Manso</v>
          </cell>
          <cell r="N419" t="str">
            <v>Geração</v>
          </cell>
          <cell r="O419" t="str">
            <v>Modernização de pequeno porte</v>
          </cell>
          <cell r="P419" t="str">
            <v>Modernização de pequeno porte</v>
          </cell>
          <cell r="Q419" t="str">
            <v>FGHI.0011</v>
          </cell>
          <cell r="R419" t="str">
            <v>PO.O_DRG.O_20OM_UHMSO</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100000</v>
          </cell>
          <cell r="AG419"/>
          <cell r="AH419"/>
          <cell r="AI419" t="str">
            <v xml:space="preserve">                              </v>
          </cell>
          <cell r="AJ419">
            <v>100000</v>
          </cell>
          <cell r="AK419">
            <v>0</v>
          </cell>
          <cell r="AL419">
            <v>0</v>
          </cell>
          <cell r="AM419">
            <v>0</v>
          </cell>
          <cell r="AN419">
            <v>0</v>
          </cell>
          <cell r="AO419">
            <v>0</v>
          </cell>
          <cell r="AP419">
            <v>100000</v>
          </cell>
          <cell r="AQ419" t="str">
            <v>Mato Grosso</v>
          </cell>
          <cell r="AS419" t="str">
            <v>x</v>
          </cell>
          <cell r="AT419">
            <v>100000</v>
          </cell>
        </row>
        <row r="420">
          <cell r="B420" t="str">
            <v>COO2055</v>
          </cell>
          <cell r="C420" t="str">
            <v>OOGG.F</v>
          </cell>
          <cell r="D420" t="str">
            <v>OOGS.S-S-2025-I-0223</v>
          </cell>
          <cell r="E420" t="str">
            <v>OS-2025-G-0082</v>
          </cell>
          <cell r="F420" t="str">
            <v>OS-2025-G-395</v>
          </cell>
          <cell r="G420" t="str">
            <v>Operação Sudeste</v>
          </cell>
          <cell r="H420" t="str">
            <v>Nova Demanda</v>
          </cell>
          <cell r="I420" t="str">
            <v>Modernização do sistema de iluminação da UHE Manso</v>
          </cell>
          <cell r="J420" t="str">
            <v>Modernização do sistema de iluminação da SE 230 kV-UHE Manso</v>
          </cell>
          <cell r="K420" t="str">
            <v>Modernização do sistema de iluminação da SE 230 kV-UHE Manso</v>
          </cell>
          <cell r="L420" t="str">
            <v>FA04110103</v>
          </cell>
          <cell r="M420" t="str">
            <v>UHE Manso</v>
          </cell>
          <cell r="N420" t="str">
            <v>Geração</v>
          </cell>
          <cell r="O420" t="str">
            <v>Modernização de pequeno porte</v>
          </cell>
          <cell r="P420" t="str">
            <v>Modernização de pequeno porte</v>
          </cell>
          <cell r="Q420" t="str">
            <v>FGHI.0011</v>
          </cell>
          <cell r="R420" t="str">
            <v>PO.O_DRG.O_20OM_UHMSO</v>
          </cell>
          <cell r="S420">
            <v>0</v>
          </cell>
          <cell r="T420">
            <v>0</v>
          </cell>
          <cell r="U420">
            <v>0</v>
          </cell>
          <cell r="V420">
            <v>0</v>
          </cell>
          <cell r="W420">
            <v>150000</v>
          </cell>
          <cell r="X420">
            <v>0</v>
          </cell>
          <cell r="Y420">
            <v>0</v>
          </cell>
          <cell r="Z420">
            <v>0</v>
          </cell>
          <cell r="AA420">
            <v>0</v>
          </cell>
          <cell r="AB420">
            <v>0</v>
          </cell>
          <cell r="AC420">
            <v>0</v>
          </cell>
          <cell r="AD420">
            <v>0</v>
          </cell>
          <cell r="AE420">
            <v>150000</v>
          </cell>
          <cell r="AF420"/>
          <cell r="AG420"/>
          <cell r="AH420"/>
          <cell r="AI420" t="str">
            <v xml:space="preserve">                              </v>
          </cell>
          <cell r="AJ420">
            <v>150000</v>
          </cell>
          <cell r="AK420">
            <v>0</v>
          </cell>
          <cell r="AL420">
            <v>0</v>
          </cell>
          <cell r="AM420">
            <v>0</v>
          </cell>
          <cell r="AN420">
            <v>0</v>
          </cell>
          <cell r="AO420">
            <v>0</v>
          </cell>
          <cell r="AP420">
            <v>150000</v>
          </cell>
          <cell r="AQ420" t="str">
            <v>Mato Grosso</v>
          </cell>
          <cell r="AT420">
            <v>0</v>
          </cell>
        </row>
        <row r="421">
          <cell r="B421" t="str">
            <v>COO2056</v>
          </cell>
          <cell r="C421" t="str">
            <v>OOGG.F</v>
          </cell>
          <cell r="D421" t="str">
            <v>OOGM.F-OS-2025-I-0222</v>
          </cell>
          <cell r="E421" t="str">
            <v>OS-2025-G-0030</v>
          </cell>
          <cell r="F421" t="str">
            <v>OS-2025-G-382</v>
          </cell>
          <cell r="G421" t="str">
            <v>Operação Sudeste</v>
          </cell>
          <cell r="H421" t="str">
            <v>Nova Demanda</v>
          </cell>
          <cell r="I421" t="str">
            <v>Modernização do sistema de indicação de posição das comportas de serviço da UHE Manso</v>
          </cell>
          <cell r="J421" t="str">
            <v>Modernização do sistema de indicação de posição das comportas de serviço da UHE Manso, que se encontra obsoleto e com equipamentos descontinuados, sem peças de reposição.</v>
          </cell>
          <cell r="K421" t="str">
            <v>Modernização do sistema de indicação de posição das comportas de serviço da UHE Manso, que se encontra obsoleto e com equipamentos descontinuados, sem peças de reposição.</v>
          </cell>
          <cell r="L421" t="str">
            <v>FA04110103</v>
          </cell>
          <cell r="M421" t="str">
            <v>UHE Manso</v>
          </cell>
          <cell r="N421" t="str">
            <v>Geração</v>
          </cell>
          <cell r="O421" t="str">
            <v>Modernização de pequeno porte</v>
          </cell>
          <cell r="P421" t="str">
            <v>Modernização de pequeno porte</v>
          </cell>
          <cell r="Q421" t="str">
            <v>FGHI.0011</v>
          </cell>
          <cell r="R421" t="str">
            <v>PO.O_DRG.O_20OM_UHMSO</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100000</v>
          </cell>
          <cell r="AG421"/>
          <cell r="AH421"/>
          <cell r="AI421" t="str">
            <v xml:space="preserve">                              </v>
          </cell>
          <cell r="AJ421">
            <v>100000</v>
          </cell>
          <cell r="AK421">
            <v>0</v>
          </cell>
          <cell r="AL421">
            <v>0</v>
          </cell>
          <cell r="AM421">
            <v>0</v>
          </cell>
          <cell r="AN421">
            <v>0</v>
          </cell>
          <cell r="AO421">
            <v>0</v>
          </cell>
          <cell r="AP421">
            <v>100000</v>
          </cell>
          <cell r="AQ421" t="str">
            <v>Mato Grosso</v>
          </cell>
          <cell r="AS421" t="str">
            <v>x</v>
          </cell>
          <cell r="AT421">
            <v>100000</v>
          </cell>
        </row>
        <row r="422">
          <cell r="B422" t="str">
            <v>COO2057</v>
          </cell>
          <cell r="C422" t="str">
            <v>OOGG.F</v>
          </cell>
          <cell r="D422" t="str">
            <v>OOGR.S-S-2025-I-0193</v>
          </cell>
          <cell r="E422" t="str">
            <v>OS-2025-G-0103</v>
          </cell>
          <cell r="F422" t="str">
            <v>OS-2025-G-384</v>
          </cell>
          <cell r="G422" t="str">
            <v>Operação Sudeste</v>
          </cell>
          <cell r="H422" t="str">
            <v>Nova Demanda</v>
          </cell>
          <cell r="I422" t="str">
            <v>Modernização do sistema de monitoramento de temperatura dos mancais da UHE Manso</v>
          </cell>
          <cell r="J422" t="str">
            <v>Modernização do sistema de monitoramento de temperatura dos mancais  das UG's da UHE Manso
Modernização do sistema que se encontra obsoleto e com equipamentos descontinuados, sem peças de reposição.</v>
          </cell>
          <cell r="K422" t="str">
            <v>Modernização do sistema de monitoramento de temperatura dos mancais  das UG's da UHE Manso
Modernização do sistema que se encontra obsoleto e com equipamentos descontinuados, sem peças de reposição.</v>
          </cell>
          <cell r="L422" t="str">
            <v>FA04110103</v>
          </cell>
          <cell r="M422" t="str">
            <v>UHE Manso</v>
          </cell>
          <cell r="N422" t="str">
            <v>Geração</v>
          </cell>
          <cell r="O422" t="str">
            <v>Modernização de pequeno porte</v>
          </cell>
          <cell r="P422" t="str">
            <v>Modernização de pequeno porte</v>
          </cell>
          <cell r="Q422" t="str">
            <v>FGHI.0011</v>
          </cell>
          <cell r="R422" t="str">
            <v>PO.O_DRG.O_20OM_UHMSO</v>
          </cell>
          <cell r="S422">
            <v>0</v>
          </cell>
          <cell r="T422">
            <v>0</v>
          </cell>
          <cell r="U422">
            <v>0</v>
          </cell>
          <cell r="V422">
            <v>0</v>
          </cell>
          <cell r="W422">
            <v>200000</v>
          </cell>
          <cell r="X422">
            <v>0</v>
          </cell>
          <cell r="Y422">
            <v>0</v>
          </cell>
          <cell r="Z422">
            <v>0</v>
          </cell>
          <cell r="AA422">
            <v>0</v>
          </cell>
          <cell r="AB422">
            <v>0</v>
          </cell>
          <cell r="AC422">
            <v>0</v>
          </cell>
          <cell r="AD422">
            <v>0</v>
          </cell>
          <cell r="AE422">
            <v>200000</v>
          </cell>
          <cell r="AF422"/>
          <cell r="AG422"/>
          <cell r="AH422"/>
          <cell r="AI422" t="str">
            <v xml:space="preserve">                              </v>
          </cell>
          <cell r="AJ422">
            <v>200000</v>
          </cell>
          <cell r="AK422">
            <v>0</v>
          </cell>
          <cell r="AL422">
            <v>0</v>
          </cell>
          <cell r="AM422">
            <v>0</v>
          </cell>
          <cell r="AN422">
            <v>0</v>
          </cell>
          <cell r="AO422">
            <v>0</v>
          </cell>
          <cell r="AP422">
            <v>200000</v>
          </cell>
          <cell r="AQ422" t="str">
            <v>Mato Grosso</v>
          </cell>
          <cell r="AT422">
            <v>0</v>
          </cell>
        </row>
        <row r="423">
          <cell r="B423" t="str">
            <v>COO2058</v>
          </cell>
          <cell r="C423" t="str">
            <v>OOMG.F</v>
          </cell>
          <cell r="D423" t="str">
            <v>OOO.S-S-2025-I-0036</v>
          </cell>
          <cell r="E423" t="str">
            <v>OS-2025-G-0020</v>
          </cell>
          <cell r="F423" t="str">
            <v>OS-2025-G-365</v>
          </cell>
          <cell r="G423" t="str">
            <v>Operação Sudeste</v>
          </cell>
          <cell r="H423" t="str">
            <v>Nova Demanda</v>
          </cell>
          <cell r="I423" t="str">
            <v>Modernização do Sistema de Proteção, Controle e Supervisão da UHE Furnas</v>
          </cell>
          <cell r="J423" t="str">
            <v>Modernização do Sistema de Proteção, Controle e Supervisão da UHE Furnas</v>
          </cell>
          <cell r="K423" t="str">
            <v>Modernização do Sistema de Proteção, Controle e Supervisão da UHE Furnas</v>
          </cell>
          <cell r="L423" t="str">
            <v>FA04090200</v>
          </cell>
          <cell r="M423" t="str">
            <v>UHE Furnas</v>
          </cell>
          <cell r="N423" t="str">
            <v>Geração</v>
          </cell>
          <cell r="O423" t="str">
            <v>Modernização de pequeno porte</v>
          </cell>
          <cell r="P423" t="str">
            <v>Modernização de pequeno porte</v>
          </cell>
          <cell r="Q423" t="str">
            <v>FGHI.0103</v>
          </cell>
          <cell r="R423" t="str">
            <v>EM.O_DER.O_20OM_Hidro</v>
          </cell>
          <cell r="S423">
            <v>0</v>
          </cell>
          <cell r="T423">
            <v>0</v>
          </cell>
          <cell r="U423">
            <v>0</v>
          </cell>
          <cell r="V423">
            <v>0</v>
          </cell>
          <cell r="W423">
            <v>0</v>
          </cell>
          <cell r="X423">
            <v>0</v>
          </cell>
          <cell r="Y423">
            <v>0</v>
          </cell>
          <cell r="Z423">
            <v>0</v>
          </cell>
          <cell r="AA423">
            <v>0</v>
          </cell>
          <cell r="AB423">
            <v>0</v>
          </cell>
          <cell r="AC423">
            <v>0</v>
          </cell>
          <cell r="AD423">
            <v>2000000</v>
          </cell>
          <cell r="AE423">
            <v>2000000</v>
          </cell>
          <cell r="AF423">
            <v>10000000</v>
          </cell>
          <cell r="AG423">
            <v>23000000</v>
          </cell>
          <cell r="AH423"/>
          <cell r="AI423" t="str">
            <v xml:space="preserve">                              </v>
          </cell>
          <cell r="AJ423">
            <v>35000000</v>
          </cell>
          <cell r="AK423">
            <v>0</v>
          </cell>
          <cell r="AL423">
            <v>0</v>
          </cell>
          <cell r="AM423">
            <v>0</v>
          </cell>
          <cell r="AN423">
            <v>0</v>
          </cell>
          <cell r="AO423">
            <v>0</v>
          </cell>
          <cell r="AP423">
            <v>35000000</v>
          </cell>
          <cell r="AQ423" t="str">
            <v>Minas Gerais</v>
          </cell>
          <cell r="AS423" t="str">
            <v>x</v>
          </cell>
          <cell r="AT423">
            <v>33000000</v>
          </cell>
        </row>
        <row r="424">
          <cell r="B424" t="str">
            <v>COO2059</v>
          </cell>
          <cell r="C424" t="str">
            <v>OOGG.F</v>
          </cell>
          <cell r="D424" t="str">
            <v>OOGR.S-S-2025-I-0089</v>
          </cell>
          <cell r="E424" t="str">
            <v>OS-2025-G-0083</v>
          </cell>
          <cell r="F424" t="str">
            <v>OS-2025-G-396</v>
          </cell>
          <cell r="G424" t="str">
            <v>Operação Sudeste</v>
          </cell>
          <cell r="H424" t="str">
            <v>Nova Demanda</v>
          </cell>
          <cell r="I424" t="str">
            <v>Modernização dos filtros separadores de sedimento da UHE Manso</v>
          </cell>
          <cell r="J424" t="str">
            <v>Modernização do sistema de retro lavagem dos filtros separadores de sedimento da UHE MANSO
Componentes em final de vida útil, obsoletos e  com desgaste oriundo  de ferro bactérias</v>
          </cell>
          <cell r="K424" t="str">
            <v>Modernização do sistema de retro lavagem dos filtros separadores de sedimento da UHE MANSO
Componentes em final de vida útil, obsoletos e  com desgaste oriundo  de ferro bactérias</v>
          </cell>
          <cell r="L424" t="str">
            <v>FA04110103</v>
          </cell>
          <cell r="M424" t="str">
            <v>UHE Manso</v>
          </cell>
          <cell r="N424" t="str">
            <v>Geração</v>
          </cell>
          <cell r="O424" t="str">
            <v>Modernização de pequeno porte</v>
          </cell>
          <cell r="P424" t="str">
            <v>Modernização de pequeno porte</v>
          </cell>
          <cell r="Q424" t="str">
            <v>FGHI.0011</v>
          </cell>
          <cell r="R424" t="str">
            <v>PO.O_DRG.O_20OM_UHMSO</v>
          </cell>
          <cell r="S424">
            <v>0</v>
          </cell>
          <cell r="T424">
            <v>0</v>
          </cell>
          <cell r="U424">
            <v>0</v>
          </cell>
          <cell r="V424">
            <v>0</v>
          </cell>
          <cell r="W424">
            <v>800000</v>
          </cell>
          <cell r="X424">
            <v>0</v>
          </cell>
          <cell r="Y424">
            <v>0</v>
          </cell>
          <cell r="Z424">
            <v>0</v>
          </cell>
          <cell r="AA424">
            <v>0</v>
          </cell>
          <cell r="AB424">
            <v>0</v>
          </cell>
          <cell r="AC424">
            <v>0</v>
          </cell>
          <cell r="AD424">
            <v>0</v>
          </cell>
          <cell r="AE424">
            <v>800000</v>
          </cell>
          <cell r="AF424"/>
          <cell r="AG424"/>
          <cell r="AH424"/>
          <cell r="AI424" t="str">
            <v xml:space="preserve">                              </v>
          </cell>
          <cell r="AJ424">
            <v>800000</v>
          </cell>
          <cell r="AK424">
            <v>0</v>
          </cell>
          <cell r="AL424">
            <v>0</v>
          </cell>
          <cell r="AM424">
            <v>0</v>
          </cell>
          <cell r="AN424">
            <v>0</v>
          </cell>
          <cell r="AO424">
            <v>0</v>
          </cell>
          <cell r="AP424">
            <v>800000</v>
          </cell>
          <cell r="AQ424" t="str">
            <v>Mato Grosso</v>
          </cell>
          <cell r="AT424">
            <v>0</v>
          </cell>
        </row>
        <row r="425">
          <cell r="B425" t="str">
            <v>COO2060</v>
          </cell>
          <cell r="C425" t="str">
            <v>OOGG.F</v>
          </cell>
          <cell r="D425" t="str">
            <v>OOTM.F-OS-2025-I-0337</v>
          </cell>
          <cell r="E425" t="str">
            <v>OS-2025-G-0110</v>
          </cell>
          <cell r="F425" t="str">
            <v>OS-2025-G-386</v>
          </cell>
          <cell r="G425" t="str">
            <v>Operação Sudeste</v>
          </cell>
          <cell r="H425" t="str">
            <v>Nova Demanda</v>
          </cell>
          <cell r="I425" t="str">
            <v>Modernização do sistema de água da caixa de vedação da UHE Manso</v>
          </cell>
          <cell r="J425" t="str">
            <v>Modernização do sistema dos bicos de injeção da caixa de vedação, por um sistema que permita a limpeza sem ocorrer desligamento de Unidades Geradoras.(patricio)-UHE Manso</v>
          </cell>
          <cell r="K425" t="str">
            <v>Modernização do sistema dos bicos de injeção da caixa de vedação, por um sistema que permita a limpeza sem ocorrer desligamento de Unidades Geradoras.(patricio)-UHE Manso</v>
          </cell>
          <cell r="L425" t="str">
            <v>FA04110103</v>
          </cell>
          <cell r="M425" t="str">
            <v>UHE Manso</v>
          </cell>
          <cell r="N425" t="str">
            <v>Geração</v>
          </cell>
          <cell r="O425" t="str">
            <v>Modernização de pequeno porte</v>
          </cell>
          <cell r="P425" t="str">
            <v>Modernização de pequeno porte</v>
          </cell>
          <cell r="Q425" t="str">
            <v>FGHI.0011</v>
          </cell>
          <cell r="R425" t="str">
            <v>PO.O_DRG.O_20OM_UHMSO</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cell r="AG425"/>
          <cell r="AH425">
            <v>200000</v>
          </cell>
          <cell r="AI425" t="str">
            <v xml:space="preserve">                              </v>
          </cell>
          <cell r="AJ425">
            <v>200000</v>
          </cell>
          <cell r="AK425">
            <v>0</v>
          </cell>
          <cell r="AL425">
            <v>0</v>
          </cell>
          <cell r="AM425">
            <v>0</v>
          </cell>
          <cell r="AN425">
            <v>0</v>
          </cell>
          <cell r="AO425">
            <v>0</v>
          </cell>
          <cell r="AP425">
            <v>200000</v>
          </cell>
          <cell r="AQ425" t="str">
            <v>Mato Grosso</v>
          </cell>
          <cell r="AS425" t="str">
            <v>x</v>
          </cell>
          <cell r="AT425">
            <v>200000</v>
          </cell>
        </row>
        <row r="426">
          <cell r="B426" t="str">
            <v>COO2061</v>
          </cell>
          <cell r="C426" t="str">
            <v>OOGG.F</v>
          </cell>
          <cell r="D426" t="str">
            <v>OOTM.F-OS-2025-I-0359</v>
          </cell>
          <cell r="E426" t="str">
            <v>OS-2025-G-0090</v>
          </cell>
          <cell r="F426" t="str">
            <v>OS-2025-G-387</v>
          </cell>
          <cell r="G426" t="str">
            <v>Operação Sudeste</v>
          </cell>
          <cell r="H426" t="str">
            <v>Nova Demanda</v>
          </cell>
          <cell r="I426" t="str">
            <v>Modernização do sistema SMARTRUNK da UHE Manso</v>
          </cell>
          <cell r="J426" t="str">
            <v>Modernização do sistema SMARTRUNK da Manso</v>
          </cell>
          <cell r="K426" t="str">
            <v>Modernização do sistema SMARTRUNK da Manso</v>
          </cell>
          <cell r="L426" t="str">
            <v>FA04110103</v>
          </cell>
          <cell r="M426" t="str">
            <v>UHE Manso</v>
          </cell>
          <cell r="N426" t="str">
            <v>Geração</v>
          </cell>
          <cell r="O426" t="str">
            <v>Modernização de pequeno porte</v>
          </cell>
          <cell r="P426" t="str">
            <v>Modernização de pequeno porte</v>
          </cell>
          <cell r="Q426" t="str">
            <v>FGHI.0011</v>
          </cell>
          <cell r="R426" t="str">
            <v>PO.O_DRG.O_20OM_UHMSO</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800000</v>
          </cell>
          <cell r="AG426"/>
          <cell r="AH426"/>
          <cell r="AI426" t="str">
            <v xml:space="preserve">                              </v>
          </cell>
          <cell r="AJ426">
            <v>800000</v>
          </cell>
          <cell r="AK426">
            <v>0</v>
          </cell>
          <cell r="AL426">
            <v>0</v>
          </cell>
          <cell r="AM426">
            <v>0</v>
          </cell>
          <cell r="AN426">
            <v>0</v>
          </cell>
          <cell r="AO426">
            <v>0</v>
          </cell>
          <cell r="AP426">
            <v>800000</v>
          </cell>
          <cell r="AQ426" t="str">
            <v>Mato Grosso</v>
          </cell>
          <cell r="AS426" t="str">
            <v>x</v>
          </cell>
          <cell r="AT426">
            <v>800000</v>
          </cell>
        </row>
        <row r="427">
          <cell r="B427" t="str">
            <v>COO2062</v>
          </cell>
          <cell r="C427" t="str">
            <v>OOGG.F</v>
          </cell>
          <cell r="D427" t="str">
            <v>OOGSI.F-OS-2025-I-0016</v>
          </cell>
          <cell r="E427" t="str">
            <v>OS-2025-G-0072</v>
          </cell>
          <cell r="F427" t="str">
            <v>OS-2025-G-358</v>
          </cell>
          <cell r="G427" t="str">
            <v>Operação Sudeste</v>
          </cell>
          <cell r="H427" t="str">
            <v>Nova Demanda</v>
          </cell>
          <cell r="I427" t="str">
            <v>Modernização do sistema SMARTRUNK da UHE Corumbá</v>
          </cell>
          <cell r="J427" t="str">
            <v>Modernização do sistema SMARTRUNK-UHE Corumbá</v>
          </cell>
          <cell r="K427" t="str">
            <v>Modernização do sistema SMARTRUNK-UHE Corumbá</v>
          </cell>
          <cell r="L427" t="str">
            <v>FA04110101</v>
          </cell>
          <cell r="M427" t="str">
            <v>UHE Corumbá</v>
          </cell>
          <cell r="N427" t="str">
            <v>Geração</v>
          </cell>
          <cell r="O427" t="str">
            <v>Modernização de pequeno porte</v>
          </cell>
          <cell r="P427" t="str">
            <v>Modernização de pequeno porte</v>
          </cell>
          <cell r="Q427" t="str">
            <v>FGHI.0001</v>
          </cell>
          <cell r="R427" t="str">
            <v>PO.O_DRG.O_215U</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700000</v>
          </cell>
          <cell r="AG427"/>
          <cell r="AH427"/>
          <cell r="AI427" t="str">
            <v xml:space="preserve">                              </v>
          </cell>
          <cell r="AJ427">
            <v>700000</v>
          </cell>
          <cell r="AK427">
            <v>0</v>
          </cell>
          <cell r="AL427">
            <v>0</v>
          </cell>
          <cell r="AM427">
            <v>0</v>
          </cell>
          <cell r="AN427">
            <v>0</v>
          </cell>
          <cell r="AO427">
            <v>0</v>
          </cell>
          <cell r="AP427">
            <v>700000</v>
          </cell>
          <cell r="AQ427" t="str">
            <v>Goiás</v>
          </cell>
          <cell r="AS427" t="str">
            <v>x</v>
          </cell>
          <cell r="AT427">
            <v>700000</v>
          </cell>
        </row>
        <row r="428">
          <cell r="B428" t="str">
            <v>COO2063</v>
          </cell>
          <cell r="C428" t="str">
            <v>OOGG.F</v>
          </cell>
          <cell r="D428" t="str">
            <v>OOGN.S-S-2025-I-0108</v>
          </cell>
          <cell r="E428" t="str">
            <v>OS-2025-G-0084</v>
          </cell>
          <cell r="F428" t="str">
            <v>OS-2025-G-397</v>
          </cell>
          <cell r="G428" t="str">
            <v>Operação Sudeste</v>
          </cell>
          <cell r="H428" t="str">
            <v>Nova Demanda</v>
          </cell>
          <cell r="I428" t="str">
            <v>Modernização do sistema de proteção contra incêndio das Unidades Geradoras da UHE Manso</v>
          </cell>
          <cell r="J428" t="str">
            <v>Modernização do SPCI das Unidades Geradoras e Sala de Controle-UHE Manso
Fabricante do sistema existente descontinuado ( Kidde Brasil) Dificuldades de encontrar empresas que trabalham com essa marca.</v>
          </cell>
          <cell r="K428" t="str">
            <v>Modernização do SPCI das Unidades Geradoras e Sala de Controle-UHE Manso
Fabricante do sistema existente descontinuado ( Kidde Brasil) Dificuldades de encontrar empresas que trabalham com essa marca.</v>
          </cell>
          <cell r="L428" t="str">
            <v>FA04110103</v>
          </cell>
          <cell r="M428" t="str">
            <v>UHE Manso</v>
          </cell>
          <cell r="N428" t="str">
            <v>Geração</v>
          </cell>
          <cell r="O428" t="str">
            <v>Modernização de pequeno porte</v>
          </cell>
          <cell r="P428" t="str">
            <v>Modernização de pequeno porte</v>
          </cell>
          <cell r="Q428" t="str">
            <v>FGHI.0011</v>
          </cell>
          <cell r="R428" t="str">
            <v>PO.O_DRG.O_20OM_UHMSO</v>
          </cell>
          <cell r="S428">
            <v>0</v>
          </cell>
          <cell r="T428">
            <v>0</v>
          </cell>
          <cell r="U428">
            <v>0</v>
          </cell>
          <cell r="V428">
            <v>0</v>
          </cell>
          <cell r="W428">
            <v>600000</v>
          </cell>
          <cell r="X428">
            <v>0</v>
          </cell>
          <cell r="Y428">
            <v>0</v>
          </cell>
          <cell r="Z428">
            <v>0</v>
          </cell>
          <cell r="AA428">
            <v>0</v>
          </cell>
          <cell r="AB428">
            <v>0</v>
          </cell>
          <cell r="AC428">
            <v>0</v>
          </cell>
          <cell r="AD428">
            <v>0</v>
          </cell>
          <cell r="AE428">
            <v>600000</v>
          </cell>
          <cell r="AF428"/>
          <cell r="AG428"/>
          <cell r="AH428"/>
          <cell r="AI428" t="str">
            <v xml:space="preserve">                              </v>
          </cell>
          <cell r="AJ428">
            <v>600000</v>
          </cell>
          <cell r="AK428">
            <v>0</v>
          </cell>
          <cell r="AL428">
            <v>0</v>
          </cell>
          <cell r="AM428">
            <v>0</v>
          </cell>
          <cell r="AN428">
            <v>0</v>
          </cell>
          <cell r="AO428">
            <v>0</v>
          </cell>
          <cell r="AP428">
            <v>600000</v>
          </cell>
          <cell r="AQ428" t="str">
            <v>Mato Grosso</v>
          </cell>
          <cell r="AS428" t="str">
            <v>x</v>
          </cell>
          <cell r="AT428">
            <v>0</v>
          </cell>
        </row>
        <row r="429">
          <cell r="B429" t="str">
            <v>COO2064</v>
          </cell>
          <cell r="C429" t="str">
            <v>OOGG.F</v>
          </cell>
          <cell r="D429" t="str">
            <v>OOGM.F-OS-2025-I-0219</v>
          </cell>
          <cell r="E429" t="str">
            <v>OS-2025-G-0115</v>
          </cell>
          <cell r="F429" t="str">
            <v>OS-2025-G-351</v>
          </cell>
          <cell r="G429" t="str">
            <v>Operação Sudeste</v>
          </cell>
          <cell r="H429" t="str">
            <v>Nova Demanda</v>
          </cell>
          <cell r="I429" t="str">
            <v>Modernização do Sistema de Destilação de água tratada da UHE Batalha</v>
          </cell>
          <cell r="J429" t="str">
            <v>Modernização dos equipamentos para destilação de água visando manutenção em bancos de baterias-UHE Batalha</v>
          </cell>
          <cell r="K429" t="str">
            <v>Modernização dos equipamentos para destilação de água visando manutenção em bancos de baterias-UHE Batalha</v>
          </cell>
          <cell r="L429" t="str">
            <v>FA04110101</v>
          </cell>
          <cell r="M429" t="str">
            <v>UHE Batalha</v>
          </cell>
          <cell r="N429" t="str">
            <v>Geração</v>
          </cell>
          <cell r="O429" t="str">
            <v>Modernização de pequeno porte</v>
          </cell>
          <cell r="P429" t="str">
            <v>Modernização de pequeno porte</v>
          </cell>
          <cell r="Q429" t="str">
            <v>FGHI.0007</v>
          </cell>
          <cell r="R429" t="str">
            <v>PO.O_DRG.O_20OM_UHBHA</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cell r="AG429">
            <v>140000</v>
          </cell>
          <cell r="AH429"/>
          <cell r="AI429" t="str">
            <v xml:space="preserve">                              </v>
          </cell>
          <cell r="AJ429">
            <v>140000</v>
          </cell>
          <cell r="AK429">
            <v>0</v>
          </cell>
          <cell r="AL429">
            <v>0</v>
          </cell>
          <cell r="AM429">
            <v>0</v>
          </cell>
          <cell r="AN429">
            <v>0</v>
          </cell>
          <cell r="AO429">
            <v>0</v>
          </cell>
          <cell r="AP429">
            <v>140000</v>
          </cell>
          <cell r="AQ429" t="str">
            <v>Goiás</v>
          </cell>
          <cell r="AS429" t="str">
            <v>x</v>
          </cell>
          <cell r="AT429">
            <v>140000</v>
          </cell>
        </row>
        <row r="430">
          <cell r="B430" t="str">
            <v>COO2065</v>
          </cell>
          <cell r="C430" t="str">
            <v>OOGG.F</v>
          </cell>
          <cell r="D430" t="str">
            <v>OOTG.F-OS-2025-I-0661</v>
          </cell>
          <cell r="E430" t="str">
            <v>OS-2025-G-0111</v>
          </cell>
          <cell r="F430" t="str">
            <v>OS-2025-G-357</v>
          </cell>
          <cell r="G430" t="str">
            <v>Operação Sudeste</v>
          </cell>
          <cell r="H430" t="str">
            <v>Nova Demanda</v>
          </cell>
          <cell r="I430" t="str">
            <v>Modernização do Sistema de Destilação de água tratada da UHE Corumbá</v>
          </cell>
          <cell r="J430" t="str">
            <v>Modernização dos equipamentos para destilação de água visando manutenção em bancos de baterias-UHE Corumbá</v>
          </cell>
          <cell r="K430" t="str">
            <v>Modernização dos equipamentos para destilação de água visando manutenção em bancos de baterias-UHE Corumbá</v>
          </cell>
          <cell r="L430" t="str">
            <v>FA04110101</v>
          </cell>
          <cell r="M430" t="str">
            <v>UHE Corumbá</v>
          </cell>
          <cell r="N430" t="str">
            <v>Geração</v>
          </cell>
          <cell r="O430" t="str">
            <v>Modernização de pequeno porte</v>
          </cell>
          <cell r="P430" t="str">
            <v>Modernização de pequeno porte</v>
          </cell>
          <cell r="Q430" t="str">
            <v>FGHI.0001</v>
          </cell>
          <cell r="R430" t="str">
            <v>PO.O_DRG.O_215U</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120000</v>
          </cell>
          <cell r="AG430"/>
          <cell r="AH430"/>
          <cell r="AI430" t="str">
            <v xml:space="preserve">                              </v>
          </cell>
          <cell r="AJ430">
            <v>120000</v>
          </cell>
          <cell r="AK430">
            <v>0</v>
          </cell>
          <cell r="AL430">
            <v>0</v>
          </cell>
          <cell r="AM430">
            <v>0</v>
          </cell>
          <cell r="AN430">
            <v>0</v>
          </cell>
          <cell r="AO430">
            <v>0</v>
          </cell>
          <cell r="AP430">
            <v>120000</v>
          </cell>
          <cell r="AQ430" t="str">
            <v>Goiás</v>
          </cell>
          <cell r="AS430" t="str">
            <v>x</v>
          </cell>
          <cell r="AT430">
            <v>120000</v>
          </cell>
        </row>
        <row r="431">
          <cell r="B431" t="str">
            <v>COO2066</v>
          </cell>
          <cell r="C431" t="str">
            <v>OOGG.F</v>
          </cell>
          <cell r="D431" t="str">
            <v>OOTR.F-OS-2025-I-0122</v>
          </cell>
          <cell r="E431" t="str">
            <v>OS-2025-G-0112</v>
          </cell>
          <cell r="F431" t="str">
            <v>OS-2025-G-369</v>
          </cell>
          <cell r="G431" t="str">
            <v>Operação Sudeste</v>
          </cell>
          <cell r="H431" t="str">
            <v>Nova Demanda</v>
          </cell>
          <cell r="I431" t="str">
            <v>Modernização do Sistema de Destilação de água tratada da UHE Itumbiara</v>
          </cell>
          <cell r="J431" t="str">
            <v>Modernização dos equipamentos para destilação de água visando manutenção em bancos de baterias-UHE Itumbiara</v>
          </cell>
          <cell r="K431" t="str">
            <v>Modernização dos equipamentos para destilação de água visando manutenção em bancos de baterias-UHE Itumbiara</v>
          </cell>
          <cell r="L431" t="str">
            <v>FA04110102</v>
          </cell>
          <cell r="M431" t="str">
            <v>UHE Itumbiara</v>
          </cell>
          <cell r="N431" t="str">
            <v>Geração</v>
          </cell>
          <cell r="O431" t="str">
            <v>Modernização de pequeno porte</v>
          </cell>
          <cell r="P431" t="str">
            <v>Modernização de pequeno porte</v>
          </cell>
          <cell r="Q431" t="str">
            <v>FGHI.0003</v>
          </cell>
          <cell r="R431" t="str">
            <v>PO.O_DRG.O_20OM</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cell r="AG431"/>
          <cell r="AH431">
            <v>120000</v>
          </cell>
          <cell r="AI431" t="str">
            <v xml:space="preserve">                              </v>
          </cell>
          <cell r="AJ431">
            <v>120000</v>
          </cell>
          <cell r="AK431">
            <v>0</v>
          </cell>
          <cell r="AL431">
            <v>0</v>
          </cell>
          <cell r="AM431">
            <v>0</v>
          </cell>
          <cell r="AN431">
            <v>0</v>
          </cell>
          <cell r="AO431">
            <v>0</v>
          </cell>
          <cell r="AP431">
            <v>120000</v>
          </cell>
          <cell r="AQ431" t="str">
            <v>Minas Gerais</v>
          </cell>
          <cell r="AS431" t="str">
            <v>x</v>
          </cell>
          <cell r="AT431">
            <v>120000</v>
          </cell>
        </row>
        <row r="432">
          <cell r="B432" t="str">
            <v>COO2067</v>
          </cell>
          <cell r="C432" t="str">
            <v>OOMG.F</v>
          </cell>
          <cell r="D432" t="str">
            <v>OOMS.C-C-2025-I-0034</v>
          </cell>
          <cell r="E432" t="str">
            <v>OS-2025-G-0022</v>
          </cell>
          <cell r="F432" t="str">
            <v>OS-2025-G-318</v>
          </cell>
          <cell r="G432" t="str">
            <v>Operação Sudeste</v>
          </cell>
          <cell r="H432" t="str">
            <v>Nova Demanda</v>
          </cell>
          <cell r="I432" t="str">
            <v>Modernização das barras estatóricas e palhetas das turbinas das UGs 07 e 08 da UHE Furnas</v>
          </cell>
          <cell r="J432" t="str">
            <v>Modernização dos estatores e palhetas das turbinas das UGs 07 e 08 da UHE Furnas</v>
          </cell>
          <cell r="K432" t="str">
            <v>Modernização dos estatores e palhetas das turbinas das UGs 07 e 08 da UHE Furnas</v>
          </cell>
          <cell r="L432" t="str">
            <v>FA04090200</v>
          </cell>
          <cell r="M432" t="str">
            <v>UHE Furnas</v>
          </cell>
          <cell r="N432" t="str">
            <v>Geração</v>
          </cell>
          <cell r="O432" t="str">
            <v>Modernização de pequeno porte</v>
          </cell>
          <cell r="P432" t="str">
            <v>Modernização de pequeno porte</v>
          </cell>
          <cell r="Q432" t="str">
            <v>FGHI.0103</v>
          </cell>
          <cell r="R432" t="str">
            <v>EM.O_DER.O_20OM_Hidro</v>
          </cell>
          <cell r="S432">
            <v>0</v>
          </cell>
          <cell r="T432">
            <v>0</v>
          </cell>
          <cell r="U432">
            <v>0</v>
          </cell>
          <cell r="V432">
            <v>0</v>
          </cell>
          <cell r="W432">
            <v>0</v>
          </cell>
          <cell r="X432">
            <v>0</v>
          </cell>
          <cell r="Y432">
            <v>0</v>
          </cell>
          <cell r="Z432">
            <v>0</v>
          </cell>
          <cell r="AA432">
            <v>0</v>
          </cell>
          <cell r="AB432">
            <v>0</v>
          </cell>
          <cell r="AC432">
            <v>5000000</v>
          </cell>
          <cell r="AD432">
            <v>0</v>
          </cell>
          <cell r="AE432">
            <v>5000000</v>
          </cell>
          <cell r="AF432">
            <v>35000000</v>
          </cell>
          <cell r="AG432">
            <v>20000000</v>
          </cell>
          <cell r="AH432"/>
          <cell r="AI432" t="str">
            <v xml:space="preserve">                              </v>
          </cell>
          <cell r="AJ432">
            <v>60000000</v>
          </cell>
          <cell r="AK432">
            <v>0</v>
          </cell>
          <cell r="AL432">
            <v>0</v>
          </cell>
          <cell r="AM432">
            <v>0</v>
          </cell>
          <cell r="AN432">
            <v>0</v>
          </cell>
          <cell r="AO432">
            <v>0</v>
          </cell>
          <cell r="AP432">
            <v>60000000</v>
          </cell>
          <cell r="AQ432" t="str">
            <v>Minas Gerais</v>
          </cell>
          <cell r="AT432">
            <v>55000000</v>
          </cell>
        </row>
        <row r="433">
          <cell r="B433" t="str">
            <v>COO2068</v>
          </cell>
          <cell r="C433" t="str">
            <v>OOGG.F</v>
          </cell>
          <cell r="D433" t="str">
            <v>OOTM.F-OS-2025-I-0397</v>
          </cell>
          <cell r="E433" t="str">
            <v>OS-2025-G-0123</v>
          </cell>
          <cell r="F433" t="str">
            <v>OS-2025-G-370</v>
          </cell>
          <cell r="G433" t="str">
            <v>Operação Sudeste</v>
          </cell>
          <cell r="H433" t="str">
            <v>Nova Demanda</v>
          </cell>
          <cell r="I433" t="str">
            <v>Modernização dos fan coils dos TADs da Central de condicionamento de ar da UHE Itumbiara</v>
          </cell>
          <cell r="J433" t="str">
            <v>Modernização dos fan coils dos TADs da Central de condicionamento de ar da Usina devido obsolescência dos equipamentos-UHE Itumbiara</v>
          </cell>
          <cell r="K433" t="str">
            <v>Modernização dos fan coils dos TADs da Central de condicionamento de ar da Usina devido obsolescência dos equipamentos-UHE Itumbiara</v>
          </cell>
          <cell r="L433" t="str">
            <v>FA04110102</v>
          </cell>
          <cell r="M433" t="str">
            <v>UHE Itumbiara</v>
          </cell>
          <cell r="N433" t="str">
            <v>Geração</v>
          </cell>
          <cell r="O433" t="str">
            <v>Modernização de pequeno porte</v>
          </cell>
          <cell r="P433" t="str">
            <v>Modernização de pequeno porte</v>
          </cell>
          <cell r="Q433" t="str">
            <v>FGHI.0003</v>
          </cell>
          <cell r="R433" t="str">
            <v>PO.O_DRG.O_20OM</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400000</v>
          </cell>
          <cell r="AG433"/>
          <cell r="AH433"/>
          <cell r="AI433" t="str">
            <v xml:space="preserve">                              </v>
          </cell>
          <cell r="AJ433">
            <v>400000</v>
          </cell>
          <cell r="AK433">
            <v>0</v>
          </cell>
          <cell r="AL433">
            <v>0</v>
          </cell>
          <cell r="AM433">
            <v>0</v>
          </cell>
          <cell r="AN433">
            <v>0</v>
          </cell>
          <cell r="AO433">
            <v>0</v>
          </cell>
          <cell r="AP433">
            <v>400000</v>
          </cell>
          <cell r="AQ433" t="str">
            <v>Minas Gerais</v>
          </cell>
          <cell r="AT433">
            <v>400000</v>
          </cell>
        </row>
        <row r="434">
          <cell r="B434" t="str">
            <v>COO2069</v>
          </cell>
          <cell r="C434" t="str">
            <v>OOGG.F</v>
          </cell>
          <cell r="D434" t="str">
            <v>OOTR.F-OS-2025-I-0139</v>
          </cell>
          <cell r="E434" t="str">
            <v>OS-2025-G-0107</v>
          </cell>
          <cell r="F434" t="str">
            <v>OS-2025-G-389</v>
          </cell>
          <cell r="G434" t="str">
            <v>Operação Sudeste</v>
          </cell>
          <cell r="H434" t="str">
            <v>Nova Demanda</v>
          </cell>
          <cell r="I434" t="str">
            <v>Modernização dos servomotores do aro de regulação das Turbinas da UHE Manso</v>
          </cell>
          <cell r="J434" t="str">
            <v>Modernização dos servomotores do Aro de Regulação das Turbinas da Usina de Manso, substituindo 02 servomotores que apresentam elevado desgaste das partes metálicas com tendencia crescente de vazamento de óleo.</v>
          </cell>
          <cell r="K434" t="str">
            <v>Modernização dos servomotores do Aro de Regulação das Turbinas da Usina de Manso, substituindo 02 servomotores que apresentam elevado desgaste das partes metálicas com tendencia crescente de vazamento de óleo.</v>
          </cell>
          <cell r="L434" t="str">
            <v>FA04110103</v>
          </cell>
          <cell r="M434" t="str">
            <v>UHE Manso</v>
          </cell>
          <cell r="N434" t="str">
            <v>Geração</v>
          </cell>
          <cell r="O434" t="str">
            <v>Modernização de pequeno porte</v>
          </cell>
          <cell r="P434" t="str">
            <v>Modernização de pequeno porte</v>
          </cell>
          <cell r="Q434" t="str">
            <v>FGHI.0011</v>
          </cell>
          <cell r="R434" t="str">
            <v>PO.O_DRG.O_20OM_UHMSO</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cell r="AG434">
            <v>5000000</v>
          </cell>
          <cell r="AH434"/>
          <cell r="AI434" t="str">
            <v xml:space="preserve">                              </v>
          </cell>
          <cell r="AJ434">
            <v>5000000</v>
          </cell>
          <cell r="AK434">
            <v>0</v>
          </cell>
          <cell r="AL434">
            <v>0</v>
          </cell>
          <cell r="AM434">
            <v>0</v>
          </cell>
          <cell r="AN434">
            <v>0</v>
          </cell>
          <cell r="AO434">
            <v>0</v>
          </cell>
          <cell r="AP434">
            <v>5000000</v>
          </cell>
          <cell r="AQ434" t="str">
            <v>Mato Grosso</v>
          </cell>
          <cell r="AS434" t="str">
            <v>x</v>
          </cell>
          <cell r="AT434">
            <v>5000000</v>
          </cell>
        </row>
        <row r="435">
          <cell r="B435" t="str">
            <v>COO2070</v>
          </cell>
          <cell r="C435" t="str">
            <v>OOGG.F</v>
          </cell>
          <cell r="D435" t="str">
            <v>OOO.S-S-2025-I-0032</v>
          </cell>
          <cell r="E435" t="str">
            <v>OS-2025-G-0078</v>
          </cell>
          <cell r="F435" t="str">
            <v>OS-2025-G-366</v>
          </cell>
          <cell r="G435" t="str">
            <v>Operação Sudeste</v>
          </cell>
          <cell r="H435" t="str">
            <v>Nova Demanda</v>
          </cell>
          <cell r="I435" t="str">
            <v>Modernização do sistema de drenagem e esvaziamento da UHE Itumbiara</v>
          </cell>
          <cell r="J435" t="str">
            <v>Modernização ou substituição de todas as bombas de drenagem e esvaziamento da casa de força da usina, da UHE Itumbiara, equipamentos com alta taxa de falha, baixa eficiência, dificuldade de encontrar peças de reposição, fim da vida útil.</v>
          </cell>
          <cell r="K435" t="str">
            <v>Modernização ou substituição de todas as bombas de drenagem e esvaziamento da casa de força da usina, da UHE Itumbiara, equipamentos com alta taxa de falha, baixa eficiência, dificuldade de encontrar peças de reposição, fim da vida útil.</v>
          </cell>
          <cell r="L435" t="str">
            <v>FA04110102</v>
          </cell>
          <cell r="M435" t="str">
            <v>UHE Itumbiara</v>
          </cell>
          <cell r="N435" t="str">
            <v>Geração</v>
          </cell>
          <cell r="O435" t="str">
            <v>Modernização de pequeno porte</v>
          </cell>
          <cell r="P435" t="str">
            <v>Modernização de pequeno porte</v>
          </cell>
          <cell r="Q435" t="str">
            <v>FGHI.0003</v>
          </cell>
          <cell r="R435" t="str">
            <v>PO.O_DRG.O_20OM</v>
          </cell>
          <cell r="S435">
            <v>0</v>
          </cell>
          <cell r="T435">
            <v>0</v>
          </cell>
          <cell r="U435">
            <v>0</v>
          </cell>
          <cell r="V435">
            <v>0</v>
          </cell>
          <cell r="W435">
            <v>0</v>
          </cell>
          <cell r="X435">
            <v>0</v>
          </cell>
          <cell r="Y435">
            <v>0</v>
          </cell>
          <cell r="Z435">
            <v>2000000</v>
          </cell>
          <cell r="AA435">
            <v>0</v>
          </cell>
          <cell r="AB435">
            <v>0</v>
          </cell>
          <cell r="AC435">
            <v>0</v>
          </cell>
          <cell r="AD435">
            <v>0</v>
          </cell>
          <cell r="AE435">
            <v>2000000</v>
          </cell>
          <cell r="AF435"/>
          <cell r="AG435"/>
          <cell r="AH435"/>
          <cell r="AI435" t="str">
            <v xml:space="preserve">                              </v>
          </cell>
          <cell r="AJ435">
            <v>2000000</v>
          </cell>
          <cell r="AK435">
            <v>0</v>
          </cell>
          <cell r="AL435">
            <v>0</v>
          </cell>
          <cell r="AM435">
            <v>0</v>
          </cell>
          <cell r="AN435">
            <v>0</v>
          </cell>
          <cell r="AO435">
            <v>0</v>
          </cell>
          <cell r="AP435">
            <v>2000000</v>
          </cell>
          <cell r="AQ435" t="str">
            <v>Minas Gerais</v>
          </cell>
          <cell r="AT435">
            <v>0</v>
          </cell>
        </row>
        <row r="436">
          <cell r="B436" t="str">
            <v>COO2073</v>
          </cell>
          <cell r="C436" t="str">
            <v>OOGFU.F</v>
          </cell>
          <cell r="D436" t="str">
            <v>OOMS.S-S-2025-I-0007</v>
          </cell>
          <cell r="E436" t="str">
            <v>OS-2025-G-0100</v>
          </cell>
          <cell r="F436" t="str">
            <v>OS-2025-G-324</v>
          </cell>
          <cell r="G436" t="str">
            <v>Operação Sudeste</v>
          </cell>
          <cell r="H436" t="str">
            <v>Nova Demanda</v>
          </cell>
          <cell r="I436" t="str">
            <v>Adequação de segurança da área industrial da UHE Funil</v>
          </cell>
          <cell r="J436" t="str">
            <v>Recapeamento das vias internas da área industrial e implantação de sinalização horizonntal  e vertical da UHE Funil - Montante inclui HH.</v>
          </cell>
          <cell r="K436" t="str">
            <v>Recapeamento das vias internas da área industrial e implantação de sinalização horizonntal  e vertical da UHE Funil - Montante inclui HH.</v>
          </cell>
          <cell r="L436" t="str">
            <v>FA04110001</v>
          </cell>
          <cell r="M436" t="str">
            <v>UHE Funil</v>
          </cell>
          <cell r="N436" t="str">
            <v>Geração</v>
          </cell>
          <cell r="O436" t="str">
            <v>Modernização de pequeno porte</v>
          </cell>
          <cell r="P436" t="str">
            <v>Modernização de pequeno porte</v>
          </cell>
          <cell r="Q436" t="str">
            <v>DIVERSOS</v>
          </cell>
          <cell r="R436" t="str">
            <v>Diversas</v>
          </cell>
          <cell r="S436">
            <v>0</v>
          </cell>
          <cell r="T436">
            <v>0</v>
          </cell>
          <cell r="U436">
            <v>0</v>
          </cell>
          <cell r="V436">
            <v>0</v>
          </cell>
          <cell r="W436">
            <v>0</v>
          </cell>
          <cell r="X436">
            <v>0</v>
          </cell>
          <cell r="Y436">
            <v>0</v>
          </cell>
          <cell r="Z436">
            <v>3000000</v>
          </cell>
          <cell r="AA436">
            <v>0</v>
          </cell>
          <cell r="AB436">
            <v>0</v>
          </cell>
          <cell r="AC436">
            <v>0</v>
          </cell>
          <cell r="AD436">
            <v>0</v>
          </cell>
          <cell r="AE436">
            <v>3000000</v>
          </cell>
          <cell r="AF436"/>
          <cell r="AG436"/>
          <cell r="AH436"/>
          <cell r="AI436" t="str">
            <v xml:space="preserve">                              </v>
          </cell>
          <cell r="AJ436">
            <v>3000000</v>
          </cell>
          <cell r="AK436">
            <v>0</v>
          </cell>
          <cell r="AL436">
            <v>0</v>
          </cell>
          <cell r="AM436">
            <v>0</v>
          </cell>
          <cell r="AN436">
            <v>0</v>
          </cell>
          <cell r="AO436">
            <v>0</v>
          </cell>
          <cell r="AP436">
            <v>3000000</v>
          </cell>
          <cell r="AQ436" t="str">
            <v>Rio de Janeiro</v>
          </cell>
          <cell r="AS436" t="str">
            <v>x</v>
          </cell>
          <cell r="AT436">
            <v>0</v>
          </cell>
        </row>
        <row r="437">
          <cell r="B437" t="str">
            <v>COO2075</v>
          </cell>
          <cell r="C437" t="str">
            <v>OOGM.F</v>
          </cell>
          <cell r="D437" t="str">
            <v>OOGS.S-S-2025-I-0225</v>
          </cell>
          <cell r="E437" t="str">
            <v>OS-2025-G-0051</v>
          </cell>
          <cell r="F437" t="str">
            <v>OS-2025-G-325</v>
          </cell>
          <cell r="G437" t="str">
            <v>Operação Sudeste</v>
          </cell>
          <cell r="H437" t="str">
            <v>Nova Demanda</v>
          </cell>
          <cell r="I437" t="str">
            <v>Modernização do sistema de iluminação da UHE Furnas</v>
          </cell>
          <cell r="J437" t="str">
            <v>Refletor, tipo LED para casa de Força em substituição da iluminação a vapor de sódio existente, tendência implantanda em todas as usinas</v>
          </cell>
          <cell r="K437" t="str">
            <v>Refletor, tipo LED para casa de Força em substituição da iluminação a vapor de sódio existente, tendência implantanda em todas as usinas</v>
          </cell>
          <cell r="L437" t="str">
            <v>FA04110203</v>
          </cell>
          <cell r="M437" t="str">
            <v>UHE Furnas</v>
          </cell>
          <cell r="N437" t="str">
            <v>Geração</v>
          </cell>
          <cell r="O437" t="str">
            <v>Modernização de pequeno porte</v>
          </cell>
          <cell r="P437" t="str">
            <v>Modernização de pequeno porte</v>
          </cell>
          <cell r="Q437" t="str">
            <v>FGHI.0002</v>
          </cell>
          <cell r="R437" t="str">
            <v>PO.O_DRM.O_215U</v>
          </cell>
          <cell r="S437">
            <v>0</v>
          </cell>
          <cell r="T437">
            <v>0</v>
          </cell>
          <cell r="U437">
            <v>0</v>
          </cell>
          <cell r="V437">
            <v>0</v>
          </cell>
          <cell r="W437">
            <v>50000</v>
          </cell>
          <cell r="X437">
            <v>100000</v>
          </cell>
          <cell r="Y437">
            <v>0</v>
          </cell>
          <cell r="Z437">
            <v>0</v>
          </cell>
          <cell r="AA437">
            <v>0</v>
          </cell>
          <cell r="AB437">
            <v>0</v>
          </cell>
          <cell r="AC437">
            <v>0</v>
          </cell>
          <cell r="AD437">
            <v>0</v>
          </cell>
          <cell r="AE437">
            <v>150000</v>
          </cell>
          <cell r="AF437"/>
          <cell r="AG437"/>
          <cell r="AH437"/>
          <cell r="AI437" t="str">
            <v xml:space="preserve">                              </v>
          </cell>
          <cell r="AJ437">
            <v>150000</v>
          </cell>
          <cell r="AK437">
            <v>0</v>
          </cell>
          <cell r="AL437">
            <v>0</v>
          </cell>
          <cell r="AM437">
            <v>0</v>
          </cell>
          <cell r="AN437">
            <v>0</v>
          </cell>
          <cell r="AO437">
            <v>0</v>
          </cell>
          <cell r="AP437">
            <v>150000</v>
          </cell>
          <cell r="AQ437" t="str">
            <v>Minas Gerais</v>
          </cell>
          <cell r="AT437">
            <v>0</v>
          </cell>
        </row>
        <row r="438">
          <cell r="B438" t="str">
            <v>COO2076</v>
          </cell>
          <cell r="C438" t="str">
            <v>OOGM.F</v>
          </cell>
          <cell r="D438" t="str">
            <v>OOMB.S-S-2025-I-0090</v>
          </cell>
          <cell r="E438" t="str">
            <v>OS-2025-G-0053</v>
          </cell>
          <cell r="F438" t="str">
            <v>OS-2025-G-326</v>
          </cell>
          <cell r="G438" t="str">
            <v>Operação Sudeste</v>
          </cell>
          <cell r="H438" t="str">
            <v>Nova Demanda</v>
          </cell>
          <cell r="I438" t="str">
            <v>Modernização do sistema de iluminação da UHE Marimbondo</v>
          </cell>
          <cell r="J438" t="str">
            <v>Refletor, tipo LED para casa de Força, estruturas de concreto e vias internas, em substituição a iluminação a vapor de sódio existente</v>
          </cell>
          <cell r="K438" t="str">
            <v>Refletor, tipo LED para casa de Força, estruturas de concreto e vias internas, em substituição a iluminação a vapor de sódio existente</v>
          </cell>
          <cell r="L438" t="str">
            <v>FA04110204</v>
          </cell>
          <cell r="M438" t="str">
            <v>UHE Marimbondo</v>
          </cell>
          <cell r="N438" t="str">
            <v>Geração</v>
          </cell>
          <cell r="O438" t="str">
            <v>Modernização de pequeno porte</v>
          </cell>
          <cell r="P438" t="str">
            <v>Modernização de pequeno porte</v>
          </cell>
          <cell r="Q438" t="str">
            <v>FGHI.0004</v>
          </cell>
          <cell r="R438" t="str">
            <v>PO.O_DRT.O_215U</v>
          </cell>
          <cell r="S438">
            <v>0</v>
          </cell>
          <cell r="T438">
            <v>0</v>
          </cell>
          <cell r="U438">
            <v>0</v>
          </cell>
          <cell r="V438">
            <v>0</v>
          </cell>
          <cell r="W438">
            <v>100000</v>
          </cell>
          <cell r="X438">
            <v>100000</v>
          </cell>
          <cell r="Y438">
            <v>100000</v>
          </cell>
          <cell r="Z438">
            <v>100000</v>
          </cell>
          <cell r="AA438">
            <v>100000</v>
          </cell>
          <cell r="AB438">
            <v>100000</v>
          </cell>
          <cell r="AC438">
            <v>100000</v>
          </cell>
          <cell r="AD438">
            <v>50000</v>
          </cell>
          <cell r="AE438">
            <v>750000</v>
          </cell>
          <cell r="AF438"/>
          <cell r="AG438"/>
          <cell r="AH438"/>
          <cell r="AI438" t="str">
            <v xml:space="preserve">                              </v>
          </cell>
          <cell r="AJ438">
            <v>750000</v>
          </cell>
          <cell r="AK438">
            <v>0</v>
          </cell>
          <cell r="AL438">
            <v>0</v>
          </cell>
          <cell r="AM438">
            <v>0</v>
          </cell>
          <cell r="AN438">
            <v>0</v>
          </cell>
          <cell r="AO438">
            <v>0</v>
          </cell>
          <cell r="AP438">
            <v>750000</v>
          </cell>
          <cell r="AQ438" t="str">
            <v>Minas Gerais</v>
          </cell>
          <cell r="AT438">
            <v>0</v>
          </cell>
        </row>
        <row r="439">
          <cell r="B439" t="str">
            <v>COO2077</v>
          </cell>
          <cell r="C439" t="str">
            <v>OOMG.F</v>
          </cell>
          <cell r="D439" t="str">
            <v>OOGN.S-S-2025-I-0109</v>
          </cell>
          <cell r="E439" t="str">
            <v>OS-2025-G-0004</v>
          </cell>
          <cell r="F439" t="str">
            <v>OS-2025-G-329</v>
          </cell>
          <cell r="G439" t="str">
            <v>Operação Sudeste</v>
          </cell>
          <cell r="H439" t="str">
            <v>Nova Demanda</v>
          </cell>
          <cell r="I439" t="str">
            <v>Modernização do sistema de drenagem da UHE Furnas</v>
          </cell>
          <cell r="J439" t="str">
            <v>Retrofit das bombas de drenagem da UHE Furnas</v>
          </cell>
          <cell r="K439" t="str">
            <v>Retrofit das bombas de drenagem da UHE Furnas</v>
          </cell>
          <cell r="L439" t="str">
            <v>FA04090200</v>
          </cell>
          <cell r="M439" t="str">
            <v>UHE Furnas</v>
          </cell>
          <cell r="N439" t="str">
            <v>Geração</v>
          </cell>
          <cell r="O439" t="str">
            <v>Modernização de pequeno porte</v>
          </cell>
          <cell r="P439" t="str">
            <v>Modernização de pequeno porte</v>
          </cell>
          <cell r="Q439" t="str">
            <v>FGHI.0098</v>
          </cell>
          <cell r="R439" t="str">
            <v>EM.O_DER.O_215U</v>
          </cell>
          <cell r="S439">
            <v>0</v>
          </cell>
          <cell r="T439">
            <v>0</v>
          </cell>
          <cell r="U439">
            <v>0</v>
          </cell>
          <cell r="V439">
            <v>300000</v>
          </cell>
          <cell r="W439">
            <v>0</v>
          </cell>
          <cell r="X439">
            <v>0</v>
          </cell>
          <cell r="Y439">
            <v>0</v>
          </cell>
          <cell r="Z439">
            <v>300000</v>
          </cell>
          <cell r="AA439">
            <v>0</v>
          </cell>
          <cell r="AB439">
            <v>0</v>
          </cell>
          <cell r="AC439">
            <v>0</v>
          </cell>
          <cell r="AD439">
            <v>0</v>
          </cell>
          <cell r="AE439">
            <v>600000</v>
          </cell>
          <cell r="AF439"/>
          <cell r="AG439"/>
          <cell r="AH439"/>
          <cell r="AI439" t="str">
            <v xml:space="preserve">                              </v>
          </cell>
          <cell r="AJ439">
            <v>600000</v>
          </cell>
          <cell r="AK439">
            <v>0</v>
          </cell>
          <cell r="AL439">
            <v>0</v>
          </cell>
          <cell r="AM439">
            <v>0</v>
          </cell>
          <cell r="AN439">
            <v>0</v>
          </cell>
          <cell r="AO439">
            <v>0</v>
          </cell>
          <cell r="AP439">
            <v>600000</v>
          </cell>
          <cell r="AQ439" t="str">
            <v>Minas Gerais</v>
          </cell>
          <cell r="AS439" t="str">
            <v>x</v>
          </cell>
          <cell r="AT439">
            <v>0</v>
          </cell>
        </row>
        <row r="440">
          <cell r="B440" t="str">
            <v>COO2078</v>
          </cell>
          <cell r="C440" t="str">
            <v>OOGM.F</v>
          </cell>
          <cell r="D440" t="str">
            <v>OOTP.F-OS-2025-I-0635</v>
          </cell>
          <cell r="E440" t="str">
            <v>OS-2025-G-0066</v>
          </cell>
          <cell r="F440" t="str">
            <v>OS-2025-G-333</v>
          </cell>
          <cell r="G440" t="str">
            <v>Operação Sudeste</v>
          </cell>
          <cell r="H440" t="str">
            <v>Nova Demanda</v>
          </cell>
          <cell r="I440" t="str">
            <v>Modernização dos equipamentos de elevação da UHE Furnas</v>
          </cell>
          <cell r="J440" t="str">
            <v>Retrofit de geradores, turbinas, sistemas auxiliares e Sistema supervisório para manutenção das condicinantes de operação e de auditorias da ANEEL</v>
          </cell>
          <cell r="K440" t="str">
            <v>Retrofit de geradores, turbinas, sistemas auxiliares e Sistema supervisório para manutenção das condicinantes de operação e de auditorias da ANEEL</v>
          </cell>
          <cell r="L440" t="str">
            <v>FA04110203</v>
          </cell>
          <cell r="M440" t="str">
            <v>UHE Furnas</v>
          </cell>
          <cell r="N440" t="str">
            <v>Geração</v>
          </cell>
          <cell r="O440" t="str">
            <v>Modernização de pequeno porte</v>
          </cell>
          <cell r="P440" t="str">
            <v>Modernização de pequeno porte</v>
          </cell>
          <cell r="Q440" t="str">
            <v>FGHI.0002</v>
          </cell>
          <cell r="R440" t="str">
            <v>PO.O_DRM.O_215U</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1000000</v>
          </cell>
          <cell r="AG440">
            <v>1500000</v>
          </cell>
          <cell r="AH440">
            <v>1500000</v>
          </cell>
          <cell r="AI440">
            <v>1500000</v>
          </cell>
          <cell r="AJ440">
            <v>5500000</v>
          </cell>
          <cell r="AK440">
            <v>2000000</v>
          </cell>
          <cell r="AL440">
            <v>2000000</v>
          </cell>
          <cell r="AM440">
            <v>2000000</v>
          </cell>
          <cell r="AN440">
            <v>2000000</v>
          </cell>
          <cell r="AO440">
            <v>2000000</v>
          </cell>
          <cell r="AP440">
            <v>15500000</v>
          </cell>
          <cell r="AQ440" t="str">
            <v>Minas Gerais</v>
          </cell>
          <cell r="AS440" t="str">
            <v>x</v>
          </cell>
          <cell r="AT440">
            <v>7500000</v>
          </cell>
        </row>
        <row r="441">
          <cell r="B441" t="str">
            <v>COO2079</v>
          </cell>
          <cell r="C441" t="str">
            <v>OOGM.F</v>
          </cell>
          <cell r="D441" t="str">
            <v>OOTM.F-OS-2025-I-0448</v>
          </cell>
          <cell r="E441" t="str">
            <v>OS-2025-G-0068</v>
          </cell>
          <cell r="F441" t="str">
            <v>OS-2025-G-334</v>
          </cell>
          <cell r="G441" t="str">
            <v>Operação Sudeste</v>
          </cell>
          <cell r="H441" t="str">
            <v>Nova Demanda</v>
          </cell>
          <cell r="I441" t="str">
            <v>Modernização dos equipamentos da UHE Luiz Carlos Barreto de Carvalho</v>
          </cell>
          <cell r="J441" t="str">
            <v>Retrofit de geradores, turbinas, sistemas auxiliares e Sistema supervisório para manutenção das condicinantes de operação e de auditorias da ANEEL</v>
          </cell>
          <cell r="K441" t="str">
            <v>Retrofit de geradores, turbinas, sistemas auxiliares e Sistema supervisório para manutenção das condicinantes de operação e de auditorias da ANEEL</v>
          </cell>
          <cell r="L441" t="str">
            <v>FA04110202</v>
          </cell>
          <cell r="M441" t="str">
            <v>UHE Luiz Carlos Barreto de Carvalho</v>
          </cell>
          <cell r="N441" t="str">
            <v>Geração</v>
          </cell>
          <cell r="O441" t="str">
            <v>Modernização de pequeno porte</v>
          </cell>
          <cell r="P441" t="str">
            <v>Modernização de pequeno porte</v>
          </cell>
          <cell r="Q441" t="str">
            <v>FGHI.0009</v>
          </cell>
          <cell r="R441" t="str">
            <v>PO.O_DRM.O_215U_UHLBA</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1000000</v>
          </cell>
          <cell r="AG441">
            <v>1500000</v>
          </cell>
          <cell r="AH441">
            <v>1500000</v>
          </cell>
          <cell r="AI441">
            <v>1500000</v>
          </cell>
          <cell r="AJ441">
            <v>5500000</v>
          </cell>
          <cell r="AK441">
            <v>2000000</v>
          </cell>
          <cell r="AL441">
            <v>2000000</v>
          </cell>
          <cell r="AM441">
            <v>2000000</v>
          </cell>
          <cell r="AN441">
            <v>2000000</v>
          </cell>
          <cell r="AO441">
            <v>2000000</v>
          </cell>
          <cell r="AP441">
            <v>15500000</v>
          </cell>
          <cell r="AQ441" t="str">
            <v>São Paulo</v>
          </cell>
          <cell r="AS441" t="str">
            <v>x</v>
          </cell>
          <cell r="AT441">
            <v>7500000</v>
          </cell>
        </row>
        <row r="442">
          <cell r="B442" t="str">
            <v>COO2080</v>
          </cell>
          <cell r="C442" t="str">
            <v>OOGM.F</v>
          </cell>
          <cell r="D442" t="str">
            <v>OOGM.F-OS-2025-I-0238</v>
          </cell>
          <cell r="E442" t="str">
            <v>OS-2025-G-0069</v>
          </cell>
          <cell r="F442" t="str">
            <v>OS-2025-G-335</v>
          </cell>
          <cell r="G442" t="str">
            <v>Operação Sudeste</v>
          </cell>
          <cell r="H442" t="str">
            <v>Nova Demanda</v>
          </cell>
          <cell r="I442" t="str">
            <v>Modernização dos equipamentos da UHE Marimbondo e Porto Colômbia</v>
          </cell>
          <cell r="J442" t="str">
            <v>Retrofit de geradores, turbinas, sistemas auxiliares e Sistema supervisório para manutenção das condicinantes de operação e de auditorias da ANEEL</v>
          </cell>
          <cell r="K442" t="str">
            <v>Retrofit de geradores, turbinas, sistemas auxiliares e Sistema supervisório para manutenção das condicinantes de operação e de auditorias da ANEEL</v>
          </cell>
          <cell r="L442" t="str">
            <v>FA04110204</v>
          </cell>
          <cell r="M442" t="str">
            <v>UHE Marimbondo</v>
          </cell>
          <cell r="N442" t="str">
            <v>Geração</v>
          </cell>
          <cell r="O442" t="str">
            <v>Modernização de pequeno porte</v>
          </cell>
          <cell r="P442" t="str">
            <v>Modernização de pequeno porte</v>
          </cell>
          <cell r="Q442" t="str">
            <v>FGHI.0004</v>
          </cell>
          <cell r="R442" t="str">
            <v>PO.O_DRT.O_215U</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1000000</v>
          </cell>
          <cell r="AG442">
            <v>2500000</v>
          </cell>
          <cell r="AH442">
            <v>2500000</v>
          </cell>
          <cell r="AI442">
            <v>2500000</v>
          </cell>
          <cell r="AJ442">
            <v>8500000</v>
          </cell>
          <cell r="AK442">
            <v>2000000</v>
          </cell>
          <cell r="AL442">
            <v>2000000</v>
          </cell>
          <cell r="AM442">
            <v>2000000</v>
          </cell>
          <cell r="AN442">
            <v>2000000</v>
          </cell>
          <cell r="AO442">
            <v>2000000</v>
          </cell>
          <cell r="AP442">
            <v>18500000</v>
          </cell>
          <cell r="AQ442" t="str">
            <v>Minas Gerais</v>
          </cell>
          <cell r="AS442" t="str">
            <v>x</v>
          </cell>
          <cell r="AT442">
            <v>10500000</v>
          </cell>
        </row>
        <row r="443">
          <cell r="B443" t="str">
            <v>COO2081</v>
          </cell>
          <cell r="C443" t="str">
            <v>OOGM.F</v>
          </cell>
          <cell r="D443" t="str">
            <v>OOTM.F-OS-2025-I-0394</v>
          </cell>
          <cell r="E443" t="str">
            <v>OS-2025-G-0067</v>
          </cell>
          <cell r="F443" t="str">
            <v>OS-2025-G-336</v>
          </cell>
          <cell r="G443" t="str">
            <v>Operação Sudeste</v>
          </cell>
          <cell r="H443" t="str">
            <v>Nova Demanda</v>
          </cell>
          <cell r="I443" t="str">
            <v>Modernização dos equipamentos da UHE Mascarenhas</v>
          </cell>
          <cell r="J443" t="str">
            <v>Retrofit de geradores, turbinas, sistemas auxiliares e Sistema supervisório para manutenção das condicinantes de operação e de auditorias da ANEEL</v>
          </cell>
          <cell r="K443" t="str">
            <v>Retrofit de geradores, turbinas, sistemas auxiliares e Sistema supervisório para manutenção das condicinantes de operação e de auditorias da ANEEL</v>
          </cell>
          <cell r="L443" t="str">
            <v>FA04110201</v>
          </cell>
          <cell r="M443" t="str">
            <v>UHE Mascarenhas de Moraes</v>
          </cell>
          <cell r="N443" t="str">
            <v>Geração</v>
          </cell>
          <cell r="O443" t="str">
            <v>Modernização de pequeno porte</v>
          </cell>
          <cell r="P443" t="str">
            <v>Modernização de pequeno porte</v>
          </cell>
          <cell r="Q443" t="str">
            <v>FGHI.0010</v>
          </cell>
          <cell r="R443" t="str">
            <v>PO.O_DRM.O_20OM</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1000000</v>
          </cell>
          <cell r="AG443">
            <v>1500000</v>
          </cell>
          <cell r="AH443">
            <v>1500000</v>
          </cell>
          <cell r="AI443">
            <v>1500000</v>
          </cell>
          <cell r="AJ443">
            <v>5500000</v>
          </cell>
          <cell r="AK443">
            <v>2000000</v>
          </cell>
          <cell r="AL443">
            <v>2000000</v>
          </cell>
          <cell r="AM443">
            <v>2000000</v>
          </cell>
          <cell r="AN443">
            <v>2000000</v>
          </cell>
          <cell r="AO443">
            <v>2000000</v>
          </cell>
          <cell r="AP443">
            <v>15500000</v>
          </cell>
          <cell r="AQ443" t="str">
            <v>Minas Gerais</v>
          </cell>
          <cell r="AT443">
            <v>7500000</v>
          </cell>
        </row>
        <row r="444">
          <cell r="B444" t="str">
            <v>COO2082</v>
          </cell>
          <cell r="C444" t="str">
            <v>OOMG.F</v>
          </cell>
          <cell r="D444" t="str">
            <v>OOGN.S-S-2025-I-0122</v>
          </cell>
          <cell r="E444" t="str">
            <v>OS-2025-G-0021</v>
          </cell>
          <cell r="F444" t="str">
            <v>OS-2025-G-330</v>
          </cell>
          <cell r="G444" t="str">
            <v>Operação Sudeste</v>
          </cell>
          <cell r="H444" t="str">
            <v>Nova Demanda</v>
          </cell>
          <cell r="I444" t="str">
            <v>Implantação do sistema de injeção química na UHE Porto Colômbia</v>
          </cell>
          <cell r="J444" t="str">
            <v>Retrofit de sistema de injeção química no sistema de resfriamento das UGs da UHE Porto Colombia</v>
          </cell>
          <cell r="K444" t="str">
            <v>Retrofit de sistema de injeção química no sistema de resfriamento das UGs da UHE Porto Colombia</v>
          </cell>
          <cell r="L444" t="str">
            <v>FA04090200</v>
          </cell>
          <cell r="M444" t="str">
            <v>UHE Porto Colombia</v>
          </cell>
          <cell r="N444" t="str">
            <v>Geração</v>
          </cell>
          <cell r="O444" t="str">
            <v>Modernização de pequeno porte</v>
          </cell>
          <cell r="P444" t="str">
            <v>Modernização de pequeno porte</v>
          </cell>
          <cell r="Q444" t="str">
            <v>FGHI.0103</v>
          </cell>
          <cell r="R444" t="str">
            <v>EM.O_DER.O_20OM_Hidro</v>
          </cell>
          <cell r="S444">
            <v>0</v>
          </cell>
          <cell r="T444">
            <v>0</v>
          </cell>
          <cell r="U444">
            <v>0</v>
          </cell>
          <cell r="V444">
            <v>0</v>
          </cell>
          <cell r="W444">
            <v>0</v>
          </cell>
          <cell r="X444">
            <v>0</v>
          </cell>
          <cell r="Y444">
            <v>0</v>
          </cell>
          <cell r="Z444">
            <v>0</v>
          </cell>
          <cell r="AA444">
            <v>500000</v>
          </cell>
          <cell r="AB444">
            <v>0</v>
          </cell>
          <cell r="AC444">
            <v>0</v>
          </cell>
          <cell r="AD444">
            <v>0</v>
          </cell>
          <cell r="AE444">
            <v>500000</v>
          </cell>
          <cell r="AF444"/>
          <cell r="AG444"/>
          <cell r="AH444"/>
          <cell r="AI444" t="str">
            <v xml:space="preserve">                              </v>
          </cell>
          <cell r="AJ444">
            <v>500000</v>
          </cell>
          <cell r="AK444">
            <v>0</v>
          </cell>
          <cell r="AL444">
            <v>0</v>
          </cell>
          <cell r="AM444">
            <v>0</v>
          </cell>
          <cell r="AN444">
            <v>0</v>
          </cell>
          <cell r="AO444">
            <v>0</v>
          </cell>
          <cell r="AP444">
            <v>500000</v>
          </cell>
          <cell r="AQ444" t="str">
            <v>Minas Gerais</v>
          </cell>
          <cell r="AS444" t="str">
            <v>x</v>
          </cell>
          <cell r="AT444">
            <v>0</v>
          </cell>
        </row>
        <row r="445">
          <cell r="B445" t="str">
            <v>COO2083</v>
          </cell>
          <cell r="C445" t="str">
            <v>OOMG.F</v>
          </cell>
          <cell r="D445" t="str">
            <v>OOPM.C-C-2024-I-0023</v>
          </cell>
          <cell r="E445" t="str">
            <v>OS-2025-G-0019</v>
          </cell>
          <cell r="F445" t="str">
            <v>OS-2025-G-331</v>
          </cell>
          <cell r="G445" t="str">
            <v>Operação Sudeste</v>
          </cell>
          <cell r="H445" t="str">
            <v>Nova Demanda</v>
          </cell>
          <cell r="I445" t="str">
            <v>Modernização do revestimento do sistema de adução da UHE Simplício</v>
          </cell>
          <cell r="J445" t="str">
            <v>Retrofit do revestimento do sistema de adução (conduto, caixa espiral e pré-distribuidor) das Ugs da UHE Simplicio (UG01, UG02 e UG03)</v>
          </cell>
          <cell r="K445" t="str">
            <v>Retrofit do revestimento do sistema de adução (conduto, caixa espiral e pré-distribuidor) das Ugs da UHE Simplicio (UG01, UG02 e UG03)</v>
          </cell>
          <cell r="L445" t="str">
            <v>FA04090200</v>
          </cell>
          <cell r="M445" t="str">
            <v>UHE Simplício</v>
          </cell>
          <cell r="N445" t="str">
            <v>Geração</v>
          </cell>
          <cell r="O445" t="str">
            <v>Modernização de pequeno porte</v>
          </cell>
          <cell r="P445" t="str">
            <v>Modernização de pequeno porte</v>
          </cell>
          <cell r="Q445" t="str">
            <v>FGHI.0103</v>
          </cell>
          <cell r="R445" t="str">
            <v>EM.O_DER.O_20OM_Hidro</v>
          </cell>
          <cell r="S445">
            <v>4290510</v>
          </cell>
          <cell r="T445">
            <v>4290510</v>
          </cell>
          <cell r="U445">
            <v>2431667</v>
          </cell>
          <cell r="V445">
            <v>2431667</v>
          </cell>
          <cell r="W445">
            <v>2431667</v>
          </cell>
          <cell r="X445">
            <v>2431667</v>
          </cell>
          <cell r="Y445">
            <v>2446667</v>
          </cell>
          <cell r="Z445">
            <v>2446667</v>
          </cell>
          <cell r="AA445">
            <v>2446667</v>
          </cell>
          <cell r="AB445">
            <v>2446667</v>
          </cell>
          <cell r="AC445">
            <v>2446667</v>
          </cell>
          <cell r="AD445">
            <v>2446667</v>
          </cell>
          <cell r="AE445">
            <v>32987690</v>
          </cell>
          <cell r="AF445">
            <v>14660000</v>
          </cell>
          <cell r="AG445"/>
          <cell r="AH445"/>
          <cell r="AI445" t="str">
            <v xml:space="preserve">                              </v>
          </cell>
          <cell r="AJ445">
            <v>47647690</v>
          </cell>
          <cell r="AK445">
            <v>0</v>
          </cell>
          <cell r="AL445">
            <v>0</v>
          </cell>
          <cell r="AM445">
            <v>0</v>
          </cell>
          <cell r="AN445">
            <v>0</v>
          </cell>
          <cell r="AO445">
            <v>0</v>
          </cell>
          <cell r="AP445">
            <v>47647690</v>
          </cell>
          <cell r="AQ445" t="str">
            <v>Minas Gerais</v>
          </cell>
          <cell r="AT445">
            <v>14660000</v>
          </cell>
        </row>
        <row r="446">
          <cell r="B446" t="str">
            <v>COO2084</v>
          </cell>
          <cell r="C446" t="str">
            <v>OOMG.F</v>
          </cell>
          <cell r="D446" t="str">
            <v>OOGN.S-S-2025-I-0123</v>
          </cell>
          <cell r="E446" t="str">
            <v>OS-2025-G-0092</v>
          </cell>
          <cell r="F446" t="str">
            <v>OS-2025-G-332</v>
          </cell>
          <cell r="G446" t="str">
            <v>Operação Sudeste</v>
          </cell>
          <cell r="H446" t="str">
            <v>Nova Demanda</v>
          </cell>
          <cell r="I446" t="str">
            <v>Modernização do sistema de monitoramento de vibração e temperatura da UHE Itumbiara</v>
          </cell>
          <cell r="J446" t="str">
            <v>Retrofit do sistema de monitoramento de vibração e temperatura da UHE Itumbiara</v>
          </cell>
          <cell r="K446" t="str">
            <v>Retrofit do sistema de monitoramento de vibração e temperatura da UHE Itumbiara</v>
          </cell>
          <cell r="L446" t="str">
            <v>FA04090200</v>
          </cell>
          <cell r="M446" t="str">
            <v>UHE Itumbiara</v>
          </cell>
          <cell r="N446" t="str">
            <v>Geração</v>
          </cell>
          <cell r="O446" t="str">
            <v>Modernização de pequeno porte</v>
          </cell>
          <cell r="P446" t="str">
            <v>Modernização de pequeno porte</v>
          </cell>
          <cell r="Q446" t="str">
            <v>FGHI.0103</v>
          </cell>
          <cell r="R446" t="str">
            <v>EM.O_DER.O_20OM_Hidro</v>
          </cell>
          <cell r="S446">
            <v>0</v>
          </cell>
          <cell r="T446">
            <v>0</v>
          </cell>
          <cell r="U446">
            <v>0</v>
          </cell>
          <cell r="V446">
            <v>0</v>
          </cell>
          <cell r="W446">
            <v>0</v>
          </cell>
          <cell r="X446">
            <v>0</v>
          </cell>
          <cell r="Y446">
            <v>0</v>
          </cell>
          <cell r="Z446">
            <v>0</v>
          </cell>
          <cell r="AA446">
            <v>0</v>
          </cell>
          <cell r="AB446">
            <v>0</v>
          </cell>
          <cell r="AC446">
            <v>500000</v>
          </cell>
          <cell r="AD446">
            <v>0</v>
          </cell>
          <cell r="AE446">
            <v>500000</v>
          </cell>
          <cell r="AF446">
            <v>1000000</v>
          </cell>
          <cell r="AG446">
            <v>500000</v>
          </cell>
          <cell r="AH446"/>
          <cell r="AI446" t="str">
            <v xml:space="preserve">                              </v>
          </cell>
          <cell r="AJ446">
            <v>2000000</v>
          </cell>
          <cell r="AK446">
            <v>0</v>
          </cell>
          <cell r="AL446">
            <v>0</v>
          </cell>
          <cell r="AM446">
            <v>0</v>
          </cell>
          <cell r="AN446">
            <v>0</v>
          </cell>
          <cell r="AO446">
            <v>0</v>
          </cell>
          <cell r="AP446">
            <v>2000000</v>
          </cell>
          <cell r="AQ446" t="str">
            <v>Minas Gerais</v>
          </cell>
          <cell r="AS446" t="str">
            <v>x</v>
          </cell>
          <cell r="AT446">
            <v>1500000</v>
          </cell>
        </row>
        <row r="447">
          <cell r="B447" t="str">
            <v>COO2085</v>
          </cell>
          <cell r="C447" t="str">
            <v>OOGM.F</v>
          </cell>
          <cell r="D447" t="str">
            <v>OOGR.S-S-2025-I-0073</v>
          </cell>
          <cell r="E447" t="str">
            <v>OS-2025-G-0041</v>
          </cell>
          <cell r="F447" t="str">
            <v>OS-2025-G-337</v>
          </cell>
          <cell r="G447" t="str">
            <v>Operação Sudeste</v>
          </cell>
          <cell r="H447" t="str">
            <v>Nova Demanda</v>
          </cell>
          <cell r="I447" t="str">
            <v>Modernização das Unidades de Aquisição de Controle da UHE Luiz Carlos Barreto de Carvalho</v>
          </cell>
          <cell r="J447" t="str">
            <v>Retrofit parcial das UC's 1,2 e 3. com inclusão de novos componentes</v>
          </cell>
          <cell r="K447" t="str">
            <v>Retrofit parcial das UC's 1,2 e 3. com inclusão de novos componentes</v>
          </cell>
          <cell r="L447" t="str">
            <v>FA04110202</v>
          </cell>
          <cell r="M447" t="str">
            <v>UHE Luiz Carlos Barreto de Carvalho</v>
          </cell>
          <cell r="N447" t="str">
            <v>Geração</v>
          </cell>
          <cell r="O447" t="str">
            <v>Modernização de pequeno porte</v>
          </cell>
          <cell r="P447" t="str">
            <v>Modernização de pequeno porte</v>
          </cell>
          <cell r="Q447" t="str">
            <v>FGHI.0009</v>
          </cell>
          <cell r="R447" t="str">
            <v>PO.O_DRM.O_215U_UHLBA</v>
          </cell>
          <cell r="S447">
            <v>0</v>
          </cell>
          <cell r="T447">
            <v>0</v>
          </cell>
          <cell r="U447">
            <v>0</v>
          </cell>
          <cell r="V447">
            <v>0</v>
          </cell>
          <cell r="W447">
            <v>0</v>
          </cell>
          <cell r="X447">
            <v>0</v>
          </cell>
          <cell r="Y447">
            <v>0</v>
          </cell>
          <cell r="Z447">
            <v>200000</v>
          </cell>
          <cell r="AA447">
            <v>200000</v>
          </cell>
          <cell r="AB447">
            <v>200000</v>
          </cell>
          <cell r="AC447">
            <v>200000</v>
          </cell>
          <cell r="AD447">
            <v>200000</v>
          </cell>
          <cell r="AE447">
            <v>1000000</v>
          </cell>
          <cell r="AF447"/>
          <cell r="AG447"/>
          <cell r="AH447"/>
          <cell r="AI447" t="str">
            <v xml:space="preserve">                              </v>
          </cell>
          <cell r="AJ447">
            <v>1000000</v>
          </cell>
          <cell r="AK447">
            <v>0</v>
          </cell>
          <cell r="AL447">
            <v>0</v>
          </cell>
          <cell r="AM447">
            <v>0</v>
          </cell>
          <cell r="AN447">
            <v>0</v>
          </cell>
          <cell r="AO447">
            <v>0</v>
          </cell>
          <cell r="AP447">
            <v>1000000</v>
          </cell>
          <cell r="AQ447" t="str">
            <v>São Paulo</v>
          </cell>
          <cell r="AT447">
            <v>0</v>
          </cell>
        </row>
        <row r="448">
          <cell r="B448" t="str">
            <v>COO2086</v>
          </cell>
          <cell r="C448" t="str">
            <v>OOMG.F</v>
          </cell>
          <cell r="D448" t="str">
            <v>OOGN.S-S-2025-I-0134</v>
          </cell>
          <cell r="E448" t="str">
            <v>OS-2025-G-0006</v>
          </cell>
          <cell r="F448" t="str">
            <v>OS-2025-G-339</v>
          </cell>
          <cell r="G448" t="str">
            <v>Operação Sudeste</v>
          </cell>
          <cell r="H448" t="str">
            <v>Contratado</v>
          </cell>
          <cell r="I448" t="str">
            <v>Modernização do Sistema de Monitoramento de Vibração e Temperatura das UGs da UHE Luiz Carlos Barreto</v>
          </cell>
          <cell r="J448" t="str">
            <v>Retrofit Sistema de Monitoramento de Vibração e Temperatura das UGs da UHE Luiz Carlos Barreto</v>
          </cell>
          <cell r="K448" t="str">
            <v>Retrofit Sistema de Monitoramento de Vibração e Temperatura das UGs da UHE Luiz Carlos Barreto</v>
          </cell>
          <cell r="L448" t="str">
            <v>FA04090200</v>
          </cell>
          <cell r="M448" t="str">
            <v>UHE Luiz Carlos Barreto de Carvalho</v>
          </cell>
          <cell r="N448" t="str">
            <v>Geração</v>
          </cell>
          <cell r="O448" t="str">
            <v>Modernização de pequeno porte</v>
          </cell>
          <cell r="P448" t="str">
            <v>Modernização de pequeno porte</v>
          </cell>
          <cell r="Q448" t="str">
            <v>FGHI.0098</v>
          </cell>
          <cell r="R448" t="str">
            <v>EM.O_DER.O_215U</v>
          </cell>
          <cell r="S448">
            <v>0</v>
          </cell>
          <cell r="T448">
            <v>0</v>
          </cell>
          <cell r="U448">
            <v>0</v>
          </cell>
          <cell r="V448">
            <v>0</v>
          </cell>
          <cell r="W448">
            <v>0</v>
          </cell>
          <cell r="X448">
            <v>0</v>
          </cell>
          <cell r="Y448">
            <v>0</v>
          </cell>
          <cell r="Z448">
            <v>0</v>
          </cell>
          <cell r="AA448">
            <v>0</v>
          </cell>
          <cell r="AB448">
            <v>400000</v>
          </cell>
          <cell r="AC448">
            <v>0</v>
          </cell>
          <cell r="AD448">
            <v>0</v>
          </cell>
          <cell r="AE448">
            <v>400000</v>
          </cell>
          <cell r="AF448"/>
          <cell r="AG448"/>
          <cell r="AH448"/>
          <cell r="AI448" t="str">
            <v xml:space="preserve">                              </v>
          </cell>
          <cell r="AJ448">
            <v>400000</v>
          </cell>
          <cell r="AK448">
            <v>0</v>
          </cell>
          <cell r="AL448">
            <v>0</v>
          </cell>
          <cell r="AM448">
            <v>0</v>
          </cell>
          <cell r="AN448">
            <v>0</v>
          </cell>
          <cell r="AO448">
            <v>0</v>
          </cell>
          <cell r="AP448">
            <v>400000</v>
          </cell>
          <cell r="AQ448" t="str">
            <v>São Paulo</v>
          </cell>
          <cell r="AS448" t="str">
            <v>x</v>
          </cell>
          <cell r="AT448">
            <v>0</v>
          </cell>
        </row>
        <row r="449">
          <cell r="B449" t="str">
            <v>COO2087</v>
          </cell>
          <cell r="C449" t="str">
            <v>OOMG.F</v>
          </cell>
          <cell r="D449" t="str">
            <v>OOO.S-S-2025-I-0034</v>
          </cell>
          <cell r="E449" t="str">
            <v>OS-2025-G-0007</v>
          </cell>
          <cell r="F449" t="str">
            <v>OS-2025-G-338</v>
          </cell>
          <cell r="G449" t="str">
            <v>Operação Sudeste</v>
          </cell>
          <cell r="H449" t="str">
            <v>Nova Demanda</v>
          </cell>
          <cell r="I449" t="str">
            <v>Modernização do Sistema de Monitoramento de Vibração e Temperatura das UGs da UHE Marimbondo</v>
          </cell>
          <cell r="J449" t="str">
            <v>Retrofit Sistema de Monitoramento de Vibração e Temperatura das UGs da UHE Marimbondo</v>
          </cell>
          <cell r="K449" t="str">
            <v>Retrofit Sistema de Monitoramento de Vibração e Temperatura das UGs da UHE Marimbondo</v>
          </cell>
          <cell r="L449" t="str">
            <v>FA04090200</v>
          </cell>
          <cell r="M449" t="str">
            <v>UHE Marimbondo</v>
          </cell>
          <cell r="N449" t="str">
            <v>Geração</v>
          </cell>
          <cell r="O449" t="str">
            <v>Modernização de pequeno porte</v>
          </cell>
          <cell r="P449" t="str">
            <v>Modernização de pequeno porte</v>
          </cell>
          <cell r="Q449" t="str">
            <v>FGHI.0098</v>
          </cell>
          <cell r="R449" t="str">
            <v>EM.O_DER.O_215U</v>
          </cell>
          <cell r="S449">
            <v>0</v>
          </cell>
          <cell r="T449">
            <v>0</v>
          </cell>
          <cell r="U449">
            <v>0</v>
          </cell>
          <cell r="V449">
            <v>1000000</v>
          </cell>
          <cell r="W449">
            <v>0</v>
          </cell>
          <cell r="X449">
            <v>0</v>
          </cell>
          <cell r="Y449">
            <v>0</v>
          </cell>
          <cell r="Z449">
            <v>0</v>
          </cell>
          <cell r="AA449">
            <v>0</v>
          </cell>
          <cell r="AB449">
            <v>1000000</v>
          </cell>
          <cell r="AC449">
            <v>0</v>
          </cell>
          <cell r="AD449">
            <v>0</v>
          </cell>
          <cell r="AE449">
            <v>2000000</v>
          </cell>
          <cell r="AF449">
            <v>700000</v>
          </cell>
          <cell r="AG449"/>
          <cell r="AH449"/>
          <cell r="AI449" t="str">
            <v xml:space="preserve">                              </v>
          </cell>
          <cell r="AJ449">
            <v>2700000</v>
          </cell>
          <cell r="AK449">
            <v>0</v>
          </cell>
          <cell r="AL449">
            <v>0</v>
          </cell>
          <cell r="AM449">
            <v>0</v>
          </cell>
          <cell r="AN449">
            <v>0</v>
          </cell>
          <cell r="AO449">
            <v>0</v>
          </cell>
          <cell r="AP449">
            <v>2700000</v>
          </cell>
          <cell r="AQ449" t="str">
            <v>Minas Gerais</v>
          </cell>
          <cell r="AS449" t="str">
            <v>x</v>
          </cell>
          <cell r="AT449">
            <v>700000</v>
          </cell>
        </row>
        <row r="450">
          <cell r="B450" t="str">
            <v>COO2088</v>
          </cell>
          <cell r="C450" t="str">
            <v>OOGM.F</v>
          </cell>
          <cell r="D450" t="str">
            <v>OOGS.S-S-2025-I-0228</v>
          </cell>
          <cell r="E450" t="str">
            <v>OS-2025-G-0042</v>
          </cell>
          <cell r="F450" t="str">
            <v>OS-2025-G-340</v>
          </cell>
          <cell r="G450" t="str">
            <v>Operação Sudeste</v>
          </cell>
          <cell r="H450" t="str">
            <v>Nova Demanda</v>
          </cell>
          <cell r="I450" t="str">
            <v>Modernização do sistema de alimentação ininterrupta da Casa de Força</v>
          </cell>
          <cell r="J450" t="str">
            <v>Retrofit total da UPS da Casa de Força da usina</v>
          </cell>
          <cell r="K450" t="str">
            <v>Retrofit total da UPS da Casa de Força da usina</v>
          </cell>
          <cell r="L450" t="str">
            <v>FA04110202</v>
          </cell>
          <cell r="M450" t="str">
            <v>UHE Luiz Carlos Barreto de Carvalho</v>
          </cell>
          <cell r="N450" t="str">
            <v>Geração</v>
          </cell>
          <cell r="O450" t="str">
            <v>Modernização de pequeno porte</v>
          </cell>
          <cell r="P450" t="str">
            <v>Modernização de pequeno porte</v>
          </cell>
          <cell r="Q450" t="str">
            <v>FGHI.0009</v>
          </cell>
          <cell r="R450" t="str">
            <v>PO.O_DRM.O_215U_UHLBA</v>
          </cell>
          <cell r="S450">
            <v>0</v>
          </cell>
          <cell r="T450">
            <v>0</v>
          </cell>
          <cell r="U450">
            <v>0</v>
          </cell>
          <cell r="V450">
            <v>0</v>
          </cell>
          <cell r="W450">
            <v>0</v>
          </cell>
          <cell r="X450">
            <v>0</v>
          </cell>
          <cell r="Y450">
            <v>0</v>
          </cell>
          <cell r="Z450">
            <v>0</v>
          </cell>
          <cell r="AA450">
            <v>30000</v>
          </cell>
          <cell r="AB450">
            <v>50000</v>
          </cell>
          <cell r="AC450">
            <v>50000</v>
          </cell>
          <cell r="AD450">
            <v>0</v>
          </cell>
          <cell r="AE450">
            <v>130000</v>
          </cell>
          <cell r="AF450"/>
          <cell r="AG450"/>
          <cell r="AH450"/>
          <cell r="AI450" t="str">
            <v xml:space="preserve">                              </v>
          </cell>
          <cell r="AJ450">
            <v>130000</v>
          </cell>
          <cell r="AK450">
            <v>0</v>
          </cell>
          <cell r="AL450">
            <v>0</v>
          </cell>
          <cell r="AM450">
            <v>0</v>
          </cell>
          <cell r="AN450">
            <v>0</v>
          </cell>
          <cell r="AO450">
            <v>0</v>
          </cell>
          <cell r="AP450">
            <v>130000</v>
          </cell>
          <cell r="AQ450" t="str">
            <v>São Paulo</v>
          </cell>
          <cell r="AT450">
            <v>0</v>
          </cell>
        </row>
        <row r="451">
          <cell r="B451" t="str">
            <v>COO2090</v>
          </cell>
          <cell r="C451" t="str">
            <v>OOGM.F</v>
          </cell>
          <cell r="D451" t="str">
            <v>OOGR.S-S-2025-I-0194</v>
          </cell>
          <cell r="E451" t="str">
            <v>OS-2025-G-0054</v>
          </cell>
          <cell r="F451" t="str">
            <v>OS-2025-G-341</v>
          </cell>
          <cell r="G451" t="str">
            <v>Operação Sudeste</v>
          </cell>
          <cell r="H451" t="str">
            <v>Nova Demanda</v>
          </cell>
          <cell r="I451" t="str">
            <v>Modernização do sistema de abastecimento de água tratada da UHE Marimbondo</v>
          </cell>
          <cell r="J451" t="str">
            <v>Substitução da rede de abastecimento da água tratada da área industrial da área industrial da UHE Marimbondo. Obsolecência.</v>
          </cell>
          <cell r="K451" t="str">
            <v>Substitução da rede de abastecimento da água tratada da área industrial da área industrial da UHE Marimbondo. Obsolecência.</v>
          </cell>
          <cell r="L451" t="str">
            <v>FA04110204</v>
          </cell>
          <cell r="M451" t="str">
            <v>UHE Marimbondo</v>
          </cell>
          <cell r="N451" t="str">
            <v>Geração</v>
          </cell>
          <cell r="O451" t="str">
            <v>Modernização de pequeno porte</v>
          </cell>
          <cell r="P451" t="str">
            <v>Modernização de pequeno porte</v>
          </cell>
          <cell r="Q451" t="str">
            <v>FGHI.0004</v>
          </cell>
          <cell r="R451" t="str">
            <v>PO.O_DRT.O_215U</v>
          </cell>
          <cell r="S451">
            <v>0</v>
          </cell>
          <cell r="T451">
            <v>0</v>
          </cell>
          <cell r="U451">
            <v>0</v>
          </cell>
          <cell r="V451">
            <v>0</v>
          </cell>
          <cell r="W451">
            <v>0</v>
          </cell>
          <cell r="X451">
            <v>0</v>
          </cell>
          <cell r="Y451">
            <v>0</v>
          </cell>
          <cell r="Z451">
            <v>0</v>
          </cell>
          <cell r="AA451">
            <v>50000</v>
          </cell>
          <cell r="AB451">
            <v>50000</v>
          </cell>
          <cell r="AC451">
            <v>50000</v>
          </cell>
          <cell r="AD451">
            <v>50000</v>
          </cell>
          <cell r="AE451">
            <v>200000</v>
          </cell>
          <cell r="AF451"/>
          <cell r="AG451"/>
          <cell r="AH451"/>
          <cell r="AI451" t="str">
            <v xml:space="preserve">                              </v>
          </cell>
          <cell r="AJ451">
            <v>200000</v>
          </cell>
          <cell r="AK451">
            <v>0</v>
          </cell>
          <cell r="AL451">
            <v>0</v>
          </cell>
          <cell r="AM451">
            <v>0</v>
          </cell>
          <cell r="AN451">
            <v>0</v>
          </cell>
          <cell r="AO451">
            <v>0</v>
          </cell>
          <cell r="AP451">
            <v>200000</v>
          </cell>
          <cell r="AQ451" t="str">
            <v>Minas Gerais</v>
          </cell>
          <cell r="AT451">
            <v>0</v>
          </cell>
        </row>
        <row r="452">
          <cell r="B452" t="str">
            <v>COO2091</v>
          </cell>
          <cell r="C452" t="str">
            <v>OOGM.F</v>
          </cell>
          <cell r="D452" t="str">
            <v>OOTM.F-OS-2025-I-0376</v>
          </cell>
          <cell r="E452" t="str">
            <v>OS-2025-G-0060</v>
          </cell>
          <cell r="F452" t="str">
            <v>OS-2025-G-342</v>
          </cell>
          <cell r="G452" t="str">
            <v>Operação Sudeste</v>
          </cell>
          <cell r="H452" t="str">
            <v>Nova Demanda</v>
          </cell>
          <cell r="I452" t="str">
            <v>Modernização do sistema de abastecimento de água tratada da UHE Porto Colômbia</v>
          </cell>
          <cell r="J452" t="str">
            <v>Substitução da rede de abastecimento de água tratada para área industrial da UHE Porto Colômbia</v>
          </cell>
          <cell r="K452" t="str">
            <v>Substitução da rede de abastecimento de água tratada para área industrial da UHE Porto Colômbia</v>
          </cell>
          <cell r="L452" t="str">
            <v>FA04110204</v>
          </cell>
          <cell r="M452" t="str">
            <v>UHE Porto Colombia</v>
          </cell>
          <cell r="N452" t="str">
            <v>Geração</v>
          </cell>
          <cell r="O452" t="str">
            <v>Modernização de pequeno porte</v>
          </cell>
          <cell r="P452" t="str">
            <v>Modernização de pequeno porte</v>
          </cell>
          <cell r="Q452" t="str">
            <v>FGHI.0004</v>
          </cell>
          <cell r="R452" t="str">
            <v>PO.O_DRT.O_215U</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150000</v>
          </cell>
          <cell r="AG452"/>
          <cell r="AH452"/>
          <cell r="AI452" t="str">
            <v xml:space="preserve">                              </v>
          </cell>
          <cell r="AJ452">
            <v>150000</v>
          </cell>
          <cell r="AK452">
            <v>0</v>
          </cell>
          <cell r="AL452">
            <v>0</v>
          </cell>
          <cell r="AM452">
            <v>0</v>
          </cell>
          <cell r="AN452">
            <v>0</v>
          </cell>
          <cell r="AO452">
            <v>0</v>
          </cell>
          <cell r="AP452">
            <v>150000</v>
          </cell>
          <cell r="AQ452" t="str">
            <v>Minas Gerais</v>
          </cell>
          <cell r="AS452" t="str">
            <v>x</v>
          </cell>
          <cell r="AT452">
            <v>150000</v>
          </cell>
        </row>
        <row r="453">
          <cell r="B453" t="str">
            <v>COO2092</v>
          </cell>
          <cell r="C453" t="str">
            <v>OOGG.F</v>
          </cell>
          <cell r="D453" t="str">
            <v>OOTM.F-OS-2025-I-0400</v>
          </cell>
          <cell r="E453" t="str">
            <v>OS-2025-G-0109</v>
          </cell>
          <cell r="F453" t="str">
            <v>OS-2025-G-350</v>
          </cell>
          <cell r="G453" t="str">
            <v>Operação Sudeste</v>
          </cell>
          <cell r="H453" t="str">
            <v>Nova Demanda</v>
          </cell>
          <cell r="I453" t="str">
            <v>Modernização do Pórtico da Tomada Dágua da UHE Batalha</v>
          </cell>
          <cell r="J453" t="str">
            <v>Substituição completa do painél incluindo controle e operação-UHE Batalha</v>
          </cell>
          <cell r="K453" t="str">
            <v>Substituição completa do painél incluindo controle e operação-UHE Batalha</v>
          </cell>
          <cell r="L453" t="str">
            <v>FA04110101</v>
          </cell>
          <cell r="M453" t="str">
            <v>UHE Batalha</v>
          </cell>
          <cell r="N453" t="str">
            <v>Geração</v>
          </cell>
          <cell r="O453" t="str">
            <v>Modernização de pequeno porte</v>
          </cell>
          <cell r="P453" t="str">
            <v>Modernização de pequeno porte</v>
          </cell>
          <cell r="Q453" t="str">
            <v>FGHI.0007</v>
          </cell>
          <cell r="R453" t="str">
            <v>PO.O_DRG.O_20OM_UHBHA</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cell r="AG453"/>
          <cell r="AH453">
            <v>100000</v>
          </cell>
          <cell r="AI453" t="str">
            <v xml:space="preserve">                              </v>
          </cell>
          <cell r="AJ453">
            <v>100000</v>
          </cell>
          <cell r="AK453">
            <v>0</v>
          </cell>
          <cell r="AL453">
            <v>0</v>
          </cell>
          <cell r="AM453">
            <v>0</v>
          </cell>
          <cell r="AN453">
            <v>0</v>
          </cell>
          <cell r="AO453">
            <v>0</v>
          </cell>
          <cell r="AP453">
            <v>100000</v>
          </cell>
          <cell r="AQ453" t="str">
            <v>Goiás</v>
          </cell>
          <cell r="AS453" t="str">
            <v>x</v>
          </cell>
          <cell r="AT453">
            <v>100000</v>
          </cell>
        </row>
        <row r="454">
          <cell r="B454" t="str">
            <v>COO2093</v>
          </cell>
          <cell r="C454" t="str">
            <v>OOMG.F</v>
          </cell>
          <cell r="D454" t="str">
            <v>OOO.S-S-2025-I-0033</v>
          </cell>
          <cell r="E454" t="str">
            <v>OS-2025-G-0003</v>
          </cell>
          <cell r="F454" t="str">
            <v>OS-2025-G-312</v>
          </cell>
          <cell r="G454" t="str">
            <v>Operação Sudeste</v>
          </cell>
          <cell r="H454" t="str">
            <v>Nova Demanda</v>
          </cell>
          <cell r="I454" t="str">
            <v>Modernização do sistema de esgotamento da casa de força da UHE Furnas</v>
          </cell>
          <cell r="J454" t="str">
            <v>Substituição das bombas de esgotamento dos poços da casa de força da UHE Furnas</v>
          </cell>
          <cell r="K454" t="str">
            <v>Substituição das bombas de esgotamento dos poços da casa de força da UHE Furnas</v>
          </cell>
          <cell r="L454" t="str">
            <v>FA04090200</v>
          </cell>
          <cell r="M454" t="str">
            <v>UHE Furnas</v>
          </cell>
          <cell r="N454" t="str">
            <v>Geração</v>
          </cell>
          <cell r="O454" t="str">
            <v>Modernização de pequeno porte</v>
          </cell>
          <cell r="P454" t="str">
            <v>Modernização de pequeno porte</v>
          </cell>
          <cell r="Q454" t="str">
            <v>10014</v>
          </cell>
          <cell r="R454" t="str">
            <v>F-U-UHFUR - 3 MOTO BOMBAS P/DRENAGEM</v>
          </cell>
          <cell r="S454">
            <v>0</v>
          </cell>
          <cell r="T454">
            <v>0</v>
          </cell>
          <cell r="U454">
            <v>500000</v>
          </cell>
          <cell r="V454">
            <v>0</v>
          </cell>
          <cell r="W454">
            <v>500000</v>
          </cell>
          <cell r="X454">
            <v>0</v>
          </cell>
          <cell r="Y454">
            <v>0</v>
          </cell>
          <cell r="Z454">
            <v>0</v>
          </cell>
          <cell r="AA454">
            <v>1000000</v>
          </cell>
          <cell r="AB454">
            <v>0</v>
          </cell>
          <cell r="AC454">
            <v>0</v>
          </cell>
          <cell r="AD454">
            <v>0</v>
          </cell>
          <cell r="AE454">
            <v>2000000</v>
          </cell>
          <cell r="AF454"/>
          <cell r="AG454"/>
          <cell r="AH454"/>
          <cell r="AI454" t="str">
            <v xml:space="preserve">                              </v>
          </cell>
          <cell r="AJ454">
            <v>2000000</v>
          </cell>
          <cell r="AK454">
            <v>0</v>
          </cell>
          <cell r="AL454">
            <v>0</v>
          </cell>
          <cell r="AM454">
            <v>0</v>
          </cell>
          <cell r="AN454">
            <v>0</v>
          </cell>
          <cell r="AO454">
            <v>0</v>
          </cell>
          <cell r="AP454">
            <v>2000000</v>
          </cell>
          <cell r="AQ454" t="str">
            <v>Minas Gerais</v>
          </cell>
          <cell r="AS454" t="str">
            <v>x</v>
          </cell>
          <cell r="AT454">
            <v>0</v>
          </cell>
        </row>
        <row r="455">
          <cell r="B455" t="str">
            <v>COO2094</v>
          </cell>
          <cell r="C455" t="str">
            <v>OOGM.F</v>
          </cell>
          <cell r="D455" t="str">
            <v>OOPM.S-S-2025-I-0054</v>
          </cell>
          <cell r="E455" t="str">
            <v>OS-2025-G-0055</v>
          </cell>
          <cell r="F455" t="str">
            <v>OS-2025-G-343</v>
          </cell>
          <cell r="G455" t="str">
            <v>Operação Sudeste</v>
          </cell>
          <cell r="H455" t="str">
            <v>Nova Demanda</v>
          </cell>
          <cell r="I455" t="str">
            <v>Modernização das centrais de ar condicionado da Casa de Controle da UHE Marimbondo</v>
          </cell>
          <cell r="J455" t="str">
            <v>Substituicao das centrais de ar condicionado da Casa de Controle. Fim de vida útil</v>
          </cell>
          <cell r="K455" t="str">
            <v>Substituicao das centrais de ar condicionado da Casa de Controle. Fim de vida útil</v>
          </cell>
          <cell r="L455" t="str">
            <v>FA04110204</v>
          </cell>
          <cell r="M455" t="str">
            <v>UHE Marimbondo</v>
          </cell>
          <cell r="N455" t="str">
            <v>Geração</v>
          </cell>
          <cell r="O455" t="str">
            <v>Modernização de pequeno porte</v>
          </cell>
          <cell r="P455" t="str">
            <v>Modernização de pequeno porte</v>
          </cell>
          <cell r="Q455" t="str">
            <v>FGHI.0004</v>
          </cell>
          <cell r="R455" t="str">
            <v>PO.O_DRT.O_215U</v>
          </cell>
          <cell r="S455">
            <v>0</v>
          </cell>
          <cell r="T455">
            <v>0</v>
          </cell>
          <cell r="U455">
            <v>200000</v>
          </cell>
          <cell r="V455">
            <v>200000</v>
          </cell>
          <cell r="W455">
            <v>200000</v>
          </cell>
          <cell r="X455">
            <v>200000</v>
          </cell>
          <cell r="Y455">
            <v>200000</v>
          </cell>
          <cell r="Z455">
            <v>200000</v>
          </cell>
          <cell r="AA455">
            <v>83000</v>
          </cell>
          <cell r="AB455">
            <v>0</v>
          </cell>
          <cell r="AC455">
            <v>0</v>
          </cell>
          <cell r="AD455">
            <v>0</v>
          </cell>
          <cell r="AE455">
            <v>1283000</v>
          </cell>
          <cell r="AF455"/>
          <cell r="AG455"/>
          <cell r="AH455"/>
          <cell r="AI455" t="str">
            <v xml:space="preserve">                              </v>
          </cell>
          <cell r="AJ455">
            <v>1283000</v>
          </cell>
          <cell r="AK455">
            <v>0</v>
          </cell>
          <cell r="AL455">
            <v>0</v>
          </cell>
          <cell r="AM455">
            <v>0</v>
          </cell>
          <cell r="AN455">
            <v>0</v>
          </cell>
          <cell r="AO455">
            <v>0</v>
          </cell>
          <cell r="AP455">
            <v>1283000</v>
          </cell>
          <cell r="AQ455" t="str">
            <v>Minas Gerais</v>
          </cell>
          <cell r="AT455">
            <v>0</v>
          </cell>
        </row>
        <row r="456">
          <cell r="B456" t="str">
            <v>COO2095</v>
          </cell>
          <cell r="C456" t="str">
            <v>OOGG.F</v>
          </cell>
          <cell r="D456" t="str">
            <v>OOTM.F-OS-2025-I-0424</v>
          </cell>
          <cell r="E456" t="str">
            <v>OS-2025-G-0073</v>
          </cell>
          <cell r="F456" t="str">
            <v>OS-2025-G-363</v>
          </cell>
          <cell r="G456" t="str">
            <v>Operação Sudeste</v>
          </cell>
          <cell r="H456" t="str">
            <v>Nova Demanda</v>
          </cell>
          <cell r="I456" t="str">
            <v>Substituição das vedações das comportas do vertedouro da UHE Corumbá</v>
          </cell>
          <cell r="J456" t="str">
            <v>Substituição das vedações das comportas do vertedouro da UHE Corumbá devido ao tempo de vida útil das borrachas de vedação. Vazamentos de água nas comportas.</v>
          </cell>
          <cell r="K456" t="str">
            <v>Substituição das vedações das comportas do vertedouro da UHE Corumbá devido ao tempo de vida útil das borrachas de vedação. Vazamentos de água nas comportas.</v>
          </cell>
          <cell r="L456" t="str">
            <v>FA04110101</v>
          </cell>
          <cell r="M456" t="str">
            <v>UHE Corumbá</v>
          </cell>
          <cell r="N456" t="str">
            <v>Geração</v>
          </cell>
          <cell r="O456" t="str">
            <v>Modernização de pequeno porte</v>
          </cell>
          <cell r="P456" t="str">
            <v>Modernização de pequeno porte</v>
          </cell>
          <cell r="Q456" t="str">
            <v>FGHI.0001</v>
          </cell>
          <cell r="R456" t="str">
            <v>PO.O_DRG.O_215U</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500000</v>
          </cell>
          <cell r="AG456"/>
          <cell r="AH456"/>
          <cell r="AI456" t="str">
            <v xml:space="preserve">                              </v>
          </cell>
          <cell r="AJ456">
            <v>500000</v>
          </cell>
          <cell r="AK456">
            <v>0</v>
          </cell>
          <cell r="AL456">
            <v>0</v>
          </cell>
          <cell r="AM456">
            <v>0</v>
          </cell>
          <cell r="AN456">
            <v>0</v>
          </cell>
          <cell r="AO456">
            <v>0</v>
          </cell>
          <cell r="AP456">
            <v>500000</v>
          </cell>
          <cell r="AQ456" t="str">
            <v>Goiás</v>
          </cell>
          <cell r="AS456" t="str">
            <v>x</v>
          </cell>
          <cell r="AT456">
            <v>500000</v>
          </cell>
        </row>
        <row r="457">
          <cell r="B457" t="str">
            <v>COO2096</v>
          </cell>
          <cell r="C457" t="str">
            <v>OOGG.F</v>
          </cell>
          <cell r="D457" t="str">
            <v>OOTM.F-OS-2025-I-0428</v>
          </cell>
          <cell r="E457" t="str">
            <v>OS-2025-G-0121</v>
          </cell>
          <cell r="F457" t="str">
            <v>OS-2025-G-373</v>
          </cell>
          <cell r="G457" t="str">
            <v>Operação Sudeste</v>
          </cell>
          <cell r="H457" t="str">
            <v>Nova Demanda</v>
          </cell>
          <cell r="I457" t="str">
            <v>Substituição das vedações das comportas do vertedouro e stop logs da UHE Itumbiara</v>
          </cell>
          <cell r="J457" t="str">
            <v>Substituição das vedações das comportas do vertedouro devido ao tempo de vida útil das borrachas de vedação (vazamentos de água nas comportas) e pintura das comportas</v>
          </cell>
          <cell r="K457" t="str">
            <v>Substituição das vedações das comportas do vertedouro devido ao tempo de vida útil das borrachas de vedação (vazamentos de água nas comportas) e pintura das comportas</v>
          </cell>
          <cell r="L457" t="str">
            <v>FA04110102</v>
          </cell>
          <cell r="M457" t="str">
            <v>UHE Itumbiara</v>
          </cell>
          <cell r="N457" t="str">
            <v>Geração</v>
          </cell>
          <cell r="O457" t="str">
            <v>Modernização de pequeno porte</v>
          </cell>
          <cell r="P457" t="str">
            <v>Modernização de pequeno porte</v>
          </cell>
          <cell r="Q457" t="str">
            <v>FGHI.0003</v>
          </cell>
          <cell r="R457" t="str">
            <v>PO.O_DRG.O_20OM</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2000000</v>
          </cell>
          <cell r="AG457"/>
          <cell r="AH457"/>
          <cell r="AI457" t="str">
            <v xml:space="preserve">                              </v>
          </cell>
          <cell r="AJ457">
            <v>2000000</v>
          </cell>
          <cell r="AK457">
            <v>0</v>
          </cell>
          <cell r="AL457">
            <v>0</v>
          </cell>
          <cell r="AM457">
            <v>0</v>
          </cell>
          <cell r="AN457">
            <v>0</v>
          </cell>
          <cell r="AO457">
            <v>0</v>
          </cell>
          <cell r="AP457">
            <v>2000000</v>
          </cell>
          <cell r="AQ457" t="str">
            <v>Minas Gerais</v>
          </cell>
          <cell r="AT457">
            <v>2000000</v>
          </cell>
        </row>
        <row r="458">
          <cell r="B458" t="str">
            <v>COO2097</v>
          </cell>
          <cell r="C458" t="str">
            <v>OOGG.F</v>
          </cell>
          <cell r="D458" t="str">
            <v>OOTP.F-OS-2025-I-0616</v>
          </cell>
          <cell r="E458" t="str">
            <v>OS-2025-G-0077</v>
          </cell>
          <cell r="F458" t="str">
            <v>OS-2025-G-368</v>
          </cell>
          <cell r="G458" t="str">
            <v>Operação Sudeste</v>
          </cell>
          <cell r="H458" t="str">
            <v>Nova Demanda</v>
          </cell>
          <cell r="I458" t="str">
            <v>Modernização da instrumentação do MGT da UHE Itumbiara</v>
          </cell>
          <cell r="J458" t="str">
            <v>Substituição de fluxometro analógico no MGT-UHE Itumbiara</v>
          </cell>
          <cell r="K458" t="str">
            <v>Substituição de fluxometro analógico no MGT-UHE Itumbiara</v>
          </cell>
          <cell r="L458" t="str">
            <v>FA04110102</v>
          </cell>
          <cell r="M458" t="str">
            <v>UHE Itumbiara</v>
          </cell>
          <cell r="N458" t="str">
            <v>Geração</v>
          </cell>
          <cell r="O458" t="str">
            <v>Modernização de pequeno porte</v>
          </cell>
          <cell r="P458" t="str">
            <v>Modernização de pequeno porte</v>
          </cell>
          <cell r="Q458" t="str">
            <v>FGHI.0003</v>
          </cell>
          <cell r="R458" t="str">
            <v>PO.O_DRG.O_20OM</v>
          </cell>
          <cell r="S458">
            <v>0</v>
          </cell>
          <cell r="T458">
            <v>0</v>
          </cell>
          <cell r="U458">
            <v>0</v>
          </cell>
          <cell r="V458">
            <v>0</v>
          </cell>
          <cell r="W458">
            <v>0</v>
          </cell>
          <cell r="X458">
            <v>0</v>
          </cell>
          <cell r="Y458">
            <v>15000</v>
          </cell>
          <cell r="Z458"/>
          <cell r="AA458">
            <v>0</v>
          </cell>
          <cell r="AB458">
            <v>0</v>
          </cell>
          <cell r="AC458">
            <v>0</v>
          </cell>
          <cell r="AD458">
            <v>0</v>
          </cell>
          <cell r="AE458">
            <v>15000</v>
          </cell>
          <cell r="AF458"/>
          <cell r="AG458"/>
          <cell r="AH458"/>
          <cell r="AI458" t="str">
            <v xml:space="preserve">                              </v>
          </cell>
          <cell r="AJ458">
            <v>15000</v>
          </cell>
          <cell r="AK458">
            <v>0</v>
          </cell>
          <cell r="AL458">
            <v>0</v>
          </cell>
          <cell r="AM458">
            <v>0</v>
          </cell>
          <cell r="AN458">
            <v>0</v>
          </cell>
          <cell r="AO458">
            <v>0</v>
          </cell>
          <cell r="AP458">
            <v>15000</v>
          </cell>
          <cell r="AQ458" t="str">
            <v>Minas Gerais</v>
          </cell>
          <cell r="AT458">
            <v>0</v>
          </cell>
        </row>
        <row r="459">
          <cell r="B459" t="str">
            <v>COO2098</v>
          </cell>
          <cell r="C459" t="str">
            <v>OOGM.F</v>
          </cell>
          <cell r="D459" t="str">
            <v>OOTM.F-OS-2025-I-0369</v>
          </cell>
          <cell r="E459" t="str">
            <v>OS-2025-G-0056</v>
          </cell>
          <cell r="F459" t="str">
            <v>OS-2025-G-344</v>
          </cell>
          <cell r="G459" t="str">
            <v>Operação Sudeste</v>
          </cell>
          <cell r="H459" t="str">
            <v>Nova Demanda</v>
          </cell>
          <cell r="I459" t="str">
            <v>Adequação civil das estruturas e acessos da casa de força da UHE Porto Colômbia</v>
          </cell>
          <cell r="J459" t="str">
            <v>Substituição do Telhado da casa de Força da UHE Porto Colômbia, 5.000m2, fim de vida útil, goteira sobre os equipamentos</v>
          </cell>
          <cell r="K459" t="str">
            <v>Substituição do Telhado da casa de Força da UHE Porto Colômbia, 5.000m2, fim de vida útil, goteira sobre os equipamentos</v>
          </cell>
          <cell r="L459" t="str">
            <v>FA04110204</v>
          </cell>
          <cell r="M459" t="str">
            <v>UHE Porto Colombia</v>
          </cell>
          <cell r="N459" t="str">
            <v>Geração</v>
          </cell>
          <cell r="O459" t="str">
            <v>Modernização de pequeno porte</v>
          </cell>
          <cell r="P459" t="str">
            <v>Modernização de pequeno porte</v>
          </cell>
          <cell r="Q459" t="str">
            <v>FGHI.0004</v>
          </cell>
          <cell r="R459" t="str">
            <v>PO.O_DRT.O_215U</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cell r="AG459"/>
          <cell r="AH459"/>
          <cell r="AI459" t="str">
            <v xml:space="preserve">                              </v>
          </cell>
          <cell r="AJ459">
            <v>0</v>
          </cell>
          <cell r="AK459">
            <v>4200000</v>
          </cell>
          <cell r="AL459">
            <v>0</v>
          </cell>
          <cell r="AM459">
            <v>0</v>
          </cell>
          <cell r="AN459">
            <v>0</v>
          </cell>
          <cell r="AO459">
            <v>0</v>
          </cell>
          <cell r="AP459">
            <v>4200000</v>
          </cell>
          <cell r="AQ459" t="str">
            <v>Minas Gerais</v>
          </cell>
          <cell r="AT459">
            <v>4200000</v>
          </cell>
        </row>
        <row r="460">
          <cell r="B460" t="str">
            <v>COO2099</v>
          </cell>
          <cell r="C460" t="str">
            <v>OOGG.F</v>
          </cell>
          <cell r="D460" t="str">
            <v>OOGN.S-S-2025-I-0118</v>
          </cell>
          <cell r="E460" t="str">
            <v>OS-2025-G-0086</v>
          </cell>
          <cell r="F460" t="str">
            <v>OS-2025-G-398</v>
          </cell>
          <cell r="G460" t="str">
            <v>Operação Sudeste</v>
          </cell>
          <cell r="H460" t="str">
            <v>Nova Demanda</v>
          </cell>
          <cell r="I460" t="str">
            <v>Modernização dos compressores de ar de regulação da UHE Manso</v>
          </cell>
          <cell r="J460" t="str">
            <v>Substituição dos compressores de ar de regulação da UHE Manso. Compressores em final de vida útil, obsoletos e dificuldades de aquisição de peças reposição.</v>
          </cell>
          <cell r="K460" t="str">
            <v>Substituição dos compressores de ar de regulação da UHE Manso. Compressores em final de vida útil, obsoletos e dificuldades de aquisição de peças reposição.</v>
          </cell>
          <cell r="L460" t="str">
            <v>FA04110103</v>
          </cell>
          <cell r="M460" t="str">
            <v>UHE Manso</v>
          </cell>
          <cell r="N460" t="str">
            <v>Geração</v>
          </cell>
          <cell r="O460" t="str">
            <v>Modernização de pequeno porte</v>
          </cell>
          <cell r="P460" t="str">
            <v>Modernização de pequeno porte</v>
          </cell>
          <cell r="Q460" t="str">
            <v>FGHI.0011</v>
          </cell>
          <cell r="R460" t="str">
            <v>PO.O_DRG.O_20OM_UHMSO</v>
          </cell>
          <cell r="S460">
            <v>0</v>
          </cell>
          <cell r="T460">
            <v>0</v>
          </cell>
          <cell r="U460">
            <v>0</v>
          </cell>
          <cell r="V460">
            <v>0</v>
          </cell>
          <cell r="W460">
            <v>500000</v>
          </cell>
          <cell r="X460">
            <v>0</v>
          </cell>
          <cell r="Y460">
            <v>0</v>
          </cell>
          <cell r="Z460">
            <v>0</v>
          </cell>
          <cell r="AA460">
            <v>0</v>
          </cell>
          <cell r="AB460">
            <v>0</v>
          </cell>
          <cell r="AC460">
            <v>0</v>
          </cell>
          <cell r="AD460">
            <v>0</v>
          </cell>
          <cell r="AE460">
            <v>500000</v>
          </cell>
          <cell r="AF460"/>
          <cell r="AG460"/>
          <cell r="AH460"/>
          <cell r="AI460" t="str">
            <v xml:space="preserve">                              </v>
          </cell>
          <cell r="AJ460">
            <v>500000</v>
          </cell>
          <cell r="AK460">
            <v>0</v>
          </cell>
          <cell r="AL460">
            <v>0</v>
          </cell>
          <cell r="AM460">
            <v>0</v>
          </cell>
          <cell r="AN460">
            <v>0</v>
          </cell>
          <cell r="AO460">
            <v>0</v>
          </cell>
          <cell r="AP460">
            <v>500000</v>
          </cell>
          <cell r="AQ460" t="str">
            <v>Mato Grosso</v>
          </cell>
          <cell r="AT460">
            <v>0</v>
          </cell>
        </row>
        <row r="461">
          <cell r="B461" t="str">
            <v>COO2100</v>
          </cell>
          <cell r="C461" t="str">
            <v>OOGG.F</v>
          </cell>
          <cell r="D461" t="str">
            <v>OOGM.F-OS-2025-I-0218</v>
          </cell>
          <cell r="E461" t="str">
            <v>OS-2025-G-0029</v>
          </cell>
          <cell r="F461" t="str">
            <v>OS-2025-G-374</v>
          </cell>
          <cell r="G461" t="str">
            <v>Operação Sudeste</v>
          </cell>
          <cell r="H461" t="str">
            <v>Nova Demanda</v>
          </cell>
          <cell r="I461" t="str">
            <v>Modernização dos compressores de ar de serviço da UHE Itumbiara</v>
          </cell>
          <cell r="J461" t="str">
            <v>Substituição dos compressores de ar de serviço da UHE Itumbiara. Compressores em final de vida útil, obsoletos e dificuldades de aquisição de peças reposição.</v>
          </cell>
          <cell r="K461" t="str">
            <v>Substituição dos compressores de ar de serviço da UHE Itumbiara. Compressores em final de vida útil, obsoletos e dificuldades de aquisição de peças reposição.</v>
          </cell>
          <cell r="L461" t="str">
            <v>FA04110102</v>
          </cell>
          <cell r="M461" t="str">
            <v>UHE Itumbiara</v>
          </cell>
          <cell r="N461" t="str">
            <v>Geração</v>
          </cell>
          <cell r="O461" t="str">
            <v>Modernização de pequeno porte</v>
          </cell>
          <cell r="P461" t="str">
            <v>Modernização de pequeno porte</v>
          </cell>
          <cell r="Q461" t="str">
            <v>FGHI.0003</v>
          </cell>
          <cell r="R461" t="str">
            <v>PO.O_DRG.O_20OM</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600000</v>
          </cell>
          <cell r="AG461"/>
          <cell r="AH461"/>
          <cell r="AI461" t="str">
            <v xml:space="preserve">                              </v>
          </cell>
          <cell r="AJ461">
            <v>600000</v>
          </cell>
          <cell r="AK461">
            <v>0</v>
          </cell>
          <cell r="AL461">
            <v>0</v>
          </cell>
          <cell r="AM461">
            <v>0</v>
          </cell>
          <cell r="AN461">
            <v>0</v>
          </cell>
          <cell r="AO461">
            <v>0</v>
          </cell>
          <cell r="AP461">
            <v>600000</v>
          </cell>
          <cell r="AQ461" t="str">
            <v>Minas Gerais</v>
          </cell>
          <cell r="AS461" t="str">
            <v>x</v>
          </cell>
          <cell r="AT461">
            <v>600000</v>
          </cell>
        </row>
        <row r="462">
          <cell r="B462" t="str">
            <v>COO2101</v>
          </cell>
          <cell r="C462" t="str">
            <v>OOMG.F</v>
          </cell>
          <cell r="D462" t="str">
            <v>OOPT.C-C-2025-I-0038</v>
          </cell>
          <cell r="E462" t="str">
            <v>OS-2025-G-0005</v>
          </cell>
          <cell r="F462" t="str">
            <v>OS-2025-G-301</v>
          </cell>
          <cell r="G462" t="str">
            <v>Operação Sudeste</v>
          </cell>
          <cell r="H462" t="str">
            <v>Contratado</v>
          </cell>
          <cell r="I462" t="str">
            <v>Modernização do controle dos Reguladores</v>
          </cell>
          <cell r="J462" t="str">
            <v>Substituição dos Controles dos RTs e RVs das UHs da UHE Luiz Carlos Barreto</v>
          </cell>
          <cell r="K462" t="str">
            <v>Substituição dos Controles dos RTs e RVs das UHs da UHE Luiz Carlos Barreto</v>
          </cell>
          <cell r="L462" t="str">
            <v>FA04090200</v>
          </cell>
          <cell r="M462" t="str">
            <v>UHE Luiz Carlos Barreto de Carvalho</v>
          </cell>
          <cell r="N462" t="str">
            <v>Geração</v>
          </cell>
          <cell r="O462" t="str">
            <v>Modernização de pequeno porte</v>
          </cell>
          <cell r="P462" t="str">
            <v>Modernização de pequeno porte</v>
          </cell>
          <cell r="Q462" t="str">
            <v>FGHI.0098</v>
          </cell>
          <cell r="R462" t="str">
            <v>EM.O_DER.O_215U</v>
          </cell>
          <cell r="S462">
            <v>0</v>
          </cell>
          <cell r="T462">
            <v>0</v>
          </cell>
          <cell r="U462">
            <v>0</v>
          </cell>
          <cell r="V462">
            <v>1500000</v>
          </cell>
          <cell r="W462">
            <v>0</v>
          </cell>
          <cell r="X462">
            <v>0</v>
          </cell>
          <cell r="Y462">
            <v>0</v>
          </cell>
          <cell r="Z462">
            <v>1500000</v>
          </cell>
          <cell r="AA462">
            <v>0</v>
          </cell>
          <cell r="AB462">
            <v>0</v>
          </cell>
          <cell r="AC462">
            <v>0</v>
          </cell>
          <cell r="AD462">
            <v>1500000</v>
          </cell>
          <cell r="AE462">
            <v>4500000</v>
          </cell>
          <cell r="AF462">
            <v>3740000</v>
          </cell>
          <cell r="AG462">
            <v>1400000</v>
          </cell>
          <cell r="AH462"/>
          <cell r="AI462" t="str">
            <v xml:space="preserve">                              </v>
          </cell>
          <cell r="AJ462">
            <v>9640000</v>
          </cell>
          <cell r="AK462">
            <v>0</v>
          </cell>
          <cell r="AL462">
            <v>0</v>
          </cell>
          <cell r="AM462">
            <v>0</v>
          </cell>
          <cell r="AN462">
            <v>0</v>
          </cell>
          <cell r="AO462">
            <v>0</v>
          </cell>
          <cell r="AP462">
            <v>9640000</v>
          </cell>
          <cell r="AQ462" t="str">
            <v>São Paulo</v>
          </cell>
          <cell r="AS462" t="str">
            <v>x</v>
          </cell>
          <cell r="AT462">
            <v>5140000</v>
          </cell>
        </row>
        <row r="463">
          <cell r="B463" t="str">
            <v>COO2102</v>
          </cell>
          <cell r="C463" t="str">
            <v>OOGG.F</v>
          </cell>
          <cell r="D463" t="str">
            <v>OOTM.F-OS-2025-I-0318</v>
          </cell>
          <cell r="E463" t="str">
            <v>OS-2025-G-0127</v>
          </cell>
          <cell r="F463" t="str">
            <v>OS-2025-G-355</v>
          </cell>
          <cell r="G463" t="str">
            <v>Operação Sudeste</v>
          </cell>
          <cell r="H463" t="str">
            <v>Nova Demanda</v>
          </cell>
          <cell r="I463" t="str">
            <v>Modernização dos disjuntores do serviço auxiliar 13,8kV da UHE Corumbá</v>
          </cell>
          <cell r="J463" t="str">
            <v>Substituição dos disjuntores do serviço auxiliar 13,8kV (DG1, DG2 e DG3 e DL)-UHE Corumbá</v>
          </cell>
          <cell r="K463" t="str">
            <v>Substituição dos disjuntores do serviço auxiliar 13,8kV (DG1, DG2 e DG3 e DL)-UHE Corumbá</v>
          </cell>
          <cell r="L463" t="str">
            <v>FA04110101</v>
          </cell>
          <cell r="M463" t="str">
            <v>UHE Corumbá</v>
          </cell>
          <cell r="N463" t="str">
            <v>Geração</v>
          </cell>
          <cell r="O463" t="str">
            <v>Modernização de pequeno porte</v>
          </cell>
          <cell r="P463" t="str">
            <v>Modernização de pequeno porte</v>
          </cell>
          <cell r="Q463" t="str">
            <v>FGHI.0001</v>
          </cell>
          <cell r="R463" t="str">
            <v>PO.O_DRG.O_215U</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600000</v>
          </cell>
          <cell r="AG463"/>
          <cell r="AH463"/>
          <cell r="AI463" t="str">
            <v xml:space="preserve">                              </v>
          </cell>
          <cell r="AJ463">
            <v>600000</v>
          </cell>
          <cell r="AK463">
            <v>0</v>
          </cell>
          <cell r="AL463">
            <v>0</v>
          </cell>
          <cell r="AM463">
            <v>0</v>
          </cell>
          <cell r="AN463">
            <v>0</v>
          </cell>
          <cell r="AO463">
            <v>0</v>
          </cell>
          <cell r="AP463">
            <v>600000</v>
          </cell>
          <cell r="AQ463" t="str">
            <v>Goiás</v>
          </cell>
          <cell r="AS463" t="str">
            <v>x</v>
          </cell>
          <cell r="AT463">
            <v>600000</v>
          </cell>
        </row>
        <row r="464">
          <cell r="B464" t="str">
            <v>COO2103</v>
          </cell>
          <cell r="C464" t="str">
            <v>OOGG.F</v>
          </cell>
          <cell r="D464" t="str">
            <v>OOTM.F-OS-2025-I-0293</v>
          </cell>
          <cell r="E464" t="str">
            <v>OS-2025-G-0074</v>
          </cell>
          <cell r="F464" t="str">
            <v>OS-2025-G-361</v>
          </cell>
          <cell r="G464" t="str">
            <v>Operação Sudeste</v>
          </cell>
          <cell r="H464" t="str">
            <v>Nova Demanda</v>
          </cell>
          <cell r="I464" t="str">
            <v>Modernização do sistema de alimentação de emergência da UHE Corumbá</v>
          </cell>
          <cell r="J464" t="str">
            <v>Substituição dos painéis de controle dos GMG's da usina e subestação da UHE Corumbá
Modernização do sistema que se encontra obsoleto e com equipamentos descontinuados, sem peças de reposição.</v>
          </cell>
          <cell r="K464" t="str">
            <v>Substituição dos painéis de controle dos GMG's da usina e subestação da UHE Corumbá
Modernização do sistema que se encontra obsoleto e com equipamentos descontinuados, sem peças de reposição.</v>
          </cell>
          <cell r="L464" t="str">
            <v>FA04110101</v>
          </cell>
          <cell r="M464" t="str">
            <v>UHE Corumbá</v>
          </cell>
          <cell r="N464" t="str">
            <v>Geração</v>
          </cell>
          <cell r="O464" t="str">
            <v>Modernização de pequeno porte</v>
          </cell>
          <cell r="P464" t="str">
            <v>Modernização de pequeno porte</v>
          </cell>
          <cell r="Q464" t="str">
            <v>FGHI.0001</v>
          </cell>
          <cell r="R464" t="str">
            <v>PO.O_DRG.O_215U</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300000</v>
          </cell>
          <cell r="AG464"/>
          <cell r="AH464"/>
          <cell r="AI464" t="str">
            <v xml:space="preserve">                              </v>
          </cell>
          <cell r="AJ464">
            <v>300000</v>
          </cell>
          <cell r="AK464">
            <v>0</v>
          </cell>
          <cell r="AL464">
            <v>0</v>
          </cell>
          <cell r="AM464">
            <v>0</v>
          </cell>
          <cell r="AN464">
            <v>0</v>
          </cell>
          <cell r="AO464">
            <v>0</v>
          </cell>
          <cell r="AP464">
            <v>300000</v>
          </cell>
          <cell r="AQ464" t="str">
            <v>Goiás</v>
          </cell>
          <cell r="AS464" t="str">
            <v>x</v>
          </cell>
          <cell r="AT464">
            <v>300000</v>
          </cell>
        </row>
        <row r="465">
          <cell r="B465" t="str">
            <v>COO2104</v>
          </cell>
          <cell r="C465" t="str">
            <v>OOGG.F</v>
          </cell>
          <cell r="D465" t="str">
            <v>OOGM.F-OS-2025-I-0235</v>
          </cell>
          <cell r="E465" t="str">
            <v>OS-2025-G-0031</v>
          </cell>
          <cell r="F465" t="str">
            <v>OS-2025-G-392</v>
          </cell>
          <cell r="G465" t="str">
            <v>Operação Sudeste</v>
          </cell>
          <cell r="H465" t="str">
            <v>Nova Demanda</v>
          </cell>
          <cell r="I465" t="str">
            <v>Modernização do sistema de resfriamento dos Geradores da UHE Manso</v>
          </cell>
          <cell r="J465" t="str">
            <v>Substituição dos radiadores de ar do gerador Usina de Manso  em  final de  vida útil. Cada unidade geradora utiliza 6 radiadores. A UHE Manso tem 4 unidades geradoras.</v>
          </cell>
          <cell r="K465" t="str">
            <v>Substituição dos radiadores de ar do gerador Usina de Manso  em  final de  vida útil. Cada unidade geradora utiliza 6 radiadores. A UHE Manso tem 4 unidades geradoras.</v>
          </cell>
          <cell r="L465" t="str">
            <v>FA04110103</v>
          </cell>
          <cell r="M465" t="str">
            <v>UHE Manso</v>
          </cell>
          <cell r="N465" t="str">
            <v>Geração</v>
          </cell>
          <cell r="O465" t="str">
            <v>Modernização de pequeno porte</v>
          </cell>
          <cell r="P465" t="str">
            <v>Modernização de pequeno porte</v>
          </cell>
          <cell r="Q465" t="str">
            <v>FGHI.0011</v>
          </cell>
          <cell r="R465" t="str">
            <v>PO.O_DRG.O_20OM_UHMSO</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500000</v>
          </cell>
          <cell r="AG465"/>
          <cell r="AH465"/>
          <cell r="AI465" t="str">
            <v xml:space="preserve">                              </v>
          </cell>
          <cell r="AJ465">
            <v>500000</v>
          </cell>
          <cell r="AK465">
            <v>0</v>
          </cell>
          <cell r="AL465">
            <v>0</v>
          </cell>
          <cell r="AM465">
            <v>0</v>
          </cell>
          <cell r="AN465">
            <v>0</v>
          </cell>
          <cell r="AO465">
            <v>0</v>
          </cell>
          <cell r="AP465">
            <v>500000</v>
          </cell>
          <cell r="AQ465" t="str">
            <v>Mato Grosso</v>
          </cell>
          <cell r="AT465">
            <v>500000</v>
          </cell>
        </row>
        <row r="466">
          <cell r="B466" t="str">
            <v>COO2105</v>
          </cell>
          <cell r="C466" t="str">
            <v>OOGG.F</v>
          </cell>
          <cell r="D466" t="str">
            <v>OOGS.S-S-2025-I-0204</v>
          </cell>
          <cell r="E466" t="str">
            <v>OS-2025-G-0097</v>
          </cell>
          <cell r="F466" t="str">
            <v>OS-2025-G-388</v>
          </cell>
          <cell r="G466" t="str">
            <v>Operação Sudeste</v>
          </cell>
          <cell r="H466" t="str">
            <v>Nova Demanda</v>
          </cell>
          <cell r="I466" t="str">
            <v>Substituição dos RDP's da UHE Manso</v>
          </cell>
          <cell r="J466" t="str">
            <v>Substituição dos RDP's da UHE Manso, visando substituição de equipamentos obsoletos</v>
          </cell>
          <cell r="K466" t="str">
            <v>Substituição dos RDP's da UHE Manso, visando substituição de equipamentos obsoletos</v>
          </cell>
          <cell r="L466" t="str">
            <v>FA04110103</v>
          </cell>
          <cell r="M466" t="str">
            <v>UHE Manso</v>
          </cell>
          <cell r="N466" t="str">
            <v>Geração</v>
          </cell>
          <cell r="O466" t="str">
            <v>Modernização de pequeno porte</v>
          </cell>
          <cell r="P466" t="str">
            <v>Modernização de pequeno porte</v>
          </cell>
          <cell r="Q466" t="str">
            <v>FGHI.0011</v>
          </cell>
          <cell r="R466" t="str">
            <v>PO.O_DRG.O_20OM_UHMSO</v>
          </cell>
          <cell r="S466">
            <v>0</v>
          </cell>
          <cell r="T466">
            <v>0</v>
          </cell>
          <cell r="U466">
            <v>0</v>
          </cell>
          <cell r="V466">
            <v>0</v>
          </cell>
          <cell r="W466">
            <v>0</v>
          </cell>
          <cell r="X466">
            <v>175000</v>
          </cell>
          <cell r="Y466">
            <v>0</v>
          </cell>
          <cell r="Z466">
            <v>0</v>
          </cell>
          <cell r="AA466">
            <v>0</v>
          </cell>
          <cell r="AB466">
            <v>0</v>
          </cell>
          <cell r="AC466">
            <v>0</v>
          </cell>
          <cell r="AD466">
            <v>0</v>
          </cell>
          <cell r="AE466">
            <v>175000</v>
          </cell>
          <cell r="AF466"/>
          <cell r="AG466"/>
          <cell r="AH466"/>
          <cell r="AI466" t="str">
            <v xml:space="preserve">                              </v>
          </cell>
          <cell r="AJ466">
            <v>175000</v>
          </cell>
          <cell r="AK466">
            <v>0</v>
          </cell>
          <cell r="AL466">
            <v>0</v>
          </cell>
          <cell r="AM466">
            <v>0</v>
          </cell>
          <cell r="AN466">
            <v>0</v>
          </cell>
          <cell r="AO466">
            <v>0</v>
          </cell>
          <cell r="AP466">
            <v>175000</v>
          </cell>
          <cell r="AQ466" t="str">
            <v>Mato Grosso</v>
          </cell>
          <cell r="AT466">
            <v>0</v>
          </cell>
        </row>
        <row r="467">
          <cell r="B467" t="str">
            <v>COO2106</v>
          </cell>
          <cell r="C467" t="str">
            <v>OOGM.F</v>
          </cell>
          <cell r="D467" t="str">
            <v>OOGS.S-S-2025-I-0247</v>
          </cell>
          <cell r="E467" t="str">
            <v>OS-2025-G-0057</v>
          </cell>
          <cell r="F467" t="str">
            <v>OS-2025-G-320</v>
          </cell>
          <cell r="G467" t="str">
            <v>Operação Sudeste</v>
          </cell>
          <cell r="H467" t="str">
            <v>Nova Demanda</v>
          </cell>
          <cell r="I467" t="str">
            <v>Substituição dos sistema de medição de niveis do reservatorio e canal de fuga da UHE Marimbondo</v>
          </cell>
          <cell r="J467" t="str">
            <v>Substituição dos sistema de medição de niveis do reservatorio e canal de fuga do UHE Marimbondo em razão falta de confiabilidade operacional dos sitema existente</v>
          </cell>
          <cell r="K467" t="str">
            <v>Substituição dos sistema de medição de niveis do reservatorio e canal de fuga do UHE Marimbondo em razão falta de confiabilidade operacional dos sitema existente</v>
          </cell>
          <cell r="L467" t="str">
            <v>FA04110204</v>
          </cell>
          <cell r="M467" t="str">
            <v>UHE Marimbondo</v>
          </cell>
          <cell r="N467" t="str">
            <v>Geração</v>
          </cell>
          <cell r="O467" t="str">
            <v>Modernização de pequeno porte</v>
          </cell>
          <cell r="P467" t="str">
            <v>Modernização de pequeno porte</v>
          </cell>
          <cell r="Q467" t="str">
            <v>FGHI.0004</v>
          </cell>
          <cell r="R467" t="str">
            <v>PO.O_DRT.O_215U</v>
          </cell>
          <cell r="S467">
            <v>0</v>
          </cell>
          <cell r="T467">
            <v>0</v>
          </cell>
          <cell r="U467">
            <v>0</v>
          </cell>
          <cell r="V467">
            <v>50000</v>
          </cell>
          <cell r="W467">
            <v>50000</v>
          </cell>
          <cell r="X467">
            <v>0</v>
          </cell>
          <cell r="Y467">
            <v>0</v>
          </cell>
          <cell r="Z467">
            <v>0</v>
          </cell>
          <cell r="AA467">
            <v>0</v>
          </cell>
          <cell r="AB467">
            <v>0</v>
          </cell>
          <cell r="AC467">
            <v>0</v>
          </cell>
          <cell r="AD467">
            <v>0</v>
          </cell>
          <cell r="AE467">
            <v>100000</v>
          </cell>
          <cell r="AF467"/>
          <cell r="AG467"/>
          <cell r="AH467"/>
          <cell r="AI467" t="str">
            <v xml:space="preserve">                              </v>
          </cell>
          <cell r="AJ467">
            <v>100000</v>
          </cell>
          <cell r="AK467">
            <v>0</v>
          </cell>
          <cell r="AL467">
            <v>0</v>
          </cell>
          <cell r="AM467">
            <v>0</v>
          </cell>
          <cell r="AN467">
            <v>0</v>
          </cell>
          <cell r="AO467">
            <v>0</v>
          </cell>
          <cell r="AP467">
            <v>100000</v>
          </cell>
          <cell r="AQ467" t="str">
            <v>Minas Gerais</v>
          </cell>
          <cell r="AS467" t="str">
            <v>x</v>
          </cell>
          <cell r="AT467">
            <v>0</v>
          </cell>
        </row>
        <row r="468">
          <cell r="B468" t="str">
            <v>COO2107</v>
          </cell>
          <cell r="C468" t="str">
            <v>OOGM.F</v>
          </cell>
          <cell r="D468" t="str">
            <v>OOTG.F-OS-2025-I-0662</v>
          </cell>
          <cell r="E468" t="str">
            <v>OS-2025-G-0065</v>
          </cell>
          <cell r="F468" t="str">
            <v>OS-2025-G-321</v>
          </cell>
          <cell r="G468" t="str">
            <v>Operação Sudeste</v>
          </cell>
          <cell r="H468" t="str">
            <v>Nova Demanda</v>
          </cell>
          <cell r="I468" t="str">
            <v>Substituição dos sistema de medição de niveis do reservatorio e canal de fuga do UHE Porto Colombia</v>
          </cell>
          <cell r="J468" t="str">
            <v>Substituição dos sistema de medição de niveis do reservatorio e canal de fuga do UHE Porto Colombia em razão falta de confiabilidade operacional dos sitema existente</v>
          </cell>
          <cell r="K468" t="str">
            <v>Substituição dos sistema de medição de niveis do reservatorio e canal de fuga do UHE Porto Colombia em razão falta de confiabilidade operacional dos sitema existente</v>
          </cell>
          <cell r="L468" t="str">
            <v>FA04110204</v>
          </cell>
          <cell r="M468" t="str">
            <v>UHE Porto Colombia</v>
          </cell>
          <cell r="N468" t="str">
            <v>Geração</v>
          </cell>
          <cell r="O468" t="str">
            <v>Modernização de pequeno porte</v>
          </cell>
          <cell r="P468" t="str">
            <v>Modernização de pequeno porte</v>
          </cell>
          <cell r="Q468" t="str">
            <v>FGHI.0004</v>
          </cell>
          <cell r="R468" t="str">
            <v>PO.O_DRT.O_215U</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100000</v>
          </cell>
          <cell r="AG468"/>
          <cell r="AH468"/>
          <cell r="AI468" t="str">
            <v xml:space="preserve">                              </v>
          </cell>
          <cell r="AJ468">
            <v>100000</v>
          </cell>
          <cell r="AK468">
            <v>0</v>
          </cell>
          <cell r="AL468">
            <v>0</v>
          </cell>
          <cell r="AM468">
            <v>0</v>
          </cell>
          <cell r="AN468">
            <v>0</v>
          </cell>
          <cell r="AO468">
            <v>0</v>
          </cell>
          <cell r="AP468">
            <v>100000</v>
          </cell>
          <cell r="AQ468" t="str">
            <v>Minas Gerais</v>
          </cell>
          <cell r="AT468">
            <v>100000</v>
          </cell>
        </row>
        <row r="469">
          <cell r="B469" t="str">
            <v>COO2108</v>
          </cell>
          <cell r="C469" t="str">
            <v>OOGG.F</v>
          </cell>
          <cell r="D469" t="str">
            <v>OOGSI.F-OS-2025-I-0105</v>
          </cell>
          <cell r="E469" t="str">
            <v>OS-2025-G-0079</v>
          </cell>
          <cell r="F469" t="str">
            <v>OS-2025-G-375</v>
          </cell>
          <cell r="G469" t="str">
            <v>Operação Sudeste</v>
          </cell>
          <cell r="H469" t="str">
            <v>Nova Demanda</v>
          </cell>
          <cell r="I469" t="str">
            <v>Substituição dos trocadores de calor do mancal guia turbina da UHE Itumbiara</v>
          </cell>
          <cell r="J469" t="str">
            <v>Substituição dos trocadores de calor dos mancais em fim de vida útil, desgaste excessivo das paredes internas devido abrasividade da água, passagem de óleo para a água-UHE Itumbiara</v>
          </cell>
          <cell r="K469" t="str">
            <v>Substituição dos trocadores de calor dos mancais em fim de vida útil, desgaste excessivo das paredes internas devido abrasividade da água, passagem de óleo para a água-UHE Itumbiara</v>
          </cell>
          <cell r="L469" t="str">
            <v>FA04110102</v>
          </cell>
          <cell r="M469" t="str">
            <v>UHE Itumbiara</v>
          </cell>
          <cell r="N469" t="str">
            <v>Geração</v>
          </cell>
          <cell r="O469" t="str">
            <v>Modernização de pequeno porte</v>
          </cell>
          <cell r="P469" t="str">
            <v>Modernização de pequeno porte</v>
          </cell>
          <cell r="Q469" t="str">
            <v>FGHI.0003</v>
          </cell>
          <cell r="R469" t="str">
            <v>PO.O_DRG.O_20OM</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500000</v>
          </cell>
          <cell r="AG469"/>
          <cell r="AH469"/>
          <cell r="AI469" t="str">
            <v xml:space="preserve">                              </v>
          </cell>
          <cell r="AJ469">
            <v>500000</v>
          </cell>
          <cell r="AK469">
            <v>0</v>
          </cell>
          <cell r="AL469">
            <v>0</v>
          </cell>
          <cell r="AM469">
            <v>0</v>
          </cell>
          <cell r="AN469">
            <v>0</v>
          </cell>
          <cell r="AO469">
            <v>0</v>
          </cell>
          <cell r="AP469">
            <v>500000</v>
          </cell>
          <cell r="AQ469" t="str">
            <v>Minas Gerais</v>
          </cell>
          <cell r="AT469">
            <v>500000</v>
          </cell>
        </row>
        <row r="470">
          <cell r="B470" t="str">
            <v>COO2109</v>
          </cell>
          <cell r="C470" t="str">
            <v>OOGG.F</v>
          </cell>
          <cell r="D470" t="str">
            <v>OOPM.F-OS-2025-I-0568</v>
          </cell>
          <cell r="E470" t="str">
            <v>OS-2025-G-0088</v>
          </cell>
          <cell r="F470" t="str">
            <v>OS-2025-G-385</v>
          </cell>
          <cell r="G470" t="str">
            <v>Operação Sudeste</v>
          </cell>
          <cell r="H470" t="str">
            <v>Nova Demanda</v>
          </cell>
          <cell r="I470" t="str">
            <v>Substituição dos trocadores de calor dos mancais das UG's da UHE Manso</v>
          </cell>
          <cell r="J470" t="str">
            <v>Substituição dos trocadores de calor dos mancais em fim de vida útil, desgaste excessivo das paredes internas devido abrasividade da água, passagem de óleo para a água-UHE Manso</v>
          </cell>
          <cell r="K470" t="str">
            <v>Substituição dos trocadores de calor dos mancais em fim de vida útil, desgaste excessivo das paredes internas devido abrasividade da água, passagem de óleo para a água-UHE Manso</v>
          </cell>
          <cell r="L470" t="str">
            <v>FA04110103</v>
          </cell>
          <cell r="M470" t="str">
            <v>UHE Manso</v>
          </cell>
          <cell r="N470" t="str">
            <v>Geração</v>
          </cell>
          <cell r="O470" t="str">
            <v>Modernização de pequeno porte</v>
          </cell>
          <cell r="P470" t="str">
            <v>Modernização de pequeno porte</v>
          </cell>
          <cell r="Q470" t="str">
            <v>FGHI.0011</v>
          </cell>
          <cell r="R470" t="str">
            <v>PO.O_DRG.O_20OM_UHMSO</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400000</v>
          </cell>
          <cell r="AG470"/>
          <cell r="AH470"/>
          <cell r="AI470" t="str">
            <v xml:space="preserve">                              </v>
          </cell>
          <cell r="AJ470">
            <v>400000</v>
          </cell>
          <cell r="AK470">
            <v>0</v>
          </cell>
          <cell r="AL470">
            <v>0</v>
          </cell>
          <cell r="AM470">
            <v>0</v>
          </cell>
          <cell r="AN470">
            <v>0</v>
          </cell>
          <cell r="AO470">
            <v>0</v>
          </cell>
          <cell r="AP470">
            <v>400000</v>
          </cell>
          <cell r="AQ470" t="str">
            <v>Mato Grosso</v>
          </cell>
          <cell r="AS470" t="str">
            <v>x</v>
          </cell>
          <cell r="AT470">
            <v>400000</v>
          </cell>
        </row>
        <row r="471">
          <cell r="B471" t="str">
            <v>COO2110</v>
          </cell>
          <cell r="C471" t="str">
            <v>OOGG.F</v>
          </cell>
          <cell r="D471" t="str">
            <v>OOTM.F-OS-2025-I-0353</v>
          </cell>
          <cell r="E471" t="str">
            <v>OS-2025-G-0091</v>
          </cell>
          <cell r="F471" t="str">
            <v>OS-2025-G-376</v>
          </cell>
          <cell r="G471" t="str">
            <v>Operação Sudeste</v>
          </cell>
          <cell r="H471" t="str">
            <v>Nova Demanda</v>
          </cell>
          <cell r="I471" t="str">
            <v>Substituição dos trocadores de calor do regulador de velocidade da UHE Itumbiara</v>
          </cell>
          <cell r="J471" t="str">
            <v>Substituição dos trocadores de calor dos reguladores de velocidade em fim de vida útil, desgaste excessivo das paredes internas devido abrasividade da água, passagem de óleo para a água-UHE Itumbiara</v>
          </cell>
          <cell r="K471" t="str">
            <v>Substituição dos trocadores de calor dos reguladores de velocidade em fim de vida útil, desgaste excessivo das paredes internas devido abrasividade da água, passagem de óleo para a água-UHE Itumbiara</v>
          </cell>
          <cell r="L471" t="str">
            <v>FA04110102</v>
          </cell>
          <cell r="M471" t="str">
            <v>UHE Itumbiara</v>
          </cell>
          <cell r="N471" t="str">
            <v>Geração</v>
          </cell>
          <cell r="O471" t="str">
            <v>Modernização de pequeno porte</v>
          </cell>
          <cell r="P471" t="str">
            <v>Modernização de pequeno porte</v>
          </cell>
          <cell r="Q471" t="str">
            <v>FGHI.0003</v>
          </cell>
          <cell r="R471" t="str">
            <v>PO.O_DRG.O_20OM</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500000</v>
          </cell>
          <cell r="AG471"/>
          <cell r="AH471"/>
          <cell r="AI471" t="str">
            <v xml:space="preserve">                              </v>
          </cell>
          <cell r="AJ471">
            <v>500000</v>
          </cell>
          <cell r="AK471">
            <v>0</v>
          </cell>
          <cell r="AL471">
            <v>0</v>
          </cell>
          <cell r="AM471">
            <v>0</v>
          </cell>
          <cell r="AN471">
            <v>0</v>
          </cell>
          <cell r="AO471">
            <v>0</v>
          </cell>
          <cell r="AP471">
            <v>500000</v>
          </cell>
          <cell r="AQ471" t="str">
            <v>Minas Gerais</v>
          </cell>
          <cell r="AT471">
            <v>500000</v>
          </cell>
        </row>
        <row r="472">
          <cell r="B472" t="str">
            <v>COO2111</v>
          </cell>
          <cell r="C472" t="str">
            <v>OOGM.F</v>
          </cell>
          <cell r="D472" t="str">
            <v>OOGS.S-S-2025-I-0226</v>
          </cell>
          <cell r="E472" t="str">
            <v>OS-2025-G-0058</v>
          </cell>
          <cell r="F472" t="str">
            <v>OS-2025-G-345</v>
          </cell>
          <cell r="G472" t="str">
            <v>Operação Sudeste</v>
          </cell>
          <cell r="H472" t="str">
            <v>Nova Demanda</v>
          </cell>
          <cell r="I472" t="str">
            <v>Modernização do sistema de resfriamento dos reguladores de velocidade da UHE Marimbondo</v>
          </cell>
          <cell r="J472" t="str">
            <v>Substituição dos trocadores de calor dos tanques de oleo dos reguladores de velcidadade da Ugs da UHE Marimbondo em do estado de final de vida util dos equipamentos atuais provocando contaminação da carga de oleo por agua. Fim de vida útil</v>
          </cell>
          <cell r="K472" t="str">
            <v>Substituição dos trocadores de calor dos tanques de oleo dos reguladores de velcidadade da Ugs da UHE Marimbondo em do estado de final de vida util dos equipamentos atuais provocando contaminação da carga de oleo por agua. Fim de vida útil</v>
          </cell>
          <cell r="L472" t="str">
            <v>FA04110204</v>
          </cell>
          <cell r="M472" t="str">
            <v>UHE Marimbondo</v>
          </cell>
          <cell r="N472" t="str">
            <v>Geração</v>
          </cell>
          <cell r="O472" t="str">
            <v>Modernização de pequeno porte</v>
          </cell>
          <cell r="P472" t="str">
            <v>Modernização de pequeno porte</v>
          </cell>
          <cell r="Q472" t="str">
            <v>FGHI.0004</v>
          </cell>
          <cell r="R472" t="str">
            <v>PO.O_DRT.O_215U</v>
          </cell>
          <cell r="S472">
            <v>0</v>
          </cell>
          <cell r="T472">
            <v>0</v>
          </cell>
          <cell r="U472">
            <v>0</v>
          </cell>
          <cell r="V472">
            <v>0</v>
          </cell>
          <cell r="W472">
            <v>0</v>
          </cell>
          <cell r="X472">
            <v>50000</v>
          </cell>
          <cell r="Y472">
            <v>50000</v>
          </cell>
          <cell r="Z472">
            <v>50000</v>
          </cell>
          <cell r="AA472">
            <v>0</v>
          </cell>
          <cell r="AB472">
            <v>0</v>
          </cell>
          <cell r="AC472">
            <v>0</v>
          </cell>
          <cell r="AD472">
            <v>0</v>
          </cell>
          <cell r="AE472">
            <v>150000</v>
          </cell>
          <cell r="AF472"/>
          <cell r="AG472"/>
          <cell r="AH472"/>
          <cell r="AI472" t="str">
            <v xml:space="preserve">                              </v>
          </cell>
          <cell r="AJ472">
            <v>150000</v>
          </cell>
          <cell r="AK472">
            <v>0</v>
          </cell>
          <cell r="AL472">
            <v>0</v>
          </cell>
          <cell r="AM472">
            <v>0</v>
          </cell>
          <cell r="AN472">
            <v>0</v>
          </cell>
          <cell r="AO472">
            <v>0</v>
          </cell>
          <cell r="AP472">
            <v>150000</v>
          </cell>
          <cell r="AQ472" t="str">
            <v>Minas Gerais</v>
          </cell>
          <cell r="AT472">
            <v>0</v>
          </cell>
        </row>
        <row r="473">
          <cell r="B473" t="str">
            <v>COO2114</v>
          </cell>
          <cell r="C473" t="str">
            <v>OOGG.F</v>
          </cell>
          <cell r="D473" t="str">
            <v>OOTM.F-OS-2025-I-0333</v>
          </cell>
          <cell r="E473" t="str">
            <v>OS-2025-G-0113</v>
          </cell>
          <cell r="F473" t="str">
            <v>OS-2025-G-360</v>
          </cell>
          <cell r="G473" t="str">
            <v>Operação Sudeste</v>
          </cell>
          <cell r="H473" t="str">
            <v>Nova Demanda</v>
          </cell>
          <cell r="I473" t="str">
            <v>Modernização dos controles das Comportas do Vertedouro da UHE Corumbá</v>
          </cell>
          <cell r="J473" t="str">
            <v>Subtituição de 2 paineis incluindo novos controles interligando com o sistema SAGE-UHE Corumbá</v>
          </cell>
          <cell r="K473" t="str">
            <v>Subtituição de 2 paineis incluindo novos controles interligando com o sistema SAGE-UHE Corumbá</v>
          </cell>
          <cell r="L473" t="str">
            <v>FA04110101</v>
          </cell>
          <cell r="M473" t="str">
            <v>UHE Corumbá</v>
          </cell>
          <cell r="N473" t="str">
            <v>Geração</v>
          </cell>
          <cell r="O473" t="str">
            <v>Modernização de pequeno porte</v>
          </cell>
          <cell r="P473" t="str">
            <v>Modernização de pequeno porte</v>
          </cell>
          <cell r="Q473" t="str">
            <v>FGHI.0001</v>
          </cell>
          <cell r="R473" t="str">
            <v>PO.O_DRG.O_215U</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cell r="AG473"/>
          <cell r="AH473">
            <v>200000</v>
          </cell>
          <cell r="AI473" t="str">
            <v xml:space="preserve">                              </v>
          </cell>
          <cell r="AJ473">
            <v>200000</v>
          </cell>
          <cell r="AK473">
            <v>0</v>
          </cell>
          <cell r="AL473">
            <v>0</v>
          </cell>
          <cell r="AM473">
            <v>0</v>
          </cell>
          <cell r="AN473">
            <v>0</v>
          </cell>
          <cell r="AO473">
            <v>0</v>
          </cell>
          <cell r="AP473">
            <v>200000</v>
          </cell>
          <cell r="AQ473" t="str">
            <v>Goiás</v>
          </cell>
          <cell r="AS473" t="str">
            <v>x</v>
          </cell>
          <cell r="AT473">
            <v>200000</v>
          </cell>
        </row>
        <row r="474">
          <cell r="B474" t="str">
            <v>COO2115</v>
          </cell>
          <cell r="C474" t="str">
            <v>OOMG.F</v>
          </cell>
          <cell r="D474" t="str">
            <v>OOME.F-OS-2025-I-0048</v>
          </cell>
          <cell r="E474" t="str">
            <v>OS-2025-G-0130</v>
          </cell>
          <cell r="F474" t="str">
            <v>OS-2025-G-364</v>
          </cell>
          <cell r="G474" t="str">
            <v>Operação Sudeste</v>
          </cell>
          <cell r="H474" t="str">
            <v>Nova Demanda</v>
          </cell>
          <cell r="I474" t="str">
            <v>Modernização do sistema de rebaixamento das Ugs da UHE Luiz Carlos Barreto de Carvalho</v>
          </cell>
          <cell r="J474" t="str">
            <v>UHE Estreito - modernização do sistema de rebaixamento das UG´s</v>
          </cell>
          <cell r="K474" t="str">
            <v>UHE Estreito - modernização do sistema de rebaixamento das UG´s</v>
          </cell>
          <cell r="L474" t="str">
            <v>FA04090200</v>
          </cell>
          <cell r="M474" t="str">
            <v>UHE Luiz Carlos Barreto de Carvalho</v>
          </cell>
          <cell r="N474" t="str">
            <v>Geração</v>
          </cell>
          <cell r="O474" t="str">
            <v>Modernização de pequeno porte</v>
          </cell>
          <cell r="P474" t="str">
            <v>Modernização de pequeno porte</v>
          </cell>
          <cell r="Q474" t="str">
            <v>FGHI.0103</v>
          </cell>
          <cell r="R474" t="str">
            <v>EM.O_DER.O_20OM_Hidro</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10151302</v>
          </cell>
          <cell r="AG474">
            <v>5541560</v>
          </cell>
          <cell r="AH474">
            <v>0</v>
          </cell>
          <cell r="AI474">
            <v>0</v>
          </cell>
          <cell r="AJ474">
            <v>15692862</v>
          </cell>
          <cell r="AK474">
            <v>0</v>
          </cell>
          <cell r="AL474">
            <v>0</v>
          </cell>
          <cell r="AM474">
            <v>0</v>
          </cell>
          <cell r="AN474">
            <v>0</v>
          </cell>
          <cell r="AO474">
            <v>0</v>
          </cell>
          <cell r="AP474">
            <v>15692862</v>
          </cell>
          <cell r="AQ474" t="str">
            <v>São Paulo</v>
          </cell>
          <cell r="AS474" t="str">
            <v>x</v>
          </cell>
          <cell r="AT474">
            <v>15692862</v>
          </cell>
        </row>
        <row r="475">
          <cell r="B475" t="str">
            <v>COO3226</v>
          </cell>
          <cell r="C475" t="str">
            <v>OOGG.F</v>
          </cell>
          <cell r="D475" t="str">
            <v>OOME.F-OS-2025-I-0082</v>
          </cell>
          <cell r="E475"/>
          <cell r="F475"/>
          <cell r="G475" t="str">
            <v>Operação Sudeste</v>
          </cell>
          <cell r="H475" t="str">
            <v>Nova Demanda</v>
          </cell>
          <cell r="I475" t="str">
            <v>Expansão do Sist. de Monitoramento G</v>
          </cell>
          <cell r="J475" t="str">
            <v>Expansão do Sist. de Monitoramento G</v>
          </cell>
          <cell r="K475"/>
          <cell r="L475"/>
          <cell r="M475" t="str">
            <v>Diversas UHE</v>
          </cell>
          <cell r="N475" t="str">
            <v>Geração</v>
          </cell>
          <cell r="O475" t="str">
            <v>Modernização de pequeno porte</v>
          </cell>
          <cell r="P475" t="str">
            <v>Modernização de pequeno porte</v>
          </cell>
          <cell r="Q475" t="str">
            <v>EGHI.0001</v>
          </cell>
          <cell r="R475" t="str">
            <v>Expansão do Sist. de Monitoramento G</v>
          </cell>
          <cell r="S475">
            <v>385919.83333333331</v>
          </cell>
          <cell r="T475">
            <v>385919.83333333331</v>
          </cell>
          <cell r="U475">
            <v>385919.83333333331</v>
          </cell>
          <cell r="V475">
            <v>385919.83333333331</v>
          </cell>
          <cell r="W475">
            <v>385919.83333333331</v>
          </cell>
          <cell r="X475">
            <v>385919.83333333331</v>
          </cell>
          <cell r="Y475">
            <v>385919.83333333331</v>
          </cell>
          <cell r="Z475">
            <v>385919.83333333331</v>
          </cell>
          <cell r="AA475">
            <v>385919.83333333331</v>
          </cell>
          <cell r="AB475">
            <v>385919.83333333331</v>
          </cell>
          <cell r="AC475">
            <v>385919.83333333331</v>
          </cell>
          <cell r="AD475">
            <v>385919.83333333331</v>
          </cell>
          <cell r="AE475">
            <v>4631038</v>
          </cell>
          <cell r="AF475"/>
          <cell r="AG475"/>
          <cell r="AH475"/>
          <cell r="AI475"/>
          <cell r="AJ475">
            <v>4631038</v>
          </cell>
          <cell r="AK475">
            <v>0</v>
          </cell>
          <cell r="AL475">
            <v>0</v>
          </cell>
          <cell r="AM475">
            <v>0</v>
          </cell>
          <cell r="AN475">
            <v>0</v>
          </cell>
          <cell r="AO475">
            <v>0</v>
          </cell>
          <cell r="AP475">
            <v>4631038</v>
          </cell>
          <cell r="AQ475"/>
          <cell r="AS475" t="str">
            <v>x</v>
          </cell>
          <cell r="AT475">
            <v>0</v>
          </cell>
        </row>
        <row r="476">
          <cell r="B476" t="str">
            <v>COO3227</v>
          </cell>
          <cell r="C476" t="str">
            <v>OOMG.C</v>
          </cell>
          <cell r="D476" t="str">
            <v>OOTG.F-OS-2025-I-0519</v>
          </cell>
          <cell r="E476"/>
          <cell r="F476" t="str">
            <v>C-2025-G-092</v>
          </cell>
          <cell r="G476" t="str">
            <v>Chesf</v>
          </cell>
          <cell r="H476" t="str">
            <v>Nova Demanda</v>
          </cell>
          <cell r="I476" t="str">
            <v>Expansão do Sist. de Monitoramento G</v>
          </cell>
          <cell r="J476" t="str">
            <v>Expansão do Sist. de Monitoramento G</v>
          </cell>
          <cell r="K476"/>
          <cell r="L476"/>
          <cell r="M476" t="str">
            <v>Diversas UHE</v>
          </cell>
          <cell r="N476" t="str">
            <v>Geração</v>
          </cell>
          <cell r="O476" t="str">
            <v>Modernização de pequeno porte</v>
          </cell>
          <cell r="P476" t="str">
            <v>Modernização de pequeno porte</v>
          </cell>
          <cell r="Q476" t="str">
            <v>HGHI.0010</v>
          </cell>
          <cell r="R476" t="str">
            <v>Expansão do Sist. de Monitoramento G</v>
          </cell>
          <cell r="S476">
            <v>173241</v>
          </cell>
          <cell r="T476">
            <v>173241</v>
          </cell>
          <cell r="U476">
            <v>173241</v>
          </cell>
          <cell r="V476">
            <v>173241</v>
          </cell>
          <cell r="W476">
            <v>173241</v>
          </cell>
          <cell r="X476">
            <v>173241</v>
          </cell>
          <cell r="Y476">
            <v>173241</v>
          </cell>
          <cell r="Z476">
            <v>173241</v>
          </cell>
          <cell r="AA476">
            <v>173241</v>
          </cell>
          <cell r="AB476">
            <v>173241</v>
          </cell>
          <cell r="AC476">
            <v>173241</v>
          </cell>
          <cell r="AD476">
            <v>173241</v>
          </cell>
          <cell r="AE476">
            <v>2078892</v>
          </cell>
          <cell r="AF476">
            <v>103944.6</v>
          </cell>
          <cell r="AG476"/>
          <cell r="AH476" t="str">
            <v/>
          </cell>
          <cell r="AI476"/>
          <cell r="AJ476">
            <v>2182836.6</v>
          </cell>
          <cell r="AK476">
            <v>0</v>
          </cell>
          <cell r="AL476">
            <v>0</v>
          </cell>
          <cell r="AM476">
            <v>0</v>
          </cell>
          <cell r="AN476">
            <v>0</v>
          </cell>
          <cell r="AO476">
            <v>0</v>
          </cell>
          <cell r="AP476">
            <v>2182836.6</v>
          </cell>
          <cell r="AQ476"/>
          <cell r="AS476" t="str">
            <v>x</v>
          </cell>
          <cell r="AT476">
            <v>103944.6</v>
          </cell>
        </row>
        <row r="477">
          <cell r="B477" t="str">
            <v>COO3228</v>
          </cell>
          <cell r="C477"/>
          <cell r="D477" t="str">
            <v>OOME.F-OS-2025-I-0067</v>
          </cell>
          <cell r="E477"/>
          <cell r="F477" t="str">
            <v>P6</v>
          </cell>
          <cell r="G477" t="str">
            <v>Eletrosul</v>
          </cell>
          <cell r="H477" t="str">
            <v>Nova Demanda</v>
          </cell>
          <cell r="I477" t="str">
            <v>Modernização do sistema de lubrificação dos mancais da PCH João Borges</v>
          </cell>
          <cell r="J477"/>
          <cell r="K477"/>
          <cell r="L477" t="str">
            <v>SO10202003</v>
          </cell>
          <cell r="M477" t="str">
            <v>PCH João Borges</v>
          </cell>
          <cell r="N477" t="str">
            <v>Geração</v>
          </cell>
          <cell r="O477" t="str">
            <v>Modernização de pequeno porte</v>
          </cell>
          <cell r="P477" t="str">
            <v>Modernização de pequeno porte</v>
          </cell>
          <cell r="Q477" t="str">
            <v>SGHI.0001</v>
          </cell>
          <cell r="R477" t="str">
            <v>Manutenção da Geração Hidráulica</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cell r="AG477"/>
          <cell r="AH477"/>
          <cell r="AI477"/>
          <cell r="AJ477">
            <v>0</v>
          </cell>
          <cell r="AK477">
            <v>12563091.0975</v>
          </cell>
          <cell r="AL477">
            <v>4187697.0325000002</v>
          </cell>
          <cell r="AM477">
            <v>0</v>
          </cell>
          <cell r="AN477">
            <v>0</v>
          </cell>
          <cell r="AO477">
            <v>0</v>
          </cell>
          <cell r="AP477">
            <v>16750788.130000001</v>
          </cell>
          <cell r="AQ477" t="str">
            <v>Santa Catarina</v>
          </cell>
          <cell r="AR477" t="str">
            <v>[não vai para as abas de projeto e subprojeto] Estes projetos não são da Eletrosul</v>
          </cell>
          <cell r="AS477" t="str">
            <v>x</v>
          </cell>
          <cell r="AT477">
            <v>12563091.0975</v>
          </cell>
        </row>
        <row r="478">
          <cell r="B478" t="str">
            <v>COO3229</v>
          </cell>
          <cell r="C478"/>
          <cell r="D478" t="str">
            <v>OOME.F-OS-2025-I-0036</v>
          </cell>
          <cell r="E478"/>
          <cell r="F478" t="str">
            <v>P6</v>
          </cell>
          <cell r="G478" t="str">
            <v>Operação Sudeste</v>
          </cell>
          <cell r="H478" t="str">
            <v>Nova Demanda</v>
          </cell>
          <cell r="I478" t="str">
            <v>Modernização do sistema de acionamento das comportas tomada d'água da UHE Corumbá</v>
          </cell>
          <cell r="J478"/>
          <cell r="K478"/>
          <cell r="L478" t="str">
            <v>FA04090200</v>
          </cell>
          <cell r="M478" t="str">
            <v>UHE Corumbá</v>
          </cell>
          <cell r="N478" t="str">
            <v>Geração</v>
          </cell>
          <cell r="O478" t="str">
            <v>Modernização de pequeno porte</v>
          </cell>
          <cell r="P478" t="str">
            <v>Modernização de pequeno porte</v>
          </cell>
          <cell r="Q478" t="str">
            <v>FGHI.0001</v>
          </cell>
          <cell r="R478" t="str">
            <v>PO.O_DRG.O_215U</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cell r="AG478"/>
          <cell r="AH478"/>
          <cell r="AI478"/>
          <cell r="AJ478">
            <v>0</v>
          </cell>
          <cell r="AK478"/>
          <cell r="AL478"/>
          <cell r="AM478"/>
          <cell r="AN478">
            <v>0</v>
          </cell>
          <cell r="AO478">
            <v>0</v>
          </cell>
          <cell r="AP478">
            <v>0</v>
          </cell>
          <cell r="AQ478" t="str">
            <v>Goiás</v>
          </cell>
          <cell r="AS478" t="str">
            <v>x</v>
          </cell>
          <cell r="AT478">
            <v>0</v>
          </cell>
        </row>
        <row r="479">
          <cell r="B479" t="str">
            <v>COO3230</v>
          </cell>
          <cell r="C479"/>
          <cell r="D479" t="str">
            <v>OOME.F-OS-2025-I-0030</v>
          </cell>
          <cell r="E479"/>
          <cell r="F479" t="str">
            <v>P6</v>
          </cell>
          <cell r="G479" t="str">
            <v>Operação Sudeste</v>
          </cell>
          <cell r="H479" t="str">
            <v>Nova Demanda</v>
          </cell>
          <cell r="I479" t="str">
            <v>Modernização dos geradores da UHE Corumbá</v>
          </cell>
          <cell r="J479"/>
          <cell r="K479"/>
          <cell r="L479" t="str">
            <v>FA04090200</v>
          </cell>
          <cell r="M479" t="str">
            <v>UHE Corumbá</v>
          </cell>
          <cell r="N479" t="str">
            <v>Geração</v>
          </cell>
          <cell r="O479" t="str">
            <v>Modernização de pequeno porte</v>
          </cell>
          <cell r="P479" t="str">
            <v>Modernização de pequeno porte</v>
          </cell>
          <cell r="Q479" t="str">
            <v>FGHI.0001</v>
          </cell>
          <cell r="R479" t="str">
            <v>PO.O_DRG.O_215U</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cell r="AG479"/>
          <cell r="AH479"/>
          <cell r="AI479"/>
          <cell r="AJ479">
            <v>0</v>
          </cell>
          <cell r="AK479">
            <v>16410401.458087999</v>
          </cell>
          <cell r="AL479">
            <v>16410401.458087999</v>
          </cell>
          <cell r="AM479">
            <v>0</v>
          </cell>
          <cell r="AN479">
            <v>0</v>
          </cell>
          <cell r="AO479">
            <v>0</v>
          </cell>
          <cell r="AP479">
            <v>32820802.916175999</v>
          </cell>
          <cell r="AQ479" t="str">
            <v>Goiás</v>
          </cell>
          <cell r="AS479" t="str">
            <v>x</v>
          </cell>
          <cell r="AT479">
            <v>16410401.458087999</v>
          </cell>
        </row>
        <row r="480">
          <cell r="B480" t="str">
            <v>COO3231</v>
          </cell>
          <cell r="C480"/>
          <cell r="D480" t="str">
            <v>OOTP.F-OS-2025-I-0633</v>
          </cell>
          <cell r="E480"/>
          <cell r="F480" t="str">
            <v>P6</v>
          </cell>
          <cell r="G480" t="str">
            <v>Operação Sudeste</v>
          </cell>
          <cell r="H480" t="str">
            <v>Nova Demanda</v>
          </cell>
          <cell r="I480" t="str">
            <v>Modernização das turbinas da UHE Corumbá</v>
          </cell>
          <cell r="J480"/>
          <cell r="K480"/>
          <cell r="L480" t="str">
            <v>FA04090200</v>
          </cell>
          <cell r="M480" t="str">
            <v>UHE Corumbá</v>
          </cell>
          <cell r="N480" t="str">
            <v>Geração</v>
          </cell>
          <cell r="O480" t="str">
            <v>Modernização de pequeno porte</v>
          </cell>
          <cell r="P480" t="str">
            <v>Modernização de pequeno porte</v>
          </cell>
          <cell r="Q480" t="str">
            <v>FGHI.0001</v>
          </cell>
          <cell r="R480" t="str">
            <v>PO.O_DRG.O_215U</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cell r="AG480"/>
          <cell r="AH480"/>
          <cell r="AI480"/>
          <cell r="AJ480">
            <v>0</v>
          </cell>
          <cell r="AK480">
            <v>11000000</v>
          </cell>
          <cell r="AL480">
            <v>10000000</v>
          </cell>
          <cell r="AM480">
            <v>0</v>
          </cell>
          <cell r="AN480">
            <v>0</v>
          </cell>
          <cell r="AO480">
            <v>0</v>
          </cell>
          <cell r="AP480">
            <v>21000000</v>
          </cell>
          <cell r="AQ480" t="str">
            <v>Goiás</v>
          </cell>
          <cell r="AS480" t="str">
            <v>x</v>
          </cell>
          <cell r="AT480">
            <v>11000000</v>
          </cell>
        </row>
        <row r="481">
          <cell r="B481" t="str">
            <v>COO3232</v>
          </cell>
          <cell r="C481"/>
          <cell r="D481" t="str">
            <v>OOTM.F-OS-2025-I-0401</v>
          </cell>
          <cell r="E481"/>
          <cell r="F481" t="str">
            <v>P6</v>
          </cell>
          <cell r="G481" t="str">
            <v>Operação Sudeste</v>
          </cell>
          <cell r="H481" t="str">
            <v>Nova Demanda</v>
          </cell>
          <cell r="I481" t="str">
            <v>Modernização do sistema de distribuição CA da UHE Itumbiara</v>
          </cell>
          <cell r="J481"/>
          <cell r="K481"/>
          <cell r="L481" t="str">
            <v>FA04090200</v>
          </cell>
          <cell r="M481" t="str">
            <v>UHE Itumbiara</v>
          </cell>
          <cell r="N481" t="str">
            <v>Geração</v>
          </cell>
          <cell r="O481" t="str">
            <v>Modernização de pequeno porte</v>
          </cell>
          <cell r="P481" t="str">
            <v>Modernização de pequeno porte</v>
          </cell>
          <cell r="Q481" t="str">
            <v>FGHI.0003</v>
          </cell>
          <cell r="R481" t="str">
            <v>PO.O_DRG.O_20OM</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cell r="AG481"/>
          <cell r="AH481"/>
          <cell r="AI481"/>
          <cell r="AJ481">
            <v>0</v>
          </cell>
          <cell r="AK481">
            <v>16410401.458087999</v>
          </cell>
          <cell r="AL481">
            <v>32820802.916175999</v>
          </cell>
          <cell r="AM481">
            <v>16410401.458087999</v>
          </cell>
          <cell r="AN481">
            <v>0</v>
          </cell>
          <cell r="AO481">
            <v>0</v>
          </cell>
          <cell r="AP481">
            <v>65641605.832351997</v>
          </cell>
          <cell r="AQ481" t="str">
            <v>Minas Gerais</v>
          </cell>
          <cell r="AS481" t="str">
            <v>x</v>
          </cell>
          <cell r="AT481">
            <v>16410401.458087999</v>
          </cell>
        </row>
        <row r="482">
          <cell r="B482" t="str">
            <v>COO3233</v>
          </cell>
          <cell r="C482"/>
          <cell r="D482" t="str">
            <v>OOTM.F-OS-2025-I-0278</v>
          </cell>
          <cell r="E482"/>
          <cell r="F482" t="str">
            <v>P6</v>
          </cell>
          <cell r="G482" t="str">
            <v>Operação Sudeste</v>
          </cell>
          <cell r="H482" t="str">
            <v>Nova Demanda</v>
          </cell>
          <cell r="I482" t="str">
            <v>Modernização do sistema de acionamento das comportas tomada d'água da UHE Itumbiara</v>
          </cell>
          <cell r="J482"/>
          <cell r="K482"/>
          <cell r="L482" t="str">
            <v>FA04090200</v>
          </cell>
          <cell r="M482" t="str">
            <v>UHE Itumbiara</v>
          </cell>
          <cell r="N482" t="str">
            <v>Geração</v>
          </cell>
          <cell r="O482" t="str">
            <v>Modernização de pequeno porte</v>
          </cell>
          <cell r="P482" t="str">
            <v>Modernização de pequeno porte</v>
          </cell>
          <cell r="Q482" t="str">
            <v>FGHI.0003</v>
          </cell>
          <cell r="R482" t="str">
            <v>PO.O_DRG.O_20OM</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cell r="AG482">
            <v>1000000</v>
          </cell>
          <cell r="AH482">
            <v>1000000</v>
          </cell>
          <cell r="AI482">
            <v>1000000</v>
          </cell>
          <cell r="AJ482">
            <v>3000000</v>
          </cell>
          <cell r="AK482"/>
          <cell r="AL482"/>
          <cell r="AM482">
            <v>0</v>
          </cell>
          <cell r="AN482">
            <v>0</v>
          </cell>
          <cell r="AO482">
            <v>0</v>
          </cell>
          <cell r="AP482">
            <v>3000000</v>
          </cell>
          <cell r="AQ482" t="str">
            <v>Minas Gerais</v>
          </cell>
          <cell r="AS482" t="str">
            <v>x</v>
          </cell>
          <cell r="AT482">
            <v>3000000</v>
          </cell>
        </row>
        <row r="483">
          <cell r="B483" t="str">
            <v>COO3234</v>
          </cell>
          <cell r="C483"/>
          <cell r="D483" t="str">
            <v>OOTG.F-OS-2025-I-0198</v>
          </cell>
          <cell r="E483"/>
          <cell r="F483" t="str">
            <v>P6</v>
          </cell>
          <cell r="G483" t="str">
            <v>Operação Sudeste</v>
          </cell>
          <cell r="H483" t="str">
            <v>Nova Demanda</v>
          </cell>
          <cell r="I483" t="str">
            <v>Modernização do Sistema de Proteção, Controle e Supervisão da UHE Manso</v>
          </cell>
          <cell r="J483"/>
          <cell r="K483"/>
          <cell r="L483" t="str">
            <v>FA04090200</v>
          </cell>
          <cell r="M483" t="str">
            <v>UHE Manso</v>
          </cell>
          <cell r="N483" t="str">
            <v>Geração</v>
          </cell>
          <cell r="O483" t="str">
            <v>Modernização de pequeno porte</v>
          </cell>
          <cell r="P483" t="str">
            <v>Modernização de pequeno porte</v>
          </cell>
          <cell r="Q483" t="str">
            <v>FGHI.0011</v>
          </cell>
          <cell r="R483" t="str">
            <v>PO.O_DRG.O_20OM_UHMSO</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cell r="AG483"/>
          <cell r="AH483"/>
          <cell r="AI483"/>
          <cell r="AJ483">
            <v>0</v>
          </cell>
          <cell r="AK483">
            <v>10333255.491310176</v>
          </cell>
          <cell r="AL483">
            <v>30999766.473930527</v>
          </cell>
          <cell r="AM483">
            <v>0</v>
          </cell>
          <cell r="AN483">
            <v>0</v>
          </cell>
          <cell r="AO483">
            <v>0</v>
          </cell>
          <cell r="AP483">
            <v>41333021.965240702</v>
          </cell>
          <cell r="AQ483" t="str">
            <v>Mato Grosso</v>
          </cell>
          <cell r="AS483" t="str">
            <v>x</v>
          </cell>
          <cell r="AT483">
            <v>10333255.491310176</v>
          </cell>
        </row>
        <row r="484">
          <cell r="B484" t="str">
            <v>COO3235</v>
          </cell>
          <cell r="C484"/>
          <cell r="D484" t="str">
            <v>OOTG.F-OS-2024-I-0199</v>
          </cell>
          <cell r="E484"/>
          <cell r="F484" t="str">
            <v>P6</v>
          </cell>
          <cell r="G484" t="str">
            <v>Operação Sudeste</v>
          </cell>
          <cell r="H484" t="str">
            <v>Nova Demanda</v>
          </cell>
          <cell r="I484" t="str">
            <v>Modernização do sistema de acionamento das comportas tomada d'água da UHE Manso</v>
          </cell>
          <cell r="J484"/>
          <cell r="K484"/>
          <cell r="L484" t="str">
            <v>FA04090200</v>
          </cell>
          <cell r="M484" t="str">
            <v>UHE Manso</v>
          </cell>
          <cell r="N484" t="str">
            <v>Geração</v>
          </cell>
          <cell r="O484" t="str">
            <v>Modernização de pequeno porte</v>
          </cell>
          <cell r="P484" t="str">
            <v>Modernização de pequeno porte</v>
          </cell>
          <cell r="Q484" t="str">
            <v>FGHI.0011</v>
          </cell>
          <cell r="R484" t="str">
            <v>PO.O_DRG.O_20OM_UHMSO</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cell r="AG484"/>
          <cell r="AH484"/>
          <cell r="AI484">
            <v>200000</v>
          </cell>
          <cell r="AJ484">
            <v>200000</v>
          </cell>
          <cell r="AK484">
            <v>10200000</v>
          </cell>
          <cell r="AL484">
            <v>10200000</v>
          </cell>
          <cell r="AM484">
            <v>20200000</v>
          </cell>
          <cell r="AN484">
            <v>0</v>
          </cell>
          <cell r="AO484">
            <v>0</v>
          </cell>
          <cell r="AP484">
            <v>40800000</v>
          </cell>
          <cell r="AQ484" t="str">
            <v>Mato Grosso</v>
          </cell>
          <cell r="AS484" t="str">
            <v>x</v>
          </cell>
          <cell r="AT484">
            <v>10400000</v>
          </cell>
        </row>
        <row r="485">
          <cell r="B485" t="str">
            <v>COO3236</v>
          </cell>
          <cell r="C485"/>
          <cell r="D485" t="str">
            <v>OOTG.F-OS-2025-I-0200</v>
          </cell>
          <cell r="E485"/>
          <cell r="F485" t="str">
            <v>P6</v>
          </cell>
          <cell r="G485" t="str">
            <v>Operação Sudeste</v>
          </cell>
          <cell r="H485" t="str">
            <v>Nova Demanda</v>
          </cell>
          <cell r="I485" t="str">
            <v>Modernização dos geradores da UHE Manso</v>
          </cell>
          <cell r="J485"/>
          <cell r="K485"/>
          <cell r="L485" t="str">
            <v>FA04090200</v>
          </cell>
          <cell r="M485" t="str">
            <v>UHE Manso</v>
          </cell>
          <cell r="N485" t="str">
            <v>Geração</v>
          </cell>
          <cell r="O485" t="str">
            <v>Modernização de pequeno porte</v>
          </cell>
          <cell r="P485" t="str">
            <v>Modernização de pequeno porte</v>
          </cell>
          <cell r="Q485" t="str">
            <v>FGHI.0011</v>
          </cell>
          <cell r="R485" t="str">
            <v>PO.O_DRG.O_20OM_UHMSO</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cell r="AG485"/>
          <cell r="AH485"/>
          <cell r="AI485"/>
          <cell r="AJ485">
            <v>0</v>
          </cell>
          <cell r="AK485">
            <v>16410401.458087999</v>
          </cell>
          <cell r="AL485">
            <v>16410401.458087999</v>
          </cell>
          <cell r="AM485">
            <v>0</v>
          </cell>
          <cell r="AN485">
            <v>0</v>
          </cell>
          <cell r="AO485">
            <v>0</v>
          </cell>
          <cell r="AP485">
            <v>32820802.916175999</v>
          </cell>
          <cell r="AQ485" t="str">
            <v>Mato Grosso</v>
          </cell>
          <cell r="AS485" t="str">
            <v>x</v>
          </cell>
          <cell r="AT485">
            <v>16410401.458087999</v>
          </cell>
        </row>
        <row r="486">
          <cell r="B486" t="str">
            <v>COO3237</v>
          </cell>
          <cell r="C486"/>
          <cell r="D486" t="str">
            <v>OOTP.F-OS-2025-I-0573</v>
          </cell>
          <cell r="E486"/>
          <cell r="F486" t="str">
            <v>P6</v>
          </cell>
          <cell r="G486" t="str">
            <v>Operação Sudeste</v>
          </cell>
          <cell r="H486" t="str">
            <v>Nova Demanda</v>
          </cell>
          <cell r="I486" t="str">
            <v>Modernização das turbinas da UHE Manso</v>
          </cell>
          <cell r="J486"/>
          <cell r="K486"/>
          <cell r="L486" t="str">
            <v>FA04090200</v>
          </cell>
          <cell r="M486" t="str">
            <v>UHE Manso</v>
          </cell>
          <cell r="N486" t="str">
            <v>Geração</v>
          </cell>
          <cell r="O486" t="str">
            <v>Modernização de pequeno porte</v>
          </cell>
          <cell r="P486" t="str">
            <v>Modernização de pequeno porte</v>
          </cell>
          <cell r="Q486" t="str">
            <v>FGHI.0011</v>
          </cell>
          <cell r="R486" t="str">
            <v>PO.O_DRG.O_20OM_UHMSO</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cell r="AG486"/>
          <cell r="AH486"/>
          <cell r="AI486"/>
          <cell r="AJ486">
            <v>0</v>
          </cell>
          <cell r="AK486">
            <v>10666829.0643824</v>
          </cell>
          <cell r="AL486">
            <v>11333658.128764899</v>
          </cell>
          <cell r="AM486">
            <v>0</v>
          </cell>
          <cell r="AN486">
            <v>0</v>
          </cell>
          <cell r="AO486">
            <v>0</v>
          </cell>
          <cell r="AP486">
            <v>22000487.193147302</v>
          </cell>
          <cell r="AQ486" t="str">
            <v>Mato Grosso</v>
          </cell>
          <cell r="AS486" t="str">
            <v>x</v>
          </cell>
          <cell r="AT486">
            <v>10666829.0643824</v>
          </cell>
        </row>
        <row r="487">
          <cell r="B487" t="str">
            <v>COO3238</v>
          </cell>
          <cell r="C487"/>
          <cell r="D487" t="str">
            <v>OOTP.F-OS-2025-I-0589</v>
          </cell>
          <cell r="E487"/>
          <cell r="F487" t="str">
            <v>P6</v>
          </cell>
          <cell r="G487" t="str">
            <v>Operação Sudeste</v>
          </cell>
          <cell r="H487" t="str">
            <v>Nova Demanda</v>
          </cell>
          <cell r="I487" t="str">
            <v>Modernização do sistema auxiliar CA/CC da UHE Manso</v>
          </cell>
          <cell r="J487"/>
          <cell r="K487"/>
          <cell r="L487" t="str">
            <v>FA04090200</v>
          </cell>
          <cell r="M487" t="str">
            <v>UHE Manso</v>
          </cell>
          <cell r="N487" t="str">
            <v>Geração</v>
          </cell>
          <cell r="O487" t="str">
            <v>Modernização de pequeno porte</v>
          </cell>
          <cell r="P487" t="str">
            <v>Modernização de pequeno porte</v>
          </cell>
          <cell r="Q487" t="str">
            <v>FGHI.0011</v>
          </cell>
          <cell r="R487" t="str">
            <v>PO.O_DRG.O_20OM_UHMSO</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cell r="AG487"/>
          <cell r="AH487"/>
          <cell r="AI487"/>
          <cell r="AJ487">
            <v>0</v>
          </cell>
          <cell r="AK487">
            <v>13200000</v>
          </cell>
          <cell r="AL487">
            <v>13200000</v>
          </cell>
          <cell r="AM487">
            <v>0</v>
          </cell>
          <cell r="AN487">
            <v>0</v>
          </cell>
          <cell r="AO487">
            <v>0</v>
          </cell>
          <cell r="AP487">
            <v>26400000</v>
          </cell>
          <cell r="AQ487" t="str">
            <v>Mato Grosso</v>
          </cell>
          <cell r="AS487" t="str">
            <v>x</v>
          </cell>
          <cell r="AT487">
            <v>13200000</v>
          </cell>
        </row>
        <row r="488">
          <cell r="B488" t="str">
            <v>COO3239</v>
          </cell>
          <cell r="C488"/>
          <cell r="D488" t="str">
            <v>OOTP.F-OS-2025-I-0588</v>
          </cell>
          <cell r="E488"/>
          <cell r="F488" t="str">
            <v>P6</v>
          </cell>
          <cell r="G488" t="str">
            <v>Operação Sudeste</v>
          </cell>
          <cell r="H488" t="str">
            <v>Nova Demanda</v>
          </cell>
          <cell r="I488" t="str">
            <v>Modernização do sistema de excitação da UHE Manso</v>
          </cell>
          <cell r="J488"/>
          <cell r="K488"/>
          <cell r="L488" t="str">
            <v>FA04090200</v>
          </cell>
          <cell r="M488" t="str">
            <v>UHE Manso</v>
          </cell>
          <cell r="N488" t="str">
            <v>Geração</v>
          </cell>
          <cell r="O488" t="str">
            <v>Modernização de pequeno porte</v>
          </cell>
          <cell r="P488" t="str">
            <v>Modernização de pequeno porte</v>
          </cell>
          <cell r="Q488" t="str">
            <v>FGHI.0011</v>
          </cell>
          <cell r="R488" t="str">
            <v>PO.O_DRG.O_20OM_UHMSO</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cell r="AG488"/>
          <cell r="AH488"/>
          <cell r="AI488"/>
          <cell r="AJ488">
            <v>0</v>
          </cell>
          <cell r="AK488">
            <v>13814491.6299349</v>
          </cell>
          <cell r="AL488">
            <v>4604830.5433116201</v>
          </cell>
          <cell r="AM488">
            <v>0</v>
          </cell>
          <cell r="AN488">
            <v>0</v>
          </cell>
          <cell r="AO488">
            <v>0</v>
          </cell>
          <cell r="AP488">
            <v>18419322.173246518</v>
          </cell>
          <cell r="AQ488" t="str">
            <v>Mato Grosso</v>
          </cell>
          <cell r="AS488" t="str">
            <v>x</v>
          </cell>
          <cell r="AT488">
            <v>13814491.6299349</v>
          </cell>
        </row>
        <row r="489">
          <cell r="B489" t="str">
            <v>COO3240</v>
          </cell>
          <cell r="C489"/>
          <cell r="D489" t="str">
            <v>OOTM.F-OS-2025-I-0279</v>
          </cell>
          <cell r="E489"/>
          <cell r="F489" t="str">
            <v>P6</v>
          </cell>
          <cell r="G489" t="str">
            <v>Operação Sudeste</v>
          </cell>
          <cell r="H489" t="str">
            <v>Nova Demanda</v>
          </cell>
          <cell r="I489" t="str">
            <v>Modernização dos geradores 01, 02, 03, 04, 09 e 10 da UHE Mascarenhas de Moraes</v>
          </cell>
          <cell r="J489" t="str">
            <v>Geradores e acionamento das comportas das UGs 01 a 04, 09 e 10 da UHE Mascarenhas de Moraes</v>
          </cell>
          <cell r="K489" t="str">
            <v>Geradores e acionamento das comportas das UGs 01 a 04, 09 e 10 da UHE Mascarenhas de Moraes</v>
          </cell>
          <cell r="L489" t="str">
            <v>FA04090200</v>
          </cell>
          <cell r="M489" t="str">
            <v>UHE Mascarenhas de Moraes</v>
          </cell>
          <cell r="N489" t="str">
            <v>Geração</v>
          </cell>
          <cell r="O489" t="str">
            <v>Modernização de pequeno porte</v>
          </cell>
          <cell r="P489" t="str">
            <v>Modernização de pequeno porte</v>
          </cell>
          <cell r="Q489" t="str">
            <v>FGHI.0010</v>
          </cell>
          <cell r="R489" t="str">
            <v>PO.O_DRM.O_20OM</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cell r="AG489">
            <v>12356204.374264</v>
          </cell>
          <cell r="AH489">
            <v>43487631.9805585</v>
          </cell>
          <cell r="AI489">
            <v>62820802.916175999</v>
          </cell>
          <cell r="AJ489">
            <v>118664639.27099851</v>
          </cell>
          <cell r="AK489">
            <v>0</v>
          </cell>
          <cell r="AL489">
            <v>0</v>
          </cell>
          <cell r="AM489">
            <v>0</v>
          </cell>
          <cell r="AN489">
            <v>0</v>
          </cell>
          <cell r="AO489">
            <v>0</v>
          </cell>
          <cell r="AP489">
            <v>118664639.27099851</v>
          </cell>
          <cell r="AQ489" t="str">
            <v>Minas Gerais</v>
          </cell>
          <cell r="AS489" t="str">
            <v>x</v>
          </cell>
          <cell r="AT489">
            <v>118664639.27099851</v>
          </cell>
        </row>
        <row r="490">
          <cell r="B490" t="str">
            <v>COO3241</v>
          </cell>
          <cell r="C490"/>
          <cell r="D490" t="str">
            <v>OOGM.F-OS-2025-I-0248</v>
          </cell>
          <cell r="E490"/>
          <cell r="F490" t="str">
            <v>P6</v>
          </cell>
          <cell r="G490" t="str">
            <v>Eletrosul</v>
          </cell>
          <cell r="H490" t="str">
            <v>Nova Demanda</v>
          </cell>
          <cell r="I490" t="str">
            <v>Modernização do sistema de automação e lubrificação dos mancais da UHE São Domingos</v>
          </cell>
          <cell r="J490"/>
          <cell r="K490"/>
          <cell r="L490" t="str">
            <v>SO10103003</v>
          </cell>
          <cell r="M490" t="str">
            <v>UHE São Domingos</v>
          </cell>
          <cell r="N490" t="str">
            <v>Geração</v>
          </cell>
          <cell r="O490" t="str">
            <v>Modernização de pequeno porte</v>
          </cell>
          <cell r="P490" t="str">
            <v>Modernização de pequeno porte</v>
          </cell>
          <cell r="Q490" t="str">
            <v>SGHI.0006</v>
          </cell>
          <cell r="R490" t="str">
            <v>Modernização da Geração Hidrelétrica</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cell r="AG490"/>
          <cell r="AH490"/>
          <cell r="AI490"/>
          <cell r="AJ490">
            <v>0</v>
          </cell>
          <cell r="AK490">
            <v>4336399.9349999996</v>
          </cell>
          <cell r="AL490">
            <v>1445466.645</v>
          </cell>
          <cell r="AM490">
            <v>0</v>
          </cell>
          <cell r="AN490">
            <v>0</v>
          </cell>
          <cell r="AO490">
            <v>0</v>
          </cell>
          <cell r="AP490">
            <v>5781866.5800000001</v>
          </cell>
          <cell r="AQ490" t="str">
            <v>Mato Grosso do Sul</v>
          </cell>
          <cell r="AR490" t="str">
            <v>[não vai para as abas de projeto e subprojeto] Estes projetos não são da Eletrosul</v>
          </cell>
          <cell r="AS490" t="str">
            <v>x</v>
          </cell>
          <cell r="AT490">
            <v>4336399.9349999996</v>
          </cell>
        </row>
        <row r="491">
          <cell r="B491" t="str">
            <v>COO3242</v>
          </cell>
          <cell r="C491"/>
          <cell r="D491" t="str">
            <v>OOGM.F-OS-2025-I-0258</v>
          </cell>
          <cell r="E491"/>
          <cell r="F491" t="str">
            <v>P6</v>
          </cell>
          <cell r="G491" t="str">
            <v>Eletronorte</v>
          </cell>
          <cell r="H491" t="str">
            <v>Nova Demanda</v>
          </cell>
          <cell r="I491" t="str">
            <v>Modernização do sistema de acionamento da comporta tomada d'água da UG13 da UHE Tucuruí</v>
          </cell>
          <cell r="J491"/>
          <cell r="K491"/>
          <cell r="L491" t="str">
            <v>NO10105003</v>
          </cell>
          <cell r="M491" t="str">
            <v>UHE Tucuruí</v>
          </cell>
          <cell r="N491" t="str">
            <v>Geração</v>
          </cell>
          <cell r="O491" t="str">
            <v>Modernização de pequeno porte</v>
          </cell>
          <cell r="P491" t="str">
            <v>Modernização de pequeno porte</v>
          </cell>
          <cell r="Q491" t="str">
            <v>NGHI.0143</v>
          </cell>
          <cell r="R491" t="str">
            <v>OOG Modern. G PP 2025</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cell r="AG491"/>
          <cell r="AH491"/>
          <cell r="AI491"/>
          <cell r="AJ491">
            <v>0</v>
          </cell>
          <cell r="AK491">
            <v>3850000</v>
          </cell>
          <cell r="AL491">
            <v>1925000</v>
          </cell>
          <cell r="AM491">
            <v>1925000</v>
          </cell>
          <cell r="AN491">
            <v>0</v>
          </cell>
          <cell r="AO491">
            <v>0</v>
          </cell>
          <cell r="AP491">
            <v>7700000</v>
          </cell>
          <cell r="AQ491" t="str">
            <v>Pará</v>
          </cell>
          <cell r="AS491" t="str">
            <v>x</v>
          </cell>
          <cell r="AT491">
            <v>3850000</v>
          </cell>
        </row>
        <row r="492">
          <cell r="B492" t="str">
            <v>VEE0001</v>
          </cell>
          <cell r="C492" t="str">
            <v>EEPMG</v>
          </cell>
          <cell r="D492"/>
          <cell r="E492"/>
          <cell r="F492"/>
          <cell r="G492" t="str">
            <v>Chesf</v>
          </cell>
          <cell r="H492" t="str">
            <v>Contratado</v>
          </cell>
          <cell r="I492" t="str">
            <v>Modernização e Digitallização do sistema MPCCSR da UHE Paulo Afonso IV - Digitalização dos seus sistemas elétricos e desmontagem do conjunto girante para recuperação/substituição de equipamentos da turbina e a própia turbina.</v>
          </cell>
          <cell r="J492"/>
          <cell r="K492"/>
          <cell r="L492"/>
          <cell r="M492" t="str">
            <v>UHE Paulo Afonso IV</v>
          </cell>
          <cell r="N492" t="str">
            <v>Geração</v>
          </cell>
          <cell r="O492" t="str">
            <v>Modernização de grande porte</v>
          </cell>
          <cell r="P492"/>
          <cell r="Q492" t="str">
            <v>UH.6004</v>
          </cell>
          <cell r="R492"/>
          <cell r="S492">
            <v>37375052.939999998</v>
          </cell>
          <cell r="T492">
            <v>16596255.539999999</v>
          </cell>
          <cell r="U492">
            <v>6511464.0899999999</v>
          </cell>
          <cell r="V492">
            <v>50166297.159999996</v>
          </cell>
          <cell r="W492">
            <v>11652223.289999999</v>
          </cell>
          <cell r="X492">
            <v>15536850.810000001</v>
          </cell>
          <cell r="Y492">
            <v>26437812.170000002</v>
          </cell>
          <cell r="Z492">
            <v>3984594.83</v>
          </cell>
          <cell r="AA492">
            <v>3644372.07</v>
          </cell>
          <cell r="AB492">
            <v>25915452.850000001</v>
          </cell>
          <cell r="AC492">
            <v>5164885.03</v>
          </cell>
          <cell r="AD492">
            <v>8759401.0299999993</v>
          </cell>
          <cell r="AE492">
            <v>211744661.81</v>
          </cell>
          <cell r="AF492">
            <v>22336252.829999998</v>
          </cell>
          <cell r="AG492">
            <v>2744282.43</v>
          </cell>
          <cell r="AH492"/>
          <cell r="AI492"/>
          <cell r="AJ492">
            <v>236825197.06999999</v>
          </cell>
          <cell r="AK492">
            <v>0</v>
          </cell>
          <cell r="AL492">
            <v>0</v>
          </cell>
          <cell r="AM492">
            <v>0</v>
          </cell>
          <cell r="AN492">
            <v>0</v>
          </cell>
          <cell r="AO492">
            <v>0</v>
          </cell>
          <cell r="AP492">
            <v>236825197.06999999</v>
          </cell>
          <cell r="AQ492" t="str">
            <v>Bahia</v>
          </cell>
          <cell r="AS492" t="str">
            <v>x</v>
          </cell>
          <cell r="AT492">
            <v>25080535.259999998</v>
          </cell>
        </row>
        <row r="493">
          <cell r="B493" t="str">
            <v>VEE0002</v>
          </cell>
          <cell r="C493" t="str">
            <v>EEGPM</v>
          </cell>
          <cell r="D493"/>
          <cell r="E493"/>
          <cell r="F493"/>
          <cell r="G493" t="str">
            <v>Chesf</v>
          </cell>
          <cell r="H493" t="str">
            <v>Contratado</v>
          </cell>
          <cell r="I493" t="str">
            <v>Digitalização do Sistema MPCCSRA da UHE Luiz Gonzaga - Digitalização dos seus sistemas elétricos e desmontagem do conjunto girante para recuperação/substituição de equipamentos da turbina.</v>
          </cell>
          <cell r="J493"/>
          <cell r="K493"/>
          <cell r="L493"/>
          <cell r="M493" t="str">
            <v>UHE Luiz Gonzaga</v>
          </cell>
          <cell r="N493" t="str">
            <v>Geração</v>
          </cell>
          <cell r="O493" t="str">
            <v>Modernização de grande porte</v>
          </cell>
          <cell r="P493"/>
          <cell r="Q493" t="str">
            <v>HGHI.0001</v>
          </cell>
          <cell r="R493"/>
          <cell r="S493">
            <v>426500</v>
          </cell>
          <cell r="T493">
            <v>4625674.4685405791</v>
          </cell>
          <cell r="U493">
            <v>13586844.130356856</v>
          </cell>
          <cell r="V493">
            <v>873206.34237235493</v>
          </cell>
          <cell r="W493">
            <v>2958703.6815996934</v>
          </cell>
          <cell r="X493">
            <v>2263067.389113517</v>
          </cell>
          <cell r="Y493">
            <v>5672908.8567816885</v>
          </cell>
          <cell r="Z493">
            <v>4542599.7424468901</v>
          </cell>
          <cell r="AA493">
            <v>13816926.290175216</v>
          </cell>
          <cell r="AB493">
            <v>5745394.1881882688</v>
          </cell>
          <cell r="AC493">
            <v>4216390.3997247405</v>
          </cell>
          <cell r="AD493">
            <v>66848317.710700192</v>
          </cell>
          <cell r="AE493">
            <v>125576533.19999999</v>
          </cell>
          <cell r="AF493">
            <v>127649386.8</v>
          </cell>
          <cell r="AG493">
            <v>134468880</v>
          </cell>
          <cell r="AH493">
            <v>124863960</v>
          </cell>
          <cell r="AI493">
            <v>124863960</v>
          </cell>
          <cell r="AJ493">
            <v>637422720</v>
          </cell>
          <cell r="AK493">
            <v>0</v>
          </cell>
          <cell r="AL493">
            <v>0</v>
          </cell>
          <cell r="AM493">
            <v>0</v>
          </cell>
          <cell r="AN493">
            <v>0</v>
          </cell>
          <cell r="AO493">
            <v>0</v>
          </cell>
          <cell r="AP493">
            <v>637422720</v>
          </cell>
          <cell r="AQ493" t="str">
            <v>Pernambuco</v>
          </cell>
          <cell r="AS493" t="str">
            <v>x</v>
          </cell>
          <cell r="AT493">
            <v>511846186.80000001</v>
          </cell>
        </row>
        <row r="494">
          <cell r="B494" t="str">
            <v>VEE0003</v>
          </cell>
          <cell r="C494" t="str">
            <v>EEGIS</v>
          </cell>
          <cell r="D494"/>
          <cell r="E494"/>
          <cell r="F494"/>
          <cell r="G494" t="str">
            <v>Operação Sudeste</v>
          </cell>
          <cell r="H494" t="str">
            <v>Contratado</v>
          </cell>
          <cell r="I494" t="str">
            <v xml:space="preserve">Modernização da Usina de Porto Colômbia -Serviços de engenharia (projetos), obras civis necessárias de infraestrutura, desmontagem e montagem eletromecânica, fornecimento de materiais, equipamentos e sistemas, treinamentos, descomissionamento e comissionamento para as quatro (04) unidades geradoras da usina e demais sistemas auxiliares da case de força, vertedouro e interligações com a subestação, e abrange: Geradores Síncronos e Equipamentos Associados, Reguladores de Tensão, Turbinas Hidráulicas e Equipamentos Associados, Reguladores de
Velocidade, Conexão aos Transformadores Elevadores, Conexão das UGs ao Barramento Blindado, Equipamentos Hidromecânicos, Equipamentos de Levantamento e Movimentação de Carga, Sistemas Auxiliares Elétricos e Mecânicos, Sistemas de Excitação, Sistemas de Proteção (inclusive SEP, Sistemas Especiais de Proteção), Sistemas de Medição, Sistemas de Supervisão e Controle, RARP (Rede de Aceso aos Relés de Proteção), Geradores Diesel de Emergência, Sistemas de Ar Condicionado e Ventilação Mecânica e Interligação com a
Subestação.
</v>
          </cell>
          <cell r="J494"/>
          <cell r="K494"/>
          <cell r="L494"/>
          <cell r="M494" t="str">
            <v>UHE Porto Colombia</v>
          </cell>
          <cell r="N494" t="str">
            <v>Geração</v>
          </cell>
          <cell r="O494" t="str">
            <v>Modernização de grande porte</v>
          </cell>
          <cell r="P494"/>
          <cell r="Q494" t="str">
            <v>FGHI.0048</v>
          </cell>
          <cell r="R494"/>
          <cell r="S494">
            <v>11921559.090870069</v>
          </cell>
          <cell r="T494">
            <v>15582585.4044584</v>
          </cell>
          <cell r="U494">
            <v>6171698.569910191</v>
          </cell>
          <cell r="V494">
            <v>6666074.8683124902</v>
          </cell>
          <cell r="W494">
            <v>6259629.6214580806</v>
          </cell>
          <cell r="X494">
            <v>3770765.7375167296</v>
          </cell>
          <cell r="Y494">
            <v>5213514.2785793198</v>
          </cell>
          <cell r="Z494">
            <v>4250423.9629131602</v>
          </cell>
          <cell r="AA494">
            <v>1522297.0460045901</v>
          </cell>
          <cell r="AB494">
            <v>15034242.838367909</v>
          </cell>
          <cell r="AC494">
            <v>7066481.9313696204</v>
          </cell>
          <cell r="AD494">
            <v>20796934.499897003</v>
          </cell>
          <cell r="AE494">
            <v>104256207.84965758</v>
          </cell>
          <cell r="AF494">
            <v>73192589.782598257</v>
          </cell>
          <cell r="AG494">
            <v>55249994.926190212</v>
          </cell>
          <cell r="AH494">
            <v>16241370.849343732</v>
          </cell>
          <cell r="AI494">
            <v>97229.85459570121</v>
          </cell>
          <cell r="AJ494">
            <v>249037393.26238546</v>
          </cell>
          <cell r="AK494">
            <v>0</v>
          </cell>
          <cell r="AL494">
            <v>0</v>
          </cell>
          <cell r="AM494">
            <v>0</v>
          </cell>
          <cell r="AN494">
            <v>0</v>
          </cell>
          <cell r="AO494">
            <v>0</v>
          </cell>
          <cell r="AP494">
            <v>249037393.26238546</v>
          </cell>
          <cell r="AQ494" t="str">
            <v>Minas Gerais</v>
          </cell>
          <cell r="AS494" t="str">
            <v>x</v>
          </cell>
          <cell r="AT494">
            <v>144781185.41272789</v>
          </cell>
        </row>
        <row r="495">
          <cell r="B495" t="str">
            <v>VEE0004</v>
          </cell>
          <cell r="C495" t="str">
            <v>EEPMG</v>
          </cell>
          <cell r="D495"/>
          <cell r="E495"/>
          <cell r="F495"/>
          <cell r="G495" t="str">
            <v>Chesf</v>
          </cell>
          <cell r="H495" t="str">
            <v>Contratado</v>
          </cell>
          <cell r="I495" t="str">
            <v>Modernização e Digitalização da UHE Sobradinho - Digitalização dos seus sistemas elétricos e desmontagem do conjunto girante para recuperação/substituição de equipamentos da turbina.</v>
          </cell>
          <cell r="J495"/>
          <cell r="K495"/>
          <cell r="L495"/>
          <cell r="M495" t="str">
            <v>UHE Sobradinho</v>
          </cell>
          <cell r="N495" t="str">
            <v>Geração</v>
          </cell>
          <cell r="O495" t="str">
            <v>Modernização de grande porte</v>
          </cell>
          <cell r="P495"/>
          <cell r="Q495" t="str">
            <v>UH.6003</v>
          </cell>
          <cell r="R495"/>
          <cell r="S495">
            <v>988117.52399999998</v>
          </cell>
          <cell r="T495">
            <v>4848427.3375644218</v>
          </cell>
          <cell r="U495">
            <v>4621861.75827544</v>
          </cell>
          <cell r="V495">
            <v>1861513.8536</v>
          </cell>
          <cell r="W495">
            <v>4490023.5336255478</v>
          </cell>
          <cell r="X495">
            <v>6170401.6135999998</v>
          </cell>
          <cell r="Y495">
            <v>456812.90044935339</v>
          </cell>
          <cell r="Z495">
            <v>5041655.101897113</v>
          </cell>
          <cell r="AA495">
            <v>12126215.271655422</v>
          </cell>
          <cell r="AB495">
            <v>14187749.428185862</v>
          </cell>
          <cell r="AC495">
            <v>2444451.4383859346</v>
          </cell>
          <cell r="AD495">
            <v>28861608.310751926</v>
          </cell>
          <cell r="AE495">
            <v>86098838.071991026</v>
          </cell>
          <cell r="AF495">
            <v>111086916.09998201</v>
          </cell>
          <cell r="AG495">
            <v>77043665.263241217</v>
          </cell>
          <cell r="AH495">
            <v>11563230.474489866</v>
          </cell>
          <cell r="AI495"/>
          <cell r="AJ495">
            <v>285792649.90970415</v>
          </cell>
          <cell r="AK495">
            <v>0</v>
          </cell>
          <cell r="AL495">
            <v>0</v>
          </cell>
          <cell r="AM495">
            <v>0</v>
          </cell>
          <cell r="AN495">
            <v>0</v>
          </cell>
          <cell r="AO495">
            <v>0</v>
          </cell>
          <cell r="AP495">
            <v>285792649.90970415</v>
          </cell>
          <cell r="AQ495" t="str">
            <v>Bahia</v>
          </cell>
          <cell r="AS495" t="str">
            <v>x</v>
          </cell>
          <cell r="AT495">
            <v>199693811.83771309</v>
          </cell>
        </row>
        <row r="496">
          <cell r="B496" t="str">
            <v>VEE0005</v>
          </cell>
          <cell r="C496" t="str">
            <v>EEGII</v>
          </cell>
          <cell r="D496"/>
          <cell r="E496"/>
          <cell r="F496"/>
          <cell r="G496" t="str">
            <v>Eletronorte</v>
          </cell>
          <cell r="H496" t="str">
            <v>Contratado</v>
          </cell>
          <cell r="I496" t="str">
            <v>Reforma dos geradores das Unidades Geradoras de nº 01, 03, 05, 07 e 09 da UHE Tucuruí. - Reforma nos geradores das Unidades Geradoras de nº 01, 03, 05, 07 e 09 da UHE Tucuruí - substituição dos estatores e reforma dos polos.</v>
          </cell>
          <cell r="J496"/>
          <cell r="K496"/>
          <cell r="L496"/>
          <cell r="M496" t="str">
            <v>UHE Tucuruí</v>
          </cell>
          <cell r="N496" t="str">
            <v>Geração</v>
          </cell>
          <cell r="O496" t="str">
            <v>Modernização de grande porte</v>
          </cell>
          <cell r="P496"/>
          <cell r="Q496" t="str">
            <v>UH.9612</v>
          </cell>
          <cell r="R496"/>
          <cell r="S496">
            <v>3540086.4962484455</v>
          </cell>
          <cell r="T496">
            <v>1609173.6908620959</v>
          </cell>
          <cell r="U496">
            <v>8728117.169122098</v>
          </cell>
          <cell r="V496">
            <v>13831187.051279895</v>
          </cell>
          <cell r="W496">
            <v>1609173.6908620959</v>
          </cell>
          <cell r="X496">
            <v>8359856.5436496725</v>
          </cell>
          <cell r="Y496">
            <v>7189695.7625756953</v>
          </cell>
          <cell r="Z496">
            <v>634899.35741149541</v>
          </cell>
          <cell r="AA496">
            <v>4125832.2901234971</v>
          </cell>
          <cell r="AB496">
            <v>67368.613694102169</v>
          </cell>
          <cell r="AC496">
            <v>67368.613694102169</v>
          </cell>
          <cell r="AD496">
            <v>19270.383694102169</v>
          </cell>
          <cell r="AE496">
            <v>49782029.663217299</v>
          </cell>
          <cell r="AF496"/>
          <cell r="AG496"/>
          <cell r="AH496"/>
          <cell r="AI496"/>
          <cell r="AJ496">
            <v>49782029.663217299</v>
          </cell>
          <cell r="AK496">
            <v>0</v>
          </cell>
          <cell r="AL496">
            <v>0</v>
          </cell>
          <cell r="AM496">
            <v>0</v>
          </cell>
          <cell r="AN496">
            <v>0</v>
          </cell>
          <cell r="AO496">
            <v>0</v>
          </cell>
          <cell r="AP496">
            <v>49782029.663217299</v>
          </cell>
          <cell r="AQ496" t="str">
            <v>Pará</v>
          </cell>
          <cell r="AS496" t="str">
            <v>x</v>
          </cell>
          <cell r="AT496">
            <v>0</v>
          </cell>
        </row>
        <row r="497">
          <cell r="B497" t="str">
            <v>VEE0006</v>
          </cell>
          <cell r="C497" t="str">
            <v>EEGPM</v>
          </cell>
          <cell r="D497"/>
          <cell r="E497"/>
          <cell r="F497"/>
          <cell r="G497" t="str">
            <v>Chesf</v>
          </cell>
          <cell r="H497" t="str">
            <v>Em contrataçao</v>
          </cell>
          <cell r="I497" t="str">
            <v>Modernização da Usina de Apolônio Sales - Digitalização do controle, proteção, supervisão e regulação da Usina e modernização dos sistemas eletromecânicos da casa de força e hidromecânicos</v>
          </cell>
          <cell r="J497"/>
          <cell r="K497"/>
          <cell r="L497"/>
          <cell r="M497" t="str">
            <v>UHE Apolônio Sales</v>
          </cell>
          <cell r="N497" t="str">
            <v>Geração</v>
          </cell>
          <cell r="O497" t="str">
            <v>Modernização de grande porte</v>
          </cell>
          <cell r="P497"/>
          <cell r="Q497" t="str">
            <v>UH.6005</v>
          </cell>
          <cell r="R497"/>
          <cell r="S497">
            <v>65000</v>
          </cell>
          <cell r="T497">
            <v>65000</v>
          </cell>
          <cell r="U497">
            <v>65000</v>
          </cell>
          <cell r="V497">
            <v>2065000</v>
          </cell>
          <cell r="W497">
            <v>2065000</v>
          </cell>
          <cell r="X497">
            <v>2065000</v>
          </cell>
          <cell r="Y497">
            <v>2065000</v>
          </cell>
          <cell r="Z497">
            <v>2065000</v>
          </cell>
          <cell r="AA497">
            <v>4565000</v>
          </cell>
          <cell r="AB497">
            <v>4565000</v>
          </cell>
          <cell r="AC497">
            <v>4565000</v>
          </cell>
          <cell r="AD497">
            <v>4565000</v>
          </cell>
          <cell r="AE497">
            <v>28780000</v>
          </cell>
          <cell r="AF497">
            <v>145365000.00000006</v>
          </cell>
          <cell r="AG497">
            <v>150125000</v>
          </cell>
          <cell r="AH497">
            <v>120100000</v>
          </cell>
          <cell r="AI497">
            <v>120100000</v>
          </cell>
          <cell r="AJ497">
            <v>564470000</v>
          </cell>
          <cell r="AK497">
            <v>0</v>
          </cell>
          <cell r="AL497">
            <v>0</v>
          </cell>
          <cell r="AM497">
            <v>0</v>
          </cell>
          <cell r="AN497">
            <v>0</v>
          </cell>
          <cell r="AO497">
            <v>0</v>
          </cell>
          <cell r="AP497">
            <v>564470000</v>
          </cell>
          <cell r="AQ497" t="str">
            <v>Alagoas</v>
          </cell>
          <cell r="AS497" t="str">
            <v>x</v>
          </cell>
          <cell r="AT497">
            <v>535690000.00000006</v>
          </cell>
        </row>
        <row r="498">
          <cell r="B498" t="str">
            <v>VEE0007</v>
          </cell>
          <cell r="C498" t="str">
            <v>EEGIN</v>
          </cell>
          <cell r="D498"/>
          <cell r="E498"/>
          <cell r="F498"/>
          <cell r="G498" t="str">
            <v>Chesf</v>
          </cell>
          <cell r="H498" t="str">
            <v>Contratado</v>
          </cell>
          <cell r="I498" t="str">
            <v>Programa de Modernização dos Equipamentos Elevatórios das UHEs - Modernização de 40  equipamentos de elevação do tipo pontes e pórticos rolantes, talhas, monovias, guinchos e máquinas limpa-grades das usinas de PA I, II, III  e IV, UAS, ULG e UXG</v>
          </cell>
          <cell r="J498"/>
          <cell r="K498"/>
          <cell r="L498"/>
          <cell r="M498" t="str">
            <v>Diversas UHE</v>
          </cell>
          <cell r="N498" t="str">
            <v>Geração</v>
          </cell>
          <cell r="O498" t="str">
            <v>Modernização de grande porte</v>
          </cell>
          <cell r="P498"/>
          <cell r="Q498" t="str">
            <v>UH.6006</v>
          </cell>
          <cell r="R498"/>
          <cell r="S498">
            <v>1940587.55</v>
          </cell>
          <cell r="T498">
            <v>1940587.55</v>
          </cell>
          <cell r="U498">
            <v>995934.7</v>
          </cell>
          <cell r="V498">
            <v>995934.7</v>
          </cell>
          <cell r="W498">
            <v>755722.28</v>
          </cell>
          <cell r="X498">
            <v>1511444.57</v>
          </cell>
          <cell r="Y498">
            <v>1889305.71</v>
          </cell>
          <cell r="Z498">
            <v>944652.85</v>
          </cell>
          <cell r="AA498">
            <v>1889305.71</v>
          </cell>
          <cell r="AB498">
            <v>1889305.71</v>
          </cell>
          <cell r="AC498">
            <v>472326.43</v>
          </cell>
          <cell r="AD498">
            <v>3778611.42</v>
          </cell>
          <cell r="AE498">
            <v>19003719.18</v>
          </cell>
          <cell r="AF498">
            <v>18893057.079999998</v>
          </cell>
          <cell r="AG498"/>
          <cell r="AH498"/>
          <cell r="AI498"/>
          <cell r="AJ498">
            <v>37896776.259999998</v>
          </cell>
          <cell r="AK498">
            <v>0</v>
          </cell>
          <cell r="AL498">
            <v>0</v>
          </cell>
          <cell r="AM498">
            <v>0</v>
          </cell>
          <cell r="AN498">
            <v>0</v>
          </cell>
          <cell r="AO498">
            <v>0</v>
          </cell>
          <cell r="AP498">
            <v>37896776.259999998</v>
          </cell>
          <cell r="AQ498" t="str">
            <v>Bahia</v>
          </cell>
          <cell r="AS498" t="str">
            <v>x</v>
          </cell>
          <cell r="AT498">
            <v>18893057.079999998</v>
          </cell>
        </row>
        <row r="499">
          <cell r="B499" t="str">
            <v>VEE0008</v>
          </cell>
          <cell r="C499" t="str">
            <v>EEPMG</v>
          </cell>
          <cell r="D499"/>
          <cell r="E499"/>
          <cell r="F499"/>
          <cell r="G499" t="str">
            <v>Chesf</v>
          </cell>
          <cell r="H499" t="str">
            <v>Contratado</v>
          </cell>
          <cell r="I499" t="str">
            <v>Implantação do  Sistema de CFTV para  monitoramento das  UHEs  da  CHESF- Implantação de sistema de CFTV para aumento da segurança operacional, otimização  de equipes e disponibilidade dos equipamentos para a Operação e para a segurança de barragens.</v>
          </cell>
          <cell r="J499"/>
          <cell r="K499"/>
          <cell r="L499"/>
          <cell r="M499" t="str">
            <v>Diversas UHE</v>
          </cell>
          <cell r="N499" t="str">
            <v>Geração</v>
          </cell>
          <cell r="O499" t="str">
            <v>Modernização de grande porte</v>
          </cell>
          <cell r="P499"/>
          <cell r="Q499" t="str">
            <v>UH.6014</v>
          </cell>
          <cell r="R499"/>
          <cell r="S499">
            <v>385220.71083333337</v>
          </cell>
          <cell r="T499">
            <v>385220.71083333337</v>
          </cell>
          <cell r="U499">
            <v>1540882.8433333335</v>
          </cell>
          <cell r="V499">
            <v>770441.42166666675</v>
          </cell>
          <cell r="W499">
            <v>770441.42166666675</v>
          </cell>
          <cell r="X499">
            <v>770441.42166666675</v>
          </cell>
          <cell r="Y499">
            <v>385220.71083333337</v>
          </cell>
          <cell r="Z499">
            <v>770441.42166666675</v>
          </cell>
          <cell r="AA499">
            <v>1540882.8433333335</v>
          </cell>
          <cell r="AB499">
            <v>770441.42166666675</v>
          </cell>
          <cell r="AC499">
            <v>770441.42166666675</v>
          </cell>
          <cell r="AD499">
            <v>385220.71083333337</v>
          </cell>
          <cell r="AE499">
            <v>9245297.0600000005</v>
          </cell>
          <cell r="AF499">
            <v>1837504.69</v>
          </cell>
          <cell r="AG499"/>
          <cell r="AH499"/>
          <cell r="AI499"/>
          <cell r="AJ499">
            <v>11082801.75</v>
          </cell>
          <cell r="AK499">
            <v>0</v>
          </cell>
          <cell r="AL499">
            <v>0</v>
          </cell>
          <cell r="AM499">
            <v>0</v>
          </cell>
          <cell r="AN499">
            <v>0</v>
          </cell>
          <cell r="AO499">
            <v>0</v>
          </cell>
          <cell r="AP499">
            <v>11082801.75</v>
          </cell>
          <cell r="AQ499"/>
          <cell r="AS499" t="str">
            <v>x</v>
          </cell>
          <cell r="AT499">
            <v>1837504.69</v>
          </cell>
        </row>
        <row r="500">
          <cell r="B500" t="str">
            <v>VEE0009</v>
          </cell>
          <cell r="C500" t="str">
            <v>EEGAM</v>
          </cell>
          <cell r="D500"/>
          <cell r="E500"/>
          <cell r="F500"/>
          <cell r="G500" t="str">
            <v>Operação Sudeste</v>
          </cell>
          <cell r="H500" t="str">
            <v>Contratado</v>
          </cell>
          <cell r="I500" t="str">
            <v>UHE Simplício - Aquisição de transformadores elevadores para as unidades geradoras</v>
          </cell>
          <cell r="J500"/>
          <cell r="K500"/>
          <cell r="L500"/>
          <cell r="M500" t="str">
            <v>UHE Simplício</v>
          </cell>
          <cell r="N500" t="str">
            <v>Geração</v>
          </cell>
          <cell r="O500" t="str">
            <v>Modernização de grande porte</v>
          </cell>
          <cell r="P500"/>
          <cell r="Q500" t="str">
            <v>FGHI.0073</v>
          </cell>
          <cell r="R500"/>
          <cell r="S500">
            <v>421137.86484375002</v>
          </cell>
          <cell r="T500">
            <v>25869.614843750001</v>
          </cell>
          <cell r="U500">
            <v>25869.614843750001</v>
          </cell>
          <cell r="V500">
            <v>25869.614843750001</v>
          </cell>
          <cell r="W500">
            <v>25869.614843750001</v>
          </cell>
          <cell r="X500">
            <v>25869.614843750001</v>
          </cell>
          <cell r="Y500">
            <v>25869.614843750001</v>
          </cell>
          <cell r="Z500">
            <v>25869.614843750001</v>
          </cell>
          <cell r="AA500">
            <v>117689.61484374999</v>
          </cell>
          <cell r="AB500">
            <v>25869.614843750001</v>
          </cell>
          <cell r="AC500">
            <v>6181105.1148437504</v>
          </cell>
          <cell r="AD500">
            <v>172569.61484374999</v>
          </cell>
          <cell r="AE500">
            <v>7099459.1281250007</v>
          </cell>
          <cell r="AF500">
            <v>53767.40749125</v>
          </cell>
          <cell r="AG500"/>
          <cell r="AH500"/>
          <cell r="AI500"/>
          <cell r="AJ500">
            <v>7153226.5356162507</v>
          </cell>
          <cell r="AK500">
            <v>0</v>
          </cell>
          <cell r="AL500">
            <v>0</v>
          </cell>
          <cell r="AM500">
            <v>0</v>
          </cell>
          <cell r="AN500">
            <v>0</v>
          </cell>
          <cell r="AO500">
            <v>0</v>
          </cell>
          <cell r="AP500">
            <v>7153226.5356162507</v>
          </cell>
          <cell r="AQ500" t="str">
            <v>Minas Gerais</v>
          </cell>
          <cell r="AS500" t="str">
            <v>x</v>
          </cell>
          <cell r="AT500">
            <v>53767.40749125</v>
          </cell>
        </row>
        <row r="501">
          <cell r="B501" t="str">
            <v>VEE0010</v>
          </cell>
          <cell r="C501" t="str">
            <v>EEGIN</v>
          </cell>
          <cell r="D501"/>
          <cell r="E501"/>
          <cell r="F501"/>
          <cell r="G501" t="str">
            <v>Chesf</v>
          </cell>
          <cell r="H501" t="str">
            <v>Contratado</v>
          </cell>
          <cell r="I501" t="str">
            <v>Retrofit do sistema supervisório e de comunicação de dados das Usinas de Paulo Afonso I,II e III  - Modernização dos sistemas de comunição de dados de controle e supervisão das usinas de PA I, II e III</v>
          </cell>
          <cell r="J501"/>
          <cell r="K501"/>
          <cell r="L501"/>
          <cell r="M501" t="str">
            <v>Complexo Paulo Afonso</v>
          </cell>
          <cell r="N501" t="str">
            <v>Geração</v>
          </cell>
          <cell r="O501" t="str">
            <v>Modernização de grande porte</v>
          </cell>
          <cell r="P501"/>
          <cell r="Q501" t="str">
            <v>UH.6007</v>
          </cell>
          <cell r="R501"/>
          <cell r="S501">
            <v>587560.64716249995</v>
          </cell>
          <cell r="T501">
            <v>587560.64716249995</v>
          </cell>
          <cell r="U501">
            <v>587560.64716249995</v>
          </cell>
          <cell r="V501">
            <v>587560.64716249995</v>
          </cell>
          <cell r="W501">
            <v>587560.64716249995</v>
          </cell>
          <cell r="X501">
            <v>587560.64716249995</v>
          </cell>
          <cell r="Y501">
            <v>587560.64716249995</v>
          </cell>
          <cell r="Z501">
            <v>587560.64716249995</v>
          </cell>
          <cell r="AA501">
            <v>587560.64716249995</v>
          </cell>
          <cell r="AB501">
            <v>587560.64716249995</v>
          </cell>
          <cell r="AC501">
            <v>587560.64716249995</v>
          </cell>
          <cell r="AD501">
            <v>587560.64716249995</v>
          </cell>
          <cell r="AE501">
            <v>7050727.765949999</v>
          </cell>
          <cell r="AF501"/>
          <cell r="AG501"/>
          <cell r="AH501"/>
          <cell r="AI501"/>
          <cell r="AJ501">
            <v>7050727.765949999</v>
          </cell>
          <cell r="AK501">
            <v>0</v>
          </cell>
          <cell r="AL501">
            <v>0</v>
          </cell>
          <cell r="AM501">
            <v>0</v>
          </cell>
          <cell r="AN501">
            <v>0</v>
          </cell>
          <cell r="AO501">
            <v>0</v>
          </cell>
          <cell r="AP501">
            <v>7050727.765949999</v>
          </cell>
          <cell r="AQ501" t="str">
            <v>Bahia</v>
          </cell>
          <cell r="AS501" t="str">
            <v>x</v>
          </cell>
          <cell r="AT501">
            <v>0</v>
          </cell>
        </row>
        <row r="502">
          <cell r="B502" t="str">
            <v>VEE0011</v>
          </cell>
          <cell r="C502" t="str">
            <v>EEGPM</v>
          </cell>
          <cell r="D502"/>
          <cell r="E502"/>
          <cell r="F502"/>
          <cell r="G502" t="str">
            <v>Operação Sudeste</v>
          </cell>
          <cell r="H502" t="str">
            <v>Em contrataçao</v>
          </cell>
          <cell r="I502" t="str">
            <v>Projetos em Carteira - UHE Itumbiara - Aquisição de 18 Transformadores Elevadores</v>
          </cell>
          <cell r="J502"/>
          <cell r="K502"/>
          <cell r="L502"/>
          <cell r="M502" t="str">
            <v>UHE Itumbiara</v>
          </cell>
          <cell r="N502" t="str">
            <v>Geração</v>
          </cell>
          <cell r="O502" t="str">
            <v>Modernização de grande porte</v>
          </cell>
          <cell r="P502"/>
          <cell r="Q502" t="str">
            <v>FGHI.0058</v>
          </cell>
          <cell r="R502"/>
          <cell r="S502">
            <v>57710</v>
          </cell>
          <cell r="T502">
            <v>57710</v>
          </cell>
          <cell r="U502">
            <v>57710</v>
          </cell>
          <cell r="V502">
            <v>57710</v>
          </cell>
          <cell r="W502">
            <v>57710</v>
          </cell>
          <cell r="X502">
            <v>57710</v>
          </cell>
          <cell r="Y502">
            <v>108000</v>
          </cell>
          <cell r="Z502">
            <v>108000</v>
          </cell>
          <cell r="AA502">
            <v>108000</v>
          </cell>
          <cell r="AB502">
            <v>108000</v>
          </cell>
          <cell r="AC502">
            <v>108000</v>
          </cell>
          <cell r="AD502">
            <v>5800000</v>
          </cell>
          <cell r="AE502">
            <v>6686260</v>
          </cell>
          <cell r="AF502">
            <v>146119176.88</v>
          </cell>
          <cell r="AG502">
            <v>122705437</v>
          </cell>
          <cell r="AH502">
            <v>30000000</v>
          </cell>
          <cell r="AI502"/>
          <cell r="AJ502">
            <v>305510873.88</v>
          </cell>
          <cell r="AK502">
            <v>0</v>
          </cell>
          <cell r="AL502">
            <v>0</v>
          </cell>
          <cell r="AM502">
            <v>0</v>
          </cell>
          <cell r="AN502">
            <v>0</v>
          </cell>
          <cell r="AO502">
            <v>0</v>
          </cell>
          <cell r="AP502">
            <v>305510873.88</v>
          </cell>
          <cell r="AQ502" t="str">
            <v>Minas Gerais</v>
          </cell>
          <cell r="AS502" t="str">
            <v>x</v>
          </cell>
          <cell r="AT502">
            <v>298824613.88</v>
          </cell>
        </row>
        <row r="503">
          <cell r="B503" t="str">
            <v>VEE0012</v>
          </cell>
          <cell r="C503" t="str">
            <v>EEGPM</v>
          </cell>
          <cell r="D503"/>
          <cell r="E503"/>
          <cell r="F503"/>
          <cell r="G503" t="str">
            <v>Operação Sudeste</v>
          </cell>
          <cell r="H503" t="str">
            <v>Em contrataçao</v>
          </cell>
          <cell r="I503" t="str">
            <v>Modernização das Unidades Geradoras da UHE Marimbondo</v>
          </cell>
          <cell r="J503"/>
          <cell r="K503"/>
          <cell r="L503"/>
          <cell r="M503" t="str">
            <v>UHE Marimbondo</v>
          </cell>
          <cell r="N503" t="str">
            <v>Geração</v>
          </cell>
          <cell r="O503" t="str">
            <v>Modernização de grande porte</v>
          </cell>
          <cell r="P503"/>
          <cell r="Q503" t="str">
            <v>FGHI.0096</v>
          </cell>
          <cell r="R503"/>
          <cell r="S503">
            <v>57710</v>
          </cell>
          <cell r="T503">
            <v>57710</v>
          </cell>
          <cell r="U503">
            <v>57710</v>
          </cell>
          <cell r="V503">
            <v>57710</v>
          </cell>
          <cell r="W503">
            <v>57710</v>
          </cell>
          <cell r="X503">
            <v>57710</v>
          </cell>
          <cell r="Y503">
            <v>81000</v>
          </cell>
          <cell r="Z503">
            <v>131000</v>
          </cell>
          <cell r="AA503">
            <v>131000</v>
          </cell>
          <cell r="AB503">
            <v>131000</v>
          </cell>
          <cell r="AC503">
            <v>131000</v>
          </cell>
          <cell r="AD503">
            <v>131000</v>
          </cell>
          <cell r="AE503">
            <v>1082260</v>
          </cell>
          <cell r="AF503">
            <v>165833000</v>
          </cell>
          <cell r="AG503">
            <v>189632000</v>
          </cell>
          <cell r="AH503">
            <v>215158000</v>
          </cell>
          <cell r="AI503">
            <v>213437000</v>
          </cell>
          <cell r="AJ503">
            <v>785142260</v>
          </cell>
          <cell r="AK503">
            <v>0</v>
          </cell>
          <cell r="AL503">
            <v>0</v>
          </cell>
          <cell r="AM503">
            <v>0</v>
          </cell>
          <cell r="AN503">
            <v>0</v>
          </cell>
          <cell r="AO503">
            <v>0</v>
          </cell>
          <cell r="AP503">
            <v>785142260</v>
          </cell>
          <cell r="AQ503" t="str">
            <v>Minas Gerais</v>
          </cell>
          <cell r="AS503" t="str">
            <v>x</v>
          </cell>
          <cell r="AT503">
            <v>784060000</v>
          </cell>
        </row>
        <row r="504">
          <cell r="B504" t="str">
            <v>VEE0013</v>
          </cell>
          <cell r="C504" t="str">
            <v>EEGII</v>
          </cell>
          <cell r="D504"/>
          <cell r="E504"/>
          <cell r="F504"/>
          <cell r="G504" t="str">
            <v>Operação Sudeste</v>
          </cell>
          <cell r="H504" t="str">
            <v>Contratado</v>
          </cell>
          <cell r="I504" t="str">
            <v>Projetos em Carteira - Modernização do Sistema Digital de Supervisão e Controle (SDSC) - UHE Corumbá</v>
          </cell>
          <cell r="J504"/>
          <cell r="K504"/>
          <cell r="L504"/>
          <cell r="M504" t="str">
            <v>UHE Corumbá</v>
          </cell>
          <cell r="N504" t="str">
            <v>Geração</v>
          </cell>
          <cell r="O504" t="str">
            <v>Modernização de grande porte</v>
          </cell>
          <cell r="P504"/>
          <cell r="Q504" t="str">
            <v>FGHI.0066</v>
          </cell>
          <cell r="R504"/>
          <cell r="S504">
            <v>438187.33</v>
          </cell>
          <cell r="T504">
            <v>161850.70000000001</v>
          </cell>
          <cell r="U504">
            <v>30000</v>
          </cell>
          <cell r="V504">
            <v>30000</v>
          </cell>
          <cell r="W504">
            <v>61850.7</v>
          </cell>
          <cell r="X504">
            <v>93701.39</v>
          </cell>
          <cell r="Y504">
            <v>0</v>
          </cell>
          <cell r="Z504">
            <v>0</v>
          </cell>
          <cell r="AA504">
            <v>0</v>
          </cell>
          <cell r="AB504">
            <v>0</v>
          </cell>
          <cell r="AC504">
            <v>0</v>
          </cell>
          <cell r="AD504">
            <v>0</v>
          </cell>
          <cell r="AE504">
            <v>815590.12</v>
          </cell>
          <cell r="AF504"/>
          <cell r="AG504"/>
          <cell r="AH504"/>
          <cell r="AI504"/>
          <cell r="AJ504">
            <v>815590.12</v>
          </cell>
          <cell r="AK504">
            <v>0</v>
          </cell>
          <cell r="AL504">
            <v>0</v>
          </cell>
          <cell r="AM504">
            <v>0</v>
          </cell>
          <cell r="AN504">
            <v>0</v>
          </cell>
          <cell r="AO504">
            <v>0</v>
          </cell>
          <cell r="AP504">
            <v>815590.12</v>
          </cell>
          <cell r="AQ504" t="str">
            <v>Goiás</v>
          </cell>
          <cell r="AS504" t="str">
            <v>x</v>
          </cell>
          <cell r="AT504">
            <v>0</v>
          </cell>
        </row>
        <row r="505">
          <cell r="B505" t="str">
            <v>VEE0014</v>
          </cell>
          <cell r="C505" t="str">
            <v>EEGPM</v>
          </cell>
          <cell r="D505"/>
          <cell r="E505"/>
          <cell r="F505"/>
          <cell r="G505" t="str">
            <v>Operação Sudeste</v>
          </cell>
          <cell r="H505" t="str">
            <v>Nova Demanda</v>
          </cell>
          <cell r="I505" t="str">
            <v>Modernização das Unidades Geradoras da UHE Funil</v>
          </cell>
          <cell r="J505"/>
          <cell r="K505"/>
          <cell r="L505"/>
          <cell r="M505" t="str">
            <v>UHE Funil</v>
          </cell>
          <cell r="N505" t="str">
            <v>Geração</v>
          </cell>
          <cell r="O505" t="str">
            <v>Modernização de grande porte</v>
          </cell>
          <cell r="P505"/>
          <cell r="Q505" t="str">
            <v>FGHI.0068</v>
          </cell>
          <cell r="R505"/>
          <cell r="S505">
            <v>38500</v>
          </cell>
          <cell r="T505">
            <v>38500</v>
          </cell>
          <cell r="U505">
            <v>38500</v>
          </cell>
          <cell r="V505">
            <v>38500</v>
          </cell>
          <cell r="W505">
            <v>38500</v>
          </cell>
          <cell r="X505">
            <v>38500</v>
          </cell>
          <cell r="Y505">
            <v>55000</v>
          </cell>
          <cell r="Z505">
            <v>105000</v>
          </cell>
          <cell r="AA505">
            <v>105000</v>
          </cell>
          <cell r="AB505">
            <v>105000</v>
          </cell>
          <cell r="AC505">
            <v>105000</v>
          </cell>
          <cell r="AD505">
            <v>105000</v>
          </cell>
          <cell r="AE505">
            <v>811000</v>
          </cell>
          <cell r="AF505">
            <v>121303000</v>
          </cell>
          <cell r="AG505">
            <v>161536728.424797</v>
          </cell>
          <cell r="AH505">
            <v>110032920.440116</v>
          </cell>
          <cell r="AI505">
            <v>29551083.512757</v>
          </cell>
          <cell r="AJ505">
            <v>423234732.37766999</v>
          </cell>
          <cell r="AK505"/>
          <cell r="AL505">
            <v>0</v>
          </cell>
          <cell r="AM505">
            <v>0</v>
          </cell>
          <cell r="AN505">
            <v>0</v>
          </cell>
          <cell r="AO505">
            <v>0</v>
          </cell>
          <cell r="AP505">
            <v>423234732.37766999</v>
          </cell>
          <cell r="AQ505" t="str">
            <v>Rio de Janeiro</v>
          </cell>
          <cell r="AS505" t="str">
            <v>x</v>
          </cell>
          <cell r="AT505">
            <v>422423732.37766999</v>
          </cell>
        </row>
        <row r="506">
          <cell r="B506" t="str">
            <v>VEE0015</v>
          </cell>
          <cell r="C506" t="str">
            <v>EEGAM</v>
          </cell>
          <cell r="D506"/>
          <cell r="E506"/>
          <cell r="F506"/>
          <cell r="G506" t="str">
            <v>Operação Sudeste</v>
          </cell>
          <cell r="H506" t="str">
            <v>Contratado</v>
          </cell>
          <cell r="I506" t="str">
            <v>Modernização de 3 transformadores elevadores 13,8/500 kV da UHE Marimbondo</v>
          </cell>
          <cell r="J506"/>
          <cell r="K506"/>
          <cell r="L506"/>
          <cell r="M506" t="str">
            <v>UHE Marimbondo</v>
          </cell>
          <cell r="N506" t="str">
            <v>Geração</v>
          </cell>
          <cell r="O506" t="str">
            <v>Modernização de grande porte</v>
          </cell>
          <cell r="P506"/>
          <cell r="Q506" t="str">
            <v>FGHI.0064</v>
          </cell>
          <cell r="R506"/>
          <cell r="S506"/>
          <cell r="T506"/>
          <cell r="U506">
            <v>702816.66</v>
          </cell>
          <cell r="V506"/>
          <cell r="W506"/>
          <cell r="X506"/>
          <cell r="Y506"/>
          <cell r="Z506"/>
          <cell r="AA506"/>
          <cell r="AB506"/>
          <cell r="AC506"/>
          <cell r="AD506"/>
          <cell r="AE506">
            <v>702816.66</v>
          </cell>
          <cell r="AF506"/>
          <cell r="AG506"/>
          <cell r="AH506"/>
          <cell r="AI506"/>
          <cell r="AJ506">
            <v>702816.66</v>
          </cell>
          <cell r="AK506">
            <v>0</v>
          </cell>
          <cell r="AL506">
            <v>0</v>
          </cell>
          <cell r="AM506">
            <v>0</v>
          </cell>
          <cell r="AN506">
            <v>0</v>
          </cell>
          <cell r="AO506">
            <v>0</v>
          </cell>
          <cell r="AP506">
            <v>702816.66</v>
          </cell>
          <cell r="AQ506" t="str">
            <v>Minas Gerais</v>
          </cell>
          <cell r="AS506" t="str">
            <v>x</v>
          </cell>
          <cell r="AT506">
            <v>0</v>
          </cell>
        </row>
        <row r="507">
          <cell r="B507" t="str">
            <v>VEE0016</v>
          </cell>
          <cell r="C507" t="str">
            <v>EEGIS</v>
          </cell>
          <cell r="D507"/>
          <cell r="E507"/>
          <cell r="F507"/>
          <cell r="G507" t="str">
            <v>Operação Sudeste</v>
          </cell>
          <cell r="H507" t="str">
            <v>Contratado</v>
          </cell>
          <cell r="I507" t="str">
            <v>Implantar a Sinalização Náutica destinada à demarcação de perímetro de segurança no entorno das estruturas dos Reservatórios das UHEs Simplício e Anta, com o objetivo de adequar o empreendimento às Normas da Autoridade Marítima, conforme previsto na NORMAM 17/DHN.</v>
          </cell>
          <cell r="J507"/>
          <cell r="K507"/>
          <cell r="L507"/>
          <cell r="M507" t="str">
            <v>UHE Simplício</v>
          </cell>
          <cell r="N507" t="str">
            <v>Geração</v>
          </cell>
          <cell r="O507" t="str">
            <v>Modernização de grande porte</v>
          </cell>
          <cell r="P507"/>
          <cell r="Q507" t="str">
            <v>FGHI.0046</v>
          </cell>
          <cell r="R507"/>
          <cell r="S507">
            <v>50000</v>
          </cell>
          <cell r="T507">
            <v>50000</v>
          </cell>
          <cell r="U507">
            <v>50000</v>
          </cell>
          <cell r="V507">
            <v>50000</v>
          </cell>
          <cell r="W507">
            <v>50000</v>
          </cell>
          <cell r="X507">
            <v>50000</v>
          </cell>
          <cell r="Y507">
            <v>50000</v>
          </cell>
          <cell r="Z507">
            <v>50000</v>
          </cell>
          <cell r="AA507">
            <v>50000</v>
          </cell>
          <cell r="AB507">
            <v>50000</v>
          </cell>
          <cell r="AC507">
            <v>50000</v>
          </cell>
          <cell r="AD507">
            <v>50000</v>
          </cell>
          <cell r="AE507">
            <v>600000</v>
          </cell>
          <cell r="AF507"/>
          <cell r="AG507"/>
          <cell r="AH507"/>
          <cell r="AI507"/>
          <cell r="AJ507">
            <v>600000</v>
          </cell>
          <cell r="AK507">
            <v>0</v>
          </cell>
          <cell r="AL507">
            <v>0</v>
          </cell>
          <cell r="AM507">
            <v>0</v>
          </cell>
          <cell r="AN507">
            <v>0</v>
          </cell>
          <cell r="AO507">
            <v>0</v>
          </cell>
          <cell r="AP507">
            <v>600000</v>
          </cell>
          <cell r="AQ507" t="str">
            <v>Minas Gerais</v>
          </cell>
          <cell r="AS507" t="str">
            <v>x</v>
          </cell>
          <cell r="AT507">
            <v>0</v>
          </cell>
        </row>
        <row r="508">
          <cell r="B508" t="str">
            <v>VEE0017</v>
          </cell>
          <cell r="C508" t="str">
            <v>EEGAM</v>
          </cell>
          <cell r="D508"/>
          <cell r="E508"/>
          <cell r="F508"/>
          <cell r="G508" t="str">
            <v>Operação Sudeste</v>
          </cell>
          <cell r="H508" t="str">
            <v>Contratado</v>
          </cell>
          <cell r="I508" t="str">
            <v>UHE Porto Colômbia - Transformador elevador</v>
          </cell>
          <cell r="J508"/>
          <cell r="K508"/>
          <cell r="L508"/>
          <cell r="M508" t="str">
            <v>UHE Porto Colombia</v>
          </cell>
          <cell r="N508" t="str">
            <v>Geração</v>
          </cell>
          <cell r="O508" t="str">
            <v>Modernização de grande porte</v>
          </cell>
          <cell r="P508"/>
          <cell r="Q508" t="str">
            <v>FGHI.0082</v>
          </cell>
          <cell r="R508"/>
          <cell r="S508"/>
          <cell r="T508"/>
          <cell r="U508">
            <v>403694.72</v>
          </cell>
          <cell r="V508"/>
          <cell r="W508"/>
          <cell r="X508"/>
          <cell r="Y508"/>
          <cell r="Z508"/>
          <cell r="AA508"/>
          <cell r="AB508"/>
          <cell r="AC508"/>
          <cell r="AD508"/>
          <cell r="AE508">
            <v>403694.72</v>
          </cell>
          <cell r="AF508"/>
          <cell r="AG508"/>
          <cell r="AH508"/>
          <cell r="AI508"/>
          <cell r="AJ508">
            <v>403694.72</v>
          </cell>
          <cell r="AK508">
            <v>0</v>
          </cell>
          <cell r="AL508">
            <v>0</v>
          </cell>
          <cell r="AM508">
            <v>0</v>
          </cell>
          <cell r="AN508">
            <v>0</v>
          </cell>
          <cell r="AO508">
            <v>0</v>
          </cell>
          <cell r="AP508">
            <v>403694.72</v>
          </cell>
          <cell r="AQ508" t="str">
            <v>Minas Gerais</v>
          </cell>
          <cell r="AS508" t="str">
            <v>x</v>
          </cell>
          <cell r="AT508">
            <v>0</v>
          </cell>
        </row>
        <row r="509">
          <cell r="B509" t="str">
            <v>VEE0018</v>
          </cell>
          <cell r="C509" t="str">
            <v>EECP/EETP</v>
          </cell>
          <cell r="D509"/>
          <cell r="E509"/>
          <cell r="F509"/>
          <cell r="G509" t="str">
            <v>Operação Sudeste</v>
          </cell>
          <cell r="H509" t="str">
            <v>Contratado</v>
          </cell>
          <cell r="I509" t="str">
            <v xml:space="preserve">Modenrização do cubículo 15 kV (G) da UHE Marimbondo </v>
          </cell>
          <cell r="J509"/>
          <cell r="K509"/>
          <cell r="L509"/>
          <cell r="M509" t="str">
            <v>UHE Marimbondo</v>
          </cell>
          <cell r="N509" t="str">
            <v>Geração</v>
          </cell>
          <cell r="O509" t="str">
            <v>Modernização de grande porte</v>
          </cell>
          <cell r="P509"/>
          <cell r="Q509" t="str">
            <v>MH.0012</v>
          </cell>
          <cell r="R509"/>
          <cell r="S509">
            <v>22424.915935831603</v>
          </cell>
          <cell r="T509">
            <v>22424.915935831603</v>
          </cell>
          <cell r="U509">
            <v>22424.915935831603</v>
          </cell>
          <cell r="V509">
            <v>22424.915935831603</v>
          </cell>
          <cell r="W509">
            <v>22424.915935831603</v>
          </cell>
          <cell r="X509">
            <v>22424.915935831603</v>
          </cell>
          <cell r="Y509">
            <v>22424.915935831603</v>
          </cell>
          <cell r="Z509">
            <v>22424.915935831603</v>
          </cell>
          <cell r="AA509">
            <v>22424.915935831603</v>
          </cell>
          <cell r="AB509">
            <v>22424.915935831603</v>
          </cell>
          <cell r="AC509">
            <v>22424.915935831603</v>
          </cell>
          <cell r="AD509">
            <v>22424.915935831603</v>
          </cell>
          <cell r="AE509">
            <v>269098.99122997926</v>
          </cell>
          <cell r="AF509">
            <v>2421890.9210698088</v>
          </cell>
          <cell r="AG509">
            <v>0</v>
          </cell>
          <cell r="AH509">
            <v>0</v>
          </cell>
          <cell r="AI509">
            <v>0</v>
          </cell>
          <cell r="AJ509">
            <v>2690989.9122997881</v>
          </cell>
          <cell r="AK509">
            <v>0</v>
          </cell>
          <cell r="AL509">
            <v>0</v>
          </cell>
          <cell r="AM509">
            <v>0</v>
          </cell>
          <cell r="AN509">
            <v>0</v>
          </cell>
          <cell r="AO509">
            <v>0</v>
          </cell>
          <cell r="AP509">
            <v>2690989.9122997881</v>
          </cell>
          <cell r="AQ509" t="str">
            <v>Minas Gerais</v>
          </cell>
          <cell r="AS509" t="str">
            <v>x</v>
          </cell>
          <cell r="AT509">
            <v>2421890.9210698088</v>
          </cell>
        </row>
        <row r="510">
          <cell r="B510" t="str">
            <v>VEE0019</v>
          </cell>
          <cell r="C510" t="str">
            <v>EEAFAL</v>
          </cell>
          <cell r="D510"/>
          <cell r="E510"/>
          <cell r="F510"/>
          <cell r="G510" t="str">
            <v>Chesf</v>
          </cell>
          <cell r="H510" t="str">
            <v>Contratado</v>
          </cell>
          <cell r="I510" t="str">
            <v>Modernização e Digitallização do sistema MPCCSR da UHE Paulo Afonso IV - Digitalização dos seus sistemas elétricos e desmontagem do conjunto girante para recuperação/substituição de equipamentos da turbina e a própia turbina.</v>
          </cell>
          <cell r="J510"/>
          <cell r="K510"/>
          <cell r="L510"/>
          <cell r="M510" t="str">
            <v>UHE Paulo Afonso IV</v>
          </cell>
          <cell r="N510" t="str">
            <v>Geração</v>
          </cell>
          <cell r="O510" t="str">
            <v>Modernização de grande porte</v>
          </cell>
          <cell r="P510"/>
          <cell r="Q510" t="str">
            <v>UH.6004</v>
          </cell>
          <cell r="R510"/>
          <cell r="S510">
            <v>6446.666666666667</v>
          </cell>
          <cell r="T510">
            <v>19966.666666666668</v>
          </cell>
          <cell r="U510">
            <v>6446.666666666667</v>
          </cell>
          <cell r="V510">
            <v>19966.666666666668</v>
          </cell>
          <cell r="W510">
            <v>6446.666666666667</v>
          </cell>
          <cell r="X510">
            <v>19966.666666666668</v>
          </cell>
          <cell r="Y510">
            <v>6446.666666666667</v>
          </cell>
          <cell r="Z510">
            <v>19966.666666666668</v>
          </cell>
          <cell r="AA510">
            <v>6446.666666666667</v>
          </cell>
          <cell r="AB510">
            <v>19966.666666666668</v>
          </cell>
          <cell r="AC510">
            <v>6446.666666666667</v>
          </cell>
          <cell r="AD510">
            <v>19966.666666666668</v>
          </cell>
          <cell r="AE510">
            <v>158480</v>
          </cell>
          <cell r="AF510">
            <v>108160</v>
          </cell>
          <cell r="AG510">
            <v>0</v>
          </cell>
          <cell r="AH510">
            <v>0</v>
          </cell>
          <cell r="AI510">
            <v>0</v>
          </cell>
          <cell r="AJ510">
            <v>266640</v>
          </cell>
          <cell r="AK510">
            <v>0</v>
          </cell>
          <cell r="AL510">
            <v>0</v>
          </cell>
          <cell r="AM510">
            <v>0</v>
          </cell>
          <cell r="AN510">
            <v>0</v>
          </cell>
          <cell r="AO510">
            <v>0</v>
          </cell>
          <cell r="AP510">
            <v>266640</v>
          </cell>
          <cell r="AQ510" t="str">
            <v>Bahia</v>
          </cell>
          <cell r="AS510" t="str">
            <v>x</v>
          </cell>
          <cell r="AT510">
            <v>108160</v>
          </cell>
        </row>
        <row r="511">
          <cell r="B511" t="str">
            <v>VEE0020</v>
          </cell>
          <cell r="C511" t="str">
            <v>EEAFAL</v>
          </cell>
          <cell r="D511"/>
          <cell r="E511"/>
          <cell r="F511"/>
          <cell r="G511" t="str">
            <v>Operação Sudeste</v>
          </cell>
          <cell r="H511" t="str">
            <v>Contratado</v>
          </cell>
          <cell r="I511" t="str">
            <v xml:space="preserve">Modernização da Usina de Porto Colômbia -Serviços de engenharia (projetos), obras civis necessárias de infraestrutura, desmontagem e montagem eletromecânica, fornecimento de materiais, equipamentos e sistemas, treinamentos, descomissionamento e comissionamento para as quatro (04) unidades geradoras da usina e demais sistemas auxiliares da case de força, vertedouro e interligações com a subestação, e abrange: Geradores Síncronos e Equipamentos Associados, Reguladores de Tensão, Turbinas Hidráulicas e Equipamentos Associados, Reguladores de
Velocidade, Conexão aos Transformadores Elevadores, Conexão das UGs ao Barramento Blindado, Equipamentos Hidromecânicos, Equipamentos de Levantamento e Movimentação de Carga, Sistemas Auxiliares Elétricos e Mecânicos, Sistemas de Excitação, Sistemas de Proteção (inclusive SEP, Sistemas Especiais de Proteção), Sistemas de Medição, Sistemas de Supervisão e Controle, RARP (Rede de Aceso aos Relés de Proteção), Geradores Diesel de Emergência, Sistemas de Ar Condicionado e Ventilação Mecânica e Interligação com a
Subestação.
</v>
          </cell>
          <cell r="J511"/>
          <cell r="K511"/>
          <cell r="L511"/>
          <cell r="M511" t="str">
            <v>UHE Porto Colombia</v>
          </cell>
          <cell r="N511" t="str">
            <v>Geração</v>
          </cell>
          <cell r="O511" t="str">
            <v>Modernização de grande porte</v>
          </cell>
          <cell r="P511"/>
          <cell r="Q511" t="str">
            <v>FGHI.0048</v>
          </cell>
          <cell r="R511"/>
          <cell r="S511">
            <v>9550</v>
          </cell>
          <cell r="T511">
            <v>11030</v>
          </cell>
          <cell r="U511">
            <v>14550</v>
          </cell>
          <cell r="V511">
            <v>11030</v>
          </cell>
          <cell r="W511">
            <v>11030</v>
          </cell>
          <cell r="X511">
            <v>11030</v>
          </cell>
          <cell r="Y511">
            <v>11030</v>
          </cell>
          <cell r="Z511">
            <v>14550</v>
          </cell>
          <cell r="AA511">
            <v>11030</v>
          </cell>
          <cell r="AB511">
            <v>11030</v>
          </cell>
          <cell r="AC511">
            <v>11030</v>
          </cell>
          <cell r="AD511">
            <v>16030</v>
          </cell>
          <cell r="AE511">
            <v>142920</v>
          </cell>
          <cell r="AF511">
            <v>132920</v>
          </cell>
          <cell r="AG511">
            <v>132920</v>
          </cell>
          <cell r="AH511">
            <v>0</v>
          </cell>
          <cell r="AI511">
            <v>0</v>
          </cell>
          <cell r="AJ511">
            <v>408760</v>
          </cell>
          <cell r="AK511">
            <v>0</v>
          </cell>
          <cell r="AL511">
            <v>0</v>
          </cell>
          <cell r="AM511">
            <v>0</v>
          </cell>
          <cell r="AN511">
            <v>0</v>
          </cell>
          <cell r="AO511">
            <v>0</v>
          </cell>
          <cell r="AP511">
            <v>408760</v>
          </cell>
          <cell r="AQ511" t="str">
            <v>Minas Gerais</v>
          </cell>
          <cell r="AS511" t="str">
            <v>x</v>
          </cell>
          <cell r="AT511">
            <v>265840</v>
          </cell>
        </row>
        <row r="512">
          <cell r="B512" t="str">
            <v>VEE0021</v>
          </cell>
          <cell r="C512" t="str">
            <v>EEAFAL</v>
          </cell>
          <cell r="D512"/>
          <cell r="E512"/>
          <cell r="F512"/>
          <cell r="G512" t="str">
            <v>Eletronorte</v>
          </cell>
          <cell r="H512" t="str">
            <v>Contratado</v>
          </cell>
          <cell r="I512" t="str">
            <v>Reforma dos geradores das Unidades Geradoras de nº 01, 03, 05, 07 e 09 da UHE Tucuruí. - Reforma nos geradores das Unidades Geradoras de nº 01, 03, 05, 07 e 09 da UHE Tucuruí - substituição dos estatores e reforma dos polos.</v>
          </cell>
          <cell r="J512"/>
          <cell r="K512"/>
          <cell r="L512"/>
          <cell r="M512" t="str">
            <v>UHE Tucuruí</v>
          </cell>
          <cell r="N512" t="str">
            <v>Geração</v>
          </cell>
          <cell r="O512" t="str">
            <v>Modernização de grande porte</v>
          </cell>
          <cell r="P512"/>
          <cell r="Q512" t="str">
            <v>UH.9612</v>
          </cell>
          <cell r="R512"/>
          <cell r="S512">
            <v>11133.333333333334</v>
          </cell>
          <cell r="T512">
            <v>12333.333333333334</v>
          </cell>
          <cell r="U512">
            <v>11133.333333333334</v>
          </cell>
          <cell r="V512">
            <v>12333.333333333334</v>
          </cell>
          <cell r="W512">
            <v>19933.333333333332</v>
          </cell>
          <cell r="X512">
            <v>12333.333333333334</v>
          </cell>
          <cell r="Y512">
            <v>11133.333333333334</v>
          </cell>
          <cell r="Z512">
            <v>2333.3333333333335</v>
          </cell>
          <cell r="AA512">
            <v>21133.333333333332</v>
          </cell>
          <cell r="AB512">
            <v>2333.3333333333335</v>
          </cell>
          <cell r="AC512">
            <v>21133.333333333332</v>
          </cell>
          <cell r="AD512">
            <v>2333.3333333333335</v>
          </cell>
          <cell r="AE512">
            <v>139600</v>
          </cell>
          <cell r="AF512">
            <v>61960</v>
          </cell>
          <cell r="AG512">
            <v>0</v>
          </cell>
          <cell r="AH512">
            <v>0</v>
          </cell>
          <cell r="AI512">
            <v>0</v>
          </cell>
          <cell r="AJ512">
            <v>201560</v>
          </cell>
          <cell r="AK512">
            <v>0</v>
          </cell>
          <cell r="AL512">
            <v>0</v>
          </cell>
          <cell r="AM512">
            <v>0</v>
          </cell>
          <cell r="AN512">
            <v>0</v>
          </cell>
          <cell r="AO512">
            <v>0</v>
          </cell>
          <cell r="AP512">
            <v>201560</v>
          </cell>
          <cell r="AQ512" t="str">
            <v>Pará</v>
          </cell>
          <cell r="AS512" t="str">
            <v>x</v>
          </cell>
          <cell r="AT512">
            <v>61960</v>
          </cell>
        </row>
        <row r="513">
          <cell r="B513" t="str">
            <v>VEE0022</v>
          </cell>
          <cell r="C513" t="str">
            <v>EEAFAL</v>
          </cell>
          <cell r="D513"/>
          <cell r="E513"/>
          <cell r="F513"/>
          <cell r="G513" t="str">
            <v>Chesf</v>
          </cell>
          <cell r="H513" t="str">
            <v>Contratado</v>
          </cell>
          <cell r="I513" t="str">
            <v>Modernização e Digitalização da UHE Sobradinho - Digitalização dos seus sistemas elétricos e desmontagem do conjunto girante para recuperação/substituição de equipamentos da turbina.</v>
          </cell>
          <cell r="J513"/>
          <cell r="K513"/>
          <cell r="L513"/>
          <cell r="M513" t="str">
            <v>UHE Sobradinho</v>
          </cell>
          <cell r="N513" t="str">
            <v>Geração</v>
          </cell>
          <cell r="O513" t="str">
            <v>Modernização de grande porte</v>
          </cell>
          <cell r="P513"/>
          <cell r="Q513" t="str">
            <v>UH.6003</v>
          </cell>
          <cell r="R513"/>
          <cell r="S513">
            <v>9800</v>
          </cell>
          <cell r="T513">
            <v>11000</v>
          </cell>
          <cell r="U513">
            <v>9800</v>
          </cell>
          <cell r="V513">
            <v>11000</v>
          </cell>
          <cell r="W513">
            <v>18600</v>
          </cell>
          <cell r="X513">
            <v>11000</v>
          </cell>
          <cell r="Y513">
            <v>9800</v>
          </cell>
          <cell r="Z513">
            <v>1000</v>
          </cell>
          <cell r="AA513">
            <v>19800</v>
          </cell>
          <cell r="AB513">
            <v>1000</v>
          </cell>
          <cell r="AC513">
            <v>19800</v>
          </cell>
          <cell r="AD513">
            <v>1000</v>
          </cell>
          <cell r="AE513">
            <v>123600</v>
          </cell>
          <cell r="AF513">
            <v>61960</v>
          </cell>
          <cell r="AG513">
            <v>0</v>
          </cell>
          <cell r="AH513">
            <v>0</v>
          </cell>
          <cell r="AI513">
            <v>0</v>
          </cell>
          <cell r="AJ513">
            <v>185560</v>
          </cell>
          <cell r="AK513">
            <v>0</v>
          </cell>
          <cell r="AL513">
            <v>0</v>
          </cell>
          <cell r="AM513">
            <v>0</v>
          </cell>
          <cell r="AN513">
            <v>0</v>
          </cell>
          <cell r="AO513">
            <v>0</v>
          </cell>
          <cell r="AP513">
            <v>185560</v>
          </cell>
          <cell r="AQ513" t="str">
            <v>Bahia</v>
          </cell>
          <cell r="AS513" t="str">
            <v>x</v>
          </cell>
          <cell r="AT513">
            <v>61960</v>
          </cell>
        </row>
        <row r="514">
          <cell r="B514" t="str">
            <v>VEE0023</v>
          </cell>
          <cell r="C514" t="str">
            <v>EEAFAL</v>
          </cell>
          <cell r="D514"/>
          <cell r="E514"/>
          <cell r="F514"/>
          <cell r="G514" t="str">
            <v>Operação Sudeste</v>
          </cell>
          <cell r="H514" t="str">
            <v>Contratado</v>
          </cell>
          <cell r="I514" t="str">
            <v>UHE Furnas- Aquisição de 03 Transformadores Elevadores</v>
          </cell>
          <cell r="J514"/>
          <cell r="K514"/>
          <cell r="L514"/>
          <cell r="M514" t="str">
            <v>UHE Furnas</v>
          </cell>
          <cell r="N514" t="str">
            <v>Geração</v>
          </cell>
          <cell r="O514" t="str">
            <v>Modernização de grande porte</v>
          </cell>
          <cell r="P514"/>
          <cell r="Q514" t="str">
            <v>FGHI.0057</v>
          </cell>
          <cell r="R514"/>
          <cell r="S514">
            <v>3520</v>
          </cell>
          <cell r="T514">
            <v>8520</v>
          </cell>
          <cell r="U514">
            <v>3520</v>
          </cell>
          <cell r="V514">
            <v>8520</v>
          </cell>
          <cell r="W514">
            <v>5000</v>
          </cell>
          <cell r="X514">
            <v>8520</v>
          </cell>
          <cell r="Y514">
            <v>5000</v>
          </cell>
          <cell r="Z514">
            <v>5000</v>
          </cell>
          <cell r="AA514">
            <v>8520</v>
          </cell>
          <cell r="AB514">
            <v>5000</v>
          </cell>
          <cell r="AC514">
            <v>8520</v>
          </cell>
          <cell r="AD514">
            <v>5000</v>
          </cell>
          <cell r="AE514">
            <v>74640</v>
          </cell>
          <cell r="AF514">
            <v>0</v>
          </cell>
          <cell r="AG514">
            <v>0</v>
          </cell>
          <cell r="AH514">
            <v>0</v>
          </cell>
          <cell r="AI514">
            <v>0</v>
          </cell>
          <cell r="AJ514">
            <v>74640</v>
          </cell>
          <cell r="AK514">
            <v>0</v>
          </cell>
          <cell r="AL514">
            <v>0</v>
          </cell>
          <cell r="AM514">
            <v>0</v>
          </cell>
          <cell r="AN514">
            <v>0</v>
          </cell>
          <cell r="AO514">
            <v>0</v>
          </cell>
          <cell r="AP514">
            <v>74640</v>
          </cell>
          <cell r="AQ514" t="str">
            <v>Minas Gerais</v>
          </cell>
          <cell r="AS514" t="str">
            <v>x</v>
          </cell>
          <cell r="AT514">
            <v>0</v>
          </cell>
        </row>
        <row r="515">
          <cell r="B515" t="str">
            <v>VEE0024</v>
          </cell>
          <cell r="C515" t="str">
            <v>EEAFAL</v>
          </cell>
          <cell r="D515"/>
          <cell r="E515"/>
          <cell r="F515"/>
          <cell r="G515" t="str">
            <v>Operação Sudeste</v>
          </cell>
          <cell r="H515" t="str">
            <v>Contratado</v>
          </cell>
          <cell r="I515" t="str">
            <v>UHE Porto Colômbia - Transformador elevador</v>
          </cell>
          <cell r="J515"/>
          <cell r="K515"/>
          <cell r="L515"/>
          <cell r="M515" t="str">
            <v>UHE Porto Colombia</v>
          </cell>
          <cell r="N515" t="str">
            <v>Geração</v>
          </cell>
          <cell r="O515" t="str">
            <v>Modernização de grande porte</v>
          </cell>
          <cell r="P515"/>
          <cell r="Q515" t="str">
            <v>FGHI.0082</v>
          </cell>
          <cell r="R515"/>
          <cell r="S515">
            <v>3520</v>
          </cell>
          <cell r="T515">
            <v>8520</v>
          </cell>
          <cell r="U515">
            <v>3520</v>
          </cell>
          <cell r="V515">
            <v>8520</v>
          </cell>
          <cell r="W515">
            <v>5000</v>
          </cell>
          <cell r="X515">
            <v>8520</v>
          </cell>
          <cell r="Y515">
            <v>5000</v>
          </cell>
          <cell r="Z515">
            <v>5000</v>
          </cell>
          <cell r="AA515">
            <v>8520</v>
          </cell>
          <cell r="AB515">
            <v>5000</v>
          </cell>
          <cell r="AC515">
            <v>8520</v>
          </cell>
          <cell r="AD515">
            <v>5000</v>
          </cell>
          <cell r="AE515">
            <v>74640</v>
          </cell>
          <cell r="AF515">
            <v>0</v>
          </cell>
          <cell r="AG515">
            <v>0</v>
          </cell>
          <cell r="AH515">
            <v>0</v>
          </cell>
          <cell r="AI515">
            <v>0</v>
          </cell>
          <cell r="AJ515">
            <v>74640</v>
          </cell>
          <cell r="AK515">
            <v>0</v>
          </cell>
          <cell r="AL515">
            <v>0</v>
          </cell>
          <cell r="AM515">
            <v>0</v>
          </cell>
          <cell r="AN515">
            <v>0</v>
          </cell>
          <cell r="AO515">
            <v>0</v>
          </cell>
          <cell r="AP515">
            <v>74640</v>
          </cell>
          <cell r="AQ515" t="str">
            <v>Minas Gerais</v>
          </cell>
          <cell r="AS515" t="str">
            <v>x</v>
          </cell>
          <cell r="AT515">
            <v>0</v>
          </cell>
        </row>
        <row r="516">
          <cell r="B516" t="str">
            <v>VEE0025</v>
          </cell>
          <cell r="C516" t="str">
            <v>EEAFAL</v>
          </cell>
          <cell r="D516"/>
          <cell r="E516"/>
          <cell r="F516"/>
          <cell r="G516" t="str">
            <v>Operação Sudeste</v>
          </cell>
          <cell r="H516" t="str">
            <v>Contratado</v>
          </cell>
          <cell r="I516" t="str">
            <v>UHE Simplício - Aquisição de transformadores elevadores para as unidades geradoras</v>
          </cell>
          <cell r="J516"/>
          <cell r="K516"/>
          <cell r="L516"/>
          <cell r="M516" t="str">
            <v>UHE Simplício</v>
          </cell>
          <cell r="N516" t="str">
            <v>Geração</v>
          </cell>
          <cell r="O516" t="str">
            <v>Modernização de grande porte</v>
          </cell>
          <cell r="P516"/>
          <cell r="Q516" t="str">
            <v>FGHI.0073</v>
          </cell>
          <cell r="R516"/>
          <cell r="S516">
            <v>3520</v>
          </cell>
          <cell r="T516">
            <v>8520</v>
          </cell>
          <cell r="U516">
            <v>3520</v>
          </cell>
          <cell r="V516">
            <v>8520</v>
          </cell>
          <cell r="W516">
            <v>5000</v>
          </cell>
          <cell r="X516">
            <v>8520</v>
          </cell>
          <cell r="Y516">
            <v>5000</v>
          </cell>
          <cell r="Z516">
            <v>5000</v>
          </cell>
          <cell r="AA516">
            <v>8520</v>
          </cell>
          <cell r="AB516">
            <v>5000</v>
          </cell>
          <cell r="AC516">
            <v>8520</v>
          </cell>
          <cell r="AD516">
            <v>5000</v>
          </cell>
          <cell r="AE516">
            <v>74640</v>
          </cell>
          <cell r="AF516">
            <v>0</v>
          </cell>
          <cell r="AG516">
            <v>0</v>
          </cell>
          <cell r="AH516">
            <v>0</v>
          </cell>
          <cell r="AI516">
            <v>0</v>
          </cell>
          <cell r="AJ516">
            <v>74640</v>
          </cell>
          <cell r="AK516">
            <v>0</v>
          </cell>
          <cell r="AL516">
            <v>0</v>
          </cell>
          <cell r="AM516">
            <v>0</v>
          </cell>
          <cell r="AN516">
            <v>0</v>
          </cell>
          <cell r="AO516">
            <v>0</v>
          </cell>
          <cell r="AP516">
            <v>74640</v>
          </cell>
          <cell r="AQ516" t="str">
            <v>Minas Gerais</v>
          </cell>
          <cell r="AS516" t="str">
            <v>x</v>
          </cell>
          <cell r="AT516">
            <v>0</v>
          </cell>
        </row>
        <row r="517">
          <cell r="B517" t="str">
            <v>VEE0026</v>
          </cell>
          <cell r="C517" t="str">
            <v>EEAFAL</v>
          </cell>
          <cell r="D517"/>
          <cell r="E517"/>
          <cell r="F517"/>
          <cell r="G517" t="str">
            <v>Operação Sudeste</v>
          </cell>
          <cell r="H517" t="str">
            <v>Em contrataçao</v>
          </cell>
          <cell r="I517" t="str">
            <v>Projetos em Carteira - UHE Itumbiara - Aquisição de 18 Transformadores Elevadores - Suporte técnico e projeto</v>
          </cell>
          <cell r="J517"/>
          <cell r="K517"/>
          <cell r="L517"/>
          <cell r="M517" t="str">
            <v>UHE Itumbiara</v>
          </cell>
          <cell r="N517" t="str">
            <v>Geração</v>
          </cell>
          <cell r="O517" t="str">
            <v>Modernização de grande porte</v>
          </cell>
          <cell r="P517"/>
          <cell r="Q517" t="str">
            <v>FGHI.0058</v>
          </cell>
          <cell r="R517"/>
          <cell r="S517">
            <v>3520</v>
          </cell>
          <cell r="T517">
            <v>8520</v>
          </cell>
          <cell r="U517">
            <v>3520</v>
          </cell>
          <cell r="V517">
            <v>8520</v>
          </cell>
          <cell r="W517">
            <v>5000</v>
          </cell>
          <cell r="X517">
            <v>8520</v>
          </cell>
          <cell r="Y517">
            <v>5000</v>
          </cell>
          <cell r="Z517">
            <v>5000</v>
          </cell>
          <cell r="AA517">
            <v>8520</v>
          </cell>
          <cell r="AB517">
            <v>5000</v>
          </cell>
          <cell r="AC517">
            <v>8520</v>
          </cell>
          <cell r="AD517">
            <v>5000</v>
          </cell>
          <cell r="AE517">
            <v>74640</v>
          </cell>
          <cell r="AF517">
            <v>0</v>
          </cell>
          <cell r="AG517">
            <v>0</v>
          </cell>
          <cell r="AH517">
            <v>0</v>
          </cell>
          <cell r="AI517">
            <v>0</v>
          </cell>
          <cell r="AJ517">
            <v>74640</v>
          </cell>
          <cell r="AK517">
            <v>0</v>
          </cell>
          <cell r="AL517">
            <v>0</v>
          </cell>
          <cell r="AM517">
            <v>0</v>
          </cell>
          <cell r="AN517">
            <v>0</v>
          </cell>
          <cell r="AO517">
            <v>0</v>
          </cell>
          <cell r="AP517">
            <v>74640</v>
          </cell>
          <cell r="AQ517" t="str">
            <v>Minas Gerais</v>
          </cell>
          <cell r="AS517" t="str">
            <v>x</v>
          </cell>
          <cell r="AT517">
            <v>0</v>
          </cell>
        </row>
        <row r="518">
          <cell r="B518" t="str">
            <v>VEE0027</v>
          </cell>
          <cell r="C518" t="str">
            <v>EEAFAL</v>
          </cell>
          <cell r="D518"/>
          <cell r="E518"/>
          <cell r="F518"/>
          <cell r="G518" t="str">
            <v>Chesf</v>
          </cell>
          <cell r="H518" t="str">
            <v>Contratado</v>
          </cell>
          <cell r="I518" t="str">
            <v>Digitalização do Sistema MPCCSRA da UHE Luiz Gonzaga - Digitalização dos seus sistemas elétricos e desmontagem do conjunto girante para recuperação/substituição de equipamentos da turbina.</v>
          </cell>
          <cell r="J518"/>
          <cell r="K518"/>
          <cell r="L518"/>
          <cell r="M518" t="str">
            <v>UHE Luiz Gonzaga</v>
          </cell>
          <cell r="N518" t="str">
            <v>Geração</v>
          </cell>
          <cell r="O518" t="str">
            <v>Modernização de grande porte</v>
          </cell>
          <cell r="P518"/>
          <cell r="Q518" t="str">
            <v>HGHI.0001</v>
          </cell>
          <cell r="R518"/>
          <cell r="S518">
            <v>0</v>
          </cell>
          <cell r="T518">
            <v>0</v>
          </cell>
          <cell r="U518">
            <v>0</v>
          </cell>
          <cell r="V518">
            <v>0</v>
          </cell>
          <cell r="W518">
            <v>0</v>
          </cell>
          <cell r="X518">
            <v>800</v>
          </cell>
          <cell r="Y518">
            <v>800</v>
          </cell>
          <cell r="Z518">
            <v>800</v>
          </cell>
          <cell r="AA518">
            <v>800</v>
          </cell>
          <cell r="AB518">
            <v>800</v>
          </cell>
          <cell r="AC518">
            <v>2500</v>
          </cell>
          <cell r="AD518">
            <v>800</v>
          </cell>
          <cell r="AE518">
            <v>7300</v>
          </cell>
          <cell r="AF518">
            <v>0</v>
          </cell>
          <cell r="AG518">
            <v>0</v>
          </cell>
          <cell r="AH518">
            <v>0</v>
          </cell>
          <cell r="AI518">
            <v>0</v>
          </cell>
          <cell r="AJ518">
            <v>7300</v>
          </cell>
          <cell r="AK518">
            <v>0</v>
          </cell>
          <cell r="AL518">
            <v>0</v>
          </cell>
          <cell r="AM518">
            <v>0</v>
          </cell>
          <cell r="AN518">
            <v>0</v>
          </cell>
          <cell r="AO518">
            <v>0</v>
          </cell>
          <cell r="AP518">
            <v>7300</v>
          </cell>
          <cell r="AQ518" t="str">
            <v>Pernambuco</v>
          </cell>
          <cell r="AS518" t="str">
            <v>x</v>
          </cell>
          <cell r="AT518">
            <v>0</v>
          </cell>
        </row>
        <row r="519">
          <cell r="B519" t="str">
            <v>VEE0028</v>
          </cell>
          <cell r="C519" t="str">
            <v>EEGPM</v>
          </cell>
          <cell r="D519"/>
          <cell r="E519"/>
          <cell r="F519"/>
          <cell r="G519" t="str">
            <v>Operação Sudeste</v>
          </cell>
          <cell r="H519" t="str">
            <v>Nova Demanda</v>
          </cell>
          <cell r="I519" t="str">
            <v>Novos Projetos - UHE M. Moraes - Subst. 10 Trafos Elevad.</v>
          </cell>
          <cell r="J519"/>
          <cell r="K519"/>
          <cell r="L519"/>
          <cell r="M519" t="str">
            <v>UHE Mascarenhas de Moraes</v>
          </cell>
          <cell r="N519" t="str">
            <v>Geração</v>
          </cell>
          <cell r="O519" t="str">
            <v>Modernização de grande porte</v>
          </cell>
          <cell r="P519"/>
          <cell r="Q519" t="str">
            <v>FGHI.0072</v>
          </cell>
          <cell r="R519"/>
          <cell r="S519"/>
          <cell r="T519"/>
          <cell r="U519"/>
          <cell r="V519"/>
          <cell r="W519"/>
          <cell r="X519"/>
          <cell r="Y519"/>
          <cell r="Z519"/>
          <cell r="AA519"/>
          <cell r="AB519"/>
          <cell r="AC519"/>
          <cell r="AD519"/>
          <cell r="AE519">
            <v>0</v>
          </cell>
          <cell r="AF519">
            <v>12000000</v>
          </cell>
          <cell r="AG519">
            <v>12000000</v>
          </cell>
          <cell r="AH519">
            <v>14000000</v>
          </cell>
          <cell r="AI519"/>
          <cell r="AJ519">
            <v>38000000</v>
          </cell>
          <cell r="AK519">
            <v>0</v>
          </cell>
          <cell r="AL519">
            <v>0</v>
          </cell>
          <cell r="AM519">
            <v>0</v>
          </cell>
          <cell r="AN519">
            <v>0</v>
          </cell>
          <cell r="AO519">
            <v>0</v>
          </cell>
          <cell r="AP519">
            <v>38000000</v>
          </cell>
          <cell r="AQ519" t="str">
            <v>Minas Gerais</v>
          </cell>
          <cell r="AT519">
            <v>38000000</v>
          </cell>
        </row>
      </sheetData>
      <sheetData sheetId="2"/>
      <sheetData sheetId="3"/>
      <sheetData sheetId="4"/>
      <sheetData sheetId="5">
        <row r="1">
          <cell r="D1" t="str">
            <v>Código do SubProjeto
(Respeitar Regra de Formação)</v>
          </cell>
        </row>
      </sheetData>
      <sheetData sheetId="6"/>
      <sheetData sheetId="7"/>
      <sheetData sheetId="8"/>
      <sheetData sheetId="9"/>
      <sheetData sheetId="10"/>
      <sheetData sheetId="11"/>
      <sheetData sheetId="12"/>
      <sheetData sheetId="13"/>
      <sheetData sheetId="14"/>
      <sheetData sheetId="1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riz Crit. Ger. 18.06.2025"/>
      <sheetName val="Resumo Matriz Risco"/>
      <sheetName val="PE 25-29"/>
      <sheetName val="Instruções Preenchimento"/>
      <sheetName val="Projetos"/>
      <sheetName val="Subprojetos (Preencher)"/>
      <sheetName val="Planilha1"/>
      <sheetName val="Resumo"/>
      <sheetName val="Tipo de Bem"/>
    </sheetNames>
    <sheetDataSet>
      <sheetData sheetId="0"/>
      <sheetData sheetId="1"/>
      <sheetData sheetId="2"/>
      <sheetData sheetId="3"/>
      <sheetData sheetId="4">
        <row r="1">
          <cell r="A1" t="str">
            <v>Código de Projeto
(Respeitar Regra de Formação)</v>
          </cell>
        </row>
        <row r="2">
          <cell r="A2" t="str">
            <v>CHSF.00001</v>
          </cell>
        </row>
        <row r="3">
          <cell r="A3" t="str">
            <v>CHSF.00002</v>
          </cell>
        </row>
        <row r="4">
          <cell r="A4" t="str">
            <v>CHSF.00003</v>
          </cell>
        </row>
        <row r="5">
          <cell r="A5" t="str">
            <v>CHSF.00004</v>
          </cell>
        </row>
        <row r="6">
          <cell r="A6" t="str">
            <v>CHSF.00005</v>
          </cell>
        </row>
        <row r="7">
          <cell r="A7" t="str">
            <v>CHSF.00006</v>
          </cell>
        </row>
        <row r="8">
          <cell r="A8" t="str">
            <v>CHSF.00007</v>
          </cell>
        </row>
        <row r="9">
          <cell r="A9" t="str">
            <v>CHSF.00008</v>
          </cell>
        </row>
        <row r="10">
          <cell r="A10" t="str">
            <v>CHSF.00009</v>
          </cell>
        </row>
        <row r="11">
          <cell r="A11" t="str">
            <v>CHSF.00010</v>
          </cell>
        </row>
        <row r="12">
          <cell r="A12" t="str">
            <v>CHSF.00011</v>
          </cell>
        </row>
        <row r="13">
          <cell r="A13" t="str">
            <v>CHSF.00012</v>
          </cell>
        </row>
        <row r="14">
          <cell r="A14" t="str">
            <v>CHSF.00013</v>
          </cell>
        </row>
        <row r="15">
          <cell r="A15" t="str">
            <v>CHSF.00014</v>
          </cell>
        </row>
        <row r="16">
          <cell r="A16" t="str">
            <v>CHSF.00015</v>
          </cell>
        </row>
        <row r="17">
          <cell r="A17" t="str">
            <v>CHSF.00016</v>
          </cell>
        </row>
        <row r="18">
          <cell r="A18" t="str">
            <v>CHSF.00017</v>
          </cell>
        </row>
        <row r="19">
          <cell r="A19" t="str">
            <v>CHSF.00018</v>
          </cell>
        </row>
        <row r="20">
          <cell r="A20" t="str">
            <v>CHSF.00019</v>
          </cell>
        </row>
        <row r="21">
          <cell r="A21" t="str">
            <v>CHSF.00020</v>
          </cell>
        </row>
        <row r="22">
          <cell r="A22" t="str">
            <v>CHSF.00021</v>
          </cell>
        </row>
        <row r="23">
          <cell r="A23" t="str">
            <v>CHSF.00022</v>
          </cell>
        </row>
        <row r="24">
          <cell r="A24" t="str">
            <v>CHSF.00023</v>
          </cell>
        </row>
        <row r="25">
          <cell r="A25" t="str">
            <v>CHSF.00024</v>
          </cell>
        </row>
        <row r="26">
          <cell r="A26" t="str">
            <v>CHSF.00025</v>
          </cell>
        </row>
        <row r="27">
          <cell r="A27" t="str">
            <v>CHSF.00026</v>
          </cell>
        </row>
        <row r="28">
          <cell r="A28" t="str">
            <v>CHSF.00027</v>
          </cell>
        </row>
        <row r="29">
          <cell r="A29" t="str">
            <v>CHSF.00028</v>
          </cell>
        </row>
        <row r="30">
          <cell r="A30" t="str">
            <v>CHSF.00029</v>
          </cell>
        </row>
        <row r="31">
          <cell r="A31" t="str">
            <v>CHSF.00030</v>
          </cell>
        </row>
        <row r="32">
          <cell r="A32" t="str">
            <v>CHSF.00031</v>
          </cell>
        </row>
        <row r="33">
          <cell r="A33" t="str">
            <v>CHSF.00032</v>
          </cell>
        </row>
        <row r="34">
          <cell r="A34" t="str">
            <v>CHSF.00033</v>
          </cell>
        </row>
        <row r="35">
          <cell r="A35" t="str">
            <v>CHSF.00034</v>
          </cell>
        </row>
        <row r="36">
          <cell r="A36" t="str">
            <v>CHSF.00035</v>
          </cell>
        </row>
        <row r="37">
          <cell r="A37" t="str">
            <v>CHSF.00036</v>
          </cell>
        </row>
        <row r="38">
          <cell r="A38" t="str">
            <v>CHSF.00037</v>
          </cell>
        </row>
        <row r="39">
          <cell r="A39" t="str">
            <v>CHSF.00038</v>
          </cell>
        </row>
        <row r="40">
          <cell r="A40" t="str">
            <v>CHSF.00039</v>
          </cell>
        </row>
        <row r="41">
          <cell r="A41" t="str">
            <v>CHSF.00040</v>
          </cell>
        </row>
        <row r="42">
          <cell r="A42" t="str">
            <v>CHSF.00041</v>
          </cell>
        </row>
        <row r="43">
          <cell r="A43" t="str">
            <v>CHSF.00042</v>
          </cell>
        </row>
        <row r="44">
          <cell r="A44" t="str">
            <v>CHSF.00043</v>
          </cell>
        </row>
        <row r="45">
          <cell r="A45" t="str">
            <v>CHSF.00044</v>
          </cell>
        </row>
        <row r="46">
          <cell r="A46" t="str">
            <v>CHSF.00045</v>
          </cell>
        </row>
        <row r="47">
          <cell r="A47" t="str">
            <v>CHSF.00046</v>
          </cell>
        </row>
        <row r="48">
          <cell r="A48" t="str">
            <v>CHSF.00047</v>
          </cell>
        </row>
        <row r="49">
          <cell r="A49" t="str">
            <v>CHSF.00048</v>
          </cell>
        </row>
        <row r="50">
          <cell r="A50" t="str">
            <v>CHSF.00049</v>
          </cell>
        </row>
        <row r="51">
          <cell r="A51" t="str">
            <v>CHSF.00050</v>
          </cell>
        </row>
        <row r="52">
          <cell r="A52" t="str">
            <v>CHSF.00051</v>
          </cell>
        </row>
        <row r="53">
          <cell r="A53" t="str">
            <v>CHSF.00052</v>
          </cell>
        </row>
        <row r="54">
          <cell r="A54" t="str">
            <v>CHSF.00053</v>
          </cell>
        </row>
        <row r="55">
          <cell r="A55" t="str">
            <v>CHSF.00054</v>
          </cell>
        </row>
        <row r="56">
          <cell r="A56" t="str">
            <v>CHSF.00055</v>
          </cell>
        </row>
        <row r="57">
          <cell r="A57" t="str">
            <v>CHSF.00056</v>
          </cell>
        </row>
        <row r="58">
          <cell r="A58" t="str">
            <v>CHSF.00057</v>
          </cell>
        </row>
        <row r="59">
          <cell r="A59" t="str">
            <v>CHSF.00058</v>
          </cell>
        </row>
        <row r="60">
          <cell r="A60" t="str">
            <v>CHSF.00059</v>
          </cell>
        </row>
        <row r="61">
          <cell r="A61" t="str">
            <v>CHSF.00060</v>
          </cell>
        </row>
        <row r="62">
          <cell r="A62" t="str">
            <v>CHSF.00061</v>
          </cell>
        </row>
        <row r="63">
          <cell r="A63" t="str">
            <v>CHSF.00062</v>
          </cell>
        </row>
        <row r="64">
          <cell r="A64" t="str">
            <v>CHSF.00063</v>
          </cell>
        </row>
        <row r="65">
          <cell r="A65" t="str">
            <v>CHSF.00064</v>
          </cell>
        </row>
        <row r="66">
          <cell r="A66" t="str">
            <v>CHSF.00065</v>
          </cell>
        </row>
        <row r="67">
          <cell r="A67" t="str">
            <v>CHSF.00066</v>
          </cell>
        </row>
        <row r="68">
          <cell r="A68" t="str">
            <v>CHSF.00067</v>
          </cell>
        </row>
        <row r="69">
          <cell r="A69" t="str">
            <v>CHSF.00068</v>
          </cell>
        </row>
        <row r="70">
          <cell r="A70" t="str">
            <v>CHSF.00069</v>
          </cell>
        </row>
        <row r="71">
          <cell r="A71" t="str">
            <v>CHSF.00070</v>
          </cell>
        </row>
        <row r="72">
          <cell r="A72" t="str">
            <v>CHSF.00071</v>
          </cell>
        </row>
        <row r="73">
          <cell r="A73" t="str">
            <v>CHSF.00072</v>
          </cell>
        </row>
        <row r="74">
          <cell r="A74" t="str">
            <v>CHSF.00073</v>
          </cell>
        </row>
        <row r="75">
          <cell r="A75" t="str">
            <v>CHSF.00074</v>
          </cell>
        </row>
        <row r="76">
          <cell r="A76" t="str">
            <v>CHSF.00075</v>
          </cell>
        </row>
        <row r="77">
          <cell r="A77" t="str">
            <v>CHSF.00076</v>
          </cell>
        </row>
        <row r="78">
          <cell r="A78" t="str">
            <v>CHSF.00077</v>
          </cell>
        </row>
        <row r="79">
          <cell r="A79" t="str">
            <v>CHSF.00078</v>
          </cell>
        </row>
        <row r="80">
          <cell r="A80" t="str">
            <v>CHSF.00079</v>
          </cell>
        </row>
        <row r="81">
          <cell r="A81" t="str">
            <v>CHSF.00080</v>
          </cell>
        </row>
        <row r="82">
          <cell r="A82" t="str">
            <v>CHSF.00081</v>
          </cell>
        </row>
        <row r="83">
          <cell r="A83" t="str">
            <v>CHSF.00082</v>
          </cell>
        </row>
        <row r="84">
          <cell r="A84" t="str">
            <v>CHSF.00083</v>
          </cell>
        </row>
        <row r="85">
          <cell r="A85" t="str">
            <v>CHSF.00084</v>
          </cell>
        </row>
        <row r="86">
          <cell r="A86" t="str">
            <v>CHSF.00085</v>
          </cell>
        </row>
        <row r="87">
          <cell r="A87" t="str">
            <v>CHSF.00086</v>
          </cell>
        </row>
        <row r="88">
          <cell r="A88" t="str">
            <v>CHSF.00087</v>
          </cell>
        </row>
        <row r="89">
          <cell r="A89" t="str">
            <v>CHSF.00088</v>
          </cell>
        </row>
        <row r="90">
          <cell r="A90" t="str">
            <v>CHSF.00089</v>
          </cell>
        </row>
        <row r="91">
          <cell r="A91" t="str">
            <v>CHSF.00090</v>
          </cell>
        </row>
        <row r="92">
          <cell r="A92" t="str">
            <v>CHSF.00091</v>
          </cell>
        </row>
        <row r="93">
          <cell r="A93" t="str">
            <v>CHSF.00092</v>
          </cell>
        </row>
        <row r="94">
          <cell r="A94" t="str">
            <v>CHSF.00093</v>
          </cell>
        </row>
        <row r="95">
          <cell r="A95" t="str">
            <v>CHSF.00094</v>
          </cell>
        </row>
        <row r="96">
          <cell r="A96" t="str">
            <v>CHSF.00095</v>
          </cell>
        </row>
        <row r="97">
          <cell r="A97">
            <v>95</v>
          </cell>
        </row>
      </sheetData>
      <sheetData sheetId="5"/>
      <sheetData sheetId="6"/>
      <sheetData sheetId="7"/>
      <sheetData sheetId="8"/>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A4ADA6D6-5D5D-4800-8596-2E8F9E96447E}">
    <nsvFilter filterId="{06A24D15-F725-4C21-8F80-D5715C6DD2DA}" ref="A18:BV147" tableId="10"/>
  </namedSheetView>
  <namedSheetView name="Exibição 2" id="{7BBF8D27-8A68-4D97-9F79-232F9CB75EB5}">
    <nsvFilter filterId="{06A24D15-F725-4C21-8F80-D5715C6DD2DA}" ref="A18:BV147" tableId="10"/>
  </namedSheetView>
</namedSheetViews>
</file>

<file path=xl/persons/person.xml><?xml version="1.0" encoding="utf-8"?>
<personList xmlns="http://schemas.microsoft.com/office/spreadsheetml/2018/threadedcomments" xmlns:x="http://schemas.openxmlformats.org/spreadsheetml/2006/main">
  <person displayName="Tarso Soares Costa Casemiro" id="{7ACA9A31-7D99-47EB-A01F-2738225F1A65}" userId="S::tarso.casemiro@eletrobras.com::bc72f76e-d5de-4c4f-8d17-c92a6d27c9e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_rels/pivotCacheDefinition2.xml.rels><?xml version="1.0" encoding="UTF-8" standalone="yes"?>
<Relationships xmlns="http://schemas.openxmlformats.org/package/2006/relationships"><Relationship Id="rId1" Type="http://schemas.openxmlformats.org/officeDocument/2006/relationships/richPivotRecords" Target="richPivot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Geovane Andrade Melo Luz" refreshedDate="46001.685815046294" createdVersion="8" refreshedVersion="8" minRefreshableVersion="3" recordCount="123" xr:uid="{DF1BE01A-55FB-4334-93EC-36530FB871A0}">
  <cacheSource type="worksheet">
    <worksheetSource ref="A18:BV147" sheet="Consolidado-Eletronorte"/>
  </cacheSource>
  <cacheFields count="59">
    <cacheField name="Analise Estrategia" numFmtId="0">
      <sharedItems containsSemiMixedTypes="0" containsString="0" containsNumber="1" containsInteger="1" minValue="263" maxValue="773"/>
    </cacheField>
    <cacheField name="Check" numFmtId="0">
      <sharedItems/>
    </cacheField>
    <cacheField name="Arquivo" numFmtId="0">
      <sharedItems containsBlank="1"/>
    </cacheField>
    <cacheField name="VP" numFmtId="49">
      <sharedItems/>
    </cacheField>
    <cacheField name="Responsável" numFmtId="49">
      <sharedItems/>
    </cacheField>
    <cacheField name="Conferido" numFmtId="0">
      <sharedItems/>
    </cacheField>
    <cacheField name="Id PE" numFmtId="0">
      <sharedItems/>
    </cacheField>
    <cacheField name="Corporativo ou SPE" numFmtId="0">
      <sharedItems/>
    </cacheField>
    <cacheField name="Empresa" numFmtId="0">
      <sharedItems/>
    </cacheField>
    <cacheField name="Segmento" numFmtId="0">
      <sharedItems/>
    </cacheField>
    <cacheField name="Categoria Cise" numFmtId="0">
      <sharedItems/>
    </cacheField>
    <cacheField name="Subcategoria CISE" numFmtId="0">
      <sharedItems/>
    </cacheField>
    <cacheField name="Coletor de Custo" numFmtId="0">
      <sharedItems/>
    </cacheField>
    <cacheField name="Cód Projeto VED" numFmtId="0">
      <sharedItems containsNonDate="0" containsString="0" containsBlank="1"/>
    </cacheField>
    <cacheField name="Cód SGPMR" numFmtId="0">
      <sharedItems containsNonDate="0" containsString="0" containsBlank="1"/>
    </cacheField>
    <cacheField name="Número da LO" numFmtId="0">
      <sharedItems containsBlank="1" containsMixedTypes="1" containsNumber="1" containsInteger="1" minValue="157189" maxValue="157189"/>
    </cacheField>
    <cacheField name="Descrição do projeto" numFmtId="0">
      <sharedItems/>
    </cacheField>
    <cacheField name="Categoria Cise2" numFmtId="0">
      <sharedItems/>
    </cacheField>
    <cacheField name="Subcategoria CISE3" numFmtId="0">
      <sharedItems/>
    </cacheField>
    <cacheField name="Coletor de Custo4" numFmtId="0">
      <sharedItems/>
    </cacheField>
    <cacheField name="Contrato/Pedido/RC" numFmtId="0">
      <sharedItems containsBlank="1" containsMixedTypes="1" containsNumber="1" containsInteger="1" minValue="3400002922" maxValue="4600002717"/>
    </cacheField>
    <cacheField name="Especificação" numFmtId="0">
      <sharedItems containsBlank="1" longText="1"/>
    </cacheField>
    <cacheField name="Local da Instalação" numFmtId="0">
      <sharedItems/>
    </cacheField>
    <cacheField name="jan/26" numFmtId="43">
      <sharedItems containsString="0" containsBlank="1" containsNumber="1" minValue="0" maxValue="11888566.659999998"/>
    </cacheField>
    <cacheField name="fev/26" numFmtId="43">
      <sharedItems containsString="0" containsBlank="1" containsNumber="1" minValue="0" maxValue="20886113.57"/>
    </cacheField>
    <cacheField name="mar/26" numFmtId="43">
      <sharedItems containsString="0" containsBlank="1" containsNumber="1" minValue="0" maxValue="6922894.6099999994"/>
    </cacheField>
    <cacheField name="abr/26" numFmtId="43">
      <sharedItems containsString="0" containsBlank="1" containsNumber="1" minValue="0" maxValue="9038805.977500001"/>
    </cacheField>
    <cacheField name="mai/26" numFmtId="43">
      <sharedItems containsString="0" containsBlank="1" containsNumber="1" minValue="0" maxValue="35832721.410000004"/>
    </cacheField>
    <cacheField name="jun/26" numFmtId="43">
      <sharedItems containsString="0" containsBlank="1" containsNumber="1" minValue="0" maxValue="15091386.969999999"/>
    </cacheField>
    <cacheField name="jul/26" numFmtId="43">
      <sharedItems containsString="0" containsBlank="1" containsNumber="1" minValue="0" maxValue="16898137.739999998"/>
    </cacheField>
    <cacheField name="ago/26" numFmtId="43">
      <sharedItems containsString="0" containsBlank="1" containsNumber="1" minValue="0" maxValue="22249745.649999995"/>
    </cacheField>
    <cacheField name="set/26" numFmtId="43">
      <sharedItems containsString="0" containsBlank="1" containsNumber="1" minValue="0" maxValue="2000000"/>
    </cacheField>
    <cacheField name="out/26" numFmtId="43">
      <sharedItems containsString="0" containsBlank="1" containsNumber="1" minValue="0" maxValue="11791477.140000002"/>
    </cacheField>
    <cacheField name="nov/26" numFmtId="43">
      <sharedItems containsString="0" containsBlank="1" containsNumber="1" minValue="0" maxValue="2500000"/>
    </cacheField>
    <cacheField name="dez/26" numFmtId="43">
      <sharedItems containsString="0" containsBlank="1" containsNumber="1" minValue="0" maxValue="10903654.989845"/>
    </cacheField>
    <cacheField name="2026" numFmtId="43">
      <sharedItems containsSemiMixedTypes="0" containsString="0" containsNumber="1" minValue="0" maxValue="149463997.75999999"/>
    </cacheField>
    <cacheField name="2027" numFmtId="43">
      <sharedItems containsString="0" containsBlank="1" containsNumber="1" minValue="0" maxValue="186404977.93658334"/>
    </cacheField>
    <cacheField name="2028" numFmtId="43">
      <sharedItems containsString="0" containsBlank="1" containsNumber="1" minValue="0" maxValue="138328625.18250006"/>
    </cacheField>
    <cacheField name="2029" numFmtId="43">
      <sharedItems containsSemiMixedTypes="0" containsString="0" containsNumber="1" minValue="0" maxValue="69976375.790000007"/>
    </cacheField>
    <cacheField name="2030" numFmtId="43">
      <sharedItems containsSemiMixedTypes="0" containsString="0" containsNumber="1" containsInteger="1" minValue="0" maxValue="1000000"/>
    </cacheField>
    <cacheField name="2026-2030" numFmtId="43">
      <sharedItems containsSemiMixedTypes="0" containsString="0" containsNumber="1" minValue="0" maxValue="544673976.66908336"/>
    </cacheField>
    <cacheField name="2031" numFmtId="0">
      <sharedItems containsString="0" containsBlank="1" containsNumber="1" containsInteger="1" minValue="0" maxValue="0"/>
    </cacheField>
    <cacheField name="2032" numFmtId="0">
      <sharedItems containsString="0" containsBlank="1" containsNumber="1" containsInteger="1" minValue="0" maxValue="0"/>
    </cacheField>
    <cacheField name="2033" numFmtId="0">
      <sharedItems containsString="0" containsBlank="1" containsNumber="1" containsInteger="1" minValue="0" maxValue="0"/>
    </cacheField>
    <cacheField name="2034" numFmtId="0">
      <sharedItems containsString="0" containsBlank="1" containsNumber="1" containsInteger="1" minValue="0" maxValue="0"/>
    </cacheField>
    <cacheField name="2035" numFmtId="0">
      <sharedItems containsString="0" containsBlank="1" containsNumber="1" containsInteger="1" minValue="0" maxValue="0"/>
    </cacheField>
    <cacheField name="2026-2035" numFmtId="43">
      <sharedItems containsSemiMixedTypes="0" containsString="0" containsNumber="1" minValue="0" maxValue="544673976.66908336"/>
    </cacheField>
    <cacheField name="sequencial" numFmtId="0">
      <sharedItems containsBlank="1"/>
    </cacheField>
    <cacheField name="Órgão Responsável" numFmtId="0">
      <sharedItems/>
    </cacheField>
    <cacheField name="PE de Origem" numFmtId="0">
      <sharedItems containsString="0" containsBlank="1" containsNumber="1" containsInteger="1" minValue="2024" maxValue="2026"/>
    </cacheField>
    <cacheField name="ID de demanda candidata" numFmtId="0">
      <sharedItems containsBlank="1"/>
    </cacheField>
    <cacheField name="ID Financeiro" numFmtId="0">
      <sharedItems containsBlank="1" containsMixedTypes="1" containsNumber="1" containsInteger="1" minValue="0" maxValue="0"/>
    </cacheField>
    <cacheField name="Status Contratação" numFmtId="0">
      <sharedItems containsBlank="1" count="7">
        <s v="Contratado"/>
        <s v="Em negociação"/>
        <s v="RC aprovada"/>
        <s v="Não iniciado"/>
        <s v="TR em elaboração"/>
        <m u="1"/>
        <s v="RC emitida" u="1"/>
      </sharedItems>
    </cacheField>
    <cacheField name="De_Para" numFmtId="0">
      <sharedItems containsBlank="1"/>
    </cacheField>
    <cacheField name="Status CISE" numFmtId="0">
      <sharedItems/>
    </cacheField>
    <cacheField name="Valor original 2026" numFmtId="44">
      <sharedItems containsSemiMixedTypes="0" containsString="0" containsNumber="1" minValue="0" maxValue="171280364.75447249"/>
    </cacheField>
    <cacheField name="Observações" numFmtId="0">
      <sharedItems containsBlank="1"/>
    </cacheField>
    <cacheField name="Líder" numFmtId="0">
      <sharedItems/>
    </cacheField>
    <cacheField name="Descrição do Projeto2" numFmtId="0">
      <sharedItems/>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DF1BE01A-55FB-4334-93EC-36530FB871A0}" pivotIgnoreInvalidCache="1" r:id="r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Geovane Andrade Melo Luz" refreshedDate="46001.685815740741" createdVersion="8" refreshedVersion="8" minRefreshableVersion="3" recordCount="123" xr:uid="{C877EE7F-E769-41F1-8598-6AD962B03A4C}">
  <cacheSource type="worksheet">
    <worksheetSource name="Tabela10"/>
  </cacheSource>
  <cacheFields count="59">
    <cacheField name="Analise Estrategia" numFmtId="0">
      <sharedItems containsSemiMixedTypes="0" containsString="0" containsNumber="1" containsInteger="1" minValue="263" maxValue="773"/>
    </cacheField>
    <cacheField name="Check" numFmtId="0">
      <sharedItems/>
    </cacheField>
    <cacheField name="Arquivo" numFmtId="0">
      <sharedItems containsBlank="1"/>
    </cacheField>
    <cacheField name="VP" numFmtId="49">
      <sharedItems count="2">
        <s v="COO"/>
        <s v="VEE" u="1"/>
      </sharedItems>
    </cacheField>
    <cacheField name="Responsável" numFmtId="49">
      <sharedItems/>
    </cacheField>
    <cacheField name="Conferido" numFmtId="0">
      <sharedItems/>
    </cacheField>
    <cacheField name="Id PE" numFmtId="0">
      <sharedItems/>
    </cacheField>
    <cacheField name="Corporativo ou SPE" numFmtId="0">
      <sharedItems/>
    </cacheField>
    <cacheField name="Empresa" numFmtId="0">
      <sharedItems containsBlank="1" count="5">
        <s v="Eletronorte"/>
        <s v="Eletrobras" u="1"/>
        <s v="Chesf" u="1"/>
        <s v="CGT Eletrosul" u="1"/>
        <m u="1"/>
      </sharedItems>
    </cacheField>
    <cacheField name="Segmento" numFmtId="0">
      <sharedItems/>
    </cacheField>
    <cacheField name="Categoria Cise" numFmtId="0">
      <sharedItems containsBlank="1" count="7">
        <s v="Modernização"/>
        <s v="Segurança de Barragem" u="1"/>
        <m u="1"/>
        <s v="Melhoria Pequeno Porte" u="1"/>
        <s v="Melhoria de pequeno porte" u="1"/>
        <s v="Reforço" u="1"/>
        <s v="Modernização de grande porte" u="1"/>
      </sharedItems>
    </cacheField>
    <cacheField name="Subcategoria CISE" numFmtId="0">
      <sharedItems containsBlank="1" count="10">
        <s v="Modernização"/>
        <s v="Telecom"/>
        <s v="Cibersegurança Operacional" u="1"/>
        <s v="Segurança de Barragem" u="1"/>
        <m u="1"/>
        <s v="Melhoria" u="1"/>
        <s v="Modernização pequeno porte" u="1"/>
        <s v="SPCS – Sistema de Proteção Controle e Supervisão" u="1"/>
        <s v="Reforço" u="1"/>
        <s v="Grande Porte" u="1"/>
      </sharedItems>
    </cacheField>
    <cacheField name="Coletor de Custo" numFmtId="0">
      <sharedItems/>
    </cacheField>
    <cacheField name="Cód Projeto VED" numFmtId="0">
      <sharedItems containsNonDate="0" containsString="0" containsBlank="1"/>
    </cacheField>
    <cacheField name="Cód SGPMR" numFmtId="0">
      <sharedItems containsNonDate="0" containsString="0" containsBlank="1"/>
    </cacheField>
    <cacheField name="Número da LO" numFmtId="0">
      <sharedItems containsBlank="1" containsMixedTypes="1" containsNumber="1" containsInteger="1" minValue="157189" maxValue="157189"/>
    </cacheField>
    <cacheField name="Descrição do projeto" numFmtId="0">
      <sharedItems/>
    </cacheField>
    <cacheField name="Categoria Cise2" numFmtId="0">
      <sharedItems/>
    </cacheField>
    <cacheField name="Subcategoria CISE3" numFmtId="0">
      <sharedItems/>
    </cacheField>
    <cacheField name="Coletor de Custo4" numFmtId="0">
      <sharedItems count="18">
        <s v="NGHI.0066"/>
        <s v="NGHI.0099"/>
        <s v="NGHI.0086"/>
        <s v="NGHI.0147"/>
        <s v="NGHI.0143"/>
        <s v="NGHI.0154"/>
        <s v="NGHI.0077"/>
        <s v="NGHI.0141"/>
        <s v="NGHI.0028"/>
        <s v="NSTC.0044"/>
        <s v="NGHI.0075"/>
        <s v="NGHI.0146"/>
        <s v="NGHI.0091"/>
        <s v="NGHI.0023"/>
        <s v="NGHI.0087"/>
        <s v="NGHI.0083"/>
        <s v="NGHI.0070"/>
        <s v="A definir"/>
      </sharedItems>
    </cacheField>
    <cacheField name="Contrato/Pedido/RC" numFmtId="0">
      <sharedItems containsBlank="1" containsMixedTypes="1" containsNumber="1" containsInteger="1" minValue="3400002922" maxValue="4600002717"/>
    </cacheField>
    <cacheField name="Especificação" numFmtId="0">
      <sharedItems containsBlank="1" longText="1"/>
    </cacheField>
    <cacheField name="Local da Instalação" numFmtId="0">
      <sharedItems containsMixedTypes="1" containsNumber="1" containsInteger="1" minValue="0" maxValue="0" count="7">
        <s v="UHE Tucuruí"/>
        <s v="UHE Samuel"/>
        <s v="UHE Balbina"/>
        <s v="UHE Coaracy Nunes "/>
        <s v="UHE Curuá Una"/>
        <s v="Diversas UHE"/>
        <n v="0" u="1"/>
      </sharedItems>
    </cacheField>
    <cacheField name="jan/26" numFmtId="43">
      <sharedItems containsString="0" containsBlank="1" containsNumber="1" minValue="0" maxValue="11888566.659999998"/>
    </cacheField>
    <cacheField name="fev/26" numFmtId="43">
      <sharedItems containsString="0" containsBlank="1" containsNumber="1" minValue="0" maxValue="20886113.57"/>
    </cacheField>
    <cacheField name="mar/26" numFmtId="43">
      <sharedItems containsString="0" containsBlank="1" containsNumber="1" minValue="0" maxValue="6922894.6099999994"/>
    </cacheField>
    <cacheField name="abr/26" numFmtId="43">
      <sharedItems containsString="0" containsBlank="1" containsNumber="1" minValue="0" maxValue="9038805.977500001"/>
    </cacheField>
    <cacheField name="mai/26" numFmtId="43">
      <sharedItems containsString="0" containsBlank="1" containsNumber="1" minValue="0" maxValue="35832721.410000004"/>
    </cacheField>
    <cacheField name="jun/26" numFmtId="43">
      <sharedItems containsString="0" containsBlank="1" containsNumber="1" minValue="0" maxValue="15091386.969999999"/>
    </cacheField>
    <cacheField name="jul/26" numFmtId="43">
      <sharedItems containsString="0" containsBlank="1" containsNumber="1" minValue="0" maxValue="16898137.739999998"/>
    </cacheField>
    <cacheField name="ago/26" numFmtId="43">
      <sharedItems containsString="0" containsBlank="1" containsNumber="1" minValue="0" maxValue="22249745.649999995"/>
    </cacheField>
    <cacheField name="set/26" numFmtId="43">
      <sharedItems containsString="0" containsBlank="1" containsNumber="1" minValue="0" maxValue="2000000"/>
    </cacheField>
    <cacheField name="out/26" numFmtId="43">
      <sharedItems containsString="0" containsBlank="1" containsNumber="1" minValue="0" maxValue="11791477.140000002"/>
    </cacheField>
    <cacheField name="nov/26" numFmtId="43">
      <sharedItems containsString="0" containsBlank="1" containsNumber="1" minValue="0" maxValue="2500000"/>
    </cacheField>
    <cacheField name="dez/26" numFmtId="43">
      <sharedItems containsString="0" containsBlank="1" containsNumber="1" minValue="0" maxValue="10903654.989845"/>
    </cacheField>
    <cacheField name="2026" numFmtId="43">
      <sharedItems containsSemiMixedTypes="0" containsString="0" containsNumber="1" minValue="0" maxValue="149463997.75999999"/>
    </cacheField>
    <cacheField name="2027" numFmtId="43">
      <sharedItems containsString="0" containsBlank="1" containsNumber="1" minValue="0" maxValue="186404977.93658334"/>
    </cacheField>
    <cacheField name="2028" numFmtId="43">
      <sharedItems containsString="0" containsBlank="1" containsNumber="1" minValue="0" maxValue="138328625.18250006"/>
    </cacheField>
    <cacheField name="2029" numFmtId="43">
      <sharedItems containsSemiMixedTypes="0" containsString="0" containsNumber="1" minValue="0" maxValue="69976375.790000007"/>
    </cacheField>
    <cacheField name="2030" numFmtId="43">
      <sharedItems containsSemiMixedTypes="0" containsString="0" containsNumber="1" containsInteger="1" minValue="0" maxValue="1000000"/>
    </cacheField>
    <cacheField name="2026-2030" numFmtId="43">
      <sharedItems containsSemiMixedTypes="0" containsString="0" containsNumber="1" minValue="0" maxValue="544673976.66908336"/>
    </cacheField>
    <cacheField name="2031" numFmtId="0">
      <sharedItems containsString="0" containsBlank="1" containsNumber="1" containsInteger="1" minValue="0" maxValue="0"/>
    </cacheField>
    <cacheField name="2032" numFmtId="0">
      <sharedItems containsString="0" containsBlank="1" containsNumber="1" containsInteger="1" minValue="0" maxValue="0"/>
    </cacheField>
    <cacheField name="2033" numFmtId="0">
      <sharedItems containsString="0" containsBlank="1" containsNumber="1" containsInteger="1" minValue="0" maxValue="0"/>
    </cacheField>
    <cacheField name="2034" numFmtId="0">
      <sharedItems containsString="0" containsBlank="1" containsNumber="1" containsInteger="1" minValue="0" maxValue="0"/>
    </cacheField>
    <cacheField name="2035" numFmtId="0">
      <sharedItems containsString="0" containsBlank="1" containsNumber="1" containsInteger="1" minValue="0" maxValue="0"/>
    </cacheField>
    <cacheField name="2026-2035" numFmtId="43">
      <sharedItems containsSemiMixedTypes="0" containsString="0" containsNumber="1" minValue="0" maxValue="544673976.66908336"/>
    </cacheField>
    <cacheField name="sequencial" numFmtId="0">
      <sharedItems containsBlank="1"/>
    </cacheField>
    <cacheField name="Órgão Responsável" numFmtId="0">
      <sharedItems/>
    </cacheField>
    <cacheField name="PE de Origem" numFmtId="0">
      <sharedItems containsString="0" containsBlank="1" containsNumber="1" containsInteger="1" minValue="2024" maxValue="2026"/>
    </cacheField>
    <cacheField name="ID de demanda candidata" numFmtId="0">
      <sharedItems containsBlank="1"/>
    </cacheField>
    <cacheField name="ID Financeiro" numFmtId="0">
      <sharedItems containsBlank="1" containsMixedTypes="1" containsNumber="1" containsInteger="1" minValue="0" maxValue="0"/>
    </cacheField>
    <cacheField name="Status Contratação" numFmtId="0">
      <sharedItems/>
    </cacheField>
    <cacheField name="De_Para" numFmtId="0">
      <sharedItems containsBlank="1"/>
    </cacheField>
    <cacheField name="Status CISE" numFmtId="0">
      <sharedItems containsBlank="1" count="6">
        <s v="Contratado"/>
        <s v="Em Contratação"/>
        <s v="Reajuste"/>
        <s v="RC não emitida"/>
        <s v="Nova Demanda"/>
        <m u="1"/>
      </sharedItems>
    </cacheField>
    <cacheField name="Valor original 2026" numFmtId="44">
      <sharedItems containsSemiMixedTypes="0" containsString="0" containsNumber="1" minValue="0" maxValue="171280364.75447249"/>
    </cacheField>
    <cacheField name="Observações" numFmtId="0">
      <sharedItems containsBlank="1"/>
    </cacheField>
    <cacheField name="Líder" numFmtId="0">
      <sharedItems/>
    </cacheField>
    <cacheField name="Descrição do Projeto2" numFmtId="0">
      <sharedItems/>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C877EE7F-E769-41F1-8598-6AD962B03A4C}" pivotIgnoreInvalidCache="1" r:id="r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vane Andrade Melo Luz" refreshedDate="46001.685817361111" createdVersion="8" refreshedVersion="8" minRefreshableVersion="3" recordCount="253" xr:uid="{01182589-0E4F-41D1-A605-C6F7C2D9B00A}">
  <cacheSource type="worksheet">
    <worksheetSource ref="A8:AQ261" sheet="ModeloFinal-CGT Eletrosul"/>
  </cacheSource>
  <cacheFields count="43">
    <cacheField name="Analise Estrategia" numFmtId="0">
      <sharedItems containsNonDate="0" containsString="0" containsBlank="1"/>
    </cacheField>
    <cacheField name="Check" numFmtId="0">
      <sharedItems/>
    </cacheField>
    <cacheField name="Arquivo" numFmtId="0">
      <sharedItems/>
    </cacheField>
    <cacheField name="VP" numFmtId="0">
      <sharedItems/>
    </cacheField>
    <cacheField name="Responsável" numFmtId="0">
      <sharedItems/>
    </cacheField>
    <cacheField name="Conferido" numFmtId="0">
      <sharedItems containsNonDate="0" containsString="0" containsBlank="1"/>
    </cacheField>
    <cacheField name="Id PE" numFmtId="0">
      <sharedItems/>
    </cacheField>
    <cacheField name="Corporativo ou SPE" numFmtId="0">
      <sharedItems/>
    </cacheField>
    <cacheField name="Empresa" numFmtId="0">
      <sharedItems count="3">
        <s v="CGT Eletrosul"/>
        <s v="Chesf" u="1"/>
        <s v="Eletronorte" u="1"/>
      </sharedItems>
    </cacheField>
    <cacheField name="Segmento" numFmtId="0">
      <sharedItems/>
    </cacheField>
    <cacheField name="Categoria Cise" numFmtId="0">
      <sharedItems/>
    </cacheField>
    <cacheField name="Subcategoria CISE" numFmtId="0">
      <sharedItems/>
    </cacheField>
    <cacheField name="Coletor de Custo" numFmtId="0">
      <sharedItems containsBlank="1"/>
    </cacheField>
    <cacheField name="Cód Projeto VED" numFmtId="0">
      <sharedItems containsNonDate="0" containsString="0" containsBlank="1"/>
    </cacheField>
    <cacheField name="Cód SGPMR" numFmtId="0">
      <sharedItems containsNonDate="0" containsString="0" containsBlank="1"/>
    </cacheField>
    <cacheField name="Número da LO" numFmtId="0">
      <sharedItems containsNonDate="0" containsString="0" containsBlank="1"/>
    </cacheField>
    <cacheField name="Descrição do projeto" numFmtId="0">
      <sharedItems/>
    </cacheField>
    <cacheField name="Especificação" numFmtId="0">
      <sharedItems longText="1"/>
    </cacheField>
    <cacheField name="Local da Instalação" numFmtId="0">
      <sharedItems/>
    </cacheField>
    <cacheField name="jan/26" numFmtId="0">
      <sharedItems containsBlank="1" containsMixedTypes="1" containsNumber="1" containsInteger="1" minValue="215" maxValue="183148"/>
    </cacheField>
    <cacheField name="fev/26" numFmtId="0">
      <sharedItems containsBlank="1" containsMixedTypes="1" containsNumber="1" containsInteger="1" minValue="215" maxValue="183148"/>
    </cacheField>
    <cacheField name="mar/26" numFmtId="0">
      <sharedItems containsBlank="1" containsMixedTypes="1" containsNumber="1" containsInteger="1" minValue="215" maxValue="298318"/>
    </cacheField>
    <cacheField name="abr/26" numFmtId="0">
      <sharedItems containsBlank="1" containsMixedTypes="1" containsNumber="1" containsInteger="1" minValue="215" maxValue="400000"/>
    </cacheField>
    <cacheField name="mai/26" numFmtId="0">
      <sharedItems containsBlank="1" containsMixedTypes="1" containsNumber="1" containsInteger="1" minValue="215" maxValue="400000"/>
    </cacheField>
    <cacheField name="jun/26" numFmtId="0">
      <sharedItems containsBlank="1" containsMixedTypes="1" containsNumber="1" containsInteger="1" minValue="215" maxValue="200000"/>
    </cacheField>
    <cacheField name="jul/26" numFmtId="0">
      <sharedItems containsBlank="1" containsMixedTypes="1" containsNumber="1" containsInteger="1" minValue="215" maxValue="400000"/>
    </cacheField>
    <cacheField name="ago/26" numFmtId="0">
      <sharedItems containsBlank="1" containsMixedTypes="1" containsNumber="1" containsInteger="1" minValue="215" maxValue="597034"/>
    </cacheField>
    <cacheField name="set/26" numFmtId="0">
      <sharedItems containsBlank="1" containsMixedTypes="1" containsNumber="1" containsInteger="1" minValue="215" maxValue="448318"/>
    </cacheField>
    <cacheField name="out/26" numFmtId="0">
      <sharedItems containsBlank="1" containsMixedTypes="1" containsNumber="1" containsInteger="1" minValue="6000" maxValue="309406"/>
    </cacheField>
    <cacheField name="nov/26" numFmtId="0">
      <sharedItems containsBlank="1" containsMixedTypes="1" containsNumber="1" containsInteger="1" minValue="22000" maxValue="545530"/>
    </cacheField>
    <cacheField name="dez/26" numFmtId="0">
      <sharedItems containsBlank="1" containsMixedTypes="1" containsNumber="1" containsInteger="1" minValue="100000" maxValue="1078676"/>
    </cacheField>
    <cacheField name="2026" numFmtId="169">
      <sharedItems containsSemiMixedTypes="0" containsString="0" containsNumber="1" containsInteger="1" minValue="0" maxValue="3367645"/>
    </cacheField>
    <cacheField name="2027" numFmtId="0">
      <sharedItems containsBlank="1" containsMixedTypes="1" containsNumber="1" minValue="0" maxValue="13827521"/>
    </cacheField>
    <cacheField name="2028" numFmtId="169">
      <sharedItems containsString="0" containsBlank="1" containsNumber="1" containsInteger="1" minValue="0" maxValue="627000"/>
    </cacheField>
    <cacheField name="2029" numFmtId="0">
      <sharedItems containsString="0" containsBlank="1" containsNumber="1" containsInteger="1" minValue="0" maxValue="94825"/>
    </cacheField>
    <cacheField name="2030" numFmtId="0">
      <sharedItems containsString="0" containsBlank="1" containsNumber="1" containsInteger="1" minValue="0" maxValue="18781"/>
    </cacheField>
    <cacheField name="2026-2030" numFmtId="169">
      <sharedItems containsSemiMixedTypes="0" containsString="0" containsNumber="1" minValue="0" maxValue="17195166"/>
    </cacheField>
    <cacheField name="2031" numFmtId="0">
      <sharedItems containsString="0" containsBlank="1" containsNumber="1" containsInteger="1" minValue="0" maxValue="262500"/>
    </cacheField>
    <cacheField name="2032" numFmtId="0">
      <sharedItems containsString="0" containsBlank="1" containsNumber="1" containsInteger="1" minValue="0" maxValue="0"/>
    </cacheField>
    <cacheField name="2033" numFmtId="0">
      <sharedItems containsString="0" containsBlank="1" containsNumber="1" containsInteger="1" minValue="0" maxValue="0"/>
    </cacheField>
    <cacheField name="2034" numFmtId="0">
      <sharedItems containsString="0" containsBlank="1" containsNumber="1" containsInteger="1" minValue="0" maxValue="0"/>
    </cacheField>
    <cacheField name="2035" numFmtId="0">
      <sharedItems containsString="0" containsBlank="1" containsNumber="1" containsInteger="1" minValue="0" maxValue="100000"/>
    </cacheField>
    <cacheField name="2026-2035" numFmtId="169">
      <sharedItems containsSemiMixedTypes="0" containsString="0" containsNumber="1" minValue="1720" maxValue="1719516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vane Andrade Melo Luz" refreshedDate="46051.778168287034" createdVersion="8" refreshedVersion="8" minRefreshableVersion="3" recordCount="123" xr:uid="{6351C36C-997C-4E90-B453-ED379D5C5309}">
  <cacheSource type="worksheet">
    <worksheetSource ref="A1:K124" sheet="Grupo"/>
  </cacheSource>
  <cacheFields count="11">
    <cacheField name="ID" numFmtId="0">
      <sharedItems/>
    </cacheField>
    <cacheField name="Gupo" numFmtId="0">
      <sharedItems count="5">
        <s v="Grupo 4"/>
        <s v="Grupo 2"/>
        <s v="Grupo 5"/>
        <s v="Grupo 3"/>
        <s v="Grupo 1"/>
      </sharedItems>
    </cacheField>
    <cacheField name="Projeto" numFmtId="0">
      <sharedItems/>
    </cacheField>
    <cacheField name="Usina" numFmtId="0">
      <sharedItems/>
    </cacheField>
    <cacheField name="2026" numFmtId="44">
      <sharedItems containsSemiMixedTypes="0" containsString="0" containsNumber="1" minValue="0" maxValue="149463997.75999999" count="33">
        <n v="0"/>
        <n v="4000000"/>
        <n v="600000"/>
        <n v="200000"/>
        <n v="500000"/>
        <n v="1000000"/>
        <n v="577030.00300000003"/>
        <n v="3000000"/>
        <n v="2262000"/>
        <n v="100000"/>
        <n v="300000"/>
        <n v="912050"/>
        <n v="450000"/>
        <n v="149463997.75999999"/>
        <n v="30742118.607744999"/>
        <n v="38256203.993333325"/>
        <n v="10000000"/>
        <n v="8500000"/>
        <n v="1824336"/>
        <n v="950000"/>
        <n v="2000000.0000000002"/>
        <n v="6000000"/>
        <n v="5000000"/>
        <n v="2980204"/>
        <n v="2000000"/>
        <n v="350000"/>
        <n v="250000"/>
        <n v="1800000"/>
        <n v="150000"/>
        <n v="1680000"/>
        <n v="1500000"/>
        <n v="223686"/>
        <n v="53000"/>
      </sharedItems>
    </cacheField>
    <cacheField name="2027" numFmtId="44">
      <sharedItems containsSemiMixedTypes="0" containsString="0" containsNumber="1" minValue="0" maxValue="186404977.93658334"/>
    </cacheField>
    <cacheField name="2028" numFmtId="44">
      <sharedItems containsSemiMixedTypes="0" containsString="0" containsNumber="1" minValue="0" maxValue="138328625.18250006"/>
    </cacheField>
    <cacheField name="2029" numFmtId="44">
      <sharedItems containsSemiMixedTypes="0" containsString="0" containsNumber="1" minValue="0" maxValue="69976375.790000007"/>
    </cacheField>
    <cacheField name="2030" numFmtId="44">
      <sharedItems containsSemiMixedTypes="0" containsString="0" containsNumber="1" containsInteger="1" minValue="0" maxValue="1000000"/>
    </cacheField>
    <cacheField name="2029-2030" numFmtId="44">
      <sharedItems containsSemiMixedTypes="0" containsString="0" containsNumber="1" minValue="0" maxValue="544673976.66908336"/>
    </cacheField>
    <cacheField name="Gerencia" numFmtId="0">
      <sharedItems count="16">
        <e v="#N/A"/>
        <s v="AGMGNO"/>
        <s v="OOGBA.N"/>
        <s v="OOPM.N"/>
        <s v="AGCGNO"/>
        <s v="OOGCN.N"/>
        <s v="OOGCU.N"/>
        <s v="ATMTLN"/>
        <s v="OOPT.N"/>
        <s v="OOGSA.N"/>
        <s v="ATMTSN"/>
        <s v="AGVA"/>
        <s v="OO LAGF"/>
        <s v="OOGTM.N"/>
        <s v="OOGT.N"/>
        <s v="OOGTE.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3">
  <r>
    <m/>
    <b v="1"/>
    <s v="Capex Orcamentário_PE2026_2030_COO_Rev1 - Gráficos.xlsx"/>
    <s v="COO"/>
    <s v="Lucas Martins"/>
    <m/>
    <s v="COO_1"/>
    <s v="Corporativo"/>
    <x v="0"/>
    <s v="Geração"/>
    <s v="Melhoria Pequeno Porte"/>
    <s v="Melhoria"/>
    <s v="SGHI00010600003001"/>
    <m/>
    <m/>
    <m/>
    <s v="Implantação de Linhas de Vida na PCH Barra do Rio Chapéu"/>
    <s v="Melhoria no Sistema de Proteção Contra Quedas (SPQ) - Linha de Vida da PCH Barra do Rio Chapéu, proporcionando maior segurança em trabalhos  desenvolvidos em altura ou com risco de queda"/>
    <s v="PCH Barra do Rio Chapéu"/>
    <n v="15000"/>
    <n v="80000"/>
    <n v="65000"/>
    <n v="40000"/>
    <s v=" "/>
    <s v=" "/>
    <s v=" "/>
    <s v=" "/>
    <s v=" "/>
    <s v=" "/>
    <s v=" "/>
    <s v=" "/>
    <n v="200000"/>
    <n v="0"/>
    <n v="0"/>
    <n v="0"/>
    <n v="0"/>
    <n v="200000"/>
    <n v="0"/>
    <n v="0"/>
    <n v="0"/>
    <n v="0"/>
    <n v="0"/>
    <n v="200000"/>
  </r>
  <r>
    <m/>
    <e v="#REF!"/>
    <s v="Capex Orcamentário_PE2026_2030_COO_Rev1 - Gráficos.xlsx"/>
    <s v="COO"/>
    <s v="Lucas Martins"/>
    <m/>
    <e v="#REF!"/>
    <s v="Corporativo"/>
    <x v="0"/>
    <s v="Geração"/>
    <s v="Melhoria Pequeno Porte"/>
    <s v="Melhoria"/>
    <s v="SGHI00010500001001"/>
    <m/>
    <m/>
    <m/>
    <s v="Implantação de Linhas de Vida na PCH João Borges"/>
    <s v="Melhoria no Sistema de Proteção Contra Quedas (SPQ) - Linha de Vida da PCH João Borges, proporcionando maior segurança em trabalhos  desenvolvidos em altura ou com risco de queda"/>
    <s v="PCH João Borges"/>
    <n v="15000"/>
    <n v="80000"/>
    <n v="65000"/>
    <n v="40000"/>
    <s v=" "/>
    <s v=" "/>
    <s v=" "/>
    <s v=" "/>
    <s v=" "/>
    <s v=" "/>
    <s v=" "/>
    <s v=" "/>
    <n v="200000"/>
    <n v="0"/>
    <n v="0"/>
    <n v="0"/>
    <n v="0"/>
    <n v="200000"/>
    <n v="0"/>
    <n v="0"/>
    <n v="0"/>
    <n v="0"/>
    <n v="0"/>
    <n v="200000"/>
  </r>
  <r>
    <m/>
    <e v="#REF!"/>
    <s v="Capex Orcamentário_PE2026_2030_COO_Rev1 - Gráficos.xlsx"/>
    <s v="COO"/>
    <s v="Lucas Martins"/>
    <m/>
    <e v="#REF!"/>
    <s v="Corporativo"/>
    <x v="0"/>
    <s v="Geração"/>
    <s v="Melhoria Pequeno Porte"/>
    <s v="Melhoria"/>
    <s v="SGHI00010400001001"/>
    <m/>
    <m/>
    <m/>
    <s v="Implantação de Linhas de Vida na UHE Passo São João"/>
    <s v="Melhoria no Sistema de Proteção Contra Quedas (SPQ) - Linha de Vida da UHE Passo São João, proporcionando maior segurança em trabalhos  desenvolvidos em altura ou com risco de queda"/>
    <s v="UHE Passo São João"/>
    <n v="15000"/>
    <n v="80000"/>
    <n v="65000"/>
    <n v="60000"/>
    <s v=" "/>
    <s v=" "/>
    <s v=" "/>
    <s v=" "/>
    <s v=" "/>
    <s v=" "/>
    <s v=" "/>
    <s v=" "/>
    <n v="220000"/>
    <n v="0"/>
    <n v="0"/>
    <n v="0"/>
    <n v="0"/>
    <n v="220000"/>
    <n v="0"/>
    <n v="0"/>
    <n v="0"/>
    <n v="0"/>
    <n v="0"/>
    <n v="220000"/>
  </r>
  <r>
    <m/>
    <e v="#REF!"/>
    <s v="Capex Orcamentário_PE2026_2030_COO_Rev1 - Gráficos.xlsx"/>
    <s v="COO"/>
    <s v="Lucas Martins"/>
    <m/>
    <e v="#REF!"/>
    <s v="Corporativo"/>
    <x v="0"/>
    <s v="Geração"/>
    <s v="Melhoria Pequeno Porte"/>
    <s v="Melhoria"/>
    <s v="SGHI00010200005001"/>
    <m/>
    <m/>
    <m/>
    <s v="Implantação de Linhas de Vida na UHE São Domingos"/>
    <s v="Melhoria no Sistema de Proteção Contra Quedas (SPQ) - Linha de Vida da UHE São Domingos, proporcionando maior segurança em trabalhos  desenvolvidos em altura ou com risco de queda"/>
    <s v="UHE São Domingos"/>
    <n v="15000"/>
    <n v="80000"/>
    <n v="65000"/>
    <n v="60000"/>
    <s v=" "/>
    <s v=" "/>
    <s v=" "/>
    <s v=" "/>
    <s v=" "/>
    <s v=" "/>
    <s v=" "/>
    <s v=" "/>
    <n v="220000"/>
    <n v="0"/>
    <n v="0"/>
    <n v="0"/>
    <n v="0"/>
    <n v="220000"/>
    <n v="0"/>
    <n v="0"/>
    <n v="0"/>
    <n v="0"/>
    <n v="0"/>
    <n v="220000"/>
  </r>
  <r>
    <m/>
    <e v="#REF!"/>
    <s v="Capex Orcamentário_PE2026_2030_COO_Rev1 - Gráficos.xlsx"/>
    <s v="COO"/>
    <s v="Lucas Martins"/>
    <m/>
    <e v="#REF!"/>
    <s v="Corporativo"/>
    <x v="0"/>
    <s v="Geração"/>
    <s v="Melhoria Pequeno Porte"/>
    <s v="Melhoria"/>
    <s v="SGHI00010500003006"/>
    <m/>
    <m/>
    <m/>
    <s v="Implantação de plataforma de acesso à caixa espiral na PCH João Borges - UG01"/>
    <s v="Melhoria no Sistema de Proteção Contra Quedas (SPQ) - Plataforma UG01 da PCH João Borges, proporcionando maior segurança em trabalhos  desenvolvidos em altura ou com risco de queda"/>
    <s v="PCH João Borges"/>
    <n v="5000"/>
    <n v="5000"/>
    <n v="5000"/>
    <n v="5000"/>
    <s v=" "/>
    <s v=" "/>
    <s v=" "/>
    <s v=" "/>
    <s v=" "/>
    <s v=" "/>
    <s v=" "/>
    <s v=" "/>
    <n v="20000"/>
    <n v="0"/>
    <n v="0"/>
    <n v="0"/>
    <n v="0"/>
    <n v="20000"/>
    <n v="0"/>
    <n v="0"/>
    <n v="0"/>
    <n v="0"/>
    <n v="0"/>
    <n v="20000"/>
  </r>
  <r>
    <m/>
    <e v="#REF!"/>
    <s v="Capex Orcamentário_PE2026_2030_COO_Rev1 - Gráficos.xlsx"/>
    <s v="COO"/>
    <s v="Lucas Martins"/>
    <m/>
    <e v="#REF!"/>
    <s v="Corporativo"/>
    <x v="0"/>
    <s v="Geração"/>
    <s v="Melhoria Pequeno Porte"/>
    <s v="Melhoria"/>
    <s v="SGHI00010500003005"/>
    <m/>
    <m/>
    <m/>
    <s v="Implantação de plataforma de acesso à caixa espiral na PCH João Borges - UG02"/>
    <s v="Melhoria no Sistema de Proteção Contra Quedas (SPQ) - Plataforma UG02 da PCH João Borges, proporcionando maior segurança em trabalhos  desenvolvidos em altura ou com risco de queda"/>
    <s v="PCH João Borges"/>
    <n v="5000"/>
    <n v="5000"/>
    <n v="5000"/>
    <n v="5000"/>
    <s v=" "/>
    <s v=" "/>
    <s v=" "/>
    <s v=" "/>
    <s v=" "/>
    <s v=" "/>
    <s v=" "/>
    <s v=" "/>
    <n v="20000"/>
    <n v="0"/>
    <n v="0"/>
    <n v="0"/>
    <n v="0"/>
    <n v="20000"/>
    <n v="0"/>
    <n v="0"/>
    <n v="0"/>
    <n v="0"/>
    <n v="0"/>
    <n v="20000"/>
  </r>
  <r>
    <m/>
    <e v="#REF!"/>
    <s v="Capex Orcamentário_PE2026_2030_COO_Rev1 - Gráficos.xlsx"/>
    <s v="COO"/>
    <s v="Lucas Martins"/>
    <m/>
    <e v="#REF!"/>
    <s v="Corporativo"/>
    <x v="0"/>
    <s v="Geração"/>
    <s v="Melhoria Pequeno Porte"/>
    <s v="Melhoria"/>
    <s v="SGHI00010500003006"/>
    <m/>
    <m/>
    <m/>
    <s v="Implantação de plataforma de acesso à caixa espiral na PCH João Borges - UG03"/>
    <s v="Melhoria no Sistema de Proteção Contra Quedas (SPQ) - Plataforma UG03 da PCH João Borges, proporcionando maior segurança em trabalhos  desenvolvidos em altura ou com risco de queda"/>
    <s v="PCH João Borges"/>
    <n v="5000"/>
    <n v="5000"/>
    <n v="5000"/>
    <n v="5000"/>
    <s v=" "/>
    <s v=" "/>
    <s v=" "/>
    <s v=" "/>
    <s v=" "/>
    <s v=" "/>
    <s v=" "/>
    <s v=" "/>
    <n v="20000"/>
    <n v="0"/>
    <n v="0"/>
    <n v="0"/>
    <n v="0"/>
    <n v="20000"/>
    <n v="0"/>
    <n v="0"/>
    <n v="0"/>
    <n v="0"/>
    <n v="0"/>
    <n v="20000"/>
  </r>
  <r>
    <m/>
    <e v="#REF!"/>
    <s v="Capex Orcamentário_PE2026_2030_COO_Rev1 - Gráficos.xlsx"/>
    <s v="COO"/>
    <s v="Lucas Martins"/>
    <m/>
    <e v="#REF!"/>
    <s v="Corporativo"/>
    <x v="0"/>
    <s v="Geração"/>
    <s v="Melhoria Pequeno Porte"/>
    <s v="Melhoria"/>
    <s v="SGHI00010500003007"/>
    <m/>
    <m/>
    <m/>
    <s v="Implantação de plataforma de acesso à caixa espiral na PCH Barra do Rio Chapéu - UG02"/>
    <s v="Melhoria no Sistema de Proteção Contra Quedas (SPQ) - Plataforma UG02 da PCH Barra do Rio Chapéu, proporcionando maior segurança em trabalhos  desenvolvidos em altura ou com risco de queda"/>
    <s v="PCH Barra do Rio Chapéu"/>
    <n v="5000"/>
    <n v="5000"/>
    <n v="5000"/>
    <n v="5000"/>
    <s v=" "/>
    <s v=" "/>
    <s v=" "/>
    <s v=" "/>
    <s v=" "/>
    <s v=" "/>
    <s v=" "/>
    <s v=" "/>
    <n v="20000"/>
    <n v="0"/>
    <n v="0"/>
    <n v="0"/>
    <n v="0"/>
    <n v="20000"/>
    <n v="0"/>
    <n v="0"/>
    <n v="0"/>
    <n v="0"/>
    <n v="0"/>
    <n v="20000"/>
  </r>
  <r>
    <m/>
    <e v="#REF!"/>
    <s v="Capex Orcamentário_PE2026_2030_COO_Rev1 - Gráficos.xlsx"/>
    <s v="COO"/>
    <s v="Lucas Martins"/>
    <m/>
    <e v="#REF!"/>
    <s v="Corporativo"/>
    <x v="0"/>
    <s v="Geração"/>
    <s v="Melhoria Pequeno Porte"/>
    <s v="Melhoria"/>
    <s v="SGHI00010600004001"/>
    <m/>
    <m/>
    <m/>
    <s v="Modernização da turbina Kaplan da UG02 da UHE São Domingos"/>
    <s v="Substituição do rotor Kaplan da unidade geradora 02 da UHE São Domingos"/>
    <s v="UHE São Domingos"/>
    <n v="20000"/>
    <n v="20000"/>
    <n v="114947"/>
    <n v="170000"/>
    <n v="170000"/>
    <n v="20000"/>
    <n v="20000"/>
    <n v="597034"/>
    <n v="448318"/>
    <n v="163140"/>
    <n v="545530"/>
    <n v="1078676"/>
    <n v="3367645"/>
    <n v="13827521"/>
    <m/>
    <n v="0"/>
    <n v="0"/>
    <n v="17195166"/>
    <n v="0"/>
    <n v="0"/>
    <n v="0"/>
    <n v="0"/>
    <n v="0"/>
    <n v="17195166"/>
  </r>
  <r>
    <m/>
    <e v="#REF!"/>
    <s v="Capex Orcamentário_PE2026_2030_COO_Rev1 - Gráficos.xlsx"/>
    <s v="COO"/>
    <s v="Lucas Martins"/>
    <m/>
    <e v="#REF!"/>
    <s v="Corporativo"/>
    <x v="0"/>
    <s v="Geração"/>
    <s v="Melhoria Pequeno Porte"/>
    <s v="Melhoria"/>
    <s v="SGHI00030100001001"/>
    <m/>
    <m/>
    <m/>
    <s v="Instalação e Comissionamento do regulador de tensão e velociade da UHE Passo São João"/>
    <s v="Necessidade de modernizar e implantar uma nova plataforma Serviços de instalação e comissionamento Aquisição de Notebook de Processo"/>
    <s v="UHE Passo São João"/>
    <s v=" "/>
    <s v=" "/>
    <s v=" "/>
    <s v=" "/>
    <s v=" "/>
    <n v="41653"/>
    <m/>
    <s v=" "/>
    <n v="181585"/>
    <n v="309406"/>
    <n v="38675"/>
    <s v=" "/>
    <n v="571319"/>
    <n v="425434"/>
    <n v="0"/>
    <n v="0"/>
    <n v="0"/>
    <n v="996753"/>
    <n v="0"/>
    <n v="0"/>
    <n v="0"/>
    <n v="0"/>
    <n v="0"/>
    <n v="996753"/>
  </r>
  <r>
    <m/>
    <e v="#REF!"/>
    <s v="Capex Orcamentário_PE2026_2030_COO_Rev1 - Gráficos.xlsx"/>
    <s v="COO"/>
    <s v="Lucas Martins"/>
    <m/>
    <e v="#REF!"/>
    <s v="Corporativo"/>
    <x v="0"/>
    <s v="Geração"/>
    <s v="Melhoria Pequeno Porte"/>
    <s v="Melhoria"/>
    <s v="SGHI00060100001001"/>
    <m/>
    <m/>
    <m/>
    <s v="Modernização do regulador de tensão da UHE Passo São João - UG01"/>
    <s v="Necessidade de modernizar e implantar uma nova plataforma Substituição da parte de controle do RT"/>
    <s v="UHE Passo São João"/>
    <s v=" "/>
    <s v=" "/>
    <s v=" "/>
    <s v=" "/>
    <s v=" "/>
    <n v="97484"/>
    <m/>
    <s v=" "/>
    <n v="389937"/>
    <m/>
    <s v=" "/>
    <s v=" "/>
    <n v="487421"/>
    <s v=" "/>
    <n v="0"/>
    <n v="0"/>
    <n v="0"/>
    <n v="487421"/>
    <n v="0"/>
    <n v="0"/>
    <n v="0"/>
    <n v="0"/>
    <n v="0"/>
    <n v="487421"/>
  </r>
  <r>
    <m/>
    <e v="#REF!"/>
    <s v="Capex Orcamentário_PE2026_2030_COO_Rev1 - Gráficos.xlsx"/>
    <s v="COO"/>
    <s v="Lucas Martins"/>
    <m/>
    <e v="#REF!"/>
    <s v="Corporativo"/>
    <x v="0"/>
    <s v="Geração"/>
    <s v="Melhoria Pequeno Porte"/>
    <s v="Melhoria"/>
    <s v="SGHI00060100001002"/>
    <m/>
    <m/>
    <m/>
    <s v="Modernização do regulador de velocidade da UHE Passo São João - UG01"/>
    <s v="Necessidade de modernizar e implantar uma nova plataforma Substituição da parte de controle do RV"/>
    <s v="UHE Passo São João"/>
    <s v=" "/>
    <s v=" "/>
    <s v=" "/>
    <s v=" "/>
    <s v=" "/>
    <n v="75676"/>
    <m/>
    <s v=" "/>
    <n v="302707"/>
    <m/>
    <s v=" "/>
    <s v=" "/>
    <n v="378383"/>
    <s v=" "/>
    <n v="0"/>
    <n v="0"/>
    <n v="0"/>
    <n v="378383"/>
    <n v="0"/>
    <n v="0"/>
    <n v="0"/>
    <n v="0"/>
    <n v="0"/>
    <n v="378383"/>
  </r>
  <r>
    <m/>
    <e v="#REF!"/>
    <s v="Capex Orcamentário_PE2026_2030_COO_Rev1 - Gráficos.xlsx"/>
    <s v="COO"/>
    <s v="Lucas Martins"/>
    <m/>
    <e v="#REF!"/>
    <s v="Corporativo"/>
    <x v="0"/>
    <s v="Geração"/>
    <s v="Melhoria Pequeno Porte"/>
    <s v="Melhoria"/>
    <s v="SGHI00060100001003"/>
    <m/>
    <m/>
    <m/>
    <s v="Modernização do painel da unidade hidráulica do RV da UHE Passo São João - UG01"/>
    <s v="Necessidade de modernizar e implantar uma nova plataforma Substituição da parte de controle do PUH"/>
    <s v="UHE Passo São João"/>
    <s v=" "/>
    <s v=" "/>
    <s v=" "/>
    <s v=" "/>
    <s v=" "/>
    <n v="74508"/>
    <m/>
    <s v=" "/>
    <n v="298034"/>
    <m/>
    <s v=" "/>
    <s v=" "/>
    <n v="372542"/>
    <s v=" "/>
    <n v="0"/>
    <n v="0"/>
    <n v="0"/>
    <n v="372542"/>
    <n v="0"/>
    <n v="0"/>
    <n v="0"/>
    <n v="0"/>
    <n v="0"/>
    <n v="372542"/>
  </r>
  <r>
    <m/>
    <e v="#REF!"/>
    <s v="Capex Orcamentário_PE2026_2030_COO_Rev1 - Gráficos.xlsx"/>
    <s v="COO"/>
    <s v="Lucas Martins"/>
    <m/>
    <e v="#REF!"/>
    <s v="Corporativo"/>
    <x v="0"/>
    <s v="Geração"/>
    <s v="Melhoria Pequeno Porte"/>
    <s v="Melhoria"/>
    <s v="SGHI00060100001004"/>
    <m/>
    <m/>
    <m/>
    <s v="Modernização do regulador de tensão da UHE Passo São João - UG02"/>
    <s v="Necessidade de modernizar e implantar uma nova plataforma Substituição da parte de controle do RT"/>
    <s v="UHE Passo São João"/>
    <s v=" "/>
    <s v=" "/>
    <s v=" "/>
    <s v=" "/>
    <s v=" "/>
    <n v="97484"/>
    <m/>
    <s v=" "/>
    <s v=" "/>
    <s v=" "/>
    <s v=" "/>
    <s v=" "/>
    <n v="97484"/>
    <n v="389937"/>
    <n v="0"/>
    <n v="0"/>
    <n v="0"/>
    <n v="487421"/>
    <n v="0"/>
    <n v="0"/>
    <n v="0"/>
    <n v="0"/>
    <n v="0"/>
    <n v="487421"/>
  </r>
  <r>
    <m/>
    <e v="#REF!"/>
    <s v="Capex Orcamentário_PE2026_2030_COO_Rev1 - Gráficos.xlsx"/>
    <s v="COO"/>
    <s v="Lucas Martins"/>
    <m/>
    <e v="#REF!"/>
    <s v="Corporativo"/>
    <x v="0"/>
    <s v="Geração"/>
    <s v="Melhoria Pequeno Porte"/>
    <s v="Melhoria"/>
    <s v="SGHI00060100001005"/>
    <m/>
    <m/>
    <m/>
    <s v="Modernização do regulador de velocidade da UHE Passo São João - UG02"/>
    <s v="Necessidade de modernizar e implantar uma nova plataforma Substituição da parte de controle do RV"/>
    <s v="UHE Passo São João"/>
    <s v=" "/>
    <s v=" "/>
    <s v=" "/>
    <s v=" "/>
    <s v=" "/>
    <n v="75676"/>
    <m/>
    <s v=" "/>
    <s v=" "/>
    <s v=" "/>
    <s v=" "/>
    <s v=" "/>
    <n v="75676"/>
    <n v="302707"/>
    <n v="0"/>
    <n v="0"/>
    <n v="0"/>
    <n v="378383"/>
    <n v="0"/>
    <n v="0"/>
    <n v="0"/>
    <n v="0"/>
    <n v="0"/>
    <n v="378383"/>
  </r>
  <r>
    <m/>
    <e v="#REF!"/>
    <s v="Capex Orcamentário_PE2026_2030_COO_Rev1 - Gráficos.xlsx"/>
    <s v="COO"/>
    <s v="Lucas Martins"/>
    <m/>
    <e v="#REF!"/>
    <s v="Corporativo"/>
    <x v="0"/>
    <s v="Geração"/>
    <s v="Melhoria Pequeno Porte"/>
    <s v="Melhoria"/>
    <s v="SGHI00060100001006"/>
    <m/>
    <m/>
    <m/>
    <s v="Modernização do painel da unidade hidráulica do RV da UHE Passo São João - UG02"/>
    <s v="Necessidade de modernizar e implantar uma nova plataforma Substituição da parte de controle do PUH"/>
    <s v="UHE Passo São João"/>
    <s v=" "/>
    <s v=" "/>
    <s v=" "/>
    <s v=" "/>
    <s v=" "/>
    <n v="74508"/>
    <m/>
    <s v=" "/>
    <s v=" "/>
    <s v=" "/>
    <s v=" "/>
    <s v=" "/>
    <n v="74508"/>
    <n v="298034"/>
    <n v="0"/>
    <n v="0"/>
    <n v="0"/>
    <n v="372542"/>
    <n v="0"/>
    <n v="0"/>
    <n v="0"/>
    <n v="0"/>
    <n v="0"/>
    <n v="372542"/>
  </r>
  <r>
    <m/>
    <e v="#REF!"/>
    <s v="Capex Orcamentário_PE2026_2030_COO_Rev1 - Gráficos.xlsx"/>
    <s v="COO"/>
    <s v="Lucas Martins"/>
    <m/>
    <e v="#REF!"/>
    <s v="Corporativo"/>
    <x v="0"/>
    <s v="Geração"/>
    <s v="Melhoria Pequeno Porte"/>
    <s v="Melhoria"/>
    <s v="SGHI00060100001007"/>
    <m/>
    <m/>
    <m/>
    <s v="Instalação e Comissionamento do regulador de tensão e velociade da UHE São Domingos"/>
    <s v="Necessidade de modernizar e implantar uma nova plataforma Serviços de instalação e comissionamento Aquisição de Notebook de Processo"/>
    <s v="UHE São Domingos"/>
    <n v="78440"/>
    <n v="92700"/>
    <n v="298318"/>
    <n v="37289"/>
    <m/>
    <s v=" "/>
    <s v=" "/>
    <s v=" "/>
    <s v=" "/>
    <s v=" "/>
    <s v=" "/>
    <s v=" "/>
    <n v="506747"/>
    <n v="410187"/>
    <n v="0"/>
    <n v="0"/>
    <n v="0"/>
    <n v="916934"/>
    <n v="0"/>
    <n v="0"/>
    <n v="0"/>
    <n v="0"/>
    <n v="0"/>
    <n v="916934"/>
  </r>
  <r>
    <m/>
    <e v="#REF!"/>
    <s v="Capex Orcamentário_PE2026_2030_COO_Rev1 - Gráficos.xlsx"/>
    <s v="COO"/>
    <s v="Lucas Martins"/>
    <m/>
    <e v="#REF!"/>
    <s v="Corporativo"/>
    <x v="0"/>
    <s v="Geração"/>
    <s v="Melhoria Pequeno Porte"/>
    <s v="Melhoria"/>
    <s v="SGHI00060200002001"/>
    <m/>
    <m/>
    <m/>
    <s v="Modernização do regulador de tensão da UHE São Domingos - UG01"/>
    <s v="Necessidade de modernizar e implantar uma nova plataforma Substituição da parte de controle do RT"/>
    <s v="UHE São Domingos"/>
    <n v="183148"/>
    <n v="183148"/>
    <s v=" "/>
    <s v=" "/>
    <s v=" "/>
    <s v=" "/>
    <s v=" "/>
    <s v=" "/>
    <s v=" "/>
    <s v=" "/>
    <s v=" "/>
    <s v=" "/>
    <n v="366296"/>
    <m/>
    <n v="0"/>
    <n v="0"/>
    <n v="0"/>
    <n v="366296"/>
    <n v="0"/>
    <n v="0"/>
    <n v="0"/>
    <n v="0"/>
    <n v="0"/>
    <n v="366296"/>
  </r>
  <r>
    <m/>
    <e v="#REF!"/>
    <s v="Capex Orcamentário_PE2026_2030_COO_Rev1 - Gráficos.xlsx"/>
    <s v="COO"/>
    <s v="Lucas Martins"/>
    <m/>
    <e v="#REF!"/>
    <s v="Corporativo"/>
    <x v="0"/>
    <s v="Geração"/>
    <s v="Melhoria Pequeno Porte"/>
    <s v="Melhoria"/>
    <s v="SGHI00060200002002"/>
    <m/>
    <m/>
    <m/>
    <s v="Modernização do regulador de velocidade da UHE São Domingos - UG01"/>
    <s v="Necessidade de modernizar e implantar uma nova plataforma Substituição da parte de controle do RV"/>
    <s v="UHE São Domingos"/>
    <n v="136594"/>
    <n v="136594"/>
    <s v=" "/>
    <s v=" "/>
    <s v=" "/>
    <s v=" "/>
    <s v=" "/>
    <s v=" "/>
    <s v=" "/>
    <s v=" "/>
    <s v=" "/>
    <s v=" "/>
    <n v="273188"/>
    <m/>
    <n v="0"/>
    <n v="0"/>
    <n v="0"/>
    <n v="273188"/>
    <n v="0"/>
    <n v="0"/>
    <n v="0"/>
    <n v="0"/>
    <n v="0"/>
    <n v="273188"/>
  </r>
  <r>
    <m/>
    <e v="#REF!"/>
    <s v="Capex Orcamentário_PE2026_2030_COO_Rev1 - Gráficos.xlsx"/>
    <s v="COO"/>
    <s v="Lucas Martins"/>
    <m/>
    <e v="#REF!"/>
    <s v="Corporativo"/>
    <x v="0"/>
    <s v="Geração"/>
    <s v="Melhoria Pequeno Porte"/>
    <s v="Melhoria"/>
    <s v="SGHI00060200002003"/>
    <m/>
    <m/>
    <m/>
    <s v="Modernização do painel da unidade hidráulica do RV da UHE São Domingos - UG01"/>
    <s v="Necessidade de modernizar e implantar uma nova plataforma Substituição da parte de controle do PUH"/>
    <s v="UHE São Domingos"/>
    <n v="139213"/>
    <n v="139213"/>
    <s v=" "/>
    <s v=" "/>
    <s v=" "/>
    <s v=" "/>
    <s v=" "/>
    <s v=" "/>
    <s v=" "/>
    <s v=" "/>
    <s v=" "/>
    <s v=" "/>
    <n v="278426"/>
    <m/>
    <n v="0"/>
    <n v="0"/>
    <n v="0"/>
    <n v="278426"/>
    <n v="0"/>
    <n v="0"/>
    <n v="0"/>
    <n v="0"/>
    <n v="0"/>
    <n v="278426"/>
  </r>
  <r>
    <m/>
    <e v="#REF!"/>
    <s v="Capex Orcamentário_PE2026_2030_COO_Rev1 - Gráficos.xlsx"/>
    <s v="COO"/>
    <s v="Lucas Martins"/>
    <m/>
    <e v="#REF!"/>
    <s v="Corporativo"/>
    <x v="0"/>
    <s v="Geração"/>
    <s v="Melhoria Pequeno Porte"/>
    <s v="Melhoria"/>
    <s v="SGHI00060200002004"/>
    <m/>
    <m/>
    <m/>
    <s v="Modernização do regulador de tensão da UHE São Domingos - UG02"/>
    <s v="Necessidade de modernizar e implantar uma nova plataforma Substituição da parte de controle do RT"/>
    <s v="UHE São Domingos"/>
    <s v=" "/>
    <s v=" "/>
    <s v=" "/>
    <s v=" "/>
    <s v=" "/>
    <s v=" "/>
    <s v=" "/>
    <s v=" "/>
    <s v=" "/>
    <s v=" "/>
    <s v=" "/>
    <s v=" "/>
    <n v="0"/>
    <n v="402926.7"/>
    <n v="0"/>
    <n v="0"/>
    <n v="0"/>
    <n v="402926.7"/>
    <n v="0"/>
    <n v="0"/>
    <n v="0"/>
    <n v="0"/>
    <n v="0"/>
    <n v="402926.7"/>
  </r>
  <r>
    <m/>
    <e v="#REF!"/>
    <s v="Capex Orcamentário_PE2026_2030_COO_Rev1 - Gráficos.xlsx"/>
    <s v="COO"/>
    <s v="Lucas Martins"/>
    <m/>
    <e v="#REF!"/>
    <s v="Corporativo"/>
    <x v="0"/>
    <s v="Geração"/>
    <s v="Melhoria Pequeno Porte"/>
    <s v="Melhoria"/>
    <s v="SGHI00060200002005"/>
    <m/>
    <m/>
    <m/>
    <s v="Modernização do regulador de velocidade da UHE São Domingos - UG02"/>
    <s v="Necessidade de modernizar e implantar uma nova plataforma Substituição da parte de controle do RV"/>
    <s v="UHE São Domingos"/>
    <s v=" "/>
    <s v=" "/>
    <s v=" "/>
    <s v=" "/>
    <s v=" "/>
    <s v=" "/>
    <s v=" "/>
    <s v=" "/>
    <s v=" "/>
    <s v=" "/>
    <s v=" "/>
    <s v=" "/>
    <n v="0"/>
    <n v="300507.90000000002"/>
    <n v="0"/>
    <n v="0"/>
    <n v="0"/>
    <n v="300507.90000000002"/>
    <n v="0"/>
    <n v="0"/>
    <n v="0"/>
    <n v="0"/>
    <n v="0"/>
    <n v="300507.90000000002"/>
  </r>
  <r>
    <m/>
    <e v="#REF!"/>
    <s v="Capex Orcamentário_PE2026_2030_COO_Rev1 - Gráficos.xlsx"/>
    <s v="COO"/>
    <s v="Lucas Martins"/>
    <m/>
    <e v="#REF!"/>
    <s v="Corporativo"/>
    <x v="0"/>
    <s v="Geração"/>
    <s v="Melhoria Pequeno Porte"/>
    <s v="Melhoria"/>
    <s v="SGHI00060200002006"/>
    <m/>
    <m/>
    <m/>
    <s v="Modernização do painel da unidade hidráulica do RV da UHE São Domingos - UG02"/>
    <s v="Necessidade de modernizar e implantar uma nova plataforma Substituição da parte de controle do PUH"/>
    <s v="UHE São Domingos"/>
    <s v=" "/>
    <s v=" "/>
    <s v=" "/>
    <s v=" "/>
    <s v=" "/>
    <s v=" "/>
    <s v=" "/>
    <s v=" "/>
    <s v=" "/>
    <s v=" "/>
    <s v=" "/>
    <s v=" "/>
    <n v="0"/>
    <n v="306268.60000000003"/>
    <n v="0"/>
    <n v="0"/>
    <n v="0"/>
    <n v="306268.60000000003"/>
    <n v="0"/>
    <n v="0"/>
    <n v="0"/>
    <n v="0"/>
    <n v="0"/>
    <n v="306268.60000000003"/>
  </r>
  <r>
    <m/>
    <e v="#REF!"/>
    <s v="Capex Orcamentário_PE2026_2030_COO_Rev1 - Gráficos.xlsx"/>
    <s v="COO"/>
    <s v="Lucas Martins"/>
    <m/>
    <e v="#REF!"/>
    <s v="Corporativo"/>
    <x v="0"/>
    <s v="Geração"/>
    <s v="Melhoria Pequeno Porte"/>
    <s v="Melhoria"/>
    <s v="SGHI00060200002007"/>
    <m/>
    <m/>
    <m/>
    <s v="Implantação do sistema de monitoramento online de vibração da EOL Cerro Chato 1 - AEG01"/>
    <s v="Instalação do sistema de monitoramento de vibrações online para os Parques Eólicos Cerro Chato e Entorno 2"/>
    <s v="Cerro Chato 1"/>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100002001"/>
    <m/>
    <m/>
    <m/>
    <s v="Implantação do sistema de monitoramento online de vibração da EOL Cerro Chato 1 - AEG02"/>
    <s v="Instalação do sistema de monitoramento de vibrações online para os Parques Eólicos Cerro Chato e Entorno 2"/>
    <s v="Cerro Chato 1"/>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100003001"/>
    <m/>
    <m/>
    <m/>
    <s v="Implantação do sistema de monitoramento online de vibração da EOL Cerro Chato 1 - AEG03"/>
    <s v="Instalação do sistema de monitoramento de vibrações online para os Parques Eólicos Cerro Chato e Entorno 2"/>
    <s v="Cerro Chato 1"/>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100004001"/>
    <m/>
    <m/>
    <m/>
    <s v="Implantação do sistema de monitoramento online de vibração da EOL Cerro Chato 1 - AEG04"/>
    <s v="Instalação do sistema de monitoramento de vibrações online para os Parques Eólicos Cerro Chato e Entorno 2"/>
    <s v="Cerro Chato 1"/>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100005001"/>
    <m/>
    <m/>
    <m/>
    <s v="Implantação do sistema de monitoramento online de vibração da EOL Cerro Chato 1 - AEG05"/>
    <s v="Instalação do sistema de monitoramento de vibrações online para os Parques Eólicos Cerro Chato e Entorno 2"/>
    <s v="Cerro Chato 1"/>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100006001"/>
    <m/>
    <m/>
    <m/>
    <s v="Implantação do sistema de monitoramento online de vibração da EOL Cerro Chato 1 - AEG06"/>
    <s v="Instalação do sistema de monitoramento de vibrações online para os Parques Eólicos Cerro Chato e Entorno 2"/>
    <s v="Cerro Chato 1"/>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100007001"/>
    <m/>
    <m/>
    <m/>
    <s v="Implantação do sistema de monitoramento online de vibração da EOL Cerro Chato 1 - AEG07"/>
    <s v="Instalação do sistema de monitoramento de vibrações online para os Parques Eólicos Cerro Chato e Entorno 2"/>
    <s v="Cerro Chato 1"/>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100008001"/>
    <m/>
    <m/>
    <m/>
    <s v="Implantação do sistema de monitoramento online de vibração da EOL Cerro Chato 1 - AEG08"/>
    <s v="Instalação do sistema de monitoramento de vibrações online para os Parques Eólicos Cerro Chato e Entorno 2"/>
    <s v="Cerro Chato 1"/>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100009001"/>
    <m/>
    <m/>
    <m/>
    <s v="Implantação do sistema de monitoramento online de vibração da EOL Cerro Chato 1 - AEG09"/>
    <s v="Instalação do sistema de monitoramento de vibrações online para os Parques Eólicos Cerro Chato e Entorno 2"/>
    <s v="Cerro Chato 1"/>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100010001"/>
    <m/>
    <m/>
    <m/>
    <s v="Implantação do sistema de monitoramento online de vibração da EOL Cerro Chato 1 - AEG10"/>
    <s v="Instalação do sistema de monitoramento de vibrações online para os Parques Eólicos Cerro Chato e Entorno 2"/>
    <s v="Cerro Chato 1"/>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100011001"/>
    <m/>
    <m/>
    <m/>
    <s v="Implantação do sistema de monitoramento online de vibração da EOL Cerro Chato 1 - AEG11"/>
    <s v="Instalação do sistema de monitoramento de vibrações online para os Parques Eólicos Cerro Chato e Entorno 2"/>
    <s v="Cerro Chato 1"/>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100012001"/>
    <m/>
    <m/>
    <m/>
    <s v="Implantação do sistema de monitoramento online de vibração da EOL Cerro Chato 1 - AEG12"/>
    <s v="Instalação do sistema de monitoramento de vibrações online para os Parques Eólicos Cerro Chato e Entorno 2"/>
    <s v="Cerro Chato 1"/>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100013001"/>
    <m/>
    <m/>
    <m/>
    <s v="Implantação do sistema de monitoramento online de vibração da EOL Cerro Chato 1 - AEG13"/>
    <s v="Instalação do sistema de monitoramento de vibrações online para os Parques Eólicos Cerro Chato e Entorno 2"/>
    <s v="Cerro Chato 1"/>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100014001"/>
    <m/>
    <m/>
    <m/>
    <s v="Implantação do sistema de monitoramento online de vibração da EOL Cerro Chato 1 - AEG14"/>
    <s v="Instalação do sistema de monitoramento de vibrações online para os Parques Eólicos Cerro Chato e Entorno 2"/>
    <s v="Cerro Chato 1"/>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100015001"/>
    <m/>
    <m/>
    <m/>
    <s v="Implantação do sistema de monitoramento online de vibração da EOL Cerro Chato 1 - AEG15"/>
    <s v="Instalação do sistema de monitoramento de vibrações online para os Parques Eólicos Cerro Chato e Entorno 2"/>
    <s v="Cerro Chato 1"/>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100016001"/>
    <m/>
    <m/>
    <m/>
    <s v="Implantação do sistema de monitoramento online de vibração da EOL Cerro Chato 2 - AEG01"/>
    <s v="Instalação do sistema de monitoramento de vibrações online para os Parques Eólicos Cerro Chato e Entorno 2"/>
    <s v="Cerro Chato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200002001"/>
    <m/>
    <m/>
    <m/>
    <s v="Implantação do sistema de monitoramento online de vibração da EOL Cerro Chato 2 - AEG02"/>
    <s v="Instalação do sistema de monitoramento de vibrações online para os Parques Eólicos Cerro Chato e Entorno 2"/>
    <s v="Cerro Chato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200003001"/>
    <m/>
    <m/>
    <m/>
    <s v="Implantação do sistema de monitoramento online de vibração da EOL Cerro Chato 2 - AEG03"/>
    <s v="Instalação do sistema de monitoramento de vibrações online para os Parques Eólicos Cerro Chato e Entorno 2"/>
    <s v="Cerro Chato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200004001"/>
    <m/>
    <m/>
    <m/>
    <s v="Implantação do sistema de monitoramento online de vibração da EOL Cerro Chato 2 - AEG04"/>
    <s v="Instalação do sistema de monitoramento de vibrações online para os Parques Eólicos Cerro Chato e Entorno 2"/>
    <s v="Cerro Chato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200005001"/>
    <m/>
    <m/>
    <m/>
    <s v="Implantação do sistema de monitoramento online de vibração da EOL Cerro Chato 2 - AEG05"/>
    <s v="Instalação do sistema de monitoramento de vibrações online para os Parques Eólicos Cerro Chato e Entorno 2"/>
    <s v="Cerro Chato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200006001"/>
    <m/>
    <m/>
    <m/>
    <s v="Implantação do sistema de monitoramento online de vibração da EOL Cerro Chato 2 - AEG06"/>
    <s v="Instalação do sistema de monitoramento de vibrações online para os Parques Eólicos Cerro Chato e Entorno 2"/>
    <s v="Cerro Chato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200007001"/>
    <m/>
    <m/>
    <m/>
    <s v="Implantação do sistema de monitoramento online de vibração da EOL Cerro Chato 2 - AEG07"/>
    <s v="Instalação do sistema de monitoramento de vibrações online para os Parques Eólicos Cerro Chato e Entorno 2"/>
    <s v="Cerro Chato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200008001"/>
    <m/>
    <m/>
    <m/>
    <s v="Implantação do sistema de monitoramento online de vibração da EOL Cerro Chato 2 - AEG08"/>
    <s v="Instalação do sistema de monitoramento de vibrações online para os Parques Eólicos Cerro Chato e Entorno 2"/>
    <s v="Cerro Chato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200009001"/>
    <m/>
    <m/>
    <m/>
    <s v="Implantação do sistema de monitoramento online de vibração da EOL Cerro Chato 2 - AEG09"/>
    <s v="Instalação do sistema de monitoramento de vibrações online para os Parques Eólicos Cerro Chato e Entorno 2"/>
    <s v="Cerro Chato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200010001"/>
    <m/>
    <m/>
    <m/>
    <s v="Implantação do sistema de monitoramento online de vibração da EOL Cerro Chato 2 - AEG10"/>
    <s v="Instalação do sistema de monitoramento de vibrações online para os Parques Eólicos Cerro Chato e Entorno 2"/>
    <s v="Cerro Chato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200011001"/>
    <m/>
    <m/>
    <m/>
    <s v="Implantação do sistema de monitoramento online de vibração da EOL Cerro Chato 2 - AEG11"/>
    <s v="Instalação do sistema de monitoramento de vibrações online para os Parques Eólicos Cerro Chato e Entorno 2"/>
    <s v="Cerro Chato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200012001"/>
    <m/>
    <m/>
    <m/>
    <s v="Implantação do sistema de monitoramento online de vibração da EOL Cerro Chato 2 - AEG12"/>
    <s v="Instalação do sistema de monitoramento de vibrações online para os Parques Eólicos Cerro Chato e Entorno 2"/>
    <s v="Cerro Chato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200013001"/>
    <m/>
    <m/>
    <m/>
    <s v="Implantação do sistema de monitoramento online de vibração da EOL Cerro Chato 2 - AEG13"/>
    <s v="Instalação do sistema de monitoramento de vibrações online para os Parques Eólicos Cerro Chato e Entorno 2"/>
    <s v="Cerro Chato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200014001"/>
    <m/>
    <m/>
    <m/>
    <s v="Implantação do sistema de monitoramento online de vibração da EOL Cerro Chato 2 - AEG14"/>
    <s v="Instalação do sistema de monitoramento de vibrações online para os Parques Eólicos Cerro Chato e Entorno 2"/>
    <s v="Cerro Chato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200015001"/>
    <m/>
    <m/>
    <m/>
    <s v="Implantação do sistema de monitoramento online de vibração da EOL Cerro Chato 2 - AEG15"/>
    <s v="Instalação do sistema de monitoramento de vibrações online para os Parques Eólicos Cerro Chato e Entorno 2"/>
    <s v="Cerro Chato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200016001"/>
    <m/>
    <m/>
    <m/>
    <s v="Implantação do sistema de monitoramento online de vibração da EOL Cerro Chato 3 - AEG01"/>
    <s v="Instalação do sistema de monitoramento de vibrações online para os Parques Eólicos Cerro Chato e Entorno 2"/>
    <s v="Cerro Chato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300002001"/>
    <m/>
    <m/>
    <m/>
    <s v="Implantação do sistema de monitoramento online de vibração da EOL Cerro Chato 3 - AEG02"/>
    <s v="Instalação do sistema de monitoramento de vibrações online para os Parques Eólicos Cerro Chato e Entorno 2"/>
    <s v="Cerro Chato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300003001"/>
    <m/>
    <m/>
    <m/>
    <s v="Implantação do sistema de monitoramento online de vibração da EOL Cerro Chato 3 - AEG03"/>
    <s v="Instalação do sistema de monitoramento de vibrações online para os Parques Eólicos Cerro Chato e Entorno 2"/>
    <s v="Cerro Chato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300004001"/>
    <m/>
    <m/>
    <m/>
    <s v="Implantação do sistema de monitoramento online de vibração da EOL Cerro Chato 3 - AEG04"/>
    <s v="Instalação do sistema de monitoramento de vibrações online para os Parques Eólicos Cerro Chato e Entorno 2"/>
    <s v="Cerro Chato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300005001"/>
    <m/>
    <m/>
    <m/>
    <s v="Implantação do sistema de monitoramento online de vibração da EOL Cerro Chato 3 - AEG05"/>
    <s v="Instalação do sistema de monitoramento de vibrações online para os Parques Eólicos Cerro Chato e Entorno 2"/>
    <s v="Cerro Chato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300006001"/>
    <m/>
    <m/>
    <m/>
    <s v="Implantação do sistema de monitoramento online de vibração da EOL Cerro Chato 3 - AEG06"/>
    <s v="Instalação do sistema de monitoramento de vibrações online para os Parques Eólicos Cerro Chato e Entorno 2"/>
    <s v="Cerro Chato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300007001"/>
    <m/>
    <m/>
    <m/>
    <s v="Implantação do sistema de monitoramento online de vibração da EOL Cerro Chato 3 - AEG07"/>
    <s v="Instalação do sistema de monitoramento de vibrações online para os Parques Eólicos Cerro Chato e Entorno 2"/>
    <s v="Cerro Chato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300008001"/>
    <m/>
    <m/>
    <m/>
    <s v="Implantação do sistema de monitoramento online de vibração da EOL Cerro Chato 3 - AEG08"/>
    <s v="Instalação do sistema de monitoramento de vibrações online para os Parques Eólicos Cerro Chato e Entorno 2"/>
    <s v="Cerro Chato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300009001"/>
    <m/>
    <m/>
    <m/>
    <s v="Implantação do sistema de monitoramento online de vibração da EOL Cerro Chato 3 - AEG09"/>
    <s v="Instalação do sistema de monitoramento de vibrações online para os Parques Eólicos Cerro Chato e Entorno 2"/>
    <s v="Cerro Chato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300010001"/>
    <m/>
    <m/>
    <m/>
    <s v="Implantação do sistema de monitoramento online de vibração da EOL Cerro Chato 3 - AEG10"/>
    <s v="Instalação do sistema de monitoramento de vibrações online para os Parques Eólicos Cerro Chato e Entorno 2"/>
    <s v="Cerro Chato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300011001"/>
    <m/>
    <m/>
    <m/>
    <s v="Implantação do sistema de monitoramento online de vibração da EOL Cerro Chato 3 - AEG11"/>
    <s v="Instalação do sistema de monitoramento de vibrações online para os Parques Eólicos Cerro Chato e Entorno 2"/>
    <s v="Cerro Chato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300012001"/>
    <m/>
    <m/>
    <m/>
    <s v="Implantação do sistema de monitoramento online de vibração da EOL Cerro Chato 3 - AEG12"/>
    <s v="Instalação do sistema de monitoramento de vibrações online para os Parques Eólicos Cerro Chato e Entorno 2"/>
    <s v="Cerro Chato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300013001"/>
    <m/>
    <m/>
    <m/>
    <s v="Implantação do sistema de monitoramento online de vibração da EOL Cerro Chato 3 - AEG13"/>
    <s v="Instalação do sistema de monitoramento de vibrações online para os Parques Eólicos Cerro Chato e Entorno 2"/>
    <s v="Cerro Chato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300014001"/>
    <m/>
    <m/>
    <m/>
    <s v="Implantação do sistema de monitoramento online de vibração da EOL Cerro Chato 3 - AEG14"/>
    <s v="Instalação do sistema de monitoramento de vibrações online para os Parques Eólicos Cerro Chato e Entorno 2"/>
    <s v="Cerro Chato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300015001"/>
    <m/>
    <m/>
    <m/>
    <s v="Implantação do sistema de monitoramento online de vibração da EOL Cerro Chato 3 - AEG15"/>
    <s v="Instalação do sistema de monitoramento de vibrações online para os Parques Eólicos Cerro Chato e Entorno 2"/>
    <s v="Cerro Chato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300016001"/>
    <m/>
    <m/>
    <m/>
    <s v="Implantação do sistema de monitoramento online de vibração da EOL Coxilha Seca - AEG01"/>
    <s v="Instalação do sistema de monitoramento de vibrações online para os Parques Eólicos Cerro Chato e Entorno 2"/>
    <s v="Coxilha Seca"/>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600002001"/>
    <m/>
    <m/>
    <m/>
    <s v="Implantação do sistema de monitoramento online de vibração da EOL Coxilha Seca - AEG02"/>
    <s v="Instalação do sistema de monitoramento de vibrações online para os Parques Eólicos Cerro Chato e Entorno 2"/>
    <s v="Coxilha Seca"/>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600003001"/>
    <m/>
    <m/>
    <m/>
    <s v="Implantação do sistema de monitoramento online de vibração da EOL Coxilha Seca - AEG03"/>
    <s v="Instalação do sistema de monitoramento de vibrações online para os Parques Eólicos Cerro Chato e Entorno 2"/>
    <s v="Coxilha Seca"/>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600004001"/>
    <m/>
    <m/>
    <m/>
    <s v="Implantação do sistema de monitoramento online de vibração da EOL Coxilha Seca - AEG04"/>
    <s v="Instalação do sistema de monitoramento de vibrações online para os Parques Eólicos Cerro Chato e Entorno 2"/>
    <s v="Coxilha Seca"/>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600005001"/>
    <m/>
    <m/>
    <m/>
    <s v="Implantação do sistema de monitoramento online de vibração da EOL Coxilha Seca - AEG05"/>
    <s v="Instalação do sistema de monitoramento de vibrações online para os Parques Eólicos Cerro Chato e Entorno 2"/>
    <s v="Coxilha Seca"/>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600006001"/>
    <m/>
    <m/>
    <m/>
    <s v="Implantação do sistema de monitoramento online de vibração da EOL Coxilha Seca - AEG06"/>
    <s v="Instalação do sistema de monitoramento de vibrações online para os Parques Eólicos Cerro Chato e Entorno 2"/>
    <s v="Coxilha Seca"/>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600007001"/>
    <m/>
    <m/>
    <m/>
    <s v="Implantação do sistema de monitoramento online de vibração da EOL Coxilha Seca - AEG07"/>
    <s v="Instalação do sistema de monitoramento de vibrações online para os Parques Eólicos Cerro Chato e Entorno 2"/>
    <s v="Coxilha Seca"/>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600008001"/>
    <m/>
    <m/>
    <m/>
    <s v="Implantação do sistema de monitoramento online de vibração da EOL Coxilha Seca - AEG08"/>
    <s v="Instalação do sistema de monitoramento de vibrações online para os Parques Eólicos Cerro Chato e Entorno 2"/>
    <s v="Coxilha Seca"/>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600009001"/>
    <m/>
    <m/>
    <m/>
    <s v="Implantação do sistema de monitoramento online de vibração da EOL Coxilha Seca - AEG09"/>
    <s v="Instalação do sistema de monitoramento de vibrações online para os Parques Eólicos Cerro Chato e Entorno 2"/>
    <s v="Coxilha Seca"/>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600010001"/>
    <m/>
    <m/>
    <m/>
    <s v="Implantação do sistema de monitoramento online de vibração da EOL Coxilha Seca - AEG10"/>
    <s v="Instalação do sistema de monitoramento de vibrações online para os Parques Eólicos Cerro Chato e Entorno 2"/>
    <s v="Coxilha Seca"/>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600011001"/>
    <m/>
    <m/>
    <m/>
    <s v="Implantação do sistema de monitoramento online de vibração da EOL Coxilha Seca - AEG11"/>
    <s v="Instalação do sistema de monitoramento de vibrações online para os Parques Eólicos Cerro Chato e Entorno 2"/>
    <s v="Coxilha Seca"/>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600012001"/>
    <m/>
    <m/>
    <m/>
    <s v="Implantação do sistema de monitoramento online de vibração da EOL Coxilha Seca - AEG12"/>
    <s v="Instalação do sistema de monitoramento de vibrações online para os Parques Eólicos Cerro Chato e Entorno 2"/>
    <s v="Coxilha Seca"/>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600013001"/>
    <m/>
    <m/>
    <m/>
    <s v="Implantação do sistema de monitoramento online de vibração da EOL Coxilha Seca - AEG13"/>
    <s v="Instalação do sistema de monitoramento de vibrações online para os Parques Eólicos Cerro Chato e Entorno 2"/>
    <s v="Coxilha Seca"/>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600014001"/>
    <m/>
    <m/>
    <m/>
    <s v="Implantação do sistema de monitoramento online de vibração da EOL Coxilha Seca - AEG14"/>
    <s v="Instalação do sistema de monitoramento de vibrações online para os Parques Eólicos Cerro Chato e Entorno 2"/>
    <s v="Coxilha Seca"/>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600015001"/>
    <m/>
    <m/>
    <m/>
    <s v="Implantação do sistema de monitoramento online de vibração da EOL Coxilha Seca - AEG15"/>
    <s v="Instalação do sistema de monitoramento de vibrações online para os Parques Eólicos Cerro Chato e Entorno 2"/>
    <s v="Coxilha Seca"/>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600016001"/>
    <m/>
    <m/>
    <m/>
    <s v="Implantação do sistema de monitoramento online de vibração da EOL Galpões - AEG01"/>
    <s v="Instalação do sistema de monitoramento de vibrações online para os Parques Eólicos Cerro Chato e Entorno 2"/>
    <s v="Galpões"/>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400002001"/>
    <m/>
    <m/>
    <m/>
    <s v="Implantação do sistema de monitoramento online de vibração da EOL Galpões - AEG02"/>
    <s v="Instalação do sistema de monitoramento de vibrações online para os Parques Eólicos Cerro Chato e Entorno 2"/>
    <s v="Galpões"/>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400003001"/>
    <m/>
    <m/>
    <m/>
    <s v="Implantação do sistema de monitoramento online de vibração da EOL Galpões - AEG03"/>
    <s v="Instalação do sistema de monitoramento de vibrações online para os Parques Eólicos Cerro Chato e Entorno 2"/>
    <s v="Galpões"/>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400004001"/>
    <m/>
    <m/>
    <m/>
    <s v="Implantação do sistema de monitoramento online de vibração da EOL Galpões - AEG04"/>
    <s v="Instalação do sistema de monitoramento de vibrações online para os Parques Eólicos Cerro Chato e Entorno 2"/>
    <s v="Galpões"/>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400005001"/>
    <m/>
    <m/>
    <m/>
    <s v="Implantação do sistema de monitoramento online de vibração da EOL Capão do Inglês - AEG01"/>
    <s v="Instalação do sistema de monitoramento de vibrações online para os Parques Eólicos Cerro Chato e Entorno 2"/>
    <s v="Capão do Inglês"/>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500002001"/>
    <m/>
    <m/>
    <m/>
    <s v="Implantação do sistema de monitoramento online de vibração da EOL Capão do Inglês - AEG02"/>
    <s v="Instalação do sistema de monitoramento de vibrações online para os Parques Eólicos Cerro Chato e Entorno 2"/>
    <s v="Capão do Inglês"/>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500003001"/>
    <m/>
    <m/>
    <m/>
    <s v="Implantação do sistema de monitoramento online de vibração da EOL Capão do Inglês - AEG03"/>
    <s v="Instalação do sistema de monitoramento de vibrações online para os Parques Eólicos Cerro Chato e Entorno 2"/>
    <s v="Capão do Inglês"/>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500004001"/>
    <m/>
    <m/>
    <m/>
    <s v="Implantação do sistema de monitoramento online de vibração da EOL Capão do Inglês - AEG04"/>
    <s v="Instalação do sistema de monitoramento de vibrações online para os Parques Eólicos Cerro Chato e Entorno 2"/>
    <s v="Capão do Inglês"/>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500005001"/>
    <m/>
    <m/>
    <m/>
    <s v="Implantação do sistema de monitoramento online de vibração da EOL Capão do Inglês - AEG05"/>
    <s v="Instalação do sistema de monitoramento de vibrações online para os Parques Eólicos Cerro Chato e Entorno 2"/>
    <s v="Capão do Inglês"/>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10500006001"/>
    <m/>
    <m/>
    <m/>
    <s v="Modernização do sistema de supervisão SCADA da EOL Entorno 2 - Perfil 485055"/>
    <s v="Modernização do sistema de supervisão SCADA da EOL Entorno 2"/>
    <s v="SE Cerro Chato"/>
    <s v=" "/>
    <n v="215"/>
    <n v="215"/>
    <n v="215"/>
    <n v="215"/>
    <n v="215"/>
    <n v="215"/>
    <n v="215"/>
    <n v="215"/>
    <s v=" "/>
    <s v=" "/>
    <s v=" "/>
    <n v="1720"/>
    <n v="0"/>
    <n v="0"/>
    <n v="0"/>
    <n v="0"/>
    <n v="1720"/>
    <n v="0"/>
    <n v="0"/>
    <n v="0"/>
    <n v="0"/>
    <n v="0"/>
    <n v="1720"/>
  </r>
  <r>
    <m/>
    <e v="#REF!"/>
    <s v="Capex Orcamentário_PE2026_2030_COO_Rev1 - Gráficos.xlsx"/>
    <s v="COO"/>
    <s v="Lucas Martins"/>
    <m/>
    <e v="#REF!"/>
    <s v="Corporativo"/>
    <x v="0"/>
    <s v="Geração"/>
    <s v="Melhoria Pequeno Porte"/>
    <s v="Melhoria"/>
    <s v="SGEO00010800001001"/>
    <m/>
    <m/>
    <m/>
    <s v="Modernização do sistema de supervisão SCADA da EOL Entorno 2 - Perfil 375015"/>
    <s v="Modernização do sistema de supervisão SCADA da EOL Entorno 2"/>
    <s v="SE Cerro Chato"/>
    <s v=" "/>
    <n v="215"/>
    <n v="215"/>
    <n v="215"/>
    <n v="215"/>
    <n v="215"/>
    <n v="215"/>
    <n v="215"/>
    <n v="215"/>
    <s v=" "/>
    <s v=" "/>
    <s v=" "/>
    <n v="1720"/>
    <n v="0"/>
    <n v="0"/>
    <n v="0"/>
    <n v="0"/>
    <n v="1720"/>
    <n v="0"/>
    <n v="0"/>
    <n v="0"/>
    <n v="0"/>
    <n v="0"/>
    <n v="1720"/>
  </r>
  <r>
    <m/>
    <e v="#REF!"/>
    <s v="Capex Orcamentário_PE2026_2030_COO_Rev1 - Gráficos.xlsx"/>
    <s v="COO"/>
    <s v="Lucas Martins"/>
    <m/>
    <e v="#REF!"/>
    <s v="Corporativo"/>
    <x v="0"/>
    <s v="Geração"/>
    <s v="Melhoria Pequeno Porte"/>
    <s v="Melhoria"/>
    <s v="SGEO00010800001002"/>
    <m/>
    <m/>
    <m/>
    <s v="Modernização do sistema de supervisão SCADA da EOL Entorno 2 - Perfil 535021"/>
    <s v="Modernização do sistema de supervisão SCADA da EOL Entorno 2"/>
    <s v="SE Cerro Chato"/>
    <s v=" "/>
    <n v="215"/>
    <n v="215"/>
    <n v="215"/>
    <n v="215"/>
    <n v="215"/>
    <n v="215"/>
    <n v="215"/>
    <n v="215"/>
    <s v=" "/>
    <s v=" "/>
    <s v=" "/>
    <n v="1720"/>
    <n v="0"/>
    <n v="0"/>
    <n v="0"/>
    <n v="0"/>
    <n v="1720"/>
    <n v="0"/>
    <n v="0"/>
    <n v="0"/>
    <n v="0"/>
    <n v="0"/>
    <n v="1720"/>
  </r>
  <r>
    <m/>
    <e v="#REF!"/>
    <s v="Capex Orcamentário_PE2026_2030_COO_Rev1 - Gráficos.xlsx"/>
    <s v="COO"/>
    <s v="Lucas Martins"/>
    <m/>
    <e v="#REF!"/>
    <s v="Corporativo"/>
    <x v="0"/>
    <s v="Geração"/>
    <s v="Melhoria Pequeno Porte"/>
    <s v="Melhoria"/>
    <s v="SGEO00010800001003"/>
    <m/>
    <m/>
    <m/>
    <s v="Implantação do sistema de monitoramento online de vibração da EOL Coxilha Negra 4 - AEG01"/>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02001"/>
    <m/>
    <m/>
    <m/>
    <s v="Implantação do sistema de monitoramento online de vibração da EOL Coxilha Negra 4 - AEG02"/>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03001"/>
    <m/>
    <m/>
    <m/>
    <s v="Implantação do sistema de monitoramento online de vibração da EOL Coxilha Negra 4 - AEG03"/>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04001"/>
    <m/>
    <m/>
    <m/>
    <s v="Implantação do sistema de monitoramento online de vibração da EOL Coxilha Negra 4 - AEG04"/>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05001"/>
    <m/>
    <m/>
    <m/>
    <s v="Implantação do sistema de monitoramento online de vibração da EOL Coxilha Negra 4 - AEG05"/>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06001"/>
    <m/>
    <m/>
    <m/>
    <s v="Implantação do sistema de monitoramento online de vibração da EOL Coxilha Negra 4 - AEG06"/>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07001"/>
    <m/>
    <m/>
    <m/>
    <s v="Implantação do sistema de monitoramento online de vibração da EOL Coxilha Negra 4 - AEG07"/>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08001"/>
    <m/>
    <m/>
    <m/>
    <s v="Implantação do sistema de monitoramento online de vibração da EOL Coxilha Negra 4 - AEG08"/>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09001"/>
    <m/>
    <m/>
    <m/>
    <s v="Implantação do sistema de monitoramento online de vibração da EOL Coxilha Negra 4 - AEG09"/>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10001"/>
    <m/>
    <m/>
    <m/>
    <s v="Implantação do sistema de monitoramento online de vibração da EOL Coxilha Negra 4 - AEG10"/>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11001"/>
    <m/>
    <m/>
    <m/>
    <s v="Implantação do sistema de monitoramento online de vibração da EOL Coxilha Negra 4 - AEG11"/>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12001"/>
    <m/>
    <m/>
    <m/>
    <s v="Implantação do sistema de monitoramento online de vibração da EOL Coxilha Negra 4 - AEG12"/>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13001"/>
    <m/>
    <m/>
    <m/>
    <s v="Implantação do sistema de monitoramento online de vibração da EOL Coxilha Negra 4 - AEG13"/>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14001"/>
    <m/>
    <m/>
    <m/>
    <s v="Implantação do sistema de monitoramento online de vibração da EOL Coxilha Negra 4 - AEG14"/>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15001"/>
    <m/>
    <m/>
    <m/>
    <s v="Implantação do sistema de monitoramento online de vibração da EOL Coxilha Negra 4 - AEG15"/>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16001"/>
    <m/>
    <m/>
    <m/>
    <s v="Implantação do sistema de monitoramento online de vibração da EOL Coxilha Negra 4 - AEG16"/>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17001"/>
    <m/>
    <m/>
    <m/>
    <s v="Implantação do sistema de monitoramento online de vibração da EOL Coxilha Negra 4 - AEG17"/>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18001"/>
    <m/>
    <m/>
    <m/>
    <s v="Implantação do sistema de monitoramento online de vibração da EOL Coxilha Negra 4 - AEG18"/>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19001"/>
    <m/>
    <m/>
    <m/>
    <s v="Implantação do sistema de monitoramento online de vibração da EOL Coxilha Negra 4 - AEG19"/>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20001"/>
    <m/>
    <m/>
    <m/>
    <s v="Implantação do sistema de monitoramento online de vibração da EOL Coxilha Negra 4 - AEG20"/>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21001"/>
    <m/>
    <m/>
    <m/>
    <s v="Implantação do sistema de monitoramento online de vibração da EOL Coxilha Negra 4 - AEG21"/>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22001"/>
    <m/>
    <m/>
    <m/>
    <s v="Implantação do sistema de monitoramento online de vibração da EOL Coxilha Negra 4 - AEG22"/>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23001"/>
    <m/>
    <m/>
    <m/>
    <s v="Implantação do sistema de monitoramento online de vibração da EOL Coxilha Negra 4 - AEG23"/>
    <s v="Instalação do sistema de monitoramento de vibrações online para os Parques Eólicos Coxilha Negra 2, 3 e 4"/>
    <s v="Coxilha Negra 4"/>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400024001"/>
    <m/>
    <m/>
    <m/>
    <s v="Implantação do sistema de monitoramento online de vibração da EOL Coxilha Negra 2 - AEG01"/>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02001"/>
    <m/>
    <m/>
    <m/>
    <s v="Implantação do sistema de monitoramento online de vibração da EOL Coxilha Negra 2 - AEG02"/>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03001"/>
    <m/>
    <m/>
    <m/>
    <s v="Implantação do sistema de monitoramento online de vibração da EOL Coxilha Negra 2 - AEG03"/>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04001"/>
    <m/>
    <m/>
    <m/>
    <s v="Implantação do sistema de monitoramento online de vibração da EOL Coxilha Negra 2 - AEG04"/>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05001"/>
    <m/>
    <m/>
    <m/>
    <s v="Implantação do sistema de monitoramento online de vibração da EOL Coxilha Negra 2 - AEG05"/>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06001"/>
    <m/>
    <m/>
    <m/>
    <s v="Implantação do sistema de monitoramento online de vibração da EOL Coxilha Negra 2 - AEG06"/>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07001"/>
    <m/>
    <m/>
    <m/>
    <s v="Implantação do sistema de monitoramento online de vibração da EOL Coxilha Negra 2 - AEG07"/>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08001"/>
    <m/>
    <m/>
    <m/>
    <s v="Implantação do sistema de monitoramento online de vibração da EOL Coxilha Negra 2 - AEG08"/>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09001"/>
    <m/>
    <m/>
    <m/>
    <s v="Implantação do sistema de monitoramento online de vibração da EOL Coxilha Negra 2 - AEG09"/>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10001"/>
    <m/>
    <m/>
    <m/>
    <s v="Implantação do sistema de monitoramento online de vibração da EOL Coxilha Negra 2 - AEG10"/>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11001"/>
    <m/>
    <m/>
    <m/>
    <s v="Implantação do sistema de monitoramento online de vibração da EOL Coxilha Negra 2 - AEG11"/>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12001"/>
    <m/>
    <m/>
    <m/>
    <s v="Implantação do sistema de monitoramento online de vibração da EOL Coxilha Negra 2 - AEG12"/>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13001"/>
    <m/>
    <m/>
    <m/>
    <s v="Implantação do sistema de monitoramento online de vibração da EOL Coxilha Negra 2 - AEG13"/>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14001"/>
    <m/>
    <m/>
    <m/>
    <s v="Implantação do sistema de monitoramento online de vibração da EOL Coxilha Negra 2 - AEG14"/>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15001"/>
    <m/>
    <m/>
    <m/>
    <s v="Implantação do sistema de monitoramento online de vibração da EOL Coxilha Negra 2 - AEG15"/>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16001"/>
    <m/>
    <m/>
    <m/>
    <s v="Implantação do sistema de monitoramento online de vibração da EOL Coxilha Negra 2 - AEG16"/>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17001"/>
    <m/>
    <m/>
    <m/>
    <s v="Implantação do sistema de monitoramento online de vibração da EOL Coxilha Negra 2 - AEG17"/>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18001"/>
    <m/>
    <m/>
    <m/>
    <s v="Implantação do sistema de monitoramento online de vibração da EOL Coxilha Negra 2 - AEG18"/>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19001"/>
    <m/>
    <m/>
    <m/>
    <s v="Implantação do sistema de monitoramento online de vibração da EOL Coxilha Negra 2 - AEG19"/>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20001"/>
    <m/>
    <m/>
    <m/>
    <s v="Implantação do sistema de monitoramento online de vibração da EOL Coxilha Negra 2 - AEG20"/>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21001"/>
    <m/>
    <m/>
    <m/>
    <s v="Implantação do sistema de monitoramento online de vibração da EOL Coxilha Negra 2 - AEG21"/>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22001"/>
    <m/>
    <m/>
    <m/>
    <s v="Implantação do sistema de monitoramento online de vibração da EOL Coxilha Negra 2 - AEG22"/>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23001"/>
    <m/>
    <m/>
    <m/>
    <s v="Implantação do sistema de monitoramento online de vibração da EOL Coxilha Negra 2 - AEG23"/>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24001"/>
    <m/>
    <m/>
    <m/>
    <s v="Implantação do sistema de monitoramento online de vibração da EOL Coxilha Negra 2 - AEG24"/>
    <s v="Instalação do sistema de monitoramento de vibrações online para os Parques Eólicos Coxilha Negra 2, 3 e 4"/>
    <s v="Coxilha Negra 2"/>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200025001"/>
    <m/>
    <m/>
    <m/>
    <s v="Implantação do sistema de monitoramento online de vibração da EOL Coxilha Negra 3 - AEG01"/>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02001"/>
    <m/>
    <m/>
    <m/>
    <s v="Implantação do sistema de monitoramento online de vibração da EOL Coxilha Negra 3 - AEG02"/>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03001"/>
    <m/>
    <m/>
    <m/>
    <s v="Implantação do sistema de monitoramento online de vibração da EOL Coxilha Negra 3 - AEG03"/>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04001"/>
    <m/>
    <m/>
    <m/>
    <s v="Implantação do sistema de monitoramento online de vibração da EOL Coxilha Negra 3 - AEG04"/>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05001"/>
    <m/>
    <m/>
    <m/>
    <s v="Implantação do sistema de monitoramento online de vibração da EOL Coxilha Negra 3 - AEG05"/>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06001"/>
    <m/>
    <m/>
    <m/>
    <s v="Implantação do sistema de monitoramento online de vibração da EOL Coxilha Negra 3 - AEG06"/>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07001"/>
    <m/>
    <m/>
    <m/>
    <s v="Implantação do sistema de monitoramento online de vibração da EOL Coxilha Negra 3 - AEG07"/>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08001"/>
    <m/>
    <m/>
    <m/>
    <s v="Implantação do sistema de monitoramento online de vibração da EOL Coxilha Negra 3 - AEG08"/>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09001"/>
    <m/>
    <m/>
    <m/>
    <s v="Implantação do sistema de monitoramento online de vibração da EOL Coxilha Negra 3 - AEG09"/>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10001"/>
    <m/>
    <m/>
    <m/>
    <s v="Implantação do sistema de monitoramento online de vibração da EOL Coxilha Negra 3 - AEG10"/>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11001"/>
    <m/>
    <m/>
    <m/>
    <s v="Implantação do sistema de monitoramento online de vibração da EOL Coxilha Negra 3 - AEG11"/>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12001"/>
    <m/>
    <m/>
    <m/>
    <s v="Implantação do sistema de monitoramento online de vibração da EOL Coxilha Negra 3 - AEG12"/>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13001"/>
    <m/>
    <m/>
    <m/>
    <s v="Implantação do sistema de monitoramento online de vibração da EOL Coxilha Negra 3 - AEG13"/>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14001"/>
    <m/>
    <m/>
    <m/>
    <s v="Implantação do sistema de monitoramento online de vibração da EOL Coxilha Negra 3 - AEG14"/>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15001"/>
    <m/>
    <m/>
    <m/>
    <s v="Implantação do sistema de monitoramento online de vibração da EOL Coxilha Negra 3 - AEG15"/>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16001"/>
    <m/>
    <m/>
    <m/>
    <s v="Implantação do sistema de monitoramento online de vibração da EOL Coxilha Negra 3 - AEG16"/>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17001"/>
    <m/>
    <m/>
    <m/>
    <s v="Implantação do sistema de monitoramento online de vibração da EOL Coxilha Negra 3 - AEG17"/>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18001"/>
    <m/>
    <m/>
    <m/>
    <s v="Implantação do sistema de monitoramento online de vibração da EOL Coxilha Negra 3 - AEG18"/>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19001"/>
    <m/>
    <m/>
    <m/>
    <s v="Implantação do sistema de monitoramento online de vibração da EOL Coxilha Negra 3 - AEG19"/>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20001"/>
    <m/>
    <m/>
    <m/>
    <s v="Implantação do sistema de monitoramento online de vibração da EOL Coxilha Negra 3 - AEG20"/>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21001"/>
    <m/>
    <m/>
    <m/>
    <s v="Implantação do sistema de monitoramento online de vibração da EOL Coxilha Negra 3 - AEG21"/>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22001"/>
    <m/>
    <m/>
    <m/>
    <s v="Implantação do sistema de monitoramento online de vibração da EOL Coxilha Negra 3 - AEG22"/>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23001"/>
    <m/>
    <m/>
    <m/>
    <s v="Implantação do sistema de monitoramento online de vibração da EOL Coxilha Negra 3 - AEG23"/>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24001"/>
    <m/>
    <m/>
    <m/>
    <s v="Implantação do sistema de monitoramento online de vibração da EOL Coxilha Negra 3 - AEG24"/>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25001"/>
    <m/>
    <m/>
    <m/>
    <s v="Implantação do sistema de monitoramento online de vibração da EOL Coxilha Negra 3 - AEG25"/>
    <s v="Instalação do sistema de monitoramento de vibrações online para os Parques Eólicos Coxilha Negra 2, 3 e 4"/>
    <s v="Coxilha Negra 3"/>
    <n v="215"/>
    <n v="215"/>
    <n v="215"/>
    <n v="215"/>
    <n v="215"/>
    <n v="215"/>
    <n v="215"/>
    <n v="215"/>
    <n v="215"/>
    <s v=" "/>
    <s v=" "/>
    <s v=" "/>
    <n v="1935"/>
    <n v="0"/>
    <n v="0"/>
    <n v="0"/>
    <n v="0"/>
    <n v="1935"/>
    <n v="0"/>
    <n v="0"/>
    <n v="0"/>
    <n v="0"/>
    <n v="0"/>
    <n v="1935"/>
  </r>
  <r>
    <m/>
    <e v="#REF!"/>
    <s v="Capex Orcamentário_PE2026_2030_COO_Rev1 - Gráficos.xlsx"/>
    <s v="COO"/>
    <s v="Lucas Martins"/>
    <m/>
    <e v="#REF!"/>
    <s v="Corporativo"/>
    <x v="0"/>
    <s v="Geração"/>
    <s v="Melhoria Pequeno Porte"/>
    <s v="Melhoria"/>
    <s v="SGEO00040300026001"/>
    <m/>
    <m/>
    <m/>
    <s v="Aquisição das CPUs para a unidade de aquisição e controle do vertedouro (UACVT) na UHE Passo São João"/>
    <s v="Aquisição de CPUs para as unidade de aquisição e controle do vertedouro (UACVT), última versão, para elevar a quantidade de sobressalentes disponíveis de 1 unidade para 3 unidades do modelo da CPU instalada (10 uni), que está com fabricação descontinuada"/>
    <s v="UHE Passo São João"/>
    <s v=" "/>
    <s v=" "/>
    <s v=" "/>
    <s v=" "/>
    <s v=" "/>
    <s v=" "/>
    <s v=" "/>
    <m/>
    <s v=" "/>
    <n v="70000"/>
    <m/>
    <s v=" "/>
    <n v="70000"/>
    <n v="0"/>
    <n v="0"/>
    <n v="0"/>
    <n v="0"/>
    <n v="70000"/>
    <n v="0"/>
    <n v="0"/>
    <n v="0"/>
    <n v="0"/>
    <n v="0"/>
    <n v="70000"/>
  </r>
  <r>
    <m/>
    <e v="#REF!"/>
    <s v="Capex Orcamentário_PE2026_2030_COO_Rev1 - Gráficos.xlsx"/>
    <s v="COO"/>
    <s v="Lucas Martins"/>
    <m/>
    <e v="#REF!"/>
    <s v="Corporativo"/>
    <x v="0"/>
    <s v="Geração"/>
    <s v="Melhoria Pequeno Porte"/>
    <s v="Melhoria"/>
    <m/>
    <m/>
    <m/>
    <m/>
    <s v="Substituição das CPUs da UACVT, upgrade de firmware nas CPUs antigas, instalação e configuração dos softwares com apoio de empresa especializada e fornecimento de notebook com softwares licenciados na UHE Passo São João"/>
    <s v="Serviço de instalação das CPUs das unidade de aquisição e controle do vertedouro (UACVT), última versão, e compatibilização dos projetos com a novas CPUs e softwares Realização de upgrade nos softwares de manipulação das CPUs antigas e firmware, padronizando os softwares e sistema operacional Fornecimento de notebook com softwares licenciados"/>
    <s v="UHE Passo São João"/>
    <s v=" "/>
    <s v=" "/>
    <s v=" "/>
    <s v=" "/>
    <s v=" "/>
    <s v=" "/>
    <s v=" "/>
    <m/>
    <s v=" "/>
    <s v=" "/>
    <n v="75000"/>
    <s v=" "/>
    <n v="75000"/>
    <n v="75000"/>
    <n v="0"/>
    <n v="0"/>
    <n v="0"/>
    <n v="150000"/>
    <n v="0"/>
    <n v="0"/>
    <n v="0"/>
    <n v="0"/>
    <n v="0"/>
    <n v="150000"/>
  </r>
  <r>
    <m/>
    <e v="#REF!"/>
    <s v="Capex Orcamentário_PE2026_2030_COO_Rev1 - Gráficos.xlsx"/>
    <s v="COO"/>
    <s v="Lucas Martins"/>
    <m/>
    <e v="#REF!"/>
    <s v="Corporativo"/>
    <x v="0"/>
    <s v="Geração"/>
    <s v="Melhoria Pequeno Porte"/>
    <s v="Melhoria"/>
    <m/>
    <m/>
    <m/>
    <m/>
    <s v="Aquisição das CPUs da unidade de aquisição e controle do vertedouro (UACVT) na UHE São Domingos"/>
    <s v="Aquisição de CPUs para as unidade de aquisição e controle do vertedouro (QUACVRT), última versão, para elevar a quantidade de sobressalentes disponíveis de 1 unidade para 3 unidades da CPU instalada, total de 10, que está com fabricação descontinuada"/>
    <s v="UHE São Domingos"/>
    <s v=" "/>
    <s v=" "/>
    <s v=" "/>
    <s v=" "/>
    <s v=" "/>
    <s v=" "/>
    <s v=" "/>
    <m/>
    <s v=" "/>
    <n v="70000"/>
    <s v=" "/>
    <s v=" "/>
    <n v="70000"/>
    <n v="0"/>
    <n v="0"/>
    <n v="0"/>
    <n v="0"/>
    <n v="70000"/>
    <n v="0"/>
    <n v="0"/>
    <n v="0"/>
    <n v="0"/>
    <n v="0"/>
    <n v="70000"/>
  </r>
  <r>
    <m/>
    <e v="#REF!"/>
    <s v="Capex Orcamentário_PE2026_2030_COO_Rev1 - Gráficos.xlsx"/>
    <s v="COO"/>
    <s v="Lucas Martins"/>
    <m/>
    <e v="#REF!"/>
    <s v="Corporativo"/>
    <x v="0"/>
    <s v="Geração"/>
    <s v="Melhoria Pequeno Porte"/>
    <s v="Melhoria"/>
    <m/>
    <m/>
    <m/>
    <m/>
    <s v="Substituição das CPUs da QUACVRT, upgrade de firmware nas CPUs antigas, instalação e configuração dos softwares com apoio de empresa especializada e fornecimento de notebook com softwares licenciados na UHE São Domingos"/>
    <s v="Serviço de instalação das CPUs das unidade de aquisição e controle do vertedouro (QUACVRT), última versão, e compatibilização dos projetos com a novas CPUs e softwares Realização de upgrade nos softwares de manipulação das CPUs antigas e firmware, padronizando os softwares e sistema operacional Fornecimento de notebook com softwares licenciados"/>
    <s v="UHE São Domingos"/>
    <s v=" "/>
    <s v=" "/>
    <s v=" "/>
    <s v=" "/>
    <s v=" "/>
    <s v=" "/>
    <s v=" "/>
    <m/>
    <s v=" "/>
    <s v=" "/>
    <n v="90000"/>
    <s v=" "/>
    <n v="90000"/>
    <n v="90000"/>
    <n v="0"/>
    <n v="0"/>
    <n v="0"/>
    <n v="180000"/>
    <n v="0"/>
    <n v="0"/>
    <n v="0"/>
    <n v="0"/>
    <n v="0"/>
    <n v="180000"/>
  </r>
  <r>
    <m/>
    <e v="#REF!"/>
    <s v="Capex Orcamentário_PE2026_2030_COO_Rev1 - Gráficos.xlsx"/>
    <s v="COO"/>
    <s v="Lucas Martins"/>
    <m/>
    <e v="#REF!"/>
    <s v="Corporativo"/>
    <x v="0"/>
    <s v="Geração"/>
    <s v="Melhoria Pequeno Porte"/>
    <s v="Melhoria"/>
    <m/>
    <m/>
    <m/>
    <m/>
    <s v="Aquisição de trocador de calor 1 da unidade hidráulica de lubrificação dos mancais da UG1 na UHE São Domingos"/>
    <s v="Aquisição  do trocador de calor para a unidade hidráulica de lubrificação dos mancais "/>
    <s v="UHE São Domingos"/>
    <s v=" "/>
    <s v=" "/>
    <s v=" "/>
    <s v=" "/>
    <s v=" "/>
    <s v=" "/>
    <n v="60000"/>
    <s v=" "/>
    <s v=" "/>
    <s v=" "/>
    <s v=" "/>
    <s v=" "/>
    <n v="60000"/>
    <n v="0"/>
    <n v="0"/>
    <n v="0"/>
    <n v="0"/>
    <n v="60000"/>
    <n v="0"/>
    <n v="0"/>
    <n v="0"/>
    <n v="0"/>
    <n v="0"/>
    <n v="60000"/>
  </r>
  <r>
    <m/>
    <e v="#REF!"/>
    <s v="Capex Orcamentário_PE2026_2030_COO_Rev1 - Gráficos.xlsx"/>
    <s v="COO"/>
    <s v="Lucas Martins"/>
    <m/>
    <e v="#REF!"/>
    <s v="Corporativo"/>
    <x v="0"/>
    <s v="Geração"/>
    <s v="Melhoria Pequeno Porte"/>
    <s v="Melhoria"/>
    <m/>
    <m/>
    <m/>
    <m/>
    <s v="Substituição do trocador de calor 1 da unidade hidráulica de lubrificação dos mancais da UG1 na UHE São Domingos"/>
    <s v="Contratação de serviço de empresa especializada para substituição do trocador de calor São necessárias modificações nas tubulações e conexões, levando em conta que o trocador ficará instalado ao lado do tanque sem pressão"/>
    <s v="UHE São Domingos"/>
    <s v=" "/>
    <s v=" "/>
    <s v=" "/>
    <s v=" "/>
    <s v=" "/>
    <s v=" "/>
    <s v=" "/>
    <s v=" "/>
    <n v="22000"/>
    <s v=" "/>
    <s v=" "/>
    <s v=" "/>
    <n v="22000"/>
    <n v="0"/>
    <n v="0"/>
    <n v="0"/>
    <n v="0"/>
    <n v="22000"/>
    <n v="0"/>
    <n v="0"/>
    <n v="0"/>
    <n v="0"/>
    <n v="0"/>
    <n v="22000"/>
  </r>
  <r>
    <m/>
    <e v="#REF!"/>
    <s v="Capex Orcamentário_PE2026_2030_COO_Rev1 - Gráficos.xlsx"/>
    <s v="COO"/>
    <s v="Lucas Martins"/>
    <m/>
    <e v="#REF!"/>
    <s v="Corporativo"/>
    <x v="0"/>
    <s v="Geração"/>
    <s v="Melhoria Pequeno Porte"/>
    <s v="Melhoria"/>
    <m/>
    <m/>
    <m/>
    <m/>
    <s v="Aquisição de trocador de calor 2 da unidade hidráulica de lubrificação dos mancais da UG1 na UHE São Domingos"/>
    <s v="Aquisição  do trocador de calor para a unidade hidráulica de lubrificação dos mancais "/>
    <s v="UHE São Domingos"/>
    <s v=" "/>
    <s v=" "/>
    <s v=" "/>
    <s v=" "/>
    <s v=" "/>
    <s v=" "/>
    <n v="60000"/>
    <s v=" "/>
    <s v=" "/>
    <s v=" "/>
    <s v=" "/>
    <s v=" "/>
    <n v="60000"/>
    <n v="0"/>
    <n v="0"/>
    <n v="0"/>
    <n v="0"/>
    <n v="60000"/>
    <n v="0"/>
    <n v="0"/>
    <n v="0"/>
    <n v="0"/>
    <n v="0"/>
    <n v="60000"/>
  </r>
  <r>
    <m/>
    <e v="#REF!"/>
    <s v="Capex Orcamentário_PE2026_2030_COO_Rev1 - Gráficos.xlsx"/>
    <s v="COO"/>
    <s v="Lucas Martins"/>
    <m/>
    <e v="#REF!"/>
    <s v="Corporativo"/>
    <x v="0"/>
    <s v="Geração"/>
    <s v="Melhoria Pequeno Porte"/>
    <s v="Melhoria"/>
    <m/>
    <m/>
    <m/>
    <m/>
    <s v="Substituição do trocador de calor 2 da unidade hidráulica de lubrificação dos mancais da UG1 na UHE São Domingos"/>
    <s v="Contratação de serviço de empresa especializada para substituição do trocador de calor São necessárias modificações nas tubulações e conexões, levando em conta que o trocador ficará instalado ao lado do tanque sem pressão"/>
    <s v="UHE São Domingos"/>
    <s v=" "/>
    <s v=" "/>
    <s v=" "/>
    <s v=" "/>
    <s v=" "/>
    <s v=" "/>
    <s v=" "/>
    <s v=" "/>
    <n v="22000"/>
    <s v=" "/>
    <s v=" "/>
    <s v=" "/>
    <n v="22000"/>
    <n v="0"/>
    <n v="0"/>
    <n v="0"/>
    <n v="0"/>
    <n v="22000"/>
    <n v="0"/>
    <n v="0"/>
    <n v="0"/>
    <n v="0"/>
    <n v="0"/>
    <n v="22000"/>
  </r>
  <r>
    <m/>
    <e v="#REF!"/>
    <s v="Capex Orcamentário_PE2026_2030_COO_Rev1 - Gráficos.xlsx"/>
    <s v="COO"/>
    <s v="Lucas Martins"/>
    <m/>
    <e v="#REF!"/>
    <s v="Corporativo"/>
    <x v="0"/>
    <s v="Geração"/>
    <s v="Melhoria Pequeno Porte"/>
    <s v="Melhoria"/>
    <m/>
    <m/>
    <m/>
    <m/>
    <s v="Aquisição de trocador de calor 1 da unidade hidráulica de lubrificação dos mancais da UG2 na UHE São Domingos"/>
    <s v="Aquisição  do trocador de calor para a unidade hidráulica de lubrificação dos mancais "/>
    <s v="UHE São Domingos"/>
    <s v=" "/>
    <s v=" "/>
    <s v=" "/>
    <s v=" "/>
    <s v=" "/>
    <s v=" "/>
    <n v="60000"/>
    <s v=" "/>
    <s v=" "/>
    <s v=" "/>
    <s v=" "/>
    <s v=" "/>
    <n v="60000"/>
    <n v="0"/>
    <n v="0"/>
    <n v="0"/>
    <n v="0"/>
    <n v="60000"/>
    <n v="0"/>
    <n v="0"/>
    <n v="0"/>
    <n v="0"/>
    <n v="0"/>
    <n v="60000"/>
  </r>
  <r>
    <m/>
    <e v="#REF!"/>
    <s v="Capex Orcamentário_PE2026_2030_COO_Rev1 - Gráficos.xlsx"/>
    <s v="COO"/>
    <s v="Lucas Martins"/>
    <m/>
    <e v="#REF!"/>
    <s v="Corporativo"/>
    <x v="0"/>
    <s v="Geração"/>
    <s v="Melhoria Pequeno Porte"/>
    <s v="Melhoria"/>
    <m/>
    <m/>
    <m/>
    <m/>
    <s v="Substituição do trocador de calor 1 da unidade hidráulica de lubrificação dos mancais da UG2 na UHE São Domingos"/>
    <s v="Contratação de serviço de empresa especializada para substituição do trocador de calor São necessárias modificações nas tubulações e conexões, levando em conta que o trocador ficará instalado ao lado do tanque sem pressão"/>
    <s v="UHE São Domingos"/>
    <s v=" "/>
    <s v=" "/>
    <s v=" "/>
    <s v=" "/>
    <s v=" "/>
    <s v=" "/>
    <s v=" "/>
    <s v=" "/>
    <s v=" "/>
    <s v=" "/>
    <n v="22000"/>
    <s v=" "/>
    <n v="22000"/>
    <n v="0"/>
    <n v="0"/>
    <n v="0"/>
    <n v="0"/>
    <n v="22000"/>
    <n v="0"/>
    <n v="0"/>
    <n v="0"/>
    <n v="0"/>
    <n v="0"/>
    <n v="22000"/>
  </r>
  <r>
    <m/>
    <e v="#REF!"/>
    <s v="Capex Orcamentário_PE2026_2030_COO_Rev1 - Gráficos.xlsx"/>
    <s v="COO"/>
    <s v="Lucas Martins"/>
    <m/>
    <e v="#REF!"/>
    <s v="Corporativo"/>
    <x v="0"/>
    <s v="Geração"/>
    <s v="Melhoria Pequeno Porte"/>
    <s v="Melhoria"/>
    <m/>
    <m/>
    <m/>
    <m/>
    <s v="Aquisição de trocador de calor 2 da unidade hidráulica de lubrificação dos mancais da UG2 na UHE São Domingos"/>
    <s v="Aquisição  do trocador de calor para a unidade hidráulica de lubrificação dos mancais "/>
    <s v="UHE São Domingos"/>
    <s v=" "/>
    <s v=" "/>
    <s v=" "/>
    <s v=" "/>
    <s v=" "/>
    <s v=" "/>
    <n v="60000"/>
    <s v=" "/>
    <s v=" "/>
    <s v=" "/>
    <s v=" "/>
    <s v=" "/>
    <n v="60000"/>
    <n v="0"/>
    <n v="0"/>
    <n v="0"/>
    <n v="0"/>
    <n v="60000"/>
    <n v="0"/>
    <n v="0"/>
    <n v="0"/>
    <n v="0"/>
    <n v="0"/>
    <n v="60000"/>
  </r>
  <r>
    <m/>
    <e v="#REF!"/>
    <s v="Capex Orcamentário_PE2026_2030_COO_Rev1 - Gráficos.xlsx"/>
    <s v="COO"/>
    <s v="Lucas Martins"/>
    <m/>
    <e v="#REF!"/>
    <s v="Corporativo"/>
    <x v="0"/>
    <s v="Geração"/>
    <s v="Melhoria Pequeno Porte"/>
    <s v="Melhoria"/>
    <m/>
    <m/>
    <m/>
    <m/>
    <s v="Substituição do trocador de calor 2 da unidade hidráulica de lubrificação dos mancais da UG2 na UHE São Domingos"/>
    <s v="Contratação de serviço de empresa especializada para substituição do trocador de calor São necessárias modificações nas tubulações e conexões, levando em conta que o trocador ficará instalado ao lado do tanque sem pressão"/>
    <s v="UHE São Domingos"/>
    <s v=" "/>
    <s v=" "/>
    <s v=" "/>
    <s v=" "/>
    <s v=" "/>
    <s v=" "/>
    <s v=" "/>
    <s v=" "/>
    <s v=" "/>
    <s v=" "/>
    <n v="22000"/>
    <s v=" "/>
    <n v="22000"/>
    <n v="0"/>
    <n v="0"/>
    <n v="0"/>
    <n v="0"/>
    <n v="22000"/>
    <n v="0"/>
    <n v="0"/>
    <n v="0"/>
    <n v="0"/>
    <n v="0"/>
    <n v="22000"/>
  </r>
  <r>
    <m/>
    <e v="#REF!"/>
    <s v="Capex Orcamentário_PE2026_2030_COO_Rev1 - Gráficos.xlsx"/>
    <s v="COO"/>
    <s v="Lucas Martins"/>
    <m/>
    <e v="#REF!"/>
    <s v="Corporativo"/>
    <x v="0"/>
    <s v="Geração"/>
    <s v="Melhoria Pequeno Porte"/>
    <s v="Melhoria"/>
    <m/>
    <m/>
    <m/>
    <m/>
    <s v="Aquisição de motor sobressalente para o sistema de água de resfriamento das UGs na UHE Passo São João"/>
    <s v="Aquisição de equipamento sobressalente"/>
    <s v="UHE Passo São João"/>
    <s v=" "/>
    <s v=" "/>
    <s v=" "/>
    <s v=" "/>
    <s v=" "/>
    <s v=" "/>
    <s v=" "/>
    <s v=" "/>
    <s v=" "/>
    <n v="18000"/>
    <s v=" "/>
    <s v=" "/>
    <n v="18000"/>
    <n v="0"/>
    <n v="0"/>
    <n v="0"/>
    <n v="0"/>
    <n v="18000"/>
    <n v="0"/>
    <n v="0"/>
    <n v="0"/>
    <n v="0"/>
    <n v="0"/>
    <n v="18000"/>
  </r>
  <r>
    <m/>
    <e v="#REF!"/>
    <s v="Capex Orcamentário_PE2026_2030_COO_Rev1 - Gráficos.xlsx"/>
    <s v="COO"/>
    <s v="Lucas Martins"/>
    <m/>
    <e v="#REF!"/>
    <s v="Corporativo"/>
    <x v="0"/>
    <s v="Geração"/>
    <s v="Melhoria Pequeno Porte"/>
    <s v="Melhoria"/>
    <m/>
    <m/>
    <m/>
    <m/>
    <s v="Aquisição de bomba sobressalente para o sistema de água de resfriamento das UGs na UHE Passo São João"/>
    <s v="Aquisição de equipamento sobressalente"/>
    <s v="UHE Passo São João"/>
    <s v=" "/>
    <s v=" "/>
    <s v=" "/>
    <s v=" "/>
    <s v=" "/>
    <s v=" "/>
    <s v=" "/>
    <s v=" "/>
    <s v=" "/>
    <n v="27000"/>
    <s v=" "/>
    <s v=" "/>
    <n v="27000"/>
    <n v="0"/>
    <n v="0"/>
    <n v="0"/>
    <n v="0"/>
    <n v="27000"/>
    <n v="0"/>
    <n v="0"/>
    <n v="0"/>
    <n v="0"/>
    <n v="0"/>
    <n v="27000"/>
  </r>
  <r>
    <m/>
    <e v="#REF!"/>
    <s v="Capex Orcamentário_PE2026_2030_COO_Rev1 - Gráficos.xlsx"/>
    <s v="COO"/>
    <s v="Lucas Martins"/>
    <m/>
    <e v="#REF!"/>
    <s v="Corporativo"/>
    <x v="0"/>
    <s v="Geração"/>
    <s v="Melhoria Pequeno Porte"/>
    <s v="Melhoria"/>
    <m/>
    <m/>
    <m/>
    <m/>
    <s v="Aquisição de bomba sobressalente para o sistema de lubrificação dos mancais na UHE Passo São João"/>
    <s v="Aquisição de equipamento sobressalente"/>
    <s v="UHE Passo São João"/>
    <s v=" "/>
    <s v=" "/>
    <s v=" "/>
    <s v=" "/>
    <s v=" "/>
    <s v=" "/>
    <s v=" "/>
    <s v=" "/>
    <s v=" "/>
    <n v="32000"/>
    <s v=" "/>
    <s v=" "/>
    <n v="32000"/>
    <n v="0"/>
    <n v="0"/>
    <n v="0"/>
    <n v="0"/>
    <n v="32000"/>
    <n v="0"/>
    <n v="0"/>
    <n v="0"/>
    <n v="0"/>
    <n v="0"/>
    <n v="32000"/>
  </r>
  <r>
    <m/>
    <e v="#REF!"/>
    <s v="Capex Orcamentário_PE2026_2030_COO_Rev1 - Gráficos.xlsx"/>
    <s v="COO"/>
    <s v="Lucas Martins"/>
    <m/>
    <e v="#REF!"/>
    <s v="Corporativo"/>
    <x v="0"/>
    <s v="Geração"/>
    <s v="Melhoria Pequeno Porte"/>
    <s v="Melhoria"/>
    <m/>
    <m/>
    <m/>
    <m/>
    <s v="Aquisição de motobomba sobressalente  para o sistema de drenagem da casa de força na UHE Passo São João"/>
    <s v="Aquisição de equipamento sobressalente"/>
    <s v="UHE Passo São João"/>
    <s v=" "/>
    <s v=" "/>
    <s v=" "/>
    <s v=" "/>
    <s v=" "/>
    <s v=" "/>
    <s v=" "/>
    <s v=" "/>
    <s v=" "/>
    <n v="270000"/>
    <s v=" "/>
    <s v=" "/>
    <n v="270000"/>
    <n v="0"/>
    <n v="0"/>
    <n v="0"/>
    <n v="0"/>
    <n v="270000"/>
    <n v="0"/>
    <n v="0"/>
    <n v="0"/>
    <n v="0"/>
    <n v="0"/>
    <n v="270000"/>
  </r>
  <r>
    <m/>
    <e v="#REF!"/>
    <s v="Capex Orcamentário_PE2026_2030_COO_Rev1 - Gráficos.xlsx"/>
    <s v="COO"/>
    <s v="Lucas Martins"/>
    <m/>
    <e v="#REF!"/>
    <s v="Corporativo"/>
    <x v="0"/>
    <s v="Geração"/>
    <s v="Melhoria Pequeno Porte"/>
    <s v="Melhoria"/>
    <m/>
    <m/>
    <m/>
    <m/>
    <s v="Aquisição da Unidade de Supervisão e Controle Automático (USCA) sobressalente para o gerador de emergência na UHE Passo São João"/>
    <s v="Aquisição de equipamento sobressalente"/>
    <s v="UHE Passo São João"/>
    <s v=" "/>
    <s v=" "/>
    <s v=" "/>
    <s v=" "/>
    <s v=" "/>
    <s v=" "/>
    <s v=" "/>
    <s v=" "/>
    <s v=" "/>
    <n v="8000"/>
    <s v=" "/>
    <s v=" "/>
    <n v="8000"/>
    <n v="0"/>
    <n v="0"/>
    <n v="0"/>
    <n v="0"/>
    <n v="8000"/>
    <n v="0"/>
    <n v="0"/>
    <n v="0"/>
    <n v="0"/>
    <n v="0"/>
    <n v="8000"/>
  </r>
  <r>
    <m/>
    <e v="#REF!"/>
    <s v="Capex Orcamentário_PE2026_2030_COO_Rev1 - Gráficos.xlsx"/>
    <s v="COO"/>
    <s v="Lucas Martins"/>
    <m/>
    <e v="#REF!"/>
    <s v="Corporativo"/>
    <x v="0"/>
    <s v="Geração"/>
    <s v="Melhoria Pequeno Porte"/>
    <s v="Melhoria"/>
    <m/>
    <m/>
    <m/>
    <m/>
    <s v="Aquisição de bombas reservas para a motobomba do distribuidor da unidade hidráulica do regulador de velocidade na UHE Passo São João"/>
    <s v="Aquisição de equipamento sobressalente"/>
    <s v="UHE Passo São João"/>
    <s v=" "/>
    <s v=" "/>
    <s v=" "/>
    <s v=" "/>
    <s v=" "/>
    <s v=" "/>
    <s v=" "/>
    <s v=" "/>
    <s v=" "/>
    <n v="8000"/>
    <s v=" "/>
    <s v=" "/>
    <n v="8000"/>
    <n v="0"/>
    <n v="0"/>
    <n v="0"/>
    <n v="0"/>
    <n v="8000"/>
    <n v="0"/>
    <n v="0"/>
    <n v="0"/>
    <n v="0"/>
    <n v="0"/>
    <n v="8000"/>
  </r>
  <r>
    <m/>
    <e v="#REF!"/>
    <s v="Capex Orcamentário_PE2026_2030_COO_Rev1 - Gráficos.xlsx"/>
    <s v="COO"/>
    <s v="Lucas Martins"/>
    <m/>
    <e v="#REF!"/>
    <s v="Corporativo"/>
    <x v="0"/>
    <s v="Geração"/>
    <s v="Melhoria Pequeno Porte"/>
    <s v="Melhoria"/>
    <m/>
    <m/>
    <m/>
    <m/>
    <s v="Aquisição de bombas reservas para a motobomba  kaplan da unidade hidráulica do regulador de velocidade"/>
    <s v="Aquisição de equipamento sobressalente"/>
    <s v="UHE Passo São João"/>
    <s v=" "/>
    <s v=" "/>
    <s v=" "/>
    <s v=" "/>
    <s v=" "/>
    <s v=" "/>
    <s v=" "/>
    <s v=" "/>
    <s v=" "/>
    <n v="6000"/>
    <s v=" "/>
    <s v=" "/>
    <n v="6000"/>
    <n v="0"/>
    <n v="0"/>
    <n v="0"/>
    <n v="0"/>
    <n v="6000"/>
    <n v="0"/>
    <n v="0"/>
    <n v="0"/>
    <n v="0"/>
    <n v="0"/>
    <n v="6000"/>
  </r>
  <r>
    <m/>
    <e v="#REF!"/>
    <s v="Capex Orcamentário_PE2026_2030_COO_Rev1 - Gráficos.xlsx"/>
    <s v="COO"/>
    <s v="Lucas Martins"/>
    <m/>
    <e v="#REF!"/>
    <s v="Corporativo"/>
    <x v="0"/>
    <s v="Geração"/>
    <s v="Melhoria Pequeno Porte"/>
    <s v="Melhoria"/>
    <m/>
    <m/>
    <m/>
    <m/>
    <s v="Aquisição de um registrador digital de pertubações (RDP) sobressalente na UHE Passo São João"/>
    <s v="Aquisição de equipamento sobressalente"/>
    <s v="UHE Passo São João"/>
    <s v=" "/>
    <s v=" "/>
    <s v=" "/>
    <s v=" "/>
    <s v=" "/>
    <s v=" "/>
    <s v=" "/>
    <s v=" "/>
    <s v=" "/>
    <n v="30000"/>
    <s v=" "/>
    <s v=" "/>
    <n v="30000"/>
    <n v="0"/>
    <n v="0"/>
    <n v="0"/>
    <n v="0"/>
    <n v="30000"/>
    <n v="0"/>
    <n v="0"/>
    <n v="0"/>
    <n v="0"/>
    <n v="0"/>
    <n v="30000"/>
  </r>
  <r>
    <m/>
    <e v="#REF!"/>
    <s v="Capex Orcamentário_PE2026_2030_COO_Rev1 - Gráficos.xlsx"/>
    <s v="COO"/>
    <s v="Lucas Martins"/>
    <m/>
    <e v="#REF!"/>
    <s v="Corporativo"/>
    <x v="0"/>
    <s v="Geração"/>
    <s v="Melhoria Pequeno Porte"/>
    <s v="Melhoria"/>
    <m/>
    <m/>
    <m/>
    <m/>
    <s v="Aquisição das CPUs sobressalentes para as unidades de aquisição e controle (UAC) na UHE Passo São João"/>
    <s v="Aquisição de equipamento sobressalente"/>
    <s v="UHE Passo São João"/>
    <s v=" "/>
    <s v=" "/>
    <s v=" "/>
    <s v=" "/>
    <s v=" "/>
    <s v=" "/>
    <s v=" "/>
    <m/>
    <s v=" "/>
    <n v="70000"/>
    <s v=" "/>
    <s v=" "/>
    <n v="70000"/>
    <n v="0"/>
    <n v="0"/>
    <n v="0"/>
    <n v="0"/>
    <n v="70000"/>
    <n v="0"/>
    <n v="0"/>
    <n v="0"/>
    <n v="0"/>
    <n v="0"/>
    <n v="70000"/>
  </r>
  <r>
    <m/>
    <e v="#REF!"/>
    <s v="Capex Orcamentário_PE2026_2030_COO_Rev1 - Gráficos.xlsx"/>
    <s v="COO"/>
    <s v="Lucas Martins"/>
    <m/>
    <e v="#REF!"/>
    <s v="Corporativo"/>
    <x v="0"/>
    <s v="Geração"/>
    <s v="Melhoria Pequeno Porte"/>
    <s v="Melhoria"/>
    <m/>
    <m/>
    <m/>
    <m/>
    <s v="Aquisição de motobomba sobressalente  para o sistema de drenagem da casa de força na UHE São Domingos"/>
    <s v="Aquisição de equipamento sobressalente"/>
    <s v="UHE Passo São Domingos"/>
    <s v=" "/>
    <s v=" "/>
    <s v=" "/>
    <s v=" "/>
    <s v=" "/>
    <s v=" "/>
    <n v="55000"/>
    <s v=" "/>
    <s v=" "/>
    <s v=" "/>
    <s v=" "/>
    <s v=" "/>
    <n v="55000"/>
    <n v="0"/>
    <n v="0"/>
    <n v="0"/>
    <n v="0"/>
    <n v="55000"/>
    <n v="0"/>
    <n v="0"/>
    <n v="0"/>
    <n v="0"/>
    <n v="0"/>
    <n v="55000"/>
  </r>
  <r>
    <m/>
    <e v="#REF!"/>
    <s v="Capex Orcamentário_PE2026_2030_COO_Rev1 - Gráficos.xlsx"/>
    <s v="COO"/>
    <s v="Lucas Martins"/>
    <m/>
    <e v="#REF!"/>
    <s v="Corporativo"/>
    <x v="0"/>
    <s v="Geração"/>
    <s v="Melhoria Pequeno Porte"/>
    <s v="Melhoria"/>
    <m/>
    <m/>
    <m/>
    <m/>
    <s v="Aquisição de USCA sobressalente para o gerador de emergência na UHE São Domingos"/>
    <s v="Aquisição de equipamento sobressalente"/>
    <s v="UHE Passo São Domingos"/>
    <s v=" "/>
    <s v=" "/>
    <s v=" "/>
    <s v=" "/>
    <s v=" "/>
    <s v=" "/>
    <n v="8000"/>
    <s v=" "/>
    <s v=" "/>
    <s v=" "/>
    <s v=" "/>
    <s v=" "/>
    <n v="8000"/>
    <n v="0"/>
    <n v="0"/>
    <n v="0"/>
    <n v="0"/>
    <n v="8000"/>
    <n v="0"/>
    <n v="0"/>
    <n v="0"/>
    <n v="0"/>
    <n v="0"/>
    <n v="8000"/>
  </r>
  <r>
    <m/>
    <e v="#REF!"/>
    <s v="Capex Orcamentário_PE2026_2030_COO_Rev1 - Gráficos.xlsx"/>
    <s v="COO"/>
    <s v="Lucas Martins"/>
    <m/>
    <e v="#REF!"/>
    <s v="Corporativo"/>
    <x v="0"/>
    <s v="Geração"/>
    <s v="Melhoria Pequeno Porte"/>
    <s v="Melhoria"/>
    <m/>
    <m/>
    <m/>
    <m/>
    <s v="Relé de proteção do gerador sobressalente da UG na PCH João Borges"/>
    <s v="Aquisição de equipamento sobressalente"/>
    <s v="PCH João Borges"/>
    <s v=" "/>
    <s v=" "/>
    <s v=" "/>
    <s v=" "/>
    <s v=" "/>
    <s v=" "/>
    <s v=" "/>
    <s v=" "/>
    <n v="40000"/>
    <s v=" "/>
    <s v=" "/>
    <s v=" "/>
    <n v="40000"/>
    <n v="0"/>
    <n v="0"/>
    <n v="0"/>
    <n v="0"/>
    <n v="40000"/>
    <n v="0"/>
    <n v="0"/>
    <n v="0"/>
    <n v="0"/>
    <n v="0"/>
    <n v="40000"/>
  </r>
  <r>
    <m/>
    <e v="#REF!"/>
    <s v="Capex Orcamentário_PE2026_2030_COO_Rev1 - Gráficos.xlsx"/>
    <s v="COO"/>
    <s v="Lucas Martins"/>
    <m/>
    <e v="#REF!"/>
    <s v="Corporativo"/>
    <x v="0"/>
    <s v="Geração"/>
    <s v="Melhoria Pequeno Porte"/>
    <s v="Melhoria"/>
    <m/>
    <m/>
    <m/>
    <m/>
    <s v="Aquisição de motobomba sobressalente  para o sistema de drenagem da casa de força "/>
    <s v="Aquisição de equipamento sobressalente"/>
    <s v="PCH João Borges"/>
    <s v=" "/>
    <s v=" "/>
    <s v=" "/>
    <s v=" "/>
    <s v=" "/>
    <s v=" "/>
    <s v=" "/>
    <s v=" "/>
    <n v="26000"/>
    <s v=" "/>
    <s v=" "/>
    <s v=" "/>
    <n v="26000"/>
    <n v="0"/>
    <n v="0"/>
    <n v="0"/>
    <n v="0"/>
    <n v="26000"/>
    <n v="0"/>
    <n v="0"/>
    <n v="0"/>
    <n v="0"/>
    <n v="0"/>
    <n v="26000"/>
  </r>
  <r>
    <m/>
    <e v="#REF!"/>
    <s v="Capex Orcamentário_PE2026_2030_COO_Rev1 - Gráficos.xlsx"/>
    <s v="COO"/>
    <s v="Lucas Martins"/>
    <m/>
    <e v="#REF!"/>
    <s v="Corporativo"/>
    <x v="0"/>
    <s v="Geração"/>
    <s v="Melhoria Pequeno Porte"/>
    <s v="Melhoria"/>
    <m/>
    <m/>
    <m/>
    <m/>
    <s v="Aquisição de motobomba sobressalente  para o sistema de esgotamento da casa de força"/>
    <s v="Aquisição de equipamento sobressalente"/>
    <s v="PCH João Borges"/>
    <s v=" "/>
    <s v=" "/>
    <s v=" "/>
    <s v=" "/>
    <s v=" "/>
    <s v=" "/>
    <s v=" "/>
    <s v=" "/>
    <n v="26000"/>
    <s v=" "/>
    <s v=" "/>
    <s v=" "/>
    <n v="26000"/>
    <n v="0"/>
    <n v="0"/>
    <n v="0"/>
    <n v="0"/>
    <n v="26000"/>
    <n v="0"/>
    <n v="0"/>
    <n v="0"/>
    <n v="0"/>
    <n v="0"/>
    <n v="26000"/>
  </r>
  <r>
    <m/>
    <e v="#REF!"/>
    <s v="Capex Orcamentário_PE2026_2030_COO_Rev1 - Gráficos.xlsx"/>
    <s v="COO"/>
    <s v="Lucas Martins"/>
    <m/>
    <e v="#REF!"/>
    <s v="Corporativo"/>
    <x v="0"/>
    <s v="Geração"/>
    <s v="Melhoria Pequeno Porte"/>
    <s v="Melhoria"/>
    <m/>
    <m/>
    <m/>
    <m/>
    <s v="Aquisição de bombas sobressalente para a unidade hidráulica do regulador de velocidade"/>
    <s v="Aquisição de equipamento sobressalente"/>
    <s v="PCH João Borges"/>
    <s v=" "/>
    <s v=" "/>
    <s v=" "/>
    <s v=" "/>
    <s v=" "/>
    <s v=" "/>
    <s v=" "/>
    <n v="6000"/>
    <s v=" "/>
    <s v=" "/>
    <s v=" "/>
    <s v=" "/>
    <n v="6000"/>
    <n v="0"/>
    <n v="0"/>
    <n v="0"/>
    <n v="0"/>
    <n v="6000"/>
    <n v="0"/>
    <n v="0"/>
    <n v="0"/>
    <n v="0"/>
    <n v="0"/>
    <n v="6000"/>
  </r>
  <r>
    <m/>
    <e v="#REF!"/>
    <s v="Capex Orcamentário_PE2026_2030_COO_Rev1 - Gráficos.xlsx"/>
    <s v="COO"/>
    <s v="Lucas Martins"/>
    <m/>
    <e v="#REF!"/>
    <s v="Corporativo"/>
    <x v="0"/>
    <s v="Geração"/>
    <s v="Melhoria Pequeno Porte"/>
    <s v="Melhoria"/>
    <m/>
    <m/>
    <m/>
    <m/>
    <s v="Aquisição de motor sobressalente para a unidade hidráulica do regulador de velocidade"/>
    <s v="Aquisição de equipamento sobressalente"/>
    <s v="PCH João Borges"/>
    <s v=" "/>
    <s v=" "/>
    <s v=" "/>
    <s v=" "/>
    <s v=" "/>
    <s v=" "/>
    <s v=" "/>
    <n v="14000"/>
    <s v=" "/>
    <s v=" "/>
    <s v=" "/>
    <s v=" "/>
    <n v="14000"/>
    <n v="0"/>
    <n v="0"/>
    <n v="0"/>
    <n v="0"/>
    <n v="14000"/>
    <n v="0"/>
    <n v="0"/>
    <n v="0"/>
    <n v="0"/>
    <n v="0"/>
    <n v="14000"/>
  </r>
  <r>
    <m/>
    <e v="#REF!"/>
    <s v="Capex Orcamentário_PE2026_2030_COO_Rev1 - Gráficos.xlsx"/>
    <s v="COO"/>
    <s v="Lucas Martins"/>
    <m/>
    <e v="#REF!"/>
    <s v="Corporativo"/>
    <x v="0"/>
    <s v="Geração"/>
    <s v="Melhoria Pequeno Porte"/>
    <s v="Melhoria"/>
    <m/>
    <m/>
    <m/>
    <m/>
    <s v="Aquisição de bombas sobressalente para a unidade hidráulica de lubrificação dos mancais"/>
    <s v="Aquisição de equipamento sobressalente"/>
    <s v="PCH João Borges"/>
    <s v=" "/>
    <s v=" "/>
    <s v=" "/>
    <s v=" "/>
    <s v=" "/>
    <s v=" "/>
    <s v=" "/>
    <n v="6000"/>
    <s v=" "/>
    <s v=" "/>
    <s v=" "/>
    <s v=" "/>
    <n v="6000"/>
    <n v="0"/>
    <n v="0"/>
    <n v="0"/>
    <n v="0"/>
    <n v="6000"/>
    <n v="0"/>
    <n v="0"/>
    <n v="0"/>
    <n v="0"/>
    <n v="0"/>
    <n v="6000"/>
  </r>
  <r>
    <m/>
    <e v="#REF!"/>
    <s v="Capex Orcamentário_PE2026_2030_COO_Rev1 - Gráficos.xlsx"/>
    <s v="COO"/>
    <s v="Lucas Martins"/>
    <m/>
    <e v="#REF!"/>
    <s v="Corporativo"/>
    <x v="0"/>
    <s v="Geração"/>
    <s v="Melhoria Pequeno Porte"/>
    <s v="Melhoria"/>
    <m/>
    <m/>
    <m/>
    <m/>
    <s v="Aquisição de motor sobressalente para a unidade hidráulicade lubrificação dos mancais"/>
    <s v="Aquisição de equipamento sobressalente"/>
    <s v="PCH João Borges"/>
    <s v=" "/>
    <s v=" "/>
    <s v=" "/>
    <s v=" "/>
    <s v=" "/>
    <s v=" "/>
    <s v=" "/>
    <n v="12000"/>
    <s v=" "/>
    <s v=" "/>
    <s v=" "/>
    <s v=" "/>
    <n v="12000"/>
    <n v="0"/>
    <n v="0"/>
    <n v="0"/>
    <n v="0"/>
    <n v="12000"/>
    <n v="0"/>
    <n v="0"/>
    <n v="0"/>
    <n v="0"/>
    <n v="0"/>
    <n v="12000"/>
  </r>
  <r>
    <m/>
    <e v="#REF!"/>
    <s v="Capex Orcamentário_PE2026_2030_COO_Rev1 - Gráficos.xlsx"/>
    <s v="COO"/>
    <s v="Lucas Martins"/>
    <m/>
    <e v="#REF!"/>
    <s v="Corporativo"/>
    <x v="0"/>
    <s v="Geração"/>
    <s v="Melhoria Pequeno Porte"/>
    <s v="Melhoria"/>
    <m/>
    <m/>
    <m/>
    <m/>
    <s v="Aquisição de CPU sobresalente para a unidade de aquisição e controle das UGs"/>
    <s v="Aquisição de equipamento sobressalente"/>
    <s v="PCH Barra do Rio Chapéu"/>
    <s v=" "/>
    <s v=" "/>
    <s v=" "/>
    <s v=" "/>
    <s v=" "/>
    <s v=" "/>
    <s v=" "/>
    <s v=" "/>
    <s v=" "/>
    <n v="80000"/>
    <s v=" "/>
    <s v=" "/>
    <n v="80000"/>
    <n v="0"/>
    <n v="0"/>
    <n v="0"/>
    <n v="0"/>
    <n v="80000"/>
    <n v="0"/>
    <n v="0"/>
    <n v="0"/>
    <n v="0"/>
    <n v="0"/>
    <n v="80000"/>
  </r>
  <r>
    <m/>
    <e v="#REF!"/>
    <s v="Capex Orcamentário_PE2026_2030_COO_Rev1 - Gráficos.xlsx"/>
    <s v="COO"/>
    <s v="Lucas Martins"/>
    <m/>
    <e v="#REF!"/>
    <s v="Corporativo"/>
    <x v="0"/>
    <s v="Geração"/>
    <s v="Melhoria Pequeno Porte"/>
    <s v="Melhoria"/>
    <m/>
    <m/>
    <m/>
    <m/>
    <s v="Aquisição de bombas sobressalente para a unidade hidráulica do regulador de velocidade"/>
    <s v="Aquisição de equipamento sobressalente"/>
    <s v="PCH Barra do Rio Chapéu"/>
    <s v=" "/>
    <s v=" "/>
    <s v=" "/>
    <s v=" "/>
    <s v=" "/>
    <s v=" "/>
    <s v=" "/>
    <s v=" "/>
    <s v=" "/>
    <n v="6000"/>
    <s v=" "/>
    <s v=" "/>
    <n v="6000"/>
    <n v="0"/>
    <n v="0"/>
    <n v="0"/>
    <n v="0"/>
    <n v="6000"/>
    <n v="0"/>
    <n v="0"/>
    <n v="0"/>
    <n v="0"/>
    <n v="0"/>
    <n v="6000"/>
  </r>
  <r>
    <m/>
    <e v="#REF!"/>
    <s v="Capex Orcamentário_PE2026_2030_COO_Rev1 - Gráficos.xlsx"/>
    <s v="COO"/>
    <s v="Lucas Martins"/>
    <m/>
    <e v="#REF!"/>
    <s v="Corporativo"/>
    <x v="0"/>
    <s v="Geração"/>
    <s v="Melhoria Pequeno Porte"/>
    <s v="Melhoria"/>
    <m/>
    <m/>
    <m/>
    <m/>
    <s v="Aquisição de motor sobressalente para a unidade hidráulica do regulador de velocidade"/>
    <s v="Aquisição de equipamento sobressalente"/>
    <s v="PCH Barra do Rio Chapéu"/>
    <s v=" "/>
    <s v=" "/>
    <s v=" "/>
    <s v=" "/>
    <s v=" "/>
    <s v=" "/>
    <s v=" "/>
    <s v=" "/>
    <s v=" "/>
    <n v="14000"/>
    <s v=" "/>
    <s v=" "/>
    <n v="14000"/>
    <n v="0"/>
    <n v="0"/>
    <n v="0"/>
    <n v="0"/>
    <n v="14000"/>
    <n v="0"/>
    <n v="0"/>
    <n v="0"/>
    <n v="0"/>
    <n v="0"/>
    <n v="14000"/>
  </r>
  <r>
    <m/>
    <e v="#REF!"/>
    <s v="Capex Orcamentário_PE2026_2030_COO_Rev1 - Gráficos.xlsx"/>
    <s v="COO"/>
    <s v="Lucas Martins"/>
    <m/>
    <e v="#REF!"/>
    <s v="Corporativo"/>
    <x v="0"/>
    <s v="Geração"/>
    <s v="Melhoria Pequeno Porte"/>
    <s v="Melhoria"/>
    <m/>
    <m/>
    <m/>
    <m/>
    <s v="Aquisição de bombas sobressalente para a unidade hidráulica de lubrificação dos mancais"/>
    <s v="Aquisição de equipamento sobressalente"/>
    <s v="PCH Barra do Rio Chapéu"/>
    <s v=" "/>
    <s v=" "/>
    <s v=" "/>
    <s v=" "/>
    <s v=" "/>
    <s v=" "/>
    <s v=" "/>
    <s v=" "/>
    <s v=" "/>
    <n v="6000"/>
    <s v=" "/>
    <s v=" "/>
    <n v="6000"/>
    <n v="0"/>
    <n v="0"/>
    <n v="0"/>
    <n v="0"/>
    <n v="6000"/>
    <n v="0"/>
    <n v="0"/>
    <n v="0"/>
    <n v="0"/>
    <n v="0"/>
    <n v="6000"/>
  </r>
  <r>
    <m/>
    <e v="#REF!"/>
    <s v="Capex Orcamentário_PE2026_2030_COO_Rev1 - Gráficos.xlsx"/>
    <s v="COO"/>
    <s v="Lucas Martins"/>
    <m/>
    <e v="#REF!"/>
    <s v="Corporativo"/>
    <x v="0"/>
    <s v="Geração"/>
    <s v="Melhoria Pequeno Porte"/>
    <s v="Melhoria"/>
    <m/>
    <m/>
    <m/>
    <m/>
    <s v="Aquisição de motor sobressalente para a unidade hidráulicade lubrificação dos mancais"/>
    <s v="Aquisição de equipamento sobressalente"/>
    <s v="PCH Barra do Rio Chapéu"/>
    <s v=" "/>
    <s v=" "/>
    <s v=" "/>
    <s v=" "/>
    <s v=" "/>
    <s v=" "/>
    <s v=" "/>
    <s v=" "/>
    <s v=" "/>
    <n v="12000"/>
    <s v=" "/>
    <s v=" "/>
    <n v="12000"/>
    <n v="0"/>
    <n v="0"/>
    <n v="0"/>
    <n v="0"/>
    <n v="12000"/>
    <n v="0"/>
    <n v="0"/>
    <n v="0"/>
    <n v="0"/>
    <n v="0"/>
    <n v="12000"/>
  </r>
  <r>
    <m/>
    <e v="#REF!"/>
    <s v="Capex Orcamentário_PE2026_2030_COO_Rev1 - Gráficos.xlsx"/>
    <s v="COO"/>
    <s v="Lucas Martins"/>
    <m/>
    <e v="#REF!"/>
    <s v="Corporativo"/>
    <x v="0"/>
    <s v="Geração"/>
    <s v="Melhoria Pequeno Porte"/>
    <s v="Melhoria"/>
    <m/>
    <m/>
    <m/>
    <m/>
    <s v="Aquisição dos painéis de comando e força, além de instrumentação do sistemas de drenagem e esgotamento na PCH João Borges"/>
    <s v="Aquisição e instalação de novos painéis de comando para o sistema de drenagem e esgotamento"/>
    <s v="PCH João Borges"/>
    <s v=" "/>
    <s v=" "/>
    <s v=" "/>
    <s v=" "/>
    <s v=" "/>
    <s v=" "/>
    <s v=" "/>
    <n v="90000"/>
    <s v=" "/>
    <s v=" "/>
    <s v=" "/>
    <s v=" "/>
    <n v="90000"/>
    <n v="0"/>
    <n v="0"/>
    <n v="0"/>
    <n v="0"/>
    <n v="90000"/>
    <n v="0"/>
    <n v="0"/>
    <n v="0"/>
    <n v="0"/>
    <n v="0"/>
    <n v="90000"/>
  </r>
  <r>
    <m/>
    <e v="#REF!"/>
    <s v="Capex Orcamentário_PE2026_2030_COO_Rev1 - Gráficos.xlsx"/>
    <s v="COO"/>
    <s v="Lucas Martins"/>
    <m/>
    <e v="#REF!"/>
    <s v="Corporativo"/>
    <x v="0"/>
    <s v="Geração"/>
    <s v="Melhoria Pequeno Porte"/>
    <s v="Melhoria"/>
    <m/>
    <m/>
    <m/>
    <m/>
    <s v="Serviço de instalação e testes dos novos painéis de comando e força, e também instrumentação do sistemas de drenagem e esgotamento na PCH João Borges"/>
    <s v="Serviço de instalação e testes dos novos painéis de comando e força, e também instrumentação do sistemas de drenagem e esgotamento na PCH João Borges"/>
    <s v="PCH João Borges"/>
    <s v=" "/>
    <s v=" "/>
    <s v=" "/>
    <s v=" "/>
    <s v=" "/>
    <s v=" "/>
    <s v=" "/>
    <s v=" "/>
    <s v=" "/>
    <s v=" "/>
    <n v="80000"/>
    <s v=" "/>
    <n v="80000"/>
    <n v="0"/>
    <n v="0"/>
    <n v="0"/>
    <n v="0"/>
    <n v="80000"/>
    <n v="0"/>
    <n v="0"/>
    <n v="0"/>
    <n v="0"/>
    <n v="0"/>
    <n v="80000"/>
  </r>
  <r>
    <m/>
    <e v="#REF!"/>
    <s v="Capex Orcamentário_PE2026_2030_COO_Rev1 - Gráficos.xlsx"/>
    <s v="COO"/>
    <s v="Lucas Martins"/>
    <m/>
    <e v="#REF!"/>
    <s v="Corporativo"/>
    <x v="0"/>
    <s v="Geração"/>
    <s v="Melhoria Pequeno Porte"/>
    <s v="Melhoria"/>
    <m/>
    <m/>
    <m/>
    <m/>
    <s v="Aquisição de relé de proteção sobressalente para UHE Passo São João"/>
    <s v="Aquisição de equipamento sobressalente"/>
    <s v="UHE Passo São João"/>
    <s v=" "/>
    <s v=" "/>
    <s v=" "/>
    <s v=" "/>
    <s v=" "/>
    <s v=" "/>
    <s v=" "/>
    <s v=" "/>
    <n v="105000"/>
    <s v=" "/>
    <s v=" "/>
    <s v=" "/>
    <n v="105000"/>
    <n v="0"/>
    <n v="0"/>
    <n v="0"/>
    <n v="0"/>
    <n v="105000"/>
    <n v="0"/>
    <n v="0"/>
    <n v="0"/>
    <n v="0"/>
    <n v="0"/>
    <n v="105000"/>
  </r>
  <r>
    <m/>
    <e v="#REF!"/>
    <s v="Capex Orcamentário_PE2026_2030_COO_Rev1 - Gráficos.xlsx"/>
    <s v="COO"/>
    <s v="Lucas Martins"/>
    <m/>
    <e v="#REF!"/>
    <s v="Corporativo"/>
    <x v="0"/>
    <s v="Geração"/>
    <s v="Melhoria Pequeno Porte"/>
    <s v="Melhoria"/>
    <m/>
    <m/>
    <m/>
    <m/>
    <s v="Contratação de serviço de engenharia para elaboração da aplicação (projeto) para a nova versão do relé com base na aplicação dos relés em operação na UHE Passo São João"/>
    <s v="Compatibilização do projeto atual embarcado no relé de proteção com o novo relé Upgrade do software "/>
    <s v="UHE Passo São João"/>
    <s v=" "/>
    <s v=" "/>
    <s v=" "/>
    <s v=" "/>
    <s v=" "/>
    <s v=" "/>
    <s v=" "/>
    <s v=" "/>
    <s v=" "/>
    <n v="46000"/>
    <s v=" "/>
    <s v=" "/>
    <n v="46000"/>
    <n v="0"/>
    <n v="0"/>
    <n v="0"/>
    <n v="0"/>
    <n v="46000"/>
    <n v="0"/>
    <n v="0"/>
    <n v="0"/>
    <n v="0"/>
    <n v="0"/>
    <n v="46000"/>
  </r>
  <r>
    <m/>
    <e v="#REF!"/>
    <s v="Capex Orcamentário_PE2026_2030_COO_Rev1 - Gráficos.xlsx"/>
    <s v="COO"/>
    <s v="Lucas Martins"/>
    <m/>
    <e v="#REF!"/>
    <s v="Corporativo"/>
    <x v="0"/>
    <s v="Geração"/>
    <s v="Melhoria Pequeno Porte"/>
    <s v="Melhoria"/>
    <m/>
    <m/>
    <m/>
    <m/>
    <s v="Aquisição de relé de proteção sobressalente UHE São Domingos"/>
    <s v="Aquisição de equipamento sobressalente"/>
    <s v="UHE São Domingos"/>
    <s v=" "/>
    <s v=" "/>
    <s v=" "/>
    <s v=" "/>
    <s v=" "/>
    <s v=" "/>
    <s v=" "/>
    <s v=" "/>
    <n v="105000"/>
    <s v=" "/>
    <s v=" "/>
    <s v=" "/>
    <n v="105000"/>
    <n v="0"/>
    <n v="0"/>
    <n v="0"/>
    <n v="0"/>
    <n v="105000"/>
    <n v="0"/>
    <n v="0"/>
    <n v="0"/>
    <n v="0"/>
    <n v="0"/>
    <n v="105000"/>
  </r>
  <r>
    <m/>
    <e v="#REF!"/>
    <s v="Capex Orcamentário_PE2026_2030_COO_Rev1 - Gráficos.xlsx"/>
    <s v="COO"/>
    <s v="Lucas Martins"/>
    <m/>
    <e v="#REF!"/>
    <s v="Corporativo"/>
    <x v="0"/>
    <s v="Geração"/>
    <s v="Melhoria Pequeno Porte"/>
    <s v="Melhoria"/>
    <m/>
    <m/>
    <m/>
    <m/>
    <s v="Contratação de serviço de engenharia para elaboração da aplicação (projeto) para a nova versão do relé com base na aplicação dos relés em operação na UHE São Domingos"/>
    <s v="Compatibilização do projeto atual embarcado no relé de proteção com o novo relé Upgrade do software "/>
    <s v="UHE São Domingos"/>
    <s v=" "/>
    <s v=" "/>
    <s v=" "/>
    <s v=" "/>
    <s v=" "/>
    <s v=" "/>
    <s v=" "/>
    <s v=" "/>
    <s v=" "/>
    <n v="46000"/>
    <s v=" "/>
    <s v=" "/>
    <n v="46000"/>
    <n v="0"/>
    <n v="0"/>
    <n v="0"/>
    <n v="0"/>
    <n v="46000"/>
    <n v="0"/>
    <n v="0"/>
    <n v="0"/>
    <n v="0"/>
    <n v="0"/>
    <n v="46000"/>
  </r>
  <r>
    <m/>
    <e v="#REF!"/>
    <s v="Capex Orcamentário_PE2026_2030_COO_Rev1 - Gráficos.xlsx"/>
    <s v="COO"/>
    <s v="Lucas Martins"/>
    <m/>
    <e v="#REF!"/>
    <s v="Corporativo"/>
    <x v="0"/>
    <s v="Geração"/>
    <s v="Melhoria Pequeno Porte"/>
    <s v="Melhoria"/>
    <m/>
    <m/>
    <m/>
    <m/>
    <s v="Modernização do Sistema de Detecção e Alarme de Incêndio das Unidades Geradores UG1 - UHSD"/>
    <s v="Efetuar a substituição geral do sistema de detecção e alarme do Sistema Anti-incêndio dos geradores das unidades UG1 e UG2 da Usina Hidrelétrica São Domingos "/>
    <s v="UHE São Domingos"/>
    <s v=" "/>
    <s v=" "/>
    <s v=" "/>
    <s v=" "/>
    <s v=" "/>
    <s v=" "/>
    <s v=" "/>
    <s v=" "/>
    <s v=" "/>
    <s v=" "/>
    <s v=" "/>
    <s v=" "/>
    <n v="0"/>
    <n v="1000000"/>
    <n v="0"/>
    <n v="0"/>
    <n v="0"/>
    <n v="1000000"/>
    <n v="0"/>
    <n v="0"/>
    <n v="0"/>
    <n v="0"/>
    <n v="0"/>
    <n v="1000000"/>
  </r>
  <r>
    <m/>
    <e v="#REF!"/>
    <s v="Capex Orcamentário_PE2026_2030_COO_Rev1 - Gráficos.xlsx"/>
    <s v="COO"/>
    <s v="Lucas Martins"/>
    <m/>
    <e v="#REF!"/>
    <s v="Corporativo"/>
    <x v="0"/>
    <s v="Geração"/>
    <s v="Melhoria Pequeno Porte"/>
    <s v="Melhoria"/>
    <m/>
    <m/>
    <m/>
    <m/>
    <s v="Modernização do Sistema de Detecção e Alarme de Incêndio das Unidades Geradores UG2 - UHSD"/>
    <s v="Efetuar a substituição geral do sistema de detecção e alarme do Sistema Anti-incêndio dos geradores das unidades UG1 e UG2 da Usina Hidrelétrica São Domingos "/>
    <s v="UHE São Domingos"/>
    <s v=" "/>
    <s v=" "/>
    <s v=" "/>
    <s v=" "/>
    <s v=" "/>
    <s v=" "/>
    <s v=" "/>
    <s v=" "/>
    <s v=" "/>
    <s v=" "/>
    <s v=" "/>
    <s v=" "/>
    <n v="0"/>
    <n v="1000000"/>
    <n v="0"/>
    <n v="0"/>
    <n v="0"/>
    <n v="1000000"/>
    <n v="0"/>
    <n v="0"/>
    <n v="0"/>
    <n v="0"/>
    <n v="0"/>
    <n v="1000000"/>
  </r>
  <r>
    <m/>
    <e v="#REF!"/>
    <s v="Capex Orcamentário_PE2026_2030_COO_Rev1 - Gráficos.xlsx"/>
    <s v="COO"/>
    <s v="Lucas Martins"/>
    <m/>
    <e v="#REF!"/>
    <s v="Corporativo"/>
    <x v="0"/>
    <s v="Geração"/>
    <s v="Melhoria Pequeno Porte"/>
    <s v="Melhoria"/>
    <m/>
    <m/>
    <m/>
    <m/>
    <s v="Aquisição de 6 cubículos de 34,5 kV para acomodação de pára-raios"/>
    <s v="Construção de cubículo com para-raios ECSE-01"/>
    <s v="Coxilha Seca"/>
    <s v=" "/>
    <s v=" "/>
    <s v=" "/>
    <s v=" "/>
    <s v=" "/>
    <s v=" "/>
    <n v="180000"/>
    <s v=" "/>
    <m/>
    <s v=" "/>
    <s v=" "/>
    <s v=" "/>
    <n v="180000"/>
    <n v="0"/>
    <n v="0"/>
    <n v="0"/>
    <n v="0"/>
    <n v="180000"/>
    <n v="0"/>
    <n v="0"/>
    <n v="0"/>
    <n v="0"/>
    <n v="0"/>
    <n v="180000"/>
  </r>
  <r>
    <m/>
    <e v="#REF!"/>
    <s v="Capex Orcamentário_PE2026_2030_COO_Rev1 - Gráficos.xlsx"/>
    <s v="COO"/>
    <s v="Lucas Martins"/>
    <m/>
    <e v="#REF!"/>
    <s v="Corporativo"/>
    <x v="0"/>
    <s v="Geração"/>
    <s v="Melhoria Pequeno Porte"/>
    <s v="Melhoria"/>
    <m/>
    <m/>
    <m/>
    <m/>
    <s v="Aquisição de 6 cubículos de 34,5 kV para acomodação de pára-raios"/>
    <s v="Construção de cubículo com para-raios ECSE-02"/>
    <s v="Coxilha Seca"/>
    <s v=" "/>
    <s v=" "/>
    <s v=" "/>
    <s v=" "/>
    <s v=" "/>
    <s v=" "/>
    <n v="180000"/>
    <s v=" "/>
    <m/>
    <s v=" "/>
    <s v=" "/>
    <s v=" "/>
    <n v="180000"/>
    <n v="0"/>
    <n v="0"/>
    <n v="0"/>
    <n v="0"/>
    <n v="180000"/>
    <n v="0"/>
    <n v="0"/>
    <n v="0"/>
    <n v="0"/>
    <n v="0"/>
    <n v="180000"/>
  </r>
  <r>
    <m/>
    <e v="#REF!"/>
    <s v="Capex Orcamentário_PE2026_2030_COO_Rev1 - Gráficos.xlsx"/>
    <s v="COO"/>
    <s v="Lucas Martins"/>
    <m/>
    <e v="#REF!"/>
    <s v="Corporativo"/>
    <x v="0"/>
    <s v="Geração"/>
    <s v="Melhoria Pequeno Porte"/>
    <s v="Melhoria"/>
    <m/>
    <m/>
    <m/>
    <m/>
    <s v="Aquisição de 6 cubículos de 34,5 kV para acomodação de pára-raios"/>
    <s v="Construção de cubículo com para-raios ECSE-06"/>
    <s v="Coxilha Seca"/>
    <s v=" "/>
    <s v=" "/>
    <s v=" "/>
    <s v=" "/>
    <s v=" "/>
    <s v=" "/>
    <n v="180000"/>
    <s v=" "/>
    <m/>
    <s v=" "/>
    <s v=" "/>
    <s v=" "/>
    <n v="180000"/>
    <n v="0"/>
    <n v="0"/>
    <n v="0"/>
    <n v="0"/>
    <n v="180000"/>
    <n v="0"/>
    <n v="0"/>
    <n v="0"/>
    <n v="0"/>
    <n v="0"/>
    <n v="180000"/>
  </r>
  <r>
    <m/>
    <e v="#REF!"/>
    <s v="Capex Orcamentário_PE2026_2030_COO_Rev1 - Gráficos.xlsx"/>
    <s v="COO"/>
    <s v="Lucas Martins"/>
    <m/>
    <e v="#REF!"/>
    <s v="Corporativo"/>
    <x v="0"/>
    <s v="Geração"/>
    <s v="Melhoria Pequeno Porte"/>
    <s v="Melhoria"/>
    <m/>
    <m/>
    <m/>
    <m/>
    <s v="Aquisição de 6 cubículos de 34,5 kV para acomodação de pára-raios"/>
    <s v="Construção de cubículo com para-raios ECSE-10"/>
    <s v="Coxilha Seca"/>
    <s v=" "/>
    <s v=" "/>
    <s v=" "/>
    <s v=" "/>
    <s v=" "/>
    <s v=" "/>
    <n v="180000"/>
    <s v=" "/>
    <m/>
    <s v=" "/>
    <s v=" "/>
    <s v=" "/>
    <n v="180000"/>
    <n v="0"/>
    <n v="0"/>
    <n v="0"/>
    <n v="0"/>
    <n v="180000"/>
    <n v="0"/>
    <n v="0"/>
    <n v="0"/>
    <n v="0"/>
    <n v="0"/>
    <n v="180000"/>
  </r>
  <r>
    <m/>
    <e v="#REF!"/>
    <s v="Capex Orcamentário_PE2026_2030_COO_Rev1 - Gráficos.xlsx"/>
    <s v="COO"/>
    <s v="Lucas Martins"/>
    <m/>
    <e v="#REF!"/>
    <s v="Corporativo"/>
    <x v="0"/>
    <s v="Geração"/>
    <s v="Melhoria Pequeno Porte"/>
    <s v="Melhoria"/>
    <m/>
    <m/>
    <m/>
    <m/>
    <s v="Aquisição de 6 cubículos de 34,5 kV para acomodação de pára-raios"/>
    <s v="Construção de cubículo com para-raios ECSE-14"/>
    <s v="Coxilha Seca"/>
    <s v=" "/>
    <s v=" "/>
    <s v=" "/>
    <s v=" "/>
    <s v=" "/>
    <s v=" "/>
    <n v="180000"/>
    <s v=" "/>
    <m/>
    <s v=" "/>
    <s v=" "/>
    <s v=" "/>
    <n v="180000"/>
    <n v="0"/>
    <n v="0"/>
    <n v="0"/>
    <n v="0"/>
    <n v="180000"/>
    <n v="0"/>
    <n v="0"/>
    <n v="0"/>
    <n v="0"/>
    <n v="0"/>
    <n v="180000"/>
  </r>
  <r>
    <m/>
    <e v="#REF!"/>
    <s v="Capex Orcamentário_PE2026_2030_COO_Rev1 - Gráficos.xlsx"/>
    <s v="COO"/>
    <s v="Lucas Martins"/>
    <m/>
    <e v="#REF!"/>
    <s v="Corporativo"/>
    <x v="0"/>
    <s v="Geração"/>
    <s v="Melhoria Pequeno Porte"/>
    <s v="Melhoria"/>
    <m/>
    <m/>
    <m/>
    <m/>
    <s v="Aquisição de 6 cubículos de 34,5 kV para acomodação de pára-raios"/>
    <s v="Construção de cubículo com para-raios ECIN-01"/>
    <s v="Capão do Inglês"/>
    <s v=" "/>
    <s v=" "/>
    <s v=" "/>
    <s v=" "/>
    <s v=" "/>
    <s v=" "/>
    <n v="180000"/>
    <s v=" "/>
    <m/>
    <s v=" "/>
    <s v=" "/>
    <s v=" "/>
    <n v="180000"/>
    <n v="0"/>
    <n v="0"/>
    <n v="0"/>
    <n v="0"/>
    <n v="180000"/>
    <n v="0"/>
    <n v="0"/>
    <n v="0"/>
    <n v="0"/>
    <n v="0"/>
    <n v="180000"/>
  </r>
  <r>
    <m/>
    <e v="#REF!"/>
    <s v="Capex Orcamentário_PE2026_2030_COO_Rev1 - Gráficos.xlsx"/>
    <s v="COO"/>
    <s v="Lucas Martins"/>
    <m/>
    <e v="#REF!"/>
    <s v="Corporativo"/>
    <x v="0"/>
    <s v="Geração"/>
    <s v="Melhoria Pequeno Porte"/>
    <s v="Melhoria"/>
    <m/>
    <m/>
    <m/>
    <m/>
    <s v="Aquisição de 2 carregadores de baterias para UHJB"/>
    <s v="Aquisição de 2 carregadores de baterias para UHJB"/>
    <s v="PCH João Borges"/>
    <s v=" "/>
    <s v=" "/>
    <s v=" "/>
    <s v=" "/>
    <s v=" "/>
    <s v=" "/>
    <s v=" "/>
    <n v="86250"/>
    <s v=" "/>
    <s v=" "/>
    <s v=" "/>
    <s v=" "/>
    <n v="86250"/>
    <n v="0"/>
    <n v="0"/>
    <n v="0"/>
    <n v="0"/>
    <n v="86250"/>
    <n v="0"/>
    <n v="0"/>
    <n v="0"/>
    <n v="0"/>
    <n v="0"/>
    <n v="86250"/>
  </r>
  <r>
    <m/>
    <e v="#REF!"/>
    <s v="Capex Orcamentário_PE2026_2030_COO_Rev1 - Gráficos.xlsx"/>
    <s v="COO"/>
    <s v="Lucas Martins"/>
    <m/>
    <e v="#REF!"/>
    <s v="Corporativo"/>
    <x v="0"/>
    <s v="Geração"/>
    <s v="Melhoria Pequeno Porte"/>
    <s v="Melhoria"/>
    <m/>
    <m/>
    <m/>
    <m/>
    <s v="Aquisição de 2 carregadores de baterias para UHJB"/>
    <s v="Aquisição de 2 carregadores de baterias para UHJB"/>
    <s v="PCH João Borges"/>
    <s v=" "/>
    <s v=" "/>
    <s v=" "/>
    <s v=" "/>
    <s v=" "/>
    <s v=" "/>
    <s v=" "/>
    <n v="86250"/>
    <s v=" "/>
    <s v=" "/>
    <s v=" "/>
    <s v=" "/>
    <n v="86250"/>
    <n v="0"/>
    <n v="0"/>
    <n v="0"/>
    <n v="0"/>
    <n v="86250"/>
    <n v="0"/>
    <n v="0"/>
    <n v="0"/>
    <n v="0"/>
    <n v="0"/>
    <n v="86250"/>
  </r>
  <r>
    <m/>
    <e v="#REF!"/>
    <s v="Capex Orcamentário_PE2026_2030_COO_Rev1 - Gráficos.xlsx"/>
    <s v="COO"/>
    <s v="Lucas Martins"/>
    <m/>
    <e v="#REF!"/>
    <s v="Corporativo"/>
    <x v="0"/>
    <s v="Geração"/>
    <s v="Melhoria Pequeno Porte"/>
    <s v="Melhoria"/>
    <m/>
    <m/>
    <m/>
    <m/>
    <s v="Substituição das baterias da UHPJ"/>
    <s v="Bateria 1 - CFR - 125 Vcc"/>
    <s v="UHE Passo São João"/>
    <s v=" "/>
    <s v=" "/>
    <s v=" "/>
    <s v=" "/>
    <s v=" "/>
    <s v=" "/>
    <s v=" "/>
    <s v=" "/>
    <s v=" "/>
    <s v=" "/>
    <s v=" "/>
    <s v=" "/>
    <n v="0"/>
    <n v="0"/>
    <n v="0"/>
    <n v="0"/>
    <n v="0"/>
    <n v="0"/>
    <n v="262500"/>
    <n v="0"/>
    <n v="0"/>
    <n v="0"/>
    <n v="0"/>
    <n v="262500"/>
  </r>
  <r>
    <m/>
    <e v="#REF!"/>
    <s v="Capex Orcamentário_PE2026_2030_COO_Rev1 - Gráficos.xlsx"/>
    <s v="COO"/>
    <s v="Lucas Martins"/>
    <m/>
    <e v="#REF!"/>
    <s v="Corporativo"/>
    <x v="0"/>
    <s v="Geração"/>
    <s v="Melhoria Pequeno Porte"/>
    <s v="Melhoria"/>
    <m/>
    <m/>
    <m/>
    <m/>
    <s v="Substituição das baterias da UHPJ"/>
    <s v="Bateria 2 - CFR - 125 Vcc"/>
    <s v="UHE Passo São João"/>
    <s v=" "/>
    <s v=" "/>
    <s v=" "/>
    <s v=" "/>
    <s v=" "/>
    <s v=" "/>
    <s v=" "/>
    <s v=" "/>
    <s v=" "/>
    <s v=" "/>
    <s v=" "/>
    <s v=" "/>
    <n v="0"/>
    <n v="0"/>
    <n v="0"/>
    <n v="0"/>
    <n v="0"/>
    <n v="0"/>
    <n v="262500"/>
    <n v="0"/>
    <n v="0"/>
    <n v="0"/>
    <n v="0"/>
    <n v="262500"/>
  </r>
  <r>
    <m/>
    <e v="#REF!"/>
    <s v="Capex Orcamentário_PE2026_2030_COO_Rev1 - Gráficos.xlsx"/>
    <s v="COO"/>
    <s v="Lucas Martins"/>
    <m/>
    <e v="#REF!"/>
    <s v="Corporativo"/>
    <x v="0"/>
    <s v="Geração"/>
    <s v="Melhoria Pequeno Porte"/>
    <s v="Melhoria"/>
    <m/>
    <m/>
    <m/>
    <m/>
    <s v="Substituição das baterias da UHPJ"/>
    <s v="Bateria 1 - CFR - 48 Vcc"/>
    <s v="UHE Passo São João"/>
    <s v=" "/>
    <s v=" "/>
    <s v=" "/>
    <s v=" "/>
    <s v=" "/>
    <s v=" "/>
    <s v=" "/>
    <s v=" "/>
    <s v=" "/>
    <s v=" "/>
    <s v=" "/>
    <s v=" "/>
    <n v="0"/>
    <n v="0"/>
    <n v="0"/>
    <n v="0"/>
    <n v="0"/>
    <n v="0"/>
    <n v="105000"/>
    <n v="0"/>
    <n v="0"/>
    <n v="0"/>
    <n v="0"/>
    <n v="105000"/>
  </r>
  <r>
    <m/>
    <e v="#REF!"/>
    <s v="Capex Orcamentário_PE2026_2030_COO_Rev1 - Gráficos.xlsx"/>
    <s v="COO"/>
    <s v="Lucas Martins"/>
    <m/>
    <e v="#REF!"/>
    <s v="Corporativo"/>
    <x v="0"/>
    <s v="Geração"/>
    <s v="Melhoria Pequeno Porte"/>
    <s v="Melhoria"/>
    <m/>
    <m/>
    <m/>
    <m/>
    <s v="Substituição das baterias da UHPJ"/>
    <s v="Bateria 2 - CFR - 48 Vcc"/>
    <s v="UHE Passo São João"/>
    <s v=" "/>
    <s v=" "/>
    <s v=" "/>
    <s v=" "/>
    <s v=" "/>
    <s v=" "/>
    <s v=" "/>
    <s v=" "/>
    <s v=" "/>
    <s v=" "/>
    <s v=" "/>
    <s v=" "/>
    <n v="0"/>
    <n v="0"/>
    <n v="0"/>
    <n v="0"/>
    <n v="0"/>
    <n v="0"/>
    <n v="105000"/>
    <n v="0"/>
    <n v="0"/>
    <n v="0"/>
    <n v="0"/>
    <n v="105000"/>
  </r>
  <r>
    <m/>
    <e v="#REF!"/>
    <s v="Capex Orcamentário_PE2026_2030_COO_Rev1 - Gráficos.xlsx"/>
    <s v="COO"/>
    <s v="Lucas Martins"/>
    <m/>
    <e v="#REF!"/>
    <s v="Corporativo"/>
    <x v="0"/>
    <s v="Geração"/>
    <s v="Melhoria Pequeno Porte"/>
    <s v="Melhoria"/>
    <m/>
    <m/>
    <m/>
    <m/>
    <s v="Substituição das baterias da UHPJ"/>
    <s v="Bateria 1 - VRT - 125 Vcc"/>
    <s v="UHE Passo São João"/>
    <s v=" "/>
    <s v=" "/>
    <s v=" "/>
    <s v=" "/>
    <s v=" "/>
    <s v=" "/>
    <s v=" "/>
    <s v=" "/>
    <s v=" "/>
    <s v=" "/>
    <s v=" "/>
    <s v=" "/>
    <n v="0"/>
    <n v="0"/>
    <n v="0"/>
    <n v="0"/>
    <n v="0"/>
    <n v="0"/>
    <n v="157500"/>
    <n v="0"/>
    <n v="0"/>
    <n v="0"/>
    <n v="0"/>
    <n v="157500"/>
  </r>
  <r>
    <m/>
    <e v="#REF!"/>
    <s v="Capex Orcamentário_PE2026_2030_COO_Rev1 - Gráficos.xlsx"/>
    <s v="COO"/>
    <s v="Lucas Martins"/>
    <m/>
    <e v="#REF!"/>
    <s v="Corporativo"/>
    <x v="0"/>
    <s v="Geração"/>
    <s v="Melhoria Pequeno Porte"/>
    <s v="Melhoria"/>
    <m/>
    <m/>
    <m/>
    <m/>
    <s v="Substituição das baterias da UHSD"/>
    <s v="Bateria 1 - CFR - 125 Vcc"/>
    <s v="UHE São Domingos"/>
    <s v=" "/>
    <s v=" "/>
    <s v=" "/>
    <s v=" "/>
    <s v=" "/>
    <s v=" "/>
    <s v=" "/>
    <s v=" "/>
    <s v=" "/>
    <s v=" "/>
    <s v=" "/>
    <s v=" "/>
    <n v="0"/>
    <n v="0"/>
    <n v="0"/>
    <n v="0"/>
    <n v="0"/>
    <n v="0"/>
    <n v="262500"/>
    <n v="0"/>
    <n v="0"/>
    <n v="0"/>
    <n v="0"/>
    <n v="262500"/>
  </r>
  <r>
    <m/>
    <e v="#REF!"/>
    <s v="Capex Orcamentário_PE2026_2030_COO_Rev1 - Gráficos.xlsx"/>
    <s v="COO"/>
    <s v="Lucas Martins"/>
    <m/>
    <e v="#REF!"/>
    <s v="Corporativo"/>
    <x v="0"/>
    <s v="Geração"/>
    <s v="Melhoria Pequeno Porte"/>
    <s v="Melhoria"/>
    <m/>
    <m/>
    <m/>
    <m/>
    <s v="Substituição das baterias da UHSD"/>
    <s v="Bateria 2 - CFR - 125 Vcc"/>
    <s v="UHE São Domingos"/>
    <s v=" "/>
    <s v=" "/>
    <s v=" "/>
    <s v=" "/>
    <s v=" "/>
    <s v=" "/>
    <s v=" "/>
    <s v=" "/>
    <s v=" "/>
    <s v=" "/>
    <s v=" "/>
    <s v=" "/>
    <n v="0"/>
    <n v="0"/>
    <n v="0"/>
    <n v="0"/>
    <n v="0"/>
    <n v="0"/>
    <n v="262500"/>
    <n v="0"/>
    <n v="0"/>
    <n v="0"/>
    <n v="0"/>
    <n v="262500"/>
  </r>
  <r>
    <m/>
    <e v="#REF!"/>
    <s v="Capex Orcamentário_PE2026_2030_COO_Rev1 - Gráficos.xlsx"/>
    <s v="COO"/>
    <s v="Lucas Martins"/>
    <m/>
    <e v="#REF!"/>
    <s v="Corporativo"/>
    <x v="0"/>
    <s v="Geração"/>
    <s v="Melhoria Pequeno Porte"/>
    <s v="Melhoria"/>
    <m/>
    <m/>
    <m/>
    <m/>
    <s v="Substituição das baterias da UHSD"/>
    <s v="Bateria 1 - CFR - 48 Vcc"/>
    <s v="UHE São Domingos"/>
    <s v=" "/>
    <s v=" "/>
    <s v=" "/>
    <s v=" "/>
    <s v=" "/>
    <s v=" "/>
    <s v=" "/>
    <s v=" "/>
    <s v=" "/>
    <s v=" "/>
    <s v=" "/>
    <s v=" "/>
    <n v="0"/>
    <n v="0"/>
    <n v="0"/>
    <n v="0"/>
    <n v="0"/>
    <n v="0"/>
    <n v="105000"/>
    <n v="0"/>
    <n v="0"/>
    <n v="0"/>
    <n v="0"/>
    <n v="105000"/>
  </r>
  <r>
    <m/>
    <e v="#REF!"/>
    <s v="Capex Orcamentário_PE2026_2030_COO_Rev1 - Gráficos.xlsx"/>
    <s v="COO"/>
    <s v="Lucas Martins"/>
    <m/>
    <e v="#REF!"/>
    <s v="Corporativo"/>
    <x v="0"/>
    <s v="Geração"/>
    <s v="Melhoria Pequeno Porte"/>
    <s v="Melhoria"/>
    <m/>
    <m/>
    <m/>
    <m/>
    <s v="Substituição das baterias da UHSD"/>
    <s v="Bateria 2 - CFR - 48 Vcc"/>
    <s v="UHE São Domingos"/>
    <s v=" "/>
    <s v=" "/>
    <s v=" "/>
    <s v=" "/>
    <s v=" "/>
    <s v=" "/>
    <s v=" "/>
    <s v=" "/>
    <s v=" "/>
    <s v=" "/>
    <s v=" "/>
    <s v=" "/>
    <n v="0"/>
    <n v="0"/>
    <n v="0"/>
    <n v="0"/>
    <n v="0"/>
    <n v="0"/>
    <n v="105000"/>
    <n v="0"/>
    <n v="0"/>
    <n v="0"/>
    <n v="0"/>
    <n v="105000"/>
  </r>
  <r>
    <m/>
    <e v="#REF!"/>
    <s v="Capex Orcamentário_PE2026_2030_COO_Rev1 - Gráficos.xlsx"/>
    <s v="COO"/>
    <s v="Lucas Martins"/>
    <m/>
    <e v="#REF!"/>
    <s v="Corporativo"/>
    <x v="0"/>
    <s v="Geração"/>
    <s v="Melhoria Pequeno Porte"/>
    <s v="Melhoria"/>
    <m/>
    <m/>
    <m/>
    <m/>
    <s v="Substituição das baterias da UHSD"/>
    <s v="Bateria 1 - VRT - 125 Vcc"/>
    <s v="UHE São Domingos"/>
    <s v=" "/>
    <s v=" "/>
    <s v=" "/>
    <s v=" "/>
    <s v=" "/>
    <s v=" "/>
    <s v=" "/>
    <s v=" "/>
    <s v=" "/>
    <s v=" "/>
    <s v=" "/>
    <s v=" "/>
    <n v="0"/>
    <n v="0"/>
    <n v="0"/>
    <n v="0"/>
    <n v="0"/>
    <n v="0"/>
    <n v="157500"/>
    <n v="0"/>
    <n v="0"/>
    <n v="0"/>
    <n v="0"/>
    <n v="157500"/>
  </r>
  <r>
    <m/>
    <e v="#REF!"/>
    <s v="Capex Orcamentário_PE2026_2030_COO_Rev1 - Gráficos.xlsx"/>
    <s v="COO"/>
    <s v="Lucas Martins"/>
    <m/>
    <e v="#REF!"/>
    <s v="Corporativo"/>
    <x v="0"/>
    <s v="Geração"/>
    <s v="Melhoria Pequeno Porte"/>
    <s v="Melhoria"/>
    <m/>
    <m/>
    <m/>
    <m/>
    <s v="Substituição das baterias da UHJB"/>
    <s v="Bateria 1 - CFR - 125 Vcc"/>
    <s v="PCH João Borges"/>
    <s v=" "/>
    <s v=" "/>
    <s v=" "/>
    <s v=" "/>
    <s v=" "/>
    <s v=" "/>
    <s v=" "/>
    <s v=" "/>
    <s v=" "/>
    <s v=" "/>
    <s v=" "/>
    <s v=" "/>
    <n v="0"/>
    <n v="0"/>
    <n v="0"/>
    <n v="0"/>
    <n v="0"/>
    <n v="0"/>
    <n v="225000"/>
    <n v="0"/>
    <n v="0"/>
    <n v="0"/>
    <n v="0"/>
    <n v="225000"/>
  </r>
  <r>
    <m/>
    <e v="#REF!"/>
    <s v="Capex Orcamentário_PE2026_2030_COO_Rev1 - Gráficos.xlsx"/>
    <s v="COO"/>
    <s v="Lucas Martins"/>
    <m/>
    <e v="#REF!"/>
    <s v="Corporativo"/>
    <x v="0"/>
    <s v="Geração"/>
    <s v="Melhoria Pequeno Porte"/>
    <s v="Melhoria"/>
    <m/>
    <m/>
    <m/>
    <m/>
    <s v="Substituição das baterias da UHJB"/>
    <s v="Bateria 2 - CFR - 125 Vcc"/>
    <s v="PCH João Borges"/>
    <s v=" "/>
    <s v=" "/>
    <s v=" "/>
    <s v=" "/>
    <s v=" "/>
    <s v=" "/>
    <s v=" "/>
    <s v=" "/>
    <s v=" "/>
    <s v=" "/>
    <s v=" "/>
    <s v=" "/>
    <n v="0"/>
    <n v="0"/>
    <n v="0"/>
    <n v="0"/>
    <n v="0"/>
    <n v="0"/>
    <n v="225000"/>
    <n v="0"/>
    <n v="0"/>
    <n v="0"/>
    <n v="0"/>
    <n v="225000"/>
  </r>
  <r>
    <m/>
    <e v="#REF!"/>
    <s v="Capex Orcamentário_PE2026_2030_COO_Rev1 - Gráficos.xlsx"/>
    <s v="COO"/>
    <s v="Lucas Martins"/>
    <m/>
    <e v="#REF!"/>
    <s v="Corporativo"/>
    <x v="0"/>
    <s v="Geração"/>
    <s v="Melhoria Pequeno Porte"/>
    <s v="Melhoria"/>
    <m/>
    <m/>
    <m/>
    <m/>
    <s v="Substituição das baterias da UHBC"/>
    <s v="Bateria 1 - CFR - 125 Vcc"/>
    <s v="PCH Barra do Rio Chapéu"/>
    <s v=" "/>
    <s v=" "/>
    <s v=" "/>
    <s v=" "/>
    <s v=" "/>
    <s v=" "/>
    <s v=" "/>
    <s v=" "/>
    <s v=" "/>
    <s v=" "/>
    <s v=" "/>
    <s v=" "/>
    <n v="0"/>
    <n v="0"/>
    <n v="0"/>
    <n v="0"/>
    <n v="0"/>
    <n v="0"/>
    <n v="225000"/>
    <n v="0"/>
    <n v="0"/>
    <n v="0"/>
    <n v="0"/>
    <n v="225000"/>
  </r>
  <r>
    <m/>
    <e v="#REF!"/>
    <s v="Capex Orcamentário_PE2026_2030_COO_Rev1 - Gráficos.xlsx"/>
    <s v="COO"/>
    <s v="Lucas Martins"/>
    <m/>
    <e v="#REF!"/>
    <s v="Corporativo"/>
    <x v="0"/>
    <s v="Geração"/>
    <s v="Melhoria Pequeno Porte"/>
    <s v="Melhoria"/>
    <m/>
    <m/>
    <m/>
    <m/>
    <s v="Substituição das baterias da UHBC"/>
    <s v="Bateria 2 - CFR - 125 Vcc"/>
    <s v="PCH Barra do Rio Chapéu"/>
    <s v=" "/>
    <s v=" "/>
    <s v=" "/>
    <s v=" "/>
    <s v=" "/>
    <s v=" "/>
    <s v=" "/>
    <s v=" "/>
    <s v=" "/>
    <s v=" "/>
    <s v=" "/>
    <s v=" "/>
    <n v="0"/>
    <n v="0"/>
    <n v="0"/>
    <n v="0"/>
    <n v="0"/>
    <n v="0"/>
    <n v="225000"/>
    <n v="0"/>
    <n v="0"/>
    <n v="0"/>
    <n v="0"/>
    <n v="225000"/>
  </r>
  <r>
    <m/>
    <e v="#REF!"/>
    <s v="Capex Orcamentário_PE2026_2030_COO_Rev1 - Gráficos.xlsx"/>
    <s v="COO"/>
    <s v="Lucas Martins"/>
    <m/>
    <e v="#REF!"/>
    <s v="Corporativo"/>
    <x v="0"/>
    <s v="Geração"/>
    <s v="Melhoria Pequeno Porte"/>
    <s v="Melhoria"/>
    <m/>
    <m/>
    <m/>
    <m/>
    <s v="Substituição de todas as baterias do MegaWattSolar"/>
    <s v="Aquisição de baterias para substituição do Megawattsolar"/>
    <s v="UFV MegaWatt Solar"/>
    <s v=" "/>
    <s v=" "/>
    <s v=" "/>
    <s v=" "/>
    <s v=" "/>
    <s v=" "/>
    <s v=" "/>
    <s v=" "/>
    <s v=" "/>
    <s v=" "/>
    <s v=" "/>
    <s v=" "/>
    <n v="0"/>
    <n v="0"/>
    <n v="0"/>
    <n v="0"/>
    <n v="0"/>
    <n v="0"/>
    <n v="0"/>
    <n v="0"/>
    <n v="0"/>
    <n v="0"/>
    <n v="100000"/>
    <n v="100000"/>
  </r>
  <r>
    <m/>
    <e v="#REF!"/>
    <s v="Capex Orcamentário_PE2026_2030_COO_Rev1 - Gráficos.xlsx"/>
    <s v="COO"/>
    <s v="Lucas Martins"/>
    <m/>
    <e v="#REF!"/>
    <s v="Corporativo"/>
    <x v="0"/>
    <s v="Geração"/>
    <s v="Melhoria Pequeno Porte"/>
    <s v="Melhoria"/>
    <m/>
    <m/>
    <m/>
    <m/>
    <s v="Substituição de todas as baterias do MegaWattSolar"/>
    <s v="Aquisição de baterias para substituição do Megawattsolar"/>
    <s v="UFV MegaWatt Solar"/>
    <s v=" "/>
    <s v=" "/>
    <s v=" "/>
    <s v=" "/>
    <s v=" "/>
    <s v=" "/>
    <s v=" "/>
    <s v=" "/>
    <s v=" "/>
    <s v=" "/>
    <s v=" "/>
    <s v=" "/>
    <n v="0"/>
    <n v="0"/>
    <n v="0"/>
    <n v="0"/>
    <n v="0"/>
    <n v="0"/>
    <n v="0"/>
    <n v="0"/>
    <n v="0"/>
    <n v="0"/>
    <n v="100000"/>
    <n v="100000"/>
  </r>
  <r>
    <m/>
    <e v="#REF!"/>
    <s v="Capex Orcamentário_PE2026_2030_COO_Rev1 - Gráficos.xlsx"/>
    <s v="COO"/>
    <s v="Lucas Martins"/>
    <m/>
    <e v="#REF!"/>
    <s v="Corporativo"/>
    <x v="0"/>
    <s v="Geração"/>
    <s v="Segurança de Barragem"/>
    <s v="Segurança de Barragem"/>
    <m/>
    <m/>
    <m/>
    <m/>
    <s v="Projeto 13 - Domus - Automação de instrumentação"/>
    <s v="Automatização de instrumentos de monitoramento da barragem"/>
    <s v="UHE São Domingos"/>
    <m/>
    <m/>
    <m/>
    <m/>
    <m/>
    <n v="200000"/>
    <n v="400000"/>
    <n v="400000"/>
    <n v="200000"/>
    <m/>
    <m/>
    <m/>
    <n v="1200000"/>
    <m/>
    <n v="0"/>
    <n v="0"/>
    <n v="0"/>
    <n v="1200000"/>
    <n v="0"/>
    <m/>
    <n v="0"/>
    <n v="0"/>
    <m/>
    <n v="1200000"/>
  </r>
  <r>
    <m/>
    <e v="#REF!"/>
    <s v="Capex Orcamentário_PE2026_2030_COO_Rev1 - Gráficos.xlsx"/>
    <s v="COO"/>
    <s v="Lucas Martins"/>
    <m/>
    <e v="#REF!"/>
    <s v="Corporativo"/>
    <x v="0"/>
    <s v="Geração"/>
    <s v="Segurança de Barragem"/>
    <s v="Segurança de Barragem"/>
    <m/>
    <m/>
    <m/>
    <m/>
    <s v="Projeto 13 - Domus - Automação de instrumentação"/>
    <s v="Gestão interna do projeto"/>
    <s v="UHE São Domingos"/>
    <m/>
    <m/>
    <m/>
    <m/>
    <m/>
    <m/>
    <m/>
    <m/>
    <n v="100000"/>
    <m/>
    <m/>
    <m/>
    <n v="100000"/>
    <m/>
    <n v="0"/>
    <n v="0"/>
    <n v="0"/>
    <n v="100000"/>
    <n v="0"/>
    <n v="0"/>
    <n v="0"/>
    <n v="0"/>
    <m/>
    <n v="100000"/>
  </r>
  <r>
    <m/>
    <e v="#REF!"/>
    <s v="Capex Orcamentário_PE2026_2030_COO_Rev1 - Gráficos.xlsx"/>
    <s v="COO"/>
    <s v="Lucas Martins"/>
    <m/>
    <e v="#REF!"/>
    <s v="Corporativo"/>
    <x v="0"/>
    <s v="Geração"/>
    <s v="Segurança de Barragem"/>
    <s v="Segurança de Barragem"/>
    <m/>
    <m/>
    <m/>
    <m/>
    <s v="UHJB - Automatização Instrumentos SB"/>
    <s v="Automatização Instrumentos SB"/>
    <s v="PCH João Borges"/>
    <m/>
    <m/>
    <m/>
    <m/>
    <m/>
    <m/>
    <m/>
    <m/>
    <m/>
    <n v="200000"/>
    <n v="200000"/>
    <n v="100000"/>
    <n v="500000"/>
    <m/>
    <n v="0"/>
    <n v="0"/>
    <n v="0"/>
    <n v="500000"/>
    <n v="0"/>
    <n v="0"/>
    <m/>
    <m/>
    <m/>
    <n v="500000"/>
  </r>
  <r>
    <m/>
    <e v="#REF!"/>
    <s v="Capex Orcamentário_PE2026_2030_COO_Rev1 - Gráficos.xlsx"/>
    <s v="COO"/>
    <s v="Lucas Martins"/>
    <m/>
    <e v="#REF!"/>
    <s v="Corporativo"/>
    <x v="0"/>
    <s v="Geração"/>
    <s v="Segurança de Barragem"/>
    <s v="Segurança de Barragem"/>
    <m/>
    <m/>
    <m/>
    <m/>
    <s v="Solução para melhoria do MV-06"/>
    <s v="Solução para melhoria do MV-06 UHSD"/>
    <s v="UHE São Domingos"/>
    <m/>
    <m/>
    <m/>
    <m/>
    <m/>
    <m/>
    <m/>
    <m/>
    <m/>
    <m/>
    <m/>
    <m/>
    <n v="0"/>
    <n v="1600000"/>
    <m/>
    <m/>
    <m/>
    <n v="1600000"/>
    <m/>
    <m/>
    <m/>
    <m/>
    <m/>
    <n v="1600000"/>
  </r>
  <r>
    <m/>
    <e v="#REF!"/>
    <s v="Capex Orcamentário_PE2026_2030_COO_Rev1 - Gráficos.xlsx"/>
    <s v="COO"/>
    <s v="Lucas Martins"/>
    <m/>
    <e v="#REF!"/>
    <s v="Corporativo"/>
    <x v="0"/>
    <s v="Geração"/>
    <s v="Melhoria Pequeno Porte"/>
    <s v="Melhoria"/>
    <m/>
    <m/>
    <m/>
    <m/>
    <s v="Eólicas - Automatização Instrumentos"/>
    <s v="Automatização Instrumentos"/>
    <s v="PECN - Coxilha Negra 2"/>
    <m/>
    <m/>
    <m/>
    <m/>
    <m/>
    <m/>
    <m/>
    <m/>
    <m/>
    <n v="50000"/>
    <m/>
    <m/>
    <n v="50000"/>
    <n v="50000"/>
    <n v="0"/>
    <n v="0"/>
    <n v="0"/>
    <n v="100000"/>
    <n v="0"/>
    <n v="0"/>
    <n v="0"/>
    <n v="0"/>
    <m/>
    <n v="100000"/>
  </r>
  <r>
    <m/>
    <e v="#REF!"/>
    <s v="Capex Orcamentário_PE2026_2030_COO_Rev1 - Gráficos.xlsx"/>
    <s v="COO"/>
    <s v="Lucas Martins"/>
    <m/>
    <e v="#REF!"/>
    <s v="Corporativo"/>
    <x v="0"/>
    <s v="Geração"/>
    <s v="Melhoria Pequeno Porte"/>
    <s v="Melhoria"/>
    <m/>
    <m/>
    <m/>
    <m/>
    <s v="Eólicas - Automatização Instrumentos"/>
    <s v="Automatização Instrumentos"/>
    <s v="PECN - Coxilha Negra 3"/>
    <m/>
    <m/>
    <m/>
    <m/>
    <m/>
    <m/>
    <m/>
    <m/>
    <m/>
    <n v="50000"/>
    <n v="100000"/>
    <m/>
    <n v="150000"/>
    <n v="150000"/>
    <n v="0"/>
    <n v="0"/>
    <n v="0"/>
    <n v="300000"/>
    <n v="0"/>
    <n v="0"/>
    <m/>
    <m/>
    <m/>
    <n v="300000"/>
  </r>
  <r>
    <m/>
    <e v="#REF!"/>
    <s v="Capex Orcamentário_PE2026_2030_COO_Rev1 - Gráficos.xlsx"/>
    <s v="COO"/>
    <s v="Lucas Martins"/>
    <m/>
    <e v="#REF!"/>
    <s v="Corporativo"/>
    <x v="0"/>
    <s v="Geração"/>
    <s v="Melhoria Pequeno Porte"/>
    <s v="Melhoria"/>
    <m/>
    <m/>
    <m/>
    <m/>
    <s v="Eólicas - Automatização Instrumentos"/>
    <s v="Automatização Instrumentos"/>
    <s v="PECN - Coxilha Negra 4"/>
    <m/>
    <m/>
    <m/>
    <m/>
    <m/>
    <m/>
    <m/>
    <m/>
    <m/>
    <m/>
    <n v="50000"/>
    <m/>
    <n v="50000"/>
    <n v="50000"/>
    <n v="0"/>
    <n v="0"/>
    <n v="0"/>
    <n v="100000"/>
    <n v="0"/>
    <m/>
    <n v="0"/>
    <n v="0"/>
    <m/>
    <n v="100000"/>
  </r>
  <r>
    <m/>
    <e v="#REF!"/>
    <s v="Capex Orcamentário_PE2026_2030_COO_Rev1 - Gráficos.xlsx"/>
    <s v="COO"/>
    <s v="Lucas Martins"/>
    <m/>
    <e v="#REF!"/>
    <s v="Corporativo"/>
    <x v="0"/>
    <s v="Geração"/>
    <s v="Segurança de Barragem"/>
    <s v="Segurança de Barragem"/>
    <m/>
    <m/>
    <m/>
    <m/>
    <s v="CAPEX 2024 - Sistema de sinalização de massa Sirenes UHPJ"/>
    <s v="Instalação de sirenes de evacuação de área ZAS - PAE"/>
    <s v="UHE Passo São João"/>
    <m/>
    <m/>
    <m/>
    <n v="36000"/>
    <m/>
    <m/>
    <m/>
    <n v="36000"/>
    <m/>
    <m/>
    <m/>
    <m/>
    <n v="72000"/>
    <m/>
    <n v="0"/>
    <n v="0"/>
    <n v="0"/>
    <n v="72000"/>
    <n v="0"/>
    <n v="0"/>
    <n v="0"/>
    <n v="0"/>
    <m/>
    <n v="72000"/>
  </r>
  <r>
    <m/>
    <e v="#REF!"/>
    <s v="Capex Orcamentário_PE2026_2030_COO_Rev1 - Gráficos.xlsx"/>
    <s v="COO"/>
    <s v="Lucas Martins"/>
    <m/>
    <e v="#REF!"/>
    <s v="Corporativo"/>
    <x v="0"/>
    <s v="Geração"/>
    <s v="Segurança de Barragem"/>
    <s v="Segurança de Barragem"/>
    <m/>
    <m/>
    <m/>
    <m/>
    <s v="CAPEX 2024 - Sistema de sinalização de massa Sirenes UHBC"/>
    <s v="Instalação de sirenes de evacuação de área ZAS - PAE"/>
    <s v="PCH Barra do Rio Chapéu"/>
    <m/>
    <m/>
    <m/>
    <n v="31000"/>
    <m/>
    <m/>
    <m/>
    <n v="31000"/>
    <m/>
    <m/>
    <m/>
    <m/>
    <n v="62000"/>
    <m/>
    <n v="0"/>
    <n v="0"/>
    <n v="0"/>
    <n v="62000"/>
    <n v="0"/>
    <n v="0"/>
    <n v="0"/>
    <n v="0"/>
    <m/>
    <n v="62000"/>
  </r>
  <r>
    <m/>
    <e v="#REF!"/>
    <s v="Capex Orcamentário_PE2026_2030_COO_Rev1 - Gráficos.xlsx"/>
    <s v="COO"/>
    <s v="Lucas Martins"/>
    <m/>
    <e v="#REF!"/>
    <s v="Corporativo"/>
    <x v="0"/>
    <s v="Geração"/>
    <s v="Segurança de Barragem"/>
    <s v="Segurança de Barragem"/>
    <m/>
    <m/>
    <m/>
    <m/>
    <s v="CAPEX 2025 - Instrumentos PZs Elétricos Fundação CCR"/>
    <s v="Instalação Instrumentos Elétricos na Barragem"/>
    <s v="PCH João Borges"/>
    <m/>
    <m/>
    <m/>
    <n v="400000"/>
    <n v="400000"/>
    <m/>
    <m/>
    <m/>
    <m/>
    <m/>
    <m/>
    <m/>
    <n v="800000"/>
    <m/>
    <n v="0"/>
    <n v="0"/>
    <n v="0"/>
    <n v="800000"/>
    <n v="0"/>
    <m/>
    <m/>
    <m/>
    <m/>
    <n v="800000"/>
  </r>
  <r>
    <m/>
    <e v="#REF!"/>
    <s v="Capex Orcamentário_PE2026_2030_COO_Rev1 - Gráficos.xlsx"/>
    <s v="COO"/>
    <s v="Lucas Martins"/>
    <m/>
    <e v="#REF!"/>
    <s v="Corporativo"/>
    <x v="0"/>
    <s v="Geração"/>
    <s v="Melhoria Pequeno Porte"/>
    <s v="Melhoria"/>
    <m/>
    <m/>
    <m/>
    <m/>
    <s v="Sistema de monitoramento de Vibrações"/>
    <s v="Análise preditiva da condição do ativo"/>
    <s v="UHE Passo São João"/>
    <m/>
    <m/>
    <m/>
    <m/>
    <m/>
    <m/>
    <m/>
    <m/>
    <m/>
    <m/>
    <m/>
    <m/>
    <n v="0"/>
    <n v="400000"/>
    <n v="0"/>
    <n v="0"/>
    <n v="0"/>
    <n v="400000"/>
    <n v="0"/>
    <n v="0"/>
    <n v="0"/>
    <n v="0"/>
    <m/>
    <n v="400000"/>
  </r>
  <r>
    <m/>
    <e v="#REF!"/>
    <s v="Capex Orcamentário_PE2026_2030_COO_Rev1 - Gráficos.xlsx"/>
    <s v="COO"/>
    <s v="Lucas Martins"/>
    <m/>
    <e v="#REF!"/>
    <s v="Corporativo"/>
    <x v="0"/>
    <s v="Geração"/>
    <s v="Melhoria Pequeno Porte"/>
    <s v="Melhoria"/>
    <m/>
    <m/>
    <m/>
    <m/>
    <s v="Substituição de Retificador (Carregador de Baterias) - 48 Vcc - SACC48 - RET1 na SE CCH Capacidade do novo equipamento:"/>
    <s v="Equipamento apresenta elevada taxa de falhas e baixo número de sobressalentes Fabricante não fornece sobressalentes, somente retrofit do sistema"/>
    <s v="SE Cerro Chato"/>
    <m/>
    <m/>
    <m/>
    <m/>
    <m/>
    <m/>
    <m/>
    <m/>
    <n v="5706"/>
    <m/>
    <m/>
    <m/>
    <n v="5706"/>
    <n v="46653"/>
    <n v="140414"/>
    <n v="94825"/>
    <n v="18781"/>
    <n v="306379"/>
    <n v="0"/>
    <n v="0"/>
    <n v="0"/>
    <n v="0"/>
    <n v="0"/>
    <n v="306379"/>
  </r>
  <r>
    <m/>
    <e v="#REF!"/>
    <s v="Capex Orcamentário_PE2026_2030_COO_Rev1 - Gráficos.xlsx"/>
    <s v="COO"/>
    <s v="Lucas Martins"/>
    <m/>
    <e v="#REF!"/>
    <s v="Corporativo"/>
    <x v="0"/>
    <s v="Geração"/>
    <s v="Melhoria Pequeno Porte"/>
    <s v="Melhoria"/>
    <m/>
    <m/>
    <m/>
    <m/>
    <s v="Substituição de Retificador (Carregador de Baterias) - 125 Vcc - SACC125 - RET1 na SE CCH Capacidade do novo equipamento:"/>
    <s v="Equipamento apresenta elevada taxa de falhas e baixo número de sobressalentes Fabricante não fornece sobressalentes, somente retrofit do sistema"/>
    <s v="SE Cerro Chato"/>
    <m/>
    <m/>
    <m/>
    <m/>
    <m/>
    <m/>
    <m/>
    <m/>
    <n v="2484"/>
    <m/>
    <m/>
    <m/>
    <n v="2484"/>
    <n v="34029"/>
    <n v="98315"/>
    <n v="66322"/>
    <n v="13136"/>
    <n v="214286"/>
    <n v="0"/>
    <n v="0"/>
    <n v="0"/>
    <n v="0"/>
    <n v="0"/>
    <n v="214286"/>
  </r>
  <r>
    <m/>
    <e v="#REF!"/>
    <s v="Capex Orcamentário_PE2026_2030_COO_Rev1 - Gráficos.xlsx"/>
    <s v="COO"/>
    <s v="Lucas Martins"/>
    <m/>
    <e v="#REF!"/>
    <s v="Corporativo"/>
    <x v="0"/>
    <s v="Geração"/>
    <s v="Melhoria Pequeno Porte"/>
    <s v="Melhoria"/>
    <m/>
    <m/>
    <m/>
    <m/>
    <s v="Substituição de Retificador (Carregador de Baterias) - 125 Vcc - SACC125 - RET2 na SE CCH Capacidade do novo equipamento:"/>
    <s v="Equipamento apresenta elevada taxa de falhas e baixo número de sobressalentes Fabricante não fornece sobressalentes, somente retrofit do sistema"/>
    <s v="SE Cerro Chato"/>
    <m/>
    <m/>
    <m/>
    <m/>
    <m/>
    <m/>
    <m/>
    <m/>
    <n v="2484"/>
    <m/>
    <m/>
    <m/>
    <n v="2484"/>
    <n v="34029"/>
    <n v="98315"/>
    <n v="66322"/>
    <n v="13136"/>
    <n v="214286"/>
    <n v="0"/>
    <n v="0"/>
    <n v="0"/>
    <n v="0"/>
    <n v="0"/>
    <n v="214286"/>
  </r>
  <r>
    <m/>
    <e v="#REF!"/>
    <s v="Capex Orcamentário_PE2026_2030_COO_Rev1 - Gráficos.xlsx"/>
    <s v="COO"/>
    <s v="Lucas Martins"/>
    <m/>
    <e v="#REF!"/>
    <s v="Corporativo"/>
    <x v="0"/>
    <s v="Geração"/>
    <s v="Melhoria Pequeno Porte"/>
    <s v="Melhoria"/>
    <m/>
    <m/>
    <m/>
    <m/>
    <s v="Substituição de Retificador (Carregador de Baterias) - 125 Vcc - SACC125 - RET1 na SE CCH Capacidade do novo equipamento:"/>
    <s v="Equipamento com degradação de desempenho, baixa confiabilidade e sem sobressalente"/>
    <s v="SE Cerro Chato"/>
    <m/>
    <m/>
    <m/>
    <m/>
    <m/>
    <m/>
    <m/>
    <m/>
    <n v="2484"/>
    <m/>
    <m/>
    <m/>
    <n v="2484"/>
    <n v="34029"/>
    <n v="98315"/>
    <n v="66322"/>
    <n v="13136"/>
    <n v="214286"/>
    <n v="0"/>
    <n v="0"/>
    <n v="0"/>
    <n v="0"/>
    <n v="0"/>
    <n v="214286"/>
  </r>
  <r>
    <m/>
    <e v="#REF!"/>
    <s v="Capex Orcamentário_PE2026_2030_COO_Rev1 - Gráficos.xlsx"/>
    <s v="COO"/>
    <s v="Lucas Martins"/>
    <m/>
    <e v="#REF!"/>
    <s v="Corporativo"/>
    <x v="0"/>
    <s v="Geração"/>
    <s v="Melhoria Pequeno Porte"/>
    <s v="Melhoria"/>
    <m/>
    <m/>
    <m/>
    <m/>
    <s v="Substituição de Retificador (Carregador de Baterias) - 125 Vcc - SACC125 - RET2 na SE CCH Capacidade do novo equipamento:"/>
    <s v="Equipamento com degradação de desempenho, baixa confiabilidade e sem sobressalente"/>
    <s v="SE Cerro Chato"/>
    <m/>
    <m/>
    <m/>
    <m/>
    <m/>
    <m/>
    <m/>
    <m/>
    <n v="2484"/>
    <m/>
    <m/>
    <m/>
    <n v="2484"/>
    <n v="34029"/>
    <n v="98315"/>
    <n v="66322"/>
    <n v="13136"/>
    <n v="214286"/>
    <n v="0"/>
    <n v="0"/>
    <n v="0"/>
    <n v="0"/>
    <n v="0"/>
    <n v="214286"/>
  </r>
  <r>
    <m/>
    <e v="#REF!"/>
    <s v="Capex Orcamentário_PE2026_2030_COO_Rev1 - Gráficos.xlsx"/>
    <s v="COO"/>
    <s v="Lucas Martins"/>
    <m/>
    <e v="#REF!"/>
    <s v="Corporativo"/>
    <x v="0"/>
    <s v="Geração"/>
    <s v="Melhoria Pequeno Porte"/>
    <s v="Melhoria"/>
    <m/>
    <m/>
    <m/>
    <m/>
    <s v="Aquisição de motobomba submersa sobressalente para o sistema de drenagem do vertedouro"/>
    <s v="Necessidade de aquisição de motobomba sobressalente devido a importância do equipamento para as instalações"/>
    <s v="UHE Passo São João"/>
    <m/>
    <m/>
    <m/>
    <m/>
    <m/>
    <m/>
    <n v="115000"/>
    <m/>
    <m/>
    <m/>
    <m/>
    <m/>
    <n v="115000"/>
    <n v="0"/>
    <n v="0"/>
    <n v="0"/>
    <n v="0"/>
    <n v="115000"/>
    <n v="0"/>
    <n v="0"/>
    <n v="0"/>
    <n v="0"/>
    <n v="0"/>
    <n v="115000"/>
  </r>
  <r>
    <m/>
    <e v="#REF!"/>
    <s v="Capex Orcamentário_PE2026_2030_COO_Rev1 - Gráficos.xlsx"/>
    <s v="COO"/>
    <s v="Lucas Martins"/>
    <m/>
    <e v="#REF!"/>
    <s v="Corporativo"/>
    <x v="0"/>
    <s v="Geração"/>
    <s v="Melhoria Pequeno Porte"/>
    <s v="Melhoria"/>
    <m/>
    <m/>
    <m/>
    <m/>
    <s v="Aquisição das CPUs sobressalentes para as unidades de aquisição e controle (UAC) na UHE São Domingos"/>
    <s v="Necessidade de aquisição de CPU sobressalente devido a importância do equipamento para as instalações"/>
    <s v="UHE São Domingos"/>
    <m/>
    <m/>
    <m/>
    <m/>
    <m/>
    <m/>
    <m/>
    <m/>
    <n v="70000"/>
    <m/>
    <m/>
    <m/>
    <n v="70000"/>
    <n v="0"/>
    <n v="0"/>
    <n v="0"/>
    <n v="0"/>
    <n v="70000"/>
    <n v="0"/>
    <n v="0"/>
    <n v="0"/>
    <n v="0"/>
    <n v="0"/>
    <n v="70000"/>
  </r>
  <r>
    <m/>
    <e v="#REF!"/>
    <s v="Capex Orcamentário_PE2026_2030_COO_Rev1 - Gráficos.xlsx"/>
    <s v="COO"/>
    <s v="Lucas Martins"/>
    <m/>
    <e v="#REF!"/>
    <s v="Corporativo"/>
    <x v="0"/>
    <s v="Geração"/>
    <s v="Melhoria Pequeno Porte"/>
    <s v="Melhoria"/>
    <m/>
    <m/>
    <m/>
    <m/>
    <s v="Substituição de Disjuntor tripolar 34,5kV, DJ212, referente ao TR 138/34KV TR1 na SE  ITR"/>
    <s v="Substituição de Disjuntor tripolar 34,5kV, DJ212, referente ao TR 138/34KV TR1 na SE  ITR. Associado à obra são esperadas substituições/adaptações de fundações, suportes, cabos de controle/potência, barramento, conectores e conexão de aterramento."/>
    <s v="SE Itararé"/>
    <m/>
    <m/>
    <m/>
    <m/>
    <m/>
    <m/>
    <m/>
    <m/>
    <m/>
    <m/>
    <m/>
    <m/>
    <n v="0"/>
    <m/>
    <n v="627000"/>
    <m/>
    <m/>
    <n v="627000"/>
    <m/>
    <m/>
    <m/>
    <m/>
    <m/>
    <n v="627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
  <r>
    <s v="COO.NO26.001"/>
    <x v="0"/>
    <s v="Sistemas de Monitoramento para Transformadores"/>
    <s v="Diversas UHE"/>
    <x v="0"/>
    <n v="0"/>
    <n v="7820000"/>
    <n v="4692000"/>
    <n v="0"/>
    <n v="12512000"/>
    <x v="0"/>
  </r>
  <r>
    <s v="COO.NO26.007"/>
    <x v="1"/>
    <s v="Unidade de filtração hidraulica do Regulador de velocidade com elemento absoluto e sistema monitoramento"/>
    <s v="UHE BALBINA"/>
    <x v="0"/>
    <n v="200000"/>
    <n v="650000"/>
    <n v="466666.67"/>
    <n v="0"/>
    <n v="1316666.67"/>
    <x v="1"/>
  </r>
  <r>
    <s v="COO.NO26.015"/>
    <x v="0"/>
    <s v="Aquisição de um Gerador Diesel de Emergência"/>
    <s v="UHE BALBINA"/>
    <x v="1"/>
    <n v="2000000"/>
    <n v="0"/>
    <n v="0"/>
    <n v="0"/>
    <n v="6000000"/>
    <x v="2"/>
  </r>
  <r>
    <s v="COO.NO26.053"/>
    <x v="2"/>
    <s v="Modernização RVT UHE Balbina"/>
    <s v="UHE BALBINA"/>
    <x v="0"/>
    <n v="20910319"/>
    <n v="6233333.3300000001"/>
    <n v="0"/>
    <n v="0"/>
    <n v="27143652.329999998"/>
    <x v="3"/>
  </r>
  <r>
    <s v="COO.NO26.054"/>
    <x v="0"/>
    <s v="SPCS balbina"/>
    <s v="UHE BALBINA"/>
    <x v="0"/>
    <n v="7200000"/>
    <n v="0"/>
    <n v="0"/>
    <n v="0"/>
    <n v="7200000"/>
    <x v="3"/>
  </r>
  <r>
    <s v="COO.NO26.055"/>
    <x v="0"/>
    <s v="MODERNIZAÇÃO DO SISTEMA DE AR DE REGULAÇÃO UHE BALBINA"/>
    <s v="UHE BALBINA"/>
    <x v="0"/>
    <n v="3000000"/>
    <n v="3000000"/>
    <n v="0"/>
    <n v="0"/>
    <n v="6000000"/>
    <x v="2"/>
  </r>
  <r>
    <s v="COO.NO26.056"/>
    <x v="3"/>
    <s v="MODERNIZAÇÃO DO SISTEMA RESFR. MANCAL COMBINADO UHE BALBINA"/>
    <s v="UHE BALBINA"/>
    <x v="0"/>
    <n v="3000000"/>
    <n v="500000"/>
    <n v="0"/>
    <n v="0"/>
    <n v="3500000"/>
    <x v="2"/>
  </r>
  <r>
    <s v="COO.NO26.061"/>
    <x v="1"/>
    <s v="MODERNIZAÇÃO DO SIST INJEÇÃO DE ÓLEO MANCAL ESCORA UHE BALBINA"/>
    <s v="UHE BALBINA"/>
    <x v="0"/>
    <n v="1200000"/>
    <n v="300000"/>
    <n v="0"/>
    <n v="0"/>
    <n v="1500000"/>
    <x v="2"/>
  </r>
  <r>
    <s v="COO.NO26.062"/>
    <x v="1"/>
    <s v="MODERNIZAÇÃO DO SISTEMA DE AR DE SERVIÇO UHE BALBINA"/>
    <s v="UHE BALBINA"/>
    <x v="0"/>
    <n v="500000"/>
    <n v="1000000"/>
    <n v="0"/>
    <n v="0"/>
    <n v="1500000"/>
    <x v="2"/>
  </r>
  <r>
    <s v="COO.NO26.063"/>
    <x v="1"/>
    <s v="MODERNIZACAO DO SISTEMA DRENAGEM TAMPA DA TURBINA UHE BALBINA"/>
    <s v="UHE BALBINA"/>
    <x v="0"/>
    <n v="600000"/>
    <n v="400000"/>
    <n v="0"/>
    <n v="0"/>
    <n v="1000000"/>
    <x v="2"/>
  </r>
  <r>
    <s v="COO.NO26.067"/>
    <x v="1"/>
    <s v="MODERNIZAÇÃO DO SISTEMA RESFR. MANCAL GERADOR UHE BALBINA"/>
    <s v="UHE BALBINA"/>
    <x v="0"/>
    <n v="1000000"/>
    <n v="0"/>
    <n v="0"/>
    <n v="0"/>
    <n v="1000000"/>
    <x v="2"/>
  </r>
  <r>
    <s v="COO.NO26.070"/>
    <x v="1"/>
    <s v="Instalar comando e controle sistema de drenagem e esgotamento da UHE Balbina"/>
    <s v="UHE BALBINA"/>
    <x v="0"/>
    <n v="800000"/>
    <n v="0"/>
    <n v="0"/>
    <n v="0"/>
    <n v="800000"/>
    <x v="3"/>
  </r>
  <r>
    <s v="COO.NO26.074"/>
    <x v="1"/>
    <s v="Implatação de rede aérea de alimentação na UHE Balbina"/>
    <s v="UHE BALBINA"/>
    <x v="0"/>
    <n v="600000"/>
    <n v="0"/>
    <n v="0"/>
    <n v="0"/>
    <n v="600000"/>
    <x v="3"/>
  </r>
  <r>
    <s v="COO.NO26.075"/>
    <x v="4"/>
    <s v="Modernização Comportas Tomada D'agua UHE BALBINA"/>
    <s v="UHE BALBINA"/>
    <x v="0"/>
    <n v="250000"/>
    <n v="250000"/>
    <n v="0"/>
    <n v="0"/>
    <n v="500000"/>
    <x v="1"/>
  </r>
  <r>
    <s v="COO.NO26.077"/>
    <x v="4"/>
    <s v="Modernização Comportas Vertedouro UHE BALBINA"/>
    <s v="UHE BALBINA"/>
    <x v="0"/>
    <n v="250000"/>
    <n v="250000"/>
    <n v="0"/>
    <n v="0"/>
    <n v="500000"/>
    <x v="1"/>
  </r>
  <r>
    <s v="COO.NO26.078"/>
    <x v="4"/>
    <s v="Modernização do Serviço Auxiliar 125 VCC UHE Balbina"/>
    <s v="UHE BALBINA"/>
    <x v="0"/>
    <n v="250000"/>
    <n v="250000"/>
    <n v="0"/>
    <n v="0"/>
    <n v="500000"/>
    <x v="1"/>
  </r>
  <r>
    <s v="COO.NO26.080"/>
    <x v="4"/>
    <s v="Modernização do Serviço Auxiliar 13,8 KVCA UHE Balbina"/>
    <s v="UHE BALBINA"/>
    <x v="0"/>
    <n v="250000"/>
    <n v="250000"/>
    <n v="0"/>
    <n v="0"/>
    <n v="500000"/>
    <x v="1"/>
  </r>
  <r>
    <s v="COO.NO26.081"/>
    <x v="4"/>
    <s v="Modernização dos Centros de Carga Miscelânea 380 VCA UHE Balbina"/>
    <s v="UHE BALBINA"/>
    <x v="0"/>
    <n v="250000"/>
    <n v="250000"/>
    <n v="0"/>
    <n v="0"/>
    <n v="500000"/>
    <x v="1"/>
  </r>
  <r>
    <s v="COO.NO26.082"/>
    <x v="4"/>
    <s v="Modernização Ponte Rolante UHE BALBINA"/>
    <s v="UHE BALBINA"/>
    <x v="0"/>
    <n v="250000"/>
    <n v="250000"/>
    <n v="0"/>
    <n v="0"/>
    <n v="500000"/>
    <x v="1"/>
  </r>
  <r>
    <s v="COO.NO26.085"/>
    <x v="4"/>
    <s v="Modernização Pórtico UHE BALBINA"/>
    <s v="UHE BALBINA"/>
    <x v="0"/>
    <n v="250000"/>
    <n v="250000"/>
    <n v="0"/>
    <n v="0"/>
    <n v="500000"/>
    <x v="1"/>
  </r>
  <r>
    <s v="COO.NO26.086"/>
    <x v="4"/>
    <s v="MODERNIZACAO SISTEMA DE CLORO BARRILHA UHE BALBINA"/>
    <s v="UHE BALBINA"/>
    <x v="0"/>
    <n v="250000"/>
    <n v="250000"/>
    <n v="0"/>
    <n v="0"/>
    <n v="500000"/>
    <x v="1"/>
  </r>
  <r>
    <s v="COO.NO26.089"/>
    <x v="4"/>
    <s v="Atualização dos Servidores do SPCS"/>
    <s v="UHE BALBINA"/>
    <x v="0"/>
    <n v="250000"/>
    <n v="0"/>
    <n v="0"/>
    <n v="0"/>
    <n v="250000"/>
    <x v="3"/>
  </r>
  <r>
    <s v="COO.NO26.090"/>
    <x v="4"/>
    <s v="MODERNIZAÇÃO DOS ANÉIS COLETORES COM INSTALAÇÃO DE SISTEMA DE LIMPEZA AUTOMÁTICA UHE BALBINA"/>
    <s v="UHE BALBINA"/>
    <x v="0"/>
    <n v="100000"/>
    <n v="0"/>
    <n v="0"/>
    <n v="0"/>
    <n v="100000"/>
    <x v="1"/>
  </r>
  <r>
    <s v="COO.NO26.041"/>
    <x v="1"/>
    <s v="Sistema de Ventilação e exaustão das  galerias da UHE Balbina."/>
    <s v="UHE BALBINA"/>
    <x v="2"/>
    <n v="500000"/>
    <n v="0"/>
    <n v="0"/>
    <n v="0"/>
    <n v="1100000"/>
    <x v="2"/>
  </r>
  <r>
    <s v="COO.NO26.045"/>
    <x v="4"/>
    <s v="Superação equipamentos vão da UG 03 da UHCN"/>
    <s v="UHE Coaracy Nunes "/>
    <x v="3"/>
    <n v="0"/>
    <n v="0"/>
    <n v="0"/>
    <n v="0"/>
    <n v="200000"/>
    <x v="4"/>
  </r>
  <r>
    <s v="COO.NO26.069"/>
    <x v="3"/>
    <s v="Modernização Sistema de Proteção CNUGH-01 / CNUGH-02"/>
    <s v="UHE Coaracy Nunes "/>
    <x v="0"/>
    <n v="1000000"/>
    <n v="3000000"/>
    <n v="500000"/>
    <n v="0"/>
    <n v="4500000"/>
    <x v="3"/>
  </r>
  <r>
    <s v="COO.NO26.071"/>
    <x v="3"/>
    <s v="Modernização Ponte rolante da UHCN"/>
    <s v="UHE Coaracy Nunes "/>
    <x v="0"/>
    <n v="0"/>
    <n v="1000000"/>
    <n v="2000000"/>
    <n v="1000000"/>
    <n v="4000000"/>
    <x v="1"/>
  </r>
  <r>
    <s v="COO.NO26.084"/>
    <x v="3"/>
    <s v="Modernização do Painel de comando dos GDE's"/>
    <s v="UHE Coaracy Nunes "/>
    <x v="0"/>
    <n v="1000000"/>
    <n v="500000"/>
    <n v="1000000"/>
    <n v="0"/>
    <n v="2500000"/>
    <x v="1"/>
  </r>
  <r>
    <s v="COO.NO26.104"/>
    <x v="1"/>
    <s v="Aquisição de novo GDE de 400KVA"/>
    <s v="UHE Coaracy Nunes "/>
    <x v="0"/>
    <n v="600000"/>
    <n v="300000"/>
    <n v="0"/>
    <n v="0"/>
    <n v="900000"/>
    <x v="1"/>
  </r>
  <r>
    <s v="COO.NO26.118"/>
    <x v="4"/>
    <s v="Modernização Sistema de Supervisão da UHCN"/>
    <s v="UHE Coaracy Nunes "/>
    <x v="0"/>
    <n v="250000"/>
    <n v="250000"/>
    <n v="0"/>
    <n v="0"/>
    <n v="500000"/>
    <x v="3"/>
  </r>
  <r>
    <s v="COO.NO26.029"/>
    <x v="0"/>
    <s v="Sobressalentes Estrategicos UHCN"/>
    <s v="UHE Coaracy Nunes "/>
    <x v="4"/>
    <n v="3200000"/>
    <n v="1800000"/>
    <n v="0"/>
    <n v="0"/>
    <n v="5500000"/>
    <x v="5"/>
  </r>
  <r>
    <s v="COO.NO26.059"/>
    <x v="0"/>
    <s v="Revitalização do Vertedouro da UHCN"/>
    <s v="UHE Coaracy Nunes "/>
    <x v="0"/>
    <n v="7500000"/>
    <n v="7500000"/>
    <n v="0"/>
    <n v="0"/>
    <n v="15000000"/>
    <x v="5"/>
  </r>
  <r>
    <s v="COO.NO26.028"/>
    <x v="3"/>
    <s v="Modernização da instrumentação da UHE Curuá-Una CUUGH01, 02 e 03 "/>
    <s v="UHE Curuá Una"/>
    <x v="5"/>
    <n v="2100000"/>
    <n v="0"/>
    <n v="0"/>
    <n v="0"/>
    <n v="3100000"/>
    <x v="1"/>
  </r>
  <r>
    <s v="COO.NO26.043"/>
    <x v="1"/>
    <s v="Modernização da subestação 138kV da UHE."/>
    <s v="UHE Curuá Una"/>
    <x v="6"/>
    <n v="900000"/>
    <n v="0"/>
    <n v="0"/>
    <n v="0"/>
    <n v="1477030.003"/>
    <x v="4"/>
  </r>
  <r>
    <s v="COO.NO26.017"/>
    <x v="0"/>
    <s v="Substituição de transformador para a UHE Curuá-Una - UGH02 e reserva"/>
    <s v="UHE Curuá Una"/>
    <x v="7"/>
    <n v="1500000"/>
    <n v="2000000"/>
    <n v="0"/>
    <n v="0"/>
    <n v="6500000"/>
    <x v="1"/>
  </r>
  <r>
    <s v="COO.NO26.018"/>
    <x v="3"/>
    <s v="MODERNIZAÇÃO DO RTVX DAS UGHs 01,02 e 03"/>
    <s v="UHE Curuá Una"/>
    <x v="7"/>
    <n v="0"/>
    <n v="0"/>
    <n v="0"/>
    <n v="0"/>
    <n v="3000000"/>
    <x v="3"/>
  </r>
  <r>
    <s v="COO.NO26.073"/>
    <x v="3"/>
    <s v="Modernização das turbinas hidráulicas da UHE Curuá-Una UGH01.02 e 03"/>
    <s v="UHE Curuá Una"/>
    <x v="0"/>
    <n v="3600000"/>
    <n v="0"/>
    <n v="0"/>
    <n v="0"/>
    <n v="3600000"/>
    <x v="0"/>
  </r>
  <r>
    <s v="COO.NO26.076"/>
    <x v="3"/>
    <s v="Modernização do serviço auxiliar da usina, com substituição de cubículos e gavetas do circuito CA "/>
    <s v="UHE Curuá Una"/>
    <x v="0"/>
    <n v="2000000"/>
    <n v="1500000"/>
    <n v="0"/>
    <n v="0"/>
    <n v="3500000"/>
    <x v="1"/>
  </r>
  <r>
    <s v="COO.NO26.091"/>
    <x v="1"/>
    <s v="Modernização do geradores elétricos da UHE Curuá-Uma-UGH01, 02 e 03"/>
    <s v="UHE Curuá Una"/>
    <x v="0"/>
    <n v="1800000"/>
    <n v="0"/>
    <n v="0"/>
    <n v="0"/>
    <n v="1800000"/>
    <x v="0"/>
  </r>
  <r>
    <s v="COO.NO26.097"/>
    <x v="1"/>
    <s v="Modernização da Ponte Rolante e Porticos da Casa de Força e Vertedouro"/>
    <s v="UHE Curuá Una"/>
    <x v="0"/>
    <n v="600000"/>
    <n v="600000"/>
    <n v="0"/>
    <n v="0"/>
    <n v="1200000"/>
    <x v="1"/>
  </r>
  <r>
    <s v="COO.NO26.107"/>
    <x v="4"/>
    <s v="Modernização do disjuntor da LT CUTA-LI5-01 da UHE Curuá-Una"/>
    <s v="UHE Curuá Una"/>
    <x v="0"/>
    <n v="500000"/>
    <n v="0"/>
    <n v="0"/>
    <n v="0"/>
    <n v="500000"/>
    <x v="6"/>
  </r>
  <r>
    <s v="COO.NO26.123"/>
    <x v="4"/>
    <s v="Estação de tratamento de agua de serviço para minimizar a contaminação ferro bactéria"/>
    <s v="UHE Curuá Una"/>
    <x v="0"/>
    <n v="250000"/>
    <n v="0"/>
    <n v="0"/>
    <n v="0"/>
    <n v="250000"/>
    <x v="1"/>
  </r>
  <r>
    <s v="COO.NO26.079"/>
    <x v="3"/>
    <s v="Instalação de câmeras interna e externa a casa de força"/>
    <s v="UHE Curuá Una"/>
    <x v="0"/>
    <n v="3000000"/>
    <n v="0"/>
    <n v="0"/>
    <n v="0"/>
    <n v="3000000"/>
    <x v="6"/>
  </r>
  <r>
    <s v="COO.NO26.083"/>
    <x v="3"/>
    <s v="Substituição de cadeias de isoladores da linha CUTA"/>
    <s v="UHE Curuá Una"/>
    <x v="0"/>
    <n v="3000000"/>
    <n v="0"/>
    <n v="0"/>
    <n v="0"/>
    <n v="3000000"/>
    <x v="7"/>
  </r>
  <r>
    <s v="COO.NO26.098"/>
    <x v="1"/>
    <s v="Substituição dos cabos para-raios da LT CUTA-LI5-01 da UHE Curuá-Una"/>
    <s v="UHE Curuá Una"/>
    <x v="0"/>
    <n v="1100000"/>
    <n v="0"/>
    <n v="0"/>
    <n v="0"/>
    <n v="1100000"/>
    <x v="7"/>
  </r>
  <r>
    <s v="COO.NO26.122"/>
    <x v="4"/>
    <s v="Modernização do conjunto de TCs da LT CUTA-LI5-01 da UHE Curuá-Una"/>
    <s v="UHE Curuá Una"/>
    <x v="0"/>
    <n v="500000"/>
    <n v="0"/>
    <n v="0"/>
    <n v="0"/>
    <n v="500000"/>
    <x v="6"/>
  </r>
  <r>
    <s v="COO.NO26.003"/>
    <x v="0"/>
    <s v="SISTEMA DE ALIMENTAÇÃO -48VCC"/>
    <s v="UHE Curuá Una"/>
    <x v="8"/>
    <n v="2790000"/>
    <n v="678000"/>
    <n v="0"/>
    <n v="0"/>
    <n v="5730000"/>
    <x v="8"/>
  </r>
  <r>
    <s v="COO.NO26.101"/>
    <x v="1"/>
    <s v="OPGW CURUÁ-UNA/TAPAJÓS"/>
    <s v="UHE Curuá Una"/>
    <x v="0"/>
    <n v="1000000"/>
    <n v="0"/>
    <n v="0"/>
    <n v="0"/>
    <n v="1000000"/>
    <x v="8"/>
  </r>
  <r>
    <s v="COO.NO26.031"/>
    <x v="3"/>
    <s v="Modernização do cubículo de  6,9kV para a UHE Curuá-Una"/>
    <s v="UHE Curuá Una"/>
    <x v="5"/>
    <n v="1000000"/>
    <n v="700000"/>
    <n v="0"/>
    <n v="0"/>
    <n v="2700000"/>
    <x v="1"/>
  </r>
  <r>
    <s v="COO.NO26.039"/>
    <x v="1"/>
    <s v="Modernização dos mancais de guia da Turbina CUUGH01, 02 e 03"/>
    <s v="UHE Curuá Una"/>
    <x v="2"/>
    <n v="1200000"/>
    <n v="0"/>
    <n v="0"/>
    <n v="0"/>
    <n v="1800000"/>
    <x v="1"/>
  </r>
  <r>
    <s v="COO.NO26.040"/>
    <x v="1"/>
    <s v="Modernizaçãosistema de resfriamento das uidades geradoras da UHE Curuá-Una"/>
    <s v="UHE Curuá Una"/>
    <x v="2"/>
    <n v="600000"/>
    <n v="0"/>
    <n v="0"/>
    <n v="0"/>
    <n v="1200000"/>
    <x v="6"/>
  </r>
  <r>
    <s v="COO.NO26.042"/>
    <x v="1"/>
    <s v="Aquisição das bombas do sistema de regulação de velocidade da UHE Curuá-Una UGH01,02,03"/>
    <s v="UHE Curuá Una"/>
    <x v="2"/>
    <n v="0"/>
    <n v="0"/>
    <n v="0"/>
    <n v="0"/>
    <n v="600000"/>
    <x v="6"/>
  </r>
  <r>
    <s v="COO.NO26.050"/>
    <x v="1"/>
    <s v="Implantação da mesa de comando da sala de controle da UHE Curuá-Una"/>
    <s v="UHE Curuá Una"/>
    <x v="9"/>
    <n v="500000"/>
    <n v="0"/>
    <n v="0"/>
    <n v="0"/>
    <n v="600000"/>
    <x v="6"/>
  </r>
  <r>
    <s v="COO.NO26.014"/>
    <x v="2"/>
    <s v="Modernização RVT UHE Samuel"/>
    <s v="UHE Samuel"/>
    <x v="1"/>
    <n v="23500000"/>
    <n v="0"/>
    <n v="0"/>
    <n v="0"/>
    <n v="27500000"/>
    <x v="3"/>
  </r>
  <r>
    <s v="COO.NO26.060"/>
    <x v="0"/>
    <s v="Aquisição de transformador elevador 13,8/230 kV, 59 MVA para a UHE Samuel"/>
    <s v="UHE Samuel"/>
    <x v="0"/>
    <n v="6000000"/>
    <n v="6000000"/>
    <n v="0"/>
    <n v="0"/>
    <n v="12000000"/>
    <x v="9"/>
  </r>
  <r>
    <s v="COO.NO26.092"/>
    <x v="1"/>
    <s v="Aquisição Pára Raios 230KV"/>
    <s v="UHE Samuel"/>
    <x v="0"/>
    <n v="1750000"/>
    <n v="0"/>
    <n v="0"/>
    <n v="0"/>
    <n v="1750000"/>
    <x v="4"/>
  </r>
  <r>
    <s v="COO.NO26.093"/>
    <x v="1"/>
    <s v="Aquisição TPC 230KV"/>
    <s v="UHE Samuel"/>
    <x v="0"/>
    <n v="1750000"/>
    <n v="0"/>
    <n v="0"/>
    <n v="0"/>
    <n v="1750000"/>
    <x v="4"/>
  </r>
  <r>
    <s v="COO.NO26.108"/>
    <x v="4"/>
    <s v="Integração de Sistemas ao Supervisório"/>
    <s v="UHE Samuel"/>
    <x v="0"/>
    <n v="250000"/>
    <n v="250000"/>
    <n v="0"/>
    <n v="0"/>
    <n v="500000"/>
    <x v="3"/>
  </r>
  <r>
    <s v="COO.NO26.109"/>
    <x v="4"/>
    <s v="Modernização Comportas de Emergência UHE SAMUEL"/>
    <s v="UHE Samuel"/>
    <x v="0"/>
    <n v="250000"/>
    <n v="250000"/>
    <n v="0"/>
    <n v="0"/>
    <n v="500000"/>
    <x v="1"/>
  </r>
  <r>
    <s v="COO.NO26.110"/>
    <x v="4"/>
    <s v="Modernização Comportas Vertedouro UHE SAMUEL"/>
    <s v="UHE Samuel"/>
    <x v="0"/>
    <n v="250000"/>
    <n v="250000"/>
    <n v="0"/>
    <n v="0"/>
    <n v="500000"/>
    <x v="1"/>
  </r>
  <r>
    <s v="COO.NO26.111"/>
    <x v="4"/>
    <s v="Modernização do Serviço Auxiliar 125 VCC UHE SAMUEL"/>
    <s v="UHE Samuel"/>
    <x v="0"/>
    <n v="250000"/>
    <n v="250000"/>
    <n v="0"/>
    <n v="0"/>
    <n v="500000"/>
    <x v="1"/>
  </r>
  <r>
    <s v="COO.NO26.112"/>
    <x v="4"/>
    <s v="Modernização do Serviço Auxiliar 13,8 KVCA UHE SAMUEL"/>
    <s v="UHE Samuel"/>
    <x v="0"/>
    <n v="250000"/>
    <n v="250000"/>
    <n v="0"/>
    <n v="0"/>
    <n v="500000"/>
    <x v="1"/>
  </r>
  <r>
    <s v="COO.NO26.113"/>
    <x v="4"/>
    <s v="Modernização dos Centros de Carga Miscelânea 380 VCA UHE SAMUEL"/>
    <s v="UHE Samuel"/>
    <x v="0"/>
    <n v="250000"/>
    <n v="250000"/>
    <n v="0"/>
    <n v="0"/>
    <n v="500000"/>
    <x v="1"/>
  </r>
  <r>
    <s v="COO.NO26.114"/>
    <x v="4"/>
    <s v="Modernização Pontes Rolantes UHE SAMUEL"/>
    <s v="UHE Samuel"/>
    <x v="0"/>
    <n v="250000"/>
    <n v="250000"/>
    <n v="0"/>
    <n v="0"/>
    <n v="500000"/>
    <x v="1"/>
  </r>
  <r>
    <s v="COO.NO26.115"/>
    <x v="4"/>
    <s v="Modernização Pórtico UHE SAMUEL"/>
    <s v="UHE Samuel"/>
    <x v="0"/>
    <n v="250000"/>
    <n v="250000"/>
    <n v="0"/>
    <n v="0"/>
    <n v="500000"/>
    <x v="1"/>
  </r>
  <r>
    <s v="COO.NO26.116"/>
    <x v="4"/>
    <s v="Modernização RDPs UHE Samuel"/>
    <s v="UHE Samuel"/>
    <x v="0"/>
    <n v="250000"/>
    <n v="250000"/>
    <n v="0"/>
    <n v="0"/>
    <n v="500000"/>
    <x v="3"/>
  </r>
  <r>
    <s v="COO.NO26.117"/>
    <x v="4"/>
    <s v="Modernização Sistema Anti-Incêndio UHE SAMUEL"/>
    <s v="UHE Samuel"/>
    <x v="0"/>
    <n v="250000"/>
    <n v="250000"/>
    <n v="0"/>
    <n v="0"/>
    <n v="500000"/>
    <x v="1"/>
  </r>
  <r>
    <s v="COO.NO26.119"/>
    <x v="4"/>
    <s v="Revitalização de Painéis Elétricos"/>
    <s v="UHE Samuel"/>
    <x v="0"/>
    <n v="250000"/>
    <n v="250000"/>
    <n v="0"/>
    <n v="0"/>
    <n v="500000"/>
    <x v="1"/>
  </r>
  <r>
    <s v="COO.NO26.120"/>
    <x v="4"/>
    <s v="Substituição Transformador Regulador 01 13,8 KVCA UHE SAMUEL"/>
    <s v="UHE Samuel"/>
    <x v="0"/>
    <n v="250000"/>
    <n v="250000"/>
    <n v="0"/>
    <n v="0"/>
    <n v="500000"/>
    <x v="1"/>
  </r>
  <r>
    <s v="COO.NO26.121"/>
    <x v="4"/>
    <s v="Substituição Transformador Serviço Auxiliar 01 13,8/0,38 KVCA UHE SAMUEL"/>
    <s v="UHE Samuel"/>
    <x v="0"/>
    <n v="250000"/>
    <n v="250000"/>
    <n v="0"/>
    <n v="0"/>
    <n v="500000"/>
    <x v="1"/>
  </r>
  <r>
    <s v="COO.NO26.035"/>
    <x v="4"/>
    <s v="Aquisição de banco de baterias 125VCC"/>
    <s v="UHE Samuel"/>
    <x v="10"/>
    <n v="200000"/>
    <n v="0"/>
    <n v="0"/>
    <n v="0"/>
    <n v="500000"/>
    <x v="4"/>
  </r>
  <r>
    <s v="COO.NO26.037"/>
    <x v="0"/>
    <s v="Aquisição Disjuntor 230KV"/>
    <s v="UHE Samuel"/>
    <x v="11"/>
    <n v="4560250"/>
    <n v="0"/>
    <n v="0"/>
    <n v="0"/>
    <n v="5472300"/>
    <x v="4"/>
  </r>
  <r>
    <s v="COO.NO26.002"/>
    <x v="4"/>
    <s v="Monitoramento de buchas de transformador"/>
    <s v="UHE Samuel"/>
    <x v="12"/>
    <n v="0"/>
    <n v="0"/>
    <n v="0"/>
    <n v="0"/>
    <n v="450000"/>
    <x v="10"/>
  </r>
  <r>
    <s v="COO.NO26.005"/>
    <x v="2"/>
    <s v="Modernização SPCS+ UHE Tucuruí"/>
    <s v="UHE Tucuruí"/>
    <x v="13"/>
    <n v="186404977.93658334"/>
    <n v="138328625.18250006"/>
    <n v="69976375.790000007"/>
    <n v="500000"/>
    <n v="544673976.66908336"/>
    <x v="11"/>
  </r>
  <r>
    <s v="COO.NO26.008"/>
    <x v="2"/>
    <s v="Substituição Transformador 550kV UHE Tucuruí (5 trafo)"/>
    <s v="UHE Tucuruí"/>
    <x v="14"/>
    <n v="165692110.97322997"/>
    <n v="0"/>
    <n v="0"/>
    <n v="0"/>
    <n v="196434229.58097497"/>
    <x v="11"/>
  </r>
  <r>
    <s v="COO.NO26.006"/>
    <x v="2"/>
    <s v="Substituição GIS UHE Tucuruí"/>
    <s v="UHE Tucuruí"/>
    <x v="15"/>
    <n v="10144019.02"/>
    <n v="221463.61"/>
    <n v="0"/>
    <n v="0"/>
    <n v="48621686.62333332"/>
    <x v="11"/>
  </r>
  <r>
    <s v="COO.NO26.009"/>
    <x v="0"/>
    <s v="Modernização do pórtico tomada d'água da UHE Tucuruí"/>
    <s v="UHE Tucuruí"/>
    <x v="16"/>
    <n v="0"/>
    <n v="0"/>
    <n v="0"/>
    <n v="0"/>
    <n v="10000000"/>
    <x v="1"/>
  </r>
  <r>
    <s v="COO.NO26.010"/>
    <x v="0"/>
    <s v="Curva CAV - UHE Tucuruí e UHE Samuel"/>
    <s v="UHE Tucuruí"/>
    <x v="17"/>
    <n v="0"/>
    <n v="0"/>
    <n v="0"/>
    <n v="0"/>
    <n v="8500000"/>
    <x v="12"/>
  </r>
  <r>
    <s v="COO.NO26.016"/>
    <x v="0"/>
    <s v="Revitalização de transformador para a  UHE Tucurui"/>
    <s v="UHE Tucuruí"/>
    <x v="7"/>
    <n v="7500000"/>
    <n v="5000000"/>
    <n v="0"/>
    <n v="0"/>
    <n v="15500000"/>
    <x v="1"/>
  </r>
  <r>
    <s v="COO.NO26.032"/>
    <x v="3"/>
    <s v="Modernização do sistema de resfriamento dos mancais da CFI da UHE Tucuruí"/>
    <s v="UHE Tucuruí"/>
    <x v="5"/>
    <n v="1500000"/>
    <n v="0"/>
    <n v="0"/>
    <n v="0"/>
    <n v="2500000"/>
    <x v="1"/>
  </r>
  <r>
    <s v="COO.NO26.022"/>
    <x v="1"/>
    <s v="Aquisição de 02 (duas) válvulas de isolamento motorizadas de 10” para aplicação no sistema de injeção de ar de rebaixamento da Central AN 01 - UGH 02"/>
    <s v="UHE Tucuruí"/>
    <x v="18"/>
    <n v="0"/>
    <n v="0"/>
    <n v="0"/>
    <n v="0"/>
    <n v="1824336"/>
    <x v="13"/>
  </r>
  <r>
    <s v="COO.NO26.036"/>
    <x v="3"/>
    <s v="REDE MPLS ELETRONORTE"/>
    <s v="UHE Tucuruí"/>
    <x v="19"/>
    <n v="1000000"/>
    <n v="100000"/>
    <n v="0"/>
    <n v="0"/>
    <n v="2050000"/>
    <x v="8"/>
  </r>
  <r>
    <s v="COO.NO26.020"/>
    <x v="3"/>
    <s v="Modernização das estruturas metálicas da UHE Tucuruí"/>
    <s v="UHE Tucuruí"/>
    <x v="20"/>
    <n v="2000000"/>
    <n v="1000000"/>
    <n v="0"/>
    <n v="0"/>
    <n v="5000000"/>
    <x v="13"/>
  </r>
  <r>
    <s v="COO.NO26.066"/>
    <x v="3"/>
    <s v="Aquisição de Sistema de Incendio  UHE Tucuruí - CF  I e CF II"/>
    <s v="UHE Tucuruí"/>
    <x v="0"/>
    <n v="1300000"/>
    <n v="1300000"/>
    <n v="1950000"/>
    <n v="0"/>
    <n v="4550000"/>
    <x v="14"/>
  </r>
  <r>
    <s v="COO.NO26.011"/>
    <x v="2"/>
    <s v="Recuperação de cavitação e trincas nas UGHs da CF1 e CF2"/>
    <s v="UHE Tucuruí"/>
    <x v="21"/>
    <n v="7000000"/>
    <n v="4000000"/>
    <n v="4000000"/>
    <n v="0"/>
    <n v="21000000"/>
    <x v="13"/>
  </r>
  <r>
    <s v="COO.NO26.012"/>
    <x v="0"/>
    <s v="Modernização de 02 Transformadores elevadores de 69kV (UGHs 24 e 25) da UHE Tucuruí"/>
    <s v="UHE Tucuruí"/>
    <x v="22"/>
    <n v="6750000"/>
    <n v="5000000"/>
    <n v="0"/>
    <n v="0"/>
    <n v="16750000"/>
    <x v="1"/>
  </r>
  <r>
    <s v="COO.NO26.013"/>
    <x v="0"/>
    <s v="Modernização do sistema de resfriamento da UHE Tucuruí - Projeto Siri"/>
    <s v="UHE Tucuruí"/>
    <x v="22"/>
    <n v="2500000"/>
    <n v="0"/>
    <n v="0"/>
    <n v="0"/>
    <n v="7500000"/>
    <x v="1"/>
  </r>
  <r>
    <s v="COO.NO26.019"/>
    <x v="0"/>
    <s v="Modernização dos Stop Logs da UHE Tucuruí"/>
    <s v="UHE Tucuruí"/>
    <x v="23"/>
    <n v="4000000"/>
    <n v="2000000"/>
    <n v="0"/>
    <n v="0"/>
    <n v="8980204"/>
    <x v="13"/>
  </r>
  <r>
    <s v="COO.NO26.064"/>
    <x v="0"/>
    <s v="Modernização de 01 transformador monofásico 13,8kV (trafo limitador) CF2 da UHE Tucuruí"/>
    <s v="UHE Tucuruí"/>
    <x v="0"/>
    <n v="2000000"/>
    <n v="2500000"/>
    <n v="1500000"/>
    <n v="0"/>
    <n v="6000000"/>
    <x v="1"/>
  </r>
  <r>
    <s v="COO.NO26.072"/>
    <x v="3"/>
    <s v="Modernização do sistema de resfriamento em circuito fechado dos equipamentos da UHE Tucuruí"/>
    <s v="UHE Tucuruí"/>
    <x v="0"/>
    <n v="1000000"/>
    <n v="3000000"/>
    <n v="0"/>
    <n v="0"/>
    <n v="4000000"/>
    <x v="0"/>
  </r>
  <r>
    <s v="COO.NO26.088"/>
    <x v="3"/>
    <s v="Aquisição e instalação de tubulação de Sistema de de drenagem de poços - CF I"/>
    <s v="UHE Tucuruí"/>
    <x v="0"/>
    <n v="1000000"/>
    <n v="1000000"/>
    <n v="500000"/>
    <n v="0"/>
    <n v="2500000"/>
    <x v="13"/>
  </r>
  <r>
    <s v="COO.NO26.099"/>
    <x v="1"/>
    <s v="Revitalização ETE"/>
    <s v="UHE Tucuruí"/>
    <x v="0"/>
    <n v="1000000"/>
    <n v="0"/>
    <n v="0"/>
    <n v="0"/>
    <n v="1000000"/>
    <x v="0"/>
  </r>
  <r>
    <s v="COO.NO26.100"/>
    <x v="1"/>
    <s v="RevitalizaçãoSistema de Água Tratada"/>
    <s v="UHE Tucuruí"/>
    <x v="0"/>
    <n v="1000000"/>
    <n v="0"/>
    <n v="0"/>
    <n v="0"/>
    <n v="1000000"/>
    <x v="0"/>
  </r>
  <r>
    <s v="COO.NO26.105"/>
    <x v="1"/>
    <s v="sistema de ventilação e exaustão CF1, CF2, vertedouro e tomada agua"/>
    <s v="UHE Tucuruí"/>
    <x v="0"/>
    <n v="900000"/>
    <n v="0"/>
    <n v="0"/>
    <n v="0"/>
    <n v="900000"/>
    <x v="14"/>
  </r>
  <r>
    <s v="COO.NO26.106"/>
    <x v="1"/>
    <s v="sistema de drenagem tampa turbina CF1, UG01,02,03,04,05,06,07,08,09,10,11 e 12"/>
    <s v="UHE Tucuruí"/>
    <x v="0"/>
    <n v="720000"/>
    <n v="0"/>
    <n v="0"/>
    <n v="0"/>
    <n v="720000"/>
    <x v="1"/>
  </r>
  <r>
    <s v="COO.NO26.004"/>
    <x v="0"/>
    <s v="Aquisição das rodas das comportas de emergência da UHE Tucuruí"/>
    <s v="UHE Tucuruí"/>
    <x v="5"/>
    <n v="2500000"/>
    <n v="2500000"/>
    <n v="0"/>
    <n v="0"/>
    <n v="6000000"/>
    <x v="0"/>
  </r>
  <r>
    <s v="COO.NO26.021"/>
    <x v="0"/>
    <s v="Modernização Pórtico UHE Tucuruí"/>
    <s v="UHE Tucuruí"/>
    <x v="24"/>
    <n v="7400000"/>
    <n v="4000000"/>
    <n v="5000000"/>
    <n v="0"/>
    <n v="18400000"/>
    <x v="1"/>
  </r>
  <r>
    <s v="COO.NO26.034"/>
    <x v="1"/>
    <s v="Aquisição de conjunto completo da junta de vedação do eixo (UGH18): parte fixa e móvel"/>
    <s v="UHE Tucuruí"/>
    <x v="25"/>
    <n v="350000"/>
    <n v="0"/>
    <n v="0"/>
    <n v="0"/>
    <n v="700000"/>
    <x v="13"/>
  </r>
  <r>
    <s v="COO.NO26.038"/>
    <x v="1"/>
    <s v="Reserva Imobilizada para UHE Tucuruí (Sistema Gerador)"/>
    <s v="UHE Tucuruí"/>
    <x v="26"/>
    <n v="900000"/>
    <n v="750000"/>
    <n v="0"/>
    <n v="0"/>
    <n v="1900000"/>
    <x v="15"/>
  </r>
  <r>
    <s v="COO.NO26.023"/>
    <x v="3"/>
    <s v="Implantação do sistema de injeção química para combate ao mexilhão dourado na UHE Tucuruí"/>
    <s v="UHE Tucuruí"/>
    <x v="27"/>
    <n v="557200"/>
    <n v="0"/>
    <n v="0"/>
    <n v="0"/>
    <n v="2357200"/>
    <x v="1"/>
  </r>
  <r>
    <s v="COO.NO26.044"/>
    <x v="1"/>
    <s v="Reserva imobilizada para UHE Tucuruí (GIS)"/>
    <s v="UHE Tucuruí"/>
    <x v="28"/>
    <n v="900000"/>
    <n v="850000"/>
    <n v="0"/>
    <n v="0"/>
    <n v="1900000"/>
    <x v="15"/>
  </r>
  <r>
    <s v="COO.NO26.046"/>
    <x v="1"/>
    <s v="Reserva imobilizada para UHE Tucuruí (Transformador)"/>
    <s v="UHE Tucuruí"/>
    <x v="3"/>
    <n v="900000"/>
    <n v="800000"/>
    <n v="0"/>
    <n v="0"/>
    <n v="1900000"/>
    <x v="1"/>
  </r>
  <r>
    <s v="COO.NO26.024"/>
    <x v="1"/>
    <s v="Aquisição de compressores para aplicação no sistema de ar de rebaixamento "/>
    <s v="UHE Tucuruí"/>
    <x v="29"/>
    <n v="0"/>
    <n v="0"/>
    <n v="0"/>
    <n v="0"/>
    <n v="1680000"/>
    <x v="13"/>
  </r>
  <r>
    <s v="COO.NO26.058"/>
    <x v="2"/>
    <s v="Aquisição de 2 jogos de SotpLogs"/>
    <s v="UHE Tucuruí"/>
    <x v="0"/>
    <n v="2000000"/>
    <n v="9500000"/>
    <n v="10000000"/>
    <n v="0"/>
    <n v="21500000"/>
    <x v="0"/>
  </r>
  <r>
    <s v="COO.NO26.065"/>
    <x v="0"/>
    <s v="Aquisição de peças sobressalentes do mecanismo distribuidor das UGHs da CF2"/>
    <s v="UHE Tucuruí"/>
    <x v="0"/>
    <n v="3000000"/>
    <n v="2500000"/>
    <n v="0"/>
    <n v="0"/>
    <n v="5500000"/>
    <x v="0"/>
  </r>
  <r>
    <s v="COO.NO26.087"/>
    <x v="3"/>
    <s v="Modernização do sistema de iluminação da UHE Tucuruí"/>
    <s v="UHE Tucuruí"/>
    <x v="0"/>
    <n v="1000000"/>
    <n v="1500000"/>
    <n v="0"/>
    <n v="0"/>
    <n v="2500000"/>
    <x v="13"/>
  </r>
  <r>
    <s v="COO.NO26.095"/>
    <x v="1"/>
    <s v="Aquisição de servomotor do distribuir da UHE Tucuruí"/>
    <s v="UHE Tucuruí"/>
    <x v="0"/>
    <n v="650000"/>
    <n v="750000"/>
    <n v="0"/>
    <n v="0"/>
    <n v="1400000"/>
    <x v="0"/>
  </r>
  <r>
    <s v="COO.NO26.096"/>
    <x v="1"/>
    <s v="Aquisição de motobombas para o sistema de circulação de óleo dos mancais MGT, MGG e ME - Casa de Força 01"/>
    <s v="UHE Tucuruí"/>
    <x v="0"/>
    <n v="695254.2"/>
    <n v="695254.2"/>
    <n v="0"/>
    <n v="0"/>
    <n v="1390508.4"/>
    <x v="13"/>
  </r>
  <r>
    <s v="COO.NO26.102"/>
    <x v="1"/>
    <s v="sistema de refrigeração predial edificio comando, Supervisão e ULCPS"/>
    <s v="UHE Tucuruí"/>
    <x v="0"/>
    <n v="951000"/>
    <n v="0"/>
    <n v="0"/>
    <n v="0"/>
    <n v="951000"/>
    <x v="0"/>
  </r>
  <r>
    <s v="COO.NO26.103"/>
    <x v="1"/>
    <s v="Aquisição de bombas vertical, tipo parafuso, para o sistema de circulação de óleo do Regulador de Velocidade - UGHs Casa de Força 01"/>
    <s v="UHE Tucuruí"/>
    <x v="0"/>
    <n v="450280"/>
    <n v="450280"/>
    <n v="0"/>
    <n v="0"/>
    <n v="900560"/>
    <x v="0"/>
  </r>
  <r>
    <s v="COO.NO26.025"/>
    <x v="1"/>
    <s v="Modernização do sistema auto-limpante de água industrial da UHE Tucuruí"/>
    <s v="UHE Tucuruí"/>
    <x v="30"/>
    <n v="500000"/>
    <n v="0"/>
    <n v="0"/>
    <n v="0"/>
    <n v="2000000"/>
    <x v="1"/>
  </r>
  <r>
    <s v="COO.NO26.026"/>
    <x v="1"/>
    <s v="Aquisição de um Gerador Diesel de Emergência para a CFII da UHE Tucuruí"/>
    <s v="UHE Tucuruí"/>
    <x v="30"/>
    <n v="0"/>
    <n v="0"/>
    <n v="0"/>
    <n v="0"/>
    <n v="1500000"/>
    <x v="1"/>
  </r>
  <r>
    <s v="COO.NO26.033"/>
    <x v="1"/>
    <s v="Recuperação da comporta 17 do Vertedouro da UHE Tucuruí"/>
    <s v="UHE Tucuruí"/>
    <x v="5"/>
    <n v="0"/>
    <n v="0"/>
    <n v="0"/>
    <n v="0"/>
    <n v="1000000"/>
    <x v="13"/>
  </r>
  <r>
    <s v="COO.NO26.027"/>
    <x v="3"/>
    <s v="Sistema SPCI água nebulizada tanques diesel GDE 01, 02,03,04.05,06 e 07 "/>
    <s v="UHE Tucuruí"/>
    <x v="5"/>
    <n v="3000000"/>
    <n v="0"/>
    <n v="0"/>
    <n v="0"/>
    <n v="4000000"/>
    <x v="13"/>
  </r>
  <r>
    <s v="COO.NO26.030"/>
    <x v="3"/>
    <s v="Modernização de transformadores 13,8/440V para alimentação Vertedouro e serviço auxiliar da UHE Tucuruí "/>
    <s v="UHE Tucuruí"/>
    <x v="5"/>
    <n v="1000000"/>
    <n v="1000000"/>
    <n v="0"/>
    <n v="0"/>
    <n v="3000000"/>
    <x v="1"/>
  </r>
  <r>
    <s v="COO.NO26.047"/>
    <x v="4"/>
    <s v="Modernização da GIS TUUGH-19 da UHE Tucuruí"/>
    <s v="UHE Tucuruí"/>
    <x v="4"/>
    <n v="0"/>
    <n v="0"/>
    <n v="0"/>
    <n v="0"/>
    <n v="500000"/>
    <x v="1"/>
  </r>
  <r>
    <s v="COO.NO26.048"/>
    <x v="4"/>
    <s v="Modernização do Barramento Blindado (13,8kV) UG19 da UHE Tucuruí"/>
    <s v="UHE Tucuruí"/>
    <x v="4"/>
    <n v="0"/>
    <n v="0"/>
    <n v="0"/>
    <n v="0"/>
    <n v="500000"/>
    <x v="1"/>
  </r>
  <r>
    <s v="COO.NO26.049"/>
    <x v="4"/>
    <s v="Modernização dos disjuntores MERLIN GERIN para a UHE Tucuruí"/>
    <s v="UHE Tucuruí"/>
    <x v="31"/>
    <n v="0"/>
    <n v="0"/>
    <n v="0"/>
    <n v="0"/>
    <n v="223686"/>
    <x v="15"/>
  </r>
  <r>
    <s v="COO.NO26.051"/>
    <x v="4"/>
    <s v="SWITCHES DE TO"/>
    <s v="UHE Tucuruí"/>
    <x v="32"/>
    <n v="0"/>
    <n v="0"/>
    <n v="0"/>
    <n v="0"/>
    <n v="53000"/>
    <x v="8"/>
  </r>
  <r>
    <s v="COO.NO26.094"/>
    <x v="4"/>
    <s v="Modernização do sistema de drenagem e esgotamento da UHE Tucuruí"/>
    <s v="UHE Tucuruí"/>
    <x v="0"/>
    <n v="0"/>
    <n v="0"/>
    <n v="0"/>
    <n v="0"/>
    <n v="0"/>
    <x v="14"/>
  </r>
  <r>
    <s v="COO.NO26.057"/>
    <x v="1"/>
    <s v="Aquisição de para-raios para a UHE Tucuruí"/>
    <s v="UHE Tucuruí"/>
    <x v="0"/>
    <n v="1000000"/>
    <n v="1000000"/>
    <n v="0"/>
    <n v="0"/>
    <n v="2000000"/>
    <x v="1"/>
  </r>
  <r>
    <s v="COO.NO26.068"/>
    <x v="1"/>
    <s v="Aquisição de DCP para UHE Tucuruí"/>
    <s v="UHE Tucuruí"/>
    <x v="0"/>
    <n v="897510"/>
    <n v="0"/>
    <n v="0"/>
    <n v="0"/>
    <n v="897510"/>
    <x v="1"/>
  </r>
  <r>
    <s v="COO.NO26.052"/>
    <x v="2"/>
    <s v="Substituição das capas isolantes dos geradores da casa de força 2 da UHE Tucuruí"/>
    <s v="UHE Tucuruí"/>
    <x v="0"/>
    <n v="16000000"/>
    <n v="16000000"/>
    <n v="16000000"/>
    <n v="0"/>
    <n v="48000000"/>
    <x v="15"/>
  </r>
</pivotCacheRecords>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
  <r>
    <n v="378"/>
    <e v="#REF!"/>
    <s v="Capex Orcamentário_PE2026_2030_COO_Rev1 - Gráficos.xlsx"/>
    <s v="COO"/>
    <s v="Lucas Martins"/>
    <s v="COO378"/>
    <e v="#REF!"/>
    <s v="Corporativo"/>
    <s v="Eletronorte"/>
    <s v="Geração"/>
    <s v="Modernização"/>
    <s v="Modernização"/>
    <s v="NGHI.0066"/>
    <m/>
    <m/>
    <s v="13592/2022"/>
    <s v="Modernização SPCS+ UHE Tucuruí"/>
    <s v="Modernização"/>
    <s v="Modernização"/>
    <s v="NGHI.0066"/>
    <s v="4500080379/4500083678/4600002316"/>
    <s v="Modernização SPCS, TR, RV, Servomotores, Distribuidor, Instrumentação e Auxiliareas CC e CA da UHE Tucuruí"/>
    <s v="UHE Tucuruí"/>
    <n v="11888566.659999998"/>
    <n v="20886113.57"/>
    <n v="6922894.6099999994"/>
    <n v="1909305.8399999999"/>
    <n v="35832721.410000004"/>
    <n v="15091386.969999999"/>
    <n v="16898137.739999998"/>
    <n v="22249745.649999995"/>
    <n v="993648.17"/>
    <n v="11791477.140000002"/>
    <n v="2500000"/>
    <n v="2500000"/>
    <n v="149463997.75999999"/>
    <n v="186404977.93658334"/>
    <n v="138328625.18250006"/>
    <n v="69976375.790000007"/>
    <n v="500000"/>
    <n v="544673976.66908336"/>
    <n v="0"/>
    <n v="0"/>
    <n v="0"/>
    <n v="0"/>
    <n v="0"/>
    <n v="544673976.66908336"/>
    <s v="#DESPEJAR!"/>
    <s v="OOPE.N"/>
    <n v="2024"/>
    <s v="ENOR.00500.313"/>
    <s v="COO0613"/>
    <x v="0"/>
    <s v="(PE) Requisitado e Contratado e com ID Financeira"/>
    <s v="Contratado"/>
    <n v="171280364.75447249"/>
    <s v="Curva reduzida em 83%"/>
    <s v="Murilo Mascarenhas Menezes"/>
    <s v="Modernização SPCS+ UHE Tucuruí"/>
  </r>
  <r>
    <n v="373"/>
    <e v="#REF!"/>
    <s v="Capex Orcamentário_PE2026_2030_COO_Rev1 - Gráficos.xlsx"/>
    <s v="COO"/>
    <s v="Lucas Martins"/>
    <s v="COO373"/>
    <e v="#REF!"/>
    <s v="Corporativo"/>
    <s v="Eletronorte"/>
    <s v="Geração"/>
    <s v="Modernização"/>
    <s v="Modernização"/>
    <s v="NGHI.0099"/>
    <m/>
    <m/>
    <s v="13592/2022"/>
    <s v="Substituição Transformador 550kV UHE Tucuruí (5 trafo)"/>
    <s v="Modernização"/>
    <s v="Modernização"/>
    <s v="NGHI.0099"/>
    <s v="4500078421/3400004035"/>
    <s v="Substituição devido superação da corrente de curto circuito"/>
    <s v="UHE Tucuruí"/>
    <n v="0"/>
    <m/>
    <m/>
    <n v="0"/>
    <n v="0"/>
    <m/>
    <n v="0"/>
    <n v="19838463.617899999"/>
    <m/>
    <m/>
    <m/>
    <n v="10903654.989845"/>
    <n v="30742118.607744999"/>
    <n v="165692110.97322997"/>
    <m/>
    <n v="0"/>
    <n v="0"/>
    <n v="196434229.58097497"/>
    <n v="0"/>
    <n v="0"/>
    <n v="0"/>
    <n v="0"/>
    <n v="0"/>
    <n v="196434229.58097497"/>
    <s v="#DESPEJAR!"/>
    <s v="OORV"/>
    <n v="2024"/>
    <s v="ENOR.00304"/>
    <s v="COO0601"/>
    <x v="0"/>
    <s v="(PE) Requisitado e Contratado e com ID Financeira"/>
    <s v="Contratado"/>
    <n v="71760000"/>
    <s v="Ajustado conforme contrato"/>
    <s v="Fernanda Baracho Dourado Madureira"/>
    <s v="Substituição Transformador 550kV UHE Tucuruí (5 trafo)"/>
  </r>
  <r>
    <n v="372"/>
    <e v="#REF!"/>
    <s v="Capex Orcamentário_PE2026_2030_COO_Rev1 - Gráficos.xlsx"/>
    <s v="COO"/>
    <s v="Lucas Martins"/>
    <s v="COO372"/>
    <e v="#REF!"/>
    <s v="Corporativo"/>
    <s v="Eletronorte"/>
    <s v="Geração"/>
    <s v="Modernização"/>
    <s v="Modernização"/>
    <s v="NGHI.0086"/>
    <m/>
    <m/>
    <s v="13592/2022"/>
    <s v="Substituição GIS UHE Tucuruí"/>
    <s v="Modernização"/>
    <s v="Modernização"/>
    <s v="NGHI.0086"/>
    <s v="4500080069/4500083678"/>
    <s v="Substituição devido superação da corrente de curto circuito"/>
    <s v="UHE Tucuruí"/>
    <n v="173385.48750000002"/>
    <n v="173385.48750000002"/>
    <n v="173385.48750000002"/>
    <n v="9038805.977500001"/>
    <n v="7332139.1541666668"/>
    <n v="173385.48750000002"/>
    <n v="281638.64750000002"/>
    <n v="12423385.487500001"/>
    <n v="676343.04749999999"/>
    <n v="7463578.7541666664"/>
    <n v="173385.48750000002"/>
    <n v="173385.48750000002"/>
    <n v="38256203.993333325"/>
    <n v="10144019.02"/>
    <n v="221463.61"/>
    <n v="0"/>
    <n v="0"/>
    <n v="48621686.62333332"/>
    <n v="0"/>
    <n v="0"/>
    <n v="0"/>
    <n v="0"/>
    <n v="0"/>
    <n v="48621686.62333332"/>
    <s v="#DESPEJAR!"/>
    <s v="OORV"/>
    <n v="2024"/>
    <s v="ENOR.00303"/>
    <s v="COO0596"/>
    <x v="0"/>
    <s v="(PE) Requisitado e Contratado e com ID Financeira"/>
    <s v="Contratado"/>
    <n v="33164957.66"/>
    <s v="Não alterado"/>
    <s v="Daniel Branquinho Ferreira"/>
    <s v="Substituição GIS UHE Tucuruí"/>
  </r>
  <r>
    <n v="379"/>
    <e v="#REF!"/>
    <s v="Capex Orcamentário_PE2026_2030_COO_Rev1 - Gráficos.xlsx"/>
    <s v="COO"/>
    <s v="Lucas Martins"/>
    <s v="COO379"/>
    <e v="#REF!"/>
    <s v="Corporativo"/>
    <s v="Eletronorte"/>
    <s v="Geração"/>
    <s v="Modernização"/>
    <s v="Modernização"/>
    <s v="NGHI.0147"/>
    <m/>
    <m/>
    <n v="157189"/>
    <s v="Modernização RVT UHE Samuel"/>
    <s v="Modernização"/>
    <s v="Modernização"/>
    <s v="NGHI.0147"/>
    <n v="3700008198"/>
    <s v="Substituição dos comandos eletrônicos, de potencia e hidráulico dos reguladores de velocidade e tensão da UHE Samuel"/>
    <s v="UHE Samuel"/>
    <n v="0"/>
    <m/>
    <n v="0"/>
    <n v="0"/>
    <n v="0"/>
    <m/>
    <n v="0"/>
    <n v="0"/>
    <n v="0"/>
    <n v="2000000"/>
    <n v="2000000"/>
    <n v="0"/>
    <n v="4000000"/>
    <n v="23500000"/>
    <n v="0"/>
    <n v="0"/>
    <n v="0"/>
    <n v="27500000"/>
    <n v="0"/>
    <n v="0"/>
    <n v="0"/>
    <n v="0"/>
    <n v="0"/>
    <n v="27500000"/>
    <s v="#DESPEJAR!"/>
    <s v="OOPM.N"/>
    <n v="2025"/>
    <s v="ENOR.00501.011"/>
    <s v="COO0708"/>
    <x v="1"/>
    <s v="(PE) Requisitado e com ID Financeira"/>
    <s v="Em Contratação"/>
    <n v="13955159.550000001"/>
    <s v="RD 2026 a 2028"/>
    <s v="Klenio Dias Timoteo"/>
    <s v="Modernização RVT UHE Samuel"/>
  </r>
  <r>
    <n v="265"/>
    <e v="#REF!"/>
    <s v="Capex Orcamentário_PE2026_2030_COO_Rev1 - Gráficos.xlsx"/>
    <s v="COO"/>
    <s v="Lucas Martins"/>
    <s v="COO265"/>
    <e v="#REF!"/>
    <s v="Corporativo"/>
    <s v="Eletronorte"/>
    <s v="Geração"/>
    <s v="Modernização"/>
    <s v="Modernização"/>
    <s v="NGHI.0143"/>
    <m/>
    <m/>
    <s v="13592/2022"/>
    <s v="Substituição das capas isolantes dos geradores da casa de força 2 da UHE Tucuruí"/>
    <s v="Modernização"/>
    <s v="Modernização"/>
    <s v="NGHI.0143"/>
    <n v="3400004379"/>
    <s v="Serviço de alteração das capas isolantes dos geradores da casa de força 2"/>
    <s v="UHE Tucuruí"/>
    <n v="0"/>
    <n v="0"/>
    <n v="0"/>
    <n v="0"/>
    <n v="0"/>
    <n v="0"/>
    <n v="0"/>
    <n v="0"/>
    <n v="0"/>
    <m/>
    <n v="0"/>
    <m/>
    <n v="0"/>
    <n v="16000000"/>
    <n v="16000000"/>
    <n v="16000000"/>
    <n v="0"/>
    <n v="48000000"/>
    <n v="0"/>
    <n v="0"/>
    <n v="0"/>
    <n v="0"/>
    <n v="0"/>
    <n v="48000000"/>
    <s v="#DESPEJAR!"/>
    <s v="OOGTE.N"/>
    <n v="2025"/>
    <s v="ENOR.00003.001"/>
    <s v="COO0719"/>
    <x v="1"/>
    <s v="Nova Demanda"/>
    <s v="Em Contratação"/>
    <n v="12833768.050000001"/>
    <s v="RD 2027 a 2029"/>
    <s v="Albert Ferraz Botelho Da Silva"/>
    <s v="Substituição das capas isolantes dos geradores da casa de força 2 da UHE Tucuruí"/>
  </r>
  <r>
    <n v="380"/>
    <e v="#REF!"/>
    <s v="Capex Orcamentário_PE2026_2030_COO_Rev1 - Gráficos.xlsx"/>
    <s v="COO"/>
    <s v="Lucas Martins"/>
    <s v="COO380"/>
    <e v="#REF!"/>
    <s v="Corporativo"/>
    <s v="Eletronorte"/>
    <s v="Geração"/>
    <s v="Modernização"/>
    <s v="Modernização"/>
    <s v="NGHI.0099"/>
    <m/>
    <m/>
    <s v="13592/2022"/>
    <s v="Modernização de 02 Transformadores elevadores de 69kV (UGHs 24 e 25) da UHE Tucuruí"/>
    <s v="Modernização"/>
    <s v="Modernização"/>
    <s v="NGHI.0099"/>
    <n v="3400004381"/>
    <s v="Aquisição de 2 (dois) transformadores elevadores trifásicos 69/13,8 kV – 28,75 MVA para casa de força I "/>
    <s v="UHE Tucuruí"/>
    <n v="0"/>
    <n v="0"/>
    <m/>
    <n v="0"/>
    <n v="0"/>
    <n v="1500000"/>
    <n v="0"/>
    <n v="0"/>
    <n v="0"/>
    <n v="3500000"/>
    <m/>
    <n v="0"/>
    <n v="5000000"/>
    <n v="6750000"/>
    <n v="5000000"/>
    <n v="0"/>
    <n v="0"/>
    <n v="16750000"/>
    <n v="0"/>
    <n v="0"/>
    <n v="0"/>
    <n v="0"/>
    <n v="0"/>
    <n v="16750000"/>
    <s v="#DESPEJAR!"/>
    <s v="AGMGNO"/>
    <n v="2025"/>
    <s v="ENOR.00102"/>
    <s v="COO0615"/>
    <x v="1"/>
    <s v="Nova Demanda"/>
    <s v="Em Contratação"/>
    <n v="10000000"/>
    <s v="RD 2026 a 2028"/>
    <s v="Frederico Rodolfo Parente Doerner"/>
    <s v="Modernização de 02 Transformadores elevadores de 69kV (UGHs 24 e 25) da UHE Tucuruí"/>
  </r>
  <r>
    <n v="381"/>
    <e v="#REF!"/>
    <s v="Capex Orcamentário_PE2026_2030_COO_Rev1 - Gráficos.xlsx"/>
    <s v="COO"/>
    <s v="Lucas Martins"/>
    <s v="COO381"/>
    <e v="#REF!"/>
    <s v="Corporativo"/>
    <s v="Eletronorte"/>
    <s v="Geração"/>
    <s v="Modernização"/>
    <s v="Modernização"/>
    <s v="NGHI.0154"/>
    <m/>
    <m/>
    <s v="13592/2022"/>
    <s v="Curva CAV - UHE Tucuruí e UHE Samuel"/>
    <s v="Modernização"/>
    <s v="Modernização"/>
    <s v="NGHI.0154"/>
    <n v="4600001891"/>
    <s v="Atualização das curvas Cota x Área x Volume do reservatório"/>
    <s v="UHE Tucuruí"/>
    <n v="0"/>
    <n v="2125000"/>
    <n v="0"/>
    <n v="2125000"/>
    <n v="0"/>
    <n v="2125000"/>
    <n v="0"/>
    <n v="2125000"/>
    <n v="0"/>
    <n v="0"/>
    <n v="0"/>
    <n v="0"/>
    <n v="8500000"/>
    <n v="0"/>
    <n v="0"/>
    <n v="0"/>
    <n v="0"/>
    <n v="8500000"/>
    <n v="0"/>
    <n v="0"/>
    <n v="0"/>
    <n v="0"/>
    <n v="0"/>
    <n v="8500000"/>
    <s v="#DESPEJAR!"/>
    <s v="OO LAGF"/>
    <n v="2025"/>
    <s v="ENOR.00307"/>
    <s v="COO0685"/>
    <x v="0"/>
    <s v="(PE) Requisitado e com ID Financeira"/>
    <s v="Contratado"/>
    <n v="8000000"/>
    <s v="Ajustado conforme contrato"/>
    <s v="Carlos Henrique Oliveira Da Rocha"/>
    <s v="Curva CAV - UHE Tucuruí e UHE Samuel"/>
  </r>
  <r>
    <n v="353"/>
    <e v="#REF!"/>
    <s v="Capex Orcamentário_PE2026_2030_COO_Rev1 - Gráficos.xlsx"/>
    <s v="COO"/>
    <s v="Lucas Martins"/>
    <s v="COO353"/>
    <e v="#REF!"/>
    <s v="Corporativo"/>
    <s v="Eletronorte"/>
    <s v="Geração"/>
    <s v="Modernização"/>
    <s v="Modernização"/>
    <s v="NGHI.0077"/>
    <m/>
    <m/>
    <s v="13592/2022"/>
    <s v="Modernização do pórtico tomada d'água da UHE Tucuruí"/>
    <s v="Modernização"/>
    <s v="Modernização"/>
    <s v="NGHI.0077"/>
    <n v="4500082946"/>
    <s v="AQUISICAO DE PORTICO PARA TOMADA D'AGUA PARA A CASA DE FORCA"/>
    <s v="UHE Tucuruí"/>
    <n v="0"/>
    <n v="0"/>
    <n v="0"/>
    <n v="3500000"/>
    <n v="0"/>
    <n v="0"/>
    <n v="0"/>
    <n v="3500000"/>
    <n v="0"/>
    <n v="3000000"/>
    <n v="0"/>
    <n v="0"/>
    <n v="10000000"/>
    <n v="0"/>
    <n v="0"/>
    <n v="0"/>
    <n v="0"/>
    <n v="10000000"/>
    <n v="0"/>
    <n v="0"/>
    <n v="0"/>
    <n v="0"/>
    <n v="0"/>
    <n v="10000000"/>
    <s v="#DESPEJAR!"/>
    <s v="AGMGNO"/>
    <n v="2025"/>
    <s v="ENOR.00111.001"/>
    <s v="COO0599"/>
    <x v="0"/>
    <s v="(PE) Não Requisitado e com ID Financeira"/>
    <s v="Reajuste"/>
    <n v="7865000"/>
    <s v="Ajustado conforme contrato"/>
    <s v="Frederico Rodolfo Parente Doerner"/>
    <s v="Modernização do pórtico tomada d'água da UHE Tucuruí"/>
  </r>
  <r>
    <n v="370"/>
    <e v="#REF!"/>
    <s v="Capex Orcamentário_PE2026_2030_COO_Rev1 - Gráficos.xlsx"/>
    <s v="COO"/>
    <s v="Lucas Martins"/>
    <s v="COO370"/>
    <e v="#REF!"/>
    <s v="Corporativo"/>
    <s v="Eletronorte"/>
    <s v="Geração"/>
    <s v="Modernização"/>
    <s v="Modernização"/>
    <s v="NGHI.0141"/>
    <m/>
    <m/>
    <s v="13592/2022"/>
    <s v="Modernização Pórtico UHE Tucuruí"/>
    <s v="Modernização"/>
    <s v="Modernização"/>
    <s v="NGHI.0141"/>
    <n v="3700014880"/>
    <s v="Modernização dos pórticos de Jusante e montante da UHE Tucuruí"/>
    <s v="UHE Tucuruí"/>
    <n v="0"/>
    <n v="0"/>
    <m/>
    <n v="0"/>
    <n v="0"/>
    <n v="0"/>
    <m/>
    <n v="0"/>
    <n v="0"/>
    <n v="0"/>
    <n v="2000000"/>
    <m/>
    <n v="2000000"/>
    <n v="7400000"/>
    <n v="4000000"/>
    <n v="5000000"/>
    <n v="0"/>
    <n v="18400000"/>
    <n v="0"/>
    <n v="0"/>
    <n v="0"/>
    <n v="0"/>
    <n v="0"/>
    <n v="18400000"/>
    <s v="#DESPEJAR!"/>
    <s v="AGMGNO"/>
    <n v="2025"/>
    <s v="ENOR.00301.001"/>
    <s v="COO0559"/>
    <x v="2"/>
    <s v="(PE) Requisitado e com ID Financeira"/>
    <s v="Em Contratação"/>
    <n v="7000000"/>
    <s v="RD 2026  a 2029"/>
    <s v="Frederico Rodolfo Parente Doerner"/>
    <s v="Modernização Pórtico UHE Tucuruí"/>
  </r>
  <r>
    <n v="365"/>
    <e v="#REF!"/>
    <s v="Capex Orcamentário_PE2026_2030_COO_Rev1 - Gráficos.xlsx"/>
    <s v="COO"/>
    <s v="Lucas Martins"/>
    <s v="COO365"/>
    <e v="#REF!"/>
    <s v="Corporativo"/>
    <s v="Eletronorte"/>
    <s v="Geração"/>
    <s v="Modernização"/>
    <s v="Modernização"/>
    <s v="NGHI.0143"/>
    <m/>
    <m/>
    <s v="023/87-17"/>
    <s v="Aquisição de um Gerador Diesel de Emergência"/>
    <s v="Modernização"/>
    <s v="Modernização"/>
    <s v="NGHI.0143"/>
    <n v="3700011458"/>
    <s v="Implantação de Grupo Gerador cabinado"/>
    <s v="UHE Balbina"/>
    <n v="0"/>
    <n v="0"/>
    <n v="0"/>
    <n v="0"/>
    <n v="0"/>
    <n v="0"/>
    <n v="0"/>
    <n v="0"/>
    <n v="2000000"/>
    <n v="0"/>
    <n v="0"/>
    <n v="2000000"/>
    <n v="4000000"/>
    <n v="2000000"/>
    <n v="0"/>
    <n v="0"/>
    <n v="0"/>
    <n v="6000000"/>
    <n v="0"/>
    <n v="0"/>
    <n v="0"/>
    <n v="0"/>
    <n v="0"/>
    <n v="6000000"/>
    <s v="#DESPEJAR!"/>
    <s v="OOGBA.N"/>
    <n v="2026"/>
    <s v="ENOR.00129.001"/>
    <n v="0"/>
    <x v="1"/>
    <s v="Nova Demanda"/>
    <s v="Em Contratação"/>
    <n v="6000000"/>
    <s v="RD 2026 a 2027"/>
    <s v="Milton Pereira Menezes"/>
    <s v="Aquisição de um Gerador Diesel de Emergência"/>
  </r>
  <r>
    <n v="362"/>
    <e v="#REF!"/>
    <s v="Capex Orcamentário_PE2026_2030_COO_Rev1 - Gráficos.xlsx"/>
    <s v="COO"/>
    <s v="Lucas Martins"/>
    <s v="COO362"/>
    <e v="#REF!"/>
    <s v="Corporativo"/>
    <s v="Eletronorte"/>
    <s v="Geração"/>
    <s v="Modernização"/>
    <s v="Modernização"/>
    <s v="NGHI.0143"/>
    <m/>
    <m/>
    <s v="13592/2022"/>
    <s v="Recuperação de cavitação e trincas nas UGHs da CF1 e CF2"/>
    <s v="Modernização"/>
    <s v="Modernização"/>
    <s v="NGHI.0143"/>
    <s v="Contrato criado via CSC"/>
    <s v="Contratação de empresa especializada para manutenção e reforço operacional sistema de turbina recuperação de cavitação/trincas"/>
    <s v="UHE Tucuruí"/>
    <n v="0"/>
    <n v="0"/>
    <n v="0"/>
    <n v="0"/>
    <n v="0"/>
    <n v="0"/>
    <n v="0"/>
    <n v="0"/>
    <n v="2000000"/>
    <n v="0"/>
    <n v="2000000"/>
    <n v="2000000"/>
    <n v="6000000"/>
    <n v="7000000"/>
    <n v="4000000"/>
    <n v="4000000"/>
    <n v="0"/>
    <n v="21000000"/>
    <n v="0"/>
    <n v="0"/>
    <n v="0"/>
    <n v="0"/>
    <n v="0"/>
    <n v="21000000"/>
    <s v="#DESPEJAR!"/>
    <s v="OOGTM.N"/>
    <n v="2025"/>
    <s v="ENOR.00124"/>
    <s v="COO0685"/>
    <x v="0"/>
    <s v="(PE) Não Requisitado e com ID Financeira"/>
    <s v="Contratado"/>
    <n v="6000000"/>
    <s v="Não alterado"/>
    <s v="Gilton Carlos De Andrade Furtado"/>
    <s v="Recuperação de cavitação e trincas nas UGHs da CF1 e CF2"/>
  </r>
  <r>
    <n v="382"/>
    <e v="#REF!"/>
    <s v="Capex Orcamentário_PE2026_2030_COO_Rev1 - Gráficos.xlsx"/>
    <s v="COO"/>
    <s v="Lucas Martins"/>
    <s v="COO382"/>
    <e v="#REF!"/>
    <s v="Corporativo"/>
    <s v="Eletronorte"/>
    <s v="Geração"/>
    <s v="Modernização"/>
    <s v="Modernização"/>
    <s v="NGHI.0099"/>
    <m/>
    <m/>
    <s v="13592/2022"/>
    <s v="Revitalização de transformador para a  UHE Tucurui"/>
    <s v="Modernização"/>
    <s v="Modernização"/>
    <s v="NGHI.0099"/>
    <s v="4500073938/4500078421"/>
    <s v="Revitalização dos transforamadores atualmente em operação na UHE Tucuruí"/>
    <s v="UHE Tucuruí"/>
    <n v="0"/>
    <m/>
    <n v="0"/>
    <m/>
    <n v="0"/>
    <n v="1000000"/>
    <n v="0"/>
    <n v="1000000"/>
    <n v="0"/>
    <n v="1000000"/>
    <n v="0"/>
    <n v="0"/>
    <n v="3000000"/>
    <n v="7500000"/>
    <n v="5000000"/>
    <n v="0"/>
    <n v="0"/>
    <n v="15500000"/>
    <n v="0"/>
    <n v="0"/>
    <n v="0"/>
    <n v="0"/>
    <n v="0"/>
    <n v="15500000"/>
    <s v="#DESPEJAR!"/>
    <s v="AGMGNO"/>
    <n v="2025"/>
    <s v="ENOR.00100"/>
    <s v="COO0662"/>
    <x v="0"/>
    <s v="Nova Demanda"/>
    <s v="Contratado"/>
    <n v="5000000"/>
    <s v="Reduzido em 2026"/>
    <s v="Frederico Rodolfo Parente Doerner"/>
    <s v="Revitalização de transformador para a  UHE Tucurui"/>
  </r>
  <r>
    <n v="345"/>
    <e v="#REF!"/>
    <s v="Capex Orcamentário_PE2026_2030_COO_Rev1 - Gráficos.xlsx"/>
    <s v="COO"/>
    <s v="Lucas Martins"/>
    <s v="COO345"/>
    <e v="#REF!"/>
    <s v="Corporativo"/>
    <s v="Eletronorte"/>
    <s v="Geração"/>
    <s v="Modernização"/>
    <s v="Modernização"/>
    <s v="NGHI.0141"/>
    <m/>
    <m/>
    <s v="13592/2022"/>
    <s v="Modernização do sistema de resfriamento da UHE Tucuruí - Projeto Siri"/>
    <s v="Modernização"/>
    <s v="Modernização"/>
    <s v="NGHI.0141"/>
    <n v="4500081780"/>
    <s v="Contratação de empresa especializada para montagem, instalação e comissionamento de sistema de monitoramento da água de resfriamento e gerenciamento inteligente para 4 unidades geradoras da UHE Tucuruí."/>
    <s v="UHE Tucuruí"/>
    <n v="0"/>
    <n v="0"/>
    <n v="0"/>
    <n v="0"/>
    <n v="2500000"/>
    <n v="0"/>
    <n v="0"/>
    <n v="0"/>
    <n v="0"/>
    <n v="2500000"/>
    <n v="0"/>
    <n v="0"/>
    <n v="5000000"/>
    <n v="2500000"/>
    <n v="0"/>
    <n v="0"/>
    <n v="0"/>
    <n v="7500000"/>
    <n v="0"/>
    <n v="0"/>
    <n v="0"/>
    <n v="0"/>
    <n v="0"/>
    <n v="7500000"/>
    <s v="#DESPEJAR!"/>
    <s v="AGMGNO"/>
    <n v="2025"/>
    <s v="ENOR.00097.001"/>
    <s v="COO0550"/>
    <x v="0"/>
    <s v="Nova Demanda"/>
    <s v="Contratado"/>
    <n v="5000000"/>
    <s v="Não alterado"/>
    <s v="Frederico Rodolfo Parente Doerner"/>
    <s v="Modernização do sistema de resfriamento da UHE Tucuruí - Projeto Siri"/>
  </r>
  <r>
    <n v="342"/>
    <e v="#REF!"/>
    <s v="Capex Orcamentário_PE2026_2030_COO_Rev1 - Gráficos.xlsx"/>
    <s v="COO"/>
    <s v="Lucas Martins"/>
    <s v="COO342"/>
    <e v="#REF!"/>
    <s v="Corporativo"/>
    <s v="Eletronorte"/>
    <s v="Geração"/>
    <s v="Modernização"/>
    <s v="Modernização"/>
    <s v="NGHI.0143"/>
    <m/>
    <m/>
    <s v="0484/2016"/>
    <s v="Revitalização do Vertedouro da UHCN"/>
    <s v="Modernização"/>
    <s v="Modernização"/>
    <s v="NGHI.0143"/>
    <s v="Não emitido"/>
    <s v="COMPORTA VERTEDOURO VT-01,02,03,04,05,06,07,08, 09,10"/>
    <s v="UHE Coaracy Nunes "/>
    <n v="0"/>
    <n v="0"/>
    <n v="0"/>
    <n v="0"/>
    <n v="0"/>
    <n v="0"/>
    <m/>
    <n v="0"/>
    <m/>
    <n v="0"/>
    <n v="0"/>
    <m/>
    <n v="0"/>
    <n v="7500000"/>
    <n v="7500000"/>
    <n v="0"/>
    <n v="0"/>
    <n v="15000000"/>
    <n v="0"/>
    <n v="0"/>
    <n v="0"/>
    <n v="0"/>
    <n v="0"/>
    <n v="15000000"/>
    <s v="#DESPEJAR!"/>
    <s v="AGMGNO"/>
    <n v="2026"/>
    <s v="ENOR.00094"/>
    <n v="0"/>
    <x v="3"/>
    <s v="Nova Demanda"/>
    <s v="RC não emitida"/>
    <n v="3000000"/>
    <s v="RD 2027-2028"/>
    <s v="Frederico Rodolfo Parente Doerner"/>
    <s v="Revitalização do Vertedouro da UHCN"/>
  </r>
  <r>
    <n v="294"/>
    <e v="#REF!"/>
    <s v="Capex Orcamentário_PE2026_2030_COO_Rev1 - Gráficos.xlsx"/>
    <s v="COO"/>
    <s v="Lucas Martins"/>
    <s v="COO294"/>
    <e v="#REF!"/>
    <s v="Corporativo"/>
    <s v="Eletronorte"/>
    <s v="Geração"/>
    <s v="Modernização"/>
    <s v="Modernização"/>
    <s v="NGHI.0141"/>
    <m/>
    <m/>
    <s v="13777/2022"/>
    <s v="MODERNIZAÇÃO DO RTVX DAS UGHs 01,02 e 03"/>
    <s v="Modernização"/>
    <s v="Modernização"/>
    <s v="NGHI.0141"/>
    <n v="4500083041"/>
    <s v="Modernização dos sistemas de Regulação de Tensão e Velocidade, com automatismos RTVAX POWER"/>
    <s v="UHE Curuá Una"/>
    <n v="0"/>
    <n v="500000"/>
    <n v="0"/>
    <n v="0"/>
    <n v="0"/>
    <n v="1000000"/>
    <n v="0"/>
    <n v="0"/>
    <n v="0"/>
    <n v="1500000"/>
    <n v="0"/>
    <n v="0"/>
    <n v="3000000"/>
    <n v="0"/>
    <n v="0"/>
    <n v="0"/>
    <n v="0"/>
    <n v="3000000"/>
    <n v="0"/>
    <n v="0"/>
    <n v="0"/>
    <n v="0"/>
    <n v="0"/>
    <n v="3000000"/>
    <s v="#DESPEJAR!"/>
    <s v="OOPM.N"/>
    <n v="2025"/>
    <s v="ENOR.00044"/>
    <s v="COO0589"/>
    <x v="0"/>
    <s v="Requisitado e Contratado mas sem ID Financeira"/>
    <s v="Contratado"/>
    <n v="3997404"/>
    <s v="Reduzido em 2026"/>
    <s v="Klenio Dias Timoteo"/>
    <s v="MODERNIZAÇÃO DO RTVX DAS UGHs 01,02 e 03"/>
  </r>
  <r>
    <n v="296"/>
    <e v="#REF!"/>
    <s v="Capex Orcamentário_PE2026_2030_COO_Rev1 - Gráficos.xlsx"/>
    <s v="COO"/>
    <s v="Lucas Martins"/>
    <s v="COO296"/>
    <e v="#REF!"/>
    <s v="Corporativo"/>
    <s v="Eletronorte"/>
    <s v="Geração"/>
    <s v="Modernização"/>
    <s v="Modernização"/>
    <s v="NGHI.0141"/>
    <m/>
    <m/>
    <s v="13777/2022"/>
    <s v="Substituição de transformador para a UHE Curuá-Una - UGH02 e reserva"/>
    <s v="Modernização"/>
    <s v="Modernização"/>
    <s v="NGHI.0141"/>
    <n v="3400004383"/>
    <s v="Substituição de transformador para a UHE Curuá-Una"/>
    <s v="UHE Curuá Una"/>
    <n v="0"/>
    <m/>
    <n v="0"/>
    <n v="0"/>
    <n v="0"/>
    <n v="1500000"/>
    <n v="0"/>
    <m/>
    <n v="0"/>
    <n v="1500000"/>
    <n v="0"/>
    <n v="0"/>
    <n v="3000000"/>
    <n v="1500000"/>
    <n v="2000000"/>
    <n v="0"/>
    <n v="0"/>
    <n v="6500000"/>
    <n v="0"/>
    <n v="0"/>
    <n v="0"/>
    <n v="0"/>
    <n v="0"/>
    <n v="6500000"/>
    <s v="#DESPEJAR!"/>
    <s v="AGMGNO"/>
    <n v="2025"/>
    <s v="ENOR.00046"/>
    <s v="COO0554"/>
    <x v="1"/>
    <s v="PE sem cód ID Financeira"/>
    <s v="Em Contratação"/>
    <n v="3500000"/>
    <s v="Não alterado"/>
    <s v="Frederico Rodolfo Parente Doerner"/>
    <s v="Substituição de transformador para a UHE Curuá-Una - UGH02 e reserva"/>
  </r>
  <r>
    <n v="286"/>
    <e v="#REF!"/>
    <s v="Capex Orcamentário_PE2026_2030_COO_Rev1 - Gráficos.xlsx"/>
    <s v="COO"/>
    <s v="Lucas Martins"/>
    <s v="COO286"/>
    <e v="#REF!"/>
    <s v="Corporativo"/>
    <s v="Eletronorte"/>
    <s v="Geração"/>
    <s v="Modernização"/>
    <s v="Modernização"/>
    <s v="NGHI.0143"/>
    <m/>
    <m/>
    <s v="13777/2022"/>
    <s v="Instalação de câmeras interna e externa a casa de força"/>
    <s v="Modernização"/>
    <s v="Modernização"/>
    <s v="NGHI.0143"/>
    <s v="Não emitido"/>
    <s v="Implantação de monitoramento on-line "/>
    <s v="UHE Curuá Una"/>
    <n v="0"/>
    <n v="0"/>
    <n v="0"/>
    <n v="0"/>
    <m/>
    <n v="0"/>
    <n v="0"/>
    <n v="0"/>
    <m/>
    <n v="0"/>
    <n v="0"/>
    <m/>
    <n v="0"/>
    <n v="3000000"/>
    <n v="0"/>
    <n v="0"/>
    <n v="0"/>
    <n v="3000000"/>
    <n v="0"/>
    <n v="0"/>
    <n v="0"/>
    <n v="0"/>
    <n v="0"/>
    <n v="3000000"/>
    <s v="#DESPEJAR!"/>
    <s v="OOGCU.N"/>
    <n v="2026"/>
    <s v="ENOR.00033.001"/>
    <n v="0"/>
    <x v="3"/>
    <s v="Nova Demanda"/>
    <s v="RC não emitida"/>
    <n v="3000000"/>
    <s v="RD 2027"/>
    <s v="Airton Rego Bentes"/>
    <s v="Instalação de câmeras interna e externa a casa de força"/>
  </r>
  <r>
    <n v="287"/>
    <e v="#REF!"/>
    <s v="Capex Orcamentário_PE2026_2030_COO_Rev1 - Gráficos.xlsx"/>
    <s v="COO"/>
    <s v="Lucas Martins"/>
    <s v="COO287"/>
    <e v="#REF!"/>
    <s v="Corporativo"/>
    <s v="Eletronorte"/>
    <s v="Geração"/>
    <s v="Modernização"/>
    <s v="Modernização"/>
    <s v="NGHI.0143"/>
    <m/>
    <m/>
    <s v="13777/2022"/>
    <s v="Substituição de cadeias de isoladores da linha CUTA"/>
    <s v="Modernização"/>
    <s v="Modernização"/>
    <s v="NGHI.0143"/>
    <s v="Não emitido"/>
    <s v="Modernização de isoladores e para-raios da Linha CUTALI5-01"/>
    <s v="UHE Curuá Una"/>
    <n v="0"/>
    <n v="0"/>
    <n v="0"/>
    <n v="0"/>
    <n v="0"/>
    <m/>
    <n v="0"/>
    <n v="0"/>
    <n v="0"/>
    <m/>
    <n v="0"/>
    <n v="0"/>
    <n v="0"/>
    <n v="3000000"/>
    <n v="0"/>
    <n v="0"/>
    <n v="0"/>
    <n v="3000000"/>
    <n v="0"/>
    <n v="0"/>
    <n v="0"/>
    <n v="0"/>
    <n v="0"/>
    <n v="3000000"/>
    <s v="#DESPEJAR!"/>
    <s v="ATMTLN"/>
    <n v="2026"/>
    <s v="ENOR.00034.001"/>
    <n v="0"/>
    <x v="3"/>
    <s v="Nova Demanda"/>
    <s v="RC não emitida"/>
    <n v="3000000"/>
    <s v="RD 2027"/>
    <s v="Jimmison Levi Monteiro De Oliveira"/>
    <s v="Substituição de cadeias de isoladores da linha CUTA"/>
  </r>
  <r>
    <n v="280"/>
    <e v="#REF!"/>
    <s v="Capex Orcamentário_PE2026_2030_COO_Rev1 - Gráficos.xlsx"/>
    <s v="COO"/>
    <s v="Lucas Martins"/>
    <s v="COO280"/>
    <e v="#REF!"/>
    <s v="Corporativo"/>
    <s v="Eletronorte"/>
    <s v="Geração"/>
    <s v="Modernização"/>
    <s v="Modernização"/>
    <s v="NGHI.0143"/>
    <m/>
    <m/>
    <s v="13592/2022"/>
    <s v="Modernização dos Stop Logs da UHE Tucuruí"/>
    <s v="Modernização"/>
    <s v="Modernização"/>
    <s v="NGHI.0143"/>
    <n v="4500073892"/>
    <s v="Contratação de Serviço de Revitalização dos Stop Logs das Casas de Força 01 e 02 da UHE Tucuruí."/>
    <s v="UHE Tucuruí"/>
    <m/>
    <m/>
    <n v="745051"/>
    <m/>
    <m/>
    <n v="745051"/>
    <m/>
    <m/>
    <n v="745051"/>
    <m/>
    <n v="745051"/>
    <m/>
    <n v="2980204"/>
    <n v="4000000"/>
    <n v="2000000"/>
    <n v="0"/>
    <n v="0"/>
    <n v="8980204"/>
    <n v="0"/>
    <n v="0"/>
    <n v="0"/>
    <n v="0"/>
    <n v="0"/>
    <n v="8980204"/>
    <s v="#DESPEJAR!"/>
    <s v="OOGTM.N"/>
    <n v="2025"/>
    <s v="ENOR.00027.001"/>
    <s v="COO0628"/>
    <x v="0"/>
    <s v="(PE) Não Requisitado e com ID Financeira"/>
    <s v="RC não emitida"/>
    <n v="4980204"/>
    <s v="RD 2026 e 2mi para 20278"/>
    <s v="Gilton Carlos De Andrade Furtado"/>
    <s v="Modernização dos Stop Logs da UHE Tucuruí"/>
  </r>
  <r>
    <n v="355"/>
    <e v="#REF!"/>
    <s v="Capex Orcamentário_PE2026_2030_COO_Rev1 - Gráficos.xlsx"/>
    <s v="COO"/>
    <s v="Lucas Martins"/>
    <s v="COO355"/>
    <e v="#REF!"/>
    <s v="Corporativo"/>
    <s v="Eletronorte"/>
    <s v="Geração"/>
    <s v="Modernização"/>
    <s v="Modernização"/>
    <s v="NGHI.0028"/>
    <m/>
    <m/>
    <s v="13592/2022"/>
    <s v="Modernização do sistema de drenagem e esgotamento da UHE Tucuruí"/>
    <s v="Modernização"/>
    <s v="Modernização"/>
    <s v="NGHI.0028"/>
    <n v="4500063694"/>
    <s v="Fornecimento, adequação, instalação e comissionamento de bombasverticais do sistema de drenagem e esgotamento da UHE Tucuruí no âmbitoda Superintendência de Produção da Geração Hidráulica – OGH, comfornecimento de materiais, equipamentos e mão de obra especializada."/>
    <s v="UHE Tucuruí"/>
    <n v="0"/>
    <n v="0"/>
    <n v="0"/>
    <n v="0"/>
    <n v="0"/>
    <n v="0"/>
    <n v="0"/>
    <n v="0"/>
    <n v="0"/>
    <n v="0"/>
    <n v="0"/>
    <n v="0"/>
    <n v="0"/>
    <n v="0"/>
    <n v="0"/>
    <n v="0"/>
    <n v="0"/>
    <n v="0"/>
    <n v="0"/>
    <n v="0"/>
    <n v="0"/>
    <n v="0"/>
    <n v="0"/>
    <n v="0"/>
    <s v="#DESPEJAR!"/>
    <s v="OOGT.N"/>
    <n v="2025"/>
    <s v="ENOR.00113.001"/>
    <s v="COO0619"/>
    <x v="0"/>
    <s v="(PE) Não Requisitado e com ID Financeira"/>
    <s v="Contratado"/>
    <n v="3000000"/>
    <s v="Contrato zerado"/>
    <s v="Romulo Cesar Pereira"/>
    <s v="Modernização do sistema de drenagem e esgotamento da UHE Tucuruí"/>
  </r>
  <r>
    <n v="761"/>
    <e v="#REF!"/>
    <s v="Capex Orcamentário_PE2026_2030_COO_Rev1 - Gráficos.xlsx"/>
    <s v="COO"/>
    <s v="Lucas Martins"/>
    <s v="COO761"/>
    <e v="#REF!"/>
    <s v="Corporativo"/>
    <s v="Eletronorte"/>
    <s v="Geração"/>
    <s v="Modernização"/>
    <s v="Modernização"/>
    <s v="NGHI.0141"/>
    <m/>
    <m/>
    <m/>
    <s v="Aquisição de transformador elevador 13,8/230 kV, 59 MVA para a UHE Samuel"/>
    <s v="Modernização"/>
    <s v="Modernização"/>
    <s v="NGHI.0141"/>
    <s v="Não emitido"/>
    <m/>
    <s v="UHE Samuel"/>
    <n v="0"/>
    <n v="0"/>
    <n v="0"/>
    <n v="0"/>
    <n v="0"/>
    <n v="0"/>
    <m/>
    <n v="0"/>
    <n v="0"/>
    <n v="0"/>
    <n v="0"/>
    <m/>
    <n v="0"/>
    <n v="6000000"/>
    <n v="6000000"/>
    <n v="0"/>
    <n v="0"/>
    <n v="12000000"/>
    <n v="0"/>
    <n v="0"/>
    <n v="0"/>
    <n v="0"/>
    <n v="0"/>
    <n v="12000000"/>
    <s v="#DESPEJAR!"/>
    <s v="OOGSA.N"/>
    <m/>
    <m/>
    <m/>
    <x v="4"/>
    <m/>
    <s v="RC não emitida"/>
    <n v="2400000"/>
    <s v="RD 2027 a 2028"/>
    <s v="Robinson Percy Holder"/>
    <s v="Aquisição de transformador elevador 13,8/230 kV, 59 MVA para a UHE Samuel"/>
  </r>
  <r>
    <n v="341"/>
    <e v="#REF!"/>
    <s v="Capex Orcamentário_PE2026_2030_COO_Rev1 - Gráficos.xlsx"/>
    <s v="COO"/>
    <s v="Lucas Martins"/>
    <s v="COO341"/>
    <e v="#REF!"/>
    <s v="Corporativo"/>
    <s v="Eletronorte"/>
    <s v="Geração"/>
    <s v="Modernização"/>
    <s v="Modernização"/>
    <s v="NGHI.0143"/>
    <m/>
    <m/>
    <s v="0484/2016"/>
    <s v="Sobressalentes Estrategicos UHCN"/>
    <s v="Modernização"/>
    <s v="Modernização"/>
    <s v="NGHI.0143"/>
    <s v="Não emitido"/>
    <s v="Sobressalentes Estrategicos _CNUGH-01, 02, 03  Banco de Transformadores CNTF5-01 Pocos de Drenagem "/>
    <s v="UHE Coaracy Nunes "/>
    <n v="0"/>
    <n v="0"/>
    <n v="0"/>
    <n v="0"/>
    <m/>
    <n v="0"/>
    <n v="0"/>
    <m/>
    <n v="0"/>
    <n v="500000"/>
    <m/>
    <n v="0"/>
    <n v="500000"/>
    <n v="3200000"/>
    <n v="1800000"/>
    <n v="0"/>
    <n v="0"/>
    <n v="5500000"/>
    <n v="0"/>
    <n v="0"/>
    <n v="0"/>
    <n v="0"/>
    <n v="0"/>
    <n v="5500000"/>
    <s v="#DESPEJAR!"/>
    <s v="OOGCN.N"/>
    <n v="2026"/>
    <s v="ENOR.00093.005"/>
    <n v="0"/>
    <x v="3"/>
    <s v="Nova Demanda"/>
    <s v="RC não emitida"/>
    <n v="2300000"/>
    <s v="RD 2025 1,8 2028"/>
    <s v="Naim Damasceno Campos"/>
    <s v="Sobressalentes Estrategicos UHCN"/>
  </r>
  <r>
    <n v="367"/>
    <e v="#REF!"/>
    <s v="Capex Orcamentário_PE2026_2030_COO_Rev1 - Gráficos.xlsx"/>
    <s v="COO"/>
    <s v="Lucas Martins"/>
    <s v="COO367"/>
    <e v="#REF!"/>
    <s v="Corporativo"/>
    <s v="Eletronorte"/>
    <s v="Geração"/>
    <s v="Modernização"/>
    <s v="Telecom"/>
    <s v="NSTC.0040"/>
    <m/>
    <m/>
    <s v="13777/2022"/>
    <s v="SISTEMA DE ALIMENTAÇÃO -48VCC"/>
    <s v="Modernização"/>
    <s v="Telecom"/>
    <s v="NSTC.0044"/>
    <s v="Ver contrato telecon"/>
    <s v="Implantação de Alimentação -48VCC"/>
    <s v="UHE Curuá Una"/>
    <n v="0"/>
    <n v="0"/>
    <n v="565500"/>
    <n v="0"/>
    <n v="0"/>
    <n v="565500"/>
    <n v="0"/>
    <n v="0"/>
    <n v="565500"/>
    <n v="0"/>
    <n v="0"/>
    <n v="565500"/>
    <n v="2262000"/>
    <n v="2790000"/>
    <n v="678000"/>
    <n v="0"/>
    <n v="0"/>
    <n v="5730000"/>
    <n v="0"/>
    <n v="0"/>
    <n v="0"/>
    <n v="0"/>
    <n v="0"/>
    <n v="5730000"/>
    <s v="#DESPEJAR!"/>
    <s v="OOPT.N"/>
    <n v="2025"/>
    <s v="ENOR.00202.001"/>
    <s v="COO1080"/>
    <x v="4"/>
    <s v="(PE) Não Requisitado e com ID Financeira"/>
    <s v="Em Contratação"/>
    <n v="2262000"/>
    <s v="Não alterado"/>
    <s v="João André Peixoto De Souza"/>
    <s v="SISTEMA DE ALIMENTAÇÃO -48VCC"/>
  </r>
  <r>
    <n v="290"/>
    <e v="#REF!"/>
    <s v="Capex Orcamentário_PE2026_2030_COO_Rev1 - Gráficos.xlsx"/>
    <s v="COO"/>
    <s v="Lucas Martins"/>
    <s v="COO290"/>
    <e v="#REF!"/>
    <s v="Corporativo"/>
    <s v="Eletronorte"/>
    <s v="Geração"/>
    <s v="Modernização"/>
    <s v="Modernização"/>
    <s v="NGHI.0141"/>
    <m/>
    <m/>
    <s v="13777/2022"/>
    <s v="Modernização da instrumentação da UHE Curuá-Una CUUGH01, 02 e 03 "/>
    <s v="Modernização"/>
    <s v="Modernização"/>
    <s v="NGHI.0141"/>
    <n v="3400002925"/>
    <s v="Substituição de equipamentos com fim de vida util"/>
    <s v="UHE Curuá Una"/>
    <n v="0"/>
    <n v="0"/>
    <m/>
    <n v="0"/>
    <n v="0"/>
    <n v="0"/>
    <m/>
    <n v="1000000"/>
    <n v="0"/>
    <m/>
    <n v="0"/>
    <n v="0"/>
    <n v="1000000"/>
    <n v="2100000"/>
    <n v="0"/>
    <n v="0"/>
    <n v="0"/>
    <n v="3100000"/>
    <n v="0"/>
    <n v="0"/>
    <n v="0"/>
    <n v="0"/>
    <n v="0"/>
    <n v="3100000"/>
    <s v="#DESPEJAR!"/>
    <s v="AGMGNO"/>
    <n v="2025"/>
    <s v="ENOR.00037"/>
    <s v="COO0583"/>
    <x v="1"/>
    <s v="PE sem cód ID Financeira"/>
    <s v="Em Contratação"/>
    <n v="2100000"/>
    <s v="RD 2026 a 2027"/>
    <s v="Frederico Rodolfo Parente Doerner"/>
    <s v="Modernização da instrumentação da UHE Curuá-Una CUUGH01, 02 e 03 "/>
  </r>
  <r>
    <n v="279"/>
    <e v="#REF!"/>
    <s v="Capex Orcamentário_PE2026_2030_COO_Rev1 - Gráficos.xlsx"/>
    <s v="COO"/>
    <s v="Lucas Martins"/>
    <s v="COO279"/>
    <e v="#REF!"/>
    <s v="Corporativo"/>
    <s v="Eletronorte"/>
    <s v="Geração"/>
    <s v="Modernização"/>
    <s v="Modernização"/>
    <s v="NGHI.0143"/>
    <m/>
    <m/>
    <s v="13592/2022"/>
    <s v="Modernização das estruturas metálicas da UHE Tucuruí"/>
    <s v="Modernização"/>
    <s v="Modernização"/>
    <s v="NGHI.0143"/>
    <s v="4500071331-Aditivo"/>
    <s v="Contratação de serviço para Revitalização de Estruturas Metálicas das partes metálicas da UHE Tucuruí. (Termo aditivo previsto VT)"/>
    <s v="UHE Tucuruí"/>
    <n v="166666.66666666666"/>
    <n v="166666.66666666666"/>
    <n v="166666.66666666666"/>
    <n v="166666.66666666666"/>
    <n v="166666.66666666666"/>
    <n v="166666.66666666666"/>
    <n v="166666.66666666666"/>
    <n v="166666.66666666666"/>
    <n v="166666.66666666666"/>
    <n v="166666.66666666666"/>
    <n v="166666.66666666666"/>
    <n v="166666.66666666666"/>
    <n v="2000000.0000000002"/>
    <n v="2000000"/>
    <n v="1000000"/>
    <n v="0"/>
    <n v="0"/>
    <n v="5000000"/>
    <n v="0"/>
    <n v="0"/>
    <n v="0"/>
    <n v="0"/>
    <n v="0"/>
    <n v="5000000"/>
    <s v="#DESPEJAR!"/>
    <s v="OOGTM.N"/>
    <n v="2025"/>
    <s v="ENOR.00026.001"/>
    <s v="COO0626"/>
    <x v="0"/>
    <s v="(PE) Não Requisitado e com ID Financeira"/>
    <s v="Em Contratação"/>
    <n v="2000000.0000000002"/>
    <s v="Não alterado"/>
    <s v="Gilton Carlos De Andrade Furtado"/>
    <s v="Modernização das estruturas metálicas da UHE Tucuruí"/>
  </r>
  <r>
    <n v="266"/>
    <e v="#REF!"/>
    <s v="Capex Orcamentário_PE2026_2030_COO_Rev1 - Gráficos.xlsx"/>
    <s v="COO"/>
    <s v="Lucas Martins"/>
    <s v="COO266"/>
    <e v="#REF!"/>
    <s v="Corporativo"/>
    <s v="Eletronorte"/>
    <s v="Geração"/>
    <s v="Modernização"/>
    <s v="Modernização"/>
    <s v="NGHI.0143"/>
    <m/>
    <m/>
    <s v="13592/2022"/>
    <s v="Aquisição de 02 (duas) válvulas de isolamento motorizadas de 10” para aplicação no sistema de injeção de ar de rebaixamento da Central AN 01 - UGH 02"/>
    <s v="Modernização"/>
    <s v="Modernização"/>
    <s v="NGHI.0143"/>
    <n v="4500084896"/>
    <s v="Alteração no sistema de acionamento de manual para motorizado - Celebrado o contratopara fornecimento de 08 válvula - Fornecedor: RTS Indústria e Comércio de Válvulas Ltda"/>
    <s v="UHE Tucuruí"/>
    <n v="0"/>
    <n v="0"/>
    <n v="300000"/>
    <n v="0"/>
    <n v="0"/>
    <n v="424336"/>
    <n v="0"/>
    <n v="400000"/>
    <n v="0"/>
    <n v="0"/>
    <n v="0"/>
    <n v="700000"/>
    <n v="1824336"/>
    <n v="0"/>
    <n v="0"/>
    <n v="0"/>
    <n v="0"/>
    <n v="1824336"/>
    <n v="0"/>
    <n v="0"/>
    <n v="0"/>
    <n v="0"/>
    <n v="0"/>
    <n v="1824336"/>
    <s v="#DESPEJAR!"/>
    <s v="OOGTM.N"/>
    <n v="2025"/>
    <s v="ENOR.00004.001"/>
    <s v="COO0727"/>
    <x v="0"/>
    <s v="(PE) Requisitado e com ID Financeira"/>
    <s v="RC não emitida"/>
    <n v="1824336"/>
    <s v="Não alterado"/>
    <s v="Gilton Carlos De Andrade Furtado"/>
    <s v="Aquisição de 02 (duas) válvulas de isolamento motorizadas de 10” para aplicação no sistema de injeção de ar de rebaixamento da Central AN 01 - UGH 02"/>
  </r>
  <r>
    <n v="292"/>
    <e v="#REF!"/>
    <s v="Capex Orcamentário_PE2026_2030_COO_Rev1 - Gráficos.xlsx"/>
    <s v="COO"/>
    <s v="Lucas Martins"/>
    <s v="COO292"/>
    <e v="#REF!"/>
    <s v="Corporativo"/>
    <s v="Eletronorte"/>
    <s v="Geração"/>
    <s v="Modernização"/>
    <s v="Modernização"/>
    <s v="NGHI.0143"/>
    <m/>
    <m/>
    <s v="13777/2022"/>
    <s v="Implantação da mesa de comando da sala de controle da UHE Curuá-Una"/>
    <s v="Modernização"/>
    <s v="Modernização"/>
    <s v="NGHI.0143"/>
    <n v="3400004431"/>
    <s v="Implantação de mesa para facilitação do comando das UGHs"/>
    <s v="UHE Curuá Una"/>
    <n v="0"/>
    <n v="0"/>
    <n v="0"/>
    <n v="0"/>
    <n v="0"/>
    <n v="0"/>
    <m/>
    <n v="0"/>
    <n v="0"/>
    <n v="100000"/>
    <n v="0"/>
    <n v="0"/>
    <n v="100000"/>
    <n v="500000"/>
    <m/>
    <n v="0"/>
    <n v="0"/>
    <n v="600000"/>
    <n v="0"/>
    <n v="0"/>
    <n v="0"/>
    <n v="0"/>
    <n v="0"/>
    <n v="600000"/>
    <s v="#DESPEJAR!"/>
    <s v="OOGCU.N"/>
    <n v="2025"/>
    <s v="ENOR.00041.001"/>
    <s v="COO0697"/>
    <x v="2"/>
    <s v="PE sem cód ID Financeira"/>
    <s v="Em Contratação"/>
    <n v="2000000"/>
    <s v="RD 2026"/>
    <s v="Airton Rego Bentes"/>
    <s v="Implantação da mesa de comando da sala de controle da UHE Curuá-Una"/>
  </r>
  <r>
    <n v="313"/>
    <e v="#REF!"/>
    <s v="Capex Orcamentário_PE2026_2030_COO_Rev1 - Gráficos.xlsx"/>
    <s v="COO"/>
    <s v="Lucas Martins"/>
    <s v="COO313"/>
    <e v="#REF!"/>
    <s v="Corporativo"/>
    <s v="Eletronorte"/>
    <s v="Geração"/>
    <s v="Modernização"/>
    <s v="Modernização"/>
    <s v="NGHI.0141"/>
    <m/>
    <m/>
    <n v="157189"/>
    <s v="Aquisição Pára Raios 230KV"/>
    <s v="Modernização"/>
    <s v="Modernização"/>
    <s v="NGHI.0141"/>
    <s v="Não emitido"/>
    <s v="UG1_PR_SE_SAMUEL"/>
    <s v="UHE Samuel"/>
    <n v="0"/>
    <n v="0"/>
    <n v="0"/>
    <n v="0"/>
    <n v="0"/>
    <n v="0"/>
    <n v="0"/>
    <n v="0"/>
    <m/>
    <n v="0"/>
    <n v="0"/>
    <n v="0"/>
    <n v="0"/>
    <n v="1750000"/>
    <n v="0"/>
    <n v="0"/>
    <n v="0"/>
    <n v="1750000"/>
    <n v="0"/>
    <n v="0"/>
    <n v="0"/>
    <n v="0"/>
    <n v="0"/>
    <n v="1750000"/>
    <s v="#DESPEJAR!"/>
    <s v="AGCGNO"/>
    <n v="2026"/>
    <s v="ENOR.00063.001"/>
    <n v="0"/>
    <x v="4"/>
    <s v="Nova Demanda"/>
    <s v="RC não emitida"/>
    <n v="1500000"/>
    <s v="RD 2027"/>
    <s v="Geovane Andrade Melo Luz"/>
    <s v="Aquisição Pára Raios 230KV"/>
  </r>
  <r>
    <n v="315"/>
    <e v="#REF!"/>
    <s v="Capex Orcamentário_PE2026_2030_COO_Rev1 - Gráficos.xlsx"/>
    <s v="COO"/>
    <s v="Lucas Martins"/>
    <s v="COO315"/>
    <e v="#REF!"/>
    <s v="Corporativo"/>
    <s v="Eletronorte"/>
    <s v="Geração"/>
    <s v="Modernização"/>
    <s v="Modernização"/>
    <s v="NGHI.0141"/>
    <m/>
    <m/>
    <n v="157189"/>
    <s v="Aquisição TPC 230KV"/>
    <s v="Modernização"/>
    <s v="Modernização"/>
    <s v="NGHI.0141"/>
    <s v="Não emitido"/>
    <s v="UG1_TPC_SE_SAMUEL"/>
    <s v="UHE Samuel"/>
    <n v="0"/>
    <n v="0"/>
    <n v="0"/>
    <n v="0"/>
    <n v="0"/>
    <n v="0"/>
    <n v="0"/>
    <n v="0"/>
    <n v="0"/>
    <m/>
    <n v="0"/>
    <n v="0"/>
    <n v="0"/>
    <n v="1750000"/>
    <n v="0"/>
    <n v="0"/>
    <n v="0"/>
    <n v="1750000"/>
    <n v="0"/>
    <n v="0"/>
    <n v="0"/>
    <n v="0"/>
    <n v="0"/>
    <n v="1750000"/>
    <s v="#DESPEJAR!"/>
    <s v="AGCGNO"/>
    <n v="2026"/>
    <s v="ENOR.00065.001"/>
    <n v="0"/>
    <x v="4"/>
    <s v="Nova Demanda"/>
    <s v="RC não emitida"/>
    <n v="1500000"/>
    <s v="RD 2027"/>
    <s v="Geovane Andrade Melo Luz"/>
    <s v="Aquisição TPC 230KV"/>
  </r>
  <r>
    <n v="263"/>
    <e v="#REF!"/>
    <s v="Capex Orcamentário_PE2026_2030_COO_Rev1 - Gráficos.xlsx"/>
    <s v="COO"/>
    <s v="Lucas Martins"/>
    <s v="COO263"/>
    <e v="#REF!"/>
    <s v="Corporativo"/>
    <s v="Eletronorte"/>
    <s v="Geração"/>
    <s v="Modernização"/>
    <s v="Modernização"/>
    <s v="NGHI.0075"/>
    <m/>
    <m/>
    <s v="13592/2022"/>
    <s v="Aquisição de Sistema de Incendio  UHE Tucuruí - CF  I e CF II"/>
    <s v="Modernização"/>
    <s v="Modernização"/>
    <s v="NGHI.0075"/>
    <s v="Não emitido"/>
    <s v="Sistema de proteção contra incêndio da UHE Tucuruí - Casa de Força I e II"/>
    <s v="UHE Tucuruí"/>
    <n v="0"/>
    <n v="0"/>
    <m/>
    <n v="0"/>
    <n v="0"/>
    <m/>
    <n v="0"/>
    <m/>
    <n v="0"/>
    <n v="0"/>
    <m/>
    <n v="0"/>
    <n v="0"/>
    <n v="1300000"/>
    <n v="1300000"/>
    <n v="1950000"/>
    <n v="0"/>
    <n v="4550000"/>
    <n v="0"/>
    <n v="0"/>
    <n v="0"/>
    <n v="0"/>
    <n v="0"/>
    <n v="4550000"/>
    <s v="#DESPEJAR!"/>
    <s v="AGMGNO"/>
    <n v="2025"/>
    <s v="ENOR.00001"/>
    <s v="COO0701"/>
    <x v="4"/>
    <s v="PE sem cód ID Financeira"/>
    <s v="RC não emitida"/>
    <n v="1300000"/>
    <s v="RD 2027 a 2029"/>
    <s v="Frederico Rodolfo Parente Doerner"/>
    <s v="Aquisição de Sistema de Incendio  UHE Tucuruí - CF  I e CF II"/>
  </r>
  <r>
    <n v="277"/>
    <e v="#REF!"/>
    <s v="Capex Orcamentário_PE2026_2030_COO_Rev1 - Gráficos.xlsx"/>
    <s v="COO"/>
    <s v="Lucas Martins"/>
    <s v="COO277"/>
    <e v="#REF!"/>
    <s v="Corporativo"/>
    <s v="Eletronorte"/>
    <s v="Geração"/>
    <s v="Modernização"/>
    <s v="Modernização"/>
    <s v="NGHI.0141"/>
    <m/>
    <m/>
    <s v="13592/2022"/>
    <s v="sistema de refrigeração predial edificio comando, Supervisão e ULCPS"/>
    <s v="Modernização"/>
    <s v="Modernização"/>
    <s v="NGHI.0143"/>
    <s v="Não emitido"/>
    <s v="sistema de refrigeração predial edificio comando"/>
    <s v="UHE Tucuruí"/>
    <n v="0"/>
    <n v="0"/>
    <n v="0"/>
    <m/>
    <n v="0"/>
    <n v="0"/>
    <n v="0"/>
    <m/>
    <n v="0"/>
    <n v="0"/>
    <m/>
    <n v="0"/>
    <n v="0"/>
    <n v="951000"/>
    <n v="0"/>
    <n v="0"/>
    <n v="0"/>
    <n v="951000"/>
    <n v="0"/>
    <n v="0"/>
    <n v="0"/>
    <n v="0"/>
    <n v="0"/>
    <n v="951000"/>
    <s v="#DESPEJAR!"/>
    <s v="OOGTM.N"/>
    <n v="2026"/>
    <s v="ENOR.00024"/>
    <n v="0"/>
    <x v="3"/>
    <s v="Nova Demanda"/>
    <s v="RC não emitida"/>
    <n v="951000"/>
    <s v="RD 2027"/>
    <s v="Elizete Oliveira Do Nascimento"/>
    <s v="sistema de refrigeração predial edificio comando, Supervisão e ULCPS"/>
  </r>
  <r>
    <n v="344"/>
    <e v="#REF!"/>
    <s v="Capex Orcamentário_PE2026_2030_COO_Rev1 - Gráficos.xlsx"/>
    <s v="COO"/>
    <s v="Lucas Martins"/>
    <s v="COO344"/>
    <e v="#REF!"/>
    <s v="Corporativo"/>
    <s v="Eletronorte"/>
    <s v="Geração"/>
    <s v="Modernização"/>
    <s v="Modernização"/>
    <s v="NGHI.0146"/>
    <m/>
    <m/>
    <s v="13592/2022"/>
    <s v="Implantação do sistema de injeção química para combate ao mexilhão dourado na UHE Tucuruí"/>
    <s v="Modernização"/>
    <s v="Modernização"/>
    <s v="NGHI.0146"/>
    <n v="4500079784"/>
    <s v="Fornecimento de sistema de injeção automático e controle analítico on-line para dosagem de hipoclorito de cálcio 65% em tabletes de lenta dissolução, com fornecimento de materiais, equipamentos e mão de obra para tratamento da água de resfriamento da UHE Tucuruí, nas Casas de Força I, II e Auxiliares em sistemas de dosagem independentes"/>
    <s v="UHE Tucuruí"/>
    <n v="0"/>
    <n v="0"/>
    <n v="0"/>
    <n v="900000"/>
    <n v="0"/>
    <n v="0"/>
    <n v="0"/>
    <n v="0"/>
    <n v="900000"/>
    <n v="0"/>
    <n v="0"/>
    <n v="0"/>
    <n v="1800000"/>
    <n v="557200"/>
    <n v="0"/>
    <n v="0"/>
    <n v="0"/>
    <n v="2357200"/>
    <n v="0"/>
    <n v="0"/>
    <n v="0"/>
    <n v="0"/>
    <n v="0"/>
    <n v="2357200"/>
    <s v="#DESPEJAR!"/>
    <s v="AGMGNO"/>
    <n v="2025"/>
    <s v="ENOR.00096.001"/>
    <s v="COO0549"/>
    <x v="0"/>
    <s v="Nova Demanda"/>
    <s v="Contratado"/>
    <n v="1800000"/>
    <s v="Não alterado"/>
    <s v="Frederico Rodolfo Parente Doerner"/>
    <s v="Implantação do sistema de injeção química para combate ao mexilhão dourado na UHE Tucuruí"/>
  </r>
  <r>
    <n v="267"/>
    <e v="#REF!"/>
    <s v="Capex Orcamentário_PE2026_2030_COO_Rev1 - Gráficos.xlsx"/>
    <s v="COO"/>
    <s v="Lucas Martins"/>
    <s v="COO267"/>
    <e v="#REF!"/>
    <s v="Corporativo"/>
    <s v="Eletronorte"/>
    <s v="Geração"/>
    <s v="Modernização"/>
    <s v="Modernização"/>
    <s v="NGHI.0143"/>
    <m/>
    <m/>
    <s v="13592/2022"/>
    <s v="Aquisição de compressores para aplicação no sistema de ar de rebaixamento "/>
    <s v="Modernização"/>
    <s v="Modernização"/>
    <s v="NGHI.0143"/>
    <n v="4500086920"/>
    <s v="Instalação de novos equipamentos nas centrais s - Processo está na fase de contratação."/>
    <s v="UHE Tucuruí"/>
    <m/>
    <n v="0"/>
    <n v="840000"/>
    <n v="0"/>
    <n v="840000"/>
    <n v="0"/>
    <n v="0"/>
    <n v="0"/>
    <n v="0"/>
    <n v="0"/>
    <n v="0"/>
    <n v="0"/>
    <n v="1680000"/>
    <n v="0"/>
    <n v="0"/>
    <n v="0"/>
    <n v="0"/>
    <n v="1680000"/>
    <n v="0"/>
    <n v="0"/>
    <n v="0"/>
    <n v="0"/>
    <n v="0"/>
    <n v="1680000"/>
    <s v="#DESPEJAR!"/>
    <s v="OOGTM.N"/>
    <n v="2025"/>
    <s v="ENOR.00005"/>
    <s v="COO0727"/>
    <x v="0"/>
    <s v="(PE) Não Requisitado e com ID Financeira"/>
    <s v="Contratado"/>
    <n v="1680000"/>
    <s v="Não alterado"/>
    <s v="Gilton Carlos De Andrade Furtado"/>
    <s v="Aquisição de compressores para aplicação no sistema de ar de rebaixamento "/>
  </r>
  <r>
    <n v="276"/>
    <e v="#REF!"/>
    <s v="Capex Orcamentário_PE2026_2030_COO_Rev1 - Gráficos.xlsx"/>
    <s v="COO"/>
    <s v="Lucas Martins"/>
    <s v="COO276"/>
    <e v="#REF!"/>
    <s v="Corporativo"/>
    <s v="Eletronorte"/>
    <s v="Geração"/>
    <s v="Modernização"/>
    <s v="Modernização"/>
    <s v="NGHI.0141"/>
    <m/>
    <m/>
    <s v="13592/2022"/>
    <s v="sistema de ventilação e exaustão CF1, CF2, vertedouro e tomada agua"/>
    <s v="Modernização"/>
    <s v="Modernização"/>
    <s v="NGHI.0141"/>
    <s v="Não emitido"/>
    <s v="sistema de ventilação e exaustão CF1, CF2, vertedouro e tomada agua"/>
    <s v="UHE Tucuruí"/>
    <n v="0"/>
    <n v="0"/>
    <n v="0"/>
    <m/>
    <n v="0"/>
    <n v="0"/>
    <n v="0"/>
    <m/>
    <n v="0"/>
    <n v="0"/>
    <m/>
    <n v="0"/>
    <n v="0"/>
    <n v="900000"/>
    <n v="0"/>
    <n v="0"/>
    <n v="0"/>
    <n v="900000"/>
    <n v="0"/>
    <n v="0"/>
    <n v="0"/>
    <n v="0"/>
    <n v="0"/>
    <n v="900000"/>
    <s v="#DESPEJAR!"/>
    <s v="OOGT.N"/>
    <n v="2026"/>
    <s v="ENOR.00023"/>
    <n v="0"/>
    <x v="3"/>
    <s v="Nova Demanda"/>
    <s v="RC não emitida"/>
    <n v="900000"/>
    <s v="RD 2027"/>
    <s v="Romulo Cesar Pereira"/>
    <s v="sistema de ventilação e exaustão CF1, CF2, vertedouro e tomada agua"/>
  </r>
  <r>
    <n v="275"/>
    <e v="#REF!"/>
    <s v="Capex Orcamentário_PE2026_2030_COO_Rev1 - Gráficos.xlsx"/>
    <s v="COO"/>
    <s v="Lucas Martins"/>
    <s v="COO275"/>
    <e v="#REF!"/>
    <s v="Corporativo"/>
    <s v="Eletronorte"/>
    <s v="Geração"/>
    <s v="Modernização"/>
    <s v="Modernização"/>
    <s v="NGHI.0141"/>
    <m/>
    <m/>
    <s v="13592/2022"/>
    <s v="sistema de drenagem tampa turbina CF1, UG01,02,03,04,05,06,07,08,09,10,11 e 12"/>
    <s v="Modernização"/>
    <s v="Modernização"/>
    <s v="NGHI.0141"/>
    <s v="Não emitido"/>
    <s v="sistema de drenagem tampa turbina CF1 - modernização UG01,02,03,04,05,06,07,08,09,10,11 e 12"/>
    <s v="UHE Tucuruí"/>
    <n v="0"/>
    <n v="0"/>
    <m/>
    <n v="0"/>
    <n v="0"/>
    <m/>
    <n v="0"/>
    <m/>
    <m/>
    <m/>
    <m/>
    <n v="0"/>
    <n v="0"/>
    <n v="720000"/>
    <n v="0"/>
    <n v="0"/>
    <n v="0"/>
    <n v="720000"/>
    <n v="0"/>
    <n v="0"/>
    <n v="0"/>
    <n v="0"/>
    <n v="0"/>
    <n v="720000"/>
    <s v="#DESPEJAR!"/>
    <s v="AGMGNO"/>
    <n v="2026"/>
    <s v="ENOR.00022"/>
    <n v="0"/>
    <x v="3"/>
    <s v="Nova Demanda"/>
    <s v="RC não emitida"/>
    <n v="720000"/>
    <s v="RD 2027"/>
    <s v="Frederico Rodolfo Parente Doerner"/>
    <s v="sistema de drenagem tampa turbina CF1, UG01,02,03,04,05,06,07,08,09,10,11 e 12"/>
  </r>
  <r>
    <n v="268"/>
    <e v="#REF!"/>
    <s v="Capex Orcamentário_PE2026_2030_COO_Rev1 - Gráficos.xlsx"/>
    <s v="COO"/>
    <s v="Lucas Martins"/>
    <s v="COO268"/>
    <e v="#REF!"/>
    <s v="Corporativo"/>
    <s v="Eletronorte"/>
    <s v="Geração"/>
    <s v="Modernização"/>
    <s v="Modernização"/>
    <s v="NGHI.0143"/>
    <m/>
    <m/>
    <s v="13592/2022"/>
    <s v="Aquisição de motobombas para o sistema de circulação de óleo dos mancais MGT, MGG e ME - Casa de Força 01"/>
    <s v="Modernização"/>
    <s v="Modernização"/>
    <s v="NGHI.0143"/>
    <s v="Não emitido"/>
    <s v="Necessidade de equipamentos sobressalentes"/>
    <s v="UHE Tucuruí"/>
    <n v="0"/>
    <n v="0"/>
    <n v="0"/>
    <n v="0"/>
    <n v="0"/>
    <n v="0"/>
    <n v="0"/>
    <m/>
    <n v="0"/>
    <n v="0"/>
    <m/>
    <n v="0"/>
    <n v="0"/>
    <n v="695254.2"/>
    <n v="695254.2"/>
    <n v="0"/>
    <n v="0"/>
    <n v="1390508.4"/>
    <n v="0"/>
    <n v="0"/>
    <n v="0"/>
    <n v="0"/>
    <n v="0"/>
    <n v="1390508.4"/>
    <s v="#DESPEJAR!"/>
    <s v="OOGTM.N"/>
    <n v="2026"/>
    <s v="ENOR.00007.001"/>
    <n v="0"/>
    <x v="4"/>
    <s v="Nova Demanda"/>
    <s v="RC não emitida"/>
    <n v="695254.2"/>
    <s v="RD 2027 a 2028"/>
    <s v="Gilton Carlos De Andrade Furtado"/>
    <s v="Aquisição de motobombas para o sistema de circulação de óleo dos mancais MGT, MGG e ME - Casa de Força 01"/>
  </r>
  <r>
    <n v="283"/>
    <e v="#REF!"/>
    <s v="Capex Orcamentário_PE2026_2030_COO_Rev1 - Gráficos.xlsx"/>
    <s v="COO"/>
    <s v="Lucas Martins"/>
    <s v="COO283"/>
    <e v="#REF!"/>
    <s v="Corporativo"/>
    <s v="Eletronorte"/>
    <s v="Geração"/>
    <s v="Modernização"/>
    <s v="Modernização"/>
    <s v="NGHI.0141"/>
    <m/>
    <m/>
    <s v="13777/2022"/>
    <s v="Modernização dos mancais de guia da Turbina CUUGH01, 02 e 03"/>
    <s v="Modernização"/>
    <s v="Modernização"/>
    <s v="NGHI.0141"/>
    <n v="3400002926"/>
    <s v="Alteração de projeto mancal tipo bucha para mancal tipo segmento "/>
    <s v="UHE Curuá Una"/>
    <n v="0"/>
    <n v="0"/>
    <n v="0"/>
    <n v="0"/>
    <n v="0"/>
    <n v="0"/>
    <n v="0"/>
    <n v="0"/>
    <n v="0"/>
    <n v="600000"/>
    <n v="0"/>
    <n v="0"/>
    <n v="600000"/>
    <n v="1200000"/>
    <n v="0"/>
    <n v="0"/>
    <n v="0"/>
    <n v="1800000"/>
    <n v="0"/>
    <n v="0"/>
    <n v="0"/>
    <n v="0"/>
    <n v="0"/>
    <n v="1800000"/>
    <s v="#DESPEJAR!"/>
    <s v="AGMGNO"/>
    <n v="2025"/>
    <s v="ENOR.00030"/>
    <s v="COO0588"/>
    <x v="1"/>
    <s v="Nova Demanda"/>
    <s v="Em Contratação"/>
    <n v="1200000"/>
    <s v="RD 2026 a 2027"/>
    <s v="Frederico Rodolfo Parente Doerner"/>
    <s v="Modernização dos mancais de guia da Turbina CUUGH01, 02 e 03"/>
  </r>
  <r>
    <n v="291"/>
    <e v="#REF!"/>
    <s v="Capex Orcamentário_PE2026_2030_COO_Rev1 - Gráficos.xlsx"/>
    <s v="COO"/>
    <s v="Lucas Martins"/>
    <s v="COO291"/>
    <e v="#REF!"/>
    <s v="Corporativo"/>
    <s v="Eletronorte"/>
    <s v="Geração"/>
    <s v="Modernização"/>
    <s v="Modernização"/>
    <s v="NGHI.0143"/>
    <m/>
    <m/>
    <s v="13777/2022"/>
    <s v="Aquisição das bombas do sistema de regulação de velocidade da UHE Curuá-Una UGH01,02,03"/>
    <s v="Modernização"/>
    <s v="Modernização"/>
    <s v="NGHI.0143"/>
    <n v="4500088525"/>
    <s v="Aquisição de MB para o sistema de Regulação de Velocidade"/>
    <s v="UHE Curuá Una"/>
    <n v="0"/>
    <m/>
    <n v="0"/>
    <n v="600000"/>
    <n v="0"/>
    <n v="0"/>
    <n v="0"/>
    <n v="0"/>
    <n v="0"/>
    <n v="0"/>
    <n v="0"/>
    <n v="0"/>
    <n v="600000"/>
    <n v="0"/>
    <n v="0"/>
    <n v="0"/>
    <n v="0"/>
    <n v="600000"/>
    <n v="0"/>
    <n v="0"/>
    <n v="0"/>
    <n v="0"/>
    <n v="0"/>
    <n v="600000"/>
    <s v="#DESPEJAR!"/>
    <s v="OOGCU.N"/>
    <n v="2025"/>
    <s v="ENOR.00038"/>
    <s v="COO0600"/>
    <x v="0"/>
    <s v="PE sem cód ID Financeira"/>
    <s v="Contratado"/>
    <n v="1200000"/>
    <s v="Ajustado conforme contrato"/>
    <s v="Airton Rego Bentes"/>
    <s v="Aquisição das bombas do sistema de regulação de velocidade da UHE Curuá-Una UGH01,02,03"/>
  </r>
  <r>
    <n v="351"/>
    <e v="#REF!"/>
    <s v="Capex Orcamentário_PE2026_2030_COO_Rev1 - Gráficos.xlsx"/>
    <s v="COO"/>
    <s v="Lucas Martins"/>
    <s v="COO351"/>
    <e v="#REF!"/>
    <s v="Corporativo"/>
    <s v="Eletronorte"/>
    <s v="Geração"/>
    <s v="Modernização"/>
    <s v="Modernização"/>
    <s v="NGHI.0143"/>
    <m/>
    <m/>
    <s v="13592/2022"/>
    <s v="Aquisição de servomotor do distribuir da UHE Tucuruí"/>
    <s v="Modernização"/>
    <s v="Modernização"/>
    <s v="NGHI.0143"/>
    <s v="Não emitido"/>
    <s v="Aquisição de um conjunto de servomotores (4) do distribuidor da CF2"/>
    <s v="UHE Tucuruí"/>
    <n v="0"/>
    <n v="0"/>
    <n v="0"/>
    <n v="0"/>
    <n v="0"/>
    <n v="0"/>
    <n v="0"/>
    <n v="0"/>
    <n v="0"/>
    <m/>
    <n v="0"/>
    <m/>
    <n v="0"/>
    <n v="650000"/>
    <n v="750000"/>
    <n v="0"/>
    <n v="0"/>
    <n v="1400000"/>
    <n v="0"/>
    <n v="0"/>
    <n v="0"/>
    <n v="0"/>
    <n v="0"/>
    <n v="1400000"/>
    <s v="#DESPEJAR!"/>
    <s v="OOGTM.N"/>
    <n v="2025"/>
    <s v="ENOR.00108.001"/>
    <s v="COO0567"/>
    <x v="3"/>
    <s v="(PE) Não Requisitado e com ID Financeira"/>
    <s v="RC não emitida"/>
    <n v="650000"/>
    <s v="RD 2027-2028"/>
    <s v="Gilton Carlos De Andrade Furtado"/>
    <s v="Aquisição de servomotor do distribuir da UHE Tucuruí"/>
  </r>
  <r>
    <n v="284"/>
    <e v="#REF!"/>
    <s v="Capex Orcamentário_PE2026_2030_COO_Rev1 - Gráficos.xlsx"/>
    <s v="COO"/>
    <s v="Lucas Martins"/>
    <s v="COO284"/>
    <e v="#REF!"/>
    <s v="Corporativo"/>
    <s v="Eletronorte"/>
    <s v="Geração"/>
    <s v="Modernização"/>
    <s v="Modernização"/>
    <s v="NGHI.0141"/>
    <m/>
    <m/>
    <s v="13777/2022"/>
    <s v="Modernização do serviço auxiliar da usina, com substituição de cubículos e gavetas do circuito CA "/>
    <s v="Modernização"/>
    <s v="Modernização"/>
    <s v="NGHI.0141"/>
    <s v="Não emitido"/>
    <s v="Modernização de cubiculos CA e CC"/>
    <s v="UHE Curuá Una"/>
    <n v="0"/>
    <n v="0"/>
    <n v="0"/>
    <n v="0"/>
    <n v="0"/>
    <n v="0"/>
    <n v="0"/>
    <n v="0"/>
    <n v="0"/>
    <n v="0"/>
    <m/>
    <n v="0"/>
    <n v="0"/>
    <n v="2000000"/>
    <n v="1500000"/>
    <n v="0"/>
    <n v="0"/>
    <n v="3500000"/>
    <n v="0"/>
    <n v="0"/>
    <n v="0"/>
    <n v="0"/>
    <n v="0"/>
    <n v="3500000"/>
    <s v="#DESPEJAR!"/>
    <s v="AGMGNO"/>
    <n v="2026"/>
    <s v="ENOR.00031.001"/>
    <n v="0"/>
    <x v="3"/>
    <s v="Nova Demanda"/>
    <s v="RC não emitida"/>
    <n v="2000000"/>
    <s v="RD 2027 a 2028"/>
    <s v="Frederico Rodolfo Parente Doerner"/>
    <s v="Modernização do serviço auxiliar da usina, com substituição de cubículos e gavetas do circuito CA "/>
  </r>
  <r>
    <n v="289"/>
    <e v="#REF!"/>
    <s v="Capex Orcamentário_PE2026_2030_COO_Rev1 - Gráficos.xlsx"/>
    <s v="COO"/>
    <s v="Lucas Martins"/>
    <s v="COO289"/>
    <e v="#REF!"/>
    <s v="Corporativo"/>
    <s v="Eletronorte"/>
    <s v="Geração"/>
    <s v="Modernização"/>
    <s v="Modernização"/>
    <s v="NGHI.0141"/>
    <m/>
    <m/>
    <s v="13777/2022"/>
    <s v="Modernização do cubículo de  6,9kV para a UHE Curuá-Una"/>
    <s v="Modernização"/>
    <s v="Modernização"/>
    <s v="NGHI.0141"/>
    <n v="3400002922"/>
    <s v="Modernização do disjuntor 6,9kV"/>
    <s v="UHE Curuá Una"/>
    <n v="0"/>
    <n v="0"/>
    <n v="0"/>
    <n v="0"/>
    <n v="0"/>
    <n v="0"/>
    <n v="0"/>
    <n v="0"/>
    <n v="500000"/>
    <n v="0"/>
    <n v="0"/>
    <n v="500000"/>
    <n v="1000000"/>
    <n v="1000000"/>
    <n v="700000"/>
    <n v="0"/>
    <n v="0"/>
    <n v="2700000"/>
    <n v="0"/>
    <n v="0"/>
    <n v="0"/>
    <n v="0"/>
    <n v="0"/>
    <n v="2700000"/>
    <s v="#DESPEJAR!"/>
    <s v="AGMGNO"/>
    <n v="2025"/>
    <s v="ENOR.00036"/>
    <s v="COO0564"/>
    <x v="1"/>
    <s v="PE sem cód ID Financeira"/>
    <s v="Em Contratação"/>
    <n v="1000000"/>
    <s v="Não alterado"/>
    <s v="Frederico Rodolfo Parente Doerner"/>
    <s v="Modernização do cubículo de  6,9kV para a UHE Curuá-Una"/>
  </r>
  <r>
    <n v="314"/>
    <e v="#REF!"/>
    <s v="Capex Orcamentário_PE2026_2030_COO_Rev1 - Gráficos.xlsx"/>
    <s v="COO"/>
    <s v="Lucas Martins"/>
    <s v="COO314"/>
    <e v="#REF!"/>
    <s v="Corporativo"/>
    <s v="Eletronorte"/>
    <s v="Geração"/>
    <s v="Modernização"/>
    <s v="Modernização"/>
    <s v="NGHI.0141"/>
    <m/>
    <m/>
    <n v="157189"/>
    <s v="Aquisição Disjuntor 230KV"/>
    <s v="Modernização"/>
    <s v="Modernização"/>
    <s v="NGHI.0141"/>
    <n v="3400004646"/>
    <s v="UG1_DJ_SE_SAMUEL"/>
    <s v="UHE Samuel"/>
    <n v="0"/>
    <n v="0"/>
    <n v="0"/>
    <n v="0"/>
    <n v="0"/>
    <n v="0"/>
    <n v="0"/>
    <n v="0"/>
    <n v="0"/>
    <m/>
    <n v="912050"/>
    <n v="0"/>
    <n v="912050"/>
    <n v="4560250"/>
    <n v="0"/>
    <n v="0"/>
    <n v="0"/>
    <n v="5472300"/>
    <n v="0"/>
    <n v="0"/>
    <n v="0"/>
    <n v="0"/>
    <n v="0"/>
    <n v="5472300"/>
    <s v="#DESPEJAR!"/>
    <s v="AGCGNO"/>
    <n v="2026"/>
    <s v="ENOR.00064.001"/>
    <n v="0"/>
    <x v="1"/>
    <s v="Nova Demanda"/>
    <s v="Em Contratação"/>
    <n v="1000000"/>
    <s v="RD 2026 e 2027"/>
    <s v="Geovane Andrade Melo Luz"/>
    <s v="Aquisição Disjuntor 230KV"/>
  </r>
  <r>
    <n v="357"/>
    <e v="#REF!"/>
    <s v="Capex Orcamentário_PE2026_2030_COO_Rev1 - Gráficos.xlsx"/>
    <s v="COO"/>
    <s v="Lucas Martins"/>
    <s v="COO357"/>
    <e v="#REF!"/>
    <s v="Corporativo"/>
    <s v="Eletronorte"/>
    <s v="Geração"/>
    <s v="Modernização"/>
    <s v="Modernização"/>
    <s v="NGHI.0141"/>
    <m/>
    <m/>
    <s v="13592/2022"/>
    <s v="Aquisição de DCP para UHE Tucuruí"/>
    <s v="Modernização"/>
    <s v="Modernização"/>
    <s v="NGHI.0141"/>
    <n v="3400005392"/>
    <s v="Aquisição de equipamentos de proteção e limitadores  de valores dos surtos de tensão transitórios"/>
    <s v="UHE Tucuruí"/>
    <n v="0"/>
    <n v="0"/>
    <n v="0"/>
    <n v="0"/>
    <n v="0"/>
    <m/>
    <m/>
    <n v="0"/>
    <n v="0"/>
    <n v="0"/>
    <m/>
    <n v="0"/>
    <n v="0"/>
    <n v="897510"/>
    <m/>
    <n v="0"/>
    <n v="0"/>
    <n v="897510"/>
    <n v="0"/>
    <n v="0"/>
    <n v="0"/>
    <n v="0"/>
    <n v="0"/>
    <n v="897510"/>
    <s v="#DESPEJAR!"/>
    <s v="AGMGNO"/>
    <n v="2025"/>
    <s v="ENOR.00115.001"/>
    <s v="COO0648"/>
    <x v="2"/>
    <s v="(PE) Não Requisitado e com ID Financeira"/>
    <s v="Em Contratação"/>
    <n v="1000000"/>
    <s v="RD 2027"/>
    <s v="Frederico Rodolfo Parente Doerner"/>
    <s v="Aquisição de DCP para UHE Tucuruí"/>
  </r>
  <r>
    <n v="361"/>
    <e v="#REF!"/>
    <s v="Capex Orcamentário_PE2026_2030_COO_Rev1 - Gráficos.xlsx"/>
    <s v="COO"/>
    <s v="Lucas Martins"/>
    <s v="COO361"/>
    <e v="#REF!"/>
    <s v="Corporativo"/>
    <s v="Eletronorte"/>
    <s v="Geração"/>
    <s v="Modernização"/>
    <s v="Modernização"/>
    <s v="NGHI.0143"/>
    <m/>
    <m/>
    <s v="13592/2022"/>
    <s v="Modernização do sistema de resfriamento dos mancais da CFI da UHE Tucuruí"/>
    <s v="Modernização"/>
    <s v="Modernização"/>
    <s v="NGHI.0143"/>
    <n v="3700007704"/>
    <s v="Conjunto de motobombas, trocadores de calor, válvulas, instrumenção etc., para os sistemas do MGG, MGT e ME."/>
    <s v="UHE Tucuruí"/>
    <n v="0"/>
    <n v="500000"/>
    <n v="0"/>
    <n v="0"/>
    <n v="0"/>
    <n v="0"/>
    <n v="0"/>
    <n v="500000"/>
    <n v="0"/>
    <n v="0"/>
    <n v="0"/>
    <n v="0"/>
    <n v="1000000"/>
    <n v="1500000"/>
    <n v="0"/>
    <n v="0"/>
    <n v="0"/>
    <n v="2500000"/>
    <n v="0"/>
    <n v="0"/>
    <n v="0"/>
    <n v="0"/>
    <n v="0"/>
    <n v="2500000"/>
    <s v="#DESPEJAR!"/>
    <s v="AGMGNO"/>
    <n v="2025"/>
    <s v="ENOR.00123.001"/>
    <s v="COO0675"/>
    <x v="1"/>
    <s v="(PE) Não Requisitado e com ID Financeira"/>
    <s v="Em Contratação"/>
    <n v="1000000"/>
    <s v="Não alterado"/>
    <s v="Frederico Rodolfo Parente Doerner"/>
    <s v="Modernização do sistema de resfriamento dos mancais da CFI da UHE Tucuruí"/>
  </r>
  <r>
    <n v="264"/>
    <e v="#REF!"/>
    <s v="Capex Orcamentário_PE2026_2030_COO_Rev1 - Gráficos.xlsx"/>
    <s v="COO"/>
    <s v="Lucas Martins"/>
    <s v="COO264"/>
    <e v="#REF!"/>
    <s v="Corporativo"/>
    <s v="Eletronorte"/>
    <s v="Geração"/>
    <s v="Modernização"/>
    <s v="Modernização"/>
    <s v="NGHI.0141"/>
    <m/>
    <m/>
    <s v="13592/2022"/>
    <s v="Aquisição e instalação de tubulação de Sistema de de drenagem de poços - CF I"/>
    <s v="Modernização"/>
    <s v="Modernização"/>
    <s v="NGHI.0141"/>
    <s v="Não emitido"/>
    <s v="Sistema de tubulação para interligação de tubos para drenagem da agua os poços 11/12"/>
    <s v="UHE Tucuruí"/>
    <n v="0"/>
    <m/>
    <n v="0"/>
    <m/>
    <n v="0"/>
    <n v="0"/>
    <n v="0"/>
    <n v="0"/>
    <n v="0"/>
    <n v="0"/>
    <n v="0"/>
    <n v="0"/>
    <n v="0"/>
    <n v="1000000"/>
    <n v="1000000"/>
    <n v="500000"/>
    <n v="0"/>
    <n v="2500000"/>
    <n v="0"/>
    <n v="0"/>
    <n v="0"/>
    <n v="0"/>
    <n v="0"/>
    <n v="2500000"/>
    <s v="#DESPEJAR!"/>
    <s v="OOGTM.N"/>
    <n v="2026"/>
    <s v="ENOR.00002.001"/>
    <n v="0"/>
    <x v="4"/>
    <s v="Nova Demanda"/>
    <s v="RC não emitida"/>
    <n v="1000000"/>
    <s v="RD 2027 a 2029"/>
    <s v="Gilton Carlos De Andrade Furtado"/>
    <s v="Aquisição e instalação de tubulação de Sistema de de drenagem de poços - CF I"/>
  </r>
  <r>
    <n v="352"/>
    <e v="#REF!"/>
    <s v="Capex Orcamentário_PE2026_2030_COO_Rev1 - Gráficos.xlsx"/>
    <s v="COO"/>
    <s v="Lucas Martins"/>
    <s v="COO352"/>
    <e v="#REF!"/>
    <s v="Corporativo"/>
    <s v="Eletronorte"/>
    <s v="Geração"/>
    <s v="Modernização"/>
    <s v="Modernização"/>
    <s v="NGHI.0143"/>
    <m/>
    <m/>
    <s v="13592/2022"/>
    <s v="Modernização do sistema de iluminação da UHE Tucuruí"/>
    <s v="Modernização"/>
    <s v="Modernização"/>
    <s v="NGHI.0143"/>
    <s v="Não emitido"/>
    <s v="Modernização do sistema de iluminação da UHE Tucuruí"/>
    <s v="UHE Tucuruí"/>
    <n v="0"/>
    <n v="0"/>
    <n v="0"/>
    <n v="0"/>
    <n v="0"/>
    <n v="0"/>
    <n v="0"/>
    <m/>
    <m/>
    <n v="0"/>
    <m/>
    <n v="0"/>
    <n v="0"/>
    <n v="1000000"/>
    <n v="1500000"/>
    <n v="0"/>
    <n v="0"/>
    <n v="2500000"/>
    <n v="0"/>
    <n v="0"/>
    <n v="0"/>
    <n v="0"/>
    <n v="0"/>
    <n v="2500000"/>
    <s v="#DESPEJAR!"/>
    <s v="OOGTE.N"/>
    <n v="2025"/>
    <s v="ENOR.00109.001"/>
    <s v="COO0580"/>
    <x v="3"/>
    <s v="(PE) Não Requisitado e com ID Financeira"/>
    <s v="RC não emitida"/>
    <n v="1000000"/>
    <s v="RD 2027 a 2028"/>
    <s v="Albert Ferraz Botelho Da Silva"/>
    <s v="Modernização do sistema de iluminação da UHE Tucuruí"/>
  </r>
  <r>
    <n v="384"/>
    <e v="#REF!"/>
    <s v="Capex Orcamentário_PE2026_2030_COO_Rev1 - Gráficos.xlsx"/>
    <s v="COO"/>
    <s v="Lucas Martins"/>
    <s v="COO384"/>
    <e v="#REF!"/>
    <s v="Corporativo"/>
    <s v="Eletronorte"/>
    <s v="Geração"/>
    <s v="Modernização"/>
    <s v="Modernização"/>
    <s v="NGHI.0141"/>
    <m/>
    <m/>
    <s v="13592/2022"/>
    <s v="Modernização de transformadores 13,8/440V para alimentação Vertedouro e serviço auxiliar da UHE Tucuruí "/>
    <s v="Modernização"/>
    <s v="Modernização"/>
    <s v="NGHI.0141"/>
    <n v="3400004384"/>
    <s v="Aquisição de Transformadores de 13,8/440V para alimentação Vertedouro e Serviço auxiliar"/>
    <s v="UHE Tucuruí"/>
    <n v="0"/>
    <n v="0"/>
    <n v="0"/>
    <n v="0"/>
    <n v="0"/>
    <n v="0"/>
    <n v="0"/>
    <m/>
    <n v="1000000"/>
    <n v="0"/>
    <n v="0"/>
    <n v="0"/>
    <n v="1000000"/>
    <n v="1000000"/>
    <n v="1000000"/>
    <n v="0"/>
    <n v="0"/>
    <n v="3000000"/>
    <n v="0"/>
    <n v="0"/>
    <n v="0"/>
    <n v="0"/>
    <n v="0"/>
    <n v="3000000"/>
    <s v="#DESPEJAR!"/>
    <s v="AGMGNO"/>
    <n v="2025"/>
    <s v="ENOR.00105"/>
    <s v="COO0677"/>
    <x v="1"/>
    <s v="Nova Demanda"/>
    <s v="Em Contratação"/>
    <n v="1000000"/>
    <s v="RD 2026 a 2028"/>
    <s v="Frederico Rodolfo Parente Doerner"/>
    <s v="Modernização de transformadores 13,8/440V para alimentação Vertedouro e serviço auxiliar da UHE Tucuruí "/>
  </r>
  <r>
    <n v="269"/>
    <e v="#REF!"/>
    <s v="Capex Orcamentário_PE2026_2030_COO_Rev1 - Gráficos.xlsx"/>
    <s v="COO"/>
    <s v="Lucas Martins"/>
    <s v="COO269"/>
    <e v="#REF!"/>
    <s v="Corporativo"/>
    <s v="Eletronorte"/>
    <s v="Geração"/>
    <s v="Modernização"/>
    <s v="Modernização"/>
    <s v="NGHI.0141"/>
    <m/>
    <m/>
    <s v="13592/2022"/>
    <s v="Sistema SPCI água nebulizada tanques diesel GDE 01, 02,03,04.05,06 e 07 "/>
    <s v="Modernização"/>
    <s v="Modernização"/>
    <s v="NGHI.0141"/>
    <n v="3700014472"/>
    <s v="Implantação de SPCI por água nebulizada nos GDE's da UHE Tucuruí"/>
    <s v="UHE Tucuruí"/>
    <n v="0"/>
    <n v="0"/>
    <n v="450000"/>
    <n v="0"/>
    <n v="550000"/>
    <n v="0"/>
    <n v="0"/>
    <n v="0"/>
    <n v="0"/>
    <n v="0"/>
    <n v="0"/>
    <n v="0"/>
    <n v="1000000"/>
    <n v="3000000"/>
    <n v="0"/>
    <n v="0"/>
    <n v="0"/>
    <n v="4000000"/>
    <n v="0"/>
    <n v="0"/>
    <n v="0"/>
    <n v="0"/>
    <n v="0"/>
    <n v="4000000"/>
    <s v="#DESPEJAR!"/>
    <s v="OOGTM.N"/>
    <n v="2026"/>
    <s v="ENOR.00009"/>
    <n v="0"/>
    <x v="1"/>
    <s v="Nova Demanda"/>
    <s v="Em Contratação"/>
    <n v="1000000"/>
    <s v="RD 2026 e 2027"/>
    <s v="Gilton Carlos De Andrade Furtado"/>
    <s v="Sistema SPCI água nebulizada tanques diesel GDE 01, 02,03,04.05,06 e 07 "/>
  </r>
  <r>
    <n v="278"/>
    <e v="#REF!"/>
    <s v="Capex Orcamentário_PE2026_2030_COO_Rev1 - Gráficos.xlsx"/>
    <s v="COO"/>
    <s v="Lucas Martins"/>
    <s v="COO278"/>
    <e v="#REF!"/>
    <s v="Corporativo"/>
    <s v="Eletronorte"/>
    <s v="Geração"/>
    <s v="Modernização"/>
    <s v="Modernização"/>
    <s v="NGHI.0091"/>
    <m/>
    <m/>
    <s v="13592/2022"/>
    <s v="Recuperação da comporta 17 do Vertedouro da UHE Tucuruí"/>
    <s v="Modernização"/>
    <s v="Modernização"/>
    <s v="NGHI.0091"/>
    <n v="4500081111"/>
    <s v="Contratação de empresa para de fabricação, fornecimento e instalação do painel inferior, acrescido dos serviços de recuperação da soleira inferior,da Comporta de Segmento no 17 do Vertedouro da UHE Tucuruí."/>
    <s v="UHE Tucuruí"/>
    <n v="0"/>
    <m/>
    <n v="1000000"/>
    <n v="0"/>
    <n v="0"/>
    <n v="0"/>
    <n v="0"/>
    <n v="0"/>
    <n v="0"/>
    <n v="0"/>
    <n v="0"/>
    <n v="0"/>
    <n v="1000000"/>
    <n v="0"/>
    <n v="0"/>
    <n v="0"/>
    <n v="0"/>
    <n v="1000000"/>
    <n v="0"/>
    <n v="0"/>
    <n v="0"/>
    <n v="0"/>
    <n v="0"/>
    <n v="1000000"/>
    <s v="#DESPEJAR!"/>
    <s v="OOGTM.N"/>
    <n v="2025"/>
    <s v="ENOR.00025"/>
    <s v="COO0597"/>
    <x v="0"/>
    <s v="(PE) Não Requisitado e com ID Financeira"/>
    <s v="Contratado"/>
    <n v="1000000"/>
    <s v="Ajustado conforme contrato"/>
    <s v="Gilton Carlos De Andrade Furtado"/>
    <s v="Recuperação da comporta 17 do Vertedouro da UHE Tucuruí"/>
  </r>
  <r>
    <n v="356"/>
    <e v="#REF!"/>
    <s v="Capex Orcamentário_PE2026_2030_COO_Rev1 - Gráficos.xlsx"/>
    <s v="COO"/>
    <s v="Lucas Martins"/>
    <s v="COO356"/>
    <e v="#REF!"/>
    <s v="Corporativo"/>
    <s v="Eletronorte"/>
    <s v="Geração"/>
    <s v="Modernização"/>
    <s v="Modernização"/>
    <s v="NGHI.0143"/>
    <m/>
    <m/>
    <s v="13592/2022"/>
    <s v="Aquisição de 2 jogos de SotpLogs"/>
    <s v="Modernização"/>
    <s v="Modernização"/>
    <s v="NGHI.0143"/>
    <s v="Não emitido"/>
    <s v="Fornecimento de dois jogos de SptoLogs, um para a CF I e outro para a CF 2."/>
    <s v="UHE Tucuruí"/>
    <n v="0"/>
    <n v="0"/>
    <n v="0"/>
    <n v="0"/>
    <n v="0"/>
    <n v="0"/>
    <n v="0"/>
    <n v="0"/>
    <n v="0"/>
    <m/>
    <n v="0"/>
    <m/>
    <n v="0"/>
    <n v="2000000"/>
    <n v="9500000"/>
    <n v="10000000"/>
    <n v="0"/>
    <n v="21500000"/>
    <n v="0"/>
    <n v="0"/>
    <n v="0"/>
    <n v="0"/>
    <n v="0"/>
    <n v="21500000"/>
    <s v="#DESPEJAR!"/>
    <s v="OOGTM.N"/>
    <n v="2025"/>
    <s v="ENOR.00027"/>
    <s v="COO0628"/>
    <x v="3"/>
    <s v="(PE) Não Requisitado e com ID Financeira"/>
    <s v="RC não emitida"/>
    <n v="2000000"/>
    <s v="RD 2027 a 2029"/>
    <s v="Gilton Carlos De Andrade Furtado"/>
    <s v="Aquisição de 2 jogos de SotpLogs"/>
  </r>
  <r>
    <n v="350"/>
    <e v="#REF!"/>
    <s v="Capex Orcamentário_PE2026_2030_COO_Rev1 - Gráficos.xlsx"/>
    <s v="COO"/>
    <s v="Lucas Martins"/>
    <s v="COO350"/>
    <e v="#REF!"/>
    <s v="Corporativo"/>
    <s v="Eletronorte"/>
    <s v="Geração"/>
    <s v="Modernização"/>
    <s v="Modernização"/>
    <s v="NGHI.0141"/>
    <m/>
    <m/>
    <s v="13592/2022"/>
    <s v="Modernização de 01 transformador monofásico 13,8kV (trafo limitador) CF2 da UHE Tucuruí"/>
    <s v="Modernização"/>
    <s v="Modernização"/>
    <s v="NGHI.0141"/>
    <s v="Não emitido"/>
    <s v="13,8kV (trafo limitador) CF2 da UHE Tucuruí 13,8kV (trafo limitador) CF2 da UHE Tucuruí/ Transformador regulador CF1 para alimentação do serviço auxiliar "/>
    <s v="UHE Tucuruí"/>
    <n v="0"/>
    <n v="0"/>
    <n v="0"/>
    <n v="0"/>
    <n v="0"/>
    <m/>
    <n v="0"/>
    <n v="0"/>
    <n v="0"/>
    <m/>
    <n v="0"/>
    <n v="0"/>
    <n v="0"/>
    <n v="2000000"/>
    <n v="2500000"/>
    <n v="1500000"/>
    <n v="0"/>
    <n v="6000000"/>
    <n v="0"/>
    <n v="0"/>
    <n v="0"/>
    <n v="0"/>
    <n v="0"/>
    <n v="6000000"/>
    <s v="#DESPEJAR!"/>
    <s v="AGMGNO"/>
    <n v="2026"/>
    <s v="ENOR.00107.001"/>
    <n v="0"/>
    <x v="3"/>
    <s v="Nova Demanda"/>
    <s v="RC não emitida"/>
    <n v="2000000"/>
    <s v="RD 2027 o 2029"/>
    <s v="Frederico Rodolfo Parente Doerner"/>
    <s v="Modernização de 01 transformador monofásico 13,8kV (trafo limitador) CF2 da UHE Tucuruí"/>
  </r>
  <r>
    <n v="363"/>
    <e v="#REF!"/>
    <s v="Capex Orcamentário_PE2026_2030_COO_Rev1 - Gráficos.xlsx"/>
    <s v="COO"/>
    <s v="Lucas Martins"/>
    <s v="COO363"/>
    <e v="#REF!"/>
    <s v="Corporativo"/>
    <s v="Eletronorte"/>
    <s v="Geração"/>
    <s v="Modernização"/>
    <s v="Modernização"/>
    <s v="NGHI.0143"/>
    <m/>
    <m/>
    <s v="13592/2022"/>
    <s v="Aquisição das rodas das comportas de emergência da UHE Tucuruí"/>
    <s v="Modernização"/>
    <s v="Modernização"/>
    <s v="NGHI.0143"/>
    <s v="Não emitido"/>
    <s v="Substituição das rodas das comportas de emergência"/>
    <s v="UHE Tucuruí"/>
    <n v="0"/>
    <n v="0"/>
    <n v="0"/>
    <n v="0"/>
    <n v="0"/>
    <n v="0"/>
    <n v="0"/>
    <m/>
    <n v="0"/>
    <m/>
    <n v="1000000"/>
    <n v="0"/>
    <n v="1000000"/>
    <n v="2500000"/>
    <n v="2500000"/>
    <n v="0"/>
    <n v="0"/>
    <n v="6000000"/>
    <n v="0"/>
    <n v="0"/>
    <n v="0"/>
    <n v="0"/>
    <n v="0"/>
    <n v="6000000"/>
    <s v="#DESPEJAR!"/>
    <s v="AGMGNO"/>
    <n v="2025"/>
    <s v="ENOR.00126.001"/>
    <s v="COO0726"/>
    <x v="3"/>
    <s v="(PE) Não Requisitado e com ID Financeira"/>
    <s v="RC não emitida"/>
    <n v="2000000"/>
    <s v="RD 2026 a 2028"/>
    <s v="Gilton Carlos De Andrade Furtado"/>
    <s v="Aquisição das rodas das comportas de emergência da UHE Tucuruí"/>
  </r>
  <r>
    <n v="336"/>
    <e v="#REF!"/>
    <s v="Capex Orcamentário_PE2026_2030_COO_Rev1 - Gráficos.xlsx"/>
    <s v="COO"/>
    <s v="Lucas Martins"/>
    <s v="COO336"/>
    <e v="#REF!"/>
    <s v="Corporativo"/>
    <s v="Eletronorte"/>
    <s v="Geração"/>
    <s v="Modernização"/>
    <s v="Modernização"/>
    <s v="NGHI.0141"/>
    <m/>
    <m/>
    <s v="0484/2016"/>
    <s v="Modernização Sistema de Proteção CNUGH-01 / CNUGH-02"/>
    <s v="Modernização"/>
    <s v="Modernização"/>
    <s v="NGHI.0141"/>
    <s v="Não emitido"/>
    <s v="Modernização Sistema de Proteção - CNUGH-01/ CNUGH-02"/>
    <s v="UHE Coaracy Nunes "/>
    <n v="0"/>
    <n v="0"/>
    <n v="0"/>
    <n v="0"/>
    <n v="0"/>
    <n v="0"/>
    <n v="0"/>
    <m/>
    <n v="0"/>
    <n v="0"/>
    <m/>
    <n v="0"/>
    <n v="0"/>
    <n v="1000000"/>
    <n v="3000000"/>
    <n v="500000"/>
    <n v="0"/>
    <n v="4500000"/>
    <n v="0"/>
    <n v="0"/>
    <n v="0"/>
    <n v="0"/>
    <n v="0"/>
    <n v="4500000"/>
    <s v="#DESPEJAR!"/>
    <s v="OOPM.N"/>
    <n v="2026"/>
    <s v="ENOR.00088"/>
    <n v="0"/>
    <x v="3"/>
    <s v="Nova Demanda"/>
    <s v="RC não emitida"/>
    <n v="1000000"/>
    <s v="RD 2027 o 2029"/>
    <s v="Klenio Dias Timoteo"/>
    <s v="Modernização Sistema de Proteção CNUGH-01 / CNUGH-02"/>
  </r>
  <r>
    <n v="368"/>
    <e v="#REF!"/>
    <s v="Capex Orcamentário_PE2026_2030_COO_Rev1 - Gráficos.xlsx"/>
    <s v="COO"/>
    <s v="Lucas Martins"/>
    <s v="COO368"/>
    <e v="#REF!"/>
    <s v="Corporativo"/>
    <s v="Eletronorte"/>
    <s v="Geração"/>
    <s v="Modernização"/>
    <s v="Telecom"/>
    <s v="NSTC.0038"/>
    <m/>
    <m/>
    <s v="13592/2022"/>
    <s v="REDE MPLS ELETRONORTE"/>
    <s v="Modernização"/>
    <s v="Telecom"/>
    <s v="NSTC.0044"/>
    <s v="Ver contrato telecon"/>
    <s v="Implantação de Roteadores de TO para ampliação e melhoria dos Sistemas de Telecomunicações dos Centros de Operação e CGRT da Eletronorte"/>
    <s v="UHE Tucuruí"/>
    <n v="0"/>
    <n v="237500"/>
    <n v="0"/>
    <n v="0"/>
    <n v="237500"/>
    <n v="0"/>
    <n v="0"/>
    <n v="237500"/>
    <n v="0"/>
    <n v="0"/>
    <n v="237500"/>
    <n v="0"/>
    <n v="950000"/>
    <n v="1000000"/>
    <n v="100000"/>
    <n v="0"/>
    <n v="0"/>
    <n v="2050000"/>
    <n v="0"/>
    <n v="0"/>
    <n v="0"/>
    <n v="0"/>
    <n v="0"/>
    <n v="2050000"/>
    <s v="#DESPEJAR!"/>
    <s v="OOPT.N"/>
    <n v="2025"/>
    <s v="ENOR.00203.001"/>
    <s v="COO1085"/>
    <x v="1"/>
    <s v="(PE) Não Requisitado e com ID Financeira"/>
    <s v="Em Contratação"/>
    <n v="950000"/>
    <s v="Não alterado"/>
    <s v="João André Peixoto De Souza"/>
    <s v="REDE MPLS ELETRONORTE"/>
  </r>
  <r>
    <n v="340"/>
    <e v="#REF!"/>
    <s v="Capex Orcamentário_PE2026_2030_COO_Rev1 - Gráficos.xlsx"/>
    <s v="COO"/>
    <s v="Lucas Martins"/>
    <s v="COO340"/>
    <e v="#REF!"/>
    <s v="Corporativo"/>
    <s v="Eletronorte"/>
    <s v="Geração"/>
    <s v="Modernização"/>
    <s v="Modernização"/>
    <s v="NGHI.0141"/>
    <m/>
    <m/>
    <s v="0484/2016"/>
    <s v="Modernização do Painel de comando dos GDE's"/>
    <s v="Modernização"/>
    <s v="Modernização"/>
    <s v="NGHI.0141"/>
    <s v="Não emitido"/>
    <s v="Modernização Painel GDE"/>
    <s v="UHE Coaracy Nunes "/>
    <n v="0"/>
    <n v="0"/>
    <n v="0"/>
    <n v="0"/>
    <n v="0"/>
    <n v="0"/>
    <m/>
    <n v="0"/>
    <m/>
    <n v="0"/>
    <n v="0"/>
    <m/>
    <n v="0"/>
    <n v="1000000"/>
    <n v="500000"/>
    <n v="1000000"/>
    <n v="0"/>
    <n v="2500000"/>
    <n v="0"/>
    <n v="0"/>
    <n v="0"/>
    <n v="0"/>
    <n v="0"/>
    <n v="2500000"/>
    <s v="#DESPEJAR!"/>
    <s v="AGMGNO"/>
    <n v="2026"/>
    <s v="ENOR.00092.001"/>
    <n v="0"/>
    <x v="3"/>
    <s v="Nova Demanda"/>
    <s v="RC não emitida"/>
    <n v="1000000"/>
    <s v="RD 2027 o 2029"/>
    <s v="Frederico Rodolfo Parente Doerner"/>
    <s v="Modernização do Painel de comando dos GDE's"/>
  </r>
  <r>
    <n v="270"/>
    <e v="#REF!"/>
    <s v="Capex Orcamentário_PE2026_2030_COO_Rev1 - Gráficos.xlsx"/>
    <s v="COO"/>
    <s v="Lucas Martins"/>
    <s v="COO270"/>
    <e v="#REF!"/>
    <s v="Corporativo"/>
    <s v="Eletronorte"/>
    <s v="Geração"/>
    <s v="Modernização"/>
    <s v="Modernização"/>
    <s v="NGHI.0143"/>
    <m/>
    <m/>
    <s v="13592/2022"/>
    <s v="Aquisição de bombas vertical, tipo parafuso, para o sistema de circulação de óleo do Regulador de Velocidade - UGHs Casa de Força 01"/>
    <s v="Modernização"/>
    <s v="Modernização"/>
    <s v="NGHI.0143"/>
    <s v="Não emitido"/>
    <s v="Necessidade de equipamentos sobressalentes"/>
    <s v="UHE Tucuruí"/>
    <n v="0"/>
    <n v="0"/>
    <n v="0"/>
    <m/>
    <n v="0"/>
    <n v="0"/>
    <n v="0"/>
    <m/>
    <n v="0"/>
    <n v="0"/>
    <n v="0"/>
    <n v="0"/>
    <n v="0"/>
    <n v="450280"/>
    <n v="450280"/>
    <n v="0"/>
    <n v="0"/>
    <n v="900560"/>
    <n v="0"/>
    <n v="0"/>
    <n v="0"/>
    <n v="0"/>
    <n v="0"/>
    <n v="900560"/>
    <s v="#DESPEJAR!"/>
    <s v="OOGTM.N"/>
    <n v="2025"/>
    <s v="ENOR.00010.001"/>
    <s v="COO0559"/>
    <x v="4"/>
    <s v="(PE) Não Requisitado e com ID Financeira"/>
    <s v="RC não emitida"/>
    <n v="450280"/>
    <s v="RD 2027 a 2028"/>
    <s v="Gilton Carlos De Andrade Furtado"/>
    <s v="Aquisição de bombas vertical, tipo parafuso, para o sistema de circulação de óleo do Regulador de Velocidade - UGHs Casa de Força 01"/>
  </r>
  <r>
    <n v="274"/>
    <e v="#REF!"/>
    <s v="Capex Orcamentário_PE2026_2030_COO_Rev1 - Gráficos.xlsx"/>
    <s v="COO"/>
    <s v="Lucas Martins"/>
    <s v="COO274"/>
    <e v="#REF!"/>
    <s v="Corporativo"/>
    <s v="Eletronorte"/>
    <s v="Geração"/>
    <s v="Modernização"/>
    <s v="Modernização"/>
    <s v="NGHI.0143"/>
    <m/>
    <m/>
    <s v="13592/2022"/>
    <s v="Aquisição de conjunto completo da junta de vedação do eixo (UGH18): parte fixa e móvel"/>
    <s v="Modernização"/>
    <s v="Modernização"/>
    <s v="NGHI.0143"/>
    <s v="Não emitido"/>
    <s v="Necessidade de equipamentos sobressalente para substituição nas UGHs da CF2"/>
    <s v="UHE Tucuruí"/>
    <n v="0"/>
    <n v="0"/>
    <n v="0"/>
    <n v="0"/>
    <n v="0"/>
    <n v="0"/>
    <n v="0"/>
    <n v="0"/>
    <n v="0"/>
    <n v="350000"/>
    <n v="0"/>
    <n v="0"/>
    <n v="350000"/>
    <n v="350000"/>
    <n v="0"/>
    <n v="0"/>
    <n v="0"/>
    <n v="700000"/>
    <n v="0"/>
    <n v="0"/>
    <n v="0"/>
    <n v="0"/>
    <n v="0"/>
    <n v="700000"/>
    <s v="#DESPEJAR!"/>
    <s v="OOGTM.N"/>
    <n v="2025"/>
    <s v="ENOR.00021.001"/>
    <s v="COO0559"/>
    <x v="4"/>
    <s v="(PE) Não Requisitado e com ID Financeira"/>
    <s v="RC não emitida"/>
    <n v="350000"/>
    <s v="Não alterado"/>
    <s v="Gilton Carlos De Andrade Furtado"/>
    <s v="Aquisição de conjunto completo da junta de vedação do eixo (UGH18): parte fixa e móvel"/>
  </r>
  <r>
    <n v="272"/>
    <e v="#REF!"/>
    <s v="Capex Orcamentário_PE2026_2030_COO_Rev1 - Gráficos.xlsx"/>
    <s v="COO"/>
    <s v="Lucas Martins"/>
    <s v="COO272"/>
    <e v="#REF!"/>
    <s v="Corporativo"/>
    <s v="Eletronorte"/>
    <s v="Geração"/>
    <s v="Modernização"/>
    <s v="Modernização"/>
    <s v="NGHI.0141"/>
    <m/>
    <m/>
    <s v="023/87-17"/>
    <s v="Unidade de filtração hidraulica do Regulador de velocidade com elemento absoluto e sistema monitoramento"/>
    <s v="Modernização"/>
    <s v="Modernização"/>
    <s v="NGHI.0141"/>
    <s v="Não emitido"/>
    <s v="UG01, UG02, UG03, UG04, UG05_ROTROFIT REGULADOR DE VELOCidade _Unidade de filtração hidraulica do Regulador de velocidade com elemento absoluto e sistema monitoramento"/>
    <s v="UHE Balbina"/>
    <n v="0"/>
    <n v="0"/>
    <n v="0"/>
    <n v="0"/>
    <m/>
    <n v="0"/>
    <n v="0"/>
    <n v="0"/>
    <m/>
    <n v="0"/>
    <n v="0"/>
    <n v="0"/>
    <n v="0"/>
    <n v="200000"/>
    <n v="650000"/>
    <n v="466666.67"/>
    <n v="0"/>
    <n v="1316666.67"/>
    <n v="0"/>
    <n v="0"/>
    <n v="0"/>
    <n v="0"/>
    <n v="0"/>
    <n v="1316666.67"/>
    <s v="#DESPEJAR!"/>
    <s v="AGMGNO"/>
    <n v="2026"/>
    <s v="ENOR.00012.005"/>
    <n v="0"/>
    <x v="3"/>
    <s v="Nova Demanda"/>
    <s v="RC não emitida"/>
    <n v="200000"/>
    <s v="RD 2027 o 2029"/>
    <s v="Frederico Rodolfo Parente Doerner"/>
    <s v="Unidade de filtração hidraulica do Regulador de velocidade com elemento absoluto e sistema monitoramento"/>
  </r>
  <r>
    <n v="375"/>
    <e v="#REF!"/>
    <s v="Capex Orcamentário_PE2026_2030_COO_Rev1 - Gráficos.xlsx"/>
    <s v="COO"/>
    <s v="Lucas Martins"/>
    <s v="COO375"/>
    <e v="#REF!"/>
    <s v="Corporativo"/>
    <s v="Eletronorte"/>
    <s v="Geração"/>
    <s v="Modernização"/>
    <s v="Modernização"/>
    <s v="NGHI.0141"/>
    <m/>
    <m/>
    <s v="0484/2016"/>
    <s v="Superação equipamentos vão da UG 03 da UHCN"/>
    <s v="Modernização"/>
    <s v="Modernização"/>
    <s v="NGHI.0141"/>
    <s v="Não emitido"/>
    <s v="Substituição do disjuntor e seccionadora do Vão da 3ª unidade de Coaracy Nunes devido superação de curto Circtuito"/>
    <s v="UHE Coaracy Nunes "/>
    <n v="0"/>
    <n v="0"/>
    <n v="0"/>
    <n v="0"/>
    <n v="0"/>
    <n v="0"/>
    <n v="0"/>
    <n v="0"/>
    <m/>
    <n v="0"/>
    <n v="200000"/>
    <n v="0"/>
    <n v="200000"/>
    <n v="0"/>
    <n v="0"/>
    <n v="0"/>
    <n v="0"/>
    <n v="200000"/>
    <n v="0"/>
    <n v="0"/>
    <n v="0"/>
    <n v="0"/>
    <n v="0"/>
    <n v="200000"/>
    <s v="#DESPEJAR!"/>
    <s v="AGCGNO"/>
    <n v="2026"/>
    <s v="ENOR.00308.001"/>
    <n v="0"/>
    <x v="4"/>
    <s v="Nova Demanda"/>
    <s v="RC não emitida"/>
    <n v="200000"/>
    <s v="Não alterado"/>
    <s v="Geovane Andrade Melo Luz"/>
    <s v="Superação equipamentos vão da UG 03 da UHCN"/>
  </r>
  <r>
    <n v="386"/>
    <e v="#REF!"/>
    <s v="Capex Orcamentário_PE2026_2030_COO_Rev1 - Gráficos.xlsx"/>
    <s v="COO"/>
    <s v="Lucas Martins"/>
    <s v="COO386"/>
    <e v="#REF!"/>
    <s v="Corporativo"/>
    <s v="Eletronorte"/>
    <s v="Geração"/>
    <s v="Modernização"/>
    <s v="Modernização"/>
    <s v="NGHI.0143"/>
    <m/>
    <m/>
    <s v="13777/2022"/>
    <s v="Modernizaçãosistema de resfriamento das uidades geradoras da UHE Curuá-Una"/>
    <s v="Modernização"/>
    <s v="Modernização"/>
    <s v="NGHI.0143"/>
    <n v="3400002923"/>
    <s v="Substituição de equipamentos com fim de vida util"/>
    <s v="UHE Curuá Una"/>
    <n v="0"/>
    <n v="0"/>
    <n v="0"/>
    <n v="0"/>
    <n v="0"/>
    <n v="0"/>
    <n v="0"/>
    <n v="0"/>
    <n v="300000"/>
    <n v="0"/>
    <n v="300000"/>
    <n v="0"/>
    <n v="600000"/>
    <n v="600000"/>
    <n v="0"/>
    <n v="0"/>
    <n v="0"/>
    <n v="1200000"/>
    <n v="0"/>
    <n v="0"/>
    <n v="0"/>
    <n v="0"/>
    <n v="0"/>
    <n v="1200000"/>
    <s v="#DESPEJAR!"/>
    <s v="OOGCU.N"/>
    <n v="2025"/>
    <s v="ENOR.00042"/>
    <s v="COO0670"/>
    <x v="1"/>
    <s v="PE sem cód ID Financeira"/>
    <s v="Em Contratação"/>
    <n v="600000"/>
    <s v="Não alterado"/>
    <s v="Airton Rego Bentes"/>
    <s v="Modernizaçãosistema de resfriamento das uidades geradoras da UHE Curuá-Una"/>
  </r>
  <r>
    <n v="343"/>
    <e v="#REF!"/>
    <s v="Capex Orcamentário_PE2026_2030_COO_Rev1 - Gráficos.xlsx"/>
    <s v="COO"/>
    <s v="Lucas Martins"/>
    <s v="COO343"/>
    <e v="#REF!"/>
    <s v="Corporativo"/>
    <s v="Eletronorte"/>
    <s v="Geração"/>
    <s v="Modernização"/>
    <s v="Modernização"/>
    <s v="NGHI.0023"/>
    <m/>
    <m/>
    <s v="13592/2022"/>
    <s v="Modernização do sistema auto-limpante de água industrial da UHE Tucuruí"/>
    <s v="Modernização"/>
    <s v="Modernização"/>
    <s v="NGHI.0023"/>
    <n v="4500057018"/>
    <s v="Fornecimento, retirada de equipamento em operação, adequação, instalação e comissionamento de filtros autolimpantes multielementos com sistema Flushing e Backflushing, totalmente automático, com corpo construído em chapas de Aço Carbono ASTM A285-C e elementos em inox 304, 316 ou superior, no âmbito da Superintendência de Produção da Geração Hidráulica – OGH."/>
    <s v="UHE Tucuruí"/>
    <n v="0"/>
    <n v="0"/>
    <n v="0"/>
    <n v="0"/>
    <n v="0"/>
    <n v="0"/>
    <n v="500000"/>
    <n v="0"/>
    <n v="0"/>
    <n v="500000"/>
    <n v="0"/>
    <n v="500000"/>
    <n v="1500000"/>
    <n v="500000"/>
    <n v="0"/>
    <n v="0"/>
    <n v="0"/>
    <n v="2000000"/>
    <n v="0"/>
    <n v="0"/>
    <n v="0"/>
    <n v="0"/>
    <n v="0"/>
    <n v="2000000"/>
    <s v="#DESPEJAR!"/>
    <s v="AGMGNO"/>
    <n v="2025"/>
    <s v="ENOR.00095.001"/>
    <s v="COO0548"/>
    <x v="0"/>
    <s v="Nova Demanda"/>
    <s v="Contratado"/>
    <n v="500000"/>
    <s v="Ajustado conforme contrato"/>
    <s v="Frederico Rodolfo Parente Doerner"/>
    <s v="Modernização do sistema auto-limpante de água industrial da UHE Tucuruí"/>
  </r>
  <r>
    <n v="346"/>
    <e v="#REF!"/>
    <s v="Capex Orcamentário_PE2026_2030_COO_Rev1 - Gráficos.xlsx"/>
    <s v="COO"/>
    <s v="Lucas Martins"/>
    <s v="COO346"/>
    <e v="#REF!"/>
    <s v="Corporativo"/>
    <s v="Eletronorte"/>
    <s v="Geração"/>
    <s v="Modernização"/>
    <s v="Modernização"/>
    <s v="NGHI.0141"/>
    <m/>
    <m/>
    <s v="13592/2022"/>
    <s v="Aquisição de um Gerador Diesel de Emergência para a CFII da UHE Tucuruí"/>
    <s v="Modernização"/>
    <s v="Modernização"/>
    <s v="NGHI.0141"/>
    <n v="4600002614"/>
    <m/>
    <s v="UHE Tucuruí"/>
    <n v="0"/>
    <n v="0"/>
    <n v="0"/>
    <n v="0"/>
    <n v="500000"/>
    <n v="0"/>
    <n v="500000"/>
    <n v="0"/>
    <n v="500000"/>
    <n v="0"/>
    <n v="0"/>
    <n v="0"/>
    <n v="1500000"/>
    <n v="0"/>
    <n v="0"/>
    <n v="0"/>
    <n v="0"/>
    <n v="1500000"/>
    <n v="0"/>
    <n v="0"/>
    <n v="0"/>
    <n v="0"/>
    <n v="0"/>
    <n v="1500000"/>
    <s v="#DESPEJAR!"/>
    <s v="AGMGNO"/>
    <n v="2026"/>
    <s v="ENOR.00099.001"/>
    <s v="COO0558"/>
    <x v="0"/>
    <s v="Nova Demanda"/>
    <s v="Em Contratação"/>
    <n v="500000"/>
    <s v="Ajustado conforme contrato"/>
    <s v="Frederico Rodolfo Parente Doerner"/>
    <s v="Aquisição de um Gerador Diesel de Emergência para a CFII da UHE Tucuruí"/>
  </r>
  <r>
    <n v="347"/>
    <e v="#REF!"/>
    <s v="Capex Orcamentário_PE2026_2030_COO_Rev1 - Gráficos.xlsx"/>
    <s v="COO"/>
    <s v="Lucas Martins"/>
    <s v="COO347"/>
    <e v="#REF!"/>
    <s v="Corporativo"/>
    <s v="Eletronorte"/>
    <s v="Geração"/>
    <s v="Modernização"/>
    <s v="Modernização"/>
    <s v="NGHI.0087"/>
    <m/>
    <m/>
    <s v="13592/2022"/>
    <s v="Modernização do Barramento Blindado (13,8kV) UG19 da UHE Tucuruí"/>
    <s v="Modernização"/>
    <s v="Modernização"/>
    <s v="NGHI.0087"/>
    <n v="4500079631"/>
    <s v="Recuperação do BARRAMENTO BLINDADO DE FASES ISOLADAS 13.8kV, da unidade geradora 19 (TUUGH-19) da UHE Tucuruí/PA."/>
    <s v="UHE Tucuruí"/>
    <n v="0"/>
    <n v="500000"/>
    <n v="0"/>
    <n v="0"/>
    <n v="0"/>
    <n v="0"/>
    <n v="0"/>
    <n v="0"/>
    <n v="0"/>
    <n v="0"/>
    <n v="0"/>
    <n v="0"/>
    <n v="500000"/>
    <n v="0"/>
    <n v="0"/>
    <n v="0"/>
    <n v="0"/>
    <n v="500000"/>
    <n v="0"/>
    <n v="0"/>
    <n v="0"/>
    <n v="0"/>
    <n v="0"/>
    <n v="500000"/>
    <s v="#DESPEJAR!"/>
    <s v="AGMGNO"/>
    <n v="2025"/>
    <s v="ENOR.00101.001"/>
    <s v="COO0585"/>
    <x v="0"/>
    <s v="Nova Demanda"/>
    <s v="Contratado"/>
    <n v="500000"/>
    <s v="Não alterado"/>
    <s v="Frederico Rodolfo Parente Doerner"/>
    <s v="Modernização do Barramento Blindado (13,8kV) UG19 da UHE Tucuruí"/>
  </r>
  <r>
    <n v="348"/>
    <e v="#REF!"/>
    <s v="Capex Orcamentário_PE2026_2030_COO_Rev1 - Gráficos.xlsx"/>
    <s v="COO"/>
    <s v="Lucas Martins"/>
    <s v="COO348"/>
    <e v="#REF!"/>
    <s v="Corporativo"/>
    <s v="Eletronorte"/>
    <s v="Geração"/>
    <s v="Modernização"/>
    <s v="Modernização"/>
    <s v="NGHI.0083"/>
    <m/>
    <m/>
    <s v="13592/2022"/>
    <s v="Modernização da GIS TUUGH-19 da UHE Tucuruí"/>
    <s v="Modernização"/>
    <s v="Modernização"/>
    <s v="NGHI.0083"/>
    <n v="4500076990"/>
    <s v="Fornecimento de peças &quot;Equipamentos o Materiais&quot; e serviços de inspeção,montagem e comissionamento &quot;Serviços&quot; para revitalização da subestaçãoisolada a gás SF6 tuugh-19 da UHE Tucuruí."/>
    <s v="UHE Tucuruí"/>
    <n v="0"/>
    <n v="0"/>
    <n v="500000"/>
    <n v="0"/>
    <n v="0"/>
    <n v="0"/>
    <n v="0"/>
    <n v="0"/>
    <n v="0"/>
    <n v="0"/>
    <n v="0"/>
    <n v="0"/>
    <n v="500000"/>
    <n v="0"/>
    <n v="0"/>
    <n v="0"/>
    <n v="0"/>
    <n v="500000"/>
    <n v="0"/>
    <n v="0"/>
    <n v="0"/>
    <n v="0"/>
    <n v="0"/>
    <n v="500000"/>
    <s v="#DESPEJAR!"/>
    <s v="AGMGNO"/>
    <n v="2025"/>
    <s v="ENOR.00104.001"/>
    <s v="COO0630"/>
    <x v="0"/>
    <s v="Nova Demanda"/>
    <s v="Contratado"/>
    <n v="500000"/>
    <s v="Não alterado"/>
    <s v="Frederico Rodolfo Parente Doerner"/>
    <s v="Modernização da GIS TUUGH-19 da UHE Tucuruí"/>
  </r>
  <r>
    <n v="358"/>
    <e v="#REF!"/>
    <s v="Capex Orcamentário_PE2026_2030_COO_Rev1 - Gráficos.xlsx"/>
    <s v="COO"/>
    <s v="Lucas Martins"/>
    <s v="COO358"/>
    <e v="#REF!"/>
    <s v="Corporativo"/>
    <s v="Eletronorte"/>
    <s v="Geração"/>
    <s v="Modernização"/>
    <s v="Modernização"/>
    <s v="NGHI.0143"/>
    <m/>
    <m/>
    <s v="13592/2022"/>
    <s v="Reserva imobilizada para UHE Tucuruí"/>
    <s v="Modernização"/>
    <s v="Modernização"/>
    <s v="NGHI.0143"/>
    <s v="Não emitido"/>
    <s v="Aquisição Sobressalentes Estrategicos sistema Gerador (sensores, barras, cunhas, travas, reisolação polos, molas, porta escova, calço e capas isolantes)"/>
    <s v="UHE Tucuruí"/>
    <n v="0"/>
    <n v="0"/>
    <n v="0"/>
    <n v="0"/>
    <m/>
    <n v="0"/>
    <m/>
    <n v="0"/>
    <m/>
    <n v="0"/>
    <n v="0"/>
    <n v="250000"/>
    <n v="250000"/>
    <n v="900000"/>
    <n v="750000"/>
    <n v="0"/>
    <n v="0"/>
    <n v="1900000"/>
    <n v="0"/>
    <n v="0"/>
    <n v="0"/>
    <n v="0"/>
    <n v="0"/>
    <n v="1900000"/>
    <s v="#DESPEJAR!"/>
    <s v="OOGTE.N"/>
    <n v="2025"/>
    <s v="ENOR.00119.001"/>
    <s v="COO0659"/>
    <x v="3"/>
    <s v="(PE) Não Requisitado e com ID Financeira"/>
    <s v="RC não emitida"/>
    <n v="1000000"/>
    <s v="RD 2026 a 2028"/>
    <s v="Albert Ferraz Botelho Da Silva"/>
    <s v="Reserva imobilizada para UHE Tucuruí"/>
  </r>
  <r>
    <n v="374"/>
    <e v="#REF!"/>
    <s v="Capex Orcamentário_PE2026_2030_COO_Rev1 - Gráficos.xlsx"/>
    <s v="COO"/>
    <s v="Lucas Martins"/>
    <s v="COO374"/>
    <e v="#REF!"/>
    <s v="Corporativo"/>
    <s v="Eletronorte"/>
    <s v="Geração"/>
    <s v="Modernização"/>
    <s v="Modernização"/>
    <s v="NGHI.0070"/>
    <m/>
    <m/>
    <n v="157189"/>
    <s v="Monitoramento de buchas de transformador"/>
    <s v="Modernização"/>
    <s v="Modernização"/>
    <s v="NGHI.0070"/>
    <n v="4500067440"/>
    <s v="Garantir o monitoramento da capactancia de bucha dos transformadores"/>
    <s v="UHE Samuel"/>
    <n v="0"/>
    <n v="0"/>
    <n v="0"/>
    <n v="0"/>
    <n v="0"/>
    <n v="0"/>
    <n v="450000"/>
    <n v="0"/>
    <n v="0"/>
    <n v="0"/>
    <n v="0"/>
    <n v="0"/>
    <n v="450000"/>
    <n v="0"/>
    <n v="0"/>
    <n v="0"/>
    <n v="0"/>
    <n v="450000"/>
    <n v="0"/>
    <n v="0"/>
    <n v="0"/>
    <n v="0"/>
    <n v="0"/>
    <n v="450000"/>
    <s v="#DESPEJAR!"/>
    <s v="ATMTSN"/>
    <n v="2024"/>
    <s v="ENOR.00306"/>
    <s v="COO0551"/>
    <x v="0"/>
    <s v="(PE) Requisitado e Contratado e com ID Financeira"/>
    <s v="Contratado"/>
    <n v="450000"/>
    <s v="Não alterado"/>
    <s v="Francisco Figueiredo Silva Neto"/>
    <s v="Monitoramento de buchas de transformador"/>
  </r>
  <r>
    <n v="359"/>
    <e v="#REF!"/>
    <s v="Capex Orcamentário_PE2026_2030_COO_Rev1 - Gráficos.xlsx"/>
    <s v="COO"/>
    <s v="Lucas Martins"/>
    <s v="COO359"/>
    <e v="#REF!"/>
    <s v="Corporativo"/>
    <s v="Eletronorte"/>
    <s v="Geração"/>
    <s v="Modernização"/>
    <s v="Modernização"/>
    <s v="NGHI.0143"/>
    <m/>
    <m/>
    <s v="13592/2022"/>
    <s v="Reserva imobilizada para UHE Tucuruí"/>
    <s v="Modernização"/>
    <s v="Modernização"/>
    <s v="NGHI.0143"/>
    <s v="Não emitido"/>
    <s v="Aquisição Sobressalentes Estrategicos sistema transformador"/>
    <s v="UHE Tucuruí"/>
    <n v="0"/>
    <n v="0"/>
    <n v="0"/>
    <n v="0"/>
    <n v="0"/>
    <m/>
    <n v="0"/>
    <m/>
    <n v="0"/>
    <m/>
    <n v="0"/>
    <n v="150000"/>
    <n v="150000"/>
    <n v="900000"/>
    <n v="850000"/>
    <n v="0"/>
    <n v="0"/>
    <n v="1900000"/>
    <n v="0"/>
    <n v="0"/>
    <n v="0"/>
    <n v="0"/>
    <n v="0"/>
    <n v="1900000"/>
    <s v="#DESPEJAR!"/>
    <s v="OOGTE.N"/>
    <n v="2025"/>
    <s v="ENOR.00119.001"/>
    <s v="COO0659"/>
    <x v="3"/>
    <s v="(PE) Não Requisitado e com ID Financeira"/>
    <s v="RC não emitida"/>
    <n v="1000000"/>
    <s v="RD 2026 a 2028"/>
    <s v="Albert Ferraz Botelho Da Silva"/>
    <s v="Reserva imobilizada para UHE Tucuruí"/>
  </r>
  <r>
    <n v="339"/>
    <e v="#REF!"/>
    <s v="Capex Orcamentário_PE2026_2030_COO_Rev1 - Gráficos.xlsx"/>
    <s v="COO"/>
    <s v="Lucas Martins"/>
    <s v="COO339"/>
    <e v="#REF!"/>
    <s v="Corporativo"/>
    <s v="Eletronorte"/>
    <s v="Geração"/>
    <s v="Modernização"/>
    <s v="Modernização"/>
    <s v="NGHI.0141"/>
    <m/>
    <m/>
    <s v="0484/2016"/>
    <s v="Aquisição de novo GDE de 400KVA"/>
    <s v="Modernização"/>
    <s v="Modernização"/>
    <s v="NGHI.0141"/>
    <s v="Não emitido"/>
    <s v="Aquisição de Grupo Diesel de 400KVA"/>
    <s v="UHE Coaracy Nunes "/>
    <n v="0"/>
    <n v="0"/>
    <n v="0"/>
    <n v="0"/>
    <n v="0"/>
    <n v="0"/>
    <n v="0"/>
    <n v="0"/>
    <n v="0"/>
    <m/>
    <n v="0"/>
    <n v="0"/>
    <n v="0"/>
    <n v="600000"/>
    <n v="300000"/>
    <n v="0"/>
    <n v="0"/>
    <n v="900000"/>
    <n v="0"/>
    <n v="0"/>
    <n v="0"/>
    <n v="0"/>
    <n v="0"/>
    <n v="900000"/>
    <s v="#DESPEJAR!"/>
    <s v="AGMGNO"/>
    <n v="2026"/>
    <s v="ENOR.00091.001"/>
    <n v="0"/>
    <x v="3"/>
    <s v="Nova Demanda"/>
    <s v="RC não emitida"/>
    <n v="300000"/>
    <s v="RD 2027 e 2028"/>
    <s v="Frederico Rodolfo Parente Doerner"/>
    <s v="Aquisição de novo GDE de 400KVA"/>
  </r>
  <r>
    <n v="288"/>
    <e v="#REF!"/>
    <s v="Capex Orcamentário_PE2026_2030_COO_Rev1 - Gráficos.xlsx"/>
    <s v="COO"/>
    <s v="Lucas Martins"/>
    <s v="COO288"/>
    <e v="#REF!"/>
    <s v="Corporativo"/>
    <s v="Eletronorte"/>
    <s v="Geração"/>
    <s v="Modernização"/>
    <s v="Modernização"/>
    <s v="NGHI.0141"/>
    <m/>
    <m/>
    <s v="13777/2022"/>
    <s v="Modernização da Ponte Rolante e Porticos da Casa de Força e Vertedouro"/>
    <s v="Modernização"/>
    <s v="Modernização"/>
    <s v="NGHI.0141"/>
    <s v="Não emitido"/>
    <s v="Modernização de equipamentos de içamento"/>
    <s v="UHE Curuá Una"/>
    <n v="0"/>
    <n v="0"/>
    <n v="0"/>
    <n v="0"/>
    <n v="0"/>
    <n v="0"/>
    <n v="0"/>
    <n v="0"/>
    <n v="0"/>
    <n v="0"/>
    <n v="0"/>
    <m/>
    <n v="0"/>
    <n v="600000"/>
    <n v="600000"/>
    <n v="0"/>
    <n v="0"/>
    <n v="1200000"/>
    <n v="0"/>
    <n v="0"/>
    <n v="0"/>
    <n v="0"/>
    <n v="0"/>
    <n v="1200000"/>
    <s v="#DESPEJAR!"/>
    <s v="AGMGNO"/>
    <n v="2026"/>
    <s v="ENOR.00035.001"/>
    <n v="0"/>
    <x v="3"/>
    <s v="Nova Demanda"/>
    <s v="RC não emitida"/>
    <n v="300000"/>
    <s v="RD 2027 e 2028"/>
    <s v="Frederico Rodolfo Parente Doerner"/>
    <s v="Modernização da Ponte Rolante e Porticos da Casa de Força e Vertedouro"/>
  </r>
  <r>
    <n v="360"/>
    <e v="#REF!"/>
    <s v="Capex Orcamentário_PE2026_2030_COO_Rev1 - Gráficos.xlsx"/>
    <s v="COO"/>
    <s v="Lucas Martins"/>
    <s v="COO360"/>
    <e v="#REF!"/>
    <s v="Corporativo"/>
    <s v="Eletronorte"/>
    <s v="Geração"/>
    <s v="Modernização"/>
    <s v="Modernização"/>
    <s v="NGHI.0143"/>
    <m/>
    <m/>
    <s v="13592/2022"/>
    <s v="Reserva imobilizada para UHE Tucuruí"/>
    <s v="Modernização"/>
    <s v="Modernização"/>
    <s v="NGHI.0143"/>
    <s v="Não emitido"/>
    <s v="Aquisição Sobressalentes Estrategicos sistema Subestação Blindada a Gas"/>
    <s v="UHE Tucuruí"/>
    <n v="0"/>
    <n v="0"/>
    <n v="0"/>
    <n v="0"/>
    <m/>
    <n v="0"/>
    <m/>
    <n v="0"/>
    <m/>
    <n v="0"/>
    <n v="0"/>
    <n v="200000"/>
    <n v="200000"/>
    <n v="900000"/>
    <n v="800000"/>
    <n v="0"/>
    <n v="0"/>
    <n v="1900000"/>
    <n v="0"/>
    <n v="0"/>
    <n v="0"/>
    <n v="0"/>
    <n v="0"/>
    <n v="1900000"/>
    <s v="#DESPEJAR!"/>
    <s v="OOGTE.N"/>
    <n v="2025"/>
    <s v="ENOR.00119.001"/>
    <s v="COO0659"/>
    <x v="3"/>
    <s v="(PE) Não Requisitado e com ID Financeira"/>
    <s v="RC não emitida"/>
    <n v="1000000"/>
    <s v="RD 2027 e 2028"/>
    <s v="Albert Ferraz Botelho Da Silva"/>
    <s v="Reserva imobilizada para UHE Tucuruí"/>
  </r>
  <r>
    <n v="371"/>
    <e v="#REF!"/>
    <s v="Capex Orcamentário_PE2026_2030_COO_Rev1 - Gráficos.xlsx"/>
    <s v="COO"/>
    <s v="Lucas Martins"/>
    <s v="COO371"/>
    <e v="#REF!"/>
    <s v="Corporativo"/>
    <s v="Eletronorte"/>
    <s v="Geração"/>
    <s v="Modernização"/>
    <s v="Modernização"/>
    <s v="NGHI.0141"/>
    <m/>
    <m/>
    <s v="13592/2022"/>
    <s v="Aquisição de para-raios para a UHE Tucuruí"/>
    <s v="Modernização"/>
    <s v="Modernização"/>
    <s v="NGHI.0141"/>
    <n v="3400004230"/>
    <s v="Substituição de três (3) Para-Raios associados à Unidades Geradoras 1 e 2 referente as Fases A, B e V da linha TUTCLT7-01."/>
    <s v="UHE Tucuruí"/>
    <n v="0"/>
    <n v="0"/>
    <n v="0"/>
    <n v="0"/>
    <n v="0"/>
    <n v="0"/>
    <n v="0"/>
    <n v="0"/>
    <n v="0"/>
    <n v="0"/>
    <m/>
    <n v="0"/>
    <n v="0"/>
    <n v="1000000"/>
    <n v="1000000"/>
    <n v="0"/>
    <n v="0"/>
    <n v="2000000"/>
    <n v="0"/>
    <n v="0"/>
    <n v="0"/>
    <n v="0"/>
    <n v="0"/>
    <n v="2000000"/>
    <s v="#DESPEJAR!"/>
    <s v="AGMGNO"/>
    <n v="2025"/>
    <s v="ENOR.00302.001"/>
    <s v="COO0648"/>
    <x v="2"/>
    <s v="(PE) Não Requisitado e com ID Financeira"/>
    <s v="Em Contratação"/>
    <n v="300000"/>
    <s v="RD 2027 a 2028"/>
    <s v="Frederico Rodolfo Parente Doerner"/>
    <s v="Aquisição de para-raios para a UHE Tucuruí"/>
  </r>
  <r>
    <n v="354"/>
    <e v="#REF!"/>
    <s v="Capex Orcamentário_PE2026_2030_COO_Rev1 - Gráficos.xlsx"/>
    <s v="COO"/>
    <s v="Lucas Martins"/>
    <s v="COO354"/>
    <e v="#REF!"/>
    <s v="Corporativo"/>
    <s v="Eletronorte"/>
    <s v="Geração"/>
    <s v="Modernização"/>
    <s v="Modernização"/>
    <s v="NGHI.0143"/>
    <m/>
    <m/>
    <s v="13592/2022"/>
    <s v="Modernização dos disjuntores MERLIN GERIN para a UHE Tucuruí"/>
    <s v="Modernização"/>
    <s v="Modernização"/>
    <s v="NGHI.0143"/>
    <n v="3400004437"/>
    <s v="Fornecimento de disjuntores para substituição dos disjuntores fora de linha de fabricação MERLIN GERIN, modelo NT 12H1, número de série 424289."/>
    <s v="UHE Tucuruí"/>
    <n v="0"/>
    <n v="223686"/>
    <n v="0"/>
    <n v="0"/>
    <n v="0"/>
    <n v="0"/>
    <n v="0"/>
    <n v="0"/>
    <n v="0"/>
    <n v="0"/>
    <n v="0"/>
    <n v="0"/>
    <n v="223686"/>
    <n v="0"/>
    <n v="0"/>
    <n v="0"/>
    <n v="0"/>
    <n v="223686"/>
    <n v="0"/>
    <n v="0"/>
    <n v="0"/>
    <n v="0"/>
    <n v="0"/>
    <n v="223686"/>
    <s v="#DESPEJAR!"/>
    <s v="OOGTE.N"/>
    <n v="2025"/>
    <s v="ENOR.00112.001"/>
    <s v="COO0606"/>
    <x v="1"/>
    <s v="(PE) Não Requisitado e com ID Financeira"/>
    <s v="Em Contratação"/>
    <n v="223686"/>
    <s v="Não alterado"/>
    <s v="Albert Ferraz Botelho Da Silva"/>
    <s v="Modernização dos disjuntores MERLIN GERIN para a UHE Tucuruí"/>
  </r>
  <r>
    <n v="385"/>
    <e v="#REF!"/>
    <s v="Capex Orcamentário_PE2026_2030_COO_Rev1 - Gráficos.xlsx"/>
    <s v="COO"/>
    <s v="Lucas Martins"/>
    <s v="COO385"/>
    <e v="#REF!"/>
    <s v="Corporativo"/>
    <s v="Eletronorte"/>
    <s v="Geração"/>
    <s v="Modernização"/>
    <s v="Modernização"/>
    <s v="NGHI.0143"/>
    <m/>
    <m/>
    <s v="023/87-17"/>
    <s v="Sistema de Ventilação e exaustão das  galerias da UHE Balbina."/>
    <s v="Modernização"/>
    <s v="Modernização"/>
    <s v="NGHI.0143"/>
    <n v="3500006131"/>
    <s v="Melhoria no sistema de exaustão e ventilação das galerias da UHE Balbina."/>
    <s v="UHE Balbina"/>
    <n v="0"/>
    <n v="0"/>
    <n v="0"/>
    <n v="0"/>
    <n v="150000"/>
    <n v="0"/>
    <n v="200000"/>
    <n v="0"/>
    <n v="150000"/>
    <n v="0"/>
    <n v="100000"/>
    <n v="0"/>
    <n v="600000"/>
    <n v="500000"/>
    <n v="0"/>
    <n v="0"/>
    <n v="0"/>
    <n v="1100000"/>
    <n v="0"/>
    <n v="0"/>
    <n v="0"/>
    <n v="0"/>
    <n v="0"/>
    <n v="1100000"/>
    <s v="#DESPEJAR!"/>
    <s v="OOGBA.N"/>
    <n v="2026"/>
    <s v="ENOR.00085"/>
    <n v="0"/>
    <x v="1"/>
    <s v="Nova Demanda"/>
    <s v="RC não emitida"/>
    <n v="600000"/>
    <s v="Confirmado execução (Cleomar)"/>
    <s v="Milton Pereira Menezes"/>
    <s v="Sistema de Ventilação e exaustão das  galerias da UHE Balbina."/>
  </r>
  <r>
    <n v="316"/>
    <e v="#REF!"/>
    <s v="Capex Orcamentário_PE2026_2030_COO_Rev1 - Gráficos.xlsx"/>
    <s v="COO"/>
    <s v="Lucas Martins"/>
    <s v="COO316"/>
    <e v="#REF!"/>
    <s v="Corporativo"/>
    <s v="Eletronorte"/>
    <s v="Geração"/>
    <s v="Modernização"/>
    <s v="Modernização"/>
    <s v="NGHI.0143"/>
    <m/>
    <m/>
    <n v="157189"/>
    <s v="Aquisição de banco de baterias 125VCC"/>
    <s v="Modernização"/>
    <s v="Modernização"/>
    <s v="NGHI.0143"/>
    <s v="Não emitido"/>
    <s v="Substituição de banco de baterias UHE Samuel"/>
    <s v="UHE Samuel"/>
    <n v="0"/>
    <n v="0"/>
    <n v="0"/>
    <n v="0"/>
    <n v="0"/>
    <n v="0"/>
    <n v="0"/>
    <n v="0"/>
    <n v="0"/>
    <n v="0"/>
    <n v="300000"/>
    <n v="0"/>
    <n v="300000"/>
    <n v="200000"/>
    <n v="0"/>
    <n v="0"/>
    <n v="0"/>
    <n v="500000"/>
    <n v="0"/>
    <n v="0"/>
    <n v="0"/>
    <n v="0"/>
    <n v="0"/>
    <n v="500000"/>
    <s v="#DESPEJAR!"/>
    <s v="OOGSA.N"/>
    <n v="2026"/>
    <s v="ENOR.00066.001"/>
    <n v="0"/>
    <x v="4"/>
    <s v="Nova Demanda"/>
    <s v="RC não emitida"/>
    <n v="300000"/>
    <s v="RD 2026 a 2027"/>
    <s v="Robinson Percy Holder"/>
    <s v="Aquisição de banco de baterias 125VCC"/>
  </r>
  <r>
    <n v="298"/>
    <e v="#REF!"/>
    <s v="Capex Orcamentário_PE2026_2030_COO_Rev1 - Gráficos.xlsx"/>
    <s v="COO"/>
    <s v="Lucas Martins"/>
    <s v="COO298"/>
    <e v="#REF!"/>
    <s v="Corporativo"/>
    <s v="Eletronorte"/>
    <s v="Geração"/>
    <s v="Modernização"/>
    <s v="Modernização"/>
    <s v="NGHI.0143"/>
    <m/>
    <m/>
    <s v="13777/2022"/>
    <s v="Substituição dos cabos para-raios da LT CUTA-LI5-01 da UHE Curuá-Una"/>
    <s v="Modernização"/>
    <s v="Modernização"/>
    <s v="NGHI.0143"/>
    <s v="Não emitido"/>
    <s v="Substituição do cabo para raios da linha de CUTA-LI5-01"/>
    <s v="UHE Curuá Una"/>
    <n v="0"/>
    <n v="0"/>
    <n v="0"/>
    <n v="0"/>
    <n v="0"/>
    <n v="0"/>
    <n v="0"/>
    <n v="0"/>
    <m/>
    <n v="0"/>
    <n v="0"/>
    <n v="0"/>
    <n v="0"/>
    <n v="1100000"/>
    <n v="0"/>
    <n v="0"/>
    <n v="0"/>
    <n v="1100000"/>
    <n v="0"/>
    <n v="0"/>
    <n v="0"/>
    <n v="0"/>
    <n v="0"/>
    <n v="1100000"/>
    <s v="#DESPEJAR!"/>
    <s v="ATMTLN"/>
    <n v="2025"/>
    <s v="ENOR.00048.001"/>
    <s v="COO0743"/>
    <x v="3"/>
    <s v="PE sem cód ID Financeira"/>
    <s v="RC não emitida"/>
    <n v="100000"/>
    <s v="RD 2027"/>
    <s v="Jimmison Levi Monteiro De Oliveira"/>
    <s v="Substituição dos cabos para-raios da LT CUTA-LI5-01 da UHE Curuá-Una"/>
  </r>
  <r>
    <n v="369"/>
    <e v="#REF!"/>
    <s v="Capex Orcamentário_PE2026_2030_COO_Rev1 - Gráficos.xlsx"/>
    <s v="COO"/>
    <s v="Lucas Martins"/>
    <s v="COO369"/>
    <e v="#REF!"/>
    <s v="Corporativo"/>
    <s v="Eletronorte"/>
    <s v="Geração"/>
    <s v="Modernização"/>
    <s v="Telecom"/>
    <s v="NSTC.0037"/>
    <m/>
    <m/>
    <s v="13592/2022"/>
    <s v="SWITCHES DE TO"/>
    <s v="Modernização"/>
    <s v="Telecom"/>
    <s v="NSTC.0044"/>
    <s v="Ver contrato telecon"/>
    <s v="Implantação de Switches de TO para ampliação e melhoria dos Sistemas de Telecomunicações dos Centros de Operação e CGRT da Eletronorte"/>
    <s v="UHE Tucuruí"/>
    <n v="0"/>
    <n v="0"/>
    <n v="0"/>
    <n v="0"/>
    <n v="53000"/>
    <n v="0"/>
    <n v="0"/>
    <n v="0"/>
    <n v="0"/>
    <n v="0"/>
    <n v="0"/>
    <n v="0"/>
    <n v="53000"/>
    <n v="0"/>
    <n v="0"/>
    <n v="0"/>
    <n v="0"/>
    <n v="53000"/>
    <n v="0"/>
    <n v="0"/>
    <n v="0"/>
    <n v="0"/>
    <n v="0"/>
    <n v="53000"/>
    <s v="#DESPEJAR!"/>
    <s v="OOPT.N"/>
    <n v="2025"/>
    <s v="ENOR.00204.001"/>
    <s v="COO1089"/>
    <x v="1"/>
    <s v="(PE) Não Requisitado e com ID Financeira"/>
    <s v="Em Contratação"/>
    <n v="53000"/>
    <s v="Não alterado"/>
    <s v="João André Peixoto De Souza"/>
    <s v="SWITCHES DE TO"/>
  </r>
  <r>
    <n v="366"/>
    <e v="#REF!"/>
    <s v="Capex Orcamentário_PE2026_2030_COO_Rev1 - Gráficos.xlsx"/>
    <s v="COO"/>
    <s v="Lucas Martins"/>
    <s v="COO366"/>
    <e v="#REF!"/>
    <s v="Corporativo"/>
    <s v="Eletronorte"/>
    <s v="Geração"/>
    <s v="Modernização"/>
    <s v="Telecom"/>
    <s v="TL.9006"/>
    <m/>
    <m/>
    <s v="13777/2022"/>
    <s v="OPGW CURUÁ-UNA/TAPAJÓS"/>
    <s v="Modernização"/>
    <s v="Telecom"/>
    <s v="NSTC.0044"/>
    <s v="Ver contrato telecon"/>
    <s v="Implantação de Cabo OPGW entre UHE CURUÁ-UNA e SE TAPAJÓS"/>
    <s v="UHE Curuá Una"/>
    <n v="0"/>
    <n v="0"/>
    <n v="0"/>
    <n v="0"/>
    <n v="0"/>
    <m/>
    <n v="0"/>
    <n v="0"/>
    <n v="0"/>
    <n v="0"/>
    <n v="0"/>
    <n v="0"/>
    <n v="0"/>
    <n v="1000000"/>
    <n v="0"/>
    <n v="0"/>
    <n v="0"/>
    <n v="1000000"/>
    <n v="0"/>
    <n v="0"/>
    <n v="0"/>
    <n v="0"/>
    <n v="0"/>
    <n v="1000000"/>
    <s v="#DESPEJAR!"/>
    <s v="OOPT.N"/>
    <n v="2025"/>
    <s v="ENOR.00201.001"/>
    <s v="COO0696"/>
    <x v="4"/>
    <s v="(PE) Não Requisitado e com ID Financeira"/>
    <s v="Em Contratação"/>
    <n v="9000"/>
    <s v="RD 2027"/>
    <s v="João André Peixoto De Souza"/>
    <s v="OPGW CURUÁ-UNA/TAPAJÓS"/>
  </r>
  <r>
    <n v="773"/>
    <b v="0"/>
    <m/>
    <s v="COO"/>
    <s v="Lucas Martins"/>
    <s v="COO773"/>
    <e v="#REF!"/>
    <s v="Corporativo"/>
    <s v="Eletronorte"/>
    <s v="Geração"/>
    <s v="Modernização"/>
    <s v="Modernização"/>
    <s v="A definir"/>
    <m/>
    <m/>
    <m/>
    <s v="Sistemas de Monitoramento para Transformadores"/>
    <s v="Modernização"/>
    <s v="Modernização"/>
    <s v="A definir"/>
    <m/>
    <m/>
    <s v="Diversas UHE"/>
    <m/>
    <m/>
    <m/>
    <m/>
    <m/>
    <m/>
    <m/>
    <m/>
    <m/>
    <m/>
    <m/>
    <m/>
    <n v="0"/>
    <m/>
    <n v="7820000"/>
    <n v="4692000"/>
    <n v="0"/>
    <n v="12512000"/>
    <m/>
    <m/>
    <m/>
    <m/>
    <m/>
    <n v="12512000"/>
    <m/>
    <s v="OORV"/>
    <n v="2025"/>
    <m/>
    <m/>
    <x v="0"/>
    <s v="Contratado"/>
    <s v="Contratado"/>
    <n v="0"/>
    <s v="Não alterado"/>
    <s v="Daniel Branquinho Ferreira"/>
    <s v="Sistemas de Monitoramento para Transformadores"/>
  </r>
  <r>
    <n v="271"/>
    <e v="#REF!"/>
    <s v="Capex Orcamentário_PE2026_2030_COO_Rev1 - Gráficos.xlsx"/>
    <s v="COO"/>
    <s v="Lucas Martins"/>
    <s v="COO271"/>
    <e v="#REF!"/>
    <s v="Corporativo"/>
    <s v="Eletronorte"/>
    <s v="Geração"/>
    <s v="Modernização"/>
    <s v="Modernização"/>
    <s v="NGHI.0141"/>
    <m/>
    <m/>
    <s v="023/87-17"/>
    <s v="Modernização RVT UHE Balbina"/>
    <s v="Modernização"/>
    <s v="Modernização"/>
    <s v="NGHI.0141"/>
    <m/>
    <s v="UG01_MODERNIZAÇÃO RV ELETRONICO /RV HIDRAULICO  (TRANSFORMADOR DE EXECITAÇÃO E ARMARIO COM PONTE DE TIRISTORES) incluindo rele de sobre frequencia de saida do Bay)"/>
    <s v="UHE Balbina"/>
    <n v="0"/>
    <n v="0"/>
    <n v="0"/>
    <n v="0"/>
    <n v="0"/>
    <n v="0"/>
    <n v="0"/>
    <n v="0"/>
    <n v="0"/>
    <n v="0"/>
    <n v="0"/>
    <n v="0"/>
    <n v="0"/>
    <n v="20910319"/>
    <n v="6233333.3300000001"/>
    <n v="0"/>
    <n v="0"/>
    <n v="27143652.329999998"/>
    <n v="0"/>
    <n v="0"/>
    <n v="0"/>
    <n v="0"/>
    <n v="0"/>
    <n v="27143652.329999998"/>
    <s v="#DESPEJAR!"/>
    <s v="AGMGNO"/>
    <n v="2026"/>
    <s v="ENOR.00011.011"/>
    <n v="0"/>
    <x v="3"/>
    <s v="Nova Demanda"/>
    <s v="Nova Demanda"/>
    <n v="0"/>
    <m/>
    <s v="Frederico Rodolfo Parente Doerner"/>
    <s v="Modernização RVT UHE Balbina"/>
  </r>
  <r>
    <n v="273"/>
    <e v="#REF!"/>
    <s v="Capex Orcamentário_PE2026_2030_COO_Rev1 - Gráficos.xlsx"/>
    <s v="COO"/>
    <s v="Lucas Martins"/>
    <s v="COO273"/>
    <e v="#REF!"/>
    <s v="Corporativo"/>
    <s v="Eletronorte"/>
    <s v="Geração"/>
    <s v="Modernização"/>
    <s v="Modernização"/>
    <s v="NGHI.0141"/>
    <m/>
    <m/>
    <s v="023/87-17"/>
    <s v="SPCS balbina"/>
    <s v="Modernização"/>
    <s v="Modernização"/>
    <s v="NGHI.0141"/>
    <m/>
    <s v="UG01, UG02, UG04, UG05 e VERTEDOURO_ modernização do SPCS balbina"/>
    <s v="UHE Balbina"/>
    <n v="0"/>
    <n v="0"/>
    <n v="0"/>
    <n v="0"/>
    <n v="0"/>
    <n v="0"/>
    <n v="0"/>
    <n v="0"/>
    <n v="0"/>
    <n v="0"/>
    <n v="0"/>
    <n v="0"/>
    <n v="0"/>
    <n v="7200000"/>
    <n v="0"/>
    <n v="0"/>
    <n v="0"/>
    <n v="7200000"/>
    <n v="0"/>
    <n v="0"/>
    <n v="0"/>
    <n v="0"/>
    <n v="0"/>
    <n v="7200000"/>
    <s v="#DESPEJAR!"/>
    <s v="AGMGNO"/>
    <n v="2026"/>
    <s v="ENOR.00013.006"/>
    <n v="0"/>
    <x v="3"/>
    <s v="Nova Demanda"/>
    <s v="Nova Demanda"/>
    <n v="0"/>
    <m/>
    <s v="Frederico Rodolfo Parente Doerner"/>
    <s v="SPCS balbina"/>
  </r>
  <r>
    <n v="322"/>
    <e v="#REF!"/>
    <s v="Capex Orcamentário_PE2026_2030_COO_Rev1 - Gráficos.xlsx"/>
    <s v="COO"/>
    <s v="Lucas Martins"/>
    <s v="COO322"/>
    <e v="#REF!"/>
    <s v="Corporativo"/>
    <s v="Eletronorte"/>
    <s v="Geração"/>
    <s v="Modernização"/>
    <s v="Modernização"/>
    <s v="NGHI.0141"/>
    <m/>
    <m/>
    <s v="023/87-17"/>
    <s v="MODERNIZAÇÃO DO SISTEMA DE AR DE REGULAÇÃO UHE BALBINA"/>
    <s v="Modernização"/>
    <s v="Modernização"/>
    <s v="NGHI.0141"/>
    <m/>
    <s v="MODERNIZAÇÃO DO SISTEMA DE AR DE REGULAÇÃO - COMPRESSORES AO-AP-AQ - UHE BALBINA"/>
    <s v="UHE Balbina"/>
    <n v="0"/>
    <n v="0"/>
    <n v="0"/>
    <n v="0"/>
    <n v="0"/>
    <n v="0"/>
    <n v="0"/>
    <n v="0"/>
    <n v="0"/>
    <n v="0"/>
    <n v="0"/>
    <n v="0"/>
    <n v="0"/>
    <n v="3000000"/>
    <n v="3000000"/>
    <n v="0"/>
    <n v="0"/>
    <n v="6000000"/>
    <n v="0"/>
    <n v="0"/>
    <n v="0"/>
    <n v="0"/>
    <n v="0"/>
    <n v="6000000"/>
    <s v="#DESPEJAR!"/>
    <s v="OOGBA.N"/>
    <n v="2026"/>
    <s v="ENOR.00074.001"/>
    <n v="0"/>
    <x v="3"/>
    <s v="Nova Demanda"/>
    <s v="Nova Demanda"/>
    <n v="0"/>
    <m/>
    <s v="Milton Pereira Menezes"/>
    <s v="MODERNIZAÇÃO DO SISTEMA DE AR DE REGULAÇÃO UHE BALBINA"/>
  </r>
  <r>
    <n v="323"/>
    <e v="#REF!"/>
    <s v="Capex Orcamentário_PE2026_2030_COO_Rev1 - Gráficos.xlsx"/>
    <s v="COO"/>
    <s v="Lucas Martins"/>
    <s v="COO323"/>
    <e v="#REF!"/>
    <s v="Corporativo"/>
    <s v="Eletronorte"/>
    <s v="Geração"/>
    <s v="Modernização"/>
    <s v="Modernização"/>
    <s v="NGHI.0141"/>
    <m/>
    <m/>
    <s v="023/87-17"/>
    <s v="MODERNIZAÇÃO DO SISTEMA RESFR. MANCAL COMBINADO UHE BALBINA"/>
    <s v="Modernização"/>
    <s v="Modernização"/>
    <s v="NGHI.0141"/>
    <m/>
    <s v="MODERNIZAÇÃO DO SISTEMA RESFR. MANCAL COMBINADO - UGH 01,02,03,04,05"/>
    <s v="UHE Balbina"/>
    <n v="0"/>
    <n v="0"/>
    <n v="0"/>
    <n v="0"/>
    <n v="0"/>
    <n v="0"/>
    <n v="0"/>
    <n v="0"/>
    <n v="0"/>
    <n v="0"/>
    <n v="0"/>
    <n v="0"/>
    <n v="0"/>
    <n v="3000000"/>
    <n v="500000"/>
    <n v="0"/>
    <n v="0"/>
    <n v="3500000"/>
    <n v="0"/>
    <n v="0"/>
    <n v="0"/>
    <n v="0"/>
    <n v="0"/>
    <n v="3500000"/>
    <s v="#DESPEJAR!"/>
    <s v="OOGBA.N"/>
    <n v="2026"/>
    <s v="ENOR.00075"/>
    <n v="0"/>
    <x v="3"/>
    <s v="Nova Demanda"/>
    <s v="Nova Demanda"/>
    <n v="0"/>
    <m/>
    <s v="Milton Pereira Menezes"/>
    <s v="MODERNIZAÇÃO DO SISTEMA RESFR. MANCAL COMBINADO UHE BALBINA"/>
  </r>
  <r>
    <n v="321"/>
    <e v="#REF!"/>
    <s v="Capex Orcamentário_PE2026_2030_COO_Rev1 - Gráficos.xlsx"/>
    <s v="COO"/>
    <s v="Lucas Martins"/>
    <s v="COO321"/>
    <e v="#REF!"/>
    <s v="Corporativo"/>
    <s v="Eletronorte"/>
    <s v="Geração"/>
    <s v="Modernização"/>
    <s v="Modernização"/>
    <s v="NGHI.0141"/>
    <m/>
    <m/>
    <s v="023/87-17"/>
    <s v="MODERNIZAÇÃO DO SISTEMA DE AR DE SERVIÇO UHE BALBINA"/>
    <s v="Modernização"/>
    <s v="Modernização"/>
    <s v="NGHI.0141"/>
    <m/>
    <s v="MODERNIZAÇÃO DO SISTEMA DE AR DE SERVIÇO - COMPRESSORES 03 E 04 - UHE BALBINA"/>
    <s v="UHE Balbina"/>
    <n v="0"/>
    <n v="0"/>
    <n v="0"/>
    <n v="0"/>
    <n v="0"/>
    <n v="0"/>
    <n v="0"/>
    <n v="0"/>
    <n v="0"/>
    <n v="0"/>
    <n v="0"/>
    <n v="0"/>
    <n v="0"/>
    <n v="500000"/>
    <n v="1000000"/>
    <n v="0"/>
    <n v="0"/>
    <n v="1500000"/>
    <n v="0"/>
    <n v="0"/>
    <n v="0"/>
    <n v="0"/>
    <n v="0"/>
    <n v="1500000"/>
    <s v="#DESPEJAR!"/>
    <s v="OOGBA.N"/>
    <n v="2026"/>
    <s v="ENOR.00073.001"/>
    <n v="0"/>
    <x v="3"/>
    <s v="Nova Demanda"/>
    <s v="Nova Demanda"/>
    <n v="0"/>
    <m/>
    <s v="Milton Pereira Menezes"/>
    <s v="MODERNIZAÇÃO DO SISTEMA DE AR DE SERVIÇO UHE BALBINA"/>
  </r>
  <r>
    <n v="325"/>
    <e v="#REF!"/>
    <s v="Capex Orcamentário_PE2026_2030_COO_Rev1 - Gráficos.xlsx"/>
    <s v="COO"/>
    <s v="Lucas Martins"/>
    <s v="COO325"/>
    <e v="#REF!"/>
    <s v="Corporativo"/>
    <s v="Eletronorte"/>
    <s v="Geração"/>
    <s v="Modernização"/>
    <s v="Modernização"/>
    <s v="NGHI.0141"/>
    <m/>
    <m/>
    <s v="023/87-17"/>
    <s v="MODERNIZAÇÃO DO SIST INJEÇÃO DE ÓLEO MANCAL ESCORA UHE BALBINA"/>
    <s v="Modernização"/>
    <s v="Modernização"/>
    <s v="NGHI.0141"/>
    <m/>
    <s v="MODERNIZAÇÃO DO SIST INJEÇÃO DE ÓLEO MANCAL ESCORA - UGH 01,02,03,04,05"/>
    <s v="UHE Balbina"/>
    <n v="0"/>
    <n v="0"/>
    <n v="0"/>
    <n v="0"/>
    <n v="0"/>
    <n v="0"/>
    <n v="0"/>
    <n v="0"/>
    <n v="0"/>
    <n v="0"/>
    <n v="0"/>
    <n v="0"/>
    <n v="0"/>
    <n v="1200000"/>
    <n v="300000"/>
    <n v="0"/>
    <n v="0"/>
    <n v="1500000"/>
    <n v="0"/>
    <n v="0"/>
    <n v="0"/>
    <n v="0"/>
    <n v="0"/>
    <n v="1500000"/>
    <s v="#DESPEJAR!"/>
    <s v="OOGBA.N"/>
    <n v="2026"/>
    <s v="ENOR.00077"/>
    <n v="0"/>
    <x v="3"/>
    <s v="Nova Demanda"/>
    <s v="Nova Demanda"/>
    <n v="0"/>
    <m/>
    <s v="Milton Pereira Menezes"/>
    <s v="MODERNIZAÇÃO DO SIST INJEÇÃO DE ÓLEO MANCAL ESCORA UHE BALBINA"/>
  </r>
  <r>
    <n v="324"/>
    <e v="#REF!"/>
    <s v="Capex Orcamentário_PE2026_2030_COO_Rev1 - Gráficos.xlsx"/>
    <s v="COO"/>
    <s v="Lucas Martins"/>
    <s v="COO324"/>
    <e v="#REF!"/>
    <s v="Corporativo"/>
    <s v="Eletronorte"/>
    <s v="Geração"/>
    <s v="Modernização"/>
    <s v="Modernização"/>
    <s v="NGHI.0141"/>
    <m/>
    <m/>
    <s v="023/87-17"/>
    <s v="MODERNIZAÇÃO DO SISTEMA RESFR. MANCAL GERADOR UHE BALBINA"/>
    <s v="Modernização"/>
    <s v="Modernização"/>
    <s v="NGHI.0141"/>
    <m/>
    <s v="MODERNIZAÇÃO DO SISTEMA RESFR. MANCAL GERADOR - UGH 01,02, 03, 04,05"/>
    <s v="UHE Balbina"/>
    <n v="0"/>
    <n v="0"/>
    <n v="0"/>
    <n v="0"/>
    <n v="0"/>
    <n v="0"/>
    <n v="0"/>
    <n v="0"/>
    <n v="0"/>
    <n v="0"/>
    <n v="0"/>
    <n v="0"/>
    <n v="0"/>
    <n v="1000000"/>
    <n v="0"/>
    <n v="0"/>
    <n v="0"/>
    <n v="1000000"/>
    <n v="0"/>
    <n v="0"/>
    <n v="0"/>
    <n v="0"/>
    <n v="0"/>
    <n v="1000000"/>
    <s v="#DESPEJAR!"/>
    <s v="OOGBA.N"/>
    <n v="2026"/>
    <s v="ENOR.00076"/>
    <n v="0"/>
    <x v="3"/>
    <s v="Nova Demanda"/>
    <s v="Nova Demanda"/>
    <n v="0"/>
    <m/>
    <s v="Milton Pereira Menezes"/>
    <s v="MODERNIZAÇÃO DO SISTEMA RESFR. MANCAL GERADOR UHE BALBINA"/>
  </r>
  <r>
    <n v="326"/>
    <e v="#REF!"/>
    <s v="Capex Orcamentário_PE2026_2030_COO_Rev1 - Gráficos.xlsx"/>
    <s v="COO"/>
    <s v="Lucas Martins"/>
    <s v="COO326"/>
    <e v="#REF!"/>
    <s v="Corporativo"/>
    <s v="Eletronorte"/>
    <s v="Geração"/>
    <s v="Modernização"/>
    <s v="Modernização"/>
    <s v="NGHI.0141"/>
    <m/>
    <m/>
    <s v="023/87-17"/>
    <s v="MODERNIZACAO DO SISTEMA DRENAGEM TAMPA DA TURBINA UHE BALBINA"/>
    <s v="Modernização"/>
    <s v="Modernização"/>
    <s v="NGHI.0141"/>
    <m/>
    <s v="MODERNIZACAO DO SISTEMA DRENAGEM TAMPA DA TURBINA - UGH 01, 02,03,04,05"/>
    <s v="UHE Balbina"/>
    <n v="0"/>
    <n v="0"/>
    <n v="0"/>
    <n v="0"/>
    <n v="0"/>
    <n v="0"/>
    <n v="0"/>
    <n v="0"/>
    <n v="0"/>
    <n v="0"/>
    <n v="0"/>
    <n v="0"/>
    <n v="0"/>
    <n v="600000"/>
    <n v="400000"/>
    <n v="0"/>
    <n v="0"/>
    <n v="1000000"/>
    <n v="0"/>
    <n v="0"/>
    <n v="0"/>
    <n v="0"/>
    <n v="0"/>
    <n v="1000000"/>
    <s v="#DESPEJAR!"/>
    <s v="OOGBA.N"/>
    <n v="2026"/>
    <s v="ENOR.00078"/>
    <n v="0"/>
    <x v="3"/>
    <s v="Nova Demanda"/>
    <s v="Nova Demanda"/>
    <n v="0"/>
    <m/>
    <s v="Milton Pereira Menezes"/>
    <s v="MODERNIZACAO DO SISTEMA DRENAGEM TAMPA DA TURBINA UHE BALBINA"/>
  </r>
  <r>
    <n v="282"/>
    <e v="#REF!"/>
    <s v="Capex Orcamentário_PE2026_2030_COO_Rev1 - Gráficos.xlsx"/>
    <s v="COO"/>
    <s v="Lucas Martins"/>
    <s v="COO282"/>
    <e v="#REF!"/>
    <s v="Corporativo"/>
    <s v="Eletronorte"/>
    <s v="Geração"/>
    <s v="Modernização"/>
    <s v="Modernização"/>
    <s v="NGHI.0141"/>
    <m/>
    <m/>
    <s v="023/87-17"/>
    <s v="Instalar comando e controle sistema de drenagem e esgotamento da UHE Balbina"/>
    <s v="Modernização"/>
    <s v="Modernização"/>
    <s v="NGHI.0141"/>
    <m/>
    <s v="Instalar comando e controle sistema de drenagem e esgotamento - MOTOBOMBA DE DRENAGEM BDR-001,002,003,004"/>
    <s v="UHE Balbina"/>
    <n v="0"/>
    <n v="0"/>
    <n v="0"/>
    <n v="0"/>
    <n v="0"/>
    <n v="0"/>
    <n v="0"/>
    <n v="0"/>
    <n v="0"/>
    <n v="0"/>
    <n v="0"/>
    <n v="0"/>
    <n v="0"/>
    <n v="800000"/>
    <n v="0"/>
    <n v="0"/>
    <n v="0"/>
    <n v="800000"/>
    <n v="0"/>
    <n v="0"/>
    <n v="0"/>
    <n v="0"/>
    <n v="0"/>
    <n v="800000"/>
    <s v="#DESPEJAR!"/>
    <s v="OOPM.N"/>
    <n v="2025"/>
    <s v="ENOR.00029.003"/>
    <s v="COO0562"/>
    <x v="3"/>
    <s v="(PE) Não Requisitado e com ID Financeira"/>
    <s v="Nova Demanda"/>
    <n v="0"/>
    <m/>
    <s v="Klenio Dias Timoteo"/>
    <s v="Instalar comando e controle sistema de drenagem e esgotamento da UHE Balbina"/>
  </r>
  <r>
    <n v="281"/>
    <e v="#REF!"/>
    <s v="Capex Orcamentário_PE2026_2030_COO_Rev1 - Gráficos.xlsx"/>
    <s v="COO"/>
    <s v="Lucas Martins"/>
    <s v="COO281"/>
    <e v="#REF!"/>
    <s v="Corporativo"/>
    <s v="Eletronorte"/>
    <s v="Geração"/>
    <s v="Modernização"/>
    <s v="Modernização"/>
    <s v="NGHI.0141"/>
    <m/>
    <m/>
    <s v="023/87-17"/>
    <s v="Implatação de rede aérea de alimentação na UHE Balbina"/>
    <s v="Modernização"/>
    <s v="Modernização"/>
    <s v="NGHI.0141"/>
    <m/>
    <s v="Implantação do circuito de alimentação de energia da Sala de Contigência da UHE Balbina"/>
    <s v="UHE Balbina"/>
    <n v="0"/>
    <n v="0"/>
    <n v="0"/>
    <n v="0"/>
    <n v="0"/>
    <n v="0"/>
    <n v="0"/>
    <n v="0"/>
    <n v="0"/>
    <n v="0"/>
    <n v="0"/>
    <n v="0"/>
    <n v="0"/>
    <n v="600000"/>
    <n v="0"/>
    <n v="0"/>
    <n v="0"/>
    <n v="600000"/>
    <n v="0"/>
    <n v="0"/>
    <n v="0"/>
    <n v="0"/>
    <n v="0"/>
    <n v="600000"/>
    <s v="#DESPEJAR!"/>
    <s v="OOPM.N"/>
    <n v="2025"/>
    <s v="ENOR.00028.001"/>
    <s v="COO0574"/>
    <x v="3"/>
    <s v="(PE) Não Requisitado e com ID Financeira"/>
    <s v="Em Contratação"/>
    <n v="0"/>
    <m/>
    <s v="Klenio Dias Timoteo"/>
    <s v="Implatação de rede aérea de alimentação na UHE Balbina"/>
  </r>
  <r>
    <n v="327"/>
    <e v="#REF!"/>
    <s v="Capex Orcamentário_PE2026_2030_COO_Rev1 - Gráficos.xlsx"/>
    <s v="COO"/>
    <s v="Lucas Martins"/>
    <s v="COO327"/>
    <e v="#REF!"/>
    <s v="Corporativo"/>
    <s v="Eletronorte"/>
    <s v="Geração"/>
    <s v="Modernização"/>
    <s v="Modernização"/>
    <s v="NGHI.0141"/>
    <m/>
    <m/>
    <s v="023/87-17"/>
    <s v="MODERNIZACAO SISTEMA DE CLORO BARRILHA UHE BALBINA"/>
    <s v="Modernização"/>
    <s v="Modernização"/>
    <s v="NGHI.0141"/>
    <m/>
    <s v="MODERNIZACAO SISTEMA DE CLORO BARRILHA A UHE BALBINA"/>
    <s v="UHE Balbina"/>
    <n v="0"/>
    <n v="0"/>
    <n v="0"/>
    <n v="0"/>
    <n v="0"/>
    <n v="0"/>
    <n v="0"/>
    <n v="0"/>
    <n v="0"/>
    <n v="0"/>
    <n v="0"/>
    <n v="0"/>
    <n v="0"/>
    <n v="250000"/>
    <n v="250000"/>
    <n v="0"/>
    <n v="0"/>
    <n v="500000"/>
    <n v="0"/>
    <n v="0"/>
    <n v="0"/>
    <n v="0"/>
    <n v="0"/>
    <n v="500000"/>
    <s v="#DESPEJAR!"/>
    <s v="AGMGNO"/>
    <n v="2026"/>
    <s v="ENOR.00079.001"/>
    <n v="0"/>
    <x v="3"/>
    <s v="Nova Demanda"/>
    <s v="Nova Demanda"/>
    <n v="0"/>
    <m/>
    <s v="Frederico Rodolfo Parente Doerner"/>
    <s v="MODERNIZACAO SISTEMA DE CLORO BARRILHA UHE BALBINA"/>
  </r>
  <r>
    <n v="329"/>
    <e v="#REF!"/>
    <s v="Capex Orcamentário_PE2026_2030_COO_Rev1 - Gráficos.xlsx"/>
    <s v="COO"/>
    <s v="Lucas Martins"/>
    <s v="COO329"/>
    <e v="#REF!"/>
    <s v="Corporativo"/>
    <s v="Eletronorte"/>
    <s v="Geração"/>
    <s v="Modernização"/>
    <s v="Modernização"/>
    <s v="NGHI.0141"/>
    <m/>
    <m/>
    <s v="023/87-17"/>
    <s v="Modernização Comportas Vertedouro UHE BALBINA"/>
    <s v="Modernização"/>
    <s v="Modernização"/>
    <s v="NGHI.0141"/>
    <m/>
    <s v="Modernização Comportas Vertedouro 01 , 02, 03, 04 UHE BALBINA"/>
    <s v="UHE Balbina"/>
    <n v="0"/>
    <n v="0"/>
    <n v="0"/>
    <n v="0"/>
    <n v="0"/>
    <n v="0"/>
    <n v="0"/>
    <n v="0"/>
    <n v="0"/>
    <n v="0"/>
    <n v="0"/>
    <n v="0"/>
    <n v="0"/>
    <n v="250000"/>
    <n v="250000"/>
    <n v="0"/>
    <n v="0"/>
    <n v="500000"/>
    <n v="0"/>
    <n v="0"/>
    <n v="0"/>
    <n v="0"/>
    <n v="0"/>
    <n v="500000"/>
    <s v="#DESPEJAR!"/>
    <s v="AGMGNO"/>
    <n v="2026"/>
    <s v="ENOR.00081.001"/>
    <n v="0"/>
    <x v="3"/>
    <s v="Nova Demanda"/>
    <s v="Nova Demanda"/>
    <n v="0"/>
    <m/>
    <s v="Frederico Rodolfo Parente Doerner"/>
    <s v="Modernização Comportas Vertedouro UHE BALBINA"/>
  </r>
  <r>
    <n v="330"/>
    <e v="#REF!"/>
    <s v="Capex Orcamentário_PE2026_2030_COO_Rev1 - Gráficos.xlsx"/>
    <s v="COO"/>
    <s v="Lucas Martins"/>
    <s v="COO330"/>
    <e v="#REF!"/>
    <s v="Corporativo"/>
    <s v="Eletronorte"/>
    <s v="Geração"/>
    <s v="Modernização"/>
    <s v="Modernização"/>
    <s v="NGHI.0141"/>
    <m/>
    <m/>
    <s v="023/87-17"/>
    <s v="Modernização Comportas Tomada D'agua UHE BALBINA"/>
    <s v="Modernização"/>
    <s v="Modernização"/>
    <s v="NGHI.0141"/>
    <m/>
    <s v="Modernização Comportas Tomada D'agua UHE BALBINA - UHG 01,02,03,04,05"/>
    <s v="UHE Balbina"/>
    <n v="0"/>
    <n v="0"/>
    <n v="0"/>
    <n v="0"/>
    <n v="0"/>
    <n v="0"/>
    <n v="0"/>
    <n v="0"/>
    <n v="0"/>
    <n v="0"/>
    <n v="0"/>
    <n v="0"/>
    <n v="0"/>
    <n v="250000"/>
    <n v="250000"/>
    <n v="0"/>
    <n v="0"/>
    <n v="500000"/>
    <n v="0"/>
    <n v="0"/>
    <n v="0"/>
    <n v="0"/>
    <n v="0"/>
    <n v="500000"/>
    <s v="#DESPEJAR!"/>
    <s v="AGMGNO"/>
    <n v="2026"/>
    <s v="ENOR.00082.005"/>
    <n v="0"/>
    <x v="3"/>
    <s v="Nova Demanda"/>
    <s v="Nova Demanda"/>
    <n v="0"/>
    <m/>
    <s v="Frederico Rodolfo Parente Doerner"/>
    <s v="Modernização Comportas Tomada D'agua UHE BALBINA"/>
  </r>
  <r>
    <n v="331"/>
    <e v="#REF!"/>
    <s v="Capex Orcamentário_PE2026_2030_COO_Rev1 - Gráficos.xlsx"/>
    <s v="COO"/>
    <s v="Lucas Martins"/>
    <s v="COO331"/>
    <e v="#REF!"/>
    <s v="Corporativo"/>
    <s v="Eletronorte"/>
    <s v="Geração"/>
    <s v="Modernização"/>
    <s v="Modernização"/>
    <s v="NGHI.0141"/>
    <m/>
    <m/>
    <s v="023/87-17"/>
    <s v="Modernização Pórtico UHE BALBINA"/>
    <s v="Modernização"/>
    <s v="Modernização"/>
    <s v="NGHI.0141"/>
    <m/>
    <s v="Modernização Pórtico Montante, Jusante 01 e 02 UHE BALBINA"/>
    <s v="UHE Balbina"/>
    <n v="0"/>
    <n v="0"/>
    <n v="0"/>
    <n v="0"/>
    <n v="0"/>
    <n v="0"/>
    <n v="0"/>
    <n v="0"/>
    <n v="0"/>
    <n v="0"/>
    <n v="0"/>
    <n v="0"/>
    <n v="0"/>
    <n v="250000"/>
    <n v="250000"/>
    <n v="0"/>
    <n v="0"/>
    <n v="500000"/>
    <n v="0"/>
    <n v="0"/>
    <n v="0"/>
    <n v="0"/>
    <n v="0"/>
    <n v="500000"/>
    <s v="#DESPEJAR!"/>
    <s v="AGMGNO"/>
    <n v="2026"/>
    <s v="ENOR.00083.002"/>
    <n v="0"/>
    <x v="3"/>
    <s v="Nova Demanda"/>
    <s v="Nova Demanda"/>
    <n v="0"/>
    <m/>
    <s v="Frederico Rodolfo Parente Doerner"/>
    <s v="Modernização Pórtico UHE BALBINA"/>
  </r>
  <r>
    <n v="332"/>
    <e v="#REF!"/>
    <s v="Capex Orcamentário_PE2026_2030_COO_Rev1 - Gráficos.xlsx"/>
    <s v="COO"/>
    <s v="Lucas Martins"/>
    <s v="COO332"/>
    <e v="#REF!"/>
    <s v="Corporativo"/>
    <s v="Eletronorte"/>
    <s v="Geração"/>
    <s v="Modernização"/>
    <s v="Modernização"/>
    <s v="NGHI.0141"/>
    <m/>
    <m/>
    <s v="023/87-17"/>
    <s v="Modernização Ponte Rolante UHE BALBINA"/>
    <s v="Modernização"/>
    <s v="Modernização"/>
    <s v="NGHI.0141"/>
    <m/>
    <s v="Modernização Ponte Rolante 02 UHE BALBINA"/>
    <s v="UHE Balbina"/>
    <n v="0"/>
    <n v="0"/>
    <n v="0"/>
    <n v="0"/>
    <n v="0"/>
    <n v="0"/>
    <n v="0"/>
    <n v="0"/>
    <n v="0"/>
    <n v="0"/>
    <n v="0"/>
    <n v="0"/>
    <n v="0"/>
    <n v="250000"/>
    <n v="250000"/>
    <n v="0"/>
    <n v="0"/>
    <n v="500000"/>
    <n v="0"/>
    <n v="0"/>
    <n v="0"/>
    <n v="0"/>
    <n v="0"/>
    <n v="500000"/>
    <s v="#DESPEJAR!"/>
    <s v="AGMGNO"/>
    <n v="2026"/>
    <s v="ENOR.00084.001"/>
    <n v="0"/>
    <x v="3"/>
    <s v="Nova Demanda"/>
    <s v="Nova Demanda"/>
    <n v="0"/>
    <m/>
    <s v="Frederico Rodolfo Parente Doerner"/>
    <s v="Modernização Ponte Rolante UHE BALBINA"/>
  </r>
  <r>
    <n v="333"/>
    <e v="#REF!"/>
    <s v="Capex Orcamentário_PE2026_2030_COO_Rev1 - Gráficos.xlsx"/>
    <s v="COO"/>
    <s v="Lucas Martins"/>
    <s v="COO333"/>
    <e v="#REF!"/>
    <s v="Corporativo"/>
    <s v="Eletronorte"/>
    <s v="Geração"/>
    <s v="Modernização"/>
    <s v="Modernização"/>
    <s v="NGHI.0141"/>
    <m/>
    <m/>
    <s v="023/87-17"/>
    <s v="Modernização dos Centros de Carga Miscelânea 380 VCA UHE Balbina"/>
    <s v="Modernização"/>
    <s v="Modernização"/>
    <s v="NGHI.0141"/>
    <m/>
    <s v="UG01_MODERNIZAÇÃO CGCU1,2,3,4,5, CGCA1,2,CCE001,002, CCG EMERCENCIA, CGCV"/>
    <s v="UHE Balbina"/>
    <n v="0"/>
    <n v="0"/>
    <n v="0"/>
    <n v="0"/>
    <n v="0"/>
    <n v="0"/>
    <n v="0"/>
    <n v="0"/>
    <n v="0"/>
    <n v="0"/>
    <n v="0"/>
    <n v="0"/>
    <n v="0"/>
    <n v="250000"/>
    <n v="250000"/>
    <n v="0"/>
    <n v="0"/>
    <n v="500000"/>
    <n v="0"/>
    <n v="0"/>
    <n v="0"/>
    <n v="0"/>
    <n v="0"/>
    <n v="500000"/>
    <s v="#DESPEJAR!"/>
    <s v="AGMGNO"/>
    <n v="2026"/>
    <s v="ENOR.00085.005"/>
    <n v="0"/>
    <x v="3"/>
    <s v="Nova Demanda"/>
    <s v="Nova Demanda"/>
    <n v="0"/>
    <m/>
    <s v="Frederico Rodolfo Parente Doerner"/>
    <s v="Modernização dos Centros de Carga Miscelânea 380 VCA UHE Balbina"/>
  </r>
  <r>
    <n v="334"/>
    <e v="#REF!"/>
    <s v="Capex Orcamentário_PE2026_2030_COO_Rev1 - Gráficos.xlsx"/>
    <s v="COO"/>
    <s v="Lucas Martins"/>
    <s v="COO334"/>
    <e v="#REF!"/>
    <s v="Corporativo"/>
    <s v="Eletronorte"/>
    <s v="Geração"/>
    <s v="Modernização"/>
    <s v="Modernização"/>
    <s v="NGHI.0141"/>
    <m/>
    <m/>
    <s v="023/87-17"/>
    <s v="Modernização do Serviço Auxiliar 13,8 KVCA UHE Balbina"/>
    <s v="Modernização"/>
    <s v="Modernização"/>
    <s v="NGHI.0141"/>
    <m/>
    <s v="AUXTA_MODERNIZAÇÃO CGCTA, SISTEMA DE ALIMENTAÇÃO - BARRA 1-2 DISJUNTOR 2-01/0-02/2-03 DIJUNTOR DE BARRAS "/>
    <s v="UHE Balbina"/>
    <n v="0"/>
    <n v="0"/>
    <n v="0"/>
    <n v="0"/>
    <n v="0"/>
    <n v="0"/>
    <n v="0"/>
    <n v="0"/>
    <n v="0"/>
    <n v="0"/>
    <n v="0"/>
    <n v="0"/>
    <n v="0"/>
    <n v="250000"/>
    <n v="250000"/>
    <n v="0"/>
    <n v="0"/>
    <n v="500000"/>
    <n v="0"/>
    <n v="0"/>
    <n v="0"/>
    <n v="0"/>
    <n v="0"/>
    <n v="500000"/>
    <s v="#DESPEJAR!"/>
    <s v="AGMGNO"/>
    <n v="2026"/>
    <s v="ENOR.00086.001"/>
    <n v="0"/>
    <x v="3"/>
    <s v="Nova Demanda"/>
    <s v="Nova Demanda"/>
    <n v="0"/>
    <m/>
    <s v="Frederico Rodolfo Parente Doerner"/>
    <s v="Modernização do Serviço Auxiliar 13,8 KVCA UHE Balbina"/>
  </r>
  <r>
    <n v="335"/>
    <e v="#REF!"/>
    <s v="Capex Orcamentário_PE2026_2030_COO_Rev1 - Gráficos.xlsx"/>
    <s v="COO"/>
    <s v="Lucas Martins"/>
    <s v="COO335"/>
    <e v="#REF!"/>
    <s v="Corporativo"/>
    <s v="Eletronorte"/>
    <s v="Geração"/>
    <s v="Modernização"/>
    <s v="Modernização"/>
    <s v="NGHI.0141"/>
    <m/>
    <m/>
    <s v="023/87-17"/>
    <s v="Modernização do Serviço Auxiliar 125 VCC UHE Balbina"/>
    <s v="Modernização"/>
    <s v="Modernização"/>
    <s v="NGHI.0141"/>
    <m/>
    <s v="SISTEMA DE ALIMENTAÇÃO 13,8 KV  DISJUNTOR BADJ2-11 / UG01_MODERNIZAÇÃO BACCI-U1/ UG02_MODERNIZAÇÃO BACCI-U2/ UG03_MODERNIZAÇÃO BACCI-U3/ UG04_MODERNIZAÇÃO BACCI-U4/UG05_MODERNIZAÇÃO BACCI-U5"/>
    <s v="UHE Balbina"/>
    <n v="0"/>
    <n v="0"/>
    <n v="0"/>
    <n v="0"/>
    <n v="0"/>
    <n v="0"/>
    <n v="0"/>
    <n v="0"/>
    <n v="0"/>
    <n v="0"/>
    <n v="0"/>
    <n v="0"/>
    <n v="0"/>
    <n v="250000"/>
    <n v="250000"/>
    <n v="0"/>
    <n v="0"/>
    <n v="500000"/>
    <n v="0"/>
    <n v="0"/>
    <n v="0"/>
    <n v="0"/>
    <n v="0"/>
    <n v="500000"/>
    <s v="#DESPEJAR!"/>
    <s v="AGMGNO"/>
    <n v="2026"/>
    <s v="ENOR.00087.001"/>
    <n v="0"/>
    <x v="3"/>
    <s v="Nova Demanda"/>
    <s v="Nova Demanda"/>
    <n v="0"/>
    <m/>
    <s v="Frederico Rodolfo Parente Doerner"/>
    <s v="Modernização do Serviço Auxiliar 125 VCC UHE Balbina"/>
  </r>
  <r>
    <n v="319"/>
    <e v="#REF!"/>
    <s v="Capex Orcamentário_PE2026_2030_COO_Rev1 - Gráficos.xlsx"/>
    <s v="COO"/>
    <s v="Lucas Martins"/>
    <s v="COO319"/>
    <e v="#REF!"/>
    <s v="Corporativo"/>
    <s v="Eletronorte"/>
    <s v="Geração"/>
    <s v="Modernização"/>
    <s v="Modernização"/>
    <s v="NGHI.0141"/>
    <m/>
    <m/>
    <s v="023/87-17"/>
    <s v="Atualização dos Servidores do SPCS"/>
    <s v="Modernização"/>
    <s v="Modernização"/>
    <s v="NGHI.0141"/>
    <m/>
    <s v="Atualização dos Servidores do SPCS"/>
    <s v="UHE Balbina"/>
    <n v="0"/>
    <n v="0"/>
    <n v="0"/>
    <n v="0"/>
    <n v="0"/>
    <n v="0"/>
    <n v="0"/>
    <n v="0"/>
    <n v="0"/>
    <n v="0"/>
    <n v="0"/>
    <n v="0"/>
    <n v="0"/>
    <n v="250000"/>
    <n v="0"/>
    <n v="0"/>
    <n v="0"/>
    <n v="250000"/>
    <n v="0"/>
    <n v="0"/>
    <n v="0"/>
    <n v="0"/>
    <n v="0"/>
    <n v="250000"/>
    <s v="#DESPEJAR!"/>
    <s v="OOPM.N"/>
    <n v="2026"/>
    <s v="ENOR.00069.001"/>
    <n v="0"/>
    <x v="3"/>
    <s v="Nova Demanda"/>
    <s v="Nova Demanda"/>
    <n v="0"/>
    <m/>
    <s v="Klenio Dias Timoteo"/>
    <s v="Atualização dos Servidores do SPCS"/>
  </r>
  <r>
    <n v="328"/>
    <e v="#REF!"/>
    <s v="Capex Orcamentário_PE2026_2030_COO_Rev1 - Gráficos.xlsx"/>
    <s v="COO"/>
    <s v="Lucas Martins"/>
    <s v="COO328"/>
    <e v="#REF!"/>
    <s v="Corporativo"/>
    <s v="Eletronorte"/>
    <s v="Geração"/>
    <s v="Modernização"/>
    <s v="Modernização"/>
    <s v="NGHI.0141"/>
    <m/>
    <m/>
    <s v="023/87-17"/>
    <s v="MODERNIZAÇÃO DOS ANÉIS COLETORES COM INSTALAÇÃO DE SISTEMA DE LIMPEZA AUTOMÁTICA UHE BALBINA"/>
    <s v="Modernização"/>
    <s v="Modernização"/>
    <s v="NGHI.0141"/>
    <m/>
    <s v="MODERNIZAÇÃO DOS ANÉIS COLETORES COM INSTALAÇÃO DE SISTEMA DE LIMPEZA AUTOMÁTICA DA UGH-01,02,03,04,05"/>
    <s v="UHE Balbina"/>
    <n v="0"/>
    <n v="0"/>
    <n v="0"/>
    <n v="0"/>
    <n v="0"/>
    <n v="0"/>
    <n v="0"/>
    <n v="0"/>
    <n v="0"/>
    <n v="0"/>
    <n v="0"/>
    <n v="0"/>
    <n v="0"/>
    <n v="100000"/>
    <n v="0"/>
    <n v="0"/>
    <n v="0"/>
    <n v="100000"/>
    <n v="0"/>
    <n v="0"/>
    <n v="0"/>
    <n v="0"/>
    <n v="0"/>
    <n v="100000"/>
    <s v="#DESPEJAR!"/>
    <s v="AGMGNO"/>
    <n v="2026"/>
    <s v="ENOR.00080.001"/>
    <n v="0"/>
    <x v="3"/>
    <s v="Nova Demanda"/>
    <s v="Nova Demanda"/>
    <n v="0"/>
    <m/>
    <s v="Frederico Rodolfo Parente Doerner"/>
    <s v="MODERNIZAÇÃO DOS ANÉIS COLETORES COM INSTALAÇÃO DE SISTEMA DE LIMPEZA AUTOMÁTICA UHE BALBINA"/>
  </r>
  <r>
    <n v="338"/>
    <e v="#REF!"/>
    <s v="Capex Orcamentário_PE2026_2030_COO_Rev1 - Gráficos.xlsx"/>
    <s v="COO"/>
    <s v="Lucas Martins"/>
    <s v="COO338"/>
    <e v="#REF!"/>
    <s v="Corporativo"/>
    <s v="Eletronorte"/>
    <s v="Geração"/>
    <s v="Modernização"/>
    <s v="Modernização"/>
    <s v="NGHI.0141"/>
    <m/>
    <m/>
    <s v="0484/2016"/>
    <s v="Modernização Ponte rolante da UHCN"/>
    <s v="Modernização"/>
    <s v="Modernização"/>
    <s v="NGHI.0141"/>
    <m/>
    <s v="Modernização_ Ponte rolante CF"/>
    <s v="UHE Coaracy Nunes "/>
    <n v="0"/>
    <n v="0"/>
    <n v="0"/>
    <n v="0"/>
    <n v="0"/>
    <n v="0"/>
    <n v="0"/>
    <n v="0"/>
    <n v="0"/>
    <n v="0"/>
    <n v="0"/>
    <n v="0"/>
    <n v="0"/>
    <n v="0"/>
    <n v="1000000"/>
    <n v="2000000"/>
    <n v="1000000"/>
    <n v="4000000"/>
    <n v="0"/>
    <n v="0"/>
    <n v="0"/>
    <n v="0"/>
    <n v="0"/>
    <n v="4000000"/>
    <s v="#DESPEJAR!"/>
    <s v="AGMGNO"/>
    <n v="2026"/>
    <s v="ENOR.00090.001"/>
    <n v="0"/>
    <x v="3"/>
    <s v="Nova Demanda"/>
    <s v="Nova Demanda"/>
    <n v="0"/>
    <m/>
    <s v="Frederico Rodolfo Parente Doerner"/>
    <s v="Modernização Ponte rolante da UHCN"/>
  </r>
  <r>
    <n v="337"/>
    <e v="#REF!"/>
    <s v="Capex Orcamentário_PE2026_2030_COO_Rev1 - Gráficos.xlsx"/>
    <s v="COO"/>
    <s v="Lucas Martins"/>
    <s v="COO337"/>
    <e v="#REF!"/>
    <s v="Corporativo"/>
    <s v="Eletronorte"/>
    <s v="Geração"/>
    <s v="Modernização"/>
    <s v="Modernização"/>
    <s v="NGHI.0141"/>
    <m/>
    <m/>
    <s v="0484/2016"/>
    <s v="Modernização Sistema de Supervisão da UHCN"/>
    <s v="Modernização"/>
    <s v="Modernização"/>
    <s v="NGHI.0141"/>
    <m/>
    <s v="Modernização Sistema de Supervisão - UCC01 UCC02"/>
    <s v="UHE Coaracy Nunes "/>
    <n v="0"/>
    <n v="0"/>
    <n v="0"/>
    <n v="0"/>
    <n v="0"/>
    <n v="0"/>
    <n v="0"/>
    <n v="0"/>
    <n v="0"/>
    <n v="0"/>
    <n v="0"/>
    <n v="0"/>
    <n v="0"/>
    <n v="250000"/>
    <n v="250000"/>
    <n v="0"/>
    <n v="0"/>
    <n v="500000"/>
    <n v="0"/>
    <n v="0"/>
    <n v="0"/>
    <n v="0"/>
    <n v="0"/>
    <n v="500000"/>
    <s v="#DESPEJAR!"/>
    <s v="OOPM.N"/>
    <n v="2026"/>
    <s v="ENOR.00089.001"/>
    <n v="0"/>
    <x v="3"/>
    <s v="Nova Demanda"/>
    <s v="Nova Demanda"/>
    <n v="0"/>
    <m/>
    <s v="Klenio Dias Timoteo"/>
    <s v="Modernização Sistema de Supervisão da UHCN"/>
  </r>
  <r>
    <n v="293"/>
    <e v="#REF!"/>
    <s v="Capex Orcamentário_PE2026_2030_COO_Rev1 - Gráficos.xlsx"/>
    <s v="COO"/>
    <s v="Lucas Martins"/>
    <s v="COO293"/>
    <e v="#REF!"/>
    <s v="Corporativo"/>
    <s v="Eletronorte"/>
    <s v="Geração"/>
    <s v="Modernização"/>
    <s v="Modernização"/>
    <s v="NGHI.0141"/>
    <m/>
    <m/>
    <s v="13777/2022"/>
    <s v="Modernização das turbinas hidráulicas da UHE Curuá-Una UGH01.02 e 03"/>
    <s v="Modernização"/>
    <s v="Modernização"/>
    <s v="NGHI.0141"/>
    <m/>
    <s v="Substituição de Turbinas para ganho de potencia na Geração"/>
    <s v="UHE Curuá Una"/>
    <n v="0"/>
    <n v="0"/>
    <n v="0"/>
    <n v="0"/>
    <n v="0"/>
    <n v="0"/>
    <n v="0"/>
    <n v="0"/>
    <n v="0"/>
    <n v="0"/>
    <n v="0"/>
    <n v="0"/>
    <n v="0"/>
    <n v="3600000"/>
    <n v="0"/>
    <n v="0"/>
    <n v="0"/>
    <n v="3600000"/>
    <n v="0"/>
    <n v="0"/>
    <n v="0"/>
    <n v="0"/>
    <n v="0"/>
    <n v="3600000"/>
    <s v="#DESPEJAR!"/>
    <s v="AGMGNO"/>
    <n v="2026"/>
    <s v="ENOR.00043"/>
    <n v="0"/>
    <x v="3"/>
    <s v="PE sem cód ID Financeira"/>
    <s v="Nova Demanda"/>
    <n v="0"/>
    <m/>
    <s v="Frederico Rodolfo Parente Doerner"/>
    <s v="Modernização das turbinas hidráulicas da UHE Curuá-Una UGH01.02 e 03"/>
  </r>
  <r>
    <n v="295"/>
    <e v="#REF!"/>
    <s v="Capex Orcamentário_PE2026_2030_COO_Rev1 - Gráficos.xlsx"/>
    <s v="COO"/>
    <s v="Lucas Martins"/>
    <s v="COO295"/>
    <e v="#REF!"/>
    <s v="Corporativo"/>
    <s v="Eletronorte"/>
    <s v="Geração"/>
    <s v="Modernização"/>
    <s v="Modernização"/>
    <s v="NGHI.0141"/>
    <m/>
    <m/>
    <s v="13777/2022"/>
    <s v="Modernização do geradores elétricos da UHE Curuá-Uma-UGH01, 02 e 03"/>
    <s v="Modernização"/>
    <s v="Modernização"/>
    <s v="NGHI.0141"/>
    <m/>
    <s v="Modernização do geradores elétricos da UHE Curuá-Una"/>
    <s v="UHE Curuá Una"/>
    <n v="0"/>
    <n v="0"/>
    <n v="0"/>
    <n v="0"/>
    <n v="0"/>
    <n v="0"/>
    <n v="0"/>
    <n v="0"/>
    <n v="0"/>
    <n v="0"/>
    <n v="0"/>
    <n v="0"/>
    <n v="0"/>
    <n v="1800000"/>
    <n v="0"/>
    <n v="0"/>
    <n v="0"/>
    <n v="1800000"/>
    <n v="0"/>
    <n v="0"/>
    <n v="0"/>
    <n v="0"/>
    <n v="0"/>
    <n v="1800000"/>
    <s v="#DESPEJAR!"/>
    <s v="AGMGNO"/>
    <n v="2026"/>
    <s v="ENOR.00045"/>
    <n v="0"/>
    <x v="3"/>
    <s v="PE sem cód ID Financeira"/>
    <s v="Nova Demanda"/>
    <n v="0"/>
    <m/>
    <s v="Frederico Rodolfo Parente Doerner"/>
    <s v="Modernização do geradores elétricos da UHE Curuá-Uma-UGH01, 02 e 03"/>
  </r>
  <r>
    <n v="297"/>
    <e v="#REF!"/>
    <s v="Capex Orcamentário_PE2026_2030_COO_Rev1 - Gráficos.xlsx"/>
    <s v="COO"/>
    <s v="Lucas Martins"/>
    <s v="COO297"/>
    <e v="#REF!"/>
    <s v="Corporativo"/>
    <s v="Eletronorte"/>
    <s v="Geração"/>
    <s v="Modernização"/>
    <s v="Modernização"/>
    <s v="NGHI.0141"/>
    <m/>
    <m/>
    <s v="13777/2022"/>
    <s v="Modernização da subestação 138kV da UHE."/>
    <s v="Modernização"/>
    <s v="Modernização"/>
    <s v="NGHI.0141"/>
    <n v="4600002717"/>
    <s v="Modernização da subestação 138kV da UHE."/>
    <s v="UHE Curuá Una"/>
    <n v="0"/>
    <n v="0"/>
    <n v="0"/>
    <n v="0"/>
    <n v="0"/>
    <n v="0"/>
    <n v="0"/>
    <n v="577030.00300000003"/>
    <n v="0"/>
    <n v="0"/>
    <n v="0"/>
    <n v="0"/>
    <n v="577030.00300000003"/>
    <n v="900000"/>
    <n v="0"/>
    <n v="0"/>
    <n v="0"/>
    <n v="1477030.003"/>
    <n v="0"/>
    <n v="0"/>
    <n v="0"/>
    <n v="0"/>
    <n v="0"/>
    <n v="1477030.003"/>
    <s v="#DESPEJAR!"/>
    <s v="OOGCU.N"/>
    <n v="2025"/>
    <s v="ENOR.00047.001"/>
    <s v="COO0591"/>
    <x v="0"/>
    <s v="PE sem cód ID Financeira"/>
    <s v="Em Contratação"/>
    <n v="0"/>
    <s v="Ajustado conforme contrato"/>
    <s v="Airton Rego Bentes"/>
    <s v="Modernização da subestação 138kV da UHE."/>
  </r>
  <r>
    <n v="299"/>
    <e v="#REF!"/>
    <s v="Capex Orcamentário_PE2026_2030_COO_Rev1 - Gráficos.xlsx"/>
    <s v="COO"/>
    <s v="Lucas Martins"/>
    <s v="COO299"/>
    <e v="#REF!"/>
    <s v="Corporativo"/>
    <s v="Eletronorte"/>
    <s v="Geração"/>
    <s v="Modernização"/>
    <s v="Modernização"/>
    <s v="NGHI.0143"/>
    <m/>
    <m/>
    <s v="13777/2022"/>
    <s v="Modernização do conjunto de TCs da LT CUTA-LI5-01 da UHE Curuá-Una"/>
    <s v="Modernização"/>
    <s v="Modernização"/>
    <s v="NGHI.0143"/>
    <m/>
    <s v="Substituição do conjunto de TC's da linha de CUTA-LI5-01 no terminal da SE Tapajós"/>
    <s v="UHE Curuá Una"/>
    <n v="0"/>
    <n v="0"/>
    <n v="0"/>
    <n v="0"/>
    <n v="0"/>
    <n v="0"/>
    <n v="0"/>
    <n v="0"/>
    <n v="0"/>
    <n v="0"/>
    <n v="0"/>
    <n v="0"/>
    <n v="0"/>
    <n v="500000"/>
    <n v="0"/>
    <n v="0"/>
    <n v="0"/>
    <n v="500000"/>
    <n v="0"/>
    <n v="0"/>
    <n v="0"/>
    <n v="0"/>
    <n v="0"/>
    <n v="500000"/>
    <s v="#DESPEJAR!"/>
    <s v="OOGCU.N"/>
    <n v="2025"/>
    <s v="ENOR.00049.001"/>
    <s v="COO0744"/>
    <x v="3"/>
    <s v="PE sem cód ID Financeira"/>
    <s v="Em Contratação"/>
    <n v="0"/>
    <m/>
    <s v="Airton Rego Bentes"/>
    <s v="Modernização do conjunto de TCs da LT CUTA-LI5-01 da UHE Curuá-Una"/>
  </r>
  <r>
    <n v="320"/>
    <e v="#REF!"/>
    <s v="Capex Orcamentário_PE2026_2030_COO_Rev1 - Gráficos.xlsx"/>
    <s v="COO"/>
    <s v="Lucas Martins"/>
    <s v="COO320"/>
    <e v="#REF!"/>
    <s v="Corporativo"/>
    <s v="Eletronorte"/>
    <s v="Geração"/>
    <s v="Modernização"/>
    <s v="Modernização"/>
    <s v="NGHI.0141"/>
    <m/>
    <m/>
    <s v="13777/2022"/>
    <s v="Modernização do disjuntor da LT CUTA-LI5-01 da UHE Curuá-Una"/>
    <s v="Modernização"/>
    <s v="Modernização"/>
    <s v="NGHI.0141"/>
    <m/>
    <s v="Substituição do disjuntor da linha de CUTA-LI5-01 no terminal da SE Tapajós"/>
    <s v="UHE Curuá Una"/>
    <n v="0"/>
    <n v="0"/>
    <n v="0"/>
    <n v="0"/>
    <n v="0"/>
    <n v="0"/>
    <n v="0"/>
    <n v="0"/>
    <n v="0"/>
    <n v="0"/>
    <n v="0"/>
    <n v="0"/>
    <n v="0"/>
    <n v="500000"/>
    <n v="0"/>
    <n v="0"/>
    <n v="0"/>
    <n v="500000"/>
    <n v="0"/>
    <n v="0"/>
    <n v="0"/>
    <n v="0"/>
    <n v="0"/>
    <n v="500000"/>
    <s v="#DESPEJAR!"/>
    <s v="OOGCU.N"/>
    <n v="2025"/>
    <s v="ENOR.00072.001"/>
    <s v="COO0745"/>
    <x v="3"/>
    <s v="PE sem cód ID Financeira"/>
    <s v="Em Contratação"/>
    <n v="0"/>
    <m/>
    <s v="Airton Rego Bentes"/>
    <s v="Modernização do disjuntor da LT CUTA-LI5-01 da UHE Curuá-Una"/>
  </r>
  <r>
    <n v="285"/>
    <e v="#REF!"/>
    <s v="Capex Orcamentário_PE2026_2030_COO_Rev1 - Gráficos.xlsx"/>
    <s v="COO"/>
    <s v="Lucas Martins"/>
    <s v="COO285"/>
    <e v="#REF!"/>
    <s v="Corporativo"/>
    <s v="Eletronorte"/>
    <s v="Geração"/>
    <s v="Modernização"/>
    <s v="Modernização"/>
    <s v="NGHI.0141"/>
    <m/>
    <m/>
    <s v="13777/2022"/>
    <s v="Estação de tratamento de agua de serviço para minimizar a contaminação ferro bactéria"/>
    <s v="Modernização"/>
    <s v="Modernização"/>
    <s v="NGHI.0141"/>
    <m/>
    <s v="Implantação de sistema de combate a agentes nocivos aos sistema de resfriamento"/>
    <s v="UHE Curuá Una"/>
    <n v="0"/>
    <n v="0"/>
    <n v="0"/>
    <n v="0"/>
    <n v="0"/>
    <n v="0"/>
    <n v="0"/>
    <n v="0"/>
    <n v="0"/>
    <n v="0"/>
    <n v="0"/>
    <n v="0"/>
    <n v="0"/>
    <n v="250000"/>
    <n v="0"/>
    <n v="0"/>
    <n v="0"/>
    <n v="250000"/>
    <n v="0"/>
    <n v="0"/>
    <n v="0"/>
    <n v="0"/>
    <n v="0"/>
    <n v="250000"/>
    <s v="#DESPEJAR!"/>
    <s v="AGMGNO"/>
    <n v="2026"/>
    <s v="ENOR.00032.001"/>
    <n v="0"/>
    <x v="3"/>
    <s v="Nova Demanda"/>
    <s v="Nova Demanda"/>
    <n v="0"/>
    <m/>
    <s v="Frederico Rodolfo Parente Doerner"/>
    <s v="Estação de tratamento de agua de serviço para minimizar a contaminação ferro bactéria"/>
  </r>
  <r>
    <n v="300"/>
    <e v="#REF!"/>
    <s v="Capex Orcamentário_PE2026_2030_COO_Rev1 - Gráficos.xlsx"/>
    <s v="COO"/>
    <s v="Lucas Martins"/>
    <s v="COO300"/>
    <e v="#REF!"/>
    <s v="Corporativo"/>
    <s v="Eletronorte"/>
    <s v="Geração"/>
    <s v="Modernização"/>
    <s v="Modernização"/>
    <s v="NGHI.0141"/>
    <m/>
    <m/>
    <n v="157189"/>
    <s v="Modernização dos Centros de Carga Miscelânea 380 VCA UHE SAMUEL"/>
    <s v="Modernização"/>
    <s v="Modernização"/>
    <s v="NGHI.0141"/>
    <m/>
    <s v="UG01_MODERNIZAÇÃO CCU1"/>
    <s v="UHE Samuel"/>
    <n v="0"/>
    <n v="0"/>
    <n v="0"/>
    <n v="0"/>
    <n v="0"/>
    <n v="0"/>
    <n v="0"/>
    <n v="0"/>
    <n v="0"/>
    <n v="0"/>
    <n v="0"/>
    <n v="0"/>
    <n v="0"/>
    <n v="250000"/>
    <n v="250000"/>
    <n v="0"/>
    <n v="0"/>
    <n v="500000"/>
    <n v="0"/>
    <n v="0"/>
    <n v="0"/>
    <n v="0"/>
    <n v="0"/>
    <n v="500000"/>
    <s v="#DESPEJAR!"/>
    <s v="OOPM.N"/>
    <n v="2026"/>
    <s v="ENOR.00050.001"/>
    <n v="0"/>
    <x v="3"/>
    <s v="Nova Demanda"/>
    <s v="Nova Demanda"/>
    <n v="0"/>
    <m/>
    <s v="Klenio Dias Timoteo"/>
    <s v="Modernização dos Centros de Carga Miscelânea 380 VCA UHE SAMUEL"/>
  </r>
  <r>
    <n v="301"/>
    <e v="#REF!"/>
    <s v="Capex Orcamentário_PE2026_2030_COO_Rev1 - Gráficos.xlsx"/>
    <s v="COO"/>
    <s v="Lucas Martins"/>
    <s v="COO301"/>
    <e v="#REF!"/>
    <s v="Corporativo"/>
    <s v="Eletronorte"/>
    <s v="Geração"/>
    <s v="Modernização"/>
    <s v="Modernização"/>
    <s v="NGHI.0141"/>
    <m/>
    <m/>
    <n v="157189"/>
    <s v="Modernização do Serviço Auxiliar 13,8 KVCA UHE SAMUEL"/>
    <s v="Modernização"/>
    <s v="Modernização"/>
    <s v="NGHI.0141"/>
    <m/>
    <s v="UG01_MODERNIZAÇÃO CUBÍCULO DO DAG 1"/>
    <s v="UHE Samuel"/>
    <n v="0"/>
    <n v="0"/>
    <n v="0"/>
    <n v="0"/>
    <n v="0"/>
    <n v="0"/>
    <n v="0"/>
    <n v="0"/>
    <n v="0"/>
    <n v="0"/>
    <n v="0"/>
    <n v="0"/>
    <n v="0"/>
    <n v="250000"/>
    <n v="250000"/>
    <n v="0"/>
    <n v="0"/>
    <n v="500000"/>
    <n v="0"/>
    <n v="0"/>
    <n v="0"/>
    <n v="0"/>
    <n v="0"/>
    <n v="500000"/>
    <s v="#DESPEJAR!"/>
    <s v="OOPM.N"/>
    <n v="2026"/>
    <s v="ENOR.00051.001"/>
    <n v="0"/>
    <x v="3"/>
    <s v="Nova Demanda"/>
    <s v="Nova Demanda"/>
    <n v="0"/>
    <m/>
    <s v="Klenio Dias Timoteo"/>
    <s v="Modernização do Serviço Auxiliar 13,8 KVCA UHE SAMUEL"/>
  </r>
  <r>
    <n v="302"/>
    <e v="#REF!"/>
    <s v="Capex Orcamentário_PE2026_2030_COO_Rev1 - Gráficos.xlsx"/>
    <s v="COO"/>
    <s v="Lucas Martins"/>
    <s v="COO302"/>
    <e v="#REF!"/>
    <s v="Corporativo"/>
    <s v="Eletronorte"/>
    <s v="Geração"/>
    <s v="Modernização"/>
    <s v="Modernização"/>
    <s v="NGHI.0141"/>
    <m/>
    <m/>
    <n v="157189"/>
    <s v="Substituição Transformador Regulador 01 13,8 KVCA UHE SAMUEL"/>
    <s v="Modernização"/>
    <s v="Modernização"/>
    <s v="NGHI.0141"/>
    <m/>
    <s v="AUXCF_SUBSTITUIÇÃO SUTR201"/>
    <s v="UHE Samuel"/>
    <n v="0"/>
    <n v="0"/>
    <n v="0"/>
    <n v="0"/>
    <n v="0"/>
    <n v="0"/>
    <n v="0"/>
    <n v="0"/>
    <n v="0"/>
    <n v="0"/>
    <n v="0"/>
    <n v="0"/>
    <n v="0"/>
    <n v="250000"/>
    <n v="250000"/>
    <n v="0"/>
    <n v="0"/>
    <n v="500000"/>
    <n v="0"/>
    <n v="0"/>
    <n v="0"/>
    <n v="0"/>
    <n v="0"/>
    <n v="500000"/>
    <s v="#DESPEJAR!"/>
    <s v="OOPM.N"/>
    <n v="2026"/>
    <s v="ENOR.00052.001"/>
    <n v="0"/>
    <x v="3"/>
    <s v="Nova Demanda"/>
    <s v="Nova Demanda"/>
    <n v="0"/>
    <m/>
    <s v="Klenio Dias Timoteo"/>
    <s v="Substituição Transformador Regulador 01 13,8 KVCA UHE SAMUEL"/>
  </r>
  <r>
    <n v="303"/>
    <e v="#REF!"/>
    <s v="Capex Orcamentário_PE2026_2030_COO_Rev1 - Gráficos.xlsx"/>
    <s v="COO"/>
    <s v="Lucas Martins"/>
    <s v="COO303"/>
    <e v="#REF!"/>
    <s v="Corporativo"/>
    <s v="Eletronorte"/>
    <s v="Geração"/>
    <s v="Modernização"/>
    <s v="Modernização"/>
    <s v="NGHI.0141"/>
    <m/>
    <m/>
    <n v="157189"/>
    <s v="Substituição Transformador Serviço Auxiliar 01 13,8/0,38 KVCA UHE SAMUEL"/>
    <s v="Modernização"/>
    <s v="Modernização"/>
    <s v="NGHI.0141"/>
    <m/>
    <s v="AUXCF_SUBSTITUIÇÃO SUTF201"/>
    <s v="UHE Samuel"/>
    <n v="0"/>
    <n v="0"/>
    <n v="0"/>
    <n v="0"/>
    <n v="0"/>
    <n v="0"/>
    <n v="0"/>
    <n v="0"/>
    <n v="0"/>
    <n v="0"/>
    <n v="0"/>
    <n v="0"/>
    <n v="0"/>
    <n v="250000"/>
    <n v="250000"/>
    <n v="0"/>
    <n v="0"/>
    <n v="500000"/>
    <n v="0"/>
    <n v="0"/>
    <n v="0"/>
    <n v="0"/>
    <n v="0"/>
    <n v="500000"/>
    <s v="#DESPEJAR!"/>
    <s v="OOPM.N"/>
    <n v="2026"/>
    <s v="ENOR.00053.001"/>
    <n v="0"/>
    <x v="3"/>
    <s v="Nova Demanda"/>
    <s v="Nova Demanda"/>
    <n v="0"/>
    <m/>
    <s v="Klenio Dias Timoteo"/>
    <s v="Substituição Transformador Serviço Auxiliar 01 13,8/0,38 KVCA UHE SAMUEL"/>
  </r>
  <r>
    <n v="304"/>
    <e v="#REF!"/>
    <s v="Capex Orcamentário_PE2026_2030_COO_Rev1 - Gráficos.xlsx"/>
    <s v="COO"/>
    <s v="Lucas Martins"/>
    <s v="COO304"/>
    <e v="#REF!"/>
    <s v="Corporativo"/>
    <s v="Eletronorte"/>
    <s v="Geração"/>
    <s v="Modernização"/>
    <s v="Modernização"/>
    <s v="NGHI.0141"/>
    <m/>
    <m/>
    <n v="157189"/>
    <s v="Modernização do Serviço Auxiliar 125 VCC UHE SAMUEL"/>
    <s v="Modernização"/>
    <s v="Modernização"/>
    <s v="NGHI.0141"/>
    <m/>
    <s v="UG01_MODERNIZAÇÃO CCCU1"/>
    <s v="UHE Samuel"/>
    <n v="0"/>
    <n v="0"/>
    <n v="0"/>
    <n v="0"/>
    <n v="0"/>
    <n v="0"/>
    <n v="0"/>
    <n v="0"/>
    <n v="0"/>
    <n v="0"/>
    <n v="0"/>
    <n v="0"/>
    <n v="0"/>
    <n v="250000"/>
    <n v="250000"/>
    <n v="0"/>
    <n v="0"/>
    <n v="500000"/>
    <n v="0"/>
    <n v="0"/>
    <n v="0"/>
    <n v="0"/>
    <n v="0"/>
    <n v="500000"/>
    <s v="#DESPEJAR!"/>
    <s v="OOPM.N"/>
    <n v="2026"/>
    <s v="ENOR.00054.001"/>
    <n v="0"/>
    <x v="3"/>
    <s v="Nova Demanda"/>
    <s v="Nova Demanda"/>
    <n v="0"/>
    <m/>
    <s v="Klenio Dias Timoteo"/>
    <s v="Modernização do Serviço Auxiliar 125 VCC UHE SAMUEL"/>
  </r>
  <r>
    <n v="305"/>
    <e v="#REF!"/>
    <s v="Capex Orcamentário_PE2026_2030_COO_Rev1 - Gráficos.xlsx"/>
    <s v="COO"/>
    <s v="Lucas Martins"/>
    <s v="COO305"/>
    <e v="#REF!"/>
    <s v="Corporativo"/>
    <s v="Eletronorte"/>
    <s v="Geração"/>
    <s v="Modernização"/>
    <s v="Modernização"/>
    <s v="NGHI.0141"/>
    <m/>
    <m/>
    <n v="157189"/>
    <s v="Modernização Comportas de Emergência UHE SAMUEL"/>
    <s v="Modernização"/>
    <s v="Modernização"/>
    <s v="NGHI.0141"/>
    <m/>
    <s v="UG01_MODERNIZAÇÃO COMPORTA DE EMERGÊNCIA"/>
    <s v="UHE Samuel"/>
    <n v="0"/>
    <n v="0"/>
    <n v="0"/>
    <n v="0"/>
    <n v="0"/>
    <n v="0"/>
    <n v="0"/>
    <n v="0"/>
    <n v="0"/>
    <n v="0"/>
    <n v="0"/>
    <n v="0"/>
    <n v="0"/>
    <n v="250000"/>
    <n v="250000"/>
    <n v="0"/>
    <n v="0"/>
    <n v="500000"/>
    <n v="0"/>
    <n v="0"/>
    <n v="0"/>
    <n v="0"/>
    <n v="0"/>
    <n v="500000"/>
    <s v="#DESPEJAR!"/>
    <s v="OOPM.N"/>
    <n v="2026"/>
    <s v="ENOR.00055.001"/>
    <n v="0"/>
    <x v="3"/>
    <s v="Nova Demanda"/>
    <s v="Nova Demanda"/>
    <n v="0"/>
    <m/>
    <s v="Klenio Dias Timoteo"/>
    <s v="Modernização Comportas de Emergência UHE SAMUEL"/>
  </r>
  <r>
    <n v="306"/>
    <e v="#REF!"/>
    <s v="Capex Orcamentário_PE2026_2030_COO_Rev1 - Gráficos.xlsx"/>
    <s v="COO"/>
    <s v="Lucas Martins"/>
    <s v="COO306"/>
    <e v="#REF!"/>
    <s v="Corporativo"/>
    <s v="Eletronorte"/>
    <s v="Geração"/>
    <s v="Modernização"/>
    <s v="Modernização"/>
    <s v="NGHI.0141"/>
    <m/>
    <m/>
    <n v="157189"/>
    <s v="Modernização Comportas Vertedouro UHE SAMUEL"/>
    <s v="Modernização"/>
    <s v="Modernização"/>
    <s v="NGHI.0141"/>
    <m/>
    <s v="AUXVT_MODERNIZAÇÃO COMPORTA VERTEDOURO 01"/>
    <s v="UHE Samuel"/>
    <n v="0"/>
    <n v="0"/>
    <n v="0"/>
    <n v="0"/>
    <n v="0"/>
    <n v="0"/>
    <n v="0"/>
    <n v="0"/>
    <n v="0"/>
    <n v="0"/>
    <n v="0"/>
    <n v="0"/>
    <n v="0"/>
    <n v="250000"/>
    <n v="250000"/>
    <n v="0"/>
    <n v="0"/>
    <n v="500000"/>
    <n v="0"/>
    <n v="0"/>
    <n v="0"/>
    <n v="0"/>
    <n v="0"/>
    <n v="500000"/>
    <s v="#DESPEJAR!"/>
    <s v="OOPM.N"/>
    <n v="2026"/>
    <s v="ENOR.00056.002"/>
    <n v="0"/>
    <x v="3"/>
    <s v="Nova Demanda"/>
    <s v="Nova Demanda"/>
    <n v="0"/>
    <m/>
    <s v="Klenio Dias Timoteo"/>
    <s v="Modernização Comportas Vertedouro UHE SAMUEL"/>
  </r>
  <r>
    <n v="307"/>
    <e v="#REF!"/>
    <s v="Capex Orcamentário_PE2026_2030_COO_Rev1 - Gráficos.xlsx"/>
    <s v="COO"/>
    <s v="Lucas Martins"/>
    <s v="COO307"/>
    <e v="#REF!"/>
    <s v="Corporativo"/>
    <s v="Eletronorte"/>
    <s v="Geração"/>
    <s v="Modernização"/>
    <s v="Modernização"/>
    <s v="NGHI.0141"/>
    <m/>
    <m/>
    <n v="157189"/>
    <s v="Modernização Pórtico UHE SAMUEL"/>
    <s v="Modernização"/>
    <s v="Modernização"/>
    <s v="NGHI.0141"/>
    <m/>
    <s v="AUXCF_MODERNIZAÇÃO PÓRTICO JUSANTE"/>
    <s v="UHE Samuel"/>
    <n v="0"/>
    <n v="0"/>
    <n v="0"/>
    <n v="0"/>
    <n v="0"/>
    <n v="0"/>
    <n v="0"/>
    <n v="0"/>
    <n v="0"/>
    <n v="0"/>
    <n v="0"/>
    <n v="0"/>
    <n v="0"/>
    <n v="250000"/>
    <n v="250000"/>
    <n v="0"/>
    <n v="0"/>
    <n v="500000"/>
    <n v="0"/>
    <n v="0"/>
    <n v="0"/>
    <n v="0"/>
    <n v="0"/>
    <n v="500000"/>
    <s v="#DESPEJAR!"/>
    <s v="OOPM.N"/>
    <n v="2026"/>
    <s v="ENOR.00057.001"/>
    <n v="0"/>
    <x v="3"/>
    <s v="Nova Demanda"/>
    <s v="Nova Demanda"/>
    <n v="0"/>
    <m/>
    <s v="Klenio Dias Timoteo"/>
    <s v="Modernização Pórtico UHE SAMUEL"/>
  </r>
  <r>
    <n v="308"/>
    <e v="#REF!"/>
    <s v="Capex Orcamentário_PE2026_2030_COO_Rev1 - Gráficos.xlsx"/>
    <s v="COO"/>
    <s v="Lucas Martins"/>
    <s v="COO308"/>
    <e v="#REF!"/>
    <s v="Corporativo"/>
    <s v="Eletronorte"/>
    <s v="Geração"/>
    <s v="Modernização"/>
    <s v="Modernização"/>
    <s v="NGHI.0141"/>
    <m/>
    <m/>
    <n v="157189"/>
    <s v="Modernização Pontes Rolantes UHE SAMUEL"/>
    <s v="Modernização"/>
    <s v="Modernização"/>
    <s v="NGHI.0141"/>
    <m/>
    <s v="AUXCF_MODERNIZAÇÃO PONTE ROLANTE Nº1"/>
    <s v="UHE Samuel"/>
    <n v="0"/>
    <n v="0"/>
    <n v="0"/>
    <n v="0"/>
    <n v="0"/>
    <n v="0"/>
    <n v="0"/>
    <n v="0"/>
    <n v="0"/>
    <n v="0"/>
    <n v="0"/>
    <n v="0"/>
    <n v="0"/>
    <n v="250000"/>
    <n v="250000"/>
    <n v="0"/>
    <n v="0"/>
    <n v="500000"/>
    <n v="0"/>
    <n v="0"/>
    <n v="0"/>
    <n v="0"/>
    <n v="0"/>
    <n v="500000"/>
    <s v="#DESPEJAR!"/>
    <s v="OOPM.N"/>
    <n v="2026"/>
    <s v="ENOR.00058.001"/>
    <n v="0"/>
    <x v="3"/>
    <s v="Nova Demanda"/>
    <s v="Nova Demanda"/>
    <n v="0"/>
    <m/>
    <s v="Klenio Dias Timoteo"/>
    <s v="Modernização Pontes Rolantes UHE SAMUEL"/>
  </r>
  <r>
    <n v="309"/>
    <e v="#REF!"/>
    <s v="Capex Orcamentário_PE2026_2030_COO_Rev1 - Gráficos.xlsx"/>
    <s v="COO"/>
    <s v="Lucas Martins"/>
    <s v="COO309"/>
    <e v="#REF!"/>
    <s v="Corporativo"/>
    <s v="Eletronorte"/>
    <s v="Geração"/>
    <s v="Modernização"/>
    <s v="Modernização"/>
    <s v="NGHI.0141"/>
    <m/>
    <m/>
    <n v="157189"/>
    <s v="Modernização Sistema Anti-Incêndio UHE SAMUEL"/>
    <s v="Modernização"/>
    <s v="Modernização"/>
    <s v="NGHI.0141"/>
    <m/>
    <s v="AUXCF_MODERNIZAÇÃO SISTEMA ANTI-INCÊNDIO CO2"/>
    <s v="UHE Samuel"/>
    <n v="0"/>
    <n v="0"/>
    <n v="0"/>
    <n v="0"/>
    <n v="0"/>
    <n v="0"/>
    <n v="0"/>
    <n v="0"/>
    <n v="0"/>
    <n v="0"/>
    <n v="0"/>
    <n v="0"/>
    <n v="0"/>
    <n v="250000"/>
    <n v="250000"/>
    <n v="0"/>
    <n v="0"/>
    <n v="500000"/>
    <n v="0"/>
    <n v="0"/>
    <n v="0"/>
    <n v="0"/>
    <n v="0"/>
    <n v="500000"/>
    <s v="#DESPEJAR!"/>
    <s v="OOPM.N"/>
    <n v="2026"/>
    <s v="ENOR.00059.001"/>
    <n v="0"/>
    <x v="3"/>
    <s v="Nova Demanda"/>
    <s v="Nova Demanda"/>
    <n v="0"/>
    <m/>
    <s v="Klenio Dias Timoteo"/>
    <s v="Modernização Sistema Anti-Incêndio UHE SAMUEL"/>
  </r>
  <r>
    <n v="310"/>
    <e v="#REF!"/>
    <s v="Capex Orcamentário_PE2026_2030_COO_Rev1 - Gráficos.xlsx"/>
    <s v="COO"/>
    <s v="Lucas Martins"/>
    <s v="COO310"/>
    <e v="#REF!"/>
    <s v="Corporativo"/>
    <s v="Eletronorte"/>
    <s v="Geração"/>
    <s v="Modernização"/>
    <s v="Modernização"/>
    <s v="NGHI.0141"/>
    <m/>
    <m/>
    <n v="157189"/>
    <s v="Modernização RDPs UHE Samuel"/>
    <s v="Modernização"/>
    <s v="Modernização"/>
    <s v="NGHI.0141"/>
    <m/>
    <s v="MODERNIZAÇÃO RDP UG1"/>
    <s v="UHE Samuel"/>
    <n v="0"/>
    <n v="0"/>
    <n v="0"/>
    <n v="0"/>
    <n v="0"/>
    <n v="0"/>
    <n v="0"/>
    <n v="0"/>
    <n v="0"/>
    <n v="0"/>
    <n v="0"/>
    <n v="0"/>
    <n v="0"/>
    <n v="250000"/>
    <n v="250000"/>
    <n v="0"/>
    <n v="0"/>
    <n v="500000"/>
    <n v="0"/>
    <n v="0"/>
    <n v="0"/>
    <n v="0"/>
    <n v="0"/>
    <n v="500000"/>
    <s v="#DESPEJAR!"/>
    <s v="OOPM.N"/>
    <n v="2025"/>
    <s v="ENOR.00060.001"/>
    <s v="COO0563"/>
    <x v="3"/>
    <s v="Nova Demanda"/>
    <s v="Em Contratação"/>
    <n v="0"/>
    <m/>
    <s v="Klenio Dias Timoteo"/>
    <s v="Modernização RDPs UHE Samuel"/>
  </r>
  <r>
    <n v="311"/>
    <e v="#REF!"/>
    <s v="Capex Orcamentário_PE2026_2030_COO_Rev1 - Gráficos.xlsx"/>
    <s v="COO"/>
    <s v="Lucas Martins"/>
    <s v="COO311"/>
    <e v="#REF!"/>
    <s v="Corporativo"/>
    <s v="Eletronorte"/>
    <s v="Geração"/>
    <s v="Modernização"/>
    <s v="Modernização"/>
    <s v="NGHI.0141"/>
    <m/>
    <m/>
    <n v="157189"/>
    <s v="Revitalização de Painéis Elétricos"/>
    <s v="Modernização"/>
    <s v="Modernização"/>
    <s v="NGHI.0141"/>
    <m/>
    <s v="UG1_FRENAGEM E LEVANTAMENTO"/>
    <s v="UHE Samuel"/>
    <n v="0"/>
    <n v="0"/>
    <n v="0"/>
    <n v="0"/>
    <n v="0"/>
    <n v="0"/>
    <n v="0"/>
    <n v="0"/>
    <n v="0"/>
    <n v="0"/>
    <n v="0"/>
    <n v="0"/>
    <n v="0"/>
    <n v="250000"/>
    <n v="250000"/>
    <n v="0"/>
    <n v="0"/>
    <n v="500000"/>
    <n v="0"/>
    <n v="0"/>
    <n v="0"/>
    <n v="0"/>
    <n v="0"/>
    <n v="500000"/>
    <s v="#DESPEJAR!"/>
    <s v="OOPM.N"/>
    <n v="2026"/>
    <s v="ENOR.00061.001"/>
    <n v="0"/>
    <x v="3"/>
    <s v="Nova Demanda"/>
    <s v="Nova Demanda"/>
    <n v="0"/>
    <m/>
    <s v="Klenio Dias Timoteo"/>
    <s v="Revitalização de Painéis Elétricos"/>
  </r>
  <r>
    <n v="312"/>
    <e v="#REF!"/>
    <s v="Capex Orcamentário_PE2026_2030_COO_Rev1 - Gráficos.xlsx"/>
    <s v="COO"/>
    <s v="Lucas Martins"/>
    <s v="COO312"/>
    <e v="#REF!"/>
    <s v="Corporativo"/>
    <s v="Eletronorte"/>
    <s v="Geração"/>
    <s v="Modernização"/>
    <s v="Modernização"/>
    <s v="NGHI.0141"/>
    <m/>
    <m/>
    <n v="157189"/>
    <s v="Integração de Sistemas ao Supervisório"/>
    <s v="Modernização"/>
    <s v="Modernização"/>
    <s v="NGHI.0141"/>
    <m/>
    <s v="Integração do Sistema de Drenagem da Casa de Força"/>
    <s v="UHE Samuel"/>
    <n v="0"/>
    <n v="0"/>
    <n v="0"/>
    <n v="0"/>
    <n v="0"/>
    <n v="0"/>
    <n v="0"/>
    <n v="0"/>
    <n v="0"/>
    <n v="0"/>
    <n v="0"/>
    <n v="0"/>
    <n v="0"/>
    <n v="250000"/>
    <n v="250000"/>
    <n v="0"/>
    <n v="0"/>
    <n v="500000"/>
    <n v="0"/>
    <n v="0"/>
    <n v="0"/>
    <n v="0"/>
    <n v="0"/>
    <n v="500000"/>
    <s v="#DESPEJAR!"/>
    <s v="OOPM.N"/>
    <n v="2026"/>
    <s v="ENOR.00062.004"/>
    <n v="0"/>
    <x v="3"/>
    <s v="Nova Demanda"/>
    <s v="Nova Demanda"/>
    <n v="0"/>
    <m/>
    <s v="Klenio Dias Timoteo"/>
    <s v="Integração de Sistemas ao Supervisório"/>
  </r>
  <r>
    <n v="364"/>
    <e v="#REF!"/>
    <s v="Capex Orcamentário_PE2026_2030_COO_Rev1 - Gráficos.xlsx"/>
    <s v="COO"/>
    <s v="Lucas Martins"/>
    <s v="COO364"/>
    <e v="#REF!"/>
    <s v="Corporativo"/>
    <s v="Eletronorte"/>
    <s v="Geração"/>
    <s v="Modernização"/>
    <s v="Modernização"/>
    <s v="NGHI.0143"/>
    <m/>
    <m/>
    <s v="13592/2022"/>
    <s v="Aquisição de peças sobressalentes do mecanismo distribuidor das UGHs da CF2"/>
    <s v="Modernização"/>
    <s v="Modernização"/>
    <s v="NGHI.0143"/>
    <m/>
    <s v="Necessidade de peças sobressalentes para uso na manutenção do distribuidor."/>
    <s v="UHE Tucuruí"/>
    <n v="0"/>
    <n v="0"/>
    <n v="0"/>
    <n v="0"/>
    <n v="0"/>
    <n v="0"/>
    <n v="0"/>
    <n v="0"/>
    <n v="0"/>
    <n v="0"/>
    <n v="0"/>
    <n v="0"/>
    <n v="0"/>
    <n v="3000000"/>
    <n v="2500000"/>
    <n v="0"/>
    <n v="0"/>
    <n v="5500000"/>
    <n v="0"/>
    <n v="0"/>
    <n v="0"/>
    <n v="0"/>
    <n v="0"/>
    <n v="5500000"/>
    <s v="#DESPEJAR!"/>
    <s v="OOGTM.N"/>
    <n v="2025"/>
    <s v="ENOR.00127.001"/>
    <s v="COO0747"/>
    <x v="3"/>
    <s v="(PE) Não Requisitado e com ID Financeira"/>
    <s v="Nova Demanda"/>
    <n v="0"/>
    <m/>
    <s v="Gilton Carlos De Andrade Furtado"/>
    <s v="Aquisição de peças sobressalentes do mecanismo distribuidor das UGHs da CF2"/>
  </r>
  <r>
    <n v="349"/>
    <e v="#REF!"/>
    <s v="Capex Orcamentário_PE2026_2030_COO_Rev1 - Gráficos.xlsx"/>
    <s v="COO"/>
    <s v="Lucas Martins"/>
    <s v="COO349"/>
    <e v="#REF!"/>
    <s v="Corporativo"/>
    <s v="Eletronorte"/>
    <s v="Geração"/>
    <s v="Modernização"/>
    <s v="Modernização"/>
    <s v="NGHI.0141"/>
    <m/>
    <m/>
    <s v="13592/2022"/>
    <s v="Modernização do sistema de resfriamento em circuito fechado dos equipamentos da UHE Tucuruí"/>
    <s v="Modernização"/>
    <s v="Modernização"/>
    <s v="NGHI.0141"/>
    <m/>
    <s v="Instalação de sistema de resfriamento em cirtuito fechado para o transformador, Regulador de tensão e Velocidade."/>
    <s v="UHE Tucuruí"/>
    <n v="0"/>
    <n v="0"/>
    <n v="0"/>
    <n v="0"/>
    <n v="0"/>
    <n v="0"/>
    <n v="0"/>
    <n v="0"/>
    <n v="0"/>
    <n v="0"/>
    <n v="0"/>
    <n v="0"/>
    <n v="0"/>
    <n v="1000000"/>
    <n v="3000000"/>
    <n v="0"/>
    <n v="0"/>
    <n v="4000000"/>
    <n v="0"/>
    <n v="0"/>
    <n v="0"/>
    <n v="0"/>
    <n v="0"/>
    <n v="4000000"/>
    <s v="#DESPEJAR!"/>
    <s v="AGMGNO"/>
    <n v="2026"/>
    <s v="ENOR.00106.001"/>
    <n v="0"/>
    <x v="3"/>
    <s v="Nova Demanda"/>
    <s v="Nova Demanda"/>
    <n v="0"/>
    <s v="RD 2027 a 2028"/>
    <s v="Frederico Rodolfo Parente Doerner"/>
    <s v="Modernização do sistema de resfriamento em circuito fechado dos equipamentos da UHE Tucuruí"/>
  </r>
  <r>
    <n v="317"/>
    <e v="#REF!"/>
    <s v="Capex Orcamentário_PE2026_2030_COO_Rev1 - Gráficos.xlsx"/>
    <s v="COO"/>
    <s v="Lucas Martins"/>
    <s v="COO317"/>
    <e v="#REF!"/>
    <s v="Corporativo"/>
    <s v="Eletronorte"/>
    <s v="Geração"/>
    <s v="Modernização"/>
    <s v="Modernização"/>
    <s v="NGHI.0141"/>
    <m/>
    <m/>
    <s v="13592/2022"/>
    <s v="RevitalizaçãoSistema de Água Tratada"/>
    <s v="Modernização"/>
    <s v="Modernização"/>
    <s v="NGHI.0141"/>
    <m/>
    <s v="Revitalização ETA"/>
    <s v="UHE Tucuruí"/>
    <n v="0"/>
    <n v="0"/>
    <n v="0"/>
    <n v="0"/>
    <n v="0"/>
    <n v="0"/>
    <n v="0"/>
    <n v="0"/>
    <n v="0"/>
    <n v="0"/>
    <n v="0"/>
    <n v="0"/>
    <n v="0"/>
    <n v="1000000"/>
    <n v="0"/>
    <n v="0"/>
    <n v="0"/>
    <n v="1000000"/>
    <n v="0"/>
    <n v="0"/>
    <n v="0"/>
    <n v="0"/>
    <n v="0"/>
    <n v="1000000"/>
    <s v="#DESPEJAR!"/>
    <s v="AGMGNO"/>
    <n v="2026"/>
    <s v="ENOR.00067.001"/>
    <n v="0"/>
    <x v="3"/>
    <s v="Nova Demanda"/>
    <s v="Nova Demanda"/>
    <n v="0"/>
    <m/>
    <s v="Frederico Rodolfo Parente Doerner"/>
    <s v="RevitalizaçãoSistema de Água Tratada"/>
  </r>
  <r>
    <n v="318"/>
    <e v="#REF!"/>
    <s v="Capex Orcamentário_PE2026_2030_COO_Rev1 - Gráficos.xlsx"/>
    <s v="COO"/>
    <s v="Lucas Martins"/>
    <s v="COO318"/>
    <e v="#REF!"/>
    <s v="Corporativo"/>
    <s v="Eletronorte"/>
    <s v="Geração"/>
    <s v="Modernização"/>
    <s v="Modernização"/>
    <s v="NGHI.0141"/>
    <m/>
    <m/>
    <s v="13592/2022"/>
    <s v="Revitalização ETE"/>
    <s v="Modernização"/>
    <s v="Modernização"/>
    <s v="NGHI.0141"/>
    <m/>
    <s v="Revitalização ETE"/>
    <s v="UHE Tucuruí"/>
    <n v="0"/>
    <n v="0"/>
    <n v="0"/>
    <n v="0"/>
    <n v="0"/>
    <n v="0"/>
    <n v="0"/>
    <n v="0"/>
    <n v="0"/>
    <n v="0"/>
    <n v="0"/>
    <n v="0"/>
    <n v="0"/>
    <n v="1000000"/>
    <n v="0"/>
    <n v="0"/>
    <n v="0"/>
    <n v="1000000"/>
    <n v="0"/>
    <n v="0"/>
    <n v="0"/>
    <n v="0"/>
    <n v="0"/>
    <n v="1000000"/>
    <s v="#DESPEJAR!"/>
    <s v="AGMGNO"/>
    <n v="2026"/>
    <s v="ENOR.00068.001"/>
    <n v="0"/>
    <x v="3"/>
    <s v="Nova Demanda"/>
    <s v="Nova Demanda"/>
    <n v="0"/>
    <m/>
    <s v="Frederico Rodolfo Parente Doerner"/>
    <s v="Revitalização ETE"/>
  </r>
</pivotCacheRecords>
</file>

<file path=xl/pivotCache/richPivot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
  <r>
    <n v="378"/>
    <e v="#REF!"/>
    <s v="Capex Orcamentário_PE2026_2030_COO_Rev1 - Gráficos.xlsx"/>
    <x v="0"/>
    <s v="Lucas Martins"/>
    <s v="COO378"/>
    <e v="#REF!"/>
    <s v="Corporativo"/>
    <x v="0"/>
    <s v="Geração"/>
    <x v="0"/>
    <x v="0"/>
    <s v="NGHI.0066"/>
    <m/>
    <m/>
    <s v="13592/2022"/>
    <s v="Modernização SPCS+ UHE Tucuruí"/>
    <s v="Modernização"/>
    <s v="Modernização"/>
    <x v="0"/>
    <s v="4500080379/4500083678/4600002316"/>
    <s v="Modernização SPCS, TR, RV, Servomotores, Distribuidor, Instrumentação e Auxiliareas CC e CA da UHE Tucuruí"/>
    <x v="0"/>
    <n v="11888566.659999998"/>
    <n v="20886113.57"/>
    <n v="6922894.6099999994"/>
    <n v="1909305.8399999999"/>
    <n v="35832721.410000004"/>
    <n v="15091386.969999999"/>
    <n v="16898137.739999998"/>
    <n v="22249745.649999995"/>
    <n v="993648.17"/>
    <n v="11791477.140000002"/>
    <n v="2500000"/>
    <n v="2500000"/>
    <n v="149463997.75999999"/>
    <n v="186404977.93658334"/>
    <n v="138328625.18250006"/>
    <n v="69976375.790000007"/>
    <n v="500000"/>
    <n v="544673976.66908336"/>
    <n v="0"/>
    <n v="0"/>
    <n v="0"/>
    <n v="0"/>
    <n v="0"/>
    <n v="544673976.66908336"/>
    <s v="#DESPEJAR!"/>
    <s v="OOPE.N"/>
    <n v="2024"/>
    <s v="ENOR.00500.313"/>
    <s v="COO0613"/>
    <s v="Contratado"/>
    <s v="(PE) Requisitado e Contratado e com ID Financeira"/>
    <x v="0"/>
    <n v="171280364.75447249"/>
    <s v="Curva reduzida em 83%"/>
    <s v="Murilo Mascarenhas Menezes"/>
    <s v="Modernização SPCS+ UHE Tucuruí"/>
  </r>
  <r>
    <n v="373"/>
    <e v="#REF!"/>
    <s v="Capex Orcamentário_PE2026_2030_COO_Rev1 - Gráficos.xlsx"/>
    <x v="0"/>
    <s v="Lucas Martins"/>
    <s v="COO373"/>
    <e v="#REF!"/>
    <s v="Corporativo"/>
    <x v="0"/>
    <s v="Geração"/>
    <x v="0"/>
    <x v="0"/>
    <s v="NGHI.0099"/>
    <m/>
    <m/>
    <s v="13592/2022"/>
    <s v="Substituição Transformador 550kV UHE Tucuruí (5 trafo)"/>
    <s v="Modernização"/>
    <s v="Modernização"/>
    <x v="1"/>
    <s v="4500078421/3400004035"/>
    <s v="Substituição devido superação da corrente de curto circuito"/>
    <x v="0"/>
    <n v="0"/>
    <m/>
    <m/>
    <n v="0"/>
    <n v="0"/>
    <m/>
    <n v="0"/>
    <n v="19838463.617899999"/>
    <m/>
    <m/>
    <m/>
    <n v="10903654.989845"/>
    <n v="30742118.607744999"/>
    <n v="165692110.97322997"/>
    <m/>
    <n v="0"/>
    <n v="0"/>
    <n v="196434229.58097497"/>
    <n v="0"/>
    <n v="0"/>
    <n v="0"/>
    <n v="0"/>
    <n v="0"/>
    <n v="196434229.58097497"/>
    <s v="#DESPEJAR!"/>
    <s v="OORV"/>
    <n v="2024"/>
    <s v="ENOR.00304"/>
    <s v="COO0601"/>
    <s v="Contratado"/>
    <s v="(PE) Requisitado e Contratado e com ID Financeira"/>
    <x v="0"/>
    <n v="71760000"/>
    <s v="Ajustado conforme contrato"/>
    <s v="Fernanda Baracho Dourado Madureira"/>
    <s v="Substituição Transformador 550kV UHE Tucuruí (5 trafo)"/>
  </r>
  <r>
    <n v="372"/>
    <e v="#REF!"/>
    <s v="Capex Orcamentário_PE2026_2030_COO_Rev1 - Gráficos.xlsx"/>
    <x v="0"/>
    <s v="Lucas Martins"/>
    <s v="COO372"/>
    <e v="#REF!"/>
    <s v="Corporativo"/>
    <x v="0"/>
    <s v="Geração"/>
    <x v="0"/>
    <x v="0"/>
    <s v="NGHI.0086"/>
    <m/>
    <m/>
    <s v="13592/2022"/>
    <s v="Substituição GIS UHE Tucuruí"/>
    <s v="Modernização"/>
    <s v="Modernização"/>
    <x v="2"/>
    <s v="4500080069/4500083678"/>
    <s v="Substituição devido superação da corrente de curto circuito"/>
    <x v="0"/>
    <n v="173385.48750000002"/>
    <n v="173385.48750000002"/>
    <n v="173385.48750000002"/>
    <n v="9038805.977500001"/>
    <n v="7332139.1541666668"/>
    <n v="173385.48750000002"/>
    <n v="281638.64750000002"/>
    <n v="12423385.487500001"/>
    <n v="676343.04749999999"/>
    <n v="7463578.7541666664"/>
    <n v="173385.48750000002"/>
    <n v="173385.48750000002"/>
    <n v="38256203.993333325"/>
    <n v="10144019.02"/>
    <n v="221463.61"/>
    <n v="0"/>
    <n v="0"/>
    <n v="48621686.62333332"/>
    <n v="0"/>
    <n v="0"/>
    <n v="0"/>
    <n v="0"/>
    <n v="0"/>
    <n v="48621686.62333332"/>
    <s v="#DESPEJAR!"/>
    <s v="OORV"/>
    <n v="2024"/>
    <s v="ENOR.00303"/>
    <s v="COO0596"/>
    <s v="Contratado"/>
    <s v="(PE) Requisitado e Contratado e com ID Financeira"/>
    <x v="0"/>
    <n v="33164957.66"/>
    <s v="Não alterado"/>
    <s v="Daniel Branquinho Ferreira"/>
    <s v="Substituição GIS UHE Tucuruí"/>
  </r>
  <r>
    <n v="379"/>
    <e v="#REF!"/>
    <s v="Capex Orcamentário_PE2026_2030_COO_Rev1 - Gráficos.xlsx"/>
    <x v="0"/>
    <s v="Lucas Martins"/>
    <s v="COO379"/>
    <e v="#REF!"/>
    <s v="Corporativo"/>
    <x v="0"/>
    <s v="Geração"/>
    <x v="0"/>
    <x v="0"/>
    <s v="NGHI.0147"/>
    <m/>
    <m/>
    <n v="157189"/>
    <s v="Modernização RVT UHE Samuel"/>
    <s v="Modernização"/>
    <s v="Modernização"/>
    <x v="3"/>
    <n v="3700008198"/>
    <s v="Substituição dos comandos eletrônicos, de potencia e hidráulico dos reguladores de velocidade e tensão da UHE Samuel"/>
    <x v="1"/>
    <n v="0"/>
    <m/>
    <n v="0"/>
    <n v="0"/>
    <n v="0"/>
    <m/>
    <n v="0"/>
    <n v="0"/>
    <n v="0"/>
    <n v="2000000"/>
    <n v="2000000"/>
    <n v="0"/>
    <n v="4000000"/>
    <n v="23500000"/>
    <n v="0"/>
    <n v="0"/>
    <n v="0"/>
    <n v="27500000"/>
    <n v="0"/>
    <n v="0"/>
    <n v="0"/>
    <n v="0"/>
    <n v="0"/>
    <n v="27500000"/>
    <s v="#DESPEJAR!"/>
    <s v="OOPM.N"/>
    <n v="2025"/>
    <s v="ENOR.00501.011"/>
    <s v="COO0708"/>
    <s v="Em negociação"/>
    <s v="(PE) Requisitado e com ID Financeira"/>
    <x v="1"/>
    <n v="13955159.550000001"/>
    <s v="RD 2026 a 2028"/>
    <s v="Klenio Dias Timoteo"/>
    <s v="Modernização RVT UHE Samuel"/>
  </r>
  <r>
    <n v="265"/>
    <e v="#REF!"/>
    <s v="Capex Orcamentário_PE2026_2030_COO_Rev1 - Gráficos.xlsx"/>
    <x v="0"/>
    <s v="Lucas Martins"/>
    <s v="COO265"/>
    <e v="#REF!"/>
    <s v="Corporativo"/>
    <x v="0"/>
    <s v="Geração"/>
    <x v="0"/>
    <x v="0"/>
    <s v="NGHI.0143"/>
    <m/>
    <m/>
    <s v="13592/2022"/>
    <s v="Substituição das capas isolantes dos geradores da casa de força 2 da UHE Tucuruí"/>
    <s v="Modernização"/>
    <s v="Modernização"/>
    <x v="4"/>
    <n v="3400004379"/>
    <s v="Serviço de alteração das capas isolantes dos geradores da casa de força 2"/>
    <x v="0"/>
    <n v="0"/>
    <n v="0"/>
    <n v="0"/>
    <n v="0"/>
    <n v="0"/>
    <n v="0"/>
    <n v="0"/>
    <n v="0"/>
    <n v="0"/>
    <m/>
    <n v="0"/>
    <m/>
    <n v="0"/>
    <n v="16000000"/>
    <n v="16000000"/>
    <n v="16000000"/>
    <n v="0"/>
    <n v="48000000"/>
    <n v="0"/>
    <n v="0"/>
    <n v="0"/>
    <n v="0"/>
    <n v="0"/>
    <n v="48000000"/>
    <s v="#DESPEJAR!"/>
    <s v="OOGTE.N"/>
    <n v="2025"/>
    <s v="ENOR.00003.001"/>
    <s v="COO0719"/>
    <s v="Em negociação"/>
    <s v="Nova Demanda"/>
    <x v="1"/>
    <n v="12833768.050000001"/>
    <s v="RD 2027 a 2029"/>
    <s v="Albert Ferraz Botelho Da Silva"/>
    <s v="Substituição das capas isolantes dos geradores da casa de força 2 da UHE Tucuruí"/>
  </r>
  <r>
    <n v="380"/>
    <e v="#REF!"/>
    <s v="Capex Orcamentário_PE2026_2030_COO_Rev1 - Gráficos.xlsx"/>
    <x v="0"/>
    <s v="Lucas Martins"/>
    <s v="COO380"/>
    <e v="#REF!"/>
    <s v="Corporativo"/>
    <x v="0"/>
    <s v="Geração"/>
    <x v="0"/>
    <x v="0"/>
    <s v="NGHI.0099"/>
    <m/>
    <m/>
    <s v="13592/2022"/>
    <s v="Modernização de 02 Transformadores elevadores de 69kV (UGHs 24 e 25) da UHE Tucuruí"/>
    <s v="Modernização"/>
    <s v="Modernização"/>
    <x v="1"/>
    <n v="3400004381"/>
    <s v="Aquisição de 2 (dois) transformadores elevadores trifásicos 69/13,8 kV – 28,75 MVA para casa de força I "/>
    <x v="0"/>
    <n v="0"/>
    <n v="0"/>
    <m/>
    <n v="0"/>
    <n v="0"/>
    <n v="1500000"/>
    <n v="0"/>
    <n v="0"/>
    <n v="0"/>
    <n v="3500000"/>
    <m/>
    <n v="0"/>
    <n v="5000000"/>
    <n v="6750000"/>
    <n v="5000000"/>
    <n v="0"/>
    <n v="0"/>
    <n v="16750000"/>
    <n v="0"/>
    <n v="0"/>
    <n v="0"/>
    <n v="0"/>
    <n v="0"/>
    <n v="16750000"/>
    <s v="#DESPEJAR!"/>
    <s v="AGMGNO"/>
    <n v="2025"/>
    <s v="ENOR.00102"/>
    <s v="COO0615"/>
    <s v="Em negociação"/>
    <s v="Nova Demanda"/>
    <x v="1"/>
    <n v="10000000"/>
    <s v="RD 2026 a 2028"/>
    <s v="Frederico Rodolfo Parente Doerner"/>
    <s v="Modernização de 02 Transformadores elevadores de 69kV (UGHs 24 e 25) da UHE Tucuruí"/>
  </r>
  <r>
    <n v="381"/>
    <e v="#REF!"/>
    <s v="Capex Orcamentário_PE2026_2030_COO_Rev1 - Gráficos.xlsx"/>
    <x v="0"/>
    <s v="Lucas Martins"/>
    <s v="COO381"/>
    <e v="#REF!"/>
    <s v="Corporativo"/>
    <x v="0"/>
    <s v="Geração"/>
    <x v="0"/>
    <x v="0"/>
    <s v="NGHI.0154"/>
    <m/>
    <m/>
    <s v="13592/2022"/>
    <s v="Curva CAV - UHE Tucuruí e UHE Samuel"/>
    <s v="Modernização"/>
    <s v="Modernização"/>
    <x v="5"/>
    <n v="4600001891"/>
    <s v="Atualização das curvas Cota x Área x Volume do reservatório"/>
    <x v="0"/>
    <n v="0"/>
    <n v="2125000"/>
    <n v="0"/>
    <n v="2125000"/>
    <n v="0"/>
    <n v="2125000"/>
    <n v="0"/>
    <n v="2125000"/>
    <n v="0"/>
    <n v="0"/>
    <n v="0"/>
    <n v="0"/>
    <n v="8500000"/>
    <n v="0"/>
    <n v="0"/>
    <n v="0"/>
    <n v="0"/>
    <n v="8500000"/>
    <n v="0"/>
    <n v="0"/>
    <n v="0"/>
    <n v="0"/>
    <n v="0"/>
    <n v="8500000"/>
    <s v="#DESPEJAR!"/>
    <s v="OO LAGF"/>
    <n v="2025"/>
    <s v="ENOR.00307"/>
    <s v="COO0685"/>
    <s v="Contratado"/>
    <s v="(PE) Requisitado e com ID Financeira"/>
    <x v="0"/>
    <n v="8000000"/>
    <s v="Ajustado conforme contrato"/>
    <s v="Carlos Henrique Oliveira Da Rocha"/>
    <s v="Curva CAV - UHE Tucuruí e UHE Samuel"/>
  </r>
  <r>
    <n v="353"/>
    <e v="#REF!"/>
    <s v="Capex Orcamentário_PE2026_2030_COO_Rev1 - Gráficos.xlsx"/>
    <x v="0"/>
    <s v="Lucas Martins"/>
    <s v="COO353"/>
    <e v="#REF!"/>
    <s v="Corporativo"/>
    <x v="0"/>
    <s v="Geração"/>
    <x v="0"/>
    <x v="0"/>
    <s v="NGHI.0077"/>
    <m/>
    <m/>
    <s v="13592/2022"/>
    <s v="Modernização do pórtico tomada d'água da UHE Tucuruí"/>
    <s v="Modernização"/>
    <s v="Modernização"/>
    <x v="6"/>
    <n v="4500082946"/>
    <s v="AQUISICAO DE PORTICO PARA TOMADA D'AGUA PARA A CASA DE FORCA"/>
    <x v="0"/>
    <n v="0"/>
    <n v="0"/>
    <n v="0"/>
    <n v="3500000"/>
    <n v="0"/>
    <n v="0"/>
    <n v="0"/>
    <n v="3500000"/>
    <n v="0"/>
    <n v="3000000"/>
    <n v="0"/>
    <n v="0"/>
    <n v="10000000"/>
    <n v="0"/>
    <n v="0"/>
    <n v="0"/>
    <n v="0"/>
    <n v="10000000"/>
    <n v="0"/>
    <n v="0"/>
    <n v="0"/>
    <n v="0"/>
    <n v="0"/>
    <n v="10000000"/>
    <s v="#DESPEJAR!"/>
    <s v="AGMGNO"/>
    <n v="2025"/>
    <s v="ENOR.00111.001"/>
    <s v="COO0599"/>
    <s v="Contratado"/>
    <s v="(PE) Não Requisitado e com ID Financeira"/>
    <x v="2"/>
    <n v="7865000"/>
    <s v="Ajustado conforme contrato"/>
    <s v="Frederico Rodolfo Parente Doerner"/>
    <s v="Modernização do pórtico tomada d'água da UHE Tucuruí"/>
  </r>
  <r>
    <n v="370"/>
    <e v="#REF!"/>
    <s v="Capex Orcamentário_PE2026_2030_COO_Rev1 - Gráficos.xlsx"/>
    <x v="0"/>
    <s v="Lucas Martins"/>
    <s v="COO370"/>
    <e v="#REF!"/>
    <s v="Corporativo"/>
    <x v="0"/>
    <s v="Geração"/>
    <x v="0"/>
    <x v="0"/>
    <s v="NGHI.0141"/>
    <m/>
    <m/>
    <s v="13592/2022"/>
    <s v="Modernização Pórtico UHE Tucuruí"/>
    <s v="Modernização"/>
    <s v="Modernização"/>
    <x v="7"/>
    <n v="3700014880"/>
    <s v="Modernização dos pórticos de Jusante e montante da UHE Tucuruí"/>
    <x v="0"/>
    <n v="0"/>
    <n v="0"/>
    <m/>
    <n v="0"/>
    <n v="0"/>
    <n v="0"/>
    <m/>
    <n v="0"/>
    <n v="0"/>
    <n v="0"/>
    <n v="2000000"/>
    <m/>
    <n v="2000000"/>
    <n v="7400000"/>
    <n v="4000000"/>
    <n v="5000000"/>
    <n v="0"/>
    <n v="18400000"/>
    <n v="0"/>
    <n v="0"/>
    <n v="0"/>
    <n v="0"/>
    <n v="0"/>
    <n v="18400000"/>
    <s v="#DESPEJAR!"/>
    <s v="AGMGNO"/>
    <n v="2025"/>
    <s v="ENOR.00301.001"/>
    <s v="COO0559"/>
    <s v="RC aprovada"/>
    <s v="(PE) Requisitado e com ID Financeira"/>
    <x v="1"/>
    <n v="7000000"/>
    <s v="RD 2026  a 2029"/>
    <s v="Frederico Rodolfo Parente Doerner"/>
    <s v="Modernização Pórtico UHE Tucuruí"/>
  </r>
  <r>
    <n v="365"/>
    <e v="#REF!"/>
    <s v="Capex Orcamentário_PE2026_2030_COO_Rev1 - Gráficos.xlsx"/>
    <x v="0"/>
    <s v="Lucas Martins"/>
    <s v="COO365"/>
    <e v="#REF!"/>
    <s v="Corporativo"/>
    <x v="0"/>
    <s v="Geração"/>
    <x v="0"/>
    <x v="0"/>
    <s v="NGHI.0143"/>
    <m/>
    <m/>
    <s v="023/87-17"/>
    <s v="Aquisição de um Gerador Diesel de Emergência"/>
    <s v="Modernização"/>
    <s v="Modernização"/>
    <x v="4"/>
    <n v="3700011458"/>
    <s v="Implantação de Grupo Gerador cabinado"/>
    <x v="2"/>
    <n v="0"/>
    <n v="0"/>
    <n v="0"/>
    <n v="0"/>
    <n v="0"/>
    <n v="0"/>
    <n v="0"/>
    <n v="0"/>
    <n v="2000000"/>
    <n v="0"/>
    <n v="0"/>
    <n v="2000000"/>
    <n v="4000000"/>
    <n v="2000000"/>
    <n v="0"/>
    <n v="0"/>
    <n v="0"/>
    <n v="6000000"/>
    <n v="0"/>
    <n v="0"/>
    <n v="0"/>
    <n v="0"/>
    <n v="0"/>
    <n v="6000000"/>
    <s v="#DESPEJAR!"/>
    <s v="OOGBA.N"/>
    <n v="2026"/>
    <s v="ENOR.00129.001"/>
    <n v="0"/>
    <s v="Em negociação"/>
    <s v="Nova Demanda"/>
    <x v="1"/>
    <n v="6000000"/>
    <s v="RD 2026 a 2027"/>
    <s v="Milton Pereira Menezes"/>
    <s v="Aquisição de um Gerador Diesel de Emergência"/>
  </r>
  <r>
    <n v="362"/>
    <e v="#REF!"/>
    <s v="Capex Orcamentário_PE2026_2030_COO_Rev1 - Gráficos.xlsx"/>
    <x v="0"/>
    <s v="Lucas Martins"/>
    <s v="COO362"/>
    <e v="#REF!"/>
    <s v="Corporativo"/>
    <x v="0"/>
    <s v="Geração"/>
    <x v="0"/>
    <x v="0"/>
    <s v="NGHI.0143"/>
    <m/>
    <m/>
    <s v="13592/2022"/>
    <s v="Recuperação de cavitação e trincas nas UGHs da CF1 e CF2"/>
    <s v="Modernização"/>
    <s v="Modernização"/>
    <x v="4"/>
    <s v="Contrato criado via CSC"/>
    <s v="Contratação de empresa especializada para manutenção e reforço operacional sistema de turbina recuperação de cavitação/trincas"/>
    <x v="0"/>
    <n v="0"/>
    <n v="0"/>
    <n v="0"/>
    <n v="0"/>
    <n v="0"/>
    <n v="0"/>
    <n v="0"/>
    <n v="0"/>
    <n v="2000000"/>
    <n v="0"/>
    <n v="2000000"/>
    <n v="2000000"/>
    <n v="6000000"/>
    <n v="7000000"/>
    <n v="4000000"/>
    <n v="4000000"/>
    <n v="0"/>
    <n v="21000000"/>
    <n v="0"/>
    <n v="0"/>
    <n v="0"/>
    <n v="0"/>
    <n v="0"/>
    <n v="21000000"/>
    <s v="#DESPEJAR!"/>
    <s v="OOGTM.N"/>
    <n v="2025"/>
    <s v="ENOR.00124"/>
    <s v="COO0685"/>
    <s v="Contratado"/>
    <s v="(PE) Não Requisitado e com ID Financeira"/>
    <x v="0"/>
    <n v="6000000"/>
    <s v="Não alterado"/>
    <s v="Gilton Carlos De Andrade Furtado"/>
    <s v="Recuperação de cavitação e trincas nas UGHs da CF1 e CF2"/>
  </r>
  <r>
    <n v="382"/>
    <e v="#REF!"/>
    <s v="Capex Orcamentário_PE2026_2030_COO_Rev1 - Gráficos.xlsx"/>
    <x v="0"/>
    <s v="Lucas Martins"/>
    <s v="COO382"/>
    <e v="#REF!"/>
    <s v="Corporativo"/>
    <x v="0"/>
    <s v="Geração"/>
    <x v="0"/>
    <x v="0"/>
    <s v="NGHI.0099"/>
    <m/>
    <m/>
    <s v="13592/2022"/>
    <s v="Revitalização de transformador para a  UHE Tucurui"/>
    <s v="Modernização"/>
    <s v="Modernização"/>
    <x v="1"/>
    <s v="4500073938/4500078421"/>
    <s v="Revitalização dos transforamadores atualmente em operação na UHE Tucuruí"/>
    <x v="0"/>
    <n v="0"/>
    <m/>
    <n v="0"/>
    <m/>
    <n v="0"/>
    <n v="1000000"/>
    <n v="0"/>
    <n v="1000000"/>
    <n v="0"/>
    <n v="1000000"/>
    <n v="0"/>
    <n v="0"/>
    <n v="3000000"/>
    <n v="7500000"/>
    <n v="5000000"/>
    <n v="0"/>
    <n v="0"/>
    <n v="15500000"/>
    <n v="0"/>
    <n v="0"/>
    <n v="0"/>
    <n v="0"/>
    <n v="0"/>
    <n v="15500000"/>
    <s v="#DESPEJAR!"/>
    <s v="AGMGNO"/>
    <n v="2025"/>
    <s v="ENOR.00100"/>
    <s v="COO0662"/>
    <s v="Contratado"/>
    <s v="Nova Demanda"/>
    <x v="0"/>
    <n v="5000000"/>
    <s v="Reduzido em 2026"/>
    <s v="Frederico Rodolfo Parente Doerner"/>
    <s v="Revitalização de transformador para a  UHE Tucurui"/>
  </r>
  <r>
    <n v="345"/>
    <e v="#REF!"/>
    <s v="Capex Orcamentário_PE2026_2030_COO_Rev1 - Gráficos.xlsx"/>
    <x v="0"/>
    <s v="Lucas Martins"/>
    <s v="COO345"/>
    <e v="#REF!"/>
    <s v="Corporativo"/>
    <x v="0"/>
    <s v="Geração"/>
    <x v="0"/>
    <x v="0"/>
    <s v="NGHI.0141"/>
    <m/>
    <m/>
    <s v="13592/2022"/>
    <s v="Modernização do sistema de resfriamento da UHE Tucuruí - Projeto Siri"/>
    <s v="Modernização"/>
    <s v="Modernização"/>
    <x v="7"/>
    <n v="4500081780"/>
    <s v="Contratação de empresa especializada para montagem, instalação e comissionamento de sistema de monitoramento da água de resfriamento e gerenciamento inteligente para 4 unidades geradoras da UHE Tucuruí."/>
    <x v="0"/>
    <n v="0"/>
    <n v="0"/>
    <n v="0"/>
    <n v="0"/>
    <n v="2500000"/>
    <n v="0"/>
    <n v="0"/>
    <n v="0"/>
    <n v="0"/>
    <n v="2500000"/>
    <n v="0"/>
    <n v="0"/>
    <n v="5000000"/>
    <n v="2500000"/>
    <n v="0"/>
    <n v="0"/>
    <n v="0"/>
    <n v="7500000"/>
    <n v="0"/>
    <n v="0"/>
    <n v="0"/>
    <n v="0"/>
    <n v="0"/>
    <n v="7500000"/>
    <s v="#DESPEJAR!"/>
    <s v="AGMGNO"/>
    <n v="2025"/>
    <s v="ENOR.00097.001"/>
    <s v="COO0550"/>
    <s v="Contratado"/>
    <s v="Nova Demanda"/>
    <x v="0"/>
    <n v="5000000"/>
    <s v="Não alterado"/>
    <s v="Frederico Rodolfo Parente Doerner"/>
    <s v="Modernização do sistema de resfriamento da UHE Tucuruí - Projeto Siri"/>
  </r>
  <r>
    <n v="342"/>
    <e v="#REF!"/>
    <s v="Capex Orcamentário_PE2026_2030_COO_Rev1 - Gráficos.xlsx"/>
    <x v="0"/>
    <s v="Lucas Martins"/>
    <s v="COO342"/>
    <e v="#REF!"/>
    <s v="Corporativo"/>
    <x v="0"/>
    <s v="Geração"/>
    <x v="0"/>
    <x v="0"/>
    <s v="NGHI.0143"/>
    <m/>
    <m/>
    <s v="0484/2016"/>
    <s v="Revitalização do Vertedouro da UHCN"/>
    <s v="Modernização"/>
    <s v="Modernização"/>
    <x v="4"/>
    <s v="Não emitido"/>
    <s v="COMPORTA VERTEDOURO VT-01,02,03,04,05,06,07,08, 09,10"/>
    <x v="3"/>
    <n v="0"/>
    <n v="0"/>
    <n v="0"/>
    <n v="0"/>
    <n v="0"/>
    <n v="0"/>
    <m/>
    <n v="0"/>
    <m/>
    <n v="0"/>
    <n v="0"/>
    <m/>
    <n v="0"/>
    <n v="7500000"/>
    <n v="7500000"/>
    <n v="0"/>
    <n v="0"/>
    <n v="15000000"/>
    <n v="0"/>
    <n v="0"/>
    <n v="0"/>
    <n v="0"/>
    <n v="0"/>
    <n v="15000000"/>
    <s v="#DESPEJAR!"/>
    <s v="AGMGNO"/>
    <n v="2026"/>
    <s v="ENOR.00094"/>
    <n v="0"/>
    <s v="Não iniciado"/>
    <s v="Nova Demanda"/>
    <x v="3"/>
    <n v="3000000"/>
    <s v="RD 2027-2028"/>
    <s v="Frederico Rodolfo Parente Doerner"/>
    <s v="Revitalização do Vertedouro da UHCN"/>
  </r>
  <r>
    <n v="294"/>
    <e v="#REF!"/>
    <s v="Capex Orcamentário_PE2026_2030_COO_Rev1 - Gráficos.xlsx"/>
    <x v="0"/>
    <s v="Lucas Martins"/>
    <s v="COO294"/>
    <e v="#REF!"/>
    <s v="Corporativo"/>
    <x v="0"/>
    <s v="Geração"/>
    <x v="0"/>
    <x v="0"/>
    <s v="NGHI.0141"/>
    <m/>
    <m/>
    <s v="13777/2022"/>
    <s v="MODERNIZAÇÃO DO RTVX DAS UGHs 01,02 e 03"/>
    <s v="Modernização"/>
    <s v="Modernização"/>
    <x v="7"/>
    <n v="4500083041"/>
    <s v="Modernização dos sistemas de Regulação de Tensão e Velocidade, com automatismos RTVAX POWER"/>
    <x v="4"/>
    <n v="0"/>
    <n v="500000"/>
    <n v="0"/>
    <n v="0"/>
    <n v="0"/>
    <n v="1000000"/>
    <n v="0"/>
    <n v="0"/>
    <n v="0"/>
    <n v="1500000"/>
    <n v="0"/>
    <n v="0"/>
    <n v="3000000"/>
    <n v="0"/>
    <n v="0"/>
    <n v="0"/>
    <n v="0"/>
    <n v="3000000"/>
    <n v="0"/>
    <n v="0"/>
    <n v="0"/>
    <n v="0"/>
    <n v="0"/>
    <n v="3000000"/>
    <s v="#DESPEJAR!"/>
    <s v="OOPM.N"/>
    <n v="2025"/>
    <s v="ENOR.00044"/>
    <s v="COO0589"/>
    <s v="Contratado"/>
    <s v="Requisitado e Contratado mas sem ID Financeira"/>
    <x v="0"/>
    <n v="3997404"/>
    <s v="Reduzido em 2026"/>
    <s v="Klenio Dias Timoteo"/>
    <s v="MODERNIZAÇÃO DO RTVX DAS UGHs 01,02 e 03"/>
  </r>
  <r>
    <n v="296"/>
    <e v="#REF!"/>
    <s v="Capex Orcamentário_PE2026_2030_COO_Rev1 - Gráficos.xlsx"/>
    <x v="0"/>
    <s v="Lucas Martins"/>
    <s v="COO296"/>
    <e v="#REF!"/>
    <s v="Corporativo"/>
    <x v="0"/>
    <s v="Geração"/>
    <x v="0"/>
    <x v="0"/>
    <s v="NGHI.0141"/>
    <m/>
    <m/>
    <s v="13777/2022"/>
    <s v="Substituição de transformador para a UHE Curuá-Una - UGH02 e reserva"/>
    <s v="Modernização"/>
    <s v="Modernização"/>
    <x v="7"/>
    <n v="3400004383"/>
    <s v="Substituição de transformador para a UHE Curuá-Una"/>
    <x v="4"/>
    <n v="0"/>
    <m/>
    <n v="0"/>
    <n v="0"/>
    <n v="0"/>
    <n v="1500000"/>
    <n v="0"/>
    <m/>
    <n v="0"/>
    <n v="1500000"/>
    <n v="0"/>
    <n v="0"/>
    <n v="3000000"/>
    <n v="1500000"/>
    <n v="2000000"/>
    <n v="0"/>
    <n v="0"/>
    <n v="6500000"/>
    <n v="0"/>
    <n v="0"/>
    <n v="0"/>
    <n v="0"/>
    <n v="0"/>
    <n v="6500000"/>
    <s v="#DESPEJAR!"/>
    <s v="AGMGNO"/>
    <n v="2025"/>
    <s v="ENOR.00046"/>
    <s v="COO0554"/>
    <s v="Em negociação"/>
    <s v="PE sem cód ID Financeira"/>
    <x v="1"/>
    <n v="3500000"/>
    <s v="Não alterado"/>
    <s v="Frederico Rodolfo Parente Doerner"/>
    <s v="Substituição de transformador para a UHE Curuá-Una - UGH02 e reserva"/>
  </r>
  <r>
    <n v="286"/>
    <e v="#REF!"/>
    <s v="Capex Orcamentário_PE2026_2030_COO_Rev1 - Gráficos.xlsx"/>
    <x v="0"/>
    <s v="Lucas Martins"/>
    <s v="COO286"/>
    <e v="#REF!"/>
    <s v="Corporativo"/>
    <x v="0"/>
    <s v="Geração"/>
    <x v="0"/>
    <x v="0"/>
    <s v="NGHI.0143"/>
    <m/>
    <m/>
    <s v="13777/2022"/>
    <s v="Instalação de câmeras interna e externa a casa de força"/>
    <s v="Modernização"/>
    <s v="Modernização"/>
    <x v="4"/>
    <s v="Não emitido"/>
    <s v="Implantação de monitoramento on-line "/>
    <x v="4"/>
    <n v="0"/>
    <n v="0"/>
    <n v="0"/>
    <n v="0"/>
    <m/>
    <n v="0"/>
    <n v="0"/>
    <n v="0"/>
    <m/>
    <n v="0"/>
    <n v="0"/>
    <m/>
    <n v="0"/>
    <n v="3000000"/>
    <n v="0"/>
    <n v="0"/>
    <n v="0"/>
    <n v="3000000"/>
    <n v="0"/>
    <n v="0"/>
    <n v="0"/>
    <n v="0"/>
    <n v="0"/>
    <n v="3000000"/>
    <s v="#DESPEJAR!"/>
    <s v="OOGCU.N"/>
    <n v="2026"/>
    <s v="ENOR.00033.001"/>
    <n v="0"/>
    <s v="Não iniciado"/>
    <s v="Nova Demanda"/>
    <x v="3"/>
    <n v="3000000"/>
    <s v="RD 2027"/>
    <s v="Airton Rego Bentes"/>
    <s v="Instalação de câmeras interna e externa a casa de força"/>
  </r>
  <r>
    <n v="287"/>
    <e v="#REF!"/>
    <s v="Capex Orcamentário_PE2026_2030_COO_Rev1 - Gráficos.xlsx"/>
    <x v="0"/>
    <s v="Lucas Martins"/>
    <s v="COO287"/>
    <e v="#REF!"/>
    <s v="Corporativo"/>
    <x v="0"/>
    <s v="Geração"/>
    <x v="0"/>
    <x v="0"/>
    <s v="NGHI.0143"/>
    <m/>
    <m/>
    <s v="13777/2022"/>
    <s v="Substituição de cadeias de isoladores da linha CUTA"/>
    <s v="Modernização"/>
    <s v="Modernização"/>
    <x v="4"/>
    <s v="Não emitido"/>
    <s v="Modernização de isoladores e para-raios da Linha CUTALI5-01"/>
    <x v="4"/>
    <n v="0"/>
    <n v="0"/>
    <n v="0"/>
    <n v="0"/>
    <n v="0"/>
    <m/>
    <n v="0"/>
    <n v="0"/>
    <n v="0"/>
    <m/>
    <n v="0"/>
    <n v="0"/>
    <n v="0"/>
    <n v="3000000"/>
    <n v="0"/>
    <n v="0"/>
    <n v="0"/>
    <n v="3000000"/>
    <n v="0"/>
    <n v="0"/>
    <n v="0"/>
    <n v="0"/>
    <n v="0"/>
    <n v="3000000"/>
    <s v="#DESPEJAR!"/>
    <s v="ATMTLN"/>
    <n v="2026"/>
    <s v="ENOR.00034.001"/>
    <n v="0"/>
    <s v="Não iniciado"/>
    <s v="Nova Demanda"/>
    <x v="3"/>
    <n v="3000000"/>
    <s v="RD 2027"/>
    <s v="Jimmison Levi Monteiro De Oliveira"/>
    <s v="Substituição de cadeias de isoladores da linha CUTA"/>
  </r>
  <r>
    <n v="280"/>
    <e v="#REF!"/>
    <s v="Capex Orcamentário_PE2026_2030_COO_Rev1 - Gráficos.xlsx"/>
    <x v="0"/>
    <s v="Lucas Martins"/>
    <s v="COO280"/>
    <e v="#REF!"/>
    <s v="Corporativo"/>
    <x v="0"/>
    <s v="Geração"/>
    <x v="0"/>
    <x v="0"/>
    <s v="NGHI.0143"/>
    <m/>
    <m/>
    <s v="13592/2022"/>
    <s v="Modernização dos Stop Logs da UHE Tucuruí"/>
    <s v="Modernização"/>
    <s v="Modernização"/>
    <x v="4"/>
    <n v="4500073892"/>
    <s v="Contratação de Serviço de Revitalização dos Stop Logs das Casas de Força 01 e 02 da UHE Tucuruí."/>
    <x v="0"/>
    <m/>
    <m/>
    <n v="745051"/>
    <m/>
    <m/>
    <n v="745051"/>
    <m/>
    <m/>
    <n v="745051"/>
    <m/>
    <n v="745051"/>
    <m/>
    <n v="2980204"/>
    <n v="4000000"/>
    <n v="2000000"/>
    <n v="0"/>
    <n v="0"/>
    <n v="8980204"/>
    <n v="0"/>
    <n v="0"/>
    <n v="0"/>
    <n v="0"/>
    <n v="0"/>
    <n v="8980204"/>
    <s v="#DESPEJAR!"/>
    <s v="OOGTM.N"/>
    <n v="2025"/>
    <s v="ENOR.00027.001"/>
    <s v="COO0628"/>
    <s v="Contratado"/>
    <s v="(PE) Não Requisitado e com ID Financeira"/>
    <x v="3"/>
    <n v="4980204"/>
    <s v="RD 2026 e 2mi para 20278"/>
    <s v="Gilton Carlos De Andrade Furtado"/>
    <s v="Modernização dos Stop Logs da UHE Tucuruí"/>
  </r>
  <r>
    <n v="355"/>
    <e v="#REF!"/>
    <s v="Capex Orcamentário_PE2026_2030_COO_Rev1 - Gráficos.xlsx"/>
    <x v="0"/>
    <s v="Lucas Martins"/>
    <s v="COO355"/>
    <e v="#REF!"/>
    <s v="Corporativo"/>
    <x v="0"/>
    <s v="Geração"/>
    <x v="0"/>
    <x v="0"/>
    <s v="NGHI.0028"/>
    <m/>
    <m/>
    <s v="13592/2022"/>
    <s v="Modernização do sistema de drenagem e esgotamento da UHE Tucuruí"/>
    <s v="Modernização"/>
    <s v="Modernização"/>
    <x v="8"/>
    <n v="4500063694"/>
    <s v="Fornecimento, adequação, instalação e comissionamento de bombasverticais do sistema de drenagem e esgotamento da UHE Tucuruí no âmbitoda Superintendência de Produção da Geração Hidráulica – OGH, comfornecimento de materiais, equipamentos e mão de obra especializada."/>
    <x v="0"/>
    <n v="0"/>
    <n v="0"/>
    <n v="0"/>
    <n v="0"/>
    <n v="0"/>
    <n v="0"/>
    <n v="0"/>
    <n v="0"/>
    <n v="0"/>
    <n v="0"/>
    <n v="0"/>
    <n v="0"/>
    <n v="0"/>
    <n v="0"/>
    <n v="0"/>
    <n v="0"/>
    <n v="0"/>
    <n v="0"/>
    <n v="0"/>
    <n v="0"/>
    <n v="0"/>
    <n v="0"/>
    <n v="0"/>
    <n v="0"/>
    <s v="#DESPEJAR!"/>
    <s v="OOGT.N"/>
    <n v="2025"/>
    <s v="ENOR.00113.001"/>
    <s v="COO0619"/>
    <s v="Contratado"/>
    <s v="(PE) Não Requisitado e com ID Financeira"/>
    <x v="0"/>
    <n v="3000000"/>
    <s v="Contrato zerado"/>
    <s v="Romulo Cesar Pereira"/>
    <s v="Modernização do sistema de drenagem e esgotamento da UHE Tucuruí"/>
  </r>
  <r>
    <n v="761"/>
    <e v="#REF!"/>
    <s v="Capex Orcamentário_PE2026_2030_COO_Rev1 - Gráficos.xlsx"/>
    <x v="0"/>
    <s v="Lucas Martins"/>
    <s v="COO761"/>
    <e v="#REF!"/>
    <s v="Corporativo"/>
    <x v="0"/>
    <s v="Geração"/>
    <x v="0"/>
    <x v="0"/>
    <s v="NGHI.0141"/>
    <m/>
    <m/>
    <m/>
    <s v="Aquisição de transformador elevador 13,8/230 kV, 59 MVA para a UHE Samuel"/>
    <s v="Modernização"/>
    <s v="Modernização"/>
    <x v="7"/>
    <s v="Não emitido"/>
    <m/>
    <x v="1"/>
    <n v="0"/>
    <n v="0"/>
    <n v="0"/>
    <n v="0"/>
    <n v="0"/>
    <n v="0"/>
    <m/>
    <n v="0"/>
    <n v="0"/>
    <n v="0"/>
    <n v="0"/>
    <m/>
    <n v="0"/>
    <n v="6000000"/>
    <n v="6000000"/>
    <n v="0"/>
    <n v="0"/>
    <n v="12000000"/>
    <n v="0"/>
    <n v="0"/>
    <n v="0"/>
    <n v="0"/>
    <n v="0"/>
    <n v="12000000"/>
    <s v="#DESPEJAR!"/>
    <s v="OOGSA.N"/>
    <m/>
    <m/>
    <m/>
    <s v="TR em elaboração"/>
    <m/>
    <x v="3"/>
    <n v="2400000"/>
    <s v="RD 2027 a 2028"/>
    <s v="Robinson Percy Holder"/>
    <s v="Aquisição de transformador elevador 13,8/230 kV, 59 MVA para a UHE Samuel"/>
  </r>
  <r>
    <n v="341"/>
    <e v="#REF!"/>
    <s v="Capex Orcamentário_PE2026_2030_COO_Rev1 - Gráficos.xlsx"/>
    <x v="0"/>
    <s v="Lucas Martins"/>
    <s v="COO341"/>
    <e v="#REF!"/>
    <s v="Corporativo"/>
    <x v="0"/>
    <s v="Geração"/>
    <x v="0"/>
    <x v="0"/>
    <s v="NGHI.0143"/>
    <m/>
    <m/>
    <s v="0484/2016"/>
    <s v="Sobressalentes Estrategicos UHCN"/>
    <s v="Modernização"/>
    <s v="Modernização"/>
    <x v="4"/>
    <s v="Não emitido"/>
    <s v="Sobressalentes Estrategicos _CNUGH-01, 02, 03  Banco de Transformadores CNTF5-01 Pocos de Drenagem "/>
    <x v="3"/>
    <n v="0"/>
    <n v="0"/>
    <n v="0"/>
    <n v="0"/>
    <m/>
    <n v="0"/>
    <n v="0"/>
    <m/>
    <n v="0"/>
    <n v="500000"/>
    <m/>
    <n v="0"/>
    <n v="500000"/>
    <n v="3200000"/>
    <n v="1800000"/>
    <n v="0"/>
    <n v="0"/>
    <n v="5500000"/>
    <n v="0"/>
    <n v="0"/>
    <n v="0"/>
    <n v="0"/>
    <n v="0"/>
    <n v="5500000"/>
    <s v="#DESPEJAR!"/>
    <s v="OOGCN.N"/>
    <n v="2026"/>
    <s v="ENOR.00093.005"/>
    <n v="0"/>
    <s v="Não iniciado"/>
    <s v="Nova Demanda"/>
    <x v="3"/>
    <n v="2300000"/>
    <s v="RD 2025 1,8 2028"/>
    <s v="Naim Damasceno Campos"/>
    <s v="Sobressalentes Estrategicos UHCN"/>
  </r>
  <r>
    <n v="367"/>
    <e v="#REF!"/>
    <s v="Capex Orcamentário_PE2026_2030_COO_Rev1 - Gráficos.xlsx"/>
    <x v="0"/>
    <s v="Lucas Martins"/>
    <s v="COO367"/>
    <e v="#REF!"/>
    <s v="Corporativo"/>
    <x v="0"/>
    <s v="Geração"/>
    <x v="0"/>
    <x v="1"/>
    <s v="NSTC.0040"/>
    <m/>
    <m/>
    <s v="13777/2022"/>
    <s v="SISTEMA DE ALIMENTAÇÃO -48VCC"/>
    <s v="Modernização"/>
    <s v="Telecom"/>
    <x v="9"/>
    <s v="Ver contrato telecon"/>
    <s v="Implantação de Alimentação -48VCC"/>
    <x v="4"/>
    <n v="0"/>
    <n v="0"/>
    <n v="565500"/>
    <n v="0"/>
    <n v="0"/>
    <n v="565500"/>
    <n v="0"/>
    <n v="0"/>
    <n v="565500"/>
    <n v="0"/>
    <n v="0"/>
    <n v="565500"/>
    <n v="2262000"/>
    <n v="2790000"/>
    <n v="678000"/>
    <n v="0"/>
    <n v="0"/>
    <n v="5730000"/>
    <n v="0"/>
    <n v="0"/>
    <n v="0"/>
    <n v="0"/>
    <n v="0"/>
    <n v="5730000"/>
    <s v="#DESPEJAR!"/>
    <s v="OOPT.N"/>
    <n v="2025"/>
    <s v="ENOR.00202.001"/>
    <s v="COO1080"/>
    <s v="TR em elaboração"/>
    <s v="(PE) Não Requisitado e com ID Financeira"/>
    <x v="1"/>
    <n v="2262000"/>
    <s v="Não alterado"/>
    <s v="João André Peixoto De Souza"/>
    <s v="SISTEMA DE ALIMENTAÇÃO -48VCC"/>
  </r>
  <r>
    <n v="290"/>
    <e v="#REF!"/>
    <s v="Capex Orcamentário_PE2026_2030_COO_Rev1 - Gráficos.xlsx"/>
    <x v="0"/>
    <s v="Lucas Martins"/>
    <s v="COO290"/>
    <e v="#REF!"/>
    <s v="Corporativo"/>
    <x v="0"/>
    <s v="Geração"/>
    <x v="0"/>
    <x v="0"/>
    <s v="NGHI.0141"/>
    <m/>
    <m/>
    <s v="13777/2022"/>
    <s v="Modernização da instrumentação da UHE Curuá-Una CUUGH01, 02 e 03 "/>
    <s v="Modernização"/>
    <s v="Modernização"/>
    <x v="7"/>
    <n v="3400002925"/>
    <s v="Substituição de equipamentos com fim de vida util"/>
    <x v="4"/>
    <n v="0"/>
    <n v="0"/>
    <m/>
    <n v="0"/>
    <n v="0"/>
    <n v="0"/>
    <m/>
    <n v="1000000"/>
    <n v="0"/>
    <m/>
    <n v="0"/>
    <n v="0"/>
    <n v="1000000"/>
    <n v="2100000"/>
    <n v="0"/>
    <n v="0"/>
    <n v="0"/>
    <n v="3100000"/>
    <n v="0"/>
    <n v="0"/>
    <n v="0"/>
    <n v="0"/>
    <n v="0"/>
    <n v="3100000"/>
    <s v="#DESPEJAR!"/>
    <s v="AGMGNO"/>
    <n v="2025"/>
    <s v="ENOR.00037"/>
    <s v="COO0583"/>
    <s v="Em negociação"/>
    <s v="PE sem cód ID Financeira"/>
    <x v="1"/>
    <n v="2100000"/>
    <s v="RD 2026 a 2027"/>
    <s v="Frederico Rodolfo Parente Doerner"/>
    <s v="Modernização da instrumentação da UHE Curuá-Una CUUGH01, 02 e 03 "/>
  </r>
  <r>
    <n v="279"/>
    <e v="#REF!"/>
    <s v="Capex Orcamentário_PE2026_2030_COO_Rev1 - Gráficos.xlsx"/>
    <x v="0"/>
    <s v="Lucas Martins"/>
    <s v="COO279"/>
    <e v="#REF!"/>
    <s v="Corporativo"/>
    <x v="0"/>
    <s v="Geração"/>
    <x v="0"/>
    <x v="0"/>
    <s v="NGHI.0143"/>
    <m/>
    <m/>
    <s v="13592/2022"/>
    <s v="Modernização das estruturas metálicas da UHE Tucuruí"/>
    <s v="Modernização"/>
    <s v="Modernização"/>
    <x v="4"/>
    <s v="4500071331-Aditivo"/>
    <s v="Contratação de serviço para Revitalização de Estruturas Metálicas das partes metálicas da UHE Tucuruí. (Termo aditivo previsto VT)"/>
    <x v="0"/>
    <n v="166666.66666666666"/>
    <n v="166666.66666666666"/>
    <n v="166666.66666666666"/>
    <n v="166666.66666666666"/>
    <n v="166666.66666666666"/>
    <n v="166666.66666666666"/>
    <n v="166666.66666666666"/>
    <n v="166666.66666666666"/>
    <n v="166666.66666666666"/>
    <n v="166666.66666666666"/>
    <n v="166666.66666666666"/>
    <n v="166666.66666666666"/>
    <n v="2000000.0000000002"/>
    <n v="2000000"/>
    <n v="1000000"/>
    <n v="0"/>
    <n v="0"/>
    <n v="5000000"/>
    <n v="0"/>
    <n v="0"/>
    <n v="0"/>
    <n v="0"/>
    <n v="0"/>
    <n v="5000000"/>
    <s v="#DESPEJAR!"/>
    <s v="OOGTM.N"/>
    <n v="2025"/>
    <s v="ENOR.00026.001"/>
    <s v="COO0626"/>
    <s v="Contratado"/>
    <s v="(PE) Não Requisitado e com ID Financeira"/>
    <x v="1"/>
    <n v="2000000.0000000002"/>
    <s v="Não alterado"/>
    <s v="Gilton Carlos De Andrade Furtado"/>
    <s v="Modernização das estruturas metálicas da UHE Tucuruí"/>
  </r>
  <r>
    <n v="266"/>
    <e v="#REF!"/>
    <s v="Capex Orcamentário_PE2026_2030_COO_Rev1 - Gráficos.xlsx"/>
    <x v="0"/>
    <s v="Lucas Martins"/>
    <s v="COO266"/>
    <e v="#REF!"/>
    <s v="Corporativo"/>
    <x v="0"/>
    <s v="Geração"/>
    <x v="0"/>
    <x v="0"/>
    <s v="NGHI.0143"/>
    <m/>
    <m/>
    <s v="13592/2022"/>
    <s v="Aquisição de 02 (duas) válvulas de isolamento motorizadas de 10” para aplicação no sistema de injeção de ar de rebaixamento da Central AN 01 - UGH 02"/>
    <s v="Modernização"/>
    <s v="Modernização"/>
    <x v="4"/>
    <n v="4500084896"/>
    <s v="Alteração no sistema de acionamento de manual para motorizado - Celebrado o contratopara fornecimento de 08 válvula - Fornecedor: RTS Indústria e Comércio de Válvulas Ltda"/>
    <x v="0"/>
    <n v="0"/>
    <n v="0"/>
    <n v="300000"/>
    <n v="0"/>
    <n v="0"/>
    <n v="424336"/>
    <n v="0"/>
    <n v="400000"/>
    <n v="0"/>
    <n v="0"/>
    <n v="0"/>
    <n v="700000"/>
    <n v="1824336"/>
    <n v="0"/>
    <n v="0"/>
    <n v="0"/>
    <n v="0"/>
    <n v="1824336"/>
    <n v="0"/>
    <n v="0"/>
    <n v="0"/>
    <n v="0"/>
    <n v="0"/>
    <n v="1824336"/>
    <s v="#DESPEJAR!"/>
    <s v="OOGTM.N"/>
    <n v="2025"/>
    <s v="ENOR.00004.001"/>
    <s v="COO0727"/>
    <s v="Contratado"/>
    <s v="(PE) Requisitado e com ID Financeira"/>
    <x v="3"/>
    <n v="1824336"/>
    <s v="Não alterado"/>
    <s v="Gilton Carlos De Andrade Furtado"/>
    <s v="Aquisição de 02 (duas) válvulas de isolamento motorizadas de 10” para aplicação no sistema de injeção de ar de rebaixamento da Central AN 01 - UGH 02"/>
  </r>
  <r>
    <n v="292"/>
    <e v="#REF!"/>
    <s v="Capex Orcamentário_PE2026_2030_COO_Rev1 - Gráficos.xlsx"/>
    <x v="0"/>
    <s v="Lucas Martins"/>
    <s v="COO292"/>
    <e v="#REF!"/>
    <s v="Corporativo"/>
    <x v="0"/>
    <s v="Geração"/>
    <x v="0"/>
    <x v="0"/>
    <s v="NGHI.0143"/>
    <m/>
    <m/>
    <s v="13777/2022"/>
    <s v="Implantação da mesa de comando da sala de controle da UHE Curuá-Una"/>
    <s v="Modernização"/>
    <s v="Modernização"/>
    <x v="4"/>
    <n v="3400004431"/>
    <s v="Implantação de mesa para facilitação do comando das UGHs"/>
    <x v="4"/>
    <n v="0"/>
    <n v="0"/>
    <n v="0"/>
    <n v="0"/>
    <n v="0"/>
    <n v="0"/>
    <m/>
    <n v="0"/>
    <n v="0"/>
    <n v="100000"/>
    <n v="0"/>
    <n v="0"/>
    <n v="100000"/>
    <n v="500000"/>
    <m/>
    <n v="0"/>
    <n v="0"/>
    <n v="600000"/>
    <n v="0"/>
    <n v="0"/>
    <n v="0"/>
    <n v="0"/>
    <n v="0"/>
    <n v="600000"/>
    <s v="#DESPEJAR!"/>
    <s v="OOGCU.N"/>
    <n v="2025"/>
    <s v="ENOR.00041.001"/>
    <s v="COO0697"/>
    <s v="RC aprovada"/>
    <s v="PE sem cód ID Financeira"/>
    <x v="1"/>
    <n v="2000000"/>
    <s v="RD 2026"/>
    <s v="Airton Rego Bentes"/>
    <s v="Implantação da mesa de comando da sala de controle da UHE Curuá-Una"/>
  </r>
  <r>
    <n v="313"/>
    <e v="#REF!"/>
    <s v="Capex Orcamentário_PE2026_2030_COO_Rev1 - Gráficos.xlsx"/>
    <x v="0"/>
    <s v="Lucas Martins"/>
    <s v="COO313"/>
    <e v="#REF!"/>
    <s v="Corporativo"/>
    <x v="0"/>
    <s v="Geração"/>
    <x v="0"/>
    <x v="0"/>
    <s v="NGHI.0141"/>
    <m/>
    <m/>
    <n v="157189"/>
    <s v="Aquisição Pára Raios 230KV"/>
    <s v="Modernização"/>
    <s v="Modernização"/>
    <x v="7"/>
    <s v="Não emitido"/>
    <s v="UG1_PR_SE_SAMUEL"/>
    <x v="1"/>
    <n v="0"/>
    <n v="0"/>
    <n v="0"/>
    <n v="0"/>
    <n v="0"/>
    <n v="0"/>
    <n v="0"/>
    <n v="0"/>
    <m/>
    <n v="0"/>
    <n v="0"/>
    <n v="0"/>
    <n v="0"/>
    <n v="1750000"/>
    <n v="0"/>
    <n v="0"/>
    <n v="0"/>
    <n v="1750000"/>
    <n v="0"/>
    <n v="0"/>
    <n v="0"/>
    <n v="0"/>
    <n v="0"/>
    <n v="1750000"/>
    <s v="#DESPEJAR!"/>
    <s v="AGCGNO"/>
    <n v="2026"/>
    <s v="ENOR.00063.001"/>
    <n v="0"/>
    <s v="TR em elaboração"/>
    <s v="Nova Demanda"/>
    <x v="3"/>
    <n v="1500000"/>
    <s v="RD 2027"/>
    <s v="Geovane Andrade Melo Luz"/>
    <s v="Aquisição Pára Raios 230KV"/>
  </r>
  <r>
    <n v="315"/>
    <e v="#REF!"/>
    <s v="Capex Orcamentário_PE2026_2030_COO_Rev1 - Gráficos.xlsx"/>
    <x v="0"/>
    <s v="Lucas Martins"/>
    <s v="COO315"/>
    <e v="#REF!"/>
    <s v="Corporativo"/>
    <x v="0"/>
    <s v="Geração"/>
    <x v="0"/>
    <x v="0"/>
    <s v="NGHI.0141"/>
    <m/>
    <m/>
    <n v="157189"/>
    <s v="Aquisição TPC 230KV"/>
    <s v="Modernização"/>
    <s v="Modernização"/>
    <x v="7"/>
    <s v="Não emitido"/>
    <s v="UG1_TPC_SE_SAMUEL"/>
    <x v="1"/>
    <n v="0"/>
    <n v="0"/>
    <n v="0"/>
    <n v="0"/>
    <n v="0"/>
    <n v="0"/>
    <n v="0"/>
    <n v="0"/>
    <n v="0"/>
    <m/>
    <n v="0"/>
    <n v="0"/>
    <n v="0"/>
    <n v="1750000"/>
    <n v="0"/>
    <n v="0"/>
    <n v="0"/>
    <n v="1750000"/>
    <n v="0"/>
    <n v="0"/>
    <n v="0"/>
    <n v="0"/>
    <n v="0"/>
    <n v="1750000"/>
    <s v="#DESPEJAR!"/>
    <s v="AGCGNO"/>
    <n v="2026"/>
    <s v="ENOR.00065.001"/>
    <n v="0"/>
    <s v="TR em elaboração"/>
    <s v="Nova Demanda"/>
    <x v="3"/>
    <n v="1500000"/>
    <s v="RD 2027"/>
    <s v="Geovane Andrade Melo Luz"/>
    <s v="Aquisição TPC 230KV"/>
  </r>
  <r>
    <n v="263"/>
    <e v="#REF!"/>
    <s v="Capex Orcamentário_PE2026_2030_COO_Rev1 - Gráficos.xlsx"/>
    <x v="0"/>
    <s v="Lucas Martins"/>
    <s v="COO263"/>
    <e v="#REF!"/>
    <s v="Corporativo"/>
    <x v="0"/>
    <s v="Geração"/>
    <x v="0"/>
    <x v="0"/>
    <s v="NGHI.0075"/>
    <m/>
    <m/>
    <s v="13592/2022"/>
    <s v="Aquisição de Sistema de Incendio  UHE Tucuruí - CF  I e CF II"/>
    <s v="Modernização"/>
    <s v="Modernização"/>
    <x v="10"/>
    <s v="Não emitido"/>
    <s v="Sistema de proteção contra incêndio da UHE Tucuruí - Casa de Força I e II"/>
    <x v="0"/>
    <n v="0"/>
    <n v="0"/>
    <m/>
    <n v="0"/>
    <n v="0"/>
    <m/>
    <n v="0"/>
    <m/>
    <n v="0"/>
    <n v="0"/>
    <m/>
    <n v="0"/>
    <n v="0"/>
    <n v="1300000"/>
    <n v="1300000"/>
    <n v="1950000"/>
    <n v="0"/>
    <n v="4550000"/>
    <n v="0"/>
    <n v="0"/>
    <n v="0"/>
    <n v="0"/>
    <n v="0"/>
    <n v="4550000"/>
    <s v="#DESPEJAR!"/>
    <s v="AGMGNO"/>
    <n v="2025"/>
    <s v="ENOR.00001"/>
    <s v="COO0701"/>
    <s v="TR em elaboração"/>
    <s v="PE sem cód ID Financeira"/>
    <x v="3"/>
    <n v="1300000"/>
    <s v="RD 2027 a 2029"/>
    <s v="Frederico Rodolfo Parente Doerner"/>
    <s v="Aquisição de Sistema de Incendio  UHE Tucuruí - CF  I e CF II"/>
  </r>
  <r>
    <n v="277"/>
    <e v="#REF!"/>
    <s v="Capex Orcamentário_PE2026_2030_COO_Rev1 - Gráficos.xlsx"/>
    <x v="0"/>
    <s v="Lucas Martins"/>
    <s v="COO277"/>
    <e v="#REF!"/>
    <s v="Corporativo"/>
    <x v="0"/>
    <s v="Geração"/>
    <x v="0"/>
    <x v="0"/>
    <s v="NGHI.0141"/>
    <m/>
    <m/>
    <s v="13592/2022"/>
    <s v="sistema de refrigeração predial edificio comando, Supervisão e ULCPS"/>
    <s v="Modernização"/>
    <s v="Modernização"/>
    <x v="4"/>
    <s v="Não emitido"/>
    <s v="sistema de refrigeração predial edificio comando"/>
    <x v="0"/>
    <n v="0"/>
    <n v="0"/>
    <n v="0"/>
    <m/>
    <n v="0"/>
    <n v="0"/>
    <n v="0"/>
    <m/>
    <n v="0"/>
    <n v="0"/>
    <m/>
    <n v="0"/>
    <n v="0"/>
    <n v="951000"/>
    <n v="0"/>
    <n v="0"/>
    <n v="0"/>
    <n v="951000"/>
    <n v="0"/>
    <n v="0"/>
    <n v="0"/>
    <n v="0"/>
    <n v="0"/>
    <n v="951000"/>
    <s v="#DESPEJAR!"/>
    <s v="OOGTM.N"/>
    <n v="2026"/>
    <s v="ENOR.00024"/>
    <n v="0"/>
    <s v="Não iniciado"/>
    <s v="Nova Demanda"/>
    <x v="3"/>
    <n v="951000"/>
    <s v="RD 2027"/>
    <s v="Elizete Oliveira Do Nascimento"/>
    <s v="sistema de refrigeração predial edificio comando, Supervisão e ULCPS"/>
  </r>
  <r>
    <n v="344"/>
    <e v="#REF!"/>
    <s v="Capex Orcamentário_PE2026_2030_COO_Rev1 - Gráficos.xlsx"/>
    <x v="0"/>
    <s v="Lucas Martins"/>
    <s v="COO344"/>
    <e v="#REF!"/>
    <s v="Corporativo"/>
    <x v="0"/>
    <s v="Geração"/>
    <x v="0"/>
    <x v="0"/>
    <s v="NGHI.0146"/>
    <m/>
    <m/>
    <s v="13592/2022"/>
    <s v="Implantação do sistema de injeção química para combate ao mexilhão dourado na UHE Tucuruí"/>
    <s v="Modernização"/>
    <s v="Modernização"/>
    <x v="11"/>
    <n v="4500079784"/>
    <s v="Fornecimento de sistema de injeção automático e controle analítico on-line para dosagem de hipoclorito de cálcio 65% em tabletes de lenta dissolução, com fornecimento de materiais, equipamentos e mão de obra para tratamento da água de resfriamento da UHE Tucuruí, nas Casas de Força I, II e Auxiliares em sistemas de dosagem independentes"/>
    <x v="0"/>
    <n v="0"/>
    <n v="0"/>
    <n v="0"/>
    <n v="900000"/>
    <n v="0"/>
    <n v="0"/>
    <n v="0"/>
    <n v="0"/>
    <n v="900000"/>
    <n v="0"/>
    <n v="0"/>
    <n v="0"/>
    <n v="1800000"/>
    <n v="557200"/>
    <n v="0"/>
    <n v="0"/>
    <n v="0"/>
    <n v="2357200"/>
    <n v="0"/>
    <n v="0"/>
    <n v="0"/>
    <n v="0"/>
    <n v="0"/>
    <n v="2357200"/>
    <s v="#DESPEJAR!"/>
    <s v="AGMGNO"/>
    <n v="2025"/>
    <s v="ENOR.00096.001"/>
    <s v="COO0549"/>
    <s v="Contratado"/>
    <s v="Nova Demanda"/>
    <x v="0"/>
    <n v="1800000"/>
    <s v="Não alterado"/>
    <s v="Frederico Rodolfo Parente Doerner"/>
    <s v="Implantação do sistema de injeção química para combate ao mexilhão dourado na UHE Tucuruí"/>
  </r>
  <r>
    <n v="267"/>
    <e v="#REF!"/>
    <s v="Capex Orcamentário_PE2026_2030_COO_Rev1 - Gráficos.xlsx"/>
    <x v="0"/>
    <s v="Lucas Martins"/>
    <s v="COO267"/>
    <e v="#REF!"/>
    <s v="Corporativo"/>
    <x v="0"/>
    <s v="Geração"/>
    <x v="0"/>
    <x v="0"/>
    <s v="NGHI.0143"/>
    <m/>
    <m/>
    <s v="13592/2022"/>
    <s v="Aquisição de compressores para aplicação no sistema de ar de rebaixamento "/>
    <s v="Modernização"/>
    <s v="Modernização"/>
    <x v="4"/>
    <n v="4500086920"/>
    <s v="Instalação de novos equipamentos nas centrais s - Processo está na fase de contratação."/>
    <x v="0"/>
    <m/>
    <n v="0"/>
    <n v="840000"/>
    <n v="0"/>
    <n v="840000"/>
    <n v="0"/>
    <n v="0"/>
    <n v="0"/>
    <n v="0"/>
    <n v="0"/>
    <n v="0"/>
    <n v="0"/>
    <n v="1680000"/>
    <n v="0"/>
    <n v="0"/>
    <n v="0"/>
    <n v="0"/>
    <n v="1680000"/>
    <n v="0"/>
    <n v="0"/>
    <n v="0"/>
    <n v="0"/>
    <n v="0"/>
    <n v="1680000"/>
    <s v="#DESPEJAR!"/>
    <s v="OOGTM.N"/>
    <n v="2025"/>
    <s v="ENOR.00005"/>
    <s v="COO0727"/>
    <s v="Contratado"/>
    <s v="(PE) Não Requisitado e com ID Financeira"/>
    <x v="0"/>
    <n v="1680000"/>
    <s v="Não alterado"/>
    <s v="Gilton Carlos De Andrade Furtado"/>
    <s v="Aquisição de compressores para aplicação no sistema de ar de rebaixamento "/>
  </r>
  <r>
    <n v="276"/>
    <e v="#REF!"/>
    <s v="Capex Orcamentário_PE2026_2030_COO_Rev1 - Gráficos.xlsx"/>
    <x v="0"/>
    <s v="Lucas Martins"/>
    <s v="COO276"/>
    <e v="#REF!"/>
    <s v="Corporativo"/>
    <x v="0"/>
    <s v="Geração"/>
    <x v="0"/>
    <x v="0"/>
    <s v="NGHI.0141"/>
    <m/>
    <m/>
    <s v="13592/2022"/>
    <s v="sistema de ventilação e exaustão CF1, CF2, vertedouro e tomada agua"/>
    <s v="Modernização"/>
    <s v="Modernização"/>
    <x v="7"/>
    <s v="Não emitido"/>
    <s v="sistema de ventilação e exaustão CF1, CF2, vertedouro e tomada agua"/>
    <x v="0"/>
    <n v="0"/>
    <n v="0"/>
    <n v="0"/>
    <m/>
    <n v="0"/>
    <n v="0"/>
    <n v="0"/>
    <m/>
    <n v="0"/>
    <n v="0"/>
    <m/>
    <n v="0"/>
    <n v="0"/>
    <n v="900000"/>
    <n v="0"/>
    <n v="0"/>
    <n v="0"/>
    <n v="900000"/>
    <n v="0"/>
    <n v="0"/>
    <n v="0"/>
    <n v="0"/>
    <n v="0"/>
    <n v="900000"/>
    <s v="#DESPEJAR!"/>
    <s v="OOGT.N"/>
    <n v="2026"/>
    <s v="ENOR.00023"/>
    <n v="0"/>
    <s v="Não iniciado"/>
    <s v="Nova Demanda"/>
    <x v="3"/>
    <n v="900000"/>
    <s v="RD 2027"/>
    <s v="Romulo Cesar Pereira"/>
    <s v="sistema de ventilação e exaustão CF1, CF2, vertedouro e tomada agua"/>
  </r>
  <r>
    <n v="275"/>
    <e v="#REF!"/>
    <s v="Capex Orcamentário_PE2026_2030_COO_Rev1 - Gráficos.xlsx"/>
    <x v="0"/>
    <s v="Lucas Martins"/>
    <s v="COO275"/>
    <e v="#REF!"/>
    <s v="Corporativo"/>
    <x v="0"/>
    <s v="Geração"/>
    <x v="0"/>
    <x v="0"/>
    <s v="NGHI.0141"/>
    <m/>
    <m/>
    <s v="13592/2022"/>
    <s v="sistema de drenagem tampa turbina CF1, UG01,02,03,04,05,06,07,08,09,10,11 e 12"/>
    <s v="Modernização"/>
    <s v="Modernização"/>
    <x v="7"/>
    <s v="Não emitido"/>
    <s v="sistema de drenagem tampa turbina CF1 - modernização UG01,02,03,04,05,06,07,08,09,10,11 e 12"/>
    <x v="0"/>
    <n v="0"/>
    <n v="0"/>
    <m/>
    <n v="0"/>
    <n v="0"/>
    <m/>
    <n v="0"/>
    <m/>
    <m/>
    <m/>
    <m/>
    <n v="0"/>
    <n v="0"/>
    <n v="720000"/>
    <n v="0"/>
    <n v="0"/>
    <n v="0"/>
    <n v="720000"/>
    <n v="0"/>
    <n v="0"/>
    <n v="0"/>
    <n v="0"/>
    <n v="0"/>
    <n v="720000"/>
    <s v="#DESPEJAR!"/>
    <s v="AGMGNO"/>
    <n v="2026"/>
    <s v="ENOR.00022"/>
    <n v="0"/>
    <s v="Não iniciado"/>
    <s v="Nova Demanda"/>
    <x v="3"/>
    <n v="720000"/>
    <s v="RD 2027"/>
    <s v="Frederico Rodolfo Parente Doerner"/>
    <s v="sistema de drenagem tampa turbina CF1, UG01,02,03,04,05,06,07,08,09,10,11 e 12"/>
  </r>
  <r>
    <n v="268"/>
    <e v="#REF!"/>
    <s v="Capex Orcamentário_PE2026_2030_COO_Rev1 - Gráficos.xlsx"/>
    <x v="0"/>
    <s v="Lucas Martins"/>
    <s v="COO268"/>
    <e v="#REF!"/>
    <s v="Corporativo"/>
    <x v="0"/>
    <s v="Geração"/>
    <x v="0"/>
    <x v="0"/>
    <s v="NGHI.0143"/>
    <m/>
    <m/>
    <s v="13592/2022"/>
    <s v="Aquisição de motobombas para o sistema de circulação de óleo dos mancais MGT, MGG e ME - Casa de Força 01"/>
    <s v="Modernização"/>
    <s v="Modernização"/>
    <x v="4"/>
    <s v="Não emitido"/>
    <s v="Necessidade de equipamentos sobressalentes"/>
    <x v="0"/>
    <n v="0"/>
    <n v="0"/>
    <n v="0"/>
    <n v="0"/>
    <n v="0"/>
    <n v="0"/>
    <n v="0"/>
    <m/>
    <n v="0"/>
    <n v="0"/>
    <m/>
    <n v="0"/>
    <n v="0"/>
    <n v="695254.2"/>
    <n v="695254.2"/>
    <n v="0"/>
    <n v="0"/>
    <n v="1390508.4"/>
    <n v="0"/>
    <n v="0"/>
    <n v="0"/>
    <n v="0"/>
    <n v="0"/>
    <n v="1390508.4"/>
    <s v="#DESPEJAR!"/>
    <s v="OOGTM.N"/>
    <n v="2026"/>
    <s v="ENOR.00007.001"/>
    <n v="0"/>
    <s v="TR em elaboração"/>
    <s v="Nova Demanda"/>
    <x v="3"/>
    <n v="695254.2"/>
    <s v="RD 2027 a 2028"/>
    <s v="Gilton Carlos De Andrade Furtado"/>
    <s v="Aquisição de motobombas para o sistema de circulação de óleo dos mancais MGT, MGG e ME - Casa de Força 01"/>
  </r>
  <r>
    <n v="283"/>
    <e v="#REF!"/>
    <s v="Capex Orcamentário_PE2026_2030_COO_Rev1 - Gráficos.xlsx"/>
    <x v="0"/>
    <s v="Lucas Martins"/>
    <s v="COO283"/>
    <e v="#REF!"/>
    <s v="Corporativo"/>
    <x v="0"/>
    <s v="Geração"/>
    <x v="0"/>
    <x v="0"/>
    <s v="NGHI.0141"/>
    <m/>
    <m/>
    <s v="13777/2022"/>
    <s v="Modernização dos mancais de guia da Turbina CUUGH01, 02 e 03"/>
    <s v="Modernização"/>
    <s v="Modernização"/>
    <x v="7"/>
    <n v="3400002926"/>
    <s v="Alteração de projeto mancal tipo bucha para mancal tipo segmento "/>
    <x v="4"/>
    <n v="0"/>
    <n v="0"/>
    <n v="0"/>
    <n v="0"/>
    <n v="0"/>
    <n v="0"/>
    <n v="0"/>
    <n v="0"/>
    <n v="0"/>
    <n v="600000"/>
    <n v="0"/>
    <n v="0"/>
    <n v="600000"/>
    <n v="1200000"/>
    <n v="0"/>
    <n v="0"/>
    <n v="0"/>
    <n v="1800000"/>
    <n v="0"/>
    <n v="0"/>
    <n v="0"/>
    <n v="0"/>
    <n v="0"/>
    <n v="1800000"/>
    <s v="#DESPEJAR!"/>
    <s v="AGMGNO"/>
    <n v="2025"/>
    <s v="ENOR.00030"/>
    <s v="COO0588"/>
    <s v="Em negociação"/>
    <s v="Nova Demanda"/>
    <x v="1"/>
    <n v="1200000"/>
    <s v="RD 2026 a 2027"/>
    <s v="Frederico Rodolfo Parente Doerner"/>
    <s v="Modernização dos mancais de guia da Turbina CUUGH01, 02 e 03"/>
  </r>
  <r>
    <n v="291"/>
    <e v="#REF!"/>
    <s v="Capex Orcamentário_PE2026_2030_COO_Rev1 - Gráficos.xlsx"/>
    <x v="0"/>
    <s v="Lucas Martins"/>
    <s v="COO291"/>
    <e v="#REF!"/>
    <s v="Corporativo"/>
    <x v="0"/>
    <s v="Geração"/>
    <x v="0"/>
    <x v="0"/>
    <s v="NGHI.0143"/>
    <m/>
    <m/>
    <s v="13777/2022"/>
    <s v="Aquisição das bombas do sistema de regulação de velocidade da UHE Curuá-Una UGH01,02,03"/>
    <s v="Modernização"/>
    <s v="Modernização"/>
    <x v="4"/>
    <n v="4500088525"/>
    <s v="Aquisição de MB para o sistema de Regulação de Velocidade"/>
    <x v="4"/>
    <n v="0"/>
    <m/>
    <n v="0"/>
    <n v="600000"/>
    <n v="0"/>
    <n v="0"/>
    <n v="0"/>
    <n v="0"/>
    <n v="0"/>
    <n v="0"/>
    <n v="0"/>
    <n v="0"/>
    <n v="600000"/>
    <n v="0"/>
    <n v="0"/>
    <n v="0"/>
    <n v="0"/>
    <n v="600000"/>
    <n v="0"/>
    <n v="0"/>
    <n v="0"/>
    <n v="0"/>
    <n v="0"/>
    <n v="600000"/>
    <s v="#DESPEJAR!"/>
    <s v="OOGCU.N"/>
    <n v="2025"/>
    <s v="ENOR.00038"/>
    <s v="COO0600"/>
    <s v="Contratado"/>
    <s v="PE sem cód ID Financeira"/>
    <x v="0"/>
    <n v="1200000"/>
    <s v="Ajustado conforme contrato"/>
    <s v="Airton Rego Bentes"/>
    <s v="Aquisição das bombas do sistema de regulação de velocidade da UHE Curuá-Una UGH01,02,03"/>
  </r>
  <r>
    <n v="351"/>
    <e v="#REF!"/>
    <s v="Capex Orcamentário_PE2026_2030_COO_Rev1 - Gráficos.xlsx"/>
    <x v="0"/>
    <s v="Lucas Martins"/>
    <s v="COO351"/>
    <e v="#REF!"/>
    <s v="Corporativo"/>
    <x v="0"/>
    <s v="Geração"/>
    <x v="0"/>
    <x v="0"/>
    <s v="NGHI.0143"/>
    <m/>
    <m/>
    <s v="13592/2022"/>
    <s v="Aquisição de servomotor do distribuir da UHE Tucuruí"/>
    <s v="Modernização"/>
    <s v="Modernização"/>
    <x v="4"/>
    <s v="Não emitido"/>
    <s v="Aquisição de um conjunto de servomotores (4) do distribuidor da CF2"/>
    <x v="0"/>
    <n v="0"/>
    <n v="0"/>
    <n v="0"/>
    <n v="0"/>
    <n v="0"/>
    <n v="0"/>
    <n v="0"/>
    <n v="0"/>
    <n v="0"/>
    <m/>
    <n v="0"/>
    <m/>
    <n v="0"/>
    <n v="650000"/>
    <n v="750000"/>
    <n v="0"/>
    <n v="0"/>
    <n v="1400000"/>
    <n v="0"/>
    <n v="0"/>
    <n v="0"/>
    <n v="0"/>
    <n v="0"/>
    <n v="1400000"/>
    <s v="#DESPEJAR!"/>
    <s v="OOGTM.N"/>
    <n v="2025"/>
    <s v="ENOR.00108.001"/>
    <s v="COO0567"/>
    <s v="Não iniciado"/>
    <s v="(PE) Não Requisitado e com ID Financeira"/>
    <x v="3"/>
    <n v="650000"/>
    <s v="RD 2027-2028"/>
    <s v="Gilton Carlos De Andrade Furtado"/>
    <s v="Aquisição de servomotor do distribuir da UHE Tucuruí"/>
  </r>
  <r>
    <n v="284"/>
    <e v="#REF!"/>
    <s v="Capex Orcamentário_PE2026_2030_COO_Rev1 - Gráficos.xlsx"/>
    <x v="0"/>
    <s v="Lucas Martins"/>
    <s v="COO284"/>
    <e v="#REF!"/>
    <s v="Corporativo"/>
    <x v="0"/>
    <s v="Geração"/>
    <x v="0"/>
    <x v="0"/>
    <s v="NGHI.0141"/>
    <m/>
    <m/>
    <s v="13777/2022"/>
    <s v="Modernização do serviço auxiliar da usina, com substituição de cubículos e gavetas do circuito CA "/>
    <s v="Modernização"/>
    <s v="Modernização"/>
    <x v="7"/>
    <s v="Não emitido"/>
    <s v="Modernização de cubiculos CA e CC"/>
    <x v="4"/>
    <n v="0"/>
    <n v="0"/>
    <n v="0"/>
    <n v="0"/>
    <n v="0"/>
    <n v="0"/>
    <n v="0"/>
    <n v="0"/>
    <n v="0"/>
    <n v="0"/>
    <m/>
    <n v="0"/>
    <n v="0"/>
    <n v="2000000"/>
    <n v="1500000"/>
    <n v="0"/>
    <n v="0"/>
    <n v="3500000"/>
    <n v="0"/>
    <n v="0"/>
    <n v="0"/>
    <n v="0"/>
    <n v="0"/>
    <n v="3500000"/>
    <s v="#DESPEJAR!"/>
    <s v="AGMGNO"/>
    <n v="2026"/>
    <s v="ENOR.00031.001"/>
    <n v="0"/>
    <s v="Não iniciado"/>
    <s v="Nova Demanda"/>
    <x v="3"/>
    <n v="2000000"/>
    <s v="RD 2027 a 2028"/>
    <s v="Frederico Rodolfo Parente Doerner"/>
    <s v="Modernização do serviço auxiliar da usina, com substituição de cubículos e gavetas do circuito CA "/>
  </r>
  <r>
    <n v="289"/>
    <e v="#REF!"/>
    <s v="Capex Orcamentário_PE2026_2030_COO_Rev1 - Gráficos.xlsx"/>
    <x v="0"/>
    <s v="Lucas Martins"/>
    <s v="COO289"/>
    <e v="#REF!"/>
    <s v="Corporativo"/>
    <x v="0"/>
    <s v="Geração"/>
    <x v="0"/>
    <x v="0"/>
    <s v="NGHI.0141"/>
    <m/>
    <m/>
    <s v="13777/2022"/>
    <s v="Modernização do cubículo de  6,9kV para a UHE Curuá-Una"/>
    <s v="Modernização"/>
    <s v="Modernização"/>
    <x v="7"/>
    <n v="3400002922"/>
    <s v="Modernização do disjuntor 6,9kV"/>
    <x v="4"/>
    <n v="0"/>
    <n v="0"/>
    <n v="0"/>
    <n v="0"/>
    <n v="0"/>
    <n v="0"/>
    <n v="0"/>
    <n v="0"/>
    <n v="500000"/>
    <n v="0"/>
    <n v="0"/>
    <n v="500000"/>
    <n v="1000000"/>
    <n v="1000000"/>
    <n v="700000"/>
    <n v="0"/>
    <n v="0"/>
    <n v="2700000"/>
    <n v="0"/>
    <n v="0"/>
    <n v="0"/>
    <n v="0"/>
    <n v="0"/>
    <n v="2700000"/>
    <s v="#DESPEJAR!"/>
    <s v="AGMGNO"/>
    <n v="2025"/>
    <s v="ENOR.00036"/>
    <s v="COO0564"/>
    <s v="Em negociação"/>
    <s v="PE sem cód ID Financeira"/>
    <x v="1"/>
    <n v="1000000"/>
    <s v="Não alterado"/>
    <s v="Frederico Rodolfo Parente Doerner"/>
    <s v="Modernização do cubículo de  6,9kV para a UHE Curuá-Una"/>
  </r>
  <r>
    <n v="314"/>
    <e v="#REF!"/>
    <s v="Capex Orcamentário_PE2026_2030_COO_Rev1 - Gráficos.xlsx"/>
    <x v="0"/>
    <s v="Lucas Martins"/>
    <s v="COO314"/>
    <e v="#REF!"/>
    <s v="Corporativo"/>
    <x v="0"/>
    <s v="Geração"/>
    <x v="0"/>
    <x v="0"/>
    <s v="NGHI.0141"/>
    <m/>
    <m/>
    <n v="157189"/>
    <s v="Aquisição Disjuntor 230KV"/>
    <s v="Modernização"/>
    <s v="Modernização"/>
    <x v="7"/>
    <n v="3400004646"/>
    <s v="UG1_DJ_SE_SAMUEL"/>
    <x v="1"/>
    <n v="0"/>
    <n v="0"/>
    <n v="0"/>
    <n v="0"/>
    <n v="0"/>
    <n v="0"/>
    <n v="0"/>
    <n v="0"/>
    <n v="0"/>
    <m/>
    <n v="912050"/>
    <n v="0"/>
    <n v="912050"/>
    <n v="4560250"/>
    <n v="0"/>
    <n v="0"/>
    <n v="0"/>
    <n v="5472300"/>
    <n v="0"/>
    <n v="0"/>
    <n v="0"/>
    <n v="0"/>
    <n v="0"/>
    <n v="5472300"/>
    <s v="#DESPEJAR!"/>
    <s v="AGCGNO"/>
    <n v="2026"/>
    <s v="ENOR.00064.001"/>
    <n v="0"/>
    <s v="Em negociação"/>
    <s v="Nova Demanda"/>
    <x v="1"/>
    <n v="1000000"/>
    <s v="RD 2026 e 2027"/>
    <s v="Geovane Andrade Melo Luz"/>
    <s v="Aquisição Disjuntor 230KV"/>
  </r>
  <r>
    <n v="357"/>
    <e v="#REF!"/>
    <s v="Capex Orcamentário_PE2026_2030_COO_Rev1 - Gráficos.xlsx"/>
    <x v="0"/>
    <s v="Lucas Martins"/>
    <s v="COO357"/>
    <e v="#REF!"/>
    <s v="Corporativo"/>
    <x v="0"/>
    <s v="Geração"/>
    <x v="0"/>
    <x v="0"/>
    <s v="NGHI.0141"/>
    <m/>
    <m/>
    <s v="13592/2022"/>
    <s v="Aquisição de DCP para UHE Tucuruí"/>
    <s v="Modernização"/>
    <s v="Modernização"/>
    <x v="7"/>
    <n v="3400005392"/>
    <s v="Aquisição de equipamentos de proteção e limitadores  de valores dos surtos de tensão transitórios"/>
    <x v="0"/>
    <n v="0"/>
    <n v="0"/>
    <n v="0"/>
    <n v="0"/>
    <n v="0"/>
    <m/>
    <m/>
    <n v="0"/>
    <n v="0"/>
    <n v="0"/>
    <m/>
    <n v="0"/>
    <n v="0"/>
    <n v="897510"/>
    <m/>
    <n v="0"/>
    <n v="0"/>
    <n v="897510"/>
    <n v="0"/>
    <n v="0"/>
    <n v="0"/>
    <n v="0"/>
    <n v="0"/>
    <n v="897510"/>
    <s v="#DESPEJAR!"/>
    <s v="AGMGNO"/>
    <n v="2025"/>
    <s v="ENOR.00115.001"/>
    <s v="COO0648"/>
    <s v="RC aprovada"/>
    <s v="(PE) Não Requisitado e com ID Financeira"/>
    <x v="1"/>
    <n v="1000000"/>
    <s v="RD 2027"/>
    <s v="Frederico Rodolfo Parente Doerner"/>
    <s v="Aquisição de DCP para UHE Tucuruí"/>
  </r>
  <r>
    <n v="361"/>
    <e v="#REF!"/>
    <s v="Capex Orcamentário_PE2026_2030_COO_Rev1 - Gráficos.xlsx"/>
    <x v="0"/>
    <s v="Lucas Martins"/>
    <s v="COO361"/>
    <e v="#REF!"/>
    <s v="Corporativo"/>
    <x v="0"/>
    <s v="Geração"/>
    <x v="0"/>
    <x v="0"/>
    <s v="NGHI.0143"/>
    <m/>
    <m/>
    <s v="13592/2022"/>
    <s v="Modernização do sistema de resfriamento dos mancais da CFI da UHE Tucuruí"/>
    <s v="Modernização"/>
    <s v="Modernização"/>
    <x v="4"/>
    <n v="3700007704"/>
    <s v="Conjunto de motobombas, trocadores de calor, válvulas, instrumenção etc., para os sistemas do MGG, MGT e ME."/>
    <x v="0"/>
    <n v="0"/>
    <n v="500000"/>
    <n v="0"/>
    <n v="0"/>
    <n v="0"/>
    <n v="0"/>
    <n v="0"/>
    <n v="500000"/>
    <n v="0"/>
    <n v="0"/>
    <n v="0"/>
    <n v="0"/>
    <n v="1000000"/>
    <n v="1500000"/>
    <n v="0"/>
    <n v="0"/>
    <n v="0"/>
    <n v="2500000"/>
    <n v="0"/>
    <n v="0"/>
    <n v="0"/>
    <n v="0"/>
    <n v="0"/>
    <n v="2500000"/>
    <s v="#DESPEJAR!"/>
    <s v="AGMGNO"/>
    <n v="2025"/>
    <s v="ENOR.00123.001"/>
    <s v="COO0675"/>
    <s v="Em negociação"/>
    <s v="(PE) Não Requisitado e com ID Financeira"/>
    <x v="1"/>
    <n v="1000000"/>
    <s v="Não alterado"/>
    <s v="Frederico Rodolfo Parente Doerner"/>
    <s v="Modernização do sistema de resfriamento dos mancais da CFI da UHE Tucuruí"/>
  </r>
  <r>
    <n v="264"/>
    <e v="#REF!"/>
    <s v="Capex Orcamentário_PE2026_2030_COO_Rev1 - Gráficos.xlsx"/>
    <x v="0"/>
    <s v="Lucas Martins"/>
    <s v="COO264"/>
    <e v="#REF!"/>
    <s v="Corporativo"/>
    <x v="0"/>
    <s v="Geração"/>
    <x v="0"/>
    <x v="0"/>
    <s v="NGHI.0141"/>
    <m/>
    <m/>
    <s v="13592/2022"/>
    <s v="Aquisição e instalação de tubulação de Sistema de de drenagem de poços - CF I"/>
    <s v="Modernização"/>
    <s v="Modernização"/>
    <x v="7"/>
    <s v="Não emitido"/>
    <s v="Sistema de tubulação para interligação de tubos para drenagem da agua os poços 11/12"/>
    <x v="0"/>
    <n v="0"/>
    <m/>
    <n v="0"/>
    <m/>
    <n v="0"/>
    <n v="0"/>
    <n v="0"/>
    <n v="0"/>
    <n v="0"/>
    <n v="0"/>
    <n v="0"/>
    <n v="0"/>
    <n v="0"/>
    <n v="1000000"/>
    <n v="1000000"/>
    <n v="500000"/>
    <n v="0"/>
    <n v="2500000"/>
    <n v="0"/>
    <n v="0"/>
    <n v="0"/>
    <n v="0"/>
    <n v="0"/>
    <n v="2500000"/>
    <s v="#DESPEJAR!"/>
    <s v="OOGTM.N"/>
    <n v="2026"/>
    <s v="ENOR.00002.001"/>
    <n v="0"/>
    <s v="TR em elaboração"/>
    <s v="Nova Demanda"/>
    <x v="3"/>
    <n v="1000000"/>
    <s v="RD 2027 a 2029"/>
    <s v="Gilton Carlos De Andrade Furtado"/>
    <s v="Aquisição e instalação de tubulação de Sistema de de drenagem de poços - CF I"/>
  </r>
  <r>
    <n v="352"/>
    <e v="#REF!"/>
    <s v="Capex Orcamentário_PE2026_2030_COO_Rev1 - Gráficos.xlsx"/>
    <x v="0"/>
    <s v="Lucas Martins"/>
    <s v="COO352"/>
    <e v="#REF!"/>
    <s v="Corporativo"/>
    <x v="0"/>
    <s v="Geração"/>
    <x v="0"/>
    <x v="0"/>
    <s v="NGHI.0143"/>
    <m/>
    <m/>
    <s v="13592/2022"/>
    <s v="Modernização do sistema de iluminação da UHE Tucuruí"/>
    <s v="Modernização"/>
    <s v="Modernização"/>
    <x v="4"/>
    <s v="Não emitido"/>
    <s v="Modernização do sistema de iluminação da UHE Tucuruí"/>
    <x v="0"/>
    <n v="0"/>
    <n v="0"/>
    <n v="0"/>
    <n v="0"/>
    <n v="0"/>
    <n v="0"/>
    <n v="0"/>
    <m/>
    <m/>
    <n v="0"/>
    <m/>
    <n v="0"/>
    <n v="0"/>
    <n v="1000000"/>
    <n v="1500000"/>
    <n v="0"/>
    <n v="0"/>
    <n v="2500000"/>
    <n v="0"/>
    <n v="0"/>
    <n v="0"/>
    <n v="0"/>
    <n v="0"/>
    <n v="2500000"/>
    <s v="#DESPEJAR!"/>
    <s v="OOGTE.N"/>
    <n v="2025"/>
    <s v="ENOR.00109.001"/>
    <s v="COO0580"/>
    <s v="Não iniciado"/>
    <s v="(PE) Não Requisitado e com ID Financeira"/>
    <x v="3"/>
    <n v="1000000"/>
    <s v="RD 2027 a 2028"/>
    <s v="Albert Ferraz Botelho Da Silva"/>
    <s v="Modernização do sistema de iluminação da UHE Tucuruí"/>
  </r>
  <r>
    <n v="384"/>
    <e v="#REF!"/>
    <s v="Capex Orcamentário_PE2026_2030_COO_Rev1 - Gráficos.xlsx"/>
    <x v="0"/>
    <s v="Lucas Martins"/>
    <s v="COO384"/>
    <e v="#REF!"/>
    <s v="Corporativo"/>
    <x v="0"/>
    <s v="Geração"/>
    <x v="0"/>
    <x v="0"/>
    <s v="NGHI.0141"/>
    <m/>
    <m/>
    <s v="13592/2022"/>
    <s v="Modernização de transformadores 13,8/440V para alimentação Vertedouro e serviço auxiliar da UHE Tucuruí "/>
    <s v="Modernização"/>
    <s v="Modernização"/>
    <x v="7"/>
    <n v="3400004384"/>
    <s v="Aquisição de Transformadores de 13,8/440V para alimentação Vertedouro e Serviço auxiliar"/>
    <x v="0"/>
    <n v="0"/>
    <n v="0"/>
    <n v="0"/>
    <n v="0"/>
    <n v="0"/>
    <n v="0"/>
    <n v="0"/>
    <m/>
    <n v="1000000"/>
    <n v="0"/>
    <n v="0"/>
    <n v="0"/>
    <n v="1000000"/>
    <n v="1000000"/>
    <n v="1000000"/>
    <n v="0"/>
    <n v="0"/>
    <n v="3000000"/>
    <n v="0"/>
    <n v="0"/>
    <n v="0"/>
    <n v="0"/>
    <n v="0"/>
    <n v="3000000"/>
    <s v="#DESPEJAR!"/>
    <s v="AGMGNO"/>
    <n v="2025"/>
    <s v="ENOR.00105"/>
    <s v="COO0677"/>
    <s v="Em negociação"/>
    <s v="Nova Demanda"/>
    <x v="1"/>
    <n v="1000000"/>
    <s v="RD 2026 a 2028"/>
    <s v="Frederico Rodolfo Parente Doerner"/>
    <s v="Modernização de transformadores 13,8/440V para alimentação Vertedouro e serviço auxiliar da UHE Tucuruí "/>
  </r>
  <r>
    <n v="269"/>
    <e v="#REF!"/>
    <s v="Capex Orcamentário_PE2026_2030_COO_Rev1 - Gráficos.xlsx"/>
    <x v="0"/>
    <s v="Lucas Martins"/>
    <s v="COO269"/>
    <e v="#REF!"/>
    <s v="Corporativo"/>
    <x v="0"/>
    <s v="Geração"/>
    <x v="0"/>
    <x v="0"/>
    <s v="NGHI.0141"/>
    <m/>
    <m/>
    <s v="13592/2022"/>
    <s v="Sistema SPCI água nebulizada tanques diesel GDE 01, 02,03,04.05,06 e 07 "/>
    <s v="Modernização"/>
    <s v="Modernização"/>
    <x v="7"/>
    <n v="3700014472"/>
    <s v="Implantação de SPCI por água nebulizada nos GDE's da UHE Tucuruí"/>
    <x v="0"/>
    <n v="0"/>
    <n v="0"/>
    <n v="450000"/>
    <n v="0"/>
    <n v="550000"/>
    <n v="0"/>
    <n v="0"/>
    <n v="0"/>
    <n v="0"/>
    <n v="0"/>
    <n v="0"/>
    <n v="0"/>
    <n v="1000000"/>
    <n v="3000000"/>
    <n v="0"/>
    <n v="0"/>
    <n v="0"/>
    <n v="4000000"/>
    <n v="0"/>
    <n v="0"/>
    <n v="0"/>
    <n v="0"/>
    <n v="0"/>
    <n v="4000000"/>
    <s v="#DESPEJAR!"/>
    <s v="OOGTM.N"/>
    <n v="2026"/>
    <s v="ENOR.00009"/>
    <n v="0"/>
    <s v="Em negociação"/>
    <s v="Nova Demanda"/>
    <x v="1"/>
    <n v="1000000"/>
    <s v="RD 2026 e 2027"/>
    <s v="Gilton Carlos De Andrade Furtado"/>
    <s v="Sistema SPCI água nebulizada tanques diesel GDE 01, 02,03,04.05,06 e 07 "/>
  </r>
  <r>
    <n v="278"/>
    <e v="#REF!"/>
    <s v="Capex Orcamentário_PE2026_2030_COO_Rev1 - Gráficos.xlsx"/>
    <x v="0"/>
    <s v="Lucas Martins"/>
    <s v="COO278"/>
    <e v="#REF!"/>
    <s v="Corporativo"/>
    <x v="0"/>
    <s v="Geração"/>
    <x v="0"/>
    <x v="0"/>
    <s v="NGHI.0091"/>
    <m/>
    <m/>
    <s v="13592/2022"/>
    <s v="Recuperação da comporta 17 do Vertedouro da UHE Tucuruí"/>
    <s v="Modernização"/>
    <s v="Modernização"/>
    <x v="12"/>
    <n v="4500081111"/>
    <s v="Contratação de empresa para de fabricação, fornecimento e instalação do painel inferior, acrescido dos serviços de recuperação da soleira inferior,da Comporta de Segmento no 17 do Vertedouro da UHE Tucuruí."/>
    <x v="0"/>
    <n v="0"/>
    <m/>
    <n v="1000000"/>
    <n v="0"/>
    <n v="0"/>
    <n v="0"/>
    <n v="0"/>
    <n v="0"/>
    <n v="0"/>
    <n v="0"/>
    <n v="0"/>
    <n v="0"/>
    <n v="1000000"/>
    <n v="0"/>
    <n v="0"/>
    <n v="0"/>
    <n v="0"/>
    <n v="1000000"/>
    <n v="0"/>
    <n v="0"/>
    <n v="0"/>
    <n v="0"/>
    <n v="0"/>
    <n v="1000000"/>
    <s v="#DESPEJAR!"/>
    <s v="OOGTM.N"/>
    <n v="2025"/>
    <s v="ENOR.00025"/>
    <s v="COO0597"/>
    <s v="Contratado"/>
    <s v="(PE) Não Requisitado e com ID Financeira"/>
    <x v="0"/>
    <n v="1000000"/>
    <s v="Ajustado conforme contrato"/>
    <s v="Gilton Carlos De Andrade Furtado"/>
    <s v="Recuperação da comporta 17 do Vertedouro da UHE Tucuruí"/>
  </r>
  <r>
    <n v="356"/>
    <e v="#REF!"/>
    <s v="Capex Orcamentário_PE2026_2030_COO_Rev1 - Gráficos.xlsx"/>
    <x v="0"/>
    <s v="Lucas Martins"/>
    <s v="COO356"/>
    <e v="#REF!"/>
    <s v="Corporativo"/>
    <x v="0"/>
    <s v="Geração"/>
    <x v="0"/>
    <x v="0"/>
    <s v="NGHI.0143"/>
    <m/>
    <m/>
    <s v="13592/2022"/>
    <s v="Aquisição de 2 jogos de SotpLogs"/>
    <s v="Modernização"/>
    <s v="Modernização"/>
    <x v="4"/>
    <s v="Não emitido"/>
    <s v="Fornecimento de dois jogos de SptoLogs, um para a CF I e outro para a CF 2."/>
    <x v="0"/>
    <n v="0"/>
    <n v="0"/>
    <n v="0"/>
    <n v="0"/>
    <n v="0"/>
    <n v="0"/>
    <n v="0"/>
    <n v="0"/>
    <n v="0"/>
    <m/>
    <n v="0"/>
    <m/>
    <n v="0"/>
    <n v="2000000"/>
    <n v="9500000"/>
    <n v="10000000"/>
    <n v="0"/>
    <n v="21500000"/>
    <n v="0"/>
    <n v="0"/>
    <n v="0"/>
    <n v="0"/>
    <n v="0"/>
    <n v="21500000"/>
    <s v="#DESPEJAR!"/>
    <s v="OOGTM.N"/>
    <n v="2025"/>
    <s v="ENOR.00027"/>
    <s v="COO0628"/>
    <s v="Não iniciado"/>
    <s v="(PE) Não Requisitado e com ID Financeira"/>
    <x v="3"/>
    <n v="2000000"/>
    <s v="RD 2027 a 2029"/>
    <s v="Gilton Carlos De Andrade Furtado"/>
    <s v="Aquisição de 2 jogos de SotpLogs"/>
  </r>
  <r>
    <n v="350"/>
    <e v="#REF!"/>
    <s v="Capex Orcamentário_PE2026_2030_COO_Rev1 - Gráficos.xlsx"/>
    <x v="0"/>
    <s v="Lucas Martins"/>
    <s v="COO350"/>
    <e v="#REF!"/>
    <s v="Corporativo"/>
    <x v="0"/>
    <s v="Geração"/>
    <x v="0"/>
    <x v="0"/>
    <s v="NGHI.0141"/>
    <m/>
    <m/>
    <s v="13592/2022"/>
    <s v="Modernização de 01 transformador monofásico 13,8kV (trafo limitador) CF2 da UHE Tucuruí"/>
    <s v="Modernização"/>
    <s v="Modernização"/>
    <x v="7"/>
    <s v="Não emitido"/>
    <s v="13,8kV (trafo limitador) CF2 da UHE Tucuruí 13,8kV (trafo limitador) CF2 da UHE Tucuruí/ Transformador regulador CF1 para alimentação do serviço auxiliar "/>
    <x v="0"/>
    <n v="0"/>
    <n v="0"/>
    <n v="0"/>
    <n v="0"/>
    <n v="0"/>
    <m/>
    <n v="0"/>
    <n v="0"/>
    <n v="0"/>
    <m/>
    <n v="0"/>
    <n v="0"/>
    <n v="0"/>
    <n v="2000000"/>
    <n v="2500000"/>
    <n v="1500000"/>
    <n v="0"/>
    <n v="6000000"/>
    <n v="0"/>
    <n v="0"/>
    <n v="0"/>
    <n v="0"/>
    <n v="0"/>
    <n v="6000000"/>
    <s v="#DESPEJAR!"/>
    <s v="AGMGNO"/>
    <n v="2026"/>
    <s v="ENOR.00107.001"/>
    <n v="0"/>
    <s v="Não iniciado"/>
    <s v="Nova Demanda"/>
    <x v="3"/>
    <n v="2000000"/>
    <s v="RD 2027 o 2029"/>
    <s v="Frederico Rodolfo Parente Doerner"/>
    <s v="Modernização de 01 transformador monofásico 13,8kV (trafo limitador) CF2 da UHE Tucuruí"/>
  </r>
  <r>
    <n v="363"/>
    <e v="#REF!"/>
    <s v="Capex Orcamentário_PE2026_2030_COO_Rev1 - Gráficos.xlsx"/>
    <x v="0"/>
    <s v="Lucas Martins"/>
    <s v="COO363"/>
    <e v="#REF!"/>
    <s v="Corporativo"/>
    <x v="0"/>
    <s v="Geração"/>
    <x v="0"/>
    <x v="0"/>
    <s v="NGHI.0143"/>
    <m/>
    <m/>
    <s v="13592/2022"/>
    <s v="Aquisição das rodas das comportas de emergência da UHE Tucuruí"/>
    <s v="Modernização"/>
    <s v="Modernização"/>
    <x v="4"/>
    <s v="Não emitido"/>
    <s v="Substituição das rodas das comportas de emergência"/>
    <x v="0"/>
    <n v="0"/>
    <n v="0"/>
    <n v="0"/>
    <n v="0"/>
    <n v="0"/>
    <n v="0"/>
    <n v="0"/>
    <m/>
    <n v="0"/>
    <m/>
    <n v="1000000"/>
    <n v="0"/>
    <n v="1000000"/>
    <n v="2500000"/>
    <n v="2500000"/>
    <n v="0"/>
    <n v="0"/>
    <n v="6000000"/>
    <n v="0"/>
    <n v="0"/>
    <n v="0"/>
    <n v="0"/>
    <n v="0"/>
    <n v="6000000"/>
    <s v="#DESPEJAR!"/>
    <s v="AGMGNO"/>
    <n v="2025"/>
    <s v="ENOR.00126.001"/>
    <s v="COO0726"/>
    <s v="Não iniciado"/>
    <s v="(PE) Não Requisitado e com ID Financeira"/>
    <x v="3"/>
    <n v="2000000"/>
    <s v="RD 2026 a 2028"/>
    <s v="Gilton Carlos De Andrade Furtado"/>
    <s v="Aquisição das rodas das comportas de emergência da UHE Tucuruí"/>
  </r>
  <r>
    <n v="336"/>
    <e v="#REF!"/>
    <s v="Capex Orcamentário_PE2026_2030_COO_Rev1 - Gráficos.xlsx"/>
    <x v="0"/>
    <s v="Lucas Martins"/>
    <s v="COO336"/>
    <e v="#REF!"/>
    <s v="Corporativo"/>
    <x v="0"/>
    <s v="Geração"/>
    <x v="0"/>
    <x v="0"/>
    <s v="NGHI.0141"/>
    <m/>
    <m/>
    <s v="0484/2016"/>
    <s v="Modernização Sistema de Proteção CNUGH-01 / CNUGH-02"/>
    <s v="Modernização"/>
    <s v="Modernização"/>
    <x v="7"/>
    <s v="Não emitido"/>
    <s v="Modernização Sistema de Proteção - CNUGH-01/ CNUGH-02"/>
    <x v="3"/>
    <n v="0"/>
    <n v="0"/>
    <n v="0"/>
    <n v="0"/>
    <n v="0"/>
    <n v="0"/>
    <n v="0"/>
    <m/>
    <n v="0"/>
    <n v="0"/>
    <m/>
    <n v="0"/>
    <n v="0"/>
    <n v="1000000"/>
    <n v="3000000"/>
    <n v="500000"/>
    <n v="0"/>
    <n v="4500000"/>
    <n v="0"/>
    <n v="0"/>
    <n v="0"/>
    <n v="0"/>
    <n v="0"/>
    <n v="4500000"/>
    <s v="#DESPEJAR!"/>
    <s v="OOPM.N"/>
    <n v="2026"/>
    <s v="ENOR.00088"/>
    <n v="0"/>
    <s v="Não iniciado"/>
    <s v="Nova Demanda"/>
    <x v="3"/>
    <n v="1000000"/>
    <s v="RD 2027 o 2029"/>
    <s v="Klenio Dias Timoteo"/>
    <s v="Modernização Sistema de Proteção CNUGH-01 / CNUGH-02"/>
  </r>
  <r>
    <n v="368"/>
    <e v="#REF!"/>
    <s v="Capex Orcamentário_PE2026_2030_COO_Rev1 - Gráficos.xlsx"/>
    <x v="0"/>
    <s v="Lucas Martins"/>
    <s v="COO368"/>
    <e v="#REF!"/>
    <s v="Corporativo"/>
    <x v="0"/>
    <s v="Geração"/>
    <x v="0"/>
    <x v="1"/>
    <s v="NSTC.0038"/>
    <m/>
    <m/>
    <s v="13592/2022"/>
    <s v="REDE MPLS ELETRONORTE"/>
    <s v="Modernização"/>
    <s v="Telecom"/>
    <x v="9"/>
    <s v="Ver contrato telecon"/>
    <s v="Implantação de Roteadores de TO para ampliação e melhoria dos Sistemas de Telecomunicações dos Centros de Operação e CGRT da Eletronorte"/>
    <x v="0"/>
    <n v="0"/>
    <n v="237500"/>
    <n v="0"/>
    <n v="0"/>
    <n v="237500"/>
    <n v="0"/>
    <n v="0"/>
    <n v="237500"/>
    <n v="0"/>
    <n v="0"/>
    <n v="237500"/>
    <n v="0"/>
    <n v="950000"/>
    <n v="1000000"/>
    <n v="100000"/>
    <n v="0"/>
    <n v="0"/>
    <n v="2050000"/>
    <n v="0"/>
    <n v="0"/>
    <n v="0"/>
    <n v="0"/>
    <n v="0"/>
    <n v="2050000"/>
    <s v="#DESPEJAR!"/>
    <s v="OOPT.N"/>
    <n v="2025"/>
    <s v="ENOR.00203.001"/>
    <s v="COO1085"/>
    <s v="Em negociação"/>
    <s v="(PE) Não Requisitado e com ID Financeira"/>
    <x v="1"/>
    <n v="950000"/>
    <s v="Não alterado"/>
    <s v="João André Peixoto De Souza"/>
    <s v="REDE MPLS ELETRONORTE"/>
  </r>
  <r>
    <n v="340"/>
    <e v="#REF!"/>
    <s v="Capex Orcamentário_PE2026_2030_COO_Rev1 - Gráficos.xlsx"/>
    <x v="0"/>
    <s v="Lucas Martins"/>
    <s v="COO340"/>
    <e v="#REF!"/>
    <s v="Corporativo"/>
    <x v="0"/>
    <s v="Geração"/>
    <x v="0"/>
    <x v="0"/>
    <s v="NGHI.0141"/>
    <m/>
    <m/>
    <s v="0484/2016"/>
    <s v="Modernização do Painel de comando dos GDE's"/>
    <s v="Modernização"/>
    <s v="Modernização"/>
    <x v="7"/>
    <s v="Não emitido"/>
    <s v="Modernização Painel GDE"/>
    <x v="3"/>
    <n v="0"/>
    <n v="0"/>
    <n v="0"/>
    <n v="0"/>
    <n v="0"/>
    <n v="0"/>
    <m/>
    <n v="0"/>
    <m/>
    <n v="0"/>
    <n v="0"/>
    <m/>
    <n v="0"/>
    <n v="1000000"/>
    <n v="500000"/>
    <n v="1000000"/>
    <n v="0"/>
    <n v="2500000"/>
    <n v="0"/>
    <n v="0"/>
    <n v="0"/>
    <n v="0"/>
    <n v="0"/>
    <n v="2500000"/>
    <s v="#DESPEJAR!"/>
    <s v="AGMGNO"/>
    <n v="2026"/>
    <s v="ENOR.00092.001"/>
    <n v="0"/>
    <s v="Não iniciado"/>
    <s v="Nova Demanda"/>
    <x v="3"/>
    <n v="1000000"/>
    <s v="RD 2027 o 2029"/>
    <s v="Frederico Rodolfo Parente Doerner"/>
    <s v="Modernização do Painel de comando dos GDE's"/>
  </r>
  <r>
    <n v="270"/>
    <e v="#REF!"/>
    <s v="Capex Orcamentário_PE2026_2030_COO_Rev1 - Gráficos.xlsx"/>
    <x v="0"/>
    <s v="Lucas Martins"/>
    <s v="COO270"/>
    <e v="#REF!"/>
    <s v="Corporativo"/>
    <x v="0"/>
    <s v="Geração"/>
    <x v="0"/>
    <x v="0"/>
    <s v="NGHI.0143"/>
    <m/>
    <m/>
    <s v="13592/2022"/>
    <s v="Aquisição de bombas vertical, tipo parafuso, para o sistema de circulação de óleo do Regulador de Velocidade - UGHs Casa de Força 01"/>
    <s v="Modernização"/>
    <s v="Modernização"/>
    <x v="4"/>
    <s v="Não emitido"/>
    <s v="Necessidade de equipamentos sobressalentes"/>
    <x v="0"/>
    <n v="0"/>
    <n v="0"/>
    <n v="0"/>
    <m/>
    <n v="0"/>
    <n v="0"/>
    <n v="0"/>
    <m/>
    <n v="0"/>
    <n v="0"/>
    <n v="0"/>
    <n v="0"/>
    <n v="0"/>
    <n v="450280"/>
    <n v="450280"/>
    <n v="0"/>
    <n v="0"/>
    <n v="900560"/>
    <n v="0"/>
    <n v="0"/>
    <n v="0"/>
    <n v="0"/>
    <n v="0"/>
    <n v="900560"/>
    <s v="#DESPEJAR!"/>
    <s v="OOGTM.N"/>
    <n v="2025"/>
    <s v="ENOR.00010.001"/>
    <s v="COO0559"/>
    <s v="TR em elaboração"/>
    <s v="(PE) Não Requisitado e com ID Financeira"/>
    <x v="3"/>
    <n v="450280"/>
    <s v="RD 2027 a 2028"/>
    <s v="Gilton Carlos De Andrade Furtado"/>
    <s v="Aquisição de bombas vertical, tipo parafuso, para o sistema de circulação de óleo do Regulador de Velocidade - UGHs Casa de Força 01"/>
  </r>
  <r>
    <n v="274"/>
    <e v="#REF!"/>
    <s v="Capex Orcamentário_PE2026_2030_COO_Rev1 - Gráficos.xlsx"/>
    <x v="0"/>
    <s v="Lucas Martins"/>
    <s v="COO274"/>
    <e v="#REF!"/>
    <s v="Corporativo"/>
    <x v="0"/>
    <s v="Geração"/>
    <x v="0"/>
    <x v="0"/>
    <s v="NGHI.0143"/>
    <m/>
    <m/>
    <s v="13592/2022"/>
    <s v="Aquisição de conjunto completo da junta de vedação do eixo (UGH18): parte fixa e móvel"/>
    <s v="Modernização"/>
    <s v="Modernização"/>
    <x v="4"/>
    <s v="Não emitido"/>
    <s v="Necessidade de equipamentos sobressalente para substituição nas UGHs da CF2"/>
    <x v="0"/>
    <n v="0"/>
    <n v="0"/>
    <n v="0"/>
    <n v="0"/>
    <n v="0"/>
    <n v="0"/>
    <n v="0"/>
    <n v="0"/>
    <n v="0"/>
    <n v="350000"/>
    <n v="0"/>
    <n v="0"/>
    <n v="350000"/>
    <n v="350000"/>
    <n v="0"/>
    <n v="0"/>
    <n v="0"/>
    <n v="700000"/>
    <n v="0"/>
    <n v="0"/>
    <n v="0"/>
    <n v="0"/>
    <n v="0"/>
    <n v="700000"/>
    <s v="#DESPEJAR!"/>
    <s v="OOGTM.N"/>
    <n v="2025"/>
    <s v="ENOR.00021.001"/>
    <s v="COO0559"/>
    <s v="TR em elaboração"/>
    <s v="(PE) Não Requisitado e com ID Financeira"/>
    <x v="3"/>
    <n v="350000"/>
    <s v="Não alterado"/>
    <s v="Gilton Carlos De Andrade Furtado"/>
    <s v="Aquisição de conjunto completo da junta de vedação do eixo (UGH18): parte fixa e móvel"/>
  </r>
  <r>
    <n v="272"/>
    <e v="#REF!"/>
    <s v="Capex Orcamentário_PE2026_2030_COO_Rev1 - Gráficos.xlsx"/>
    <x v="0"/>
    <s v="Lucas Martins"/>
    <s v="COO272"/>
    <e v="#REF!"/>
    <s v="Corporativo"/>
    <x v="0"/>
    <s v="Geração"/>
    <x v="0"/>
    <x v="0"/>
    <s v="NGHI.0141"/>
    <m/>
    <m/>
    <s v="023/87-17"/>
    <s v="Unidade de filtração hidraulica do Regulador de velocidade com elemento absoluto e sistema monitoramento"/>
    <s v="Modernização"/>
    <s v="Modernização"/>
    <x v="7"/>
    <s v="Não emitido"/>
    <s v="UG01, UG02, UG03, UG04, UG05_ROTROFIT REGULADOR DE VELOCidade _Unidade de filtração hidraulica do Regulador de velocidade com elemento absoluto e sistema monitoramento"/>
    <x v="2"/>
    <n v="0"/>
    <n v="0"/>
    <n v="0"/>
    <n v="0"/>
    <m/>
    <n v="0"/>
    <n v="0"/>
    <n v="0"/>
    <m/>
    <n v="0"/>
    <n v="0"/>
    <n v="0"/>
    <n v="0"/>
    <n v="200000"/>
    <n v="650000"/>
    <n v="466666.67"/>
    <n v="0"/>
    <n v="1316666.67"/>
    <n v="0"/>
    <n v="0"/>
    <n v="0"/>
    <n v="0"/>
    <n v="0"/>
    <n v="1316666.67"/>
    <s v="#DESPEJAR!"/>
    <s v="AGMGNO"/>
    <n v="2026"/>
    <s v="ENOR.00012.005"/>
    <n v="0"/>
    <s v="Não iniciado"/>
    <s v="Nova Demanda"/>
    <x v="3"/>
    <n v="200000"/>
    <s v="RD 2027 o 2029"/>
    <s v="Frederico Rodolfo Parente Doerner"/>
    <s v="Unidade de filtração hidraulica do Regulador de velocidade com elemento absoluto e sistema monitoramento"/>
  </r>
  <r>
    <n v="375"/>
    <e v="#REF!"/>
    <s v="Capex Orcamentário_PE2026_2030_COO_Rev1 - Gráficos.xlsx"/>
    <x v="0"/>
    <s v="Lucas Martins"/>
    <s v="COO375"/>
    <e v="#REF!"/>
    <s v="Corporativo"/>
    <x v="0"/>
    <s v="Geração"/>
    <x v="0"/>
    <x v="0"/>
    <s v="NGHI.0141"/>
    <m/>
    <m/>
    <s v="0484/2016"/>
    <s v="Superação equipamentos vão da UG 03 da UHCN"/>
    <s v="Modernização"/>
    <s v="Modernização"/>
    <x v="7"/>
    <s v="Não emitido"/>
    <s v="Substituição do disjuntor e seccionadora do Vão da 3ª unidade de Coaracy Nunes devido superação de curto Circtuito"/>
    <x v="3"/>
    <n v="0"/>
    <n v="0"/>
    <n v="0"/>
    <n v="0"/>
    <n v="0"/>
    <n v="0"/>
    <n v="0"/>
    <n v="0"/>
    <m/>
    <n v="0"/>
    <n v="200000"/>
    <n v="0"/>
    <n v="200000"/>
    <n v="0"/>
    <n v="0"/>
    <n v="0"/>
    <n v="0"/>
    <n v="200000"/>
    <n v="0"/>
    <n v="0"/>
    <n v="0"/>
    <n v="0"/>
    <n v="0"/>
    <n v="200000"/>
    <s v="#DESPEJAR!"/>
    <s v="AGCGNO"/>
    <n v="2026"/>
    <s v="ENOR.00308.001"/>
    <n v="0"/>
    <s v="TR em elaboração"/>
    <s v="Nova Demanda"/>
    <x v="3"/>
    <n v="200000"/>
    <s v="Não alterado"/>
    <s v="Geovane Andrade Melo Luz"/>
    <s v="Superação equipamentos vão da UG 03 da UHCN"/>
  </r>
  <r>
    <n v="386"/>
    <e v="#REF!"/>
    <s v="Capex Orcamentário_PE2026_2030_COO_Rev1 - Gráficos.xlsx"/>
    <x v="0"/>
    <s v="Lucas Martins"/>
    <s v="COO386"/>
    <e v="#REF!"/>
    <s v="Corporativo"/>
    <x v="0"/>
    <s v="Geração"/>
    <x v="0"/>
    <x v="0"/>
    <s v="NGHI.0143"/>
    <m/>
    <m/>
    <s v="13777/2022"/>
    <s v="Modernizaçãosistema de resfriamento das uidades geradoras da UHE Curuá-Una"/>
    <s v="Modernização"/>
    <s v="Modernização"/>
    <x v="4"/>
    <n v="3400002923"/>
    <s v="Substituição de equipamentos com fim de vida util"/>
    <x v="4"/>
    <n v="0"/>
    <n v="0"/>
    <n v="0"/>
    <n v="0"/>
    <n v="0"/>
    <n v="0"/>
    <n v="0"/>
    <n v="0"/>
    <n v="300000"/>
    <n v="0"/>
    <n v="300000"/>
    <n v="0"/>
    <n v="600000"/>
    <n v="600000"/>
    <n v="0"/>
    <n v="0"/>
    <n v="0"/>
    <n v="1200000"/>
    <n v="0"/>
    <n v="0"/>
    <n v="0"/>
    <n v="0"/>
    <n v="0"/>
    <n v="1200000"/>
    <s v="#DESPEJAR!"/>
    <s v="OOGCU.N"/>
    <n v="2025"/>
    <s v="ENOR.00042"/>
    <s v="COO0670"/>
    <s v="Em negociação"/>
    <s v="PE sem cód ID Financeira"/>
    <x v="1"/>
    <n v="600000"/>
    <s v="Não alterado"/>
    <s v="Airton Rego Bentes"/>
    <s v="Modernizaçãosistema de resfriamento das uidades geradoras da UHE Curuá-Una"/>
  </r>
  <r>
    <n v="343"/>
    <e v="#REF!"/>
    <s v="Capex Orcamentário_PE2026_2030_COO_Rev1 - Gráficos.xlsx"/>
    <x v="0"/>
    <s v="Lucas Martins"/>
    <s v="COO343"/>
    <e v="#REF!"/>
    <s v="Corporativo"/>
    <x v="0"/>
    <s v="Geração"/>
    <x v="0"/>
    <x v="0"/>
    <s v="NGHI.0023"/>
    <m/>
    <m/>
    <s v="13592/2022"/>
    <s v="Modernização do sistema auto-limpante de água industrial da UHE Tucuruí"/>
    <s v="Modernização"/>
    <s v="Modernização"/>
    <x v="13"/>
    <n v="4500057018"/>
    <s v="Fornecimento, retirada de equipamento em operação, adequação, instalação e comissionamento de filtros autolimpantes multielementos com sistema Flushing e Backflushing, totalmente automático, com corpo construído em chapas de Aço Carbono ASTM A285-C e elementos em inox 304, 316 ou superior, no âmbito da Superintendência de Produção da Geração Hidráulica – OGH."/>
    <x v="0"/>
    <n v="0"/>
    <n v="0"/>
    <n v="0"/>
    <n v="0"/>
    <n v="0"/>
    <n v="0"/>
    <n v="500000"/>
    <n v="0"/>
    <n v="0"/>
    <n v="500000"/>
    <n v="0"/>
    <n v="500000"/>
    <n v="1500000"/>
    <n v="500000"/>
    <n v="0"/>
    <n v="0"/>
    <n v="0"/>
    <n v="2000000"/>
    <n v="0"/>
    <n v="0"/>
    <n v="0"/>
    <n v="0"/>
    <n v="0"/>
    <n v="2000000"/>
    <s v="#DESPEJAR!"/>
    <s v="AGMGNO"/>
    <n v="2025"/>
    <s v="ENOR.00095.001"/>
    <s v="COO0548"/>
    <s v="Contratado"/>
    <s v="Nova Demanda"/>
    <x v="0"/>
    <n v="500000"/>
    <s v="Ajustado conforme contrato"/>
    <s v="Frederico Rodolfo Parente Doerner"/>
    <s v="Modernização do sistema auto-limpante de água industrial da UHE Tucuruí"/>
  </r>
  <r>
    <n v="346"/>
    <e v="#REF!"/>
    <s v="Capex Orcamentário_PE2026_2030_COO_Rev1 - Gráficos.xlsx"/>
    <x v="0"/>
    <s v="Lucas Martins"/>
    <s v="COO346"/>
    <e v="#REF!"/>
    <s v="Corporativo"/>
    <x v="0"/>
    <s v="Geração"/>
    <x v="0"/>
    <x v="0"/>
    <s v="NGHI.0141"/>
    <m/>
    <m/>
    <s v="13592/2022"/>
    <s v="Aquisição de um Gerador Diesel de Emergência para a CFII da UHE Tucuruí"/>
    <s v="Modernização"/>
    <s v="Modernização"/>
    <x v="7"/>
    <n v="4600002614"/>
    <m/>
    <x v="0"/>
    <n v="0"/>
    <n v="0"/>
    <n v="0"/>
    <n v="0"/>
    <n v="500000"/>
    <n v="0"/>
    <n v="500000"/>
    <n v="0"/>
    <n v="500000"/>
    <n v="0"/>
    <n v="0"/>
    <n v="0"/>
    <n v="1500000"/>
    <n v="0"/>
    <n v="0"/>
    <n v="0"/>
    <n v="0"/>
    <n v="1500000"/>
    <n v="0"/>
    <n v="0"/>
    <n v="0"/>
    <n v="0"/>
    <n v="0"/>
    <n v="1500000"/>
    <s v="#DESPEJAR!"/>
    <s v="AGMGNO"/>
    <n v="2026"/>
    <s v="ENOR.00099.001"/>
    <s v="COO0558"/>
    <s v="Contratado"/>
    <s v="Nova Demanda"/>
    <x v="1"/>
    <n v="500000"/>
    <s v="Ajustado conforme contrato"/>
    <s v="Frederico Rodolfo Parente Doerner"/>
    <s v="Aquisição de um Gerador Diesel de Emergência para a CFII da UHE Tucuruí"/>
  </r>
  <r>
    <n v="347"/>
    <e v="#REF!"/>
    <s v="Capex Orcamentário_PE2026_2030_COO_Rev1 - Gráficos.xlsx"/>
    <x v="0"/>
    <s v="Lucas Martins"/>
    <s v="COO347"/>
    <e v="#REF!"/>
    <s v="Corporativo"/>
    <x v="0"/>
    <s v="Geração"/>
    <x v="0"/>
    <x v="0"/>
    <s v="NGHI.0087"/>
    <m/>
    <m/>
    <s v="13592/2022"/>
    <s v="Modernização do Barramento Blindado (13,8kV) UG19 da UHE Tucuruí"/>
    <s v="Modernização"/>
    <s v="Modernização"/>
    <x v="14"/>
    <n v="4500079631"/>
    <s v="Recuperação do BARRAMENTO BLINDADO DE FASES ISOLADAS 13.8kV, da unidade geradora 19 (TUUGH-19) da UHE Tucuruí/PA."/>
    <x v="0"/>
    <n v="0"/>
    <n v="500000"/>
    <n v="0"/>
    <n v="0"/>
    <n v="0"/>
    <n v="0"/>
    <n v="0"/>
    <n v="0"/>
    <n v="0"/>
    <n v="0"/>
    <n v="0"/>
    <n v="0"/>
    <n v="500000"/>
    <n v="0"/>
    <n v="0"/>
    <n v="0"/>
    <n v="0"/>
    <n v="500000"/>
    <n v="0"/>
    <n v="0"/>
    <n v="0"/>
    <n v="0"/>
    <n v="0"/>
    <n v="500000"/>
    <s v="#DESPEJAR!"/>
    <s v="AGMGNO"/>
    <n v="2025"/>
    <s v="ENOR.00101.001"/>
    <s v="COO0585"/>
    <s v="Contratado"/>
    <s v="Nova Demanda"/>
    <x v="0"/>
    <n v="500000"/>
    <s v="Não alterado"/>
    <s v="Frederico Rodolfo Parente Doerner"/>
    <s v="Modernização do Barramento Blindado (13,8kV) UG19 da UHE Tucuruí"/>
  </r>
  <r>
    <n v="348"/>
    <e v="#REF!"/>
    <s v="Capex Orcamentário_PE2026_2030_COO_Rev1 - Gráficos.xlsx"/>
    <x v="0"/>
    <s v="Lucas Martins"/>
    <s v="COO348"/>
    <e v="#REF!"/>
    <s v="Corporativo"/>
    <x v="0"/>
    <s v="Geração"/>
    <x v="0"/>
    <x v="0"/>
    <s v="NGHI.0083"/>
    <m/>
    <m/>
    <s v="13592/2022"/>
    <s v="Modernização da GIS TUUGH-19 da UHE Tucuruí"/>
    <s v="Modernização"/>
    <s v="Modernização"/>
    <x v="15"/>
    <n v="4500076990"/>
    <s v="Fornecimento de peças &quot;Equipamentos o Materiais&quot; e serviços de inspeção,montagem e comissionamento &quot;Serviços&quot; para revitalização da subestaçãoisolada a gás SF6 tuugh-19 da UHE Tucuruí."/>
    <x v="0"/>
    <n v="0"/>
    <n v="0"/>
    <n v="500000"/>
    <n v="0"/>
    <n v="0"/>
    <n v="0"/>
    <n v="0"/>
    <n v="0"/>
    <n v="0"/>
    <n v="0"/>
    <n v="0"/>
    <n v="0"/>
    <n v="500000"/>
    <n v="0"/>
    <n v="0"/>
    <n v="0"/>
    <n v="0"/>
    <n v="500000"/>
    <n v="0"/>
    <n v="0"/>
    <n v="0"/>
    <n v="0"/>
    <n v="0"/>
    <n v="500000"/>
    <s v="#DESPEJAR!"/>
    <s v="AGMGNO"/>
    <n v="2025"/>
    <s v="ENOR.00104.001"/>
    <s v="COO0630"/>
    <s v="Contratado"/>
    <s v="Nova Demanda"/>
    <x v="0"/>
    <n v="500000"/>
    <s v="Não alterado"/>
    <s v="Frederico Rodolfo Parente Doerner"/>
    <s v="Modernização da GIS TUUGH-19 da UHE Tucuruí"/>
  </r>
  <r>
    <n v="358"/>
    <e v="#REF!"/>
    <s v="Capex Orcamentário_PE2026_2030_COO_Rev1 - Gráficos.xlsx"/>
    <x v="0"/>
    <s v="Lucas Martins"/>
    <s v="COO358"/>
    <e v="#REF!"/>
    <s v="Corporativo"/>
    <x v="0"/>
    <s v="Geração"/>
    <x v="0"/>
    <x v="0"/>
    <s v="NGHI.0143"/>
    <m/>
    <m/>
    <s v="13592/2022"/>
    <s v="Reserva imobilizada para UHE Tucuruí"/>
    <s v="Modernização"/>
    <s v="Modernização"/>
    <x v="4"/>
    <s v="Não emitido"/>
    <s v="Aquisição Sobressalentes Estrategicos sistema Gerador (sensores, barras, cunhas, travas, reisolação polos, molas, porta escova, calço e capas isolantes)"/>
    <x v="0"/>
    <n v="0"/>
    <n v="0"/>
    <n v="0"/>
    <n v="0"/>
    <m/>
    <n v="0"/>
    <m/>
    <n v="0"/>
    <m/>
    <n v="0"/>
    <n v="0"/>
    <n v="250000"/>
    <n v="250000"/>
    <n v="900000"/>
    <n v="750000"/>
    <n v="0"/>
    <n v="0"/>
    <n v="1900000"/>
    <n v="0"/>
    <n v="0"/>
    <n v="0"/>
    <n v="0"/>
    <n v="0"/>
    <n v="1900000"/>
    <s v="#DESPEJAR!"/>
    <s v="OOGTE.N"/>
    <n v="2025"/>
    <s v="ENOR.00119.001"/>
    <s v="COO0659"/>
    <s v="Não iniciado"/>
    <s v="(PE) Não Requisitado e com ID Financeira"/>
    <x v="3"/>
    <n v="1000000"/>
    <s v="RD 2026 a 2028"/>
    <s v="Albert Ferraz Botelho Da Silva"/>
    <s v="Reserva imobilizada para UHE Tucuruí"/>
  </r>
  <r>
    <n v="374"/>
    <e v="#REF!"/>
    <s v="Capex Orcamentário_PE2026_2030_COO_Rev1 - Gráficos.xlsx"/>
    <x v="0"/>
    <s v="Lucas Martins"/>
    <s v="COO374"/>
    <e v="#REF!"/>
    <s v="Corporativo"/>
    <x v="0"/>
    <s v="Geração"/>
    <x v="0"/>
    <x v="0"/>
    <s v="NGHI.0070"/>
    <m/>
    <m/>
    <n v="157189"/>
    <s v="Monitoramento de buchas de transformador"/>
    <s v="Modernização"/>
    <s v="Modernização"/>
    <x v="16"/>
    <n v="4500067440"/>
    <s v="Garantir o monitoramento da capactancia de bucha dos transformadores"/>
    <x v="1"/>
    <n v="0"/>
    <n v="0"/>
    <n v="0"/>
    <n v="0"/>
    <n v="0"/>
    <n v="0"/>
    <n v="450000"/>
    <n v="0"/>
    <n v="0"/>
    <n v="0"/>
    <n v="0"/>
    <n v="0"/>
    <n v="450000"/>
    <n v="0"/>
    <n v="0"/>
    <n v="0"/>
    <n v="0"/>
    <n v="450000"/>
    <n v="0"/>
    <n v="0"/>
    <n v="0"/>
    <n v="0"/>
    <n v="0"/>
    <n v="450000"/>
    <s v="#DESPEJAR!"/>
    <s v="ATMTSN"/>
    <n v="2024"/>
    <s v="ENOR.00306"/>
    <s v="COO0551"/>
    <s v="Contratado"/>
    <s v="(PE) Requisitado e Contratado e com ID Financeira"/>
    <x v="0"/>
    <n v="450000"/>
    <s v="Não alterado"/>
    <s v="Francisco Figueiredo Silva Neto"/>
    <s v="Monitoramento de buchas de transformador"/>
  </r>
  <r>
    <n v="359"/>
    <e v="#REF!"/>
    <s v="Capex Orcamentário_PE2026_2030_COO_Rev1 - Gráficos.xlsx"/>
    <x v="0"/>
    <s v="Lucas Martins"/>
    <s v="COO359"/>
    <e v="#REF!"/>
    <s v="Corporativo"/>
    <x v="0"/>
    <s v="Geração"/>
    <x v="0"/>
    <x v="0"/>
    <s v="NGHI.0143"/>
    <m/>
    <m/>
    <s v="13592/2022"/>
    <s v="Reserva imobilizada para UHE Tucuruí"/>
    <s v="Modernização"/>
    <s v="Modernização"/>
    <x v="4"/>
    <s v="Não emitido"/>
    <s v="Aquisição Sobressalentes Estrategicos sistema transformador"/>
    <x v="0"/>
    <n v="0"/>
    <n v="0"/>
    <n v="0"/>
    <n v="0"/>
    <n v="0"/>
    <m/>
    <n v="0"/>
    <m/>
    <n v="0"/>
    <m/>
    <n v="0"/>
    <n v="150000"/>
    <n v="150000"/>
    <n v="900000"/>
    <n v="850000"/>
    <n v="0"/>
    <n v="0"/>
    <n v="1900000"/>
    <n v="0"/>
    <n v="0"/>
    <n v="0"/>
    <n v="0"/>
    <n v="0"/>
    <n v="1900000"/>
    <s v="#DESPEJAR!"/>
    <s v="OOGTE.N"/>
    <n v="2025"/>
    <s v="ENOR.00119.001"/>
    <s v="COO0659"/>
    <s v="Não iniciado"/>
    <s v="(PE) Não Requisitado e com ID Financeira"/>
    <x v="3"/>
    <n v="1000000"/>
    <s v="RD 2026 a 2028"/>
    <s v="Albert Ferraz Botelho Da Silva"/>
    <s v="Reserva imobilizada para UHE Tucuruí"/>
  </r>
  <r>
    <n v="339"/>
    <e v="#REF!"/>
    <s v="Capex Orcamentário_PE2026_2030_COO_Rev1 - Gráficos.xlsx"/>
    <x v="0"/>
    <s v="Lucas Martins"/>
    <s v="COO339"/>
    <e v="#REF!"/>
    <s v="Corporativo"/>
    <x v="0"/>
    <s v="Geração"/>
    <x v="0"/>
    <x v="0"/>
    <s v="NGHI.0141"/>
    <m/>
    <m/>
    <s v="0484/2016"/>
    <s v="Aquisição de novo GDE de 400KVA"/>
    <s v="Modernização"/>
    <s v="Modernização"/>
    <x v="7"/>
    <s v="Não emitido"/>
    <s v="Aquisição de Grupo Diesel de 400KVA"/>
    <x v="3"/>
    <n v="0"/>
    <n v="0"/>
    <n v="0"/>
    <n v="0"/>
    <n v="0"/>
    <n v="0"/>
    <n v="0"/>
    <n v="0"/>
    <n v="0"/>
    <m/>
    <n v="0"/>
    <n v="0"/>
    <n v="0"/>
    <n v="600000"/>
    <n v="300000"/>
    <n v="0"/>
    <n v="0"/>
    <n v="900000"/>
    <n v="0"/>
    <n v="0"/>
    <n v="0"/>
    <n v="0"/>
    <n v="0"/>
    <n v="900000"/>
    <s v="#DESPEJAR!"/>
    <s v="AGMGNO"/>
    <n v="2026"/>
    <s v="ENOR.00091.001"/>
    <n v="0"/>
    <s v="Não iniciado"/>
    <s v="Nova Demanda"/>
    <x v="3"/>
    <n v="300000"/>
    <s v="RD 2027 e 2028"/>
    <s v="Frederico Rodolfo Parente Doerner"/>
    <s v="Aquisição de novo GDE de 400KVA"/>
  </r>
  <r>
    <n v="288"/>
    <e v="#REF!"/>
    <s v="Capex Orcamentário_PE2026_2030_COO_Rev1 - Gráficos.xlsx"/>
    <x v="0"/>
    <s v="Lucas Martins"/>
    <s v="COO288"/>
    <e v="#REF!"/>
    <s v="Corporativo"/>
    <x v="0"/>
    <s v="Geração"/>
    <x v="0"/>
    <x v="0"/>
    <s v="NGHI.0141"/>
    <m/>
    <m/>
    <s v="13777/2022"/>
    <s v="Modernização da Ponte Rolante e Porticos da Casa de Força e Vertedouro"/>
    <s v="Modernização"/>
    <s v="Modernização"/>
    <x v="7"/>
    <s v="Não emitido"/>
    <s v="Modernização de equipamentos de içamento"/>
    <x v="4"/>
    <n v="0"/>
    <n v="0"/>
    <n v="0"/>
    <n v="0"/>
    <n v="0"/>
    <n v="0"/>
    <n v="0"/>
    <n v="0"/>
    <n v="0"/>
    <n v="0"/>
    <n v="0"/>
    <m/>
    <n v="0"/>
    <n v="600000"/>
    <n v="600000"/>
    <n v="0"/>
    <n v="0"/>
    <n v="1200000"/>
    <n v="0"/>
    <n v="0"/>
    <n v="0"/>
    <n v="0"/>
    <n v="0"/>
    <n v="1200000"/>
    <s v="#DESPEJAR!"/>
    <s v="AGMGNO"/>
    <n v="2026"/>
    <s v="ENOR.00035.001"/>
    <n v="0"/>
    <s v="Não iniciado"/>
    <s v="Nova Demanda"/>
    <x v="3"/>
    <n v="300000"/>
    <s v="RD 2027 e 2028"/>
    <s v="Frederico Rodolfo Parente Doerner"/>
    <s v="Modernização da Ponte Rolante e Porticos da Casa de Força e Vertedouro"/>
  </r>
  <r>
    <n v="360"/>
    <e v="#REF!"/>
    <s v="Capex Orcamentário_PE2026_2030_COO_Rev1 - Gráficos.xlsx"/>
    <x v="0"/>
    <s v="Lucas Martins"/>
    <s v="COO360"/>
    <e v="#REF!"/>
    <s v="Corporativo"/>
    <x v="0"/>
    <s v="Geração"/>
    <x v="0"/>
    <x v="0"/>
    <s v="NGHI.0143"/>
    <m/>
    <m/>
    <s v="13592/2022"/>
    <s v="Reserva imobilizada para UHE Tucuruí"/>
    <s v="Modernização"/>
    <s v="Modernização"/>
    <x v="4"/>
    <s v="Não emitido"/>
    <s v="Aquisição Sobressalentes Estrategicos sistema Subestação Blindada a Gas"/>
    <x v="0"/>
    <n v="0"/>
    <n v="0"/>
    <n v="0"/>
    <n v="0"/>
    <m/>
    <n v="0"/>
    <m/>
    <n v="0"/>
    <m/>
    <n v="0"/>
    <n v="0"/>
    <n v="200000"/>
    <n v="200000"/>
    <n v="900000"/>
    <n v="800000"/>
    <n v="0"/>
    <n v="0"/>
    <n v="1900000"/>
    <n v="0"/>
    <n v="0"/>
    <n v="0"/>
    <n v="0"/>
    <n v="0"/>
    <n v="1900000"/>
    <s v="#DESPEJAR!"/>
    <s v="OOGTE.N"/>
    <n v="2025"/>
    <s v="ENOR.00119.001"/>
    <s v="COO0659"/>
    <s v="Não iniciado"/>
    <s v="(PE) Não Requisitado e com ID Financeira"/>
    <x v="3"/>
    <n v="1000000"/>
    <s v="RD 2027 e 2028"/>
    <s v="Albert Ferraz Botelho Da Silva"/>
    <s v="Reserva imobilizada para UHE Tucuruí"/>
  </r>
  <r>
    <n v="371"/>
    <e v="#REF!"/>
    <s v="Capex Orcamentário_PE2026_2030_COO_Rev1 - Gráficos.xlsx"/>
    <x v="0"/>
    <s v="Lucas Martins"/>
    <s v="COO371"/>
    <e v="#REF!"/>
    <s v="Corporativo"/>
    <x v="0"/>
    <s v="Geração"/>
    <x v="0"/>
    <x v="0"/>
    <s v="NGHI.0141"/>
    <m/>
    <m/>
    <s v="13592/2022"/>
    <s v="Aquisição de para-raios para a UHE Tucuruí"/>
    <s v="Modernização"/>
    <s v="Modernização"/>
    <x v="7"/>
    <n v="3400004230"/>
    <s v="Substituição de três (3) Para-Raios associados à Unidades Geradoras 1 e 2 referente as Fases A, B e V da linha TUTCLT7-01."/>
    <x v="0"/>
    <n v="0"/>
    <n v="0"/>
    <n v="0"/>
    <n v="0"/>
    <n v="0"/>
    <n v="0"/>
    <n v="0"/>
    <n v="0"/>
    <n v="0"/>
    <n v="0"/>
    <m/>
    <n v="0"/>
    <n v="0"/>
    <n v="1000000"/>
    <n v="1000000"/>
    <n v="0"/>
    <n v="0"/>
    <n v="2000000"/>
    <n v="0"/>
    <n v="0"/>
    <n v="0"/>
    <n v="0"/>
    <n v="0"/>
    <n v="2000000"/>
    <s v="#DESPEJAR!"/>
    <s v="AGMGNO"/>
    <n v="2025"/>
    <s v="ENOR.00302.001"/>
    <s v="COO0648"/>
    <s v="RC aprovada"/>
    <s v="(PE) Não Requisitado e com ID Financeira"/>
    <x v="1"/>
    <n v="300000"/>
    <s v="RD 2027 a 2028"/>
    <s v="Frederico Rodolfo Parente Doerner"/>
    <s v="Aquisição de para-raios para a UHE Tucuruí"/>
  </r>
  <r>
    <n v="354"/>
    <e v="#REF!"/>
    <s v="Capex Orcamentário_PE2026_2030_COO_Rev1 - Gráficos.xlsx"/>
    <x v="0"/>
    <s v="Lucas Martins"/>
    <s v="COO354"/>
    <e v="#REF!"/>
    <s v="Corporativo"/>
    <x v="0"/>
    <s v="Geração"/>
    <x v="0"/>
    <x v="0"/>
    <s v="NGHI.0143"/>
    <m/>
    <m/>
    <s v="13592/2022"/>
    <s v="Modernização dos disjuntores MERLIN GERIN para a UHE Tucuruí"/>
    <s v="Modernização"/>
    <s v="Modernização"/>
    <x v="4"/>
    <n v="3400004437"/>
    <s v="Fornecimento de disjuntores para substituição dos disjuntores fora de linha de fabricação MERLIN GERIN, modelo NT 12H1, número de série 424289."/>
    <x v="0"/>
    <n v="0"/>
    <n v="223686"/>
    <n v="0"/>
    <n v="0"/>
    <n v="0"/>
    <n v="0"/>
    <n v="0"/>
    <n v="0"/>
    <n v="0"/>
    <n v="0"/>
    <n v="0"/>
    <n v="0"/>
    <n v="223686"/>
    <n v="0"/>
    <n v="0"/>
    <n v="0"/>
    <n v="0"/>
    <n v="223686"/>
    <n v="0"/>
    <n v="0"/>
    <n v="0"/>
    <n v="0"/>
    <n v="0"/>
    <n v="223686"/>
    <s v="#DESPEJAR!"/>
    <s v="OOGTE.N"/>
    <n v="2025"/>
    <s v="ENOR.00112.001"/>
    <s v="COO0606"/>
    <s v="Em negociação"/>
    <s v="(PE) Não Requisitado e com ID Financeira"/>
    <x v="1"/>
    <n v="223686"/>
    <s v="Não alterado"/>
    <s v="Albert Ferraz Botelho Da Silva"/>
    <s v="Modernização dos disjuntores MERLIN GERIN para a UHE Tucuruí"/>
  </r>
  <r>
    <n v="385"/>
    <e v="#REF!"/>
    <s v="Capex Orcamentário_PE2026_2030_COO_Rev1 - Gráficos.xlsx"/>
    <x v="0"/>
    <s v="Lucas Martins"/>
    <s v="COO385"/>
    <e v="#REF!"/>
    <s v="Corporativo"/>
    <x v="0"/>
    <s v="Geração"/>
    <x v="0"/>
    <x v="0"/>
    <s v="NGHI.0143"/>
    <m/>
    <m/>
    <s v="023/87-17"/>
    <s v="Sistema de Ventilação e exaustão das  galerias da UHE Balbina."/>
    <s v="Modernização"/>
    <s v="Modernização"/>
    <x v="4"/>
    <n v="3500006131"/>
    <s v="Melhoria no sistema de exaustão e ventilação das galerias da UHE Balbina."/>
    <x v="2"/>
    <n v="0"/>
    <n v="0"/>
    <n v="0"/>
    <n v="0"/>
    <n v="150000"/>
    <n v="0"/>
    <n v="200000"/>
    <n v="0"/>
    <n v="150000"/>
    <n v="0"/>
    <n v="100000"/>
    <n v="0"/>
    <n v="600000"/>
    <n v="500000"/>
    <n v="0"/>
    <n v="0"/>
    <n v="0"/>
    <n v="1100000"/>
    <n v="0"/>
    <n v="0"/>
    <n v="0"/>
    <n v="0"/>
    <n v="0"/>
    <n v="1100000"/>
    <s v="#DESPEJAR!"/>
    <s v="OOGBA.N"/>
    <n v="2026"/>
    <s v="ENOR.00085"/>
    <n v="0"/>
    <s v="Em negociação"/>
    <s v="Nova Demanda"/>
    <x v="3"/>
    <n v="600000"/>
    <s v="Confirmado execução (Cleomar)"/>
    <s v="Milton Pereira Menezes"/>
    <s v="Sistema de Ventilação e exaustão das  galerias da UHE Balbina."/>
  </r>
  <r>
    <n v="316"/>
    <e v="#REF!"/>
    <s v="Capex Orcamentário_PE2026_2030_COO_Rev1 - Gráficos.xlsx"/>
    <x v="0"/>
    <s v="Lucas Martins"/>
    <s v="COO316"/>
    <e v="#REF!"/>
    <s v="Corporativo"/>
    <x v="0"/>
    <s v="Geração"/>
    <x v="0"/>
    <x v="0"/>
    <s v="NGHI.0143"/>
    <m/>
    <m/>
    <n v="157189"/>
    <s v="Aquisição de banco de baterias 125VCC"/>
    <s v="Modernização"/>
    <s v="Modernização"/>
    <x v="4"/>
    <s v="Não emitido"/>
    <s v="Substituição de banco de baterias UHE Samuel"/>
    <x v="1"/>
    <n v="0"/>
    <n v="0"/>
    <n v="0"/>
    <n v="0"/>
    <n v="0"/>
    <n v="0"/>
    <n v="0"/>
    <n v="0"/>
    <n v="0"/>
    <n v="0"/>
    <n v="300000"/>
    <n v="0"/>
    <n v="300000"/>
    <n v="200000"/>
    <n v="0"/>
    <n v="0"/>
    <n v="0"/>
    <n v="500000"/>
    <n v="0"/>
    <n v="0"/>
    <n v="0"/>
    <n v="0"/>
    <n v="0"/>
    <n v="500000"/>
    <s v="#DESPEJAR!"/>
    <s v="OOGSA.N"/>
    <n v="2026"/>
    <s v="ENOR.00066.001"/>
    <n v="0"/>
    <s v="TR em elaboração"/>
    <s v="Nova Demanda"/>
    <x v="3"/>
    <n v="300000"/>
    <s v="RD 2026 a 2027"/>
    <s v="Robinson Percy Holder"/>
    <s v="Aquisição de banco de baterias 125VCC"/>
  </r>
  <r>
    <n v="298"/>
    <e v="#REF!"/>
    <s v="Capex Orcamentário_PE2026_2030_COO_Rev1 - Gráficos.xlsx"/>
    <x v="0"/>
    <s v="Lucas Martins"/>
    <s v="COO298"/>
    <e v="#REF!"/>
    <s v="Corporativo"/>
    <x v="0"/>
    <s v="Geração"/>
    <x v="0"/>
    <x v="0"/>
    <s v="NGHI.0143"/>
    <m/>
    <m/>
    <s v="13777/2022"/>
    <s v="Substituição dos cabos para-raios da LT CUTA-LI5-01 da UHE Curuá-Una"/>
    <s v="Modernização"/>
    <s v="Modernização"/>
    <x v="4"/>
    <s v="Não emitido"/>
    <s v="Substituição do cabo para raios da linha de CUTA-LI5-01"/>
    <x v="4"/>
    <n v="0"/>
    <n v="0"/>
    <n v="0"/>
    <n v="0"/>
    <n v="0"/>
    <n v="0"/>
    <n v="0"/>
    <n v="0"/>
    <m/>
    <n v="0"/>
    <n v="0"/>
    <n v="0"/>
    <n v="0"/>
    <n v="1100000"/>
    <n v="0"/>
    <n v="0"/>
    <n v="0"/>
    <n v="1100000"/>
    <n v="0"/>
    <n v="0"/>
    <n v="0"/>
    <n v="0"/>
    <n v="0"/>
    <n v="1100000"/>
    <s v="#DESPEJAR!"/>
    <s v="ATMTLN"/>
    <n v="2025"/>
    <s v="ENOR.00048.001"/>
    <s v="COO0743"/>
    <s v="Não iniciado"/>
    <s v="PE sem cód ID Financeira"/>
    <x v="3"/>
    <n v="100000"/>
    <s v="RD 2027"/>
    <s v="Jimmison Levi Monteiro De Oliveira"/>
    <s v="Substituição dos cabos para-raios da LT CUTA-LI5-01 da UHE Curuá-Una"/>
  </r>
  <r>
    <n v="369"/>
    <e v="#REF!"/>
    <s v="Capex Orcamentário_PE2026_2030_COO_Rev1 - Gráficos.xlsx"/>
    <x v="0"/>
    <s v="Lucas Martins"/>
    <s v="COO369"/>
    <e v="#REF!"/>
    <s v="Corporativo"/>
    <x v="0"/>
    <s v="Geração"/>
    <x v="0"/>
    <x v="1"/>
    <s v="NSTC.0037"/>
    <m/>
    <m/>
    <s v="13592/2022"/>
    <s v="SWITCHES DE TO"/>
    <s v="Modernização"/>
    <s v="Telecom"/>
    <x v="9"/>
    <s v="Ver contrato telecon"/>
    <s v="Implantação de Switches de TO para ampliação e melhoria dos Sistemas de Telecomunicações dos Centros de Operação e CGRT da Eletronorte"/>
    <x v="0"/>
    <n v="0"/>
    <n v="0"/>
    <n v="0"/>
    <n v="0"/>
    <n v="53000"/>
    <n v="0"/>
    <n v="0"/>
    <n v="0"/>
    <n v="0"/>
    <n v="0"/>
    <n v="0"/>
    <n v="0"/>
    <n v="53000"/>
    <n v="0"/>
    <n v="0"/>
    <n v="0"/>
    <n v="0"/>
    <n v="53000"/>
    <n v="0"/>
    <n v="0"/>
    <n v="0"/>
    <n v="0"/>
    <n v="0"/>
    <n v="53000"/>
    <s v="#DESPEJAR!"/>
    <s v="OOPT.N"/>
    <n v="2025"/>
    <s v="ENOR.00204.001"/>
    <s v="COO1089"/>
    <s v="Em negociação"/>
    <s v="(PE) Não Requisitado e com ID Financeira"/>
    <x v="1"/>
    <n v="53000"/>
    <s v="Não alterado"/>
    <s v="João André Peixoto De Souza"/>
    <s v="SWITCHES DE TO"/>
  </r>
  <r>
    <n v="366"/>
    <e v="#REF!"/>
    <s v="Capex Orcamentário_PE2026_2030_COO_Rev1 - Gráficos.xlsx"/>
    <x v="0"/>
    <s v="Lucas Martins"/>
    <s v="COO366"/>
    <e v="#REF!"/>
    <s v="Corporativo"/>
    <x v="0"/>
    <s v="Geração"/>
    <x v="0"/>
    <x v="1"/>
    <s v="TL.9006"/>
    <m/>
    <m/>
    <s v="13777/2022"/>
    <s v="OPGW CURUÁ-UNA/TAPAJÓS"/>
    <s v="Modernização"/>
    <s v="Telecom"/>
    <x v="9"/>
    <s v="Ver contrato telecon"/>
    <s v="Implantação de Cabo OPGW entre UHE CURUÁ-UNA e SE TAPAJÓS"/>
    <x v="4"/>
    <n v="0"/>
    <n v="0"/>
    <n v="0"/>
    <n v="0"/>
    <n v="0"/>
    <m/>
    <n v="0"/>
    <n v="0"/>
    <n v="0"/>
    <n v="0"/>
    <n v="0"/>
    <n v="0"/>
    <n v="0"/>
    <n v="1000000"/>
    <n v="0"/>
    <n v="0"/>
    <n v="0"/>
    <n v="1000000"/>
    <n v="0"/>
    <n v="0"/>
    <n v="0"/>
    <n v="0"/>
    <n v="0"/>
    <n v="1000000"/>
    <s v="#DESPEJAR!"/>
    <s v="OOPT.N"/>
    <n v="2025"/>
    <s v="ENOR.00201.001"/>
    <s v="COO0696"/>
    <s v="TR em elaboração"/>
    <s v="(PE) Não Requisitado e com ID Financeira"/>
    <x v="1"/>
    <n v="9000"/>
    <s v="RD 2027"/>
    <s v="João André Peixoto De Souza"/>
    <s v="OPGW CURUÁ-UNA/TAPAJÓS"/>
  </r>
  <r>
    <n v="773"/>
    <b v="0"/>
    <m/>
    <x v="0"/>
    <s v="Lucas Martins"/>
    <s v="COO773"/>
    <e v="#REF!"/>
    <s v="Corporativo"/>
    <x v="0"/>
    <s v="Geração"/>
    <x v="0"/>
    <x v="0"/>
    <s v="A definir"/>
    <m/>
    <m/>
    <m/>
    <s v="Sistemas de Monitoramento para Transformadores"/>
    <s v="Modernização"/>
    <s v="Modernização"/>
    <x v="17"/>
    <m/>
    <m/>
    <x v="5"/>
    <m/>
    <m/>
    <m/>
    <m/>
    <m/>
    <m/>
    <m/>
    <m/>
    <m/>
    <m/>
    <m/>
    <m/>
    <n v="0"/>
    <m/>
    <n v="7820000"/>
    <n v="4692000"/>
    <n v="0"/>
    <n v="12512000"/>
    <m/>
    <m/>
    <m/>
    <m/>
    <m/>
    <n v="12512000"/>
    <m/>
    <s v="OORV"/>
    <n v="2025"/>
    <m/>
    <m/>
    <s v="Contratado"/>
    <s v="Contratado"/>
    <x v="0"/>
    <n v="0"/>
    <s v="Não alterado"/>
    <s v="Daniel Branquinho Ferreira"/>
    <s v="Sistemas de Monitoramento para Transformadores"/>
  </r>
  <r>
    <n v="271"/>
    <e v="#REF!"/>
    <s v="Capex Orcamentário_PE2026_2030_COO_Rev1 - Gráficos.xlsx"/>
    <x v="0"/>
    <s v="Lucas Martins"/>
    <s v="COO271"/>
    <e v="#REF!"/>
    <s v="Corporativo"/>
    <x v="0"/>
    <s v="Geração"/>
    <x v="0"/>
    <x v="0"/>
    <s v="NGHI.0141"/>
    <m/>
    <m/>
    <s v="023/87-17"/>
    <s v="Modernização RVT UHE Balbina"/>
    <s v="Modernização"/>
    <s v="Modernização"/>
    <x v="7"/>
    <m/>
    <s v="UG01_MODERNIZAÇÃO RV ELETRONICO /RV HIDRAULICO  (TRANSFORMADOR DE EXECITAÇÃO E ARMARIO COM PONTE DE TIRISTORES) incluindo rele de sobre frequencia de saida do Bay)"/>
    <x v="2"/>
    <n v="0"/>
    <n v="0"/>
    <n v="0"/>
    <n v="0"/>
    <n v="0"/>
    <n v="0"/>
    <n v="0"/>
    <n v="0"/>
    <n v="0"/>
    <n v="0"/>
    <n v="0"/>
    <n v="0"/>
    <n v="0"/>
    <n v="20910319"/>
    <n v="6233333.3300000001"/>
    <n v="0"/>
    <n v="0"/>
    <n v="27143652.329999998"/>
    <n v="0"/>
    <n v="0"/>
    <n v="0"/>
    <n v="0"/>
    <n v="0"/>
    <n v="27143652.329999998"/>
    <s v="#DESPEJAR!"/>
    <s v="AGMGNO"/>
    <n v="2026"/>
    <s v="ENOR.00011.011"/>
    <n v="0"/>
    <s v="Não iniciado"/>
    <s v="Nova Demanda"/>
    <x v="4"/>
    <n v="0"/>
    <m/>
    <s v="Frederico Rodolfo Parente Doerner"/>
    <s v="Modernização RVT UHE Balbina"/>
  </r>
  <r>
    <n v="273"/>
    <e v="#REF!"/>
    <s v="Capex Orcamentário_PE2026_2030_COO_Rev1 - Gráficos.xlsx"/>
    <x v="0"/>
    <s v="Lucas Martins"/>
    <s v="COO273"/>
    <e v="#REF!"/>
    <s v="Corporativo"/>
    <x v="0"/>
    <s v="Geração"/>
    <x v="0"/>
    <x v="0"/>
    <s v="NGHI.0141"/>
    <m/>
    <m/>
    <s v="023/87-17"/>
    <s v="SPCS balbina"/>
    <s v="Modernização"/>
    <s v="Modernização"/>
    <x v="7"/>
    <m/>
    <s v="UG01, UG02, UG04, UG05 e VERTEDOURO_ modernização do SPCS balbina"/>
    <x v="2"/>
    <n v="0"/>
    <n v="0"/>
    <n v="0"/>
    <n v="0"/>
    <n v="0"/>
    <n v="0"/>
    <n v="0"/>
    <n v="0"/>
    <n v="0"/>
    <n v="0"/>
    <n v="0"/>
    <n v="0"/>
    <n v="0"/>
    <n v="7200000"/>
    <n v="0"/>
    <n v="0"/>
    <n v="0"/>
    <n v="7200000"/>
    <n v="0"/>
    <n v="0"/>
    <n v="0"/>
    <n v="0"/>
    <n v="0"/>
    <n v="7200000"/>
    <s v="#DESPEJAR!"/>
    <s v="AGMGNO"/>
    <n v="2026"/>
    <s v="ENOR.00013.006"/>
    <n v="0"/>
    <s v="Não iniciado"/>
    <s v="Nova Demanda"/>
    <x v="4"/>
    <n v="0"/>
    <m/>
    <s v="Frederico Rodolfo Parente Doerner"/>
    <s v="SPCS balbina"/>
  </r>
  <r>
    <n v="322"/>
    <e v="#REF!"/>
    <s v="Capex Orcamentário_PE2026_2030_COO_Rev1 - Gráficos.xlsx"/>
    <x v="0"/>
    <s v="Lucas Martins"/>
    <s v="COO322"/>
    <e v="#REF!"/>
    <s v="Corporativo"/>
    <x v="0"/>
    <s v="Geração"/>
    <x v="0"/>
    <x v="0"/>
    <s v="NGHI.0141"/>
    <m/>
    <m/>
    <s v="023/87-17"/>
    <s v="MODERNIZAÇÃO DO SISTEMA DE AR DE REGULAÇÃO UHE BALBINA"/>
    <s v="Modernização"/>
    <s v="Modernização"/>
    <x v="7"/>
    <m/>
    <s v="MODERNIZAÇÃO DO SISTEMA DE AR DE REGULAÇÃO - COMPRESSORES AO-AP-AQ - UHE BALBINA"/>
    <x v="2"/>
    <n v="0"/>
    <n v="0"/>
    <n v="0"/>
    <n v="0"/>
    <n v="0"/>
    <n v="0"/>
    <n v="0"/>
    <n v="0"/>
    <n v="0"/>
    <n v="0"/>
    <n v="0"/>
    <n v="0"/>
    <n v="0"/>
    <n v="3000000"/>
    <n v="3000000"/>
    <n v="0"/>
    <n v="0"/>
    <n v="6000000"/>
    <n v="0"/>
    <n v="0"/>
    <n v="0"/>
    <n v="0"/>
    <n v="0"/>
    <n v="6000000"/>
    <s v="#DESPEJAR!"/>
    <s v="OOGBA.N"/>
    <n v="2026"/>
    <s v="ENOR.00074.001"/>
    <n v="0"/>
    <s v="Não iniciado"/>
    <s v="Nova Demanda"/>
    <x v="4"/>
    <n v="0"/>
    <m/>
    <s v="Milton Pereira Menezes"/>
    <s v="MODERNIZAÇÃO DO SISTEMA DE AR DE REGULAÇÃO UHE BALBINA"/>
  </r>
  <r>
    <n v="323"/>
    <e v="#REF!"/>
    <s v="Capex Orcamentário_PE2026_2030_COO_Rev1 - Gráficos.xlsx"/>
    <x v="0"/>
    <s v="Lucas Martins"/>
    <s v="COO323"/>
    <e v="#REF!"/>
    <s v="Corporativo"/>
    <x v="0"/>
    <s v="Geração"/>
    <x v="0"/>
    <x v="0"/>
    <s v="NGHI.0141"/>
    <m/>
    <m/>
    <s v="023/87-17"/>
    <s v="MODERNIZAÇÃO DO SISTEMA RESFR. MANCAL COMBINADO UHE BALBINA"/>
    <s v="Modernização"/>
    <s v="Modernização"/>
    <x v="7"/>
    <m/>
    <s v="MODERNIZAÇÃO DO SISTEMA RESFR. MANCAL COMBINADO - UGH 01,02,03,04,05"/>
    <x v="2"/>
    <n v="0"/>
    <n v="0"/>
    <n v="0"/>
    <n v="0"/>
    <n v="0"/>
    <n v="0"/>
    <n v="0"/>
    <n v="0"/>
    <n v="0"/>
    <n v="0"/>
    <n v="0"/>
    <n v="0"/>
    <n v="0"/>
    <n v="3000000"/>
    <n v="500000"/>
    <n v="0"/>
    <n v="0"/>
    <n v="3500000"/>
    <n v="0"/>
    <n v="0"/>
    <n v="0"/>
    <n v="0"/>
    <n v="0"/>
    <n v="3500000"/>
    <s v="#DESPEJAR!"/>
    <s v="OOGBA.N"/>
    <n v="2026"/>
    <s v="ENOR.00075"/>
    <n v="0"/>
    <s v="Não iniciado"/>
    <s v="Nova Demanda"/>
    <x v="4"/>
    <n v="0"/>
    <m/>
    <s v="Milton Pereira Menezes"/>
    <s v="MODERNIZAÇÃO DO SISTEMA RESFR. MANCAL COMBINADO UHE BALBINA"/>
  </r>
  <r>
    <n v="321"/>
    <e v="#REF!"/>
    <s v="Capex Orcamentário_PE2026_2030_COO_Rev1 - Gráficos.xlsx"/>
    <x v="0"/>
    <s v="Lucas Martins"/>
    <s v="COO321"/>
    <e v="#REF!"/>
    <s v="Corporativo"/>
    <x v="0"/>
    <s v="Geração"/>
    <x v="0"/>
    <x v="0"/>
    <s v="NGHI.0141"/>
    <m/>
    <m/>
    <s v="023/87-17"/>
    <s v="MODERNIZAÇÃO DO SISTEMA DE AR DE SERVIÇO UHE BALBINA"/>
    <s v="Modernização"/>
    <s v="Modernização"/>
    <x v="7"/>
    <m/>
    <s v="MODERNIZAÇÃO DO SISTEMA DE AR DE SERVIÇO - COMPRESSORES 03 E 04 - UHE BALBINA"/>
    <x v="2"/>
    <n v="0"/>
    <n v="0"/>
    <n v="0"/>
    <n v="0"/>
    <n v="0"/>
    <n v="0"/>
    <n v="0"/>
    <n v="0"/>
    <n v="0"/>
    <n v="0"/>
    <n v="0"/>
    <n v="0"/>
    <n v="0"/>
    <n v="500000"/>
    <n v="1000000"/>
    <n v="0"/>
    <n v="0"/>
    <n v="1500000"/>
    <n v="0"/>
    <n v="0"/>
    <n v="0"/>
    <n v="0"/>
    <n v="0"/>
    <n v="1500000"/>
    <s v="#DESPEJAR!"/>
    <s v="OOGBA.N"/>
    <n v="2026"/>
    <s v="ENOR.00073.001"/>
    <n v="0"/>
    <s v="Não iniciado"/>
    <s v="Nova Demanda"/>
    <x v="4"/>
    <n v="0"/>
    <m/>
    <s v="Milton Pereira Menezes"/>
    <s v="MODERNIZAÇÃO DO SISTEMA DE AR DE SERVIÇO UHE BALBINA"/>
  </r>
  <r>
    <n v="325"/>
    <e v="#REF!"/>
    <s v="Capex Orcamentário_PE2026_2030_COO_Rev1 - Gráficos.xlsx"/>
    <x v="0"/>
    <s v="Lucas Martins"/>
    <s v="COO325"/>
    <e v="#REF!"/>
    <s v="Corporativo"/>
    <x v="0"/>
    <s v="Geração"/>
    <x v="0"/>
    <x v="0"/>
    <s v="NGHI.0141"/>
    <m/>
    <m/>
    <s v="023/87-17"/>
    <s v="MODERNIZAÇÃO DO SIST INJEÇÃO DE ÓLEO MANCAL ESCORA UHE BALBINA"/>
    <s v="Modernização"/>
    <s v="Modernização"/>
    <x v="7"/>
    <m/>
    <s v="MODERNIZAÇÃO DO SIST INJEÇÃO DE ÓLEO MANCAL ESCORA - UGH 01,02,03,04,05"/>
    <x v="2"/>
    <n v="0"/>
    <n v="0"/>
    <n v="0"/>
    <n v="0"/>
    <n v="0"/>
    <n v="0"/>
    <n v="0"/>
    <n v="0"/>
    <n v="0"/>
    <n v="0"/>
    <n v="0"/>
    <n v="0"/>
    <n v="0"/>
    <n v="1200000"/>
    <n v="300000"/>
    <n v="0"/>
    <n v="0"/>
    <n v="1500000"/>
    <n v="0"/>
    <n v="0"/>
    <n v="0"/>
    <n v="0"/>
    <n v="0"/>
    <n v="1500000"/>
    <s v="#DESPEJAR!"/>
    <s v="OOGBA.N"/>
    <n v="2026"/>
    <s v="ENOR.00077"/>
    <n v="0"/>
    <s v="Não iniciado"/>
    <s v="Nova Demanda"/>
    <x v="4"/>
    <n v="0"/>
    <m/>
    <s v="Milton Pereira Menezes"/>
    <s v="MODERNIZAÇÃO DO SIST INJEÇÃO DE ÓLEO MANCAL ESCORA UHE BALBINA"/>
  </r>
  <r>
    <n v="324"/>
    <e v="#REF!"/>
    <s v="Capex Orcamentário_PE2026_2030_COO_Rev1 - Gráficos.xlsx"/>
    <x v="0"/>
    <s v="Lucas Martins"/>
    <s v="COO324"/>
    <e v="#REF!"/>
    <s v="Corporativo"/>
    <x v="0"/>
    <s v="Geração"/>
    <x v="0"/>
    <x v="0"/>
    <s v="NGHI.0141"/>
    <m/>
    <m/>
    <s v="023/87-17"/>
    <s v="MODERNIZAÇÃO DO SISTEMA RESFR. MANCAL GERADOR UHE BALBINA"/>
    <s v="Modernização"/>
    <s v="Modernização"/>
    <x v="7"/>
    <m/>
    <s v="MODERNIZAÇÃO DO SISTEMA RESFR. MANCAL GERADOR - UGH 01,02, 03, 04,05"/>
    <x v="2"/>
    <n v="0"/>
    <n v="0"/>
    <n v="0"/>
    <n v="0"/>
    <n v="0"/>
    <n v="0"/>
    <n v="0"/>
    <n v="0"/>
    <n v="0"/>
    <n v="0"/>
    <n v="0"/>
    <n v="0"/>
    <n v="0"/>
    <n v="1000000"/>
    <n v="0"/>
    <n v="0"/>
    <n v="0"/>
    <n v="1000000"/>
    <n v="0"/>
    <n v="0"/>
    <n v="0"/>
    <n v="0"/>
    <n v="0"/>
    <n v="1000000"/>
    <s v="#DESPEJAR!"/>
    <s v="OOGBA.N"/>
    <n v="2026"/>
    <s v="ENOR.00076"/>
    <n v="0"/>
    <s v="Não iniciado"/>
    <s v="Nova Demanda"/>
    <x v="4"/>
    <n v="0"/>
    <m/>
    <s v="Milton Pereira Menezes"/>
    <s v="MODERNIZAÇÃO DO SISTEMA RESFR. MANCAL GERADOR UHE BALBINA"/>
  </r>
  <r>
    <n v="326"/>
    <e v="#REF!"/>
    <s v="Capex Orcamentário_PE2026_2030_COO_Rev1 - Gráficos.xlsx"/>
    <x v="0"/>
    <s v="Lucas Martins"/>
    <s v="COO326"/>
    <e v="#REF!"/>
    <s v="Corporativo"/>
    <x v="0"/>
    <s v="Geração"/>
    <x v="0"/>
    <x v="0"/>
    <s v="NGHI.0141"/>
    <m/>
    <m/>
    <s v="023/87-17"/>
    <s v="MODERNIZACAO DO SISTEMA DRENAGEM TAMPA DA TURBINA UHE BALBINA"/>
    <s v="Modernização"/>
    <s v="Modernização"/>
    <x v="7"/>
    <m/>
    <s v="MODERNIZACAO DO SISTEMA DRENAGEM TAMPA DA TURBINA - UGH 01, 02,03,04,05"/>
    <x v="2"/>
    <n v="0"/>
    <n v="0"/>
    <n v="0"/>
    <n v="0"/>
    <n v="0"/>
    <n v="0"/>
    <n v="0"/>
    <n v="0"/>
    <n v="0"/>
    <n v="0"/>
    <n v="0"/>
    <n v="0"/>
    <n v="0"/>
    <n v="600000"/>
    <n v="400000"/>
    <n v="0"/>
    <n v="0"/>
    <n v="1000000"/>
    <n v="0"/>
    <n v="0"/>
    <n v="0"/>
    <n v="0"/>
    <n v="0"/>
    <n v="1000000"/>
    <s v="#DESPEJAR!"/>
    <s v="OOGBA.N"/>
    <n v="2026"/>
    <s v="ENOR.00078"/>
    <n v="0"/>
    <s v="Não iniciado"/>
    <s v="Nova Demanda"/>
    <x v="4"/>
    <n v="0"/>
    <m/>
    <s v="Milton Pereira Menezes"/>
    <s v="MODERNIZACAO DO SISTEMA DRENAGEM TAMPA DA TURBINA UHE BALBINA"/>
  </r>
  <r>
    <n v="282"/>
    <e v="#REF!"/>
    <s v="Capex Orcamentário_PE2026_2030_COO_Rev1 - Gráficos.xlsx"/>
    <x v="0"/>
    <s v="Lucas Martins"/>
    <s v="COO282"/>
    <e v="#REF!"/>
    <s v="Corporativo"/>
    <x v="0"/>
    <s v="Geração"/>
    <x v="0"/>
    <x v="0"/>
    <s v="NGHI.0141"/>
    <m/>
    <m/>
    <s v="023/87-17"/>
    <s v="Instalar comando e controle sistema de drenagem e esgotamento da UHE Balbina"/>
    <s v="Modernização"/>
    <s v="Modernização"/>
    <x v="7"/>
    <m/>
    <s v="Instalar comando e controle sistema de drenagem e esgotamento - MOTOBOMBA DE DRENAGEM BDR-001,002,003,004"/>
    <x v="2"/>
    <n v="0"/>
    <n v="0"/>
    <n v="0"/>
    <n v="0"/>
    <n v="0"/>
    <n v="0"/>
    <n v="0"/>
    <n v="0"/>
    <n v="0"/>
    <n v="0"/>
    <n v="0"/>
    <n v="0"/>
    <n v="0"/>
    <n v="800000"/>
    <n v="0"/>
    <n v="0"/>
    <n v="0"/>
    <n v="800000"/>
    <n v="0"/>
    <n v="0"/>
    <n v="0"/>
    <n v="0"/>
    <n v="0"/>
    <n v="800000"/>
    <s v="#DESPEJAR!"/>
    <s v="OOPM.N"/>
    <n v="2025"/>
    <s v="ENOR.00029.003"/>
    <s v="COO0562"/>
    <s v="Não iniciado"/>
    <s v="(PE) Não Requisitado e com ID Financeira"/>
    <x v="4"/>
    <n v="0"/>
    <m/>
    <s v="Klenio Dias Timoteo"/>
    <s v="Instalar comando e controle sistema de drenagem e esgotamento da UHE Balbina"/>
  </r>
  <r>
    <n v="281"/>
    <e v="#REF!"/>
    <s v="Capex Orcamentário_PE2026_2030_COO_Rev1 - Gráficos.xlsx"/>
    <x v="0"/>
    <s v="Lucas Martins"/>
    <s v="COO281"/>
    <e v="#REF!"/>
    <s v="Corporativo"/>
    <x v="0"/>
    <s v="Geração"/>
    <x v="0"/>
    <x v="0"/>
    <s v="NGHI.0141"/>
    <m/>
    <m/>
    <s v="023/87-17"/>
    <s v="Implatação de rede aérea de alimentação na UHE Balbina"/>
    <s v="Modernização"/>
    <s v="Modernização"/>
    <x v="7"/>
    <m/>
    <s v="Implantação do circuito de alimentação de energia da Sala de Contigência da UHE Balbina"/>
    <x v="2"/>
    <n v="0"/>
    <n v="0"/>
    <n v="0"/>
    <n v="0"/>
    <n v="0"/>
    <n v="0"/>
    <n v="0"/>
    <n v="0"/>
    <n v="0"/>
    <n v="0"/>
    <n v="0"/>
    <n v="0"/>
    <n v="0"/>
    <n v="600000"/>
    <n v="0"/>
    <n v="0"/>
    <n v="0"/>
    <n v="600000"/>
    <n v="0"/>
    <n v="0"/>
    <n v="0"/>
    <n v="0"/>
    <n v="0"/>
    <n v="600000"/>
    <s v="#DESPEJAR!"/>
    <s v="OOPM.N"/>
    <n v="2025"/>
    <s v="ENOR.00028.001"/>
    <s v="COO0574"/>
    <s v="Não iniciado"/>
    <s v="(PE) Não Requisitado e com ID Financeira"/>
    <x v="1"/>
    <n v="0"/>
    <m/>
    <s v="Klenio Dias Timoteo"/>
    <s v="Implatação de rede aérea de alimentação na UHE Balbina"/>
  </r>
  <r>
    <n v="327"/>
    <e v="#REF!"/>
    <s v="Capex Orcamentário_PE2026_2030_COO_Rev1 - Gráficos.xlsx"/>
    <x v="0"/>
    <s v="Lucas Martins"/>
    <s v="COO327"/>
    <e v="#REF!"/>
    <s v="Corporativo"/>
    <x v="0"/>
    <s v="Geração"/>
    <x v="0"/>
    <x v="0"/>
    <s v="NGHI.0141"/>
    <m/>
    <m/>
    <s v="023/87-17"/>
    <s v="MODERNIZACAO SISTEMA DE CLORO BARRILHA UHE BALBINA"/>
    <s v="Modernização"/>
    <s v="Modernização"/>
    <x v="7"/>
    <m/>
    <s v="MODERNIZACAO SISTEMA DE CLORO BARRILHA A UHE BALBINA"/>
    <x v="2"/>
    <n v="0"/>
    <n v="0"/>
    <n v="0"/>
    <n v="0"/>
    <n v="0"/>
    <n v="0"/>
    <n v="0"/>
    <n v="0"/>
    <n v="0"/>
    <n v="0"/>
    <n v="0"/>
    <n v="0"/>
    <n v="0"/>
    <n v="250000"/>
    <n v="250000"/>
    <n v="0"/>
    <n v="0"/>
    <n v="500000"/>
    <n v="0"/>
    <n v="0"/>
    <n v="0"/>
    <n v="0"/>
    <n v="0"/>
    <n v="500000"/>
    <s v="#DESPEJAR!"/>
    <s v="AGMGNO"/>
    <n v="2026"/>
    <s v="ENOR.00079.001"/>
    <n v="0"/>
    <s v="Não iniciado"/>
    <s v="Nova Demanda"/>
    <x v="4"/>
    <n v="0"/>
    <m/>
    <s v="Frederico Rodolfo Parente Doerner"/>
    <s v="MODERNIZACAO SISTEMA DE CLORO BARRILHA UHE BALBINA"/>
  </r>
  <r>
    <n v="329"/>
    <e v="#REF!"/>
    <s v="Capex Orcamentário_PE2026_2030_COO_Rev1 - Gráficos.xlsx"/>
    <x v="0"/>
    <s v="Lucas Martins"/>
    <s v="COO329"/>
    <e v="#REF!"/>
    <s v="Corporativo"/>
    <x v="0"/>
    <s v="Geração"/>
    <x v="0"/>
    <x v="0"/>
    <s v="NGHI.0141"/>
    <m/>
    <m/>
    <s v="023/87-17"/>
    <s v="Modernização Comportas Vertedouro UHE BALBINA"/>
    <s v="Modernização"/>
    <s v="Modernização"/>
    <x v="7"/>
    <m/>
    <s v="Modernização Comportas Vertedouro 01 , 02, 03, 04 UHE BALBINA"/>
    <x v="2"/>
    <n v="0"/>
    <n v="0"/>
    <n v="0"/>
    <n v="0"/>
    <n v="0"/>
    <n v="0"/>
    <n v="0"/>
    <n v="0"/>
    <n v="0"/>
    <n v="0"/>
    <n v="0"/>
    <n v="0"/>
    <n v="0"/>
    <n v="250000"/>
    <n v="250000"/>
    <n v="0"/>
    <n v="0"/>
    <n v="500000"/>
    <n v="0"/>
    <n v="0"/>
    <n v="0"/>
    <n v="0"/>
    <n v="0"/>
    <n v="500000"/>
    <s v="#DESPEJAR!"/>
    <s v="AGMGNO"/>
    <n v="2026"/>
    <s v="ENOR.00081.001"/>
    <n v="0"/>
    <s v="Não iniciado"/>
    <s v="Nova Demanda"/>
    <x v="4"/>
    <n v="0"/>
    <m/>
    <s v="Frederico Rodolfo Parente Doerner"/>
    <s v="Modernização Comportas Vertedouro UHE BALBINA"/>
  </r>
  <r>
    <n v="330"/>
    <e v="#REF!"/>
    <s v="Capex Orcamentário_PE2026_2030_COO_Rev1 - Gráficos.xlsx"/>
    <x v="0"/>
    <s v="Lucas Martins"/>
    <s v="COO330"/>
    <e v="#REF!"/>
    <s v="Corporativo"/>
    <x v="0"/>
    <s v="Geração"/>
    <x v="0"/>
    <x v="0"/>
    <s v="NGHI.0141"/>
    <m/>
    <m/>
    <s v="023/87-17"/>
    <s v="Modernização Comportas Tomada D'agua UHE BALBINA"/>
    <s v="Modernização"/>
    <s v="Modernização"/>
    <x v="7"/>
    <m/>
    <s v="Modernização Comportas Tomada D'agua UHE BALBINA - UHG 01,02,03,04,05"/>
    <x v="2"/>
    <n v="0"/>
    <n v="0"/>
    <n v="0"/>
    <n v="0"/>
    <n v="0"/>
    <n v="0"/>
    <n v="0"/>
    <n v="0"/>
    <n v="0"/>
    <n v="0"/>
    <n v="0"/>
    <n v="0"/>
    <n v="0"/>
    <n v="250000"/>
    <n v="250000"/>
    <n v="0"/>
    <n v="0"/>
    <n v="500000"/>
    <n v="0"/>
    <n v="0"/>
    <n v="0"/>
    <n v="0"/>
    <n v="0"/>
    <n v="500000"/>
    <s v="#DESPEJAR!"/>
    <s v="AGMGNO"/>
    <n v="2026"/>
    <s v="ENOR.00082.005"/>
    <n v="0"/>
    <s v="Não iniciado"/>
    <s v="Nova Demanda"/>
    <x v="4"/>
    <n v="0"/>
    <m/>
    <s v="Frederico Rodolfo Parente Doerner"/>
    <s v="Modernização Comportas Tomada D'agua UHE BALBINA"/>
  </r>
  <r>
    <n v="331"/>
    <e v="#REF!"/>
    <s v="Capex Orcamentário_PE2026_2030_COO_Rev1 - Gráficos.xlsx"/>
    <x v="0"/>
    <s v="Lucas Martins"/>
    <s v="COO331"/>
    <e v="#REF!"/>
    <s v="Corporativo"/>
    <x v="0"/>
    <s v="Geração"/>
    <x v="0"/>
    <x v="0"/>
    <s v="NGHI.0141"/>
    <m/>
    <m/>
    <s v="023/87-17"/>
    <s v="Modernização Pórtico UHE BALBINA"/>
    <s v="Modernização"/>
    <s v="Modernização"/>
    <x v="7"/>
    <m/>
    <s v="Modernização Pórtico Montante, Jusante 01 e 02 UHE BALBINA"/>
    <x v="2"/>
    <n v="0"/>
    <n v="0"/>
    <n v="0"/>
    <n v="0"/>
    <n v="0"/>
    <n v="0"/>
    <n v="0"/>
    <n v="0"/>
    <n v="0"/>
    <n v="0"/>
    <n v="0"/>
    <n v="0"/>
    <n v="0"/>
    <n v="250000"/>
    <n v="250000"/>
    <n v="0"/>
    <n v="0"/>
    <n v="500000"/>
    <n v="0"/>
    <n v="0"/>
    <n v="0"/>
    <n v="0"/>
    <n v="0"/>
    <n v="500000"/>
    <s v="#DESPEJAR!"/>
    <s v="AGMGNO"/>
    <n v="2026"/>
    <s v="ENOR.00083.002"/>
    <n v="0"/>
    <s v="Não iniciado"/>
    <s v="Nova Demanda"/>
    <x v="4"/>
    <n v="0"/>
    <m/>
    <s v="Frederico Rodolfo Parente Doerner"/>
    <s v="Modernização Pórtico UHE BALBINA"/>
  </r>
  <r>
    <n v="332"/>
    <e v="#REF!"/>
    <s v="Capex Orcamentário_PE2026_2030_COO_Rev1 - Gráficos.xlsx"/>
    <x v="0"/>
    <s v="Lucas Martins"/>
    <s v="COO332"/>
    <e v="#REF!"/>
    <s v="Corporativo"/>
    <x v="0"/>
    <s v="Geração"/>
    <x v="0"/>
    <x v="0"/>
    <s v="NGHI.0141"/>
    <m/>
    <m/>
    <s v="023/87-17"/>
    <s v="Modernização Ponte Rolante UHE BALBINA"/>
    <s v="Modernização"/>
    <s v="Modernização"/>
    <x v="7"/>
    <m/>
    <s v="Modernização Ponte Rolante 02 UHE BALBINA"/>
    <x v="2"/>
    <n v="0"/>
    <n v="0"/>
    <n v="0"/>
    <n v="0"/>
    <n v="0"/>
    <n v="0"/>
    <n v="0"/>
    <n v="0"/>
    <n v="0"/>
    <n v="0"/>
    <n v="0"/>
    <n v="0"/>
    <n v="0"/>
    <n v="250000"/>
    <n v="250000"/>
    <n v="0"/>
    <n v="0"/>
    <n v="500000"/>
    <n v="0"/>
    <n v="0"/>
    <n v="0"/>
    <n v="0"/>
    <n v="0"/>
    <n v="500000"/>
    <s v="#DESPEJAR!"/>
    <s v="AGMGNO"/>
    <n v="2026"/>
    <s v="ENOR.00084.001"/>
    <n v="0"/>
    <s v="Não iniciado"/>
    <s v="Nova Demanda"/>
    <x v="4"/>
    <n v="0"/>
    <m/>
    <s v="Frederico Rodolfo Parente Doerner"/>
    <s v="Modernização Ponte Rolante UHE BALBINA"/>
  </r>
  <r>
    <n v="333"/>
    <e v="#REF!"/>
    <s v="Capex Orcamentário_PE2026_2030_COO_Rev1 - Gráficos.xlsx"/>
    <x v="0"/>
    <s v="Lucas Martins"/>
    <s v="COO333"/>
    <e v="#REF!"/>
    <s v="Corporativo"/>
    <x v="0"/>
    <s v="Geração"/>
    <x v="0"/>
    <x v="0"/>
    <s v="NGHI.0141"/>
    <m/>
    <m/>
    <s v="023/87-17"/>
    <s v="Modernização dos Centros de Carga Miscelânea 380 VCA UHE Balbina"/>
    <s v="Modernização"/>
    <s v="Modernização"/>
    <x v="7"/>
    <m/>
    <s v="UG01_MODERNIZAÇÃO CGCU1,2,3,4,5, CGCA1,2,CCE001,002, CCG EMERCENCIA, CGCV"/>
    <x v="2"/>
    <n v="0"/>
    <n v="0"/>
    <n v="0"/>
    <n v="0"/>
    <n v="0"/>
    <n v="0"/>
    <n v="0"/>
    <n v="0"/>
    <n v="0"/>
    <n v="0"/>
    <n v="0"/>
    <n v="0"/>
    <n v="0"/>
    <n v="250000"/>
    <n v="250000"/>
    <n v="0"/>
    <n v="0"/>
    <n v="500000"/>
    <n v="0"/>
    <n v="0"/>
    <n v="0"/>
    <n v="0"/>
    <n v="0"/>
    <n v="500000"/>
    <s v="#DESPEJAR!"/>
    <s v="AGMGNO"/>
    <n v="2026"/>
    <s v="ENOR.00085.005"/>
    <n v="0"/>
    <s v="Não iniciado"/>
    <s v="Nova Demanda"/>
    <x v="4"/>
    <n v="0"/>
    <m/>
    <s v="Frederico Rodolfo Parente Doerner"/>
    <s v="Modernização dos Centros de Carga Miscelânea 380 VCA UHE Balbina"/>
  </r>
  <r>
    <n v="334"/>
    <e v="#REF!"/>
    <s v="Capex Orcamentário_PE2026_2030_COO_Rev1 - Gráficos.xlsx"/>
    <x v="0"/>
    <s v="Lucas Martins"/>
    <s v="COO334"/>
    <e v="#REF!"/>
    <s v="Corporativo"/>
    <x v="0"/>
    <s v="Geração"/>
    <x v="0"/>
    <x v="0"/>
    <s v="NGHI.0141"/>
    <m/>
    <m/>
    <s v="023/87-17"/>
    <s v="Modernização do Serviço Auxiliar 13,8 KVCA UHE Balbina"/>
    <s v="Modernização"/>
    <s v="Modernização"/>
    <x v="7"/>
    <m/>
    <s v="AUXTA_MODERNIZAÇÃO CGCTA, SISTEMA DE ALIMENTAÇÃO - BARRA 1-2 DISJUNTOR 2-01/0-02/2-03 DIJUNTOR DE BARRAS "/>
    <x v="2"/>
    <n v="0"/>
    <n v="0"/>
    <n v="0"/>
    <n v="0"/>
    <n v="0"/>
    <n v="0"/>
    <n v="0"/>
    <n v="0"/>
    <n v="0"/>
    <n v="0"/>
    <n v="0"/>
    <n v="0"/>
    <n v="0"/>
    <n v="250000"/>
    <n v="250000"/>
    <n v="0"/>
    <n v="0"/>
    <n v="500000"/>
    <n v="0"/>
    <n v="0"/>
    <n v="0"/>
    <n v="0"/>
    <n v="0"/>
    <n v="500000"/>
    <s v="#DESPEJAR!"/>
    <s v="AGMGNO"/>
    <n v="2026"/>
    <s v="ENOR.00086.001"/>
    <n v="0"/>
    <s v="Não iniciado"/>
    <s v="Nova Demanda"/>
    <x v="4"/>
    <n v="0"/>
    <m/>
    <s v="Frederico Rodolfo Parente Doerner"/>
    <s v="Modernização do Serviço Auxiliar 13,8 KVCA UHE Balbina"/>
  </r>
  <r>
    <n v="335"/>
    <e v="#REF!"/>
    <s v="Capex Orcamentário_PE2026_2030_COO_Rev1 - Gráficos.xlsx"/>
    <x v="0"/>
    <s v="Lucas Martins"/>
    <s v="COO335"/>
    <e v="#REF!"/>
    <s v="Corporativo"/>
    <x v="0"/>
    <s v="Geração"/>
    <x v="0"/>
    <x v="0"/>
    <s v="NGHI.0141"/>
    <m/>
    <m/>
    <s v="023/87-17"/>
    <s v="Modernização do Serviço Auxiliar 125 VCC UHE Balbina"/>
    <s v="Modernização"/>
    <s v="Modernização"/>
    <x v="7"/>
    <m/>
    <s v="SISTEMA DE ALIMENTAÇÃO 13,8 KV  DISJUNTOR BADJ2-11 / UG01_MODERNIZAÇÃO BACCI-U1/ UG02_MODERNIZAÇÃO BACCI-U2/ UG03_MODERNIZAÇÃO BACCI-U3/ UG04_MODERNIZAÇÃO BACCI-U4/UG05_MODERNIZAÇÃO BACCI-U5"/>
    <x v="2"/>
    <n v="0"/>
    <n v="0"/>
    <n v="0"/>
    <n v="0"/>
    <n v="0"/>
    <n v="0"/>
    <n v="0"/>
    <n v="0"/>
    <n v="0"/>
    <n v="0"/>
    <n v="0"/>
    <n v="0"/>
    <n v="0"/>
    <n v="250000"/>
    <n v="250000"/>
    <n v="0"/>
    <n v="0"/>
    <n v="500000"/>
    <n v="0"/>
    <n v="0"/>
    <n v="0"/>
    <n v="0"/>
    <n v="0"/>
    <n v="500000"/>
    <s v="#DESPEJAR!"/>
    <s v="AGMGNO"/>
    <n v="2026"/>
    <s v="ENOR.00087.001"/>
    <n v="0"/>
    <s v="Não iniciado"/>
    <s v="Nova Demanda"/>
    <x v="4"/>
    <n v="0"/>
    <m/>
    <s v="Frederico Rodolfo Parente Doerner"/>
    <s v="Modernização do Serviço Auxiliar 125 VCC UHE Balbina"/>
  </r>
  <r>
    <n v="319"/>
    <e v="#REF!"/>
    <s v="Capex Orcamentário_PE2026_2030_COO_Rev1 - Gráficos.xlsx"/>
    <x v="0"/>
    <s v="Lucas Martins"/>
    <s v="COO319"/>
    <e v="#REF!"/>
    <s v="Corporativo"/>
    <x v="0"/>
    <s v="Geração"/>
    <x v="0"/>
    <x v="0"/>
    <s v="NGHI.0141"/>
    <m/>
    <m/>
    <s v="023/87-17"/>
    <s v="Atualização dos Servidores do SPCS"/>
    <s v="Modernização"/>
    <s v="Modernização"/>
    <x v="7"/>
    <m/>
    <s v="Atualização dos Servidores do SPCS"/>
    <x v="2"/>
    <n v="0"/>
    <n v="0"/>
    <n v="0"/>
    <n v="0"/>
    <n v="0"/>
    <n v="0"/>
    <n v="0"/>
    <n v="0"/>
    <n v="0"/>
    <n v="0"/>
    <n v="0"/>
    <n v="0"/>
    <n v="0"/>
    <n v="250000"/>
    <n v="0"/>
    <n v="0"/>
    <n v="0"/>
    <n v="250000"/>
    <n v="0"/>
    <n v="0"/>
    <n v="0"/>
    <n v="0"/>
    <n v="0"/>
    <n v="250000"/>
    <s v="#DESPEJAR!"/>
    <s v="OOPM.N"/>
    <n v="2026"/>
    <s v="ENOR.00069.001"/>
    <n v="0"/>
    <s v="Não iniciado"/>
    <s v="Nova Demanda"/>
    <x v="4"/>
    <n v="0"/>
    <m/>
    <s v="Klenio Dias Timoteo"/>
    <s v="Atualização dos Servidores do SPCS"/>
  </r>
  <r>
    <n v="328"/>
    <e v="#REF!"/>
    <s v="Capex Orcamentário_PE2026_2030_COO_Rev1 - Gráficos.xlsx"/>
    <x v="0"/>
    <s v="Lucas Martins"/>
    <s v="COO328"/>
    <e v="#REF!"/>
    <s v="Corporativo"/>
    <x v="0"/>
    <s v="Geração"/>
    <x v="0"/>
    <x v="0"/>
    <s v="NGHI.0141"/>
    <m/>
    <m/>
    <s v="023/87-17"/>
    <s v="MODERNIZAÇÃO DOS ANÉIS COLETORES COM INSTALAÇÃO DE SISTEMA DE LIMPEZA AUTOMÁTICA UHE BALBINA"/>
    <s v="Modernização"/>
    <s v="Modernização"/>
    <x v="7"/>
    <m/>
    <s v="MODERNIZAÇÃO DOS ANÉIS COLETORES COM INSTALAÇÃO DE SISTEMA DE LIMPEZA AUTOMÁTICA DA UGH-01,02,03,04,05"/>
    <x v="2"/>
    <n v="0"/>
    <n v="0"/>
    <n v="0"/>
    <n v="0"/>
    <n v="0"/>
    <n v="0"/>
    <n v="0"/>
    <n v="0"/>
    <n v="0"/>
    <n v="0"/>
    <n v="0"/>
    <n v="0"/>
    <n v="0"/>
    <n v="100000"/>
    <n v="0"/>
    <n v="0"/>
    <n v="0"/>
    <n v="100000"/>
    <n v="0"/>
    <n v="0"/>
    <n v="0"/>
    <n v="0"/>
    <n v="0"/>
    <n v="100000"/>
    <s v="#DESPEJAR!"/>
    <s v="AGMGNO"/>
    <n v="2026"/>
    <s v="ENOR.00080.001"/>
    <n v="0"/>
    <s v="Não iniciado"/>
    <s v="Nova Demanda"/>
    <x v="4"/>
    <n v="0"/>
    <m/>
    <s v="Frederico Rodolfo Parente Doerner"/>
    <s v="MODERNIZAÇÃO DOS ANÉIS COLETORES COM INSTALAÇÃO DE SISTEMA DE LIMPEZA AUTOMÁTICA UHE BALBINA"/>
  </r>
  <r>
    <n v="338"/>
    <e v="#REF!"/>
    <s v="Capex Orcamentário_PE2026_2030_COO_Rev1 - Gráficos.xlsx"/>
    <x v="0"/>
    <s v="Lucas Martins"/>
    <s v="COO338"/>
    <e v="#REF!"/>
    <s v="Corporativo"/>
    <x v="0"/>
    <s v="Geração"/>
    <x v="0"/>
    <x v="0"/>
    <s v="NGHI.0141"/>
    <m/>
    <m/>
    <s v="0484/2016"/>
    <s v="Modernização Ponte rolante da UHCN"/>
    <s v="Modernização"/>
    <s v="Modernização"/>
    <x v="7"/>
    <m/>
    <s v="Modernização_ Ponte rolante CF"/>
    <x v="3"/>
    <n v="0"/>
    <n v="0"/>
    <n v="0"/>
    <n v="0"/>
    <n v="0"/>
    <n v="0"/>
    <n v="0"/>
    <n v="0"/>
    <n v="0"/>
    <n v="0"/>
    <n v="0"/>
    <n v="0"/>
    <n v="0"/>
    <n v="0"/>
    <n v="1000000"/>
    <n v="2000000"/>
    <n v="1000000"/>
    <n v="4000000"/>
    <n v="0"/>
    <n v="0"/>
    <n v="0"/>
    <n v="0"/>
    <n v="0"/>
    <n v="4000000"/>
    <s v="#DESPEJAR!"/>
    <s v="AGMGNO"/>
    <n v="2026"/>
    <s v="ENOR.00090.001"/>
    <n v="0"/>
    <s v="Não iniciado"/>
    <s v="Nova Demanda"/>
    <x v="4"/>
    <n v="0"/>
    <m/>
    <s v="Frederico Rodolfo Parente Doerner"/>
    <s v="Modernização Ponte rolante da UHCN"/>
  </r>
  <r>
    <n v="337"/>
    <e v="#REF!"/>
    <s v="Capex Orcamentário_PE2026_2030_COO_Rev1 - Gráficos.xlsx"/>
    <x v="0"/>
    <s v="Lucas Martins"/>
    <s v="COO337"/>
    <e v="#REF!"/>
    <s v="Corporativo"/>
    <x v="0"/>
    <s v="Geração"/>
    <x v="0"/>
    <x v="0"/>
    <s v="NGHI.0141"/>
    <m/>
    <m/>
    <s v="0484/2016"/>
    <s v="Modernização Sistema de Supervisão da UHCN"/>
    <s v="Modernização"/>
    <s v="Modernização"/>
    <x v="7"/>
    <m/>
    <s v="Modernização Sistema de Supervisão - UCC01 UCC02"/>
    <x v="3"/>
    <n v="0"/>
    <n v="0"/>
    <n v="0"/>
    <n v="0"/>
    <n v="0"/>
    <n v="0"/>
    <n v="0"/>
    <n v="0"/>
    <n v="0"/>
    <n v="0"/>
    <n v="0"/>
    <n v="0"/>
    <n v="0"/>
    <n v="250000"/>
    <n v="250000"/>
    <n v="0"/>
    <n v="0"/>
    <n v="500000"/>
    <n v="0"/>
    <n v="0"/>
    <n v="0"/>
    <n v="0"/>
    <n v="0"/>
    <n v="500000"/>
    <s v="#DESPEJAR!"/>
    <s v="OOPM.N"/>
    <n v="2026"/>
    <s v="ENOR.00089.001"/>
    <n v="0"/>
    <s v="Não iniciado"/>
    <s v="Nova Demanda"/>
    <x v="4"/>
    <n v="0"/>
    <m/>
    <s v="Klenio Dias Timoteo"/>
    <s v="Modernização Sistema de Supervisão da UHCN"/>
  </r>
  <r>
    <n v="293"/>
    <e v="#REF!"/>
    <s v="Capex Orcamentário_PE2026_2030_COO_Rev1 - Gráficos.xlsx"/>
    <x v="0"/>
    <s v="Lucas Martins"/>
    <s v="COO293"/>
    <e v="#REF!"/>
    <s v="Corporativo"/>
    <x v="0"/>
    <s v="Geração"/>
    <x v="0"/>
    <x v="0"/>
    <s v="NGHI.0141"/>
    <m/>
    <m/>
    <s v="13777/2022"/>
    <s v="Modernização das turbinas hidráulicas da UHE Curuá-Una UGH01.02 e 03"/>
    <s v="Modernização"/>
    <s v="Modernização"/>
    <x v="7"/>
    <m/>
    <s v="Substituição de Turbinas para ganho de potencia na Geração"/>
    <x v="4"/>
    <n v="0"/>
    <n v="0"/>
    <n v="0"/>
    <n v="0"/>
    <n v="0"/>
    <n v="0"/>
    <n v="0"/>
    <n v="0"/>
    <n v="0"/>
    <n v="0"/>
    <n v="0"/>
    <n v="0"/>
    <n v="0"/>
    <n v="3600000"/>
    <n v="0"/>
    <n v="0"/>
    <n v="0"/>
    <n v="3600000"/>
    <n v="0"/>
    <n v="0"/>
    <n v="0"/>
    <n v="0"/>
    <n v="0"/>
    <n v="3600000"/>
    <s v="#DESPEJAR!"/>
    <s v="AGMGNO"/>
    <n v="2026"/>
    <s v="ENOR.00043"/>
    <n v="0"/>
    <s v="Não iniciado"/>
    <s v="PE sem cód ID Financeira"/>
    <x v="4"/>
    <n v="0"/>
    <m/>
    <s v="Frederico Rodolfo Parente Doerner"/>
    <s v="Modernização das turbinas hidráulicas da UHE Curuá-Una UGH01.02 e 03"/>
  </r>
  <r>
    <n v="295"/>
    <e v="#REF!"/>
    <s v="Capex Orcamentário_PE2026_2030_COO_Rev1 - Gráficos.xlsx"/>
    <x v="0"/>
    <s v="Lucas Martins"/>
    <s v="COO295"/>
    <e v="#REF!"/>
    <s v="Corporativo"/>
    <x v="0"/>
    <s v="Geração"/>
    <x v="0"/>
    <x v="0"/>
    <s v="NGHI.0141"/>
    <m/>
    <m/>
    <s v="13777/2022"/>
    <s v="Modernização do geradores elétricos da UHE Curuá-Uma-UGH01, 02 e 03"/>
    <s v="Modernização"/>
    <s v="Modernização"/>
    <x v="7"/>
    <m/>
    <s v="Modernização do geradores elétricos da UHE Curuá-Una"/>
    <x v="4"/>
    <n v="0"/>
    <n v="0"/>
    <n v="0"/>
    <n v="0"/>
    <n v="0"/>
    <n v="0"/>
    <n v="0"/>
    <n v="0"/>
    <n v="0"/>
    <n v="0"/>
    <n v="0"/>
    <n v="0"/>
    <n v="0"/>
    <n v="1800000"/>
    <n v="0"/>
    <n v="0"/>
    <n v="0"/>
    <n v="1800000"/>
    <n v="0"/>
    <n v="0"/>
    <n v="0"/>
    <n v="0"/>
    <n v="0"/>
    <n v="1800000"/>
    <s v="#DESPEJAR!"/>
    <s v="AGMGNO"/>
    <n v="2026"/>
    <s v="ENOR.00045"/>
    <n v="0"/>
    <s v="Não iniciado"/>
    <s v="PE sem cód ID Financeira"/>
    <x v="4"/>
    <n v="0"/>
    <m/>
    <s v="Frederico Rodolfo Parente Doerner"/>
    <s v="Modernização do geradores elétricos da UHE Curuá-Uma-UGH01, 02 e 03"/>
  </r>
  <r>
    <n v="297"/>
    <e v="#REF!"/>
    <s v="Capex Orcamentário_PE2026_2030_COO_Rev1 - Gráficos.xlsx"/>
    <x v="0"/>
    <s v="Lucas Martins"/>
    <s v="COO297"/>
    <e v="#REF!"/>
    <s v="Corporativo"/>
    <x v="0"/>
    <s v="Geração"/>
    <x v="0"/>
    <x v="0"/>
    <s v="NGHI.0141"/>
    <m/>
    <m/>
    <s v="13777/2022"/>
    <s v="Modernização da subestação 138kV da UHE."/>
    <s v="Modernização"/>
    <s v="Modernização"/>
    <x v="7"/>
    <n v="4600002717"/>
    <s v="Modernização da subestação 138kV da UHE."/>
    <x v="4"/>
    <n v="0"/>
    <n v="0"/>
    <n v="0"/>
    <n v="0"/>
    <n v="0"/>
    <n v="0"/>
    <n v="0"/>
    <n v="577030.00300000003"/>
    <n v="0"/>
    <n v="0"/>
    <n v="0"/>
    <n v="0"/>
    <n v="577030.00300000003"/>
    <n v="900000"/>
    <n v="0"/>
    <n v="0"/>
    <n v="0"/>
    <n v="1477030.003"/>
    <n v="0"/>
    <n v="0"/>
    <n v="0"/>
    <n v="0"/>
    <n v="0"/>
    <n v="1477030.003"/>
    <s v="#DESPEJAR!"/>
    <s v="OOGCU.N"/>
    <n v="2025"/>
    <s v="ENOR.00047.001"/>
    <s v="COO0591"/>
    <s v="Contratado"/>
    <s v="PE sem cód ID Financeira"/>
    <x v="1"/>
    <n v="0"/>
    <s v="Ajustado conforme contrato"/>
    <s v="Airton Rego Bentes"/>
    <s v="Modernização da subestação 138kV da UHE."/>
  </r>
  <r>
    <n v="299"/>
    <e v="#REF!"/>
    <s v="Capex Orcamentário_PE2026_2030_COO_Rev1 - Gráficos.xlsx"/>
    <x v="0"/>
    <s v="Lucas Martins"/>
    <s v="COO299"/>
    <e v="#REF!"/>
    <s v="Corporativo"/>
    <x v="0"/>
    <s v="Geração"/>
    <x v="0"/>
    <x v="0"/>
    <s v="NGHI.0143"/>
    <m/>
    <m/>
    <s v="13777/2022"/>
    <s v="Modernização do conjunto de TCs da LT CUTA-LI5-01 da UHE Curuá-Una"/>
    <s v="Modernização"/>
    <s v="Modernização"/>
    <x v="4"/>
    <m/>
    <s v="Substituição do conjunto de TC's da linha de CUTA-LI5-01 no terminal da SE Tapajós"/>
    <x v="4"/>
    <n v="0"/>
    <n v="0"/>
    <n v="0"/>
    <n v="0"/>
    <n v="0"/>
    <n v="0"/>
    <n v="0"/>
    <n v="0"/>
    <n v="0"/>
    <n v="0"/>
    <n v="0"/>
    <n v="0"/>
    <n v="0"/>
    <n v="500000"/>
    <n v="0"/>
    <n v="0"/>
    <n v="0"/>
    <n v="500000"/>
    <n v="0"/>
    <n v="0"/>
    <n v="0"/>
    <n v="0"/>
    <n v="0"/>
    <n v="500000"/>
    <s v="#DESPEJAR!"/>
    <s v="OOGCU.N"/>
    <n v="2025"/>
    <s v="ENOR.00049.001"/>
    <s v="COO0744"/>
    <s v="Não iniciado"/>
    <s v="PE sem cód ID Financeira"/>
    <x v="1"/>
    <n v="0"/>
    <m/>
    <s v="Airton Rego Bentes"/>
    <s v="Modernização do conjunto de TCs da LT CUTA-LI5-01 da UHE Curuá-Una"/>
  </r>
  <r>
    <n v="320"/>
    <e v="#REF!"/>
    <s v="Capex Orcamentário_PE2026_2030_COO_Rev1 - Gráficos.xlsx"/>
    <x v="0"/>
    <s v="Lucas Martins"/>
    <s v="COO320"/>
    <e v="#REF!"/>
    <s v="Corporativo"/>
    <x v="0"/>
    <s v="Geração"/>
    <x v="0"/>
    <x v="0"/>
    <s v="NGHI.0141"/>
    <m/>
    <m/>
    <s v="13777/2022"/>
    <s v="Modernização do disjuntor da LT CUTA-LI5-01 da UHE Curuá-Una"/>
    <s v="Modernização"/>
    <s v="Modernização"/>
    <x v="7"/>
    <m/>
    <s v="Substituição do disjuntor da linha de CUTA-LI5-01 no terminal da SE Tapajós"/>
    <x v="4"/>
    <n v="0"/>
    <n v="0"/>
    <n v="0"/>
    <n v="0"/>
    <n v="0"/>
    <n v="0"/>
    <n v="0"/>
    <n v="0"/>
    <n v="0"/>
    <n v="0"/>
    <n v="0"/>
    <n v="0"/>
    <n v="0"/>
    <n v="500000"/>
    <n v="0"/>
    <n v="0"/>
    <n v="0"/>
    <n v="500000"/>
    <n v="0"/>
    <n v="0"/>
    <n v="0"/>
    <n v="0"/>
    <n v="0"/>
    <n v="500000"/>
    <s v="#DESPEJAR!"/>
    <s v="OOGCU.N"/>
    <n v="2025"/>
    <s v="ENOR.00072.001"/>
    <s v="COO0745"/>
    <s v="Não iniciado"/>
    <s v="PE sem cód ID Financeira"/>
    <x v="1"/>
    <n v="0"/>
    <m/>
    <s v="Airton Rego Bentes"/>
    <s v="Modernização do disjuntor da LT CUTA-LI5-01 da UHE Curuá-Una"/>
  </r>
  <r>
    <n v="285"/>
    <e v="#REF!"/>
    <s v="Capex Orcamentário_PE2026_2030_COO_Rev1 - Gráficos.xlsx"/>
    <x v="0"/>
    <s v="Lucas Martins"/>
    <s v="COO285"/>
    <e v="#REF!"/>
    <s v="Corporativo"/>
    <x v="0"/>
    <s v="Geração"/>
    <x v="0"/>
    <x v="0"/>
    <s v="NGHI.0141"/>
    <m/>
    <m/>
    <s v="13777/2022"/>
    <s v="Estação de tratamento de agua de serviço para minimizar a contaminação ferro bactéria"/>
    <s v="Modernização"/>
    <s v="Modernização"/>
    <x v="7"/>
    <m/>
    <s v="Implantação de sistema de combate a agentes nocivos aos sistema de resfriamento"/>
    <x v="4"/>
    <n v="0"/>
    <n v="0"/>
    <n v="0"/>
    <n v="0"/>
    <n v="0"/>
    <n v="0"/>
    <n v="0"/>
    <n v="0"/>
    <n v="0"/>
    <n v="0"/>
    <n v="0"/>
    <n v="0"/>
    <n v="0"/>
    <n v="250000"/>
    <n v="0"/>
    <n v="0"/>
    <n v="0"/>
    <n v="250000"/>
    <n v="0"/>
    <n v="0"/>
    <n v="0"/>
    <n v="0"/>
    <n v="0"/>
    <n v="250000"/>
    <s v="#DESPEJAR!"/>
    <s v="AGMGNO"/>
    <n v="2026"/>
    <s v="ENOR.00032.001"/>
    <n v="0"/>
    <s v="Não iniciado"/>
    <s v="Nova Demanda"/>
    <x v="4"/>
    <n v="0"/>
    <m/>
    <s v="Frederico Rodolfo Parente Doerner"/>
    <s v="Estação de tratamento de agua de serviço para minimizar a contaminação ferro bactéria"/>
  </r>
  <r>
    <n v="300"/>
    <e v="#REF!"/>
    <s v="Capex Orcamentário_PE2026_2030_COO_Rev1 - Gráficos.xlsx"/>
    <x v="0"/>
    <s v="Lucas Martins"/>
    <s v="COO300"/>
    <e v="#REF!"/>
    <s v="Corporativo"/>
    <x v="0"/>
    <s v="Geração"/>
    <x v="0"/>
    <x v="0"/>
    <s v="NGHI.0141"/>
    <m/>
    <m/>
    <n v="157189"/>
    <s v="Modernização dos Centros de Carga Miscelânea 380 VCA UHE SAMUEL"/>
    <s v="Modernização"/>
    <s v="Modernização"/>
    <x v="7"/>
    <m/>
    <s v="UG01_MODERNIZAÇÃO CCU1"/>
    <x v="1"/>
    <n v="0"/>
    <n v="0"/>
    <n v="0"/>
    <n v="0"/>
    <n v="0"/>
    <n v="0"/>
    <n v="0"/>
    <n v="0"/>
    <n v="0"/>
    <n v="0"/>
    <n v="0"/>
    <n v="0"/>
    <n v="0"/>
    <n v="250000"/>
    <n v="250000"/>
    <n v="0"/>
    <n v="0"/>
    <n v="500000"/>
    <n v="0"/>
    <n v="0"/>
    <n v="0"/>
    <n v="0"/>
    <n v="0"/>
    <n v="500000"/>
    <s v="#DESPEJAR!"/>
    <s v="OOPM.N"/>
    <n v="2026"/>
    <s v="ENOR.00050.001"/>
    <n v="0"/>
    <s v="Não iniciado"/>
    <s v="Nova Demanda"/>
    <x v="4"/>
    <n v="0"/>
    <m/>
    <s v="Klenio Dias Timoteo"/>
    <s v="Modernização dos Centros de Carga Miscelânea 380 VCA UHE SAMUEL"/>
  </r>
  <r>
    <n v="301"/>
    <e v="#REF!"/>
    <s v="Capex Orcamentário_PE2026_2030_COO_Rev1 - Gráficos.xlsx"/>
    <x v="0"/>
    <s v="Lucas Martins"/>
    <s v="COO301"/>
    <e v="#REF!"/>
    <s v="Corporativo"/>
    <x v="0"/>
    <s v="Geração"/>
    <x v="0"/>
    <x v="0"/>
    <s v="NGHI.0141"/>
    <m/>
    <m/>
    <n v="157189"/>
    <s v="Modernização do Serviço Auxiliar 13,8 KVCA UHE SAMUEL"/>
    <s v="Modernização"/>
    <s v="Modernização"/>
    <x v="7"/>
    <m/>
    <s v="UG01_MODERNIZAÇÃO CUBÍCULO DO DAG 1"/>
    <x v="1"/>
    <n v="0"/>
    <n v="0"/>
    <n v="0"/>
    <n v="0"/>
    <n v="0"/>
    <n v="0"/>
    <n v="0"/>
    <n v="0"/>
    <n v="0"/>
    <n v="0"/>
    <n v="0"/>
    <n v="0"/>
    <n v="0"/>
    <n v="250000"/>
    <n v="250000"/>
    <n v="0"/>
    <n v="0"/>
    <n v="500000"/>
    <n v="0"/>
    <n v="0"/>
    <n v="0"/>
    <n v="0"/>
    <n v="0"/>
    <n v="500000"/>
    <s v="#DESPEJAR!"/>
    <s v="OOPM.N"/>
    <n v="2026"/>
    <s v="ENOR.00051.001"/>
    <n v="0"/>
    <s v="Não iniciado"/>
    <s v="Nova Demanda"/>
    <x v="4"/>
    <n v="0"/>
    <m/>
    <s v="Klenio Dias Timoteo"/>
    <s v="Modernização do Serviço Auxiliar 13,8 KVCA UHE SAMUEL"/>
  </r>
  <r>
    <n v="302"/>
    <e v="#REF!"/>
    <s v="Capex Orcamentário_PE2026_2030_COO_Rev1 - Gráficos.xlsx"/>
    <x v="0"/>
    <s v="Lucas Martins"/>
    <s v="COO302"/>
    <e v="#REF!"/>
    <s v="Corporativo"/>
    <x v="0"/>
    <s v="Geração"/>
    <x v="0"/>
    <x v="0"/>
    <s v="NGHI.0141"/>
    <m/>
    <m/>
    <n v="157189"/>
    <s v="Substituição Transformador Regulador 01 13,8 KVCA UHE SAMUEL"/>
    <s v="Modernização"/>
    <s v="Modernização"/>
    <x v="7"/>
    <m/>
    <s v="AUXCF_SUBSTITUIÇÃO SUTR201"/>
    <x v="1"/>
    <n v="0"/>
    <n v="0"/>
    <n v="0"/>
    <n v="0"/>
    <n v="0"/>
    <n v="0"/>
    <n v="0"/>
    <n v="0"/>
    <n v="0"/>
    <n v="0"/>
    <n v="0"/>
    <n v="0"/>
    <n v="0"/>
    <n v="250000"/>
    <n v="250000"/>
    <n v="0"/>
    <n v="0"/>
    <n v="500000"/>
    <n v="0"/>
    <n v="0"/>
    <n v="0"/>
    <n v="0"/>
    <n v="0"/>
    <n v="500000"/>
    <s v="#DESPEJAR!"/>
    <s v="OOPM.N"/>
    <n v="2026"/>
    <s v="ENOR.00052.001"/>
    <n v="0"/>
    <s v="Não iniciado"/>
    <s v="Nova Demanda"/>
    <x v="4"/>
    <n v="0"/>
    <m/>
    <s v="Klenio Dias Timoteo"/>
    <s v="Substituição Transformador Regulador 01 13,8 KVCA UHE SAMUEL"/>
  </r>
  <r>
    <n v="303"/>
    <e v="#REF!"/>
    <s v="Capex Orcamentário_PE2026_2030_COO_Rev1 - Gráficos.xlsx"/>
    <x v="0"/>
    <s v="Lucas Martins"/>
    <s v="COO303"/>
    <e v="#REF!"/>
    <s v="Corporativo"/>
    <x v="0"/>
    <s v="Geração"/>
    <x v="0"/>
    <x v="0"/>
    <s v="NGHI.0141"/>
    <m/>
    <m/>
    <n v="157189"/>
    <s v="Substituição Transformador Serviço Auxiliar 01 13,8/0,38 KVCA UHE SAMUEL"/>
    <s v="Modernização"/>
    <s v="Modernização"/>
    <x v="7"/>
    <m/>
    <s v="AUXCF_SUBSTITUIÇÃO SUTF201"/>
    <x v="1"/>
    <n v="0"/>
    <n v="0"/>
    <n v="0"/>
    <n v="0"/>
    <n v="0"/>
    <n v="0"/>
    <n v="0"/>
    <n v="0"/>
    <n v="0"/>
    <n v="0"/>
    <n v="0"/>
    <n v="0"/>
    <n v="0"/>
    <n v="250000"/>
    <n v="250000"/>
    <n v="0"/>
    <n v="0"/>
    <n v="500000"/>
    <n v="0"/>
    <n v="0"/>
    <n v="0"/>
    <n v="0"/>
    <n v="0"/>
    <n v="500000"/>
    <s v="#DESPEJAR!"/>
    <s v="OOPM.N"/>
    <n v="2026"/>
    <s v="ENOR.00053.001"/>
    <n v="0"/>
    <s v="Não iniciado"/>
    <s v="Nova Demanda"/>
    <x v="4"/>
    <n v="0"/>
    <m/>
    <s v="Klenio Dias Timoteo"/>
    <s v="Substituição Transformador Serviço Auxiliar 01 13,8/0,38 KVCA UHE SAMUEL"/>
  </r>
  <r>
    <n v="304"/>
    <e v="#REF!"/>
    <s v="Capex Orcamentário_PE2026_2030_COO_Rev1 - Gráficos.xlsx"/>
    <x v="0"/>
    <s v="Lucas Martins"/>
    <s v="COO304"/>
    <e v="#REF!"/>
    <s v="Corporativo"/>
    <x v="0"/>
    <s v="Geração"/>
    <x v="0"/>
    <x v="0"/>
    <s v="NGHI.0141"/>
    <m/>
    <m/>
    <n v="157189"/>
    <s v="Modernização do Serviço Auxiliar 125 VCC UHE SAMUEL"/>
    <s v="Modernização"/>
    <s v="Modernização"/>
    <x v="7"/>
    <m/>
    <s v="UG01_MODERNIZAÇÃO CCCU1"/>
    <x v="1"/>
    <n v="0"/>
    <n v="0"/>
    <n v="0"/>
    <n v="0"/>
    <n v="0"/>
    <n v="0"/>
    <n v="0"/>
    <n v="0"/>
    <n v="0"/>
    <n v="0"/>
    <n v="0"/>
    <n v="0"/>
    <n v="0"/>
    <n v="250000"/>
    <n v="250000"/>
    <n v="0"/>
    <n v="0"/>
    <n v="500000"/>
    <n v="0"/>
    <n v="0"/>
    <n v="0"/>
    <n v="0"/>
    <n v="0"/>
    <n v="500000"/>
    <s v="#DESPEJAR!"/>
    <s v="OOPM.N"/>
    <n v="2026"/>
    <s v="ENOR.00054.001"/>
    <n v="0"/>
    <s v="Não iniciado"/>
    <s v="Nova Demanda"/>
    <x v="4"/>
    <n v="0"/>
    <m/>
    <s v="Klenio Dias Timoteo"/>
    <s v="Modernização do Serviço Auxiliar 125 VCC UHE SAMUEL"/>
  </r>
  <r>
    <n v="305"/>
    <e v="#REF!"/>
    <s v="Capex Orcamentário_PE2026_2030_COO_Rev1 - Gráficos.xlsx"/>
    <x v="0"/>
    <s v="Lucas Martins"/>
    <s v="COO305"/>
    <e v="#REF!"/>
    <s v="Corporativo"/>
    <x v="0"/>
    <s v="Geração"/>
    <x v="0"/>
    <x v="0"/>
    <s v="NGHI.0141"/>
    <m/>
    <m/>
    <n v="157189"/>
    <s v="Modernização Comportas de Emergência UHE SAMUEL"/>
    <s v="Modernização"/>
    <s v="Modernização"/>
    <x v="7"/>
    <m/>
    <s v="UG01_MODERNIZAÇÃO COMPORTA DE EMERGÊNCIA"/>
    <x v="1"/>
    <n v="0"/>
    <n v="0"/>
    <n v="0"/>
    <n v="0"/>
    <n v="0"/>
    <n v="0"/>
    <n v="0"/>
    <n v="0"/>
    <n v="0"/>
    <n v="0"/>
    <n v="0"/>
    <n v="0"/>
    <n v="0"/>
    <n v="250000"/>
    <n v="250000"/>
    <n v="0"/>
    <n v="0"/>
    <n v="500000"/>
    <n v="0"/>
    <n v="0"/>
    <n v="0"/>
    <n v="0"/>
    <n v="0"/>
    <n v="500000"/>
    <s v="#DESPEJAR!"/>
    <s v="OOPM.N"/>
    <n v="2026"/>
    <s v="ENOR.00055.001"/>
    <n v="0"/>
    <s v="Não iniciado"/>
    <s v="Nova Demanda"/>
    <x v="4"/>
    <n v="0"/>
    <m/>
    <s v="Klenio Dias Timoteo"/>
    <s v="Modernização Comportas de Emergência UHE SAMUEL"/>
  </r>
  <r>
    <n v="306"/>
    <e v="#REF!"/>
    <s v="Capex Orcamentário_PE2026_2030_COO_Rev1 - Gráficos.xlsx"/>
    <x v="0"/>
    <s v="Lucas Martins"/>
    <s v="COO306"/>
    <e v="#REF!"/>
    <s v="Corporativo"/>
    <x v="0"/>
    <s v="Geração"/>
    <x v="0"/>
    <x v="0"/>
    <s v="NGHI.0141"/>
    <m/>
    <m/>
    <n v="157189"/>
    <s v="Modernização Comportas Vertedouro UHE SAMUEL"/>
    <s v="Modernização"/>
    <s v="Modernização"/>
    <x v="7"/>
    <m/>
    <s v="AUXVT_MODERNIZAÇÃO COMPORTA VERTEDOURO 01"/>
    <x v="1"/>
    <n v="0"/>
    <n v="0"/>
    <n v="0"/>
    <n v="0"/>
    <n v="0"/>
    <n v="0"/>
    <n v="0"/>
    <n v="0"/>
    <n v="0"/>
    <n v="0"/>
    <n v="0"/>
    <n v="0"/>
    <n v="0"/>
    <n v="250000"/>
    <n v="250000"/>
    <n v="0"/>
    <n v="0"/>
    <n v="500000"/>
    <n v="0"/>
    <n v="0"/>
    <n v="0"/>
    <n v="0"/>
    <n v="0"/>
    <n v="500000"/>
    <s v="#DESPEJAR!"/>
    <s v="OOPM.N"/>
    <n v="2026"/>
    <s v="ENOR.00056.002"/>
    <n v="0"/>
    <s v="Não iniciado"/>
    <s v="Nova Demanda"/>
    <x v="4"/>
    <n v="0"/>
    <m/>
    <s v="Klenio Dias Timoteo"/>
    <s v="Modernização Comportas Vertedouro UHE SAMUEL"/>
  </r>
  <r>
    <n v="307"/>
    <e v="#REF!"/>
    <s v="Capex Orcamentário_PE2026_2030_COO_Rev1 - Gráficos.xlsx"/>
    <x v="0"/>
    <s v="Lucas Martins"/>
    <s v="COO307"/>
    <e v="#REF!"/>
    <s v="Corporativo"/>
    <x v="0"/>
    <s v="Geração"/>
    <x v="0"/>
    <x v="0"/>
    <s v="NGHI.0141"/>
    <m/>
    <m/>
    <n v="157189"/>
    <s v="Modernização Pórtico UHE SAMUEL"/>
    <s v="Modernização"/>
    <s v="Modernização"/>
    <x v="7"/>
    <m/>
    <s v="AUXCF_MODERNIZAÇÃO PÓRTICO JUSANTE"/>
    <x v="1"/>
    <n v="0"/>
    <n v="0"/>
    <n v="0"/>
    <n v="0"/>
    <n v="0"/>
    <n v="0"/>
    <n v="0"/>
    <n v="0"/>
    <n v="0"/>
    <n v="0"/>
    <n v="0"/>
    <n v="0"/>
    <n v="0"/>
    <n v="250000"/>
    <n v="250000"/>
    <n v="0"/>
    <n v="0"/>
    <n v="500000"/>
    <n v="0"/>
    <n v="0"/>
    <n v="0"/>
    <n v="0"/>
    <n v="0"/>
    <n v="500000"/>
    <s v="#DESPEJAR!"/>
    <s v="OOPM.N"/>
    <n v="2026"/>
    <s v="ENOR.00057.001"/>
    <n v="0"/>
    <s v="Não iniciado"/>
    <s v="Nova Demanda"/>
    <x v="4"/>
    <n v="0"/>
    <m/>
    <s v="Klenio Dias Timoteo"/>
    <s v="Modernização Pórtico UHE SAMUEL"/>
  </r>
  <r>
    <n v="308"/>
    <e v="#REF!"/>
    <s v="Capex Orcamentário_PE2026_2030_COO_Rev1 - Gráficos.xlsx"/>
    <x v="0"/>
    <s v="Lucas Martins"/>
    <s v="COO308"/>
    <e v="#REF!"/>
    <s v="Corporativo"/>
    <x v="0"/>
    <s v="Geração"/>
    <x v="0"/>
    <x v="0"/>
    <s v="NGHI.0141"/>
    <m/>
    <m/>
    <n v="157189"/>
    <s v="Modernização Pontes Rolantes UHE SAMUEL"/>
    <s v="Modernização"/>
    <s v="Modernização"/>
    <x v="7"/>
    <m/>
    <s v="AUXCF_MODERNIZAÇÃO PONTE ROLANTE Nº1"/>
    <x v="1"/>
    <n v="0"/>
    <n v="0"/>
    <n v="0"/>
    <n v="0"/>
    <n v="0"/>
    <n v="0"/>
    <n v="0"/>
    <n v="0"/>
    <n v="0"/>
    <n v="0"/>
    <n v="0"/>
    <n v="0"/>
    <n v="0"/>
    <n v="250000"/>
    <n v="250000"/>
    <n v="0"/>
    <n v="0"/>
    <n v="500000"/>
    <n v="0"/>
    <n v="0"/>
    <n v="0"/>
    <n v="0"/>
    <n v="0"/>
    <n v="500000"/>
    <s v="#DESPEJAR!"/>
    <s v="OOPM.N"/>
    <n v="2026"/>
    <s v="ENOR.00058.001"/>
    <n v="0"/>
    <s v="Não iniciado"/>
    <s v="Nova Demanda"/>
    <x v="4"/>
    <n v="0"/>
    <m/>
    <s v="Klenio Dias Timoteo"/>
    <s v="Modernização Pontes Rolantes UHE SAMUEL"/>
  </r>
  <r>
    <n v="309"/>
    <e v="#REF!"/>
    <s v="Capex Orcamentário_PE2026_2030_COO_Rev1 - Gráficos.xlsx"/>
    <x v="0"/>
    <s v="Lucas Martins"/>
    <s v="COO309"/>
    <e v="#REF!"/>
    <s v="Corporativo"/>
    <x v="0"/>
    <s v="Geração"/>
    <x v="0"/>
    <x v="0"/>
    <s v="NGHI.0141"/>
    <m/>
    <m/>
    <n v="157189"/>
    <s v="Modernização Sistema Anti-Incêndio UHE SAMUEL"/>
    <s v="Modernização"/>
    <s v="Modernização"/>
    <x v="7"/>
    <m/>
    <s v="AUXCF_MODERNIZAÇÃO SISTEMA ANTI-INCÊNDIO CO2"/>
    <x v="1"/>
    <n v="0"/>
    <n v="0"/>
    <n v="0"/>
    <n v="0"/>
    <n v="0"/>
    <n v="0"/>
    <n v="0"/>
    <n v="0"/>
    <n v="0"/>
    <n v="0"/>
    <n v="0"/>
    <n v="0"/>
    <n v="0"/>
    <n v="250000"/>
    <n v="250000"/>
    <n v="0"/>
    <n v="0"/>
    <n v="500000"/>
    <n v="0"/>
    <n v="0"/>
    <n v="0"/>
    <n v="0"/>
    <n v="0"/>
    <n v="500000"/>
    <s v="#DESPEJAR!"/>
    <s v="OOPM.N"/>
    <n v="2026"/>
    <s v="ENOR.00059.001"/>
    <n v="0"/>
    <s v="Não iniciado"/>
    <s v="Nova Demanda"/>
    <x v="4"/>
    <n v="0"/>
    <m/>
    <s v="Klenio Dias Timoteo"/>
    <s v="Modernização Sistema Anti-Incêndio UHE SAMUEL"/>
  </r>
  <r>
    <n v="310"/>
    <e v="#REF!"/>
    <s v="Capex Orcamentário_PE2026_2030_COO_Rev1 - Gráficos.xlsx"/>
    <x v="0"/>
    <s v="Lucas Martins"/>
    <s v="COO310"/>
    <e v="#REF!"/>
    <s v="Corporativo"/>
    <x v="0"/>
    <s v="Geração"/>
    <x v="0"/>
    <x v="0"/>
    <s v="NGHI.0141"/>
    <m/>
    <m/>
    <n v="157189"/>
    <s v="Modernização RDPs UHE Samuel"/>
    <s v="Modernização"/>
    <s v="Modernização"/>
    <x v="7"/>
    <m/>
    <s v="MODERNIZAÇÃO RDP UG1"/>
    <x v="1"/>
    <n v="0"/>
    <n v="0"/>
    <n v="0"/>
    <n v="0"/>
    <n v="0"/>
    <n v="0"/>
    <n v="0"/>
    <n v="0"/>
    <n v="0"/>
    <n v="0"/>
    <n v="0"/>
    <n v="0"/>
    <n v="0"/>
    <n v="250000"/>
    <n v="250000"/>
    <n v="0"/>
    <n v="0"/>
    <n v="500000"/>
    <n v="0"/>
    <n v="0"/>
    <n v="0"/>
    <n v="0"/>
    <n v="0"/>
    <n v="500000"/>
    <s v="#DESPEJAR!"/>
    <s v="OOPM.N"/>
    <n v="2025"/>
    <s v="ENOR.00060.001"/>
    <s v="COO0563"/>
    <s v="Não iniciado"/>
    <s v="Nova Demanda"/>
    <x v="1"/>
    <n v="0"/>
    <m/>
    <s v="Klenio Dias Timoteo"/>
    <s v="Modernização RDPs UHE Samuel"/>
  </r>
  <r>
    <n v="311"/>
    <e v="#REF!"/>
    <s v="Capex Orcamentário_PE2026_2030_COO_Rev1 - Gráficos.xlsx"/>
    <x v="0"/>
    <s v="Lucas Martins"/>
    <s v="COO311"/>
    <e v="#REF!"/>
    <s v="Corporativo"/>
    <x v="0"/>
    <s v="Geração"/>
    <x v="0"/>
    <x v="0"/>
    <s v="NGHI.0141"/>
    <m/>
    <m/>
    <n v="157189"/>
    <s v="Revitalização de Painéis Elétricos"/>
    <s v="Modernização"/>
    <s v="Modernização"/>
    <x v="7"/>
    <m/>
    <s v="UG1_FRENAGEM E LEVANTAMENTO"/>
    <x v="1"/>
    <n v="0"/>
    <n v="0"/>
    <n v="0"/>
    <n v="0"/>
    <n v="0"/>
    <n v="0"/>
    <n v="0"/>
    <n v="0"/>
    <n v="0"/>
    <n v="0"/>
    <n v="0"/>
    <n v="0"/>
    <n v="0"/>
    <n v="250000"/>
    <n v="250000"/>
    <n v="0"/>
    <n v="0"/>
    <n v="500000"/>
    <n v="0"/>
    <n v="0"/>
    <n v="0"/>
    <n v="0"/>
    <n v="0"/>
    <n v="500000"/>
    <s v="#DESPEJAR!"/>
    <s v="OOPM.N"/>
    <n v="2026"/>
    <s v="ENOR.00061.001"/>
    <n v="0"/>
    <s v="Não iniciado"/>
    <s v="Nova Demanda"/>
    <x v="4"/>
    <n v="0"/>
    <m/>
    <s v="Klenio Dias Timoteo"/>
    <s v="Revitalização de Painéis Elétricos"/>
  </r>
  <r>
    <n v="312"/>
    <e v="#REF!"/>
    <s v="Capex Orcamentário_PE2026_2030_COO_Rev1 - Gráficos.xlsx"/>
    <x v="0"/>
    <s v="Lucas Martins"/>
    <s v="COO312"/>
    <e v="#REF!"/>
    <s v="Corporativo"/>
    <x v="0"/>
    <s v="Geração"/>
    <x v="0"/>
    <x v="0"/>
    <s v="NGHI.0141"/>
    <m/>
    <m/>
    <n v="157189"/>
    <s v="Integração de Sistemas ao Supervisório"/>
    <s v="Modernização"/>
    <s v="Modernização"/>
    <x v="7"/>
    <m/>
    <s v="Integração do Sistema de Drenagem da Casa de Força"/>
    <x v="1"/>
    <n v="0"/>
    <n v="0"/>
    <n v="0"/>
    <n v="0"/>
    <n v="0"/>
    <n v="0"/>
    <n v="0"/>
    <n v="0"/>
    <n v="0"/>
    <n v="0"/>
    <n v="0"/>
    <n v="0"/>
    <n v="0"/>
    <n v="250000"/>
    <n v="250000"/>
    <n v="0"/>
    <n v="0"/>
    <n v="500000"/>
    <n v="0"/>
    <n v="0"/>
    <n v="0"/>
    <n v="0"/>
    <n v="0"/>
    <n v="500000"/>
    <s v="#DESPEJAR!"/>
    <s v="OOPM.N"/>
    <n v="2026"/>
    <s v="ENOR.00062.004"/>
    <n v="0"/>
    <s v="Não iniciado"/>
    <s v="Nova Demanda"/>
    <x v="4"/>
    <n v="0"/>
    <m/>
    <s v="Klenio Dias Timoteo"/>
    <s v="Integração de Sistemas ao Supervisório"/>
  </r>
  <r>
    <n v="364"/>
    <e v="#REF!"/>
    <s v="Capex Orcamentário_PE2026_2030_COO_Rev1 - Gráficos.xlsx"/>
    <x v="0"/>
    <s v="Lucas Martins"/>
    <s v="COO364"/>
    <e v="#REF!"/>
    <s v="Corporativo"/>
    <x v="0"/>
    <s v="Geração"/>
    <x v="0"/>
    <x v="0"/>
    <s v="NGHI.0143"/>
    <m/>
    <m/>
    <s v="13592/2022"/>
    <s v="Aquisição de peças sobressalentes do mecanismo distribuidor das UGHs da CF2"/>
    <s v="Modernização"/>
    <s v="Modernização"/>
    <x v="4"/>
    <m/>
    <s v="Necessidade de peças sobressalentes para uso na manutenção do distribuidor."/>
    <x v="0"/>
    <n v="0"/>
    <n v="0"/>
    <n v="0"/>
    <n v="0"/>
    <n v="0"/>
    <n v="0"/>
    <n v="0"/>
    <n v="0"/>
    <n v="0"/>
    <n v="0"/>
    <n v="0"/>
    <n v="0"/>
    <n v="0"/>
    <n v="3000000"/>
    <n v="2500000"/>
    <n v="0"/>
    <n v="0"/>
    <n v="5500000"/>
    <n v="0"/>
    <n v="0"/>
    <n v="0"/>
    <n v="0"/>
    <n v="0"/>
    <n v="5500000"/>
    <s v="#DESPEJAR!"/>
    <s v="OOGTM.N"/>
    <n v="2025"/>
    <s v="ENOR.00127.001"/>
    <s v="COO0747"/>
    <s v="Não iniciado"/>
    <s v="(PE) Não Requisitado e com ID Financeira"/>
    <x v="4"/>
    <n v="0"/>
    <m/>
    <s v="Gilton Carlos De Andrade Furtado"/>
    <s v="Aquisição de peças sobressalentes do mecanismo distribuidor das UGHs da CF2"/>
  </r>
  <r>
    <n v="349"/>
    <e v="#REF!"/>
    <s v="Capex Orcamentário_PE2026_2030_COO_Rev1 - Gráficos.xlsx"/>
    <x v="0"/>
    <s v="Lucas Martins"/>
    <s v="COO349"/>
    <e v="#REF!"/>
    <s v="Corporativo"/>
    <x v="0"/>
    <s v="Geração"/>
    <x v="0"/>
    <x v="0"/>
    <s v="NGHI.0141"/>
    <m/>
    <m/>
    <s v="13592/2022"/>
    <s v="Modernização do sistema de resfriamento em circuito fechado dos equipamentos da UHE Tucuruí"/>
    <s v="Modernização"/>
    <s v="Modernização"/>
    <x v="7"/>
    <m/>
    <s v="Instalação de sistema de resfriamento em cirtuito fechado para o transformador, Regulador de tensão e Velocidade."/>
    <x v="0"/>
    <n v="0"/>
    <n v="0"/>
    <n v="0"/>
    <n v="0"/>
    <n v="0"/>
    <n v="0"/>
    <n v="0"/>
    <n v="0"/>
    <n v="0"/>
    <n v="0"/>
    <n v="0"/>
    <n v="0"/>
    <n v="0"/>
    <n v="1000000"/>
    <n v="3000000"/>
    <n v="0"/>
    <n v="0"/>
    <n v="4000000"/>
    <n v="0"/>
    <n v="0"/>
    <n v="0"/>
    <n v="0"/>
    <n v="0"/>
    <n v="4000000"/>
    <s v="#DESPEJAR!"/>
    <s v="AGMGNO"/>
    <n v="2026"/>
    <s v="ENOR.00106.001"/>
    <n v="0"/>
    <s v="Não iniciado"/>
    <s v="Nova Demanda"/>
    <x v="4"/>
    <n v="0"/>
    <s v="RD 2027 a 2028"/>
    <s v="Frederico Rodolfo Parente Doerner"/>
    <s v="Modernização do sistema de resfriamento em circuito fechado dos equipamentos da UHE Tucuruí"/>
  </r>
  <r>
    <n v="317"/>
    <e v="#REF!"/>
    <s v="Capex Orcamentário_PE2026_2030_COO_Rev1 - Gráficos.xlsx"/>
    <x v="0"/>
    <s v="Lucas Martins"/>
    <s v="COO317"/>
    <e v="#REF!"/>
    <s v="Corporativo"/>
    <x v="0"/>
    <s v="Geração"/>
    <x v="0"/>
    <x v="0"/>
    <s v="NGHI.0141"/>
    <m/>
    <m/>
    <s v="13592/2022"/>
    <s v="RevitalizaçãoSistema de Água Tratada"/>
    <s v="Modernização"/>
    <s v="Modernização"/>
    <x v="7"/>
    <m/>
    <s v="Revitalização ETA"/>
    <x v="0"/>
    <n v="0"/>
    <n v="0"/>
    <n v="0"/>
    <n v="0"/>
    <n v="0"/>
    <n v="0"/>
    <n v="0"/>
    <n v="0"/>
    <n v="0"/>
    <n v="0"/>
    <n v="0"/>
    <n v="0"/>
    <n v="0"/>
    <n v="1000000"/>
    <n v="0"/>
    <n v="0"/>
    <n v="0"/>
    <n v="1000000"/>
    <n v="0"/>
    <n v="0"/>
    <n v="0"/>
    <n v="0"/>
    <n v="0"/>
    <n v="1000000"/>
    <s v="#DESPEJAR!"/>
    <s v="AGMGNO"/>
    <n v="2026"/>
    <s v="ENOR.00067.001"/>
    <n v="0"/>
    <s v="Não iniciado"/>
    <s v="Nova Demanda"/>
    <x v="4"/>
    <n v="0"/>
    <m/>
    <s v="Frederico Rodolfo Parente Doerner"/>
    <s v="RevitalizaçãoSistema de Água Tratada"/>
  </r>
  <r>
    <n v="318"/>
    <e v="#REF!"/>
    <s v="Capex Orcamentário_PE2026_2030_COO_Rev1 - Gráficos.xlsx"/>
    <x v="0"/>
    <s v="Lucas Martins"/>
    <s v="COO318"/>
    <e v="#REF!"/>
    <s v="Corporativo"/>
    <x v="0"/>
    <s v="Geração"/>
    <x v="0"/>
    <x v="0"/>
    <s v="NGHI.0141"/>
    <m/>
    <m/>
    <s v="13592/2022"/>
    <s v="Revitalização ETE"/>
    <s v="Modernização"/>
    <s v="Modernização"/>
    <x v="7"/>
    <m/>
    <s v="Revitalização ETE"/>
    <x v="0"/>
    <n v="0"/>
    <n v="0"/>
    <n v="0"/>
    <n v="0"/>
    <n v="0"/>
    <n v="0"/>
    <n v="0"/>
    <n v="0"/>
    <n v="0"/>
    <n v="0"/>
    <n v="0"/>
    <n v="0"/>
    <n v="0"/>
    <n v="1000000"/>
    <n v="0"/>
    <n v="0"/>
    <n v="0"/>
    <n v="1000000"/>
    <n v="0"/>
    <n v="0"/>
    <n v="0"/>
    <n v="0"/>
    <n v="0"/>
    <n v="1000000"/>
    <s v="#DESPEJAR!"/>
    <s v="AGMGNO"/>
    <n v="2026"/>
    <s v="ENOR.00068.001"/>
    <n v="0"/>
    <s v="Não iniciado"/>
    <s v="Nova Demanda"/>
    <x v="4"/>
    <n v="0"/>
    <m/>
    <s v="Frederico Rodolfo Parente Doerner"/>
    <s v="Revitalização E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3F44AA-B8C6-4184-AE49-8D38F0C86533}" name="Tabela dinâ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5" firstHeaderRow="0" firstDataRow="1" firstDataCol="1"/>
  <pivotFields count="43">
    <pivotField showAll="0"/>
    <pivotField showAll="0"/>
    <pivotField showAll="0"/>
    <pivotField showAll="0"/>
    <pivotField showAll="0"/>
    <pivotField showAll="0"/>
    <pivotField showAll="0"/>
    <pivotField showAll="0"/>
    <pivotField axis="axisRow" showAll="0">
      <items count="4">
        <item x="0"/>
        <item m="1" x="1"/>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8" showAll="0"/>
    <pivotField showAll="0"/>
    <pivotField showAll="0"/>
    <pivotField showAll="0"/>
    <pivotField showAll="0"/>
    <pivotField dataField="1" numFmtId="168" showAll="0"/>
    <pivotField showAll="0"/>
    <pivotField showAll="0"/>
    <pivotField showAll="0"/>
    <pivotField showAll="0"/>
    <pivotField showAll="0"/>
    <pivotField numFmtId="168" showAll="0"/>
  </pivotFields>
  <rowFields count="1">
    <field x="8"/>
  </rowFields>
  <rowItems count="2">
    <i>
      <x/>
    </i>
    <i t="grand">
      <x/>
    </i>
  </rowItems>
  <colFields count="1">
    <field x="-2"/>
  </colFields>
  <colItems count="2">
    <i>
      <x/>
    </i>
    <i i="1">
      <x v="1"/>
    </i>
  </colItems>
  <dataFields count="2">
    <dataField name="Soma de 2026" fld="31" baseField="0" baseItem="0" numFmtId="168"/>
    <dataField name="Soma de 2026-2030" fld="36"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8B033A-9166-402F-900F-13C7BFC899C4}"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 firstHeaderRow="1"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3"/>
        <item x="2"/>
        <item m="1" x="6"/>
        <item x="4"/>
        <item m="1" x="5"/>
        <item t="default"/>
      </items>
    </pivotField>
    <pivotField showAll="0"/>
    <pivotField showAll="0"/>
    <pivotField showAll="0"/>
    <pivotField showAll="0"/>
    <pivotField showAll="0"/>
    <pivotField showAll="0"/>
  </pivotFields>
  <rowFields count="1">
    <field x="52"/>
  </rowFields>
  <rowItems count="6">
    <i>
      <x/>
    </i>
    <i>
      <x v="1"/>
    </i>
    <i>
      <x v="2"/>
    </i>
    <i>
      <x v="3"/>
    </i>
    <i>
      <x v="5"/>
    </i>
    <i t="grand">
      <x/>
    </i>
  </rowItems>
  <colItems count="1">
    <i/>
  </colItems>
  <dataFields count="1">
    <dataField name="Soma de 2026" fld="35" baseField="49" baseItem="0" numFmtId="44"/>
  </dataFields>
  <formats count="2">
    <format dxfId="368">
      <pivotArea collapsedLevelsAreSubtotals="1" fieldPosition="0">
        <references count="1">
          <reference field="52" count="0"/>
        </references>
      </pivotArea>
    </format>
    <format dxfId="3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3DD304-B0F4-4958-95B2-7E5CA96A72F0}" name="Tabela dinâ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22" firstHeaderRow="1"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x="17"/>
        <item x="13"/>
        <item x="8"/>
        <item x="0"/>
        <item x="16"/>
        <item x="10"/>
        <item x="6"/>
        <item x="15"/>
        <item x="2"/>
        <item x="14"/>
        <item x="12"/>
        <item x="1"/>
        <item x="7"/>
        <item x="4"/>
        <item x="11"/>
        <item x="3"/>
        <item x="5"/>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showAll="0"/>
    <pivotField numFmtId="43" showAll="0"/>
    <pivotField numFmtId="43" showAll="0"/>
    <pivotField numFmtId="43" showAll="0"/>
    <pivotField numFmtId="43" showAll="0"/>
    <pivotField showAll="0"/>
    <pivotField showAll="0"/>
    <pivotField showAll="0"/>
    <pivotField showAll="0"/>
    <pivotField showAll="0"/>
    <pivotField numFmtId="43" showAll="0"/>
    <pivotField showAll="0"/>
    <pivotField showAll="0"/>
    <pivotField showAll="0"/>
    <pivotField showAll="0"/>
    <pivotField showAll="0"/>
    <pivotField showAll="0"/>
    <pivotField showAll="0"/>
    <pivotField showAll="0"/>
    <pivotField numFmtId="44" showAll="0"/>
    <pivotField showAll="0"/>
    <pivotField showAll="0"/>
    <pivotField showAll="0"/>
  </pivotFields>
  <rowFields count="1">
    <field x="19"/>
  </rowFields>
  <rowItems count="19">
    <i>
      <x/>
    </i>
    <i>
      <x v="1"/>
    </i>
    <i>
      <x v="2"/>
    </i>
    <i>
      <x v="3"/>
    </i>
    <i>
      <x v="4"/>
    </i>
    <i>
      <x v="5"/>
    </i>
    <i>
      <x v="6"/>
    </i>
    <i>
      <x v="7"/>
    </i>
    <i>
      <x v="8"/>
    </i>
    <i>
      <x v="9"/>
    </i>
    <i>
      <x v="10"/>
    </i>
    <i>
      <x v="11"/>
    </i>
    <i>
      <x v="12"/>
    </i>
    <i>
      <x v="13"/>
    </i>
    <i>
      <x v="14"/>
    </i>
    <i>
      <x v="15"/>
    </i>
    <i>
      <x v="16"/>
    </i>
    <i>
      <x v="17"/>
    </i>
    <i t="grand">
      <x/>
    </i>
  </rowItems>
  <colItems count="1">
    <i/>
  </colItems>
  <dataFields count="1">
    <dataField name="Soma de 2026" fld="35"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F41476-F61C-476B-91AC-8E9B573BBEFA}"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E10" firstHeaderRow="0"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m="1" x="6"/>
        <item x="5"/>
        <item x="2"/>
        <item x="3"/>
        <item x="4"/>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dataField="1" showAll="0"/>
    <pivotField dataField="1" showAll="0"/>
    <pivotField dataField="1" numFmtId="43" showAll="0"/>
    <pivotField numFmtId="43" showAll="0"/>
    <pivotField numFmtId="43" showAll="0"/>
    <pivotField showAll="0"/>
    <pivotField showAll="0"/>
    <pivotField showAll="0"/>
    <pivotField showAll="0"/>
    <pivotField showAll="0"/>
    <pivotField numFmtId="43" showAll="0"/>
    <pivotField showAll="0"/>
    <pivotField showAll="0"/>
    <pivotField showAll="0"/>
    <pivotField showAll="0"/>
    <pivotField showAll="0"/>
    <pivotField showAll="0"/>
    <pivotField showAll="0"/>
    <pivotField showAll="0"/>
    <pivotField numFmtId="44" showAll="0"/>
    <pivotField showAll="0"/>
    <pivotField showAll="0"/>
    <pivotField showAll="0"/>
  </pivotFields>
  <rowFields count="1">
    <field x="22"/>
  </rowFields>
  <rowItems count="7">
    <i>
      <x v="1"/>
    </i>
    <i>
      <x v="2"/>
    </i>
    <i>
      <x v="3"/>
    </i>
    <i>
      <x v="4"/>
    </i>
    <i>
      <x v="5"/>
    </i>
    <i>
      <x v="6"/>
    </i>
    <i t="grand">
      <x/>
    </i>
  </rowItems>
  <colFields count="1">
    <field x="-2"/>
  </colFields>
  <colItems count="4">
    <i>
      <x/>
    </i>
    <i i="1">
      <x v="1"/>
    </i>
    <i i="2">
      <x v="2"/>
    </i>
    <i i="3">
      <x v="3"/>
    </i>
  </colItems>
  <dataFields count="4">
    <dataField name="Soma de 2026" fld="35" baseField="0" baseItem="0" numFmtId="43"/>
    <dataField name="Soma de 2027" fld="36" baseField="0" baseItem="0"/>
    <dataField name="Soma de 2028" fld="37" baseField="0" baseItem="0"/>
    <dataField name="Soma de 2029" fld="38" baseField="0" baseItem="0" numFmtId="43"/>
  </dataFields>
  <formats count="1">
    <format dxfId="3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EAA48E-4A58-4375-A78A-B3DB18C64285}" name="Tabela dinâ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20" firstHeaderRow="1" firstDataRow="1" firstDataCol="1"/>
  <pivotFields count="11">
    <pivotField showAll="0"/>
    <pivotField showAll="0"/>
    <pivotField showAll="0"/>
    <pivotField showAll="0"/>
    <pivotField dataField="1" numFmtId="44" showAll="0"/>
    <pivotField numFmtId="44" showAll="0"/>
    <pivotField numFmtId="44" showAll="0"/>
    <pivotField numFmtId="44" showAll="0"/>
    <pivotField numFmtId="44" showAll="0"/>
    <pivotField numFmtId="44" showAll="0"/>
    <pivotField axis="axisRow" showAll="0">
      <items count="17">
        <item x="4"/>
        <item x="1"/>
        <item x="11"/>
        <item x="7"/>
        <item x="10"/>
        <item x="12"/>
        <item x="2"/>
        <item x="5"/>
        <item x="6"/>
        <item x="9"/>
        <item x="14"/>
        <item x="15"/>
        <item x="13"/>
        <item x="3"/>
        <item x="8"/>
        <item x="0"/>
        <item t="default"/>
      </items>
    </pivotField>
  </pivotFields>
  <rowFields count="1">
    <field x="10"/>
  </rowFields>
  <rowItems count="17">
    <i>
      <x/>
    </i>
    <i>
      <x v="1"/>
    </i>
    <i>
      <x v="2"/>
    </i>
    <i>
      <x v="3"/>
    </i>
    <i>
      <x v="4"/>
    </i>
    <i>
      <x v="5"/>
    </i>
    <i>
      <x v="6"/>
    </i>
    <i>
      <x v="7"/>
    </i>
    <i>
      <x v="8"/>
    </i>
    <i>
      <x v="9"/>
    </i>
    <i>
      <x v="10"/>
    </i>
    <i>
      <x v="11"/>
    </i>
    <i>
      <x v="12"/>
    </i>
    <i>
      <x v="13"/>
    </i>
    <i>
      <x v="14"/>
    </i>
    <i>
      <x v="15"/>
    </i>
    <i t="grand">
      <x/>
    </i>
  </rowItems>
  <colItems count="1">
    <i/>
  </colItems>
  <dataFields count="1">
    <dataField name="Soma de 2026" fld="4"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EA01F2-3968-4FED-993E-0793CFDE25B5}" name="Tabela dinâmica3"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6:C42" firstHeaderRow="0" firstDataRow="1" firstDataCol="1"/>
  <pivotFields count="11">
    <pivotField dataField="1" showAll="0"/>
    <pivotField axis="axisRow" showAll="0">
      <items count="6">
        <item x="4"/>
        <item x="1"/>
        <item x="3"/>
        <item x="0"/>
        <item x="2"/>
        <item t="default"/>
      </items>
    </pivotField>
    <pivotField showAll="0"/>
    <pivotField showAll="0"/>
    <pivotField numFmtId="44" multipleItemSelectionAllowed="1" showAll="0">
      <items count="34">
        <item h="1" x="0"/>
        <item x="32"/>
        <item x="9"/>
        <item x="28"/>
        <item x="3"/>
        <item x="31"/>
        <item x="26"/>
        <item x="10"/>
        <item x="25"/>
        <item x="12"/>
        <item x="4"/>
        <item x="6"/>
        <item x="2"/>
        <item x="11"/>
        <item x="19"/>
        <item x="5"/>
        <item x="30"/>
        <item x="29"/>
        <item x="27"/>
        <item x="18"/>
        <item x="24"/>
        <item x="20"/>
        <item x="8"/>
        <item x="23"/>
        <item x="7"/>
        <item x="1"/>
        <item x="22"/>
        <item x="21"/>
        <item x="17"/>
        <item x="16"/>
        <item x="14"/>
        <item x="15"/>
        <item x="13"/>
        <item t="default"/>
      </items>
    </pivotField>
    <pivotField numFmtId="44" showAll="0"/>
    <pivotField numFmtId="44" showAll="0"/>
    <pivotField numFmtId="44" showAll="0"/>
    <pivotField numFmtId="44" showAll="0"/>
    <pivotField dataField="1" numFmtId="44" showAll="0"/>
    <pivotField showAll="0">
      <items count="17">
        <item x="4"/>
        <item x="1"/>
        <item x="11"/>
        <item x="7"/>
        <item x="10"/>
        <item x="12"/>
        <item x="2"/>
        <item x="5"/>
        <item x="6"/>
        <item x="9"/>
        <item x="14"/>
        <item x="15"/>
        <item x="13"/>
        <item x="3"/>
        <item x="8"/>
        <item x="0"/>
        <item t="default"/>
      </items>
    </pivotField>
  </pivotFields>
  <rowFields count="1">
    <field x="1"/>
  </rowFields>
  <rowItems count="6">
    <i>
      <x/>
    </i>
    <i>
      <x v="1"/>
    </i>
    <i>
      <x v="2"/>
    </i>
    <i>
      <x v="3"/>
    </i>
    <i>
      <x v="4"/>
    </i>
    <i t="grand">
      <x/>
    </i>
  </rowItems>
  <colFields count="1">
    <field x="-2"/>
  </colFields>
  <colItems count="2">
    <i>
      <x/>
    </i>
    <i i="1">
      <x v="1"/>
    </i>
  </colItems>
  <dataFields count="2">
    <dataField name="Contagem de ID" fld="0" subtotal="count" baseField="0" baseItem="0"/>
    <dataField name="Soma de 2029-2030" fld="9"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71A8B0-B6D1-4FD7-9524-C6AB56AFBD40}" name="Tabela dinâmica2"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4:C30" firstHeaderRow="0" firstDataRow="1" firstDataCol="1" rowPageCount="1" colPageCount="1"/>
  <pivotFields count="11">
    <pivotField dataField="1" showAll="0"/>
    <pivotField axis="axisRow" showAll="0">
      <items count="6">
        <item x="4"/>
        <item x="1"/>
        <item x="3"/>
        <item x="0"/>
        <item x="2"/>
        <item t="default"/>
      </items>
    </pivotField>
    <pivotField showAll="0"/>
    <pivotField showAll="0"/>
    <pivotField axis="axisPage" dataField="1" numFmtId="44" multipleItemSelectionAllowed="1" showAll="0">
      <items count="34">
        <item h="1" x="0"/>
        <item x="32"/>
        <item x="9"/>
        <item x="28"/>
        <item x="3"/>
        <item x="31"/>
        <item x="26"/>
        <item x="10"/>
        <item x="25"/>
        <item x="12"/>
        <item x="4"/>
        <item x="6"/>
        <item x="2"/>
        <item x="11"/>
        <item x="19"/>
        <item x="5"/>
        <item x="30"/>
        <item x="29"/>
        <item x="27"/>
        <item x="18"/>
        <item x="24"/>
        <item x="20"/>
        <item x="8"/>
        <item x="23"/>
        <item x="7"/>
        <item x="1"/>
        <item x="22"/>
        <item x="21"/>
        <item x="17"/>
        <item x="16"/>
        <item x="14"/>
        <item x="15"/>
        <item x="13"/>
        <item t="default"/>
      </items>
    </pivotField>
    <pivotField numFmtId="44" showAll="0"/>
    <pivotField numFmtId="44" showAll="0"/>
    <pivotField numFmtId="44" showAll="0"/>
    <pivotField numFmtId="44" showAll="0"/>
    <pivotField numFmtId="44" showAll="0"/>
    <pivotField showAll="0">
      <items count="17">
        <item x="4"/>
        <item x="1"/>
        <item x="11"/>
        <item x="7"/>
        <item x="10"/>
        <item x="12"/>
        <item x="2"/>
        <item x="5"/>
        <item x="6"/>
        <item x="9"/>
        <item x="14"/>
        <item x="15"/>
        <item x="13"/>
        <item x="3"/>
        <item x="8"/>
        <item x="0"/>
        <item t="default"/>
      </items>
    </pivotField>
  </pivotFields>
  <rowFields count="1">
    <field x="1"/>
  </rowFields>
  <rowItems count="6">
    <i>
      <x/>
    </i>
    <i>
      <x v="1"/>
    </i>
    <i>
      <x v="2"/>
    </i>
    <i>
      <x v="3"/>
    </i>
    <i>
      <x v="4"/>
    </i>
    <i t="grand">
      <x/>
    </i>
  </rowItems>
  <colFields count="1">
    <field x="-2"/>
  </colFields>
  <colItems count="2">
    <i>
      <x/>
    </i>
    <i i="1">
      <x v="1"/>
    </i>
  </colItems>
  <pageFields count="1">
    <pageField fld="4" hier="-1"/>
  </pageFields>
  <dataFields count="2">
    <dataField name="Contagem de ID" fld="0" subtotal="count" baseField="0" baseItem="0"/>
    <dataField name="Soma de 2026" fld="4"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F19E2F-7AA7-47A5-990D-DDD811866FB8}" name="Tabela dinâmica6"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66:O69" firstHeaderRow="0" firstDataRow="1" firstDataCol="1" rowPageCount="4" colPageCount="1"/>
  <pivotFields count="59">
    <pivotField showAll="0"/>
    <pivotField showAll="0"/>
    <pivotField showAll="0"/>
    <pivotField axis="axisPage" multipleItemSelectionAllowed="1" showAll="0">
      <items count="3">
        <item x="0"/>
        <item m="1" x="1"/>
        <item t="default"/>
      </items>
    </pivotField>
    <pivotField showAll="0"/>
    <pivotField showAll="0"/>
    <pivotField showAll="0"/>
    <pivotField showAll="0"/>
    <pivotField axis="axisPage" multipleItemSelectionAllowed="1" showAll="0">
      <items count="6">
        <item m="1" x="3"/>
        <item m="1" x="2"/>
        <item m="1" x="1"/>
        <item x="0"/>
        <item m="1" x="4"/>
        <item t="default"/>
      </items>
    </pivotField>
    <pivotField showAll="0"/>
    <pivotField axis="axisPage" showAll="0">
      <items count="8">
        <item m="1" x="4"/>
        <item m="1" x="3"/>
        <item x="0"/>
        <item m="1" x="6"/>
        <item m="1" x="5"/>
        <item m="1" x="1"/>
        <item m="1" x="2"/>
        <item t="default"/>
      </items>
    </pivotField>
    <pivotField axis="axisPage" showAll="0">
      <items count="11">
        <item m="1" x="2"/>
        <item m="1" x="9"/>
        <item m="1" x="5"/>
        <item x="0"/>
        <item m="1" x="6"/>
        <item m="1" x="8"/>
        <item m="1" x="3"/>
        <item m="1" x="7"/>
        <item x="1"/>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dataField="1" showAll="0"/>
    <pivotField dataField="1" showAll="0"/>
    <pivotField dataField="1" showAll="0"/>
    <pivotField dataField="1" showAll="0"/>
    <pivotField dataField="1" numFmtId="43"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h="1" x="4"/>
        <item h="1" m="1" x="5"/>
        <item h="1" x="2"/>
        <item h="1" x="3"/>
        <item t="default"/>
      </items>
    </pivotField>
    <pivotField numFmtId="44" showAll="0"/>
    <pivotField showAll="0"/>
    <pivotField showAll="0"/>
    <pivotField showAll="0"/>
  </pivotFields>
  <rowFields count="1">
    <field x="54"/>
  </rowFields>
  <rowItems count="3">
    <i>
      <x/>
    </i>
    <i>
      <x v="1"/>
    </i>
    <i t="grand">
      <x/>
    </i>
  </rowItems>
  <colFields count="1">
    <field x="-2"/>
  </colFields>
  <colItems count="6">
    <i>
      <x/>
    </i>
    <i i="1">
      <x v="1"/>
    </i>
    <i i="2">
      <x v="2"/>
    </i>
    <i i="3">
      <x v="3"/>
    </i>
    <i i="4">
      <x v="4"/>
    </i>
    <i i="5">
      <x v="5"/>
    </i>
  </colItems>
  <pageFields count="4">
    <pageField fld="3" hier="-1"/>
    <pageField fld="10" item="2" hier="-1"/>
    <pageField fld="8" hier="-1"/>
    <pageField fld="11" item="3" hier="-1"/>
  </pageFields>
  <dataFields count="6">
    <dataField name="Soma de 2026" fld="35" baseField="0" baseItem="0" numFmtId="43"/>
    <dataField name="Soma de 2027" fld="36" baseField="50" baseItem="0"/>
    <dataField name="Soma de 2028" fld="37" baseField="0" baseItem="0"/>
    <dataField name="Soma de 2029" fld="38" baseField="0" baseItem="0"/>
    <dataField name="Soma de 2030" fld="39" baseField="0" baseItem="0"/>
    <dataField name="Soma de 2026-2030" fld="40" baseField="0" baseItem="0" numFmtId="43"/>
  </dataFields>
  <formats count="1">
    <format dxfId="3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FCD221-61B2-408F-A655-5727A71CE969}"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38:O40" firstHeaderRow="0" firstDataRow="1" firstDataCol="1" rowPageCount="2" colPageCount="1"/>
  <pivotFields count="59">
    <pivotField showAll="0"/>
    <pivotField showAll="0"/>
    <pivotField showAll="0"/>
    <pivotField showAll="0"/>
    <pivotField showAll="0"/>
    <pivotField showAll="0"/>
    <pivotField showAll="0"/>
    <pivotField showAll="0"/>
    <pivotField axis="axisRow" showAll="0" sortType="ascending">
      <items count="6">
        <item m="1" x="3"/>
        <item m="1" x="2"/>
        <item m="1" x="1"/>
        <item x="0"/>
        <item m="1" x="4"/>
        <item t="default"/>
      </items>
      <autoSortScope>
        <pivotArea dataOnly="0" outline="0" fieldPosition="0">
          <references count="1">
            <reference field="4294967294" count="1" selected="0">
              <x v="5"/>
            </reference>
          </references>
        </pivotArea>
      </autoSortScope>
    </pivotField>
    <pivotField showAll="0"/>
    <pivotField axis="axisPage" multipleItemSelectionAllowed="1" showAll="0">
      <items count="8">
        <item m="1" x="4"/>
        <item m="1" x="3"/>
        <item x="0"/>
        <item m="1" x="6"/>
        <item m="1" x="5"/>
        <item h="1" m="1" x="1"/>
        <item m="1" x="2"/>
        <item t="default"/>
      </items>
    </pivotField>
    <pivotField axis="axisPage" showAll="0">
      <items count="11">
        <item m="1" x="2"/>
        <item m="1" x="9"/>
        <item m="1" x="5"/>
        <item x="0"/>
        <item m="1" x="6"/>
        <item m="1" x="8"/>
        <item m="1" x="3"/>
        <item m="1" x="7"/>
        <item x="1"/>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dataField="1" showAll="0"/>
    <pivotField dataField="1" showAll="0"/>
    <pivotField dataField="1" showAll="0"/>
    <pivotField dataField="1" showAll="0"/>
    <pivotField dataField="1" numFmtId="43"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showAll="0"/>
    <pivotField showAll="0"/>
    <pivotField showAll="0"/>
  </pivotFields>
  <rowFields count="1">
    <field x="8"/>
  </rowFields>
  <rowItems count="2">
    <i>
      <x v="3"/>
    </i>
    <i t="grand">
      <x/>
    </i>
  </rowItems>
  <colFields count="1">
    <field x="-2"/>
  </colFields>
  <colItems count="6">
    <i>
      <x/>
    </i>
    <i i="1">
      <x v="1"/>
    </i>
    <i i="2">
      <x v="2"/>
    </i>
    <i i="3">
      <x v="3"/>
    </i>
    <i i="4">
      <x v="4"/>
    </i>
    <i i="5">
      <x v="5"/>
    </i>
  </colItems>
  <pageFields count="2">
    <pageField fld="10" hier="-1"/>
    <pageField fld="11" item="3" hier="-1"/>
  </pageFields>
  <dataFields count="6">
    <dataField name="Soma de 2026" fld="35" baseField="0" baseItem="0" numFmtId="43"/>
    <dataField name="Soma de 2027" fld="36" baseField="18" baseItem="0"/>
    <dataField name="Soma de 2028" fld="37" baseField="0" baseItem="0"/>
    <dataField name="Soma de 2029" fld="38" baseField="0" baseItem="0"/>
    <dataField name="Soma de 2030" fld="39" baseField="0" baseItem="0"/>
    <dataField name="Soma de 2026-2030" fld="40" baseField="0" baseItem="0" numFmtId="43"/>
  </dataFields>
  <formats count="1">
    <format dxfId="3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157A5B-2D96-47A9-BCF7-1A33F587736E}" name="Tabela dinâ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6:G17" firstHeaderRow="0" firstDataRow="1" firstDataCol="1" rowPageCount="2" colPageCount="1"/>
  <pivotFields count="59">
    <pivotField showAll="0"/>
    <pivotField showAll="0"/>
    <pivotField showAll="0"/>
    <pivotField axis="axisPage" multipleItemSelectionAllowed="1" showAll="0">
      <items count="3">
        <item x="0"/>
        <item m="1" x="1"/>
        <item t="default"/>
      </items>
    </pivotField>
    <pivotField showAll="0"/>
    <pivotField showAll="0"/>
    <pivotField showAll="0"/>
    <pivotField showAll="0"/>
    <pivotField axis="axisRow" showAll="0">
      <items count="6">
        <item m="1" x="3"/>
        <item m="1" x="2"/>
        <item m="1" x="1"/>
        <item x="0"/>
        <item m="1" x="4"/>
        <item t="default"/>
      </items>
    </pivotField>
    <pivotField showAll="0"/>
    <pivotField multipleItemSelectionAllowed="1" showAll="0"/>
    <pivotField axis="axisPage" multipleItemSelectionAllowed="1" showAll="0">
      <items count="11">
        <item m="1" x="9"/>
        <item m="1" x="5"/>
        <item m="1" x="6"/>
        <item h="1" m="1" x="3"/>
        <item m="1" x="7"/>
        <item h="1" x="1"/>
        <item m="1" x="4"/>
        <item m="1" x="8"/>
        <item x="0"/>
        <item h="1"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8" showAll="0"/>
    <pivotField dataField="1" showAll="0"/>
    <pivotField dataField="1" showAll="0"/>
    <pivotField dataField="1" showAll="0"/>
    <pivotField dataField="1" showAll="0"/>
    <pivotField dataField="1" numFmtId="168" showAll="0"/>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showAll="0"/>
    <pivotField axis="axisRow" multipleItemSelectionAllowed="1" showAll="0">
      <items count="7">
        <item x="0"/>
        <item x="1"/>
        <item x="4"/>
        <item m="1" x="5"/>
        <item x="2"/>
        <item x="3"/>
        <item t="default"/>
      </items>
    </pivotField>
    <pivotField numFmtId="44" showAll="0"/>
    <pivotField showAll="0"/>
    <pivotField showAll="0"/>
    <pivotField showAll="0"/>
  </pivotFields>
  <rowFields count="2">
    <field x="54"/>
    <field x="8"/>
  </rowFields>
  <rowItems count="11">
    <i>
      <x/>
    </i>
    <i r="1">
      <x v="3"/>
    </i>
    <i>
      <x v="1"/>
    </i>
    <i r="1">
      <x v="3"/>
    </i>
    <i>
      <x v="2"/>
    </i>
    <i r="1">
      <x v="3"/>
    </i>
    <i>
      <x v="4"/>
    </i>
    <i r="1">
      <x v="3"/>
    </i>
    <i>
      <x v="5"/>
    </i>
    <i r="1">
      <x v="3"/>
    </i>
    <i t="grand">
      <x/>
    </i>
  </rowItems>
  <colFields count="1">
    <field x="-2"/>
  </colFields>
  <colItems count="6">
    <i>
      <x/>
    </i>
    <i i="1">
      <x v="1"/>
    </i>
    <i i="2">
      <x v="2"/>
    </i>
    <i i="3">
      <x v="3"/>
    </i>
    <i i="4">
      <x v="4"/>
    </i>
    <i i="5">
      <x v="5"/>
    </i>
  </colItems>
  <pageFields count="2">
    <pageField fld="3" hier="-1"/>
    <pageField fld="11" hier="-1"/>
  </pageFields>
  <dataFields count="6">
    <dataField name="Soma de 2026" fld="35" baseField="0" baseItem="0" numFmtId="168"/>
    <dataField name="Soma de 2027" fld="36" baseField="0" baseItem="1"/>
    <dataField name="Soma de 2028" fld="37" baseField="0" baseItem="0"/>
    <dataField name="Soma de 2029" fld="38" baseField="0" baseItem="0"/>
    <dataField name="Soma de 2030" fld="39" baseField="0" baseItem="0"/>
    <dataField name="Soma de 2026-2030" fld="40" baseField="0" baseItem="0" numFmtId="168"/>
  </dataFields>
  <formats count="1">
    <format dxfId="351">
      <pivotArea outline="0" collapsedLevelsAreSubtotals="1" fieldPosition="0"/>
    </format>
  </formats>
  <chartFormats count="10">
    <chartFormat chart="0" format="38" series="1">
      <pivotArea type="data" outline="0" fieldPosition="0">
        <references count="2">
          <reference field="4294967294" count="1" selected="0">
            <x v="0"/>
          </reference>
          <reference field="8" count="1" selected="0">
            <x v="0"/>
          </reference>
        </references>
      </pivotArea>
    </chartFormat>
    <chartFormat chart="0" format="39" series="1">
      <pivotArea type="data" outline="0" fieldPosition="0">
        <references count="2">
          <reference field="4294967294" count="1" selected="0">
            <x v="0"/>
          </reference>
          <reference field="8" count="1" selected="0">
            <x v="1"/>
          </reference>
        </references>
      </pivotArea>
    </chartFormat>
    <chartFormat chart="0" format="40" series="1">
      <pivotArea type="data" outline="0" fieldPosition="0">
        <references count="2">
          <reference field="4294967294" count="1" selected="0">
            <x v="0"/>
          </reference>
          <reference field="8" count="1" selected="0">
            <x v="2"/>
          </reference>
        </references>
      </pivotArea>
    </chartFormat>
    <chartFormat chart="0" format="41" series="1">
      <pivotArea type="data" outline="0" fieldPosition="0">
        <references count="2">
          <reference field="4294967294" count="1" selected="0">
            <x v="0"/>
          </reference>
          <reference field="8" count="1" selected="0">
            <x v="3"/>
          </reference>
        </references>
      </pivotArea>
    </chartFormat>
    <chartFormat chart="0" format="42" series="1">
      <pivotArea type="data" outline="0" fieldPosition="0">
        <references count="1">
          <reference field="4294967294" count="1" selected="0">
            <x v="0"/>
          </reference>
        </references>
      </pivotArea>
    </chartFormat>
    <chartFormat chart="0" format="43" series="1">
      <pivotArea type="data" outline="0" fieldPosition="0">
        <references count="1">
          <reference field="4294967294" count="1" selected="0">
            <x v="1"/>
          </reference>
        </references>
      </pivotArea>
    </chartFormat>
    <chartFormat chart="0" format="44" series="1">
      <pivotArea type="data" outline="0" fieldPosition="0">
        <references count="1">
          <reference field="4294967294" count="1" selected="0">
            <x v="2"/>
          </reference>
        </references>
      </pivotArea>
    </chartFormat>
    <chartFormat chart="0" format="45" series="1">
      <pivotArea type="data" outline="0" fieldPosition="0">
        <references count="1">
          <reference field="4294967294" count="1" selected="0">
            <x v="3"/>
          </reference>
        </references>
      </pivotArea>
    </chartFormat>
    <chartFormat chart="0" format="46" series="1">
      <pivotArea type="data" outline="0" fieldPosition="0">
        <references count="1">
          <reference field="4294967294" count="1" selected="0">
            <x v="4"/>
          </reference>
        </references>
      </pivotArea>
    </chartFormat>
    <chartFormat chart="0" format="52"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DFE290-8675-4A0D-91B3-B6CC7EF93095}" name="Tabela dinâmica5"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65:G72" firstHeaderRow="0" firstDataRow="1" firstDataCol="1" rowPageCount="3" colPageCount="1"/>
  <pivotFields count="59">
    <pivotField showAll="0"/>
    <pivotField showAll="0"/>
    <pivotField showAll="0"/>
    <pivotField axis="axisRow" multipleItemSelectionAllowed="1" showAll="0">
      <items count="3">
        <item x="0"/>
        <item m="1" x="1"/>
        <item t="default"/>
      </items>
    </pivotField>
    <pivotField showAll="0"/>
    <pivotField showAll="0"/>
    <pivotField showAll="0"/>
    <pivotField showAll="0"/>
    <pivotField axis="axisPage" multipleItemSelectionAllowed="1" showAll="0">
      <items count="6">
        <item m="1" x="3"/>
        <item m="1" x="2"/>
        <item m="1" x="1"/>
        <item x="0"/>
        <item m="1" x="4"/>
        <item t="default"/>
      </items>
    </pivotField>
    <pivotField showAll="0"/>
    <pivotField axis="axisPage" showAll="0">
      <items count="8">
        <item m="1" x="4"/>
        <item m="1" x="3"/>
        <item x="0"/>
        <item m="1" x="6"/>
        <item m="1" x="5"/>
        <item m="1" x="1"/>
        <item m="1" x="2"/>
        <item t="default"/>
      </items>
    </pivotField>
    <pivotField axis="axisPage" multipleItemSelectionAllowed="1" showAll="0">
      <items count="11">
        <item h="1" m="1" x="2"/>
        <item m="1" x="9"/>
        <item m="1" x="5"/>
        <item x="0"/>
        <item m="1" x="6"/>
        <item m="1" x="8"/>
        <item h="1" m="1" x="3"/>
        <item m="1" x="7"/>
        <item h="1" x="1"/>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dataField="1" showAll="0"/>
    <pivotField dataField="1" showAll="0"/>
    <pivotField dataField="1" showAll="0"/>
    <pivotField dataField="1" showAll="0"/>
    <pivotField dataField="1" numFmtId="43"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4"/>
        <item m="1" x="5"/>
        <item x="2"/>
        <item x="3"/>
        <item t="default"/>
      </items>
    </pivotField>
    <pivotField numFmtId="44" showAll="0"/>
    <pivotField showAll="0"/>
    <pivotField showAll="0"/>
    <pivotField showAll="0"/>
  </pivotFields>
  <rowFields count="2">
    <field x="3"/>
    <field x="54"/>
  </rowFields>
  <rowItems count="7">
    <i>
      <x/>
    </i>
    <i r="1">
      <x/>
    </i>
    <i r="1">
      <x v="1"/>
    </i>
    <i r="1">
      <x v="2"/>
    </i>
    <i r="1">
      <x v="4"/>
    </i>
    <i r="1">
      <x v="5"/>
    </i>
    <i t="grand">
      <x/>
    </i>
  </rowItems>
  <colFields count="1">
    <field x="-2"/>
  </colFields>
  <colItems count="6">
    <i>
      <x/>
    </i>
    <i i="1">
      <x v="1"/>
    </i>
    <i i="2">
      <x v="2"/>
    </i>
    <i i="3">
      <x v="3"/>
    </i>
    <i i="4">
      <x v="4"/>
    </i>
    <i i="5">
      <x v="5"/>
    </i>
  </colItems>
  <pageFields count="3">
    <pageField fld="10" item="2" hier="-1"/>
    <pageField fld="8" hier="-1"/>
    <pageField fld="11" hier="-1"/>
  </pageFields>
  <dataFields count="6">
    <dataField name="Soma de 2026" fld="35" baseField="0" baseItem="0" numFmtId="43"/>
    <dataField name="Soma de 2027" fld="36" baseField="50" baseItem="0"/>
    <dataField name="Soma de 2028" fld="37" baseField="0" baseItem="0"/>
    <dataField name="Soma de 2029" fld="38" baseField="0" baseItem="0"/>
    <dataField name="Soma de 2030" fld="39" baseField="0" baseItem="0"/>
    <dataField name="Soma de 2026-2030" fld="40" baseField="0" baseItem="0" numFmtId="43"/>
  </dataFields>
  <formats count="1">
    <format dxfId="3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64D283-D011-4FEC-884D-339B38CDAE3B}" name="Tabela dinâmica7"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78:O80" firstHeaderRow="0" firstDataRow="1" firstDataCol="1" rowPageCount="4" colPageCount="1"/>
  <pivotFields count="59">
    <pivotField showAll="0"/>
    <pivotField showAll="0"/>
    <pivotField showAll="0"/>
    <pivotField axis="axisPage" multipleItemSelectionAllowed="1" showAll="0">
      <items count="3">
        <item x="0"/>
        <item m="1" x="1"/>
        <item t="default"/>
      </items>
    </pivotField>
    <pivotField showAll="0"/>
    <pivotField showAll="0"/>
    <pivotField showAll="0"/>
    <pivotField showAll="0"/>
    <pivotField axis="axisPage" multipleItemSelectionAllowed="1" showAll="0">
      <items count="6">
        <item m="1" x="3"/>
        <item m="1" x="2"/>
        <item m="1" x="1"/>
        <item x="0"/>
        <item m="1" x="4"/>
        <item t="default"/>
      </items>
    </pivotField>
    <pivotField showAll="0"/>
    <pivotField axis="axisPage" showAll="0">
      <items count="8">
        <item m="1" x="4"/>
        <item m="1" x="3"/>
        <item x="0"/>
        <item m="1" x="6"/>
        <item m="1" x="5"/>
        <item m="1" x="1"/>
        <item m="1" x="2"/>
        <item t="default"/>
      </items>
    </pivotField>
    <pivotField axis="axisPage" showAll="0">
      <items count="11">
        <item m="1" x="2"/>
        <item m="1" x="9"/>
        <item m="1" x="5"/>
        <item x="0"/>
        <item m="1" x="6"/>
        <item m="1" x="8"/>
        <item m="1" x="3"/>
        <item m="1" x="7"/>
        <item x="1"/>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dataField="1" showAll="0"/>
    <pivotField dataField="1" showAll="0"/>
    <pivotField dataField="1" showAll="0"/>
    <pivotField dataField="1" showAll="0"/>
    <pivotField dataField="1" numFmtId="43"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h="1" x="0"/>
        <item h="1" x="1"/>
        <item x="4"/>
        <item h="1" m="1" x="5"/>
        <item h="1" x="2"/>
        <item h="1" x="3"/>
        <item t="default"/>
      </items>
    </pivotField>
    <pivotField numFmtId="44" showAll="0"/>
    <pivotField showAll="0"/>
    <pivotField showAll="0"/>
    <pivotField showAll="0"/>
  </pivotFields>
  <rowFields count="1">
    <field x="54"/>
  </rowFields>
  <rowItems count="2">
    <i>
      <x v="2"/>
    </i>
    <i t="grand">
      <x/>
    </i>
  </rowItems>
  <colFields count="1">
    <field x="-2"/>
  </colFields>
  <colItems count="6">
    <i>
      <x/>
    </i>
    <i i="1">
      <x v="1"/>
    </i>
    <i i="2">
      <x v="2"/>
    </i>
    <i i="3">
      <x v="3"/>
    </i>
    <i i="4">
      <x v="4"/>
    </i>
    <i i="5">
      <x v="5"/>
    </i>
  </colItems>
  <pageFields count="4">
    <pageField fld="3" hier="-1"/>
    <pageField fld="10" item="2" hier="-1"/>
    <pageField fld="8" hier="-1"/>
    <pageField fld="11" item="3" hier="-1"/>
  </pageFields>
  <dataFields count="6">
    <dataField name="Soma de 2026" fld="35" baseField="0" baseItem="0" numFmtId="43"/>
    <dataField name="Soma de 2027" fld="36" baseField="50" baseItem="0"/>
    <dataField name="Soma de 2028" fld="37" baseField="0" baseItem="0"/>
    <dataField name="Soma de 2029" fld="38" baseField="0" baseItem="0"/>
    <dataField name="Soma de 2030" fld="39" baseField="0" baseItem="0"/>
    <dataField name="Soma de 2026-2030" fld="40" baseField="0" baseItem="0" numFmtId="43"/>
  </dataFields>
  <formats count="1">
    <format dxfId="3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153EDA6-BC6C-45E4-8D84-C09E5D27B809}" name="Tabela dinâmica8"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59:B161" firstHeaderRow="1" firstDataRow="1" firstDataCol="1" rowPageCount="1" colPageCount="1"/>
  <pivotFields count="59">
    <pivotField showAll="0"/>
    <pivotField showAll="0"/>
    <pivotField showAll="0"/>
    <pivotField showAll="0"/>
    <pivotField showAll="0"/>
    <pivotField showAll="0"/>
    <pivotField showAll="0"/>
    <pivotField showAll="0"/>
    <pivotField axis="axisRow" showAll="0">
      <items count="6">
        <item m="1" x="3"/>
        <item m="1" x="2"/>
        <item m="1" x="1"/>
        <item x="0"/>
        <item m="1" x="4"/>
        <item t="default"/>
      </items>
    </pivotField>
    <pivotField showAll="0"/>
    <pivotField showAll="0"/>
    <pivotField axis="axisPage" showAll="0">
      <items count="11">
        <item m="1" x="2"/>
        <item m="1" x="9"/>
        <item m="1" x="5"/>
        <item x="0"/>
        <item m="1" x="6"/>
        <item m="1" x="8"/>
        <item m="1" x="3"/>
        <item m="1" x="7"/>
        <item x="1"/>
        <item m="1" x="4"/>
        <item t="default"/>
      </items>
    </pivotField>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showAll="0"/>
    <pivotField showAll="0"/>
    <pivotField showAll="0"/>
    <pivotField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showAll="0"/>
    <pivotField showAll="0"/>
    <pivotField showAll="0"/>
  </pivotFields>
  <rowFields count="1">
    <field x="8"/>
  </rowFields>
  <rowItems count="2">
    <i>
      <x v="3"/>
    </i>
    <i t="grand">
      <x/>
    </i>
  </rowItems>
  <colItems count="1">
    <i/>
  </colItems>
  <pageFields count="1">
    <pageField fld="11" item="3" hier="-1"/>
  </pageFields>
  <dataFields count="1">
    <dataField name="Soma de 2026-2030" fld="40" baseField="0" baseItem="0" numFmtId="171"/>
  </dataFields>
  <formats count="1">
    <format dxfId="3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7603EE3-833E-4738-A9D8-E6B9E85FFAFF}" name="Tabela dinâmica4"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94:B101"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axis="axisPage" showAll="0">
      <items count="11">
        <item m="1" x="2"/>
        <item m="1" x="9"/>
        <item m="1" x="5"/>
        <item x="0"/>
        <item m="1" x="6"/>
        <item m="1" x="8"/>
        <item m="1" x="3"/>
        <item m="1" x="7"/>
        <item x="1"/>
        <item m="1" x="4"/>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8">
        <item m="1" x="6"/>
        <item x="2"/>
        <item x="3"/>
        <item x="4"/>
        <item x="1"/>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showAll="0"/>
    <pivotField showAll="0"/>
    <pivotField showAll="0"/>
    <pivotField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showAll="0"/>
    <pivotField showAll="0"/>
    <pivotField showAll="0"/>
  </pivotFields>
  <rowFields count="1">
    <field x="22"/>
  </rowFields>
  <rowItems count="7">
    <i>
      <x v="5"/>
    </i>
    <i>
      <x v="1"/>
    </i>
    <i>
      <x v="4"/>
    </i>
    <i>
      <x v="3"/>
    </i>
    <i>
      <x v="2"/>
    </i>
    <i>
      <x v="6"/>
    </i>
    <i t="grand">
      <x/>
    </i>
  </rowItems>
  <colItems count="1">
    <i/>
  </colItems>
  <pageFields count="1">
    <pageField fld="11" item="3" hier="-1"/>
  </pageFields>
  <dataFields count="1">
    <dataField name="Soma de 2026-2030" fld="40" baseField="0" baseItem="0" numFmtId="171"/>
  </dataFields>
  <formats count="2">
    <format dxfId="356">
      <pivotArea collapsedLevelsAreSubtotals="1" fieldPosition="0">
        <references count="1">
          <reference field="22" count="0"/>
        </references>
      </pivotArea>
    </format>
    <format dxfId="3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619F45F-D008-4AF0-9696-5FAA11844CAD}" name="Tabela dinâmica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8:G44" firstHeaderRow="0" firstDataRow="1" firstDataCol="1" rowPageCount="4" colPageCount="1"/>
  <pivotFields count="59">
    <pivotField showAll="0"/>
    <pivotField showAll="0"/>
    <pivotField showAll="0"/>
    <pivotField axis="axisPage" multipleItemSelectionAllowed="1" showAll="0">
      <items count="3">
        <item x="0"/>
        <item m="1" x="1"/>
        <item t="default"/>
      </items>
    </pivotField>
    <pivotField showAll="0"/>
    <pivotField showAll="0"/>
    <pivotField showAll="0"/>
    <pivotField showAll="0"/>
    <pivotField axis="axisPage" multipleItemSelectionAllowed="1" showAll="0">
      <items count="6">
        <item m="1" x="3"/>
        <item m="1" x="2"/>
        <item m="1" x="1"/>
        <item x="0"/>
        <item m="1" x="4"/>
        <item t="default"/>
      </items>
    </pivotField>
    <pivotField showAll="0"/>
    <pivotField axis="axisPage" showAll="0">
      <items count="8">
        <item m="1" x="4"/>
        <item m="1" x="3"/>
        <item x="0"/>
        <item m="1" x="6"/>
        <item m="1" x="5"/>
        <item m="1" x="1"/>
        <item m="1" x="2"/>
        <item t="default"/>
      </items>
    </pivotField>
    <pivotField axis="axisPage" showAll="0">
      <items count="11">
        <item m="1" x="2"/>
        <item m="1" x="9"/>
        <item m="1" x="5"/>
        <item x="0"/>
        <item m="1" x="6"/>
        <item m="1" x="8"/>
        <item m="1" x="3"/>
        <item m="1" x="7"/>
        <item x="1"/>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dataField="1" showAll="0"/>
    <pivotField dataField="1" showAll="0"/>
    <pivotField dataField="1" showAll="0"/>
    <pivotField dataField="1" showAll="0"/>
    <pivotField dataField="1" numFmtId="43"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4"/>
        <item m="1" x="5"/>
        <item x="2"/>
        <item x="3"/>
        <item t="default"/>
      </items>
    </pivotField>
    <pivotField numFmtId="44" showAll="0"/>
    <pivotField showAll="0"/>
    <pivotField showAll="0"/>
    <pivotField showAll="0"/>
  </pivotFields>
  <rowFields count="1">
    <field x="54"/>
  </rowFields>
  <rowItems count="6">
    <i>
      <x/>
    </i>
    <i>
      <x v="1"/>
    </i>
    <i>
      <x v="2"/>
    </i>
    <i>
      <x v="4"/>
    </i>
    <i>
      <x v="5"/>
    </i>
    <i t="grand">
      <x/>
    </i>
  </rowItems>
  <colFields count="1">
    <field x="-2"/>
  </colFields>
  <colItems count="6">
    <i>
      <x/>
    </i>
    <i i="1">
      <x v="1"/>
    </i>
    <i i="2">
      <x v="2"/>
    </i>
    <i i="3">
      <x v="3"/>
    </i>
    <i i="4">
      <x v="4"/>
    </i>
    <i i="5">
      <x v="5"/>
    </i>
  </colItems>
  <pageFields count="4">
    <pageField fld="3" hier="-1"/>
    <pageField fld="10" item="2" hier="-1"/>
    <pageField fld="8" hier="-1"/>
    <pageField fld="11" item="3" hier="-1"/>
  </pageFields>
  <dataFields count="6">
    <dataField name="Soma de 2026" fld="35" baseField="0" baseItem="0" numFmtId="43"/>
    <dataField name="Soma de 2027" fld="36" baseField="50" baseItem="0"/>
    <dataField name="Soma de 2028" fld="37" baseField="0" baseItem="0"/>
    <dataField name="Soma de 2029" fld="38" baseField="0" baseItem="0"/>
    <dataField name="Soma de 2030" fld="39" baseField="0" baseItem="0"/>
    <dataField name="Soma de 2026-2030" fld="40" baseField="0" baseItem="0" numFmtId="43"/>
  </dataFields>
  <formats count="1">
    <format dxfId="3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
  <a r="124">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e">#NULL!</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r">2</v>
    <v t="i">2</v>
  </a>
</arrayData>
</file>

<file path=xl/richData/rdrichvalue.xml><?xml version="1.0" encoding="utf-8"?>
<rvData xmlns="http://schemas.microsoft.com/office/spreadsheetml/2017/richdata" count="6">
  <rv s="0">
    <v>0</v>
    <v>8</v>
    <v>121</v>
    <v>5</v>
  </rv>
  <rv s="0">
    <v>0</v>
    <v>8</v>
    <v>3</v>
    <v>1</v>
  </rv>
  <rv s="1">
    <v>8</v>
    <v>1</v>
  </rv>
  <rv s="2">
    <v>0</v>
  </rv>
  <rv s="3">
    <v>{DF1BE01A-55FB-4334-93EC-36530FB871A0}</v>
    <v>0</v>
    <v>0</v>
    <v>3</v>
  </rv>
  <rv s="3">
    <v>{C877EE7F-E769-41F1-8598-6AD962B03A4C}</v>
    <v>0</v>
    <v>0</v>
    <v>3</v>
  </rv>
</rvData>
</file>

<file path=xl/richData/rdrichvaluestructure.xml><?xml version="1.0" encoding="utf-8"?>
<rvStructures xmlns="http://schemas.microsoft.com/office/spreadsheetml/2017/richdata" count="4">
  <s t="_error">
    <k n="colOffset" t="i"/>
    <k n="errorType" t="i"/>
    <k n="rwOffset" t="i"/>
    <k n="subType" t="i"/>
  </s>
  <s t="_error">
    <k n="errorType" t="i"/>
    <k n="propagated" t="b"/>
  </s>
  <s t="_array">
    <k n="array" t="a"/>
  </s>
  <s t="_datasourcecontainer">
    <k n="%XLUID" t="s"/>
    <k n="_CRID" t="i"/>
    <k n="_Display" t="spb"/>
    <k n="sequencial" t="r"/>
  </s>
</rvStructures>
</file>

<file path=xl/richData/rdsupportingpropertybag.xml><?xml version="1.0" encoding="utf-8"?>
<supportingPropertyBags xmlns="http://schemas.microsoft.com/office/spreadsheetml/2017/richdata2">
  <spbArrays count="1">
    <a count="4">
      <v t="s">sequencial</v>
      <v t="s">_CRID</v>
      <v t="s">%XLUID</v>
      <v t="s">_Display</v>
    </a>
  </spbArrays>
  <spbData count="1">
    <spb s="0">
      <v>0</v>
    </spb>
  </spbData>
</supportingPropertyBags>
</file>

<file path=xl/richData/rdsupportingpropertybagstructure.xml><?xml version="1.0" encoding="utf-8"?>
<spbStructures xmlns="http://schemas.microsoft.com/office/spreadsheetml/2017/richdata2" count="1">
  <s>
    <k n="^Order" t="spba"/>
  </s>
</spb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ACA444-9E2C-4786-869E-B65D864572F0}" name="Tabela2" displayName="Tabela2" ref="B11:D120" headerRowDxfId="383" dataDxfId="381" totalsRowDxfId="380" headerRowBorderDxfId="382">
  <autoFilter ref="B11:D120" xr:uid="{C9ACA444-9E2C-4786-869E-B65D864572F0}">
    <filterColumn colId="0" hiddenButton="1"/>
    <filterColumn colId="1" hiddenButton="1"/>
    <filterColumn colId="2" hiddenButton="1"/>
  </autoFilter>
  <tableColumns count="3">
    <tableColumn id="4" xr3:uid="{8D6746E8-58FB-4E7D-8D26-5384B30315C9}" name="Coluna" dataDxfId="379"/>
    <tableColumn id="1" xr3:uid="{040889E2-6F17-4B39-AFCE-161D4DB2321B}" name="Descrição do Campo" totalsRowLabel="Total" dataDxfId="378" totalsRowDxfId="377"/>
    <tableColumn id="2" xr3:uid="{C27A21A9-D018-43C2-B47F-BED9A2EF2D33}" name="Área utiliza Projeção? (Sim/Não)" totalsRowFunction="count" dataDxfId="376" totalsRowDxfId="375"/>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6C8E68-607F-4D1E-BAF8-D2D068D20D62}" name="Tabela3" displayName="Tabela3" ref="B3:D12" totalsRowShown="0" headerRowDxfId="374" dataDxfId="372" headerRowBorderDxfId="373">
  <autoFilter ref="B3:D12" xr:uid="{EE6C8E68-607F-4D1E-BAF8-D2D068D20D62}">
    <filterColumn colId="0" hiddenButton="1"/>
    <filterColumn colId="1" hiddenButton="1"/>
    <filterColumn colId="2" hiddenButton="1"/>
  </autoFilter>
  <tableColumns count="3">
    <tableColumn id="1" xr3:uid="{12E373AF-DEC1-4A41-A6F3-8DC8AE23165E}" name="Id" dataDxfId="371">
      <calculatedColumnFormula>ROW(Tabela3[[#This Row],[Id]])-ROW(Tabela3[[#Headers],[Id]])</calculatedColumnFormula>
    </tableColumn>
    <tableColumn id="2" xr3:uid="{303CC714-7734-4FB5-921B-9D8D1E03E576}" name="Descrição" dataDxfId="370"/>
    <tableColumn id="3" xr3:uid="{AC305B29-2BEA-478F-9DC6-BEE015B4EE77}" name="Status" dataDxfId="369"/>
  </tableColumns>
  <tableStyleInfo name="TableStyleLigh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6A24D15-F725-4C21-8F80-D5715C6DD2DA}" name="Tabela10" displayName="Tabela10" ref="A18:BV147" totalsRowShown="0" headerRowDxfId="459" dataDxfId="458" headerRowCellStyle="Normal 2" dataCellStyle="Normal 2">
  <autoFilter ref="A18:BV147" xr:uid="{06A24D15-F725-4C21-8F80-D5715C6DD2DA}">
    <filterColumn colId="28">
      <customFilters>
        <customFilter operator="notEqual" val=" "/>
      </customFilters>
    </filterColumn>
  </autoFilter>
  <tableColumns count="74">
    <tableColumn id="1" xr3:uid="{FD55F6D5-8CB7-4B2E-9398-EB0718AC190D}" name="Analise Estrategia" dataDxfId="457" dataCellStyle="Normal 2"/>
    <tableColumn id="2" xr3:uid="{319D4542-C512-49EF-BF49-EAF5F452E40D}" name="Check" dataDxfId="456" dataCellStyle="Normal 2">
      <calculatedColumnFormula array="1">AND(ISTEXT('Consolidado-Eletronorte'!$H19:$M19),SUM('Consolidado-Eletronorte'!$AI19:$BF19)&gt;0)</calculatedColumnFormula>
    </tableColumn>
    <tableColumn id="3" xr3:uid="{51B24D59-0D85-448E-ACC5-3618941923E3}" name="Arquivo" dataDxfId="455" dataCellStyle="Normal 2">
      <calculatedColumnFormula>$J$13</calculatedColumnFormula>
    </tableColumn>
    <tableColumn id="4" xr3:uid="{10788A95-22C1-4BC5-8404-D962E55B9784}" name="VP" dataDxfId="454" dataCellStyle="Normal 2">
      <calculatedColumnFormula>$H$13</calculatedColumnFormula>
    </tableColumn>
    <tableColumn id="5" xr3:uid="{881D8DFE-0F33-4A37-825D-A9FD63699491}" name="Responsável" dataDxfId="453" dataCellStyle="Normal 2">
      <calculatedColumnFormula>$H$14</calculatedColumnFormula>
    </tableColumn>
    <tableColumn id="6" xr3:uid="{5AD27234-BCC4-4CBD-9F6C-97F0F51ED42F}" name="Conferido" dataDxfId="452" dataCellStyle="Normal 2"/>
    <tableColumn id="7" xr3:uid="{9E763AE1-BF3C-4B87-8C7F-07C8577F55A2}" name="Id PE" dataDxfId="451" dataCellStyle="Normal 2">
      <calculatedColumnFormula>_xlfn.CONCAT('Consolidado-Eletronorte'!$D19,"_",ROW('Consolidado-Eletronorte'!$G19)-ROW('Consolidado-Eletronorte'!$G$18))</calculatedColumnFormula>
    </tableColumn>
    <tableColumn id="8" xr3:uid="{8ABA5F44-E845-48C6-B98E-C2092F65B79A}" name="Corporativo ou SPE" dataDxfId="450" dataCellStyle="Normal 2"/>
    <tableColumn id="9" xr3:uid="{EDFEDB0A-B72A-41CD-8678-8BBBE15BD7D9}" name="Empresa" dataDxfId="449" dataCellStyle="Normal 2"/>
    <tableColumn id="10" xr3:uid="{FF28CEA8-1BD8-4D63-B95C-8907758B9DB3}" name="Segmento" dataDxfId="448" dataCellStyle="Normal 2"/>
    <tableColumn id="11" xr3:uid="{8E324399-82C7-40DF-B300-52B14924D9A7}" name="Categoria Cise" dataDxfId="447" dataCellStyle="Normal 2"/>
    <tableColumn id="12" xr3:uid="{560B690F-0A14-43CA-9749-C6FE574F49F9}" name="Subcategoria CISE" dataDxfId="446" dataCellStyle="Normal 2"/>
    <tableColumn id="13" xr3:uid="{51DF426B-628C-4DFF-9386-930F06CE5B8E}" name="Coletor de Custo" dataDxfId="445" dataCellStyle="Normal 2"/>
    <tableColumn id="14" xr3:uid="{6B0E5978-79C8-49AD-8E43-A1284A8F4ADB}" name="Cód Projeto VED" dataDxfId="444" dataCellStyle="Normal 2"/>
    <tableColumn id="15" xr3:uid="{89C36288-3BF6-460E-B260-626495983BE3}" name="Cód SGPMR" dataDxfId="443" dataCellStyle="Normal 2"/>
    <tableColumn id="16" xr3:uid="{ADA20808-3ACC-47E8-8DDA-F6F4E7E1C2FC}" name="Número da LO" dataDxfId="442" dataCellStyle="Normal 2"/>
    <tableColumn id="64" xr3:uid="{E2AB06C3-9B33-4F98-AE5E-18509DBA9D1B}" name="ID real" dataDxfId="441" dataCellStyle="Normal 2"/>
    <tableColumn id="17" xr3:uid="{491A9C91-686F-4789-B4EF-5B2D8EA375FD}" name="Descrição do projeto" dataDxfId="440" dataCellStyle="Normal 2"/>
    <tableColumn id="74" xr3:uid="{8639EC11-906E-43C3-ADF5-D263931D35D1}" name="ID real3" dataDxfId="439" dataCellStyle="Normal 2"/>
    <tableColumn id="59" xr3:uid="{DF27BD82-25DF-4AEE-8E1D-D29619CDBE51}" name="Categoria Cise2" dataDxfId="438" dataCellStyle="Normal 2"/>
    <tableColumn id="58" xr3:uid="{936154E9-2CFA-4829-8E62-633899733CE8}" name="Subcategoria CISE3" dataDxfId="437" dataCellStyle="Normal 2"/>
    <tableColumn id="57" xr3:uid="{52047984-6B99-4775-BFEC-14C874E22F54}" name="Coletor de Custo (Carga)" dataDxfId="436" dataCellStyle="Normal 2"/>
    <tableColumn id="67" xr3:uid="{EA27CF34-6890-4816-93B1-A19A5F6661C5}" name="PEP SIGEP" dataDxfId="435" dataCellStyle="Normal 2"/>
    <tableColumn id="62" xr3:uid="{EFBC15D6-6A6B-4ADF-998D-2D2A7CFE3207}" name="PEP especifico" dataDxfId="434" dataCellStyle="Normal 2"/>
    <tableColumn id="60" xr3:uid="{1AB8CBC3-F929-4EC3-949B-71B5A3FC18EE}" name="RC" dataDxfId="433" dataCellStyle="Normal 2"/>
    <tableColumn id="70" xr3:uid="{62C92EE0-FF7D-4989-A1B9-1F0185EAFB0A}" name="Valor RC" dataDxfId="432" dataCellStyle="Moeda"/>
    <tableColumn id="61" xr3:uid="{37FFB4F9-A30B-4798-835A-91E0A7549570}" name="Contrato" dataDxfId="431" dataCellStyle="Normal 2"/>
    <tableColumn id="71" xr3:uid="{84B2AA82-62A5-468D-AA15-6C1D1CBA1F3A}" name="Valor Contrato" dataDxfId="430" dataCellStyle="Moeda"/>
    <tableColumn id="56" xr3:uid="{16FC8EA1-6F7B-43E4-8AE5-C14E0D2AA158}" name="Pedido" dataDxfId="429" dataCellStyle="Normal 2"/>
    <tableColumn id="72" xr3:uid="{47677D0A-6896-4157-9761-026B87F6A31A}" name="Valor Pedido" dataDxfId="428" dataCellStyle="Moeda"/>
    <tableColumn id="68" xr3:uid="{A4BCBC57-CDBC-4BCE-8750-027DC16F3ED1}" name="Objeto" dataDxfId="427" dataCellStyle="Normal 2"/>
    <tableColumn id="69" xr3:uid="{16E64CEC-885D-4EAF-8D4E-9247D7675CF9}" name="Contratada" dataDxfId="426" dataCellStyle="Normal 2"/>
    <tableColumn id="18" xr3:uid="{CB0DA7CD-50C2-45C8-8B1E-157A2018D323}" name="Especificação" dataDxfId="425" dataCellStyle="Normal 2"/>
    <tableColumn id="19" xr3:uid="{6F8CDA9F-E943-4B32-96E9-AAFAA5D719C9}" name="Local da Instalação" dataDxfId="424" dataCellStyle="Normal 2"/>
    <tableColumn id="20" xr3:uid="{13D8CE00-727D-446C-A9BA-783B70BB419F}" name="jan/26" dataDxfId="423" dataCellStyle="Vírgula"/>
    <tableColumn id="21" xr3:uid="{3D18AA7A-850F-47CD-82FA-4213781C53C7}" name="fev/26" dataDxfId="422" dataCellStyle="Vírgula"/>
    <tableColumn id="22" xr3:uid="{53F0B4E4-710C-4B5D-B510-966EFC0C5D3C}" name="mar/26" dataDxfId="421" dataCellStyle="Vírgula"/>
    <tableColumn id="23" xr3:uid="{48B57470-F07F-408F-89F0-9396B5263988}" name="abr/26" dataDxfId="420" dataCellStyle="Vírgula"/>
    <tableColumn id="24" xr3:uid="{C1D6FBE6-F033-478B-B503-7E6183DB4EC4}" name="mai/26" dataDxfId="419" dataCellStyle="Vírgula"/>
    <tableColumn id="25" xr3:uid="{E242BB82-3948-4F11-B917-7C9A4FD1CCDA}" name="jun/26" dataDxfId="418" dataCellStyle="Vírgula"/>
    <tableColumn id="26" xr3:uid="{A2D55E48-1413-4EFE-8C74-E88B769008E6}" name="jul/26" dataDxfId="417" dataCellStyle="Vírgula"/>
    <tableColumn id="27" xr3:uid="{A71B30D8-CA0D-4A79-A839-8F2358C63A37}" name="ago/26" dataDxfId="416" dataCellStyle="Vírgula"/>
    <tableColumn id="28" xr3:uid="{2A699863-C784-4F62-870B-4B7A1358553D}" name="set/26" dataDxfId="415" dataCellStyle="Vírgula"/>
    <tableColumn id="29" xr3:uid="{DE532877-645C-4D40-94BE-D759C4E7DB14}" name="out/26" dataDxfId="414" dataCellStyle="Vírgula"/>
    <tableColumn id="30" xr3:uid="{48D6B8C9-022D-44AE-B580-A7CE94FFFF0E}" name="nov/26" dataDxfId="413" dataCellStyle="Vírgula"/>
    <tableColumn id="31" xr3:uid="{7371F5CA-8621-439D-85F6-6CC2D080861E}" name="dez/26" dataDxfId="412" dataCellStyle="Vírgula"/>
    <tableColumn id="32" xr3:uid="{1995BDEB-302D-4AEE-84E4-E4285E2D7820}" name="2026" dataDxfId="411" dataCellStyle="Vírgula">
      <calculatedColumnFormula>SUM(Tabela10[[#This Row],[jan/26]:[dez/26]])</calculatedColumnFormula>
    </tableColumn>
    <tableColumn id="33" xr3:uid="{DD7362DB-CE29-43D8-AFDD-F38BF2140F36}" name="2027" dataDxfId="410" dataCellStyle="Vírgula"/>
    <tableColumn id="34" xr3:uid="{F06FABEA-1D3C-4900-81FD-7852CA9BFF54}" name="2028" dataDxfId="409" dataCellStyle="Vírgula"/>
    <tableColumn id="35" xr3:uid="{B464D585-B842-4501-A5F8-37D90401FEEC}" name="2029" dataDxfId="408" dataCellStyle="Vírgula"/>
    <tableColumn id="36" xr3:uid="{5B97033F-5E7C-4AEA-A62A-6B5949F56DC4}" name="2030" dataDxfId="407" dataCellStyle="Vírgula"/>
    <tableColumn id="37" xr3:uid="{223A3D59-2CCC-42C5-8948-727F8C4BF25E}" name="2026-2030" dataDxfId="406" dataCellStyle="Vírgula">
      <calculatedColumnFormula>SUM(Tabela10[[#This Row],[2026]:[2030]])</calculatedColumnFormula>
    </tableColumn>
    <tableColumn id="38" xr3:uid="{E79F03DF-15B0-47CB-87B3-B0B34C123559}" name="2031" dataDxfId="405" dataCellStyle="Vírgula"/>
    <tableColumn id="39" xr3:uid="{0D3399CA-93B4-4654-924D-A8C904999ACE}" name="2032" dataDxfId="404" dataCellStyle="Vírgula"/>
    <tableColumn id="40" xr3:uid="{03CBADCE-8AB1-429A-9924-2373533A8E58}" name="2033" dataDxfId="403" dataCellStyle="Vírgula"/>
    <tableColumn id="41" xr3:uid="{B02C7DE5-3FA3-4ADC-8F55-13B33BFA1736}" name="2034" dataDxfId="402" dataCellStyle="Vírgula"/>
    <tableColumn id="42" xr3:uid="{0A9AA0BC-2250-4D35-B7C7-E0390A409DF2}" name="2035" dataDxfId="401" dataCellStyle="Vírgula"/>
    <tableColumn id="43" xr3:uid="{E1A122F0-4DEC-474A-97FA-034344A50B96}" name="2026-2035" dataDxfId="400" dataCellStyle="Vírgula">
      <calculatedColumnFormula>SUM(Tabela10[[#This Row],[2026-2030]:[2035]])</calculatedColumnFormula>
    </tableColumn>
    <tableColumn id="44" xr3:uid="{AB6EF5DF-D04B-4297-B9E7-0DF23AD341B2}" name="sequencial" dataDxfId="399" dataCellStyle="Normal 2">
      <calculatedColumnFormula array="1">_xlfn.SEQUENCE(COUNTA(Tabela10[Empresa]),1,1)</calculatedColumnFormula>
    </tableColumn>
    <tableColumn id="63" xr3:uid="{D65BD8D1-76EF-4DE7-AB27-3A74AE774ED9}" name="ID real2" dataDxfId="398" dataCellStyle="Normal 2"/>
    <tableColumn id="66" xr3:uid="{B6BD0240-35C7-455E-8B06-72494FF55F52}" name="GRUPO" dataDxfId="397" dataCellStyle="Normal 2">
      <calculatedColumnFormula>VLOOKUP(Tabela10[[#This Row],[ID real2]],[2]CONSOLIDADA!$AU:$AZ,6,FALSE)</calculatedColumnFormula>
    </tableColumn>
    <tableColumn id="45" xr3:uid="{D42BD3F8-0E6E-478A-9278-7E6632F9A444}" name="Órgão Responsável" dataDxfId="396" dataCellStyle="Normal 2"/>
    <tableColumn id="46" xr3:uid="{A79579FE-BC77-472C-8E34-7746D3A318C6}" name="PE de Origem" dataDxfId="395" dataCellStyle="Normal 2"/>
    <tableColumn id="47" xr3:uid="{5DE99D63-0D79-467C-85BA-4459CF3DF1B7}" name="ID de demanda candidata" dataDxfId="394" dataCellStyle="Normal 2"/>
    <tableColumn id="48" xr3:uid="{A1C5289D-265F-44F0-98AB-086B0869B166}" name="ID Financeiro" dataDxfId="393" dataCellStyle="Normal 2"/>
    <tableColumn id="73" xr3:uid="{48293933-1D17-4C02-BDD4-37E3B799859F}" name="ID real22" dataDxfId="392" dataCellStyle="Normal 2"/>
    <tableColumn id="49" xr3:uid="{C3B4FA12-75AD-4A0B-A557-261CB54FEA0C}" name="Status Contratação" dataDxfId="391" dataCellStyle="Normal 2"/>
    <tableColumn id="53" xr3:uid="{996F6A40-B411-4624-8024-58E8DEE24911}" name="De_Para" dataDxfId="390" dataCellStyle="Normal 2"/>
    <tableColumn id="54" xr3:uid="{49E68429-B726-415D-8B81-B0DF4E82FCAD}" name="Status CISE" dataDxfId="389" dataCellStyle="Normal 2"/>
    <tableColumn id="50" xr3:uid="{A4D29BC7-65F0-4807-AEA1-C36F0995E84A}" name="Valor original 2026" dataDxfId="388" dataCellStyle="Moeda"/>
    <tableColumn id="51" xr3:uid="{A6AE1BE1-2054-423D-9A55-F37E5FDC118B}" name="Observações" dataDxfId="387" dataCellStyle="Normal 2"/>
    <tableColumn id="65" xr3:uid="{5ACA86DC-D2A1-4A3E-AB8E-B9A16EB793A0}" name="ID real222" dataDxfId="386" dataCellStyle="Normal 2"/>
    <tableColumn id="52" xr3:uid="{CC2F6FD7-8DF8-4735-B7C0-C848CA2BF793}" name="Líder" dataDxfId="385" dataCellStyle="Normal 2"/>
    <tableColumn id="55" xr3:uid="{FBBF3B79-93DE-4A6A-B609-40467228A8A6}" name="Descrição do Projeto2" dataDxfId="384" dataCellStyle="Normal 2">
      <calculatedColumnFormula>Tabela10[[#This Row],[Descrição do projeto]]</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E1DA57F-3747-48CA-855C-E7C9695A2C35}" name="Tabela9" displayName="Tabela9" ref="A29:D45" totalsRowShown="0" headerRowDxfId="366" headerRowBorderDxfId="365" tableBorderDxfId="364" totalsRowBorderDxfId="363">
  <autoFilter ref="A29:D45" xr:uid="{1E1DA57F-3747-48CA-855C-E7C9695A2C35}"/>
  <tableColumns count="4">
    <tableColumn id="1" xr3:uid="{D8B75487-FF91-4C59-A932-B5741B232A6C}" name="PEP" dataDxfId="362"/>
    <tableColumn id="2" xr3:uid="{ADC9660C-5DC6-457A-940F-56CAFE11E6E7}" name="Descrição" dataDxfId="361"/>
    <tableColumn id="3" xr3:uid="{385F6C6A-359A-471A-AF8B-BD10DBA73012}" name="Soma de 2026" dataDxfId="360" dataCellStyle="Moeda"/>
    <tableColumn id="4" xr3:uid="{4411FD58-43BB-4C0F-A7FD-115C2B36DCD9}" name="Responsável" dataDxfId="35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DF8FC81-0D08-483C-A4E9-022BDA5FA4BE}" name="Tabela6" displayName="Tabela6" ref="A1:K16" totalsRowShown="0" headerRowDxfId="348" dataDxfId="346" headerRowBorderDxfId="347" tableBorderDxfId="345" totalsRowBorderDxfId="344" dataCellStyle="Vírgula">
  <autoFilter ref="A1:K16" xr:uid="{5DF8FC81-0D08-483C-A4E9-022BDA5FA4BE}"/>
  <tableColumns count="11">
    <tableColumn id="1" xr3:uid="{4292B035-7585-424B-B6A6-D0B2B3CE3E00}" name="Empresa" dataDxfId="343"/>
    <tableColumn id="2" xr3:uid="{80BCF1AD-5397-4953-B09D-0E6F931B3C25}" name="Descrição da Instalação" dataDxfId="342"/>
    <tableColumn id="3" xr3:uid="{5CC54C66-99C6-488D-AEF1-CD29F6CE4E6B}" name="Descrição Resumida" dataDxfId="341"/>
    <tableColumn id="4" xr3:uid="{04C91852-3DA1-4244-8975-DFFF75956FDC}" name="Risco" dataDxfId="340"/>
    <tableColumn id="5" xr3:uid="{6919D6FA-CB1E-4179-B930-71243E838EE6}" name="Status" dataDxfId="339"/>
    <tableColumn id="6" xr3:uid="{3A952A16-8D63-455C-9F46-726889FFA35E}" name="2025" dataDxfId="338" dataCellStyle="Vírgula"/>
    <tableColumn id="7" xr3:uid="{3E27ADD7-151C-4693-8A79-2B9BCB220C03}" name="2026" dataDxfId="337" dataCellStyle="Vírgula"/>
    <tableColumn id="8" xr3:uid="{9115C047-CDC9-4B2F-889C-982C0DCD096A}" name="2027" dataDxfId="336" dataCellStyle="Vírgula"/>
    <tableColumn id="9" xr3:uid="{41287847-53B1-4F02-9412-F70CD837BA58}" name="2028" dataDxfId="335" dataCellStyle="Vírgula"/>
    <tableColumn id="10" xr3:uid="{49D34E95-8BC7-48D4-8DA9-1A8D3AADF58A}" name="2029" dataDxfId="334" dataCellStyle="Vírgula"/>
    <tableColumn id="11" xr3:uid="{1B11D970-15F8-4E6E-AAFF-F9E92CE4E936}" name="2025-2029" dataDxfId="333" dataCellStyle="Vírgula">
      <calculatedColumnFormula>SUM(F2:J2)</calculatedColumnFormula>
    </tableColumn>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9F5035-F706-4F5B-93FD-0CF980D76532}" name="Tabela96" displayName="Tabela96" ref="A8:AZ261" totalsRowShown="0" headerRowDxfId="332" dataDxfId="331" headerRowCellStyle="Normal 2" dataCellStyle="Normal 2">
  <autoFilter ref="A8:AZ261" xr:uid="{209F5035-F706-4F5B-93FD-0CF980D76532}"/>
  <tableColumns count="52">
    <tableColumn id="1" xr3:uid="{5DC16511-B150-43DF-B5E2-5D62BC5D59C7}" name="Analise Estrategia" dataDxfId="330" dataCellStyle="Normal 2"/>
    <tableColumn id="2" xr3:uid="{65329F8B-396B-4E4D-9762-9845106B5225}" name="Check" dataDxfId="329" dataCellStyle="Normal 2">
      <calculatedColumnFormula array="1">AND(ISTEXT('Consolidado-Eletronorte'!$H19:$M19),SUM('Consolidado-Eletronorte'!$AI19:$BF19)&gt;0)</calculatedColumnFormula>
    </tableColumn>
    <tableColumn id="3" xr3:uid="{D9AF6240-E373-43E0-A987-671931C58790}" name="Arquivo" dataDxfId="328" dataCellStyle="Normal 2">
      <calculatedColumnFormula>$J$3</calculatedColumnFormula>
    </tableColumn>
    <tableColumn id="4" xr3:uid="{FDB311D9-B161-401B-A839-4363094D0065}" name="VP" dataDxfId="327" dataCellStyle="Normal 2">
      <calculatedColumnFormula>$H$3</calculatedColumnFormula>
    </tableColumn>
    <tableColumn id="5" xr3:uid="{F257193C-D538-48F1-9A9C-529EBFF8D597}" name="Responsável" dataDxfId="326" dataCellStyle="Normal 2">
      <calculatedColumnFormula>$H$4</calculatedColumnFormula>
    </tableColumn>
    <tableColumn id="6" xr3:uid="{46BEC396-D547-40C4-A2C1-12EA4594C240}" name="Conferido" dataDxfId="325" dataCellStyle="Normal 2"/>
    <tableColumn id="7" xr3:uid="{83AA8578-BBED-4826-9479-CECE36F6F5D8}" name="Id PE" dataDxfId="324" dataCellStyle="Normal 2">
      <calculatedColumnFormula>_xlfn.CONCAT('Consolidado-Eletronorte'!$D19,"_",ROW('Consolidado-Eletronorte'!$G19)-ROW('Consolidado-Eletronorte'!$G$18))</calculatedColumnFormula>
    </tableColumn>
    <tableColumn id="8" xr3:uid="{EA8468B9-3076-4C1D-AF97-14305F52F01B}" name="Corporativo ou SPE" dataDxfId="323"/>
    <tableColumn id="9" xr3:uid="{5CD0FE24-973D-49CA-8D8B-1528F48F95D1}" name="Empresa" dataDxfId="322" dataCellStyle="Normal 2"/>
    <tableColumn id="10" xr3:uid="{2FA1A320-FC36-4476-9023-988127CFED74}" name="Segmento" dataDxfId="321" dataCellStyle="Normal 2"/>
    <tableColumn id="11" xr3:uid="{3AEEC74C-254C-4D51-8339-7DCD68954E4D}" name="Categoria Cise" dataDxfId="320" dataCellStyle="Normal 2"/>
    <tableColumn id="12" xr3:uid="{83EACAA4-DBA1-40C8-9D8A-E0C6D0CEDE17}" name="Subcategoria CISE" dataDxfId="319" dataCellStyle="Normal 2"/>
    <tableColumn id="13" xr3:uid="{DCD61E75-C0E0-40B0-A899-915ADBB2298F}" name="Coletor de Custo" dataDxfId="318" dataCellStyle="Normal 2"/>
    <tableColumn id="14" xr3:uid="{2D89F3D1-7C14-4409-A3C8-B931A11EA1AE}" name="Cód Projeto VED" dataDxfId="317" dataCellStyle="Normal 2"/>
    <tableColumn id="15" xr3:uid="{D40B820A-3F81-4513-A21E-0F5BF0743B5A}" name="Cód SGPMR" dataDxfId="316" dataCellStyle="Normal 2"/>
    <tableColumn id="16" xr3:uid="{44037C86-1CCA-4643-8434-032207944183}" name="Número da LO" dataDxfId="315" dataCellStyle="Normal 2"/>
    <tableColumn id="17" xr3:uid="{85D5EEAE-1A67-4D2D-B759-F6AD3AD1C808}" name="Descrição do projeto" dataDxfId="314" dataCellStyle="Normal 2"/>
    <tableColumn id="18" xr3:uid="{E6321428-8887-403B-8D8B-C7AE031D9BE6}" name="Especificação" dataDxfId="313" dataCellStyle="Normal 2"/>
    <tableColumn id="19" xr3:uid="{66D470B2-C0D0-40F8-9677-BC5A432A1A5A}" name="Local da Instalação" dataDxfId="312" dataCellStyle="Normal 2"/>
    <tableColumn id="20" xr3:uid="{377A0CC8-746E-4B19-A9D7-FEDA18927F9F}" name="jan/26" dataDxfId="311" dataCellStyle="Normal 2"/>
    <tableColumn id="21" xr3:uid="{3DAE44FA-30C7-4354-823E-400CC3ED85C1}" name="fev/26" dataDxfId="310" dataCellStyle="Normal 2"/>
    <tableColumn id="22" xr3:uid="{FF229D97-C74D-41CF-91A7-549EFEB042B3}" name="mar/26" dataDxfId="309" dataCellStyle="Normal 2"/>
    <tableColumn id="23" xr3:uid="{C06E533A-7368-47E1-80D4-3F9D404D6329}" name="abr/26" dataDxfId="308" dataCellStyle="Normal 2"/>
    <tableColumn id="24" xr3:uid="{1BEE86AC-5786-4608-AC82-48ADCE57E5AD}" name="mai/26" dataDxfId="307" dataCellStyle="Normal 2"/>
    <tableColumn id="25" xr3:uid="{00CE197B-858E-4C22-AE5F-E2D7008B50C7}" name="jun/26" dataDxfId="306" dataCellStyle="Normal 2"/>
    <tableColumn id="26" xr3:uid="{E6F107F8-B46C-44AD-93E8-C862DFD27E23}" name="jul/26" dataDxfId="305"/>
    <tableColumn id="27" xr3:uid="{2E4F10E5-28F2-4182-B1DA-5188DDFE0D25}" name="ago/26" dataDxfId="304"/>
    <tableColumn id="28" xr3:uid="{6FC10D3F-F195-4427-A081-A97BBAA699EE}" name="set/26" dataDxfId="303"/>
    <tableColumn id="29" xr3:uid="{0D18259F-2D8D-47EA-A8D4-43478A6989C9}" name="out/26" dataDxfId="302"/>
    <tableColumn id="30" xr3:uid="{51771650-D035-49E4-8799-BA617CAA60B8}" name="nov/26" dataDxfId="301"/>
    <tableColumn id="31" xr3:uid="{24688675-6840-4D4B-97A3-C7AA5BED8660}" name="dez/26" dataDxfId="300"/>
    <tableColumn id="32" xr3:uid="{764CACB9-E489-4AA5-B683-8F2AE450A559}" name="2026" dataDxfId="299">
      <calculatedColumnFormula>SUM(Tabela96[[#This Row],[jan/26]:[dez/26]])</calculatedColumnFormula>
    </tableColumn>
    <tableColumn id="33" xr3:uid="{90956BF0-6DCB-4DE7-8E08-C7AE97B9EEE4}" name="2027" dataDxfId="298"/>
    <tableColumn id="34" xr3:uid="{19CAE43A-4839-4CC7-A24A-024A6B6FE3E3}" name="2028" dataDxfId="297"/>
    <tableColumn id="35" xr3:uid="{C770D286-D418-4E03-BFEC-A24BD62F605B}" name="2029" dataDxfId="296"/>
    <tableColumn id="36" xr3:uid="{E6AE02BF-193E-4E64-BEDA-19513B8BE078}" name="2030" dataDxfId="295"/>
    <tableColumn id="37" xr3:uid="{15C64B19-95FE-46F7-84FC-B1D6943597C0}" name="2026-2030" dataDxfId="294">
      <calculatedColumnFormula>SUM(Tabela96[[#This Row],[2026]:[2030]])</calculatedColumnFormula>
    </tableColumn>
    <tableColumn id="38" xr3:uid="{7B6CB7A3-8024-4C24-B97C-39B52B6C7261}" name="2031" dataDxfId="293" dataCellStyle="Normal 2"/>
    <tableColumn id="39" xr3:uid="{8EB65A0B-B612-4C9C-8992-B78A1F300B1B}" name="2032" dataDxfId="292"/>
    <tableColumn id="40" xr3:uid="{81D3EAD8-0658-40C0-BAA0-7CFD6C379C44}" name="2033" dataDxfId="291"/>
    <tableColumn id="41" xr3:uid="{C4779033-FC8C-4A12-9D21-CD4F7F251956}" name="2034" dataDxfId="290"/>
    <tableColumn id="42" xr3:uid="{2BC7D165-284C-4525-AEDF-F758204DB33E}" name="2035" dataDxfId="289"/>
    <tableColumn id="43" xr3:uid="{F9711AF7-1BC4-42A8-9B18-8FDA89A11538}" name="2026-2035" dataDxfId="288" dataCellStyle="Normal 2">
      <calculatedColumnFormula>SUM(Tabela96[[#This Row],[2026-2030]:[2035]])</calculatedColumnFormula>
    </tableColumn>
    <tableColumn id="44" xr3:uid="{A8304688-6811-4235-81AC-3C7949E925C6}" name="Sequencial" dataDxfId="287" dataCellStyle="Normal 2"/>
    <tableColumn id="45" xr3:uid="{47FBBA4B-DA8C-4F31-B4CC-516CFA08AC67}" name="Órgão Responsável" dataDxfId="286" dataCellStyle="Normal 2"/>
    <tableColumn id="46" xr3:uid="{DE9222FD-F1B6-4AE7-837D-569ECE99C9AC}" name="PE de Origem" dataDxfId="285" dataCellStyle="Normal 2"/>
    <tableColumn id="47" xr3:uid="{F124615C-96DA-48E0-8F29-DE6088335B5F}" name="ID de demanda candidata" dataDxfId="284" dataCellStyle="Normal 2"/>
    <tableColumn id="48" xr3:uid="{AFF5618F-31A6-46B8-8184-5F9DF08F02F3}" name="ID Financeiro" dataDxfId="283" dataCellStyle="Normal 2"/>
    <tableColumn id="49" xr3:uid="{A61B7D61-DA25-4A6F-ACB1-5603C5F14B74}" name="Status Contratação" dataDxfId="282" dataCellStyle="Normal 2"/>
    <tableColumn id="50" xr3:uid="{B2B986C2-116B-468B-8F07-FCA2B61CA551}" name="Descrição Detalhada do Projeto" dataDxfId="281" dataCellStyle="Normal 2"/>
    <tableColumn id="51" xr3:uid="{A0ABA764-CDC3-46A8-BC00-C607A429FDC8}" name="Observações" dataDxfId="280" dataCellStyle="Normal 2"/>
    <tableColumn id="52" xr3:uid="{27A54D75-60B4-402D-B357-670A7E810700}" name="Líder" dataDxfId="279" dataCellStyle="Normal 2"/>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737B25E-083A-4F54-A48B-812DA613F391}" name="Tabela98" displayName="Tabela98" ref="A8:AZ131" totalsRowShown="0" headerRowDxfId="278" headerRowCellStyle="Normal 2" dataCellStyle="Normal 2">
  <autoFilter ref="A8:AZ131" xr:uid="{F737B25E-083A-4F54-A48B-812DA613F391}">
    <filterColumn colId="11">
      <filters>
        <filter val="Melhoria"/>
        <filter val="SPCS – Sistema de Proteção Controle e Supervisão"/>
      </filters>
    </filterColumn>
  </autoFilter>
  <sortState xmlns:xlrd2="http://schemas.microsoft.com/office/spreadsheetml/2017/richdata2" ref="A9:AZ131">
    <sortCondition descending="1" ref="AK8:AK131"/>
  </sortState>
  <tableColumns count="52">
    <tableColumn id="1" xr3:uid="{8211F6D5-E818-495C-8B21-80B69B3BAB3F}" name="Analise Estrategia" dataDxfId="277" dataCellStyle="Normal 2"/>
    <tableColumn id="2" xr3:uid="{BB3D1423-B71B-4EAF-96B1-C79EC2B7E18C}" name="Check" dataDxfId="276" dataCellStyle="Normal 2">
      <calculatedColumnFormula array="1">AND(ISTEXT('Consolidado-Eletronorte'!$H19:$M19),SUM('Consolidado-Eletronorte'!$AI19:$BF19)&gt;0)</calculatedColumnFormula>
    </tableColumn>
    <tableColumn id="3" xr3:uid="{C04CE489-2D0B-4DC4-AE1C-37B6EDF8803D}" name="Arquivo" dataDxfId="275" dataCellStyle="Normal 2">
      <calculatedColumnFormula>$J$3</calculatedColumnFormula>
    </tableColumn>
    <tableColumn id="4" xr3:uid="{6A699D7D-D1AF-488D-B431-8D27A37AFEF6}" name="VP" dataDxfId="274" dataCellStyle="Normal 2">
      <calculatedColumnFormula>$H$3</calculatedColumnFormula>
    </tableColumn>
    <tableColumn id="5" xr3:uid="{75972317-D71A-4E78-B562-D228FFD7D37A}" name="Responsável" dataDxfId="273" dataCellStyle="Normal 2">
      <calculatedColumnFormula>$H$4</calculatedColumnFormula>
    </tableColumn>
    <tableColumn id="6" xr3:uid="{3DC7C9C8-E7AD-4107-A833-5D6589588A0D}" name="Conferido" dataDxfId="272" dataCellStyle="Normal 2"/>
    <tableColumn id="7" xr3:uid="{58E7FFEC-9269-4E6F-95FF-534AB76926DA}" name="Id PE" dataDxfId="271" dataCellStyle="Normal 2">
      <calculatedColumnFormula>_xlfn.CONCAT('Consolidado-Eletronorte'!$D19,"_",ROW('Consolidado-Eletronorte'!$G19)-ROW('Consolidado-Eletronorte'!$G$18))</calculatedColumnFormula>
    </tableColumn>
    <tableColumn id="8" xr3:uid="{41ED5055-220C-481F-9DA7-07C2ACCAF592}" name="Corporativo ou SPE"/>
    <tableColumn id="9" xr3:uid="{B21B3390-5659-40A7-B78A-C5BA15A7E9E1}" name="Empresa" dataDxfId="270" dataCellStyle="Normal 2"/>
    <tableColumn id="10" xr3:uid="{6B265288-76DE-42C4-AC03-D321770B9BAB}" name="Segmento" dataDxfId="269" dataCellStyle="Normal 2"/>
    <tableColumn id="11" xr3:uid="{C042BAE3-C7C9-4C6E-9264-81D7998D92C7}" name="Categoria Cise" dataDxfId="268" dataCellStyle="Normal 2"/>
    <tableColumn id="12" xr3:uid="{4F057226-FCCA-46EE-9818-900CACED9093}" name="Subcategoria CISE" dataDxfId="267" dataCellStyle="Normal 2"/>
    <tableColumn id="13" xr3:uid="{8565180C-531F-4C05-AC5A-246E5AC0B3B1}" name="Coletor de Custo" dataDxfId="266" dataCellStyle="Normal 2"/>
    <tableColumn id="14" xr3:uid="{4FC4A705-1FBA-4EA3-ABB9-C94E0C78FD58}" name="Cód Projeto VED" dataDxfId="265" dataCellStyle="Normal 2"/>
    <tableColumn id="15" xr3:uid="{85390A51-6E9F-411F-A1D3-F14CF6329CE2}" name="Cód SGPMR" dataDxfId="264" dataCellStyle="Normal 2"/>
    <tableColumn id="16" xr3:uid="{BA1337A2-7388-41F8-BE69-302A4D6002AF}" name="Número da LO" dataDxfId="263" dataCellStyle="Normal 2"/>
    <tableColumn id="17" xr3:uid="{DA7630B5-2407-49CA-AA86-45E338AAA829}" name="Descrição do projeto" dataDxfId="262" dataCellStyle="Normal 2"/>
    <tableColumn id="18" xr3:uid="{B5732BF2-70CB-4474-ABFF-052D8753DC1E}" name="Especificação" dataDxfId="261" dataCellStyle="Normal 2"/>
    <tableColumn id="19" xr3:uid="{525A04A8-3A50-42F5-8ED5-7F7AA77D5270}" name="Local da Instalação" dataDxfId="260" dataCellStyle="Normal 2"/>
    <tableColumn id="20" xr3:uid="{9B73E570-2AA9-45BE-A00E-995CF13C9512}" name="jan/26" dataDxfId="259" dataCellStyle="Vírgula"/>
    <tableColumn id="21" xr3:uid="{D58F372A-5BD6-48BF-8AD6-D9DF684EC481}" name="fev/26" dataDxfId="258" dataCellStyle="Vírgula"/>
    <tableColumn id="22" xr3:uid="{D2BCB72E-79E8-445C-85AA-ADAD01260EC6}" name="mar/26" dataDxfId="257" dataCellStyle="Vírgula"/>
    <tableColumn id="23" xr3:uid="{AB11AA6B-51F6-4988-B0F9-D18BB461B8F5}" name="abr/26" dataDxfId="256" dataCellStyle="Vírgula"/>
    <tableColumn id="24" xr3:uid="{B95C10E6-4823-42B6-8ABF-60FB795D7FCE}" name="mai/26" dataDxfId="255" dataCellStyle="Vírgula"/>
    <tableColumn id="25" xr3:uid="{BE9A89C0-E5BF-4A29-9E71-0AB5B3E1490E}" name="jun/26" dataDxfId="254" dataCellStyle="Vírgula"/>
    <tableColumn id="26" xr3:uid="{B67C8BB3-8419-4E1B-B2D1-2DA599AEADC2}" name="jul/26" dataDxfId="253" dataCellStyle="Vírgula"/>
    <tableColumn id="27" xr3:uid="{0D08695D-7E5E-4072-BE6F-1391BD0A737D}" name="ago/26" dataDxfId="252" dataCellStyle="Vírgula"/>
    <tableColumn id="28" xr3:uid="{36E0A1E1-5B89-404E-98C4-E0D38BBF198D}" name="set/26" dataDxfId="251" dataCellStyle="Vírgula"/>
    <tableColumn id="29" xr3:uid="{ACA7463E-C943-4DCE-B5B8-CAF80E6B855A}" name="out/26" dataDxfId="250" dataCellStyle="Vírgula"/>
    <tableColumn id="30" xr3:uid="{22588A77-FA15-415D-97C7-9F7A877A01D7}" name="nov/26" dataDxfId="249" dataCellStyle="Vírgula"/>
    <tableColumn id="31" xr3:uid="{36BEC4B0-78ED-4888-973E-45A2DEA7921F}" name="dez/26" dataDxfId="248" dataCellStyle="Vírgula"/>
    <tableColumn id="32" xr3:uid="{AB78BAD2-07DC-4490-AEBE-FFDFC1506B23}" name="2026" dataDxfId="247" dataCellStyle="Vírgula"/>
    <tableColumn id="33" xr3:uid="{1AAC38FE-D97A-48C0-AB7E-42A68E25E89F}" name="2027" dataDxfId="246" dataCellStyle="Vírgula"/>
    <tableColumn id="34" xr3:uid="{C2C47FA9-7354-4B7E-808B-0D8947F4929E}" name="2028" dataDxfId="245" dataCellStyle="Vírgula"/>
    <tableColumn id="35" xr3:uid="{C20F2A2E-AC37-4D36-B7DA-42E771DA31A5}" name="2029" dataDxfId="244" dataCellStyle="Vírgula"/>
    <tableColumn id="36" xr3:uid="{C01AE688-2334-4847-8D21-E4084D5A94B3}" name="2030" dataDxfId="243" dataCellStyle="Vírgula"/>
    <tableColumn id="37" xr3:uid="{9E11C2C1-7145-4932-883C-EE9E17E84B3E}" name="2026-2030" dataDxfId="242" dataCellStyle="Vírgula"/>
    <tableColumn id="38" xr3:uid="{FB501810-3746-4E38-9334-F3AE0E3A4E2E}" name="2031" dataDxfId="241" dataCellStyle="Vírgula"/>
    <tableColumn id="39" xr3:uid="{1F4F73CE-7307-4F1A-9217-28F42033EC0B}" name="2032" dataDxfId="240" dataCellStyle="Vírgula"/>
    <tableColumn id="40" xr3:uid="{B29A4251-D6E8-4BC1-8DC6-94E91ECBBBA6}" name="2033" dataDxfId="239" dataCellStyle="Vírgula"/>
    <tableColumn id="41" xr3:uid="{EB5BC27C-8780-456D-88BA-B967CB83A7C7}" name="2034" dataDxfId="238" dataCellStyle="Vírgula"/>
    <tableColumn id="42" xr3:uid="{E562F2DB-61F2-4EF3-9845-0DD9C74E8A50}" name="2035" dataDxfId="237" dataCellStyle="Vírgula"/>
    <tableColumn id="43" xr3:uid="{C257FF4F-BD45-4434-BBD4-2B3871775E83}" name="2026-2035" dataDxfId="236" dataCellStyle="Vírgula"/>
    <tableColumn id="44" xr3:uid="{D1AC88A0-6601-4201-BEA6-D234AF751D4F}" name="Sequencial" dataCellStyle="Normal 2"/>
    <tableColumn id="45" xr3:uid="{7800E365-3BE0-4095-90A6-85C023209AAB}" name="Órgão Responsável" dataCellStyle="Normal 2"/>
    <tableColumn id="46" xr3:uid="{49CF6D6B-853C-40E1-BF6C-20764376BAA8}" name="PE de Origem" dataCellStyle="Normal 2"/>
    <tableColumn id="47" xr3:uid="{9CEBA881-CF69-4BC8-B9D3-5263AFFEB024}" name="ID de demanda candidata" dataCellStyle="Normal 2"/>
    <tableColumn id="48" xr3:uid="{0186717C-1F91-45FC-8A28-0E8462DD9E78}" name="ID Financeiro" dataCellStyle="Normal 2"/>
    <tableColumn id="49" xr3:uid="{0D8AD3C1-D45D-4016-B967-459C14196B64}" name="Status Contratação" dataCellStyle="Normal 2"/>
    <tableColumn id="50" xr3:uid="{C574FAFE-EA21-4637-9CCC-CF48B0B42976}" name="Descrição Detalhada do Projeto" dataCellStyle="Normal 2"/>
    <tableColumn id="51" xr3:uid="{56BBA8CC-F9C4-4860-B04B-9C3117450998}" name="Observações" dataCellStyle="Normal 2"/>
    <tableColumn id="52" xr3:uid="{61D6B689-C790-4DAA-900F-591DEE62EBA3}" name="Líder" dataDxfId="235" dataCellStyle="Normal 2">
      <calculatedColumnFormula>_xlfn.XLOOKUP(Tabela98[[#This Row],[Descrição do projeto]],[3]Geração!$G:$G,[3]Geração!$F:$F,,0,1)</calculatedColumnFormula>
    </tableColum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26595E-FB1A-41C5-8486-3C56BD1BEEC1}" name="Tabela99" displayName="Tabela99" ref="A8:AZ217" totalsRowShown="0" headerRowDxfId="234" headerRowCellStyle="Normal 2" dataCellStyle="Normal 2">
  <autoFilter ref="A8:AZ217" xr:uid="{D026595E-FB1A-41C5-8486-3C56BD1BEEC1}"/>
  <tableColumns count="52">
    <tableColumn id="1" xr3:uid="{A44688CB-EDCD-458B-B452-4762100A0904}" name="Analise Estrategia" dataDxfId="233" dataCellStyle="Normal 2"/>
    <tableColumn id="2" xr3:uid="{2B1A0257-5946-4BAD-ADAC-F20A19E9DB8D}" name="Check" dataDxfId="232" dataCellStyle="Normal 2">
      <calculatedColumnFormula array="1">AND(ISTEXT('Consolidado-Eletronorte'!$H19:$M19),SUM('Consolidado-Eletronorte'!$AI19:$BF19)&gt;0)</calculatedColumnFormula>
    </tableColumn>
    <tableColumn id="3" xr3:uid="{29594499-CD8A-47CC-8C7A-5D012FF6849C}" name="Arquivo" dataDxfId="231" dataCellStyle="Normal 2">
      <calculatedColumnFormula>$J$3</calculatedColumnFormula>
    </tableColumn>
    <tableColumn id="4" xr3:uid="{140B2A68-3A58-4280-8DCB-BBE3208350C7}" name="VP" dataDxfId="230" dataCellStyle="Normal 2">
      <calculatedColumnFormula>$H$3</calculatedColumnFormula>
    </tableColumn>
    <tableColumn id="5" xr3:uid="{3712B6A3-1603-4D1C-9578-FD5D7D8DF94C}" name="Responsável" dataDxfId="229" dataCellStyle="Normal 2">
      <calculatedColumnFormula>$H$4</calculatedColumnFormula>
    </tableColumn>
    <tableColumn id="6" xr3:uid="{8D9F5400-7175-4C77-AF01-9CA94BF3F877}" name="Conferido" dataDxfId="228" dataCellStyle="Normal 2"/>
    <tableColumn id="7" xr3:uid="{57920898-A832-4C3F-82AD-1FDA14163966}" name="Id PE" dataDxfId="227" dataCellStyle="Normal 2">
      <calculatedColumnFormula>_xlfn.CONCAT('Consolidado-Eletronorte'!$D19,"_",ROW('Consolidado-Eletronorte'!$G19)-ROW('Consolidado-Eletronorte'!$G$18))</calculatedColumnFormula>
    </tableColumn>
    <tableColumn id="8" xr3:uid="{BFF99936-AB8B-4C6E-8240-F4C03A6B9DEC}" name="Corporativo ou SPE"/>
    <tableColumn id="9" xr3:uid="{092B684B-7D6B-4DB1-B9E4-876B9FAA45CC}" name="Empresa" dataDxfId="226" dataCellStyle="Normal 2"/>
    <tableColumn id="10" xr3:uid="{CEE7A8C6-473B-4EC3-A3C7-8F57B3335321}" name="Segmento" dataDxfId="225" dataCellStyle="Normal 2"/>
    <tableColumn id="11" xr3:uid="{F550BC49-1542-4FA3-B5EF-E13086F35D30}" name="Categoria Cise" dataDxfId="224" dataCellStyle="Normal 2"/>
    <tableColumn id="12" xr3:uid="{8546F471-AB84-4842-8DE1-21759B7288E5}" name="Subcategoria CISE" dataDxfId="223" dataCellStyle="Normal 2"/>
    <tableColumn id="13" xr3:uid="{A34154C4-65BE-4941-ADA9-C4A22853FBCB}" name="Coletor de Custo" dataDxfId="222" dataCellStyle="Normal 2"/>
    <tableColumn id="14" xr3:uid="{30228E64-3A26-4E50-85B9-94FEE54B2873}" name="Cód Projeto VED" dataDxfId="221" dataCellStyle="Normal 2"/>
    <tableColumn id="15" xr3:uid="{E3AFE5C9-69D6-4E23-BAC0-878200FB94F6}" name="Cód SGPMR" dataDxfId="220" dataCellStyle="Normal 2"/>
    <tableColumn id="16" xr3:uid="{B763B719-CF56-45F6-BC75-51BD94B6AE99}" name="Número da LO" dataDxfId="219" dataCellStyle="Normal 2"/>
    <tableColumn id="17" xr3:uid="{A755544A-0F96-4D61-97FC-458FFE406A47}" name="Descrição do projeto" dataDxfId="218" dataCellStyle="Normal 2"/>
    <tableColumn id="18" xr3:uid="{E1DF3F8D-F5B1-4ECA-945C-A42209BA5F0C}" name="Especificação" dataDxfId="217" dataCellStyle="Normal 2"/>
    <tableColumn id="19" xr3:uid="{065EF1C0-8B62-4ADA-B188-DCBE897A0D2B}" name="Local da Instalação" dataDxfId="216" dataCellStyle="Normal 2"/>
    <tableColumn id="20" xr3:uid="{3C923EDD-563F-4BEA-BAD8-0FFD73DB4E26}" name="jan/26" dataDxfId="215" dataCellStyle="Normal 2"/>
    <tableColumn id="21" xr3:uid="{FE8C3E33-04EC-479B-8A1D-7561DE2BB72E}" name="fev/26" dataDxfId="214" dataCellStyle="Normal 2"/>
    <tableColumn id="22" xr3:uid="{E7467822-94B6-4196-B4E4-A6766A5F65F3}" name="mar/26" dataDxfId="213" dataCellStyle="Normal 2"/>
    <tableColumn id="23" xr3:uid="{4EE1ECFE-637E-40C7-A32F-FDE1F85E209D}" name="abr/26" dataDxfId="212" dataCellStyle="Normal 2"/>
    <tableColumn id="24" xr3:uid="{3FD32739-04BB-4CBC-B7E9-A988D6F933AE}" name="mai/26" dataDxfId="211" dataCellStyle="Normal 2"/>
    <tableColumn id="25" xr3:uid="{D0259BE6-001B-4FDE-A840-90FD044E7C09}" name="jun/26" dataDxfId="210" dataCellStyle="Normal 2"/>
    <tableColumn id="26" xr3:uid="{BBFACFFA-0027-4068-8A00-850F3BF080BE}" name="jul/26" dataDxfId="209"/>
    <tableColumn id="27" xr3:uid="{75DD54B9-516D-49BA-B460-08923812760A}" name="ago/26" dataDxfId="208"/>
    <tableColumn id="28" xr3:uid="{E22307B5-8DF2-4A9A-8307-1F5AC8D081AF}" name="set/26" dataDxfId="207"/>
    <tableColumn id="29" xr3:uid="{8E700297-8BC5-4027-935B-B3BAF2529A4A}" name="out/26" dataDxfId="206"/>
    <tableColumn id="30" xr3:uid="{6EAE197A-6619-4658-AB06-28AD0E4C792F}" name="nov/26" dataDxfId="205"/>
    <tableColumn id="31" xr3:uid="{183D0BC8-FADB-431E-B7AF-A938B5530258}" name="dez/26" dataDxfId="204"/>
    <tableColumn id="32" xr3:uid="{9795EBF1-98A5-41FD-AAEB-D18509898E82}" name="2026" dataDxfId="203">
      <calculatedColumnFormula>SUM(Tabela99[[#This Row],[jan/26]:[dez/26]])</calculatedColumnFormula>
    </tableColumn>
    <tableColumn id="33" xr3:uid="{2F6AE3A0-F250-4C18-B72F-F7FE41268202}" name="2027" dataDxfId="202"/>
    <tableColumn id="34" xr3:uid="{2E1CC99A-18DB-45E2-A3AB-C733433D8498}" name="2028" dataDxfId="201"/>
    <tableColumn id="35" xr3:uid="{2F028275-AE41-4B8E-844D-40BE3CEDE3B7}" name="2029" dataDxfId="200"/>
    <tableColumn id="36" xr3:uid="{C6C3F7F3-3FA4-4465-8C62-BCA4A52AC8C5}" name="2030" dataDxfId="199"/>
    <tableColumn id="37" xr3:uid="{9654157A-1FD4-444A-A464-7434A15491DC}" name="2026-2030" dataDxfId="198">
      <calculatedColumnFormula>SUM(Tabela99[[#This Row],[2026]:[2030]])</calculatedColumnFormula>
    </tableColumn>
    <tableColumn id="38" xr3:uid="{599DF491-DA1A-417C-AC35-CC76808D2A6E}" name="2031" dataDxfId="197" dataCellStyle="Normal 2"/>
    <tableColumn id="39" xr3:uid="{47102144-5648-4484-A4B8-DA8F09506345}" name="2032" dataDxfId="196"/>
    <tableColumn id="40" xr3:uid="{017B6F5F-6DCC-42AE-8A43-DD2E0E5B1CDA}" name="2033" dataDxfId="195"/>
    <tableColumn id="41" xr3:uid="{E66B7B79-97EE-43B1-B836-A832E157CB3D}" name="2034" dataDxfId="194"/>
    <tableColumn id="42" xr3:uid="{2943DF63-3EED-4E05-8E4E-771098D45316}" name="2035" dataDxfId="193"/>
    <tableColumn id="43" xr3:uid="{4814737B-7A4E-4E66-AC3F-F1102DA6070E}" name="2026-2035" dataDxfId="192" dataCellStyle="Normal 2">
      <calculatedColumnFormula>SUM(Tabela99[[#This Row],[2026-2030]:[2035]])</calculatedColumnFormula>
    </tableColumn>
    <tableColumn id="44" xr3:uid="{E9AA64FC-3C3D-4C81-AD4A-A21DD5DE5CE9}" name="Sequencial" dataCellStyle="Normal 2"/>
    <tableColumn id="45" xr3:uid="{FB6703D4-CA23-4B50-9849-0968862CDCAD}" name="Órgão Responsável" dataCellStyle="Normal 2"/>
    <tableColumn id="46" xr3:uid="{C2B91B5C-08E5-4C5F-9B54-F359535DE704}" name="PE de Origem" dataCellStyle="Normal 2"/>
    <tableColumn id="47" xr3:uid="{C2360284-EE86-4128-85D1-FEF9FDCDC323}" name="ID de demanda candidata" dataCellStyle="Normal 2"/>
    <tableColumn id="48" xr3:uid="{9CB75DFE-81EF-4193-8A05-10BD4FE756EF}" name="ID Financeiro" dataCellStyle="Normal 2"/>
    <tableColumn id="49" xr3:uid="{2257C2C3-1C23-44C3-A704-6855787F8F95}" name="Status Contratação" dataCellStyle="Normal 2"/>
    <tableColumn id="50" xr3:uid="{33989007-73AF-4AFD-AB5D-9916F7A234B1}" name="Descrição Detalhada do Projeto" dataCellStyle="Normal 2"/>
    <tableColumn id="51" xr3:uid="{B04CDE45-CB32-4123-A349-981A8DF04BAE}" name="Observações" dataCellStyle="Normal 2"/>
    <tableColumn id="52" xr3:uid="{C8CA2C5B-5DBC-4701-AB79-BBDDECD8DEC2}" name="Líder" dataCellStyle="Normal 2"/>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75FFDB-CE70-4F77-8139-B00FC3E26676}" name="_tPE26_29_Consolidada" displayName="_tPE26_29_Consolidada" ref="A8:BV114" totalsRowCount="1" headerRowDxfId="191" dataDxfId="190" headerRowCellStyle="Normal 2">
  <autoFilter ref="A8:BV113" xr:uid="{2A75FFDB-CE70-4F77-8139-B00FC3E26676}"/>
  <tableColumns count="74">
    <tableColumn id="1" xr3:uid="{9B8510E8-B170-4F23-A423-A8A570FE36E5}" name="Analise Estrategia" totalsRowLabel="Total" dataDxfId="189" totalsRowDxfId="188"/>
    <tableColumn id="2" xr3:uid="{9540A086-3988-45D3-B217-5890B652E25F}" name="Check" dataDxfId="187" totalsRowDxfId="186" dataCellStyle="Normal 2"/>
    <tableColumn id="3" xr3:uid="{5BC6AFD6-692A-4C2C-9276-A19B19DFD865}" name="Arquivo" dataDxfId="185" totalsRowDxfId="184"/>
    <tableColumn id="4" xr3:uid="{CDD3C4AD-FB91-4E23-9DC2-0484D34382B1}" name="VP" dataDxfId="183" totalsRowDxfId="182"/>
    <tableColumn id="5" xr3:uid="{76CF025F-C4E0-4E66-978D-1D6F25F3B5EB}" name="Responsável" dataDxfId="181" totalsRowDxfId="180"/>
    <tableColumn id="6" xr3:uid="{88506E33-7123-4EC4-BC86-F5BACF1C23CF}" name="Conferido" dataDxfId="179" totalsRowDxfId="178"/>
    <tableColumn id="7" xr3:uid="{522D7598-FF7A-4B45-9010-F0F90DE3AE45}" name="Id PE" dataDxfId="177" totalsRowDxfId="176"/>
    <tableColumn id="8" xr3:uid="{473D59DD-521A-4684-82EF-48B9C9A6209A}" name="Corporativo ou SPE" dataDxfId="175" totalsRowDxfId="174"/>
    <tableColumn id="9" xr3:uid="{1592F4F3-9DA4-47BA-8362-55E926F1E20E}" name="Empresa" dataDxfId="173" totalsRowDxfId="172"/>
    <tableColumn id="10" xr3:uid="{B0E350F9-4027-4C65-B31D-6E3F13E0666D}" name="Segmento" dataDxfId="171" totalsRowDxfId="170"/>
    <tableColumn id="11" xr3:uid="{919AF1C9-B90F-43D9-9E57-E2D87E5CF5A0}" name="Categoria Cise" dataDxfId="169" totalsRowDxfId="168"/>
    <tableColumn id="12" xr3:uid="{B85C9A92-0021-4D97-B09A-B82FC4995FA3}" name="Subcategoria CISE" dataDxfId="167" totalsRowDxfId="166"/>
    <tableColumn id="13" xr3:uid="{869F5E87-BC02-4330-9F0B-D9E88379879A}" name="Coletor de Custo" dataDxfId="165" totalsRowDxfId="164"/>
    <tableColumn id="14" xr3:uid="{B4247BD1-1469-4418-9C1B-9772D7D1C1B8}" name="Cód Projeto VED" dataDxfId="163" totalsRowDxfId="162"/>
    <tableColumn id="15" xr3:uid="{A0A95A4D-CEBF-4258-A728-17B9060BE294}" name="Cód SGPMR" dataDxfId="161" totalsRowDxfId="160"/>
    <tableColumn id="16" xr3:uid="{8380E19E-9AA4-43E6-BDBE-12F2F3CF775F}" name="Número da LO" dataDxfId="159" totalsRowDxfId="158"/>
    <tableColumn id="17" xr3:uid="{12FA7958-8037-4E91-B5C2-F1F90F56CF55}" name="Descrição do Projeto / Descrição da Ação" dataDxfId="157" totalsRowDxfId="156"/>
    <tableColumn id="18" xr3:uid="{BEA0A3DD-58CE-4F06-8200-A47181665BB4}" name="Especificação" dataDxfId="155" totalsRowDxfId="154"/>
    <tableColumn id="19" xr3:uid="{C643A813-6386-4B72-807B-7CA8C97953C6}" name="Local da Instalação" dataDxfId="153" totalsRowDxfId="152"/>
    <tableColumn id="20" xr3:uid="{47AF3265-C425-4E25-9DE1-F5E97D7DF002}" name="jan/26" dataDxfId="151" totalsRowDxfId="150" dataCellStyle="Vírgula"/>
    <tableColumn id="21" xr3:uid="{67CE6BB7-CBA0-4A4E-94F9-B943C48C1D4F}" name="fev/26" dataDxfId="149" totalsRowDxfId="148" dataCellStyle="Vírgula"/>
    <tableColumn id="22" xr3:uid="{5B8C6949-FB17-4934-8FC9-47B5E7E81F40}" name="mar/26" dataDxfId="147" totalsRowDxfId="146" dataCellStyle="Vírgula"/>
    <tableColumn id="23" xr3:uid="{2D4CA5FB-CCB2-44DA-B927-E4F19D750776}" name="abr/26" dataDxfId="145" totalsRowDxfId="144" dataCellStyle="Vírgula"/>
    <tableColumn id="24" xr3:uid="{D94E8B4D-BFC7-4116-9266-385E80C72CEC}" name="mai/26" dataDxfId="143" totalsRowDxfId="142" dataCellStyle="Vírgula"/>
    <tableColumn id="25" xr3:uid="{523F2480-C4DD-4152-B93A-1B6F7F5DF329}" name="jun/26" dataDxfId="141" totalsRowDxfId="140" dataCellStyle="Vírgula"/>
    <tableColumn id="26" xr3:uid="{62FE76A7-3A82-4C98-9CC8-6D2D51607707}" name="jul/26" dataDxfId="139" totalsRowDxfId="138" dataCellStyle="Vírgula"/>
    <tableColumn id="27" xr3:uid="{D5029FB8-2E92-4A42-9958-0AE4DE739C1C}" name="ago/26" dataDxfId="137" totalsRowDxfId="136" dataCellStyle="Vírgula"/>
    <tableColumn id="28" xr3:uid="{89669EE2-861A-44AD-BCAE-B90E6F67AB3F}" name="set/26" dataDxfId="135" totalsRowDxfId="134" dataCellStyle="Vírgula"/>
    <tableColumn id="29" xr3:uid="{0645948C-5B6D-47BB-9E7F-2030B2EFC3BD}" name="out/26" dataDxfId="133" totalsRowDxfId="132" dataCellStyle="Vírgula"/>
    <tableColumn id="30" xr3:uid="{1AEDDA81-596B-4A4A-83C2-5C4BC1F501C3}" name="nov/26" dataDxfId="131" totalsRowDxfId="130" dataCellStyle="Vírgula"/>
    <tableColumn id="31" xr3:uid="{5F2EEF8F-3E7F-4180-A709-F43A636E6918}" name="dez/26" dataDxfId="129" totalsRowDxfId="128" dataCellStyle="Vírgula"/>
    <tableColumn id="32" xr3:uid="{89611198-F12F-433D-B22A-F9B8FD21B469}" name="2026" totalsRowFunction="sum" dataDxfId="127" totalsRowDxfId="126" dataCellStyle="Vírgula"/>
    <tableColumn id="33" xr3:uid="{E679C4F8-2934-4427-8368-C382D6FE7FDC}" name="2027" totalsRowFunction="sum" dataDxfId="125" totalsRowDxfId="124" dataCellStyle="Vírgula"/>
    <tableColumn id="34" xr3:uid="{2910B7C3-FBCA-48F3-9349-829E0AF03922}" name="2028" totalsRowFunction="sum" dataDxfId="123" totalsRowDxfId="122" dataCellStyle="Vírgula"/>
    <tableColumn id="35" xr3:uid="{2501EC49-D74B-4147-87BB-FD4ED206489F}" name="2029" totalsRowFunction="sum" dataDxfId="121" totalsRowDxfId="120" dataCellStyle="Vírgula"/>
    <tableColumn id="36" xr3:uid="{6AFF1219-A9D4-4A1E-BD99-D4524B94B474}" name="2030" totalsRowFunction="sum" dataDxfId="119" totalsRowDxfId="118" dataCellStyle="Vírgula"/>
    <tableColumn id="37" xr3:uid="{FC74AAEF-3E0F-459F-81A8-C6A16193D1AC}" name="2026-2030" dataDxfId="117" totalsRowDxfId="116" dataCellStyle="Vírgula"/>
    <tableColumn id="38" xr3:uid="{06584F8B-2B71-4B4F-9F8D-FC11D9D22EC0}" name="2031" dataDxfId="115" totalsRowDxfId="114" dataCellStyle="Vírgula"/>
    <tableColumn id="39" xr3:uid="{CA0D075B-659C-4456-8740-50BF610B40F7}" name="2032" dataDxfId="113" totalsRowDxfId="112" dataCellStyle="Vírgula"/>
    <tableColumn id="40" xr3:uid="{82401436-CD4F-4D12-89F2-F743CF04B5C2}" name="2033" dataDxfId="111" totalsRowDxfId="110" dataCellStyle="Vírgula"/>
    <tableColumn id="41" xr3:uid="{6A074727-6EDC-4F3B-90B1-68B63F774031}" name="2034" dataDxfId="109" totalsRowDxfId="108" dataCellStyle="Vírgula"/>
    <tableColumn id="42" xr3:uid="{DE6F26B8-EA15-4D4F-BA60-C2BCA4D3ED14}" name="2035" dataDxfId="107" totalsRowDxfId="106" dataCellStyle="Vírgula"/>
    <tableColumn id="43" xr3:uid="{3D472125-1B51-48B3-B603-9458DEC4C5CE}" name="2026-2035" dataDxfId="105" totalsRowDxfId="104" dataCellStyle="Vírgula"/>
    <tableColumn id="44" xr3:uid="{BD2D7D4D-51FF-4206-A473-5FC747088918}" name="Sequencial" dataDxfId="103" totalsRowDxfId="102"/>
    <tableColumn id="45" xr3:uid="{64610958-1A7F-4761-8C9D-E4CE7CA9B270}" name="Órgão Responsável" dataDxfId="101" totalsRowDxfId="100"/>
    <tableColumn id="46" xr3:uid="{E57681F4-9ACC-42B1-813A-85FF6B9648DD}" name="PE de Origem" dataDxfId="99" totalsRowDxfId="98"/>
    <tableColumn id="47" xr3:uid="{772B4090-3B0F-403A-858B-B0604BBF5E03}" name="Código Projeto OOIV" dataDxfId="97" totalsRowDxfId="96"/>
    <tableColumn id="48" xr3:uid="{58690DC6-8391-4A5F-9ED2-02334DBA4AF6}" name="ID Financeiro" dataDxfId="95" totalsRowDxfId="94"/>
    <tableColumn id="49" xr3:uid="{36BFF23F-E367-4669-8CD9-C9C7051BBB40}" name="Status Contratação" dataDxfId="93" totalsRowDxfId="92"/>
    <tableColumn id="50" xr3:uid="{53319D34-B39D-472C-B743-15F98D264D22}" name="Descrição Detalhada do Projeto" dataDxfId="91" totalsRowDxfId="90"/>
    <tableColumn id="51" xr3:uid="{25BCF03B-D54E-4C6D-80B5-1C166FDBA0BA}" name="Observações" dataDxfId="89" totalsRowDxfId="88"/>
    <tableColumn id="52" xr3:uid="{332A6CED-BFB2-4A9A-890F-944E315C4114}" name="Líder" dataDxfId="87" totalsRowDxfId="86"/>
    <tableColumn id="57" xr3:uid="{284B569D-6478-4D76-AA52-347875F9F5FD}" name="Centro Financeiro" dataDxfId="85" totalsRowDxfId="84"/>
    <tableColumn id="58" xr3:uid="{7EC24840-136D-469F-B0CE-9C6B497BA3C4}" name="Item Financeiro" dataDxfId="83" totalsRowDxfId="82"/>
    <tableColumn id="59" xr3:uid="{E5E11BD2-726D-4C32-BD64-7C7CCCB94A75}" name="Pacote" dataDxfId="81" totalsRowDxfId="80"/>
    <tableColumn id="60" xr3:uid="{A39E22B1-F5AA-4740-93CE-BAD16C21914D}" name="Subpacote" dataDxfId="79" totalsRowDxfId="78"/>
    <tableColumn id="61" xr3:uid="{9288F8A7-41D2-4F7A-AC81-E3A3D648CF5C}" name="Ativos" dataDxfId="77" totalsRowDxfId="76"/>
    <tableColumn id="62" xr3:uid="{3D0A83FD-4C74-49FF-A9CA-FFF373BC71C3}" name="Técnico" dataDxfId="75" totalsRowDxfId="74"/>
    <tableColumn id="63" xr3:uid="{0CD63D4B-E8A4-4581-A050-7983219320AC}" name="Estratégico" dataDxfId="73" totalsRowDxfId="72"/>
    <tableColumn id="64" xr3:uid="{02F6511F-CBB4-4066-9AAE-164362F7A921}" name="Área de Aplicação da Demanda" dataDxfId="71" totalsRowDxfId="70"/>
    <tableColumn id="65" xr3:uid="{8213D12D-D47C-4EF6-A372-FF44B63A4005}" name="ID EV" dataDxfId="69" totalsRowDxfId="68"/>
    <tableColumn id="66" xr3:uid="{C752F536-EAD9-4DB3-BA6E-D6B606B88362}" name="Nome do Projeto/Contratação" dataDxfId="67" totalsRowDxfId="66"/>
    <tableColumn id="68" xr3:uid="{2DBAD018-6D3B-41C3-9988-7D39E60F63DF}" name="Meta Associada" dataDxfId="65" totalsRowDxfId="64"/>
    <tableColumn id="69" xr3:uid="{FB809366-B5B0-4BD1-B3A7-A72E8A4AB0E2}" name="Contratação" dataDxfId="63" totalsRowDxfId="62"/>
    <tableColumn id="70" xr3:uid="{4243BFB3-34D9-4BC2-A177-35521C6C5C62}" name="Número do Pedido" dataDxfId="61" totalsRowDxfId="60"/>
    <tableColumn id="71" xr3:uid="{0D8A19A5-06D7-4F37-A1D5-92653FE7B470}" name="Prioridade" dataDxfId="59" totalsRowDxfId="58"/>
    <tableColumn id="72" xr3:uid="{8839178A-AAD3-4B47-8244-05526045E3E6}" name="Observação" dataDxfId="57" totalsRowDxfId="56"/>
    <tableColumn id="53" xr3:uid="{FC95B6C6-58C0-4093-A93E-7CD5CD098F3C}" name="Orçado 2026 (PE25-29)" dataDxfId="55" totalsRowDxfId="54">
      <calculatedColumnFormula>IFERROR(VLOOKUP(_tPE26_29_Consolidada[[#This Row],[ID Financeiro]],'[4]PE 25-29'!$B:$AF,31,FALSE),0)</calculatedColumnFormula>
    </tableColumn>
    <tableColumn id="54" xr3:uid="{6AC5D51D-BC72-4AF1-8008-1E15B8B61BB1}" name="Orçado 2026 (PE26-30)" dataDxfId="53" totalsRowDxfId="52">
      <calculatedColumnFormula>_tPE26_29_Consolidada[[#This Row],[2026]]*1000</calculatedColumnFormula>
    </tableColumn>
    <tableColumn id="55" xr3:uid="{29BC7061-9EA1-4DBF-850E-EFB3FFA0D010}" name="Dif" dataDxfId="51" totalsRowDxfId="50">
      <calculatedColumnFormula>_tPE26_29_Consolidada[[#This Row],[Orçado 2026 (PE25-29)]]-_tPE26_29_Consolidada[[#This Row],[Orçado 2026 (PE26-30)]]</calculatedColumnFormula>
    </tableColumn>
    <tableColumn id="56" xr3:uid="{89629FF6-5433-420A-9264-EE764C805BA4}" name="Orçado 26/30 (PE25-29)" dataDxfId="49" totalsRowDxfId="48">
      <calculatedColumnFormula>IFERROR(VLOOKUP(_tPE26_29_Consolidada[[#This Row],[ID Financeiro]],'[4]PE 25-29'!$B:$AT,45,FALSE),0)</calculatedColumnFormula>
    </tableColumn>
    <tableColumn id="67" xr3:uid="{44F29F86-FC16-4CE3-9C29-81601EDB3EBD}" name="Orçado 26/30 (PE26-30)" dataDxfId="47" totalsRowDxfId="46">
      <calculatedColumnFormula>_tPE26_29_Consolidada[[#This Row],[2026-2030]]*1000</calculatedColumnFormula>
    </tableColumn>
    <tableColumn id="73" xr3:uid="{F97C95B4-72C9-44B7-A5F6-3E16AF82B448}" name="Dif2" dataDxfId="45" totalsRowDxfId="44">
      <calculatedColumnFormula>-_tPE26_29_Consolidada[[#This Row],[Orçado 26/30 (PE25-29)]]+_tPE26_29_Consolidada[[#This Row],[Orçado 26/30 (PE26-30)]]</calculatedColumnFormula>
    </tableColumn>
    <tableColumn id="74" xr3:uid="{210F245C-0340-489E-AAE5-F988CE098169}" name="Dif2 %" totalsRowFunction="sum" dataDxfId="43" totalsRowDxfId="42">
      <calculatedColumnFormula>IFERROR(_tPE26_29_Consolidada[[#This Row],[Dif2]]/_tPE26_29_Consolidada[[#This Row],[Orçado 26/30 (PE25-29)]],0)</calculatedColumnFormula>
    </tableColumn>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458AA6-11AD-4F6E-8E78-802FBAB339E6}" name="RMGDE" displayName="RMGDE" ref="B3:H1473" totalsRowShown="0" headerRowDxfId="41" headerRowCellStyle="Normal 3 2 2">
  <autoFilter ref="B3:H1473" xr:uid="{06458AA6-11AD-4F6E-8E78-802FBAB339E6}"/>
  <tableColumns count="7">
    <tableColumn id="1" xr3:uid="{44EB3E69-2802-4D57-A74C-0844AF4B64D6}" name="Código"/>
    <tableColumn id="2" xr3:uid="{FCE309FD-E416-419B-B256-F285568DBFB7}" name="Segmento"/>
    <tableColumn id="3" xr3:uid="{D34DCFC4-3C45-45B1-853E-1089E40E7FE1}" name="Corporativo ou SPE?"/>
    <tableColumn id="4" xr3:uid="{30776154-D1F5-452F-87A0-E60AF3084C2D}" name="Categoria do Investimento"/>
    <tableColumn id="5" xr3:uid="{D48F03F3-3DB7-4257-A333-BE03EB233195}" name="Empresa"/>
    <tableColumn id="6" xr3:uid="{AA152BD7-0A4C-4026-9F09-B1A3F29E44B9}" name="Descrição detalhada do emprendimento_x000a_ (escopo)"/>
    <tableColumn id="7" xr3:uid="{2F8E3455-3447-41ED-8BB2-05975AC9AF6E}" name="Tipo de Equipamento_x000a_(Equip. principal)"/>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DB9499A-3696-4A2C-AEE3-6A53AA09B61A}" name="_tVP" displayName="_tVP" ref="C4:D20" totalsRowShown="0" headerRowDxfId="40" dataDxfId="39">
  <autoFilter ref="C4:D20" xr:uid="{DDB9499A-3696-4A2C-AEE3-6A53AA09B61A}">
    <filterColumn colId="0" hiddenButton="1"/>
    <filterColumn colId="1" hiddenButton="1"/>
  </autoFilter>
  <tableColumns count="2">
    <tableColumn id="1" xr3:uid="{DAD59E82-E4D4-4730-BDC7-141A9816DA14}" name="VP" dataDxfId="38"/>
    <tableColumn id="2" xr3:uid="{F546020B-E6F8-4F26-A5A5-070BBA89A0E5}" name="Descricao" dataDxfId="37"/>
  </tableColumns>
  <tableStyleInfo name="TableStyleMedium1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2667000-CE12-44AF-AE70-DC68E35BCB59}" name="_tCorporativo" displayName="_tCorporativo" ref="F4:F6" totalsRowShown="0" headerRowDxfId="36" dataDxfId="35">
  <autoFilter ref="F4:F6" xr:uid="{12667000-CE12-44AF-AE70-DC68E35BCB59}">
    <filterColumn colId="0" hiddenButton="1"/>
  </autoFilter>
  <tableColumns count="1">
    <tableColumn id="1" xr3:uid="{EA16D8E2-9F27-4825-B312-B0C515E4E4F8}" name="Corporativo_SPE" dataDxfId="34"/>
  </tableColumns>
  <tableStyleInfo name="TableStyleMedium1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C4441AD-6DDB-4447-8FD5-6284D501E2E8}" name="Tabela19" displayName="Tabela19" ref="H4:H8" totalsRowShown="0" headerRowDxfId="33" dataDxfId="32">
  <autoFilter ref="H4:H8" xr:uid="{DC4441AD-6DDB-4447-8FD5-6284D501E2E8}"/>
  <sortState xmlns:xlrd2="http://schemas.microsoft.com/office/spreadsheetml/2017/richdata2" ref="H5:H8">
    <sortCondition ref="H4:H8"/>
  </sortState>
  <tableColumns count="1">
    <tableColumn id="1" xr3:uid="{B1385D80-6943-4764-AB84-09CE277367BC}" name="Segmento" dataDxfId="31"/>
  </tableColumns>
  <tableStyleInfo name="TableStyleMedium10"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FC02FEB-3ACC-484C-8BF6-EE5E59ED8EDA}" name="Tabela24" displayName="Tabela24" ref="F14:F17" totalsRowShown="0" headerRowDxfId="30" dataDxfId="29">
  <autoFilter ref="F14:F17" xr:uid="{5FC02FEB-3ACC-484C-8BF6-EE5E59ED8EDA}"/>
  <tableColumns count="1">
    <tableColumn id="1" xr3:uid="{97373BF2-0932-47B2-A1D8-FA8BA3B48A04}" name="Investimento Contratado" dataDxfId="28"/>
  </tableColumns>
  <tableStyleInfo name="TableStyleMedium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36D06AB-D000-4C37-86B1-575D9CBA5D70}" name="Tabela22" displayName="Tabela22" ref="H14:H16" totalsRowShown="0" headerRowDxfId="27" dataDxfId="26" headerRowCellStyle="Normal 2">
  <autoFilter ref="H14:H16" xr:uid="{136D06AB-D000-4C37-86B1-575D9CBA5D70}"/>
  <tableColumns count="1">
    <tableColumn id="1" xr3:uid="{79205686-9133-4711-BA20-DC0104871974}" name="Investimento Novo" dataDxfId="25"/>
  </tableColumns>
  <tableStyleInfo name="TableStyleMedium1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3" dT="2024-08-23T14:48:32.28" personId="{7ACA9A31-7D99-47EB-A01F-2738225F1A65}" id="{77195E4E-0C5C-4B08-B8D0-97ACA6573507}">
    <text>MPP - Melhoria de Pequeno Porte
RPP - Reforço de Pequeno Porte
MGP - Melhoria de Grande Porte
RGP - Reforço de Grande Porte
Ampliação - Leilões de Transmissão</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openxmlformats.org/officeDocument/2006/relationships/drawing" Target="../drawings/drawing1.xml"/><Relationship Id="rId4" Type="http://schemas.openxmlformats.org/officeDocument/2006/relationships/pivotTable" Target="../pivotTables/pivotTable11.xml"/><Relationship Id="rId9"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9.xml"/><Relationship Id="rId1" Type="http://schemas.openxmlformats.org/officeDocument/2006/relationships/vmlDrawing" Target="../drawings/vmlDrawing6.vml"/></Relationships>
</file>

<file path=xl/worksheets/_rels/sheet2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0.xml"/><Relationship Id="rId1" Type="http://schemas.openxmlformats.org/officeDocument/2006/relationships/vmlDrawing" Target="../drawings/vmlDrawing7.vml"/><Relationship Id="rId4" Type="http://schemas.microsoft.com/office/2017/10/relationships/threadedComment" Target="../threadedComments/threadedComment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 Id="rId5" Type="http://schemas.openxmlformats.org/officeDocument/2006/relationships/table" Target="../tables/table15.xml"/><Relationship Id="rId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FFD04-01AD-40FB-9718-70161FB4F2DF}">
  <dimension ref="B3:D120"/>
  <sheetViews>
    <sheetView showGridLines="0" topLeftCell="A3" workbookViewId="0">
      <selection activeCell="L34" sqref="L34"/>
    </sheetView>
  </sheetViews>
  <sheetFormatPr defaultColWidth="9.09765625" defaultRowHeight="13" x14ac:dyDescent="0.3"/>
  <cols>
    <col min="1" max="1" width="15.69921875" style="43" customWidth="1"/>
    <col min="2" max="2" width="6.69921875" style="44" customWidth="1"/>
    <col min="3" max="3" width="38.296875" style="43" customWidth="1"/>
    <col min="4" max="4" width="38.69921875" style="43" customWidth="1"/>
    <col min="5" max="16384" width="9.09765625" style="43"/>
  </cols>
  <sheetData>
    <row r="3" spans="2:4" x14ac:dyDescent="0.3">
      <c r="B3" s="45" t="s">
        <v>0</v>
      </c>
    </row>
    <row r="5" spans="2:4" x14ac:dyDescent="0.3">
      <c r="B5" s="54" t="s">
        <v>1</v>
      </c>
    </row>
    <row r="6" spans="2:4" x14ac:dyDescent="0.3">
      <c r="B6" s="54" t="s">
        <v>2</v>
      </c>
    </row>
    <row r="7" spans="2:4" x14ac:dyDescent="0.3">
      <c r="B7" s="54" t="s">
        <v>3</v>
      </c>
    </row>
    <row r="8" spans="2:4" x14ac:dyDescent="0.3">
      <c r="B8" s="54" t="s">
        <v>4</v>
      </c>
    </row>
    <row r="11" spans="2:4" ht="22.5" customHeight="1" x14ac:dyDescent="0.3">
      <c r="B11" s="41" t="s">
        <v>5</v>
      </c>
      <c r="C11" s="42" t="s">
        <v>6</v>
      </c>
      <c r="D11" s="42" t="s">
        <v>7</v>
      </c>
    </row>
    <row r="12" spans="2:4" x14ac:dyDescent="0.3">
      <c r="B12" s="36">
        <v>1</v>
      </c>
      <c r="C12" s="19" t="s">
        <v>8</v>
      </c>
      <c r="D12" s="46" t="s">
        <v>9</v>
      </c>
    </row>
    <row r="13" spans="2:4" x14ac:dyDescent="0.3">
      <c r="B13" s="37">
        <v>2</v>
      </c>
      <c r="C13" s="19" t="s">
        <v>10</v>
      </c>
      <c r="D13" s="46" t="s">
        <v>9</v>
      </c>
    </row>
    <row r="14" spans="2:4" x14ac:dyDescent="0.3">
      <c r="B14" s="36">
        <v>3</v>
      </c>
      <c r="C14" s="19" t="s">
        <v>11</v>
      </c>
      <c r="D14" s="46" t="s">
        <v>9</v>
      </c>
    </row>
    <row r="15" spans="2:4" x14ac:dyDescent="0.3">
      <c r="B15" s="37">
        <v>4</v>
      </c>
      <c r="C15" s="19" t="s">
        <v>12</v>
      </c>
      <c r="D15" s="46" t="s">
        <v>9</v>
      </c>
    </row>
    <row r="16" spans="2:4" x14ac:dyDescent="0.3">
      <c r="B16" s="36">
        <v>5</v>
      </c>
      <c r="C16" s="19" t="s">
        <v>13</v>
      </c>
      <c r="D16" s="47" t="s">
        <v>14</v>
      </c>
    </row>
    <row r="17" spans="2:4" x14ac:dyDescent="0.3">
      <c r="B17" s="37">
        <v>6</v>
      </c>
      <c r="C17" s="19" t="s">
        <v>15</v>
      </c>
      <c r="D17" s="47" t="s">
        <v>14</v>
      </c>
    </row>
    <row r="18" spans="2:4" x14ac:dyDescent="0.3">
      <c r="B18" s="36">
        <v>7</v>
      </c>
      <c r="C18" s="19" t="s">
        <v>16</v>
      </c>
      <c r="D18" s="47" t="s">
        <v>14</v>
      </c>
    </row>
    <row r="19" spans="2:4" x14ac:dyDescent="0.3">
      <c r="B19" s="37">
        <v>8</v>
      </c>
      <c r="C19" s="19" t="s">
        <v>17</v>
      </c>
      <c r="D19" s="48"/>
    </row>
    <row r="20" spans="2:4" x14ac:dyDescent="0.3">
      <c r="B20" s="36">
        <v>9</v>
      </c>
      <c r="C20" s="19" t="s">
        <v>18</v>
      </c>
      <c r="D20" s="49"/>
    </row>
    <row r="21" spans="2:4" x14ac:dyDescent="0.3">
      <c r="B21" s="37">
        <v>10</v>
      </c>
      <c r="C21" s="19" t="s">
        <v>19</v>
      </c>
      <c r="D21" s="47" t="s">
        <v>14</v>
      </c>
    </row>
    <row r="22" spans="2:4" x14ac:dyDescent="0.3">
      <c r="B22" s="36">
        <v>11</v>
      </c>
      <c r="C22" s="19" t="s">
        <v>20</v>
      </c>
      <c r="D22" s="47" t="s">
        <v>14</v>
      </c>
    </row>
    <row r="23" spans="2:4" x14ac:dyDescent="0.3">
      <c r="B23" s="37">
        <v>12</v>
      </c>
      <c r="C23" s="19" t="s">
        <v>21</v>
      </c>
      <c r="D23" s="47" t="s">
        <v>14</v>
      </c>
    </row>
    <row r="24" spans="2:4" x14ac:dyDescent="0.3">
      <c r="B24" s="36">
        <v>13</v>
      </c>
      <c r="C24" s="19" t="s">
        <v>22</v>
      </c>
      <c r="D24" s="50"/>
    </row>
    <row r="25" spans="2:4" x14ac:dyDescent="0.3">
      <c r="B25" s="37"/>
      <c r="C25" s="30"/>
      <c r="D25" s="50"/>
    </row>
    <row r="26" spans="2:4" ht="25.5" customHeight="1" x14ac:dyDescent="0.3">
      <c r="B26" s="51"/>
      <c r="C26" s="52" t="s">
        <v>23</v>
      </c>
      <c r="D26" s="16"/>
    </row>
    <row r="27" spans="2:4" x14ac:dyDescent="0.3">
      <c r="B27" s="37">
        <v>14</v>
      </c>
      <c r="C27" s="19" t="s">
        <v>24</v>
      </c>
      <c r="D27" s="48"/>
    </row>
    <row r="28" spans="2:4" x14ac:dyDescent="0.3">
      <c r="B28" s="37">
        <v>15</v>
      </c>
      <c r="C28" s="19" t="s">
        <v>25</v>
      </c>
      <c r="D28" s="47" t="s">
        <v>26</v>
      </c>
    </row>
    <row r="29" spans="2:4" x14ac:dyDescent="0.3">
      <c r="B29" s="37">
        <v>16</v>
      </c>
      <c r="C29" s="19" t="s">
        <v>27</v>
      </c>
      <c r="D29" s="47" t="s">
        <v>28</v>
      </c>
    </row>
    <row r="30" spans="2:4" x14ac:dyDescent="0.3">
      <c r="B30" s="37">
        <v>17</v>
      </c>
      <c r="C30" s="20" t="s">
        <v>29</v>
      </c>
      <c r="D30" s="47" t="s">
        <v>14</v>
      </c>
    </row>
    <row r="31" spans="2:4" ht="36" x14ac:dyDescent="0.3">
      <c r="B31" s="37">
        <v>18</v>
      </c>
      <c r="C31" s="19" t="s">
        <v>30</v>
      </c>
      <c r="D31" s="48"/>
    </row>
    <row r="32" spans="2:4" x14ac:dyDescent="0.3">
      <c r="B32" s="37">
        <v>19</v>
      </c>
      <c r="C32" s="19" t="s">
        <v>31</v>
      </c>
      <c r="D32" s="49"/>
    </row>
    <row r="33" spans="2:4" ht="24" x14ac:dyDescent="0.3">
      <c r="B33" s="37">
        <v>20</v>
      </c>
      <c r="C33" s="19" t="s">
        <v>32</v>
      </c>
      <c r="D33" s="48"/>
    </row>
    <row r="34" spans="2:4" x14ac:dyDescent="0.3">
      <c r="B34" s="37">
        <v>21</v>
      </c>
      <c r="C34" s="20" t="s">
        <v>33</v>
      </c>
      <c r="D34" s="49"/>
    </row>
    <row r="35" spans="2:4" x14ac:dyDescent="0.3">
      <c r="B35" s="37">
        <v>22</v>
      </c>
      <c r="C35" s="21" t="s">
        <v>34</v>
      </c>
      <c r="D35" s="47" t="s">
        <v>35</v>
      </c>
    </row>
    <row r="36" spans="2:4" x14ac:dyDescent="0.3">
      <c r="B36" s="37">
        <v>23</v>
      </c>
      <c r="C36" s="19" t="s">
        <v>36</v>
      </c>
      <c r="D36" s="49"/>
    </row>
    <row r="37" spans="2:4" x14ac:dyDescent="0.3">
      <c r="B37" s="37">
        <v>24</v>
      </c>
      <c r="C37" s="19" t="s">
        <v>37</v>
      </c>
      <c r="D37" s="48"/>
    </row>
    <row r="38" spans="2:4" x14ac:dyDescent="0.3">
      <c r="B38" s="37">
        <v>25</v>
      </c>
      <c r="C38" s="19" t="s">
        <v>38</v>
      </c>
      <c r="D38" s="49"/>
    </row>
    <row r="39" spans="2:4" x14ac:dyDescent="0.3">
      <c r="B39" s="37">
        <v>26</v>
      </c>
      <c r="C39" s="19" t="s">
        <v>39</v>
      </c>
      <c r="D39" s="48"/>
    </row>
    <row r="40" spans="2:4" x14ac:dyDescent="0.3">
      <c r="B40" s="37">
        <v>27</v>
      </c>
      <c r="C40" s="19" t="s">
        <v>40</v>
      </c>
      <c r="D40" s="49"/>
    </row>
    <row r="41" spans="2:4" ht="24" x14ac:dyDescent="0.3">
      <c r="B41" s="37">
        <v>28</v>
      </c>
      <c r="C41" s="19" t="s">
        <v>41</v>
      </c>
      <c r="D41" s="48"/>
    </row>
    <row r="42" spans="2:4" x14ac:dyDescent="0.3">
      <c r="B42" s="37">
        <v>29</v>
      </c>
      <c r="C42" s="20" t="s">
        <v>42</v>
      </c>
      <c r="D42" s="49"/>
    </row>
    <row r="43" spans="2:4" x14ac:dyDescent="0.3">
      <c r="B43" s="37">
        <v>30</v>
      </c>
      <c r="C43" s="20" t="s">
        <v>43</v>
      </c>
      <c r="D43" s="48"/>
    </row>
    <row r="44" spans="2:4" x14ac:dyDescent="0.3">
      <c r="B44" s="37">
        <v>31</v>
      </c>
      <c r="C44" s="20" t="s">
        <v>44</v>
      </c>
      <c r="D44" s="49"/>
    </row>
    <row r="45" spans="2:4" x14ac:dyDescent="0.3">
      <c r="B45" s="37"/>
      <c r="C45" s="31"/>
      <c r="D45" s="50"/>
    </row>
    <row r="46" spans="2:4" ht="24.75" customHeight="1" x14ac:dyDescent="0.3">
      <c r="B46" s="38"/>
      <c r="C46" s="32" t="s">
        <v>45</v>
      </c>
      <c r="D46" s="17"/>
    </row>
    <row r="47" spans="2:4" x14ac:dyDescent="0.3">
      <c r="B47" s="37">
        <v>32</v>
      </c>
      <c r="C47" s="22" t="s">
        <v>46</v>
      </c>
      <c r="D47" s="47" t="s">
        <v>14</v>
      </c>
    </row>
    <row r="48" spans="2:4" x14ac:dyDescent="0.3">
      <c r="B48" s="37">
        <v>33</v>
      </c>
      <c r="C48" s="22" t="s">
        <v>47</v>
      </c>
      <c r="D48" s="47" t="s">
        <v>14</v>
      </c>
    </row>
    <row r="49" spans="2:4" x14ac:dyDescent="0.3">
      <c r="B49" s="37">
        <v>34</v>
      </c>
      <c r="C49" s="22" t="s">
        <v>48</v>
      </c>
      <c r="D49" s="47" t="s">
        <v>14</v>
      </c>
    </row>
    <row r="50" spans="2:4" x14ac:dyDescent="0.3">
      <c r="B50" s="37">
        <v>35</v>
      </c>
      <c r="C50" s="22" t="s">
        <v>49</v>
      </c>
      <c r="D50" s="47" t="s">
        <v>14</v>
      </c>
    </row>
    <row r="51" spans="2:4" x14ac:dyDescent="0.3">
      <c r="B51" s="37">
        <v>36</v>
      </c>
      <c r="C51" s="22" t="s">
        <v>50</v>
      </c>
      <c r="D51" s="47" t="s">
        <v>14</v>
      </c>
    </row>
    <row r="52" spans="2:4" x14ac:dyDescent="0.3">
      <c r="B52" s="37">
        <v>37</v>
      </c>
      <c r="C52" s="22" t="s">
        <v>51</v>
      </c>
      <c r="D52" s="47" t="s">
        <v>14</v>
      </c>
    </row>
    <row r="53" spans="2:4" x14ac:dyDescent="0.3">
      <c r="B53" s="37">
        <v>38</v>
      </c>
      <c r="C53" s="22" t="s">
        <v>52</v>
      </c>
      <c r="D53" s="47" t="s">
        <v>14</v>
      </c>
    </row>
    <row r="54" spans="2:4" x14ac:dyDescent="0.3">
      <c r="B54" s="37">
        <v>39</v>
      </c>
      <c r="C54" s="22" t="s">
        <v>53</v>
      </c>
      <c r="D54" s="47" t="s">
        <v>14</v>
      </c>
    </row>
    <row r="55" spans="2:4" x14ac:dyDescent="0.3">
      <c r="B55" s="37">
        <v>40</v>
      </c>
      <c r="C55" s="22" t="s">
        <v>54</v>
      </c>
      <c r="D55" s="47" t="s">
        <v>14</v>
      </c>
    </row>
    <row r="56" spans="2:4" x14ac:dyDescent="0.3">
      <c r="B56" s="37">
        <v>41</v>
      </c>
      <c r="C56" s="22" t="s">
        <v>55</v>
      </c>
      <c r="D56" s="47" t="s">
        <v>14</v>
      </c>
    </row>
    <row r="57" spans="2:4" x14ac:dyDescent="0.3">
      <c r="B57" s="37">
        <v>42</v>
      </c>
      <c r="C57" s="22" t="s">
        <v>56</v>
      </c>
      <c r="D57" s="47" t="s">
        <v>14</v>
      </c>
    </row>
    <row r="58" spans="2:4" x14ac:dyDescent="0.3">
      <c r="B58" s="37">
        <v>43</v>
      </c>
      <c r="C58" s="22" t="s">
        <v>57</v>
      </c>
      <c r="D58" s="47" t="s">
        <v>14</v>
      </c>
    </row>
    <row r="59" spans="2:4" x14ac:dyDescent="0.3">
      <c r="B59" s="37">
        <v>44</v>
      </c>
      <c r="C59" s="23" t="s">
        <v>58</v>
      </c>
      <c r="D59" s="47" t="s">
        <v>14</v>
      </c>
    </row>
    <row r="60" spans="2:4" x14ac:dyDescent="0.3">
      <c r="B60" s="37">
        <v>45</v>
      </c>
      <c r="C60" s="23" t="s">
        <v>59</v>
      </c>
      <c r="D60" s="47" t="s">
        <v>14</v>
      </c>
    </row>
    <row r="61" spans="2:4" x14ac:dyDescent="0.3">
      <c r="B61" s="37">
        <v>46</v>
      </c>
      <c r="C61" s="23" t="s">
        <v>60</v>
      </c>
      <c r="D61" s="47" t="s">
        <v>14</v>
      </c>
    </row>
    <row r="62" spans="2:4" x14ac:dyDescent="0.3">
      <c r="B62" s="37">
        <v>47</v>
      </c>
      <c r="C62" s="23" t="s">
        <v>61</v>
      </c>
      <c r="D62" s="47" t="s">
        <v>14</v>
      </c>
    </row>
    <row r="63" spans="2:4" x14ac:dyDescent="0.3">
      <c r="B63" s="37">
        <v>48</v>
      </c>
      <c r="C63" s="23" t="s">
        <v>62</v>
      </c>
      <c r="D63" s="47" t="s">
        <v>14</v>
      </c>
    </row>
    <row r="64" spans="2:4" x14ac:dyDescent="0.3">
      <c r="B64" s="37">
        <v>49</v>
      </c>
      <c r="C64" s="23" t="s">
        <v>63</v>
      </c>
      <c r="D64" s="47" t="s">
        <v>14</v>
      </c>
    </row>
    <row r="65" spans="2:4" x14ac:dyDescent="0.3">
      <c r="B65" s="37">
        <v>50</v>
      </c>
      <c r="C65" s="23" t="s">
        <v>64</v>
      </c>
      <c r="D65" s="47" t="s">
        <v>65</v>
      </c>
    </row>
    <row r="66" spans="2:4" x14ac:dyDescent="0.3">
      <c r="B66" s="37">
        <v>51</v>
      </c>
      <c r="C66" s="23" t="s">
        <v>66</v>
      </c>
      <c r="D66" s="47" t="s">
        <v>65</v>
      </c>
    </row>
    <row r="67" spans="2:4" x14ac:dyDescent="0.3">
      <c r="B67" s="37">
        <v>52</v>
      </c>
      <c r="C67" s="23" t="s">
        <v>67</v>
      </c>
      <c r="D67" s="47" t="s">
        <v>65</v>
      </c>
    </row>
    <row r="68" spans="2:4" x14ac:dyDescent="0.3">
      <c r="B68" s="37">
        <v>53</v>
      </c>
      <c r="C68" s="23" t="s">
        <v>68</v>
      </c>
      <c r="D68" s="47" t="s">
        <v>65</v>
      </c>
    </row>
    <row r="69" spans="2:4" x14ac:dyDescent="0.3">
      <c r="B69" s="37">
        <v>54</v>
      </c>
      <c r="C69" s="23" t="s">
        <v>69</v>
      </c>
      <c r="D69" s="47" t="s">
        <v>65</v>
      </c>
    </row>
    <row r="70" spans="2:4" x14ac:dyDescent="0.3">
      <c r="B70" s="37">
        <v>55</v>
      </c>
      <c r="C70" s="23" t="s">
        <v>70</v>
      </c>
      <c r="D70" s="47" t="s">
        <v>65</v>
      </c>
    </row>
    <row r="71" spans="2:4" ht="14.5" x14ac:dyDescent="0.3">
      <c r="B71" s="37"/>
      <c r="C71" s="24"/>
      <c r="D71" s="50"/>
    </row>
    <row r="72" spans="2:4" ht="19.5" x14ac:dyDescent="0.3">
      <c r="B72" s="39"/>
      <c r="C72" s="35" t="s">
        <v>71</v>
      </c>
      <c r="D72" s="34"/>
    </row>
    <row r="73" spans="2:4" x14ac:dyDescent="0.3">
      <c r="B73" s="37">
        <v>56</v>
      </c>
      <c r="C73" s="25" t="s">
        <v>72</v>
      </c>
      <c r="D73" s="48"/>
    </row>
    <row r="74" spans="2:4" x14ac:dyDescent="0.3">
      <c r="B74" s="37">
        <v>57</v>
      </c>
      <c r="C74" s="25" t="s">
        <v>73</v>
      </c>
      <c r="D74" s="49"/>
    </row>
    <row r="75" spans="2:4" x14ac:dyDescent="0.3">
      <c r="B75" s="37">
        <v>58</v>
      </c>
      <c r="C75" s="25" t="s">
        <v>74</v>
      </c>
      <c r="D75" s="48"/>
    </row>
    <row r="76" spans="2:4" x14ac:dyDescent="0.3">
      <c r="B76" s="37">
        <v>59</v>
      </c>
      <c r="C76" s="25" t="s">
        <v>75</v>
      </c>
      <c r="D76" s="49"/>
    </row>
    <row r="77" spans="2:4" x14ac:dyDescent="0.3">
      <c r="B77" s="37">
        <v>60</v>
      </c>
      <c r="C77" s="25" t="s">
        <v>76</v>
      </c>
      <c r="D77" s="48"/>
    </row>
    <row r="78" spans="2:4" x14ac:dyDescent="0.3">
      <c r="B78" s="37">
        <v>61</v>
      </c>
      <c r="C78" s="25" t="s">
        <v>77</v>
      </c>
      <c r="D78" s="49"/>
    </row>
    <row r="79" spans="2:4" x14ac:dyDescent="0.3">
      <c r="B79" s="37">
        <v>62</v>
      </c>
      <c r="C79" s="25" t="s">
        <v>78</v>
      </c>
      <c r="D79" s="48"/>
    </row>
    <row r="80" spans="2:4" x14ac:dyDescent="0.3">
      <c r="B80" s="37">
        <v>63</v>
      </c>
      <c r="C80" s="25" t="s">
        <v>79</v>
      </c>
      <c r="D80" s="49"/>
    </row>
    <row r="81" spans="2:4" x14ac:dyDescent="0.3">
      <c r="B81" s="37">
        <v>64</v>
      </c>
      <c r="C81" s="25" t="s">
        <v>80</v>
      </c>
      <c r="D81" s="48"/>
    </row>
    <row r="82" spans="2:4" x14ac:dyDescent="0.3">
      <c r="B82" s="37">
        <v>65</v>
      </c>
      <c r="C82" s="25" t="s">
        <v>81</v>
      </c>
      <c r="D82" s="49"/>
    </row>
    <row r="83" spans="2:4" x14ac:dyDescent="0.3">
      <c r="B83" s="37">
        <v>66</v>
      </c>
      <c r="C83" s="25" t="s">
        <v>82</v>
      </c>
      <c r="D83" s="48"/>
    </row>
    <row r="84" spans="2:4" x14ac:dyDescent="0.3">
      <c r="B84" s="37">
        <v>67</v>
      </c>
      <c r="C84" s="25" t="s">
        <v>83</v>
      </c>
      <c r="D84" s="49"/>
    </row>
    <row r="85" spans="2:4" x14ac:dyDescent="0.3">
      <c r="B85" s="37">
        <v>68</v>
      </c>
      <c r="C85" s="20" t="s">
        <v>84</v>
      </c>
      <c r="D85" s="48"/>
    </row>
    <row r="86" spans="2:4" x14ac:dyDescent="0.3">
      <c r="B86" s="37">
        <v>69</v>
      </c>
      <c r="C86" s="20" t="s">
        <v>85</v>
      </c>
      <c r="D86" s="49"/>
    </row>
    <row r="87" spans="2:4" x14ac:dyDescent="0.3">
      <c r="B87" s="37">
        <v>70</v>
      </c>
      <c r="C87" s="20" t="s">
        <v>86</v>
      </c>
      <c r="D87" s="48"/>
    </row>
    <row r="88" spans="2:4" x14ac:dyDescent="0.3">
      <c r="B88" s="37">
        <v>71</v>
      </c>
      <c r="C88" s="20" t="s">
        <v>87</v>
      </c>
      <c r="D88" s="49"/>
    </row>
    <row r="89" spans="2:4" x14ac:dyDescent="0.3">
      <c r="B89" s="37">
        <v>72</v>
      </c>
      <c r="C89" s="20" t="s">
        <v>88</v>
      </c>
      <c r="D89" s="48"/>
    </row>
    <row r="90" spans="2:4" x14ac:dyDescent="0.3">
      <c r="B90" s="37">
        <v>73</v>
      </c>
      <c r="C90" s="20" t="s">
        <v>89</v>
      </c>
      <c r="D90" s="49"/>
    </row>
    <row r="91" spans="2:4" x14ac:dyDescent="0.3">
      <c r="B91" s="37">
        <v>74</v>
      </c>
      <c r="C91" s="20" t="s">
        <v>90</v>
      </c>
      <c r="D91" s="48"/>
    </row>
    <row r="92" spans="2:4" x14ac:dyDescent="0.3">
      <c r="B92" s="37">
        <v>75</v>
      </c>
      <c r="C92" s="20" t="s">
        <v>91</v>
      </c>
      <c r="D92" s="49"/>
    </row>
    <row r="93" spans="2:4" x14ac:dyDescent="0.3">
      <c r="B93" s="37">
        <v>76</v>
      </c>
      <c r="C93" s="20" t="s">
        <v>92</v>
      </c>
      <c r="D93" s="48"/>
    </row>
    <row r="94" spans="2:4" x14ac:dyDescent="0.3">
      <c r="B94" s="37">
        <v>77</v>
      </c>
      <c r="C94" s="20" t="s">
        <v>93</v>
      </c>
      <c r="D94" s="49"/>
    </row>
    <row r="95" spans="2:4" x14ac:dyDescent="0.3">
      <c r="B95" s="37">
        <v>78</v>
      </c>
      <c r="C95" s="20" t="s">
        <v>94</v>
      </c>
      <c r="D95" s="48"/>
    </row>
    <row r="96" spans="2:4" x14ac:dyDescent="0.3">
      <c r="B96" s="37">
        <v>79</v>
      </c>
      <c r="C96" s="20" t="s">
        <v>95</v>
      </c>
      <c r="D96" s="49"/>
    </row>
    <row r="97" spans="2:4" x14ac:dyDescent="0.3">
      <c r="B97" s="37">
        <v>80</v>
      </c>
      <c r="C97" s="19" t="s">
        <v>96</v>
      </c>
      <c r="D97" s="48"/>
    </row>
    <row r="98" spans="2:4" x14ac:dyDescent="0.3">
      <c r="B98" s="37">
        <v>81</v>
      </c>
      <c r="C98" s="19" t="s">
        <v>97</v>
      </c>
      <c r="D98" s="49"/>
    </row>
    <row r="99" spans="2:4" ht="26" x14ac:dyDescent="0.3">
      <c r="B99" s="37">
        <v>82</v>
      </c>
      <c r="C99" s="26" t="s">
        <v>98</v>
      </c>
      <c r="D99" s="48"/>
    </row>
    <row r="100" spans="2:4" x14ac:dyDescent="0.3">
      <c r="B100" s="37">
        <v>83</v>
      </c>
      <c r="C100" s="26" t="s">
        <v>99</v>
      </c>
      <c r="D100" s="49"/>
    </row>
    <row r="101" spans="2:4" x14ac:dyDescent="0.3">
      <c r="B101" s="37">
        <v>84</v>
      </c>
      <c r="C101" s="27" t="s">
        <v>100</v>
      </c>
      <c r="D101" s="48"/>
    </row>
    <row r="102" spans="2:4" x14ac:dyDescent="0.3">
      <c r="B102" s="37">
        <v>85</v>
      </c>
      <c r="C102" s="26" t="s">
        <v>101</v>
      </c>
      <c r="D102" s="49"/>
    </row>
    <row r="103" spans="2:4" x14ac:dyDescent="0.3">
      <c r="B103" s="37">
        <v>86</v>
      </c>
      <c r="C103" s="26" t="s">
        <v>102</v>
      </c>
      <c r="D103" s="48"/>
    </row>
    <row r="104" spans="2:4" x14ac:dyDescent="0.3">
      <c r="B104" s="37">
        <v>87</v>
      </c>
      <c r="C104" s="26" t="s">
        <v>103</v>
      </c>
      <c r="D104" s="49"/>
    </row>
    <row r="105" spans="2:4" x14ac:dyDescent="0.3">
      <c r="B105" s="37">
        <v>88</v>
      </c>
      <c r="C105" s="26" t="s">
        <v>104</v>
      </c>
      <c r="D105" s="48"/>
    </row>
    <row r="106" spans="2:4" x14ac:dyDescent="0.3">
      <c r="B106" s="37">
        <v>89</v>
      </c>
      <c r="C106" s="26" t="s">
        <v>105</v>
      </c>
      <c r="D106" s="49"/>
    </row>
    <row r="107" spans="2:4" x14ac:dyDescent="0.3">
      <c r="B107" s="37">
        <v>90</v>
      </c>
      <c r="C107" s="26" t="s">
        <v>106</v>
      </c>
      <c r="D107" s="48"/>
    </row>
    <row r="108" spans="2:4" x14ac:dyDescent="0.3">
      <c r="B108" s="37">
        <v>91</v>
      </c>
      <c r="C108" s="26" t="s">
        <v>107</v>
      </c>
      <c r="D108" s="49"/>
    </row>
    <row r="109" spans="2:4" x14ac:dyDescent="0.3">
      <c r="B109" s="37">
        <v>92</v>
      </c>
      <c r="C109" s="26" t="s">
        <v>108</v>
      </c>
      <c r="D109" s="48"/>
    </row>
    <row r="110" spans="2:4" x14ac:dyDescent="0.3">
      <c r="B110" s="37">
        <v>93</v>
      </c>
      <c r="C110" s="28" t="s">
        <v>109</v>
      </c>
      <c r="D110" s="49"/>
    </row>
    <row r="111" spans="2:4" x14ac:dyDescent="0.3">
      <c r="B111" s="37">
        <v>94</v>
      </c>
      <c r="C111" s="26" t="s">
        <v>110</v>
      </c>
      <c r="D111" s="48"/>
    </row>
    <row r="112" spans="2:4" x14ac:dyDescent="0.3">
      <c r="B112" s="37">
        <v>95</v>
      </c>
      <c r="C112" s="26" t="s">
        <v>111</v>
      </c>
      <c r="D112" s="49"/>
    </row>
    <row r="113" spans="2:4" x14ac:dyDescent="0.3">
      <c r="B113" s="37">
        <v>96</v>
      </c>
      <c r="C113" s="26" t="s">
        <v>112</v>
      </c>
      <c r="D113" s="48"/>
    </row>
    <row r="114" spans="2:4" x14ac:dyDescent="0.3">
      <c r="B114" s="37">
        <v>97</v>
      </c>
      <c r="C114" s="26" t="s">
        <v>113</v>
      </c>
      <c r="D114" s="49"/>
    </row>
    <row r="115" spans="2:4" x14ac:dyDescent="0.3">
      <c r="B115" s="37">
        <v>98</v>
      </c>
      <c r="C115" s="26" t="s">
        <v>114</v>
      </c>
      <c r="D115" s="48"/>
    </row>
    <row r="116" spans="2:4" x14ac:dyDescent="0.3">
      <c r="B116" s="37">
        <v>99</v>
      </c>
      <c r="C116" s="26" t="s">
        <v>115</v>
      </c>
      <c r="D116" s="49"/>
    </row>
    <row r="117" spans="2:4" x14ac:dyDescent="0.3">
      <c r="B117" s="37">
        <v>100</v>
      </c>
      <c r="C117" s="26" t="s">
        <v>116</v>
      </c>
      <c r="D117" s="48"/>
    </row>
    <row r="118" spans="2:4" x14ac:dyDescent="0.3">
      <c r="B118" s="37">
        <v>101</v>
      </c>
      <c r="C118" s="26" t="s">
        <v>117</v>
      </c>
      <c r="D118" s="49"/>
    </row>
    <row r="119" spans="2:4" x14ac:dyDescent="0.3">
      <c r="B119" s="37">
        <v>102</v>
      </c>
      <c r="C119" s="29" t="s">
        <v>118</v>
      </c>
      <c r="D119" s="48"/>
    </row>
    <row r="120" spans="2:4" x14ac:dyDescent="0.3">
      <c r="B120" s="40">
        <v>103</v>
      </c>
      <c r="C120" s="33" t="s">
        <v>119</v>
      </c>
      <c r="D120" s="53"/>
    </row>
  </sheetData>
  <pageMargins left="0.511811024" right="0.511811024" top="0.78740157499999996" bottom="0.78740157499999996" header="0.31496062000000002" footer="0.31496062000000002"/>
  <headerFooter>
    <oddFooter>&amp;C_x000D_&amp;1#&amp;"Calibri"&amp;10&amp;K0000FF Classificação: Interna</oddFooter>
  </headerFooter>
  <ignoredErrors>
    <ignoredError sqref="C59:C69" numberStoredAsText="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1760A-9028-4938-BCDE-0BF3485D0627}">
  <sheetPr>
    <tabColor theme="5"/>
  </sheetPr>
  <dimension ref="B3:D12"/>
  <sheetViews>
    <sheetView showGridLines="0" zoomScale="115" zoomScaleNormal="115" workbookViewId="0">
      <selection activeCell="G27" sqref="G27"/>
    </sheetView>
  </sheetViews>
  <sheetFormatPr defaultColWidth="9.09765625" defaultRowHeight="13" x14ac:dyDescent="0.3"/>
  <cols>
    <col min="1" max="1" width="9.09765625" style="43"/>
    <col min="2" max="2" width="9.09765625" style="43" customWidth="1"/>
    <col min="3" max="3" width="84.8984375" style="43" customWidth="1"/>
    <col min="4" max="4" width="53.3984375" style="43" customWidth="1"/>
    <col min="5" max="16384" width="9.09765625" style="43"/>
  </cols>
  <sheetData>
    <row r="3" spans="2:4" ht="18" customHeight="1" x14ac:dyDescent="0.3">
      <c r="B3" s="42" t="s">
        <v>120</v>
      </c>
      <c r="C3" s="59" t="s">
        <v>121</v>
      </c>
      <c r="D3" s="60" t="s">
        <v>122</v>
      </c>
    </row>
    <row r="4" spans="2:4" ht="45" customHeight="1" x14ac:dyDescent="0.3">
      <c r="B4" s="55">
        <f>ROW(Tabela3[[#This Row],[Id]])-ROW(Tabela3[[#Headers],[Id]])</f>
        <v>1</v>
      </c>
      <c r="C4" s="56" t="s">
        <v>123</v>
      </c>
      <c r="D4" s="57" t="s">
        <v>124</v>
      </c>
    </row>
    <row r="5" spans="2:4" ht="39" customHeight="1" x14ac:dyDescent="0.3">
      <c r="B5" s="55">
        <f>ROW(Tabela3[[#This Row],[Id]])-ROW(Tabela3[[#Headers],[Id]])</f>
        <v>2</v>
      </c>
      <c r="C5" s="56" t="s">
        <v>125</v>
      </c>
      <c r="D5" s="61"/>
    </row>
    <row r="6" spans="2:4" ht="77.25" customHeight="1" x14ac:dyDescent="0.3">
      <c r="B6" s="55">
        <f>ROW(Tabela3[[#This Row],[Id]])-ROW(Tabela3[[#Headers],[Id]])</f>
        <v>3</v>
      </c>
      <c r="C6" s="56" t="s">
        <v>126</v>
      </c>
      <c r="D6" s="58"/>
    </row>
    <row r="7" spans="2:4" ht="78" customHeight="1" x14ac:dyDescent="0.3">
      <c r="B7" s="55">
        <f>ROW(Tabela3[[#This Row],[Id]])-ROW(Tabela3[[#Headers],[Id]])</f>
        <v>4</v>
      </c>
      <c r="C7" s="56" t="s">
        <v>127</v>
      </c>
      <c r="D7" s="58"/>
    </row>
    <row r="8" spans="2:4" ht="81.75" customHeight="1" x14ac:dyDescent="0.3">
      <c r="B8" s="55">
        <f>ROW(Tabela3[[#This Row],[Id]])-ROW(Tabela3[[#Headers],[Id]])</f>
        <v>5</v>
      </c>
      <c r="C8" s="56" t="s">
        <v>128</v>
      </c>
      <c r="D8" s="58"/>
    </row>
    <row r="9" spans="2:4" ht="64.5" customHeight="1" x14ac:dyDescent="0.3">
      <c r="B9" s="55">
        <f>ROW(Tabela3[[#This Row],[Id]])-ROW(Tabela3[[#Headers],[Id]])</f>
        <v>6</v>
      </c>
      <c r="C9" s="56" t="s">
        <v>129</v>
      </c>
      <c r="D9" s="58"/>
    </row>
    <row r="10" spans="2:4" ht="59.25" customHeight="1" x14ac:dyDescent="0.3">
      <c r="B10" s="55">
        <f>ROW(Tabela3[[#This Row],[Id]])-ROW(Tabela3[[#Headers],[Id]])</f>
        <v>7</v>
      </c>
      <c r="C10" s="56" t="s">
        <v>130</v>
      </c>
      <c r="D10" s="58"/>
    </row>
    <row r="11" spans="2:4" ht="38.25" customHeight="1" x14ac:dyDescent="0.3">
      <c r="B11" s="55">
        <f>ROW(Tabela3[[#This Row],[Id]])-ROW(Tabela3[[#Headers],[Id]])</f>
        <v>8</v>
      </c>
      <c r="C11" s="56" t="s">
        <v>131</v>
      </c>
      <c r="D11" s="58"/>
    </row>
    <row r="12" spans="2:4" ht="75" customHeight="1" x14ac:dyDescent="0.3">
      <c r="B12" s="55">
        <f>ROW(Tabela3[[#This Row],[Id]])-ROW(Tabela3[[#Headers],[Id]])</f>
        <v>9</v>
      </c>
      <c r="C12" s="56"/>
      <c r="D12" s="58"/>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BDCA8-8441-42DE-8C83-9F106BBD7D6F}">
  <dimension ref="A3:C5"/>
  <sheetViews>
    <sheetView workbookViewId="0">
      <selection activeCell="B5" sqref="B5"/>
    </sheetView>
  </sheetViews>
  <sheetFormatPr defaultRowHeight="13" x14ac:dyDescent="0.3"/>
  <cols>
    <col min="1" max="1" width="17.3984375" bestFit="1" customWidth="1"/>
    <col min="2" max="2" width="12.59765625" bestFit="1" customWidth="1"/>
    <col min="3" max="3" width="17.3984375" bestFit="1" customWidth="1"/>
  </cols>
  <sheetData>
    <row r="3" spans="1:3" x14ac:dyDescent="0.3">
      <c r="A3" s="111" t="s">
        <v>132</v>
      </c>
      <c r="B3" t="s">
        <v>133</v>
      </c>
      <c r="C3" t="s">
        <v>134</v>
      </c>
    </row>
    <row r="4" spans="1:3" x14ac:dyDescent="0.3">
      <c r="A4" s="112" t="s">
        <v>135</v>
      </c>
      <c r="B4" s="97">
        <v>14369772</v>
      </c>
      <c r="C4" s="97">
        <v>37223176.200000003</v>
      </c>
    </row>
    <row r="5" spans="1:3" x14ac:dyDescent="0.3">
      <c r="A5" s="112" t="s">
        <v>136</v>
      </c>
      <c r="B5" s="97">
        <v>14369772</v>
      </c>
      <c r="C5" s="97">
        <v>37223176.200000003</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28923-9C25-491A-A181-2A2EA8FAB613}">
  <sheetPr filterMode="1"/>
  <dimension ref="A1:N124"/>
  <sheetViews>
    <sheetView zoomScale="130" zoomScaleNormal="130" workbookViewId="0">
      <selection activeCell="C99" sqref="C99"/>
    </sheetView>
  </sheetViews>
  <sheetFormatPr defaultRowHeight="13" x14ac:dyDescent="0.3"/>
  <cols>
    <col min="1" max="1" width="11" bestFit="1" customWidth="1"/>
    <col min="2" max="2" width="6.296875" bestFit="1" customWidth="1"/>
    <col min="3" max="3" width="59.296875" style="414" customWidth="1"/>
    <col min="4" max="4" width="11.3984375" bestFit="1" customWidth="1"/>
    <col min="5" max="7" width="17.3984375" customWidth="1"/>
    <col min="8" max="8" width="16.296875" customWidth="1"/>
    <col min="9" max="9" width="15.296875" customWidth="1"/>
    <col min="10" max="10" width="17.3984375" customWidth="1"/>
    <col min="11" max="11" width="10.59765625" customWidth="1"/>
    <col min="12" max="12" width="19.3984375" customWidth="1"/>
    <col min="13" max="13" width="12.09765625" customWidth="1"/>
    <col min="14" max="14" width="10.8984375" customWidth="1"/>
  </cols>
  <sheetData>
    <row r="1" spans="1:14" s="415" customFormat="1" ht="25" customHeight="1" x14ac:dyDescent="0.3">
      <c r="A1" s="416" t="s">
        <v>137</v>
      </c>
      <c r="B1" s="416" t="s">
        <v>138</v>
      </c>
      <c r="C1" s="416" t="s">
        <v>139</v>
      </c>
      <c r="D1" s="416" t="s">
        <v>140</v>
      </c>
      <c r="E1" s="416">
        <v>2026</v>
      </c>
      <c r="F1" s="106">
        <v>2027</v>
      </c>
      <c r="G1" s="106">
        <v>2028</v>
      </c>
      <c r="H1" s="106">
        <v>2029</v>
      </c>
      <c r="I1" s="106">
        <v>2030</v>
      </c>
      <c r="J1" s="416" t="s">
        <v>141</v>
      </c>
      <c r="K1" s="416" t="s">
        <v>142</v>
      </c>
      <c r="L1" s="416" t="s">
        <v>143</v>
      </c>
      <c r="M1" s="416" t="s">
        <v>144</v>
      </c>
      <c r="N1" s="416" t="s">
        <v>145</v>
      </c>
    </row>
    <row r="2" spans="1:14" hidden="1" x14ac:dyDescent="0.3">
      <c r="A2" s="417" t="s">
        <v>146</v>
      </c>
      <c r="B2" s="417" t="s">
        <v>147</v>
      </c>
      <c r="C2" s="106" t="s">
        <v>148</v>
      </c>
      <c r="D2" s="106" t="s">
        <v>149</v>
      </c>
      <c r="E2" s="348">
        <v>0</v>
      </c>
      <c r="F2" s="348">
        <v>0</v>
      </c>
      <c r="G2" s="348">
        <v>7820000</v>
      </c>
      <c r="H2" s="348">
        <v>4692000</v>
      </c>
      <c r="I2" s="348">
        <v>0</v>
      </c>
      <c r="J2" s="348">
        <v>12512000</v>
      </c>
      <c r="K2" s="106" t="e">
        <v>#N/A</v>
      </c>
      <c r="L2" s="106" t="str">
        <f>VLOOKUP(A2,'Consolidado-Eletronorte'!BN:BO,2,FALSE)</f>
        <v>Contratado</v>
      </c>
      <c r="M2" s="106" t="s">
        <v>150</v>
      </c>
      <c r="N2" s="106" t="s">
        <v>150</v>
      </c>
    </row>
    <row r="3" spans="1:14" hidden="1" x14ac:dyDescent="0.3">
      <c r="A3" s="418" t="s">
        <v>151</v>
      </c>
      <c r="B3" s="418" t="s">
        <v>152</v>
      </c>
      <c r="C3" s="106" t="s">
        <v>153</v>
      </c>
      <c r="D3" s="106" t="s">
        <v>154</v>
      </c>
      <c r="E3" s="348">
        <v>0</v>
      </c>
      <c r="F3" s="348">
        <v>200000</v>
      </c>
      <c r="G3" s="348">
        <v>650000</v>
      </c>
      <c r="H3" s="348">
        <v>466666.67</v>
      </c>
      <c r="I3" s="348">
        <v>0</v>
      </c>
      <c r="J3" s="348">
        <v>1316666.67</v>
      </c>
      <c r="K3" s="106" t="s">
        <v>155</v>
      </c>
      <c r="L3" s="106" t="str">
        <f>VLOOKUP(A3,'Consolidado-Eletronorte'!BN:BO,2,FALSE)</f>
        <v>Não iniciado</v>
      </c>
      <c r="M3" s="106"/>
      <c r="N3" s="106"/>
    </row>
    <row r="4" spans="1:14" hidden="1" x14ac:dyDescent="0.3">
      <c r="A4" s="417" t="s">
        <v>156</v>
      </c>
      <c r="B4" s="417" t="s">
        <v>147</v>
      </c>
      <c r="C4" s="106" t="s">
        <v>157</v>
      </c>
      <c r="D4" s="106" t="s">
        <v>158</v>
      </c>
      <c r="E4" s="348">
        <v>4000000</v>
      </c>
      <c r="F4" s="348">
        <v>2000000</v>
      </c>
      <c r="G4" s="348">
        <v>0</v>
      </c>
      <c r="H4" s="348">
        <v>0</v>
      </c>
      <c r="I4" s="348">
        <v>0</v>
      </c>
      <c r="J4" s="348">
        <v>6000000</v>
      </c>
      <c r="K4" s="106" t="s">
        <v>159</v>
      </c>
      <c r="L4" s="106" t="str">
        <f>VLOOKUP(A4,'Consolidado-Eletronorte'!BN:BO,2,FALSE)</f>
        <v>Em negociação</v>
      </c>
      <c r="M4" s="106" t="s">
        <v>160</v>
      </c>
      <c r="N4" s="106" t="s">
        <v>161</v>
      </c>
    </row>
    <row r="5" spans="1:14" hidden="1" x14ac:dyDescent="0.3">
      <c r="A5" s="418" t="s">
        <v>162</v>
      </c>
      <c r="B5" s="418" t="s">
        <v>163</v>
      </c>
      <c r="C5" s="106" t="s">
        <v>164</v>
      </c>
      <c r="D5" s="106" t="s">
        <v>154</v>
      </c>
      <c r="E5" s="348">
        <v>0</v>
      </c>
      <c r="F5" s="348">
        <v>20910319</v>
      </c>
      <c r="G5" s="348">
        <v>6233333.3300000001</v>
      </c>
      <c r="H5" s="348">
        <v>0</v>
      </c>
      <c r="I5" s="348">
        <v>0</v>
      </c>
      <c r="J5" s="348">
        <v>27143652.329999998</v>
      </c>
      <c r="K5" s="106" t="s">
        <v>165</v>
      </c>
      <c r="L5" s="106" t="str">
        <f>VLOOKUP(A5,'Consolidado-Eletronorte'!BN:BO,2,FALSE)</f>
        <v>Não iniciado</v>
      </c>
      <c r="M5" s="106" t="s">
        <v>161</v>
      </c>
      <c r="N5" s="106" t="s">
        <v>161</v>
      </c>
    </row>
    <row r="6" spans="1:14" hidden="1" x14ac:dyDescent="0.3">
      <c r="A6" s="417" t="s">
        <v>166</v>
      </c>
      <c r="B6" s="417" t="s">
        <v>147</v>
      </c>
      <c r="C6" s="106" t="s">
        <v>167</v>
      </c>
      <c r="D6" s="106" t="s">
        <v>154</v>
      </c>
      <c r="E6" s="348">
        <v>0</v>
      </c>
      <c r="F6" s="348">
        <v>7200000</v>
      </c>
      <c r="G6" s="348">
        <v>0</v>
      </c>
      <c r="H6" s="348">
        <v>0</v>
      </c>
      <c r="I6" s="348">
        <v>0</v>
      </c>
      <c r="J6" s="348">
        <v>7200000</v>
      </c>
      <c r="K6" s="106" t="s">
        <v>165</v>
      </c>
      <c r="L6" s="106" t="str">
        <f>VLOOKUP(A6,'Consolidado-Eletronorte'!BN:BO,2,FALSE)</f>
        <v>Não iniciado</v>
      </c>
      <c r="M6" s="106" t="s">
        <v>161</v>
      </c>
      <c r="N6" s="106" t="s">
        <v>161</v>
      </c>
    </row>
    <row r="7" spans="1:14" hidden="1" x14ac:dyDescent="0.3">
      <c r="A7" s="418" t="s">
        <v>168</v>
      </c>
      <c r="B7" s="418" t="s">
        <v>147</v>
      </c>
      <c r="C7" s="106" t="s">
        <v>169</v>
      </c>
      <c r="D7" s="106" t="s">
        <v>158</v>
      </c>
      <c r="E7" s="348">
        <v>0</v>
      </c>
      <c r="F7" s="348">
        <v>3000000</v>
      </c>
      <c r="G7" s="348">
        <v>3000000</v>
      </c>
      <c r="H7" s="348">
        <v>0</v>
      </c>
      <c r="I7" s="348">
        <v>0</v>
      </c>
      <c r="J7" s="348">
        <v>6000000</v>
      </c>
      <c r="K7" s="106" t="s">
        <v>159</v>
      </c>
      <c r="L7" s="106" t="str">
        <f>VLOOKUP(A7,'Consolidado-Eletronorte'!BN:BO,2,FALSE)</f>
        <v>Não iniciado</v>
      </c>
      <c r="M7" s="106" t="s">
        <v>161</v>
      </c>
      <c r="N7" s="106" t="s">
        <v>161</v>
      </c>
    </row>
    <row r="8" spans="1:14" hidden="1" x14ac:dyDescent="0.3">
      <c r="A8" s="417" t="s">
        <v>170</v>
      </c>
      <c r="B8" s="417" t="s">
        <v>171</v>
      </c>
      <c r="C8" s="106" t="s">
        <v>172</v>
      </c>
      <c r="D8" s="106" t="s">
        <v>158</v>
      </c>
      <c r="E8" s="348">
        <v>0</v>
      </c>
      <c r="F8" s="348">
        <v>3000000</v>
      </c>
      <c r="G8" s="348">
        <v>500000</v>
      </c>
      <c r="H8" s="348">
        <v>0</v>
      </c>
      <c r="I8" s="348">
        <v>0</v>
      </c>
      <c r="J8" s="348">
        <v>3500000</v>
      </c>
      <c r="K8" s="106" t="s">
        <v>159</v>
      </c>
      <c r="L8" s="106" t="str">
        <f>VLOOKUP(A8,'Consolidado-Eletronorte'!BN:BO,2,FALSE)</f>
        <v>Não iniciado</v>
      </c>
      <c r="M8" s="106"/>
      <c r="N8" s="106"/>
    </row>
    <row r="9" spans="1:14" hidden="1" x14ac:dyDescent="0.3">
      <c r="A9" s="418" t="s">
        <v>173</v>
      </c>
      <c r="B9" s="418" t="s">
        <v>152</v>
      </c>
      <c r="C9" s="106" t="s">
        <v>174</v>
      </c>
      <c r="D9" s="106" t="s">
        <v>158</v>
      </c>
      <c r="E9" s="348">
        <v>0</v>
      </c>
      <c r="F9" s="348">
        <v>1200000</v>
      </c>
      <c r="G9" s="348">
        <v>300000</v>
      </c>
      <c r="H9" s="348">
        <v>0</v>
      </c>
      <c r="I9" s="348">
        <v>0</v>
      </c>
      <c r="J9" s="348">
        <v>1500000</v>
      </c>
      <c r="K9" s="106" t="s">
        <v>159</v>
      </c>
      <c r="L9" s="106" t="str">
        <f>VLOOKUP(A9,'Consolidado-Eletronorte'!BN:BO,2,FALSE)</f>
        <v>Não iniciado</v>
      </c>
      <c r="M9" s="106"/>
      <c r="N9" s="106"/>
    </row>
    <row r="10" spans="1:14" hidden="1" x14ac:dyDescent="0.3">
      <c r="A10" s="417" t="s">
        <v>175</v>
      </c>
      <c r="B10" s="417" t="s">
        <v>152</v>
      </c>
      <c r="C10" s="106" t="s">
        <v>176</v>
      </c>
      <c r="D10" s="106" t="s">
        <v>158</v>
      </c>
      <c r="E10" s="348">
        <v>0</v>
      </c>
      <c r="F10" s="348">
        <v>500000</v>
      </c>
      <c r="G10" s="348">
        <v>1000000</v>
      </c>
      <c r="H10" s="348">
        <v>0</v>
      </c>
      <c r="I10" s="348">
        <v>0</v>
      </c>
      <c r="J10" s="348">
        <v>1500000</v>
      </c>
      <c r="K10" s="106" t="s">
        <v>159</v>
      </c>
      <c r="L10" s="106" t="str">
        <f>VLOOKUP(A10,'Consolidado-Eletronorte'!BN:BO,2,FALSE)</f>
        <v>Não iniciado</v>
      </c>
      <c r="M10" s="106"/>
      <c r="N10" s="106"/>
    </row>
    <row r="11" spans="1:14" hidden="1" x14ac:dyDescent="0.3">
      <c r="A11" s="418" t="s">
        <v>177</v>
      </c>
      <c r="B11" s="418" t="s">
        <v>152</v>
      </c>
      <c r="C11" s="106" t="s">
        <v>178</v>
      </c>
      <c r="D11" s="106" t="s">
        <v>158</v>
      </c>
      <c r="E11" s="348">
        <v>0</v>
      </c>
      <c r="F11" s="348">
        <v>600000</v>
      </c>
      <c r="G11" s="348">
        <v>400000</v>
      </c>
      <c r="H11" s="348">
        <v>0</v>
      </c>
      <c r="I11" s="348">
        <v>0</v>
      </c>
      <c r="J11" s="348">
        <v>1000000</v>
      </c>
      <c r="K11" s="106" t="s">
        <v>159</v>
      </c>
      <c r="L11" s="106" t="str">
        <f>VLOOKUP(A11,'Consolidado-Eletronorte'!BN:BO,2,FALSE)</f>
        <v>Não iniciado</v>
      </c>
      <c r="M11" s="106"/>
      <c r="N11" s="106"/>
    </row>
    <row r="12" spans="1:14" hidden="1" x14ac:dyDescent="0.3">
      <c r="A12" s="417" t="s">
        <v>179</v>
      </c>
      <c r="B12" s="417" t="s">
        <v>152</v>
      </c>
      <c r="C12" s="106" t="s">
        <v>180</v>
      </c>
      <c r="D12" s="106" t="s">
        <v>158</v>
      </c>
      <c r="E12" s="348">
        <v>0</v>
      </c>
      <c r="F12" s="348">
        <v>1000000</v>
      </c>
      <c r="G12" s="348">
        <v>0</v>
      </c>
      <c r="H12" s="348">
        <v>0</v>
      </c>
      <c r="I12" s="348">
        <v>0</v>
      </c>
      <c r="J12" s="348">
        <v>1000000</v>
      </c>
      <c r="K12" s="106" t="s">
        <v>159</v>
      </c>
      <c r="L12" s="106" t="str">
        <f>VLOOKUP(A12,'Consolidado-Eletronorte'!BN:BO,2,FALSE)</f>
        <v>Não iniciado</v>
      </c>
      <c r="M12" s="106"/>
      <c r="N12" s="106"/>
    </row>
    <row r="13" spans="1:14" hidden="1" x14ac:dyDescent="0.3">
      <c r="A13" s="418" t="s">
        <v>181</v>
      </c>
      <c r="B13" s="418" t="s">
        <v>152</v>
      </c>
      <c r="C13" s="106" t="s">
        <v>182</v>
      </c>
      <c r="D13" s="106" t="s">
        <v>154</v>
      </c>
      <c r="E13" s="348">
        <v>0</v>
      </c>
      <c r="F13" s="348">
        <v>800000</v>
      </c>
      <c r="G13" s="348">
        <v>0</v>
      </c>
      <c r="H13" s="348">
        <v>0</v>
      </c>
      <c r="I13" s="348">
        <v>0</v>
      </c>
      <c r="J13" s="348">
        <v>800000</v>
      </c>
      <c r="K13" s="106" t="s">
        <v>165</v>
      </c>
      <c r="L13" s="106" t="str">
        <f>VLOOKUP(A13,'Consolidado-Eletronorte'!BN:BO,2,FALSE)</f>
        <v>Não iniciado</v>
      </c>
      <c r="M13" s="106"/>
      <c r="N13" s="106"/>
    </row>
    <row r="14" spans="1:14" hidden="1" x14ac:dyDescent="0.3">
      <c r="A14" s="417" t="s">
        <v>183</v>
      </c>
      <c r="B14" s="417" t="s">
        <v>152</v>
      </c>
      <c r="C14" s="106" t="s">
        <v>184</v>
      </c>
      <c r="D14" s="106" t="s">
        <v>154</v>
      </c>
      <c r="E14" s="348">
        <v>0</v>
      </c>
      <c r="F14" s="348">
        <v>600000</v>
      </c>
      <c r="G14" s="348">
        <v>0</v>
      </c>
      <c r="H14" s="348">
        <v>0</v>
      </c>
      <c r="I14" s="348">
        <v>0</v>
      </c>
      <c r="J14" s="348">
        <v>600000</v>
      </c>
      <c r="K14" s="106" t="s">
        <v>165</v>
      </c>
      <c r="L14" s="106" t="str">
        <f>VLOOKUP(A14,'Consolidado-Eletronorte'!BN:BO,2,FALSE)</f>
        <v>Não iniciado</v>
      </c>
      <c r="M14" s="106"/>
      <c r="N14" s="106"/>
    </row>
    <row r="15" spans="1:14" hidden="1" x14ac:dyDescent="0.3">
      <c r="A15" s="418" t="s">
        <v>185</v>
      </c>
      <c r="B15" s="418" t="s">
        <v>186</v>
      </c>
      <c r="C15" s="106" t="s">
        <v>187</v>
      </c>
      <c r="D15" s="106" t="s">
        <v>154</v>
      </c>
      <c r="E15" s="348">
        <v>0</v>
      </c>
      <c r="F15" s="348">
        <v>250000</v>
      </c>
      <c r="G15" s="348">
        <v>250000</v>
      </c>
      <c r="H15" s="348">
        <v>0</v>
      </c>
      <c r="I15" s="348">
        <v>0</v>
      </c>
      <c r="J15" s="348">
        <v>500000</v>
      </c>
      <c r="K15" s="106" t="s">
        <v>155</v>
      </c>
      <c r="L15" s="106" t="str">
        <f>VLOOKUP(A15,'Consolidado-Eletronorte'!BN:BO,2,FALSE)</f>
        <v>Não iniciado</v>
      </c>
      <c r="M15" s="106"/>
      <c r="N15" s="106"/>
    </row>
    <row r="16" spans="1:14" hidden="1" x14ac:dyDescent="0.3">
      <c r="A16" s="417" t="s">
        <v>188</v>
      </c>
      <c r="B16" s="417" t="s">
        <v>186</v>
      </c>
      <c r="C16" s="106" t="s">
        <v>189</v>
      </c>
      <c r="D16" s="106" t="s">
        <v>154</v>
      </c>
      <c r="E16" s="348">
        <v>0</v>
      </c>
      <c r="F16" s="348">
        <v>250000</v>
      </c>
      <c r="G16" s="348">
        <v>250000</v>
      </c>
      <c r="H16" s="348">
        <v>0</v>
      </c>
      <c r="I16" s="348">
        <v>0</v>
      </c>
      <c r="J16" s="348">
        <v>500000</v>
      </c>
      <c r="K16" s="106" t="s">
        <v>155</v>
      </c>
      <c r="L16" s="106" t="str">
        <f>VLOOKUP(A16,'Consolidado-Eletronorte'!BN:BO,2,FALSE)</f>
        <v>Não iniciado</v>
      </c>
      <c r="M16" s="106"/>
      <c r="N16" s="106"/>
    </row>
    <row r="17" spans="1:14" hidden="1" x14ac:dyDescent="0.3">
      <c r="A17" s="418" t="s">
        <v>190</v>
      </c>
      <c r="B17" s="418" t="s">
        <v>186</v>
      </c>
      <c r="C17" s="106" t="s">
        <v>191</v>
      </c>
      <c r="D17" s="106" t="s">
        <v>154</v>
      </c>
      <c r="E17" s="348">
        <v>0</v>
      </c>
      <c r="F17" s="348">
        <v>250000</v>
      </c>
      <c r="G17" s="348">
        <v>250000</v>
      </c>
      <c r="H17" s="348">
        <v>0</v>
      </c>
      <c r="I17" s="348">
        <v>0</v>
      </c>
      <c r="J17" s="348">
        <v>500000</v>
      </c>
      <c r="K17" s="106" t="s">
        <v>155</v>
      </c>
      <c r="L17" s="106" t="str">
        <f>VLOOKUP(A17,'Consolidado-Eletronorte'!BN:BO,2,FALSE)</f>
        <v>Não iniciado</v>
      </c>
      <c r="M17" s="106"/>
      <c r="N17" s="106"/>
    </row>
    <row r="18" spans="1:14" hidden="1" x14ac:dyDescent="0.3">
      <c r="A18" s="417" t="s">
        <v>192</v>
      </c>
      <c r="B18" s="417" t="s">
        <v>186</v>
      </c>
      <c r="C18" s="106" t="s">
        <v>193</v>
      </c>
      <c r="D18" s="106" t="s">
        <v>154</v>
      </c>
      <c r="E18" s="348">
        <v>0</v>
      </c>
      <c r="F18" s="348">
        <v>250000</v>
      </c>
      <c r="G18" s="348">
        <v>250000</v>
      </c>
      <c r="H18" s="348">
        <v>0</v>
      </c>
      <c r="I18" s="348">
        <v>0</v>
      </c>
      <c r="J18" s="348">
        <v>500000</v>
      </c>
      <c r="K18" s="106" t="s">
        <v>155</v>
      </c>
      <c r="L18" s="106" t="str">
        <f>VLOOKUP(A18,'Consolidado-Eletronorte'!BN:BO,2,FALSE)</f>
        <v>Não iniciado</v>
      </c>
      <c r="M18" s="106"/>
      <c r="N18" s="106"/>
    </row>
    <row r="19" spans="1:14" hidden="1" x14ac:dyDescent="0.3">
      <c r="A19" s="418" t="s">
        <v>194</v>
      </c>
      <c r="B19" s="418" t="s">
        <v>186</v>
      </c>
      <c r="C19" s="106" t="s">
        <v>195</v>
      </c>
      <c r="D19" s="106" t="s">
        <v>154</v>
      </c>
      <c r="E19" s="348">
        <v>0</v>
      </c>
      <c r="F19" s="348">
        <v>250000</v>
      </c>
      <c r="G19" s="348">
        <v>250000</v>
      </c>
      <c r="H19" s="348">
        <v>0</v>
      </c>
      <c r="I19" s="348">
        <v>0</v>
      </c>
      <c r="J19" s="348">
        <v>500000</v>
      </c>
      <c r="K19" s="106" t="s">
        <v>155</v>
      </c>
      <c r="L19" s="106" t="str">
        <f>VLOOKUP(A19,'Consolidado-Eletronorte'!BN:BO,2,FALSE)</f>
        <v>Não iniciado</v>
      </c>
      <c r="M19" s="106"/>
      <c r="N19" s="106"/>
    </row>
    <row r="20" spans="1:14" hidden="1" x14ac:dyDescent="0.3">
      <c r="A20" s="417" t="s">
        <v>196</v>
      </c>
      <c r="B20" s="417" t="s">
        <v>186</v>
      </c>
      <c r="C20" s="106" t="s">
        <v>197</v>
      </c>
      <c r="D20" s="106" t="s">
        <v>154</v>
      </c>
      <c r="E20" s="348">
        <v>0</v>
      </c>
      <c r="F20" s="348">
        <v>250000</v>
      </c>
      <c r="G20" s="348">
        <v>250000</v>
      </c>
      <c r="H20" s="348">
        <v>0</v>
      </c>
      <c r="I20" s="348">
        <v>0</v>
      </c>
      <c r="J20" s="348">
        <v>500000</v>
      </c>
      <c r="K20" s="106" t="s">
        <v>155</v>
      </c>
      <c r="L20" s="106" t="str">
        <f>VLOOKUP(A20,'Consolidado-Eletronorte'!BN:BO,2,FALSE)</f>
        <v>Não iniciado</v>
      </c>
      <c r="M20" s="106"/>
      <c r="N20" s="106"/>
    </row>
    <row r="21" spans="1:14" hidden="1" x14ac:dyDescent="0.3">
      <c r="A21" s="418" t="s">
        <v>198</v>
      </c>
      <c r="B21" s="418" t="s">
        <v>186</v>
      </c>
      <c r="C21" s="106" t="s">
        <v>199</v>
      </c>
      <c r="D21" s="106" t="s">
        <v>154</v>
      </c>
      <c r="E21" s="348">
        <v>0</v>
      </c>
      <c r="F21" s="348">
        <v>250000</v>
      </c>
      <c r="G21" s="348">
        <v>250000</v>
      </c>
      <c r="H21" s="348">
        <v>0</v>
      </c>
      <c r="I21" s="348">
        <v>0</v>
      </c>
      <c r="J21" s="348">
        <v>500000</v>
      </c>
      <c r="K21" s="106" t="s">
        <v>155</v>
      </c>
      <c r="L21" s="106" t="str">
        <f>VLOOKUP(A21,'Consolidado-Eletronorte'!BN:BO,2,FALSE)</f>
        <v>Não iniciado</v>
      </c>
      <c r="M21" s="106"/>
      <c r="N21" s="106"/>
    </row>
    <row r="22" spans="1:14" hidden="1" x14ac:dyDescent="0.3">
      <c r="A22" s="417" t="s">
        <v>200</v>
      </c>
      <c r="B22" s="417" t="s">
        <v>186</v>
      </c>
      <c r="C22" s="106" t="s">
        <v>201</v>
      </c>
      <c r="D22" s="106" t="s">
        <v>154</v>
      </c>
      <c r="E22" s="348">
        <v>0</v>
      </c>
      <c r="F22" s="348">
        <v>250000</v>
      </c>
      <c r="G22" s="348">
        <v>250000</v>
      </c>
      <c r="H22" s="348">
        <v>0</v>
      </c>
      <c r="I22" s="348">
        <v>0</v>
      </c>
      <c r="J22" s="348">
        <v>500000</v>
      </c>
      <c r="K22" s="106" t="s">
        <v>155</v>
      </c>
      <c r="L22" s="106" t="str">
        <f>VLOOKUP(A22,'Consolidado-Eletronorte'!BN:BO,2,FALSE)</f>
        <v>Não iniciado</v>
      </c>
      <c r="M22" s="106"/>
      <c r="N22" s="106"/>
    </row>
    <row r="23" spans="1:14" hidden="1" x14ac:dyDescent="0.3">
      <c r="A23" s="418" t="s">
        <v>202</v>
      </c>
      <c r="B23" s="418" t="s">
        <v>186</v>
      </c>
      <c r="C23" s="106" t="s">
        <v>203</v>
      </c>
      <c r="D23" s="106" t="s">
        <v>154</v>
      </c>
      <c r="E23" s="348">
        <v>0</v>
      </c>
      <c r="F23" s="348">
        <v>250000</v>
      </c>
      <c r="G23" s="348">
        <v>0</v>
      </c>
      <c r="H23" s="348">
        <v>0</v>
      </c>
      <c r="I23" s="348">
        <v>0</v>
      </c>
      <c r="J23" s="348">
        <v>250000</v>
      </c>
      <c r="K23" s="106" t="s">
        <v>165</v>
      </c>
      <c r="L23" s="106" t="str">
        <f>VLOOKUP(A23,'Consolidado-Eletronorte'!BN:BO,2,FALSE)</f>
        <v>Não iniciado</v>
      </c>
      <c r="M23" s="106"/>
      <c r="N23" s="106"/>
    </row>
    <row r="24" spans="1:14" hidden="1" x14ac:dyDescent="0.3">
      <c r="A24" s="417" t="s">
        <v>204</v>
      </c>
      <c r="B24" s="417" t="s">
        <v>186</v>
      </c>
      <c r="C24" s="106" t="s">
        <v>205</v>
      </c>
      <c r="D24" s="106" t="s">
        <v>154</v>
      </c>
      <c r="E24" s="348">
        <v>0</v>
      </c>
      <c r="F24" s="348">
        <v>100000</v>
      </c>
      <c r="G24" s="348">
        <v>0</v>
      </c>
      <c r="H24" s="348">
        <v>0</v>
      </c>
      <c r="I24" s="348">
        <v>0</v>
      </c>
      <c r="J24" s="348">
        <v>100000</v>
      </c>
      <c r="K24" s="106" t="s">
        <v>155</v>
      </c>
      <c r="L24" s="106" t="str">
        <f>VLOOKUP(A24,'Consolidado-Eletronorte'!BN:BO,2,FALSE)</f>
        <v>Não iniciado</v>
      </c>
      <c r="M24" s="106"/>
      <c r="N24" s="106"/>
    </row>
    <row r="25" spans="1:14" hidden="1" x14ac:dyDescent="0.3">
      <c r="A25" s="418" t="s">
        <v>206</v>
      </c>
      <c r="B25" s="418" t="s">
        <v>152</v>
      </c>
      <c r="C25" s="106" t="s">
        <v>207</v>
      </c>
      <c r="D25" s="106" t="s">
        <v>158</v>
      </c>
      <c r="E25" s="348">
        <v>600000</v>
      </c>
      <c r="F25" s="348">
        <v>500000</v>
      </c>
      <c r="G25" s="348">
        <v>0</v>
      </c>
      <c r="H25" s="348">
        <v>0</v>
      </c>
      <c r="I25" s="348">
        <v>0</v>
      </c>
      <c r="J25" s="348">
        <v>1100000</v>
      </c>
      <c r="K25" s="106" t="s">
        <v>159</v>
      </c>
      <c r="L25" s="106" t="str">
        <f>VLOOKUP(A25,'Consolidado-Eletronorte'!BN:BO,2,FALSE)</f>
        <v>Em negociação</v>
      </c>
      <c r="M25" s="106"/>
      <c r="N25" s="106"/>
    </row>
    <row r="26" spans="1:14" hidden="1" x14ac:dyDescent="0.3">
      <c r="A26" s="417" t="s">
        <v>208</v>
      </c>
      <c r="B26" s="417" t="s">
        <v>186</v>
      </c>
      <c r="C26" s="106" t="s">
        <v>209</v>
      </c>
      <c r="D26" s="106" t="s">
        <v>210</v>
      </c>
      <c r="E26" s="348">
        <v>200000</v>
      </c>
      <c r="F26" s="348">
        <v>0</v>
      </c>
      <c r="G26" s="348">
        <v>0</v>
      </c>
      <c r="H26" s="348">
        <v>0</v>
      </c>
      <c r="I26" s="348">
        <v>0</v>
      </c>
      <c r="J26" s="348">
        <v>200000</v>
      </c>
      <c r="K26" s="106" t="s">
        <v>211</v>
      </c>
      <c r="L26" s="106" t="str">
        <f>VLOOKUP(A26,'Consolidado-Eletronorte'!BN:BO,2,FALSE)</f>
        <v>TR em elaboração</v>
      </c>
      <c r="M26" s="106" t="s">
        <v>161</v>
      </c>
      <c r="N26" s="106" t="s">
        <v>161</v>
      </c>
    </row>
    <row r="27" spans="1:14" hidden="1" x14ac:dyDescent="0.3">
      <c r="A27" s="418" t="s">
        <v>212</v>
      </c>
      <c r="B27" s="418" t="s">
        <v>171</v>
      </c>
      <c r="C27" s="106" t="s">
        <v>213</v>
      </c>
      <c r="D27" s="106" t="s">
        <v>210</v>
      </c>
      <c r="E27" s="348">
        <v>0</v>
      </c>
      <c r="F27" s="348">
        <v>1000000</v>
      </c>
      <c r="G27" s="348">
        <v>3000000</v>
      </c>
      <c r="H27" s="348">
        <v>500000</v>
      </c>
      <c r="I27" s="348">
        <v>0</v>
      </c>
      <c r="J27" s="348">
        <v>4500000</v>
      </c>
      <c r="K27" s="106" t="s">
        <v>165</v>
      </c>
      <c r="L27" s="106" t="str">
        <f>VLOOKUP(A27,'Consolidado-Eletronorte'!BN:BO,2,FALSE)</f>
        <v>Não iniciado</v>
      </c>
      <c r="M27" s="106"/>
      <c r="N27" s="106"/>
    </row>
    <row r="28" spans="1:14" hidden="1" x14ac:dyDescent="0.3">
      <c r="A28" s="417" t="s">
        <v>214</v>
      </c>
      <c r="B28" s="417" t="s">
        <v>171</v>
      </c>
      <c r="C28" s="106" t="s">
        <v>215</v>
      </c>
      <c r="D28" s="106" t="s">
        <v>210</v>
      </c>
      <c r="E28" s="348">
        <v>0</v>
      </c>
      <c r="F28" s="348">
        <v>0</v>
      </c>
      <c r="G28" s="348">
        <v>1000000</v>
      </c>
      <c r="H28" s="348">
        <v>2000000</v>
      </c>
      <c r="I28" s="348">
        <v>1000000</v>
      </c>
      <c r="J28" s="348">
        <v>4000000</v>
      </c>
      <c r="K28" s="106" t="s">
        <v>155</v>
      </c>
      <c r="L28" s="106" t="str">
        <f>VLOOKUP(A28,'Consolidado-Eletronorte'!BN:BO,2,FALSE)</f>
        <v>Não iniciado</v>
      </c>
      <c r="M28" s="106"/>
      <c r="N28" s="106"/>
    </row>
    <row r="29" spans="1:14" hidden="1" x14ac:dyDescent="0.3">
      <c r="A29" s="418" t="s">
        <v>216</v>
      </c>
      <c r="B29" s="418" t="s">
        <v>171</v>
      </c>
      <c r="C29" s="106" t="s">
        <v>217</v>
      </c>
      <c r="D29" s="106" t="s">
        <v>210</v>
      </c>
      <c r="E29" s="348">
        <v>0</v>
      </c>
      <c r="F29" s="348">
        <v>1000000</v>
      </c>
      <c r="G29" s="348">
        <v>500000</v>
      </c>
      <c r="H29" s="348">
        <v>1000000</v>
      </c>
      <c r="I29" s="348">
        <v>0</v>
      </c>
      <c r="J29" s="348">
        <v>2500000</v>
      </c>
      <c r="K29" s="106" t="s">
        <v>155</v>
      </c>
      <c r="L29" s="106" t="str">
        <f>VLOOKUP(A29,'Consolidado-Eletronorte'!BN:BO,2,FALSE)</f>
        <v>Não iniciado</v>
      </c>
      <c r="M29" s="106"/>
      <c r="N29" s="106"/>
    </row>
    <row r="30" spans="1:14" hidden="1" x14ac:dyDescent="0.3">
      <c r="A30" s="417" t="s">
        <v>218</v>
      </c>
      <c r="B30" s="417" t="s">
        <v>152</v>
      </c>
      <c r="C30" s="106" t="s">
        <v>219</v>
      </c>
      <c r="D30" s="106" t="s">
        <v>210</v>
      </c>
      <c r="E30" s="348">
        <v>0</v>
      </c>
      <c r="F30" s="348">
        <v>600000</v>
      </c>
      <c r="G30" s="348">
        <v>300000</v>
      </c>
      <c r="H30" s="348">
        <v>0</v>
      </c>
      <c r="I30" s="348">
        <v>0</v>
      </c>
      <c r="J30" s="348">
        <v>900000</v>
      </c>
      <c r="K30" s="106" t="s">
        <v>155</v>
      </c>
      <c r="L30" s="106" t="str">
        <f>VLOOKUP(A30,'Consolidado-Eletronorte'!BN:BO,2,FALSE)</f>
        <v>Não iniciado</v>
      </c>
      <c r="M30" s="106"/>
      <c r="N30" s="106"/>
    </row>
    <row r="31" spans="1:14" hidden="1" x14ac:dyDescent="0.3">
      <c r="A31" s="418" t="s">
        <v>220</v>
      </c>
      <c r="B31" s="418" t="s">
        <v>186</v>
      </c>
      <c r="C31" s="106" t="s">
        <v>221</v>
      </c>
      <c r="D31" s="106" t="s">
        <v>210</v>
      </c>
      <c r="E31" s="348">
        <v>0</v>
      </c>
      <c r="F31" s="348">
        <v>250000</v>
      </c>
      <c r="G31" s="348">
        <v>250000</v>
      </c>
      <c r="H31" s="348">
        <v>0</v>
      </c>
      <c r="I31" s="348">
        <v>0</v>
      </c>
      <c r="J31" s="348">
        <v>500000</v>
      </c>
      <c r="K31" s="106" t="s">
        <v>165</v>
      </c>
      <c r="L31" s="106" t="str">
        <f>VLOOKUP(A31,'Consolidado-Eletronorte'!BN:BO,2,FALSE)</f>
        <v>Não iniciado</v>
      </c>
      <c r="M31" s="106"/>
      <c r="N31" s="106"/>
    </row>
    <row r="32" spans="1:14" hidden="1" x14ac:dyDescent="0.3">
      <c r="A32" s="417" t="s">
        <v>222</v>
      </c>
      <c r="B32" s="417" t="s">
        <v>147</v>
      </c>
      <c r="C32" s="106" t="s">
        <v>223</v>
      </c>
      <c r="D32" s="106" t="s">
        <v>210</v>
      </c>
      <c r="E32" s="348">
        <v>500000</v>
      </c>
      <c r="F32" s="348">
        <v>3200000</v>
      </c>
      <c r="G32" s="348">
        <v>1800000</v>
      </c>
      <c r="H32" s="348">
        <v>0</v>
      </c>
      <c r="I32" s="348">
        <v>0</v>
      </c>
      <c r="J32" s="348">
        <v>5500000</v>
      </c>
      <c r="K32" s="106" t="s">
        <v>224</v>
      </c>
      <c r="L32" s="106" t="str">
        <f>VLOOKUP(A32,'Consolidado-Eletronorte'!BN:BO,2,FALSE)</f>
        <v>Não iniciado</v>
      </c>
      <c r="M32" s="106" t="s">
        <v>161</v>
      </c>
      <c r="N32" s="106" t="s">
        <v>161</v>
      </c>
    </row>
    <row r="33" spans="1:14" hidden="1" x14ac:dyDescent="0.3">
      <c r="A33" s="418" t="s">
        <v>225</v>
      </c>
      <c r="B33" s="418" t="s">
        <v>147</v>
      </c>
      <c r="C33" s="106" t="s">
        <v>226</v>
      </c>
      <c r="D33" s="106" t="s">
        <v>210</v>
      </c>
      <c r="E33" s="348">
        <v>0</v>
      </c>
      <c r="F33" s="348">
        <v>7500000</v>
      </c>
      <c r="G33" s="348">
        <v>7500000</v>
      </c>
      <c r="H33" s="348">
        <v>0</v>
      </c>
      <c r="I33" s="348">
        <v>0</v>
      </c>
      <c r="J33" s="348">
        <v>15000000</v>
      </c>
      <c r="K33" s="106" t="s">
        <v>224</v>
      </c>
      <c r="L33" s="106" t="str">
        <f>VLOOKUP(A33,'Consolidado-Eletronorte'!BN:BO,2,FALSE)</f>
        <v>Não iniciado</v>
      </c>
      <c r="M33" s="106" t="s">
        <v>161</v>
      </c>
      <c r="N33" s="106" t="s">
        <v>161</v>
      </c>
    </row>
    <row r="34" spans="1:14" hidden="1" x14ac:dyDescent="0.3">
      <c r="A34" s="417" t="s">
        <v>227</v>
      </c>
      <c r="B34" s="417" t="s">
        <v>171</v>
      </c>
      <c r="C34" s="106" t="s">
        <v>228</v>
      </c>
      <c r="D34" s="106" t="s">
        <v>229</v>
      </c>
      <c r="E34" s="348">
        <v>1000000</v>
      </c>
      <c r="F34" s="348">
        <v>2100000</v>
      </c>
      <c r="G34" s="348">
        <v>0</v>
      </c>
      <c r="H34" s="348">
        <v>0</v>
      </c>
      <c r="I34" s="348">
        <v>0</v>
      </c>
      <c r="J34" s="348">
        <v>3100000</v>
      </c>
      <c r="K34" s="106" t="s">
        <v>155</v>
      </c>
      <c r="L34" s="106" t="str">
        <f>VLOOKUP(A34,'Consolidado-Eletronorte'!BN:BO,2,FALSE)</f>
        <v>Em negociação</v>
      </c>
      <c r="M34" s="106"/>
      <c r="N34" s="106"/>
    </row>
    <row r="35" spans="1:14" hidden="1" x14ac:dyDescent="0.3">
      <c r="A35" s="418" t="s">
        <v>230</v>
      </c>
      <c r="B35" s="418" t="s">
        <v>152</v>
      </c>
      <c r="C35" s="106" t="s">
        <v>231</v>
      </c>
      <c r="D35" s="106" t="s">
        <v>229</v>
      </c>
      <c r="E35" s="348">
        <v>577030.00300000003</v>
      </c>
      <c r="F35" s="348">
        <v>900000</v>
      </c>
      <c r="G35" s="348">
        <v>0</v>
      </c>
      <c r="H35" s="348">
        <v>0</v>
      </c>
      <c r="I35" s="348">
        <v>0</v>
      </c>
      <c r="J35" s="348">
        <v>1477030.003</v>
      </c>
      <c r="K35" s="106" t="s">
        <v>211</v>
      </c>
      <c r="L35" s="106" t="e">
        <f>VLOOKUP(A35,'Consolidado-Eletronorte'!BN:BO,2,FALSE)</f>
        <v>#N/A</v>
      </c>
      <c r="M35" s="106" t="s">
        <v>161</v>
      </c>
      <c r="N35" s="106" t="s">
        <v>161</v>
      </c>
    </row>
    <row r="36" spans="1:14" hidden="1" x14ac:dyDescent="0.3">
      <c r="A36" s="417" t="s">
        <v>232</v>
      </c>
      <c r="B36" s="417" t="s">
        <v>147</v>
      </c>
      <c r="C36" s="106" t="s">
        <v>233</v>
      </c>
      <c r="D36" s="106" t="s">
        <v>229</v>
      </c>
      <c r="E36" s="348">
        <v>3000000</v>
      </c>
      <c r="F36" s="348">
        <v>1500000</v>
      </c>
      <c r="G36" s="348">
        <v>2000000</v>
      </c>
      <c r="H36" s="348">
        <v>0</v>
      </c>
      <c r="I36" s="348">
        <v>0</v>
      </c>
      <c r="J36" s="348">
        <v>6500000</v>
      </c>
      <c r="K36" s="106" t="s">
        <v>155</v>
      </c>
      <c r="L36" s="106" t="str">
        <f>VLOOKUP(A36,'Consolidado-Eletronorte'!BN:BO,2,FALSE)</f>
        <v>Em negociação</v>
      </c>
      <c r="M36" s="106" t="s">
        <v>234</v>
      </c>
      <c r="N36" s="106" t="s">
        <v>234</v>
      </c>
    </row>
    <row r="37" spans="1:14" hidden="1" x14ac:dyDescent="0.3">
      <c r="A37" s="418" t="s">
        <v>235</v>
      </c>
      <c r="B37" s="418" t="s">
        <v>171</v>
      </c>
      <c r="C37" s="106" t="s">
        <v>236</v>
      </c>
      <c r="D37" s="106" t="s">
        <v>229</v>
      </c>
      <c r="E37" s="348">
        <v>3000000</v>
      </c>
      <c r="F37" s="348">
        <v>0</v>
      </c>
      <c r="G37" s="348">
        <v>0</v>
      </c>
      <c r="H37" s="348">
        <v>0</v>
      </c>
      <c r="I37" s="348">
        <v>0</v>
      </c>
      <c r="J37" s="348">
        <v>3000000</v>
      </c>
      <c r="K37" s="106" t="s">
        <v>165</v>
      </c>
      <c r="L37" s="106" t="str">
        <f>VLOOKUP(A37,'Consolidado-Eletronorte'!BN:BO,2,FALSE)</f>
        <v>Contratado</v>
      </c>
      <c r="M37" s="106"/>
      <c r="N37" s="106"/>
    </row>
    <row r="38" spans="1:14" hidden="1" x14ac:dyDescent="0.3">
      <c r="A38" s="417" t="s">
        <v>237</v>
      </c>
      <c r="B38" s="417" t="s">
        <v>171</v>
      </c>
      <c r="C38" s="106" t="s">
        <v>238</v>
      </c>
      <c r="D38" s="106" t="s">
        <v>229</v>
      </c>
      <c r="E38" s="348">
        <v>0</v>
      </c>
      <c r="F38" s="348">
        <v>3600000</v>
      </c>
      <c r="G38" s="348">
        <v>0</v>
      </c>
      <c r="H38" s="348">
        <v>0</v>
      </c>
      <c r="I38" s="348">
        <v>0</v>
      </c>
      <c r="J38" s="348">
        <v>3600000</v>
      </c>
      <c r="K38" s="106" t="e">
        <v>#N/A</v>
      </c>
      <c r="L38" s="106" t="str">
        <f>VLOOKUP(A38,'Consolidado-Eletronorte'!BN:BO,2,FALSE)</f>
        <v>Não iniciado</v>
      </c>
      <c r="M38" s="106"/>
      <c r="N38" s="106"/>
    </row>
    <row r="39" spans="1:14" hidden="1" x14ac:dyDescent="0.3">
      <c r="A39" s="418" t="s">
        <v>239</v>
      </c>
      <c r="B39" s="418" t="s">
        <v>171</v>
      </c>
      <c r="C39" s="106" t="s">
        <v>240</v>
      </c>
      <c r="D39" s="106" t="s">
        <v>229</v>
      </c>
      <c r="E39" s="348">
        <v>0</v>
      </c>
      <c r="F39" s="348">
        <v>2000000</v>
      </c>
      <c r="G39" s="348">
        <v>1500000</v>
      </c>
      <c r="H39" s="348">
        <v>0</v>
      </c>
      <c r="I39" s="348">
        <v>0</v>
      </c>
      <c r="J39" s="348">
        <v>3500000</v>
      </c>
      <c r="K39" s="106" t="s">
        <v>155</v>
      </c>
      <c r="L39" s="106" t="str">
        <f>VLOOKUP(A39,'Consolidado-Eletronorte'!BN:BO,2,FALSE)</f>
        <v>Não iniciado</v>
      </c>
      <c r="M39" s="106"/>
      <c r="N39" s="106"/>
    </row>
    <row r="40" spans="1:14" hidden="1" x14ac:dyDescent="0.3">
      <c r="A40" s="417" t="s">
        <v>241</v>
      </c>
      <c r="B40" s="417" t="s">
        <v>152</v>
      </c>
      <c r="C40" s="106" t="s">
        <v>242</v>
      </c>
      <c r="D40" s="106" t="s">
        <v>229</v>
      </c>
      <c r="E40" s="348">
        <v>0</v>
      </c>
      <c r="F40" s="348">
        <v>1800000</v>
      </c>
      <c r="G40" s="348">
        <v>0</v>
      </c>
      <c r="H40" s="348">
        <v>0</v>
      </c>
      <c r="I40" s="348">
        <v>0</v>
      </c>
      <c r="J40" s="348">
        <v>1800000</v>
      </c>
      <c r="K40" s="106" t="e">
        <v>#N/A</v>
      </c>
      <c r="L40" s="106" t="str">
        <f>VLOOKUP(A40,'Consolidado-Eletronorte'!BN:BO,2,FALSE)</f>
        <v>Não iniciado</v>
      </c>
      <c r="M40" s="106"/>
      <c r="N40" s="106"/>
    </row>
    <row r="41" spans="1:14" hidden="1" x14ac:dyDescent="0.3">
      <c r="A41" s="418" t="s">
        <v>243</v>
      </c>
      <c r="B41" s="418" t="s">
        <v>152</v>
      </c>
      <c r="C41" s="106" t="s">
        <v>244</v>
      </c>
      <c r="D41" s="106" t="s">
        <v>229</v>
      </c>
      <c r="E41" s="348">
        <v>0</v>
      </c>
      <c r="F41" s="348">
        <v>600000</v>
      </c>
      <c r="G41" s="348">
        <v>600000</v>
      </c>
      <c r="H41" s="348">
        <v>0</v>
      </c>
      <c r="I41" s="348">
        <v>0</v>
      </c>
      <c r="J41" s="348">
        <v>1200000</v>
      </c>
      <c r="K41" s="106" t="s">
        <v>155</v>
      </c>
      <c r="L41" s="106" t="str">
        <f>VLOOKUP(A41,'Consolidado-Eletronorte'!BN:BO,2,FALSE)</f>
        <v>Não iniciado</v>
      </c>
      <c r="M41" s="106"/>
      <c r="N41" s="106"/>
    </row>
    <row r="42" spans="1:14" hidden="1" x14ac:dyDescent="0.3">
      <c r="A42" s="417" t="s">
        <v>245</v>
      </c>
      <c r="B42" s="417" t="s">
        <v>186</v>
      </c>
      <c r="C42" s="106" t="s">
        <v>246</v>
      </c>
      <c r="D42" s="106" t="s">
        <v>229</v>
      </c>
      <c r="E42" s="348">
        <v>0</v>
      </c>
      <c r="F42" s="348">
        <v>500000</v>
      </c>
      <c r="G42" s="348">
        <v>0</v>
      </c>
      <c r="H42" s="348">
        <v>0</v>
      </c>
      <c r="I42" s="348">
        <v>0</v>
      </c>
      <c r="J42" s="348">
        <v>500000</v>
      </c>
      <c r="K42" s="106" t="s">
        <v>247</v>
      </c>
      <c r="L42" s="106" t="str">
        <f>VLOOKUP(A42,'Consolidado-Eletronorte'!BN:BO,2,FALSE)</f>
        <v>Não iniciado</v>
      </c>
      <c r="M42" s="106"/>
      <c r="N42" s="106"/>
    </row>
    <row r="43" spans="1:14" hidden="1" x14ac:dyDescent="0.3">
      <c r="A43" s="418" t="s">
        <v>248</v>
      </c>
      <c r="B43" s="418" t="s">
        <v>186</v>
      </c>
      <c r="C43" s="106" t="s">
        <v>249</v>
      </c>
      <c r="D43" s="106" t="s">
        <v>229</v>
      </c>
      <c r="E43" s="348">
        <v>0</v>
      </c>
      <c r="F43" s="348">
        <v>250000</v>
      </c>
      <c r="G43" s="348">
        <v>0</v>
      </c>
      <c r="H43" s="348">
        <v>0</v>
      </c>
      <c r="I43" s="348">
        <v>0</v>
      </c>
      <c r="J43" s="348">
        <v>250000</v>
      </c>
      <c r="K43" s="106" t="s">
        <v>155</v>
      </c>
      <c r="L43" s="106" t="str">
        <f>VLOOKUP(A43,'Consolidado-Eletronorte'!BN:BO,2,FALSE)</f>
        <v>Não iniciado</v>
      </c>
      <c r="M43" s="106"/>
      <c r="N43" s="106"/>
    </row>
    <row r="44" spans="1:14" hidden="1" x14ac:dyDescent="0.3">
      <c r="A44" s="417" t="s">
        <v>250</v>
      </c>
      <c r="B44" s="417" t="s">
        <v>171</v>
      </c>
      <c r="C44" s="106" t="s">
        <v>251</v>
      </c>
      <c r="D44" s="106" t="s">
        <v>229</v>
      </c>
      <c r="E44" s="348">
        <v>0</v>
      </c>
      <c r="F44" s="348">
        <v>3000000</v>
      </c>
      <c r="G44" s="348">
        <v>0</v>
      </c>
      <c r="H44" s="348">
        <v>0</v>
      </c>
      <c r="I44" s="348">
        <v>0</v>
      </c>
      <c r="J44" s="348">
        <v>3000000</v>
      </c>
      <c r="K44" s="106" t="s">
        <v>247</v>
      </c>
      <c r="L44" s="106" t="str">
        <f>VLOOKUP(A44,'Consolidado-Eletronorte'!BN:BO,2,FALSE)</f>
        <v>Não iniciado</v>
      </c>
      <c r="M44" s="106"/>
      <c r="N44" s="106"/>
    </row>
    <row r="45" spans="1:14" hidden="1" x14ac:dyDescent="0.3">
      <c r="A45" s="418" t="s">
        <v>252</v>
      </c>
      <c r="B45" s="418" t="s">
        <v>171</v>
      </c>
      <c r="C45" s="106" t="s">
        <v>253</v>
      </c>
      <c r="D45" s="106" t="s">
        <v>229</v>
      </c>
      <c r="E45" s="348">
        <v>0</v>
      </c>
      <c r="F45" s="348">
        <v>3000000</v>
      </c>
      <c r="G45" s="348">
        <v>0</v>
      </c>
      <c r="H45" s="348">
        <v>0</v>
      </c>
      <c r="I45" s="348">
        <v>0</v>
      </c>
      <c r="J45" s="348">
        <v>3000000</v>
      </c>
      <c r="K45" s="106" t="s">
        <v>254</v>
      </c>
      <c r="L45" s="106" t="str">
        <f>VLOOKUP(A45,'Consolidado-Eletronorte'!BN:BO,2,FALSE)</f>
        <v>Não iniciado</v>
      </c>
      <c r="M45" s="106"/>
      <c r="N45" s="106"/>
    </row>
    <row r="46" spans="1:14" hidden="1" x14ac:dyDescent="0.3">
      <c r="A46" s="417" t="s">
        <v>255</v>
      </c>
      <c r="B46" s="417" t="s">
        <v>152</v>
      </c>
      <c r="C46" s="106" t="s">
        <v>256</v>
      </c>
      <c r="D46" s="106" t="s">
        <v>229</v>
      </c>
      <c r="E46" s="348">
        <v>0</v>
      </c>
      <c r="F46" s="348">
        <v>1100000</v>
      </c>
      <c r="G46" s="348">
        <v>0</v>
      </c>
      <c r="H46" s="348">
        <v>0</v>
      </c>
      <c r="I46" s="348">
        <v>0</v>
      </c>
      <c r="J46" s="348">
        <v>1100000</v>
      </c>
      <c r="K46" s="106" t="s">
        <v>254</v>
      </c>
      <c r="L46" s="106" t="str">
        <f>VLOOKUP(A46,'Consolidado-Eletronorte'!BN:BO,2,FALSE)</f>
        <v>Não iniciado</v>
      </c>
      <c r="M46" s="106"/>
      <c r="N46" s="106"/>
    </row>
    <row r="47" spans="1:14" hidden="1" x14ac:dyDescent="0.3">
      <c r="A47" s="418" t="s">
        <v>257</v>
      </c>
      <c r="B47" s="418" t="s">
        <v>186</v>
      </c>
      <c r="C47" s="106" t="s">
        <v>258</v>
      </c>
      <c r="D47" s="106" t="s">
        <v>229</v>
      </c>
      <c r="E47" s="348">
        <v>0</v>
      </c>
      <c r="F47" s="348">
        <v>500000</v>
      </c>
      <c r="G47" s="348">
        <v>0</v>
      </c>
      <c r="H47" s="348">
        <v>0</v>
      </c>
      <c r="I47" s="348">
        <v>0</v>
      </c>
      <c r="J47" s="348">
        <v>500000</v>
      </c>
      <c r="K47" s="106" t="s">
        <v>247</v>
      </c>
      <c r="L47" s="106" t="str">
        <f>VLOOKUP(A47,'Consolidado-Eletronorte'!BN:BO,2,FALSE)</f>
        <v>Não iniciado</v>
      </c>
      <c r="M47" s="106"/>
      <c r="N47" s="106"/>
    </row>
    <row r="48" spans="1:14" hidden="1" x14ac:dyDescent="0.3">
      <c r="A48" s="417" t="s">
        <v>259</v>
      </c>
      <c r="B48" s="417" t="s">
        <v>147</v>
      </c>
      <c r="C48" s="106" t="s">
        <v>260</v>
      </c>
      <c r="D48" s="106" t="s">
        <v>229</v>
      </c>
      <c r="E48" s="348">
        <v>2262000</v>
      </c>
      <c r="F48" s="348">
        <v>2790000</v>
      </c>
      <c r="G48" s="348">
        <v>678000</v>
      </c>
      <c r="H48" s="348">
        <v>0</v>
      </c>
      <c r="I48" s="348">
        <v>0</v>
      </c>
      <c r="J48" s="348">
        <v>5730000</v>
      </c>
      <c r="K48" s="106" t="s">
        <v>261</v>
      </c>
      <c r="L48" s="106" t="str">
        <f>VLOOKUP(A48,'Consolidado-Eletronorte'!BN:BO,2,FALSE)</f>
        <v>TR em elaboração</v>
      </c>
      <c r="M48" s="106" t="s">
        <v>161</v>
      </c>
      <c r="N48" s="106" t="s">
        <v>161</v>
      </c>
    </row>
    <row r="49" spans="1:14" hidden="1" x14ac:dyDescent="0.3">
      <c r="A49" s="418" t="s">
        <v>262</v>
      </c>
      <c r="B49" s="418" t="s">
        <v>152</v>
      </c>
      <c r="C49" s="106" t="s">
        <v>263</v>
      </c>
      <c r="D49" s="106" t="s">
        <v>229</v>
      </c>
      <c r="E49" s="348">
        <v>0</v>
      </c>
      <c r="F49" s="348">
        <v>1000000</v>
      </c>
      <c r="G49" s="348">
        <v>0</v>
      </c>
      <c r="H49" s="348">
        <v>0</v>
      </c>
      <c r="I49" s="348">
        <v>0</v>
      </c>
      <c r="J49" s="348">
        <v>1000000</v>
      </c>
      <c r="K49" s="106" t="s">
        <v>261</v>
      </c>
      <c r="L49" s="106" t="str">
        <f>VLOOKUP(A49,'Consolidado-Eletronorte'!BN:BO,2,FALSE)</f>
        <v>TR em elaboração</v>
      </c>
      <c r="M49" s="106"/>
      <c r="N49" s="106"/>
    </row>
    <row r="50" spans="1:14" hidden="1" x14ac:dyDescent="0.3">
      <c r="A50" s="417" t="s">
        <v>264</v>
      </c>
      <c r="B50" s="417" t="s">
        <v>171</v>
      </c>
      <c r="C50" s="106" t="s">
        <v>265</v>
      </c>
      <c r="D50" s="106" t="s">
        <v>229</v>
      </c>
      <c r="E50" s="348">
        <v>1000000</v>
      </c>
      <c r="F50" s="348">
        <v>1000000</v>
      </c>
      <c r="G50" s="348">
        <v>700000</v>
      </c>
      <c r="H50" s="348">
        <v>0</v>
      </c>
      <c r="I50" s="348">
        <v>0</v>
      </c>
      <c r="J50" s="348">
        <v>2700000</v>
      </c>
      <c r="K50" s="106" t="s">
        <v>155</v>
      </c>
      <c r="L50" s="106" t="str">
        <f>VLOOKUP(A50,'Consolidado-Eletronorte'!BN:BO,2,FALSE)</f>
        <v>Em negociação</v>
      </c>
      <c r="M50" s="106"/>
      <c r="N50" s="106"/>
    </row>
    <row r="51" spans="1:14" hidden="1" x14ac:dyDescent="0.3">
      <c r="A51" s="418" t="s">
        <v>266</v>
      </c>
      <c r="B51" s="418" t="s">
        <v>152</v>
      </c>
      <c r="C51" s="106" t="s">
        <v>267</v>
      </c>
      <c r="D51" s="106" t="s">
        <v>229</v>
      </c>
      <c r="E51" s="348">
        <v>600000</v>
      </c>
      <c r="F51" s="348">
        <v>1200000</v>
      </c>
      <c r="G51" s="348">
        <v>0</v>
      </c>
      <c r="H51" s="348">
        <v>0</v>
      </c>
      <c r="I51" s="348">
        <v>0</v>
      </c>
      <c r="J51" s="348">
        <v>1800000</v>
      </c>
      <c r="K51" s="106" t="s">
        <v>155</v>
      </c>
      <c r="L51" s="106" t="str">
        <f>VLOOKUP(A51,'Consolidado-Eletronorte'!BN:BO,2,FALSE)</f>
        <v>Em negociação</v>
      </c>
      <c r="M51" s="106" t="s">
        <v>234</v>
      </c>
      <c r="N51" s="106" t="s">
        <v>234</v>
      </c>
    </row>
    <row r="52" spans="1:14" hidden="1" x14ac:dyDescent="0.3">
      <c r="A52" s="417" t="s">
        <v>268</v>
      </c>
      <c r="B52" s="417" t="s">
        <v>152</v>
      </c>
      <c r="C52" s="106" t="s">
        <v>269</v>
      </c>
      <c r="D52" s="106" t="s">
        <v>229</v>
      </c>
      <c r="E52" s="348">
        <v>600000</v>
      </c>
      <c r="F52" s="348">
        <v>600000</v>
      </c>
      <c r="G52" s="348">
        <v>0</v>
      </c>
      <c r="H52" s="348">
        <v>0</v>
      </c>
      <c r="I52" s="348">
        <v>0</v>
      </c>
      <c r="J52" s="348">
        <v>1200000</v>
      </c>
      <c r="K52" s="106" t="s">
        <v>247</v>
      </c>
      <c r="L52" s="106" t="str">
        <f>VLOOKUP(A52,'Consolidado-Eletronorte'!BN:BO,2,FALSE)</f>
        <v>Em negociação</v>
      </c>
      <c r="M52" s="106"/>
      <c r="N52" s="106"/>
    </row>
    <row r="53" spans="1:14" hidden="1" x14ac:dyDescent="0.3">
      <c r="A53" s="418" t="s">
        <v>270</v>
      </c>
      <c r="B53" s="418" t="s">
        <v>152</v>
      </c>
      <c r="C53" s="106" t="s">
        <v>271</v>
      </c>
      <c r="D53" s="106" t="s">
        <v>229</v>
      </c>
      <c r="E53" s="348">
        <v>600000</v>
      </c>
      <c r="F53" s="348">
        <v>0</v>
      </c>
      <c r="G53" s="348">
        <v>0</v>
      </c>
      <c r="H53" s="348">
        <v>0</v>
      </c>
      <c r="I53" s="348">
        <v>0</v>
      </c>
      <c r="J53" s="348">
        <v>600000</v>
      </c>
      <c r="K53" s="106" t="s">
        <v>247</v>
      </c>
      <c r="L53" s="106" t="str">
        <f>VLOOKUP(A53,'Consolidado-Eletronorte'!BN:BO,2,FALSE)</f>
        <v>Contratado</v>
      </c>
      <c r="M53" s="106"/>
      <c r="N53" s="106"/>
    </row>
    <row r="54" spans="1:14" hidden="1" x14ac:dyDescent="0.3">
      <c r="A54" s="417" t="s">
        <v>272</v>
      </c>
      <c r="B54" s="417" t="s">
        <v>152</v>
      </c>
      <c r="C54" s="106" t="s">
        <v>273</v>
      </c>
      <c r="D54" s="106" t="s">
        <v>229</v>
      </c>
      <c r="E54" s="348">
        <v>100000</v>
      </c>
      <c r="F54" s="348">
        <v>500000</v>
      </c>
      <c r="G54" s="348">
        <v>0</v>
      </c>
      <c r="H54" s="348">
        <v>0</v>
      </c>
      <c r="I54" s="348">
        <v>0</v>
      </c>
      <c r="J54" s="348">
        <v>600000</v>
      </c>
      <c r="K54" s="106" t="s">
        <v>247</v>
      </c>
      <c r="L54" s="106" t="str">
        <f>VLOOKUP(A54,'Consolidado-Eletronorte'!BN:BO,2,FALSE)</f>
        <v>RC aprovada</v>
      </c>
      <c r="M54" s="106"/>
      <c r="N54" s="106"/>
    </row>
    <row r="55" spans="1:14" hidden="1" x14ac:dyDescent="0.3">
      <c r="A55" s="418" t="s">
        <v>274</v>
      </c>
      <c r="B55" s="418" t="s">
        <v>163</v>
      </c>
      <c r="C55" s="106" t="s">
        <v>275</v>
      </c>
      <c r="D55" s="106" t="s">
        <v>276</v>
      </c>
      <c r="E55" s="348">
        <v>4000000</v>
      </c>
      <c r="F55" s="348">
        <v>23500000</v>
      </c>
      <c r="G55" s="348">
        <v>0</v>
      </c>
      <c r="H55" s="348">
        <v>0</v>
      </c>
      <c r="I55" s="348">
        <v>0</v>
      </c>
      <c r="J55" s="348">
        <v>27500000</v>
      </c>
      <c r="K55" s="106" t="s">
        <v>165</v>
      </c>
      <c r="L55" s="106" t="str">
        <f>VLOOKUP(A55,'Consolidado-Eletronorte'!BN:BO,2,FALSE)</f>
        <v>Em negociação</v>
      </c>
      <c r="M55" s="106" t="s">
        <v>161</v>
      </c>
      <c r="N55" s="106" t="s">
        <v>161</v>
      </c>
    </row>
    <row r="56" spans="1:14" hidden="1" x14ac:dyDescent="0.3">
      <c r="A56" s="417" t="s">
        <v>277</v>
      </c>
      <c r="B56" s="417" t="s">
        <v>147</v>
      </c>
      <c r="C56" s="106" t="s">
        <v>278</v>
      </c>
      <c r="D56" s="106" t="s">
        <v>276</v>
      </c>
      <c r="E56" s="348">
        <v>0</v>
      </c>
      <c r="F56" s="348">
        <v>6000000</v>
      </c>
      <c r="G56" s="348">
        <v>6000000</v>
      </c>
      <c r="H56" s="348">
        <v>0</v>
      </c>
      <c r="I56" s="348">
        <v>0</v>
      </c>
      <c r="J56" s="348">
        <v>12000000</v>
      </c>
      <c r="K56" s="106" t="s">
        <v>279</v>
      </c>
      <c r="L56" s="106" t="str">
        <f>VLOOKUP(A56,'Consolidado-Eletronorte'!BN:BO,2,FALSE)</f>
        <v>TR em elaboração</v>
      </c>
      <c r="M56" s="106" t="s">
        <v>234</v>
      </c>
      <c r="N56" s="106" t="s">
        <v>234</v>
      </c>
    </row>
    <row r="57" spans="1:14" hidden="1" x14ac:dyDescent="0.3">
      <c r="A57" s="418" t="s">
        <v>280</v>
      </c>
      <c r="B57" s="418" t="s">
        <v>152</v>
      </c>
      <c r="C57" s="106" t="s">
        <v>281</v>
      </c>
      <c r="D57" s="106" t="s">
        <v>276</v>
      </c>
      <c r="E57" s="348">
        <v>0</v>
      </c>
      <c r="F57" s="348">
        <v>1750000</v>
      </c>
      <c r="G57" s="348">
        <v>0</v>
      </c>
      <c r="H57" s="348">
        <v>0</v>
      </c>
      <c r="I57" s="348">
        <v>0</v>
      </c>
      <c r="J57" s="348">
        <v>1750000</v>
      </c>
      <c r="K57" s="106" t="s">
        <v>211</v>
      </c>
      <c r="L57" s="106" t="str">
        <f>VLOOKUP(A57,'Consolidado-Eletronorte'!BN:BO,2,FALSE)</f>
        <v>TR em elaboração</v>
      </c>
      <c r="M57" s="106" t="s">
        <v>234</v>
      </c>
      <c r="N57" s="106" t="s">
        <v>234</v>
      </c>
    </row>
    <row r="58" spans="1:14" hidden="1" x14ac:dyDescent="0.3">
      <c r="A58" s="417" t="s">
        <v>282</v>
      </c>
      <c r="B58" s="417" t="s">
        <v>152</v>
      </c>
      <c r="C58" s="106" t="s">
        <v>283</v>
      </c>
      <c r="D58" s="106" t="s">
        <v>276</v>
      </c>
      <c r="E58" s="348">
        <v>0</v>
      </c>
      <c r="F58" s="348">
        <v>1750000</v>
      </c>
      <c r="G58" s="348">
        <v>0</v>
      </c>
      <c r="H58" s="348">
        <v>0</v>
      </c>
      <c r="I58" s="348">
        <v>0</v>
      </c>
      <c r="J58" s="348">
        <v>1750000</v>
      </c>
      <c r="K58" s="106" t="s">
        <v>211</v>
      </c>
      <c r="L58" s="106" t="str">
        <f>VLOOKUP(A58,'Consolidado-Eletronorte'!BN:BO,2,FALSE)</f>
        <v>TR em elaboração</v>
      </c>
      <c r="M58" s="106" t="s">
        <v>234</v>
      </c>
      <c r="N58" s="106" t="s">
        <v>234</v>
      </c>
    </row>
    <row r="59" spans="1:14" hidden="1" x14ac:dyDescent="0.3">
      <c r="A59" s="418" t="s">
        <v>284</v>
      </c>
      <c r="B59" s="418" t="s">
        <v>186</v>
      </c>
      <c r="C59" s="106" t="s">
        <v>285</v>
      </c>
      <c r="D59" s="106" t="s">
        <v>276</v>
      </c>
      <c r="E59" s="348">
        <v>0</v>
      </c>
      <c r="F59" s="348">
        <v>250000</v>
      </c>
      <c r="G59" s="348">
        <v>250000</v>
      </c>
      <c r="H59" s="348">
        <v>0</v>
      </c>
      <c r="I59" s="348">
        <v>0</v>
      </c>
      <c r="J59" s="348">
        <v>500000</v>
      </c>
      <c r="K59" s="106" t="s">
        <v>165</v>
      </c>
      <c r="L59" s="106" t="str">
        <f>VLOOKUP(A59,'Consolidado-Eletronorte'!BN:BO,2,FALSE)</f>
        <v>Não iniciado</v>
      </c>
      <c r="M59" s="106"/>
      <c r="N59" s="106"/>
    </row>
    <row r="60" spans="1:14" hidden="1" x14ac:dyDescent="0.3">
      <c r="A60" s="417" t="s">
        <v>286</v>
      </c>
      <c r="B60" s="417" t="s">
        <v>186</v>
      </c>
      <c r="C60" s="106" t="s">
        <v>287</v>
      </c>
      <c r="D60" s="106" t="s">
        <v>276</v>
      </c>
      <c r="E60" s="348">
        <v>0</v>
      </c>
      <c r="F60" s="348">
        <v>250000</v>
      </c>
      <c r="G60" s="348">
        <v>250000</v>
      </c>
      <c r="H60" s="348">
        <v>0</v>
      </c>
      <c r="I60" s="348">
        <v>0</v>
      </c>
      <c r="J60" s="348">
        <v>500000</v>
      </c>
      <c r="K60" s="106" t="s">
        <v>155</v>
      </c>
      <c r="L60" s="106" t="str">
        <f>VLOOKUP(A60,'Consolidado-Eletronorte'!BN:BO,2,FALSE)</f>
        <v>Não iniciado</v>
      </c>
      <c r="M60" s="106"/>
      <c r="N60" s="106"/>
    </row>
    <row r="61" spans="1:14" hidden="1" x14ac:dyDescent="0.3">
      <c r="A61" s="418" t="s">
        <v>288</v>
      </c>
      <c r="B61" s="418" t="s">
        <v>186</v>
      </c>
      <c r="C61" s="106" t="s">
        <v>289</v>
      </c>
      <c r="D61" s="106" t="s">
        <v>276</v>
      </c>
      <c r="E61" s="348">
        <v>0</v>
      </c>
      <c r="F61" s="348">
        <v>250000</v>
      </c>
      <c r="G61" s="348">
        <v>250000</v>
      </c>
      <c r="H61" s="348">
        <v>0</v>
      </c>
      <c r="I61" s="348">
        <v>0</v>
      </c>
      <c r="J61" s="348">
        <v>500000</v>
      </c>
      <c r="K61" s="106" t="s">
        <v>155</v>
      </c>
      <c r="L61" s="106" t="str">
        <f>VLOOKUP(A61,'Consolidado-Eletronorte'!BN:BO,2,FALSE)</f>
        <v>Não iniciado</v>
      </c>
      <c r="M61" s="106"/>
      <c r="N61" s="106"/>
    </row>
    <row r="62" spans="1:14" hidden="1" x14ac:dyDescent="0.3">
      <c r="A62" s="417" t="s">
        <v>290</v>
      </c>
      <c r="B62" s="417" t="s">
        <v>186</v>
      </c>
      <c r="C62" s="106" t="s">
        <v>291</v>
      </c>
      <c r="D62" s="106" t="s">
        <v>276</v>
      </c>
      <c r="E62" s="348">
        <v>0</v>
      </c>
      <c r="F62" s="348">
        <v>250000</v>
      </c>
      <c r="G62" s="348">
        <v>250000</v>
      </c>
      <c r="H62" s="348">
        <v>0</v>
      </c>
      <c r="I62" s="348">
        <v>0</v>
      </c>
      <c r="J62" s="348">
        <v>500000</v>
      </c>
      <c r="K62" s="106" t="s">
        <v>155</v>
      </c>
      <c r="L62" s="106" t="str">
        <f>VLOOKUP(A62,'Consolidado-Eletronorte'!BN:BO,2,FALSE)</f>
        <v>Não iniciado</v>
      </c>
      <c r="M62" s="106"/>
      <c r="N62" s="106"/>
    </row>
    <row r="63" spans="1:14" hidden="1" x14ac:dyDescent="0.3">
      <c r="A63" s="418" t="s">
        <v>292</v>
      </c>
      <c r="B63" s="418" t="s">
        <v>186</v>
      </c>
      <c r="C63" s="106" t="s">
        <v>293</v>
      </c>
      <c r="D63" s="106" t="s">
        <v>276</v>
      </c>
      <c r="E63" s="348">
        <v>0</v>
      </c>
      <c r="F63" s="348">
        <v>250000</v>
      </c>
      <c r="G63" s="348">
        <v>250000</v>
      </c>
      <c r="H63" s="348">
        <v>0</v>
      </c>
      <c r="I63" s="348">
        <v>0</v>
      </c>
      <c r="J63" s="348">
        <v>500000</v>
      </c>
      <c r="K63" s="106" t="s">
        <v>155</v>
      </c>
      <c r="L63" s="106" t="str">
        <f>VLOOKUP(A63,'Consolidado-Eletronorte'!BN:BO,2,FALSE)</f>
        <v>Não iniciado</v>
      </c>
      <c r="M63" s="106"/>
      <c r="N63" s="106"/>
    </row>
    <row r="64" spans="1:14" hidden="1" x14ac:dyDescent="0.3">
      <c r="A64" s="417" t="s">
        <v>294</v>
      </c>
      <c r="B64" s="417" t="s">
        <v>186</v>
      </c>
      <c r="C64" s="106" t="s">
        <v>295</v>
      </c>
      <c r="D64" s="106" t="s">
        <v>276</v>
      </c>
      <c r="E64" s="348">
        <v>0</v>
      </c>
      <c r="F64" s="348">
        <v>250000</v>
      </c>
      <c r="G64" s="348">
        <v>250000</v>
      </c>
      <c r="H64" s="348">
        <v>0</v>
      </c>
      <c r="I64" s="348">
        <v>0</v>
      </c>
      <c r="J64" s="348">
        <v>500000</v>
      </c>
      <c r="K64" s="106" t="s">
        <v>155</v>
      </c>
      <c r="L64" s="106" t="str">
        <f>VLOOKUP(A64,'Consolidado-Eletronorte'!BN:BO,2,FALSE)</f>
        <v>Não iniciado</v>
      </c>
      <c r="M64" s="106"/>
      <c r="N64" s="106"/>
    </row>
    <row r="65" spans="1:14" hidden="1" x14ac:dyDescent="0.3">
      <c r="A65" s="418" t="s">
        <v>296</v>
      </c>
      <c r="B65" s="418" t="s">
        <v>186</v>
      </c>
      <c r="C65" s="106" t="s">
        <v>297</v>
      </c>
      <c r="D65" s="106" t="s">
        <v>276</v>
      </c>
      <c r="E65" s="348">
        <v>0</v>
      </c>
      <c r="F65" s="348">
        <v>250000</v>
      </c>
      <c r="G65" s="348">
        <v>250000</v>
      </c>
      <c r="H65" s="348">
        <v>0</v>
      </c>
      <c r="I65" s="348">
        <v>0</v>
      </c>
      <c r="J65" s="348">
        <v>500000</v>
      </c>
      <c r="K65" s="106" t="s">
        <v>155</v>
      </c>
      <c r="L65" s="106" t="str">
        <f>VLOOKUP(A65,'Consolidado-Eletronorte'!BN:BO,2,FALSE)</f>
        <v>Não iniciado</v>
      </c>
      <c r="M65" s="106"/>
      <c r="N65" s="106"/>
    </row>
    <row r="66" spans="1:14" hidden="1" x14ac:dyDescent="0.3">
      <c r="A66" s="417" t="s">
        <v>298</v>
      </c>
      <c r="B66" s="417" t="s">
        <v>186</v>
      </c>
      <c r="C66" s="106" t="s">
        <v>299</v>
      </c>
      <c r="D66" s="106" t="s">
        <v>276</v>
      </c>
      <c r="E66" s="348">
        <v>0</v>
      </c>
      <c r="F66" s="348">
        <v>250000</v>
      </c>
      <c r="G66" s="348">
        <v>250000</v>
      </c>
      <c r="H66" s="348">
        <v>0</v>
      </c>
      <c r="I66" s="348">
        <v>0</v>
      </c>
      <c r="J66" s="348">
        <v>500000</v>
      </c>
      <c r="K66" s="106" t="s">
        <v>155</v>
      </c>
      <c r="L66" s="106" t="str">
        <f>VLOOKUP(A66,'Consolidado-Eletronorte'!BN:BO,2,FALSE)</f>
        <v>Não iniciado</v>
      </c>
      <c r="M66" s="106"/>
      <c r="N66" s="106"/>
    </row>
    <row r="67" spans="1:14" hidden="1" x14ac:dyDescent="0.3">
      <c r="A67" s="418" t="s">
        <v>300</v>
      </c>
      <c r="B67" s="418" t="s">
        <v>186</v>
      </c>
      <c r="C67" s="106" t="s">
        <v>301</v>
      </c>
      <c r="D67" s="106" t="s">
        <v>276</v>
      </c>
      <c r="E67" s="348">
        <v>0</v>
      </c>
      <c r="F67" s="348">
        <v>250000</v>
      </c>
      <c r="G67" s="348">
        <v>250000</v>
      </c>
      <c r="H67" s="348">
        <v>0</v>
      </c>
      <c r="I67" s="348">
        <v>0</v>
      </c>
      <c r="J67" s="348">
        <v>500000</v>
      </c>
      <c r="K67" s="106" t="s">
        <v>165</v>
      </c>
      <c r="L67" s="106" t="str">
        <f>VLOOKUP(A67,'Consolidado-Eletronorte'!BN:BO,2,FALSE)</f>
        <v>Não iniciado</v>
      </c>
      <c r="M67" s="106"/>
      <c r="N67" s="106"/>
    </row>
    <row r="68" spans="1:14" hidden="1" x14ac:dyDescent="0.3">
      <c r="A68" s="417" t="s">
        <v>302</v>
      </c>
      <c r="B68" s="417" t="s">
        <v>186</v>
      </c>
      <c r="C68" s="106" t="s">
        <v>303</v>
      </c>
      <c r="D68" s="106" t="s">
        <v>276</v>
      </c>
      <c r="E68" s="348">
        <v>0</v>
      </c>
      <c r="F68" s="348">
        <v>250000</v>
      </c>
      <c r="G68" s="348">
        <v>250000</v>
      </c>
      <c r="H68" s="348">
        <v>0</v>
      </c>
      <c r="I68" s="348">
        <v>0</v>
      </c>
      <c r="J68" s="348">
        <v>500000</v>
      </c>
      <c r="K68" s="106" t="s">
        <v>155</v>
      </c>
      <c r="L68" s="106" t="str">
        <f>VLOOKUP(A68,'Consolidado-Eletronorte'!BN:BO,2,FALSE)</f>
        <v>Não iniciado</v>
      </c>
      <c r="M68" s="106"/>
      <c r="N68" s="106"/>
    </row>
    <row r="69" spans="1:14" hidden="1" x14ac:dyDescent="0.3">
      <c r="A69" s="418" t="s">
        <v>304</v>
      </c>
      <c r="B69" s="418" t="s">
        <v>186</v>
      </c>
      <c r="C69" s="106" t="s">
        <v>305</v>
      </c>
      <c r="D69" s="106" t="s">
        <v>276</v>
      </c>
      <c r="E69" s="348">
        <v>0</v>
      </c>
      <c r="F69" s="348">
        <v>250000</v>
      </c>
      <c r="G69" s="348">
        <v>250000</v>
      </c>
      <c r="H69" s="348">
        <v>0</v>
      </c>
      <c r="I69" s="348">
        <v>0</v>
      </c>
      <c r="J69" s="348">
        <v>500000</v>
      </c>
      <c r="K69" s="106" t="s">
        <v>155</v>
      </c>
      <c r="L69" s="106" t="str">
        <f>VLOOKUP(A69,'Consolidado-Eletronorte'!BN:BO,2,FALSE)</f>
        <v>Não iniciado</v>
      </c>
      <c r="M69" s="106"/>
      <c r="N69" s="106"/>
    </row>
    <row r="70" spans="1:14" hidden="1" x14ac:dyDescent="0.3">
      <c r="A70" s="417" t="s">
        <v>306</v>
      </c>
      <c r="B70" s="417" t="s">
        <v>186</v>
      </c>
      <c r="C70" s="106" t="s">
        <v>307</v>
      </c>
      <c r="D70" s="106" t="s">
        <v>276</v>
      </c>
      <c r="E70" s="348">
        <v>0</v>
      </c>
      <c r="F70" s="348">
        <v>250000</v>
      </c>
      <c r="G70" s="348">
        <v>250000</v>
      </c>
      <c r="H70" s="348">
        <v>0</v>
      </c>
      <c r="I70" s="348">
        <v>0</v>
      </c>
      <c r="J70" s="348">
        <v>500000</v>
      </c>
      <c r="K70" s="106" t="s">
        <v>155</v>
      </c>
      <c r="L70" s="106" t="str">
        <f>VLOOKUP(A70,'Consolidado-Eletronorte'!BN:BO,2,FALSE)</f>
        <v>Não iniciado</v>
      </c>
      <c r="M70" s="106"/>
      <c r="N70" s="106"/>
    </row>
    <row r="71" spans="1:14" hidden="1" x14ac:dyDescent="0.3">
      <c r="A71" s="418" t="s">
        <v>308</v>
      </c>
      <c r="B71" s="418" t="s">
        <v>186</v>
      </c>
      <c r="C71" s="106" t="s">
        <v>309</v>
      </c>
      <c r="D71" s="106" t="s">
        <v>276</v>
      </c>
      <c r="E71" s="348">
        <v>0</v>
      </c>
      <c r="F71" s="348">
        <v>250000</v>
      </c>
      <c r="G71" s="348">
        <v>250000</v>
      </c>
      <c r="H71" s="348">
        <v>0</v>
      </c>
      <c r="I71" s="348">
        <v>0</v>
      </c>
      <c r="J71" s="348">
        <v>500000</v>
      </c>
      <c r="K71" s="106" t="s">
        <v>155</v>
      </c>
      <c r="L71" s="106" t="str">
        <f>VLOOKUP(A71,'Consolidado-Eletronorte'!BN:BO,2,FALSE)</f>
        <v>Não iniciado</v>
      </c>
      <c r="M71" s="106"/>
      <c r="N71" s="106"/>
    </row>
    <row r="72" spans="1:14" hidden="1" x14ac:dyDescent="0.3">
      <c r="A72" s="417" t="s">
        <v>310</v>
      </c>
      <c r="B72" s="417" t="s">
        <v>186</v>
      </c>
      <c r="C72" s="106" t="s">
        <v>311</v>
      </c>
      <c r="D72" s="106" t="s">
        <v>276</v>
      </c>
      <c r="E72" s="348">
        <v>300000</v>
      </c>
      <c r="F72" s="348">
        <v>200000</v>
      </c>
      <c r="G72" s="348">
        <v>0</v>
      </c>
      <c r="H72" s="348">
        <v>0</v>
      </c>
      <c r="I72" s="348">
        <v>0</v>
      </c>
      <c r="J72" s="348">
        <v>500000</v>
      </c>
      <c r="K72" s="106" t="s">
        <v>211</v>
      </c>
      <c r="L72" s="106" t="str">
        <f>VLOOKUP(A72,'Consolidado-Eletronorte'!BN:BO,2,FALSE)</f>
        <v>TR em elaboração</v>
      </c>
      <c r="M72" s="106" t="s">
        <v>161</v>
      </c>
      <c r="N72" s="106" t="s">
        <v>161</v>
      </c>
    </row>
    <row r="73" spans="1:14" hidden="1" x14ac:dyDescent="0.3">
      <c r="A73" s="418" t="s">
        <v>312</v>
      </c>
      <c r="B73" s="418" t="s">
        <v>147</v>
      </c>
      <c r="C73" s="106" t="s">
        <v>313</v>
      </c>
      <c r="D73" s="106" t="s">
        <v>276</v>
      </c>
      <c r="E73" s="348">
        <v>912050</v>
      </c>
      <c r="F73" s="348">
        <v>4560250</v>
      </c>
      <c r="G73" s="348">
        <v>0</v>
      </c>
      <c r="H73" s="348">
        <v>0</v>
      </c>
      <c r="I73" s="348">
        <v>0</v>
      </c>
      <c r="J73" s="348">
        <v>5472300</v>
      </c>
      <c r="K73" s="106" t="s">
        <v>211</v>
      </c>
      <c r="L73" s="106" t="str">
        <f>VLOOKUP(A73,'Consolidado-Eletronorte'!BN:BO,2,FALSE)</f>
        <v>Em negociação</v>
      </c>
      <c r="M73" s="106" t="s">
        <v>234</v>
      </c>
      <c r="N73" s="106" t="s">
        <v>234</v>
      </c>
    </row>
    <row r="74" spans="1:14" hidden="1" x14ac:dyDescent="0.3">
      <c r="A74" s="417" t="s">
        <v>314</v>
      </c>
      <c r="B74" s="417" t="s">
        <v>186</v>
      </c>
      <c r="C74" s="106" t="s">
        <v>315</v>
      </c>
      <c r="D74" s="106" t="s">
        <v>276</v>
      </c>
      <c r="E74" s="348">
        <v>450000</v>
      </c>
      <c r="F74" s="348">
        <v>0</v>
      </c>
      <c r="G74" s="348">
        <v>0</v>
      </c>
      <c r="H74" s="348">
        <v>0</v>
      </c>
      <c r="I74" s="348">
        <v>0</v>
      </c>
      <c r="J74" s="348">
        <v>450000</v>
      </c>
      <c r="K74" s="106" t="s">
        <v>316</v>
      </c>
      <c r="L74" s="106" t="str">
        <f>VLOOKUP(A74,'Consolidado-Eletronorte'!BN:BO,2,FALSE)</f>
        <v>Contratado</v>
      </c>
      <c r="M74" s="106"/>
      <c r="N74" s="106"/>
    </row>
    <row r="75" spans="1:14" x14ac:dyDescent="0.3">
      <c r="A75" s="418" t="s">
        <v>317</v>
      </c>
      <c r="B75" s="418" t="s">
        <v>163</v>
      </c>
      <c r="C75" s="419" t="s">
        <v>318</v>
      </c>
      <c r="D75" s="106" t="s">
        <v>319</v>
      </c>
      <c r="E75" s="348">
        <v>149463997.75999999</v>
      </c>
      <c r="F75" s="348">
        <v>186404977.93658334</v>
      </c>
      <c r="G75" s="348">
        <v>138328625.18250006</v>
      </c>
      <c r="H75" s="348">
        <v>69976375.790000007</v>
      </c>
      <c r="I75" s="348">
        <v>500000</v>
      </c>
      <c r="J75" s="348">
        <v>544673976.66908336</v>
      </c>
      <c r="K75" s="106" t="s">
        <v>320</v>
      </c>
      <c r="L75" s="106" t="str">
        <f>VLOOKUP(A75,'Consolidado-Eletronorte'!BN:BO,2,FALSE)</f>
        <v>Contratado</v>
      </c>
      <c r="M75" s="106" t="s">
        <v>321</v>
      </c>
      <c r="N75" s="106" t="s">
        <v>161</v>
      </c>
    </row>
    <row r="76" spans="1:14" x14ac:dyDescent="0.3">
      <c r="A76" s="417" t="s">
        <v>322</v>
      </c>
      <c r="B76" s="417" t="s">
        <v>163</v>
      </c>
      <c r="C76" s="419" t="s">
        <v>323</v>
      </c>
      <c r="D76" s="106" t="s">
        <v>319</v>
      </c>
      <c r="E76" s="348">
        <v>30742118.607744999</v>
      </c>
      <c r="F76" s="348">
        <v>165692110.97322997</v>
      </c>
      <c r="G76" s="348">
        <v>0</v>
      </c>
      <c r="H76" s="348">
        <v>0</v>
      </c>
      <c r="I76" s="348">
        <v>0</v>
      </c>
      <c r="J76" s="348">
        <v>196434229.58097497</v>
      </c>
      <c r="K76" s="106" t="s">
        <v>320</v>
      </c>
      <c r="L76" s="106" t="str">
        <f>VLOOKUP(A76,'Consolidado-Eletronorte'!BN:BO,2,FALSE)</f>
        <v>Contratado</v>
      </c>
      <c r="M76" s="106" t="s">
        <v>324</v>
      </c>
      <c r="N76" s="106" t="s">
        <v>161</v>
      </c>
    </row>
    <row r="77" spans="1:14" x14ac:dyDescent="0.3">
      <c r="A77" s="418" t="s">
        <v>325</v>
      </c>
      <c r="B77" s="418" t="s">
        <v>163</v>
      </c>
      <c r="C77" s="419" t="s">
        <v>326</v>
      </c>
      <c r="D77" s="106" t="s">
        <v>319</v>
      </c>
      <c r="E77" s="348">
        <v>38256203.993333325</v>
      </c>
      <c r="F77" s="348">
        <v>10144019.02</v>
      </c>
      <c r="G77" s="348">
        <v>221463.61</v>
      </c>
      <c r="H77" s="348">
        <v>0</v>
      </c>
      <c r="I77" s="348">
        <v>0</v>
      </c>
      <c r="J77" s="348">
        <v>48621686.62333332</v>
      </c>
      <c r="K77" s="106" t="s">
        <v>320</v>
      </c>
      <c r="L77" s="106" t="str">
        <f>VLOOKUP(A77,'Consolidado-Eletronorte'!BN:BO,2,FALSE)</f>
        <v>Contratado</v>
      </c>
      <c r="M77" s="106" t="s">
        <v>327</v>
      </c>
      <c r="N77" s="106" t="s">
        <v>161</v>
      </c>
    </row>
    <row r="78" spans="1:14" x14ac:dyDescent="0.3">
      <c r="A78" s="417" t="s">
        <v>328</v>
      </c>
      <c r="B78" s="417" t="s">
        <v>147</v>
      </c>
      <c r="C78" s="419" t="s">
        <v>329</v>
      </c>
      <c r="D78" s="106" t="s">
        <v>319</v>
      </c>
      <c r="E78" s="348">
        <v>10000000</v>
      </c>
      <c r="F78" s="348">
        <v>0</v>
      </c>
      <c r="G78" s="348">
        <v>0</v>
      </c>
      <c r="H78" s="348">
        <v>0</v>
      </c>
      <c r="I78" s="348">
        <v>0</v>
      </c>
      <c r="J78" s="348">
        <v>10000000</v>
      </c>
      <c r="K78" s="106" t="s">
        <v>155</v>
      </c>
      <c r="L78" s="106" t="str">
        <f>VLOOKUP(A78,'Consolidado-Eletronorte'!BN:BO,2,FALSE)</f>
        <v>Contratado</v>
      </c>
      <c r="M78" s="106" t="s">
        <v>330</v>
      </c>
      <c r="N78" s="106" t="s">
        <v>330</v>
      </c>
    </row>
    <row r="79" spans="1:14" x14ac:dyDescent="0.3">
      <c r="A79" s="418" t="s">
        <v>331</v>
      </c>
      <c r="B79" s="418" t="s">
        <v>147</v>
      </c>
      <c r="C79" s="419" t="s">
        <v>332</v>
      </c>
      <c r="D79" s="106" t="s">
        <v>319</v>
      </c>
      <c r="E79" s="348">
        <v>8500000</v>
      </c>
      <c r="F79" s="348">
        <v>0</v>
      </c>
      <c r="G79" s="348">
        <v>0</v>
      </c>
      <c r="H79" s="348">
        <v>0</v>
      </c>
      <c r="I79" s="348">
        <v>0</v>
      </c>
      <c r="J79" s="348">
        <v>8500000</v>
      </c>
      <c r="K79" s="106" t="s">
        <v>333</v>
      </c>
      <c r="L79" s="106" t="str">
        <f>VLOOKUP(A79,'Consolidado-Eletronorte'!BN:BO,2,FALSE)</f>
        <v>Contratado</v>
      </c>
      <c r="M79" s="106" t="s">
        <v>161</v>
      </c>
      <c r="N79" s="106" t="s">
        <v>161</v>
      </c>
    </row>
    <row r="80" spans="1:14" x14ac:dyDescent="0.3">
      <c r="A80" s="417" t="s">
        <v>334</v>
      </c>
      <c r="B80" s="417" t="s">
        <v>147</v>
      </c>
      <c r="C80" s="419" t="s">
        <v>335</v>
      </c>
      <c r="D80" s="106" t="s">
        <v>319</v>
      </c>
      <c r="E80" s="348">
        <v>3000000</v>
      </c>
      <c r="F80" s="348">
        <v>7500000</v>
      </c>
      <c r="G80" s="348">
        <v>5000000</v>
      </c>
      <c r="H80" s="348">
        <v>0</v>
      </c>
      <c r="I80" s="348">
        <v>0</v>
      </c>
      <c r="J80" s="348">
        <v>15500000</v>
      </c>
      <c r="K80" s="106" t="s">
        <v>155</v>
      </c>
      <c r="L80" s="106" t="str">
        <f>VLOOKUP(A80,'Consolidado-Eletronorte'!BN:BO,2,FALSE)</f>
        <v>Contratado</v>
      </c>
      <c r="M80" s="106" t="s">
        <v>336</v>
      </c>
      <c r="N80" s="106" t="s">
        <v>161</v>
      </c>
    </row>
    <row r="81" spans="1:14" ht="26" x14ac:dyDescent="0.3">
      <c r="A81" s="418" t="s">
        <v>337</v>
      </c>
      <c r="B81" s="418" t="s">
        <v>171</v>
      </c>
      <c r="C81" s="419" t="s">
        <v>338</v>
      </c>
      <c r="D81" s="106" t="s">
        <v>319</v>
      </c>
      <c r="E81" s="348">
        <v>1000000</v>
      </c>
      <c r="F81" s="348">
        <v>1500000</v>
      </c>
      <c r="G81" s="348">
        <v>0</v>
      </c>
      <c r="H81" s="348">
        <v>0</v>
      </c>
      <c r="I81" s="348">
        <v>0</v>
      </c>
      <c r="J81" s="348">
        <v>2500000</v>
      </c>
      <c r="K81" s="106" t="s">
        <v>155</v>
      </c>
      <c r="L81" s="106" t="str">
        <f>VLOOKUP(A81,'Consolidado-Eletronorte'!BN:BO,2,FALSE)</f>
        <v>Em negociação</v>
      </c>
      <c r="M81" s="106"/>
      <c r="N81" s="106"/>
    </row>
    <row r="82" spans="1:14" ht="39" x14ac:dyDescent="0.3">
      <c r="A82" s="417" t="s">
        <v>339</v>
      </c>
      <c r="B82" s="417" t="s">
        <v>152</v>
      </c>
      <c r="C82" s="419" t="s">
        <v>340</v>
      </c>
      <c r="D82" s="106" t="s">
        <v>319</v>
      </c>
      <c r="E82" s="348">
        <v>1824336</v>
      </c>
      <c r="F82" s="348">
        <v>0</v>
      </c>
      <c r="G82" s="348">
        <v>0</v>
      </c>
      <c r="H82" s="348">
        <v>0</v>
      </c>
      <c r="I82" s="348">
        <v>0</v>
      </c>
      <c r="J82" s="348">
        <v>1824336</v>
      </c>
      <c r="K82" s="106" t="s">
        <v>341</v>
      </c>
      <c r="L82" s="106" t="str">
        <f>VLOOKUP(A82,'Consolidado-Eletronorte'!BN:BO,2,FALSE)</f>
        <v>Contratado</v>
      </c>
      <c r="M82" s="106"/>
      <c r="N82" s="106"/>
    </row>
    <row r="83" spans="1:14" x14ac:dyDescent="0.3">
      <c r="A83" s="418" t="s">
        <v>342</v>
      </c>
      <c r="B83" s="418" t="s">
        <v>171</v>
      </c>
      <c r="C83" s="419" t="s">
        <v>343</v>
      </c>
      <c r="D83" s="106" t="s">
        <v>344</v>
      </c>
      <c r="E83" s="348">
        <v>950000</v>
      </c>
      <c r="F83" s="348">
        <v>1000000</v>
      </c>
      <c r="G83" s="348">
        <v>100000</v>
      </c>
      <c r="H83" s="348">
        <v>0</v>
      </c>
      <c r="I83" s="348">
        <v>0</v>
      </c>
      <c r="J83" s="348">
        <v>2050000</v>
      </c>
      <c r="K83" s="106" t="s">
        <v>261</v>
      </c>
      <c r="L83" s="106" t="str">
        <f>VLOOKUP(A83,'Consolidado-Eletronorte'!BN:BO,2,FALSE)</f>
        <v>Em negociação</v>
      </c>
      <c r="M83" s="106"/>
      <c r="N83" s="106"/>
    </row>
    <row r="84" spans="1:14" x14ac:dyDescent="0.3">
      <c r="A84" s="417" t="s">
        <v>345</v>
      </c>
      <c r="B84" s="417" t="s">
        <v>171</v>
      </c>
      <c r="C84" s="419" t="s">
        <v>346</v>
      </c>
      <c r="D84" s="106" t="s">
        <v>319</v>
      </c>
      <c r="E84" s="348">
        <v>2000000.0000000002</v>
      </c>
      <c r="F84" s="348">
        <v>2000000</v>
      </c>
      <c r="G84" s="348">
        <v>1000000</v>
      </c>
      <c r="H84" s="348">
        <v>0</v>
      </c>
      <c r="I84" s="348">
        <v>0</v>
      </c>
      <c r="J84" s="348">
        <v>5000000</v>
      </c>
      <c r="K84" s="106" t="s">
        <v>341</v>
      </c>
      <c r="L84" s="106" t="str">
        <f>VLOOKUP(A84,'Consolidado-Eletronorte'!BN:BO,2,FALSE)</f>
        <v>Contratado</v>
      </c>
      <c r="M84" s="106"/>
      <c r="N84" s="106"/>
    </row>
    <row r="85" spans="1:14" x14ac:dyDescent="0.3">
      <c r="A85" s="418" t="s">
        <v>347</v>
      </c>
      <c r="B85" s="418" t="s">
        <v>171</v>
      </c>
      <c r="C85" s="419" t="s">
        <v>348</v>
      </c>
      <c r="D85" s="106" t="s">
        <v>319</v>
      </c>
      <c r="E85" s="348">
        <v>0</v>
      </c>
      <c r="F85" s="348">
        <v>1300000</v>
      </c>
      <c r="G85" s="348">
        <v>1300000</v>
      </c>
      <c r="H85" s="348">
        <v>1950000</v>
      </c>
      <c r="I85" s="348">
        <v>0</v>
      </c>
      <c r="J85" s="348">
        <v>4550000</v>
      </c>
      <c r="K85" s="106" t="s">
        <v>349</v>
      </c>
      <c r="L85" s="106" t="str">
        <f>VLOOKUP(A85,'Consolidado-Eletronorte'!BN:BO,2,FALSE)</f>
        <v>TR em elaboração</v>
      </c>
      <c r="M85" s="106"/>
      <c r="N85" s="106"/>
    </row>
    <row r="86" spans="1:14" x14ac:dyDescent="0.3">
      <c r="A86" s="417" t="s">
        <v>350</v>
      </c>
      <c r="B86" s="417" t="s">
        <v>163</v>
      </c>
      <c r="C86" s="419" t="s">
        <v>351</v>
      </c>
      <c r="D86" s="106" t="s">
        <v>319</v>
      </c>
      <c r="E86" s="348">
        <v>6000000</v>
      </c>
      <c r="F86" s="348">
        <v>7000000</v>
      </c>
      <c r="G86" s="348">
        <v>4000000</v>
      </c>
      <c r="H86" s="348">
        <v>4000000</v>
      </c>
      <c r="I86" s="348">
        <v>0</v>
      </c>
      <c r="J86" s="348">
        <v>21000000</v>
      </c>
      <c r="K86" s="106" t="s">
        <v>341</v>
      </c>
      <c r="L86" s="106" t="str">
        <f>VLOOKUP(A86,'Consolidado-Eletronorte'!BN:BO,2,FALSE)</f>
        <v>Contratado</v>
      </c>
      <c r="M86" s="106" t="s">
        <v>330</v>
      </c>
      <c r="N86" s="106" t="s">
        <v>330</v>
      </c>
    </row>
    <row r="87" spans="1:14" ht="26" x14ac:dyDescent="0.3">
      <c r="A87" s="418" t="s">
        <v>352</v>
      </c>
      <c r="B87" s="418" t="s">
        <v>147</v>
      </c>
      <c r="C87" s="419" t="s">
        <v>353</v>
      </c>
      <c r="D87" s="106" t="s">
        <v>319</v>
      </c>
      <c r="E87" s="348">
        <v>5000000</v>
      </c>
      <c r="F87" s="348">
        <v>6750000</v>
      </c>
      <c r="G87" s="348">
        <v>5000000</v>
      </c>
      <c r="H87" s="348">
        <v>0</v>
      </c>
      <c r="I87" s="348">
        <v>0</v>
      </c>
      <c r="J87" s="348">
        <v>16750000</v>
      </c>
      <c r="K87" s="106" t="s">
        <v>155</v>
      </c>
      <c r="L87" s="106" t="str">
        <f>VLOOKUP(A87,'Consolidado-Eletronorte'!BN:BO,2,FALSE)</f>
        <v>Em negociação</v>
      </c>
      <c r="M87" s="106" t="s">
        <v>330</v>
      </c>
      <c r="N87" s="106" t="s">
        <v>330</v>
      </c>
    </row>
    <row r="88" spans="1:14" ht="26" x14ac:dyDescent="0.3">
      <c r="A88" s="417" t="s">
        <v>354</v>
      </c>
      <c r="B88" s="417" t="s">
        <v>147</v>
      </c>
      <c r="C88" s="419" t="s">
        <v>355</v>
      </c>
      <c r="D88" s="106" t="s">
        <v>319</v>
      </c>
      <c r="E88" s="348">
        <v>5000000</v>
      </c>
      <c r="F88" s="348">
        <v>2500000</v>
      </c>
      <c r="G88" s="348">
        <v>0</v>
      </c>
      <c r="H88" s="348">
        <v>0</v>
      </c>
      <c r="I88" s="348">
        <v>0</v>
      </c>
      <c r="J88" s="348">
        <v>7500000</v>
      </c>
      <c r="K88" s="106" t="s">
        <v>155</v>
      </c>
      <c r="L88" s="106" t="str">
        <f>VLOOKUP(A88,'Consolidado-Eletronorte'!BN:BO,2,FALSE)</f>
        <v>Contratado</v>
      </c>
      <c r="M88" s="106" t="s">
        <v>356</v>
      </c>
      <c r="N88" s="106" t="s">
        <v>330</v>
      </c>
    </row>
    <row r="89" spans="1:14" x14ac:dyDescent="0.3">
      <c r="A89" s="418" t="s">
        <v>357</v>
      </c>
      <c r="B89" s="418" t="s">
        <v>147</v>
      </c>
      <c r="C89" s="419" t="s">
        <v>358</v>
      </c>
      <c r="D89" s="106" t="s">
        <v>319</v>
      </c>
      <c r="E89" s="348">
        <v>2980204</v>
      </c>
      <c r="F89" s="348">
        <v>4000000</v>
      </c>
      <c r="G89" s="348">
        <v>2000000</v>
      </c>
      <c r="H89" s="348">
        <v>0</v>
      </c>
      <c r="I89" s="348">
        <v>0</v>
      </c>
      <c r="J89" s="348">
        <v>8980204</v>
      </c>
      <c r="K89" s="106" t="s">
        <v>341</v>
      </c>
      <c r="L89" s="106" t="str">
        <f>VLOOKUP(A89,'Consolidado-Eletronorte'!BN:BO,2,FALSE)</f>
        <v>Contratado</v>
      </c>
      <c r="M89" s="106" t="s">
        <v>359</v>
      </c>
      <c r="N89" s="106" t="s">
        <v>330</v>
      </c>
    </row>
    <row r="90" spans="1:14" ht="26" x14ac:dyDescent="0.3">
      <c r="A90" s="417" t="s">
        <v>360</v>
      </c>
      <c r="B90" s="417" t="s">
        <v>147</v>
      </c>
      <c r="C90" s="419" t="s">
        <v>361</v>
      </c>
      <c r="D90" s="106" t="s">
        <v>319</v>
      </c>
      <c r="E90" s="348">
        <v>0</v>
      </c>
      <c r="F90" s="348">
        <v>2000000</v>
      </c>
      <c r="G90" s="348">
        <v>2500000</v>
      </c>
      <c r="H90" s="348">
        <v>1500000</v>
      </c>
      <c r="I90" s="348">
        <v>0</v>
      </c>
      <c r="J90" s="348">
        <v>6000000</v>
      </c>
      <c r="K90" s="106" t="s">
        <v>155</v>
      </c>
      <c r="L90" s="106" t="str">
        <f>VLOOKUP(A90,'Consolidado-Eletronorte'!BN:BO,2,FALSE)</f>
        <v>Não iniciado</v>
      </c>
      <c r="M90" s="106" t="s">
        <v>161</v>
      </c>
      <c r="N90" s="106" t="s">
        <v>161</v>
      </c>
    </row>
    <row r="91" spans="1:14" ht="26" x14ac:dyDescent="0.3">
      <c r="A91" s="418" t="s">
        <v>362</v>
      </c>
      <c r="B91" s="418" t="s">
        <v>171</v>
      </c>
      <c r="C91" s="419" t="s">
        <v>363</v>
      </c>
      <c r="D91" s="106" t="s">
        <v>319</v>
      </c>
      <c r="E91" s="348">
        <v>0</v>
      </c>
      <c r="F91" s="348">
        <v>1000000</v>
      </c>
      <c r="G91" s="348">
        <v>3000000</v>
      </c>
      <c r="H91" s="348">
        <v>0</v>
      </c>
      <c r="I91" s="348">
        <v>0</v>
      </c>
      <c r="J91" s="348">
        <v>4000000</v>
      </c>
      <c r="K91" s="106" t="e">
        <v>#N/A</v>
      </c>
      <c r="L91" s="106" t="str">
        <f>VLOOKUP(A91,'Consolidado-Eletronorte'!BN:BO,2,FALSE)</f>
        <v>Cancelado</v>
      </c>
      <c r="M91" s="106"/>
      <c r="N91" s="106"/>
    </row>
    <row r="92" spans="1:14" ht="26" x14ac:dyDescent="0.3">
      <c r="A92" s="417" t="s">
        <v>364</v>
      </c>
      <c r="B92" s="417" t="s">
        <v>171</v>
      </c>
      <c r="C92" s="419" t="s">
        <v>365</v>
      </c>
      <c r="D92" s="106" t="s">
        <v>319</v>
      </c>
      <c r="E92" s="348">
        <v>0</v>
      </c>
      <c r="F92" s="348">
        <v>1000000</v>
      </c>
      <c r="G92" s="348">
        <v>1000000</v>
      </c>
      <c r="H92" s="348">
        <v>500000</v>
      </c>
      <c r="I92" s="348">
        <v>0</v>
      </c>
      <c r="J92" s="348">
        <v>2500000</v>
      </c>
      <c r="K92" s="106" t="s">
        <v>341</v>
      </c>
      <c r="L92" s="106" t="str">
        <f>VLOOKUP(A92,'Consolidado-Eletronorte'!BN:BO,2,FALSE)</f>
        <v>TR em elaboração</v>
      </c>
      <c r="M92" s="106"/>
      <c r="N92" s="106"/>
    </row>
    <row r="93" spans="1:14" x14ac:dyDescent="0.3">
      <c r="A93" s="418" t="s">
        <v>366</v>
      </c>
      <c r="B93" s="418" t="s">
        <v>152</v>
      </c>
      <c r="C93" s="419" t="s">
        <v>367</v>
      </c>
      <c r="D93" s="106" t="s">
        <v>319</v>
      </c>
      <c r="E93" s="348">
        <v>0</v>
      </c>
      <c r="F93" s="348">
        <v>1000000</v>
      </c>
      <c r="G93" s="348">
        <v>0</v>
      </c>
      <c r="H93" s="348">
        <v>0</v>
      </c>
      <c r="I93" s="348">
        <v>0</v>
      </c>
      <c r="J93" s="348">
        <v>1000000</v>
      </c>
      <c r="K93" s="106" t="e">
        <v>#N/A</v>
      </c>
      <c r="L93" s="106" t="str">
        <f>VLOOKUP(A93,'Consolidado-Eletronorte'!BN:BO,2,FALSE)</f>
        <v>Não iniciado</v>
      </c>
      <c r="M93" s="106"/>
      <c r="N93" s="106"/>
    </row>
    <row r="94" spans="1:14" x14ac:dyDescent="0.3">
      <c r="A94" s="417" t="s">
        <v>368</v>
      </c>
      <c r="B94" s="417" t="s">
        <v>152</v>
      </c>
      <c r="C94" s="419" t="s">
        <v>369</v>
      </c>
      <c r="D94" s="106" t="s">
        <v>319</v>
      </c>
      <c r="E94" s="348">
        <v>0</v>
      </c>
      <c r="F94" s="348">
        <v>1000000</v>
      </c>
      <c r="G94" s="348">
        <v>0</v>
      </c>
      <c r="H94" s="348">
        <v>0</v>
      </c>
      <c r="I94" s="348">
        <v>0</v>
      </c>
      <c r="J94" s="348">
        <v>1000000</v>
      </c>
      <c r="K94" s="106" t="e">
        <v>#N/A</v>
      </c>
      <c r="L94" s="106" t="str">
        <f>VLOOKUP(A94,'Consolidado-Eletronorte'!BN:BO,2,FALSE)</f>
        <v>Não iniciado</v>
      </c>
      <c r="M94" s="106"/>
      <c r="N94" s="106"/>
    </row>
    <row r="95" spans="1:14" ht="26" x14ac:dyDescent="0.3">
      <c r="A95" s="418" t="s">
        <v>370</v>
      </c>
      <c r="B95" s="418" t="s">
        <v>152</v>
      </c>
      <c r="C95" s="419" t="s">
        <v>371</v>
      </c>
      <c r="D95" s="106" t="s">
        <v>319</v>
      </c>
      <c r="E95" s="348">
        <v>0</v>
      </c>
      <c r="F95" s="348">
        <v>900000</v>
      </c>
      <c r="G95" s="348">
        <v>0</v>
      </c>
      <c r="H95" s="348">
        <v>0</v>
      </c>
      <c r="I95" s="348">
        <v>0</v>
      </c>
      <c r="J95" s="348">
        <v>900000</v>
      </c>
      <c r="K95" s="106" t="s">
        <v>349</v>
      </c>
      <c r="L95" s="106" t="str">
        <f>VLOOKUP(A95,'Consolidado-Eletronorte'!BN:BO,2,FALSE)</f>
        <v>Não iniciado</v>
      </c>
      <c r="M95" s="106"/>
      <c r="N95" s="106"/>
    </row>
    <row r="96" spans="1:14" ht="26" x14ac:dyDescent="0.3">
      <c r="A96" s="417" t="s">
        <v>372</v>
      </c>
      <c r="B96" s="417" t="s">
        <v>152</v>
      </c>
      <c r="C96" s="419" t="s">
        <v>373</v>
      </c>
      <c r="D96" s="106" t="s">
        <v>319</v>
      </c>
      <c r="E96" s="348">
        <v>0</v>
      </c>
      <c r="F96" s="348">
        <v>720000</v>
      </c>
      <c r="G96" s="348">
        <v>0</v>
      </c>
      <c r="H96" s="348">
        <v>0</v>
      </c>
      <c r="I96" s="348">
        <v>0</v>
      </c>
      <c r="J96" s="348">
        <v>720000</v>
      </c>
      <c r="K96" s="106" t="s">
        <v>155</v>
      </c>
      <c r="L96" s="106" t="str">
        <f>VLOOKUP(A96,'Consolidado-Eletronorte'!BN:BO,2,FALSE)</f>
        <v>Não iniciado</v>
      </c>
      <c r="M96" s="106"/>
      <c r="N96" s="106"/>
    </row>
    <row r="97" spans="1:14" x14ac:dyDescent="0.3">
      <c r="A97" s="418" t="s">
        <v>374</v>
      </c>
      <c r="B97" s="418" t="s">
        <v>147</v>
      </c>
      <c r="C97" s="419" t="s">
        <v>375</v>
      </c>
      <c r="D97" s="106" t="s">
        <v>319</v>
      </c>
      <c r="E97" s="348">
        <v>1000000</v>
      </c>
      <c r="F97" s="348">
        <v>2500000</v>
      </c>
      <c r="G97" s="348">
        <v>2500000</v>
      </c>
      <c r="H97" s="348">
        <v>0</v>
      </c>
      <c r="I97" s="348">
        <v>0</v>
      </c>
      <c r="J97" s="348">
        <v>6000000</v>
      </c>
      <c r="K97" s="106" t="e">
        <v>#N/A</v>
      </c>
      <c r="L97" s="106" t="str">
        <f>VLOOKUP(A97,'Consolidado-Eletronorte'!BN:BO,2,FALSE)</f>
        <v>Não iniciado</v>
      </c>
      <c r="M97" s="106" t="s">
        <v>330</v>
      </c>
      <c r="N97" s="106" t="s">
        <v>330</v>
      </c>
    </row>
    <row r="98" spans="1:14" x14ac:dyDescent="0.3">
      <c r="A98" s="417" t="s">
        <v>376</v>
      </c>
      <c r="B98" s="417" t="s">
        <v>147</v>
      </c>
      <c r="C98" s="419" t="s">
        <v>377</v>
      </c>
      <c r="D98" s="106" t="s">
        <v>319</v>
      </c>
      <c r="E98" s="348">
        <v>2000000</v>
      </c>
      <c r="F98" s="348">
        <v>7400000</v>
      </c>
      <c r="G98" s="348">
        <v>4000000</v>
      </c>
      <c r="H98" s="348">
        <v>5000000</v>
      </c>
      <c r="I98" s="348">
        <v>0</v>
      </c>
      <c r="J98" s="348">
        <v>18400000</v>
      </c>
      <c r="K98" s="106" t="s">
        <v>155</v>
      </c>
      <c r="L98" s="106" t="str">
        <f>VLOOKUP(A98,'Consolidado-Eletronorte'!BN:BO,2,FALSE)</f>
        <v>RC aprovada</v>
      </c>
      <c r="M98" s="106" t="s">
        <v>330</v>
      </c>
      <c r="N98" s="106" t="s">
        <v>330</v>
      </c>
    </row>
    <row r="99" spans="1:14" ht="26" x14ac:dyDescent="0.3">
      <c r="A99" s="418" t="s">
        <v>378</v>
      </c>
      <c r="B99" s="418" t="s">
        <v>152</v>
      </c>
      <c r="C99" s="420" t="s">
        <v>379</v>
      </c>
      <c r="D99" s="106" t="s">
        <v>319</v>
      </c>
      <c r="E99" s="348">
        <v>350000</v>
      </c>
      <c r="F99" s="348">
        <v>350000</v>
      </c>
      <c r="G99" s="348">
        <v>0</v>
      </c>
      <c r="H99" s="348">
        <v>0</v>
      </c>
      <c r="I99" s="348">
        <v>0</v>
      </c>
      <c r="J99" s="348">
        <v>700000</v>
      </c>
      <c r="K99" s="106" t="s">
        <v>341</v>
      </c>
      <c r="L99" s="106" t="str">
        <f>VLOOKUP(A99,'Consolidado-Eletronorte'!BN:BO,2,FALSE)</f>
        <v>TR em elaboração</v>
      </c>
      <c r="M99" s="106"/>
      <c r="N99" s="106"/>
    </row>
    <row r="100" spans="1:14" x14ac:dyDescent="0.3">
      <c r="A100" s="417" t="s">
        <v>380</v>
      </c>
      <c r="B100" s="417" t="s">
        <v>152</v>
      </c>
      <c r="C100" s="419" t="s">
        <v>381</v>
      </c>
      <c r="D100" s="106" t="s">
        <v>319</v>
      </c>
      <c r="E100" s="348">
        <v>250000</v>
      </c>
      <c r="F100" s="348">
        <v>900000</v>
      </c>
      <c r="G100" s="348">
        <v>750000</v>
      </c>
      <c r="H100" s="348">
        <v>0</v>
      </c>
      <c r="I100" s="348">
        <v>0</v>
      </c>
      <c r="J100" s="348">
        <v>1900000</v>
      </c>
      <c r="K100" s="106" t="s">
        <v>382</v>
      </c>
      <c r="L100" s="106" t="str">
        <f>VLOOKUP(A100,'Consolidado-Eletronorte'!BN:BO,2,FALSE)</f>
        <v>Contratado</v>
      </c>
      <c r="M100" s="106"/>
      <c r="N100" s="106"/>
    </row>
    <row r="101" spans="1:14" ht="26" x14ac:dyDescent="0.3">
      <c r="A101" s="418" t="s">
        <v>383</v>
      </c>
      <c r="B101" s="418" t="s">
        <v>171</v>
      </c>
      <c r="C101" s="419" t="s">
        <v>384</v>
      </c>
      <c r="D101" s="106" t="s">
        <v>319</v>
      </c>
      <c r="E101" s="348">
        <v>1800000</v>
      </c>
      <c r="F101" s="348">
        <v>557200</v>
      </c>
      <c r="G101" s="348">
        <v>0</v>
      </c>
      <c r="H101" s="348">
        <v>0</v>
      </c>
      <c r="I101" s="348">
        <v>0</v>
      </c>
      <c r="J101" s="348">
        <v>2357200</v>
      </c>
      <c r="K101" s="106" t="s">
        <v>155</v>
      </c>
      <c r="L101" s="106" t="str">
        <f>VLOOKUP(A101,'Consolidado-Eletronorte'!BN:BO,2,FALSE)</f>
        <v>Contratado</v>
      </c>
      <c r="M101" s="106"/>
      <c r="N101" s="106"/>
    </row>
    <row r="102" spans="1:14" x14ac:dyDescent="0.3">
      <c r="A102" s="417" t="s">
        <v>385</v>
      </c>
      <c r="B102" s="417" t="s">
        <v>152</v>
      </c>
      <c r="C102" s="419" t="s">
        <v>386</v>
      </c>
      <c r="D102" s="106" t="s">
        <v>319</v>
      </c>
      <c r="E102" s="348">
        <v>150000</v>
      </c>
      <c r="F102" s="348">
        <v>900000</v>
      </c>
      <c r="G102" s="348">
        <v>850000</v>
      </c>
      <c r="H102" s="348">
        <v>0</v>
      </c>
      <c r="I102" s="348">
        <v>0</v>
      </c>
      <c r="J102" s="348">
        <v>1900000</v>
      </c>
      <c r="K102" s="106" t="s">
        <v>382</v>
      </c>
      <c r="L102" s="106" t="str">
        <f>VLOOKUP(A102,'Consolidado-Eletronorte'!BN:BO,2,FALSE)</f>
        <v>Contratado</v>
      </c>
      <c r="M102" s="106"/>
      <c r="N102" s="106"/>
    </row>
    <row r="103" spans="1:14" x14ac:dyDescent="0.3">
      <c r="A103" s="418" t="s">
        <v>387</v>
      </c>
      <c r="B103" s="418" t="s">
        <v>152</v>
      </c>
      <c r="C103" s="419" t="s">
        <v>388</v>
      </c>
      <c r="D103" s="106" t="s">
        <v>319</v>
      </c>
      <c r="E103" s="348">
        <v>200000</v>
      </c>
      <c r="F103" s="348">
        <v>900000</v>
      </c>
      <c r="G103" s="348">
        <v>800000</v>
      </c>
      <c r="H103" s="348">
        <v>0</v>
      </c>
      <c r="I103" s="348">
        <v>0</v>
      </c>
      <c r="J103" s="348">
        <v>1900000</v>
      </c>
      <c r="K103" s="106" t="s">
        <v>155</v>
      </c>
      <c r="L103" s="106" t="str">
        <f>VLOOKUP(A103,'Consolidado-Eletronorte'!BN:BO,2,FALSE)</f>
        <v>Contratado</v>
      </c>
      <c r="M103" s="106"/>
      <c r="N103" s="106"/>
    </row>
    <row r="104" spans="1:14" ht="26" x14ac:dyDescent="0.3">
      <c r="A104" s="417" t="s">
        <v>389</v>
      </c>
      <c r="B104" s="417" t="s">
        <v>152</v>
      </c>
      <c r="C104" s="419" t="s">
        <v>390</v>
      </c>
      <c r="D104" s="106" t="s">
        <v>319</v>
      </c>
      <c r="E104" s="348">
        <v>1680000</v>
      </c>
      <c r="F104" s="348">
        <v>0</v>
      </c>
      <c r="G104" s="348">
        <v>0</v>
      </c>
      <c r="H104" s="348">
        <v>0</v>
      </c>
      <c r="I104" s="348">
        <v>0</v>
      </c>
      <c r="J104" s="348">
        <v>1680000</v>
      </c>
      <c r="K104" s="106" t="s">
        <v>341</v>
      </c>
      <c r="L104" s="106" t="str">
        <f>VLOOKUP(A104,'Consolidado-Eletronorte'!BN:BO,2,FALSE)</f>
        <v>Contratado</v>
      </c>
      <c r="M104" s="106"/>
      <c r="N104" s="106"/>
    </row>
    <row r="105" spans="1:14" x14ac:dyDescent="0.3">
      <c r="A105" s="418" t="s">
        <v>391</v>
      </c>
      <c r="B105" s="418" t="s">
        <v>163</v>
      </c>
      <c r="C105" s="419" t="s">
        <v>392</v>
      </c>
      <c r="D105" s="106" t="s">
        <v>319</v>
      </c>
      <c r="E105" s="348">
        <v>0</v>
      </c>
      <c r="F105" s="348">
        <v>2000000</v>
      </c>
      <c r="G105" s="348">
        <v>9500000</v>
      </c>
      <c r="H105" s="348">
        <v>10000000</v>
      </c>
      <c r="I105" s="348">
        <v>0</v>
      </c>
      <c r="J105" s="348">
        <v>21500000</v>
      </c>
      <c r="K105" s="106" t="e">
        <v>#N/A</v>
      </c>
      <c r="L105" s="106" t="str">
        <f>VLOOKUP(A105,'Consolidado-Eletronorte'!BN:BO,2,FALSE)</f>
        <v>Não iniciado</v>
      </c>
      <c r="M105" s="106" t="s">
        <v>330</v>
      </c>
      <c r="N105" s="106" t="s">
        <v>330</v>
      </c>
    </row>
    <row r="106" spans="1:14" ht="26" x14ac:dyDescent="0.3">
      <c r="A106" s="417" t="s">
        <v>393</v>
      </c>
      <c r="B106" s="417" t="s">
        <v>147</v>
      </c>
      <c r="C106" s="420" t="s">
        <v>394</v>
      </c>
      <c r="D106" s="106" t="s">
        <v>319</v>
      </c>
      <c r="E106" s="348">
        <v>0</v>
      </c>
      <c r="F106" s="348">
        <v>3000000</v>
      </c>
      <c r="G106" s="348">
        <v>2500000</v>
      </c>
      <c r="H106" s="348">
        <v>0</v>
      </c>
      <c r="I106" s="348">
        <v>0</v>
      </c>
      <c r="J106" s="348">
        <v>5500000</v>
      </c>
      <c r="K106" s="106" t="e">
        <v>#N/A</v>
      </c>
      <c r="L106" s="106" t="str">
        <f>VLOOKUP(A106,'Consolidado-Eletronorte'!BN:BO,2,FALSE)</f>
        <v>Não iniciado</v>
      </c>
      <c r="M106" s="106" t="s">
        <v>395</v>
      </c>
      <c r="N106" s="106" t="s">
        <v>330</v>
      </c>
    </row>
    <row r="107" spans="1:14" x14ac:dyDescent="0.3">
      <c r="A107" s="418" t="s">
        <v>396</v>
      </c>
      <c r="B107" s="418" t="s">
        <v>171</v>
      </c>
      <c r="C107" s="419" t="s">
        <v>397</v>
      </c>
      <c r="D107" s="106" t="s">
        <v>319</v>
      </c>
      <c r="E107" s="348">
        <v>0</v>
      </c>
      <c r="F107" s="348">
        <v>1000000</v>
      </c>
      <c r="G107" s="348">
        <v>1500000</v>
      </c>
      <c r="H107" s="348">
        <v>0</v>
      </c>
      <c r="I107" s="348">
        <v>0</v>
      </c>
      <c r="J107" s="348">
        <v>2500000</v>
      </c>
      <c r="K107" s="106" t="s">
        <v>341</v>
      </c>
      <c r="L107" s="106" t="str">
        <f>VLOOKUP(A107,'Consolidado-Eletronorte'!BN:BO,2,FALSE)</f>
        <v>Não iniciado</v>
      </c>
      <c r="M107" s="106"/>
      <c r="N107" s="106"/>
    </row>
    <row r="108" spans="1:14" x14ac:dyDescent="0.3">
      <c r="A108" s="417" t="s">
        <v>398</v>
      </c>
      <c r="B108" s="417" t="s">
        <v>152</v>
      </c>
      <c r="C108" s="420" t="s">
        <v>399</v>
      </c>
      <c r="D108" s="106" t="s">
        <v>319</v>
      </c>
      <c r="E108" s="348">
        <v>0</v>
      </c>
      <c r="F108" s="348">
        <v>650000</v>
      </c>
      <c r="G108" s="348">
        <v>750000</v>
      </c>
      <c r="H108" s="348">
        <v>0</v>
      </c>
      <c r="I108" s="348">
        <v>0</v>
      </c>
      <c r="J108" s="348">
        <v>1400000</v>
      </c>
      <c r="K108" s="106" t="e">
        <v>#N/A</v>
      </c>
      <c r="L108" s="106" t="str">
        <f>VLOOKUP(A108,'Consolidado-Eletronorte'!BN:BO,2,FALSE)</f>
        <v>Não iniciado</v>
      </c>
      <c r="M108" s="106"/>
      <c r="N108" s="106"/>
    </row>
    <row r="109" spans="1:14" ht="26" x14ac:dyDescent="0.3">
      <c r="A109" s="418" t="s">
        <v>400</v>
      </c>
      <c r="B109" s="418" t="s">
        <v>152</v>
      </c>
      <c r="C109" s="419" t="s">
        <v>401</v>
      </c>
      <c r="D109" s="106" t="s">
        <v>319</v>
      </c>
      <c r="E109" s="348">
        <v>0</v>
      </c>
      <c r="F109" s="348">
        <v>695254.2</v>
      </c>
      <c r="G109" s="348">
        <v>695254.2</v>
      </c>
      <c r="H109" s="348">
        <v>0</v>
      </c>
      <c r="I109" s="348">
        <v>0</v>
      </c>
      <c r="J109" s="348">
        <v>1390508.4</v>
      </c>
      <c r="K109" s="106" t="s">
        <v>341</v>
      </c>
      <c r="L109" s="106" t="str">
        <f>VLOOKUP(A109,'Consolidado-Eletronorte'!BN:BO,2,FALSE)</f>
        <v>TR em elaboração</v>
      </c>
      <c r="M109" s="106"/>
      <c r="N109" s="106"/>
    </row>
    <row r="110" spans="1:14" ht="26" x14ac:dyDescent="0.3">
      <c r="A110" s="417" t="s">
        <v>402</v>
      </c>
      <c r="B110" s="417" t="s">
        <v>152</v>
      </c>
      <c r="C110" s="419" t="s">
        <v>403</v>
      </c>
      <c r="D110" s="106" t="s">
        <v>319</v>
      </c>
      <c r="E110" s="348">
        <v>0</v>
      </c>
      <c r="F110" s="348">
        <v>951000</v>
      </c>
      <c r="G110" s="348">
        <v>0</v>
      </c>
      <c r="H110" s="348">
        <v>0</v>
      </c>
      <c r="I110" s="348">
        <v>0</v>
      </c>
      <c r="J110" s="348">
        <v>951000</v>
      </c>
      <c r="K110" s="106" t="e">
        <v>#N/A</v>
      </c>
      <c r="L110" s="106" t="str">
        <f>VLOOKUP(A110,'Consolidado-Eletronorte'!BN:BO,2,FALSE)</f>
        <v>Não iniciado</v>
      </c>
      <c r="M110" s="106"/>
      <c r="N110" s="106"/>
    </row>
    <row r="111" spans="1:14" ht="39" x14ac:dyDescent="0.3">
      <c r="A111" s="418" t="s">
        <v>404</v>
      </c>
      <c r="B111" s="418" t="s">
        <v>152</v>
      </c>
      <c r="C111" s="419" t="s">
        <v>405</v>
      </c>
      <c r="D111" s="106" t="s">
        <v>319</v>
      </c>
      <c r="E111" s="348">
        <v>0</v>
      </c>
      <c r="F111" s="348">
        <v>450280</v>
      </c>
      <c r="G111" s="348">
        <v>450280</v>
      </c>
      <c r="H111" s="348">
        <v>0</v>
      </c>
      <c r="I111" s="348">
        <v>0</v>
      </c>
      <c r="J111" s="348">
        <v>900560</v>
      </c>
      <c r="K111" s="106" t="e">
        <v>#N/A</v>
      </c>
      <c r="L111" s="106" t="str">
        <f>VLOOKUP(A111,'Consolidado-Eletronorte'!BN:BO,2,FALSE)</f>
        <v>TR em elaboração</v>
      </c>
      <c r="M111" s="106"/>
      <c r="N111" s="106"/>
    </row>
    <row r="112" spans="1:14" ht="26" x14ac:dyDescent="0.3">
      <c r="A112" s="417" t="s">
        <v>406</v>
      </c>
      <c r="B112" s="417" t="s">
        <v>152</v>
      </c>
      <c r="C112" s="419" t="s">
        <v>407</v>
      </c>
      <c r="D112" s="106" t="s">
        <v>319</v>
      </c>
      <c r="E112" s="348">
        <v>1500000</v>
      </c>
      <c r="F112" s="348">
        <v>500000</v>
      </c>
      <c r="G112" s="348">
        <v>0</v>
      </c>
      <c r="H112" s="348">
        <v>0</v>
      </c>
      <c r="I112" s="348">
        <v>0</v>
      </c>
      <c r="J112" s="348">
        <v>2000000</v>
      </c>
      <c r="K112" s="106" t="s">
        <v>155</v>
      </c>
      <c r="L112" s="106" t="str">
        <f>VLOOKUP(A112,'Consolidado-Eletronorte'!BN:BO,2,FALSE)</f>
        <v>Contratado</v>
      </c>
      <c r="M112" s="106"/>
      <c r="N112" s="106"/>
    </row>
    <row r="113" spans="1:14" ht="26" x14ac:dyDescent="0.3">
      <c r="A113" s="418" t="s">
        <v>408</v>
      </c>
      <c r="B113" s="418" t="s">
        <v>152</v>
      </c>
      <c r="C113" s="419" t="s">
        <v>409</v>
      </c>
      <c r="D113" s="106" t="s">
        <v>319</v>
      </c>
      <c r="E113" s="348">
        <v>1500000</v>
      </c>
      <c r="F113" s="348">
        <v>0</v>
      </c>
      <c r="G113" s="348">
        <v>0</v>
      </c>
      <c r="H113" s="348">
        <v>0</v>
      </c>
      <c r="I113" s="348">
        <v>0</v>
      </c>
      <c r="J113" s="348">
        <v>1500000</v>
      </c>
      <c r="K113" s="106" t="s">
        <v>155</v>
      </c>
      <c r="L113" s="106" t="str">
        <f>VLOOKUP(A113,'Consolidado-Eletronorte'!BN:BO,2,FALSE)</f>
        <v>Contratado</v>
      </c>
      <c r="M113" s="106"/>
      <c r="N113" s="106"/>
    </row>
    <row r="114" spans="1:14" x14ac:dyDescent="0.3">
      <c r="A114" s="417" t="s">
        <v>410</v>
      </c>
      <c r="B114" s="417" t="s">
        <v>152</v>
      </c>
      <c r="C114" s="419" t="s">
        <v>411</v>
      </c>
      <c r="D114" s="106" t="s">
        <v>319</v>
      </c>
      <c r="E114" s="348">
        <v>1000000</v>
      </c>
      <c r="F114" s="348">
        <v>0</v>
      </c>
      <c r="G114" s="348">
        <v>0</v>
      </c>
      <c r="H114" s="348">
        <v>0</v>
      </c>
      <c r="I114" s="348">
        <v>0</v>
      </c>
      <c r="J114" s="348">
        <v>1000000</v>
      </c>
      <c r="K114" s="106" t="s">
        <v>341</v>
      </c>
      <c r="L114" s="106" t="str">
        <f>VLOOKUP(A114,'Consolidado-Eletronorte'!BN:BO,2,FALSE)</f>
        <v>Contratado</v>
      </c>
      <c r="M114" s="106"/>
      <c r="N114" s="106"/>
    </row>
    <row r="115" spans="1:14" ht="26" x14ac:dyDescent="0.3">
      <c r="A115" s="418" t="s">
        <v>412</v>
      </c>
      <c r="B115" s="418" t="s">
        <v>171</v>
      </c>
      <c r="C115" s="419" t="s">
        <v>413</v>
      </c>
      <c r="D115" s="106" t="s">
        <v>319</v>
      </c>
      <c r="E115" s="348">
        <v>1000000</v>
      </c>
      <c r="F115" s="348">
        <v>3000000</v>
      </c>
      <c r="G115" s="348">
        <v>0</v>
      </c>
      <c r="H115" s="348">
        <v>0</v>
      </c>
      <c r="I115" s="348">
        <v>0</v>
      </c>
      <c r="J115" s="348">
        <v>4000000</v>
      </c>
      <c r="K115" s="106" t="s">
        <v>341</v>
      </c>
      <c r="L115" s="106" t="str">
        <f>VLOOKUP(A115,'Consolidado-Eletronorte'!BN:BO,2,FALSE)</f>
        <v>Em negociação</v>
      </c>
      <c r="M115" s="106"/>
      <c r="N115" s="106"/>
    </row>
    <row r="116" spans="1:14" ht="26" x14ac:dyDescent="0.3">
      <c r="A116" s="417" t="s">
        <v>414</v>
      </c>
      <c r="B116" s="417" t="s">
        <v>171</v>
      </c>
      <c r="C116" s="419" t="s">
        <v>415</v>
      </c>
      <c r="D116" s="106" t="s">
        <v>319</v>
      </c>
      <c r="E116" s="348">
        <v>1000000</v>
      </c>
      <c r="F116" s="348">
        <v>1000000</v>
      </c>
      <c r="G116" s="348">
        <v>1000000</v>
      </c>
      <c r="H116" s="348">
        <v>0</v>
      </c>
      <c r="I116" s="348">
        <v>0</v>
      </c>
      <c r="J116" s="348">
        <v>3000000</v>
      </c>
      <c r="K116" s="106" t="s">
        <v>155</v>
      </c>
      <c r="L116" s="106" t="str">
        <f>VLOOKUP(A116,'Consolidado-Eletronorte'!BN:BO,2,FALSE)</f>
        <v>Em negociação</v>
      </c>
      <c r="M116" s="106"/>
      <c r="N116" s="106"/>
    </row>
    <row r="117" spans="1:14" x14ac:dyDescent="0.3">
      <c r="A117" s="418" t="s">
        <v>416</v>
      </c>
      <c r="B117" s="418" t="s">
        <v>186</v>
      </c>
      <c r="C117" s="419" t="s">
        <v>417</v>
      </c>
      <c r="D117" s="106" t="s">
        <v>319</v>
      </c>
      <c r="E117" s="348">
        <v>500000</v>
      </c>
      <c r="F117" s="348">
        <v>0</v>
      </c>
      <c r="G117" s="348">
        <v>0</v>
      </c>
      <c r="H117" s="348">
        <v>0</v>
      </c>
      <c r="I117" s="348">
        <v>0</v>
      </c>
      <c r="J117" s="348">
        <v>500000</v>
      </c>
      <c r="K117" s="106" t="s">
        <v>155</v>
      </c>
      <c r="L117" s="106" t="str">
        <f>VLOOKUP(A117,'Consolidado-Eletronorte'!BN:BO,2,FALSE)</f>
        <v>Contratado</v>
      </c>
      <c r="M117" s="106"/>
      <c r="N117" s="106"/>
    </row>
    <row r="118" spans="1:14" ht="26" x14ac:dyDescent="0.3">
      <c r="A118" s="417" t="s">
        <v>418</v>
      </c>
      <c r="B118" s="417" t="s">
        <v>186</v>
      </c>
      <c r="C118" s="419" t="s">
        <v>419</v>
      </c>
      <c r="D118" s="106" t="s">
        <v>319</v>
      </c>
      <c r="E118" s="348">
        <v>500000</v>
      </c>
      <c r="F118" s="348">
        <v>0</v>
      </c>
      <c r="G118" s="348">
        <v>0</v>
      </c>
      <c r="H118" s="348">
        <v>0</v>
      </c>
      <c r="I118" s="348">
        <v>0</v>
      </c>
      <c r="J118" s="348">
        <v>500000</v>
      </c>
      <c r="K118" s="106" t="s">
        <v>155</v>
      </c>
      <c r="L118" s="106" t="str">
        <f>VLOOKUP(A118,'Consolidado-Eletronorte'!BN:BO,2,FALSE)</f>
        <v>Contratado</v>
      </c>
      <c r="M118" s="106"/>
      <c r="N118" s="106"/>
    </row>
    <row r="119" spans="1:14" x14ac:dyDescent="0.3">
      <c r="A119" s="418" t="s">
        <v>420</v>
      </c>
      <c r="B119" s="418" t="s">
        <v>186</v>
      </c>
      <c r="C119" s="419" t="s">
        <v>421</v>
      </c>
      <c r="D119" s="106" t="s">
        <v>319</v>
      </c>
      <c r="E119" s="348">
        <v>223686</v>
      </c>
      <c r="F119" s="348">
        <v>0</v>
      </c>
      <c r="G119" s="348">
        <v>0</v>
      </c>
      <c r="H119" s="348">
        <v>0</v>
      </c>
      <c r="I119" s="348">
        <v>0</v>
      </c>
      <c r="J119" s="348">
        <v>223686</v>
      </c>
      <c r="K119" s="106" t="s">
        <v>382</v>
      </c>
      <c r="L119" s="106" t="str">
        <f>VLOOKUP(A119,'Consolidado-Eletronorte'!BN:BO,2,FALSE)</f>
        <v>Em negociação</v>
      </c>
      <c r="M119" s="106"/>
      <c r="N119" s="106"/>
    </row>
    <row r="120" spans="1:14" x14ac:dyDescent="0.3">
      <c r="A120" s="417" t="s">
        <v>422</v>
      </c>
      <c r="B120" s="417" t="s">
        <v>186</v>
      </c>
      <c r="C120" s="419" t="s">
        <v>423</v>
      </c>
      <c r="D120" s="106" t="s">
        <v>344</v>
      </c>
      <c r="E120" s="348">
        <v>53000</v>
      </c>
      <c r="F120" s="348">
        <v>0</v>
      </c>
      <c r="G120" s="348">
        <v>0</v>
      </c>
      <c r="H120" s="348">
        <v>0</v>
      </c>
      <c r="I120" s="348">
        <v>0</v>
      </c>
      <c r="J120" s="348">
        <v>53000</v>
      </c>
      <c r="K120" s="106" t="s">
        <v>261</v>
      </c>
      <c r="L120" s="106" t="str">
        <f>VLOOKUP(A120,'Consolidado-Eletronorte'!BN:BO,2,FALSE)</f>
        <v>Em negociação</v>
      </c>
      <c r="M120" s="106"/>
      <c r="N120" s="106"/>
    </row>
    <row r="121" spans="1:14" ht="26" x14ac:dyDescent="0.3">
      <c r="A121" s="418" t="s">
        <v>424</v>
      </c>
      <c r="B121" s="418" t="s">
        <v>186</v>
      </c>
      <c r="C121" s="419" t="s">
        <v>425</v>
      </c>
      <c r="D121" s="106" t="s">
        <v>319</v>
      </c>
      <c r="E121" s="348">
        <v>0</v>
      </c>
      <c r="F121" s="348">
        <v>0</v>
      </c>
      <c r="G121" s="348">
        <v>0</v>
      </c>
      <c r="H121" s="348">
        <v>0</v>
      </c>
      <c r="I121" s="348">
        <v>0</v>
      </c>
      <c r="J121" s="348">
        <v>0</v>
      </c>
      <c r="K121" s="106" t="s">
        <v>349</v>
      </c>
      <c r="L121" s="106" t="str">
        <f>VLOOKUP(A121,'Consolidado-Eletronorte'!BN:BO,2,FALSE)</f>
        <v>Contratado</v>
      </c>
      <c r="M121" s="106"/>
      <c r="N121" s="106"/>
    </row>
    <row r="122" spans="1:14" x14ac:dyDescent="0.3">
      <c r="A122" s="417" t="s">
        <v>426</v>
      </c>
      <c r="B122" s="417" t="s">
        <v>152</v>
      </c>
      <c r="C122" s="419" t="s">
        <v>427</v>
      </c>
      <c r="D122" s="106" t="s">
        <v>319</v>
      </c>
      <c r="E122" s="348">
        <v>0</v>
      </c>
      <c r="F122" s="348">
        <v>1000000</v>
      </c>
      <c r="G122" s="348">
        <v>1000000</v>
      </c>
      <c r="H122" s="348">
        <v>0</v>
      </c>
      <c r="I122" s="348">
        <v>0</v>
      </c>
      <c r="J122" s="348">
        <v>2000000</v>
      </c>
      <c r="K122" s="106" t="s">
        <v>155</v>
      </c>
      <c r="L122" s="106" t="str">
        <f>VLOOKUP(A122,'Consolidado-Eletronorte'!BN:BO,2,FALSE)</f>
        <v>RC aprovada</v>
      </c>
      <c r="M122" s="106"/>
      <c r="N122" s="106"/>
    </row>
    <row r="123" spans="1:14" x14ac:dyDescent="0.3">
      <c r="A123" s="418" t="s">
        <v>428</v>
      </c>
      <c r="B123" s="418" t="s">
        <v>152</v>
      </c>
      <c r="C123" s="419" t="s">
        <v>429</v>
      </c>
      <c r="D123" s="106" t="s">
        <v>319</v>
      </c>
      <c r="E123" s="348">
        <v>0</v>
      </c>
      <c r="F123" s="348">
        <v>897510</v>
      </c>
      <c r="G123" s="348">
        <v>0</v>
      </c>
      <c r="H123" s="348">
        <v>0</v>
      </c>
      <c r="I123" s="348">
        <v>0</v>
      </c>
      <c r="J123" s="348">
        <v>897510</v>
      </c>
      <c r="K123" s="106" t="s">
        <v>155</v>
      </c>
      <c r="L123" s="106" t="str">
        <f>VLOOKUP(A123,'Consolidado-Eletronorte'!BN:BO,2,FALSE)</f>
        <v>RC aprovada</v>
      </c>
      <c r="M123" s="106"/>
      <c r="N123" s="106"/>
    </row>
    <row r="124" spans="1:14" ht="26" x14ac:dyDescent="0.3">
      <c r="A124" s="417" t="s">
        <v>430</v>
      </c>
      <c r="B124" s="417" t="s">
        <v>163</v>
      </c>
      <c r="C124" s="419" t="s">
        <v>431</v>
      </c>
      <c r="D124" s="106" t="s">
        <v>319</v>
      </c>
      <c r="E124" s="348">
        <v>0</v>
      </c>
      <c r="F124" s="348">
        <v>16000000</v>
      </c>
      <c r="G124" s="348">
        <v>16000000</v>
      </c>
      <c r="H124" s="348">
        <v>16000000</v>
      </c>
      <c r="I124" s="348">
        <v>0</v>
      </c>
      <c r="J124" s="348">
        <v>48000000</v>
      </c>
      <c r="K124" s="106" t="s">
        <v>382</v>
      </c>
      <c r="L124" s="106" t="str">
        <f>VLOOKUP(A124,'Consolidado-Eletronorte'!BN:BO,2,FALSE)</f>
        <v>Em negociação</v>
      </c>
      <c r="M124" s="106" t="s">
        <v>330</v>
      </c>
      <c r="N124" s="106" t="s">
        <v>330</v>
      </c>
    </row>
  </sheetData>
  <autoFilter ref="A1:K124" xr:uid="{FA528923-9C25-491A-A181-2A2EA8FAB613}">
    <filterColumn colId="3">
      <filters>
        <filter val="UHE Tucuruí"/>
      </filters>
    </filterColumn>
  </autoFilter>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A9B2E-5F90-4DD1-92E3-47D2920CF55C}">
  <dimension ref="A1:BV169"/>
  <sheetViews>
    <sheetView tabSelected="1" topLeftCell="K17" zoomScale="85" zoomScaleNormal="85" workbookViewId="0">
      <selection activeCell="Q18" sqref="Q18"/>
    </sheetView>
  </sheetViews>
  <sheetFormatPr defaultColWidth="90.09765625" defaultRowHeight="14.5" outlineLevelCol="2" x14ac:dyDescent="0.35"/>
  <cols>
    <col min="1" max="1" width="16.3984375" style="1" customWidth="1"/>
    <col min="2" max="2" width="13.3984375" style="2" customWidth="1"/>
    <col min="3" max="3" width="29.69921875" style="3" customWidth="1"/>
    <col min="4" max="4" width="8" style="2" customWidth="1"/>
    <col min="5" max="5" width="15.296875" style="2" hidden="1" customWidth="1" outlineLevel="1"/>
    <col min="6" max="6" width="13.3984375" style="2" hidden="1" customWidth="1" outlineLevel="1"/>
    <col min="7" max="7" width="10.8984375" style="2" hidden="1" customWidth="1" outlineLevel="1"/>
    <col min="8" max="8" width="18.09765625" style="90" hidden="1" customWidth="1" outlineLevel="1"/>
    <col min="9" max="9" width="10.59765625" style="90" customWidth="1" collapsed="1"/>
    <col min="10" max="10" width="16.59765625" style="90" customWidth="1" outlineLevel="1"/>
    <col min="11" max="11" width="21" style="2" customWidth="1" outlineLevel="1"/>
    <col min="12" max="12" width="13.69921875" style="2" customWidth="1" outlineLevel="1"/>
    <col min="13" max="13" width="17.09765625" style="2" customWidth="1" outlineLevel="1"/>
    <col min="14" max="14" width="18.296875" style="2" customWidth="1" outlineLevel="2"/>
    <col min="15" max="15" width="14.8984375" style="90" customWidth="1" outlineLevel="2"/>
    <col min="16" max="17" width="16.69921875" style="90" customWidth="1" outlineLevel="2"/>
    <col min="18" max="18" width="75.5" style="2" customWidth="1"/>
    <col min="19" max="19" width="16.69921875" style="90" customWidth="1" outlineLevel="2"/>
    <col min="20" max="20" width="12.296875" style="2" customWidth="1"/>
    <col min="21" max="21" width="11.3984375" style="2" customWidth="1"/>
    <col min="22" max="23" width="12.09765625" style="2" customWidth="1"/>
    <col min="24" max="24" width="23.09765625" style="2" customWidth="1"/>
    <col min="25" max="25" width="12.09765625" style="2" customWidth="1"/>
    <col min="26" max="26" width="14.3984375" style="343" customWidth="1"/>
    <col min="27" max="27" width="16" style="2" bestFit="1" customWidth="1"/>
    <col min="28" max="28" width="16.09765625" style="343" bestFit="1" customWidth="1"/>
    <col min="29" max="29" width="10.8984375" style="2" customWidth="1"/>
    <col min="30" max="30" width="14.69921875" style="343" customWidth="1"/>
    <col min="31" max="32" width="28.3984375" style="2" customWidth="1"/>
    <col min="33" max="33" width="77" style="90" customWidth="1"/>
    <col min="34" max="34" width="11.3984375" style="2" customWidth="1"/>
    <col min="35" max="35" width="19.3984375" style="2" customWidth="1" outlineLevel="2"/>
    <col min="36" max="36" width="16" style="2" customWidth="1" outlineLevel="2"/>
    <col min="37" max="37" width="14.8984375" style="90" customWidth="1" outlineLevel="2"/>
    <col min="38" max="38" width="12.296875" style="90" customWidth="1" outlineLevel="2"/>
    <col min="39" max="39" width="12.296875" customWidth="1" outlineLevel="2"/>
    <col min="40" max="40" width="15.296875" customWidth="1" outlineLevel="2"/>
    <col min="41" max="41" width="17.8984375" customWidth="1" outlineLevel="2"/>
    <col min="42" max="42" width="17.8984375" style="2" customWidth="1" outlineLevel="2"/>
    <col min="43" max="43" width="15" style="2" customWidth="1" outlineLevel="2"/>
    <col min="44" max="45" width="17.8984375" style="2" customWidth="1" outlineLevel="2"/>
    <col min="46" max="46" width="15.3984375" style="2" customWidth="1" outlineLevel="2"/>
    <col min="47" max="47" width="18" style="2" customWidth="1" outlineLevel="1"/>
    <col min="48" max="48" width="17.296875" style="2" customWidth="1" outlineLevel="1"/>
    <col min="49" max="49" width="14.296875" style="2" customWidth="1" outlineLevel="1"/>
    <col min="50" max="50" width="15.69921875" style="2" customWidth="1" outlineLevel="1"/>
    <col min="51" max="51" width="13.09765625" style="2" customWidth="1" outlineLevel="1"/>
    <col min="52" max="52" width="16.09765625" style="2" customWidth="1"/>
    <col min="53" max="57" width="13.09765625" style="2" hidden="1" customWidth="1" outlineLevel="1"/>
    <col min="58" max="58" width="15" style="2" hidden="1" customWidth="1" outlineLevel="1"/>
    <col min="59" max="59" width="21.69921875" style="2" hidden="1" customWidth="1" outlineLevel="1"/>
    <col min="60" max="61" width="16.69921875" style="90" hidden="1" customWidth="1" outlineLevel="2"/>
    <col min="62" max="62" width="16.59765625" style="2" customWidth="1" collapsed="1"/>
    <col min="63" max="63" width="16.09765625" style="2" customWidth="1" outlineLevel="1"/>
    <col min="64" max="64" width="25.69921875" style="2" customWidth="1" outlineLevel="1"/>
    <col min="65" max="65" width="15.69921875" style="2" customWidth="1" outlineLevel="1"/>
    <col min="66" max="66" width="16.69921875" style="90" customWidth="1" outlineLevel="2"/>
    <col min="67" max="67" width="22.09765625" style="2" customWidth="1" outlineLevel="1"/>
    <col min="68" max="68" width="37" style="2" customWidth="1" outlineLevel="1"/>
    <col min="69" max="69" width="18" style="2" customWidth="1"/>
    <col min="70" max="70" width="20.296875" style="343" customWidth="1"/>
    <col min="71" max="71" width="18.8984375" style="2" customWidth="1"/>
    <col min="72" max="72" width="16.69921875" style="90" customWidth="1" outlineLevel="2"/>
    <col min="73" max="73" width="28.8984375" style="2" bestFit="1" customWidth="1"/>
    <col min="74" max="16384" width="90.09765625" style="2"/>
  </cols>
  <sheetData>
    <row r="1" spans="1:74" x14ac:dyDescent="0.35">
      <c r="R1" s="90"/>
      <c r="T1" s="90"/>
      <c r="U1" s="90"/>
      <c r="V1" s="90"/>
      <c r="W1" s="90"/>
      <c r="X1" s="90"/>
      <c r="Y1" s="90"/>
      <c r="Z1" s="393"/>
      <c r="AA1" s="90"/>
      <c r="AB1" s="393"/>
      <c r="AC1" s="90"/>
      <c r="AD1" s="393"/>
      <c r="AE1" s="90"/>
      <c r="AF1" s="90"/>
      <c r="AG1" s="2"/>
      <c r="AH1" s="90"/>
    </row>
    <row r="2" spans="1:74" x14ac:dyDescent="0.35">
      <c r="R2" s="90"/>
      <c r="T2" s="90"/>
      <c r="U2" s="90"/>
      <c r="V2" s="90"/>
      <c r="W2" s="90"/>
      <c r="X2" s="90"/>
      <c r="Y2" s="90"/>
      <c r="Z2" s="393"/>
      <c r="AA2" s="90"/>
      <c r="AB2" s="393"/>
      <c r="AC2" s="90"/>
      <c r="AD2" s="393"/>
      <c r="AE2" s="90"/>
      <c r="AF2" s="90"/>
      <c r="AG2" s="2"/>
      <c r="AH2" s="90"/>
    </row>
    <row r="3" spans="1:74" x14ac:dyDescent="0.35">
      <c r="R3" s="90"/>
      <c r="T3" s="90"/>
      <c r="U3" s="90"/>
      <c r="V3" s="90"/>
      <c r="W3" s="90"/>
      <c r="X3" s="90"/>
      <c r="Y3" s="90"/>
      <c r="Z3" s="393"/>
      <c r="AA3" s="90"/>
      <c r="AB3" s="393"/>
      <c r="AC3" s="90"/>
      <c r="AD3" s="393"/>
      <c r="AE3" s="90"/>
      <c r="AF3" s="90"/>
      <c r="AG3" s="315"/>
      <c r="AH3" s="315"/>
      <c r="AI3" s="315"/>
      <c r="AJ3" s="315"/>
    </row>
    <row r="4" spans="1:74" x14ac:dyDescent="0.35">
      <c r="R4" s="90"/>
      <c r="T4" s="90"/>
      <c r="U4" s="90"/>
      <c r="V4" s="90"/>
      <c r="W4" s="90"/>
      <c r="X4" s="90"/>
      <c r="Y4" s="90"/>
      <c r="Z4" s="393"/>
      <c r="AA4" s="90"/>
      <c r="AB4" s="393"/>
      <c r="AC4" s="90"/>
      <c r="AD4" s="393"/>
      <c r="AE4" s="90"/>
      <c r="AF4" s="90"/>
      <c r="AG4" s="315"/>
      <c r="AH4" s="315"/>
      <c r="AI4" s="315"/>
      <c r="AJ4" s="315"/>
    </row>
    <row r="5" spans="1:74" x14ac:dyDescent="0.35">
      <c r="AG5" s="315"/>
      <c r="AH5" s="315"/>
      <c r="AI5" s="315"/>
      <c r="AJ5" s="315"/>
    </row>
    <row r="6" spans="1:74" x14ac:dyDescent="0.35">
      <c r="AG6" s="315"/>
      <c r="AH6" s="315"/>
      <c r="AI6" s="315"/>
      <c r="AJ6" s="315"/>
      <c r="AZ6" s="5"/>
    </row>
    <row r="7" spans="1:74" x14ac:dyDescent="0.35">
      <c r="AG7" s="315"/>
      <c r="AH7" s="315"/>
      <c r="AI7" s="315"/>
      <c r="AJ7" s="315"/>
      <c r="BU7" s="213"/>
    </row>
    <row r="8" spans="1:74" x14ac:dyDescent="0.35">
      <c r="AG8" s="315"/>
      <c r="AH8" s="315"/>
      <c r="AI8" s="315"/>
      <c r="AJ8" s="315"/>
      <c r="BU8" s="213"/>
    </row>
    <row r="9" spans="1:74" x14ac:dyDescent="0.35">
      <c r="AG9" s="315"/>
      <c r="AH9" s="315"/>
      <c r="AI9" s="315"/>
      <c r="AJ9" s="315"/>
      <c r="AV9" s="213"/>
      <c r="AW9" s="213"/>
      <c r="AX9" s="213"/>
      <c r="BU9" s="213"/>
    </row>
    <row r="10" spans="1:74" x14ac:dyDescent="0.35">
      <c r="R10" s="90"/>
      <c r="T10" s="90"/>
      <c r="U10" s="90"/>
      <c r="V10" s="90"/>
      <c r="W10" s="90"/>
      <c r="X10" s="90"/>
      <c r="Y10" s="90"/>
      <c r="Z10" s="393"/>
      <c r="AA10" s="90"/>
      <c r="AB10" s="393"/>
      <c r="AC10" s="90"/>
      <c r="AD10" s="393"/>
      <c r="AE10" s="90"/>
      <c r="AF10" s="90"/>
      <c r="AG10" s="213"/>
      <c r="AH10" s="213"/>
      <c r="AI10" s="213"/>
      <c r="AJ10" s="213"/>
      <c r="AK10" s="335"/>
    </row>
    <row r="11" spans="1:74" ht="15" thickBot="1" x14ac:dyDescent="0.4">
      <c r="C11" s="3" t="s">
        <v>432</v>
      </c>
      <c r="O11" s="68"/>
      <c r="AG11" s="335"/>
      <c r="AI11" s="90"/>
      <c r="AK11" s="2"/>
      <c r="AL11" s="2"/>
      <c r="AM11" s="90"/>
      <c r="AN11" s="90"/>
      <c r="AO11" s="2"/>
      <c r="AZ11" s="5">
        <f>AZ13-AZ12</f>
        <v>-7300098367.1266079</v>
      </c>
      <c r="BS11" s="213"/>
    </row>
    <row r="12" spans="1:74" ht="26.5" thickBot="1" x14ac:dyDescent="0.65">
      <c r="A12" s="2"/>
      <c r="B12" s="4" t="s">
        <v>433</v>
      </c>
      <c r="C12" s="4"/>
      <c r="G12" s="64" t="s">
        <v>434</v>
      </c>
      <c r="H12" s="92" t="b">
        <f>AND($H$13&lt;&gt;"",$H$14&lt;&gt;"")</f>
        <v>1</v>
      </c>
      <c r="J12" s="76" t="s">
        <v>435</v>
      </c>
      <c r="L12" s="430" t="s">
        <v>436</v>
      </c>
      <c r="M12" s="430" t="s">
        <v>437</v>
      </c>
      <c r="N12" s="430"/>
      <c r="O12" s="430"/>
      <c r="AG12" s="335"/>
      <c r="AI12" s="90"/>
      <c r="AK12" s="2"/>
      <c r="AL12" s="2"/>
      <c r="AM12" s="90"/>
      <c r="AN12" s="90"/>
      <c r="AO12" s="5"/>
      <c r="AP12" s="5"/>
      <c r="AQ12" s="5"/>
      <c r="AR12" s="5"/>
      <c r="AS12" s="5"/>
      <c r="AT12" s="5"/>
      <c r="AY12" s="6"/>
      <c r="AZ12" s="5">
        <v>8172120000</v>
      </c>
      <c r="BE12" s="5"/>
      <c r="BS12" s="213"/>
    </row>
    <row r="13" spans="1:74" ht="21" x14ac:dyDescent="0.5">
      <c r="A13" s="2"/>
      <c r="B13" s="7" t="s">
        <v>438</v>
      </c>
      <c r="C13" s="8"/>
      <c r="G13" s="63" t="s">
        <v>13</v>
      </c>
      <c r="H13" s="93" t="s">
        <v>439</v>
      </c>
      <c r="I13" s="231" t="s">
        <v>11</v>
      </c>
      <c r="J13" s="96" t="str" cm="1">
        <f t="array" aca="1" ref="J13" ca="1">MID(CELL("filename"),SEARCH("[",CELL("filename"))+1,SEARCH("]",CELL("filename"))-SEARCH("[",CELL("filename"))-1)</f>
        <v>Capex Orcamentário_PE2026_2030_red_35_porcentoR3_consulta.xlsx</v>
      </c>
      <c r="L13" s="430"/>
      <c r="M13" s="430"/>
      <c r="N13" s="430"/>
      <c r="O13" s="430"/>
      <c r="AI13" s="204">
        <f>SUBTOTAL(9,'Consolidado-Eletronorte'!$AI$19:$AI$147)</f>
        <v>12228618.814166665</v>
      </c>
      <c r="AJ13" s="204">
        <f>SUBTOTAL(9,'Consolidado-Eletronorte'!$AJ$19:$AJ$147)</f>
        <v>24351165.724166669</v>
      </c>
      <c r="AK13" s="204">
        <f>SUBTOTAL(9,'Consolidado-Eletronorte'!$AK$19:$AK$147)</f>
        <v>10647997.764166666</v>
      </c>
      <c r="AL13" s="204">
        <f>SUBTOTAL(9,'Consolidado-Eletronorte'!$AL$19:$AL$147)</f>
        <v>18239778.484166667</v>
      </c>
      <c r="AM13" s="204">
        <f>SUBTOTAL(9,'Consolidado-Eletronorte'!$AM$19:$AM$147)</f>
        <v>47171527.230833337</v>
      </c>
      <c r="AN13" s="204">
        <f>SUBTOTAL(9,'Consolidado-Eletronorte'!$AN$19:$AN$147)</f>
        <v>20725826.124166667</v>
      </c>
      <c r="AO13" s="204">
        <f>SUBTOTAL(9,'Consolidado-Eletronorte'!$AO$19:$AO$147)</f>
        <v>18796443.054166667</v>
      </c>
      <c r="AP13" s="204">
        <f>SUBTOTAL(9,'Consolidado-Eletronorte'!$AP$19:$AP$147)</f>
        <v>61703261.422066651</v>
      </c>
      <c r="AQ13" s="204">
        <f>SUBTOTAL(9,'Consolidado-Eletronorte'!$AQ$19:$AQ$147)</f>
        <v>3981708.8841666668</v>
      </c>
      <c r="AR13" s="204">
        <f>SUBTOTAL(9,'Consolidado-Eletronorte'!$AR$19:$AR$147)</f>
        <v>28271722.560833339</v>
      </c>
      <c r="AS13" s="204">
        <f>SUBTOTAL(9,'Consolidado-Eletronorte'!$AS$19:$AS$147)</f>
        <v>3585103.1541666663</v>
      </c>
      <c r="AT13" s="204">
        <f>SUBTOTAL(9,'Consolidado-Eletronorte'!$AT$19:$AT$147)</f>
        <v>15543707.144011667</v>
      </c>
      <c r="AU13" s="204">
        <f>SUBTOTAL(9,'Consolidado-Eletronorte'!$AU$19:$AU$147)</f>
        <v>265246860.36107832</v>
      </c>
      <c r="AV13" s="204">
        <f>SUBTOTAL(9,'Consolidado-Eletronorte'!$AV$19:$AV$147)</f>
        <v>385098307.92981327</v>
      </c>
      <c r="AW13" s="204">
        <f>SUBTOTAL(9,'Consolidado-Eletronorte'!$AW$19:$AW$147)</f>
        <v>150700088.79250008</v>
      </c>
      <c r="AX13" s="204">
        <f>SUBTOTAL(9,'Consolidado-Eletronorte'!$AX$19:$AX$147)</f>
        <v>70476375.790000007</v>
      </c>
      <c r="AY13" s="204">
        <f>SUBTOTAL(9,'Consolidado-Eletronorte'!$AY$19:$AY$147)</f>
        <v>500000</v>
      </c>
      <c r="AZ13" s="204">
        <f>SUBTOTAL(9,'Consolidado-Eletronorte'!$AZ$19:$AZ$147)</f>
        <v>872021632.87339163</v>
      </c>
      <c r="BA13" s="204">
        <f>SUBTOTAL(9,'Consolidado-Eletronorte'!$BA$19:$BA$147)</f>
        <v>0</v>
      </c>
      <c r="BB13" s="204">
        <f>SUBTOTAL(9,'Consolidado-Eletronorte'!$BB$19:$BB$147)</f>
        <v>0</v>
      </c>
      <c r="BC13" s="204">
        <f>SUBTOTAL(9,'Consolidado-Eletronorte'!$BC$19:$BC$147)</f>
        <v>0</v>
      </c>
      <c r="BD13" s="204">
        <f>SUBTOTAL(9,'Consolidado-Eletronorte'!$BD$19:$BD$147)</f>
        <v>0</v>
      </c>
      <c r="BE13" s="204">
        <f>SUBTOTAL(9,'Consolidado-Eletronorte'!$BE$19:$BE$147)</f>
        <v>0</v>
      </c>
      <c r="BF13" s="204">
        <f>SUBTOTAL(9,'Consolidado-Eletronorte'!$BF$19:$BF$147)</f>
        <v>872021632.87339163</v>
      </c>
      <c r="BQ13" s="213"/>
      <c r="BR13" s="339">
        <f>SUBTOTAL(9,'Consolidado-Eletronorte'!$BR$19:$BR$147)</f>
        <v>331102266.41447252</v>
      </c>
      <c r="BS13" s="315" t="s">
        <v>440</v>
      </c>
    </row>
    <row r="14" spans="1:74" ht="16" thickBot="1" x14ac:dyDescent="0.4">
      <c r="A14" s="2"/>
      <c r="C14" s="2"/>
      <c r="D14" s="89"/>
      <c r="G14" s="63" t="s">
        <v>441</v>
      </c>
      <c r="H14" s="94" t="s">
        <v>442</v>
      </c>
      <c r="J14" s="232"/>
      <c r="L14" s="430"/>
      <c r="M14" s="430"/>
      <c r="N14" s="430"/>
      <c r="O14" s="430"/>
      <c r="AI14" s="205">
        <f>SUM('Consolidado-Eletronorte'!$AI$19:$AI$147)</f>
        <v>12228618.814166665</v>
      </c>
      <c r="AJ14" s="205">
        <f>SUM('Consolidado-Eletronorte'!$AJ$19:$AJ$147)</f>
        <v>25312351.724166669</v>
      </c>
      <c r="AK14" s="205">
        <f>SUM('Consolidado-Eletronorte'!$AK$19:$AK$147)</f>
        <v>11663497.764166666</v>
      </c>
      <c r="AL14" s="205">
        <f>SUM('Consolidado-Eletronorte'!$AL$19:$AL$147)</f>
        <v>18239778.484166667</v>
      </c>
      <c r="AM14" s="205">
        <f>SUM('Consolidado-Eletronorte'!$AM$19:$AM$147)</f>
        <v>48162027.230833337</v>
      </c>
      <c r="AN14" s="205">
        <f>SUM('Consolidado-Eletronorte'!$AN$19:$AN$147)</f>
        <v>24291326.124166667</v>
      </c>
      <c r="AO14" s="205">
        <f>SUM('Consolidado-Eletronorte'!$AO$19:$AO$147)</f>
        <v>18996443.054166667</v>
      </c>
      <c r="AP14" s="205">
        <f>SUM('Consolidado-Eletronorte'!$AP$19:$AP$147)</f>
        <v>63440761.422066651</v>
      </c>
      <c r="AQ14" s="205">
        <f>SUM('Consolidado-Eletronorte'!$AQ$19:$AQ$147)</f>
        <v>10497208.884166667</v>
      </c>
      <c r="AR14" s="205">
        <f>SUM('Consolidado-Eletronorte'!$AR$19:$AR$147)</f>
        <v>36471722.560833335</v>
      </c>
      <c r="AS14" s="205">
        <f>SUM('Consolidado-Eletronorte'!$AS$19:$AS$147)</f>
        <v>12634653.154166667</v>
      </c>
      <c r="AT14" s="205">
        <f>SUM('Consolidado-Eletronorte'!$AT$19:$AT$147)</f>
        <v>20609207.144011669</v>
      </c>
      <c r="AU14" s="205">
        <f>SUM('Consolidado-Eletronorte'!$AU$19:$AU$147)</f>
        <v>302547596.36107832</v>
      </c>
      <c r="AV14" s="205">
        <f>SUM('Consolidado-Eletronorte'!$AV$19:$AV$147)</f>
        <v>573522921.12981319</v>
      </c>
      <c r="AW14" s="205">
        <f>SUM('Consolidado-Eletronorte'!$AW$19:$AW$147)</f>
        <v>256726956.32250008</v>
      </c>
      <c r="AX14" s="205">
        <f>SUM('Consolidado-Eletronorte'!$AX$19:$AX$147)</f>
        <v>117585042.46000001</v>
      </c>
      <c r="AY14" s="205">
        <f>SUM('Consolidado-Eletronorte'!$AY$19:$AY$147)</f>
        <v>1500000</v>
      </c>
      <c r="AZ14" s="205">
        <f>SUM('Consolidado-Eletronorte'!$AZ$19:$AZ$147)</f>
        <v>1251882516.2733917</v>
      </c>
      <c r="BA14" s="205">
        <f>SUM('Consolidado-Eletronorte'!$BA$19:$BA$147)</f>
        <v>0</v>
      </c>
      <c r="BB14" s="205">
        <f>SUM('Consolidado-Eletronorte'!$BB$19:$BB$147)</f>
        <v>0</v>
      </c>
      <c r="BC14" s="205">
        <f>SUM('Consolidado-Eletronorte'!$BC$19:$BC$147)</f>
        <v>0</v>
      </c>
      <c r="BD14" s="205">
        <f>SUM('Consolidado-Eletronorte'!$BD$19:$BD$147)</f>
        <v>0</v>
      </c>
      <c r="BE14" s="205">
        <f>SUM('Consolidado-Eletronorte'!$BE$19:$BE$147)</f>
        <v>0</v>
      </c>
      <c r="BF14" s="205">
        <f>SUM('Consolidado-Eletronorte'!$BF$19:$BF$147)</f>
        <v>1251882516.2733917</v>
      </c>
      <c r="BQ14" s="213"/>
      <c r="BR14" s="339">
        <f>SUM('Consolidado-Eletronorte'!$BR$19:$BR$147)</f>
        <v>440705414.21447253</v>
      </c>
      <c r="BS14" s="2" t="s">
        <v>443</v>
      </c>
    </row>
    <row r="15" spans="1:74" ht="26.5" thickBot="1" x14ac:dyDescent="0.4">
      <c r="A15" s="203" t="e">
        <f>AND($H$12,'Consolidado-Eletronorte'!$B$19:$B$147)</f>
        <v>#REF!</v>
      </c>
      <c r="B15" s="12" t="str">
        <f>_xlfn.CONCAT(D19)</f>
        <v>COO</v>
      </c>
      <c r="C15" s="13"/>
      <c r="J15" s="232"/>
      <c r="L15" s="430"/>
      <c r="M15" s="430"/>
      <c r="N15" s="430"/>
      <c r="O15" s="430"/>
      <c r="AI15" s="90"/>
      <c r="AJ15" s="14"/>
      <c r="AK15" s="14"/>
      <c r="AL15" s="14"/>
      <c r="AM15" s="91"/>
      <c r="AN15" s="91"/>
      <c r="AO15" s="15"/>
      <c r="AP15" s="15"/>
      <c r="AQ15" s="15"/>
      <c r="AR15" s="15"/>
      <c r="AS15" s="15"/>
      <c r="AT15" s="15"/>
      <c r="AU15" s="316"/>
      <c r="AV15" s="316"/>
      <c r="AW15" s="316"/>
      <c r="AX15" s="316"/>
      <c r="AY15" s="316"/>
      <c r="AZ15" s="316"/>
      <c r="BA15" s="15"/>
      <c r="BB15" s="15"/>
      <c r="BC15" s="15"/>
      <c r="BD15" s="15"/>
      <c r="BQ15" s="315"/>
      <c r="BU15" s="342">
        <v>5472300</v>
      </c>
      <c r="BV15" s="119">
        <f>BU16*5</f>
        <v>4560250</v>
      </c>
    </row>
    <row r="16" spans="1:74" ht="15.5" x14ac:dyDescent="0.35">
      <c r="C16" s="2"/>
      <c r="H16" s="95"/>
      <c r="I16" s="67"/>
      <c r="J16" s="233" t="s">
        <v>444</v>
      </c>
      <c r="K16" s="206">
        <f>COUNTIF('Consolidado-Eletronorte'!$B$19:$B$147,TRUE)</f>
        <v>0</v>
      </c>
      <c r="L16" s="430"/>
      <c r="M16" s="430"/>
      <c r="N16" s="430"/>
      <c r="O16" s="430"/>
      <c r="AI16" s="90"/>
      <c r="AJ16" s="14"/>
      <c r="AK16" s="14"/>
      <c r="AL16" s="14"/>
      <c r="AM16" s="91"/>
      <c r="AN16" s="91"/>
      <c r="AO16" s="15"/>
      <c r="AP16" s="15"/>
      <c r="AQ16" s="15"/>
      <c r="AR16" s="15"/>
      <c r="AS16" s="15"/>
      <c r="AT16" s="15"/>
      <c r="AU16" s="316"/>
      <c r="AV16" s="316"/>
      <c r="AW16" s="316"/>
      <c r="AX16" s="316"/>
      <c r="AY16" s="316"/>
      <c r="AZ16" s="316"/>
      <c r="BA16" s="15"/>
      <c r="BB16" s="15"/>
      <c r="BC16" s="15"/>
      <c r="BD16" s="15"/>
      <c r="BU16" s="343">
        <f>BU15/6</f>
        <v>912050</v>
      </c>
    </row>
    <row r="17" spans="1:74" s="74" customFormat="1" ht="19.5" x14ac:dyDescent="0.45">
      <c r="A17" s="69" t="s">
        <v>445</v>
      </c>
      <c r="B17" s="70"/>
      <c r="C17" s="71"/>
      <c r="D17" s="71"/>
      <c r="E17" s="71"/>
      <c r="F17" s="71"/>
      <c r="G17" s="72"/>
      <c r="H17" s="98" t="s">
        <v>23</v>
      </c>
      <c r="I17" s="99"/>
      <c r="J17" s="99"/>
      <c r="K17" s="99"/>
      <c r="L17" s="100"/>
      <c r="M17" s="78" t="s">
        <v>446</v>
      </c>
      <c r="N17" s="101" t="s">
        <v>447</v>
      </c>
      <c r="O17" s="101"/>
      <c r="P17" s="102"/>
      <c r="Q17" s="102"/>
      <c r="R17" s="102"/>
      <c r="S17" s="102"/>
      <c r="T17" s="102"/>
      <c r="U17" s="102"/>
      <c r="V17" s="102"/>
      <c r="W17" s="102"/>
      <c r="X17" s="102"/>
      <c r="Y17" s="102"/>
      <c r="Z17" s="394"/>
      <c r="AA17" s="102"/>
      <c r="AB17" s="394"/>
      <c r="AC17" s="102"/>
      <c r="AD17" s="394"/>
      <c r="AE17" s="102"/>
      <c r="AF17" s="102"/>
      <c r="AG17" s="102"/>
      <c r="AH17" s="102"/>
      <c r="AI17" s="65" t="s">
        <v>448</v>
      </c>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6"/>
      <c r="BH17" s="102"/>
      <c r="BI17" s="388"/>
      <c r="BJ17" s="73"/>
      <c r="BN17" s="102"/>
      <c r="BR17" s="344"/>
      <c r="BT17" s="102"/>
    </row>
    <row r="18" spans="1:74" s="18" customFormat="1" ht="39.5" thickBot="1" x14ac:dyDescent="0.4">
      <c r="A18" s="249" t="s">
        <v>8</v>
      </c>
      <c r="B18" s="249" t="s">
        <v>10</v>
      </c>
      <c r="C18" s="249" t="s">
        <v>11</v>
      </c>
      <c r="D18" s="249" t="s">
        <v>13</v>
      </c>
      <c r="E18" s="249" t="s">
        <v>15</v>
      </c>
      <c r="F18" s="249" t="s">
        <v>16</v>
      </c>
      <c r="G18" s="249" t="s">
        <v>449</v>
      </c>
      <c r="H18" s="250" t="s">
        <v>20</v>
      </c>
      <c r="I18" s="250" t="s">
        <v>19</v>
      </c>
      <c r="J18" s="250" t="s">
        <v>21</v>
      </c>
      <c r="K18" s="250" t="s">
        <v>450</v>
      </c>
      <c r="L18" s="250" t="s">
        <v>451</v>
      </c>
      <c r="M18" s="251" t="s">
        <v>452</v>
      </c>
      <c r="N18" s="252" t="s">
        <v>453</v>
      </c>
      <c r="O18" s="149" t="s">
        <v>454</v>
      </c>
      <c r="P18" s="149" t="s">
        <v>455</v>
      </c>
      <c r="Q18" s="149" t="s">
        <v>456</v>
      </c>
      <c r="R18" s="149" t="s">
        <v>457</v>
      </c>
      <c r="S18" s="149" t="s">
        <v>458</v>
      </c>
      <c r="T18" s="250" t="s">
        <v>459</v>
      </c>
      <c r="U18" s="250" t="s">
        <v>460</v>
      </c>
      <c r="V18" s="251" t="s">
        <v>461</v>
      </c>
      <c r="W18" s="140" t="s">
        <v>462</v>
      </c>
      <c r="X18" s="140" t="s">
        <v>463</v>
      </c>
      <c r="Y18" s="149" t="s">
        <v>464</v>
      </c>
      <c r="Z18" s="395" t="s">
        <v>465</v>
      </c>
      <c r="AA18" s="149" t="s">
        <v>466</v>
      </c>
      <c r="AB18" s="395" t="s">
        <v>467</v>
      </c>
      <c r="AC18" s="149" t="s">
        <v>468</v>
      </c>
      <c r="AD18" s="395" t="s">
        <v>469</v>
      </c>
      <c r="AE18" s="149" t="s">
        <v>470</v>
      </c>
      <c r="AF18" s="149" t="s">
        <v>471</v>
      </c>
      <c r="AG18" s="149" t="s">
        <v>472</v>
      </c>
      <c r="AH18" s="429" t="s">
        <v>473</v>
      </c>
      <c r="AI18" s="253" t="s">
        <v>474</v>
      </c>
      <c r="AJ18" s="253" t="s">
        <v>475</v>
      </c>
      <c r="AK18" s="253" t="s">
        <v>476</v>
      </c>
      <c r="AL18" s="253" t="s">
        <v>477</v>
      </c>
      <c r="AM18" s="253" t="s">
        <v>478</v>
      </c>
      <c r="AN18" s="253" t="s">
        <v>479</v>
      </c>
      <c r="AO18" s="253" t="s">
        <v>480</v>
      </c>
      <c r="AP18" s="253" t="s">
        <v>481</v>
      </c>
      <c r="AQ18" s="253" t="s">
        <v>482</v>
      </c>
      <c r="AR18" s="253" t="s">
        <v>483</v>
      </c>
      <c r="AS18" s="253" t="s">
        <v>484</v>
      </c>
      <c r="AT18" s="253" t="s">
        <v>485</v>
      </c>
      <c r="AU18" s="254" t="s">
        <v>60</v>
      </c>
      <c r="AV18" s="254" t="s">
        <v>61</v>
      </c>
      <c r="AW18" s="254" t="s">
        <v>62</v>
      </c>
      <c r="AX18" s="254" t="s">
        <v>64</v>
      </c>
      <c r="AY18" s="254" t="s">
        <v>66</v>
      </c>
      <c r="AZ18" s="254" t="s">
        <v>486</v>
      </c>
      <c r="BA18" s="254" t="s">
        <v>67</v>
      </c>
      <c r="BB18" s="254" t="s">
        <v>68</v>
      </c>
      <c r="BC18" s="254" t="s">
        <v>69</v>
      </c>
      <c r="BD18" s="254" t="s">
        <v>487</v>
      </c>
      <c r="BE18" s="254" t="s">
        <v>488</v>
      </c>
      <c r="BF18" s="255" t="s">
        <v>489</v>
      </c>
      <c r="BG18" s="234" t="s">
        <v>490</v>
      </c>
      <c r="BH18" s="149" t="s">
        <v>491</v>
      </c>
      <c r="BI18" s="149" t="s">
        <v>492</v>
      </c>
      <c r="BJ18" s="235" t="s">
        <v>493</v>
      </c>
      <c r="BK18" s="110" t="s">
        <v>494</v>
      </c>
      <c r="BL18" s="256" t="s">
        <v>495</v>
      </c>
      <c r="BM18" s="235" t="s">
        <v>496</v>
      </c>
      <c r="BN18" s="149" t="s">
        <v>497</v>
      </c>
      <c r="BO18" s="359" t="s">
        <v>498</v>
      </c>
      <c r="BP18" s="235" t="s">
        <v>499</v>
      </c>
      <c r="BQ18" s="235" t="s">
        <v>500</v>
      </c>
      <c r="BR18" s="345" t="s">
        <v>501</v>
      </c>
      <c r="BS18" s="235" t="s">
        <v>502</v>
      </c>
      <c r="BT18" s="149" t="s">
        <v>503</v>
      </c>
      <c r="BU18" s="235" t="s">
        <v>504</v>
      </c>
      <c r="BV18" s="245" t="s">
        <v>505</v>
      </c>
    </row>
    <row r="19" spans="1:74" ht="15" thickTop="1" x14ac:dyDescent="0.35">
      <c r="A19" s="237">
        <v>378</v>
      </c>
      <c r="B19" s="237" t="e" cm="1">
        <f t="array" ref="B19">AND(ISTEXT('Consolidado-Eletronorte'!#REF!),SUM('Consolidado-Eletronorte'!#REF!)&gt;0)</f>
        <v>#REF!</v>
      </c>
      <c r="C19" s="237" t="str">
        <f ca="1">$J$13</f>
        <v>Capex Orcamentário_PE2026_2030_red_35_porcentoR3_consulta.xlsx</v>
      </c>
      <c r="D19" s="238" t="str">
        <f>$H$13</f>
        <v>COO</v>
      </c>
      <c r="E19" s="238" t="str">
        <f t="shared" ref="E19:E39" si="0">$H$14</f>
        <v>Lucas Martins</v>
      </c>
      <c r="F19" s="237" t="str">
        <f>_xlfn.CONCAT(Tabela10[[#This Row],[VP]],Tabela10[[#This Row],[Analise Estrategia]])</f>
        <v>COO378</v>
      </c>
      <c r="G19" s="239" t="e">
        <f>_xlfn.CONCAT('Consolidado-Eletronorte'!#REF!,"_",ROW('Consolidado-Eletronorte'!#REF!)-ROW('Consolidado-Eletronorte'!$G$18))</f>
        <v>#REF!</v>
      </c>
      <c r="H19" s="239" t="s">
        <v>506</v>
      </c>
      <c r="I19" s="237" t="s">
        <v>507</v>
      </c>
      <c r="J19" s="239" t="s">
        <v>508</v>
      </c>
      <c r="K19" s="237" t="s">
        <v>509</v>
      </c>
      <c r="L19" s="237" t="s">
        <v>509</v>
      </c>
      <c r="M19" s="237" t="s">
        <v>510</v>
      </c>
      <c r="N19" s="237"/>
      <c r="O19" s="237"/>
      <c r="P19" s="237" t="s">
        <v>511</v>
      </c>
      <c r="Q19" s="243" t="s">
        <v>317</v>
      </c>
      <c r="R19" s="239" t="s">
        <v>318</v>
      </c>
      <c r="S19" s="243" t="s">
        <v>317</v>
      </c>
      <c r="T19" s="237" t="s">
        <v>509</v>
      </c>
      <c r="U19" s="237" t="s">
        <v>509</v>
      </c>
      <c r="V19" s="237" t="s">
        <v>510</v>
      </c>
      <c r="W19" s="237" t="s">
        <v>510</v>
      </c>
      <c r="X19" s="237"/>
      <c r="Y19" s="237"/>
      <c r="Z19" s="396"/>
      <c r="AA19" s="237"/>
      <c r="AB19" s="396"/>
      <c r="AC19" s="239">
        <v>4500080379</v>
      </c>
      <c r="AD19" s="397">
        <v>900678920.33000004</v>
      </c>
      <c r="AE19" s="239" t="s">
        <v>512</v>
      </c>
      <c r="AF19" s="239" t="s">
        <v>513</v>
      </c>
      <c r="AG19" s="239" t="s">
        <v>514</v>
      </c>
      <c r="AH19" s="237" t="s">
        <v>319</v>
      </c>
      <c r="AI19" s="240">
        <v>11888566.659999998</v>
      </c>
      <c r="AJ19" s="240">
        <v>20886113.57</v>
      </c>
      <c r="AK19" s="240">
        <v>6922894.6099999994</v>
      </c>
      <c r="AL19" s="240">
        <v>1909305.8399999999</v>
      </c>
      <c r="AM19" s="240">
        <v>35832721.410000004</v>
      </c>
      <c r="AN19" s="240">
        <v>15091386.969999999</v>
      </c>
      <c r="AO19" s="240">
        <v>16898137.739999998</v>
      </c>
      <c r="AP19" s="240">
        <v>22249745.649999995</v>
      </c>
      <c r="AQ19" s="240">
        <v>993648.17</v>
      </c>
      <c r="AR19" s="240">
        <v>11791477.140000002</v>
      </c>
      <c r="AS19" s="240">
        <v>2500000</v>
      </c>
      <c r="AT19" s="240">
        <v>2500000</v>
      </c>
      <c r="AU19" s="240">
        <f>SUM(Tabela10[[#This Row],[jan/26]:[dez/26]])</f>
        <v>149463997.75999999</v>
      </c>
      <c r="AV19" s="240">
        <v>186404977.93658334</v>
      </c>
      <c r="AW19" s="240">
        <v>138328625.18250006</v>
      </c>
      <c r="AX19" s="240">
        <v>69976375.790000007</v>
      </c>
      <c r="AY19" s="240">
        <v>500000</v>
      </c>
      <c r="AZ19" s="240">
        <f>SUM(Tabela10[[#This Row],[2026]:[2030]])</f>
        <v>544673976.66908336</v>
      </c>
      <c r="BA19" s="242">
        <v>0</v>
      </c>
      <c r="BB19" s="240">
        <v>0</v>
      </c>
      <c r="BC19" s="240">
        <v>0</v>
      </c>
      <c r="BD19" s="240">
        <v>0</v>
      </c>
      <c r="BE19" s="240">
        <v>0</v>
      </c>
      <c r="BF19" s="241">
        <f>SUM(Tabela10[[#This Row],[2026-2030]:[2035]])</f>
        <v>544673976.66908336</v>
      </c>
      <c r="BG19" s="243" t="e" cm="1" vm="1">
        <f t="array" aca="1" ref="BG19" ca="1">_xlfn.SEQUENCE(COUNTA(Tabela10[Empresa]),1,1)</f>
        <v>#VALUE!</v>
      </c>
      <c r="BH19" s="243" t="s">
        <v>317</v>
      </c>
      <c r="BI19" s="243" t="e">
        <f>VLOOKUP(Tabela10[[#This Row],[ID real2]],[2]CONSOLIDADA!$AU:$AZ,6,FALSE)</f>
        <v>#N/A</v>
      </c>
      <c r="BJ19" s="243" t="s">
        <v>320</v>
      </c>
      <c r="BK19" s="243">
        <v>2024</v>
      </c>
      <c r="BL19" s="243" t="s">
        <v>515</v>
      </c>
      <c r="BM19" s="243" t="s">
        <v>516</v>
      </c>
      <c r="BN19" s="243" t="s">
        <v>317</v>
      </c>
      <c r="BO19" s="243" t="s">
        <v>517</v>
      </c>
      <c r="BP19" s="243" t="s">
        <v>518</v>
      </c>
      <c r="BQ19" s="243" t="s">
        <v>517</v>
      </c>
      <c r="BR19" s="346">
        <v>171280364.75447249</v>
      </c>
      <c r="BS19" s="243" t="s">
        <v>519</v>
      </c>
      <c r="BT19" s="243" t="s">
        <v>317</v>
      </c>
      <c r="BU19" s="243" t="s">
        <v>520</v>
      </c>
      <c r="BV19" s="243" t="str">
        <f>Tabela10[[#This Row],[Descrição do projeto]]</f>
        <v>Modernização SPCS+ UHE Tucuruí</v>
      </c>
    </row>
    <row r="20" spans="1:74" x14ac:dyDescent="0.35">
      <c r="A20" s="237"/>
      <c r="B20" s="384"/>
      <c r="C20" s="237"/>
      <c r="D20" s="238"/>
      <c r="E20" s="385" t="str">
        <f t="shared" si="0"/>
        <v>Lucas Martins</v>
      </c>
      <c r="F20" s="237"/>
      <c r="G20" s="386" t="str">
        <f>_xlfn.CONCAT('Consolidado-Eletronorte'!$D20,"_",ROW('Consolidado-Eletronorte'!$G20)-ROW('Consolidado-Eletronorte'!$G$18))</f>
        <v>_2</v>
      </c>
      <c r="H20" s="239"/>
      <c r="I20" s="237"/>
      <c r="J20" s="239"/>
      <c r="K20" s="237"/>
      <c r="L20" s="237"/>
      <c r="M20" s="237"/>
      <c r="N20" s="237"/>
      <c r="O20" s="237"/>
      <c r="P20" s="237"/>
      <c r="Q20" s="243" t="s">
        <v>317</v>
      </c>
      <c r="R20" s="239" t="s">
        <v>318</v>
      </c>
      <c r="S20" s="243" t="s">
        <v>317</v>
      </c>
      <c r="T20" s="237" t="s">
        <v>509</v>
      </c>
      <c r="U20" s="237" t="s">
        <v>509</v>
      </c>
      <c r="V20" s="237" t="s">
        <v>510</v>
      </c>
      <c r="W20" s="237" t="s">
        <v>510</v>
      </c>
      <c r="X20" s="237"/>
      <c r="Y20" s="237"/>
      <c r="Z20" s="396"/>
      <c r="AA20" s="237"/>
      <c r="AB20" s="396"/>
      <c r="AC20" s="239">
        <v>4500083678</v>
      </c>
      <c r="AD20" s="397">
        <v>6623940.5</v>
      </c>
      <c r="AE20" s="239" t="s">
        <v>521</v>
      </c>
      <c r="AF20" s="239" t="s">
        <v>522</v>
      </c>
      <c r="AG20" s="239"/>
      <c r="AH20" s="237"/>
      <c r="AI20" s="242"/>
      <c r="AJ20" s="242"/>
      <c r="AK20" s="242"/>
      <c r="AL20" s="242"/>
      <c r="AM20" s="242"/>
      <c r="AN20" s="242"/>
      <c r="AO20" s="240"/>
      <c r="AP20" s="240"/>
      <c r="AQ20" s="240"/>
      <c r="AR20" s="240"/>
      <c r="AS20" s="240"/>
      <c r="AT20" s="240"/>
      <c r="AU20" s="240">
        <f>SUM(Tabela10[[#This Row],[jan/26]:[dez/26]])</f>
        <v>0</v>
      </c>
      <c r="AV20" s="240"/>
      <c r="AW20" s="240"/>
      <c r="AX20" s="240"/>
      <c r="AY20" s="240"/>
      <c r="AZ20" s="240">
        <f>SUM(Tabela10[[#This Row],[2026]:[2030]])</f>
        <v>0</v>
      </c>
      <c r="BA20" s="242"/>
      <c r="BB20" s="240"/>
      <c r="BC20" s="240"/>
      <c r="BD20" s="240"/>
      <c r="BE20" s="240"/>
      <c r="BF20" s="248">
        <f>SUM(Tabela10[[#This Row],[2026-2030]:[2035]])</f>
        <v>0</v>
      </c>
      <c r="BG20" s="243" t="e" cm="1" vm="1">
        <f t="array" aca="1" ref="BG20" ca="1">_xlfn.SEQUENCE(COUNTA(Tabela10[Empresa]),1,1)</f>
        <v>#VALUE!</v>
      </c>
      <c r="BH20" s="243" t="s">
        <v>317</v>
      </c>
      <c r="BI20" s="243" t="e">
        <f>VLOOKUP(Tabela10[[#This Row],[ID real2]],[2]CONSOLIDADA!$AU:$AZ,6,FALSE)</f>
        <v>#N/A</v>
      </c>
      <c r="BJ20" s="243" t="s">
        <v>320</v>
      </c>
      <c r="BK20" s="243"/>
      <c r="BL20" s="243"/>
      <c r="BM20" s="243"/>
      <c r="BN20" s="243" t="s">
        <v>317</v>
      </c>
      <c r="BO20" s="243"/>
      <c r="BP20" s="243"/>
      <c r="BQ20" s="243"/>
      <c r="BR20" s="387"/>
      <c r="BS20" s="243"/>
      <c r="BT20" s="243" t="s">
        <v>317</v>
      </c>
      <c r="BU20" s="243" t="s">
        <v>520</v>
      </c>
      <c r="BV20" s="243" t="str">
        <f>Tabela10[[#This Row],[Descrição do projeto]]</f>
        <v>Modernização SPCS+ UHE Tucuruí</v>
      </c>
    </row>
    <row r="21" spans="1:74" x14ac:dyDescent="0.35">
      <c r="A21" s="237"/>
      <c r="B21" s="384" t="b" cm="1">
        <f t="array" ref="B21">AND(ISTEXT('Consolidado-Eletronorte'!$H21:$M21),SUM('Consolidado-Eletronorte'!$AI21:$BF21)&gt;0)</f>
        <v>0</v>
      </c>
      <c r="C21" s="237" t="str">
        <f t="shared" ref="C21:C39" ca="1" si="1">$J$13</f>
        <v>Capex Orcamentário_PE2026_2030_red_35_porcentoR3_consulta.xlsx</v>
      </c>
      <c r="D21" s="238" t="str">
        <f t="shared" ref="D21:D39" si="2">$H$13</f>
        <v>COO</v>
      </c>
      <c r="E21" s="385" t="str">
        <f t="shared" si="0"/>
        <v>Lucas Martins</v>
      </c>
      <c r="F21" s="237"/>
      <c r="G21" s="386" t="str">
        <f>_xlfn.CONCAT('Consolidado-Eletronorte'!$D21,"_",ROW('Consolidado-Eletronorte'!$G21)-ROW('Consolidado-Eletronorte'!$G$18))</f>
        <v>COO_3</v>
      </c>
      <c r="H21" s="239"/>
      <c r="I21" s="237"/>
      <c r="J21" s="239"/>
      <c r="K21" s="237"/>
      <c r="L21" s="237"/>
      <c r="M21" s="237"/>
      <c r="N21" s="237"/>
      <c r="O21" s="237"/>
      <c r="P21" s="237"/>
      <c r="Q21" s="243" t="s">
        <v>317</v>
      </c>
      <c r="R21" s="239" t="s">
        <v>318</v>
      </c>
      <c r="S21" s="243" t="s">
        <v>317</v>
      </c>
      <c r="T21" s="237" t="s">
        <v>509</v>
      </c>
      <c r="U21" s="237" t="s">
        <v>509</v>
      </c>
      <c r="V21" s="237" t="s">
        <v>510</v>
      </c>
      <c r="W21" s="237" t="s">
        <v>510</v>
      </c>
      <c r="X21" s="237"/>
      <c r="Y21" s="237"/>
      <c r="Z21" s="396"/>
      <c r="AA21" s="237">
        <v>4600002316</v>
      </c>
      <c r="AB21" s="396">
        <v>4906000.5999999996</v>
      </c>
      <c r="AC21" s="239">
        <v>4500092563</v>
      </c>
      <c r="AD21" s="397">
        <v>4906000.5999999996</v>
      </c>
      <c r="AE21" s="239" t="s">
        <v>523</v>
      </c>
      <c r="AF21" s="239" t="s">
        <v>524</v>
      </c>
      <c r="AG21" s="239"/>
      <c r="AH21" s="237"/>
      <c r="AI21" s="242"/>
      <c r="AJ21" s="242"/>
      <c r="AK21" s="242"/>
      <c r="AL21" s="242"/>
      <c r="AM21" s="242"/>
      <c r="AN21" s="242"/>
      <c r="AO21" s="240"/>
      <c r="AP21" s="240"/>
      <c r="AQ21" s="240"/>
      <c r="AR21" s="240"/>
      <c r="AS21" s="240"/>
      <c r="AT21" s="240"/>
      <c r="AU21" s="240">
        <f>SUM(Tabela10[[#This Row],[jan/26]:[dez/26]])</f>
        <v>0</v>
      </c>
      <c r="AV21" s="240"/>
      <c r="AW21" s="240"/>
      <c r="AX21" s="240"/>
      <c r="AY21" s="240"/>
      <c r="AZ21" s="240">
        <f>SUM(Tabela10[[#This Row],[2026]:[2030]])</f>
        <v>0</v>
      </c>
      <c r="BA21" s="242"/>
      <c r="BB21" s="240"/>
      <c r="BC21" s="240"/>
      <c r="BD21" s="240"/>
      <c r="BE21" s="240"/>
      <c r="BF21" s="248">
        <f>SUM(Tabela10[[#This Row],[2026-2030]:[2035]])</f>
        <v>0</v>
      </c>
      <c r="BG21" s="243" t="e" cm="1" vm="1">
        <f t="array" aca="1" ref="BG21" ca="1">_xlfn.SEQUENCE(COUNTA(Tabela10[Empresa]),1,1)</f>
        <v>#VALUE!</v>
      </c>
      <c r="BH21" s="243" t="s">
        <v>317</v>
      </c>
      <c r="BI21" s="243" t="e">
        <f>VLOOKUP(Tabela10[[#This Row],[ID real2]],[2]CONSOLIDADA!$AU:$AZ,6,FALSE)</f>
        <v>#N/A</v>
      </c>
      <c r="BJ21" s="243" t="s">
        <v>320</v>
      </c>
      <c r="BK21" s="243"/>
      <c r="BL21" s="243"/>
      <c r="BM21" s="243"/>
      <c r="BN21" s="243" t="s">
        <v>317</v>
      </c>
      <c r="BO21" s="243"/>
      <c r="BP21" s="243"/>
      <c r="BQ21" s="243"/>
      <c r="BR21" s="387"/>
      <c r="BS21" s="243"/>
      <c r="BT21" s="243" t="s">
        <v>317</v>
      </c>
      <c r="BU21" s="243" t="s">
        <v>520</v>
      </c>
      <c r="BV21" s="243" t="str">
        <f>Tabela10[[#This Row],[Descrição do projeto]]</f>
        <v>Modernização SPCS+ UHE Tucuruí</v>
      </c>
    </row>
    <row r="22" spans="1:74" x14ac:dyDescent="0.35">
      <c r="A22" s="237"/>
      <c r="B22" s="384" t="b" cm="1">
        <f t="array" ref="B22">AND(ISTEXT('Consolidado-Eletronorte'!$H22:$M22),SUM('Consolidado-Eletronorte'!$AI22:$BF22)&gt;0)</f>
        <v>0</v>
      </c>
      <c r="C22" s="237" t="str">
        <f t="shared" ca="1" si="1"/>
        <v>Capex Orcamentário_PE2026_2030_red_35_porcentoR3_consulta.xlsx</v>
      </c>
      <c r="D22" s="238" t="str">
        <f t="shared" si="2"/>
        <v>COO</v>
      </c>
      <c r="E22" s="385" t="str">
        <f t="shared" si="0"/>
        <v>Lucas Martins</v>
      </c>
      <c r="F22" s="237"/>
      <c r="G22" s="386" t="str">
        <f>_xlfn.CONCAT('Consolidado-Eletronorte'!$D22,"_",ROW('Consolidado-Eletronorte'!$G22)-ROW('Consolidado-Eletronorte'!$G$18))</f>
        <v>COO_4</v>
      </c>
      <c r="H22" s="239"/>
      <c r="I22" s="237"/>
      <c r="J22" s="239"/>
      <c r="K22" s="237"/>
      <c r="L22" s="237"/>
      <c r="M22" s="237"/>
      <c r="N22" s="237"/>
      <c r="O22" s="237"/>
      <c r="P22" s="237"/>
      <c r="Q22" s="243" t="s">
        <v>317</v>
      </c>
      <c r="R22" s="239" t="s">
        <v>318</v>
      </c>
      <c r="S22" s="243" t="s">
        <v>317</v>
      </c>
      <c r="T22" s="237"/>
      <c r="U22" s="237"/>
      <c r="V22" s="237"/>
      <c r="W22" s="237"/>
      <c r="X22" s="237"/>
      <c r="Y22" s="237"/>
      <c r="Z22" s="396"/>
      <c r="AA22" s="237"/>
      <c r="AB22" s="396"/>
      <c r="AC22" s="239">
        <v>4500083678</v>
      </c>
      <c r="AD22" s="397">
        <v>6623940.5</v>
      </c>
      <c r="AE22" s="239" t="s">
        <v>525</v>
      </c>
      <c r="AF22" s="239" t="s">
        <v>522</v>
      </c>
      <c r="AG22" s="239"/>
      <c r="AH22" s="237"/>
      <c r="AI22" s="242"/>
      <c r="AJ22" s="242"/>
      <c r="AK22" s="242"/>
      <c r="AL22" s="242"/>
      <c r="AM22" s="242"/>
      <c r="AN22" s="242"/>
      <c r="AO22" s="240"/>
      <c r="AP22" s="240"/>
      <c r="AQ22" s="240"/>
      <c r="AR22" s="240"/>
      <c r="AS22" s="240"/>
      <c r="AT22" s="240"/>
      <c r="AU22" s="240">
        <f>SUM(Tabela10[[#This Row],[jan/26]:[dez/26]])</f>
        <v>0</v>
      </c>
      <c r="AV22" s="240"/>
      <c r="AW22" s="240"/>
      <c r="AX22" s="240"/>
      <c r="AY22" s="240"/>
      <c r="AZ22" s="240">
        <f>SUM(Tabela10[[#This Row],[2026]:[2030]])</f>
        <v>0</v>
      </c>
      <c r="BA22" s="242"/>
      <c r="BB22" s="240"/>
      <c r="BC22" s="240"/>
      <c r="BD22" s="240"/>
      <c r="BE22" s="240"/>
      <c r="BF22" s="248">
        <f>SUM(Tabela10[[#This Row],[2026-2030]:[2035]])</f>
        <v>0</v>
      </c>
      <c r="BG22" s="243" t="e" cm="1" vm="1">
        <f t="array" aca="1" ref="BG22" ca="1">_xlfn.SEQUENCE(COUNTA(Tabela10[Empresa]),1,1)</f>
        <v>#VALUE!</v>
      </c>
      <c r="BH22" s="243"/>
      <c r="BI22" s="243" t="e">
        <f>VLOOKUP(Tabela10[[#This Row],[ID real2]],[2]CONSOLIDADA!$AU:$AZ,6,FALSE)</f>
        <v>#N/A</v>
      </c>
      <c r="BJ22" s="243"/>
      <c r="BK22" s="243"/>
      <c r="BL22" s="243"/>
      <c r="BM22" s="243"/>
      <c r="BN22" s="243"/>
      <c r="BO22" s="243"/>
      <c r="BP22" s="243"/>
      <c r="BQ22" s="243"/>
      <c r="BR22" s="387"/>
      <c r="BS22" s="243"/>
      <c r="BT22" s="243"/>
      <c r="BU22" s="243"/>
      <c r="BV22" s="243" t="str">
        <f>Tabela10[[#This Row],[Descrição do projeto]]</f>
        <v>Modernização SPCS+ UHE Tucuruí</v>
      </c>
    </row>
    <row r="23" spans="1:74" x14ac:dyDescent="0.35">
      <c r="A23" s="237">
        <v>373</v>
      </c>
      <c r="B23" s="237" t="e" cm="1">
        <f t="array" ref="B23">AND(ISTEXT('Consolidado-Eletronorte'!#REF!),SUM('Consolidado-Eletronorte'!#REF!)&gt;0)</f>
        <v>#REF!</v>
      </c>
      <c r="C23" s="237" t="str">
        <f t="shared" ca="1" si="1"/>
        <v>Capex Orcamentário_PE2026_2030_red_35_porcentoR3_consulta.xlsx</v>
      </c>
      <c r="D23" s="238" t="str">
        <f t="shared" si="2"/>
        <v>COO</v>
      </c>
      <c r="E23" s="238" t="str">
        <f t="shared" si="0"/>
        <v>Lucas Martins</v>
      </c>
      <c r="F23" s="237" t="str">
        <f>_xlfn.CONCAT(Tabela10[[#This Row],[VP]],Tabela10[[#This Row],[Analise Estrategia]])</f>
        <v>COO373</v>
      </c>
      <c r="G23" s="239" t="e">
        <f>_xlfn.CONCAT('Consolidado-Eletronorte'!#REF!,"_",ROW('Consolidado-Eletronorte'!#REF!)-ROW('Consolidado-Eletronorte'!$G$18))</f>
        <v>#REF!</v>
      </c>
      <c r="H23" s="239" t="s">
        <v>506</v>
      </c>
      <c r="I23" s="237" t="s">
        <v>507</v>
      </c>
      <c r="J23" s="239" t="s">
        <v>508</v>
      </c>
      <c r="K23" s="237" t="s">
        <v>509</v>
      </c>
      <c r="L23" s="237" t="s">
        <v>509</v>
      </c>
      <c r="M23" s="237" t="s">
        <v>526</v>
      </c>
      <c r="N23" s="237"/>
      <c r="O23" s="237"/>
      <c r="P23" s="237" t="s">
        <v>511</v>
      </c>
      <c r="Q23" s="243" t="s">
        <v>322</v>
      </c>
      <c r="R23" s="239" t="s">
        <v>323</v>
      </c>
      <c r="S23" s="243" t="s">
        <v>322</v>
      </c>
      <c r="T23" s="237" t="s">
        <v>509</v>
      </c>
      <c r="U23" s="237" t="s">
        <v>509</v>
      </c>
      <c r="V23" s="237" t="s">
        <v>526</v>
      </c>
      <c r="W23" s="237" t="s">
        <v>526</v>
      </c>
      <c r="X23" s="237"/>
      <c r="Y23" s="239">
        <v>3400004035</v>
      </c>
      <c r="Z23" s="397">
        <v>226000000</v>
      </c>
      <c r="AA23" s="237">
        <v>4600002745</v>
      </c>
      <c r="AB23" s="396">
        <v>175279839.15000001</v>
      </c>
      <c r="AC23" s="239">
        <v>4500093709</v>
      </c>
      <c r="AD23" s="397">
        <v>175279839.15000001</v>
      </c>
      <c r="AE23" s="239" t="s">
        <v>527</v>
      </c>
      <c r="AF23" s="239" t="s">
        <v>528</v>
      </c>
      <c r="AG23" s="239" t="s">
        <v>529</v>
      </c>
      <c r="AH23" s="237" t="s">
        <v>319</v>
      </c>
      <c r="AI23" s="240">
        <v>0</v>
      </c>
      <c r="AJ23" s="240"/>
      <c r="AK23" s="240"/>
      <c r="AL23" s="240">
        <v>0</v>
      </c>
      <c r="AM23" s="240">
        <v>0</v>
      </c>
      <c r="AN23" s="240"/>
      <c r="AO23" s="240">
        <v>0</v>
      </c>
      <c r="AP23" s="240">
        <v>19838463.617899999</v>
      </c>
      <c r="AQ23" s="240"/>
      <c r="AR23" s="240"/>
      <c r="AS23" s="240"/>
      <c r="AT23" s="240">
        <v>10903654.989845</v>
      </c>
      <c r="AU23" s="240">
        <f>SUM(Tabela10[[#This Row],[jan/26]:[dez/26]])</f>
        <v>30742118.607744999</v>
      </c>
      <c r="AV23" s="240">
        <v>165692110.97322997</v>
      </c>
      <c r="AW23" s="240"/>
      <c r="AX23" s="240">
        <v>0</v>
      </c>
      <c r="AY23" s="240">
        <v>0</v>
      </c>
      <c r="AZ23" s="240">
        <f>SUM(Tabela10[[#This Row],[2026]:[2030]])</f>
        <v>196434229.58097497</v>
      </c>
      <c r="BA23" s="242">
        <v>0</v>
      </c>
      <c r="BB23" s="240">
        <v>0</v>
      </c>
      <c r="BC23" s="240">
        <v>0</v>
      </c>
      <c r="BD23" s="240">
        <v>0</v>
      </c>
      <c r="BE23" s="240">
        <v>0</v>
      </c>
      <c r="BF23" s="241">
        <f>SUM(Tabela10[[#This Row],[2026-2030]:[2035]])</f>
        <v>196434229.58097497</v>
      </c>
      <c r="BG23" s="243" t="e" cm="1" vm="1">
        <f t="array" aca="1" ref="BG23" ca="1">_xlfn.SEQUENCE(COUNTA(Tabela10[Empresa]),1,1)</f>
        <v>#VALUE!</v>
      </c>
      <c r="BH23" s="243" t="s">
        <v>322</v>
      </c>
      <c r="BI23" s="243" t="e">
        <f>VLOOKUP(Tabela10[[#This Row],[ID real2]],[2]CONSOLIDADA!$AU:$AZ,6,FALSE)</f>
        <v>#N/A</v>
      </c>
      <c r="BJ23" s="243" t="s">
        <v>320</v>
      </c>
      <c r="BK23" s="243">
        <v>2024</v>
      </c>
      <c r="BL23" s="243" t="s">
        <v>530</v>
      </c>
      <c r="BM23" s="243" t="s">
        <v>531</v>
      </c>
      <c r="BN23" s="243" t="s">
        <v>322</v>
      </c>
      <c r="BO23" s="243" t="s">
        <v>517</v>
      </c>
      <c r="BP23" s="243" t="s">
        <v>518</v>
      </c>
      <c r="BQ23" s="243" t="s">
        <v>517</v>
      </c>
      <c r="BR23" s="346">
        <v>71760000</v>
      </c>
      <c r="BS23" s="243" t="s">
        <v>532</v>
      </c>
      <c r="BT23" s="243" t="s">
        <v>322</v>
      </c>
      <c r="BU23" s="243" t="s">
        <v>533</v>
      </c>
      <c r="BV23" s="243" t="str">
        <f>Tabela10[[#This Row],[Descrição do projeto]]</f>
        <v>Substituição Transformador 550kV UHE Tucuruí (5 trafo)</v>
      </c>
    </row>
    <row r="24" spans="1:74" x14ac:dyDescent="0.35">
      <c r="A24" s="237"/>
      <c r="B24" s="384" t="b" cm="1">
        <f t="array" ref="B24">AND(ISTEXT('Consolidado-Eletronorte'!$H24:$M24),SUM('Consolidado-Eletronorte'!$AI24:$BF24)&gt;0)</f>
        <v>0</v>
      </c>
      <c r="C24" s="237" t="str">
        <f t="shared" ca="1" si="1"/>
        <v>Capex Orcamentário_PE2026_2030_red_35_porcentoR3_consulta.xlsx</v>
      </c>
      <c r="D24" s="238" t="str">
        <f t="shared" si="2"/>
        <v>COO</v>
      </c>
      <c r="E24" s="385" t="str">
        <f t="shared" si="0"/>
        <v>Lucas Martins</v>
      </c>
      <c r="F24" s="237"/>
      <c r="G24" s="386" t="str">
        <f>_xlfn.CONCAT('Consolidado-Eletronorte'!$D24,"_",ROW('Consolidado-Eletronorte'!$G24)-ROW('Consolidado-Eletronorte'!$G$18))</f>
        <v>COO_6</v>
      </c>
      <c r="H24" s="239"/>
      <c r="I24" s="237"/>
      <c r="J24" s="239"/>
      <c r="K24" s="237"/>
      <c r="L24" s="237"/>
      <c r="M24" s="237"/>
      <c r="N24" s="237"/>
      <c r="O24" s="237"/>
      <c r="P24" s="237"/>
      <c r="Q24" s="243" t="s">
        <v>322</v>
      </c>
      <c r="R24" s="239" t="s">
        <v>323</v>
      </c>
      <c r="S24" s="243" t="s">
        <v>322</v>
      </c>
      <c r="T24" s="237"/>
      <c r="U24" s="237"/>
      <c r="V24" s="237"/>
      <c r="W24" s="237"/>
      <c r="X24" s="237"/>
      <c r="Y24" s="237"/>
      <c r="Z24" s="396"/>
      <c r="AA24" s="237"/>
      <c r="AB24" s="396"/>
      <c r="AC24" s="239">
        <v>4500083678</v>
      </c>
      <c r="AD24" s="397">
        <v>6623940.5</v>
      </c>
      <c r="AE24" s="239" t="s">
        <v>534</v>
      </c>
      <c r="AF24" s="239" t="s">
        <v>522</v>
      </c>
      <c r="AG24" s="239"/>
      <c r="AH24" s="237"/>
      <c r="AI24" s="242"/>
      <c r="AJ24" s="242"/>
      <c r="AK24" s="242"/>
      <c r="AL24" s="242"/>
      <c r="AM24" s="242"/>
      <c r="AN24" s="242"/>
      <c r="AO24" s="240"/>
      <c r="AP24" s="240"/>
      <c r="AQ24" s="240"/>
      <c r="AR24" s="240"/>
      <c r="AS24" s="240"/>
      <c r="AT24" s="240"/>
      <c r="AU24" s="240">
        <f>SUM(Tabela10[[#This Row],[jan/26]:[dez/26]])</f>
        <v>0</v>
      </c>
      <c r="AV24" s="240"/>
      <c r="AW24" s="240"/>
      <c r="AX24" s="240"/>
      <c r="AY24" s="240"/>
      <c r="AZ24" s="240">
        <f>SUM(Tabela10[[#This Row],[2026]:[2030]])</f>
        <v>0</v>
      </c>
      <c r="BA24" s="242"/>
      <c r="BB24" s="240"/>
      <c r="BC24" s="240"/>
      <c r="BD24" s="240"/>
      <c r="BE24" s="240"/>
      <c r="BF24" s="248">
        <f>SUM(Tabela10[[#This Row],[2026-2030]:[2035]])</f>
        <v>0</v>
      </c>
      <c r="BG24" s="243" t="e" cm="1" vm="1">
        <f t="array" aca="1" ref="BG24" ca="1">_xlfn.SEQUENCE(COUNTA(Tabela10[Empresa]),1,1)</f>
        <v>#VALUE!</v>
      </c>
      <c r="BH24" s="243"/>
      <c r="BI24" s="243" t="e">
        <f>VLOOKUP(Tabela10[[#This Row],[ID real2]],[2]CONSOLIDADA!$AU:$AZ,6,FALSE)</f>
        <v>#N/A</v>
      </c>
      <c r="BJ24" s="243"/>
      <c r="BK24" s="243"/>
      <c r="BL24" s="243"/>
      <c r="BM24" s="243"/>
      <c r="BN24" s="243"/>
      <c r="BO24" s="243"/>
      <c r="BP24" s="243"/>
      <c r="BQ24" s="243"/>
      <c r="BR24" s="387"/>
      <c r="BS24" s="243"/>
      <c r="BT24" s="243"/>
      <c r="BU24" s="243"/>
      <c r="BV24" s="243" t="str">
        <f>Tabela10[[#This Row],[Descrição do projeto]]</f>
        <v>Substituição Transformador 550kV UHE Tucuruí (5 trafo)</v>
      </c>
    </row>
    <row r="25" spans="1:74" x14ac:dyDescent="0.35">
      <c r="A25" s="237">
        <v>372</v>
      </c>
      <c r="B25" s="237" t="e" cm="1">
        <f t="array" ref="B25">AND(ISTEXT('Consolidado-Eletronorte'!#REF!),SUM('Consolidado-Eletronorte'!#REF!)&gt;0)</f>
        <v>#REF!</v>
      </c>
      <c r="C25" s="237" t="str">
        <f t="shared" ca="1" si="1"/>
        <v>Capex Orcamentário_PE2026_2030_red_35_porcentoR3_consulta.xlsx</v>
      </c>
      <c r="D25" s="238" t="str">
        <f t="shared" si="2"/>
        <v>COO</v>
      </c>
      <c r="E25" s="238" t="str">
        <f t="shared" si="0"/>
        <v>Lucas Martins</v>
      </c>
      <c r="F25" s="237" t="str">
        <f>_xlfn.CONCAT(Tabela10[[#This Row],[VP]],Tabela10[[#This Row],[Analise Estrategia]])</f>
        <v>COO372</v>
      </c>
      <c r="G25" s="239" t="e">
        <f>_xlfn.CONCAT('Consolidado-Eletronorte'!#REF!,"_",ROW('Consolidado-Eletronorte'!#REF!)-ROW('Consolidado-Eletronorte'!$G$18))</f>
        <v>#REF!</v>
      </c>
      <c r="H25" s="239" t="s">
        <v>506</v>
      </c>
      <c r="I25" s="237" t="s">
        <v>507</v>
      </c>
      <c r="J25" s="239" t="s">
        <v>508</v>
      </c>
      <c r="K25" s="237" t="s">
        <v>509</v>
      </c>
      <c r="L25" s="237" t="s">
        <v>509</v>
      </c>
      <c r="M25" s="237" t="s">
        <v>535</v>
      </c>
      <c r="N25" s="237"/>
      <c r="O25" s="237"/>
      <c r="P25" s="237" t="s">
        <v>511</v>
      </c>
      <c r="Q25" s="243" t="s">
        <v>325</v>
      </c>
      <c r="R25" s="239" t="s">
        <v>326</v>
      </c>
      <c r="S25" s="243" t="s">
        <v>325</v>
      </c>
      <c r="T25" s="237" t="s">
        <v>509</v>
      </c>
      <c r="U25" s="237" t="s">
        <v>509</v>
      </c>
      <c r="V25" s="237" t="s">
        <v>535</v>
      </c>
      <c r="W25" s="237" t="s">
        <v>535</v>
      </c>
      <c r="X25" s="237"/>
      <c r="Y25" s="237"/>
      <c r="Z25" s="396"/>
      <c r="AA25" s="237"/>
      <c r="AB25" s="396"/>
      <c r="AC25" s="239">
        <v>4500080069</v>
      </c>
      <c r="AD25" s="397">
        <v>97552544.549999997</v>
      </c>
      <c r="AE25" s="239" t="s">
        <v>536</v>
      </c>
      <c r="AF25" s="239" t="s">
        <v>537</v>
      </c>
      <c r="AG25" s="239" t="s">
        <v>529</v>
      </c>
      <c r="AH25" s="237" t="s">
        <v>319</v>
      </c>
      <c r="AI25" s="240">
        <v>173385.48750000002</v>
      </c>
      <c r="AJ25" s="240">
        <v>173385.48750000002</v>
      </c>
      <c r="AK25" s="240">
        <v>173385.48750000002</v>
      </c>
      <c r="AL25" s="240">
        <v>9038805.977500001</v>
      </c>
      <c r="AM25" s="240">
        <v>7332139.1541666668</v>
      </c>
      <c r="AN25" s="240">
        <v>173385.48750000002</v>
      </c>
      <c r="AO25" s="240">
        <v>281638.64750000002</v>
      </c>
      <c r="AP25" s="240">
        <v>12423385.487500001</v>
      </c>
      <c r="AQ25" s="240">
        <v>676343.04749999999</v>
      </c>
      <c r="AR25" s="240">
        <v>7463578.7541666664</v>
      </c>
      <c r="AS25" s="240">
        <v>173385.48750000002</v>
      </c>
      <c r="AT25" s="240">
        <v>173385.48750000002</v>
      </c>
      <c r="AU25" s="240">
        <f>SUM(Tabela10[[#This Row],[jan/26]:[dez/26]])</f>
        <v>38256203.993333325</v>
      </c>
      <c r="AV25" s="240">
        <v>10144019.02</v>
      </c>
      <c r="AW25" s="240">
        <v>221463.61</v>
      </c>
      <c r="AX25" s="240">
        <v>0</v>
      </c>
      <c r="AY25" s="240">
        <v>0</v>
      </c>
      <c r="AZ25" s="240">
        <f>SUM(Tabela10[[#This Row],[2026]:[2030]])</f>
        <v>48621686.62333332</v>
      </c>
      <c r="BA25" s="242">
        <v>0</v>
      </c>
      <c r="BB25" s="240">
        <v>0</v>
      </c>
      <c r="BC25" s="240">
        <v>0</v>
      </c>
      <c r="BD25" s="240">
        <v>0</v>
      </c>
      <c r="BE25" s="240">
        <v>0</v>
      </c>
      <c r="BF25" s="241">
        <f>SUM(Tabela10[[#This Row],[2026-2030]:[2035]])</f>
        <v>48621686.62333332</v>
      </c>
      <c r="BG25" s="243" t="e" cm="1" vm="1">
        <f t="array" aca="1" ref="BG25" ca="1">_xlfn.SEQUENCE(COUNTA(Tabela10[Empresa]),1,1)</f>
        <v>#VALUE!</v>
      </c>
      <c r="BH25" s="243" t="s">
        <v>325</v>
      </c>
      <c r="BI25" s="243" t="e">
        <f>VLOOKUP(Tabela10[[#This Row],[ID real2]],[2]CONSOLIDADA!$AU:$AZ,6,FALSE)</f>
        <v>#N/A</v>
      </c>
      <c r="BJ25" s="243" t="s">
        <v>320</v>
      </c>
      <c r="BK25" s="243">
        <v>2024</v>
      </c>
      <c r="BL25" s="243" t="s">
        <v>538</v>
      </c>
      <c r="BM25" s="243" t="s">
        <v>539</v>
      </c>
      <c r="BN25" s="243" t="s">
        <v>325</v>
      </c>
      <c r="BO25" s="243" t="s">
        <v>517</v>
      </c>
      <c r="BP25" s="243" t="s">
        <v>518</v>
      </c>
      <c r="BQ25" s="243" t="s">
        <v>517</v>
      </c>
      <c r="BR25" s="346">
        <v>33164957.66</v>
      </c>
      <c r="BS25" s="243" t="s">
        <v>540</v>
      </c>
      <c r="BT25" s="243" t="s">
        <v>325</v>
      </c>
      <c r="BU25" s="243" t="s">
        <v>541</v>
      </c>
      <c r="BV25" s="243" t="str">
        <f>Tabela10[[#This Row],[Descrição do projeto]]</f>
        <v>Substituição GIS UHE Tucuruí</v>
      </c>
    </row>
    <row r="26" spans="1:74" x14ac:dyDescent="0.35">
      <c r="A26" s="237"/>
      <c r="B26" s="384" t="b" cm="1">
        <f t="array" ref="B26">AND(ISTEXT('Consolidado-Eletronorte'!$H26:$M26),SUM('Consolidado-Eletronorte'!$AI26:$BF26)&gt;0)</f>
        <v>0</v>
      </c>
      <c r="C26" s="237" t="str">
        <f t="shared" ca="1" si="1"/>
        <v>Capex Orcamentário_PE2026_2030_red_35_porcentoR3_consulta.xlsx</v>
      </c>
      <c r="D26" s="238" t="str">
        <f t="shared" si="2"/>
        <v>COO</v>
      </c>
      <c r="E26" s="385" t="str">
        <f t="shared" si="0"/>
        <v>Lucas Martins</v>
      </c>
      <c r="F26" s="237"/>
      <c r="G26" s="386" t="str">
        <f>_xlfn.CONCAT('Consolidado-Eletronorte'!$D26,"_",ROW('Consolidado-Eletronorte'!$G26)-ROW('Consolidado-Eletronorte'!$G$18))</f>
        <v>COO_8</v>
      </c>
      <c r="H26" s="239"/>
      <c r="I26" s="237"/>
      <c r="J26" s="239"/>
      <c r="K26" s="237"/>
      <c r="L26" s="237"/>
      <c r="M26" s="237"/>
      <c r="N26" s="237"/>
      <c r="O26" s="237"/>
      <c r="P26" s="237"/>
      <c r="Q26" s="243" t="s">
        <v>325</v>
      </c>
      <c r="R26" s="239" t="s">
        <v>326</v>
      </c>
      <c r="S26" s="243" t="s">
        <v>325</v>
      </c>
      <c r="T26" s="237"/>
      <c r="U26" s="237"/>
      <c r="V26" s="237"/>
      <c r="W26" s="237"/>
      <c r="X26" s="237"/>
      <c r="Y26" s="237"/>
      <c r="Z26" s="396"/>
      <c r="AA26" s="237"/>
      <c r="AB26" s="396"/>
      <c r="AC26" s="239">
        <v>4500083678</v>
      </c>
      <c r="AD26" s="397">
        <v>6623940.5</v>
      </c>
      <c r="AE26" s="239" t="s">
        <v>542</v>
      </c>
      <c r="AF26" s="239" t="s">
        <v>522</v>
      </c>
      <c r="AG26" s="239"/>
      <c r="AH26" s="237"/>
      <c r="AI26" s="242"/>
      <c r="AJ26" s="242"/>
      <c r="AK26" s="242"/>
      <c r="AL26" s="242"/>
      <c r="AM26" s="242"/>
      <c r="AN26" s="242"/>
      <c r="AO26" s="240"/>
      <c r="AP26" s="240"/>
      <c r="AQ26" s="240"/>
      <c r="AR26" s="240"/>
      <c r="AS26" s="240"/>
      <c r="AT26" s="240"/>
      <c r="AU26" s="240">
        <f>SUM(Tabela10[[#This Row],[jan/26]:[dez/26]])</f>
        <v>0</v>
      </c>
      <c r="AV26" s="240"/>
      <c r="AW26" s="240"/>
      <c r="AX26" s="240"/>
      <c r="AY26" s="240"/>
      <c r="AZ26" s="240">
        <f>SUM(Tabela10[[#This Row],[2026]:[2030]])</f>
        <v>0</v>
      </c>
      <c r="BA26" s="242"/>
      <c r="BB26" s="240"/>
      <c r="BC26" s="240"/>
      <c r="BD26" s="240"/>
      <c r="BE26" s="240"/>
      <c r="BF26" s="248">
        <f>SUM(Tabela10[[#This Row],[2026-2030]:[2035]])</f>
        <v>0</v>
      </c>
      <c r="BG26" s="243" t="e" cm="1" vm="1">
        <f t="array" aca="1" ref="BG26" ca="1">_xlfn.SEQUENCE(COUNTA(Tabela10[Empresa]),1,1)</f>
        <v>#VALUE!</v>
      </c>
      <c r="BH26" s="243"/>
      <c r="BI26" s="243" t="e">
        <f>VLOOKUP(Tabela10[[#This Row],[ID real2]],[2]CONSOLIDADA!$AU:$AZ,6,FALSE)</f>
        <v>#N/A</v>
      </c>
      <c r="BJ26" s="243"/>
      <c r="BK26" s="243"/>
      <c r="BL26" s="243"/>
      <c r="BM26" s="243"/>
      <c r="BN26" s="243"/>
      <c r="BO26" s="243"/>
      <c r="BP26" s="243"/>
      <c r="BQ26" s="243"/>
      <c r="BR26" s="387"/>
      <c r="BS26" s="243"/>
      <c r="BT26" s="243"/>
      <c r="BU26" s="243"/>
      <c r="BV26" s="243" t="str">
        <f>Tabela10[[#This Row],[Descrição do projeto]]</f>
        <v>Substituição GIS UHE Tucuruí</v>
      </c>
    </row>
    <row r="27" spans="1:74" x14ac:dyDescent="0.35">
      <c r="A27" s="237"/>
      <c r="B27" s="384" t="b" cm="1">
        <f t="array" ref="B27">AND(ISTEXT('Consolidado-Eletronorte'!$H27:$M27),SUM('Consolidado-Eletronorte'!$AI27:$BF27)&gt;0)</f>
        <v>0</v>
      </c>
      <c r="C27" s="237" t="str">
        <f t="shared" ca="1" si="1"/>
        <v>Capex Orcamentário_PE2026_2030_red_35_porcentoR3_consulta.xlsx</v>
      </c>
      <c r="D27" s="238" t="str">
        <f t="shared" si="2"/>
        <v>COO</v>
      </c>
      <c r="E27" s="385" t="str">
        <f t="shared" si="0"/>
        <v>Lucas Martins</v>
      </c>
      <c r="F27" s="237"/>
      <c r="G27" s="386" t="str">
        <f>_xlfn.CONCAT('Consolidado-Eletronorte'!$D27,"_",ROW('Consolidado-Eletronorte'!$G27)-ROW('Consolidado-Eletronorte'!$G$18))</f>
        <v>COO_9</v>
      </c>
      <c r="H27" s="239"/>
      <c r="I27" s="237"/>
      <c r="J27" s="239"/>
      <c r="K27" s="237"/>
      <c r="L27" s="237"/>
      <c r="M27" s="237"/>
      <c r="N27" s="237"/>
      <c r="O27" s="237"/>
      <c r="P27" s="237"/>
      <c r="Q27" s="243" t="s">
        <v>325</v>
      </c>
      <c r="R27" s="239" t="s">
        <v>326</v>
      </c>
      <c r="S27" s="243" t="s">
        <v>325</v>
      </c>
      <c r="T27" s="237"/>
      <c r="U27" s="237"/>
      <c r="V27" s="237"/>
      <c r="W27" s="237"/>
      <c r="X27" s="423" t="s">
        <v>543</v>
      </c>
      <c r="Y27" s="237"/>
      <c r="Z27" s="397"/>
      <c r="AA27" s="237"/>
      <c r="AB27" s="396"/>
      <c r="AC27" s="239">
        <v>4500044911</v>
      </c>
      <c r="AD27" s="397">
        <v>309000</v>
      </c>
      <c r="AE27" s="239" t="s">
        <v>544</v>
      </c>
      <c r="AF27" s="239" t="s">
        <v>545</v>
      </c>
      <c r="AG27" s="239"/>
      <c r="AH27" s="237"/>
      <c r="AI27" s="242"/>
      <c r="AJ27" s="242"/>
      <c r="AK27" s="242"/>
      <c r="AL27" s="242"/>
      <c r="AM27" s="242"/>
      <c r="AN27" s="242"/>
      <c r="AO27" s="240"/>
      <c r="AP27" s="240"/>
      <c r="AQ27" s="240"/>
      <c r="AR27" s="240"/>
      <c r="AS27" s="240"/>
      <c r="AT27" s="240"/>
      <c r="AU27" s="240">
        <f>SUM(Tabela10[[#This Row],[jan/26]:[dez/26]])</f>
        <v>0</v>
      </c>
      <c r="AV27" s="240"/>
      <c r="AW27" s="240"/>
      <c r="AX27" s="240"/>
      <c r="AY27" s="240"/>
      <c r="AZ27" s="240">
        <f>SUM(Tabela10[[#This Row],[2026]:[2030]])</f>
        <v>0</v>
      </c>
      <c r="BA27" s="242"/>
      <c r="BB27" s="240"/>
      <c r="BC27" s="240"/>
      <c r="BD27" s="240"/>
      <c r="BE27" s="240"/>
      <c r="BF27" s="248">
        <f>SUM(Tabela10[[#This Row],[2026-2030]:[2035]])</f>
        <v>0</v>
      </c>
      <c r="BG27" s="243" t="e" cm="1" vm="1">
        <f t="array" aca="1" ref="BG27" ca="1">_xlfn.SEQUENCE(COUNTA(Tabela10[Empresa]),1,1)</f>
        <v>#VALUE!</v>
      </c>
      <c r="BH27" s="243"/>
      <c r="BI27" s="243" t="e">
        <f>VLOOKUP(Tabela10[[#This Row],[ID real2]],[2]CONSOLIDADA!$AU:$AZ,6,FALSE)</f>
        <v>#N/A</v>
      </c>
      <c r="BJ27" s="243"/>
      <c r="BK27" s="243"/>
      <c r="BL27" s="243"/>
      <c r="BM27" s="243"/>
      <c r="BN27" s="243"/>
      <c r="BO27" s="243"/>
      <c r="BP27" s="243"/>
      <c r="BQ27" s="243"/>
      <c r="BR27" s="387"/>
      <c r="BS27" s="243"/>
      <c r="BT27" s="243"/>
      <c r="BU27" s="243"/>
      <c r="BV27" s="243" t="str">
        <f>Tabela10[[#This Row],[Descrição do projeto]]</f>
        <v>Substituição GIS UHE Tucuruí</v>
      </c>
    </row>
    <row r="28" spans="1:74" hidden="1" x14ac:dyDescent="0.35">
      <c r="A28" s="237">
        <v>379</v>
      </c>
      <c r="B28" s="237" t="e" cm="1">
        <f t="array" ref="B28">AND(ISTEXT('Consolidado-Eletronorte'!#REF!),SUM('Consolidado-Eletronorte'!#REF!)&gt;0)</f>
        <v>#REF!</v>
      </c>
      <c r="C28" s="237" t="str">
        <f t="shared" ca="1" si="1"/>
        <v>Capex Orcamentário_PE2026_2030_red_35_porcentoR3_consulta.xlsx</v>
      </c>
      <c r="D28" s="238" t="str">
        <f t="shared" si="2"/>
        <v>COO</v>
      </c>
      <c r="E28" s="238" t="str">
        <f t="shared" si="0"/>
        <v>Lucas Martins</v>
      </c>
      <c r="F28" s="237" t="str">
        <f>_xlfn.CONCAT(Tabela10[[#This Row],[VP]],Tabela10[[#This Row],[Analise Estrategia]])</f>
        <v>COO379</v>
      </c>
      <c r="G28" s="239" t="e">
        <f>_xlfn.CONCAT('Consolidado-Eletronorte'!#REF!,"_",ROW('Consolidado-Eletronorte'!#REF!)-ROW('Consolidado-Eletronorte'!$G$18))</f>
        <v>#REF!</v>
      </c>
      <c r="H28" s="239" t="s">
        <v>506</v>
      </c>
      <c r="I28" s="237" t="s">
        <v>507</v>
      </c>
      <c r="J28" s="239" t="s">
        <v>508</v>
      </c>
      <c r="K28" s="237" t="s">
        <v>509</v>
      </c>
      <c r="L28" s="237" t="s">
        <v>509</v>
      </c>
      <c r="M28" s="237" t="s">
        <v>546</v>
      </c>
      <c r="N28" s="237"/>
      <c r="O28" s="237"/>
      <c r="P28" s="237">
        <v>157189</v>
      </c>
      <c r="Q28" s="243" t="s">
        <v>274</v>
      </c>
      <c r="R28" s="239" t="s">
        <v>275</v>
      </c>
      <c r="S28" s="243" t="s">
        <v>274</v>
      </c>
      <c r="T28" s="237" t="s">
        <v>509</v>
      </c>
      <c r="U28" s="237" t="s">
        <v>509</v>
      </c>
      <c r="V28" s="237" t="s">
        <v>546</v>
      </c>
      <c r="W28" s="237" t="s">
        <v>546</v>
      </c>
      <c r="X28" s="237"/>
      <c r="Y28" s="239">
        <v>3700008198</v>
      </c>
      <c r="Z28" s="397">
        <v>27910319</v>
      </c>
      <c r="AA28" s="237"/>
      <c r="AB28" s="396"/>
      <c r="AC28" s="239"/>
      <c r="AD28" s="397"/>
      <c r="AE28" s="239"/>
      <c r="AF28" s="239"/>
      <c r="AG28" s="239" t="s">
        <v>547</v>
      </c>
      <c r="AH28" s="237" t="s">
        <v>276</v>
      </c>
      <c r="AI28" s="240">
        <v>0</v>
      </c>
      <c r="AJ28" s="240"/>
      <c r="AK28" s="240">
        <v>0</v>
      </c>
      <c r="AL28" s="240">
        <v>0</v>
      </c>
      <c r="AM28" s="240">
        <v>0</v>
      </c>
      <c r="AN28" s="240"/>
      <c r="AO28" s="240">
        <v>0</v>
      </c>
      <c r="AP28" s="240">
        <v>0</v>
      </c>
      <c r="AQ28" s="240">
        <v>0</v>
      </c>
      <c r="AR28" s="240">
        <v>2000000</v>
      </c>
      <c r="AS28" s="240">
        <v>2000000</v>
      </c>
      <c r="AT28" s="240">
        <v>0</v>
      </c>
      <c r="AU28" s="334">
        <f>SUM(Tabela10[[#This Row],[jan/26]:[dez/26]])</f>
        <v>4000000</v>
      </c>
      <c r="AV28" s="334">
        <v>23500000</v>
      </c>
      <c r="AW28" s="240">
        <v>0</v>
      </c>
      <c r="AX28" s="240">
        <v>0</v>
      </c>
      <c r="AY28" s="240">
        <v>0</v>
      </c>
      <c r="AZ28" s="240">
        <f>SUM(Tabela10[[#This Row],[2026]:[2030]])</f>
        <v>27500000</v>
      </c>
      <c r="BA28" s="242">
        <v>0</v>
      </c>
      <c r="BB28" s="240">
        <v>0</v>
      </c>
      <c r="BC28" s="240">
        <v>0</v>
      </c>
      <c r="BD28" s="240">
        <v>0</v>
      </c>
      <c r="BE28" s="240">
        <v>0</v>
      </c>
      <c r="BF28" s="241">
        <f>SUM(Tabela10[[#This Row],[2026-2030]:[2035]])</f>
        <v>27500000</v>
      </c>
      <c r="BG28" s="243" t="e" cm="1" vm="1">
        <f t="array" aca="1" ref="BG28" ca="1">_xlfn.SEQUENCE(COUNTA(Tabela10[Empresa]),1,1)</f>
        <v>#VALUE!</v>
      </c>
      <c r="BH28" s="243" t="s">
        <v>274</v>
      </c>
      <c r="BI28" s="243" t="e">
        <f>VLOOKUP(Tabela10[[#This Row],[ID real2]],[2]CONSOLIDADA!$AU:$AZ,6,FALSE)</f>
        <v>#N/A</v>
      </c>
      <c r="BJ28" s="243" t="s">
        <v>165</v>
      </c>
      <c r="BK28" s="243">
        <v>2025</v>
      </c>
      <c r="BL28" s="243" t="s">
        <v>548</v>
      </c>
      <c r="BM28" s="243" t="s">
        <v>549</v>
      </c>
      <c r="BN28" s="243" t="s">
        <v>274</v>
      </c>
      <c r="BO28" s="243" t="s">
        <v>550</v>
      </c>
      <c r="BP28" s="243" t="s">
        <v>551</v>
      </c>
      <c r="BQ28" s="243" t="s">
        <v>552</v>
      </c>
      <c r="BR28" s="346">
        <v>13955159.550000001</v>
      </c>
      <c r="BS28" s="243" t="s">
        <v>553</v>
      </c>
      <c r="BT28" s="243" t="s">
        <v>274</v>
      </c>
      <c r="BU28" s="243" t="s">
        <v>554</v>
      </c>
      <c r="BV28" s="243" t="str">
        <f>Tabela10[[#This Row],[Descrição do projeto]]</f>
        <v>Modernização RVT UHE Samuel</v>
      </c>
    </row>
    <row r="29" spans="1:74" hidden="1" x14ac:dyDescent="0.35">
      <c r="A29" s="237">
        <v>265</v>
      </c>
      <c r="B29" s="237" t="e" cm="1">
        <f t="array" ref="B29">AND(ISTEXT('Consolidado-Eletronorte'!#REF!),SUM('Consolidado-Eletronorte'!#REF!)&gt;0)</f>
        <v>#REF!</v>
      </c>
      <c r="C29" s="237" t="str">
        <f t="shared" ca="1" si="1"/>
        <v>Capex Orcamentário_PE2026_2030_red_35_porcentoR3_consulta.xlsx</v>
      </c>
      <c r="D29" s="238" t="str">
        <f t="shared" si="2"/>
        <v>COO</v>
      </c>
      <c r="E29" s="238" t="str">
        <f t="shared" si="0"/>
        <v>Lucas Martins</v>
      </c>
      <c r="F29" s="237" t="str">
        <f>_xlfn.CONCAT(Tabela10[[#This Row],[VP]],Tabela10[[#This Row],[Analise Estrategia]])</f>
        <v>COO265</v>
      </c>
      <c r="G29" s="239" t="e">
        <f>_xlfn.CONCAT('Consolidado-Eletronorte'!#REF!,"_",ROW('Consolidado-Eletronorte'!#REF!)-ROW('Consolidado-Eletronorte'!$G$18))</f>
        <v>#REF!</v>
      </c>
      <c r="H29" s="239" t="s">
        <v>506</v>
      </c>
      <c r="I29" s="237" t="s">
        <v>507</v>
      </c>
      <c r="J29" s="239" t="s">
        <v>508</v>
      </c>
      <c r="K29" s="237" t="s">
        <v>509</v>
      </c>
      <c r="L29" s="237" t="s">
        <v>509</v>
      </c>
      <c r="M29" s="237" t="s">
        <v>555</v>
      </c>
      <c r="N29" s="237"/>
      <c r="O29" s="237"/>
      <c r="P29" s="237" t="s">
        <v>511</v>
      </c>
      <c r="Q29" s="243" t="s">
        <v>430</v>
      </c>
      <c r="R29" s="239" t="s">
        <v>431</v>
      </c>
      <c r="S29" s="243" t="s">
        <v>430</v>
      </c>
      <c r="T29" s="237" t="s">
        <v>509</v>
      </c>
      <c r="U29" s="237" t="s">
        <v>509</v>
      </c>
      <c r="V29" s="237" t="s">
        <v>555</v>
      </c>
      <c r="W29" s="237" t="s">
        <v>555</v>
      </c>
      <c r="X29" s="237"/>
      <c r="Y29" s="239">
        <v>3400004379</v>
      </c>
      <c r="Z29" s="397">
        <v>16274073.140000001</v>
      </c>
      <c r="AA29" s="237">
        <v>4600003254</v>
      </c>
      <c r="AB29" s="396">
        <v>14290397.529999999</v>
      </c>
      <c r="AC29" s="239"/>
      <c r="AD29" s="397"/>
      <c r="AE29" s="239" t="s">
        <v>556</v>
      </c>
      <c r="AF29" s="239" t="s">
        <v>557</v>
      </c>
      <c r="AG29" s="239" t="s">
        <v>558</v>
      </c>
      <c r="AH29" s="237" t="s">
        <v>319</v>
      </c>
      <c r="AI29" s="240">
        <v>0</v>
      </c>
      <c r="AJ29" s="240">
        <v>0</v>
      </c>
      <c r="AK29" s="240">
        <v>0</v>
      </c>
      <c r="AL29" s="240">
        <v>0</v>
      </c>
      <c r="AM29" s="240">
        <v>0</v>
      </c>
      <c r="AN29" s="240">
        <v>0</v>
      </c>
      <c r="AO29" s="240">
        <v>0</v>
      </c>
      <c r="AP29" s="240">
        <v>0</v>
      </c>
      <c r="AQ29" s="240">
        <v>0</v>
      </c>
      <c r="AR29" s="240"/>
      <c r="AS29" s="240">
        <v>0</v>
      </c>
      <c r="AT29" s="240"/>
      <c r="AU29" s="334">
        <f>SUM(Tabela10[[#This Row],[jan/26]:[dez/26]])</f>
        <v>0</v>
      </c>
      <c r="AV29" s="334">
        <v>16000000</v>
      </c>
      <c r="AW29" s="334">
        <v>16000000</v>
      </c>
      <c r="AX29" s="334">
        <v>16000000</v>
      </c>
      <c r="AY29" s="240">
        <v>0</v>
      </c>
      <c r="AZ29" s="240">
        <f>SUM(Tabela10[[#This Row],[2026]:[2030]])</f>
        <v>48000000</v>
      </c>
      <c r="BA29" s="242">
        <v>0</v>
      </c>
      <c r="BB29" s="240">
        <v>0</v>
      </c>
      <c r="BC29" s="240">
        <v>0</v>
      </c>
      <c r="BD29" s="240">
        <v>0</v>
      </c>
      <c r="BE29" s="240">
        <v>0</v>
      </c>
      <c r="BF29" s="241">
        <f>SUM(Tabela10[[#This Row],[2026-2030]:[2035]])</f>
        <v>48000000</v>
      </c>
      <c r="BG29" s="243" t="e" cm="1" vm="1">
        <f t="array" aca="1" ref="BG29" ca="1">_xlfn.SEQUENCE(COUNTA(Tabela10[Empresa]),1,1)</f>
        <v>#VALUE!</v>
      </c>
      <c r="BH29" s="243" t="s">
        <v>430</v>
      </c>
      <c r="BI29" s="243" t="e">
        <f>VLOOKUP(Tabela10[[#This Row],[ID real2]],[2]CONSOLIDADA!$AU:$AZ,6,FALSE)</f>
        <v>#N/A</v>
      </c>
      <c r="BJ29" s="243" t="s">
        <v>382</v>
      </c>
      <c r="BK29" s="243">
        <v>2025</v>
      </c>
      <c r="BL29" s="243" t="s">
        <v>559</v>
      </c>
      <c r="BM29" s="243" t="s">
        <v>560</v>
      </c>
      <c r="BN29" s="243" t="s">
        <v>430</v>
      </c>
      <c r="BO29" s="243" t="s">
        <v>550</v>
      </c>
      <c r="BP29" s="243" t="s">
        <v>561</v>
      </c>
      <c r="BQ29" s="243" t="s">
        <v>552</v>
      </c>
      <c r="BR29" s="346">
        <v>12833768.050000001</v>
      </c>
      <c r="BS29" s="243" t="s">
        <v>562</v>
      </c>
      <c r="BT29" s="243" t="s">
        <v>430</v>
      </c>
      <c r="BU29" s="243" t="s">
        <v>563</v>
      </c>
      <c r="BV29" s="243" t="str">
        <f>Tabela10[[#This Row],[Descrição do projeto]]</f>
        <v>Substituição das capas isolantes dos geradores da casa de força 2 da UHE Tucuruí</v>
      </c>
    </row>
    <row r="30" spans="1:74" hidden="1" x14ac:dyDescent="0.35">
      <c r="A30" s="237">
        <v>356</v>
      </c>
      <c r="B30" s="237" t="e" cm="1">
        <f t="array" ref="B30">AND(ISTEXT('Consolidado-Eletronorte'!#REF!),SUM('Consolidado-Eletronorte'!#REF!)&gt;0)</f>
        <v>#REF!</v>
      </c>
      <c r="C30" s="237" t="str">
        <f t="shared" ca="1" si="1"/>
        <v>Capex Orcamentário_PE2026_2030_red_35_porcentoR3_consulta.xlsx</v>
      </c>
      <c r="D30" s="238" t="str">
        <f t="shared" si="2"/>
        <v>COO</v>
      </c>
      <c r="E30" s="238" t="str">
        <f t="shared" si="0"/>
        <v>Lucas Martins</v>
      </c>
      <c r="F30" s="237" t="str">
        <f>_xlfn.CONCAT(Tabela10[[#This Row],[VP]],Tabela10[[#This Row],[Analise Estrategia]])</f>
        <v>COO356</v>
      </c>
      <c r="G30" s="239" t="e">
        <f>_xlfn.CONCAT('Consolidado-Eletronorte'!#REF!,"_",ROW('Consolidado-Eletronorte'!#REF!)-ROW('Consolidado-Eletronorte'!$G$18))</f>
        <v>#REF!</v>
      </c>
      <c r="H30" s="239" t="s">
        <v>506</v>
      </c>
      <c r="I30" s="237" t="s">
        <v>507</v>
      </c>
      <c r="J30" s="239" t="s">
        <v>508</v>
      </c>
      <c r="K30" s="237" t="s">
        <v>509</v>
      </c>
      <c r="L30" s="237" t="s">
        <v>509</v>
      </c>
      <c r="M30" s="237" t="s">
        <v>555</v>
      </c>
      <c r="N30" s="237"/>
      <c r="O30" s="237"/>
      <c r="P30" s="237" t="s">
        <v>511</v>
      </c>
      <c r="Q30" s="243" t="s">
        <v>391</v>
      </c>
      <c r="R30" s="239" t="s">
        <v>392</v>
      </c>
      <c r="S30" s="243" t="s">
        <v>391</v>
      </c>
      <c r="T30" s="237" t="s">
        <v>509</v>
      </c>
      <c r="U30" s="237" t="s">
        <v>509</v>
      </c>
      <c r="V30" s="237" t="s">
        <v>555</v>
      </c>
      <c r="W30" s="237" t="s">
        <v>555</v>
      </c>
      <c r="X30" s="237"/>
      <c r="Y30" s="239" t="s">
        <v>564</v>
      </c>
      <c r="Z30" s="397"/>
      <c r="AA30" s="237"/>
      <c r="AB30" s="396"/>
      <c r="AC30" s="239"/>
      <c r="AD30" s="397"/>
      <c r="AE30" s="239"/>
      <c r="AF30" s="239"/>
      <c r="AG30" s="239" t="s">
        <v>565</v>
      </c>
      <c r="AH30" s="237" t="s">
        <v>319</v>
      </c>
      <c r="AI30" s="240">
        <v>0</v>
      </c>
      <c r="AJ30" s="240">
        <v>0</v>
      </c>
      <c r="AK30" s="240">
        <v>0</v>
      </c>
      <c r="AL30" s="240">
        <v>0</v>
      </c>
      <c r="AM30" s="240">
        <v>0</v>
      </c>
      <c r="AN30" s="240">
        <v>0</v>
      </c>
      <c r="AO30" s="240">
        <v>0</v>
      </c>
      <c r="AP30" s="240">
        <v>0</v>
      </c>
      <c r="AQ30" s="240">
        <v>0</v>
      </c>
      <c r="AR30" s="240"/>
      <c r="AS30" s="240">
        <v>0</v>
      </c>
      <c r="AT30" s="240"/>
      <c r="AU30" s="334">
        <f>SUM(Tabela10[[#This Row],[jan/26]:[dez/26]])</f>
        <v>0</v>
      </c>
      <c r="AV30" s="334">
        <v>2000000</v>
      </c>
      <c r="AW30" s="334">
        <v>9500000</v>
      </c>
      <c r="AX30" s="334">
        <v>10000000</v>
      </c>
      <c r="AY30" s="240">
        <v>0</v>
      </c>
      <c r="AZ30" s="240">
        <f>SUM(Tabela10[[#This Row],[2026]:[2030]])</f>
        <v>21500000</v>
      </c>
      <c r="BA30" s="242">
        <v>0</v>
      </c>
      <c r="BB30" s="240">
        <v>0</v>
      </c>
      <c r="BC30" s="240">
        <v>0</v>
      </c>
      <c r="BD30" s="240">
        <v>0</v>
      </c>
      <c r="BE30" s="240">
        <v>0</v>
      </c>
      <c r="BF30" s="241">
        <f>SUM(Tabela10[[#This Row],[2026-2030]:[2035]])</f>
        <v>21500000</v>
      </c>
      <c r="BG30" s="243" t="e" cm="1" vm="1">
        <f t="array" aca="1" ref="BG30" ca="1">_xlfn.SEQUENCE(COUNTA(Tabela10[Empresa]),1,1)</f>
        <v>#VALUE!</v>
      </c>
      <c r="BH30" s="243" t="s">
        <v>391</v>
      </c>
      <c r="BI30" s="243" t="e">
        <f>VLOOKUP(Tabela10[[#This Row],[ID real2]],[2]CONSOLIDADA!$AU:$AZ,6,FALSE)</f>
        <v>#N/A</v>
      </c>
      <c r="BJ30" s="243" t="e">
        <v>#N/A</v>
      </c>
      <c r="BK30" s="243">
        <v>2025</v>
      </c>
      <c r="BL30" s="243" t="s">
        <v>566</v>
      </c>
      <c r="BM30" s="243" t="s">
        <v>567</v>
      </c>
      <c r="BN30" s="243" t="s">
        <v>391</v>
      </c>
      <c r="BO30" s="243" t="s">
        <v>568</v>
      </c>
      <c r="BP30" s="243" t="s">
        <v>569</v>
      </c>
      <c r="BQ30" s="243" t="s">
        <v>570</v>
      </c>
      <c r="BR30" s="346">
        <v>2000000</v>
      </c>
      <c r="BS30" s="243" t="s">
        <v>571</v>
      </c>
      <c r="BT30" s="243" t="s">
        <v>391</v>
      </c>
      <c r="BU30" s="243" t="e">
        <v>#N/A</v>
      </c>
      <c r="BV30" s="243" t="str">
        <f>Tabela10[[#This Row],[Descrição do projeto]]</f>
        <v>Aquisição de 2 jogos de SotpLogs</v>
      </c>
    </row>
    <row r="31" spans="1:74" hidden="1" x14ac:dyDescent="0.35">
      <c r="A31" s="237">
        <v>362</v>
      </c>
      <c r="B31" s="237" t="e" cm="1">
        <f t="array" ref="B31">AND(ISTEXT('Consolidado-Eletronorte'!#REF!),SUM('Consolidado-Eletronorte'!#REF!)&gt;0)</f>
        <v>#REF!</v>
      </c>
      <c r="C31" s="237" t="str">
        <f t="shared" ca="1" si="1"/>
        <v>Capex Orcamentário_PE2026_2030_red_35_porcentoR3_consulta.xlsx</v>
      </c>
      <c r="D31" s="238" t="str">
        <f t="shared" si="2"/>
        <v>COO</v>
      </c>
      <c r="E31" s="238" t="str">
        <f t="shared" si="0"/>
        <v>Lucas Martins</v>
      </c>
      <c r="F31" s="237" t="str">
        <f>_xlfn.CONCAT(Tabela10[[#This Row],[VP]],Tabela10[[#This Row],[Analise Estrategia]])</f>
        <v>COO362</v>
      </c>
      <c r="G31" s="239" t="e">
        <f>_xlfn.CONCAT('Consolidado-Eletronorte'!#REF!,"_",ROW('Consolidado-Eletronorte'!#REF!)-ROW('Consolidado-Eletronorte'!$G$18))</f>
        <v>#REF!</v>
      </c>
      <c r="H31" s="239" t="s">
        <v>506</v>
      </c>
      <c r="I31" s="237" t="s">
        <v>507</v>
      </c>
      <c r="J31" s="239" t="s">
        <v>508</v>
      </c>
      <c r="K31" s="237" t="s">
        <v>509</v>
      </c>
      <c r="L31" s="237" t="s">
        <v>509</v>
      </c>
      <c r="M31" s="237" t="s">
        <v>555</v>
      </c>
      <c r="N31" s="237"/>
      <c r="O31" s="237"/>
      <c r="P31" s="237" t="s">
        <v>511</v>
      </c>
      <c r="Q31" s="243" t="s">
        <v>350</v>
      </c>
      <c r="R31" s="239" t="s">
        <v>351</v>
      </c>
      <c r="S31" s="243" t="s">
        <v>350</v>
      </c>
      <c r="T31" s="237" t="s">
        <v>509</v>
      </c>
      <c r="U31" s="237" t="s">
        <v>509</v>
      </c>
      <c r="V31" s="237" t="s">
        <v>555</v>
      </c>
      <c r="W31" s="237" t="s">
        <v>555</v>
      </c>
      <c r="X31" s="237"/>
      <c r="Y31" s="237"/>
      <c r="Z31" s="396"/>
      <c r="AA31" s="239">
        <v>4600001776</v>
      </c>
      <c r="AB31" s="397">
        <v>15210890.800000001</v>
      </c>
      <c r="AC31" s="239"/>
      <c r="AD31" s="397"/>
      <c r="AE31" s="239" t="s">
        <v>572</v>
      </c>
      <c r="AF31" s="243" t="s">
        <v>557</v>
      </c>
      <c r="AG31" s="239" t="s">
        <v>573</v>
      </c>
      <c r="AH31" s="237" t="s">
        <v>319</v>
      </c>
      <c r="AI31" s="240">
        <v>0</v>
      </c>
      <c r="AJ31" s="240">
        <v>0</v>
      </c>
      <c r="AK31" s="240">
        <v>0</v>
      </c>
      <c r="AL31" s="240">
        <v>0</v>
      </c>
      <c r="AM31" s="240">
        <v>0</v>
      </c>
      <c r="AN31" s="240">
        <v>0</v>
      </c>
      <c r="AO31" s="240">
        <v>0</v>
      </c>
      <c r="AP31" s="240">
        <v>0</v>
      </c>
      <c r="AQ31" s="240">
        <v>2000000</v>
      </c>
      <c r="AR31" s="240">
        <v>0</v>
      </c>
      <c r="AS31" s="240">
        <v>2000000</v>
      </c>
      <c r="AT31" s="240">
        <v>2000000</v>
      </c>
      <c r="AU31" s="240">
        <f>SUM(Tabela10[[#This Row],[jan/26]:[dez/26]])</f>
        <v>6000000</v>
      </c>
      <c r="AV31" s="240">
        <v>7000000</v>
      </c>
      <c r="AW31" s="240">
        <v>4000000</v>
      </c>
      <c r="AX31" s="240">
        <v>4000000</v>
      </c>
      <c r="AY31" s="240">
        <v>0</v>
      </c>
      <c r="AZ31" s="240">
        <f>SUM(Tabela10[[#This Row],[2026]:[2030]])</f>
        <v>21000000</v>
      </c>
      <c r="BA31" s="242">
        <v>0</v>
      </c>
      <c r="BB31" s="240">
        <v>0</v>
      </c>
      <c r="BC31" s="240">
        <v>0</v>
      </c>
      <c r="BD31" s="240">
        <v>0</v>
      </c>
      <c r="BE31" s="240">
        <v>0</v>
      </c>
      <c r="BF31" s="241">
        <f>SUM(Tabela10[[#This Row],[2026-2030]:[2035]])</f>
        <v>21000000</v>
      </c>
      <c r="BG31" s="243" t="e" cm="1" vm="1">
        <f t="array" aca="1" ref="BG31" ca="1">_xlfn.SEQUENCE(COUNTA(Tabela10[Empresa]),1,1)</f>
        <v>#VALUE!</v>
      </c>
      <c r="BH31" s="243" t="s">
        <v>350</v>
      </c>
      <c r="BI31" s="243" t="e">
        <f>VLOOKUP(Tabela10[[#This Row],[ID real2]],[2]CONSOLIDADA!$AU:$AZ,6,FALSE)</f>
        <v>#N/A</v>
      </c>
      <c r="BJ31" s="243" t="s">
        <v>341</v>
      </c>
      <c r="BK31" s="243">
        <v>2025</v>
      </c>
      <c r="BL31" s="243" t="s">
        <v>574</v>
      </c>
      <c r="BM31" s="243" t="s">
        <v>575</v>
      </c>
      <c r="BN31" s="243" t="s">
        <v>350</v>
      </c>
      <c r="BO31" s="243" t="s">
        <v>517</v>
      </c>
      <c r="BP31" s="243" t="s">
        <v>569</v>
      </c>
      <c r="BQ31" s="243" t="s">
        <v>517</v>
      </c>
      <c r="BR31" s="346">
        <v>6000000</v>
      </c>
      <c r="BS31" s="243" t="s">
        <v>540</v>
      </c>
      <c r="BT31" s="243" t="s">
        <v>350</v>
      </c>
      <c r="BU31" s="243" t="s">
        <v>576</v>
      </c>
      <c r="BV31" s="243" t="str">
        <f>Tabela10[[#This Row],[Descrição do projeto]]</f>
        <v>Recuperação de cavitação e trincas nas UGHs da CF1 e CF2</v>
      </c>
    </row>
    <row r="32" spans="1:74" hidden="1" x14ac:dyDescent="0.35">
      <c r="A32" s="237">
        <v>370</v>
      </c>
      <c r="B32" s="237" t="e" cm="1">
        <f t="array" ref="B32">AND(ISTEXT('Consolidado-Eletronorte'!#REF!),SUM('Consolidado-Eletronorte'!#REF!)&gt;0)</f>
        <v>#REF!</v>
      </c>
      <c r="C32" s="237" t="str">
        <f t="shared" ca="1" si="1"/>
        <v>Capex Orcamentário_PE2026_2030_red_35_porcentoR3_consulta.xlsx</v>
      </c>
      <c r="D32" s="238" t="str">
        <f t="shared" si="2"/>
        <v>COO</v>
      </c>
      <c r="E32" s="238" t="str">
        <f t="shared" si="0"/>
        <v>Lucas Martins</v>
      </c>
      <c r="F32" s="237" t="str">
        <f>_xlfn.CONCAT(Tabela10[[#This Row],[VP]],Tabela10[[#This Row],[Analise Estrategia]])</f>
        <v>COO370</v>
      </c>
      <c r="G32" s="239" t="e">
        <f>_xlfn.CONCAT('Consolidado-Eletronorte'!#REF!,"_",ROW('Consolidado-Eletronorte'!#REF!)-ROW('Consolidado-Eletronorte'!$G$18))</f>
        <v>#REF!</v>
      </c>
      <c r="H32" s="239" t="s">
        <v>506</v>
      </c>
      <c r="I32" s="237" t="s">
        <v>507</v>
      </c>
      <c r="J32" s="239" t="s">
        <v>508</v>
      </c>
      <c r="K32" s="237" t="s">
        <v>509</v>
      </c>
      <c r="L32" s="237" t="s">
        <v>509</v>
      </c>
      <c r="M32" s="237" t="s">
        <v>577</v>
      </c>
      <c r="N32" s="237"/>
      <c r="O32" s="237"/>
      <c r="P32" s="237" t="s">
        <v>511</v>
      </c>
      <c r="Q32" s="243" t="s">
        <v>376</v>
      </c>
      <c r="R32" s="239" t="s">
        <v>377</v>
      </c>
      <c r="S32" s="243" t="s">
        <v>376</v>
      </c>
      <c r="T32" s="237" t="s">
        <v>509</v>
      </c>
      <c r="U32" s="237" t="s">
        <v>509</v>
      </c>
      <c r="V32" s="237" t="s">
        <v>577</v>
      </c>
      <c r="W32" s="237" t="s">
        <v>577</v>
      </c>
      <c r="X32" s="237"/>
      <c r="Y32" s="239">
        <v>3400006178</v>
      </c>
      <c r="Z32" s="397"/>
      <c r="AA32" s="237"/>
      <c r="AB32" s="396"/>
      <c r="AC32" s="239"/>
      <c r="AD32" s="397"/>
      <c r="AE32" s="239"/>
      <c r="AF32" s="239"/>
      <c r="AG32" s="239" t="s">
        <v>578</v>
      </c>
      <c r="AH32" s="237" t="s">
        <v>319</v>
      </c>
      <c r="AI32" s="240">
        <v>0</v>
      </c>
      <c r="AJ32" s="240">
        <v>0</v>
      </c>
      <c r="AK32" s="240"/>
      <c r="AL32" s="240">
        <v>0</v>
      </c>
      <c r="AM32" s="240">
        <v>0</v>
      </c>
      <c r="AN32" s="240">
        <v>0</v>
      </c>
      <c r="AO32" s="240"/>
      <c r="AP32" s="240">
        <v>0</v>
      </c>
      <c r="AQ32" s="240">
        <v>0</v>
      </c>
      <c r="AR32" s="240">
        <v>0</v>
      </c>
      <c r="AS32" s="240">
        <v>2000000</v>
      </c>
      <c r="AT32" s="240"/>
      <c r="AU32" s="334">
        <f>SUM(Tabela10[[#This Row],[jan/26]:[dez/26]])</f>
        <v>2000000</v>
      </c>
      <c r="AV32" s="240">
        <v>7400000</v>
      </c>
      <c r="AW32" s="334">
        <v>4000000</v>
      </c>
      <c r="AX32" s="334">
        <v>5000000</v>
      </c>
      <c r="AY32" s="240">
        <v>0</v>
      </c>
      <c r="AZ32" s="240">
        <f>SUM(Tabela10[[#This Row],[2026]:[2030]])</f>
        <v>18400000</v>
      </c>
      <c r="BA32" s="242">
        <v>0</v>
      </c>
      <c r="BB32" s="240">
        <v>0</v>
      </c>
      <c r="BC32" s="240">
        <v>0</v>
      </c>
      <c r="BD32" s="240">
        <v>0</v>
      </c>
      <c r="BE32" s="240">
        <v>0</v>
      </c>
      <c r="BF32" s="241">
        <f>SUM(Tabela10[[#This Row],[2026-2030]:[2035]])</f>
        <v>18400000</v>
      </c>
      <c r="BG32" s="243" t="e" cm="1" vm="1">
        <f t="array" aca="1" ref="BG32" ca="1">_xlfn.SEQUENCE(COUNTA(Tabela10[Empresa]),1,1)</f>
        <v>#VALUE!</v>
      </c>
      <c r="BH32" s="243" t="s">
        <v>376</v>
      </c>
      <c r="BI32" s="243" t="e">
        <f>VLOOKUP(Tabela10[[#This Row],[ID real2]],[2]CONSOLIDADA!$AU:$AZ,6,FALSE)</f>
        <v>#N/A</v>
      </c>
      <c r="BJ32" s="243" t="s">
        <v>155</v>
      </c>
      <c r="BK32" s="243">
        <v>2025</v>
      </c>
      <c r="BL32" s="243" t="s">
        <v>579</v>
      </c>
      <c r="BM32" s="243" t="s">
        <v>580</v>
      </c>
      <c r="BN32" s="243" t="s">
        <v>376</v>
      </c>
      <c r="BO32" s="243" t="s">
        <v>581</v>
      </c>
      <c r="BP32" s="243" t="s">
        <v>551</v>
      </c>
      <c r="BQ32" s="243" t="s">
        <v>552</v>
      </c>
      <c r="BR32" s="346">
        <v>7000000</v>
      </c>
      <c r="BS32" s="243" t="s">
        <v>582</v>
      </c>
      <c r="BT32" s="243" t="s">
        <v>376</v>
      </c>
      <c r="BU32" s="243" t="s">
        <v>583</v>
      </c>
      <c r="BV32" s="243" t="str">
        <f>Tabela10[[#This Row],[Descrição do projeto]]</f>
        <v>Modernização Pórtico UHE Tucuruí</v>
      </c>
    </row>
    <row r="33" spans="1:74" hidden="1" x14ac:dyDescent="0.35">
      <c r="A33" s="237">
        <v>380</v>
      </c>
      <c r="B33" s="237" t="e" cm="1">
        <f t="array" ref="B33">AND(ISTEXT('Consolidado-Eletronorte'!#REF!),SUM('Consolidado-Eletronorte'!#REF!)&gt;0)</f>
        <v>#REF!</v>
      </c>
      <c r="C33" s="237" t="str">
        <f t="shared" ca="1" si="1"/>
        <v>Capex Orcamentário_PE2026_2030_red_35_porcentoR3_consulta.xlsx</v>
      </c>
      <c r="D33" s="238" t="str">
        <f t="shared" si="2"/>
        <v>COO</v>
      </c>
      <c r="E33" s="238" t="str">
        <f t="shared" si="0"/>
        <v>Lucas Martins</v>
      </c>
      <c r="F33" s="237" t="str">
        <f>_xlfn.CONCAT(Tabela10[[#This Row],[VP]],Tabela10[[#This Row],[Analise Estrategia]])</f>
        <v>COO380</v>
      </c>
      <c r="G33" s="239" t="e">
        <f>_xlfn.CONCAT('Consolidado-Eletronorte'!#REF!,"_",ROW('Consolidado-Eletronorte'!#REF!)-ROW('Consolidado-Eletronorte'!$G$18))</f>
        <v>#REF!</v>
      </c>
      <c r="H33" s="239" t="s">
        <v>506</v>
      </c>
      <c r="I33" s="237" t="s">
        <v>507</v>
      </c>
      <c r="J33" s="239" t="s">
        <v>508</v>
      </c>
      <c r="K33" s="237" t="s">
        <v>509</v>
      </c>
      <c r="L33" s="237" t="s">
        <v>509</v>
      </c>
      <c r="M33" s="237" t="s">
        <v>526</v>
      </c>
      <c r="N33" s="237"/>
      <c r="O33" s="237"/>
      <c r="P33" s="237" t="s">
        <v>511</v>
      </c>
      <c r="Q33" s="243" t="s">
        <v>352</v>
      </c>
      <c r="R33" s="239" t="s">
        <v>353</v>
      </c>
      <c r="S33" s="243" t="s">
        <v>352</v>
      </c>
      <c r="T33" s="237" t="s">
        <v>509</v>
      </c>
      <c r="U33" s="237" t="s">
        <v>509</v>
      </c>
      <c r="V33" s="237" t="s">
        <v>526</v>
      </c>
      <c r="W33" s="237" t="s">
        <v>526</v>
      </c>
      <c r="X33" s="237"/>
      <c r="Y33" s="239">
        <v>3400004381</v>
      </c>
      <c r="Z33" s="397">
        <v>12868088</v>
      </c>
      <c r="AA33" s="237"/>
      <c r="AB33" s="396"/>
      <c r="AC33" s="239"/>
      <c r="AD33" s="397"/>
      <c r="AE33" s="239"/>
      <c r="AF33" s="239"/>
      <c r="AG33" s="239" t="s">
        <v>584</v>
      </c>
      <c r="AH33" s="237" t="s">
        <v>319</v>
      </c>
      <c r="AI33" s="240">
        <v>0</v>
      </c>
      <c r="AJ33" s="240">
        <v>0</v>
      </c>
      <c r="AK33" s="240"/>
      <c r="AL33" s="240">
        <v>0</v>
      </c>
      <c r="AM33" s="240">
        <v>0</v>
      </c>
      <c r="AN33" s="240">
        <v>1500000</v>
      </c>
      <c r="AO33" s="240">
        <v>0</v>
      </c>
      <c r="AP33" s="240">
        <v>0</v>
      </c>
      <c r="AQ33" s="240">
        <v>0</v>
      </c>
      <c r="AR33" s="240">
        <v>3500000</v>
      </c>
      <c r="AS33" s="240"/>
      <c r="AT33" s="240">
        <v>0</v>
      </c>
      <c r="AU33" s="334">
        <f>SUM(Tabela10[[#This Row],[jan/26]:[dez/26]])</f>
        <v>5000000</v>
      </c>
      <c r="AV33" s="334">
        <v>6750000</v>
      </c>
      <c r="AW33" s="334">
        <v>5000000</v>
      </c>
      <c r="AX33" s="240">
        <v>0</v>
      </c>
      <c r="AY33" s="240">
        <v>0</v>
      </c>
      <c r="AZ33" s="240">
        <f>SUM(Tabela10[[#This Row],[2026]:[2030]])</f>
        <v>16750000</v>
      </c>
      <c r="BA33" s="242">
        <v>0</v>
      </c>
      <c r="BB33" s="240">
        <v>0</v>
      </c>
      <c r="BC33" s="240">
        <v>0</v>
      </c>
      <c r="BD33" s="240">
        <v>0</v>
      </c>
      <c r="BE33" s="240">
        <v>0</v>
      </c>
      <c r="BF33" s="241">
        <f>SUM(Tabela10[[#This Row],[2026-2030]:[2035]])</f>
        <v>16750000</v>
      </c>
      <c r="BG33" s="243" t="e" cm="1" vm="1">
        <f t="array" aca="1" ref="BG33" ca="1">_xlfn.SEQUENCE(COUNTA(Tabela10[Empresa]),1,1)</f>
        <v>#VALUE!</v>
      </c>
      <c r="BH33" s="243" t="s">
        <v>352</v>
      </c>
      <c r="BI33" s="243" t="e">
        <f>VLOOKUP(Tabela10[[#This Row],[ID real2]],[2]CONSOLIDADA!$AU:$AZ,6,FALSE)</f>
        <v>#N/A</v>
      </c>
      <c r="BJ33" s="243" t="s">
        <v>155</v>
      </c>
      <c r="BK33" s="243">
        <v>2025</v>
      </c>
      <c r="BL33" s="243" t="s">
        <v>585</v>
      </c>
      <c r="BM33" s="243" t="s">
        <v>586</v>
      </c>
      <c r="BN33" s="243" t="s">
        <v>352</v>
      </c>
      <c r="BO33" s="243" t="s">
        <v>550</v>
      </c>
      <c r="BP33" s="243" t="s">
        <v>561</v>
      </c>
      <c r="BQ33" s="243" t="s">
        <v>552</v>
      </c>
      <c r="BR33" s="346">
        <v>10000000</v>
      </c>
      <c r="BS33" s="243" t="s">
        <v>553</v>
      </c>
      <c r="BT33" s="243" t="s">
        <v>352</v>
      </c>
      <c r="BU33" s="243" t="s">
        <v>583</v>
      </c>
      <c r="BV33" s="243" t="str">
        <f>Tabela10[[#This Row],[Descrição do projeto]]</f>
        <v>Modernização de 02 Transformadores elevadores de 69kV (UGHs 24 e 25) da UHE Tucuruí</v>
      </c>
    </row>
    <row r="34" spans="1:74" hidden="1" x14ac:dyDescent="0.35">
      <c r="A34" s="237">
        <v>365</v>
      </c>
      <c r="B34" s="237" t="e" cm="1">
        <f t="array" ref="B34">AND(ISTEXT('Consolidado-Eletronorte'!#REF!),SUM('Consolidado-Eletronorte'!#REF!)&gt;0)</f>
        <v>#REF!</v>
      </c>
      <c r="C34" s="237" t="str">
        <f t="shared" ca="1" si="1"/>
        <v>Capex Orcamentário_PE2026_2030_red_35_porcentoR3_consulta.xlsx</v>
      </c>
      <c r="D34" s="238" t="str">
        <f t="shared" si="2"/>
        <v>COO</v>
      </c>
      <c r="E34" s="238" t="str">
        <f t="shared" si="0"/>
        <v>Lucas Martins</v>
      </c>
      <c r="F34" s="237" t="str">
        <f>_xlfn.CONCAT(Tabela10[[#This Row],[VP]],Tabela10[[#This Row],[Analise Estrategia]])</f>
        <v>COO365</v>
      </c>
      <c r="G34" s="239" t="e">
        <f>_xlfn.CONCAT('Consolidado-Eletronorte'!#REF!,"_",ROW('Consolidado-Eletronorte'!#REF!)-ROW('Consolidado-Eletronorte'!$G$18))</f>
        <v>#REF!</v>
      </c>
      <c r="H34" s="239" t="s">
        <v>506</v>
      </c>
      <c r="I34" s="237" t="s">
        <v>507</v>
      </c>
      <c r="J34" s="239" t="s">
        <v>508</v>
      </c>
      <c r="K34" s="237" t="s">
        <v>509</v>
      </c>
      <c r="L34" s="237" t="s">
        <v>509</v>
      </c>
      <c r="M34" s="237" t="s">
        <v>555</v>
      </c>
      <c r="N34" s="237"/>
      <c r="O34" s="237"/>
      <c r="P34" s="237" t="s">
        <v>587</v>
      </c>
      <c r="Q34" s="243" t="s">
        <v>156</v>
      </c>
      <c r="R34" s="239" t="s">
        <v>157</v>
      </c>
      <c r="S34" s="243" t="s">
        <v>156</v>
      </c>
      <c r="T34" s="237" t="s">
        <v>509</v>
      </c>
      <c r="U34" s="237" t="s">
        <v>509</v>
      </c>
      <c r="V34" s="237" t="s">
        <v>555</v>
      </c>
      <c r="W34" s="237" t="s">
        <v>555</v>
      </c>
      <c r="X34" s="112" t="s">
        <v>588</v>
      </c>
      <c r="Y34" s="239">
        <v>3400006809</v>
      </c>
      <c r="Z34" s="397">
        <v>8500000</v>
      </c>
      <c r="AA34" s="237"/>
      <c r="AB34" s="396"/>
      <c r="AC34" s="239"/>
      <c r="AD34" s="397"/>
      <c r="AE34" s="239"/>
      <c r="AF34" s="239"/>
      <c r="AG34" s="239" t="s">
        <v>589</v>
      </c>
      <c r="AH34" s="237" t="s">
        <v>158</v>
      </c>
      <c r="AI34" s="240">
        <v>0</v>
      </c>
      <c r="AJ34" s="240">
        <v>0</v>
      </c>
      <c r="AK34" s="240">
        <v>0</v>
      </c>
      <c r="AL34" s="240">
        <v>0</v>
      </c>
      <c r="AM34" s="240">
        <v>0</v>
      </c>
      <c r="AN34" s="240">
        <v>0</v>
      </c>
      <c r="AO34" s="240">
        <v>0</v>
      </c>
      <c r="AP34" s="240">
        <v>0</v>
      </c>
      <c r="AQ34" s="240">
        <v>2000000</v>
      </c>
      <c r="AR34" s="240">
        <v>0</v>
      </c>
      <c r="AS34" s="240">
        <v>0</v>
      </c>
      <c r="AT34" s="240">
        <v>2000000</v>
      </c>
      <c r="AU34" s="334">
        <f>SUM(Tabela10[[#This Row],[jan/26]:[dez/26]])</f>
        <v>4000000</v>
      </c>
      <c r="AV34" s="334">
        <v>2000000</v>
      </c>
      <c r="AW34" s="240">
        <v>0</v>
      </c>
      <c r="AX34" s="240">
        <v>0</v>
      </c>
      <c r="AY34" s="240">
        <v>0</v>
      </c>
      <c r="AZ34" s="240">
        <f>SUM(Tabela10[[#This Row],[2026]:[2030]])</f>
        <v>6000000</v>
      </c>
      <c r="BA34" s="242">
        <v>0</v>
      </c>
      <c r="BB34" s="240">
        <v>0</v>
      </c>
      <c r="BC34" s="240">
        <v>0</v>
      </c>
      <c r="BD34" s="240">
        <v>0</v>
      </c>
      <c r="BE34" s="240">
        <v>0</v>
      </c>
      <c r="BF34" s="241">
        <f>SUM(Tabela10[[#This Row],[2026-2030]:[2035]])</f>
        <v>6000000</v>
      </c>
      <c r="BG34" s="243" t="e" cm="1" vm="1">
        <f t="array" aca="1" ref="BG34" ca="1">_xlfn.SEQUENCE(COUNTA(Tabela10[Empresa]),1,1)</f>
        <v>#VALUE!</v>
      </c>
      <c r="BH34" s="243" t="s">
        <v>156</v>
      </c>
      <c r="BI34" s="243" t="e">
        <f>VLOOKUP(Tabela10[[#This Row],[ID real2]],[2]CONSOLIDADA!$AU:$AZ,6,FALSE)</f>
        <v>#N/A</v>
      </c>
      <c r="BJ34" s="243" t="s">
        <v>159</v>
      </c>
      <c r="BK34" s="243">
        <v>2026</v>
      </c>
      <c r="BL34" s="243" t="s">
        <v>590</v>
      </c>
      <c r="BM34" s="243">
        <v>0</v>
      </c>
      <c r="BN34" s="243" t="s">
        <v>156</v>
      </c>
      <c r="BO34" s="243" t="s">
        <v>550</v>
      </c>
      <c r="BP34" s="243" t="s">
        <v>561</v>
      </c>
      <c r="BQ34" s="243" t="s">
        <v>552</v>
      </c>
      <c r="BR34" s="346">
        <v>6000000</v>
      </c>
      <c r="BS34" s="243" t="s">
        <v>591</v>
      </c>
      <c r="BT34" s="243" t="s">
        <v>156</v>
      </c>
      <c r="BU34" s="243" t="s">
        <v>592</v>
      </c>
      <c r="BV34" s="243" t="str">
        <f>Tabela10[[#This Row],[Descrição do projeto]]</f>
        <v>Aquisição de um Gerador Diesel de Emergência</v>
      </c>
    </row>
    <row r="35" spans="1:74" x14ac:dyDescent="0.35">
      <c r="A35" s="237">
        <v>382</v>
      </c>
      <c r="B35" s="237" t="e" cm="1">
        <f t="array" ref="B35">AND(ISTEXT('Consolidado-Eletronorte'!#REF!),SUM('Consolidado-Eletronorte'!#REF!)&gt;0)</f>
        <v>#REF!</v>
      </c>
      <c r="C35" s="237" t="str">
        <f t="shared" ca="1" si="1"/>
        <v>Capex Orcamentário_PE2026_2030_red_35_porcentoR3_consulta.xlsx</v>
      </c>
      <c r="D35" s="238" t="str">
        <f t="shared" si="2"/>
        <v>COO</v>
      </c>
      <c r="E35" s="238" t="str">
        <f t="shared" si="0"/>
        <v>Lucas Martins</v>
      </c>
      <c r="F35" s="237" t="str">
        <f>_xlfn.CONCAT(Tabela10[[#This Row],[VP]],Tabela10[[#This Row],[Analise Estrategia]])</f>
        <v>COO382</v>
      </c>
      <c r="G35" s="239" t="e">
        <f>_xlfn.CONCAT('Consolidado-Eletronorte'!#REF!,"_",ROW('Consolidado-Eletronorte'!#REF!)-ROW('Consolidado-Eletronorte'!$G$18))</f>
        <v>#REF!</v>
      </c>
      <c r="H35" s="239" t="s">
        <v>506</v>
      </c>
      <c r="I35" s="237" t="s">
        <v>507</v>
      </c>
      <c r="J35" s="239" t="s">
        <v>508</v>
      </c>
      <c r="K35" s="237" t="s">
        <v>509</v>
      </c>
      <c r="L35" s="237" t="s">
        <v>509</v>
      </c>
      <c r="M35" s="237" t="s">
        <v>526</v>
      </c>
      <c r="N35" s="237"/>
      <c r="O35" s="237"/>
      <c r="P35" s="237" t="s">
        <v>511</v>
      </c>
      <c r="Q35" s="243" t="s">
        <v>334</v>
      </c>
      <c r="R35" s="239" t="s">
        <v>335</v>
      </c>
      <c r="S35" s="243" t="s">
        <v>334</v>
      </c>
      <c r="T35" s="237" t="s">
        <v>509</v>
      </c>
      <c r="U35" s="237" t="s">
        <v>509</v>
      </c>
      <c r="V35" s="237" t="s">
        <v>526</v>
      </c>
      <c r="W35" s="237" t="s">
        <v>526</v>
      </c>
      <c r="X35" s="237"/>
      <c r="Y35" s="237"/>
      <c r="Z35" s="396"/>
      <c r="AA35" s="237"/>
      <c r="AB35" s="396"/>
      <c r="AC35" s="239">
        <v>4500073938</v>
      </c>
      <c r="AD35" s="397">
        <v>7839949.4900000002</v>
      </c>
      <c r="AE35" s="239" t="s">
        <v>593</v>
      </c>
      <c r="AF35" s="239" t="s">
        <v>537</v>
      </c>
      <c r="AG35" s="239" t="s">
        <v>594</v>
      </c>
      <c r="AH35" s="237" t="s">
        <v>319</v>
      </c>
      <c r="AI35" s="240">
        <v>0</v>
      </c>
      <c r="AJ35" s="240"/>
      <c r="AK35" s="240">
        <v>0</v>
      </c>
      <c r="AL35" s="240"/>
      <c r="AM35" s="240">
        <v>0</v>
      </c>
      <c r="AN35" s="240">
        <v>1000000</v>
      </c>
      <c r="AO35" s="240">
        <v>0</v>
      </c>
      <c r="AP35" s="240">
        <v>1000000</v>
      </c>
      <c r="AQ35" s="240">
        <v>0</v>
      </c>
      <c r="AR35" s="240">
        <v>1000000</v>
      </c>
      <c r="AS35" s="240">
        <v>0</v>
      </c>
      <c r="AT35" s="240">
        <v>0</v>
      </c>
      <c r="AU35" s="334">
        <f>SUM(Tabela10[[#This Row],[jan/26]:[dez/26]])</f>
        <v>3000000</v>
      </c>
      <c r="AV35" s="240">
        <v>7500000</v>
      </c>
      <c r="AW35" s="240">
        <v>5000000</v>
      </c>
      <c r="AX35" s="240">
        <v>0</v>
      </c>
      <c r="AY35" s="240">
        <v>0</v>
      </c>
      <c r="AZ35" s="240">
        <f>SUM(Tabela10[[#This Row],[2026]:[2030]])</f>
        <v>15500000</v>
      </c>
      <c r="BA35" s="242">
        <v>0</v>
      </c>
      <c r="BB35" s="240">
        <v>0</v>
      </c>
      <c r="BC35" s="240">
        <v>0</v>
      </c>
      <c r="BD35" s="240">
        <v>0</v>
      </c>
      <c r="BE35" s="240">
        <v>0</v>
      </c>
      <c r="BF35" s="241">
        <f>SUM(Tabela10[[#This Row],[2026-2030]:[2035]])</f>
        <v>15500000</v>
      </c>
      <c r="BG35" s="243" t="e" cm="1" vm="1">
        <f t="array" aca="1" ref="BG35" ca="1">_xlfn.SEQUENCE(COUNTA(Tabela10[Empresa]),1,1)</f>
        <v>#VALUE!</v>
      </c>
      <c r="BH35" s="243" t="s">
        <v>334</v>
      </c>
      <c r="BI35" s="243" t="e">
        <f>VLOOKUP(Tabela10[[#This Row],[ID real2]],[2]CONSOLIDADA!$AU:$AZ,6,FALSE)</f>
        <v>#N/A</v>
      </c>
      <c r="BJ35" s="243" t="s">
        <v>155</v>
      </c>
      <c r="BK35" s="243">
        <v>2025</v>
      </c>
      <c r="BL35" s="243" t="s">
        <v>595</v>
      </c>
      <c r="BM35" s="243" t="s">
        <v>596</v>
      </c>
      <c r="BN35" s="243" t="s">
        <v>334</v>
      </c>
      <c r="BO35" s="243" t="s">
        <v>517</v>
      </c>
      <c r="BP35" s="243" t="s">
        <v>561</v>
      </c>
      <c r="BQ35" s="243" t="s">
        <v>517</v>
      </c>
      <c r="BR35" s="346">
        <v>5000000</v>
      </c>
      <c r="BS35" s="243" t="s">
        <v>597</v>
      </c>
      <c r="BT35" s="243" t="s">
        <v>334</v>
      </c>
      <c r="BU35" s="243" t="s">
        <v>583</v>
      </c>
      <c r="BV35" s="243" t="str">
        <f>Tabela10[[#This Row],[Descrição do projeto]]</f>
        <v>Revitalização de transformador para a  UHE Tucurui</v>
      </c>
    </row>
    <row r="36" spans="1:74" x14ac:dyDescent="0.35">
      <c r="A36" s="237">
        <v>353</v>
      </c>
      <c r="B36" s="237" t="e" cm="1">
        <f t="array" ref="B36">AND(ISTEXT('Consolidado-Eletronorte'!#REF!),SUM('Consolidado-Eletronorte'!#REF!)&gt;0)</f>
        <v>#REF!</v>
      </c>
      <c r="C36" s="237" t="str">
        <f t="shared" ca="1" si="1"/>
        <v>Capex Orcamentário_PE2026_2030_red_35_porcentoR3_consulta.xlsx</v>
      </c>
      <c r="D36" s="238" t="str">
        <f t="shared" si="2"/>
        <v>COO</v>
      </c>
      <c r="E36" s="238" t="str">
        <f t="shared" si="0"/>
        <v>Lucas Martins</v>
      </c>
      <c r="F36" s="237" t="str">
        <f>_xlfn.CONCAT(Tabela10[[#This Row],[VP]],Tabela10[[#This Row],[Analise Estrategia]])</f>
        <v>COO353</v>
      </c>
      <c r="G36" s="239" t="e">
        <f>_xlfn.CONCAT('Consolidado-Eletronorte'!#REF!,"_",ROW('Consolidado-Eletronorte'!#REF!)-ROW('Consolidado-Eletronorte'!$G$18))</f>
        <v>#REF!</v>
      </c>
      <c r="H36" s="239" t="s">
        <v>506</v>
      </c>
      <c r="I36" s="237" t="s">
        <v>507</v>
      </c>
      <c r="J36" s="239" t="s">
        <v>508</v>
      </c>
      <c r="K36" s="237" t="s">
        <v>509</v>
      </c>
      <c r="L36" s="237" t="s">
        <v>509</v>
      </c>
      <c r="M36" s="237" t="s">
        <v>598</v>
      </c>
      <c r="N36" s="237"/>
      <c r="O36" s="237"/>
      <c r="P36" s="237" t="s">
        <v>511</v>
      </c>
      <c r="Q36" s="243" t="s">
        <v>328</v>
      </c>
      <c r="R36" s="239" t="s">
        <v>329</v>
      </c>
      <c r="S36" s="243" t="s">
        <v>328</v>
      </c>
      <c r="T36" s="237" t="s">
        <v>509</v>
      </c>
      <c r="U36" s="237" t="s">
        <v>509</v>
      </c>
      <c r="V36" s="237" t="s">
        <v>598</v>
      </c>
      <c r="W36" s="237" t="s">
        <v>598</v>
      </c>
      <c r="X36" s="237"/>
      <c r="Y36" s="237"/>
      <c r="Z36" s="396"/>
      <c r="AA36" s="237"/>
      <c r="AB36" s="396"/>
      <c r="AC36" s="239">
        <v>4500082946</v>
      </c>
      <c r="AD36" s="397">
        <v>15130000</v>
      </c>
      <c r="AE36" s="239" t="s">
        <v>599</v>
      </c>
      <c r="AF36" s="239" t="s">
        <v>600</v>
      </c>
      <c r="AG36" s="239" t="s">
        <v>601</v>
      </c>
      <c r="AH36" s="237" t="s">
        <v>319</v>
      </c>
      <c r="AI36" s="240">
        <v>0</v>
      </c>
      <c r="AJ36" s="240">
        <v>0</v>
      </c>
      <c r="AK36" s="240">
        <v>0</v>
      </c>
      <c r="AL36" s="240">
        <v>3500000</v>
      </c>
      <c r="AM36" s="240">
        <v>0</v>
      </c>
      <c r="AN36" s="240">
        <v>0</v>
      </c>
      <c r="AO36" s="240">
        <v>0</v>
      </c>
      <c r="AP36" s="240">
        <v>3500000</v>
      </c>
      <c r="AQ36" s="240">
        <v>0</v>
      </c>
      <c r="AR36" s="240">
        <v>3000000</v>
      </c>
      <c r="AS36" s="240">
        <v>0</v>
      </c>
      <c r="AT36" s="240">
        <v>0</v>
      </c>
      <c r="AU36" s="240">
        <f>SUM(Tabela10[[#This Row],[jan/26]:[dez/26]])</f>
        <v>10000000</v>
      </c>
      <c r="AV36" s="240">
        <v>0</v>
      </c>
      <c r="AW36" s="240">
        <v>0</v>
      </c>
      <c r="AX36" s="240">
        <v>0</v>
      </c>
      <c r="AY36" s="240">
        <v>0</v>
      </c>
      <c r="AZ36" s="240">
        <f>SUM(Tabela10[[#This Row],[2026]:[2030]])</f>
        <v>10000000</v>
      </c>
      <c r="BA36" s="242">
        <v>0</v>
      </c>
      <c r="BB36" s="240">
        <v>0</v>
      </c>
      <c r="BC36" s="240">
        <v>0</v>
      </c>
      <c r="BD36" s="240">
        <v>0</v>
      </c>
      <c r="BE36" s="240">
        <v>0</v>
      </c>
      <c r="BF36" s="241">
        <f>SUM(Tabela10[[#This Row],[2026-2030]:[2035]])</f>
        <v>10000000</v>
      </c>
      <c r="BG36" s="243" t="e" cm="1" vm="1">
        <f t="array" aca="1" ref="BG36" ca="1">_xlfn.SEQUENCE(COUNTA(Tabela10[Empresa]),1,1)</f>
        <v>#VALUE!</v>
      </c>
      <c r="BH36" s="243" t="s">
        <v>328</v>
      </c>
      <c r="BI36" s="243" t="e">
        <f>VLOOKUP(Tabela10[[#This Row],[ID real2]],[2]CONSOLIDADA!$AU:$AZ,6,FALSE)</f>
        <v>#N/A</v>
      </c>
      <c r="BJ36" s="243" t="s">
        <v>155</v>
      </c>
      <c r="BK36" s="243">
        <v>2025</v>
      </c>
      <c r="BL36" s="243" t="s">
        <v>602</v>
      </c>
      <c r="BM36" s="243" t="s">
        <v>603</v>
      </c>
      <c r="BN36" s="243" t="s">
        <v>328</v>
      </c>
      <c r="BO36" s="243" t="s">
        <v>517</v>
      </c>
      <c r="BP36" s="243" t="s">
        <v>569</v>
      </c>
      <c r="BQ36" s="243" t="s">
        <v>604</v>
      </c>
      <c r="BR36" s="346">
        <v>7865000</v>
      </c>
      <c r="BS36" s="243" t="s">
        <v>532</v>
      </c>
      <c r="BT36" s="243" t="s">
        <v>328</v>
      </c>
      <c r="BU36" s="243" t="s">
        <v>583</v>
      </c>
      <c r="BV36" s="243" t="str">
        <f>Tabela10[[#This Row],[Descrição do projeto]]</f>
        <v>Modernização do pórtico tomada d'água da UHE Tucuruí</v>
      </c>
    </row>
    <row r="37" spans="1:74" x14ac:dyDescent="0.35">
      <c r="A37" s="237"/>
      <c r="B37" s="384" t="b" cm="1">
        <f t="array" ref="B37">AND(ISTEXT('Consolidado-Eletronorte'!$H37:$M37),SUM('Consolidado-Eletronorte'!$AI37:$BF37)&gt;0)</f>
        <v>0</v>
      </c>
      <c r="C37" s="237" t="str">
        <f t="shared" ca="1" si="1"/>
        <v>Capex Orcamentário_PE2026_2030_red_35_porcentoR3_consulta.xlsx</v>
      </c>
      <c r="D37" s="238" t="str">
        <f t="shared" si="2"/>
        <v>COO</v>
      </c>
      <c r="E37" s="385" t="str">
        <f t="shared" si="0"/>
        <v>Lucas Martins</v>
      </c>
      <c r="F37" s="237"/>
      <c r="G37" s="386" t="str">
        <f>_xlfn.CONCAT('Consolidado-Eletronorte'!$D37,"_",ROW('Consolidado-Eletronorte'!$G37)-ROW('Consolidado-Eletronorte'!$G$18))</f>
        <v>COO_19</v>
      </c>
      <c r="H37" s="239"/>
      <c r="I37" s="237"/>
      <c r="J37" s="239"/>
      <c r="K37" s="237"/>
      <c r="L37" s="237"/>
      <c r="M37" s="237"/>
      <c r="N37" s="237"/>
      <c r="O37" s="237"/>
      <c r="P37" s="237"/>
      <c r="Q37" s="243" t="s">
        <v>334</v>
      </c>
      <c r="R37" s="239" t="s">
        <v>335</v>
      </c>
      <c r="S37" s="243" t="s">
        <v>334</v>
      </c>
      <c r="T37" s="237"/>
      <c r="U37" s="237"/>
      <c r="V37" s="237" t="s">
        <v>526</v>
      </c>
      <c r="W37" s="237" t="s">
        <v>526</v>
      </c>
      <c r="X37" s="237"/>
      <c r="Y37" s="237"/>
      <c r="Z37" s="396"/>
      <c r="AA37" s="237"/>
      <c r="AB37" s="396"/>
      <c r="AC37" s="239">
        <v>4500078421</v>
      </c>
      <c r="AD37" s="397">
        <v>4553427.1500000004</v>
      </c>
      <c r="AE37" s="239" t="s">
        <v>605</v>
      </c>
      <c r="AF37" s="239" t="s">
        <v>606</v>
      </c>
      <c r="AG37" s="239"/>
      <c r="AH37" s="237"/>
      <c r="AI37" s="242"/>
      <c r="AJ37" s="242"/>
      <c r="AK37" s="242"/>
      <c r="AL37" s="242"/>
      <c r="AM37" s="242"/>
      <c r="AN37" s="242"/>
      <c r="AO37" s="240"/>
      <c r="AP37" s="240"/>
      <c r="AQ37" s="240"/>
      <c r="AR37" s="240"/>
      <c r="AS37" s="240"/>
      <c r="AT37" s="240"/>
      <c r="AU37" s="240">
        <f>SUM(Tabela10[[#This Row],[jan/26]:[dez/26]])</f>
        <v>0</v>
      </c>
      <c r="AV37" s="240"/>
      <c r="AW37" s="240"/>
      <c r="AX37" s="240"/>
      <c r="AY37" s="240"/>
      <c r="AZ37" s="240">
        <f>SUM(Tabela10[[#This Row],[2026]:[2030]])</f>
        <v>0</v>
      </c>
      <c r="BA37" s="242"/>
      <c r="BB37" s="240"/>
      <c r="BC37" s="240"/>
      <c r="BD37" s="240"/>
      <c r="BE37" s="240"/>
      <c r="BF37" s="248">
        <f>SUM(Tabela10[[#This Row],[2026-2030]:[2035]])</f>
        <v>0</v>
      </c>
      <c r="BG37" s="243" t="e" cm="1" vm="1">
        <f t="array" aca="1" ref="BG37" ca="1">_xlfn.SEQUENCE(COUNTA(Tabela10[Empresa]),1,1)</f>
        <v>#VALUE!</v>
      </c>
      <c r="BH37" s="243"/>
      <c r="BI37" s="243" t="e">
        <f>VLOOKUP(Tabela10[[#This Row],[ID real2]],[2]CONSOLIDADA!$AU:$AZ,6,FALSE)</f>
        <v>#N/A</v>
      </c>
      <c r="BJ37" s="243"/>
      <c r="BK37" s="243"/>
      <c r="BL37" s="243"/>
      <c r="BM37" s="243"/>
      <c r="BN37" s="243"/>
      <c r="BO37" s="243"/>
      <c r="BP37" s="243"/>
      <c r="BQ37" s="243"/>
      <c r="BR37" s="387"/>
      <c r="BS37" s="243"/>
      <c r="BT37" s="243"/>
      <c r="BU37" s="243"/>
      <c r="BV37" s="243" t="str">
        <f>Tabela10[[#This Row],[Descrição do projeto]]</f>
        <v>Revitalização de transformador para a  UHE Tucurui</v>
      </c>
    </row>
    <row r="38" spans="1:74" x14ac:dyDescent="0.35">
      <c r="A38" s="237">
        <v>280</v>
      </c>
      <c r="B38" s="237" t="e" cm="1">
        <f t="array" ref="B38">AND(ISTEXT('Consolidado-Eletronorte'!#REF!),SUM('Consolidado-Eletronorte'!#REF!)&gt;0)</f>
        <v>#REF!</v>
      </c>
      <c r="C38" s="237" t="str">
        <f t="shared" ca="1" si="1"/>
        <v>Capex Orcamentário_PE2026_2030_red_35_porcentoR3_consulta.xlsx</v>
      </c>
      <c r="D38" s="238" t="str">
        <f t="shared" si="2"/>
        <v>COO</v>
      </c>
      <c r="E38" s="238" t="str">
        <f t="shared" si="0"/>
        <v>Lucas Martins</v>
      </c>
      <c r="F38" s="237" t="str">
        <f>_xlfn.CONCAT(Tabela10[[#This Row],[VP]],Tabela10[[#This Row],[Analise Estrategia]])</f>
        <v>COO280</v>
      </c>
      <c r="G38" s="239" t="e">
        <f>_xlfn.CONCAT('Consolidado-Eletronorte'!#REF!,"_",ROW('Consolidado-Eletronorte'!#REF!)-ROW('Consolidado-Eletronorte'!$G$18))</f>
        <v>#REF!</v>
      </c>
      <c r="H38" s="239" t="s">
        <v>506</v>
      </c>
      <c r="I38" s="237" t="s">
        <v>507</v>
      </c>
      <c r="J38" s="239" t="s">
        <v>508</v>
      </c>
      <c r="K38" s="237" t="s">
        <v>509</v>
      </c>
      <c r="L38" s="237" t="s">
        <v>509</v>
      </c>
      <c r="M38" s="428" t="s">
        <v>555</v>
      </c>
      <c r="N38" s="237"/>
      <c r="O38" s="237"/>
      <c r="P38" s="237" t="s">
        <v>511</v>
      </c>
      <c r="Q38" s="243" t="s">
        <v>357</v>
      </c>
      <c r="R38" s="239" t="s">
        <v>358</v>
      </c>
      <c r="S38" s="243" t="s">
        <v>357</v>
      </c>
      <c r="T38" s="237" t="s">
        <v>509</v>
      </c>
      <c r="U38" s="237" t="s">
        <v>509</v>
      </c>
      <c r="V38" s="237" t="s">
        <v>555</v>
      </c>
      <c r="W38" s="237" t="s">
        <v>555</v>
      </c>
      <c r="X38" s="237"/>
      <c r="Y38" s="237"/>
      <c r="Z38" s="396"/>
      <c r="AA38" s="237"/>
      <c r="AB38" s="396"/>
      <c r="AC38" s="239">
        <v>4500073892</v>
      </c>
      <c r="AD38" s="397">
        <v>10734567.359999999</v>
      </c>
      <c r="AE38" s="239" t="s">
        <v>607</v>
      </c>
      <c r="AF38" s="239" t="s">
        <v>608</v>
      </c>
      <c r="AG38" s="239" t="s">
        <v>609</v>
      </c>
      <c r="AH38" s="237" t="s">
        <v>319</v>
      </c>
      <c r="AI38" s="240"/>
      <c r="AJ38" s="240"/>
      <c r="AK38" s="240">
        <v>745051</v>
      </c>
      <c r="AL38" s="240"/>
      <c r="AM38" s="240"/>
      <c r="AN38" s="240">
        <v>745051</v>
      </c>
      <c r="AO38" s="240"/>
      <c r="AP38" s="240"/>
      <c r="AQ38" s="240">
        <v>745051</v>
      </c>
      <c r="AR38" s="240"/>
      <c r="AS38" s="240">
        <v>745051</v>
      </c>
      <c r="AT38" s="240"/>
      <c r="AU38" s="334">
        <f>SUM(Tabela10[[#This Row],[jan/26]:[dez/26]])</f>
        <v>2980204</v>
      </c>
      <c r="AV38" s="240">
        <v>4000000</v>
      </c>
      <c r="AW38" s="334">
        <v>2000000</v>
      </c>
      <c r="AX38" s="240">
        <v>0</v>
      </c>
      <c r="AY38" s="240">
        <v>0</v>
      </c>
      <c r="AZ38" s="240">
        <f>SUM(Tabela10[[#This Row],[2026]:[2030]])</f>
        <v>8980204</v>
      </c>
      <c r="BA38" s="242">
        <v>0</v>
      </c>
      <c r="BB38" s="240">
        <v>0</v>
      </c>
      <c r="BC38" s="240">
        <v>0</v>
      </c>
      <c r="BD38" s="240">
        <v>0</v>
      </c>
      <c r="BE38" s="240">
        <v>0</v>
      </c>
      <c r="BF38" s="241">
        <f>SUM(Tabela10[[#This Row],[2026-2030]:[2035]])</f>
        <v>8980204</v>
      </c>
      <c r="BG38" s="243" t="e" cm="1" vm="1">
        <f t="array" aca="1" ref="BG38" ca="1">_xlfn.SEQUENCE(COUNTA(Tabela10[Empresa]),1,1)</f>
        <v>#VALUE!</v>
      </c>
      <c r="BH38" s="243" t="s">
        <v>357</v>
      </c>
      <c r="BI38" s="243" t="e">
        <f>VLOOKUP(Tabela10[[#This Row],[ID real2]],[2]CONSOLIDADA!$AU:$AZ,6,FALSE)</f>
        <v>#N/A</v>
      </c>
      <c r="BJ38" s="243" t="s">
        <v>341</v>
      </c>
      <c r="BK38" s="243">
        <v>2025</v>
      </c>
      <c r="BL38" s="243" t="s">
        <v>610</v>
      </c>
      <c r="BM38" s="243" t="s">
        <v>567</v>
      </c>
      <c r="BN38" s="243" t="s">
        <v>357</v>
      </c>
      <c r="BO38" s="243" t="s">
        <v>517</v>
      </c>
      <c r="BP38" s="243" t="s">
        <v>569</v>
      </c>
      <c r="BQ38" s="243" t="s">
        <v>570</v>
      </c>
      <c r="BR38" s="346">
        <v>4980204</v>
      </c>
      <c r="BS38" s="243" t="s">
        <v>611</v>
      </c>
      <c r="BT38" s="243" t="s">
        <v>357</v>
      </c>
      <c r="BU38" s="243" t="s">
        <v>576</v>
      </c>
      <c r="BV38" s="243" t="str">
        <f>Tabela10[[#This Row],[Descrição do projeto]]</f>
        <v>Modernização dos Stop Logs da UHE Tucuruí</v>
      </c>
    </row>
    <row r="39" spans="1:74" hidden="1" x14ac:dyDescent="0.35">
      <c r="A39" s="237">
        <v>342</v>
      </c>
      <c r="B39" s="237" t="e" cm="1">
        <f t="array" ref="B39">AND(ISTEXT('Consolidado-Eletronorte'!#REF!),SUM('Consolidado-Eletronorte'!#REF!)&gt;0)</f>
        <v>#REF!</v>
      </c>
      <c r="C39" s="237" t="str">
        <f t="shared" ca="1" si="1"/>
        <v>Capex Orcamentário_PE2026_2030_red_35_porcentoR3_consulta.xlsx</v>
      </c>
      <c r="D39" s="238" t="str">
        <f t="shared" si="2"/>
        <v>COO</v>
      </c>
      <c r="E39" s="238" t="str">
        <f t="shared" si="0"/>
        <v>Lucas Martins</v>
      </c>
      <c r="F39" s="237" t="str">
        <f>_xlfn.CONCAT(Tabela10[[#This Row],[VP]],Tabela10[[#This Row],[Analise Estrategia]])</f>
        <v>COO342</v>
      </c>
      <c r="G39" s="239" t="e">
        <f>_xlfn.CONCAT('Consolidado-Eletronorte'!#REF!,"_",ROW('Consolidado-Eletronorte'!#REF!)-ROW('Consolidado-Eletronorte'!$G$18))</f>
        <v>#REF!</v>
      </c>
      <c r="H39" s="239" t="s">
        <v>506</v>
      </c>
      <c r="I39" s="237" t="s">
        <v>507</v>
      </c>
      <c r="J39" s="239" t="s">
        <v>508</v>
      </c>
      <c r="K39" s="237" t="s">
        <v>509</v>
      </c>
      <c r="L39" s="237" t="s">
        <v>509</v>
      </c>
      <c r="M39" s="237" t="s">
        <v>555</v>
      </c>
      <c r="N39" s="237"/>
      <c r="O39" s="237"/>
      <c r="P39" s="237" t="s">
        <v>612</v>
      </c>
      <c r="Q39" s="243" t="s">
        <v>225</v>
      </c>
      <c r="R39" s="239" t="s">
        <v>226</v>
      </c>
      <c r="S39" s="243" t="s">
        <v>225</v>
      </c>
      <c r="T39" s="237" t="s">
        <v>509</v>
      </c>
      <c r="U39" s="237" t="s">
        <v>509</v>
      </c>
      <c r="V39" s="237" t="s">
        <v>555</v>
      </c>
      <c r="W39" s="237" t="s">
        <v>555</v>
      </c>
      <c r="X39" s="237"/>
      <c r="Y39" s="239" t="s">
        <v>564</v>
      </c>
      <c r="Z39" s="397"/>
      <c r="AA39" s="237"/>
      <c r="AB39" s="396"/>
      <c r="AC39" s="239"/>
      <c r="AD39" s="397"/>
      <c r="AE39" s="239"/>
      <c r="AF39" s="239"/>
      <c r="AG39" s="239" t="s">
        <v>613</v>
      </c>
      <c r="AH39" s="237" t="s">
        <v>210</v>
      </c>
      <c r="AI39" s="240">
        <v>0</v>
      </c>
      <c r="AJ39" s="240">
        <v>0</v>
      </c>
      <c r="AK39" s="240">
        <v>0</v>
      </c>
      <c r="AL39" s="240">
        <v>0</v>
      </c>
      <c r="AM39" s="240">
        <v>0</v>
      </c>
      <c r="AN39" s="240">
        <v>0</v>
      </c>
      <c r="AO39" s="240"/>
      <c r="AP39" s="240">
        <v>0</v>
      </c>
      <c r="AQ39" s="240"/>
      <c r="AR39" s="240">
        <v>0</v>
      </c>
      <c r="AS39" s="240">
        <v>0</v>
      </c>
      <c r="AT39" s="240"/>
      <c r="AU39" s="240">
        <f>SUM(Tabela10[[#This Row],[jan/26]:[dez/26]])</f>
        <v>0</v>
      </c>
      <c r="AV39" s="334">
        <v>7500000</v>
      </c>
      <c r="AW39" s="334">
        <v>7500000</v>
      </c>
      <c r="AX39" s="240">
        <v>0</v>
      </c>
      <c r="AY39" s="240">
        <v>0</v>
      </c>
      <c r="AZ39" s="240">
        <f>SUM(Tabela10[[#This Row],[2026]:[2030]])</f>
        <v>15000000</v>
      </c>
      <c r="BA39" s="242">
        <v>0</v>
      </c>
      <c r="BB39" s="240">
        <v>0</v>
      </c>
      <c r="BC39" s="240">
        <v>0</v>
      </c>
      <c r="BD39" s="240">
        <v>0</v>
      </c>
      <c r="BE39" s="240">
        <v>0</v>
      </c>
      <c r="BF39" s="241">
        <f>SUM(Tabela10[[#This Row],[2026-2030]:[2035]])</f>
        <v>15000000</v>
      </c>
      <c r="BG39" s="243" t="e" cm="1" vm="1">
        <f t="array" aca="1" ref="BG39" ca="1">_xlfn.SEQUENCE(COUNTA(Tabela10[Empresa]),1,1)</f>
        <v>#VALUE!</v>
      </c>
      <c r="BH39" s="243" t="s">
        <v>225</v>
      </c>
      <c r="BI39" s="243" t="e">
        <f>VLOOKUP(Tabela10[[#This Row],[ID real2]],[2]CONSOLIDADA!$AU:$AZ,6,FALSE)</f>
        <v>#N/A</v>
      </c>
      <c r="BJ39" s="243" t="s">
        <v>224</v>
      </c>
      <c r="BK39" s="243">
        <v>2026</v>
      </c>
      <c r="BL39" s="243" t="s">
        <v>614</v>
      </c>
      <c r="BM39" s="243">
        <v>0</v>
      </c>
      <c r="BN39" s="243" t="s">
        <v>225</v>
      </c>
      <c r="BO39" s="243" t="s">
        <v>568</v>
      </c>
      <c r="BP39" s="243" t="s">
        <v>561</v>
      </c>
      <c r="BQ39" s="243" t="s">
        <v>570</v>
      </c>
      <c r="BR39" s="346">
        <v>3000000</v>
      </c>
      <c r="BS39" s="243" t="s">
        <v>615</v>
      </c>
      <c r="BT39" s="243" t="s">
        <v>225</v>
      </c>
      <c r="BU39" s="243" t="s">
        <v>616</v>
      </c>
      <c r="BV39" s="243" t="str">
        <f>Tabela10[[#This Row],[Descrição do projeto]]</f>
        <v>Revitalização do Vertedouro da UHCN</v>
      </c>
    </row>
    <row r="40" spans="1:74" hidden="1" x14ac:dyDescent="0.35">
      <c r="A40" s="237">
        <v>296</v>
      </c>
      <c r="B40" s="237" t="e" cm="1">
        <f t="array" ref="B40">AND(ISTEXT('Consolidado-Eletronorte'!#REF!),SUM('Consolidado-Eletronorte'!#REF!)&gt;0)</f>
        <v>#REF!</v>
      </c>
      <c r="C40" s="237" t="str">
        <f t="shared" ref="C40:C71" ca="1" si="3">$J$13</f>
        <v>Capex Orcamentário_PE2026_2030_red_35_porcentoR3_consulta.xlsx</v>
      </c>
      <c r="D40" s="238" t="str">
        <f t="shared" ref="D40:D71" si="4">$H$13</f>
        <v>COO</v>
      </c>
      <c r="E40" s="238" t="str">
        <f t="shared" ref="E40:E71" si="5">$H$14</f>
        <v>Lucas Martins</v>
      </c>
      <c r="F40" s="237" t="str">
        <f>_xlfn.CONCAT(Tabela10[[#This Row],[VP]],Tabela10[[#This Row],[Analise Estrategia]])</f>
        <v>COO296</v>
      </c>
      <c r="G40" s="239" t="e">
        <f>_xlfn.CONCAT('Consolidado-Eletronorte'!#REF!,"_",ROW('Consolidado-Eletronorte'!#REF!)-ROW('Consolidado-Eletronorte'!$G$18))</f>
        <v>#REF!</v>
      </c>
      <c r="H40" s="239" t="s">
        <v>506</v>
      </c>
      <c r="I40" s="237" t="s">
        <v>507</v>
      </c>
      <c r="J40" s="239" t="s">
        <v>508</v>
      </c>
      <c r="K40" s="237" t="s">
        <v>509</v>
      </c>
      <c r="L40" s="237" t="s">
        <v>509</v>
      </c>
      <c r="M40" s="237" t="s">
        <v>577</v>
      </c>
      <c r="N40" s="237"/>
      <c r="O40" s="237"/>
      <c r="P40" s="237" t="s">
        <v>617</v>
      </c>
      <c r="Q40" s="243" t="s">
        <v>232</v>
      </c>
      <c r="R40" s="239" t="s">
        <v>233</v>
      </c>
      <c r="S40" s="243" t="s">
        <v>232</v>
      </c>
      <c r="T40" s="237" t="s">
        <v>509</v>
      </c>
      <c r="U40" s="237" t="s">
        <v>509</v>
      </c>
      <c r="V40" s="237" t="s">
        <v>577</v>
      </c>
      <c r="W40" s="237" t="s">
        <v>577</v>
      </c>
      <c r="X40" s="237"/>
      <c r="Y40" s="239">
        <v>3400004383</v>
      </c>
      <c r="Z40" s="397">
        <v>6596000</v>
      </c>
      <c r="AA40" s="237"/>
      <c r="AB40" s="396"/>
      <c r="AC40" s="239"/>
      <c r="AD40" s="397"/>
      <c r="AE40" s="239"/>
      <c r="AF40" s="239"/>
      <c r="AG40" s="239" t="s">
        <v>618</v>
      </c>
      <c r="AH40" s="237" t="s">
        <v>229</v>
      </c>
      <c r="AI40" s="240">
        <v>0</v>
      </c>
      <c r="AJ40" s="240"/>
      <c r="AK40" s="240">
        <v>0</v>
      </c>
      <c r="AL40" s="240">
        <v>0</v>
      </c>
      <c r="AM40" s="240">
        <v>0</v>
      </c>
      <c r="AN40" s="240">
        <v>1500000</v>
      </c>
      <c r="AO40" s="240">
        <v>0</v>
      </c>
      <c r="AP40" s="240"/>
      <c r="AQ40" s="240">
        <v>0</v>
      </c>
      <c r="AR40" s="240">
        <v>1500000</v>
      </c>
      <c r="AS40" s="240">
        <v>0</v>
      </c>
      <c r="AT40" s="240">
        <v>0</v>
      </c>
      <c r="AU40" s="240">
        <f>SUM(Tabela10[[#This Row],[jan/26]:[dez/26]])</f>
        <v>3000000</v>
      </c>
      <c r="AV40" s="240">
        <v>1500000</v>
      </c>
      <c r="AW40" s="240">
        <v>2000000</v>
      </c>
      <c r="AX40" s="240">
        <v>0</v>
      </c>
      <c r="AY40" s="240">
        <v>0</v>
      </c>
      <c r="AZ40" s="240">
        <f>SUM(Tabela10[[#This Row],[2026]:[2030]])</f>
        <v>6500000</v>
      </c>
      <c r="BA40" s="242">
        <v>0</v>
      </c>
      <c r="BB40" s="240">
        <v>0</v>
      </c>
      <c r="BC40" s="240">
        <v>0</v>
      </c>
      <c r="BD40" s="240">
        <v>0</v>
      </c>
      <c r="BE40" s="240">
        <v>0</v>
      </c>
      <c r="BF40" s="241">
        <f>SUM(Tabela10[[#This Row],[2026-2030]:[2035]])</f>
        <v>6500000</v>
      </c>
      <c r="BG40" s="243" t="e" cm="1" vm="1">
        <f t="array" aca="1" ref="BG40" ca="1">_xlfn.SEQUENCE(COUNTA(Tabela10[Empresa]),1,1)</f>
        <v>#VALUE!</v>
      </c>
      <c r="BH40" s="243" t="s">
        <v>232</v>
      </c>
      <c r="BI40" s="243" t="e">
        <f>VLOOKUP(Tabela10[[#This Row],[ID real2]],[2]CONSOLIDADA!$AU:$AZ,6,FALSE)</f>
        <v>#N/A</v>
      </c>
      <c r="BJ40" s="243" t="s">
        <v>155</v>
      </c>
      <c r="BK40" s="243">
        <v>2025</v>
      </c>
      <c r="BL40" s="243" t="s">
        <v>619</v>
      </c>
      <c r="BM40" s="243" t="s">
        <v>620</v>
      </c>
      <c r="BN40" s="243" t="s">
        <v>232</v>
      </c>
      <c r="BO40" s="243" t="s">
        <v>550</v>
      </c>
      <c r="BP40" s="243" t="s">
        <v>621</v>
      </c>
      <c r="BQ40" s="243" t="s">
        <v>552</v>
      </c>
      <c r="BR40" s="346">
        <v>3500000</v>
      </c>
      <c r="BS40" s="243" t="s">
        <v>540</v>
      </c>
      <c r="BT40" s="243" t="s">
        <v>232</v>
      </c>
      <c r="BU40" s="243" t="s">
        <v>583</v>
      </c>
      <c r="BV40" s="243" t="str">
        <f>Tabela10[[#This Row],[Descrição do projeto]]</f>
        <v>Substituição de transformador para a UHE Curuá-Una - UGH02 e reserva</v>
      </c>
    </row>
    <row r="41" spans="1:74" hidden="1" x14ac:dyDescent="0.35">
      <c r="A41" s="237">
        <v>367</v>
      </c>
      <c r="B41" s="237" t="e" cm="1">
        <f t="array" ref="B41">AND(ISTEXT('Consolidado-Eletronorte'!#REF!),SUM('Consolidado-Eletronorte'!#REF!)&gt;0)</f>
        <v>#REF!</v>
      </c>
      <c r="C41" s="237" t="str">
        <f t="shared" ca="1" si="3"/>
        <v>Capex Orcamentário_PE2026_2030_red_35_porcentoR3_consulta.xlsx</v>
      </c>
      <c r="D41" s="238" t="str">
        <f t="shared" si="4"/>
        <v>COO</v>
      </c>
      <c r="E41" s="238" t="str">
        <f t="shared" si="5"/>
        <v>Lucas Martins</v>
      </c>
      <c r="F41" s="237" t="str">
        <f>_xlfn.CONCAT(Tabela10[[#This Row],[VP]],Tabela10[[#This Row],[Analise Estrategia]])</f>
        <v>COO367</v>
      </c>
      <c r="G41" s="239" t="e">
        <f>_xlfn.CONCAT('Consolidado-Eletronorte'!#REF!,"_",ROW('Consolidado-Eletronorte'!#REF!)-ROW('Consolidado-Eletronorte'!$G$18))</f>
        <v>#REF!</v>
      </c>
      <c r="H41" s="239" t="s">
        <v>506</v>
      </c>
      <c r="I41" s="237" t="s">
        <v>507</v>
      </c>
      <c r="J41" s="239" t="s">
        <v>508</v>
      </c>
      <c r="K41" s="237" t="s">
        <v>509</v>
      </c>
      <c r="L41" s="237" t="s">
        <v>622</v>
      </c>
      <c r="M41" s="237" t="s">
        <v>623</v>
      </c>
      <c r="N41" s="237"/>
      <c r="O41" s="237"/>
      <c r="P41" s="237" t="s">
        <v>617</v>
      </c>
      <c r="Q41" s="243" t="s">
        <v>259</v>
      </c>
      <c r="R41" s="239" t="s">
        <v>260</v>
      </c>
      <c r="S41" s="243" t="s">
        <v>259</v>
      </c>
      <c r="T41" s="237" t="s">
        <v>509</v>
      </c>
      <c r="U41" s="237" t="s">
        <v>622</v>
      </c>
      <c r="V41" s="237" t="s">
        <v>624</v>
      </c>
      <c r="W41" s="237" t="s">
        <v>624</v>
      </c>
      <c r="X41" s="237"/>
      <c r="Y41" s="239" t="s">
        <v>564</v>
      </c>
      <c r="Z41" s="397"/>
      <c r="AA41" s="237"/>
      <c r="AB41" s="396"/>
      <c r="AC41" s="239"/>
      <c r="AD41" s="397"/>
      <c r="AE41" s="239"/>
      <c r="AF41" s="239"/>
      <c r="AG41" s="239" t="s">
        <v>625</v>
      </c>
      <c r="AH41" s="237" t="s">
        <v>229</v>
      </c>
      <c r="AI41" s="240">
        <v>0</v>
      </c>
      <c r="AJ41" s="240">
        <v>0</v>
      </c>
      <c r="AK41" s="240">
        <v>565500</v>
      </c>
      <c r="AL41" s="240">
        <v>0</v>
      </c>
      <c r="AM41" s="240">
        <v>0</v>
      </c>
      <c r="AN41" s="240">
        <v>565500</v>
      </c>
      <c r="AO41" s="240">
        <v>0</v>
      </c>
      <c r="AP41" s="240">
        <v>0</v>
      </c>
      <c r="AQ41" s="240">
        <v>565500</v>
      </c>
      <c r="AR41" s="240">
        <v>0</v>
      </c>
      <c r="AS41" s="240">
        <v>0</v>
      </c>
      <c r="AT41" s="240">
        <v>565500</v>
      </c>
      <c r="AU41" s="240">
        <f>SUM(Tabela10[[#This Row],[jan/26]:[dez/26]])</f>
        <v>2262000</v>
      </c>
      <c r="AV41" s="240">
        <v>2790000</v>
      </c>
      <c r="AW41" s="240">
        <v>678000</v>
      </c>
      <c r="AX41" s="240">
        <v>0</v>
      </c>
      <c r="AY41" s="240">
        <v>0</v>
      </c>
      <c r="AZ41" s="240">
        <f>SUM(Tabela10[[#This Row],[2026]:[2030]])</f>
        <v>5730000</v>
      </c>
      <c r="BA41" s="242">
        <v>0</v>
      </c>
      <c r="BB41" s="240">
        <v>0</v>
      </c>
      <c r="BC41" s="240">
        <v>0</v>
      </c>
      <c r="BD41" s="240">
        <v>0</v>
      </c>
      <c r="BE41" s="240">
        <v>0</v>
      </c>
      <c r="BF41" s="241">
        <f>SUM(Tabela10[[#This Row],[2026-2030]:[2035]])</f>
        <v>5730000</v>
      </c>
      <c r="BG41" s="243" t="e" cm="1" vm="1">
        <f t="array" aca="1" ref="BG41" ca="1">_xlfn.SEQUENCE(COUNTA(Tabela10[Empresa]),1,1)</f>
        <v>#VALUE!</v>
      </c>
      <c r="BH41" s="243" t="s">
        <v>259</v>
      </c>
      <c r="BI41" s="243" t="e">
        <f>VLOOKUP(Tabela10[[#This Row],[ID real2]],[2]CONSOLIDADA!$AU:$AZ,6,FALSE)</f>
        <v>#N/A</v>
      </c>
      <c r="BJ41" s="243" t="s">
        <v>261</v>
      </c>
      <c r="BK41" s="243">
        <v>2025</v>
      </c>
      <c r="BL41" s="243" t="s">
        <v>626</v>
      </c>
      <c r="BM41" s="243" t="s">
        <v>627</v>
      </c>
      <c r="BN41" s="243" t="s">
        <v>259</v>
      </c>
      <c r="BO41" s="243" t="s">
        <v>628</v>
      </c>
      <c r="BP41" s="243" t="s">
        <v>569</v>
      </c>
      <c r="BQ41" s="243" t="s">
        <v>552</v>
      </c>
      <c r="BR41" s="346">
        <v>2262000</v>
      </c>
      <c r="BS41" s="243" t="s">
        <v>540</v>
      </c>
      <c r="BT41" s="243" t="s">
        <v>259</v>
      </c>
      <c r="BU41" s="243" t="s">
        <v>629</v>
      </c>
      <c r="BV41" s="243" t="str">
        <f>Tabela10[[#This Row],[Descrição do projeto]]</f>
        <v>SISTEMA DE ALIMENTAÇÃO -48VCC</v>
      </c>
    </row>
    <row r="42" spans="1:74" hidden="1" x14ac:dyDescent="0.35">
      <c r="A42" s="237">
        <v>293</v>
      </c>
      <c r="B42" s="237" t="e" cm="1">
        <f t="array" ref="B42">AND(ISTEXT('Consolidado-Eletronorte'!#REF!),SUM('Consolidado-Eletronorte'!#REF!)&gt;0)</f>
        <v>#REF!</v>
      </c>
      <c r="C42" s="237" t="str">
        <f t="shared" ca="1" si="3"/>
        <v>Capex Orcamentário_PE2026_2030_red_35_porcentoR3_consulta.xlsx</v>
      </c>
      <c r="D42" s="238" t="str">
        <f t="shared" si="4"/>
        <v>COO</v>
      </c>
      <c r="E42" s="238" t="str">
        <f t="shared" si="5"/>
        <v>Lucas Martins</v>
      </c>
      <c r="F42" s="237" t="str">
        <f>_xlfn.CONCAT(Tabela10[[#This Row],[VP]],Tabela10[[#This Row],[Analise Estrategia]])</f>
        <v>COO293</v>
      </c>
      <c r="G42" s="239" t="e">
        <f>_xlfn.CONCAT('Consolidado-Eletronorte'!#REF!,"_",ROW('Consolidado-Eletronorte'!#REF!)-ROW('Consolidado-Eletronorte'!$G$18))</f>
        <v>#REF!</v>
      </c>
      <c r="H42" s="239" t="s">
        <v>506</v>
      </c>
      <c r="I42" s="237" t="s">
        <v>507</v>
      </c>
      <c r="J42" s="239" t="s">
        <v>508</v>
      </c>
      <c r="K42" s="237" t="s">
        <v>509</v>
      </c>
      <c r="L42" s="237" t="s">
        <v>509</v>
      </c>
      <c r="M42" s="237" t="s">
        <v>577</v>
      </c>
      <c r="N42" s="237"/>
      <c r="O42" s="237"/>
      <c r="P42" s="237" t="s">
        <v>617</v>
      </c>
      <c r="Q42" s="243" t="s">
        <v>237</v>
      </c>
      <c r="R42" s="239" t="s">
        <v>238</v>
      </c>
      <c r="S42" s="243" t="s">
        <v>237</v>
      </c>
      <c r="T42" s="237" t="s">
        <v>509</v>
      </c>
      <c r="U42" s="237" t="s">
        <v>509</v>
      </c>
      <c r="V42" s="237" t="s">
        <v>577</v>
      </c>
      <c r="W42" s="237" t="s">
        <v>577</v>
      </c>
      <c r="X42" s="237"/>
      <c r="Y42" s="239" t="s">
        <v>564</v>
      </c>
      <c r="Z42" s="397"/>
      <c r="AA42" s="237"/>
      <c r="AB42" s="396"/>
      <c r="AC42" s="239"/>
      <c r="AD42" s="397"/>
      <c r="AE42" s="239"/>
      <c r="AF42" s="239"/>
      <c r="AG42" s="239" t="s">
        <v>630</v>
      </c>
      <c r="AH42" s="237" t="s">
        <v>229</v>
      </c>
      <c r="AI42" s="240">
        <v>0</v>
      </c>
      <c r="AJ42" s="240">
        <v>0</v>
      </c>
      <c r="AK42" s="240">
        <v>0</v>
      </c>
      <c r="AL42" s="240">
        <v>0</v>
      </c>
      <c r="AM42" s="240">
        <v>0</v>
      </c>
      <c r="AN42" s="240">
        <v>0</v>
      </c>
      <c r="AO42" s="240">
        <v>0</v>
      </c>
      <c r="AP42" s="240">
        <v>0</v>
      </c>
      <c r="AQ42" s="240">
        <v>0</v>
      </c>
      <c r="AR42" s="240">
        <v>0</v>
      </c>
      <c r="AS42" s="240">
        <v>0</v>
      </c>
      <c r="AT42" s="240">
        <v>0</v>
      </c>
      <c r="AU42" s="240">
        <f>SUM(Tabela10[[#This Row],[jan/26]:[dez/26]])</f>
        <v>0</v>
      </c>
      <c r="AV42" s="240">
        <v>3600000</v>
      </c>
      <c r="AW42" s="240">
        <v>0</v>
      </c>
      <c r="AX42" s="240">
        <v>0</v>
      </c>
      <c r="AY42" s="240">
        <v>0</v>
      </c>
      <c r="AZ42" s="240">
        <f>SUM(Tabela10[[#This Row],[2026]:[2030]])</f>
        <v>3600000</v>
      </c>
      <c r="BA42" s="242">
        <v>0</v>
      </c>
      <c r="BB42" s="240">
        <v>0</v>
      </c>
      <c r="BC42" s="240">
        <v>0</v>
      </c>
      <c r="BD42" s="240">
        <v>0</v>
      </c>
      <c r="BE42" s="240">
        <v>0</v>
      </c>
      <c r="BF42" s="241">
        <f>SUM(Tabela10[[#This Row],[2026-2030]:[2035]])</f>
        <v>3600000</v>
      </c>
      <c r="BG42" s="243" t="e" cm="1" vm="1">
        <f t="array" aca="1" ref="BG42" ca="1">_xlfn.SEQUENCE(COUNTA(Tabela10[Empresa]),1,1)</f>
        <v>#VALUE!</v>
      </c>
      <c r="BH42" s="243" t="s">
        <v>237</v>
      </c>
      <c r="BI42" s="243" t="e">
        <f>VLOOKUP(Tabela10[[#This Row],[ID real2]],[2]CONSOLIDADA!$AU:$AZ,6,FALSE)</f>
        <v>#N/A</v>
      </c>
      <c r="BJ42" s="243" t="e">
        <v>#N/A</v>
      </c>
      <c r="BK42" s="243">
        <v>2026</v>
      </c>
      <c r="BL42" s="243" t="s">
        <v>631</v>
      </c>
      <c r="BM42" s="243">
        <v>0</v>
      </c>
      <c r="BN42" s="243" t="s">
        <v>237</v>
      </c>
      <c r="BO42" s="243" t="s">
        <v>568</v>
      </c>
      <c r="BP42" s="243" t="s">
        <v>621</v>
      </c>
      <c r="BQ42" s="243" t="s">
        <v>561</v>
      </c>
      <c r="BR42" s="346">
        <v>0</v>
      </c>
      <c r="BS42" s="243" t="s">
        <v>632</v>
      </c>
      <c r="BT42" s="243" t="s">
        <v>237</v>
      </c>
      <c r="BU42" s="243" t="e">
        <v>#N/A</v>
      </c>
      <c r="BV42" s="243" t="str">
        <f>Tabela10[[#This Row],[Descrição do projeto]]</f>
        <v>Modernização das turbinas hidráulicas da UHE Curuá-Una UGH01.02 e 03</v>
      </c>
    </row>
    <row r="43" spans="1:74" hidden="1" x14ac:dyDescent="0.35">
      <c r="A43" s="237">
        <v>284</v>
      </c>
      <c r="B43" s="237" t="e" cm="1">
        <f t="array" ref="B43">AND(ISTEXT('Consolidado-Eletronorte'!#REF!),SUM('Consolidado-Eletronorte'!#REF!)&gt;0)</f>
        <v>#REF!</v>
      </c>
      <c r="C43" s="237" t="str">
        <f t="shared" ca="1" si="3"/>
        <v>Capex Orcamentário_PE2026_2030_red_35_porcentoR3_consulta.xlsx</v>
      </c>
      <c r="D43" s="238" t="str">
        <f t="shared" si="4"/>
        <v>COO</v>
      </c>
      <c r="E43" s="238" t="str">
        <f t="shared" si="5"/>
        <v>Lucas Martins</v>
      </c>
      <c r="F43" s="237" t="str">
        <f>_xlfn.CONCAT(Tabela10[[#This Row],[VP]],Tabela10[[#This Row],[Analise Estrategia]])</f>
        <v>COO284</v>
      </c>
      <c r="G43" s="239" t="e">
        <f>_xlfn.CONCAT('Consolidado-Eletronorte'!#REF!,"_",ROW('Consolidado-Eletronorte'!#REF!)-ROW('Consolidado-Eletronorte'!$G$18))</f>
        <v>#REF!</v>
      </c>
      <c r="H43" s="239" t="s">
        <v>506</v>
      </c>
      <c r="I43" s="237" t="s">
        <v>507</v>
      </c>
      <c r="J43" s="239" t="s">
        <v>508</v>
      </c>
      <c r="K43" s="237" t="s">
        <v>509</v>
      </c>
      <c r="L43" s="237" t="s">
        <v>509</v>
      </c>
      <c r="M43" s="237" t="s">
        <v>577</v>
      </c>
      <c r="N43" s="237"/>
      <c r="O43" s="237"/>
      <c r="P43" s="237" t="s">
        <v>617</v>
      </c>
      <c r="Q43" s="243" t="s">
        <v>239</v>
      </c>
      <c r="R43" s="383" t="s">
        <v>240</v>
      </c>
      <c r="S43" s="243" t="s">
        <v>239</v>
      </c>
      <c r="T43" s="237" t="s">
        <v>509</v>
      </c>
      <c r="U43" s="237" t="s">
        <v>509</v>
      </c>
      <c r="V43" s="237" t="s">
        <v>577</v>
      </c>
      <c r="W43" s="237" t="s">
        <v>577</v>
      </c>
      <c r="X43" s="237"/>
      <c r="Y43" s="239" t="s">
        <v>564</v>
      </c>
      <c r="Z43" s="397"/>
      <c r="AA43" s="237"/>
      <c r="AB43" s="396"/>
      <c r="AC43" s="239"/>
      <c r="AD43" s="397"/>
      <c r="AE43" s="239"/>
      <c r="AF43" s="239"/>
      <c r="AG43" s="239" t="s">
        <v>633</v>
      </c>
      <c r="AH43" s="237" t="s">
        <v>229</v>
      </c>
      <c r="AI43" s="240">
        <v>0</v>
      </c>
      <c r="AJ43" s="240">
        <v>0</v>
      </c>
      <c r="AK43" s="240">
        <v>0</v>
      </c>
      <c r="AL43" s="240">
        <v>0</v>
      </c>
      <c r="AM43" s="240">
        <v>0</v>
      </c>
      <c r="AN43" s="240">
        <v>0</v>
      </c>
      <c r="AO43" s="240">
        <v>0</v>
      </c>
      <c r="AP43" s="240">
        <v>0</v>
      </c>
      <c r="AQ43" s="240">
        <v>0</v>
      </c>
      <c r="AR43" s="240">
        <v>0</v>
      </c>
      <c r="AS43" s="240"/>
      <c r="AT43" s="240">
        <v>0</v>
      </c>
      <c r="AU43" s="334">
        <f>SUM(Tabela10[[#This Row],[jan/26]:[dez/26]])</f>
        <v>0</v>
      </c>
      <c r="AV43" s="334">
        <v>2000000</v>
      </c>
      <c r="AW43" s="334">
        <v>1500000</v>
      </c>
      <c r="AX43" s="240">
        <v>0</v>
      </c>
      <c r="AY43" s="240">
        <v>0</v>
      </c>
      <c r="AZ43" s="240">
        <f>SUM(Tabela10[[#This Row],[2026]:[2030]])</f>
        <v>3500000</v>
      </c>
      <c r="BA43" s="242">
        <v>0</v>
      </c>
      <c r="BB43" s="240">
        <v>0</v>
      </c>
      <c r="BC43" s="240">
        <v>0</v>
      </c>
      <c r="BD43" s="240">
        <v>0</v>
      </c>
      <c r="BE43" s="240">
        <v>0</v>
      </c>
      <c r="BF43" s="241">
        <f>SUM(Tabela10[[#This Row],[2026-2030]:[2035]])</f>
        <v>3500000</v>
      </c>
      <c r="BG43" s="243" t="e" cm="1" vm="1">
        <f t="array" aca="1" ref="BG43" ca="1">_xlfn.SEQUENCE(COUNTA(Tabela10[Empresa]),1,1)</f>
        <v>#VALUE!</v>
      </c>
      <c r="BH43" s="243" t="s">
        <v>239</v>
      </c>
      <c r="BI43" s="243" t="e">
        <f>VLOOKUP(Tabela10[[#This Row],[ID real2]],[2]CONSOLIDADA!$AU:$AZ,6,FALSE)</f>
        <v>#N/A</v>
      </c>
      <c r="BJ43" s="243" t="s">
        <v>155</v>
      </c>
      <c r="BK43" s="243">
        <v>2026</v>
      </c>
      <c r="BL43" s="243" t="s">
        <v>634</v>
      </c>
      <c r="BM43" s="243">
        <v>0</v>
      </c>
      <c r="BN43" s="243" t="s">
        <v>239</v>
      </c>
      <c r="BO43" s="243" t="s">
        <v>568</v>
      </c>
      <c r="BP43" s="243" t="s">
        <v>561</v>
      </c>
      <c r="BQ43" s="243" t="s">
        <v>570</v>
      </c>
      <c r="BR43" s="346">
        <v>2000000</v>
      </c>
      <c r="BS43" s="243" t="s">
        <v>635</v>
      </c>
      <c r="BT43" s="243" t="s">
        <v>239</v>
      </c>
      <c r="BU43" s="243" t="s">
        <v>583</v>
      </c>
      <c r="BV43" s="243" t="str">
        <f>Tabela10[[#This Row],[Descrição do projeto]]</f>
        <v xml:space="preserve">Modernização do serviço auxiliar da usina, com substituição de cubículos e gavetas do circuito CA </v>
      </c>
    </row>
    <row r="44" spans="1:74" x14ac:dyDescent="0.35">
      <c r="A44" s="237">
        <v>381</v>
      </c>
      <c r="B44" s="237" t="e" cm="1">
        <f t="array" ref="B44">AND(ISTEXT('Consolidado-Eletronorte'!#REF!),SUM('Consolidado-Eletronorte'!#REF!)&gt;0)</f>
        <v>#REF!</v>
      </c>
      <c r="C44" s="237" t="str">
        <f t="shared" ca="1" si="3"/>
        <v>Capex Orcamentário_PE2026_2030_red_35_porcentoR3_consulta.xlsx</v>
      </c>
      <c r="D44" s="238" t="str">
        <f t="shared" si="4"/>
        <v>COO</v>
      </c>
      <c r="E44" s="238" t="str">
        <f t="shared" si="5"/>
        <v>Lucas Martins</v>
      </c>
      <c r="F44" s="237" t="str">
        <f>_xlfn.CONCAT(Tabela10[[#This Row],[VP]],Tabela10[[#This Row],[Analise Estrategia]])</f>
        <v>COO381</v>
      </c>
      <c r="G44" s="239" t="e">
        <f>_xlfn.CONCAT('Consolidado-Eletronorte'!#REF!,"_",ROW('Consolidado-Eletronorte'!#REF!)-ROW('Consolidado-Eletronorte'!$G$18))</f>
        <v>#REF!</v>
      </c>
      <c r="H44" s="239" t="s">
        <v>506</v>
      </c>
      <c r="I44" s="237" t="s">
        <v>507</v>
      </c>
      <c r="J44" s="239" t="s">
        <v>508</v>
      </c>
      <c r="K44" s="237" t="s">
        <v>509</v>
      </c>
      <c r="L44" s="237" t="s">
        <v>509</v>
      </c>
      <c r="M44" s="237" t="s">
        <v>636</v>
      </c>
      <c r="N44" s="237"/>
      <c r="O44" s="237"/>
      <c r="P44" s="237" t="s">
        <v>511</v>
      </c>
      <c r="Q44" s="243" t="s">
        <v>331</v>
      </c>
      <c r="R44" s="239" t="s">
        <v>332</v>
      </c>
      <c r="S44" s="243" t="s">
        <v>331</v>
      </c>
      <c r="T44" s="237" t="s">
        <v>509</v>
      </c>
      <c r="U44" s="237" t="s">
        <v>509</v>
      </c>
      <c r="V44" s="237" t="s">
        <v>636</v>
      </c>
      <c r="W44" s="237" t="s">
        <v>636</v>
      </c>
      <c r="X44" s="237"/>
      <c r="Y44" s="237"/>
      <c r="Z44" s="396"/>
      <c r="AA44" s="239">
        <v>4600001891</v>
      </c>
      <c r="AB44" s="397">
        <v>1226627.3500000001</v>
      </c>
      <c r="AC44" s="239">
        <v>4500089266</v>
      </c>
      <c r="AD44" s="397">
        <v>1226627.3500000001</v>
      </c>
      <c r="AE44" s="239" t="s">
        <v>332</v>
      </c>
      <c r="AF44" s="427" t="s">
        <v>637</v>
      </c>
      <c r="AG44" s="239" t="s">
        <v>638</v>
      </c>
      <c r="AH44" s="237" t="s">
        <v>319</v>
      </c>
      <c r="AI44" s="240">
        <v>0</v>
      </c>
      <c r="AJ44" s="240">
        <v>2125000</v>
      </c>
      <c r="AK44" s="240">
        <v>0</v>
      </c>
      <c r="AL44" s="240">
        <v>2125000</v>
      </c>
      <c r="AM44" s="240">
        <v>0</v>
      </c>
      <c r="AN44" s="240">
        <v>2125000</v>
      </c>
      <c r="AO44" s="240">
        <v>0</v>
      </c>
      <c r="AP44" s="240">
        <v>2125000</v>
      </c>
      <c r="AQ44" s="240">
        <v>0</v>
      </c>
      <c r="AR44" s="240">
        <v>0</v>
      </c>
      <c r="AS44" s="240">
        <v>0</v>
      </c>
      <c r="AT44" s="240">
        <v>0</v>
      </c>
      <c r="AU44" s="334">
        <f>SUM(Tabela10[[#This Row],[jan/26]:[dez/26]])</f>
        <v>8500000</v>
      </c>
      <c r="AV44" s="240">
        <v>0</v>
      </c>
      <c r="AW44" s="240">
        <v>0</v>
      </c>
      <c r="AX44" s="240">
        <v>0</v>
      </c>
      <c r="AY44" s="240">
        <v>0</v>
      </c>
      <c r="AZ44" s="240">
        <f>SUM(Tabela10[[#This Row],[2026]:[2030]])</f>
        <v>8500000</v>
      </c>
      <c r="BA44" s="242">
        <v>0</v>
      </c>
      <c r="BB44" s="240">
        <v>0</v>
      </c>
      <c r="BC44" s="240">
        <v>0</v>
      </c>
      <c r="BD44" s="240">
        <v>0</v>
      </c>
      <c r="BE44" s="240">
        <v>0</v>
      </c>
      <c r="BF44" s="241">
        <f>SUM(Tabela10[[#This Row],[2026-2030]:[2035]])</f>
        <v>8500000</v>
      </c>
      <c r="BG44" s="243" t="e" cm="1" vm="1">
        <f t="array" aca="1" ref="BG44" ca="1">_xlfn.SEQUENCE(COUNTA(Tabela10[Empresa]),1,1)</f>
        <v>#VALUE!</v>
      </c>
      <c r="BH44" s="243" t="s">
        <v>331</v>
      </c>
      <c r="BI44" s="243" t="e">
        <f>VLOOKUP(Tabela10[[#This Row],[ID real2]],[2]CONSOLIDADA!$AU:$AZ,6,FALSE)</f>
        <v>#N/A</v>
      </c>
      <c r="BJ44" s="243" t="s">
        <v>333</v>
      </c>
      <c r="BK44" s="243">
        <v>2025</v>
      </c>
      <c r="BL44" s="243" t="s">
        <v>639</v>
      </c>
      <c r="BM44" s="243" t="s">
        <v>575</v>
      </c>
      <c r="BN44" s="243" t="s">
        <v>331</v>
      </c>
      <c r="BO44" s="243" t="s">
        <v>517</v>
      </c>
      <c r="BP44" s="243" t="s">
        <v>551</v>
      </c>
      <c r="BQ44" s="243" t="s">
        <v>517</v>
      </c>
      <c r="BR44" s="346">
        <v>8000000</v>
      </c>
      <c r="BS44" s="243" t="s">
        <v>532</v>
      </c>
      <c r="BT44" s="243" t="s">
        <v>331</v>
      </c>
      <c r="BU44" s="243" t="s">
        <v>640</v>
      </c>
      <c r="BV44" s="243" t="str">
        <f>Tabela10[[#This Row],[Descrição do projeto]]</f>
        <v>Curva CAV - UHE Tucuruí e UHE Samuel</v>
      </c>
    </row>
    <row r="45" spans="1:74" x14ac:dyDescent="0.35">
      <c r="A45" s="237">
        <v>345</v>
      </c>
      <c r="B45" s="237" t="e" cm="1">
        <f t="array" ref="B45">AND(ISTEXT('Consolidado-Eletronorte'!#REF!),SUM('Consolidado-Eletronorte'!#REF!)&gt;0)</f>
        <v>#REF!</v>
      </c>
      <c r="C45" s="237" t="str">
        <f t="shared" ca="1" si="3"/>
        <v>Capex Orcamentário_PE2026_2030_red_35_porcentoR3_consulta.xlsx</v>
      </c>
      <c r="D45" s="238" t="str">
        <f t="shared" si="4"/>
        <v>COO</v>
      </c>
      <c r="E45" s="238" t="str">
        <f t="shared" si="5"/>
        <v>Lucas Martins</v>
      </c>
      <c r="F45" s="237" t="str">
        <f>_xlfn.CONCAT(Tabela10[[#This Row],[VP]],Tabela10[[#This Row],[Analise Estrategia]])</f>
        <v>COO345</v>
      </c>
      <c r="G45" s="239" t="e">
        <f>_xlfn.CONCAT('Consolidado-Eletronorte'!#REF!,"_",ROW('Consolidado-Eletronorte'!#REF!)-ROW('Consolidado-Eletronorte'!$G$18))</f>
        <v>#REF!</v>
      </c>
      <c r="H45" s="239" t="s">
        <v>506</v>
      </c>
      <c r="I45" s="237" t="s">
        <v>507</v>
      </c>
      <c r="J45" s="239" t="s">
        <v>508</v>
      </c>
      <c r="K45" s="237" t="s">
        <v>509</v>
      </c>
      <c r="L45" s="237" t="s">
        <v>509</v>
      </c>
      <c r="M45" s="428" t="s">
        <v>577</v>
      </c>
      <c r="N45" s="237"/>
      <c r="O45" s="237"/>
      <c r="P45" s="237" t="s">
        <v>511</v>
      </c>
      <c r="Q45" s="243" t="s">
        <v>354</v>
      </c>
      <c r="R45" s="239" t="s">
        <v>355</v>
      </c>
      <c r="S45" s="243" t="s">
        <v>354</v>
      </c>
      <c r="T45" s="237" t="s">
        <v>509</v>
      </c>
      <c r="U45" s="237" t="s">
        <v>509</v>
      </c>
      <c r="V45" s="237" t="s">
        <v>577</v>
      </c>
      <c r="W45" s="237" t="s">
        <v>577</v>
      </c>
      <c r="X45" s="237"/>
      <c r="Y45" s="237"/>
      <c r="Z45" s="396"/>
      <c r="AA45" s="237"/>
      <c r="AB45" s="396"/>
      <c r="AC45" s="239">
        <v>4500081780</v>
      </c>
      <c r="AD45" s="397">
        <v>7883893.2699999996</v>
      </c>
      <c r="AE45" s="239" t="s">
        <v>641</v>
      </c>
      <c r="AF45" s="239" t="s">
        <v>642</v>
      </c>
      <c r="AG45" s="239" t="s">
        <v>643</v>
      </c>
      <c r="AH45" s="237" t="s">
        <v>319</v>
      </c>
      <c r="AI45" s="240">
        <v>0</v>
      </c>
      <c r="AJ45" s="240">
        <v>0</v>
      </c>
      <c r="AK45" s="240">
        <v>0</v>
      </c>
      <c r="AL45" s="240">
        <v>0</v>
      </c>
      <c r="AM45" s="240">
        <v>2500000</v>
      </c>
      <c r="AN45" s="240">
        <v>0</v>
      </c>
      <c r="AO45" s="240">
        <v>0</v>
      </c>
      <c r="AP45" s="240">
        <v>0</v>
      </c>
      <c r="AQ45" s="240">
        <v>0</v>
      </c>
      <c r="AR45" s="240">
        <v>2500000</v>
      </c>
      <c r="AS45" s="240">
        <v>0</v>
      </c>
      <c r="AT45" s="240">
        <v>0</v>
      </c>
      <c r="AU45" s="240">
        <f>SUM(Tabela10[[#This Row],[jan/26]:[dez/26]])</f>
        <v>5000000</v>
      </c>
      <c r="AV45" s="240">
        <v>2500000</v>
      </c>
      <c r="AW45" s="240">
        <v>0</v>
      </c>
      <c r="AX45" s="240">
        <v>0</v>
      </c>
      <c r="AY45" s="240">
        <v>0</v>
      </c>
      <c r="AZ45" s="240">
        <f>SUM(Tabela10[[#This Row],[2026]:[2030]])</f>
        <v>7500000</v>
      </c>
      <c r="BA45" s="242">
        <v>0</v>
      </c>
      <c r="BB45" s="240">
        <v>0</v>
      </c>
      <c r="BC45" s="240">
        <v>0</v>
      </c>
      <c r="BD45" s="240">
        <v>0</v>
      </c>
      <c r="BE45" s="240">
        <v>0</v>
      </c>
      <c r="BF45" s="241">
        <f>SUM(Tabela10[[#This Row],[2026-2030]:[2035]])</f>
        <v>7500000</v>
      </c>
      <c r="BG45" s="243" t="e" cm="1" vm="1">
        <f t="array" aca="1" ref="BG45" ca="1">_xlfn.SEQUENCE(COUNTA(Tabela10[Empresa]),1,1)</f>
        <v>#VALUE!</v>
      </c>
      <c r="BH45" s="243" t="s">
        <v>354</v>
      </c>
      <c r="BI45" s="243" t="e">
        <f>VLOOKUP(Tabela10[[#This Row],[ID real2]],[2]CONSOLIDADA!$AU:$AZ,6,FALSE)</f>
        <v>#N/A</v>
      </c>
      <c r="BJ45" s="243" t="s">
        <v>155</v>
      </c>
      <c r="BK45" s="243">
        <v>2025</v>
      </c>
      <c r="BL45" s="243" t="s">
        <v>644</v>
      </c>
      <c r="BM45" s="243" t="s">
        <v>645</v>
      </c>
      <c r="BN45" s="243" t="s">
        <v>354</v>
      </c>
      <c r="BO45" s="243" t="s">
        <v>517</v>
      </c>
      <c r="BP45" s="243" t="s">
        <v>561</v>
      </c>
      <c r="BQ45" s="243" t="s">
        <v>517</v>
      </c>
      <c r="BR45" s="346">
        <v>5000000</v>
      </c>
      <c r="BS45" s="243" t="s">
        <v>540</v>
      </c>
      <c r="BT45" s="243" t="s">
        <v>354</v>
      </c>
      <c r="BU45" s="243" t="s">
        <v>583</v>
      </c>
      <c r="BV45" s="243" t="str">
        <f>Tabela10[[#This Row],[Descrição do projeto]]</f>
        <v>Modernização do sistema de resfriamento da UHE Tucuruí - Projeto Siri</v>
      </c>
    </row>
    <row r="46" spans="1:74" hidden="1" x14ac:dyDescent="0.35">
      <c r="A46" s="237">
        <v>761</v>
      </c>
      <c r="B46" s="237" t="e" cm="1">
        <f t="array" ref="B46">AND(ISTEXT('Consolidado-Eletronorte'!#REF!),SUM('Consolidado-Eletronorte'!#REF!)&gt;0)</f>
        <v>#REF!</v>
      </c>
      <c r="C46" s="237" t="str">
        <f t="shared" ca="1" si="3"/>
        <v>Capex Orcamentário_PE2026_2030_red_35_porcentoR3_consulta.xlsx</v>
      </c>
      <c r="D46" s="238" t="str">
        <f t="shared" si="4"/>
        <v>COO</v>
      </c>
      <c r="E46" s="238" t="str">
        <f t="shared" si="5"/>
        <v>Lucas Martins</v>
      </c>
      <c r="F46" s="237" t="str">
        <f>_xlfn.CONCAT(Tabela10[[#This Row],[VP]],Tabela10[[#This Row],[Analise Estrategia]])</f>
        <v>COO761</v>
      </c>
      <c r="G46" s="239" t="e">
        <f>_xlfn.CONCAT('Consolidado-Eletronorte'!#REF!,"_",ROW('Consolidado-Eletronorte'!#REF!)-ROW('Consolidado-Eletronorte'!$G$18))</f>
        <v>#REF!</v>
      </c>
      <c r="H46" s="239" t="s">
        <v>506</v>
      </c>
      <c r="I46" s="237" t="s">
        <v>507</v>
      </c>
      <c r="J46" s="239" t="s">
        <v>508</v>
      </c>
      <c r="K46" s="237" t="s">
        <v>509</v>
      </c>
      <c r="L46" s="237" t="s">
        <v>509</v>
      </c>
      <c r="M46" s="237" t="s">
        <v>577</v>
      </c>
      <c r="N46" s="237"/>
      <c r="O46" s="237"/>
      <c r="P46" s="237"/>
      <c r="Q46" s="243" t="s">
        <v>277</v>
      </c>
      <c r="R46" s="239" t="s">
        <v>278</v>
      </c>
      <c r="S46" s="243" t="s">
        <v>277</v>
      </c>
      <c r="T46" s="237" t="s">
        <v>509</v>
      </c>
      <c r="U46" s="237" t="s">
        <v>509</v>
      </c>
      <c r="V46" s="237" t="s">
        <v>577</v>
      </c>
      <c r="W46" s="237" t="s">
        <v>577</v>
      </c>
      <c r="X46" s="237"/>
      <c r="Y46" s="239" t="s">
        <v>564</v>
      </c>
      <c r="Z46" s="397"/>
      <c r="AA46" s="237"/>
      <c r="AB46" s="396"/>
      <c r="AC46" s="239"/>
      <c r="AD46" s="397"/>
      <c r="AE46" s="239"/>
      <c r="AF46" s="239"/>
      <c r="AG46" s="239"/>
      <c r="AH46" s="237" t="s">
        <v>276</v>
      </c>
      <c r="AI46" s="242">
        <v>0</v>
      </c>
      <c r="AJ46" s="242">
        <v>0</v>
      </c>
      <c r="AK46" s="242">
        <v>0</v>
      </c>
      <c r="AL46" s="242">
        <v>0</v>
      </c>
      <c r="AM46" s="242">
        <v>0</v>
      </c>
      <c r="AN46" s="242">
        <v>0</v>
      </c>
      <c r="AO46" s="240"/>
      <c r="AP46" s="240">
        <v>0</v>
      </c>
      <c r="AQ46" s="240">
        <v>0</v>
      </c>
      <c r="AR46" s="240">
        <v>0</v>
      </c>
      <c r="AS46" s="240">
        <v>0</v>
      </c>
      <c r="AT46" s="240"/>
      <c r="AU46" s="240">
        <f>SUM(Tabela10[[#This Row],[jan/26]:[dez/26]])</f>
        <v>0</v>
      </c>
      <c r="AV46" s="334">
        <v>6000000</v>
      </c>
      <c r="AW46" s="334">
        <v>6000000</v>
      </c>
      <c r="AX46" s="240">
        <v>0</v>
      </c>
      <c r="AY46" s="240">
        <v>0</v>
      </c>
      <c r="AZ46" s="240">
        <f>SUM(Tabela10[[#This Row],[2026]:[2030]])</f>
        <v>12000000</v>
      </c>
      <c r="BA46" s="242">
        <v>0</v>
      </c>
      <c r="BB46" s="240">
        <v>0</v>
      </c>
      <c r="BC46" s="240">
        <v>0</v>
      </c>
      <c r="BD46" s="240">
        <v>0</v>
      </c>
      <c r="BE46" s="240">
        <v>0</v>
      </c>
      <c r="BF46" s="248">
        <f>SUM(Tabela10[[#This Row],[2026-2030]:[2035]])</f>
        <v>12000000</v>
      </c>
      <c r="BG46" s="243" t="e" cm="1" vm="1">
        <f t="array" aca="1" ref="BG46" ca="1">_xlfn.SEQUENCE(COUNTA(Tabela10[Empresa]),1,1)</f>
        <v>#VALUE!</v>
      </c>
      <c r="BH46" s="243" t="s">
        <v>277</v>
      </c>
      <c r="BI46" s="243" t="e">
        <f>VLOOKUP(Tabela10[[#This Row],[ID real2]],[2]CONSOLIDADA!$AU:$AZ,6,FALSE)</f>
        <v>#N/A</v>
      </c>
      <c r="BJ46" s="243" t="s">
        <v>279</v>
      </c>
      <c r="BK46" s="243"/>
      <c r="BL46" s="243"/>
      <c r="BM46" s="243"/>
      <c r="BN46" s="243" t="s">
        <v>277</v>
      </c>
      <c r="BO46" s="243" t="s">
        <v>628</v>
      </c>
      <c r="BP46" s="243"/>
      <c r="BQ46" s="243" t="s">
        <v>570</v>
      </c>
      <c r="BR46" s="346">
        <v>2400000</v>
      </c>
      <c r="BS46" s="243" t="s">
        <v>635</v>
      </c>
      <c r="BT46" s="243" t="s">
        <v>277</v>
      </c>
      <c r="BU46" s="243" t="s">
        <v>646</v>
      </c>
      <c r="BV46" s="243" t="str">
        <f>Tabela10[[#This Row],[Descrição do projeto]]</f>
        <v>Aquisição de transformador elevador 13,8/230 kV, 59 MVA para a UHE Samuel</v>
      </c>
    </row>
    <row r="47" spans="1:74" hidden="1" x14ac:dyDescent="0.35">
      <c r="A47" s="237">
        <v>341</v>
      </c>
      <c r="B47" s="237" t="e" cm="1">
        <f t="array" ref="B47">AND(ISTEXT('Consolidado-Eletronorte'!#REF!),SUM('Consolidado-Eletronorte'!#REF!)&gt;0)</f>
        <v>#REF!</v>
      </c>
      <c r="C47" s="237" t="str">
        <f t="shared" ca="1" si="3"/>
        <v>Capex Orcamentário_PE2026_2030_red_35_porcentoR3_consulta.xlsx</v>
      </c>
      <c r="D47" s="238" t="str">
        <f t="shared" si="4"/>
        <v>COO</v>
      </c>
      <c r="E47" s="238" t="str">
        <f t="shared" si="5"/>
        <v>Lucas Martins</v>
      </c>
      <c r="F47" s="237" t="str">
        <f>_xlfn.CONCAT(Tabela10[[#This Row],[VP]],Tabela10[[#This Row],[Analise Estrategia]])</f>
        <v>COO341</v>
      </c>
      <c r="G47" s="239" t="e">
        <f>_xlfn.CONCAT('Consolidado-Eletronorte'!#REF!,"_",ROW('Consolidado-Eletronorte'!#REF!)-ROW('Consolidado-Eletronorte'!$G$18))</f>
        <v>#REF!</v>
      </c>
      <c r="H47" s="239" t="s">
        <v>506</v>
      </c>
      <c r="I47" s="237" t="s">
        <v>507</v>
      </c>
      <c r="J47" s="239" t="s">
        <v>508</v>
      </c>
      <c r="K47" s="237" t="s">
        <v>509</v>
      </c>
      <c r="L47" s="237" t="s">
        <v>509</v>
      </c>
      <c r="M47" s="237" t="s">
        <v>555</v>
      </c>
      <c r="N47" s="237"/>
      <c r="O47" s="237"/>
      <c r="P47" s="237" t="s">
        <v>612</v>
      </c>
      <c r="Q47" s="243" t="s">
        <v>222</v>
      </c>
      <c r="R47" s="239" t="s">
        <v>223</v>
      </c>
      <c r="S47" s="243" t="s">
        <v>222</v>
      </c>
      <c r="T47" s="237" t="s">
        <v>509</v>
      </c>
      <c r="U47" s="237" t="s">
        <v>509</v>
      </c>
      <c r="V47" s="237" t="s">
        <v>555</v>
      </c>
      <c r="W47" s="237" t="s">
        <v>555</v>
      </c>
      <c r="X47" s="237"/>
      <c r="Y47" s="239" t="s">
        <v>564</v>
      </c>
      <c r="Z47" s="397"/>
      <c r="AA47" s="237"/>
      <c r="AB47" s="396"/>
      <c r="AC47" s="239"/>
      <c r="AD47" s="397"/>
      <c r="AE47" s="239"/>
      <c r="AF47" s="239"/>
      <c r="AG47" s="239" t="s">
        <v>647</v>
      </c>
      <c r="AH47" s="237" t="s">
        <v>210</v>
      </c>
      <c r="AI47" s="240">
        <v>0</v>
      </c>
      <c r="AJ47" s="240">
        <v>0</v>
      </c>
      <c r="AK47" s="240">
        <v>0</v>
      </c>
      <c r="AL47" s="240">
        <v>0</v>
      </c>
      <c r="AM47" s="240"/>
      <c r="AN47" s="240">
        <v>0</v>
      </c>
      <c r="AO47" s="240">
        <v>0</v>
      </c>
      <c r="AP47" s="240"/>
      <c r="AQ47" s="240">
        <v>0</v>
      </c>
      <c r="AR47" s="334">
        <v>500000</v>
      </c>
      <c r="AS47" s="240"/>
      <c r="AT47" s="240">
        <v>0</v>
      </c>
      <c r="AU47" s="240">
        <f>SUM(Tabela10[[#This Row],[jan/26]:[dez/26]])</f>
        <v>500000</v>
      </c>
      <c r="AV47" s="240">
        <v>3200000</v>
      </c>
      <c r="AW47" s="334">
        <v>1800000</v>
      </c>
      <c r="AX47" s="240">
        <v>0</v>
      </c>
      <c r="AY47" s="240">
        <v>0</v>
      </c>
      <c r="AZ47" s="240">
        <f>SUM(Tabela10[[#This Row],[2026]:[2030]])</f>
        <v>5500000</v>
      </c>
      <c r="BA47" s="242">
        <v>0</v>
      </c>
      <c r="BB47" s="240">
        <v>0</v>
      </c>
      <c r="BC47" s="240">
        <v>0</v>
      </c>
      <c r="BD47" s="240">
        <v>0</v>
      </c>
      <c r="BE47" s="240">
        <v>0</v>
      </c>
      <c r="BF47" s="241">
        <f>SUM(Tabela10[[#This Row],[2026-2030]:[2035]])</f>
        <v>5500000</v>
      </c>
      <c r="BG47" s="243" t="e" cm="1" vm="1">
        <f t="array" aca="1" ref="BG47" ca="1">_xlfn.SEQUENCE(COUNTA(Tabela10[Empresa]),1,1)</f>
        <v>#VALUE!</v>
      </c>
      <c r="BH47" s="243" t="s">
        <v>222</v>
      </c>
      <c r="BI47" s="243" t="e">
        <f>VLOOKUP(Tabela10[[#This Row],[ID real2]],[2]CONSOLIDADA!$AU:$AZ,6,FALSE)</f>
        <v>#N/A</v>
      </c>
      <c r="BJ47" s="243" t="s">
        <v>224</v>
      </c>
      <c r="BK47" s="243">
        <v>2026</v>
      </c>
      <c r="BL47" s="243" t="s">
        <v>648</v>
      </c>
      <c r="BM47" s="243">
        <v>0</v>
      </c>
      <c r="BN47" s="243" t="s">
        <v>222</v>
      </c>
      <c r="BO47" s="243" t="s">
        <v>568</v>
      </c>
      <c r="BP47" s="243" t="s">
        <v>561</v>
      </c>
      <c r="BQ47" s="243" t="s">
        <v>570</v>
      </c>
      <c r="BR47" s="346">
        <v>2300000</v>
      </c>
      <c r="BS47" s="243" t="s">
        <v>649</v>
      </c>
      <c r="BT47" s="243" t="s">
        <v>222</v>
      </c>
      <c r="BU47" s="243" t="s">
        <v>616</v>
      </c>
      <c r="BV47" s="243" t="str">
        <f>Tabela10[[#This Row],[Descrição do projeto]]</f>
        <v>Sobressalentes Estrategicos UHCN</v>
      </c>
    </row>
    <row r="48" spans="1:74" hidden="1" x14ac:dyDescent="0.35">
      <c r="A48" s="237">
        <v>290</v>
      </c>
      <c r="B48" s="237" t="e" cm="1">
        <f t="array" ref="B48">AND(ISTEXT('Consolidado-Eletronorte'!#REF!),SUM('Consolidado-Eletronorte'!#REF!)&gt;0)</f>
        <v>#REF!</v>
      </c>
      <c r="C48" s="237" t="str">
        <f t="shared" ca="1" si="3"/>
        <v>Capex Orcamentário_PE2026_2030_red_35_porcentoR3_consulta.xlsx</v>
      </c>
      <c r="D48" s="238" t="str">
        <f t="shared" si="4"/>
        <v>COO</v>
      </c>
      <c r="E48" s="238" t="str">
        <f t="shared" si="5"/>
        <v>Lucas Martins</v>
      </c>
      <c r="F48" s="237" t="str">
        <f>_xlfn.CONCAT(Tabela10[[#This Row],[VP]],Tabela10[[#This Row],[Analise Estrategia]])</f>
        <v>COO290</v>
      </c>
      <c r="G48" s="239" t="e">
        <f>_xlfn.CONCAT('Consolidado-Eletronorte'!#REF!,"_",ROW('Consolidado-Eletronorte'!#REF!)-ROW('Consolidado-Eletronorte'!$G$18))</f>
        <v>#REF!</v>
      </c>
      <c r="H48" s="239" t="s">
        <v>506</v>
      </c>
      <c r="I48" s="237" t="s">
        <v>507</v>
      </c>
      <c r="J48" s="239" t="s">
        <v>508</v>
      </c>
      <c r="K48" s="237" t="s">
        <v>509</v>
      </c>
      <c r="L48" s="237" t="s">
        <v>509</v>
      </c>
      <c r="M48" s="237" t="s">
        <v>577</v>
      </c>
      <c r="N48" s="237"/>
      <c r="O48" s="237"/>
      <c r="P48" s="237" t="s">
        <v>617</v>
      </c>
      <c r="Q48" s="243" t="s">
        <v>227</v>
      </c>
      <c r="R48" s="239" t="s">
        <v>228</v>
      </c>
      <c r="S48" s="243" t="s">
        <v>227</v>
      </c>
      <c r="T48" s="237" t="s">
        <v>509</v>
      </c>
      <c r="U48" s="237" t="s">
        <v>509</v>
      </c>
      <c r="V48" s="237" t="s">
        <v>577</v>
      </c>
      <c r="W48" s="237" t="s">
        <v>577</v>
      </c>
      <c r="X48" s="237"/>
      <c r="Y48" s="239">
        <v>3400002925</v>
      </c>
      <c r="Z48" s="397">
        <v>10000000</v>
      </c>
      <c r="AA48" s="237"/>
      <c r="AB48" s="396"/>
      <c r="AC48" s="239"/>
      <c r="AD48" s="397"/>
      <c r="AE48" s="239"/>
      <c r="AF48" s="239"/>
      <c r="AG48" s="239" t="s">
        <v>650</v>
      </c>
      <c r="AH48" s="237" t="s">
        <v>229</v>
      </c>
      <c r="AI48" s="240">
        <v>0</v>
      </c>
      <c r="AJ48" s="240">
        <v>0</v>
      </c>
      <c r="AK48" s="240"/>
      <c r="AL48" s="240">
        <v>0</v>
      </c>
      <c r="AM48" s="240">
        <v>0</v>
      </c>
      <c r="AN48" s="240">
        <v>0</v>
      </c>
      <c r="AO48" s="240"/>
      <c r="AP48" s="240">
        <v>1000000</v>
      </c>
      <c r="AQ48" s="240">
        <v>0</v>
      </c>
      <c r="AR48" s="240"/>
      <c r="AS48" s="240">
        <v>0</v>
      </c>
      <c r="AT48" s="240">
        <v>0</v>
      </c>
      <c r="AU48" s="334">
        <f>SUM(Tabela10[[#This Row],[jan/26]:[dez/26]])</f>
        <v>1000000</v>
      </c>
      <c r="AV48" s="334">
        <v>2100000</v>
      </c>
      <c r="AW48" s="240">
        <v>0</v>
      </c>
      <c r="AX48" s="240">
        <v>0</v>
      </c>
      <c r="AY48" s="240">
        <v>0</v>
      </c>
      <c r="AZ48" s="240">
        <f>SUM(Tabela10[[#This Row],[2026]:[2030]])</f>
        <v>3100000</v>
      </c>
      <c r="BA48" s="242">
        <v>0</v>
      </c>
      <c r="BB48" s="240">
        <v>0</v>
      </c>
      <c r="BC48" s="240">
        <v>0</v>
      </c>
      <c r="BD48" s="240">
        <v>0</v>
      </c>
      <c r="BE48" s="240">
        <v>0</v>
      </c>
      <c r="BF48" s="241">
        <f>SUM(Tabela10[[#This Row],[2026-2030]:[2035]])</f>
        <v>3100000</v>
      </c>
      <c r="BG48" s="243" t="e" cm="1" vm="1">
        <f t="array" aca="1" ref="BG48" ca="1">_xlfn.SEQUENCE(COUNTA(Tabela10[Empresa]),1,1)</f>
        <v>#VALUE!</v>
      </c>
      <c r="BH48" s="243" t="s">
        <v>227</v>
      </c>
      <c r="BI48" s="243" t="e">
        <f>VLOOKUP(Tabela10[[#This Row],[ID real2]],[2]CONSOLIDADA!$AU:$AZ,6,FALSE)</f>
        <v>#N/A</v>
      </c>
      <c r="BJ48" s="243" t="s">
        <v>155</v>
      </c>
      <c r="BK48" s="243">
        <v>2025</v>
      </c>
      <c r="BL48" s="243" t="s">
        <v>651</v>
      </c>
      <c r="BM48" s="243" t="s">
        <v>652</v>
      </c>
      <c r="BN48" s="243" t="s">
        <v>227</v>
      </c>
      <c r="BO48" s="243" t="s">
        <v>550</v>
      </c>
      <c r="BP48" s="243" t="s">
        <v>621</v>
      </c>
      <c r="BQ48" s="243" t="s">
        <v>552</v>
      </c>
      <c r="BR48" s="346">
        <v>2100000</v>
      </c>
      <c r="BS48" s="243" t="s">
        <v>591</v>
      </c>
      <c r="BT48" s="243" t="s">
        <v>227</v>
      </c>
      <c r="BU48" s="243" t="s">
        <v>583</v>
      </c>
      <c r="BV48" s="243" t="str">
        <f>Tabela10[[#This Row],[Descrição do projeto]]</f>
        <v xml:space="preserve">Modernização da instrumentação da UHE Curuá-Una CUUGH01, 02 e 03 </v>
      </c>
    </row>
    <row r="49" spans="1:74" x14ac:dyDescent="0.35">
      <c r="A49" s="237">
        <v>294</v>
      </c>
      <c r="B49" s="237" t="e" cm="1">
        <f t="array" ref="B49">AND(ISTEXT('Consolidado-Eletronorte'!#REF!),SUM('Consolidado-Eletronorte'!#REF!)&gt;0)</f>
        <v>#REF!</v>
      </c>
      <c r="C49" s="237" t="str">
        <f t="shared" ca="1" si="3"/>
        <v>Capex Orcamentário_PE2026_2030_red_35_porcentoR3_consulta.xlsx</v>
      </c>
      <c r="D49" s="238" t="str">
        <f t="shared" si="4"/>
        <v>COO</v>
      </c>
      <c r="E49" s="238" t="str">
        <f t="shared" si="5"/>
        <v>Lucas Martins</v>
      </c>
      <c r="F49" s="237" t="str">
        <f>_xlfn.CONCAT(Tabela10[[#This Row],[VP]],Tabela10[[#This Row],[Analise Estrategia]])</f>
        <v>COO294</v>
      </c>
      <c r="G49" s="239" t="e">
        <f>_xlfn.CONCAT('Consolidado-Eletronorte'!#REF!,"_",ROW('Consolidado-Eletronorte'!#REF!)-ROW('Consolidado-Eletronorte'!$G$18))</f>
        <v>#REF!</v>
      </c>
      <c r="H49" s="239" t="s">
        <v>506</v>
      </c>
      <c r="I49" s="237" t="s">
        <v>507</v>
      </c>
      <c r="J49" s="239" t="s">
        <v>508</v>
      </c>
      <c r="K49" s="237" t="s">
        <v>509</v>
      </c>
      <c r="L49" s="237" t="s">
        <v>509</v>
      </c>
      <c r="M49" s="428" t="s">
        <v>577</v>
      </c>
      <c r="N49" s="237" t="s">
        <v>235</v>
      </c>
      <c r="O49" s="237"/>
      <c r="P49" s="237" t="s">
        <v>617</v>
      </c>
      <c r="Q49" s="243" t="s">
        <v>235</v>
      </c>
      <c r="R49" s="239" t="s">
        <v>236</v>
      </c>
      <c r="S49" s="243" t="s">
        <v>235</v>
      </c>
      <c r="T49" s="237" t="s">
        <v>509</v>
      </c>
      <c r="U49" s="237" t="s">
        <v>509</v>
      </c>
      <c r="V49" s="237" t="s">
        <v>577</v>
      </c>
      <c r="W49" s="237" t="s">
        <v>577</v>
      </c>
      <c r="X49" s="237"/>
      <c r="Y49" s="237"/>
      <c r="Z49" s="396"/>
      <c r="AA49" s="237"/>
      <c r="AB49" s="396"/>
      <c r="AC49" s="239">
        <v>4500083041</v>
      </c>
      <c r="AD49" s="397">
        <v>3975828.92</v>
      </c>
      <c r="AE49" s="239" t="s">
        <v>653</v>
      </c>
      <c r="AF49" s="239" t="s">
        <v>654</v>
      </c>
      <c r="AG49" s="239" t="s">
        <v>655</v>
      </c>
      <c r="AH49" s="237" t="s">
        <v>229</v>
      </c>
      <c r="AI49" s="240">
        <v>0</v>
      </c>
      <c r="AJ49" s="240">
        <v>500000</v>
      </c>
      <c r="AK49" s="240">
        <v>0</v>
      </c>
      <c r="AL49" s="240">
        <v>0</v>
      </c>
      <c r="AM49" s="240">
        <v>0</v>
      </c>
      <c r="AN49" s="240">
        <v>1000000</v>
      </c>
      <c r="AO49" s="240">
        <v>0</v>
      </c>
      <c r="AP49" s="240">
        <v>0</v>
      </c>
      <c r="AQ49" s="240">
        <v>0</v>
      </c>
      <c r="AR49" s="240">
        <v>1500000</v>
      </c>
      <c r="AS49" s="240">
        <v>0</v>
      </c>
      <c r="AT49" s="240">
        <v>0</v>
      </c>
      <c r="AU49" s="334">
        <f>SUM(Tabela10[[#This Row],[jan/26]:[dez/26]])</f>
        <v>3000000</v>
      </c>
      <c r="AV49" s="240">
        <v>0</v>
      </c>
      <c r="AW49" s="240">
        <v>0</v>
      </c>
      <c r="AX49" s="240">
        <v>0</v>
      </c>
      <c r="AY49" s="240">
        <v>0</v>
      </c>
      <c r="AZ49" s="240">
        <f>SUM(Tabela10[[#This Row],[2026]:[2030]])</f>
        <v>3000000</v>
      </c>
      <c r="BA49" s="242">
        <v>0</v>
      </c>
      <c r="BB49" s="240">
        <v>0</v>
      </c>
      <c r="BC49" s="240">
        <v>0</v>
      </c>
      <c r="BD49" s="240">
        <v>0</v>
      </c>
      <c r="BE49" s="240">
        <v>0</v>
      </c>
      <c r="BF49" s="241">
        <f>SUM(Tabela10[[#This Row],[2026-2030]:[2035]])</f>
        <v>3000000</v>
      </c>
      <c r="BG49" s="243" t="e" cm="1" vm="1">
        <f t="array" aca="1" ref="BG49" ca="1">_xlfn.SEQUENCE(COUNTA(Tabela10[Empresa]),1,1)</f>
        <v>#VALUE!</v>
      </c>
      <c r="BH49" s="243" t="s">
        <v>235</v>
      </c>
      <c r="BI49" s="243" t="e">
        <f>VLOOKUP(Tabela10[[#This Row],[ID real2]],[2]CONSOLIDADA!$AU:$AZ,6,FALSE)</f>
        <v>#N/A</v>
      </c>
      <c r="BJ49" s="243" t="s">
        <v>165</v>
      </c>
      <c r="BK49" s="243">
        <v>2025</v>
      </c>
      <c r="BL49" s="243" t="s">
        <v>656</v>
      </c>
      <c r="BM49" s="243" t="s">
        <v>657</v>
      </c>
      <c r="BN49" s="243" t="s">
        <v>235</v>
      </c>
      <c r="BO49" s="243" t="s">
        <v>517</v>
      </c>
      <c r="BP49" s="243" t="s">
        <v>658</v>
      </c>
      <c r="BQ49" s="243" t="s">
        <v>517</v>
      </c>
      <c r="BR49" s="346">
        <v>3997404</v>
      </c>
      <c r="BS49" s="243" t="s">
        <v>597</v>
      </c>
      <c r="BT49" s="243" t="s">
        <v>235</v>
      </c>
      <c r="BU49" s="243" t="s">
        <v>554</v>
      </c>
      <c r="BV49" s="243" t="str">
        <f>Tabela10[[#This Row],[Descrição do projeto]]</f>
        <v>MODERNIZAÇÃO DO RTVX DAS UGHs 01,02 e 03</v>
      </c>
    </row>
    <row r="50" spans="1:74" hidden="1" x14ac:dyDescent="0.35">
      <c r="A50" s="237">
        <v>350</v>
      </c>
      <c r="B50" s="237" t="e" cm="1">
        <f t="array" ref="B50">AND(ISTEXT('Consolidado-Eletronorte'!#REF!),SUM('Consolidado-Eletronorte'!#REF!)&gt;0)</f>
        <v>#REF!</v>
      </c>
      <c r="C50" s="237" t="str">
        <f t="shared" ca="1" si="3"/>
        <v>Capex Orcamentário_PE2026_2030_red_35_porcentoR3_consulta.xlsx</v>
      </c>
      <c r="D50" s="238" t="str">
        <f t="shared" si="4"/>
        <v>COO</v>
      </c>
      <c r="E50" s="238" t="str">
        <f t="shared" si="5"/>
        <v>Lucas Martins</v>
      </c>
      <c r="F50" s="237" t="str">
        <f>_xlfn.CONCAT(Tabela10[[#This Row],[VP]],Tabela10[[#This Row],[Analise Estrategia]])</f>
        <v>COO350</v>
      </c>
      <c r="G50" s="239" t="e">
        <f>_xlfn.CONCAT('Consolidado-Eletronorte'!#REF!,"_",ROW('Consolidado-Eletronorte'!#REF!)-ROW('Consolidado-Eletronorte'!$G$18))</f>
        <v>#REF!</v>
      </c>
      <c r="H50" s="239" t="s">
        <v>506</v>
      </c>
      <c r="I50" s="237" t="s">
        <v>507</v>
      </c>
      <c r="J50" s="239" t="s">
        <v>508</v>
      </c>
      <c r="K50" s="237" t="s">
        <v>509</v>
      </c>
      <c r="L50" s="237" t="s">
        <v>509</v>
      </c>
      <c r="M50" s="237" t="s">
        <v>577</v>
      </c>
      <c r="N50" s="237"/>
      <c r="O50" s="237"/>
      <c r="P50" s="237" t="s">
        <v>511</v>
      </c>
      <c r="Q50" s="243" t="s">
        <v>360</v>
      </c>
      <c r="R50" s="239" t="s">
        <v>361</v>
      </c>
      <c r="S50" s="243" t="s">
        <v>360</v>
      </c>
      <c r="T50" s="237" t="s">
        <v>509</v>
      </c>
      <c r="U50" s="237" t="s">
        <v>509</v>
      </c>
      <c r="V50" s="237" t="s">
        <v>577</v>
      </c>
      <c r="W50" s="237" t="s">
        <v>577</v>
      </c>
      <c r="X50" s="237"/>
      <c r="Y50" s="239" t="s">
        <v>564</v>
      </c>
      <c r="Z50" s="397"/>
      <c r="AA50" s="237"/>
      <c r="AB50" s="396"/>
      <c r="AC50" s="239"/>
      <c r="AD50" s="397"/>
      <c r="AE50" s="239"/>
      <c r="AF50" s="239"/>
      <c r="AG50" s="239" t="s">
        <v>659</v>
      </c>
      <c r="AH50" s="237" t="s">
        <v>319</v>
      </c>
      <c r="AI50" s="240">
        <v>0</v>
      </c>
      <c r="AJ50" s="240">
        <v>0</v>
      </c>
      <c r="AK50" s="240">
        <v>0</v>
      </c>
      <c r="AL50" s="240">
        <v>0</v>
      </c>
      <c r="AM50" s="240">
        <v>0</v>
      </c>
      <c r="AN50" s="240"/>
      <c r="AO50" s="240">
        <v>0</v>
      </c>
      <c r="AP50" s="240">
        <v>0</v>
      </c>
      <c r="AQ50" s="240">
        <v>0</v>
      </c>
      <c r="AR50" s="240"/>
      <c r="AS50" s="240">
        <v>0</v>
      </c>
      <c r="AT50" s="240">
        <v>0</v>
      </c>
      <c r="AU50" s="334">
        <f>SUM(Tabela10[[#This Row],[jan/26]:[dez/26]])</f>
        <v>0</v>
      </c>
      <c r="AV50" s="334">
        <v>2000000</v>
      </c>
      <c r="AW50" s="334">
        <v>2500000</v>
      </c>
      <c r="AX50" s="334">
        <v>1500000</v>
      </c>
      <c r="AY50" s="240">
        <v>0</v>
      </c>
      <c r="AZ50" s="240">
        <f>SUM(Tabela10[[#This Row],[2026]:[2030]])</f>
        <v>6000000</v>
      </c>
      <c r="BA50" s="242">
        <v>0</v>
      </c>
      <c r="BB50" s="240">
        <v>0</v>
      </c>
      <c r="BC50" s="240">
        <v>0</v>
      </c>
      <c r="BD50" s="240">
        <v>0</v>
      </c>
      <c r="BE50" s="240">
        <v>0</v>
      </c>
      <c r="BF50" s="241">
        <f>SUM(Tabela10[[#This Row],[2026-2030]:[2035]])</f>
        <v>6000000</v>
      </c>
      <c r="BG50" s="243" t="e" cm="1" vm="1">
        <f t="array" aca="1" ref="BG50" ca="1">_xlfn.SEQUENCE(COUNTA(Tabela10[Empresa]),1,1)</f>
        <v>#VALUE!</v>
      </c>
      <c r="BH50" s="243" t="s">
        <v>360</v>
      </c>
      <c r="BI50" s="243" t="e">
        <f>VLOOKUP(Tabela10[[#This Row],[ID real2]],[2]CONSOLIDADA!$AU:$AZ,6,FALSE)</f>
        <v>#N/A</v>
      </c>
      <c r="BJ50" s="243" t="s">
        <v>155</v>
      </c>
      <c r="BK50" s="243">
        <v>2026</v>
      </c>
      <c r="BL50" s="243" t="s">
        <v>660</v>
      </c>
      <c r="BM50" s="243">
        <v>0</v>
      </c>
      <c r="BN50" s="243" t="s">
        <v>360</v>
      </c>
      <c r="BO50" s="243" t="s">
        <v>568</v>
      </c>
      <c r="BP50" s="243" t="s">
        <v>561</v>
      </c>
      <c r="BQ50" s="243" t="s">
        <v>570</v>
      </c>
      <c r="BR50" s="346">
        <v>2000000</v>
      </c>
      <c r="BS50" s="243" t="s">
        <v>661</v>
      </c>
      <c r="BT50" s="243" t="s">
        <v>360</v>
      </c>
      <c r="BU50" s="243" t="s">
        <v>583</v>
      </c>
      <c r="BV50" s="243" t="str">
        <f>Tabela10[[#This Row],[Descrição do projeto]]</f>
        <v>Modernização de 01 transformador monofásico 13,8kV (trafo limitador) CF2 da UHE Tucuruí</v>
      </c>
    </row>
    <row r="51" spans="1:74" hidden="1" x14ac:dyDescent="0.35">
      <c r="A51" s="237">
        <v>363</v>
      </c>
      <c r="B51" s="237" t="e" cm="1">
        <f t="array" ref="B51">AND(ISTEXT('Consolidado-Eletronorte'!#REF!),SUM('Consolidado-Eletronorte'!#REF!)&gt;0)</f>
        <v>#REF!</v>
      </c>
      <c r="C51" s="237" t="str">
        <f t="shared" ca="1" si="3"/>
        <v>Capex Orcamentário_PE2026_2030_red_35_porcentoR3_consulta.xlsx</v>
      </c>
      <c r="D51" s="238" t="str">
        <f t="shared" si="4"/>
        <v>COO</v>
      </c>
      <c r="E51" s="238" t="str">
        <f t="shared" si="5"/>
        <v>Lucas Martins</v>
      </c>
      <c r="F51" s="237" t="str">
        <f>_xlfn.CONCAT(Tabela10[[#This Row],[VP]],Tabela10[[#This Row],[Analise Estrategia]])</f>
        <v>COO363</v>
      </c>
      <c r="G51" s="239" t="e">
        <f>_xlfn.CONCAT('Consolidado-Eletronorte'!#REF!,"_",ROW('Consolidado-Eletronorte'!#REF!)-ROW('Consolidado-Eletronorte'!$G$18))</f>
        <v>#REF!</v>
      </c>
      <c r="H51" s="239" t="s">
        <v>506</v>
      </c>
      <c r="I51" s="237" t="s">
        <v>507</v>
      </c>
      <c r="J51" s="239" t="s">
        <v>508</v>
      </c>
      <c r="K51" s="237" t="s">
        <v>509</v>
      </c>
      <c r="L51" s="237" t="s">
        <v>509</v>
      </c>
      <c r="M51" s="237" t="s">
        <v>555</v>
      </c>
      <c r="N51" s="237"/>
      <c r="O51" s="237"/>
      <c r="P51" s="237" t="s">
        <v>511</v>
      </c>
      <c r="Q51" s="243" t="s">
        <v>374</v>
      </c>
      <c r="R51" s="239" t="s">
        <v>375</v>
      </c>
      <c r="S51" s="243" t="s">
        <v>374</v>
      </c>
      <c r="T51" s="237" t="s">
        <v>509</v>
      </c>
      <c r="U51" s="237" t="s">
        <v>509</v>
      </c>
      <c r="V51" s="237" t="s">
        <v>555</v>
      </c>
      <c r="W51" s="237" t="s">
        <v>555</v>
      </c>
      <c r="X51" s="237"/>
      <c r="Y51" s="239" t="s">
        <v>662</v>
      </c>
      <c r="Z51" s="397"/>
      <c r="AA51" s="237"/>
      <c r="AB51" s="396"/>
      <c r="AC51" s="239"/>
      <c r="AD51" s="397"/>
      <c r="AE51" s="239"/>
      <c r="AF51" s="239"/>
      <c r="AG51" s="239" t="s">
        <v>663</v>
      </c>
      <c r="AH51" s="237" t="s">
        <v>319</v>
      </c>
      <c r="AI51" s="240">
        <v>0</v>
      </c>
      <c r="AJ51" s="240">
        <v>0</v>
      </c>
      <c r="AK51" s="240">
        <v>0</v>
      </c>
      <c r="AL51" s="240">
        <v>0</v>
      </c>
      <c r="AM51" s="240">
        <v>0</v>
      </c>
      <c r="AN51" s="240">
        <v>0</v>
      </c>
      <c r="AO51" s="240">
        <v>0</v>
      </c>
      <c r="AP51" s="240"/>
      <c r="AQ51" s="240">
        <v>0</v>
      </c>
      <c r="AR51" s="240"/>
      <c r="AS51" s="240">
        <v>1000000</v>
      </c>
      <c r="AT51" s="240">
        <v>0</v>
      </c>
      <c r="AU51" s="334">
        <f>SUM(Tabela10[[#This Row],[jan/26]:[dez/26]])</f>
        <v>1000000</v>
      </c>
      <c r="AV51" s="334">
        <v>2500000</v>
      </c>
      <c r="AW51" s="334">
        <v>2500000</v>
      </c>
      <c r="AX51" s="240">
        <v>0</v>
      </c>
      <c r="AY51" s="240">
        <v>0</v>
      </c>
      <c r="AZ51" s="240">
        <f>SUM(Tabela10[[#This Row],[2026]:[2030]])</f>
        <v>6000000</v>
      </c>
      <c r="BA51" s="242">
        <v>0</v>
      </c>
      <c r="BB51" s="240">
        <v>0</v>
      </c>
      <c r="BC51" s="240">
        <v>0</v>
      </c>
      <c r="BD51" s="240">
        <v>0</v>
      </c>
      <c r="BE51" s="240">
        <v>0</v>
      </c>
      <c r="BF51" s="241">
        <f>SUM(Tabela10[[#This Row],[2026-2030]:[2035]])</f>
        <v>6000000</v>
      </c>
      <c r="BG51" s="243" t="e" cm="1" vm="1">
        <f t="array" aca="1" ref="BG51" ca="1">_xlfn.SEQUENCE(COUNTA(Tabela10[Empresa]),1,1)</f>
        <v>#VALUE!</v>
      </c>
      <c r="BH51" s="243" t="s">
        <v>374</v>
      </c>
      <c r="BI51" s="243" t="e">
        <f>VLOOKUP(Tabela10[[#This Row],[ID real2]],[2]CONSOLIDADA!$AU:$AZ,6,FALSE)</f>
        <v>#N/A</v>
      </c>
      <c r="BJ51" s="243" t="e">
        <v>#N/A</v>
      </c>
      <c r="BK51" s="243">
        <v>2025</v>
      </c>
      <c r="BL51" s="243" t="s">
        <v>664</v>
      </c>
      <c r="BM51" s="243" t="s">
        <v>665</v>
      </c>
      <c r="BN51" s="243" t="s">
        <v>374</v>
      </c>
      <c r="BO51" s="243" t="s">
        <v>568</v>
      </c>
      <c r="BP51" s="243" t="s">
        <v>569</v>
      </c>
      <c r="BQ51" s="243" t="s">
        <v>662</v>
      </c>
      <c r="BR51" s="346">
        <v>2000000</v>
      </c>
      <c r="BS51" s="243" t="s">
        <v>666</v>
      </c>
      <c r="BT51" s="243" t="s">
        <v>374</v>
      </c>
      <c r="BU51" s="243" t="e">
        <v>#N/A</v>
      </c>
      <c r="BV51" s="243" t="str">
        <f>Tabela10[[#This Row],[Descrição do projeto]]</f>
        <v>Aquisição das rodas das comportas de emergência da UHE Tucuruí</v>
      </c>
    </row>
    <row r="52" spans="1:74" hidden="1" x14ac:dyDescent="0.35">
      <c r="A52" s="237">
        <v>286</v>
      </c>
      <c r="B52" s="237" t="e" cm="1">
        <f t="array" ref="B52">AND(ISTEXT('Consolidado-Eletronorte'!#REF!),SUM('Consolidado-Eletronorte'!#REF!)&gt;0)</f>
        <v>#REF!</v>
      </c>
      <c r="C52" s="237" t="str">
        <f t="shared" ca="1" si="3"/>
        <v>Capex Orcamentário_PE2026_2030_red_35_porcentoR3_consulta.xlsx</v>
      </c>
      <c r="D52" s="238" t="str">
        <f t="shared" si="4"/>
        <v>COO</v>
      </c>
      <c r="E52" s="238" t="str">
        <f t="shared" si="5"/>
        <v>Lucas Martins</v>
      </c>
      <c r="F52" s="237" t="str">
        <f>_xlfn.CONCAT(Tabela10[[#This Row],[VP]],Tabela10[[#This Row],[Analise Estrategia]])</f>
        <v>COO286</v>
      </c>
      <c r="G52" s="239" t="e">
        <f>_xlfn.CONCAT('Consolidado-Eletronorte'!#REF!,"_",ROW('Consolidado-Eletronorte'!#REF!)-ROW('Consolidado-Eletronorte'!$G$18))</f>
        <v>#REF!</v>
      </c>
      <c r="H52" s="239" t="s">
        <v>506</v>
      </c>
      <c r="I52" s="237" t="s">
        <v>507</v>
      </c>
      <c r="J52" s="239" t="s">
        <v>508</v>
      </c>
      <c r="K52" s="237" t="s">
        <v>509</v>
      </c>
      <c r="L52" s="237" t="s">
        <v>509</v>
      </c>
      <c r="M52" s="237" t="s">
        <v>555</v>
      </c>
      <c r="N52" s="237"/>
      <c r="O52" s="237"/>
      <c r="P52" s="237" t="s">
        <v>617</v>
      </c>
      <c r="Q52" s="243" t="s">
        <v>250</v>
      </c>
      <c r="R52" s="239" t="s">
        <v>251</v>
      </c>
      <c r="S52" s="243" t="s">
        <v>250</v>
      </c>
      <c r="T52" s="237" t="s">
        <v>509</v>
      </c>
      <c r="U52" s="237" t="s">
        <v>509</v>
      </c>
      <c r="V52" s="237" t="s">
        <v>555</v>
      </c>
      <c r="W52" s="237" t="s">
        <v>555</v>
      </c>
      <c r="X52" s="237"/>
      <c r="Y52" s="239" t="s">
        <v>564</v>
      </c>
      <c r="Z52" s="397"/>
      <c r="AA52" s="237"/>
      <c r="AB52" s="396"/>
      <c r="AC52" s="239"/>
      <c r="AD52" s="397"/>
      <c r="AE52" s="239"/>
      <c r="AF52" s="239"/>
      <c r="AG52" s="239" t="s">
        <v>667</v>
      </c>
      <c r="AH52" s="237" t="s">
        <v>229</v>
      </c>
      <c r="AI52" s="240">
        <v>0</v>
      </c>
      <c r="AJ52" s="240">
        <v>0</v>
      </c>
      <c r="AK52" s="240">
        <v>0</v>
      </c>
      <c r="AL52" s="240">
        <v>0</v>
      </c>
      <c r="AM52" s="240"/>
      <c r="AN52" s="240">
        <v>0</v>
      </c>
      <c r="AO52" s="240">
        <v>0</v>
      </c>
      <c r="AP52" s="240">
        <v>0</v>
      </c>
      <c r="AQ52" s="240"/>
      <c r="AR52" s="240">
        <v>0</v>
      </c>
      <c r="AS52" s="240">
        <v>0</v>
      </c>
      <c r="AT52" s="240"/>
      <c r="AU52" s="240">
        <f>SUM(Tabela10[[#This Row],[jan/26]:[dez/26]])</f>
        <v>0</v>
      </c>
      <c r="AV52" s="334">
        <v>3000000</v>
      </c>
      <c r="AW52" s="240">
        <v>0</v>
      </c>
      <c r="AX52" s="240">
        <v>0</v>
      </c>
      <c r="AY52" s="240">
        <v>0</v>
      </c>
      <c r="AZ52" s="240">
        <f>SUM(Tabela10[[#This Row],[2026]:[2030]])</f>
        <v>3000000</v>
      </c>
      <c r="BA52" s="242">
        <v>0</v>
      </c>
      <c r="BB52" s="240">
        <v>0</v>
      </c>
      <c r="BC52" s="240">
        <v>0</v>
      </c>
      <c r="BD52" s="240">
        <v>0</v>
      </c>
      <c r="BE52" s="240">
        <v>0</v>
      </c>
      <c r="BF52" s="241">
        <f>SUM(Tabela10[[#This Row],[2026-2030]:[2035]])</f>
        <v>3000000</v>
      </c>
      <c r="BG52" s="243" t="e" cm="1" vm="1">
        <f t="array" aca="1" ref="BG52" ca="1">_xlfn.SEQUENCE(COUNTA(Tabela10[Empresa]),1,1)</f>
        <v>#VALUE!</v>
      </c>
      <c r="BH52" s="243" t="s">
        <v>250</v>
      </c>
      <c r="BI52" s="243" t="e">
        <f>VLOOKUP(Tabela10[[#This Row],[ID real2]],[2]CONSOLIDADA!$AU:$AZ,6,FALSE)</f>
        <v>#N/A</v>
      </c>
      <c r="BJ52" s="243" t="s">
        <v>247</v>
      </c>
      <c r="BK52" s="243">
        <v>2026</v>
      </c>
      <c r="BL52" s="243" t="s">
        <v>668</v>
      </c>
      <c r="BM52" s="243">
        <v>0</v>
      </c>
      <c r="BN52" s="243" t="s">
        <v>250</v>
      </c>
      <c r="BO52" s="243" t="s">
        <v>568</v>
      </c>
      <c r="BP52" s="243" t="s">
        <v>561</v>
      </c>
      <c r="BQ52" s="243" t="s">
        <v>570</v>
      </c>
      <c r="BR52" s="346">
        <v>3000000</v>
      </c>
      <c r="BS52" s="243" t="s">
        <v>669</v>
      </c>
      <c r="BT52" s="243" t="s">
        <v>250</v>
      </c>
      <c r="BU52" s="243" t="s">
        <v>670</v>
      </c>
      <c r="BV52" s="243" t="str">
        <f>Tabela10[[#This Row],[Descrição do projeto]]</f>
        <v>Instalação de câmeras interna e externa a casa de força</v>
      </c>
    </row>
    <row r="53" spans="1:74" hidden="1" x14ac:dyDescent="0.35">
      <c r="A53" s="237">
        <v>313</v>
      </c>
      <c r="B53" s="237" t="e" cm="1">
        <f t="array" ref="B53">AND(ISTEXT('Consolidado-Eletronorte'!#REF!),SUM('Consolidado-Eletronorte'!#REF!)&gt;0)</f>
        <v>#REF!</v>
      </c>
      <c r="C53" s="237" t="str">
        <f t="shared" ca="1" si="3"/>
        <v>Capex Orcamentário_PE2026_2030_red_35_porcentoR3_consulta.xlsx</v>
      </c>
      <c r="D53" s="238" t="str">
        <f t="shared" si="4"/>
        <v>COO</v>
      </c>
      <c r="E53" s="238" t="str">
        <f t="shared" si="5"/>
        <v>Lucas Martins</v>
      </c>
      <c r="F53" s="237" t="str">
        <f>_xlfn.CONCAT(Tabela10[[#This Row],[VP]],Tabela10[[#This Row],[Analise Estrategia]])</f>
        <v>COO313</v>
      </c>
      <c r="G53" s="239" t="e">
        <f>_xlfn.CONCAT('Consolidado-Eletronorte'!#REF!,"_",ROW('Consolidado-Eletronorte'!#REF!)-ROW('Consolidado-Eletronorte'!$G$18))</f>
        <v>#REF!</v>
      </c>
      <c r="H53" s="239" t="s">
        <v>506</v>
      </c>
      <c r="I53" s="237" t="s">
        <v>507</v>
      </c>
      <c r="J53" s="239" t="s">
        <v>508</v>
      </c>
      <c r="K53" s="237" t="s">
        <v>509</v>
      </c>
      <c r="L53" s="237" t="s">
        <v>509</v>
      </c>
      <c r="M53" s="237" t="s">
        <v>577</v>
      </c>
      <c r="N53" s="237"/>
      <c r="O53" s="237"/>
      <c r="P53" s="237">
        <v>157189</v>
      </c>
      <c r="Q53" s="243" t="s">
        <v>280</v>
      </c>
      <c r="R53" s="239" t="s">
        <v>281</v>
      </c>
      <c r="S53" s="243" t="s">
        <v>280</v>
      </c>
      <c r="T53" s="237" t="s">
        <v>509</v>
      </c>
      <c r="U53" s="237" t="s">
        <v>509</v>
      </c>
      <c r="V53" s="237" t="s">
        <v>577</v>
      </c>
      <c r="W53" s="237" t="s">
        <v>577</v>
      </c>
      <c r="X53" s="237"/>
      <c r="Y53" s="239" t="s">
        <v>564</v>
      </c>
      <c r="Z53" s="397"/>
      <c r="AA53" s="237"/>
      <c r="AB53" s="396"/>
      <c r="AC53" s="239"/>
      <c r="AD53" s="397"/>
      <c r="AE53" s="239"/>
      <c r="AF53" s="239"/>
      <c r="AG53" s="239" t="s">
        <v>671</v>
      </c>
      <c r="AH53" s="237" t="s">
        <v>276</v>
      </c>
      <c r="AI53" s="240">
        <v>0</v>
      </c>
      <c r="AJ53" s="240">
        <v>0</v>
      </c>
      <c r="AK53" s="240">
        <v>0</v>
      </c>
      <c r="AL53" s="240">
        <v>0</v>
      </c>
      <c r="AM53" s="240">
        <v>0</v>
      </c>
      <c r="AN53" s="240">
        <v>0</v>
      </c>
      <c r="AO53" s="240">
        <v>0</v>
      </c>
      <c r="AP53" s="240">
        <v>0</v>
      </c>
      <c r="AQ53" s="240"/>
      <c r="AR53" s="240">
        <v>0</v>
      </c>
      <c r="AS53" s="240">
        <v>0</v>
      </c>
      <c r="AT53" s="240">
        <v>0</v>
      </c>
      <c r="AU53" s="240">
        <f>SUM(Tabela10[[#This Row],[jan/26]:[dez/26]])</f>
        <v>0</v>
      </c>
      <c r="AV53" s="334">
        <v>1750000</v>
      </c>
      <c r="AW53" s="240">
        <v>0</v>
      </c>
      <c r="AX53" s="240">
        <v>0</v>
      </c>
      <c r="AY53" s="240">
        <v>0</v>
      </c>
      <c r="AZ53" s="240">
        <f>SUM(Tabela10[[#This Row],[2026]:[2030]])</f>
        <v>1750000</v>
      </c>
      <c r="BA53" s="242">
        <v>0</v>
      </c>
      <c r="BB53" s="240">
        <v>0</v>
      </c>
      <c r="BC53" s="240">
        <v>0</v>
      </c>
      <c r="BD53" s="240">
        <v>0</v>
      </c>
      <c r="BE53" s="240">
        <v>0</v>
      </c>
      <c r="BF53" s="241">
        <f>SUM(Tabela10[[#This Row],[2026-2030]:[2035]])</f>
        <v>1750000</v>
      </c>
      <c r="BG53" s="243" t="e" cm="1" vm="1">
        <f t="array" aca="1" ref="BG53" ca="1">_xlfn.SEQUENCE(COUNTA(Tabela10[Empresa]),1,1)</f>
        <v>#VALUE!</v>
      </c>
      <c r="BH53" s="243" t="s">
        <v>280</v>
      </c>
      <c r="BI53" s="243" t="e">
        <f>VLOOKUP(Tabela10[[#This Row],[ID real2]],[2]CONSOLIDADA!$AU:$AZ,6,FALSE)</f>
        <v>#N/A</v>
      </c>
      <c r="BJ53" s="243" t="s">
        <v>211</v>
      </c>
      <c r="BK53" s="243">
        <v>2026</v>
      </c>
      <c r="BL53" s="243" t="s">
        <v>672</v>
      </c>
      <c r="BM53" s="243">
        <v>0</v>
      </c>
      <c r="BN53" s="243" t="s">
        <v>280</v>
      </c>
      <c r="BO53" s="243" t="s">
        <v>628</v>
      </c>
      <c r="BP53" s="243" t="s">
        <v>561</v>
      </c>
      <c r="BQ53" s="243" t="s">
        <v>570</v>
      </c>
      <c r="BR53" s="346">
        <v>1500000</v>
      </c>
      <c r="BS53" s="243" t="s">
        <v>669</v>
      </c>
      <c r="BT53" s="243" t="s">
        <v>280</v>
      </c>
      <c r="BU53" s="243" t="s">
        <v>673</v>
      </c>
      <c r="BV53" s="243" t="str">
        <f>Tabela10[[#This Row],[Descrição do projeto]]</f>
        <v>Aquisição Pára Raios 230KV</v>
      </c>
    </row>
    <row r="54" spans="1:74" hidden="1" x14ac:dyDescent="0.35">
      <c r="A54" s="237">
        <v>315</v>
      </c>
      <c r="B54" s="237" t="e" cm="1">
        <f t="array" ref="B54">AND(ISTEXT('Consolidado-Eletronorte'!#REF!),SUM('Consolidado-Eletronorte'!#REF!)&gt;0)</f>
        <v>#REF!</v>
      </c>
      <c r="C54" s="237" t="str">
        <f t="shared" ca="1" si="3"/>
        <v>Capex Orcamentário_PE2026_2030_red_35_porcentoR3_consulta.xlsx</v>
      </c>
      <c r="D54" s="238" t="str">
        <f t="shared" si="4"/>
        <v>COO</v>
      </c>
      <c r="E54" s="238" t="str">
        <f t="shared" si="5"/>
        <v>Lucas Martins</v>
      </c>
      <c r="F54" s="237" t="str">
        <f>_xlfn.CONCAT(Tabela10[[#This Row],[VP]],Tabela10[[#This Row],[Analise Estrategia]])</f>
        <v>COO315</v>
      </c>
      <c r="G54" s="239" t="e">
        <f>_xlfn.CONCAT('Consolidado-Eletronorte'!#REF!,"_",ROW('Consolidado-Eletronorte'!#REF!)-ROW('Consolidado-Eletronorte'!$G$18))</f>
        <v>#REF!</v>
      </c>
      <c r="H54" s="239" t="s">
        <v>506</v>
      </c>
      <c r="I54" s="237" t="s">
        <v>507</v>
      </c>
      <c r="J54" s="239" t="s">
        <v>508</v>
      </c>
      <c r="K54" s="237" t="s">
        <v>509</v>
      </c>
      <c r="L54" s="237" t="s">
        <v>509</v>
      </c>
      <c r="M54" s="237" t="s">
        <v>577</v>
      </c>
      <c r="N54" s="237"/>
      <c r="O54" s="237"/>
      <c r="P54" s="237">
        <v>157189</v>
      </c>
      <c r="Q54" s="243" t="s">
        <v>282</v>
      </c>
      <c r="R54" s="239" t="s">
        <v>283</v>
      </c>
      <c r="S54" s="243" t="s">
        <v>282</v>
      </c>
      <c r="T54" s="237" t="s">
        <v>509</v>
      </c>
      <c r="U54" s="237" t="s">
        <v>509</v>
      </c>
      <c r="V54" s="237" t="s">
        <v>577</v>
      </c>
      <c r="W54" s="237" t="s">
        <v>577</v>
      </c>
      <c r="X54" s="237"/>
      <c r="Y54" s="239" t="s">
        <v>564</v>
      </c>
      <c r="Z54" s="397"/>
      <c r="AA54" s="237"/>
      <c r="AB54" s="396"/>
      <c r="AC54" s="239"/>
      <c r="AD54" s="397"/>
      <c r="AE54" s="239"/>
      <c r="AF54" s="239"/>
      <c r="AG54" s="239" t="s">
        <v>674</v>
      </c>
      <c r="AH54" s="237" t="s">
        <v>276</v>
      </c>
      <c r="AI54" s="240">
        <v>0</v>
      </c>
      <c r="AJ54" s="240">
        <v>0</v>
      </c>
      <c r="AK54" s="240">
        <v>0</v>
      </c>
      <c r="AL54" s="240">
        <v>0</v>
      </c>
      <c r="AM54" s="240">
        <v>0</v>
      </c>
      <c r="AN54" s="240">
        <v>0</v>
      </c>
      <c r="AO54" s="240">
        <v>0</v>
      </c>
      <c r="AP54" s="240">
        <v>0</v>
      </c>
      <c r="AQ54" s="240">
        <v>0</v>
      </c>
      <c r="AR54" s="240"/>
      <c r="AS54" s="240">
        <v>0</v>
      </c>
      <c r="AT54" s="240">
        <v>0</v>
      </c>
      <c r="AU54" s="240">
        <f>SUM(Tabela10[[#This Row],[jan/26]:[dez/26]])</f>
        <v>0</v>
      </c>
      <c r="AV54" s="334">
        <v>1750000</v>
      </c>
      <c r="AW54" s="240">
        <v>0</v>
      </c>
      <c r="AX54" s="240">
        <v>0</v>
      </c>
      <c r="AY54" s="240">
        <v>0</v>
      </c>
      <c r="AZ54" s="240">
        <f>SUM(Tabela10[[#This Row],[2026]:[2030]])</f>
        <v>1750000</v>
      </c>
      <c r="BA54" s="242">
        <v>0</v>
      </c>
      <c r="BB54" s="240">
        <v>0</v>
      </c>
      <c r="BC54" s="240">
        <v>0</v>
      </c>
      <c r="BD54" s="240">
        <v>0</v>
      </c>
      <c r="BE54" s="240">
        <v>0</v>
      </c>
      <c r="BF54" s="241">
        <f>SUM(Tabela10[[#This Row],[2026-2030]:[2035]])</f>
        <v>1750000</v>
      </c>
      <c r="BG54" s="243" t="e" cm="1" vm="1">
        <f t="array" aca="1" ref="BG54" ca="1">_xlfn.SEQUENCE(COUNTA(Tabela10[Empresa]),1,1)</f>
        <v>#VALUE!</v>
      </c>
      <c r="BH54" s="243" t="s">
        <v>282</v>
      </c>
      <c r="BI54" s="243" t="e">
        <f>VLOOKUP(Tabela10[[#This Row],[ID real2]],[2]CONSOLIDADA!$AU:$AZ,6,FALSE)</f>
        <v>#N/A</v>
      </c>
      <c r="BJ54" s="243" t="s">
        <v>211</v>
      </c>
      <c r="BK54" s="243">
        <v>2026</v>
      </c>
      <c r="BL54" s="243" t="s">
        <v>675</v>
      </c>
      <c r="BM54" s="243">
        <v>0</v>
      </c>
      <c r="BN54" s="243" t="s">
        <v>282</v>
      </c>
      <c r="BO54" s="243" t="s">
        <v>628</v>
      </c>
      <c r="BP54" s="243" t="s">
        <v>561</v>
      </c>
      <c r="BQ54" s="243" t="s">
        <v>570</v>
      </c>
      <c r="BR54" s="346">
        <v>1500000</v>
      </c>
      <c r="BS54" s="243" t="s">
        <v>669</v>
      </c>
      <c r="BT54" s="243" t="s">
        <v>282</v>
      </c>
      <c r="BU54" s="243" t="s">
        <v>673</v>
      </c>
      <c r="BV54" s="243" t="str">
        <f>Tabela10[[#This Row],[Descrição do projeto]]</f>
        <v>Aquisição TPC 230KV</v>
      </c>
    </row>
    <row r="55" spans="1:74" hidden="1" x14ac:dyDescent="0.35">
      <c r="A55" s="237">
        <v>364</v>
      </c>
      <c r="B55" s="237" t="e" cm="1">
        <f t="array" ref="B55">AND(ISTEXT('Consolidado-Eletronorte'!#REF!),SUM('Consolidado-Eletronorte'!#REF!)&gt;0)</f>
        <v>#REF!</v>
      </c>
      <c r="C55" s="237" t="str">
        <f t="shared" ca="1" si="3"/>
        <v>Capex Orcamentário_PE2026_2030_red_35_porcentoR3_consulta.xlsx</v>
      </c>
      <c r="D55" s="238" t="str">
        <f t="shared" si="4"/>
        <v>COO</v>
      </c>
      <c r="E55" s="238" t="str">
        <f t="shared" si="5"/>
        <v>Lucas Martins</v>
      </c>
      <c r="F55" s="237" t="str">
        <f>_xlfn.CONCAT(Tabela10[[#This Row],[VP]],Tabela10[[#This Row],[Analise Estrategia]])</f>
        <v>COO364</v>
      </c>
      <c r="G55" s="239" t="e">
        <f>_xlfn.CONCAT('Consolidado-Eletronorte'!#REF!,"_",ROW('Consolidado-Eletronorte'!#REF!)-ROW('Consolidado-Eletronorte'!$G$18))</f>
        <v>#REF!</v>
      </c>
      <c r="H55" s="239" t="s">
        <v>506</v>
      </c>
      <c r="I55" s="237" t="s">
        <v>507</v>
      </c>
      <c r="J55" s="239" t="s">
        <v>508</v>
      </c>
      <c r="K55" s="237" t="s">
        <v>509</v>
      </c>
      <c r="L55" s="237" t="s">
        <v>509</v>
      </c>
      <c r="M55" s="237" t="s">
        <v>555</v>
      </c>
      <c r="N55" s="237"/>
      <c r="O55" s="237"/>
      <c r="P55" s="237" t="s">
        <v>511</v>
      </c>
      <c r="Q55" s="243" t="s">
        <v>393</v>
      </c>
      <c r="R55" s="239" t="s">
        <v>394</v>
      </c>
      <c r="S55" s="243" t="s">
        <v>393</v>
      </c>
      <c r="T55" s="237" t="s">
        <v>509</v>
      </c>
      <c r="U55" s="237" t="s">
        <v>509</v>
      </c>
      <c r="V55" s="237" t="s">
        <v>555</v>
      </c>
      <c r="W55" s="237" t="s">
        <v>555</v>
      </c>
      <c r="X55" s="237"/>
      <c r="Y55" s="239" t="s">
        <v>564</v>
      </c>
      <c r="Z55" s="397"/>
      <c r="AA55" s="237"/>
      <c r="AB55" s="396"/>
      <c r="AC55" s="239"/>
      <c r="AD55" s="397"/>
      <c r="AE55" s="239"/>
      <c r="AF55" s="239"/>
      <c r="AG55" s="239" t="s">
        <v>676</v>
      </c>
      <c r="AH55" s="237" t="s">
        <v>319</v>
      </c>
      <c r="AI55" s="240">
        <v>0</v>
      </c>
      <c r="AJ55" s="240">
        <v>0</v>
      </c>
      <c r="AK55" s="240">
        <v>0</v>
      </c>
      <c r="AL55" s="240">
        <v>0</v>
      </c>
      <c r="AM55" s="240">
        <v>0</v>
      </c>
      <c r="AN55" s="240">
        <v>0</v>
      </c>
      <c r="AO55" s="240">
        <v>0</v>
      </c>
      <c r="AP55" s="240">
        <v>0</v>
      </c>
      <c r="AQ55" s="240">
        <v>0</v>
      </c>
      <c r="AR55" s="240">
        <v>0</v>
      </c>
      <c r="AS55" s="240">
        <v>0</v>
      </c>
      <c r="AT55" s="240">
        <v>0</v>
      </c>
      <c r="AU55" s="240">
        <f>SUM(Tabela10[[#This Row],[jan/26]:[dez/26]])</f>
        <v>0</v>
      </c>
      <c r="AV55" s="240">
        <v>3000000</v>
      </c>
      <c r="AW55" s="240">
        <v>2500000</v>
      </c>
      <c r="AX55" s="240">
        <v>0</v>
      </c>
      <c r="AY55" s="240">
        <v>0</v>
      </c>
      <c r="AZ55" s="240">
        <f>SUM(Tabela10[[#This Row],[2026]:[2030]])</f>
        <v>5500000</v>
      </c>
      <c r="BA55" s="242">
        <v>0</v>
      </c>
      <c r="BB55" s="240">
        <v>0</v>
      </c>
      <c r="BC55" s="240">
        <v>0</v>
      </c>
      <c r="BD55" s="240">
        <v>0</v>
      </c>
      <c r="BE55" s="240">
        <v>0</v>
      </c>
      <c r="BF55" s="241">
        <f>SUM(Tabela10[[#This Row],[2026-2030]:[2035]])</f>
        <v>5500000</v>
      </c>
      <c r="BG55" s="243" t="e" cm="1" vm="1">
        <f t="array" aca="1" ref="BG55" ca="1">_xlfn.SEQUENCE(COUNTA(Tabela10[Empresa]),1,1)</f>
        <v>#VALUE!</v>
      </c>
      <c r="BH55" s="243" t="s">
        <v>393</v>
      </c>
      <c r="BI55" s="243" t="e">
        <f>VLOOKUP(Tabela10[[#This Row],[ID real2]],[2]CONSOLIDADA!$AU:$AZ,6,FALSE)</f>
        <v>#N/A</v>
      </c>
      <c r="BJ55" s="243" t="e">
        <v>#N/A</v>
      </c>
      <c r="BK55" s="243">
        <v>2025</v>
      </c>
      <c r="BL55" s="243" t="s">
        <v>677</v>
      </c>
      <c r="BM55" s="243" t="s">
        <v>678</v>
      </c>
      <c r="BN55" s="243" t="s">
        <v>393</v>
      </c>
      <c r="BO55" s="243" t="s">
        <v>568</v>
      </c>
      <c r="BP55" s="243" t="s">
        <v>569</v>
      </c>
      <c r="BQ55" s="243" t="s">
        <v>561</v>
      </c>
      <c r="BR55" s="346">
        <v>0</v>
      </c>
      <c r="BS55" s="243" t="s">
        <v>679</v>
      </c>
      <c r="BT55" s="243" t="s">
        <v>393</v>
      </c>
      <c r="BU55" s="243" t="e">
        <v>#N/A</v>
      </c>
      <c r="BV55" s="243" t="str">
        <f>Tabela10[[#This Row],[Descrição do projeto]]</f>
        <v>Aquisição de peças sobressalentes do mecanismo distribuidor das UGHs da CF2</v>
      </c>
    </row>
    <row r="56" spans="1:74" x14ac:dyDescent="0.35">
      <c r="A56" s="237">
        <v>279</v>
      </c>
      <c r="B56" s="237" t="e" cm="1">
        <f t="array" ref="B56">AND(ISTEXT('Consolidado-Eletronorte'!#REF!),SUM('Consolidado-Eletronorte'!#REF!)&gt;0)</f>
        <v>#REF!</v>
      </c>
      <c r="C56" s="237" t="str">
        <f t="shared" ca="1" si="3"/>
        <v>Capex Orcamentário_PE2026_2030_red_35_porcentoR3_consulta.xlsx</v>
      </c>
      <c r="D56" s="238" t="str">
        <f t="shared" si="4"/>
        <v>COO</v>
      </c>
      <c r="E56" s="238" t="str">
        <f t="shared" si="5"/>
        <v>Lucas Martins</v>
      </c>
      <c r="F56" s="237" t="str">
        <f>_xlfn.CONCAT(Tabela10[[#This Row],[VP]],Tabela10[[#This Row],[Analise Estrategia]])</f>
        <v>COO279</v>
      </c>
      <c r="G56" s="239" t="e">
        <f>_xlfn.CONCAT('Consolidado-Eletronorte'!#REF!,"_",ROW('Consolidado-Eletronorte'!#REF!)-ROW('Consolidado-Eletronorte'!$G$18))</f>
        <v>#REF!</v>
      </c>
      <c r="H56" s="239" t="s">
        <v>506</v>
      </c>
      <c r="I56" s="237" t="s">
        <v>507</v>
      </c>
      <c r="J56" s="239" t="s">
        <v>508</v>
      </c>
      <c r="K56" s="237" t="s">
        <v>509</v>
      </c>
      <c r="L56" s="237" t="s">
        <v>509</v>
      </c>
      <c r="M56" s="428" t="s">
        <v>555</v>
      </c>
      <c r="N56" s="237"/>
      <c r="O56" s="237"/>
      <c r="P56" s="237" t="s">
        <v>511</v>
      </c>
      <c r="Q56" s="243" t="s">
        <v>345</v>
      </c>
      <c r="R56" s="239" t="s">
        <v>346</v>
      </c>
      <c r="S56" s="243" t="s">
        <v>345</v>
      </c>
      <c r="T56" s="237" t="s">
        <v>509</v>
      </c>
      <c r="U56" s="237" t="s">
        <v>509</v>
      </c>
      <c r="V56" s="237" t="s">
        <v>555</v>
      </c>
      <c r="W56" s="237" t="s">
        <v>555</v>
      </c>
      <c r="X56" s="237" t="s">
        <v>680</v>
      </c>
      <c r="Y56" s="237"/>
      <c r="Z56" s="239"/>
      <c r="AA56" s="237"/>
      <c r="AB56" s="396"/>
      <c r="AC56" s="239">
        <v>4500071331</v>
      </c>
      <c r="AD56" s="397">
        <v>16267264.689999999</v>
      </c>
      <c r="AE56" s="239" t="s">
        <v>681</v>
      </c>
      <c r="AF56" s="239" t="s">
        <v>608</v>
      </c>
      <c r="AG56" s="239" t="s">
        <v>682</v>
      </c>
      <c r="AH56" s="237" t="s">
        <v>319</v>
      </c>
      <c r="AI56" s="240">
        <v>166666.66666666666</v>
      </c>
      <c r="AJ56" s="240">
        <v>166666.66666666666</v>
      </c>
      <c r="AK56" s="240">
        <v>166666.66666666666</v>
      </c>
      <c r="AL56" s="240">
        <v>166666.66666666666</v>
      </c>
      <c r="AM56" s="240">
        <v>166666.66666666666</v>
      </c>
      <c r="AN56" s="240">
        <v>166666.66666666666</v>
      </c>
      <c r="AO56" s="240">
        <v>166666.66666666666</v>
      </c>
      <c r="AP56" s="240">
        <v>166666.66666666666</v>
      </c>
      <c r="AQ56" s="240">
        <v>166666.66666666666</v>
      </c>
      <c r="AR56" s="240">
        <v>166666.66666666666</v>
      </c>
      <c r="AS56" s="240">
        <v>166666.66666666666</v>
      </c>
      <c r="AT56" s="240">
        <v>166666.66666666666</v>
      </c>
      <c r="AU56" s="334">
        <f>SUM(Tabela10[[#This Row],[jan/26]:[dez/26]])</f>
        <v>2000000.0000000002</v>
      </c>
      <c r="AV56" s="240">
        <v>2000000</v>
      </c>
      <c r="AW56" s="334">
        <v>1000000</v>
      </c>
      <c r="AX56" s="240">
        <v>0</v>
      </c>
      <c r="AY56" s="240">
        <v>0</v>
      </c>
      <c r="AZ56" s="240">
        <f>SUM(Tabela10[[#This Row],[2026]:[2030]])</f>
        <v>5000000</v>
      </c>
      <c r="BA56" s="242">
        <v>0</v>
      </c>
      <c r="BB56" s="240">
        <v>0</v>
      </c>
      <c r="BC56" s="240">
        <v>0</v>
      </c>
      <c r="BD56" s="240">
        <v>0</v>
      </c>
      <c r="BE56" s="240">
        <v>0</v>
      </c>
      <c r="BF56" s="241">
        <f>SUM(Tabela10[[#This Row],[2026-2030]:[2035]])</f>
        <v>5000000</v>
      </c>
      <c r="BG56" s="243" t="e" cm="1" vm="1">
        <f t="array" aca="1" ref="BG56" ca="1">_xlfn.SEQUENCE(COUNTA(Tabela10[Empresa]),1,1)</f>
        <v>#VALUE!</v>
      </c>
      <c r="BH56" s="243" t="s">
        <v>345</v>
      </c>
      <c r="BI56" s="243" t="e">
        <f>VLOOKUP(Tabela10[[#This Row],[ID real2]],[2]CONSOLIDADA!$AU:$AZ,6,FALSE)</f>
        <v>#N/A</v>
      </c>
      <c r="BJ56" s="243" t="s">
        <v>341</v>
      </c>
      <c r="BK56" s="243">
        <v>2025</v>
      </c>
      <c r="BL56" s="243" t="s">
        <v>683</v>
      </c>
      <c r="BM56" s="243" t="s">
        <v>684</v>
      </c>
      <c r="BN56" s="243" t="s">
        <v>345</v>
      </c>
      <c r="BO56" s="243" t="s">
        <v>517</v>
      </c>
      <c r="BP56" s="243" t="s">
        <v>569</v>
      </c>
      <c r="BQ56" s="243" t="s">
        <v>552</v>
      </c>
      <c r="BR56" s="346">
        <v>2000000.0000000002</v>
      </c>
      <c r="BS56" s="243" t="s">
        <v>540</v>
      </c>
      <c r="BT56" s="243" t="s">
        <v>345</v>
      </c>
      <c r="BU56" s="243" t="s">
        <v>576</v>
      </c>
      <c r="BV56" s="243" t="str">
        <f>Tabela10[[#This Row],[Descrição do projeto]]</f>
        <v>Modernização das estruturas metálicas da UHE Tucuruí</v>
      </c>
    </row>
    <row r="57" spans="1:74" ht="31.5" hidden="1" x14ac:dyDescent="0.35">
      <c r="A57" s="237">
        <v>263</v>
      </c>
      <c r="B57" s="237" t="e" cm="1">
        <f t="array" ref="B57">AND(ISTEXT('Consolidado-Eletronorte'!#REF!),SUM('Consolidado-Eletronorte'!#REF!)&gt;0)</f>
        <v>#REF!</v>
      </c>
      <c r="C57" s="237" t="str">
        <f t="shared" ca="1" si="3"/>
        <v>Capex Orcamentário_PE2026_2030_red_35_porcentoR3_consulta.xlsx</v>
      </c>
      <c r="D57" s="238" t="str">
        <f t="shared" si="4"/>
        <v>COO</v>
      </c>
      <c r="E57" s="238" t="str">
        <f t="shared" si="5"/>
        <v>Lucas Martins</v>
      </c>
      <c r="F57" s="237" t="str">
        <f>_xlfn.CONCAT(Tabela10[[#This Row],[VP]],Tabela10[[#This Row],[Analise Estrategia]])</f>
        <v>COO263</v>
      </c>
      <c r="G57" s="239" t="e">
        <f>_xlfn.CONCAT('Consolidado-Eletronorte'!#REF!,"_",ROW('Consolidado-Eletronorte'!#REF!)-ROW('Consolidado-Eletronorte'!$G$18))</f>
        <v>#REF!</v>
      </c>
      <c r="H57" s="239" t="s">
        <v>506</v>
      </c>
      <c r="I57" s="237" t="s">
        <v>507</v>
      </c>
      <c r="J57" s="239" t="s">
        <v>508</v>
      </c>
      <c r="K57" s="237" t="s">
        <v>509</v>
      </c>
      <c r="L57" s="237" t="s">
        <v>509</v>
      </c>
      <c r="M57" s="237" t="s">
        <v>685</v>
      </c>
      <c r="N57" s="237"/>
      <c r="O57" s="237"/>
      <c r="P57" s="237" t="s">
        <v>511</v>
      </c>
      <c r="Q57" s="243" t="s">
        <v>347</v>
      </c>
      <c r="R57" s="239" t="s">
        <v>348</v>
      </c>
      <c r="S57" s="243" t="s">
        <v>347</v>
      </c>
      <c r="T57" s="237" t="s">
        <v>509</v>
      </c>
      <c r="U57" s="237" t="s">
        <v>509</v>
      </c>
      <c r="V57" s="237" t="s">
        <v>685</v>
      </c>
      <c r="W57" s="237" t="s">
        <v>685</v>
      </c>
      <c r="X57" s="237"/>
      <c r="Y57" s="383"/>
      <c r="Z57" s="398"/>
      <c r="AA57" s="237"/>
      <c r="AB57" s="396"/>
      <c r="AC57" s="383"/>
      <c r="AD57" s="398"/>
      <c r="AE57" s="383"/>
      <c r="AF57" s="383"/>
      <c r="AG57" s="239" t="s">
        <v>686</v>
      </c>
      <c r="AH57" s="237" t="s">
        <v>319</v>
      </c>
      <c r="AI57" s="240">
        <v>0</v>
      </c>
      <c r="AJ57" s="240">
        <v>0</v>
      </c>
      <c r="AK57" s="240"/>
      <c r="AL57" s="240" t="s">
        <v>687</v>
      </c>
      <c r="AM57" s="240">
        <v>0</v>
      </c>
      <c r="AN57" s="240"/>
      <c r="AO57" s="240">
        <v>0</v>
      </c>
      <c r="AP57" s="240"/>
      <c r="AQ57" s="240">
        <v>0</v>
      </c>
      <c r="AR57" s="240">
        <v>0</v>
      </c>
      <c r="AS57" s="240"/>
      <c r="AT57" s="240">
        <v>0</v>
      </c>
      <c r="AU57" s="240">
        <f>SUM(Tabela10[[#This Row],[jan/26]:[dez/26]])</f>
        <v>0</v>
      </c>
      <c r="AV57" s="240">
        <v>1300000</v>
      </c>
      <c r="AW57" s="240">
        <v>1300000</v>
      </c>
      <c r="AX57" s="240">
        <v>1950000</v>
      </c>
      <c r="AY57" s="240">
        <v>0</v>
      </c>
      <c r="AZ57" s="240">
        <f>SUM(Tabela10[[#This Row],[2026]:[2030]])</f>
        <v>4550000</v>
      </c>
      <c r="BA57" s="242">
        <v>0</v>
      </c>
      <c r="BB57" s="240">
        <v>0</v>
      </c>
      <c r="BC57" s="240">
        <v>0</v>
      </c>
      <c r="BD57" s="240">
        <v>0</v>
      </c>
      <c r="BE57" s="240">
        <v>0</v>
      </c>
      <c r="BF57" s="241">
        <f>SUM(Tabela10[[#This Row],[2026-2030]:[2035]])</f>
        <v>4550000</v>
      </c>
      <c r="BG57" s="243" t="e" cm="1" vm="1">
        <f t="array" aca="1" ref="BG57" ca="1">_xlfn.SEQUENCE(COUNTA(Tabela10[Empresa]),1,1)</f>
        <v>#VALUE!</v>
      </c>
      <c r="BH57" s="243" t="s">
        <v>347</v>
      </c>
      <c r="BI57" s="243" t="e">
        <f>VLOOKUP(Tabela10[[#This Row],[ID real2]],[2]CONSOLIDADA!$AU:$AZ,6,FALSE)</f>
        <v>#N/A</v>
      </c>
      <c r="BJ57" s="243" t="s">
        <v>349</v>
      </c>
      <c r="BK57" s="243">
        <v>2025</v>
      </c>
      <c r="BL57" s="243" t="s">
        <v>688</v>
      </c>
      <c r="BM57" s="243" t="s">
        <v>689</v>
      </c>
      <c r="BN57" s="243" t="s">
        <v>347</v>
      </c>
      <c r="BO57" s="243" t="s">
        <v>628</v>
      </c>
      <c r="BP57" s="243" t="s">
        <v>621</v>
      </c>
      <c r="BQ57" s="243" t="s">
        <v>570</v>
      </c>
      <c r="BR57" s="346">
        <v>1300000</v>
      </c>
      <c r="BS57" s="265" t="s">
        <v>690</v>
      </c>
      <c r="BT57" s="243" t="s">
        <v>347</v>
      </c>
      <c r="BU57" s="243" t="s">
        <v>691</v>
      </c>
      <c r="BV57" s="243" t="str">
        <f>Tabela10[[#This Row],[Descrição do projeto]]</f>
        <v>Aquisição de Sistema de Incendio  UHE Tucuruí - CF  I e CF II</v>
      </c>
    </row>
    <row r="58" spans="1:74" ht="21" hidden="1" x14ac:dyDescent="0.35">
      <c r="A58" s="237">
        <v>269</v>
      </c>
      <c r="B58" s="237" t="e" cm="1">
        <f t="array" ref="B58">AND(ISTEXT('Consolidado-Eletronorte'!#REF!),SUM('Consolidado-Eletronorte'!#REF!)&gt;0)</f>
        <v>#REF!</v>
      </c>
      <c r="C58" s="237" t="str">
        <f t="shared" ca="1" si="3"/>
        <v>Capex Orcamentário_PE2026_2030_red_35_porcentoR3_consulta.xlsx</v>
      </c>
      <c r="D58" s="238" t="str">
        <f t="shared" si="4"/>
        <v>COO</v>
      </c>
      <c r="E58" s="238" t="str">
        <f t="shared" si="5"/>
        <v>Lucas Martins</v>
      </c>
      <c r="F58" s="237" t="str">
        <f>_xlfn.CONCAT(Tabela10[[#This Row],[VP]],Tabela10[[#This Row],[Analise Estrategia]])</f>
        <v>COO269</v>
      </c>
      <c r="G58" s="239" t="e">
        <f>_xlfn.CONCAT('Consolidado-Eletronorte'!#REF!,"_",ROW('Consolidado-Eletronorte'!#REF!)-ROW('Consolidado-Eletronorte'!$G$18))</f>
        <v>#REF!</v>
      </c>
      <c r="H58" s="239" t="s">
        <v>506</v>
      </c>
      <c r="I58" s="237" t="s">
        <v>507</v>
      </c>
      <c r="J58" s="239" t="s">
        <v>508</v>
      </c>
      <c r="K58" s="237" t="s">
        <v>509</v>
      </c>
      <c r="L58" s="237" t="s">
        <v>509</v>
      </c>
      <c r="M58" s="237" t="s">
        <v>577</v>
      </c>
      <c r="N58" s="237"/>
      <c r="O58" s="237"/>
      <c r="P58" s="237" t="s">
        <v>511</v>
      </c>
      <c r="Q58" s="243" t="s">
        <v>412</v>
      </c>
      <c r="R58" s="239" t="s">
        <v>413</v>
      </c>
      <c r="S58" s="243" t="s">
        <v>412</v>
      </c>
      <c r="T58" s="237" t="s">
        <v>509</v>
      </c>
      <c r="U58" s="237" t="s">
        <v>509</v>
      </c>
      <c r="V58" s="237" t="s">
        <v>577</v>
      </c>
      <c r="W58" s="237" t="s">
        <v>577</v>
      </c>
      <c r="X58" s="237"/>
      <c r="Y58" s="239">
        <v>3700014472</v>
      </c>
      <c r="Z58" s="397">
        <v>4151111.83</v>
      </c>
      <c r="AA58" s="237">
        <v>4600003365</v>
      </c>
      <c r="AB58" s="396">
        <v>4106761.68</v>
      </c>
      <c r="AC58" s="239"/>
      <c r="AD58" s="397"/>
      <c r="AE58" s="383" t="s">
        <v>692</v>
      </c>
      <c r="AF58" s="383" t="s">
        <v>693</v>
      </c>
      <c r="AG58" s="239" t="s">
        <v>694</v>
      </c>
      <c r="AH58" s="237" t="s">
        <v>319</v>
      </c>
      <c r="AI58" s="240">
        <v>0</v>
      </c>
      <c r="AJ58" s="240">
        <v>0</v>
      </c>
      <c r="AK58" s="240">
        <v>450000</v>
      </c>
      <c r="AL58" s="240">
        <v>0</v>
      </c>
      <c r="AM58" s="240">
        <v>550000</v>
      </c>
      <c r="AN58" s="240">
        <v>0</v>
      </c>
      <c r="AO58" s="240">
        <v>0</v>
      </c>
      <c r="AP58" s="240">
        <v>0</v>
      </c>
      <c r="AQ58" s="240">
        <v>0</v>
      </c>
      <c r="AR58" s="240">
        <v>0</v>
      </c>
      <c r="AS58" s="240">
        <v>0</v>
      </c>
      <c r="AT58" s="240">
        <v>0</v>
      </c>
      <c r="AU58" s="240">
        <f>SUM(Tabela10[[#This Row],[jan/26]:[dez/26]])</f>
        <v>1000000</v>
      </c>
      <c r="AV58" s="240">
        <v>3000000</v>
      </c>
      <c r="AW58" s="240">
        <v>0</v>
      </c>
      <c r="AX58" s="240">
        <v>0</v>
      </c>
      <c r="AY58" s="240">
        <v>0</v>
      </c>
      <c r="AZ58" s="240">
        <f>SUM(Tabela10[[#This Row],[2026]:[2030]])</f>
        <v>4000000</v>
      </c>
      <c r="BA58" s="242">
        <v>0</v>
      </c>
      <c r="BB58" s="240">
        <v>0</v>
      </c>
      <c r="BC58" s="240">
        <v>0</v>
      </c>
      <c r="BD58" s="240">
        <v>0</v>
      </c>
      <c r="BE58" s="240">
        <v>0</v>
      </c>
      <c r="BF58" s="241">
        <f>SUM(Tabela10[[#This Row],[2026-2030]:[2035]])</f>
        <v>4000000</v>
      </c>
      <c r="BG58" s="243" t="e" cm="1" vm="1">
        <f t="array" aca="1" ref="BG58" ca="1">_xlfn.SEQUENCE(COUNTA(Tabela10[Empresa]),1,1)</f>
        <v>#VALUE!</v>
      </c>
      <c r="BH58" s="243" t="s">
        <v>412</v>
      </c>
      <c r="BI58" s="243" t="e">
        <f>VLOOKUP(Tabela10[[#This Row],[ID real2]],[2]CONSOLIDADA!$AU:$AZ,6,FALSE)</f>
        <v>#N/A</v>
      </c>
      <c r="BJ58" s="243" t="s">
        <v>341</v>
      </c>
      <c r="BK58" s="243">
        <v>2026</v>
      </c>
      <c r="BL58" s="243" t="s">
        <v>695</v>
      </c>
      <c r="BM58" s="243">
        <v>0</v>
      </c>
      <c r="BN58" s="243" t="s">
        <v>412</v>
      </c>
      <c r="BO58" s="243" t="s">
        <v>550</v>
      </c>
      <c r="BP58" s="243" t="s">
        <v>561</v>
      </c>
      <c r="BQ58" s="243" t="s">
        <v>552</v>
      </c>
      <c r="BR58" s="346">
        <v>1000000</v>
      </c>
      <c r="BS58" s="243" t="s">
        <v>696</v>
      </c>
      <c r="BT58" s="243" t="s">
        <v>412</v>
      </c>
      <c r="BU58" s="243" t="s">
        <v>576</v>
      </c>
      <c r="BV58" s="243" t="str">
        <f>Tabela10[[#This Row],[Descrição do projeto]]</f>
        <v xml:space="preserve">Sistema SPCI água nebulizada tanques diesel GDE 01, 02,03,04.05,06 e 07 </v>
      </c>
    </row>
    <row r="59" spans="1:74" hidden="1" x14ac:dyDescent="0.35">
      <c r="A59" s="237">
        <v>349</v>
      </c>
      <c r="B59" s="237" t="e" cm="1">
        <f t="array" ref="B59">AND(ISTEXT('Consolidado-Eletronorte'!#REF!),SUM('Consolidado-Eletronorte'!#REF!)&gt;0)</f>
        <v>#REF!</v>
      </c>
      <c r="C59" s="237" t="str">
        <f t="shared" ca="1" si="3"/>
        <v>Capex Orcamentário_PE2026_2030_red_35_porcentoR3_consulta.xlsx</v>
      </c>
      <c r="D59" s="238" t="str">
        <f t="shared" si="4"/>
        <v>COO</v>
      </c>
      <c r="E59" s="238" t="str">
        <f t="shared" si="5"/>
        <v>Lucas Martins</v>
      </c>
      <c r="F59" s="237" t="str">
        <f>_xlfn.CONCAT(Tabela10[[#This Row],[VP]],Tabela10[[#This Row],[Analise Estrategia]])</f>
        <v>COO349</v>
      </c>
      <c r="G59" s="239" t="e">
        <f>_xlfn.CONCAT('Consolidado-Eletronorte'!#REF!,"_",ROW('Consolidado-Eletronorte'!#REF!)-ROW('Consolidado-Eletronorte'!$G$18))</f>
        <v>#REF!</v>
      </c>
      <c r="H59" s="239" t="s">
        <v>506</v>
      </c>
      <c r="I59" s="237" t="s">
        <v>507</v>
      </c>
      <c r="J59" s="239" t="s">
        <v>508</v>
      </c>
      <c r="K59" s="237" t="s">
        <v>509</v>
      </c>
      <c r="L59" s="237" t="s">
        <v>509</v>
      </c>
      <c r="M59" s="237" t="s">
        <v>577</v>
      </c>
      <c r="N59" s="237"/>
      <c r="O59" s="237"/>
      <c r="P59" s="237" t="s">
        <v>511</v>
      </c>
      <c r="Q59" s="243" t="s">
        <v>362</v>
      </c>
      <c r="R59" s="239" t="s">
        <v>363</v>
      </c>
      <c r="S59" s="243" t="s">
        <v>362</v>
      </c>
      <c r="T59" s="237" t="s">
        <v>509</v>
      </c>
      <c r="U59" s="237" t="s">
        <v>509</v>
      </c>
      <c r="V59" s="237" t="s">
        <v>577</v>
      </c>
      <c r="W59" s="237" t="s">
        <v>577</v>
      </c>
      <c r="X59" s="237"/>
      <c r="Y59" s="239" t="s">
        <v>564</v>
      </c>
      <c r="Z59" s="397"/>
      <c r="AA59" s="237"/>
      <c r="AB59" s="396"/>
      <c r="AC59" s="239"/>
      <c r="AD59" s="397"/>
      <c r="AE59" s="239"/>
      <c r="AF59" s="239"/>
      <c r="AG59" s="239" t="s">
        <v>697</v>
      </c>
      <c r="AH59" s="237" t="s">
        <v>319</v>
      </c>
      <c r="AI59" s="240">
        <v>0</v>
      </c>
      <c r="AJ59" s="240">
        <v>0</v>
      </c>
      <c r="AK59" s="240">
        <v>0</v>
      </c>
      <c r="AL59" s="240">
        <v>0</v>
      </c>
      <c r="AM59" s="240">
        <v>0</v>
      </c>
      <c r="AN59" s="240">
        <v>0</v>
      </c>
      <c r="AO59" s="240">
        <v>0</v>
      </c>
      <c r="AP59" s="240">
        <v>0</v>
      </c>
      <c r="AQ59" s="240">
        <v>0</v>
      </c>
      <c r="AR59" s="240">
        <v>0</v>
      </c>
      <c r="AS59" s="240">
        <v>0</v>
      </c>
      <c r="AT59" s="240">
        <v>0</v>
      </c>
      <c r="AU59" s="240">
        <f>SUM(Tabela10[[#This Row],[jan/26]:[dez/26]])</f>
        <v>0</v>
      </c>
      <c r="AV59" s="240">
        <v>1000000</v>
      </c>
      <c r="AW59" s="240">
        <v>3000000</v>
      </c>
      <c r="AX59" s="240">
        <v>0</v>
      </c>
      <c r="AY59" s="240">
        <v>0</v>
      </c>
      <c r="AZ59" s="240">
        <f>SUM(Tabela10[[#This Row],[2026]:[2030]])</f>
        <v>4000000</v>
      </c>
      <c r="BA59" s="242">
        <v>0</v>
      </c>
      <c r="BB59" s="240">
        <v>0</v>
      </c>
      <c r="BC59" s="240">
        <v>0</v>
      </c>
      <c r="BD59" s="240">
        <v>0</v>
      </c>
      <c r="BE59" s="240">
        <v>0</v>
      </c>
      <c r="BF59" s="241">
        <f>SUM(Tabela10[[#This Row],[2026-2030]:[2035]])</f>
        <v>4000000</v>
      </c>
      <c r="BG59" s="243" t="e" cm="1" vm="1">
        <f t="array" aca="1" ref="BG59" ca="1">_xlfn.SEQUENCE(COUNTA(Tabela10[Empresa]),1,1)</f>
        <v>#VALUE!</v>
      </c>
      <c r="BH59" s="243" t="s">
        <v>362</v>
      </c>
      <c r="BI59" s="243" t="e">
        <f>VLOOKUP(Tabela10[[#This Row],[ID real2]],[2]CONSOLIDADA!$AU:$AZ,6,FALSE)</f>
        <v>#N/A</v>
      </c>
      <c r="BJ59" s="243" t="e">
        <v>#N/A</v>
      </c>
      <c r="BK59" s="243">
        <v>2026</v>
      </c>
      <c r="BL59" s="243" t="s">
        <v>698</v>
      </c>
      <c r="BM59" s="243">
        <v>0</v>
      </c>
      <c r="BN59" s="243" t="s">
        <v>362</v>
      </c>
      <c r="BO59" s="243" t="s">
        <v>662</v>
      </c>
      <c r="BP59" s="243" t="s">
        <v>561</v>
      </c>
      <c r="BQ59" s="243" t="s">
        <v>561</v>
      </c>
      <c r="BR59" s="346">
        <v>0</v>
      </c>
      <c r="BS59" s="243" t="s">
        <v>699</v>
      </c>
      <c r="BT59" s="243" t="s">
        <v>362</v>
      </c>
      <c r="BU59" s="243" t="e">
        <v>#N/A</v>
      </c>
      <c r="BV59" s="243" t="str">
        <f>Tabela10[[#This Row],[Descrição do projeto]]</f>
        <v>Modernização do sistema de resfriamento em circuito fechado dos equipamentos da UHE Tucuruí</v>
      </c>
    </row>
    <row r="60" spans="1:74" hidden="1" x14ac:dyDescent="0.35">
      <c r="A60" s="237">
        <v>384</v>
      </c>
      <c r="B60" s="237" t="e" cm="1">
        <f t="array" ref="B60">AND(ISTEXT('Consolidado-Eletronorte'!#REF!),SUM('Consolidado-Eletronorte'!#REF!)&gt;0)</f>
        <v>#REF!</v>
      </c>
      <c r="C60" s="237" t="str">
        <f t="shared" ca="1" si="3"/>
        <v>Capex Orcamentário_PE2026_2030_red_35_porcentoR3_consulta.xlsx</v>
      </c>
      <c r="D60" s="238" t="str">
        <f t="shared" si="4"/>
        <v>COO</v>
      </c>
      <c r="E60" s="238" t="str">
        <f t="shared" si="5"/>
        <v>Lucas Martins</v>
      </c>
      <c r="F60" s="237" t="str">
        <f>_xlfn.CONCAT(Tabela10[[#This Row],[VP]],Tabela10[[#This Row],[Analise Estrategia]])</f>
        <v>COO384</v>
      </c>
      <c r="G60" s="239" t="e">
        <f>_xlfn.CONCAT('Consolidado-Eletronorte'!#REF!,"_",ROW('Consolidado-Eletronorte'!#REF!)-ROW('Consolidado-Eletronorte'!$G$18))</f>
        <v>#REF!</v>
      </c>
      <c r="H60" s="239" t="s">
        <v>506</v>
      </c>
      <c r="I60" s="237" t="s">
        <v>507</v>
      </c>
      <c r="J60" s="239" t="s">
        <v>508</v>
      </c>
      <c r="K60" s="237" t="s">
        <v>509</v>
      </c>
      <c r="L60" s="237" t="s">
        <v>509</v>
      </c>
      <c r="M60" s="237" t="s">
        <v>577</v>
      </c>
      <c r="N60" s="237"/>
      <c r="O60" s="237"/>
      <c r="P60" s="237" t="s">
        <v>511</v>
      </c>
      <c r="Q60" s="243" t="s">
        <v>414</v>
      </c>
      <c r="R60" s="239" t="s">
        <v>415</v>
      </c>
      <c r="S60" s="243" t="s">
        <v>414</v>
      </c>
      <c r="T60" s="237" t="s">
        <v>509</v>
      </c>
      <c r="U60" s="237" t="s">
        <v>509</v>
      </c>
      <c r="V60" s="237" t="s">
        <v>577</v>
      </c>
      <c r="W60" s="237" t="s">
        <v>577</v>
      </c>
      <c r="X60" s="237"/>
      <c r="Y60" s="239">
        <v>3400004384</v>
      </c>
      <c r="Z60" s="397">
        <v>3000000</v>
      </c>
      <c r="AA60" s="237"/>
      <c r="AB60" s="396"/>
      <c r="AC60" s="239"/>
      <c r="AD60" s="397"/>
      <c r="AE60" s="239"/>
      <c r="AF60" s="239"/>
      <c r="AG60" s="239" t="s">
        <v>700</v>
      </c>
      <c r="AH60" s="237" t="s">
        <v>319</v>
      </c>
      <c r="AI60" s="240">
        <v>0</v>
      </c>
      <c r="AJ60" s="240">
        <v>0</v>
      </c>
      <c r="AK60" s="240">
        <v>0</v>
      </c>
      <c r="AL60" s="240">
        <v>0</v>
      </c>
      <c r="AM60" s="240">
        <v>0</v>
      </c>
      <c r="AN60" s="240">
        <v>0</v>
      </c>
      <c r="AO60" s="240">
        <v>0</v>
      </c>
      <c r="AP60" s="240"/>
      <c r="AQ60" s="240">
        <v>1000000</v>
      </c>
      <c r="AR60" s="240">
        <v>0</v>
      </c>
      <c r="AS60" s="240">
        <v>0</v>
      </c>
      <c r="AT60" s="240">
        <v>0</v>
      </c>
      <c r="AU60" s="334">
        <f>SUM(Tabela10[[#This Row],[jan/26]:[dez/26]])</f>
        <v>1000000</v>
      </c>
      <c r="AV60" s="334">
        <v>1000000</v>
      </c>
      <c r="AW60" s="334">
        <v>1000000</v>
      </c>
      <c r="AX60" s="240">
        <v>0</v>
      </c>
      <c r="AY60" s="240">
        <v>0</v>
      </c>
      <c r="AZ60" s="240">
        <f>SUM(Tabela10[[#This Row],[2026]:[2030]])</f>
        <v>3000000</v>
      </c>
      <c r="BA60" s="242">
        <v>0</v>
      </c>
      <c r="BB60" s="240">
        <v>0</v>
      </c>
      <c r="BC60" s="240">
        <v>0</v>
      </c>
      <c r="BD60" s="240">
        <v>0</v>
      </c>
      <c r="BE60" s="240">
        <v>0</v>
      </c>
      <c r="BF60" s="241">
        <f>SUM(Tabela10[[#This Row],[2026-2030]:[2035]])</f>
        <v>3000000</v>
      </c>
      <c r="BG60" s="243" t="e" cm="1" vm="1">
        <f t="array" aca="1" ref="BG60" ca="1">_xlfn.SEQUENCE(COUNTA(Tabela10[Empresa]),1,1)</f>
        <v>#VALUE!</v>
      </c>
      <c r="BH60" s="243" t="s">
        <v>414</v>
      </c>
      <c r="BI60" s="243" t="e">
        <f>VLOOKUP(Tabela10[[#This Row],[ID real2]],[2]CONSOLIDADA!$AU:$AZ,6,FALSE)</f>
        <v>#N/A</v>
      </c>
      <c r="BJ60" s="243" t="s">
        <v>155</v>
      </c>
      <c r="BK60" s="243">
        <v>2025</v>
      </c>
      <c r="BL60" s="243" t="s">
        <v>701</v>
      </c>
      <c r="BM60" s="243" t="s">
        <v>702</v>
      </c>
      <c r="BN60" s="243" t="s">
        <v>414</v>
      </c>
      <c r="BO60" s="243" t="s">
        <v>550</v>
      </c>
      <c r="BP60" s="243" t="s">
        <v>561</v>
      </c>
      <c r="BQ60" s="243" t="s">
        <v>552</v>
      </c>
      <c r="BR60" s="346">
        <v>1000000</v>
      </c>
      <c r="BS60" s="243" t="s">
        <v>553</v>
      </c>
      <c r="BT60" s="243" t="s">
        <v>414</v>
      </c>
      <c r="BU60" s="243" t="s">
        <v>583</v>
      </c>
      <c r="BV60" s="243" t="str">
        <f>Tabela10[[#This Row],[Descrição do projeto]]</f>
        <v xml:space="preserve">Modernização de transformadores 13,8/440V para alimentação Vertedouro e serviço auxiliar da UHE Tucuruí </v>
      </c>
    </row>
    <row r="61" spans="1:74" hidden="1" x14ac:dyDescent="0.35">
      <c r="A61" s="237">
        <v>361</v>
      </c>
      <c r="B61" s="237" t="e" cm="1">
        <f t="array" ref="B61">AND(ISTEXT('Consolidado-Eletronorte'!#REF!),SUM('Consolidado-Eletronorte'!#REF!)&gt;0)</f>
        <v>#REF!</v>
      </c>
      <c r="C61" s="237" t="str">
        <f t="shared" ca="1" si="3"/>
        <v>Capex Orcamentário_PE2026_2030_red_35_porcentoR3_consulta.xlsx</v>
      </c>
      <c r="D61" s="238" t="str">
        <f t="shared" si="4"/>
        <v>COO</v>
      </c>
      <c r="E61" s="238" t="str">
        <f t="shared" si="5"/>
        <v>Lucas Martins</v>
      </c>
      <c r="F61" s="237" t="str">
        <f>_xlfn.CONCAT(Tabela10[[#This Row],[VP]],Tabela10[[#This Row],[Analise Estrategia]])</f>
        <v>COO361</v>
      </c>
      <c r="G61" s="239" t="e">
        <f>_xlfn.CONCAT('Consolidado-Eletronorte'!#REF!,"_",ROW('Consolidado-Eletronorte'!#REF!)-ROW('Consolidado-Eletronorte'!$G$18))</f>
        <v>#REF!</v>
      </c>
      <c r="H61" s="239" t="s">
        <v>506</v>
      </c>
      <c r="I61" s="237" t="s">
        <v>507</v>
      </c>
      <c r="J61" s="239" t="s">
        <v>508</v>
      </c>
      <c r="K61" s="237" t="s">
        <v>509</v>
      </c>
      <c r="L61" s="237" t="s">
        <v>509</v>
      </c>
      <c r="M61" s="237" t="s">
        <v>555</v>
      </c>
      <c r="N61" s="237"/>
      <c r="O61" s="237"/>
      <c r="P61" s="237" t="s">
        <v>511</v>
      </c>
      <c r="Q61" s="243" t="s">
        <v>337</v>
      </c>
      <c r="R61" s="239" t="s">
        <v>338</v>
      </c>
      <c r="S61" s="243" t="s">
        <v>337</v>
      </c>
      <c r="T61" s="237" t="s">
        <v>509</v>
      </c>
      <c r="U61" s="237" t="s">
        <v>509</v>
      </c>
      <c r="V61" s="237" t="s">
        <v>555</v>
      </c>
      <c r="W61" s="237" t="s">
        <v>555</v>
      </c>
      <c r="X61" s="237"/>
      <c r="Y61" s="239">
        <v>3700007704</v>
      </c>
      <c r="Z61" s="397" t="s">
        <v>662</v>
      </c>
      <c r="AA61" s="237"/>
      <c r="AB61" s="396"/>
      <c r="AC61" s="239"/>
      <c r="AD61" s="397"/>
      <c r="AE61" s="239"/>
      <c r="AF61" s="239"/>
      <c r="AG61" s="239" t="s">
        <v>703</v>
      </c>
      <c r="AH61" s="237" t="s">
        <v>319</v>
      </c>
      <c r="AI61" s="240">
        <v>0</v>
      </c>
      <c r="AJ61" s="240">
        <v>500000</v>
      </c>
      <c r="AK61" s="240">
        <v>0</v>
      </c>
      <c r="AL61" s="240">
        <v>0</v>
      </c>
      <c r="AM61" s="240">
        <v>0</v>
      </c>
      <c r="AN61" s="240">
        <v>0</v>
      </c>
      <c r="AO61" s="240">
        <v>0</v>
      </c>
      <c r="AP61" s="240">
        <v>500000</v>
      </c>
      <c r="AQ61" s="240">
        <v>0</v>
      </c>
      <c r="AR61" s="240">
        <v>0</v>
      </c>
      <c r="AS61" s="240">
        <v>0</v>
      </c>
      <c r="AT61" s="240">
        <v>0</v>
      </c>
      <c r="AU61" s="334">
        <f>SUM(Tabela10[[#This Row],[jan/26]:[dez/26]])</f>
        <v>1000000</v>
      </c>
      <c r="AV61" s="334">
        <v>1500000</v>
      </c>
      <c r="AW61" s="334">
        <v>0</v>
      </c>
      <c r="AX61" s="240">
        <v>0</v>
      </c>
      <c r="AY61" s="240">
        <v>0</v>
      </c>
      <c r="AZ61" s="240">
        <f>SUM(Tabela10[[#This Row],[2026]:[2030]])</f>
        <v>2500000</v>
      </c>
      <c r="BA61" s="242">
        <v>0</v>
      </c>
      <c r="BB61" s="240">
        <v>0</v>
      </c>
      <c r="BC61" s="240">
        <v>0</v>
      </c>
      <c r="BD61" s="240">
        <v>0</v>
      </c>
      <c r="BE61" s="240">
        <v>0</v>
      </c>
      <c r="BF61" s="241">
        <f>SUM(Tabela10[[#This Row],[2026-2030]:[2035]])</f>
        <v>2500000</v>
      </c>
      <c r="BG61" s="243" t="e" cm="1" vm="1">
        <f t="array" aca="1" ref="BG61" ca="1">_xlfn.SEQUENCE(COUNTA(Tabela10[Empresa]),1,1)</f>
        <v>#VALUE!</v>
      </c>
      <c r="BH61" s="243" t="s">
        <v>337</v>
      </c>
      <c r="BI61" s="243" t="e">
        <f>VLOOKUP(Tabela10[[#This Row],[ID real2]],[2]CONSOLIDADA!$AU:$AZ,6,FALSE)</f>
        <v>#N/A</v>
      </c>
      <c r="BJ61" s="243" t="s">
        <v>155</v>
      </c>
      <c r="BK61" s="243">
        <v>2025</v>
      </c>
      <c r="BL61" s="243" t="s">
        <v>704</v>
      </c>
      <c r="BM61" s="243" t="s">
        <v>705</v>
      </c>
      <c r="BN61" s="243" t="s">
        <v>337</v>
      </c>
      <c r="BO61" s="243" t="s">
        <v>550</v>
      </c>
      <c r="BP61" s="243" t="s">
        <v>569</v>
      </c>
      <c r="BQ61" s="243" t="s">
        <v>552</v>
      </c>
      <c r="BR61" s="346">
        <v>1000000</v>
      </c>
      <c r="BS61" s="243" t="s">
        <v>540</v>
      </c>
      <c r="BT61" s="243" t="s">
        <v>337</v>
      </c>
      <c r="BU61" s="243" t="s">
        <v>583</v>
      </c>
      <c r="BV61" s="243" t="str">
        <f>Tabela10[[#This Row],[Descrição do projeto]]</f>
        <v>Modernização do sistema de resfriamento dos mancais da CFI da UHE Tucuruí</v>
      </c>
    </row>
    <row r="62" spans="1:74" hidden="1" x14ac:dyDescent="0.35">
      <c r="A62" s="237">
        <v>287</v>
      </c>
      <c r="B62" s="237" t="e" cm="1">
        <f t="array" ref="B62">AND(ISTEXT('Consolidado-Eletronorte'!#REF!),SUM('Consolidado-Eletronorte'!#REF!)&gt;0)</f>
        <v>#REF!</v>
      </c>
      <c r="C62" s="237" t="str">
        <f t="shared" ca="1" si="3"/>
        <v>Capex Orcamentário_PE2026_2030_red_35_porcentoR3_consulta.xlsx</v>
      </c>
      <c r="D62" s="238" t="str">
        <f t="shared" si="4"/>
        <v>COO</v>
      </c>
      <c r="E62" s="238" t="str">
        <f t="shared" si="5"/>
        <v>Lucas Martins</v>
      </c>
      <c r="F62" s="237" t="str">
        <f>_xlfn.CONCAT(Tabela10[[#This Row],[VP]],Tabela10[[#This Row],[Analise Estrategia]])</f>
        <v>COO287</v>
      </c>
      <c r="G62" s="239" t="e">
        <f>_xlfn.CONCAT('Consolidado-Eletronorte'!#REF!,"_",ROW('Consolidado-Eletronorte'!#REF!)-ROW('Consolidado-Eletronorte'!$G$18))</f>
        <v>#REF!</v>
      </c>
      <c r="H62" s="239" t="s">
        <v>506</v>
      </c>
      <c r="I62" s="237" t="s">
        <v>507</v>
      </c>
      <c r="J62" s="239" t="s">
        <v>508</v>
      </c>
      <c r="K62" s="237" t="s">
        <v>509</v>
      </c>
      <c r="L62" s="237" t="s">
        <v>509</v>
      </c>
      <c r="M62" s="237" t="s">
        <v>555</v>
      </c>
      <c r="N62" s="237"/>
      <c r="O62" s="237"/>
      <c r="P62" s="237" t="s">
        <v>617</v>
      </c>
      <c r="Q62" s="243" t="s">
        <v>252</v>
      </c>
      <c r="R62" s="239" t="s">
        <v>253</v>
      </c>
      <c r="S62" s="243" t="s">
        <v>252</v>
      </c>
      <c r="T62" s="237" t="s">
        <v>509</v>
      </c>
      <c r="U62" s="237" t="s">
        <v>509</v>
      </c>
      <c r="V62" s="237" t="s">
        <v>555</v>
      </c>
      <c r="W62" s="237" t="s">
        <v>555</v>
      </c>
      <c r="X62" s="237"/>
      <c r="Y62" s="239" t="s">
        <v>564</v>
      </c>
      <c r="Z62" s="397"/>
      <c r="AA62" s="237"/>
      <c r="AB62" s="396"/>
      <c r="AC62" s="239"/>
      <c r="AD62" s="397"/>
      <c r="AE62" s="239"/>
      <c r="AF62" s="239"/>
      <c r="AG62" s="239" t="s">
        <v>706</v>
      </c>
      <c r="AH62" s="237" t="s">
        <v>229</v>
      </c>
      <c r="AI62" s="240">
        <v>0</v>
      </c>
      <c r="AJ62" s="240">
        <v>0</v>
      </c>
      <c r="AK62" s="240">
        <v>0</v>
      </c>
      <c r="AL62" s="240">
        <v>0</v>
      </c>
      <c r="AM62" s="240">
        <v>0</v>
      </c>
      <c r="AN62" s="240"/>
      <c r="AO62" s="240">
        <v>0</v>
      </c>
      <c r="AP62" s="240">
        <v>0</v>
      </c>
      <c r="AQ62" s="240">
        <v>0</v>
      </c>
      <c r="AR62" s="240"/>
      <c r="AS62" s="240">
        <v>0</v>
      </c>
      <c r="AT62" s="240">
        <v>0</v>
      </c>
      <c r="AU62" s="240">
        <f>SUM(Tabela10[[#This Row],[jan/26]:[dez/26]])</f>
        <v>0</v>
      </c>
      <c r="AV62" s="334">
        <v>3000000</v>
      </c>
      <c r="AW62" s="240">
        <v>0</v>
      </c>
      <c r="AX62" s="240">
        <v>0</v>
      </c>
      <c r="AY62" s="240">
        <v>0</v>
      </c>
      <c r="AZ62" s="240">
        <f>SUM(Tabela10[[#This Row],[2026]:[2030]])</f>
        <v>3000000</v>
      </c>
      <c r="BA62" s="242">
        <v>0</v>
      </c>
      <c r="BB62" s="240">
        <v>0</v>
      </c>
      <c r="BC62" s="240">
        <v>0</v>
      </c>
      <c r="BD62" s="240">
        <v>0</v>
      </c>
      <c r="BE62" s="240">
        <v>0</v>
      </c>
      <c r="BF62" s="241">
        <f>SUM(Tabela10[[#This Row],[2026-2030]:[2035]])</f>
        <v>3000000</v>
      </c>
      <c r="BG62" s="243" t="e" cm="1" vm="1">
        <f t="array" aca="1" ref="BG62" ca="1">_xlfn.SEQUENCE(COUNTA(Tabela10[Empresa]),1,1)</f>
        <v>#VALUE!</v>
      </c>
      <c r="BH62" s="243" t="s">
        <v>252</v>
      </c>
      <c r="BI62" s="243" t="e">
        <f>VLOOKUP(Tabela10[[#This Row],[ID real2]],[2]CONSOLIDADA!$AU:$AZ,6,FALSE)</f>
        <v>#N/A</v>
      </c>
      <c r="BJ62" s="243" t="s">
        <v>254</v>
      </c>
      <c r="BK62" s="243">
        <v>2026</v>
      </c>
      <c r="BL62" s="243" t="s">
        <v>707</v>
      </c>
      <c r="BM62" s="243">
        <v>0</v>
      </c>
      <c r="BN62" s="243" t="s">
        <v>252</v>
      </c>
      <c r="BO62" s="243" t="s">
        <v>568</v>
      </c>
      <c r="BP62" s="243" t="s">
        <v>561</v>
      </c>
      <c r="BQ62" s="243" t="s">
        <v>570</v>
      </c>
      <c r="BR62" s="346">
        <v>3000000</v>
      </c>
      <c r="BS62" s="243" t="s">
        <v>669</v>
      </c>
      <c r="BT62" s="243" t="s">
        <v>252</v>
      </c>
      <c r="BU62" s="243" t="s">
        <v>708</v>
      </c>
      <c r="BV62" s="243" t="str">
        <f>Tabela10[[#This Row],[Descrição do projeto]]</f>
        <v>Substituição de cadeias de isoladores da linha CUTA</v>
      </c>
    </row>
    <row r="63" spans="1:74" hidden="1" x14ac:dyDescent="0.35">
      <c r="A63" s="237">
        <v>289</v>
      </c>
      <c r="B63" s="237" t="e" cm="1">
        <f t="array" ref="B63">AND(ISTEXT('Consolidado-Eletronorte'!#REF!),SUM('Consolidado-Eletronorte'!#REF!)&gt;0)</f>
        <v>#REF!</v>
      </c>
      <c r="C63" s="237" t="str">
        <f t="shared" ca="1" si="3"/>
        <v>Capex Orcamentário_PE2026_2030_red_35_porcentoR3_consulta.xlsx</v>
      </c>
      <c r="D63" s="238" t="str">
        <f t="shared" si="4"/>
        <v>COO</v>
      </c>
      <c r="E63" s="238" t="str">
        <f t="shared" si="5"/>
        <v>Lucas Martins</v>
      </c>
      <c r="F63" s="237" t="str">
        <f>_xlfn.CONCAT(Tabela10[[#This Row],[VP]],Tabela10[[#This Row],[Analise Estrategia]])</f>
        <v>COO289</v>
      </c>
      <c r="G63" s="239" t="e">
        <f>_xlfn.CONCAT('Consolidado-Eletronorte'!#REF!,"_",ROW('Consolidado-Eletronorte'!#REF!)-ROW('Consolidado-Eletronorte'!$G$18))</f>
        <v>#REF!</v>
      </c>
      <c r="H63" s="239" t="s">
        <v>506</v>
      </c>
      <c r="I63" s="237" t="s">
        <v>507</v>
      </c>
      <c r="J63" s="239" t="s">
        <v>508</v>
      </c>
      <c r="K63" s="237" t="s">
        <v>509</v>
      </c>
      <c r="L63" s="237" t="s">
        <v>509</v>
      </c>
      <c r="M63" s="237" t="s">
        <v>577</v>
      </c>
      <c r="N63" s="237"/>
      <c r="O63" s="237"/>
      <c r="P63" s="237" t="s">
        <v>617</v>
      </c>
      <c r="Q63" s="243" t="s">
        <v>264</v>
      </c>
      <c r="R63" s="239" t="s">
        <v>265</v>
      </c>
      <c r="S63" s="243" t="s">
        <v>264</v>
      </c>
      <c r="T63" s="237" t="s">
        <v>509</v>
      </c>
      <c r="U63" s="237" t="s">
        <v>509</v>
      </c>
      <c r="V63" s="237" t="s">
        <v>577</v>
      </c>
      <c r="W63" s="237" t="s">
        <v>577</v>
      </c>
      <c r="X63" s="237"/>
      <c r="Y63" s="239">
        <v>3400002922</v>
      </c>
      <c r="Z63" s="397">
        <v>700000</v>
      </c>
      <c r="AA63" s="237"/>
      <c r="AB63" s="396"/>
      <c r="AC63" s="239"/>
      <c r="AD63" s="397"/>
      <c r="AE63" s="239"/>
      <c r="AF63" s="239"/>
      <c r="AG63" s="239" t="s">
        <v>709</v>
      </c>
      <c r="AH63" s="237" t="s">
        <v>229</v>
      </c>
      <c r="AI63" s="240">
        <v>0</v>
      </c>
      <c r="AJ63" s="240">
        <v>0</v>
      </c>
      <c r="AK63" s="240">
        <v>0</v>
      </c>
      <c r="AL63" s="240">
        <v>0</v>
      </c>
      <c r="AM63" s="240">
        <v>0</v>
      </c>
      <c r="AN63" s="240">
        <v>0</v>
      </c>
      <c r="AO63" s="240">
        <v>0</v>
      </c>
      <c r="AP63" s="240">
        <v>0</v>
      </c>
      <c r="AQ63" s="240">
        <v>500000</v>
      </c>
      <c r="AR63" s="240">
        <v>0</v>
      </c>
      <c r="AS63" s="240">
        <v>0</v>
      </c>
      <c r="AT63" s="240">
        <v>500000</v>
      </c>
      <c r="AU63" s="334">
        <f>SUM(Tabela10[[#This Row],[jan/26]:[dez/26]])</f>
        <v>1000000</v>
      </c>
      <c r="AV63" s="240">
        <v>1000000</v>
      </c>
      <c r="AW63" s="334">
        <v>700000</v>
      </c>
      <c r="AX63" s="240">
        <v>0</v>
      </c>
      <c r="AY63" s="240">
        <v>0</v>
      </c>
      <c r="AZ63" s="240">
        <f>SUM(Tabela10[[#This Row],[2026]:[2030]])</f>
        <v>2700000</v>
      </c>
      <c r="BA63" s="242">
        <v>0</v>
      </c>
      <c r="BB63" s="240">
        <v>0</v>
      </c>
      <c r="BC63" s="240">
        <v>0</v>
      </c>
      <c r="BD63" s="240">
        <v>0</v>
      </c>
      <c r="BE63" s="240">
        <v>0</v>
      </c>
      <c r="BF63" s="241">
        <f>SUM(Tabela10[[#This Row],[2026-2030]:[2035]])</f>
        <v>2700000</v>
      </c>
      <c r="BG63" s="243" t="e" cm="1" vm="1">
        <f t="array" aca="1" ref="BG63" ca="1">_xlfn.SEQUENCE(COUNTA(Tabela10[Empresa]),1,1)</f>
        <v>#VALUE!</v>
      </c>
      <c r="BH63" s="243" t="s">
        <v>264</v>
      </c>
      <c r="BI63" s="243" t="e">
        <f>VLOOKUP(Tabela10[[#This Row],[ID real2]],[2]CONSOLIDADA!$AU:$AZ,6,FALSE)</f>
        <v>#N/A</v>
      </c>
      <c r="BJ63" s="243" t="s">
        <v>155</v>
      </c>
      <c r="BK63" s="243">
        <v>2025</v>
      </c>
      <c r="BL63" s="243" t="s">
        <v>710</v>
      </c>
      <c r="BM63" s="243" t="s">
        <v>711</v>
      </c>
      <c r="BN63" s="243" t="s">
        <v>264</v>
      </c>
      <c r="BO63" s="243" t="s">
        <v>550</v>
      </c>
      <c r="BP63" s="243" t="s">
        <v>621</v>
      </c>
      <c r="BQ63" s="243" t="s">
        <v>552</v>
      </c>
      <c r="BR63" s="346">
        <v>1000000</v>
      </c>
      <c r="BS63" s="243" t="s">
        <v>540</v>
      </c>
      <c r="BT63" s="243" t="s">
        <v>264</v>
      </c>
      <c r="BU63" s="243" t="s">
        <v>583</v>
      </c>
      <c r="BV63" s="243" t="str">
        <f>Tabela10[[#This Row],[Descrição do projeto]]</f>
        <v>Modernização do cubículo de  6,9kV para a UHE Curuá-Una</v>
      </c>
    </row>
    <row r="64" spans="1:74" x14ac:dyDescent="0.35">
      <c r="A64" s="237">
        <v>264</v>
      </c>
      <c r="B64" s="237" t="e" cm="1">
        <f t="array" ref="B64">AND(ISTEXT('Consolidado-Eletronorte'!#REF!),SUM('Consolidado-Eletronorte'!#REF!)&gt;0)</f>
        <v>#REF!</v>
      </c>
      <c r="C64" s="237" t="str">
        <f t="shared" ca="1" si="3"/>
        <v>Capex Orcamentário_PE2026_2030_red_35_porcentoR3_consulta.xlsx</v>
      </c>
      <c r="D64" s="238" t="str">
        <f t="shared" si="4"/>
        <v>COO</v>
      </c>
      <c r="E64" s="238" t="str">
        <f t="shared" si="5"/>
        <v>Lucas Martins</v>
      </c>
      <c r="F64" s="237" t="str">
        <f>_xlfn.CONCAT(Tabela10[[#This Row],[VP]],Tabela10[[#This Row],[Analise Estrategia]])</f>
        <v>COO264</v>
      </c>
      <c r="G64" s="239" t="e">
        <f>_xlfn.CONCAT('Consolidado-Eletronorte'!#REF!,"_",ROW('Consolidado-Eletronorte'!#REF!)-ROW('Consolidado-Eletronorte'!$G$18))</f>
        <v>#REF!</v>
      </c>
      <c r="H64" s="239" t="s">
        <v>506</v>
      </c>
      <c r="I64" s="237" t="s">
        <v>507</v>
      </c>
      <c r="J64" s="239" t="s">
        <v>508</v>
      </c>
      <c r="K64" s="237" t="s">
        <v>509</v>
      </c>
      <c r="L64" s="237" t="s">
        <v>509</v>
      </c>
      <c r="M64" s="428" t="s">
        <v>577</v>
      </c>
      <c r="N64" s="237"/>
      <c r="O64" s="237"/>
      <c r="P64" s="237" t="s">
        <v>511</v>
      </c>
      <c r="Q64" s="243" t="s">
        <v>364</v>
      </c>
      <c r="R64" s="239" t="s">
        <v>365</v>
      </c>
      <c r="S64" s="243" t="s">
        <v>364</v>
      </c>
      <c r="T64" s="237" t="s">
        <v>509</v>
      </c>
      <c r="U64" s="237" t="s">
        <v>509</v>
      </c>
      <c r="V64" s="237" t="s">
        <v>555</v>
      </c>
      <c r="W64" s="237" t="s">
        <v>577</v>
      </c>
      <c r="X64" s="237"/>
      <c r="Y64" s="237">
        <v>3400002164</v>
      </c>
      <c r="Z64" s="396">
        <v>2535190.2000000002</v>
      </c>
      <c r="AA64" s="383">
        <v>4600002965</v>
      </c>
      <c r="AB64" s="398">
        <v>833206.66</v>
      </c>
      <c r="AC64" s="392">
        <v>4500094983</v>
      </c>
      <c r="AD64" s="400">
        <v>833206.66</v>
      </c>
      <c r="AE64" s="383" t="s">
        <v>712</v>
      </c>
      <c r="AF64" s="239" t="s">
        <v>713</v>
      </c>
      <c r="AG64" s="239" t="s">
        <v>714</v>
      </c>
      <c r="AH64" s="237" t="s">
        <v>319</v>
      </c>
      <c r="AI64" s="240">
        <v>0</v>
      </c>
      <c r="AJ64" s="240"/>
      <c r="AK64" s="240">
        <v>0</v>
      </c>
      <c r="AL64" s="240"/>
      <c r="AM64" s="240">
        <v>0</v>
      </c>
      <c r="AN64" s="240">
        <v>0</v>
      </c>
      <c r="AO64" s="240">
        <v>0</v>
      </c>
      <c r="AP64" s="240">
        <v>0</v>
      </c>
      <c r="AQ64" s="240">
        <v>0</v>
      </c>
      <c r="AR64" s="240">
        <v>0</v>
      </c>
      <c r="AS64" s="240">
        <v>0</v>
      </c>
      <c r="AT64" s="240">
        <v>0</v>
      </c>
      <c r="AU64" s="334">
        <f>SUM(Tabela10[[#This Row],[jan/26]:[dez/26]])</f>
        <v>0</v>
      </c>
      <c r="AV64" s="334">
        <v>1000000</v>
      </c>
      <c r="AW64" s="334">
        <v>1000000</v>
      </c>
      <c r="AX64" s="240">
        <v>500000</v>
      </c>
      <c r="AY64" s="240">
        <v>0</v>
      </c>
      <c r="AZ64" s="240">
        <f>SUM(Tabela10[[#This Row],[2026]:[2030]])</f>
        <v>2500000</v>
      </c>
      <c r="BA64" s="242">
        <v>0</v>
      </c>
      <c r="BB64" s="240">
        <v>0</v>
      </c>
      <c r="BC64" s="240">
        <v>0</v>
      </c>
      <c r="BD64" s="240">
        <v>0</v>
      </c>
      <c r="BE64" s="240">
        <v>0</v>
      </c>
      <c r="BF64" s="241">
        <f>SUM(Tabela10[[#This Row],[2026-2030]:[2035]])</f>
        <v>2500000</v>
      </c>
      <c r="BG64" s="243" t="e" cm="1" vm="1">
        <f t="array" aca="1" ref="BG64" ca="1">_xlfn.SEQUENCE(COUNTA(Tabela10[Empresa]),1,1)</f>
        <v>#VALUE!</v>
      </c>
      <c r="BH64" s="243" t="s">
        <v>364</v>
      </c>
      <c r="BI64" s="243" t="e">
        <f>VLOOKUP(Tabela10[[#This Row],[ID real2]],[2]CONSOLIDADA!$AU:$AZ,6,FALSE)</f>
        <v>#N/A</v>
      </c>
      <c r="BJ64" s="243" t="s">
        <v>341</v>
      </c>
      <c r="BK64" s="243">
        <v>2026</v>
      </c>
      <c r="BL64" s="243" t="s">
        <v>715</v>
      </c>
      <c r="BM64" s="243">
        <v>0</v>
      </c>
      <c r="BN64" s="243" t="s">
        <v>364</v>
      </c>
      <c r="BO64" s="243" t="s">
        <v>628</v>
      </c>
      <c r="BP64" s="243" t="s">
        <v>561</v>
      </c>
      <c r="BQ64" s="243" t="s">
        <v>517</v>
      </c>
      <c r="BR64" s="346">
        <v>1000000</v>
      </c>
      <c r="BS64" s="243" t="s">
        <v>716</v>
      </c>
      <c r="BT64" s="243" t="s">
        <v>364</v>
      </c>
      <c r="BU64" s="243" t="s">
        <v>576</v>
      </c>
      <c r="BV64" s="243" t="str">
        <f>Tabela10[[#This Row],[Descrição do projeto]]</f>
        <v>Aquisição e instalação de tubulação de Sistema de de drenagem de poços - CF I</v>
      </c>
    </row>
    <row r="65" spans="1:74" hidden="1" x14ac:dyDescent="0.35">
      <c r="A65" s="237">
        <v>283</v>
      </c>
      <c r="B65" s="237" t="e" cm="1">
        <f t="array" ref="B65">AND(ISTEXT('Consolidado-Eletronorte'!#REF!),SUM('Consolidado-Eletronorte'!#REF!)&gt;0)</f>
        <v>#REF!</v>
      </c>
      <c r="C65" s="237" t="str">
        <f t="shared" ca="1" si="3"/>
        <v>Capex Orcamentário_PE2026_2030_red_35_porcentoR3_consulta.xlsx</v>
      </c>
      <c r="D65" s="238" t="str">
        <f t="shared" si="4"/>
        <v>COO</v>
      </c>
      <c r="E65" s="238" t="str">
        <f t="shared" si="5"/>
        <v>Lucas Martins</v>
      </c>
      <c r="F65" s="237" t="str">
        <f>_xlfn.CONCAT(Tabela10[[#This Row],[VP]],Tabela10[[#This Row],[Analise Estrategia]])</f>
        <v>COO283</v>
      </c>
      <c r="G65" s="239" t="e">
        <f>_xlfn.CONCAT('Consolidado-Eletronorte'!#REF!,"_",ROW('Consolidado-Eletronorte'!#REF!)-ROW('Consolidado-Eletronorte'!$G$18))</f>
        <v>#REF!</v>
      </c>
      <c r="H65" s="239" t="s">
        <v>506</v>
      </c>
      <c r="I65" s="237" t="s">
        <v>507</v>
      </c>
      <c r="J65" s="239" t="s">
        <v>508</v>
      </c>
      <c r="K65" s="237" t="s">
        <v>509</v>
      </c>
      <c r="L65" s="237" t="s">
        <v>509</v>
      </c>
      <c r="M65" s="237" t="s">
        <v>577</v>
      </c>
      <c r="N65" s="237"/>
      <c r="O65" s="237"/>
      <c r="P65" s="237" t="s">
        <v>617</v>
      </c>
      <c r="Q65" s="243" t="s">
        <v>266</v>
      </c>
      <c r="R65" s="239" t="s">
        <v>267</v>
      </c>
      <c r="S65" s="243" t="s">
        <v>266</v>
      </c>
      <c r="T65" s="237" t="s">
        <v>509</v>
      </c>
      <c r="U65" s="237" t="s">
        <v>509</v>
      </c>
      <c r="V65" s="237" t="s">
        <v>577</v>
      </c>
      <c r="W65" s="237" t="s">
        <v>577</v>
      </c>
      <c r="X65" s="237"/>
      <c r="Y65" s="239">
        <v>3400002926</v>
      </c>
      <c r="Z65" s="397">
        <v>1000000</v>
      </c>
      <c r="AA65" s="237"/>
      <c r="AB65" s="396"/>
      <c r="AC65" s="239"/>
      <c r="AD65" s="397"/>
      <c r="AE65" s="239"/>
      <c r="AF65" s="239"/>
      <c r="AG65" s="239" t="s">
        <v>717</v>
      </c>
      <c r="AH65" s="237" t="s">
        <v>229</v>
      </c>
      <c r="AI65" s="240">
        <v>0</v>
      </c>
      <c r="AJ65" s="240">
        <v>0</v>
      </c>
      <c r="AK65" s="240">
        <v>0</v>
      </c>
      <c r="AL65" s="240">
        <v>0</v>
      </c>
      <c r="AM65" s="240">
        <v>0</v>
      </c>
      <c r="AN65" s="240">
        <v>0</v>
      </c>
      <c r="AO65" s="240">
        <v>0</v>
      </c>
      <c r="AP65" s="240">
        <v>0</v>
      </c>
      <c r="AQ65" s="240">
        <v>0</v>
      </c>
      <c r="AR65" s="240">
        <v>600000</v>
      </c>
      <c r="AS65" s="240">
        <v>0</v>
      </c>
      <c r="AT65" s="240">
        <v>0</v>
      </c>
      <c r="AU65" s="240">
        <f>SUM(Tabela10[[#This Row],[jan/26]:[dez/26]])</f>
        <v>600000</v>
      </c>
      <c r="AV65" s="240">
        <v>1200000</v>
      </c>
      <c r="AW65" s="240">
        <v>0</v>
      </c>
      <c r="AX65" s="240">
        <v>0</v>
      </c>
      <c r="AY65" s="240">
        <v>0</v>
      </c>
      <c r="AZ65" s="240">
        <f>SUM(Tabela10[[#This Row],[2026]:[2030]])</f>
        <v>1800000</v>
      </c>
      <c r="BA65" s="242">
        <v>0</v>
      </c>
      <c r="BB65" s="240">
        <v>0</v>
      </c>
      <c r="BC65" s="240">
        <v>0</v>
      </c>
      <c r="BD65" s="240">
        <v>0</v>
      </c>
      <c r="BE65" s="240">
        <v>0</v>
      </c>
      <c r="BF65" s="241">
        <f>SUM(Tabela10[[#This Row],[2026-2030]:[2035]])</f>
        <v>1800000</v>
      </c>
      <c r="BG65" s="243" t="e" cm="1" vm="1">
        <f t="array" aca="1" ref="BG65" ca="1">_xlfn.SEQUENCE(COUNTA(Tabela10[Empresa]),1,1)</f>
        <v>#VALUE!</v>
      </c>
      <c r="BH65" s="243" t="s">
        <v>266</v>
      </c>
      <c r="BI65" s="243" t="e">
        <f>VLOOKUP(Tabela10[[#This Row],[ID real2]],[2]CONSOLIDADA!$AU:$AZ,6,FALSE)</f>
        <v>#N/A</v>
      </c>
      <c r="BJ65" s="243" t="s">
        <v>155</v>
      </c>
      <c r="BK65" s="243">
        <v>2025</v>
      </c>
      <c r="BL65" s="243" t="s">
        <v>718</v>
      </c>
      <c r="BM65" s="243" t="s">
        <v>719</v>
      </c>
      <c r="BN65" s="243" t="s">
        <v>266</v>
      </c>
      <c r="BO65" s="243" t="s">
        <v>550</v>
      </c>
      <c r="BP65" s="243" t="s">
        <v>561</v>
      </c>
      <c r="BQ65" s="243" t="s">
        <v>552</v>
      </c>
      <c r="BR65" s="346">
        <v>1200000</v>
      </c>
      <c r="BS65" s="243" t="s">
        <v>591</v>
      </c>
      <c r="BT65" s="243" t="s">
        <v>266</v>
      </c>
      <c r="BU65" s="243" t="s">
        <v>583</v>
      </c>
      <c r="BV65" s="243" t="str">
        <f>Tabela10[[#This Row],[Descrição do projeto]]</f>
        <v>Modernização dos mancais de guia da Turbina CUUGH01, 02 e 03</v>
      </c>
    </row>
    <row r="66" spans="1:74" hidden="1" x14ac:dyDescent="0.35">
      <c r="A66" s="237">
        <v>295</v>
      </c>
      <c r="B66" s="237" t="e" cm="1">
        <f t="array" ref="B66">AND(ISTEXT('Consolidado-Eletronorte'!#REF!),SUM('Consolidado-Eletronorte'!#REF!)&gt;0)</f>
        <v>#REF!</v>
      </c>
      <c r="C66" s="237" t="str">
        <f t="shared" ca="1" si="3"/>
        <v>Capex Orcamentário_PE2026_2030_red_35_porcentoR3_consulta.xlsx</v>
      </c>
      <c r="D66" s="238" t="str">
        <f t="shared" si="4"/>
        <v>COO</v>
      </c>
      <c r="E66" s="238" t="str">
        <f t="shared" si="5"/>
        <v>Lucas Martins</v>
      </c>
      <c r="F66" s="237" t="str">
        <f>_xlfn.CONCAT(Tabela10[[#This Row],[VP]],Tabela10[[#This Row],[Analise Estrategia]])</f>
        <v>COO295</v>
      </c>
      <c r="G66" s="239" t="e">
        <f>_xlfn.CONCAT('Consolidado-Eletronorte'!#REF!,"_",ROW('Consolidado-Eletronorte'!#REF!)-ROW('Consolidado-Eletronorte'!$G$18))</f>
        <v>#REF!</v>
      </c>
      <c r="H66" s="239" t="s">
        <v>506</v>
      </c>
      <c r="I66" s="237" t="s">
        <v>507</v>
      </c>
      <c r="J66" s="239" t="s">
        <v>508</v>
      </c>
      <c r="K66" s="237" t="s">
        <v>509</v>
      </c>
      <c r="L66" s="237" t="s">
        <v>509</v>
      </c>
      <c r="M66" s="237" t="s">
        <v>577</v>
      </c>
      <c r="N66" s="237"/>
      <c r="O66" s="237"/>
      <c r="P66" s="237" t="s">
        <v>617</v>
      </c>
      <c r="Q66" s="243" t="s">
        <v>241</v>
      </c>
      <c r="R66" s="239" t="s">
        <v>242</v>
      </c>
      <c r="S66" s="243" t="s">
        <v>241</v>
      </c>
      <c r="T66" s="237" t="s">
        <v>509</v>
      </c>
      <c r="U66" s="237" t="s">
        <v>509</v>
      </c>
      <c r="V66" s="237" t="s">
        <v>577</v>
      </c>
      <c r="W66" s="237" t="s">
        <v>577</v>
      </c>
      <c r="X66" s="237"/>
      <c r="Y66" s="239" t="s">
        <v>564</v>
      </c>
      <c r="Z66" s="397"/>
      <c r="AA66" s="237"/>
      <c r="AB66" s="396"/>
      <c r="AC66" s="239"/>
      <c r="AD66" s="397"/>
      <c r="AE66" s="239"/>
      <c r="AF66" s="239"/>
      <c r="AG66" s="239" t="s">
        <v>720</v>
      </c>
      <c r="AH66" s="237" t="s">
        <v>229</v>
      </c>
      <c r="AI66" s="240">
        <v>0</v>
      </c>
      <c r="AJ66" s="240">
        <v>0</v>
      </c>
      <c r="AK66" s="240">
        <v>0</v>
      </c>
      <c r="AL66" s="240">
        <v>0</v>
      </c>
      <c r="AM66" s="240">
        <v>0</v>
      </c>
      <c r="AN66" s="240">
        <v>0</v>
      </c>
      <c r="AO66" s="240">
        <v>0</v>
      </c>
      <c r="AP66" s="240">
        <v>0</v>
      </c>
      <c r="AQ66" s="240">
        <v>0</v>
      </c>
      <c r="AR66" s="240">
        <v>0</v>
      </c>
      <c r="AS66" s="240">
        <v>0</v>
      </c>
      <c r="AT66" s="240">
        <v>0</v>
      </c>
      <c r="AU66" s="240">
        <f>SUM(Tabela10[[#This Row],[jan/26]:[dez/26]])</f>
        <v>0</v>
      </c>
      <c r="AV66" s="240">
        <v>1800000</v>
      </c>
      <c r="AW66" s="240">
        <v>0</v>
      </c>
      <c r="AX66" s="240">
        <v>0</v>
      </c>
      <c r="AY66" s="240">
        <v>0</v>
      </c>
      <c r="AZ66" s="240">
        <f>SUM(Tabela10[[#This Row],[2026]:[2030]])</f>
        <v>1800000</v>
      </c>
      <c r="BA66" s="242">
        <v>0</v>
      </c>
      <c r="BB66" s="240">
        <v>0</v>
      </c>
      <c r="BC66" s="240">
        <v>0</v>
      </c>
      <c r="BD66" s="240">
        <v>0</v>
      </c>
      <c r="BE66" s="240">
        <v>0</v>
      </c>
      <c r="BF66" s="241">
        <f>SUM(Tabela10[[#This Row],[2026-2030]:[2035]])</f>
        <v>1800000</v>
      </c>
      <c r="BG66" s="243" t="e" cm="1" vm="1">
        <f t="array" aca="1" ref="BG66" ca="1">_xlfn.SEQUENCE(COUNTA(Tabela10[Empresa]),1,1)</f>
        <v>#VALUE!</v>
      </c>
      <c r="BH66" s="243" t="s">
        <v>241</v>
      </c>
      <c r="BI66" s="243" t="e">
        <f>VLOOKUP(Tabela10[[#This Row],[ID real2]],[2]CONSOLIDADA!$AU:$AZ,6,FALSE)</f>
        <v>#N/A</v>
      </c>
      <c r="BJ66" s="243" t="e">
        <v>#N/A</v>
      </c>
      <c r="BK66" s="243">
        <v>2026</v>
      </c>
      <c r="BL66" s="243" t="s">
        <v>721</v>
      </c>
      <c r="BM66" s="243">
        <v>0</v>
      </c>
      <c r="BN66" s="243" t="s">
        <v>241</v>
      </c>
      <c r="BO66" s="243" t="s">
        <v>568</v>
      </c>
      <c r="BP66" s="243" t="s">
        <v>621</v>
      </c>
      <c r="BQ66" s="243" t="s">
        <v>561</v>
      </c>
      <c r="BR66" s="346">
        <v>0</v>
      </c>
      <c r="BS66" s="243" t="s">
        <v>722</v>
      </c>
      <c r="BT66" s="243" t="s">
        <v>241</v>
      </c>
      <c r="BU66" s="243" t="e">
        <v>#N/A</v>
      </c>
      <c r="BV66" s="243" t="str">
        <f>Tabela10[[#This Row],[Descrição do projeto]]</f>
        <v>Modernização do geradores elétricos da UHE Curuá-Uma-UGH01, 02 e 03</v>
      </c>
    </row>
    <row r="67" spans="1:74" hidden="1" x14ac:dyDescent="0.35">
      <c r="A67" s="237">
        <v>314</v>
      </c>
      <c r="B67" s="237" t="e" cm="1">
        <f t="array" ref="B67">AND(ISTEXT('Consolidado-Eletronorte'!#REF!),SUM('Consolidado-Eletronorte'!#REF!)&gt;0)</f>
        <v>#REF!</v>
      </c>
      <c r="C67" s="237" t="str">
        <f t="shared" ca="1" si="3"/>
        <v>Capex Orcamentário_PE2026_2030_red_35_porcentoR3_consulta.xlsx</v>
      </c>
      <c r="D67" s="238" t="str">
        <f t="shared" si="4"/>
        <v>COO</v>
      </c>
      <c r="E67" s="238" t="str">
        <f t="shared" si="5"/>
        <v>Lucas Martins</v>
      </c>
      <c r="F67" s="237" t="str">
        <f>_xlfn.CONCAT(Tabela10[[#This Row],[VP]],Tabela10[[#This Row],[Analise Estrategia]])</f>
        <v>COO314</v>
      </c>
      <c r="G67" s="239" t="e">
        <f>_xlfn.CONCAT('Consolidado-Eletronorte'!#REF!,"_",ROW('Consolidado-Eletronorte'!#REF!)-ROW('Consolidado-Eletronorte'!$G$18))</f>
        <v>#REF!</v>
      </c>
      <c r="H67" s="239" t="s">
        <v>506</v>
      </c>
      <c r="I67" s="237" t="s">
        <v>507</v>
      </c>
      <c r="J67" s="239" t="s">
        <v>508</v>
      </c>
      <c r="K67" s="237" t="s">
        <v>509</v>
      </c>
      <c r="L67" s="237" t="s">
        <v>509</v>
      </c>
      <c r="M67" s="237" t="s">
        <v>577</v>
      </c>
      <c r="N67" s="237"/>
      <c r="O67" s="237"/>
      <c r="P67" s="237">
        <v>157189</v>
      </c>
      <c r="Q67" s="243" t="s">
        <v>312</v>
      </c>
      <c r="R67" s="239" t="s">
        <v>313</v>
      </c>
      <c r="S67" s="243" t="s">
        <v>312</v>
      </c>
      <c r="T67" s="237" t="s">
        <v>509</v>
      </c>
      <c r="U67" s="237" t="s">
        <v>509</v>
      </c>
      <c r="V67" s="237" t="s">
        <v>577</v>
      </c>
      <c r="W67" s="237" t="s">
        <v>577</v>
      </c>
      <c r="X67" s="237"/>
      <c r="Y67" s="239">
        <v>3400004646</v>
      </c>
      <c r="Z67" s="397">
        <v>5742925</v>
      </c>
      <c r="AA67" s="237"/>
      <c r="AB67" s="396"/>
      <c r="AC67" s="239"/>
      <c r="AD67" s="397"/>
      <c r="AE67" s="239"/>
      <c r="AF67" s="239"/>
      <c r="AG67" s="239" t="s">
        <v>723</v>
      </c>
      <c r="AH67" s="237" t="s">
        <v>276</v>
      </c>
      <c r="AI67" s="240">
        <v>0</v>
      </c>
      <c r="AJ67" s="240">
        <v>0</v>
      </c>
      <c r="AK67" s="240">
        <v>0</v>
      </c>
      <c r="AL67" s="240">
        <v>0</v>
      </c>
      <c r="AM67" s="240">
        <v>0</v>
      </c>
      <c r="AN67" s="240">
        <v>0</v>
      </c>
      <c r="AO67" s="240">
        <v>0</v>
      </c>
      <c r="AP67" s="240">
        <v>0</v>
      </c>
      <c r="AQ67" s="240">
        <v>0</v>
      </c>
      <c r="AR67" s="240"/>
      <c r="AS67" s="240">
        <v>912050</v>
      </c>
      <c r="AT67" s="240">
        <v>0</v>
      </c>
      <c r="AU67" s="334">
        <f>SUM(Tabela10[[#This Row],[jan/26]:[dez/26]])</f>
        <v>912050</v>
      </c>
      <c r="AV67" s="334">
        <v>4560250</v>
      </c>
      <c r="AW67" s="240">
        <v>0</v>
      </c>
      <c r="AX67" s="240">
        <v>0</v>
      </c>
      <c r="AY67" s="240">
        <v>0</v>
      </c>
      <c r="AZ67" s="240">
        <f>SUM(Tabela10[[#This Row],[2026]:[2030]])</f>
        <v>5472300</v>
      </c>
      <c r="BA67" s="242">
        <v>0</v>
      </c>
      <c r="BB67" s="240">
        <v>0</v>
      </c>
      <c r="BC67" s="240">
        <v>0</v>
      </c>
      <c r="BD67" s="240">
        <v>0</v>
      </c>
      <c r="BE67" s="240">
        <v>0</v>
      </c>
      <c r="BF67" s="241">
        <f>SUM(Tabela10[[#This Row],[2026-2030]:[2035]])</f>
        <v>5472300</v>
      </c>
      <c r="BG67" s="243" t="e" cm="1" vm="1">
        <f t="array" aca="1" ref="BG67" ca="1">_xlfn.SEQUENCE(COUNTA(Tabela10[Empresa]),1,1)</f>
        <v>#VALUE!</v>
      </c>
      <c r="BH67" s="243" t="s">
        <v>312</v>
      </c>
      <c r="BI67" s="243" t="e">
        <f>VLOOKUP(Tabela10[[#This Row],[ID real2]],[2]CONSOLIDADA!$AU:$AZ,6,FALSE)</f>
        <v>#N/A</v>
      </c>
      <c r="BJ67" s="243" t="s">
        <v>211</v>
      </c>
      <c r="BK67" s="243">
        <v>2026</v>
      </c>
      <c r="BL67" s="243" t="s">
        <v>724</v>
      </c>
      <c r="BM67" s="243">
        <v>0</v>
      </c>
      <c r="BN67" s="243" t="s">
        <v>312</v>
      </c>
      <c r="BO67" s="243" t="s">
        <v>550</v>
      </c>
      <c r="BP67" s="243" t="s">
        <v>561</v>
      </c>
      <c r="BQ67" s="243" t="s">
        <v>552</v>
      </c>
      <c r="BR67" s="346">
        <v>1000000</v>
      </c>
      <c r="BS67" s="243" t="s">
        <v>696</v>
      </c>
      <c r="BT67" s="243" t="s">
        <v>312</v>
      </c>
      <c r="BU67" s="243" t="s">
        <v>673</v>
      </c>
      <c r="BV67" s="243" t="str">
        <f>Tabela10[[#This Row],[Descrição do projeto]]</f>
        <v>Aquisição Disjuntor 230KV</v>
      </c>
    </row>
    <row r="68" spans="1:74" hidden="1" x14ac:dyDescent="0.35">
      <c r="A68" s="237">
        <v>352</v>
      </c>
      <c r="B68" s="237" t="e" cm="1">
        <f t="array" ref="B68">AND(ISTEXT('Consolidado-Eletronorte'!#REF!),SUM('Consolidado-Eletronorte'!#REF!)&gt;0)</f>
        <v>#REF!</v>
      </c>
      <c r="C68" s="237" t="str">
        <f t="shared" ca="1" si="3"/>
        <v>Capex Orcamentário_PE2026_2030_red_35_porcentoR3_consulta.xlsx</v>
      </c>
      <c r="D68" s="238" t="str">
        <f t="shared" si="4"/>
        <v>COO</v>
      </c>
      <c r="E68" s="238" t="str">
        <f t="shared" si="5"/>
        <v>Lucas Martins</v>
      </c>
      <c r="F68" s="237" t="str">
        <f>_xlfn.CONCAT(Tabela10[[#This Row],[VP]],Tabela10[[#This Row],[Analise Estrategia]])</f>
        <v>COO352</v>
      </c>
      <c r="G68" s="239" t="e">
        <f>_xlfn.CONCAT('Consolidado-Eletronorte'!#REF!,"_",ROW('Consolidado-Eletronorte'!#REF!)-ROW('Consolidado-Eletronorte'!$G$18))</f>
        <v>#REF!</v>
      </c>
      <c r="H68" s="239" t="s">
        <v>506</v>
      </c>
      <c r="I68" s="237" t="s">
        <v>507</v>
      </c>
      <c r="J68" s="239" t="s">
        <v>508</v>
      </c>
      <c r="K68" s="237" t="s">
        <v>509</v>
      </c>
      <c r="L68" s="237" t="s">
        <v>509</v>
      </c>
      <c r="M68" s="237" t="s">
        <v>555</v>
      </c>
      <c r="N68" s="237"/>
      <c r="O68" s="237"/>
      <c r="P68" s="237" t="s">
        <v>511</v>
      </c>
      <c r="Q68" s="243" t="s">
        <v>396</v>
      </c>
      <c r="R68" s="239" t="s">
        <v>397</v>
      </c>
      <c r="S68" s="243" t="s">
        <v>396</v>
      </c>
      <c r="T68" s="237" t="s">
        <v>509</v>
      </c>
      <c r="U68" s="237" t="s">
        <v>509</v>
      </c>
      <c r="V68" s="237" t="s">
        <v>555</v>
      </c>
      <c r="W68" s="237" t="s">
        <v>555</v>
      </c>
      <c r="X68" s="237"/>
      <c r="Y68" s="239" t="s">
        <v>564</v>
      </c>
      <c r="Z68" s="397"/>
      <c r="AA68" s="237"/>
      <c r="AB68" s="396"/>
      <c r="AC68" s="239"/>
      <c r="AD68" s="397"/>
      <c r="AE68" s="239"/>
      <c r="AF68" s="239"/>
      <c r="AG68" s="239" t="s">
        <v>397</v>
      </c>
      <c r="AH68" s="237" t="s">
        <v>319</v>
      </c>
      <c r="AI68" s="240">
        <v>0</v>
      </c>
      <c r="AJ68" s="240">
        <v>0</v>
      </c>
      <c r="AK68" s="240">
        <v>0</v>
      </c>
      <c r="AL68" s="240">
        <v>0</v>
      </c>
      <c r="AM68" s="240">
        <v>0</v>
      </c>
      <c r="AN68" s="240">
        <v>0</v>
      </c>
      <c r="AO68" s="240">
        <v>0</v>
      </c>
      <c r="AP68" s="240"/>
      <c r="AQ68" s="240"/>
      <c r="AR68" s="240">
        <v>0</v>
      </c>
      <c r="AS68" s="240"/>
      <c r="AT68" s="240">
        <v>0</v>
      </c>
      <c r="AU68" s="334">
        <f>SUM(Tabela10[[#This Row],[jan/26]:[dez/26]])</f>
        <v>0</v>
      </c>
      <c r="AV68" s="334">
        <v>1000000</v>
      </c>
      <c r="AW68" s="334">
        <v>1500000</v>
      </c>
      <c r="AX68" s="240">
        <v>0</v>
      </c>
      <c r="AY68" s="240">
        <v>0</v>
      </c>
      <c r="AZ68" s="240">
        <f>SUM(Tabela10[[#This Row],[2026]:[2030]])</f>
        <v>2500000</v>
      </c>
      <c r="BA68" s="242">
        <v>0</v>
      </c>
      <c r="BB68" s="240">
        <v>0</v>
      </c>
      <c r="BC68" s="240">
        <v>0</v>
      </c>
      <c r="BD68" s="240">
        <v>0</v>
      </c>
      <c r="BE68" s="240">
        <v>0</v>
      </c>
      <c r="BF68" s="241">
        <f>SUM(Tabela10[[#This Row],[2026-2030]:[2035]])</f>
        <v>2500000</v>
      </c>
      <c r="BG68" s="243" t="e" cm="1" vm="1">
        <f t="array" aca="1" ref="BG68" ca="1">_xlfn.SEQUENCE(COUNTA(Tabela10[Empresa]),1,1)</f>
        <v>#VALUE!</v>
      </c>
      <c r="BH68" s="243" t="s">
        <v>396</v>
      </c>
      <c r="BI68" s="243" t="e">
        <f>VLOOKUP(Tabela10[[#This Row],[ID real2]],[2]CONSOLIDADA!$AU:$AZ,6,FALSE)</f>
        <v>#N/A</v>
      </c>
      <c r="BJ68" s="243" t="s">
        <v>341</v>
      </c>
      <c r="BK68" s="243">
        <v>2025</v>
      </c>
      <c r="BL68" s="243" t="s">
        <v>725</v>
      </c>
      <c r="BM68" s="243" t="s">
        <v>726</v>
      </c>
      <c r="BN68" s="243" t="s">
        <v>396</v>
      </c>
      <c r="BO68" s="243" t="s">
        <v>568</v>
      </c>
      <c r="BP68" s="243" t="s">
        <v>569</v>
      </c>
      <c r="BQ68" s="243" t="s">
        <v>570</v>
      </c>
      <c r="BR68" s="346">
        <v>1000000</v>
      </c>
      <c r="BS68" s="243" t="s">
        <v>635</v>
      </c>
      <c r="BT68" s="243" t="s">
        <v>396</v>
      </c>
      <c r="BU68" s="243" t="s">
        <v>576</v>
      </c>
      <c r="BV68" s="243" t="str">
        <f>Tabela10[[#This Row],[Descrição do projeto]]</f>
        <v>Modernização do sistema de iluminação da UHE Tucuruí</v>
      </c>
    </row>
    <row r="69" spans="1:74" x14ac:dyDescent="0.35">
      <c r="A69" s="237">
        <v>344</v>
      </c>
      <c r="B69" s="237" t="e" cm="1">
        <f t="array" ref="B69">AND(ISTEXT('Consolidado-Eletronorte'!#REF!),SUM('Consolidado-Eletronorte'!#REF!)&gt;0)</f>
        <v>#REF!</v>
      </c>
      <c r="C69" s="237" t="str">
        <f t="shared" ca="1" si="3"/>
        <v>Capex Orcamentário_PE2026_2030_red_35_porcentoR3_consulta.xlsx</v>
      </c>
      <c r="D69" s="238" t="str">
        <f t="shared" si="4"/>
        <v>COO</v>
      </c>
      <c r="E69" s="238" t="str">
        <f t="shared" si="5"/>
        <v>Lucas Martins</v>
      </c>
      <c r="F69" s="237" t="str">
        <f>_xlfn.CONCAT(Tabela10[[#This Row],[VP]],Tabela10[[#This Row],[Analise Estrategia]])</f>
        <v>COO344</v>
      </c>
      <c r="G69" s="239" t="e">
        <f>_xlfn.CONCAT('Consolidado-Eletronorte'!#REF!,"_",ROW('Consolidado-Eletronorte'!#REF!)-ROW('Consolidado-Eletronorte'!$G$18))</f>
        <v>#REF!</v>
      </c>
      <c r="H69" s="239" t="s">
        <v>506</v>
      </c>
      <c r="I69" s="237" t="s">
        <v>507</v>
      </c>
      <c r="J69" s="239" t="s">
        <v>508</v>
      </c>
      <c r="K69" s="237" t="s">
        <v>509</v>
      </c>
      <c r="L69" s="237" t="s">
        <v>509</v>
      </c>
      <c r="M69" s="428" t="s">
        <v>727</v>
      </c>
      <c r="N69" s="237"/>
      <c r="O69" s="237"/>
      <c r="P69" s="237" t="s">
        <v>511</v>
      </c>
      <c r="Q69" s="243" t="s">
        <v>383</v>
      </c>
      <c r="R69" s="239" t="s">
        <v>384</v>
      </c>
      <c r="S69" s="243" t="s">
        <v>383</v>
      </c>
      <c r="T69" s="237" t="s">
        <v>509</v>
      </c>
      <c r="U69" s="237" t="s">
        <v>509</v>
      </c>
      <c r="V69" s="237" t="s">
        <v>727</v>
      </c>
      <c r="W69" s="237" t="s">
        <v>727</v>
      </c>
      <c r="X69" s="237"/>
      <c r="Y69" s="237"/>
      <c r="Z69" s="396"/>
      <c r="AA69" s="237"/>
      <c r="AB69" s="396"/>
      <c r="AC69" s="239">
        <v>4500079784</v>
      </c>
      <c r="AD69" s="397">
        <v>17163070.890000001</v>
      </c>
      <c r="AE69" s="239" t="s">
        <v>728</v>
      </c>
      <c r="AF69" s="239" t="s">
        <v>729</v>
      </c>
      <c r="AG69" s="239" t="s">
        <v>730</v>
      </c>
      <c r="AH69" s="237" t="s">
        <v>319</v>
      </c>
      <c r="AI69" s="240">
        <v>0</v>
      </c>
      <c r="AJ69" s="240">
        <v>0</v>
      </c>
      <c r="AK69" s="240">
        <v>0</v>
      </c>
      <c r="AL69" s="240">
        <v>900000</v>
      </c>
      <c r="AM69" s="240">
        <v>0</v>
      </c>
      <c r="AN69" s="240">
        <v>0</v>
      </c>
      <c r="AO69" s="240">
        <v>0</v>
      </c>
      <c r="AP69" s="240">
        <v>0</v>
      </c>
      <c r="AQ69" s="240">
        <v>900000</v>
      </c>
      <c r="AR69" s="240">
        <v>0</v>
      </c>
      <c r="AS69" s="240">
        <v>0</v>
      </c>
      <c r="AT69" s="240">
        <v>0</v>
      </c>
      <c r="AU69" s="240">
        <f>SUM(Tabela10[[#This Row],[jan/26]:[dez/26]])</f>
        <v>1800000</v>
      </c>
      <c r="AV69" s="240">
        <v>557200</v>
      </c>
      <c r="AW69" s="240">
        <v>0</v>
      </c>
      <c r="AX69" s="240">
        <v>0</v>
      </c>
      <c r="AY69" s="240">
        <v>0</v>
      </c>
      <c r="AZ69" s="240">
        <f>SUM(Tabela10[[#This Row],[2026]:[2030]])</f>
        <v>2357200</v>
      </c>
      <c r="BA69" s="242">
        <v>0</v>
      </c>
      <c r="BB69" s="240">
        <v>0</v>
      </c>
      <c r="BC69" s="240">
        <v>0</v>
      </c>
      <c r="BD69" s="240">
        <v>0</v>
      </c>
      <c r="BE69" s="240">
        <v>0</v>
      </c>
      <c r="BF69" s="241">
        <f>SUM(Tabela10[[#This Row],[2026-2030]:[2035]])</f>
        <v>2357200</v>
      </c>
      <c r="BG69" s="243" t="e" cm="1" vm="1">
        <f t="array" aca="1" ref="BG69" ca="1">_xlfn.SEQUENCE(COUNTA(Tabela10[Empresa]),1,1)</f>
        <v>#VALUE!</v>
      </c>
      <c r="BH69" s="243" t="s">
        <v>383</v>
      </c>
      <c r="BI69" s="243" t="e">
        <f>VLOOKUP(Tabela10[[#This Row],[ID real2]],[2]CONSOLIDADA!$AU:$AZ,6,FALSE)</f>
        <v>#N/A</v>
      </c>
      <c r="BJ69" s="243" t="s">
        <v>155</v>
      </c>
      <c r="BK69" s="243">
        <v>2025</v>
      </c>
      <c r="BL69" s="243" t="s">
        <v>731</v>
      </c>
      <c r="BM69" s="243" t="s">
        <v>732</v>
      </c>
      <c r="BN69" s="243" t="s">
        <v>383</v>
      </c>
      <c r="BO69" s="243" t="s">
        <v>517</v>
      </c>
      <c r="BP69" s="243" t="s">
        <v>561</v>
      </c>
      <c r="BQ69" s="243" t="s">
        <v>517</v>
      </c>
      <c r="BR69" s="346">
        <v>1800000</v>
      </c>
      <c r="BS69" s="243" t="s">
        <v>540</v>
      </c>
      <c r="BT69" s="243" t="s">
        <v>383</v>
      </c>
      <c r="BU69" s="243" t="s">
        <v>583</v>
      </c>
      <c r="BV69" s="243" t="str">
        <f>Tabela10[[#This Row],[Descrição do projeto]]</f>
        <v>Implantação do sistema de injeção química para combate ao mexilhão dourado na UHE Tucuruí</v>
      </c>
    </row>
    <row r="70" spans="1:74" hidden="1" x14ac:dyDescent="0.35">
      <c r="A70" s="237">
        <v>368</v>
      </c>
      <c r="B70" s="237" t="e" cm="1">
        <f t="array" ref="B70">AND(ISTEXT('Consolidado-Eletronorte'!#REF!),SUM('Consolidado-Eletronorte'!#REF!)&gt;0)</f>
        <v>#REF!</v>
      </c>
      <c r="C70" s="237" t="str">
        <f t="shared" ca="1" si="3"/>
        <v>Capex Orcamentário_PE2026_2030_red_35_porcentoR3_consulta.xlsx</v>
      </c>
      <c r="D70" s="238" t="str">
        <f t="shared" si="4"/>
        <v>COO</v>
      </c>
      <c r="E70" s="238" t="str">
        <f t="shared" si="5"/>
        <v>Lucas Martins</v>
      </c>
      <c r="F70" s="237" t="str">
        <f>_xlfn.CONCAT(Tabela10[[#This Row],[VP]],Tabela10[[#This Row],[Analise Estrategia]])</f>
        <v>COO368</v>
      </c>
      <c r="G70" s="239" t="e">
        <f>_xlfn.CONCAT('Consolidado-Eletronorte'!#REF!,"_",ROW('Consolidado-Eletronorte'!#REF!)-ROW('Consolidado-Eletronorte'!$G$18))</f>
        <v>#REF!</v>
      </c>
      <c r="H70" s="239" t="s">
        <v>506</v>
      </c>
      <c r="I70" s="237" t="s">
        <v>507</v>
      </c>
      <c r="J70" s="239" t="s">
        <v>508</v>
      </c>
      <c r="K70" s="237" t="s">
        <v>509</v>
      </c>
      <c r="L70" s="237" t="s">
        <v>622</v>
      </c>
      <c r="M70" s="237" t="s">
        <v>733</v>
      </c>
      <c r="N70" s="237"/>
      <c r="O70" s="237"/>
      <c r="P70" s="237" t="s">
        <v>511</v>
      </c>
      <c r="Q70" s="243" t="s">
        <v>342</v>
      </c>
      <c r="R70" s="239" t="s">
        <v>343</v>
      </c>
      <c r="S70" s="243" t="s">
        <v>342</v>
      </c>
      <c r="T70" s="237" t="s">
        <v>509</v>
      </c>
      <c r="U70" s="237" t="s">
        <v>622</v>
      </c>
      <c r="V70" s="237" t="s">
        <v>624</v>
      </c>
      <c r="W70" s="237" t="s">
        <v>624</v>
      </c>
      <c r="X70" s="237"/>
      <c r="Y70" s="239" t="s">
        <v>734</v>
      </c>
      <c r="Z70" s="397"/>
      <c r="AA70" s="237"/>
      <c r="AB70" s="396"/>
      <c r="AC70" s="239"/>
      <c r="AD70" s="397"/>
      <c r="AE70" s="239"/>
      <c r="AF70" s="239"/>
      <c r="AG70" s="239" t="s">
        <v>735</v>
      </c>
      <c r="AH70" s="237" t="s">
        <v>344</v>
      </c>
      <c r="AI70" s="240">
        <v>0</v>
      </c>
      <c r="AJ70" s="240">
        <v>237500</v>
      </c>
      <c r="AK70" s="240">
        <v>0</v>
      </c>
      <c r="AL70" s="240">
        <v>0</v>
      </c>
      <c r="AM70" s="240">
        <v>237500</v>
      </c>
      <c r="AN70" s="240">
        <v>0</v>
      </c>
      <c r="AO70" s="240">
        <v>0</v>
      </c>
      <c r="AP70" s="240">
        <v>237500</v>
      </c>
      <c r="AQ70" s="240">
        <v>0</v>
      </c>
      <c r="AR70" s="240">
        <v>0</v>
      </c>
      <c r="AS70" s="240">
        <v>237500</v>
      </c>
      <c r="AT70" s="240">
        <v>0</v>
      </c>
      <c r="AU70" s="240">
        <f>SUM(Tabela10[[#This Row],[jan/26]:[dez/26]])</f>
        <v>950000</v>
      </c>
      <c r="AV70" s="240">
        <v>1000000</v>
      </c>
      <c r="AW70" s="240">
        <v>100000</v>
      </c>
      <c r="AX70" s="240">
        <v>0</v>
      </c>
      <c r="AY70" s="240">
        <v>0</v>
      </c>
      <c r="AZ70" s="240">
        <f>SUM(Tabela10[[#This Row],[2026]:[2030]])</f>
        <v>2050000</v>
      </c>
      <c r="BA70" s="242">
        <v>0</v>
      </c>
      <c r="BB70" s="240">
        <v>0</v>
      </c>
      <c r="BC70" s="240">
        <v>0</v>
      </c>
      <c r="BD70" s="240">
        <v>0</v>
      </c>
      <c r="BE70" s="240">
        <v>0</v>
      </c>
      <c r="BF70" s="241">
        <f>SUM(Tabela10[[#This Row],[2026-2030]:[2035]])</f>
        <v>2050000</v>
      </c>
      <c r="BG70" s="243" t="e" cm="1" vm="1">
        <f t="array" aca="1" ref="BG70" ca="1">_xlfn.SEQUENCE(COUNTA(Tabela10[Empresa]),1,1)</f>
        <v>#VALUE!</v>
      </c>
      <c r="BH70" s="243" t="s">
        <v>342</v>
      </c>
      <c r="BI70" s="243" t="e">
        <f>VLOOKUP(Tabela10[[#This Row],[ID real2]],[2]CONSOLIDADA!$AU:$AZ,6,FALSE)</f>
        <v>#N/A</v>
      </c>
      <c r="BJ70" s="243" t="s">
        <v>261</v>
      </c>
      <c r="BK70" s="243">
        <v>2025</v>
      </c>
      <c r="BL70" s="243" t="s">
        <v>736</v>
      </c>
      <c r="BM70" s="243" t="s">
        <v>737</v>
      </c>
      <c r="BN70" s="243" t="s">
        <v>342</v>
      </c>
      <c r="BO70" s="243" t="s">
        <v>550</v>
      </c>
      <c r="BP70" s="243" t="s">
        <v>569</v>
      </c>
      <c r="BQ70" s="243" t="s">
        <v>552</v>
      </c>
      <c r="BR70" s="346">
        <v>950000</v>
      </c>
      <c r="BS70" s="243" t="s">
        <v>540</v>
      </c>
      <c r="BT70" s="243" t="s">
        <v>342</v>
      </c>
      <c r="BU70" s="243" t="s">
        <v>629</v>
      </c>
      <c r="BV70" s="243" t="str">
        <f>Tabela10[[#This Row],[Descrição do projeto]]</f>
        <v>REDE MPLS ELETRONORTE</v>
      </c>
    </row>
    <row r="71" spans="1:74" x14ac:dyDescent="0.35">
      <c r="A71" s="237">
        <v>343</v>
      </c>
      <c r="B71" s="237" t="e" cm="1">
        <f t="array" ref="B71">AND(ISTEXT('Consolidado-Eletronorte'!#REF!),SUM('Consolidado-Eletronorte'!#REF!)&gt;0)</f>
        <v>#REF!</v>
      </c>
      <c r="C71" s="237" t="str">
        <f t="shared" ca="1" si="3"/>
        <v>Capex Orcamentário_PE2026_2030_red_35_porcentoR3_consulta.xlsx</v>
      </c>
      <c r="D71" s="238" t="str">
        <f t="shared" si="4"/>
        <v>COO</v>
      </c>
      <c r="E71" s="238" t="str">
        <f t="shared" si="5"/>
        <v>Lucas Martins</v>
      </c>
      <c r="F71" s="237" t="str">
        <f>_xlfn.CONCAT(Tabela10[[#This Row],[VP]],Tabela10[[#This Row],[Analise Estrategia]])</f>
        <v>COO343</v>
      </c>
      <c r="G71" s="239" t="e">
        <f>_xlfn.CONCAT('Consolidado-Eletronorte'!#REF!,"_",ROW('Consolidado-Eletronorte'!#REF!)-ROW('Consolidado-Eletronorte'!$G$18))</f>
        <v>#REF!</v>
      </c>
      <c r="H71" s="239" t="s">
        <v>506</v>
      </c>
      <c r="I71" s="237" t="s">
        <v>507</v>
      </c>
      <c r="J71" s="239" t="s">
        <v>508</v>
      </c>
      <c r="K71" s="237" t="s">
        <v>509</v>
      </c>
      <c r="L71" s="237" t="s">
        <v>509</v>
      </c>
      <c r="M71" s="237" t="s">
        <v>738</v>
      </c>
      <c r="N71" s="237"/>
      <c r="O71" s="237"/>
      <c r="P71" s="237" t="s">
        <v>511</v>
      </c>
      <c r="Q71" s="243" t="s">
        <v>406</v>
      </c>
      <c r="R71" s="239" t="s">
        <v>407</v>
      </c>
      <c r="S71" s="243" t="s">
        <v>406</v>
      </c>
      <c r="T71" s="237" t="s">
        <v>509</v>
      </c>
      <c r="U71" s="237" t="s">
        <v>509</v>
      </c>
      <c r="V71" s="237" t="s">
        <v>738</v>
      </c>
      <c r="W71" s="237" t="s">
        <v>738</v>
      </c>
      <c r="X71" s="237"/>
      <c r="Y71" s="237"/>
      <c r="Z71" s="396"/>
      <c r="AA71" s="237"/>
      <c r="AB71" s="396"/>
      <c r="AC71" s="239">
        <v>4500057018</v>
      </c>
      <c r="AD71" s="397">
        <v>25431614.670000002</v>
      </c>
      <c r="AE71" s="239" t="s">
        <v>739</v>
      </c>
      <c r="AF71" s="239" t="s">
        <v>740</v>
      </c>
      <c r="AG71" s="239" t="s">
        <v>741</v>
      </c>
      <c r="AH71" s="237" t="s">
        <v>319</v>
      </c>
      <c r="AI71" s="240">
        <v>0</v>
      </c>
      <c r="AJ71" s="240">
        <v>0</v>
      </c>
      <c r="AK71" s="240">
        <v>0</v>
      </c>
      <c r="AL71" s="240">
        <v>0</v>
      </c>
      <c r="AM71" s="240">
        <v>0</v>
      </c>
      <c r="AN71" s="240">
        <v>0</v>
      </c>
      <c r="AO71" s="240">
        <v>500000</v>
      </c>
      <c r="AP71" s="240">
        <v>0</v>
      </c>
      <c r="AQ71" s="240">
        <v>0</v>
      </c>
      <c r="AR71" s="240">
        <v>500000</v>
      </c>
      <c r="AS71" s="240">
        <v>0</v>
      </c>
      <c r="AT71" s="240">
        <v>500000</v>
      </c>
      <c r="AU71" s="240">
        <f>SUM(Tabela10[[#This Row],[jan/26]:[dez/26]])</f>
        <v>1500000</v>
      </c>
      <c r="AV71" s="240">
        <v>500000</v>
      </c>
      <c r="AW71" s="240">
        <v>0</v>
      </c>
      <c r="AX71" s="240">
        <v>0</v>
      </c>
      <c r="AY71" s="240">
        <v>0</v>
      </c>
      <c r="AZ71" s="240">
        <f>SUM(Tabela10[[#This Row],[2026]:[2030]])</f>
        <v>2000000</v>
      </c>
      <c r="BA71" s="242">
        <v>0</v>
      </c>
      <c r="BB71" s="240">
        <v>0</v>
      </c>
      <c r="BC71" s="240">
        <v>0</v>
      </c>
      <c r="BD71" s="240">
        <v>0</v>
      </c>
      <c r="BE71" s="240">
        <v>0</v>
      </c>
      <c r="BF71" s="241">
        <f>SUM(Tabela10[[#This Row],[2026-2030]:[2035]])</f>
        <v>2000000</v>
      </c>
      <c r="BG71" s="243" t="e" cm="1" vm="1">
        <f t="array" aca="1" ref="BG71" ca="1">_xlfn.SEQUENCE(COUNTA(Tabela10[Empresa]),1,1)</f>
        <v>#VALUE!</v>
      </c>
      <c r="BH71" s="243" t="s">
        <v>406</v>
      </c>
      <c r="BI71" s="243" t="e">
        <f>VLOOKUP(Tabela10[[#This Row],[ID real2]],[2]CONSOLIDADA!$AU:$AZ,6,FALSE)</f>
        <v>#N/A</v>
      </c>
      <c r="BJ71" s="243" t="s">
        <v>155</v>
      </c>
      <c r="BK71" s="243">
        <v>2025</v>
      </c>
      <c r="BL71" s="243" t="s">
        <v>742</v>
      </c>
      <c r="BM71" s="243" t="s">
        <v>743</v>
      </c>
      <c r="BN71" s="243" t="s">
        <v>406</v>
      </c>
      <c r="BO71" s="243" t="s">
        <v>517</v>
      </c>
      <c r="BP71" s="243" t="s">
        <v>561</v>
      </c>
      <c r="BQ71" s="243" t="s">
        <v>517</v>
      </c>
      <c r="BR71" s="346">
        <v>500000</v>
      </c>
      <c r="BS71" s="243" t="s">
        <v>532</v>
      </c>
      <c r="BT71" s="243" t="s">
        <v>406</v>
      </c>
      <c r="BU71" s="243" t="s">
        <v>583</v>
      </c>
      <c r="BV71" s="243" t="str">
        <f>Tabela10[[#This Row],[Descrição do projeto]]</f>
        <v>Modernização do sistema auto-limpante de água industrial da UHE Tucuruí</v>
      </c>
    </row>
    <row r="72" spans="1:74" hidden="1" x14ac:dyDescent="0.35">
      <c r="A72" s="237">
        <v>371</v>
      </c>
      <c r="B72" s="237" t="e" cm="1">
        <f t="array" ref="B72">AND(ISTEXT('Consolidado-Eletronorte'!#REF!),SUM('Consolidado-Eletronorte'!#REF!)&gt;0)</f>
        <v>#REF!</v>
      </c>
      <c r="C72" s="237" t="str">
        <f t="shared" ref="C72:C102" ca="1" si="6">$J$13</f>
        <v>Capex Orcamentário_PE2026_2030_red_35_porcentoR3_consulta.xlsx</v>
      </c>
      <c r="D72" s="238" t="str">
        <f t="shared" ref="D72:D102" si="7">$H$13</f>
        <v>COO</v>
      </c>
      <c r="E72" s="238" t="str">
        <f t="shared" ref="E72:E102" si="8">$H$14</f>
        <v>Lucas Martins</v>
      </c>
      <c r="F72" s="237" t="str">
        <f>_xlfn.CONCAT(Tabela10[[#This Row],[VP]],Tabela10[[#This Row],[Analise Estrategia]])</f>
        <v>COO371</v>
      </c>
      <c r="G72" s="239" t="e">
        <f>_xlfn.CONCAT('Consolidado-Eletronorte'!#REF!,"_",ROW('Consolidado-Eletronorte'!#REF!)-ROW('Consolidado-Eletronorte'!$G$18))</f>
        <v>#REF!</v>
      </c>
      <c r="H72" s="239" t="s">
        <v>506</v>
      </c>
      <c r="I72" s="237" t="s">
        <v>507</v>
      </c>
      <c r="J72" s="239" t="s">
        <v>508</v>
      </c>
      <c r="K72" s="237" t="s">
        <v>509</v>
      </c>
      <c r="L72" s="237" t="s">
        <v>509</v>
      </c>
      <c r="M72" s="237" t="s">
        <v>577</v>
      </c>
      <c r="N72" s="237"/>
      <c r="O72" s="237"/>
      <c r="P72" s="237" t="s">
        <v>511</v>
      </c>
      <c r="Q72" s="243" t="s">
        <v>426</v>
      </c>
      <c r="R72" s="239" t="s">
        <v>427</v>
      </c>
      <c r="S72" s="243" t="s">
        <v>426</v>
      </c>
      <c r="T72" s="237" t="s">
        <v>509</v>
      </c>
      <c r="U72" s="237" t="s">
        <v>509</v>
      </c>
      <c r="V72" s="237" t="s">
        <v>577</v>
      </c>
      <c r="W72" s="237" t="s">
        <v>577</v>
      </c>
      <c r="X72" s="237"/>
      <c r="Y72" s="239">
        <v>3400004230</v>
      </c>
      <c r="Z72" s="397">
        <v>2000000</v>
      </c>
      <c r="AA72" s="237"/>
      <c r="AB72" s="396"/>
      <c r="AC72" s="239"/>
      <c r="AD72" s="397"/>
      <c r="AE72" s="239"/>
      <c r="AF72" s="239"/>
      <c r="AG72" s="239" t="s">
        <v>744</v>
      </c>
      <c r="AH72" s="237" t="s">
        <v>319</v>
      </c>
      <c r="AI72" s="240">
        <v>0</v>
      </c>
      <c r="AJ72" s="240">
        <v>0</v>
      </c>
      <c r="AK72" s="240">
        <v>0</v>
      </c>
      <c r="AL72" s="240">
        <v>0</v>
      </c>
      <c r="AM72" s="240">
        <v>0</v>
      </c>
      <c r="AN72" s="240">
        <v>0</v>
      </c>
      <c r="AO72" s="240">
        <v>0</v>
      </c>
      <c r="AP72" s="240">
        <v>0</v>
      </c>
      <c r="AQ72" s="240">
        <v>0</v>
      </c>
      <c r="AR72" s="240">
        <v>0</v>
      </c>
      <c r="AS72" s="240"/>
      <c r="AT72" s="240">
        <v>0</v>
      </c>
      <c r="AU72" s="240">
        <f>SUM(Tabela10[[#This Row],[jan/26]:[dez/26]])</f>
        <v>0</v>
      </c>
      <c r="AV72" s="334">
        <v>1000000</v>
      </c>
      <c r="AW72" s="334">
        <v>1000000</v>
      </c>
      <c r="AX72" s="240">
        <v>0</v>
      </c>
      <c r="AY72" s="240">
        <v>0</v>
      </c>
      <c r="AZ72" s="240">
        <f>SUM(Tabela10[[#This Row],[2026]:[2030]])</f>
        <v>2000000</v>
      </c>
      <c r="BA72" s="242">
        <v>0</v>
      </c>
      <c r="BB72" s="240">
        <v>0</v>
      </c>
      <c r="BC72" s="240">
        <v>0</v>
      </c>
      <c r="BD72" s="240">
        <v>0</v>
      </c>
      <c r="BE72" s="240">
        <v>0</v>
      </c>
      <c r="BF72" s="241">
        <f>SUM(Tabela10[[#This Row],[2026-2030]:[2035]])</f>
        <v>2000000</v>
      </c>
      <c r="BG72" s="243" t="e" cm="1" vm="1">
        <f t="array" aca="1" ref="BG72" ca="1">_xlfn.SEQUENCE(COUNTA(Tabela10[Empresa]),1,1)</f>
        <v>#VALUE!</v>
      </c>
      <c r="BH72" s="243" t="s">
        <v>426</v>
      </c>
      <c r="BI72" s="243" t="e">
        <f>VLOOKUP(Tabela10[[#This Row],[ID real2]],[2]CONSOLIDADA!$AU:$AZ,6,FALSE)</f>
        <v>#N/A</v>
      </c>
      <c r="BJ72" s="243" t="s">
        <v>155</v>
      </c>
      <c r="BK72" s="243">
        <v>2025</v>
      </c>
      <c r="BL72" s="243" t="s">
        <v>745</v>
      </c>
      <c r="BM72" s="243" t="s">
        <v>746</v>
      </c>
      <c r="BN72" s="243" t="s">
        <v>426</v>
      </c>
      <c r="BO72" s="243" t="s">
        <v>581</v>
      </c>
      <c r="BP72" s="243" t="s">
        <v>569</v>
      </c>
      <c r="BQ72" s="243" t="s">
        <v>552</v>
      </c>
      <c r="BR72" s="346">
        <v>300000</v>
      </c>
      <c r="BS72" s="243" t="s">
        <v>635</v>
      </c>
      <c r="BT72" s="243" t="s">
        <v>426</v>
      </c>
      <c r="BU72" s="243" t="s">
        <v>583</v>
      </c>
      <c r="BV72" s="243" t="str">
        <f>Tabela10[[#This Row],[Descrição do projeto]]</f>
        <v>Aquisição de para-raios para a UHE Tucuruí</v>
      </c>
    </row>
    <row r="73" spans="1:74" x14ac:dyDescent="0.35">
      <c r="A73" s="237">
        <v>358</v>
      </c>
      <c r="B73" s="237" t="e" cm="1">
        <f t="array" ref="B73">AND(ISTEXT('Consolidado-Eletronorte'!#REF!),SUM('Consolidado-Eletronorte'!#REF!)&gt;0)</f>
        <v>#REF!</v>
      </c>
      <c r="C73" s="237" t="str">
        <f t="shared" ca="1" si="6"/>
        <v>Capex Orcamentário_PE2026_2030_red_35_porcentoR3_consulta.xlsx</v>
      </c>
      <c r="D73" s="238" t="str">
        <f t="shared" si="7"/>
        <v>COO</v>
      </c>
      <c r="E73" s="238" t="str">
        <f t="shared" si="8"/>
        <v>Lucas Martins</v>
      </c>
      <c r="F73" s="237" t="str">
        <f>_xlfn.CONCAT(Tabela10[[#This Row],[VP]],Tabela10[[#This Row],[Analise Estrategia]])</f>
        <v>COO358</v>
      </c>
      <c r="G73" s="239" t="e">
        <f>_xlfn.CONCAT('Consolidado-Eletronorte'!#REF!,"_",ROW('Consolidado-Eletronorte'!#REF!)-ROW('Consolidado-Eletronorte'!$G$18))</f>
        <v>#REF!</v>
      </c>
      <c r="H73" s="239" t="s">
        <v>506</v>
      </c>
      <c r="I73" s="237" t="s">
        <v>507</v>
      </c>
      <c r="J73" s="239" t="s">
        <v>508</v>
      </c>
      <c r="K73" s="237" t="s">
        <v>509</v>
      </c>
      <c r="L73" s="237" t="s">
        <v>509</v>
      </c>
      <c r="M73" s="428" t="s">
        <v>555</v>
      </c>
      <c r="N73" s="237"/>
      <c r="O73" s="237"/>
      <c r="P73" s="237" t="s">
        <v>511</v>
      </c>
      <c r="Q73" s="243" t="s">
        <v>380</v>
      </c>
      <c r="R73" s="424" t="s">
        <v>381</v>
      </c>
      <c r="S73" s="243" t="s">
        <v>380</v>
      </c>
      <c r="T73" s="237" t="s">
        <v>509</v>
      </c>
      <c r="U73" s="237" t="s">
        <v>509</v>
      </c>
      <c r="V73" s="237" t="s">
        <v>555</v>
      </c>
      <c r="W73" s="237" t="s">
        <v>555</v>
      </c>
      <c r="X73" s="237" t="s">
        <v>747</v>
      </c>
      <c r="Y73" s="237"/>
      <c r="Z73" s="396"/>
      <c r="AA73" s="239">
        <v>4600001418</v>
      </c>
      <c r="AB73" s="397">
        <v>524134.78</v>
      </c>
      <c r="AC73" s="239">
        <v>4500095158</v>
      </c>
      <c r="AD73" s="397">
        <v>524134.78</v>
      </c>
      <c r="AE73" s="239" t="s">
        <v>748</v>
      </c>
      <c r="AF73" s="427" t="s">
        <v>749</v>
      </c>
      <c r="AG73" s="239" t="s">
        <v>750</v>
      </c>
      <c r="AH73" s="237" t="s">
        <v>319</v>
      </c>
      <c r="AI73" s="240">
        <v>0</v>
      </c>
      <c r="AJ73" s="240">
        <v>0</v>
      </c>
      <c r="AK73" s="240">
        <v>0</v>
      </c>
      <c r="AL73" s="240">
        <v>0</v>
      </c>
      <c r="AM73" s="240"/>
      <c r="AN73" s="240">
        <v>0</v>
      </c>
      <c r="AO73" s="240"/>
      <c r="AP73" s="240">
        <v>0</v>
      </c>
      <c r="AQ73" s="240"/>
      <c r="AR73" s="240">
        <v>0</v>
      </c>
      <c r="AS73" s="240">
        <v>0</v>
      </c>
      <c r="AT73" s="240">
        <v>250000</v>
      </c>
      <c r="AU73" s="334">
        <f>SUM(Tabela10[[#This Row],[jan/26]:[dez/26]])</f>
        <v>250000</v>
      </c>
      <c r="AV73" s="334">
        <v>900000</v>
      </c>
      <c r="AW73" s="334">
        <v>750000</v>
      </c>
      <c r="AX73" s="240">
        <v>0</v>
      </c>
      <c r="AY73" s="240">
        <v>0</v>
      </c>
      <c r="AZ73" s="240">
        <f>SUM(Tabela10[[#This Row],[2026]:[2030]])</f>
        <v>1900000</v>
      </c>
      <c r="BA73" s="242">
        <v>0</v>
      </c>
      <c r="BB73" s="240">
        <v>0</v>
      </c>
      <c r="BC73" s="240">
        <v>0</v>
      </c>
      <c r="BD73" s="240">
        <v>0</v>
      </c>
      <c r="BE73" s="240">
        <v>0</v>
      </c>
      <c r="BF73" s="241">
        <f>SUM(Tabela10[[#This Row],[2026-2030]:[2035]])</f>
        <v>1900000</v>
      </c>
      <c r="BG73" s="243" t="e" cm="1" vm="1">
        <f t="array" aca="1" ref="BG73" ca="1">_xlfn.SEQUENCE(COUNTA(Tabela10[Empresa]),1,1)</f>
        <v>#VALUE!</v>
      </c>
      <c r="BH73" s="243" t="s">
        <v>380</v>
      </c>
      <c r="BI73" s="243" t="e">
        <f>VLOOKUP(Tabela10[[#This Row],[ID real2]],[2]CONSOLIDADA!$AU:$AZ,6,FALSE)</f>
        <v>#N/A</v>
      </c>
      <c r="BJ73" s="243" t="s">
        <v>382</v>
      </c>
      <c r="BK73" s="243">
        <v>2025</v>
      </c>
      <c r="BL73" s="243" t="s">
        <v>751</v>
      </c>
      <c r="BM73" s="243" t="s">
        <v>752</v>
      </c>
      <c r="BN73" s="243" t="s">
        <v>380</v>
      </c>
      <c r="BO73" s="243" t="s">
        <v>517</v>
      </c>
      <c r="BP73" s="243" t="s">
        <v>569</v>
      </c>
      <c r="BQ73" s="243" t="s">
        <v>570</v>
      </c>
      <c r="BR73" s="346">
        <v>1000000</v>
      </c>
      <c r="BS73" s="243" t="s">
        <v>553</v>
      </c>
      <c r="BT73" s="243" t="s">
        <v>380</v>
      </c>
      <c r="BU73" s="243" t="s">
        <v>563</v>
      </c>
      <c r="BV73" s="243" t="str">
        <f>Tabela10[[#This Row],[Descrição do projeto]]</f>
        <v>Reserva Imobilizada para UHE Tucuruí (Sistema Gerador)</v>
      </c>
    </row>
    <row r="74" spans="1:74" x14ac:dyDescent="0.35">
      <c r="A74" s="237">
        <v>359</v>
      </c>
      <c r="B74" s="237" t="e" cm="1">
        <f t="array" ref="B74">AND(ISTEXT('Consolidado-Eletronorte'!#REF!),SUM('Consolidado-Eletronorte'!#REF!)&gt;0)</f>
        <v>#REF!</v>
      </c>
      <c r="C74" s="237" t="str">
        <f t="shared" ca="1" si="6"/>
        <v>Capex Orcamentário_PE2026_2030_red_35_porcentoR3_consulta.xlsx</v>
      </c>
      <c r="D74" s="238" t="str">
        <f t="shared" si="7"/>
        <v>COO</v>
      </c>
      <c r="E74" s="238" t="str">
        <f t="shared" si="8"/>
        <v>Lucas Martins</v>
      </c>
      <c r="F74" s="237" t="str">
        <f>_xlfn.CONCAT(Tabela10[[#This Row],[VP]],Tabela10[[#This Row],[Analise Estrategia]])</f>
        <v>COO359</v>
      </c>
      <c r="G74" s="239" t="e">
        <f>_xlfn.CONCAT('Consolidado-Eletronorte'!#REF!,"_",ROW('Consolidado-Eletronorte'!#REF!)-ROW('Consolidado-Eletronorte'!$G$18))</f>
        <v>#REF!</v>
      </c>
      <c r="H74" s="239" t="s">
        <v>506</v>
      </c>
      <c r="I74" s="237" t="s">
        <v>507</v>
      </c>
      <c r="J74" s="239" t="s">
        <v>508</v>
      </c>
      <c r="K74" s="237" t="s">
        <v>509</v>
      </c>
      <c r="L74" s="237" t="s">
        <v>509</v>
      </c>
      <c r="M74" s="237" t="s">
        <v>526</v>
      </c>
      <c r="N74" s="237"/>
      <c r="O74" s="237"/>
      <c r="P74" s="237" t="s">
        <v>511</v>
      </c>
      <c r="Q74" s="243" t="s">
        <v>385</v>
      </c>
      <c r="R74" s="425" t="s">
        <v>388</v>
      </c>
      <c r="S74" s="243" t="s">
        <v>385</v>
      </c>
      <c r="T74" s="237" t="s">
        <v>509</v>
      </c>
      <c r="U74" s="237" t="s">
        <v>509</v>
      </c>
      <c r="V74" s="237" t="s">
        <v>555</v>
      </c>
      <c r="W74" s="237" t="s">
        <v>555</v>
      </c>
      <c r="X74" s="237"/>
      <c r="Y74" s="237"/>
      <c r="Z74" s="396"/>
      <c r="AA74" s="237"/>
      <c r="AB74" s="396"/>
      <c r="AC74" s="239">
        <v>4500084143</v>
      </c>
      <c r="AD74" s="397">
        <v>383076.64</v>
      </c>
      <c r="AE74" s="239" t="s">
        <v>753</v>
      </c>
      <c r="AF74" s="239" t="s">
        <v>537</v>
      </c>
      <c r="AG74" s="239" t="s">
        <v>754</v>
      </c>
      <c r="AH74" s="237" t="s">
        <v>319</v>
      </c>
      <c r="AI74" s="240">
        <v>0</v>
      </c>
      <c r="AJ74" s="240">
        <v>0</v>
      </c>
      <c r="AK74" s="240">
        <v>0</v>
      </c>
      <c r="AL74" s="240">
        <v>0</v>
      </c>
      <c r="AM74" s="240">
        <v>0</v>
      </c>
      <c r="AN74" s="240"/>
      <c r="AO74" s="240">
        <v>0</v>
      </c>
      <c r="AP74" s="240"/>
      <c r="AQ74" s="240">
        <v>0</v>
      </c>
      <c r="AR74" s="240"/>
      <c r="AS74" s="240">
        <v>0</v>
      </c>
      <c r="AT74" s="240">
        <v>150000</v>
      </c>
      <c r="AU74" s="334">
        <f>SUM(Tabela10[[#This Row],[jan/26]:[dez/26]])</f>
        <v>150000</v>
      </c>
      <c r="AV74" s="334">
        <v>900000</v>
      </c>
      <c r="AW74" s="334">
        <v>850000</v>
      </c>
      <c r="AX74" s="240">
        <v>0</v>
      </c>
      <c r="AY74" s="240">
        <v>0</v>
      </c>
      <c r="AZ74" s="240">
        <f>SUM(Tabela10[[#This Row],[2026]:[2030]])</f>
        <v>1900000</v>
      </c>
      <c r="BA74" s="242">
        <v>0</v>
      </c>
      <c r="BB74" s="240">
        <v>0</v>
      </c>
      <c r="BC74" s="240">
        <v>0</v>
      </c>
      <c r="BD74" s="240">
        <v>0</v>
      </c>
      <c r="BE74" s="240">
        <v>0</v>
      </c>
      <c r="BF74" s="241">
        <f>SUM(Tabela10[[#This Row],[2026-2030]:[2035]])</f>
        <v>1900000</v>
      </c>
      <c r="BG74" s="243" t="e" cm="1" vm="1">
        <f t="array" aca="1" ref="BG74" ca="1">_xlfn.SEQUENCE(COUNTA(Tabela10[Empresa]),1,1)</f>
        <v>#VALUE!</v>
      </c>
      <c r="BH74" s="243" t="s">
        <v>385</v>
      </c>
      <c r="BI74" s="243" t="e">
        <f>VLOOKUP(Tabela10[[#This Row],[ID real2]],[2]CONSOLIDADA!$AU:$AZ,6,FALSE)</f>
        <v>#N/A</v>
      </c>
      <c r="BJ74" s="243" t="s">
        <v>382</v>
      </c>
      <c r="BK74" s="243">
        <v>2025</v>
      </c>
      <c r="BL74" s="243" t="s">
        <v>751</v>
      </c>
      <c r="BM74" s="243" t="s">
        <v>752</v>
      </c>
      <c r="BN74" s="243" t="s">
        <v>385</v>
      </c>
      <c r="BO74" s="243" t="s">
        <v>517</v>
      </c>
      <c r="BP74" s="243" t="s">
        <v>569</v>
      </c>
      <c r="BQ74" s="243" t="s">
        <v>570</v>
      </c>
      <c r="BR74" s="346">
        <v>1000000</v>
      </c>
      <c r="BS74" s="243" t="s">
        <v>755</v>
      </c>
      <c r="BT74" s="243" t="s">
        <v>385</v>
      </c>
      <c r="BU74" s="243" t="s">
        <v>563</v>
      </c>
      <c r="BV74" s="243" t="str">
        <f>Tabela10[[#This Row],[Descrição do projeto]]</f>
        <v>Reserva imobilizada para UHE Tucuruí (Transformador)</v>
      </c>
    </row>
    <row r="75" spans="1:74" x14ac:dyDescent="0.35">
      <c r="A75" s="237">
        <v>360</v>
      </c>
      <c r="B75" s="237" t="e" cm="1">
        <f t="array" ref="B75">AND(ISTEXT('Consolidado-Eletronorte'!#REF!),SUM('Consolidado-Eletronorte'!#REF!)&gt;0)</f>
        <v>#REF!</v>
      </c>
      <c r="C75" s="237" t="str">
        <f t="shared" ca="1" si="6"/>
        <v>Capex Orcamentário_PE2026_2030_red_35_porcentoR3_consulta.xlsx</v>
      </c>
      <c r="D75" s="238" t="str">
        <f t="shared" si="7"/>
        <v>COO</v>
      </c>
      <c r="E75" s="238" t="str">
        <f t="shared" si="8"/>
        <v>Lucas Martins</v>
      </c>
      <c r="F75" s="237" t="str">
        <f>_xlfn.CONCAT(Tabela10[[#This Row],[VP]],Tabela10[[#This Row],[Analise Estrategia]])</f>
        <v>COO360</v>
      </c>
      <c r="G75" s="239" t="e">
        <f>_xlfn.CONCAT('Consolidado-Eletronorte'!#REF!,"_",ROW('Consolidado-Eletronorte'!#REF!)-ROW('Consolidado-Eletronorte'!$G$18))</f>
        <v>#REF!</v>
      </c>
      <c r="H75" s="239" t="s">
        <v>506</v>
      </c>
      <c r="I75" s="237" t="s">
        <v>507</v>
      </c>
      <c r="J75" s="239" t="s">
        <v>508</v>
      </c>
      <c r="K75" s="237" t="s">
        <v>509</v>
      </c>
      <c r="L75" s="237" t="s">
        <v>509</v>
      </c>
      <c r="M75" s="428" t="s">
        <v>555</v>
      </c>
      <c r="N75" s="237"/>
      <c r="O75" s="237"/>
      <c r="P75" s="237" t="s">
        <v>511</v>
      </c>
      <c r="Q75" s="243" t="s">
        <v>387</v>
      </c>
      <c r="R75" s="424" t="s">
        <v>386</v>
      </c>
      <c r="S75" s="243" t="s">
        <v>387</v>
      </c>
      <c r="T75" s="237" t="s">
        <v>509</v>
      </c>
      <c r="U75" s="237" t="s">
        <v>509</v>
      </c>
      <c r="V75" s="237" t="s">
        <v>555</v>
      </c>
      <c r="W75" s="237" t="s">
        <v>555</v>
      </c>
      <c r="X75" s="237"/>
      <c r="Y75" s="237"/>
      <c r="Z75" s="396"/>
      <c r="AA75" s="237"/>
      <c r="AB75" s="396"/>
      <c r="AC75" s="239">
        <v>4500083316</v>
      </c>
      <c r="AD75" s="397">
        <v>1716504.33</v>
      </c>
      <c r="AE75" s="239" t="s">
        <v>756</v>
      </c>
      <c r="AF75" s="239" t="s">
        <v>757</v>
      </c>
      <c r="AG75" s="239" t="s">
        <v>758</v>
      </c>
      <c r="AH75" s="237" t="s">
        <v>319</v>
      </c>
      <c r="AI75" s="240">
        <v>0</v>
      </c>
      <c r="AJ75" s="240">
        <v>0</v>
      </c>
      <c r="AK75" s="240">
        <v>0</v>
      </c>
      <c r="AL75" s="240">
        <v>0</v>
      </c>
      <c r="AM75" s="240"/>
      <c r="AN75" s="240">
        <v>0</v>
      </c>
      <c r="AO75" s="240"/>
      <c r="AP75" s="240">
        <v>0</v>
      </c>
      <c r="AQ75" s="240"/>
      <c r="AR75" s="240">
        <v>0</v>
      </c>
      <c r="AS75" s="240">
        <v>0</v>
      </c>
      <c r="AT75" s="240">
        <v>200000</v>
      </c>
      <c r="AU75" s="334">
        <f>SUM(Tabela10[[#This Row],[jan/26]:[dez/26]])</f>
        <v>200000</v>
      </c>
      <c r="AV75" s="334">
        <v>900000</v>
      </c>
      <c r="AW75" s="334">
        <v>800000</v>
      </c>
      <c r="AX75" s="240">
        <v>0</v>
      </c>
      <c r="AY75" s="240">
        <v>0</v>
      </c>
      <c r="AZ75" s="240">
        <f>SUM(Tabela10[[#This Row],[2026]:[2030]])</f>
        <v>1900000</v>
      </c>
      <c r="BA75" s="242">
        <v>0</v>
      </c>
      <c r="BB75" s="240">
        <v>0</v>
      </c>
      <c r="BC75" s="240">
        <v>0</v>
      </c>
      <c r="BD75" s="240">
        <v>0</v>
      </c>
      <c r="BE75" s="240">
        <v>0</v>
      </c>
      <c r="BF75" s="241">
        <f>SUM(Tabela10[[#This Row],[2026-2030]:[2035]])</f>
        <v>1900000</v>
      </c>
      <c r="BG75" s="243" t="e" cm="1" vm="1">
        <f t="array" aca="1" ref="BG75" ca="1">_xlfn.SEQUENCE(COUNTA(Tabela10[Empresa]),1,1)</f>
        <v>#VALUE!</v>
      </c>
      <c r="BH75" s="243" t="s">
        <v>387</v>
      </c>
      <c r="BI75" s="243" t="e">
        <f>VLOOKUP(Tabela10[[#This Row],[ID real2]],[2]CONSOLIDADA!$AU:$AZ,6,FALSE)</f>
        <v>#N/A</v>
      </c>
      <c r="BJ75" s="243" t="s">
        <v>155</v>
      </c>
      <c r="BK75" s="243">
        <v>2025</v>
      </c>
      <c r="BL75" s="243" t="s">
        <v>751</v>
      </c>
      <c r="BM75" s="243" t="s">
        <v>752</v>
      </c>
      <c r="BN75" s="243" t="s">
        <v>387</v>
      </c>
      <c r="BO75" s="243" t="s">
        <v>517</v>
      </c>
      <c r="BP75" s="243" t="s">
        <v>569</v>
      </c>
      <c r="BQ75" s="243" t="s">
        <v>570</v>
      </c>
      <c r="BR75" s="346">
        <v>1000000</v>
      </c>
      <c r="BS75" s="243" t="s">
        <v>759</v>
      </c>
      <c r="BT75" s="243" t="s">
        <v>387</v>
      </c>
      <c r="BU75" s="243" t="s">
        <v>583</v>
      </c>
      <c r="BV75" s="243" t="str">
        <f>Tabela10[[#This Row],[Descrição do projeto]]</f>
        <v>Reserva imobilizada para UHE Tucuruí (GIS)</v>
      </c>
    </row>
    <row r="76" spans="1:74" x14ac:dyDescent="0.35">
      <c r="A76" s="237">
        <v>266</v>
      </c>
      <c r="B76" s="237" t="e" cm="1">
        <f t="array" ref="B76">AND(ISTEXT('Consolidado-Eletronorte'!#REF!),SUM('Consolidado-Eletronorte'!#REF!)&gt;0)</f>
        <v>#REF!</v>
      </c>
      <c r="C76" s="237" t="str">
        <f t="shared" ca="1" si="6"/>
        <v>Capex Orcamentário_PE2026_2030_red_35_porcentoR3_consulta.xlsx</v>
      </c>
      <c r="D76" s="238" t="str">
        <f t="shared" si="7"/>
        <v>COO</v>
      </c>
      <c r="E76" s="238" t="str">
        <f t="shared" si="8"/>
        <v>Lucas Martins</v>
      </c>
      <c r="F76" s="237" t="str">
        <f>_xlfn.CONCAT(Tabela10[[#This Row],[VP]],Tabela10[[#This Row],[Analise Estrategia]])</f>
        <v>COO266</v>
      </c>
      <c r="G76" s="239" t="e">
        <f>_xlfn.CONCAT('Consolidado-Eletronorte'!#REF!,"_",ROW('Consolidado-Eletronorte'!#REF!)-ROW('Consolidado-Eletronorte'!$G$18))</f>
        <v>#REF!</v>
      </c>
      <c r="H76" s="239" t="s">
        <v>506</v>
      </c>
      <c r="I76" s="237" t="s">
        <v>507</v>
      </c>
      <c r="J76" s="239" t="s">
        <v>508</v>
      </c>
      <c r="K76" s="237" t="s">
        <v>509</v>
      </c>
      <c r="L76" s="237" t="s">
        <v>509</v>
      </c>
      <c r="M76" s="428" t="s">
        <v>555</v>
      </c>
      <c r="N76" s="237"/>
      <c r="O76" s="237"/>
      <c r="P76" s="237" t="s">
        <v>511</v>
      </c>
      <c r="Q76" s="243" t="s">
        <v>339</v>
      </c>
      <c r="R76" s="239" t="s">
        <v>340</v>
      </c>
      <c r="S76" s="243" t="s">
        <v>339</v>
      </c>
      <c r="T76" s="237" t="s">
        <v>509</v>
      </c>
      <c r="U76" s="237" t="s">
        <v>509</v>
      </c>
      <c r="V76" s="237" t="s">
        <v>555</v>
      </c>
      <c r="W76" s="237" t="s">
        <v>555</v>
      </c>
      <c r="X76" s="237"/>
      <c r="Y76" s="237"/>
      <c r="Z76" s="396"/>
      <c r="AA76" s="237"/>
      <c r="AB76" s="396"/>
      <c r="AC76" s="239">
        <v>4500084896</v>
      </c>
      <c r="AD76" s="397">
        <v>492570.72</v>
      </c>
      <c r="AE76" s="239" t="s">
        <v>760</v>
      </c>
      <c r="AF76" s="239" t="s">
        <v>761</v>
      </c>
      <c r="AG76" s="239" t="s">
        <v>762</v>
      </c>
      <c r="AH76" s="237" t="s">
        <v>319</v>
      </c>
      <c r="AI76" s="240">
        <v>0</v>
      </c>
      <c r="AJ76" s="240">
        <v>0</v>
      </c>
      <c r="AK76" s="240">
        <v>300000</v>
      </c>
      <c r="AL76" s="240">
        <v>0</v>
      </c>
      <c r="AM76" s="240">
        <v>0</v>
      </c>
      <c r="AN76" s="240">
        <v>424336</v>
      </c>
      <c r="AO76" s="240">
        <v>0</v>
      </c>
      <c r="AP76" s="240">
        <v>400000</v>
      </c>
      <c r="AQ76" s="240">
        <v>0</v>
      </c>
      <c r="AR76" s="240">
        <v>0</v>
      </c>
      <c r="AS76" s="240">
        <v>0</v>
      </c>
      <c r="AT76" s="240">
        <v>700000</v>
      </c>
      <c r="AU76" s="240">
        <f>SUM(Tabela10[[#This Row],[jan/26]:[dez/26]])</f>
        <v>1824336</v>
      </c>
      <c r="AV76" s="240">
        <v>0</v>
      </c>
      <c r="AW76" s="240">
        <v>0</v>
      </c>
      <c r="AX76" s="240">
        <v>0</v>
      </c>
      <c r="AY76" s="240">
        <v>0</v>
      </c>
      <c r="AZ76" s="240">
        <f>SUM(Tabela10[[#This Row],[2026]:[2030]])</f>
        <v>1824336</v>
      </c>
      <c r="BA76" s="242">
        <v>0</v>
      </c>
      <c r="BB76" s="240">
        <v>0</v>
      </c>
      <c r="BC76" s="240">
        <v>0</v>
      </c>
      <c r="BD76" s="240">
        <v>0</v>
      </c>
      <c r="BE76" s="240">
        <v>0</v>
      </c>
      <c r="BF76" s="241">
        <f>SUM(Tabela10[[#This Row],[2026-2030]:[2035]])</f>
        <v>1824336</v>
      </c>
      <c r="BG76" s="243" t="e" cm="1" vm="1">
        <f t="array" aca="1" ref="BG76" ca="1">_xlfn.SEQUENCE(COUNTA(Tabela10[Empresa]),1,1)</f>
        <v>#VALUE!</v>
      </c>
      <c r="BH76" s="243" t="s">
        <v>339</v>
      </c>
      <c r="BI76" s="243" t="e">
        <f>VLOOKUP(Tabela10[[#This Row],[ID real2]],[2]CONSOLIDADA!$AU:$AZ,6,FALSE)</f>
        <v>#N/A</v>
      </c>
      <c r="BJ76" s="243" t="s">
        <v>341</v>
      </c>
      <c r="BK76" s="243">
        <v>2025</v>
      </c>
      <c r="BL76" s="243" t="s">
        <v>763</v>
      </c>
      <c r="BM76" s="243" t="s">
        <v>764</v>
      </c>
      <c r="BN76" s="243" t="s">
        <v>339</v>
      </c>
      <c r="BO76" s="243" t="s">
        <v>517</v>
      </c>
      <c r="BP76" s="243" t="s">
        <v>551</v>
      </c>
      <c r="BQ76" s="243" t="s">
        <v>570</v>
      </c>
      <c r="BR76" s="346">
        <v>1824336</v>
      </c>
      <c r="BS76" s="243" t="s">
        <v>540</v>
      </c>
      <c r="BT76" s="243" t="s">
        <v>339</v>
      </c>
      <c r="BU76" s="243" t="s">
        <v>576</v>
      </c>
      <c r="BV76" s="243" t="str">
        <f>Tabela10[[#This Row],[Descrição do projeto]]</f>
        <v>Aquisição de 02 (duas) válvulas de isolamento motorizadas de 10” para aplicação no sistema de injeção de ar de rebaixamento da Central AN 01 - UGH 02</v>
      </c>
    </row>
    <row r="77" spans="1:74" x14ac:dyDescent="0.35">
      <c r="A77" s="237">
        <v>267</v>
      </c>
      <c r="B77" s="237" t="e" cm="1">
        <f t="array" ref="B77">AND(ISTEXT('Consolidado-Eletronorte'!#REF!),SUM('Consolidado-Eletronorte'!#REF!)&gt;0)</f>
        <v>#REF!</v>
      </c>
      <c r="C77" s="237" t="str">
        <f t="shared" ca="1" si="6"/>
        <v>Capex Orcamentário_PE2026_2030_red_35_porcentoR3_consulta.xlsx</v>
      </c>
      <c r="D77" s="238" t="str">
        <f t="shared" si="7"/>
        <v>COO</v>
      </c>
      <c r="E77" s="238" t="str">
        <f t="shared" si="8"/>
        <v>Lucas Martins</v>
      </c>
      <c r="F77" s="237" t="str">
        <f>_xlfn.CONCAT(Tabela10[[#This Row],[VP]],Tabela10[[#This Row],[Analise Estrategia]])</f>
        <v>COO267</v>
      </c>
      <c r="G77" s="239" t="e">
        <f>_xlfn.CONCAT('Consolidado-Eletronorte'!#REF!,"_",ROW('Consolidado-Eletronorte'!#REF!)-ROW('Consolidado-Eletronorte'!$G$18))</f>
        <v>#REF!</v>
      </c>
      <c r="H77" s="239" t="s">
        <v>506</v>
      </c>
      <c r="I77" s="237" t="s">
        <v>507</v>
      </c>
      <c r="J77" s="239" t="s">
        <v>508</v>
      </c>
      <c r="K77" s="237" t="s">
        <v>509</v>
      </c>
      <c r="L77" s="237" t="s">
        <v>509</v>
      </c>
      <c r="M77" s="428" t="s">
        <v>555</v>
      </c>
      <c r="N77" s="237"/>
      <c r="O77" s="237"/>
      <c r="P77" s="237" t="s">
        <v>511</v>
      </c>
      <c r="Q77" s="243" t="s">
        <v>389</v>
      </c>
      <c r="R77" s="239" t="s">
        <v>390</v>
      </c>
      <c r="S77" s="243" t="s">
        <v>389</v>
      </c>
      <c r="T77" s="237" t="s">
        <v>509</v>
      </c>
      <c r="U77" s="237" t="s">
        <v>509</v>
      </c>
      <c r="V77" s="237" t="s">
        <v>555</v>
      </c>
      <c r="W77" s="237" t="s">
        <v>555</v>
      </c>
      <c r="X77" s="237"/>
      <c r="Y77" s="237"/>
      <c r="Z77" s="396"/>
      <c r="AA77" s="237"/>
      <c r="AB77" s="396"/>
      <c r="AC77" s="239">
        <v>4500086920</v>
      </c>
      <c r="AD77" s="397">
        <v>1612800</v>
      </c>
      <c r="AE77" s="239" t="s">
        <v>765</v>
      </c>
      <c r="AF77" s="239" t="s">
        <v>766</v>
      </c>
      <c r="AG77" s="239" t="s">
        <v>767</v>
      </c>
      <c r="AH77" s="237" t="s">
        <v>319</v>
      </c>
      <c r="AI77" s="240"/>
      <c r="AJ77" s="240">
        <v>0</v>
      </c>
      <c r="AK77" s="240">
        <v>840000</v>
      </c>
      <c r="AL77" s="240">
        <v>0</v>
      </c>
      <c r="AM77" s="240">
        <v>840000</v>
      </c>
      <c r="AN77" s="240">
        <v>0</v>
      </c>
      <c r="AO77" s="240">
        <v>0</v>
      </c>
      <c r="AP77" s="240">
        <v>0</v>
      </c>
      <c r="AQ77" s="240">
        <v>0</v>
      </c>
      <c r="AR77" s="240">
        <v>0</v>
      </c>
      <c r="AS77" s="240">
        <v>0</v>
      </c>
      <c r="AT77" s="240">
        <v>0</v>
      </c>
      <c r="AU77" s="240">
        <f>SUM(Tabela10[[#This Row],[jan/26]:[dez/26]])</f>
        <v>1680000</v>
      </c>
      <c r="AV77" s="240">
        <v>0</v>
      </c>
      <c r="AW77" s="240">
        <v>0</v>
      </c>
      <c r="AX77" s="240">
        <v>0</v>
      </c>
      <c r="AY77" s="240">
        <v>0</v>
      </c>
      <c r="AZ77" s="240">
        <f>SUM(Tabela10[[#This Row],[2026]:[2030]])</f>
        <v>1680000</v>
      </c>
      <c r="BA77" s="242">
        <v>0</v>
      </c>
      <c r="BB77" s="240">
        <v>0</v>
      </c>
      <c r="BC77" s="240">
        <v>0</v>
      </c>
      <c r="BD77" s="240">
        <v>0</v>
      </c>
      <c r="BE77" s="240">
        <v>0</v>
      </c>
      <c r="BF77" s="241">
        <f>SUM(Tabela10[[#This Row],[2026-2030]:[2035]])</f>
        <v>1680000</v>
      </c>
      <c r="BG77" s="243" t="e" cm="1" vm="1">
        <f t="array" aca="1" ref="BG77" ca="1">_xlfn.SEQUENCE(COUNTA(Tabela10[Empresa]),1,1)</f>
        <v>#VALUE!</v>
      </c>
      <c r="BH77" s="243" t="s">
        <v>389</v>
      </c>
      <c r="BI77" s="243" t="e">
        <f>VLOOKUP(Tabela10[[#This Row],[ID real2]],[2]CONSOLIDADA!$AU:$AZ,6,FALSE)</f>
        <v>#N/A</v>
      </c>
      <c r="BJ77" s="243" t="s">
        <v>341</v>
      </c>
      <c r="BK77" s="243">
        <v>2025</v>
      </c>
      <c r="BL77" s="243" t="s">
        <v>768</v>
      </c>
      <c r="BM77" s="243" t="s">
        <v>764</v>
      </c>
      <c r="BN77" s="243" t="s">
        <v>389</v>
      </c>
      <c r="BO77" s="243" t="s">
        <v>517</v>
      </c>
      <c r="BP77" s="243" t="s">
        <v>569</v>
      </c>
      <c r="BQ77" s="243" t="s">
        <v>517</v>
      </c>
      <c r="BR77" s="346">
        <v>1680000</v>
      </c>
      <c r="BS77" s="243" t="s">
        <v>540</v>
      </c>
      <c r="BT77" s="243" t="s">
        <v>389</v>
      </c>
      <c r="BU77" s="243" t="s">
        <v>576</v>
      </c>
      <c r="BV77" s="243" t="str">
        <f>Tabela10[[#This Row],[Descrição do projeto]]</f>
        <v xml:space="preserve">Aquisição de compressores para aplicação no sistema de ar de rebaixamento </v>
      </c>
    </row>
    <row r="78" spans="1:74" hidden="1" x14ac:dyDescent="0.35">
      <c r="A78" s="237">
        <v>336</v>
      </c>
      <c r="B78" s="237" t="e" cm="1">
        <f t="array" ref="B78">AND(ISTEXT('Consolidado-Eletronorte'!#REF!),SUM('Consolidado-Eletronorte'!#REF!)&gt;0)</f>
        <v>#REF!</v>
      </c>
      <c r="C78" s="237" t="str">
        <f t="shared" ca="1" si="6"/>
        <v>Capex Orcamentário_PE2026_2030_red_35_porcentoR3_consulta.xlsx</v>
      </c>
      <c r="D78" s="238" t="str">
        <f t="shared" si="7"/>
        <v>COO</v>
      </c>
      <c r="E78" s="238" t="str">
        <f t="shared" si="8"/>
        <v>Lucas Martins</v>
      </c>
      <c r="F78" s="237" t="str">
        <f>_xlfn.CONCAT(Tabela10[[#This Row],[VP]],Tabela10[[#This Row],[Analise Estrategia]])</f>
        <v>COO336</v>
      </c>
      <c r="G78" s="239" t="e">
        <f>_xlfn.CONCAT('Consolidado-Eletronorte'!#REF!,"_",ROW('Consolidado-Eletronorte'!#REF!)-ROW('Consolidado-Eletronorte'!$G$18))</f>
        <v>#REF!</v>
      </c>
      <c r="H78" s="239" t="s">
        <v>506</v>
      </c>
      <c r="I78" s="237" t="s">
        <v>507</v>
      </c>
      <c r="J78" s="239" t="s">
        <v>508</v>
      </c>
      <c r="K78" s="237" t="s">
        <v>509</v>
      </c>
      <c r="L78" s="237" t="s">
        <v>509</v>
      </c>
      <c r="M78" s="237" t="s">
        <v>577</v>
      </c>
      <c r="N78" s="237"/>
      <c r="O78" s="237"/>
      <c r="P78" s="237" t="s">
        <v>612</v>
      </c>
      <c r="Q78" s="243" t="s">
        <v>212</v>
      </c>
      <c r="R78" s="239" t="s">
        <v>213</v>
      </c>
      <c r="S78" s="243" t="s">
        <v>212</v>
      </c>
      <c r="T78" s="237" t="s">
        <v>509</v>
      </c>
      <c r="U78" s="237" t="s">
        <v>509</v>
      </c>
      <c r="V78" s="237" t="s">
        <v>577</v>
      </c>
      <c r="W78" s="237" t="s">
        <v>577</v>
      </c>
      <c r="X78" s="237"/>
      <c r="Y78" s="239" t="s">
        <v>564</v>
      </c>
      <c r="Z78" s="397"/>
      <c r="AA78" s="237"/>
      <c r="AB78" s="396"/>
      <c r="AC78" s="239"/>
      <c r="AD78" s="397"/>
      <c r="AE78" s="239"/>
      <c r="AF78" s="239"/>
      <c r="AG78" s="239" t="s">
        <v>769</v>
      </c>
      <c r="AH78" s="237" t="s">
        <v>210</v>
      </c>
      <c r="AI78" s="240">
        <v>0</v>
      </c>
      <c r="AJ78" s="240">
        <v>0</v>
      </c>
      <c r="AK78" s="240">
        <v>0</v>
      </c>
      <c r="AL78" s="240">
        <v>0</v>
      </c>
      <c r="AM78" s="240">
        <v>0</v>
      </c>
      <c r="AN78" s="240">
        <v>0</v>
      </c>
      <c r="AO78" s="240">
        <v>0</v>
      </c>
      <c r="AP78" s="240"/>
      <c r="AQ78" s="240">
        <v>0</v>
      </c>
      <c r="AR78" s="240">
        <v>0</v>
      </c>
      <c r="AS78" s="240"/>
      <c r="AT78" s="240">
        <v>0</v>
      </c>
      <c r="AU78" s="334">
        <f>SUM(Tabela10[[#This Row],[jan/26]:[dez/26]])</f>
        <v>0</v>
      </c>
      <c r="AV78" s="334">
        <v>1000000</v>
      </c>
      <c r="AW78" s="334">
        <v>3000000</v>
      </c>
      <c r="AX78" s="334">
        <v>500000</v>
      </c>
      <c r="AY78" s="240">
        <v>0</v>
      </c>
      <c r="AZ78" s="240">
        <f>SUM(Tabela10[[#This Row],[2026]:[2030]])</f>
        <v>4500000</v>
      </c>
      <c r="BA78" s="242">
        <v>0</v>
      </c>
      <c r="BB78" s="240">
        <v>0</v>
      </c>
      <c r="BC78" s="240">
        <v>0</v>
      </c>
      <c r="BD78" s="240">
        <v>0</v>
      </c>
      <c r="BE78" s="240">
        <v>0</v>
      </c>
      <c r="BF78" s="241">
        <f>SUM(Tabela10[[#This Row],[2026-2030]:[2035]])</f>
        <v>4500000</v>
      </c>
      <c r="BG78" s="243" t="e" cm="1" vm="1">
        <f t="array" aca="1" ref="BG78" ca="1">_xlfn.SEQUENCE(COUNTA(Tabela10[Empresa]),1,1)</f>
        <v>#VALUE!</v>
      </c>
      <c r="BH78" s="243" t="s">
        <v>212</v>
      </c>
      <c r="BI78" s="243" t="e">
        <f>VLOOKUP(Tabela10[[#This Row],[ID real2]],[2]CONSOLIDADA!$AU:$AZ,6,FALSE)</f>
        <v>#N/A</v>
      </c>
      <c r="BJ78" s="243" t="s">
        <v>165</v>
      </c>
      <c r="BK78" s="243">
        <v>2026</v>
      </c>
      <c r="BL78" s="243" t="s">
        <v>770</v>
      </c>
      <c r="BM78" s="243">
        <v>0</v>
      </c>
      <c r="BN78" s="243" t="s">
        <v>212</v>
      </c>
      <c r="BO78" s="243" t="s">
        <v>568</v>
      </c>
      <c r="BP78" s="243" t="s">
        <v>561</v>
      </c>
      <c r="BQ78" s="243" t="s">
        <v>570</v>
      </c>
      <c r="BR78" s="346">
        <v>1000000</v>
      </c>
      <c r="BS78" s="243" t="s">
        <v>661</v>
      </c>
      <c r="BT78" s="243" t="s">
        <v>212</v>
      </c>
      <c r="BU78" s="243" t="s">
        <v>554</v>
      </c>
      <c r="BV78" s="243" t="str">
        <f>Tabela10[[#This Row],[Descrição do projeto]]</f>
        <v>Modernização Sistema de Proteção CNUGH-01 / CNUGH-02</v>
      </c>
    </row>
    <row r="79" spans="1:74" x14ac:dyDescent="0.35">
      <c r="A79" s="237">
        <v>346</v>
      </c>
      <c r="B79" s="237" t="e" cm="1">
        <f t="array" ref="B79">AND(ISTEXT('Consolidado-Eletronorte'!#REF!),SUM('Consolidado-Eletronorte'!#REF!)&gt;0)</f>
        <v>#REF!</v>
      </c>
      <c r="C79" s="237" t="str">
        <f t="shared" ca="1" si="6"/>
        <v>Capex Orcamentário_PE2026_2030_red_35_porcentoR3_consulta.xlsx</v>
      </c>
      <c r="D79" s="238" t="str">
        <f t="shared" si="7"/>
        <v>COO</v>
      </c>
      <c r="E79" s="238" t="str">
        <f t="shared" si="8"/>
        <v>Lucas Martins</v>
      </c>
      <c r="F79" s="237" t="str">
        <f>_xlfn.CONCAT(Tabela10[[#This Row],[VP]],Tabela10[[#This Row],[Analise Estrategia]])</f>
        <v>COO346</v>
      </c>
      <c r="G79" s="239" t="e">
        <f>_xlfn.CONCAT('Consolidado-Eletronorte'!#REF!,"_",ROW('Consolidado-Eletronorte'!#REF!)-ROW('Consolidado-Eletronorte'!$G$18))</f>
        <v>#REF!</v>
      </c>
      <c r="H79" s="239" t="s">
        <v>506</v>
      </c>
      <c r="I79" s="237" t="s">
        <v>507</v>
      </c>
      <c r="J79" s="239" t="s">
        <v>508</v>
      </c>
      <c r="K79" s="237" t="s">
        <v>509</v>
      </c>
      <c r="L79" s="237" t="s">
        <v>509</v>
      </c>
      <c r="M79" s="428" t="s">
        <v>577</v>
      </c>
      <c r="N79" s="237"/>
      <c r="O79" s="237"/>
      <c r="P79" s="237" t="s">
        <v>511</v>
      </c>
      <c r="Q79" s="243" t="s">
        <v>408</v>
      </c>
      <c r="R79" s="239" t="s">
        <v>409</v>
      </c>
      <c r="S79" s="243" t="s">
        <v>408</v>
      </c>
      <c r="T79" s="237" t="s">
        <v>509</v>
      </c>
      <c r="U79" s="237" t="s">
        <v>509</v>
      </c>
      <c r="V79" s="237" t="s">
        <v>577</v>
      </c>
      <c r="W79" s="237" t="s">
        <v>577</v>
      </c>
      <c r="X79" s="237"/>
      <c r="Y79" s="237"/>
      <c r="Z79" s="396"/>
      <c r="AA79" s="239">
        <v>4600002614</v>
      </c>
      <c r="AB79" s="397">
        <v>1771225.2</v>
      </c>
      <c r="AC79" s="239">
        <v>4500095170</v>
      </c>
      <c r="AD79" s="397">
        <v>1771225.2</v>
      </c>
      <c r="AE79" s="239" t="s">
        <v>771</v>
      </c>
      <c r="AF79" s="427" t="s">
        <v>772</v>
      </c>
      <c r="AG79" s="239"/>
      <c r="AH79" s="237" t="s">
        <v>319</v>
      </c>
      <c r="AI79" s="240">
        <v>0</v>
      </c>
      <c r="AJ79" s="240">
        <v>0</v>
      </c>
      <c r="AK79" s="240">
        <v>0</v>
      </c>
      <c r="AL79" s="240">
        <v>0</v>
      </c>
      <c r="AM79" s="240">
        <v>500000</v>
      </c>
      <c r="AN79" s="240">
        <v>0</v>
      </c>
      <c r="AO79" s="240">
        <v>500000</v>
      </c>
      <c r="AP79" s="240">
        <v>0</v>
      </c>
      <c r="AQ79" s="240">
        <v>500000</v>
      </c>
      <c r="AR79" s="240">
        <v>0</v>
      </c>
      <c r="AS79" s="240">
        <v>0</v>
      </c>
      <c r="AT79" s="240">
        <v>0</v>
      </c>
      <c r="AU79" s="240">
        <f>SUM(Tabela10[[#This Row],[jan/26]:[dez/26]])</f>
        <v>1500000</v>
      </c>
      <c r="AV79" s="240">
        <v>0</v>
      </c>
      <c r="AW79" s="240">
        <v>0</v>
      </c>
      <c r="AX79" s="240">
        <v>0</v>
      </c>
      <c r="AY79" s="240">
        <v>0</v>
      </c>
      <c r="AZ79" s="240">
        <f>SUM(Tabela10[[#This Row],[2026]:[2030]])</f>
        <v>1500000</v>
      </c>
      <c r="BA79" s="242">
        <v>0</v>
      </c>
      <c r="BB79" s="240">
        <v>0</v>
      </c>
      <c r="BC79" s="240">
        <v>0</v>
      </c>
      <c r="BD79" s="240">
        <v>0</v>
      </c>
      <c r="BE79" s="240">
        <v>0</v>
      </c>
      <c r="BF79" s="241">
        <f>SUM(Tabela10[[#This Row],[2026-2030]:[2035]])</f>
        <v>1500000</v>
      </c>
      <c r="BG79" s="243" t="e" cm="1" vm="1">
        <f t="array" aca="1" ref="BG79" ca="1">_xlfn.SEQUENCE(COUNTA(Tabela10[Empresa]),1,1)</f>
        <v>#VALUE!</v>
      </c>
      <c r="BH79" s="243" t="s">
        <v>408</v>
      </c>
      <c r="BI79" s="243" t="e">
        <f>VLOOKUP(Tabela10[[#This Row],[ID real2]],[2]CONSOLIDADA!$AU:$AZ,6,FALSE)</f>
        <v>#N/A</v>
      </c>
      <c r="BJ79" s="243" t="s">
        <v>155</v>
      </c>
      <c r="BK79" s="243">
        <v>2026</v>
      </c>
      <c r="BL79" s="243" t="s">
        <v>773</v>
      </c>
      <c r="BM79" s="243" t="s">
        <v>774</v>
      </c>
      <c r="BN79" s="243" t="s">
        <v>408</v>
      </c>
      <c r="BO79" s="243" t="s">
        <v>517</v>
      </c>
      <c r="BP79" s="243" t="s">
        <v>561</v>
      </c>
      <c r="BQ79" s="243" t="s">
        <v>552</v>
      </c>
      <c r="BR79" s="346">
        <v>500000</v>
      </c>
      <c r="BS79" s="243" t="s">
        <v>532</v>
      </c>
      <c r="BT79" s="243" t="s">
        <v>408</v>
      </c>
      <c r="BU79" s="243" t="s">
        <v>583</v>
      </c>
      <c r="BV79" s="243" t="str">
        <f>Tabela10[[#This Row],[Descrição do projeto]]</f>
        <v>Aquisição de um Gerador Diesel de Emergência para a CFII da UHE Tucuruí</v>
      </c>
    </row>
    <row r="80" spans="1:74" hidden="1" x14ac:dyDescent="0.35">
      <c r="A80" s="237">
        <v>340</v>
      </c>
      <c r="B80" s="237" t="e" cm="1">
        <f t="array" ref="B80">AND(ISTEXT('Consolidado-Eletronorte'!#REF!),SUM('Consolidado-Eletronorte'!#REF!)&gt;0)</f>
        <v>#REF!</v>
      </c>
      <c r="C80" s="237" t="str">
        <f t="shared" ca="1" si="6"/>
        <v>Capex Orcamentário_PE2026_2030_red_35_porcentoR3_consulta.xlsx</v>
      </c>
      <c r="D80" s="238" t="str">
        <f t="shared" si="7"/>
        <v>COO</v>
      </c>
      <c r="E80" s="238" t="str">
        <f t="shared" si="8"/>
        <v>Lucas Martins</v>
      </c>
      <c r="F80" s="237" t="str">
        <f>_xlfn.CONCAT(Tabela10[[#This Row],[VP]],Tabela10[[#This Row],[Analise Estrategia]])</f>
        <v>COO340</v>
      </c>
      <c r="G80" s="239" t="e">
        <f>_xlfn.CONCAT('Consolidado-Eletronorte'!#REF!,"_",ROW('Consolidado-Eletronorte'!#REF!)-ROW('Consolidado-Eletronorte'!$G$18))</f>
        <v>#REF!</v>
      </c>
      <c r="H80" s="239" t="s">
        <v>506</v>
      </c>
      <c r="I80" s="237" t="s">
        <v>507</v>
      </c>
      <c r="J80" s="239" t="s">
        <v>508</v>
      </c>
      <c r="K80" s="237" t="s">
        <v>509</v>
      </c>
      <c r="L80" s="237" t="s">
        <v>509</v>
      </c>
      <c r="M80" s="237" t="s">
        <v>577</v>
      </c>
      <c r="N80" s="237"/>
      <c r="O80" s="237"/>
      <c r="P80" s="237" t="s">
        <v>612</v>
      </c>
      <c r="Q80" s="243" t="s">
        <v>216</v>
      </c>
      <c r="R80" s="239" t="s">
        <v>217</v>
      </c>
      <c r="S80" s="243" t="s">
        <v>216</v>
      </c>
      <c r="T80" s="237" t="s">
        <v>509</v>
      </c>
      <c r="U80" s="237" t="s">
        <v>509</v>
      </c>
      <c r="V80" s="237" t="s">
        <v>577</v>
      </c>
      <c r="W80" s="237" t="s">
        <v>577</v>
      </c>
      <c r="X80" s="237"/>
      <c r="Y80" s="239" t="s">
        <v>564</v>
      </c>
      <c r="Z80" s="397"/>
      <c r="AA80" s="237"/>
      <c r="AB80" s="396"/>
      <c r="AC80" s="239"/>
      <c r="AD80" s="397"/>
      <c r="AE80" s="239"/>
      <c r="AF80" s="239"/>
      <c r="AG80" s="239" t="s">
        <v>775</v>
      </c>
      <c r="AH80" s="237" t="s">
        <v>210</v>
      </c>
      <c r="AI80" s="240">
        <v>0</v>
      </c>
      <c r="AJ80" s="240">
        <v>0</v>
      </c>
      <c r="AK80" s="240">
        <v>0</v>
      </c>
      <c r="AL80" s="240">
        <v>0</v>
      </c>
      <c r="AM80" s="240">
        <v>0</v>
      </c>
      <c r="AN80" s="240">
        <v>0</v>
      </c>
      <c r="AO80" s="240"/>
      <c r="AP80" s="240">
        <v>0</v>
      </c>
      <c r="AQ80" s="240"/>
      <c r="AR80" s="240">
        <v>0</v>
      </c>
      <c r="AS80" s="240">
        <v>0</v>
      </c>
      <c r="AT80" s="240"/>
      <c r="AU80" s="334">
        <f>SUM(Tabela10[[#This Row],[jan/26]:[dez/26]])</f>
        <v>0</v>
      </c>
      <c r="AV80" s="334">
        <v>1000000</v>
      </c>
      <c r="AW80" s="334">
        <v>500000</v>
      </c>
      <c r="AX80" s="334">
        <v>1000000</v>
      </c>
      <c r="AY80" s="240">
        <v>0</v>
      </c>
      <c r="AZ80" s="240">
        <f>SUM(Tabela10[[#This Row],[2026]:[2030]])</f>
        <v>2500000</v>
      </c>
      <c r="BA80" s="242">
        <v>0</v>
      </c>
      <c r="BB80" s="240">
        <v>0</v>
      </c>
      <c r="BC80" s="240">
        <v>0</v>
      </c>
      <c r="BD80" s="240">
        <v>0</v>
      </c>
      <c r="BE80" s="240">
        <v>0</v>
      </c>
      <c r="BF80" s="241">
        <f>SUM(Tabela10[[#This Row],[2026-2030]:[2035]])</f>
        <v>2500000</v>
      </c>
      <c r="BG80" s="243" t="e" cm="1" vm="1">
        <f t="array" aca="1" ref="BG80" ca="1">_xlfn.SEQUENCE(COUNTA(Tabela10[Empresa]),1,1)</f>
        <v>#VALUE!</v>
      </c>
      <c r="BH80" s="243" t="s">
        <v>216</v>
      </c>
      <c r="BI80" s="243" t="e">
        <f>VLOOKUP(Tabela10[[#This Row],[ID real2]],[2]CONSOLIDADA!$AU:$AZ,6,FALSE)</f>
        <v>#N/A</v>
      </c>
      <c r="BJ80" s="243" t="s">
        <v>155</v>
      </c>
      <c r="BK80" s="243">
        <v>2026</v>
      </c>
      <c r="BL80" s="243" t="s">
        <v>776</v>
      </c>
      <c r="BM80" s="243">
        <v>0</v>
      </c>
      <c r="BN80" s="243" t="s">
        <v>216</v>
      </c>
      <c r="BO80" s="243" t="s">
        <v>568</v>
      </c>
      <c r="BP80" s="243" t="s">
        <v>561</v>
      </c>
      <c r="BQ80" s="243" t="s">
        <v>570</v>
      </c>
      <c r="BR80" s="346">
        <v>1000000</v>
      </c>
      <c r="BS80" s="243" t="s">
        <v>661</v>
      </c>
      <c r="BT80" s="243" t="s">
        <v>216</v>
      </c>
      <c r="BU80" s="243" t="s">
        <v>583</v>
      </c>
      <c r="BV80" s="243" t="str">
        <f>Tabela10[[#This Row],[Descrição do projeto]]</f>
        <v>Modernização do Painel de comando dos GDE's</v>
      </c>
    </row>
    <row r="81" spans="1:74" x14ac:dyDescent="0.35">
      <c r="A81" s="237">
        <v>351</v>
      </c>
      <c r="B81" s="237" t="e" cm="1">
        <f t="array" ref="B81">AND(ISTEXT('Consolidado-Eletronorte'!#REF!),SUM('Consolidado-Eletronorte'!#REF!)&gt;0)</f>
        <v>#REF!</v>
      </c>
      <c r="C81" s="237" t="str">
        <f t="shared" ca="1" si="6"/>
        <v>Capex Orcamentário_PE2026_2030_red_35_porcentoR3_consulta.xlsx</v>
      </c>
      <c r="D81" s="238" t="str">
        <f t="shared" si="7"/>
        <v>COO</v>
      </c>
      <c r="E81" s="238" t="str">
        <f t="shared" si="8"/>
        <v>Lucas Martins</v>
      </c>
      <c r="F81" s="237" t="str">
        <f>_xlfn.CONCAT(Tabela10[[#This Row],[VP]],Tabela10[[#This Row],[Analise Estrategia]])</f>
        <v>COO351</v>
      </c>
      <c r="G81" s="239" t="e">
        <f>_xlfn.CONCAT('Consolidado-Eletronorte'!#REF!,"_",ROW('Consolidado-Eletronorte'!#REF!)-ROW('Consolidado-Eletronorte'!$G$18))</f>
        <v>#REF!</v>
      </c>
      <c r="H81" s="239" t="s">
        <v>506</v>
      </c>
      <c r="I81" s="237" t="s">
        <v>507</v>
      </c>
      <c r="J81" s="239" t="s">
        <v>508</v>
      </c>
      <c r="K81" s="237" t="s">
        <v>509</v>
      </c>
      <c r="L81" s="237" t="s">
        <v>509</v>
      </c>
      <c r="M81" s="428" t="s">
        <v>555</v>
      </c>
      <c r="N81" s="237"/>
      <c r="O81" s="237"/>
      <c r="P81" s="237" t="s">
        <v>511</v>
      </c>
      <c r="Q81" s="243" t="s">
        <v>398</v>
      </c>
      <c r="R81" s="239" t="s">
        <v>399</v>
      </c>
      <c r="S81" s="243" t="s">
        <v>398</v>
      </c>
      <c r="T81" s="237" t="s">
        <v>509</v>
      </c>
      <c r="U81" s="237" t="s">
        <v>509</v>
      </c>
      <c r="V81" s="237" t="s">
        <v>555</v>
      </c>
      <c r="W81" s="237" t="s">
        <v>555</v>
      </c>
      <c r="X81" s="237"/>
      <c r="Y81" s="239" t="s">
        <v>564</v>
      </c>
      <c r="Z81" s="397"/>
      <c r="AA81" s="237"/>
      <c r="AB81" s="396" t="s">
        <v>777</v>
      </c>
      <c r="AC81" s="239">
        <v>4500080352</v>
      </c>
      <c r="AD81" s="397"/>
      <c r="AE81" s="239"/>
      <c r="AF81" s="239"/>
      <c r="AG81" s="239" t="s">
        <v>778</v>
      </c>
      <c r="AH81" s="237" t="s">
        <v>319</v>
      </c>
      <c r="AI81" s="240">
        <v>0</v>
      </c>
      <c r="AJ81" s="240">
        <v>0</v>
      </c>
      <c r="AK81" s="240">
        <v>0</v>
      </c>
      <c r="AL81" s="240">
        <v>0</v>
      </c>
      <c r="AM81" s="240">
        <v>0</v>
      </c>
      <c r="AN81" s="240">
        <v>0</v>
      </c>
      <c r="AO81" s="240">
        <v>0</v>
      </c>
      <c r="AP81" s="240">
        <v>0</v>
      </c>
      <c r="AQ81" s="240">
        <v>0</v>
      </c>
      <c r="AR81" s="240"/>
      <c r="AS81" s="240">
        <v>0</v>
      </c>
      <c r="AT81" s="240"/>
      <c r="AU81" s="240">
        <f>SUM(Tabela10[[#This Row],[jan/26]:[dez/26]])</f>
        <v>0</v>
      </c>
      <c r="AV81" s="334">
        <v>650000</v>
      </c>
      <c r="AW81" s="334">
        <v>750000</v>
      </c>
      <c r="AX81" s="240">
        <v>0</v>
      </c>
      <c r="AY81" s="240">
        <v>0</v>
      </c>
      <c r="AZ81" s="240">
        <f>SUM(Tabela10[[#This Row],[2026]:[2030]])</f>
        <v>1400000</v>
      </c>
      <c r="BA81" s="242">
        <v>0</v>
      </c>
      <c r="BB81" s="240">
        <v>0</v>
      </c>
      <c r="BC81" s="240">
        <v>0</v>
      </c>
      <c r="BD81" s="240">
        <v>0</v>
      </c>
      <c r="BE81" s="240">
        <v>0</v>
      </c>
      <c r="BF81" s="241">
        <f>SUM(Tabela10[[#This Row],[2026-2030]:[2035]])</f>
        <v>1400000</v>
      </c>
      <c r="BG81" s="243" t="e" cm="1" vm="1">
        <f t="array" aca="1" ref="BG81" ca="1">_xlfn.SEQUENCE(COUNTA(Tabela10[Empresa]),1,1)</f>
        <v>#VALUE!</v>
      </c>
      <c r="BH81" s="243" t="s">
        <v>398</v>
      </c>
      <c r="BI81" s="243" t="e">
        <f>VLOOKUP(Tabela10[[#This Row],[ID real2]],[2]CONSOLIDADA!$AU:$AZ,6,FALSE)</f>
        <v>#N/A</v>
      </c>
      <c r="BJ81" s="243" t="e">
        <v>#N/A</v>
      </c>
      <c r="BK81" s="243">
        <v>2025</v>
      </c>
      <c r="BL81" s="243" t="s">
        <v>779</v>
      </c>
      <c r="BM81" s="243" t="s">
        <v>780</v>
      </c>
      <c r="BN81" s="243" t="s">
        <v>398</v>
      </c>
      <c r="BO81" s="243" t="s">
        <v>568</v>
      </c>
      <c r="BP81" s="243" t="s">
        <v>569</v>
      </c>
      <c r="BQ81" s="243" t="s">
        <v>570</v>
      </c>
      <c r="BR81" s="346">
        <v>650000</v>
      </c>
      <c r="BS81" s="243" t="s">
        <v>722</v>
      </c>
      <c r="BT81" s="243" t="s">
        <v>398</v>
      </c>
      <c r="BU81" s="243" t="e">
        <v>#N/A</v>
      </c>
      <c r="BV81" s="243" t="str">
        <f>Tabela10[[#This Row],[Descrição do projeto]]</f>
        <v>Aquisição de servomotor do distribuir da UHE Tucuruí</v>
      </c>
    </row>
    <row r="82" spans="1:74" hidden="1" x14ac:dyDescent="0.35">
      <c r="A82" s="237">
        <v>268</v>
      </c>
      <c r="B82" s="237" t="e" cm="1">
        <f t="array" ref="B82">AND(ISTEXT('Consolidado-Eletronorte'!#REF!),SUM('Consolidado-Eletronorte'!#REF!)&gt;0)</f>
        <v>#REF!</v>
      </c>
      <c r="C82" s="237" t="str">
        <f t="shared" ca="1" si="6"/>
        <v>Capex Orcamentário_PE2026_2030_red_35_porcentoR3_consulta.xlsx</v>
      </c>
      <c r="D82" s="238" t="str">
        <f t="shared" si="7"/>
        <v>COO</v>
      </c>
      <c r="E82" s="238" t="str">
        <f t="shared" si="8"/>
        <v>Lucas Martins</v>
      </c>
      <c r="F82" s="237" t="str">
        <f>_xlfn.CONCAT(Tabela10[[#This Row],[VP]],Tabela10[[#This Row],[Analise Estrategia]])</f>
        <v>COO268</v>
      </c>
      <c r="G82" s="239" t="e">
        <f>_xlfn.CONCAT('Consolidado-Eletronorte'!#REF!,"_",ROW('Consolidado-Eletronorte'!#REF!)-ROW('Consolidado-Eletronorte'!$G$18))</f>
        <v>#REF!</v>
      </c>
      <c r="H82" s="239" t="s">
        <v>506</v>
      </c>
      <c r="I82" s="237" t="s">
        <v>507</v>
      </c>
      <c r="J82" s="239" t="s">
        <v>508</v>
      </c>
      <c r="K82" s="237" t="s">
        <v>509</v>
      </c>
      <c r="L82" s="237" t="s">
        <v>509</v>
      </c>
      <c r="M82" s="237" t="s">
        <v>555</v>
      </c>
      <c r="N82" s="237"/>
      <c r="O82" s="237"/>
      <c r="P82" s="237" t="s">
        <v>511</v>
      </c>
      <c r="Q82" s="243" t="s">
        <v>400</v>
      </c>
      <c r="R82" s="239" t="s">
        <v>401</v>
      </c>
      <c r="S82" s="243" t="s">
        <v>400</v>
      </c>
      <c r="T82" s="237" t="s">
        <v>509</v>
      </c>
      <c r="U82" s="237" t="s">
        <v>509</v>
      </c>
      <c r="V82" s="237" t="s">
        <v>555</v>
      </c>
      <c r="W82" s="237" t="s">
        <v>555</v>
      </c>
      <c r="X82" s="237"/>
      <c r="Y82" s="239" t="s">
        <v>564</v>
      </c>
      <c r="Z82" s="397"/>
      <c r="AA82" s="237"/>
      <c r="AB82" s="396"/>
      <c r="AC82" s="239"/>
      <c r="AD82" s="397"/>
      <c r="AE82" s="239"/>
      <c r="AF82" s="239"/>
      <c r="AG82" s="239" t="s">
        <v>781</v>
      </c>
      <c r="AH82" s="237" t="s">
        <v>319</v>
      </c>
      <c r="AI82" s="240">
        <v>0</v>
      </c>
      <c r="AJ82" s="240">
        <v>0</v>
      </c>
      <c r="AK82" s="240">
        <v>0</v>
      </c>
      <c r="AL82" s="240">
        <v>0</v>
      </c>
      <c r="AM82" s="240">
        <v>0</v>
      </c>
      <c r="AN82" s="240">
        <v>0</v>
      </c>
      <c r="AO82" s="240">
        <v>0</v>
      </c>
      <c r="AP82" s="240"/>
      <c r="AQ82" s="240">
        <v>0</v>
      </c>
      <c r="AR82" s="240">
        <v>0</v>
      </c>
      <c r="AS82" s="240"/>
      <c r="AT82" s="240">
        <v>0</v>
      </c>
      <c r="AU82" s="240">
        <f>SUM(Tabela10[[#This Row],[jan/26]:[dez/26]])</f>
        <v>0</v>
      </c>
      <c r="AV82" s="334">
        <v>695254.2</v>
      </c>
      <c r="AW82" s="334">
        <v>695254.2</v>
      </c>
      <c r="AX82" s="240">
        <v>0</v>
      </c>
      <c r="AY82" s="240">
        <v>0</v>
      </c>
      <c r="AZ82" s="240">
        <f>SUM(Tabela10[[#This Row],[2026]:[2030]])</f>
        <v>1390508.4</v>
      </c>
      <c r="BA82" s="242">
        <v>0</v>
      </c>
      <c r="BB82" s="240">
        <v>0</v>
      </c>
      <c r="BC82" s="240">
        <v>0</v>
      </c>
      <c r="BD82" s="240">
        <v>0</v>
      </c>
      <c r="BE82" s="240">
        <v>0</v>
      </c>
      <c r="BF82" s="241">
        <f>SUM(Tabela10[[#This Row],[2026-2030]:[2035]])</f>
        <v>1390508.4</v>
      </c>
      <c r="BG82" s="243" t="e" cm="1" vm="1">
        <f t="array" aca="1" ref="BG82" ca="1">_xlfn.SEQUENCE(COUNTA(Tabela10[Empresa]),1,1)</f>
        <v>#VALUE!</v>
      </c>
      <c r="BH82" s="243" t="s">
        <v>400</v>
      </c>
      <c r="BI82" s="243" t="e">
        <f>VLOOKUP(Tabela10[[#This Row],[ID real2]],[2]CONSOLIDADA!$AU:$AZ,6,FALSE)</f>
        <v>#N/A</v>
      </c>
      <c r="BJ82" s="243" t="s">
        <v>341</v>
      </c>
      <c r="BK82" s="243">
        <v>2026</v>
      </c>
      <c r="BL82" s="243" t="s">
        <v>782</v>
      </c>
      <c r="BM82" s="243">
        <v>0</v>
      </c>
      <c r="BN82" s="243" t="s">
        <v>400</v>
      </c>
      <c r="BO82" s="243" t="s">
        <v>628</v>
      </c>
      <c r="BP82" s="243" t="s">
        <v>561</v>
      </c>
      <c r="BQ82" s="243" t="s">
        <v>570</v>
      </c>
      <c r="BR82" s="346">
        <v>695254.2</v>
      </c>
      <c r="BS82" s="243" t="s">
        <v>635</v>
      </c>
      <c r="BT82" s="243" t="s">
        <v>400</v>
      </c>
      <c r="BU82" s="243" t="s">
        <v>576</v>
      </c>
      <c r="BV82" s="243" t="str">
        <f>Tabela10[[#This Row],[Descrição do projeto]]</f>
        <v>Aquisição de motobombas para o sistema de circulação de óleo dos mancais MGT, MGG e ME - Casa de Força 01</v>
      </c>
    </row>
    <row r="83" spans="1:74" hidden="1" x14ac:dyDescent="0.35">
      <c r="A83" s="237">
        <v>272</v>
      </c>
      <c r="B83" s="237" t="e" cm="1">
        <f t="array" ref="B83">AND(ISTEXT('Consolidado-Eletronorte'!#REF!),SUM('Consolidado-Eletronorte'!#REF!)&gt;0)</f>
        <v>#REF!</v>
      </c>
      <c r="C83" s="237" t="str">
        <f t="shared" ca="1" si="6"/>
        <v>Capex Orcamentário_PE2026_2030_red_35_porcentoR3_consulta.xlsx</v>
      </c>
      <c r="D83" s="238" t="str">
        <f t="shared" si="7"/>
        <v>COO</v>
      </c>
      <c r="E83" s="238" t="str">
        <f t="shared" si="8"/>
        <v>Lucas Martins</v>
      </c>
      <c r="F83" s="237" t="str">
        <f>_xlfn.CONCAT(Tabela10[[#This Row],[VP]],Tabela10[[#This Row],[Analise Estrategia]])</f>
        <v>COO272</v>
      </c>
      <c r="G83" s="239" t="e">
        <f>_xlfn.CONCAT('Consolidado-Eletronorte'!#REF!,"_",ROW('Consolidado-Eletronorte'!#REF!)-ROW('Consolidado-Eletronorte'!$G$18))</f>
        <v>#REF!</v>
      </c>
      <c r="H83" s="239" t="s">
        <v>506</v>
      </c>
      <c r="I83" s="237" t="s">
        <v>507</v>
      </c>
      <c r="J83" s="239" t="s">
        <v>508</v>
      </c>
      <c r="K83" s="237" t="s">
        <v>509</v>
      </c>
      <c r="L83" s="237" t="s">
        <v>509</v>
      </c>
      <c r="M83" s="237" t="s">
        <v>577</v>
      </c>
      <c r="N83" s="237"/>
      <c r="O83" s="237"/>
      <c r="P83" s="237" t="s">
        <v>587</v>
      </c>
      <c r="Q83" s="243" t="s">
        <v>151</v>
      </c>
      <c r="R83" s="239" t="s">
        <v>153</v>
      </c>
      <c r="S83" s="243" t="s">
        <v>151</v>
      </c>
      <c r="T83" s="237" t="s">
        <v>509</v>
      </c>
      <c r="U83" s="237" t="s">
        <v>509</v>
      </c>
      <c r="V83" s="237" t="s">
        <v>577</v>
      </c>
      <c r="W83" s="237" t="s">
        <v>577</v>
      </c>
      <c r="X83" s="237"/>
      <c r="Y83" s="239" t="s">
        <v>564</v>
      </c>
      <c r="Z83" s="397"/>
      <c r="AA83" s="237"/>
      <c r="AB83" s="396"/>
      <c r="AC83" s="239"/>
      <c r="AD83" s="397"/>
      <c r="AE83" s="239"/>
      <c r="AF83" s="239"/>
      <c r="AG83" s="239" t="s">
        <v>783</v>
      </c>
      <c r="AH83" s="237" t="s">
        <v>154</v>
      </c>
      <c r="AI83" s="240">
        <v>0</v>
      </c>
      <c r="AJ83" s="240">
        <v>0</v>
      </c>
      <c r="AK83" s="240">
        <v>0</v>
      </c>
      <c r="AL83" s="240">
        <v>0</v>
      </c>
      <c r="AM83" s="240"/>
      <c r="AN83" s="240">
        <v>0</v>
      </c>
      <c r="AO83" s="240">
        <v>0</v>
      </c>
      <c r="AP83" s="240">
        <v>0</v>
      </c>
      <c r="AQ83" s="240"/>
      <c r="AR83" s="240">
        <v>0</v>
      </c>
      <c r="AS83" s="240">
        <v>0</v>
      </c>
      <c r="AT83" s="240">
        <v>0</v>
      </c>
      <c r="AU83" s="240">
        <f>SUM(Tabela10[[#This Row],[jan/26]:[dez/26]])</f>
        <v>0</v>
      </c>
      <c r="AV83" s="334">
        <v>200000</v>
      </c>
      <c r="AW83" s="334">
        <v>650000</v>
      </c>
      <c r="AX83" s="334">
        <v>466666.67</v>
      </c>
      <c r="AY83" s="240">
        <v>0</v>
      </c>
      <c r="AZ83" s="240">
        <f>SUM(Tabela10[[#This Row],[2026]:[2030]])</f>
        <v>1316666.67</v>
      </c>
      <c r="BA83" s="242">
        <v>0</v>
      </c>
      <c r="BB83" s="240">
        <v>0</v>
      </c>
      <c r="BC83" s="240">
        <v>0</v>
      </c>
      <c r="BD83" s="240">
        <v>0</v>
      </c>
      <c r="BE83" s="240">
        <v>0</v>
      </c>
      <c r="BF83" s="241">
        <f>SUM(Tabela10[[#This Row],[2026-2030]:[2035]])</f>
        <v>1316666.67</v>
      </c>
      <c r="BG83" s="243" t="e" cm="1" vm="1">
        <f t="array" aca="1" ref="BG83" ca="1">_xlfn.SEQUENCE(COUNTA(Tabela10[Empresa]),1,1)</f>
        <v>#VALUE!</v>
      </c>
      <c r="BH83" s="243" t="s">
        <v>151</v>
      </c>
      <c r="BI83" s="243" t="e">
        <f>VLOOKUP(Tabela10[[#This Row],[ID real2]],[2]CONSOLIDADA!$AU:$AZ,6,FALSE)</f>
        <v>#N/A</v>
      </c>
      <c r="BJ83" s="243" t="s">
        <v>155</v>
      </c>
      <c r="BK83" s="243">
        <v>2026</v>
      </c>
      <c r="BL83" s="243" t="s">
        <v>784</v>
      </c>
      <c r="BM83" s="243">
        <v>0</v>
      </c>
      <c r="BN83" s="243" t="s">
        <v>151</v>
      </c>
      <c r="BO83" s="243" t="s">
        <v>568</v>
      </c>
      <c r="BP83" s="243" t="s">
        <v>561</v>
      </c>
      <c r="BQ83" s="243" t="s">
        <v>570</v>
      </c>
      <c r="BR83" s="346">
        <v>200000</v>
      </c>
      <c r="BS83" s="243" t="s">
        <v>661</v>
      </c>
      <c r="BT83" s="243" t="s">
        <v>151</v>
      </c>
      <c r="BU83" s="243" t="s">
        <v>583</v>
      </c>
      <c r="BV83" s="243" t="str">
        <f>Tabela10[[#This Row],[Descrição do projeto]]</f>
        <v>Unidade de filtração hidraulica do Regulador de velocidade com elemento absoluto e sistema monitoramento</v>
      </c>
    </row>
    <row r="84" spans="1:74" hidden="1" x14ac:dyDescent="0.35">
      <c r="A84" s="237">
        <v>375</v>
      </c>
      <c r="B84" s="237" t="e" cm="1">
        <f t="array" ref="B84">AND(ISTEXT('Consolidado-Eletronorte'!#REF!),SUM('Consolidado-Eletronorte'!#REF!)&gt;0)</f>
        <v>#REF!</v>
      </c>
      <c r="C84" s="237" t="str">
        <f t="shared" ca="1" si="6"/>
        <v>Capex Orcamentário_PE2026_2030_red_35_porcentoR3_consulta.xlsx</v>
      </c>
      <c r="D84" s="238" t="str">
        <f t="shared" si="7"/>
        <v>COO</v>
      </c>
      <c r="E84" s="238" t="str">
        <f t="shared" si="8"/>
        <v>Lucas Martins</v>
      </c>
      <c r="F84" s="237" t="str">
        <f>_xlfn.CONCAT(Tabela10[[#This Row],[VP]],Tabela10[[#This Row],[Analise Estrategia]])</f>
        <v>COO375</v>
      </c>
      <c r="G84" s="239" t="e">
        <f>_xlfn.CONCAT('Consolidado-Eletronorte'!#REF!,"_",ROW('Consolidado-Eletronorte'!#REF!)-ROW('Consolidado-Eletronorte'!$G$18))</f>
        <v>#REF!</v>
      </c>
      <c r="H84" s="239" t="s">
        <v>506</v>
      </c>
      <c r="I84" s="237" t="s">
        <v>507</v>
      </c>
      <c r="J84" s="239" t="s">
        <v>508</v>
      </c>
      <c r="K84" s="237" t="s">
        <v>509</v>
      </c>
      <c r="L84" s="237" t="s">
        <v>509</v>
      </c>
      <c r="M84" s="237" t="s">
        <v>577</v>
      </c>
      <c r="N84" s="237"/>
      <c r="O84" s="237"/>
      <c r="P84" s="237" t="s">
        <v>612</v>
      </c>
      <c r="Q84" s="243" t="s">
        <v>208</v>
      </c>
      <c r="R84" s="239" t="s">
        <v>209</v>
      </c>
      <c r="S84" s="243" t="s">
        <v>208</v>
      </c>
      <c r="T84" s="237" t="s">
        <v>509</v>
      </c>
      <c r="U84" s="237" t="s">
        <v>509</v>
      </c>
      <c r="V84" s="237" t="s">
        <v>577</v>
      </c>
      <c r="W84" s="237" t="s">
        <v>577</v>
      </c>
      <c r="X84" s="237"/>
      <c r="Y84" s="239" t="s">
        <v>564</v>
      </c>
      <c r="Z84" s="397"/>
      <c r="AA84" s="237"/>
      <c r="AB84" s="396"/>
      <c r="AC84" s="239"/>
      <c r="AD84" s="397"/>
      <c r="AE84" s="239"/>
      <c r="AF84" s="239"/>
      <c r="AG84" s="239" t="s">
        <v>785</v>
      </c>
      <c r="AH84" s="237" t="s">
        <v>210</v>
      </c>
      <c r="AI84" s="240">
        <v>0</v>
      </c>
      <c r="AJ84" s="240">
        <v>0</v>
      </c>
      <c r="AK84" s="240">
        <v>0</v>
      </c>
      <c r="AL84" s="240">
        <v>0</v>
      </c>
      <c r="AM84" s="240">
        <v>0</v>
      </c>
      <c r="AN84" s="240">
        <v>0</v>
      </c>
      <c r="AO84" s="240">
        <v>0</v>
      </c>
      <c r="AP84" s="240">
        <v>0</v>
      </c>
      <c r="AQ84" s="240"/>
      <c r="AR84" s="240">
        <v>0</v>
      </c>
      <c r="AS84" s="240">
        <v>200000</v>
      </c>
      <c r="AT84" s="240">
        <v>0</v>
      </c>
      <c r="AU84" s="240">
        <f>SUM(Tabela10[[#This Row],[jan/26]:[dez/26]])</f>
        <v>200000</v>
      </c>
      <c r="AV84" s="240">
        <v>0</v>
      </c>
      <c r="AW84" s="240">
        <v>0</v>
      </c>
      <c r="AX84" s="240">
        <v>0</v>
      </c>
      <c r="AY84" s="240">
        <v>0</v>
      </c>
      <c r="AZ84" s="240">
        <f>SUM(Tabela10[[#This Row],[2026]:[2030]])</f>
        <v>200000</v>
      </c>
      <c r="BA84" s="242">
        <v>0</v>
      </c>
      <c r="BB84" s="240">
        <v>0</v>
      </c>
      <c r="BC84" s="240">
        <v>0</v>
      </c>
      <c r="BD84" s="240">
        <v>0</v>
      </c>
      <c r="BE84" s="240">
        <v>0</v>
      </c>
      <c r="BF84" s="241">
        <f>SUM(Tabela10[[#This Row],[2026-2030]:[2035]])</f>
        <v>200000</v>
      </c>
      <c r="BG84" s="243" t="e" cm="1" vm="1">
        <f t="array" aca="1" ref="BG84" ca="1">_xlfn.SEQUENCE(COUNTA(Tabela10[Empresa]),1,1)</f>
        <v>#VALUE!</v>
      </c>
      <c r="BH84" s="243" t="s">
        <v>208</v>
      </c>
      <c r="BI84" s="243" t="e">
        <f>VLOOKUP(Tabela10[[#This Row],[ID real2]],[2]CONSOLIDADA!$AU:$AZ,6,FALSE)</f>
        <v>#N/A</v>
      </c>
      <c r="BJ84" s="243" t="s">
        <v>211</v>
      </c>
      <c r="BK84" s="243">
        <v>2026</v>
      </c>
      <c r="BL84" s="243" t="s">
        <v>786</v>
      </c>
      <c r="BM84" s="243">
        <v>0</v>
      </c>
      <c r="BN84" s="243" t="s">
        <v>208</v>
      </c>
      <c r="BO84" s="243" t="s">
        <v>628</v>
      </c>
      <c r="BP84" s="243" t="s">
        <v>561</v>
      </c>
      <c r="BQ84" s="243" t="s">
        <v>570</v>
      </c>
      <c r="BR84" s="346">
        <v>200000</v>
      </c>
      <c r="BS84" s="243" t="s">
        <v>540</v>
      </c>
      <c r="BT84" s="243" t="s">
        <v>208</v>
      </c>
      <c r="BU84" s="243" t="s">
        <v>673</v>
      </c>
      <c r="BV84" s="243" t="str">
        <f>Tabela10[[#This Row],[Descrição do projeto]]</f>
        <v>Superação equipamentos vão da UG 03 da UHCN</v>
      </c>
    </row>
    <row r="85" spans="1:74" hidden="1" x14ac:dyDescent="0.35">
      <c r="A85" s="237">
        <v>386</v>
      </c>
      <c r="B85" s="237" t="e" cm="1">
        <f t="array" ref="B85">AND(ISTEXT('Consolidado-Eletronorte'!#REF!),SUM('Consolidado-Eletronorte'!#REF!)&gt;0)</f>
        <v>#REF!</v>
      </c>
      <c r="C85" s="237" t="str">
        <f t="shared" ca="1" si="6"/>
        <v>Capex Orcamentário_PE2026_2030_red_35_porcentoR3_consulta.xlsx</v>
      </c>
      <c r="D85" s="238" t="str">
        <f t="shared" si="7"/>
        <v>COO</v>
      </c>
      <c r="E85" s="238" t="str">
        <f t="shared" si="8"/>
        <v>Lucas Martins</v>
      </c>
      <c r="F85" s="237" t="str">
        <f>_xlfn.CONCAT(Tabela10[[#This Row],[VP]],Tabela10[[#This Row],[Analise Estrategia]])</f>
        <v>COO386</v>
      </c>
      <c r="G85" s="239" t="e">
        <f>_xlfn.CONCAT('Consolidado-Eletronorte'!#REF!,"_",ROW('Consolidado-Eletronorte'!#REF!)-ROW('Consolidado-Eletronorte'!$G$18))</f>
        <v>#REF!</v>
      </c>
      <c r="H85" s="239" t="s">
        <v>506</v>
      </c>
      <c r="I85" s="237" t="s">
        <v>507</v>
      </c>
      <c r="J85" s="239" t="s">
        <v>508</v>
      </c>
      <c r="K85" s="237" t="s">
        <v>509</v>
      </c>
      <c r="L85" s="237" t="s">
        <v>509</v>
      </c>
      <c r="M85" s="237" t="s">
        <v>555</v>
      </c>
      <c r="N85" s="237"/>
      <c r="O85" s="237"/>
      <c r="P85" s="237" t="s">
        <v>617</v>
      </c>
      <c r="Q85" s="243" t="s">
        <v>268</v>
      </c>
      <c r="R85" s="239" t="s">
        <v>269</v>
      </c>
      <c r="S85" s="243" t="s">
        <v>268</v>
      </c>
      <c r="T85" s="237" t="s">
        <v>509</v>
      </c>
      <c r="U85" s="237" t="s">
        <v>509</v>
      </c>
      <c r="V85" s="237" t="s">
        <v>555</v>
      </c>
      <c r="W85" s="237" t="s">
        <v>555</v>
      </c>
      <c r="X85" s="237"/>
      <c r="Y85" s="239">
        <v>3500007336</v>
      </c>
      <c r="Z85" s="397">
        <v>300000</v>
      </c>
      <c r="AA85" s="237"/>
      <c r="AB85" s="396"/>
      <c r="AC85" s="239"/>
      <c r="AD85" s="397"/>
      <c r="AE85" s="239"/>
      <c r="AF85" s="239"/>
      <c r="AG85" s="239" t="s">
        <v>650</v>
      </c>
      <c r="AH85" s="237" t="s">
        <v>229</v>
      </c>
      <c r="AI85" s="240">
        <v>0</v>
      </c>
      <c r="AJ85" s="240">
        <v>0</v>
      </c>
      <c r="AK85" s="240">
        <v>0</v>
      </c>
      <c r="AL85" s="240">
        <v>0</v>
      </c>
      <c r="AM85" s="240">
        <v>0</v>
      </c>
      <c r="AN85" s="240">
        <v>0</v>
      </c>
      <c r="AO85" s="240">
        <v>0</v>
      </c>
      <c r="AP85" s="240">
        <v>0</v>
      </c>
      <c r="AQ85" s="240">
        <v>300000</v>
      </c>
      <c r="AR85" s="240">
        <v>0</v>
      </c>
      <c r="AS85" s="240">
        <v>300000</v>
      </c>
      <c r="AT85" s="240">
        <v>0</v>
      </c>
      <c r="AU85" s="240">
        <f>SUM(Tabela10[[#This Row],[jan/26]:[dez/26]])</f>
        <v>600000</v>
      </c>
      <c r="AV85" s="240">
        <v>600000</v>
      </c>
      <c r="AW85" s="240">
        <v>0</v>
      </c>
      <c r="AX85" s="240">
        <v>0</v>
      </c>
      <c r="AY85" s="240">
        <v>0</v>
      </c>
      <c r="AZ85" s="240">
        <f>SUM(Tabela10[[#This Row],[2026]:[2030]])</f>
        <v>1200000</v>
      </c>
      <c r="BA85" s="242">
        <v>0</v>
      </c>
      <c r="BB85" s="240">
        <v>0</v>
      </c>
      <c r="BC85" s="240">
        <v>0</v>
      </c>
      <c r="BD85" s="240">
        <v>0</v>
      </c>
      <c r="BE85" s="240">
        <v>0</v>
      </c>
      <c r="BF85" s="241">
        <f>SUM(Tabela10[[#This Row],[2026-2030]:[2035]])</f>
        <v>1200000</v>
      </c>
      <c r="BG85" s="243" t="e" cm="1" vm="1">
        <f t="array" aca="1" ref="BG85" ca="1">_xlfn.SEQUENCE(COUNTA(Tabela10[Empresa]),1,1)</f>
        <v>#VALUE!</v>
      </c>
      <c r="BH85" s="243" t="s">
        <v>268</v>
      </c>
      <c r="BI85" s="243" t="e">
        <f>VLOOKUP(Tabela10[[#This Row],[ID real2]],[2]CONSOLIDADA!$AU:$AZ,6,FALSE)</f>
        <v>#N/A</v>
      </c>
      <c r="BJ85" s="243" t="s">
        <v>247</v>
      </c>
      <c r="BK85" s="243">
        <v>2025</v>
      </c>
      <c r="BL85" s="243" t="s">
        <v>787</v>
      </c>
      <c r="BM85" s="243" t="s">
        <v>788</v>
      </c>
      <c r="BN85" s="243" t="s">
        <v>268</v>
      </c>
      <c r="BO85" s="243" t="s">
        <v>550</v>
      </c>
      <c r="BP85" s="243" t="s">
        <v>621</v>
      </c>
      <c r="BQ85" s="243" t="s">
        <v>552</v>
      </c>
      <c r="BR85" s="346">
        <v>600000</v>
      </c>
      <c r="BS85" s="243" t="s">
        <v>540</v>
      </c>
      <c r="BT85" s="243" t="s">
        <v>268</v>
      </c>
      <c r="BU85" s="243" t="s">
        <v>670</v>
      </c>
      <c r="BV85" s="243" t="str">
        <f>Tabela10[[#This Row],[Descrição do projeto]]</f>
        <v>Modernizaçãosistema de resfriamento das uidades geradoras da UHE Curuá-Una</v>
      </c>
    </row>
    <row r="86" spans="1:74" x14ac:dyDescent="0.35">
      <c r="A86" s="237">
        <v>278</v>
      </c>
      <c r="B86" s="237" t="e" cm="1">
        <f t="array" ref="B86">AND(ISTEXT('Consolidado-Eletronorte'!#REF!),SUM('Consolidado-Eletronorte'!#REF!)&gt;0)</f>
        <v>#REF!</v>
      </c>
      <c r="C86" s="237" t="str">
        <f t="shared" ca="1" si="6"/>
        <v>Capex Orcamentário_PE2026_2030_red_35_porcentoR3_consulta.xlsx</v>
      </c>
      <c r="D86" s="238" t="str">
        <f t="shared" si="7"/>
        <v>COO</v>
      </c>
      <c r="E86" s="238" t="str">
        <f t="shared" si="8"/>
        <v>Lucas Martins</v>
      </c>
      <c r="F86" s="237" t="str">
        <f>_xlfn.CONCAT(Tabela10[[#This Row],[VP]],Tabela10[[#This Row],[Analise Estrategia]])</f>
        <v>COO278</v>
      </c>
      <c r="G86" s="239" t="e">
        <f>_xlfn.CONCAT('Consolidado-Eletronorte'!#REF!,"_",ROW('Consolidado-Eletronorte'!#REF!)-ROW('Consolidado-Eletronorte'!$G$18))</f>
        <v>#REF!</v>
      </c>
      <c r="H86" s="239" t="s">
        <v>506</v>
      </c>
      <c r="I86" s="237" t="s">
        <v>507</v>
      </c>
      <c r="J86" s="239" t="s">
        <v>508</v>
      </c>
      <c r="K86" s="237" t="s">
        <v>509</v>
      </c>
      <c r="L86" s="237" t="s">
        <v>509</v>
      </c>
      <c r="M86" s="237" t="s">
        <v>789</v>
      </c>
      <c r="N86" s="237"/>
      <c r="O86" s="237"/>
      <c r="P86" s="237" t="s">
        <v>511</v>
      </c>
      <c r="Q86" s="243" t="s">
        <v>410</v>
      </c>
      <c r="R86" s="239" t="s">
        <v>411</v>
      </c>
      <c r="S86" s="243" t="s">
        <v>410</v>
      </c>
      <c r="T86" s="237" t="s">
        <v>509</v>
      </c>
      <c r="U86" s="237" t="s">
        <v>509</v>
      </c>
      <c r="V86" s="237" t="s">
        <v>789</v>
      </c>
      <c r="W86" s="237" t="s">
        <v>789</v>
      </c>
      <c r="X86" s="237"/>
      <c r="Y86" s="237"/>
      <c r="Z86" s="396"/>
      <c r="AA86" s="237"/>
      <c r="AB86" s="396"/>
      <c r="AC86" s="239">
        <v>4500081111</v>
      </c>
      <c r="AD86" s="397">
        <v>3086790.84</v>
      </c>
      <c r="AE86" s="239" t="s">
        <v>790</v>
      </c>
      <c r="AF86" s="239" t="s">
        <v>600</v>
      </c>
      <c r="AG86" s="239" t="s">
        <v>791</v>
      </c>
      <c r="AH86" s="237" t="s">
        <v>319</v>
      </c>
      <c r="AI86" s="240">
        <v>0</v>
      </c>
      <c r="AJ86" s="240"/>
      <c r="AK86" s="240">
        <v>1000000</v>
      </c>
      <c r="AL86" s="240">
        <v>0</v>
      </c>
      <c r="AM86" s="240">
        <v>0</v>
      </c>
      <c r="AN86" s="240">
        <v>0</v>
      </c>
      <c r="AO86" s="240">
        <v>0</v>
      </c>
      <c r="AP86" s="240">
        <v>0</v>
      </c>
      <c r="AQ86" s="240">
        <v>0</v>
      </c>
      <c r="AR86" s="240">
        <v>0</v>
      </c>
      <c r="AS86" s="240">
        <v>0</v>
      </c>
      <c r="AT86" s="240">
        <v>0</v>
      </c>
      <c r="AU86" s="240">
        <f>SUM(Tabela10[[#This Row],[jan/26]:[dez/26]])</f>
        <v>1000000</v>
      </c>
      <c r="AV86" s="240">
        <v>0</v>
      </c>
      <c r="AW86" s="240">
        <v>0</v>
      </c>
      <c r="AX86" s="240">
        <v>0</v>
      </c>
      <c r="AY86" s="240">
        <v>0</v>
      </c>
      <c r="AZ86" s="240">
        <f>SUM(Tabela10[[#This Row],[2026]:[2030]])</f>
        <v>1000000</v>
      </c>
      <c r="BA86" s="242">
        <v>0</v>
      </c>
      <c r="BB86" s="240">
        <v>0</v>
      </c>
      <c r="BC86" s="240">
        <v>0</v>
      </c>
      <c r="BD86" s="240">
        <v>0</v>
      </c>
      <c r="BE86" s="240">
        <v>0</v>
      </c>
      <c r="BF86" s="241">
        <f>SUM(Tabela10[[#This Row],[2026-2030]:[2035]])</f>
        <v>1000000</v>
      </c>
      <c r="BG86" s="243" t="e" cm="1" vm="1">
        <f t="array" aca="1" ref="BG86" ca="1">_xlfn.SEQUENCE(COUNTA(Tabela10[Empresa]),1,1)</f>
        <v>#VALUE!</v>
      </c>
      <c r="BH86" s="243" t="s">
        <v>410</v>
      </c>
      <c r="BI86" s="243" t="e">
        <f>VLOOKUP(Tabela10[[#This Row],[ID real2]],[2]CONSOLIDADA!$AU:$AZ,6,FALSE)</f>
        <v>#N/A</v>
      </c>
      <c r="BJ86" s="243" t="s">
        <v>341</v>
      </c>
      <c r="BK86" s="243">
        <v>2025</v>
      </c>
      <c r="BL86" s="243" t="s">
        <v>792</v>
      </c>
      <c r="BM86" s="243" t="s">
        <v>793</v>
      </c>
      <c r="BN86" s="243" t="s">
        <v>410</v>
      </c>
      <c r="BO86" s="243" t="s">
        <v>517</v>
      </c>
      <c r="BP86" s="243" t="s">
        <v>569</v>
      </c>
      <c r="BQ86" s="243" t="s">
        <v>517</v>
      </c>
      <c r="BR86" s="346">
        <v>1000000</v>
      </c>
      <c r="BS86" s="243" t="s">
        <v>532</v>
      </c>
      <c r="BT86" s="243" t="s">
        <v>410</v>
      </c>
      <c r="BU86" s="243" t="s">
        <v>576</v>
      </c>
      <c r="BV86" s="243" t="str">
        <f>Tabela10[[#This Row],[Descrição do projeto]]</f>
        <v>Recuperação da comporta 17 do Vertedouro da UHE Tucuruí</v>
      </c>
    </row>
    <row r="87" spans="1:74" hidden="1" x14ac:dyDescent="0.35">
      <c r="A87" s="237">
        <v>317</v>
      </c>
      <c r="B87" s="237" t="e" cm="1">
        <f t="array" ref="B87">AND(ISTEXT('Consolidado-Eletronorte'!#REF!),SUM('Consolidado-Eletronorte'!#REF!)&gt;0)</f>
        <v>#REF!</v>
      </c>
      <c r="C87" s="237" t="str">
        <f t="shared" ca="1" si="6"/>
        <v>Capex Orcamentário_PE2026_2030_red_35_porcentoR3_consulta.xlsx</v>
      </c>
      <c r="D87" s="238" t="str">
        <f t="shared" si="7"/>
        <v>COO</v>
      </c>
      <c r="E87" s="238" t="str">
        <f t="shared" si="8"/>
        <v>Lucas Martins</v>
      </c>
      <c r="F87" s="237" t="str">
        <f>_xlfn.CONCAT(Tabela10[[#This Row],[VP]],Tabela10[[#This Row],[Analise Estrategia]])</f>
        <v>COO317</v>
      </c>
      <c r="G87" s="239" t="e">
        <f>_xlfn.CONCAT('Consolidado-Eletronorte'!#REF!,"_",ROW('Consolidado-Eletronorte'!#REF!)-ROW('Consolidado-Eletronorte'!$G$18))</f>
        <v>#REF!</v>
      </c>
      <c r="H87" s="239" t="s">
        <v>506</v>
      </c>
      <c r="I87" s="237" t="s">
        <v>507</v>
      </c>
      <c r="J87" s="239" t="s">
        <v>508</v>
      </c>
      <c r="K87" s="237" t="s">
        <v>509</v>
      </c>
      <c r="L87" s="237" t="s">
        <v>509</v>
      </c>
      <c r="M87" s="237" t="s">
        <v>577</v>
      </c>
      <c r="N87" s="237"/>
      <c r="O87" s="237"/>
      <c r="P87" s="237" t="s">
        <v>511</v>
      </c>
      <c r="Q87" s="243" t="s">
        <v>368</v>
      </c>
      <c r="R87" s="239" t="s">
        <v>369</v>
      </c>
      <c r="S87" s="243" t="s">
        <v>368</v>
      </c>
      <c r="T87" s="237" t="s">
        <v>509</v>
      </c>
      <c r="U87" s="237" t="s">
        <v>509</v>
      </c>
      <c r="V87" s="237" t="s">
        <v>577</v>
      </c>
      <c r="W87" s="237" t="s">
        <v>577</v>
      </c>
      <c r="X87" s="237"/>
      <c r="Y87" s="239" t="s">
        <v>564</v>
      </c>
      <c r="Z87" s="397"/>
      <c r="AA87" s="237"/>
      <c r="AB87" s="396"/>
      <c r="AC87" s="239"/>
      <c r="AD87" s="397"/>
      <c r="AE87" s="239"/>
      <c r="AF87" s="243"/>
      <c r="AG87" s="239" t="s">
        <v>794</v>
      </c>
      <c r="AH87" s="237" t="s">
        <v>319</v>
      </c>
      <c r="AI87" s="240">
        <v>0</v>
      </c>
      <c r="AJ87" s="240">
        <v>0</v>
      </c>
      <c r="AK87" s="240">
        <v>0</v>
      </c>
      <c r="AL87" s="240">
        <v>0</v>
      </c>
      <c r="AM87" s="240">
        <v>0</v>
      </c>
      <c r="AN87" s="240">
        <v>0</v>
      </c>
      <c r="AO87" s="240">
        <v>0</v>
      </c>
      <c r="AP87" s="240">
        <v>0</v>
      </c>
      <c r="AQ87" s="240">
        <v>0</v>
      </c>
      <c r="AR87" s="240">
        <v>0</v>
      </c>
      <c r="AS87" s="240">
        <v>0</v>
      </c>
      <c r="AT87" s="240">
        <v>0</v>
      </c>
      <c r="AU87" s="240">
        <f>SUM(Tabela10[[#This Row],[jan/26]:[dez/26]])</f>
        <v>0</v>
      </c>
      <c r="AV87" s="240">
        <v>1000000</v>
      </c>
      <c r="AW87" s="240">
        <v>0</v>
      </c>
      <c r="AX87" s="240">
        <v>0</v>
      </c>
      <c r="AY87" s="240">
        <v>0</v>
      </c>
      <c r="AZ87" s="240">
        <f>SUM(Tabela10[[#This Row],[2026]:[2030]])</f>
        <v>1000000</v>
      </c>
      <c r="BA87" s="242">
        <v>0</v>
      </c>
      <c r="BB87" s="240">
        <v>0</v>
      </c>
      <c r="BC87" s="240">
        <v>0</v>
      </c>
      <c r="BD87" s="240">
        <v>0</v>
      </c>
      <c r="BE87" s="240">
        <v>0</v>
      </c>
      <c r="BF87" s="241">
        <f>SUM(Tabela10[[#This Row],[2026-2030]:[2035]])</f>
        <v>1000000</v>
      </c>
      <c r="BG87" s="243" t="e" cm="1" vm="1">
        <f t="array" aca="1" ref="BG87" ca="1">_xlfn.SEQUENCE(COUNTA(Tabela10[Empresa]),1,1)</f>
        <v>#VALUE!</v>
      </c>
      <c r="BH87" s="243" t="s">
        <v>368</v>
      </c>
      <c r="BI87" s="243" t="e">
        <f>VLOOKUP(Tabela10[[#This Row],[ID real2]],[2]CONSOLIDADA!$AU:$AZ,6,FALSE)</f>
        <v>#N/A</v>
      </c>
      <c r="BJ87" s="243" t="e">
        <v>#N/A</v>
      </c>
      <c r="BK87" s="243">
        <v>2026</v>
      </c>
      <c r="BL87" s="243" t="s">
        <v>795</v>
      </c>
      <c r="BM87" s="243">
        <v>0</v>
      </c>
      <c r="BN87" s="243" t="s">
        <v>368</v>
      </c>
      <c r="BO87" s="243" t="s">
        <v>568</v>
      </c>
      <c r="BP87" s="243" t="s">
        <v>561</v>
      </c>
      <c r="BQ87" s="243" t="s">
        <v>561</v>
      </c>
      <c r="BR87" s="346">
        <v>0</v>
      </c>
      <c r="BS87" s="243" t="s">
        <v>722</v>
      </c>
      <c r="BT87" s="243" t="s">
        <v>368</v>
      </c>
      <c r="BU87" s="243" t="e">
        <v>#N/A</v>
      </c>
      <c r="BV87" s="243" t="str">
        <f>Tabela10[[#This Row],[Descrição do projeto]]</f>
        <v>RevitalizaçãoSistema de Água Tratada</v>
      </c>
    </row>
    <row r="88" spans="1:74" hidden="1" x14ac:dyDescent="0.35">
      <c r="A88" s="237">
        <v>318</v>
      </c>
      <c r="B88" s="237" t="e" cm="1">
        <f t="array" ref="B88">AND(ISTEXT('Consolidado-Eletronorte'!#REF!),SUM('Consolidado-Eletronorte'!#REF!)&gt;0)</f>
        <v>#REF!</v>
      </c>
      <c r="C88" s="237" t="str">
        <f t="shared" ca="1" si="6"/>
        <v>Capex Orcamentário_PE2026_2030_red_35_porcentoR3_consulta.xlsx</v>
      </c>
      <c r="D88" s="238" t="str">
        <f t="shared" si="7"/>
        <v>COO</v>
      </c>
      <c r="E88" s="238" t="str">
        <f t="shared" si="8"/>
        <v>Lucas Martins</v>
      </c>
      <c r="F88" s="237" t="str">
        <f>_xlfn.CONCAT(Tabela10[[#This Row],[VP]],Tabela10[[#This Row],[Analise Estrategia]])</f>
        <v>COO318</v>
      </c>
      <c r="G88" s="239" t="e">
        <f>_xlfn.CONCAT('Consolidado-Eletronorte'!#REF!,"_",ROW('Consolidado-Eletronorte'!#REF!)-ROW('Consolidado-Eletronorte'!$G$18))</f>
        <v>#REF!</v>
      </c>
      <c r="H88" s="239" t="s">
        <v>506</v>
      </c>
      <c r="I88" s="237" t="s">
        <v>507</v>
      </c>
      <c r="J88" s="239" t="s">
        <v>508</v>
      </c>
      <c r="K88" s="237" t="s">
        <v>509</v>
      </c>
      <c r="L88" s="237" t="s">
        <v>509</v>
      </c>
      <c r="M88" s="237" t="s">
        <v>577</v>
      </c>
      <c r="N88" s="237"/>
      <c r="O88" s="237"/>
      <c r="P88" s="237" t="s">
        <v>511</v>
      </c>
      <c r="Q88" s="243" t="s">
        <v>366</v>
      </c>
      <c r="R88" s="239" t="s">
        <v>367</v>
      </c>
      <c r="S88" s="243" t="s">
        <v>366</v>
      </c>
      <c r="T88" s="237" t="s">
        <v>509</v>
      </c>
      <c r="U88" s="237" t="s">
        <v>509</v>
      </c>
      <c r="V88" s="237" t="s">
        <v>577</v>
      </c>
      <c r="W88" s="237" t="s">
        <v>577</v>
      </c>
      <c r="X88" s="237"/>
      <c r="Y88" s="239" t="s">
        <v>564</v>
      </c>
      <c r="Z88" s="397"/>
      <c r="AA88" s="237"/>
      <c r="AB88" s="396"/>
      <c r="AC88" s="239"/>
      <c r="AD88" s="397"/>
      <c r="AE88" s="239"/>
      <c r="AF88" s="239"/>
      <c r="AG88" s="239" t="s">
        <v>367</v>
      </c>
      <c r="AH88" s="237" t="s">
        <v>319</v>
      </c>
      <c r="AI88" s="240">
        <v>0</v>
      </c>
      <c r="AJ88" s="240">
        <v>0</v>
      </c>
      <c r="AK88" s="240">
        <v>0</v>
      </c>
      <c r="AL88" s="240">
        <v>0</v>
      </c>
      <c r="AM88" s="240">
        <v>0</v>
      </c>
      <c r="AN88" s="240">
        <v>0</v>
      </c>
      <c r="AO88" s="240">
        <v>0</v>
      </c>
      <c r="AP88" s="240">
        <v>0</v>
      </c>
      <c r="AQ88" s="240">
        <v>0</v>
      </c>
      <c r="AR88" s="240">
        <v>0</v>
      </c>
      <c r="AS88" s="240">
        <v>0</v>
      </c>
      <c r="AT88" s="240">
        <v>0</v>
      </c>
      <c r="AU88" s="240">
        <f>SUM(Tabela10[[#This Row],[jan/26]:[dez/26]])</f>
        <v>0</v>
      </c>
      <c r="AV88" s="240">
        <v>1000000</v>
      </c>
      <c r="AW88" s="240">
        <v>0</v>
      </c>
      <c r="AX88" s="240">
        <v>0</v>
      </c>
      <c r="AY88" s="240">
        <v>0</v>
      </c>
      <c r="AZ88" s="240">
        <f>SUM(Tabela10[[#This Row],[2026]:[2030]])</f>
        <v>1000000</v>
      </c>
      <c r="BA88" s="242">
        <v>0</v>
      </c>
      <c r="BB88" s="240">
        <v>0</v>
      </c>
      <c r="BC88" s="240">
        <v>0</v>
      </c>
      <c r="BD88" s="240">
        <v>0</v>
      </c>
      <c r="BE88" s="240">
        <v>0</v>
      </c>
      <c r="BF88" s="241">
        <f>SUM(Tabela10[[#This Row],[2026-2030]:[2035]])</f>
        <v>1000000</v>
      </c>
      <c r="BG88" s="243" t="e" cm="1" vm="1">
        <f t="array" aca="1" ref="BG88" ca="1">_xlfn.SEQUENCE(COUNTA(Tabela10[Empresa]),1,1)</f>
        <v>#VALUE!</v>
      </c>
      <c r="BH88" s="243" t="s">
        <v>366</v>
      </c>
      <c r="BI88" s="243" t="e">
        <f>VLOOKUP(Tabela10[[#This Row],[ID real2]],[2]CONSOLIDADA!$AU:$AZ,6,FALSE)</f>
        <v>#N/A</v>
      </c>
      <c r="BJ88" s="243" t="e">
        <v>#N/A</v>
      </c>
      <c r="BK88" s="243">
        <v>2026</v>
      </c>
      <c r="BL88" s="243" t="s">
        <v>796</v>
      </c>
      <c r="BM88" s="243">
        <v>0</v>
      </c>
      <c r="BN88" s="243" t="s">
        <v>366</v>
      </c>
      <c r="BO88" s="243" t="s">
        <v>568</v>
      </c>
      <c r="BP88" s="243" t="s">
        <v>561</v>
      </c>
      <c r="BQ88" s="243" t="s">
        <v>561</v>
      </c>
      <c r="BR88" s="346">
        <v>0</v>
      </c>
      <c r="BS88" s="243" t="s">
        <v>722</v>
      </c>
      <c r="BT88" s="243" t="s">
        <v>366</v>
      </c>
      <c r="BU88" s="243" t="e">
        <v>#N/A</v>
      </c>
      <c r="BV88" s="243" t="str">
        <f>Tabela10[[#This Row],[Descrição do projeto]]</f>
        <v>Revitalização ETE</v>
      </c>
    </row>
    <row r="89" spans="1:74" hidden="1" x14ac:dyDescent="0.35">
      <c r="A89" s="237">
        <v>277</v>
      </c>
      <c r="B89" s="237" t="e" cm="1">
        <f t="array" ref="B89">AND(ISTEXT('Consolidado-Eletronorte'!#REF!),SUM('Consolidado-Eletronorte'!#REF!)&gt;0)</f>
        <v>#REF!</v>
      </c>
      <c r="C89" s="237" t="str">
        <f t="shared" ca="1" si="6"/>
        <v>Capex Orcamentário_PE2026_2030_red_35_porcentoR3_consulta.xlsx</v>
      </c>
      <c r="D89" s="238" t="str">
        <f t="shared" si="7"/>
        <v>COO</v>
      </c>
      <c r="E89" s="238" t="str">
        <f t="shared" si="8"/>
        <v>Lucas Martins</v>
      </c>
      <c r="F89" s="237" t="str">
        <f>_xlfn.CONCAT(Tabela10[[#This Row],[VP]],Tabela10[[#This Row],[Analise Estrategia]])</f>
        <v>COO277</v>
      </c>
      <c r="G89" s="239" t="e">
        <f>_xlfn.CONCAT('Consolidado-Eletronorte'!#REF!,"_",ROW('Consolidado-Eletronorte'!#REF!)-ROW('Consolidado-Eletronorte'!$G$18))</f>
        <v>#REF!</v>
      </c>
      <c r="H89" s="239" t="s">
        <v>506</v>
      </c>
      <c r="I89" s="237" t="s">
        <v>507</v>
      </c>
      <c r="J89" s="239" t="s">
        <v>508</v>
      </c>
      <c r="K89" s="237" t="s">
        <v>509</v>
      </c>
      <c r="L89" s="237" t="s">
        <v>509</v>
      </c>
      <c r="M89" s="237" t="s">
        <v>577</v>
      </c>
      <c r="N89" s="237"/>
      <c r="O89" s="237"/>
      <c r="P89" s="237" t="s">
        <v>511</v>
      </c>
      <c r="Q89" s="243" t="s">
        <v>402</v>
      </c>
      <c r="R89" s="239" t="s">
        <v>403</v>
      </c>
      <c r="S89" s="243" t="s">
        <v>402</v>
      </c>
      <c r="T89" s="237" t="s">
        <v>509</v>
      </c>
      <c r="U89" s="237" t="s">
        <v>509</v>
      </c>
      <c r="V89" s="237" t="s">
        <v>555</v>
      </c>
      <c r="W89" s="237" t="s">
        <v>555</v>
      </c>
      <c r="X89" s="237"/>
      <c r="Y89" s="239" t="s">
        <v>564</v>
      </c>
      <c r="Z89" s="397"/>
      <c r="AA89" s="237"/>
      <c r="AB89" s="396"/>
      <c r="AC89" s="239"/>
      <c r="AD89" s="397"/>
      <c r="AE89" s="239"/>
      <c r="AF89" s="239"/>
      <c r="AG89" s="239" t="s">
        <v>797</v>
      </c>
      <c r="AH89" s="237" t="s">
        <v>319</v>
      </c>
      <c r="AI89" s="240">
        <v>0</v>
      </c>
      <c r="AJ89" s="240">
        <v>0</v>
      </c>
      <c r="AK89" s="240">
        <v>0</v>
      </c>
      <c r="AL89" s="240"/>
      <c r="AM89" s="240">
        <v>0</v>
      </c>
      <c r="AN89" s="240">
        <v>0</v>
      </c>
      <c r="AO89" s="240">
        <v>0</v>
      </c>
      <c r="AP89" s="240"/>
      <c r="AQ89" s="240">
        <v>0</v>
      </c>
      <c r="AR89" s="240">
        <v>0</v>
      </c>
      <c r="AS89" s="240"/>
      <c r="AT89" s="240">
        <v>0</v>
      </c>
      <c r="AU89" s="240">
        <f>SUM(Tabela10[[#This Row],[jan/26]:[dez/26]])</f>
        <v>0</v>
      </c>
      <c r="AV89" s="334">
        <v>951000</v>
      </c>
      <c r="AW89" s="240">
        <v>0</v>
      </c>
      <c r="AX89" s="240">
        <v>0</v>
      </c>
      <c r="AY89" s="240">
        <v>0</v>
      </c>
      <c r="AZ89" s="240">
        <f>SUM(Tabela10[[#This Row],[2026]:[2030]])</f>
        <v>951000</v>
      </c>
      <c r="BA89" s="242">
        <v>0</v>
      </c>
      <c r="BB89" s="240">
        <v>0</v>
      </c>
      <c r="BC89" s="240">
        <v>0</v>
      </c>
      <c r="BD89" s="240">
        <v>0</v>
      </c>
      <c r="BE89" s="240">
        <v>0</v>
      </c>
      <c r="BF89" s="241">
        <f>SUM(Tabela10[[#This Row],[2026-2030]:[2035]])</f>
        <v>951000</v>
      </c>
      <c r="BG89" s="243" t="e" cm="1" vm="1">
        <f t="array" aca="1" ref="BG89" ca="1">_xlfn.SEQUENCE(COUNTA(Tabela10[Empresa]),1,1)</f>
        <v>#VALUE!</v>
      </c>
      <c r="BH89" s="243" t="s">
        <v>402</v>
      </c>
      <c r="BI89" s="243" t="e">
        <f>VLOOKUP(Tabela10[[#This Row],[ID real2]],[2]CONSOLIDADA!$AU:$AZ,6,FALSE)</f>
        <v>#N/A</v>
      </c>
      <c r="BJ89" s="243" t="e">
        <v>#N/A</v>
      </c>
      <c r="BK89" s="243">
        <v>2026</v>
      </c>
      <c r="BL89" s="243" t="s">
        <v>798</v>
      </c>
      <c r="BM89" s="243">
        <v>0</v>
      </c>
      <c r="BN89" s="243" t="s">
        <v>402</v>
      </c>
      <c r="BO89" s="243" t="s">
        <v>568</v>
      </c>
      <c r="BP89" s="243" t="s">
        <v>561</v>
      </c>
      <c r="BQ89" s="243" t="s">
        <v>570</v>
      </c>
      <c r="BR89" s="346">
        <v>951000</v>
      </c>
      <c r="BS89" s="243" t="s">
        <v>722</v>
      </c>
      <c r="BT89" s="243" t="s">
        <v>402</v>
      </c>
      <c r="BU89" s="243" t="e">
        <v>#N/A</v>
      </c>
      <c r="BV89" s="243" t="str">
        <f>Tabela10[[#This Row],[Descrição do projeto]]</f>
        <v>sistema de refrigeração predial edificio comando, Supervisão e ULCPS</v>
      </c>
    </row>
    <row r="90" spans="1:74" ht="14.5" hidden="1" customHeight="1" x14ac:dyDescent="0.35">
      <c r="A90" s="237">
        <v>270</v>
      </c>
      <c r="B90" s="237" t="e" cm="1">
        <f t="array" ref="B90">AND(ISTEXT('Consolidado-Eletronorte'!#REF!),SUM('Consolidado-Eletronorte'!#REF!)&gt;0)</f>
        <v>#REF!</v>
      </c>
      <c r="C90" s="237" t="str">
        <f t="shared" ca="1" si="6"/>
        <v>Capex Orcamentário_PE2026_2030_red_35_porcentoR3_consulta.xlsx</v>
      </c>
      <c r="D90" s="238" t="str">
        <f t="shared" si="7"/>
        <v>COO</v>
      </c>
      <c r="E90" s="238" t="str">
        <f t="shared" si="8"/>
        <v>Lucas Martins</v>
      </c>
      <c r="F90" s="237" t="str">
        <f>_xlfn.CONCAT(Tabela10[[#This Row],[VP]],Tabela10[[#This Row],[Analise Estrategia]])</f>
        <v>COO270</v>
      </c>
      <c r="G90" s="239" t="e">
        <f>_xlfn.CONCAT('Consolidado-Eletronorte'!#REF!,"_",ROW('Consolidado-Eletronorte'!#REF!)-ROW('Consolidado-Eletronorte'!$G$18))</f>
        <v>#REF!</v>
      </c>
      <c r="H90" s="239" t="s">
        <v>506</v>
      </c>
      <c r="I90" s="237" t="s">
        <v>507</v>
      </c>
      <c r="J90" s="239" t="s">
        <v>508</v>
      </c>
      <c r="K90" s="237" t="s">
        <v>509</v>
      </c>
      <c r="L90" s="237" t="s">
        <v>509</v>
      </c>
      <c r="M90" s="237" t="s">
        <v>555</v>
      </c>
      <c r="N90" s="237"/>
      <c r="O90" s="237"/>
      <c r="P90" s="237" t="s">
        <v>511</v>
      </c>
      <c r="Q90" s="243" t="s">
        <v>404</v>
      </c>
      <c r="R90" s="243" t="s">
        <v>405</v>
      </c>
      <c r="S90" s="243" t="s">
        <v>404</v>
      </c>
      <c r="T90" s="237" t="s">
        <v>509</v>
      </c>
      <c r="U90" s="237" t="s">
        <v>509</v>
      </c>
      <c r="V90" s="237" t="s">
        <v>555</v>
      </c>
      <c r="W90" s="237" t="s">
        <v>555</v>
      </c>
      <c r="X90" s="237"/>
      <c r="Y90" s="239" t="s">
        <v>564</v>
      </c>
      <c r="Z90" s="397"/>
      <c r="AA90" s="237"/>
      <c r="AB90" s="396"/>
      <c r="AC90" s="239"/>
      <c r="AD90" s="397"/>
      <c r="AE90" s="239"/>
      <c r="AF90" s="243"/>
      <c r="AG90" s="239" t="s">
        <v>781</v>
      </c>
      <c r="AH90" s="237" t="s">
        <v>319</v>
      </c>
      <c r="AI90" s="240">
        <v>0</v>
      </c>
      <c r="AJ90" s="240">
        <v>0</v>
      </c>
      <c r="AK90" s="240">
        <v>0</v>
      </c>
      <c r="AL90" s="240"/>
      <c r="AM90" s="240">
        <v>0</v>
      </c>
      <c r="AN90" s="240">
        <v>0</v>
      </c>
      <c r="AO90" s="240">
        <v>0</v>
      </c>
      <c r="AP90" s="240"/>
      <c r="AQ90" s="240">
        <v>0</v>
      </c>
      <c r="AR90" s="240">
        <v>0</v>
      </c>
      <c r="AS90" s="240">
        <v>0</v>
      </c>
      <c r="AT90" s="240">
        <v>0</v>
      </c>
      <c r="AU90" s="240">
        <f>SUM(Tabela10[[#This Row],[jan/26]:[dez/26]])</f>
        <v>0</v>
      </c>
      <c r="AV90" s="334">
        <v>450280</v>
      </c>
      <c r="AW90" s="334">
        <v>450280</v>
      </c>
      <c r="AX90" s="240">
        <v>0</v>
      </c>
      <c r="AY90" s="240">
        <v>0</v>
      </c>
      <c r="AZ90" s="240">
        <f>SUM(Tabela10[[#This Row],[2026]:[2030]])</f>
        <v>900560</v>
      </c>
      <c r="BA90" s="242">
        <v>0</v>
      </c>
      <c r="BB90" s="240">
        <v>0</v>
      </c>
      <c r="BC90" s="240">
        <v>0</v>
      </c>
      <c r="BD90" s="240">
        <v>0</v>
      </c>
      <c r="BE90" s="240">
        <v>0</v>
      </c>
      <c r="BF90" s="241">
        <f>SUM(Tabela10[[#This Row],[2026-2030]:[2035]])</f>
        <v>900560</v>
      </c>
      <c r="BG90" s="243" t="e" cm="1" vm="1">
        <f t="array" aca="1" ref="BG90" ca="1">_xlfn.SEQUENCE(COUNTA(Tabela10[Empresa]),1,1)</f>
        <v>#VALUE!</v>
      </c>
      <c r="BH90" s="243" t="s">
        <v>404</v>
      </c>
      <c r="BI90" s="243" t="e">
        <f>VLOOKUP(Tabela10[[#This Row],[ID real2]],[2]CONSOLIDADA!$AU:$AZ,6,FALSE)</f>
        <v>#N/A</v>
      </c>
      <c r="BJ90" s="243" t="e">
        <v>#N/A</v>
      </c>
      <c r="BK90" s="243">
        <v>2025</v>
      </c>
      <c r="BL90" s="243" t="s">
        <v>799</v>
      </c>
      <c r="BM90" s="243" t="s">
        <v>580</v>
      </c>
      <c r="BN90" s="243" t="s">
        <v>404</v>
      </c>
      <c r="BO90" s="243" t="s">
        <v>628</v>
      </c>
      <c r="BP90" s="243" t="s">
        <v>569</v>
      </c>
      <c r="BQ90" s="243" t="s">
        <v>570</v>
      </c>
      <c r="BR90" s="346">
        <v>450280</v>
      </c>
      <c r="BS90" s="243" t="s">
        <v>722</v>
      </c>
      <c r="BT90" s="243" t="s">
        <v>404</v>
      </c>
      <c r="BU90" s="243" t="e">
        <v>#N/A</v>
      </c>
      <c r="BV90" s="243" t="str">
        <f>Tabela10[[#This Row],[Descrição do projeto]]</f>
        <v>Aquisição de bombas vertical, tipo parafuso, para o sistema de circulação de óleo do Regulador de Velocidade - UGHs Casa de Força 01</v>
      </c>
    </row>
    <row r="91" spans="1:74" x14ac:dyDescent="0.35">
      <c r="A91" s="237">
        <v>374</v>
      </c>
      <c r="B91" s="237" t="e" cm="1">
        <f t="array" ref="B91">AND(ISTEXT('Consolidado-Eletronorte'!#REF!),SUM('Consolidado-Eletronorte'!#REF!)&gt;0)</f>
        <v>#REF!</v>
      </c>
      <c r="C91" s="237" t="str">
        <f t="shared" ca="1" si="6"/>
        <v>Capex Orcamentário_PE2026_2030_red_35_porcentoR3_consulta.xlsx</v>
      </c>
      <c r="D91" s="238" t="str">
        <f t="shared" si="7"/>
        <v>COO</v>
      </c>
      <c r="E91" s="238" t="str">
        <f t="shared" si="8"/>
        <v>Lucas Martins</v>
      </c>
      <c r="F91" s="237" t="str">
        <f>_xlfn.CONCAT(Tabela10[[#This Row],[VP]],Tabela10[[#This Row],[Analise Estrategia]])</f>
        <v>COO374</v>
      </c>
      <c r="G91" s="239" t="e">
        <f>_xlfn.CONCAT('Consolidado-Eletronorte'!#REF!,"_",ROW('Consolidado-Eletronorte'!#REF!)-ROW('Consolidado-Eletronorte'!$G$18))</f>
        <v>#REF!</v>
      </c>
      <c r="H91" s="239" t="s">
        <v>506</v>
      </c>
      <c r="I91" s="237" t="s">
        <v>507</v>
      </c>
      <c r="J91" s="239" t="s">
        <v>508</v>
      </c>
      <c r="K91" s="237" t="s">
        <v>509</v>
      </c>
      <c r="L91" s="237" t="s">
        <v>509</v>
      </c>
      <c r="M91" s="237" t="s">
        <v>800</v>
      </c>
      <c r="N91" s="237"/>
      <c r="O91" s="237"/>
      <c r="P91" s="237">
        <v>157189</v>
      </c>
      <c r="Q91" s="243" t="s">
        <v>314</v>
      </c>
      <c r="R91" s="239" t="s">
        <v>315</v>
      </c>
      <c r="S91" s="243" t="s">
        <v>314</v>
      </c>
      <c r="T91" s="237" t="s">
        <v>509</v>
      </c>
      <c r="U91" s="237" t="s">
        <v>509</v>
      </c>
      <c r="V91" s="237" t="s">
        <v>800</v>
      </c>
      <c r="W91" s="237" t="s">
        <v>800</v>
      </c>
      <c r="X91" s="237"/>
      <c r="Y91" s="237"/>
      <c r="Z91" s="396"/>
      <c r="AA91" s="237"/>
      <c r="AB91" s="396"/>
      <c r="AC91" s="239">
        <v>4500067440</v>
      </c>
      <c r="AD91" s="397">
        <v>61982755.399999999</v>
      </c>
      <c r="AE91" s="239" t="s">
        <v>801</v>
      </c>
      <c r="AF91" s="239" t="s">
        <v>802</v>
      </c>
      <c r="AG91" s="239" t="s">
        <v>803</v>
      </c>
      <c r="AH91" s="237" t="s">
        <v>276</v>
      </c>
      <c r="AI91" s="240">
        <v>0</v>
      </c>
      <c r="AJ91" s="240">
        <v>0</v>
      </c>
      <c r="AK91" s="240">
        <v>0</v>
      </c>
      <c r="AL91" s="240">
        <v>0</v>
      </c>
      <c r="AM91" s="240">
        <v>0</v>
      </c>
      <c r="AN91" s="240">
        <v>0</v>
      </c>
      <c r="AO91" s="240">
        <v>450000</v>
      </c>
      <c r="AP91" s="240">
        <v>0</v>
      </c>
      <c r="AQ91" s="240">
        <v>0</v>
      </c>
      <c r="AR91" s="240">
        <v>0</v>
      </c>
      <c r="AS91" s="240">
        <v>0</v>
      </c>
      <c r="AT91" s="240">
        <v>0</v>
      </c>
      <c r="AU91" s="240">
        <f>SUM(Tabela10[[#This Row],[jan/26]:[dez/26]])</f>
        <v>450000</v>
      </c>
      <c r="AV91" s="240">
        <v>0</v>
      </c>
      <c r="AW91" s="240">
        <v>0</v>
      </c>
      <c r="AX91" s="240">
        <v>0</v>
      </c>
      <c r="AY91" s="240">
        <v>0</v>
      </c>
      <c r="AZ91" s="240">
        <f>SUM(Tabela10[[#This Row],[2026]:[2030]])</f>
        <v>450000</v>
      </c>
      <c r="BA91" s="242">
        <v>0</v>
      </c>
      <c r="BB91" s="240">
        <v>0</v>
      </c>
      <c r="BC91" s="240">
        <v>0</v>
      </c>
      <c r="BD91" s="240">
        <v>0</v>
      </c>
      <c r="BE91" s="240">
        <v>0</v>
      </c>
      <c r="BF91" s="241">
        <f>SUM(Tabela10[[#This Row],[2026-2030]:[2035]])</f>
        <v>450000</v>
      </c>
      <c r="BG91" s="243" t="e" cm="1" vm="1">
        <f t="array" aca="1" ref="BG91" ca="1">_xlfn.SEQUENCE(COUNTA(Tabela10[Empresa]),1,1)</f>
        <v>#VALUE!</v>
      </c>
      <c r="BH91" s="243" t="s">
        <v>314</v>
      </c>
      <c r="BI91" s="243" t="e">
        <f>VLOOKUP(Tabela10[[#This Row],[ID real2]],[2]CONSOLIDADA!$AU:$AZ,6,FALSE)</f>
        <v>#N/A</v>
      </c>
      <c r="BJ91" s="243" t="s">
        <v>316</v>
      </c>
      <c r="BK91" s="243">
        <v>2024</v>
      </c>
      <c r="BL91" s="243" t="s">
        <v>804</v>
      </c>
      <c r="BM91" s="243" t="s">
        <v>805</v>
      </c>
      <c r="BN91" s="243" t="s">
        <v>314</v>
      </c>
      <c r="BO91" s="243" t="s">
        <v>517</v>
      </c>
      <c r="BP91" s="243" t="s">
        <v>518</v>
      </c>
      <c r="BQ91" s="243" t="s">
        <v>517</v>
      </c>
      <c r="BR91" s="346">
        <v>450000</v>
      </c>
      <c r="BS91" s="243" t="s">
        <v>540</v>
      </c>
      <c r="BT91" s="243" t="s">
        <v>314</v>
      </c>
      <c r="BU91" s="243" t="s">
        <v>806</v>
      </c>
      <c r="BV91" s="243" t="str">
        <f>Tabela10[[#This Row],[Descrição do projeto]]</f>
        <v>Monitoramento de buchas de transformador</v>
      </c>
    </row>
    <row r="92" spans="1:74" hidden="1" x14ac:dyDescent="0.35">
      <c r="A92" s="237">
        <v>276</v>
      </c>
      <c r="B92" s="237" t="e" cm="1">
        <f t="array" ref="B92">AND(ISTEXT('Consolidado-Eletronorte'!#REF!),SUM('Consolidado-Eletronorte'!#REF!)&gt;0)</f>
        <v>#REF!</v>
      </c>
      <c r="C92" s="237" t="str">
        <f t="shared" ca="1" si="6"/>
        <v>Capex Orcamentário_PE2026_2030_red_35_porcentoR3_consulta.xlsx</v>
      </c>
      <c r="D92" s="238" t="str">
        <f t="shared" si="7"/>
        <v>COO</v>
      </c>
      <c r="E92" s="238" t="str">
        <f t="shared" si="8"/>
        <v>Lucas Martins</v>
      </c>
      <c r="F92" s="237" t="str">
        <f>_xlfn.CONCAT(Tabela10[[#This Row],[VP]],Tabela10[[#This Row],[Analise Estrategia]])</f>
        <v>COO276</v>
      </c>
      <c r="G92" s="239" t="e">
        <f>_xlfn.CONCAT('Consolidado-Eletronorte'!#REF!,"_",ROW('Consolidado-Eletronorte'!#REF!)-ROW('Consolidado-Eletronorte'!$G$18))</f>
        <v>#REF!</v>
      </c>
      <c r="H92" s="239" t="s">
        <v>506</v>
      </c>
      <c r="I92" s="237" t="s">
        <v>507</v>
      </c>
      <c r="J92" s="239" t="s">
        <v>508</v>
      </c>
      <c r="K92" s="237" t="s">
        <v>509</v>
      </c>
      <c r="L92" s="237" t="s">
        <v>509</v>
      </c>
      <c r="M92" s="237" t="s">
        <v>577</v>
      </c>
      <c r="N92" s="237"/>
      <c r="O92" s="237"/>
      <c r="P92" s="237" t="s">
        <v>511</v>
      </c>
      <c r="Q92" s="243" t="s">
        <v>370</v>
      </c>
      <c r="R92" s="426" t="s">
        <v>371</v>
      </c>
      <c r="S92" s="243" t="s">
        <v>370</v>
      </c>
      <c r="T92" s="237" t="s">
        <v>509</v>
      </c>
      <c r="U92" s="237" t="s">
        <v>509</v>
      </c>
      <c r="V92" s="237" t="s">
        <v>577</v>
      </c>
      <c r="W92" s="237" t="s">
        <v>577</v>
      </c>
      <c r="X92" s="237"/>
      <c r="Y92" s="239" t="s">
        <v>564</v>
      </c>
      <c r="Z92" s="397"/>
      <c r="AA92" s="237"/>
      <c r="AB92" s="396"/>
      <c r="AC92" s="239"/>
      <c r="AD92" s="397"/>
      <c r="AE92" s="239"/>
      <c r="AF92" s="239"/>
      <c r="AG92" s="239" t="s">
        <v>371</v>
      </c>
      <c r="AH92" s="237" t="s">
        <v>319</v>
      </c>
      <c r="AI92" s="240">
        <v>0</v>
      </c>
      <c r="AJ92" s="240">
        <v>0</v>
      </c>
      <c r="AK92" s="240">
        <v>0</v>
      </c>
      <c r="AL92" s="240"/>
      <c r="AM92" s="240">
        <v>0</v>
      </c>
      <c r="AN92" s="240">
        <v>0</v>
      </c>
      <c r="AO92" s="240">
        <v>0</v>
      </c>
      <c r="AP92" s="240"/>
      <c r="AQ92" s="240">
        <v>0</v>
      </c>
      <c r="AR92" s="240">
        <v>0</v>
      </c>
      <c r="AS92" s="240"/>
      <c r="AT92" s="240">
        <v>0</v>
      </c>
      <c r="AU92" s="240">
        <f>SUM(Tabela10[[#This Row],[jan/26]:[dez/26]])</f>
        <v>0</v>
      </c>
      <c r="AV92" s="334">
        <v>900000</v>
      </c>
      <c r="AW92" s="240">
        <v>0</v>
      </c>
      <c r="AX92" s="240">
        <v>0</v>
      </c>
      <c r="AY92" s="240">
        <v>0</v>
      </c>
      <c r="AZ92" s="240">
        <f>SUM(Tabela10[[#This Row],[2026]:[2030]])</f>
        <v>900000</v>
      </c>
      <c r="BA92" s="242">
        <v>0</v>
      </c>
      <c r="BB92" s="240">
        <v>0</v>
      </c>
      <c r="BC92" s="240">
        <v>0</v>
      </c>
      <c r="BD92" s="240">
        <v>0</v>
      </c>
      <c r="BE92" s="240">
        <v>0</v>
      </c>
      <c r="BF92" s="241">
        <f>SUM(Tabela10[[#This Row],[2026-2030]:[2035]])</f>
        <v>900000</v>
      </c>
      <c r="BG92" s="243" t="e" cm="1" vm="1">
        <f t="array" aca="1" ref="BG92" ca="1">_xlfn.SEQUENCE(COUNTA(Tabela10[Empresa]),1,1)</f>
        <v>#VALUE!</v>
      </c>
      <c r="BH92" s="243" t="s">
        <v>370</v>
      </c>
      <c r="BI92" s="243" t="e">
        <f>VLOOKUP(Tabela10[[#This Row],[ID real2]],[2]CONSOLIDADA!$AU:$AZ,6,FALSE)</f>
        <v>#N/A</v>
      </c>
      <c r="BJ92" s="243" t="s">
        <v>349</v>
      </c>
      <c r="BK92" s="243">
        <v>2026</v>
      </c>
      <c r="BL92" s="243" t="s">
        <v>807</v>
      </c>
      <c r="BM92" s="243">
        <v>0</v>
      </c>
      <c r="BN92" s="243" t="s">
        <v>370</v>
      </c>
      <c r="BO92" s="243" t="s">
        <v>568</v>
      </c>
      <c r="BP92" s="243" t="s">
        <v>561</v>
      </c>
      <c r="BQ92" s="243" t="s">
        <v>570</v>
      </c>
      <c r="BR92" s="346">
        <v>900000</v>
      </c>
      <c r="BS92" s="243" t="s">
        <v>669</v>
      </c>
      <c r="BT92" s="243" t="s">
        <v>370</v>
      </c>
      <c r="BU92" s="243" t="s">
        <v>691</v>
      </c>
      <c r="BV92" s="243" t="str">
        <f>Tabela10[[#This Row],[Descrição do projeto]]</f>
        <v>sistema de ventilação e exaustão CF1, CF2, vertedouro e tomada agua</v>
      </c>
    </row>
    <row r="93" spans="1:74" hidden="1" x14ac:dyDescent="0.35">
      <c r="A93" s="237">
        <v>339</v>
      </c>
      <c r="B93" s="237" t="e" cm="1">
        <f t="array" ref="B93">AND(ISTEXT('Consolidado-Eletronorte'!#REF!),SUM('Consolidado-Eletronorte'!#REF!)&gt;0)</f>
        <v>#REF!</v>
      </c>
      <c r="C93" s="237" t="str">
        <f t="shared" ca="1" si="6"/>
        <v>Capex Orcamentário_PE2026_2030_red_35_porcentoR3_consulta.xlsx</v>
      </c>
      <c r="D93" s="238" t="str">
        <f t="shared" si="7"/>
        <v>COO</v>
      </c>
      <c r="E93" s="238" t="str">
        <f t="shared" si="8"/>
        <v>Lucas Martins</v>
      </c>
      <c r="F93" s="237" t="str">
        <f>_xlfn.CONCAT(Tabela10[[#This Row],[VP]],Tabela10[[#This Row],[Analise Estrategia]])</f>
        <v>COO339</v>
      </c>
      <c r="G93" s="239" t="e">
        <f>_xlfn.CONCAT('Consolidado-Eletronorte'!#REF!,"_",ROW('Consolidado-Eletronorte'!#REF!)-ROW('Consolidado-Eletronorte'!$G$18))</f>
        <v>#REF!</v>
      </c>
      <c r="H93" s="239" t="s">
        <v>506</v>
      </c>
      <c r="I93" s="237" t="s">
        <v>507</v>
      </c>
      <c r="J93" s="239" t="s">
        <v>508</v>
      </c>
      <c r="K93" s="237" t="s">
        <v>509</v>
      </c>
      <c r="L93" s="237" t="s">
        <v>509</v>
      </c>
      <c r="M93" s="237" t="s">
        <v>577</v>
      </c>
      <c r="N93" s="237"/>
      <c r="O93" s="237"/>
      <c r="P93" s="237" t="s">
        <v>612</v>
      </c>
      <c r="Q93" s="243" t="s">
        <v>218</v>
      </c>
      <c r="R93" s="239" t="s">
        <v>219</v>
      </c>
      <c r="S93" s="243" t="s">
        <v>218</v>
      </c>
      <c r="T93" s="237" t="s">
        <v>509</v>
      </c>
      <c r="U93" s="237" t="s">
        <v>509</v>
      </c>
      <c r="V93" s="237" t="s">
        <v>577</v>
      </c>
      <c r="W93" s="237" t="s">
        <v>577</v>
      </c>
      <c r="X93" s="237"/>
      <c r="Y93" s="239" t="s">
        <v>564</v>
      </c>
      <c r="Z93" s="397"/>
      <c r="AA93" s="237"/>
      <c r="AB93" s="396"/>
      <c r="AC93" s="239"/>
      <c r="AD93" s="397"/>
      <c r="AE93" s="239"/>
      <c r="AF93" s="239"/>
      <c r="AG93" s="239" t="s">
        <v>808</v>
      </c>
      <c r="AH93" s="237" t="s">
        <v>210</v>
      </c>
      <c r="AI93" s="240">
        <v>0</v>
      </c>
      <c r="AJ93" s="240">
        <v>0</v>
      </c>
      <c r="AK93" s="240">
        <v>0</v>
      </c>
      <c r="AL93" s="240">
        <v>0</v>
      </c>
      <c r="AM93" s="240">
        <v>0</v>
      </c>
      <c r="AN93" s="240">
        <v>0</v>
      </c>
      <c r="AO93" s="240">
        <v>0</v>
      </c>
      <c r="AP93" s="240">
        <v>0</v>
      </c>
      <c r="AQ93" s="240">
        <v>0</v>
      </c>
      <c r="AR93" s="240"/>
      <c r="AS93" s="240">
        <v>0</v>
      </c>
      <c r="AT93" s="240">
        <v>0</v>
      </c>
      <c r="AU93" s="334">
        <f>SUM(Tabela10[[#This Row],[jan/26]:[dez/26]])</f>
        <v>0</v>
      </c>
      <c r="AV93" s="334">
        <v>600000</v>
      </c>
      <c r="AW93" s="334">
        <v>300000</v>
      </c>
      <c r="AX93" s="240">
        <v>0</v>
      </c>
      <c r="AY93" s="240">
        <v>0</v>
      </c>
      <c r="AZ93" s="240">
        <f>SUM(Tabela10[[#This Row],[2026]:[2030]])</f>
        <v>900000</v>
      </c>
      <c r="BA93" s="242">
        <v>0</v>
      </c>
      <c r="BB93" s="240">
        <v>0</v>
      </c>
      <c r="BC93" s="240">
        <v>0</v>
      </c>
      <c r="BD93" s="240">
        <v>0</v>
      </c>
      <c r="BE93" s="240">
        <v>0</v>
      </c>
      <c r="BF93" s="241">
        <f>SUM(Tabela10[[#This Row],[2026-2030]:[2035]])</f>
        <v>900000</v>
      </c>
      <c r="BG93" s="243" t="e" cm="1" vm="1">
        <f t="array" aca="1" ref="BG93" ca="1">_xlfn.SEQUENCE(COUNTA(Tabela10[Empresa]),1,1)</f>
        <v>#VALUE!</v>
      </c>
      <c r="BH93" s="243" t="s">
        <v>218</v>
      </c>
      <c r="BI93" s="243" t="e">
        <f>VLOOKUP(Tabela10[[#This Row],[ID real2]],[2]CONSOLIDADA!$AU:$AZ,6,FALSE)</f>
        <v>#N/A</v>
      </c>
      <c r="BJ93" s="243" t="s">
        <v>155</v>
      </c>
      <c r="BK93" s="243">
        <v>2026</v>
      </c>
      <c r="BL93" s="243" t="s">
        <v>809</v>
      </c>
      <c r="BM93" s="243">
        <v>0</v>
      </c>
      <c r="BN93" s="243" t="s">
        <v>218</v>
      </c>
      <c r="BO93" s="243" t="s">
        <v>568</v>
      </c>
      <c r="BP93" s="243" t="s">
        <v>561</v>
      </c>
      <c r="BQ93" s="243" t="s">
        <v>570</v>
      </c>
      <c r="BR93" s="346">
        <v>300000</v>
      </c>
      <c r="BS93" s="243" t="s">
        <v>759</v>
      </c>
      <c r="BT93" s="243" t="s">
        <v>218</v>
      </c>
      <c r="BU93" s="243" t="s">
        <v>583</v>
      </c>
      <c r="BV93" s="243" t="str">
        <f>Tabela10[[#This Row],[Descrição do projeto]]</f>
        <v>Aquisição de novo GDE de 400KVA</v>
      </c>
    </row>
    <row r="94" spans="1:74" hidden="1" x14ac:dyDescent="0.35">
      <c r="A94" s="237">
        <v>288</v>
      </c>
      <c r="B94" s="237" t="e" cm="1">
        <f t="array" ref="B94">AND(ISTEXT('Consolidado-Eletronorte'!#REF!),SUM('Consolidado-Eletronorte'!#REF!)&gt;0)</f>
        <v>#REF!</v>
      </c>
      <c r="C94" s="237" t="str">
        <f t="shared" ca="1" si="6"/>
        <v>Capex Orcamentário_PE2026_2030_red_35_porcentoR3_consulta.xlsx</v>
      </c>
      <c r="D94" s="238" t="str">
        <f t="shared" si="7"/>
        <v>COO</v>
      </c>
      <c r="E94" s="238" t="str">
        <f t="shared" si="8"/>
        <v>Lucas Martins</v>
      </c>
      <c r="F94" s="237" t="str">
        <f>_xlfn.CONCAT(Tabela10[[#This Row],[VP]],Tabela10[[#This Row],[Analise Estrategia]])</f>
        <v>COO288</v>
      </c>
      <c r="G94" s="239" t="e">
        <f>_xlfn.CONCAT('Consolidado-Eletronorte'!#REF!,"_",ROW('Consolidado-Eletronorte'!#REF!)-ROW('Consolidado-Eletronorte'!$G$18))</f>
        <v>#REF!</v>
      </c>
      <c r="H94" s="239" t="s">
        <v>506</v>
      </c>
      <c r="I94" s="237" t="s">
        <v>507</v>
      </c>
      <c r="J94" s="239" t="s">
        <v>508</v>
      </c>
      <c r="K94" s="237" t="s">
        <v>509</v>
      </c>
      <c r="L94" s="237" t="s">
        <v>509</v>
      </c>
      <c r="M94" s="237" t="s">
        <v>577</v>
      </c>
      <c r="N94" s="237"/>
      <c r="O94" s="237"/>
      <c r="P94" s="237" t="s">
        <v>617</v>
      </c>
      <c r="Q94" s="243" t="s">
        <v>243</v>
      </c>
      <c r="R94" s="239" t="s">
        <v>244</v>
      </c>
      <c r="S94" s="243" t="s">
        <v>243</v>
      </c>
      <c r="T94" s="237" t="s">
        <v>509</v>
      </c>
      <c r="U94" s="237" t="s">
        <v>509</v>
      </c>
      <c r="V94" s="237" t="s">
        <v>577</v>
      </c>
      <c r="W94" s="237" t="s">
        <v>577</v>
      </c>
      <c r="X94" s="237"/>
      <c r="Y94" s="239" t="s">
        <v>564</v>
      </c>
      <c r="Z94" s="397"/>
      <c r="AA94" s="237"/>
      <c r="AB94" s="396"/>
      <c r="AC94" s="239"/>
      <c r="AD94" s="397"/>
      <c r="AE94" s="239"/>
      <c r="AF94" s="239"/>
      <c r="AG94" s="239" t="s">
        <v>810</v>
      </c>
      <c r="AH94" s="237" t="s">
        <v>229</v>
      </c>
      <c r="AI94" s="240">
        <v>0</v>
      </c>
      <c r="AJ94" s="240">
        <v>0</v>
      </c>
      <c r="AK94" s="240">
        <v>0</v>
      </c>
      <c r="AL94" s="240">
        <v>0</v>
      </c>
      <c r="AM94" s="240">
        <v>0</v>
      </c>
      <c r="AN94" s="240">
        <v>0</v>
      </c>
      <c r="AO94" s="240">
        <v>0</v>
      </c>
      <c r="AP94" s="240">
        <v>0</v>
      </c>
      <c r="AQ94" s="240">
        <v>0</v>
      </c>
      <c r="AR94" s="240">
        <v>0</v>
      </c>
      <c r="AS94" s="240">
        <v>0</v>
      </c>
      <c r="AT94" s="240"/>
      <c r="AU94" s="334">
        <f>SUM(Tabela10[[#This Row],[jan/26]:[dez/26]])</f>
        <v>0</v>
      </c>
      <c r="AV94" s="334">
        <v>600000</v>
      </c>
      <c r="AW94" s="334">
        <v>600000</v>
      </c>
      <c r="AX94" s="240">
        <v>0</v>
      </c>
      <c r="AY94" s="240">
        <v>0</v>
      </c>
      <c r="AZ94" s="240">
        <f>SUM(Tabela10[[#This Row],[2026]:[2030]])</f>
        <v>1200000</v>
      </c>
      <c r="BA94" s="242">
        <v>0</v>
      </c>
      <c r="BB94" s="240">
        <v>0</v>
      </c>
      <c r="BC94" s="240">
        <v>0</v>
      </c>
      <c r="BD94" s="240">
        <v>0</v>
      </c>
      <c r="BE94" s="240">
        <v>0</v>
      </c>
      <c r="BF94" s="241">
        <f>SUM(Tabela10[[#This Row],[2026-2030]:[2035]])</f>
        <v>1200000</v>
      </c>
      <c r="BG94" s="243" t="e" cm="1" vm="1">
        <f t="array" aca="1" ref="BG94" ca="1">_xlfn.SEQUENCE(COUNTA(Tabela10[Empresa]),1,1)</f>
        <v>#VALUE!</v>
      </c>
      <c r="BH94" s="243" t="s">
        <v>243</v>
      </c>
      <c r="BI94" s="243" t="e">
        <f>VLOOKUP(Tabela10[[#This Row],[ID real2]],[2]CONSOLIDADA!$AU:$AZ,6,FALSE)</f>
        <v>#N/A</v>
      </c>
      <c r="BJ94" s="243" t="s">
        <v>155</v>
      </c>
      <c r="BK94" s="243">
        <v>2026</v>
      </c>
      <c r="BL94" s="243" t="s">
        <v>811</v>
      </c>
      <c r="BM94" s="243">
        <v>0</v>
      </c>
      <c r="BN94" s="243" t="s">
        <v>243</v>
      </c>
      <c r="BO94" s="243" t="s">
        <v>568</v>
      </c>
      <c r="BP94" s="243" t="s">
        <v>561</v>
      </c>
      <c r="BQ94" s="243" t="s">
        <v>570</v>
      </c>
      <c r="BR94" s="346">
        <v>300000</v>
      </c>
      <c r="BS94" s="243" t="s">
        <v>759</v>
      </c>
      <c r="BT94" s="243" t="s">
        <v>243</v>
      </c>
      <c r="BU94" s="243" t="s">
        <v>583</v>
      </c>
      <c r="BV94" s="243" t="str">
        <f>Tabela10[[#This Row],[Descrição do projeto]]</f>
        <v>Modernização da Ponte Rolante e Porticos da Casa de Força e Vertedouro</v>
      </c>
    </row>
    <row r="95" spans="1:74" ht="14.5" hidden="1" customHeight="1" x14ac:dyDescent="0.35">
      <c r="A95" s="237">
        <v>357</v>
      </c>
      <c r="B95" s="237" t="e" cm="1">
        <f t="array" ref="B95">AND(ISTEXT('Consolidado-Eletronorte'!#REF!),SUM('Consolidado-Eletronorte'!#REF!)&gt;0)</f>
        <v>#REF!</v>
      </c>
      <c r="C95" s="237" t="str">
        <f t="shared" ca="1" si="6"/>
        <v>Capex Orcamentário_PE2026_2030_red_35_porcentoR3_consulta.xlsx</v>
      </c>
      <c r="D95" s="238" t="str">
        <f t="shared" si="7"/>
        <v>COO</v>
      </c>
      <c r="E95" s="238" t="str">
        <f t="shared" si="8"/>
        <v>Lucas Martins</v>
      </c>
      <c r="F95" s="237" t="str">
        <f>_xlfn.CONCAT(Tabela10[[#This Row],[VP]],Tabela10[[#This Row],[Analise Estrategia]])</f>
        <v>COO357</v>
      </c>
      <c r="G95" s="239" t="e">
        <f>_xlfn.CONCAT('Consolidado-Eletronorte'!#REF!,"_",ROW('Consolidado-Eletronorte'!#REF!)-ROW('Consolidado-Eletronorte'!$G$18))</f>
        <v>#REF!</v>
      </c>
      <c r="H95" s="239" t="s">
        <v>506</v>
      </c>
      <c r="I95" s="237" t="s">
        <v>507</v>
      </c>
      <c r="J95" s="239" t="s">
        <v>508</v>
      </c>
      <c r="K95" s="237" t="s">
        <v>509</v>
      </c>
      <c r="L95" s="237" t="s">
        <v>509</v>
      </c>
      <c r="M95" s="237" t="s">
        <v>577</v>
      </c>
      <c r="N95" s="237"/>
      <c r="O95" s="237"/>
      <c r="P95" s="237" t="s">
        <v>511</v>
      </c>
      <c r="Q95" s="243" t="s">
        <v>428</v>
      </c>
      <c r="R95" s="243" t="s">
        <v>429</v>
      </c>
      <c r="S95" s="243" t="s">
        <v>428</v>
      </c>
      <c r="T95" s="237" t="s">
        <v>509</v>
      </c>
      <c r="U95" s="237" t="s">
        <v>509</v>
      </c>
      <c r="V95" s="237" t="s">
        <v>577</v>
      </c>
      <c r="W95" s="237" t="s">
        <v>577</v>
      </c>
      <c r="X95" s="237"/>
      <c r="Y95" s="239">
        <v>3400005392</v>
      </c>
      <c r="Z95" s="397">
        <v>897510</v>
      </c>
      <c r="AA95" s="237"/>
      <c r="AB95" s="396"/>
      <c r="AC95" s="239"/>
      <c r="AD95" s="397"/>
      <c r="AE95" s="239"/>
      <c r="AF95" s="239"/>
      <c r="AG95" s="239" t="s">
        <v>812</v>
      </c>
      <c r="AH95" s="237" t="s">
        <v>319</v>
      </c>
      <c r="AI95" s="240">
        <v>0</v>
      </c>
      <c r="AJ95" s="240">
        <v>0</v>
      </c>
      <c r="AK95" s="240">
        <v>0</v>
      </c>
      <c r="AL95" s="240">
        <v>0</v>
      </c>
      <c r="AM95" s="240">
        <v>0</v>
      </c>
      <c r="AN95" s="240"/>
      <c r="AO95" s="240"/>
      <c r="AP95" s="240">
        <v>0</v>
      </c>
      <c r="AQ95" s="240">
        <v>0</v>
      </c>
      <c r="AR95" s="240">
        <v>0</v>
      </c>
      <c r="AS95" s="240"/>
      <c r="AT95" s="240">
        <v>0</v>
      </c>
      <c r="AU95" s="334">
        <f>SUM(Tabela10[[#This Row],[jan/26]:[dez/26]])</f>
        <v>0</v>
      </c>
      <c r="AV95" s="334">
        <v>897510</v>
      </c>
      <c r="AW95" s="334"/>
      <c r="AX95" s="240">
        <v>0</v>
      </c>
      <c r="AY95" s="240">
        <v>0</v>
      </c>
      <c r="AZ95" s="240">
        <f>SUM(Tabela10[[#This Row],[2026]:[2030]])</f>
        <v>897510</v>
      </c>
      <c r="BA95" s="242">
        <v>0</v>
      </c>
      <c r="BB95" s="240">
        <v>0</v>
      </c>
      <c r="BC95" s="240">
        <v>0</v>
      </c>
      <c r="BD95" s="240">
        <v>0</v>
      </c>
      <c r="BE95" s="240">
        <v>0</v>
      </c>
      <c r="BF95" s="241">
        <f>SUM(Tabela10[[#This Row],[2026-2030]:[2035]])</f>
        <v>897510</v>
      </c>
      <c r="BG95" s="243" t="e" cm="1" vm="1">
        <f t="array" aca="1" ref="BG95" ca="1">_xlfn.SEQUENCE(COUNTA(Tabela10[Empresa]),1,1)</f>
        <v>#VALUE!</v>
      </c>
      <c r="BH95" s="243" t="s">
        <v>428</v>
      </c>
      <c r="BI95" s="243" t="e">
        <f>VLOOKUP(Tabela10[[#This Row],[ID real2]],[2]CONSOLIDADA!$AU:$AZ,6,FALSE)</f>
        <v>#N/A</v>
      </c>
      <c r="BJ95" s="243" t="s">
        <v>155</v>
      </c>
      <c r="BK95" s="243">
        <v>2025</v>
      </c>
      <c r="BL95" s="243" t="s">
        <v>813</v>
      </c>
      <c r="BM95" s="243" t="s">
        <v>746</v>
      </c>
      <c r="BN95" s="243" t="s">
        <v>428</v>
      </c>
      <c r="BO95" s="243" t="s">
        <v>581</v>
      </c>
      <c r="BP95" s="243" t="s">
        <v>569</v>
      </c>
      <c r="BQ95" s="243" t="s">
        <v>552</v>
      </c>
      <c r="BR95" s="346">
        <v>1000000</v>
      </c>
      <c r="BS95" s="243" t="s">
        <v>669</v>
      </c>
      <c r="BT95" s="243" t="s">
        <v>428</v>
      </c>
      <c r="BU95" s="243" t="s">
        <v>583</v>
      </c>
      <c r="BV95" s="243" t="str">
        <f>Tabela10[[#This Row],[Descrição do projeto]]</f>
        <v>Aquisição de DCP para UHE Tucuruí</v>
      </c>
    </row>
    <row r="96" spans="1:74" ht="14.5" hidden="1" customHeight="1" x14ac:dyDescent="0.35">
      <c r="A96" s="237">
        <v>275</v>
      </c>
      <c r="B96" s="237" t="e" cm="1">
        <f t="array" ref="B96">AND(ISTEXT('Consolidado-Eletronorte'!#REF!),SUM('Consolidado-Eletronorte'!#REF!)&gt;0)</f>
        <v>#REF!</v>
      </c>
      <c r="C96" s="237" t="str">
        <f t="shared" ca="1" si="6"/>
        <v>Capex Orcamentário_PE2026_2030_red_35_porcentoR3_consulta.xlsx</v>
      </c>
      <c r="D96" s="238" t="str">
        <f t="shared" si="7"/>
        <v>COO</v>
      </c>
      <c r="E96" s="238" t="str">
        <f t="shared" si="8"/>
        <v>Lucas Martins</v>
      </c>
      <c r="F96" s="237" t="str">
        <f>_xlfn.CONCAT(Tabela10[[#This Row],[VP]],Tabela10[[#This Row],[Analise Estrategia]])</f>
        <v>COO275</v>
      </c>
      <c r="G96" s="239" t="e">
        <f>_xlfn.CONCAT('Consolidado-Eletronorte'!#REF!,"_",ROW('Consolidado-Eletronorte'!#REF!)-ROW('Consolidado-Eletronorte'!$G$18))</f>
        <v>#REF!</v>
      </c>
      <c r="H96" s="239" t="s">
        <v>506</v>
      </c>
      <c r="I96" s="237" t="s">
        <v>507</v>
      </c>
      <c r="J96" s="239" t="s">
        <v>508</v>
      </c>
      <c r="K96" s="237" t="s">
        <v>509</v>
      </c>
      <c r="L96" s="237" t="s">
        <v>509</v>
      </c>
      <c r="M96" s="237" t="s">
        <v>577</v>
      </c>
      <c r="N96" s="237"/>
      <c r="O96" s="237"/>
      <c r="P96" s="237" t="s">
        <v>511</v>
      </c>
      <c r="Q96" s="243" t="s">
        <v>372</v>
      </c>
      <c r="R96" s="239" t="s">
        <v>373</v>
      </c>
      <c r="S96" s="243" t="s">
        <v>372</v>
      </c>
      <c r="T96" s="237" t="s">
        <v>509</v>
      </c>
      <c r="U96" s="237" t="s">
        <v>509</v>
      </c>
      <c r="V96" s="237" t="s">
        <v>577</v>
      </c>
      <c r="W96" s="237" t="s">
        <v>577</v>
      </c>
      <c r="X96" s="237"/>
      <c r="Y96" s="239" t="s">
        <v>564</v>
      </c>
      <c r="Z96" s="397"/>
      <c r="AA96" s="237"/>
      <c r="AB96" s="396"/>
      <c r="AC96" s="239"/>
      <c r="AD96" s="397"/>
      <c r="AE96" s="239"/>
      <c r="AF96" s="239"/>
      <c r="AG96" s="239" t="s">
        <v>814</v>
      </c>
      <c r="AH96" s="237" t="s">
        <v>319</v>
      </c>
      <c r="AI96" s="240">
        <v>0</v>
      </c>
      <c r="AJ96" s="240">
        <v>0</v>
      </c>
      <c r="AK96" s="240"/>
      <c r="AL96" s="240">
        <v>0</v>
      </c>
      <c r="AM96" s="240">
        <v>0</v>
      </c>
      <c r="AN96" s="240"/>
      <c r="AO96" s="240">
        <v>0</v>
      </c>
      <c r="AP96" s="240"/>
      <c r="AQ96" s="240"/>
      <c r="AR96" s="240"/>
      <c r="AS96" s="240"/>
      <c r="AT96" s="240">
        <v>0</v>
      </c>
      <c r="AU96" s="240">
        <f>SUM(Tabela10[[#This Row],[jan/26]:[dez/26]])</f>
        <v>0</v>
      </c>
      <c r="AV96" s="334">
        <v>720000</v>
      </c>
      <c r="AW96" s="240">
        <v>0</v>
      </c>
      <c r="AX96" s="240">
        <v>0</v>
      </c>
      <c r="AY96" s="240">
        <v>0</v>
      </c>
      <c r="AZ96" s="240">
        <f>SUM(Tabela10[[#This Row],[2026]:[2030]])</f>
        <v>720000</v>
      </c>
      <c r="BA96" s="242">
        <v>0</v>
      </c>
      <c r="BB96" s="240">
        <v>0</v>
      </c>
      <c r="BC96" s="240">
        <v>0</v>
      </c>
      <c r="BD96" s="240">
        <v>0</v>
      </c>
      <c r="BE96" s="240">
        <v>0</v>
      </c>
      <c r="BF96" s="241">
        <f>SUM(Tabela10[[#This Row],[2026-2030]:[2035]])</f>
        <v>720000</v>
      </c>
      <c r="BG96" s="243" t="e" cm="1" vm="1">
        <f t="array" aca="1" ref="BG96" ca="1">_xlfn.SEQUENCE(COUNTA(Tabela10[Empresa]),1,1)</f>
        <v>#VALUE!</v>
      </c>
      <c r="BH96" s="243" t="s">
        <v>372</v>
      </c>
      <c r="BI96" s="243" t="e">
        <f>VLOOKUP(Tabela10[[#This Row],[ID real2]],[2]CONSOLIDADA!$AU:$AZ,6,FALSE)</f>
        <v>#N/A</v>
      </c>
      <c r="BJ96" s="243" t="s">
        <v>155</v>
      </c>
      <c r="BK96" s="243">
        <v>2026</v>
      </c>
      <c r="BL96" s="243" t="s">
        <v>815</v>
      </c>
      <c r="BM96" s="243">
        <v>0</v>
      </c>
      <c r="BN96" s="243" t="s">
        <v>372</v>
      </c>
      <c r="BO96" s="243" t="s">
        <v>568</v>
      </c>
      <c r="BP96" s="243" t="s">
        <v>561</v>
      </c>
      <c r="BQ96" s="243" t="s">
        <v>570</v>
      </c>
      <c r="BR96" s="346">
        <v>720000</v>
      </c>
      <c r="BS96" s="243" t="s">
        <v>669</v>
      </c>
      <c r="BT96" s="243" t="s">
        <v>372</v>
      </c>
      <c r="BU96" s="243" t="s">
        <v>583</v>
      </c>
      <c r="BV96" s="243" t="str">
        <f>Tabela10[[#This Row],[Descrição do projeto]]</f>
        <v>sistema de drenagem tampa turbina CF1, UG01,02,03,04,05,06,07,08,09,10,11 e 12</v>
      </c>
    </row>
    <row r="97" spans="1:74" x14ac:dyDescent="0.35">
      <c r="A97" s="237">
        <v>274</v>
      </c>
      <c r="B97" s="237" t="e" cm="1">
        <f t="array" ref="B97">AND(ISTEXT('Consolidado-Eletronorte'!#REF!),SUM('Consolidado-Eletronorte'!#REF!)&gt;0)</f>
        <v>#REF!</v>
      </c>
      <c r="C97" s="237" t="str">
        <f t="shared" ca="1" si="6"/>
        <v>Capex Orcamentário_PE2026_2030_red_35_porcentoR3_consulta.xlsx</v>
      </c>
      <c r="D97" s="238" t="str">
        <f t="shared" si="7"/>
        <v>COO</v>
      </c>
      <c r="E97" s="238" t="str">
        <f t="shared" si="8"/>
        <v>Lucas Martins</v>
      </c>
      <c r="F97" s="237" t="str">
        <f>_xlfn.CONCAT(Tabela10[[#This Row],[VP]],Tabela10[[#This Row],[Analise Estrategia]])</f>
        <v>COO274</v>
      </c>
      <c r="G97" s="239" t="e">
        <f>_xlfn.CONCAT('Consolidado-Eletronorte'!#REF!,"_",ROW('Consolidado-Eletronorte'!#REF!)-ROW('Consolidado-Eletronorte'!$G$18))</f>
        <v>#REF!</v>
      </c>
      <c r="H97" s="239" t="s">
        <v>506</v>
      </c>
      <c r="I97" s="237" t="s">
        <v>507</v>
      </c>
      <c r="J97" s="239" t="s">
        <v>508</v>
      </c>
      <c r="K97" s="237" t="s">
        <v>509</v>
      </c>
      <c r="L97" s="237" t="s">
        <v>509</v>
      </c>
      <c r="M97" s="428" t="s">
        <v>555</v>
      </c>
      <c r="N97" s="237"/>
      <c r="O97" s="237"/>
      <c r="P97" s="237" t="s">
        <v>511</v>
      </c>
      <c r="Q97" s="243" t="s">
        <v>378</v>
      </c>
      <c r="R97" s="239" t="s">
        <v>379</v>
      </c>
      <c r="S97" s="243" t="s">
        <v>378</v>
      </c>
      <c r="T97" s="237" t="s">
        <v>509</v>
      </c>
      <c r="U97" s="237" t="s">
        <v>509</v>
      </c>
      <c r="V97" s="237" t="s">
        <v>555</v>
      </c>
      <c r="W97" s="237" t="s">
        <v>555</v>
      </c>
      <c r="X97" s="237" t="s">
        <v>816</v>
      </c>
      <c r="Y97" s="239"/>
      <c r="Z97" s="397"/>
      <c r="AA97" s="422"/>
      <c r="AB97" s="396"/>
      <c r="AC97" s="239">
        <v>4500097004</v>
      </c>
      <c r="AD97" s="397">
        <v>918100</v>
      </c>
      <c r="AE97" s="239"/>
      <c r="AF97" s="239"/>
      <c r="AG97" s="239" t="s">
        <v>817</v>
      </c>
      <c r="AH97" s="237" t="s">
        <v>319</v>
      </c>
      <c r="AI97" s="240">
        <v>0</v>
      </c>
      <c r="AJ97" s="240">
        <v>0</v>
      </c>
      <c r="AK97" s="240">
        <v>0</v>
      </c>
      <c r="AL97" s="240">
        <v>0</v>
      </c>
      <c r="AM97" s="240">
        <v>0</v>
      </c>
      <c r="AN97" s="240">
        <v>0</v>
      </c>
      <c r="AO97" s="240">
        <v>0</v>
      </c>
      <c r="AP97" s="240">
        <v>0</v>
      </c>
      <c r="AQ97" s="240">
        <v>0</v>
      </c>
      <c r="AR97" s="240">
        <v>350000</v>
      </c>
      <c r="AS97" s="240">
        <v>0</v>
      </c>
      <c r="AT97" s="240">
        <v>0</v>
      </c>
      <c r="AU97" s="240">
        <f>SUM(Tabela10[[#This Row],[jan/26]:[dez/26]])</f>
        <v>350000</v>
      </c>
      <c r="AV97" s="240">
        <v>350000</v>
      </c>
      <c r="AW97" s="240">
        <v>0</v>
      </c>
      <c r="AX97" s="240">
        <v>0</v>
      </c>
      <c r="AY97" s="240">
        <v>0</v>
      </c>
      <c r="AZ97" s="240">
        <f>SUM(Tabela10[[#This Row],[2026]:[2030]])</f>
        <v>700000</v>
      </c>
      <c r="BA97" s="242">
        <v>0</v>
      </c>
      <c r="BB97" s="240">
        <v>0</v>
      </c>
      <c r="BC97" s="240">
        <v>0</v>
      </c>
      <c r="BD97" s="240">
        <v>0</v>
      </c>
      <c r="BE97" s="240">
        <v>0</v>
      </c>
      <c r="BF97" s="241">
        <f>SUM(Tabela10[[#This Row],[2026-2030]:[2035]])</f>
        <v>700000</v>
      </c>
      <c r="BG97" s="243" t="e" cm="1" vm="1">
        <f t="array" aca="1" ref="BG97" ca="1">_xlfn.SEQUENCE(COUNTA(Tabela10[Empresa]),1,1)</f>
        <v>#VALUE!</v>
      </c>
      <c r="BH97" s="243" t="s">
        <v>378</v>
      </c>
      <c r="BI97" s="243" t="e">
        <f>VLOOKUP(Tabela10[[#This Row],[ID real2]],[2]CONSOLIDADA!$AU:$AZ,6,FALSE)</f>
        <v>#N/A</v>
      </c>
      <c r="BJ97" s="243" t="s">
        <v>341</v>
      </c>
      <c r="BK97" s="243">
        <v>2025</v>
      </c>
      <c r="BL97" s="243" t="s">
        <v>818</v>
      </c>
      <c r="BM97" s="243" t="s">
        <v>580</v>
      </c>
      <c r="BN97" s="243" t="s">
        <v>378</v>
      </c>
      <c r="BO97" s="243" t="s">
        <v>628</v>
      </c>
      <c r="BP97" s="243" t="s">
        <v>569</v>
      </c>
      <c r="BQ97" s="243" t="s">
        <v>570</v>
      </c>
      <c r="BR97" s="346">
        <v>350000</v>
      </c>
      <c r="BS97" s="243" t="s">
        <v>540</v>
      </c>
      <c r="BT97" s="243" t="s">
        <v>378</v>
      </c>
      <c r="BU97" s="243" t="s">
        <v>576</v>
      </c>
      <c r="BV97" s="243" t="str">
        <f>Tabela10[[#This Row],[Descrição do projeto]]</f>
        <v>Aquisição de conjunto completo da junta de vedação do eixo (UGH18): parte fixa e móvel</v>
      </c>
    </row>
    <row r="98" spans="1:74" hidden="1" x14ac:dyDescent="0.35">
      <c r="A98" s="237">
        <v>385</v>
      </c>
      <c r="B98" s="237" t="e" cm="1">
        <f t="array" ref="B98">AND(ISTEXT('Consolidado-Eletronorte'!#REF!),SUM('Consolidado-Eletronorte'!#REF!)&gt;0)</f>
        <v>#REF!</v>
      </c>
      <c r="C98" s="237" t="str">
        <f t="shared" ca="1" si="6"/>
        <v>Capex Orcamentário_PE2026_2030_red_35_porcentoR3_consulta.xlsx</v>
      </c>
      <c r="D98" s="238" t="str">
        <f t="shared" si="7"/>
        <v>COO</v>
      </c>
      <c r="E98" s="238" t="str">
        <f t="shared" si="8"/>
        <v>Lucas Martins</v>
      </c>
      <c r="F98" s="237" t="str">
        <f>_xlfn.CONCAT(Tabela10[[#This Row],[VP]],Tabela10[[#This Row],[Analise Estrategia]])</f>
        <v>COO385</v>
      </c>
      <c r="G98" s="239" t="e">
        <f>_xlfn.CONCAT('Consolidado-Eletronorte'!#REF!,"_",ROW('Consolidado-Eletronorte'!#REF!)-ROW('Consolidado-Eletronorte'!$G$18))</f>
        <v>#REF!</v>
      </c>
      <c r="H98" s="239" t="s">
        <v>506</v>
      </c>
      <c r="I98" s="237" t="s">
        <v>507</v>
      </c>
      <c r="J98" s="239" t="s">
        <v>508</v>
      </c>
      <c r="K98" s="237" t="s">
        <v>509</v>
      </c>
      <c r="L98" s="237" t="s">
        <v>509</v>
      </c>
      <c r="M98" s="237" t="s">
        <v>555</v>
      </c>
      <c r="N98" s="237"/>
      <c r="O98" s="237"/>
      <c r="P98" s="237" t="s">
        <v>587</v>
      </c>
      <c r="Q98" s="243" t="s">
        <v>206</v>
      </c>
      <c r="R98" s="239" t="s">
        <v>207</v>
      </c>
      <c r="S98" s="243" t="s">
        <v>206</v>
      </c>
      <c r="T98" s="237" t="s">
        <v>509</v>
      </c>
      <c r="U98" s="237" t="s">
        <v>509</v>
      </c>
      <c r="V98" s="237" t="s">
        <v>555</v>
      </c>
      <c r="W98" s="237" t="s">
        <v>555</v>
      </c>
      <c r="X98" s="237"/>
      <c r="Y98" s="239">
        <v>3500006131</v>
      </c>
      <c r="Z98" s="397">
        <v>524597.63</v>
      </c>
      <c r="AA98" s="237"/>
      <c r="AB98" s="396"/>
      <c r="AC98" s="239"/>
      <c r="AD98" s="397"/>
      <c r="AE98" s="239"/>
      <c r="AF98" s="239"/>
      <c r="AG98" s="239" t="s">
        <v>819</v>
      </c>
      <c r="AH98" s="237" t="s">
        <v>158</v>
      </c>
      <c r="AI98" s="240">
        <v>0</v>
      </c>
      <c r="AJ98" s="240">
        <v>0</v>
      </c>
      <c r="AK98" s="240">
        <v>0</v>
      </c>
      <c r="AL98" s="240">
        <v>0</v>
      </c>
      <c r="AM98" s="240">
        <v>150000</v>
      </c>
      <c r="AN98" s="240">
        <v>0</v>
      </c>
      <c r="AO98" s="240">
        <v>200000</v>
      </c>
      <c r="AP98" s="240">
        <v>0</v>
      </c>
      <c r="AQ98" s="240">
        <v>150000</v>
      </c>
      <c r="AR98" s="240">
        <v>0</v>
      </c>
      <c r="AS98" s="240">
        <v>100000</v>
      </c>
      <c r="AT98" s="240">
        <v>0</v>
      </c>
      <c r="AU98" s="334">
        <f>SUM(Tabela10[[#This Row],[jan/26]:[dez/26]])</f>
        <v>600000</v>
      </c>
      <c r="AV98" s="334">
        <v>500000</v>
      </c>
      <c r="AW98" s="240">
        <v>0</v>
      </c>
      <c r="AX98" s="240">
        <v>0</v>
      </c>
      <c r="AY98" s="240">
        <v>0</v>
      </c>
      <c r="AZ98" s="240">
        <f>SUM(Tabela10[[#This Row],[2026]:[2030]])</f>
        <v>1100000</v>
      </c>
      <c r="BA98" s="242">
        <v>0</v>
      </c>
      <c r="BB98" s="240">
        <v>0</v>
      </c>
      <c r="BC98" s="240">
        <v>0</v>
      </c>
      <c r="BD98" s="240">
        <v>0</v>
      </c>
      <c r="BE98" s="240">
        <v>0</v>
      </c>
      <c r="BF98" s="241">
        <f>SUM(Tabela10[[#This Row],[2026-2030]:[2035]])</f>
        <v>1100000</v>
      </c>
      <c r="BG98" s="243" t="e" cm="1" vm="1">
        <f t="array" aca="1" ref="BG98" ca="1">_xlfn.SEQUENCE(COUNTA(Tabela10[Empresa]),1,1)</f>
        <v>#VALUE!</v>
      </c>
      <c r="BH98" s="243" t="s">
        <v>206</v>
      </c>
      <c r="BI98" s="243" t="e">
        <f>VLOOKUP(Tabela10[[#This Row],[ID real2]],[2]CONSOLIDADA!$AU:$AZ,6,FALSE)</f>
        <v>#N/A</v>
      </c>
      <c r="BJ98" s="243" t="s">
        <v>159</v>
      </c>
      <c r="BK98" s="243">
        <v>2026</v>
      </c>
      <c r="BL98" s="243" t="s">
        <v>820</v>
      </c>
      <c r="BM98" s="243">
        <v>0</v>
      </c>
      <c r="BN98" s="243" t="s">
        <v>206</v>
      </c>
      <c r="BO98" s="243" t="s">
        <v>550</v>
      </c>
      <c r="BP98" s="243" t="s">
        <v>561</v>
      </c>
      <c r="BQ98" s="243" t="s">
        <v>570</v>
      </c>
      <c r="BR98" s="346">
        <v>600000</v>
      </c>
      <c r="BS98" s="243" t="s">
        <v>821</v>
      </c>
      <c r="BT98" s="243" t="s">
        <v>206</v>
      </c>
      <c r="BU98" s="243" t="s">
        <v>592</v>
      </c>
      <c r="BV98" s="243" t="str">
        <f>Tabela10[[#This Row],[Descrição do projeto]]</f>
        <v>Sistema de Ventilação e exaustão das  galerias da UHE Balbina.</v>
      </c>
    </row>
    <row r="99" spans="1:74" hidden="1" x14ac:dyDescent="0.35">
      <c r="A99" s="237">
        <v>316</v>
      </c>
      <c r="B99" s="237" t="e" cm="1">
        <f t="array" ref="B99">AND(ISTEXT('Consolidado-Eletronorte'!#REF!),SUM('Consolidado-Eletronorte'!#REF!)&gt;0)</f>
        <v>#REF!</v>
      </c>
      <c r="C99" s="237" t="str">
        <f t="shared" ca="1" si="6"/>
        <v>Capex Orcamentário_PE2026_2030_red_35_porcentoR3_consulta.xlsx</v>
      </c>
      <c r="D99" s="238" t="str">
        <f t="shared" si="7"/>
        <v>COO</v>
      </c>
      <c r="E99" s="238" t="str">
        <f t="shared" si="8"/>
        <v>Lucas Martins</v>
      </c>
      <c r="F99" s="237" t="str">
        <f>_xlfn.CONCAT(Tabela10[[#This Row],[VP]],Tabela10[[#This Row],[Analise Estrategia]])</f>
        <v>COO316</v>
      </c>
      <c r="G99" s="239" t="e">
        <f>_xlfn.CONCAT('Consolidado-Eletronorte'!#REF!,"_",ROW('Consolidado-Eletronorte'!#REF!)-ROW('Consolidado-Eletronorte'!$G$18))</f>
        <v>#REF!</v>
      </c>
      <c r="H99" s="239" t="s">
        <v>506</v>
      </c>
      <c r="I99" s="237" t="s">
        <v>507</v>
      </c>
      <c r="J99" s="239" t="s">
        <v>508</v>
      </c>
      <c r="K99" s="237" t="s">
        <v>509</v>
      </c>
      <c r="L99" s="237" t="s">
        <v>509</v>
      </c>
      <c r="M99" s="237" t="s">
        <v>555</v>
      </c>
      <c r="N99" s="237"/>
      <c r="O99" s="237"/>
      <c r="P99" s="237">
        <v>157189</v>
      </c>
      <c r="Q99" s="243" t="s">
        <v>310</v>
      </c>
      <c r="R99" s="239" t="s">
        <v>311</v>
      </c>
      <c r="S99" s="243" t="s">
        <v>310</v>
      </c>
      <c r="T99" s="237" t="s">
        <v>509</v>
      </c>
      <c r="U99" s="237" t="s">
        <v>509</v>
      </c>
      <c r="V99" s="237" t="s">
        <v>555</v>
      </c>
      <c r="W99" s="237" t="s">
        <v>555</v>
      </c>
      <c r="X99" s="237"/>
      <c r="Y99" s="239" t="s">
        <v>564</v>
      </c>
      <c r="Z99" s="397"/>
      <c r="AA99" s="237"/>
      <c r="AB99" s="396"/>
      <c r="AC99" s="239"/>
      <c r="AD99" s="397"/>
      <c r="AE99" s="239"/>
      <c r="AF99" s="239"/>
      <c r="AG99" s="239" t="s">
        <v>822</v>
      </c>
      <c r="AH99" s="237" t="s">
        <v>276</v>
      </c>
      <c r="AI99" s="240">
        <v>0</v>
      </c>
      <c r="AJ99" s="240">
        <v>0</v>
      </c>
      <c r="AK99" s="240">
        <v>0</v>
      </c>
      <c r="AL99" s="240">
        <v>0</v>
      </c>
      <c r="AM99" s="240">
        <v>0</v>
      </c>
      <c r="AN99" s="240">
        <v>0</v>
      </c>
      <c r="AO99" s="240">
        <v>0</v>
      </c>
      <c r="AP99" s="240">
        <v>0</v>
      </c>
      <c r="AQ99" s="240">
        <v>0</v>
      </c>
      <c r="AR99" s="240">
        <v>0</v>
      </c>
      <c r="AS99" s="240">
        <v>300000</v>
      </c>
      <c r="AT99" s="240">
        <v>0</v>
      </c>
      <c r="AU99" s="334">
        <f>SUM(Tabela10[[#This Row],[jan/26]:[dez/26]])</f>
        <v>300000</v>
      </c>
      <c r="AV99" s="334">
        <v>200000</v>
      </c>
      <c r="AW99" s="240">
        <v>0</v>
      </c>
      <c r="AX99" s="240">
        <v>0</v>
      </c>
      <c r="AY99" s="240">
        <v>0</v>
      </c>
      <c r="AZ99" s="240">
        <f>SUM(Tabela10[[#This Row],[2026]:[2030]])</f>
        <v>500000</v>
      </c>
      <c r="BA99" s="242">
        <v>0</v>
      </c>
      <c r="BB99" s="240">
        <v>0</v>
      </c>
      <c r="BC99" s="240">
        <v>0</v>
      </c>
      <c r="BD99" s="240">
        <v>0</v>
      </c>
      <c r="BE99" s="240">
        <v>0</v>
      </c>
      <c r="BF99" s="241">
        <f>SUM(Tabela10[[#This Row],[2026-2030]:[2035]])</f>
        <v>500000</v>
      </c>
      <c r="BG99" s="243" t="e" cm="1" vm="1">
        <f t="array" aca="1" ref="BG99" ca="1">_xlfn.SEQUENCE(COUNTA(Tabela10[Empresa]),1,1)</f>
        <v>#VALUE!</v>
      </c>
      <c r="BH99" s="243" t="s">
        <v>310</v>
      </c>
      <c r="BI99" s="243" t="e">
        <f>VLOOKUP(Tabela10[[#This Row],[ID real2]],[2]CONSOLIDADA!$AU:$AZ,6,FALSE)</f>
        <v>#N/A</v>
      </c>
      <c r="BJ99" s="243" t="s">
        <v>211</v>
      </c>
      <c r="BK99" s="243">
        <v>2026</v>
      </c>
      <c r="BL99" s="243" t="s">
        <v>823</v>
      </c>
      <c r="BM99" s="243">
        <v>0</v>
      </c>
      <c r="BN99" s="243" t="s">
        <v>310</v>
      </c>
      <c r="BO99" s="243" t="s">
        <v>628</v>
      </c>
      <c r="BP99" s="243" t="s">
        <v>561</v>
      </c>
      <c r="BQ99" s="243" t="s">
        <v>570</v>
      </c>
      <c r="BR99" s="346">
        <v>300000</v>
      </c>
      <c r="BS99" s="243" t="s">
        <v>591</v>
      </c>
      <c r="BT99" s="243" t="s">
        <v>310</v>
      </c>
      <c r="BU99" s="243" t="s">
        <v>673</v>
      </c>
      <c r="BV99" s="243" t="str">
        <f>Tabela10[[#This Row],[Descrição do projeto]]</f>
        <v>Aquisição de banco de baterias 125VCC</v>
      </c>
    </row>
    <row r="100" spans="1:74" x14ac:dyDescent="0.35">
      <c r="A100" s="237">
        <v>298</v>
      </c>
      <c r="B100" s="237" t="e" cm="1">
        <f t="array" ref="B100">AND(ISTEXT('Consolidado-Eletronorte'!#REF!),SUM('Consolidado-Eletronorte'!#REF!)&gt;0)</f>
        <v>#REF!</v>
      </c>
      <c r="C100" s="237" t="str">
        <f t="shared" ca="1" si="6"/>
        <v>Capex Orcamentário_PE2026_2030_red_35_porcentoR3_consulta.xlsx</v>
      </c>
      <c r="D100" s="238" t="str">
        <f t="shared" si="7"/>
        <v>COO</v>
      </c>
      <c r="E100" s="238" t="str">
        <f t="shared" si="8"/>
        <v>Lucas Martins</v>
      </c>
      <c r="F100" s="237" t="str">
        <f>_xlfn.CONCAT(Tabela10[[#This Row],[VP]],Tabela10[[#This Row],[Analise Estrategia]])</f>
        <v>COO298</v>
      </c>
      <c r="G100" s="239" t="e">
        <f>_xlfn.CONCAT('Consolidado-Eletronorte'!#REF!,"_",ROW('Consolidado-Eletronorte'!#REF!)-ROW('Consolidado-Eletronorte'!$G$18))</f>
        <v>#REF!</v>
      </c>
      <c r="H100" s="239" t="s">
        <v>506</v>
      </c>
      <c r="I100" s="237" t="s">
        <v>507</v>
      </c>
      <c r="J100" s="239" t="s">
        <v>508</v>
      </c>
      <c r="K100" s="237" t="s">
        <v>509</v>
      </c>
      <c r="L100" s="237" t="s">
        <v>509</v>
      </c>
      <c r="M100" s="428" t="s">
        <v>555</v>
      </c>
      <c r="N100" s="237" t="s">
        <v>255</v>
      </c>
      <c r="O100" s="237"/>
      <c r="P100" s="237" t="s">
        <v>617</v>
      </c>
      <c r="Q100" s="243" t="s">
        <v>255</v>
      </c>
      <c r="R100" s="239" t="s">
        <v>256</v>
      </c>
      <c r="S100" s="243" t="s">
        <v>255</v>
      </c>
      <c r="T100" s="237" t="s">
        <v>509</v>
      </c>
      <c r="U100" s="237" t="s">
        <v>509</v>
      </c>
      <c r="V100" s="237" t="s">
        <v>555</v>
      </c>
      <c r="W100" s="237" t="s">
        <v>555</v>
      </c>
      <c r="X100" s="237" t="s">
        <v>824</v>
      </c>
      <c r="Y100" s="239"/>
      <c r="Z100" s="397"/>
      <c r="AA100" s="237">
        <v>4600001858</v>
      </c>
      <c r="AB100" s="396">
        <v>2700260</v>
      </c>
      <c r="AC100" s="239">
        <v>4500091371</v>
      </c>
      <c r="AD100" s="397">
        <v>2700259.99</v>
      </c>
      <c r="AE100" s="239" t="s">
        <v>825</v>
      </c>
      <c r="AF100" s="239" t="s">
        <v>826</v>
      </c>
      <c r="AG100" s="239" t="s">
        <v>827</v>
      </c>
      <c r="AH100" s="237" t="s">
        <v>229</v>
      </c>
      <c r="AI100" s="240">
        <v>0</v>
      </c>
      <c r="AJ100" s="240">
        <v>0</v>
      </c>
      <c r="AK100" s="240">
        <v>0</v>
      </c>
      <c r="AL100" s="240">
        <v>0</v>
      </c>
      <c r="AM100" s="240">
        <v>0</v>
      </c>
      <c r="AN100" s="240">
        <v>0</v>
      </c>
      <c r="AO100" s="240">
        <v>0</v>
      </c>
      <c r="AP100" s="240">
        <v>0</v>
      </c>
      <c r="AQ100" s="240"/>
      <c r="AR100" s="240">
        <v>0</v>
      </c>
      <c r="AS100" s="240">
        <v>0</v>
      </c>
      <c r="AT100" s="240">
        <v>0</v>
      </c>
      <c r="AU100" s="240">
        <f>SUM(Tabela10[[#This Row],[jan/26]:[dez/26]])</f>
        <v>0</v>
      </c>
      <c r="AV100" s="334">
        <v>1100000</v>
      </c>
      <c r="AW100" s="240">
        <v>0</v>
      </c>
      <c r="AX100" s="240">
        <v>0</v>
      </c>
      <c r="AY100" s="240">
        <v>0</v>
      </c>
      <c r="AZ100" s="240">
        <f>SUM(Tabela10[[#This Row],[2026]:[2030]])</f>
        <v>1100000</v>
      </c>
      <c r="BA100" s="242">
        <v>0</v>
      </c>
      <c r="BB100" s="240">
        <v>0</v>
      </c>
      <c r="BC100" s="240">
        <v>0</v>
      </c>
      <c r="BD100" s="240">
        <v>0</v>
      </c>
      <c r="BE100" s="240">
        <v>0</v>
      </c>
      <c r="BF100" s="241">
        <f>SUM(Tabela10[[#This Row],[2026-2030]:[2035]])</f>
        <v>1100000</v>
      </c>
      <c r="BG100" s="243" t="e" cm="1" vm="1">
        <f t="array" aca="1" ref="BG100" ca="1">_xlfn.SEQUENCE(COUNTA(Tabela10[Empresa]),1,1)</f>
        <v>#VALUE!</v>
      </c>
      <c r="BH100" s="243" t="s">
        <v>255</v>
      </c>
      <c r="BI100" s="243" t="e">
        <f>VLOOKUP(Tabela10[[#This Row],[ID real2]],[2]CONSOLIDADA!$AU:$AZ,6,FALSE)</f>
        <v>#N/A</v>
      </c>
      <c r="BJ100" s="243" t="s">
        <v>254</v>
      </c>
      <c r="BK100" s="243">
        <v>2025</v>
      </c>
      <c r="BL100" s="243" t="s">
        <v>828</v>
      </c>
      <c r="BM100" s="243" t="s">
        <v>829</v>
      </c>
      <c r="BN100" s="243" t="s">
        <v>255</v>
      </c>
      <c r="BO100" s="243" t="s">
        <v>568</v>
      </c>
      <c r="BP100" s="243" t="s">
        <v>621</v>
      </c>
      <c r="BQ100" s="243" t="s">
        <v>570</v>
      </c>
      <c r="BR100" s="346">
        <v>100000</v>
      </c>
      <c r="BS100" s="243" t="s">
        <v>669</v>
      </c>
      <c r="BT100" s="243" t="s">
        <v>255</v>
      </c>
      <c r="BU100" s="243" t="s">
        <v>708</v>
      </c>
      <c r="BV100" s="243" t="str">
        <f>Tabela10[[#This Row],[Descrição do projeto]]</f>
        <v>Substituição dos cabos para-raios da LT CUTA-LI5-01 da UHE Curuá-Una</v>
      </c>
    </row>
    <row r="101" spans="1:74" x14ac:dyDescent="0.35">
      <c r="A101" s="237">
        <v>347</v>
      </c>
      <c r="B101" s="237" t="e" cm="1">
        <f t="array" ref="B101">AND(ISTEXT('Consolidado-Eletronorte'!#REF!),SUM('Consolidado-Eletronorte'!#REF!)&gt;0)</f>
        <v>#REF!</v>
      </c>
      <c r="C101" s="237" t="str">
        <f t="shared" ca="1" si="6"/>
        <v>Capex Orcamentário_PE2026_2030_red_35_porcentoR3_consulta.xlsx</v>
      </c>
      <c r="D101" s="238" t="str">
        <f t="shared" si="7"/>
        <v>COO</v>
      </c>
      <c r="E101" s="238" t="str">
        <f t="shared" si="8"/>
        <v>Lucas Martins</v>
      </c>
      <c r="F101" s="237" t="str">
        <f>_xlfn.CONCAT(Tabela10[[#This Row],[VP]],Tabela10[[#This Row],[Analise Estrategia]])</f>
        <v>COO347</v>
      </c>
      <c r="G101" s="239" t="e">
        <f>_xlfn.CONCAT('Consolidado-Eletronorte'!#REF!,"_",ROW('Consolidado-Eletronorte'!#REF!)-ROW('Consolidado-Eletronorte'!$G$18))</f>
        <v>#REF!</v>
      </c>
      <c r="H101" s="239" t="s">
        <v>506</v>
      </c>
      <c r="I101" s="237" t="s">
        <v>507</v>
      </c>
      <c r="J101" s="239" t="s">
        <v>508</v>
      </c>
      <c r="K101" s="237" t="s">
        <v>509</v>
      </c>
      <c r="L101" s="237" t="s">
        <v>509</v>
      </c>
      <c r="M101" s="237" t="s">
        <v>830</v>
      </c>
      <c r="N101" s="237"/>
      <c r="O101" s="237"/>
      <c r="P101" s="237" t="s">
        <v>511</v>
      </c>
      <c r="Q101" s="243" t="s">
        <v>418</v>
      </c>
      <c r="R101" s="239" t="s">
        <v>419</v>
      </c>
      <c r="S101" s="243" t="s">
        <v>418</v>
      </c>
      <c r="T101" s="237" t="s">
        <v>509</v>
      </c>
      <c r="U101" s="237" t="s">
        <v>509</v>
      </c>
      <c r="V101" s="237" t="s">
        <v>830</v>
      </c>
      <c r="W101" s="237" t="s">
        <v>830</v>
      </c>
      <c r="X101" s="237"/>
      <c r="Y101" s="237"/>
      <c r="Z101" s="396"/>
      <c r="AA101" s="237"/>
      <c r="AB101" s="396"/>
      <c r="AC101" s="239">
        <v>4500079631</v>
      </c>
      <c r="AD101" s="397">
        <v>6503294.7599999998</v>
      </c>
      <c r="AE101" s="239" t="s">
        <v>831</v>
      </c>
      <c r="AF101" s="239" t="s">
        <v>832</v>
      </c>
      <c r="AG101" s="239" t="s">
        <v>833</v>
      </c>
      <c r="AH101" s="237" t="s">
        <v>319</v>
      </c>
      <c r="AI101" s="240">
        <v>0</v>
      </c>
      <c r="AJ101" s="240">
        <v>500000</v>
      </c>
      <c r="AK101" s="240">
        <v>0</v>
      </c>
      <c r="AL101" s="240">
        <v>0</v>
      </c>
      <c r="AM101" s="240">
        <v>0</v>
      </c>
      <c r="AN101" s="240">
        <v>0</v>
      </c>
      <c r="AO101" s="240">
        <v>0</v>
      </c>
      <c r="AP101" s="240">
        <v>0</v>
      </c>
      <c r="AQ101" s="240">
        <v>0</v>
      </c>
      <c r="AR101" s="240">
        <v>0</v>
      </c>
      <c r="AS101" s="240">
        <v>0</v>
      </c>
      <c r="AT101" s="240">
        <v>0</v>
      </c>
      <c r="AU101" s="240">
        <f>SUM(Tabela10[[#This Row],[jan/26]:[dez/26]])</f>
        <v>500000</v>
      </c>
      <c r="AV101" s="240">
        <v>0</v>
      </c>
      <c r="AW101" s="240">
        <v>0</v>
      </c>
      <c r="AX101" s="240">
        <v>0</v>
      </c>
      <c r="AY101" s="240">
        <v>0</v>
      </c>
      <c r="AZ101" s="240">
        <f>SUM(Tabela10[[#This Row],[2026]:[2030]])</f>
        <v>500000</v>
      </c>
      <c r="BA101" s="242">
        <v>0</v>
      </c>
      <c r="BB101" s="240">
        <v>0</v>
      </c>
      <c r="BC101" s="240">
        <v>0</v>
      </c>
      <c r="BD101" s="240">
        <v>0</v>
      </c>
      <c r="BE101" s="240">
        <v>0</v>
      </c>
      <c r="BF101" s="241">
        <f>SUM(Tabela10[[#This Row],[2026-2030]:[2035]])</f>
        <v>500000</v>
      </c>
      <c r="BG101" s="243" t="e" cm="1" vm="1">
        <f t="array" aca="1" ref="BG101" ca="1">_xlfn.SEQUENCE(COUNTA(Tabela10[Empresa]),1,1)</f>
        <v>#VALUE!</v>
      </c>
      <c r="BH101" s="243" t="s">
        <v>418</v>
      </c>
      <c r="BI101" s="243" t="e">
        <f>VLOOKUP(Tabela10[[#This Row],[ID real2]],[2]CONSOLIDADA!$AU:$AZ,6,FALSE)</f>
        <v>#N/A</v>
      </c>
      <c r="BJ101" s="243" t="s">
        <v>155</v>
      </c>
      <c r="BK101" s="243">
        <v>2025</v>
      </c>
      <c r="BL101" s="243" t="s">
        <v>834</v>
      </c>
      <c r="BM101" s="243" t="s">
        <v>835</v>
      </c>
      <c r="BN101" s="243" t="s">
        <v>418</v>
      </c>
      <c r="BO101" s="243" t="s">
        <v>517</v>
      </c>
      <c r="BP101" s="243" t="s">
        <v>561</v>
      </c>
      <c r="BQ101" s="243" t="s">
        <v>517</v>
      </c>
      <c r="BR101" s="346">
        <v>500000</v>
      </c>
      <c r="BS101" s="243" t="s">
        <v>540</v>
      </c>
      <c r="BT101" s="243" t="s">
        <v>418</v>
      </c>
      <c r="BU101" s="243" t="s">
        <v>583</v>
      </c>
      <c r="BV101" s="243" t="str">
        <f>Tabela10[[#This Row],[Descrição do projeto]]</f>
        <v>Modernização do Barramento Blindado (13,8kV) UG19 da UHE Tucuruí</v>
      </c>
    </row>
    <row r="102" spans="1:74" hidden="1" x14ac:dyDescent="0.35">
      <c r="A102" s="237">
        <v>366</v>
      </c>
      <c r="B102" s="237" t="e" cm="1">
        <f t="array" ref="B102">AND(ISTEXT('Consolidado-Eletronorte'!#REF!),SUM('Consolidado-Eletronorte'!#REF!)&gt;0)</f>
        <v>#REF!</v>
      </c>
      <c r="C102" s="237" t="str">
        <f t="shared" ca="1" si="6"/>
        <v>Capex Orcamentário_PE2026_2030_red_35_porcentoR3_consulta.xlsx</v>
      </c>
      <c r="D102" s="238" t="str">
        <f t="shared" si="7"/>
        <v>COO</v>
      </c>
      <c r="E102" s="238" t="str">
        <f t="shared" si="8"/>
        <v>Lucas Martins</v>
      </c>
      <c r="F102" s="237" t="str">
        <f>_xlfn.CONCAT(Tabela10[[#This Row],[VP]],Tabela10[[#This Row],[Analise Estrategia]])</f>
        <v>COO366</v>
      </c>
      <c r="G102" s="239" t="e">
        <f>_xlfn.CONCAT('Consolidado-Eletronorte'!#REF!,"_",ROW('Consolidado-Eletronorte'!#REF!)-ROW('Consolidado-Eletronorte'!$G$18))</f>
        <v>#REF!</v>
      </c>
      <c r="H102" s="239" t="s">
        <v>506</v>
      </c>
      <c r="I102" s="237" t="s">
        <v>507</v>
      </c>
      <c r="J102" s="239" t="s">
        <v>508</v>
      </c>
      <c r="K102" s="237" t="s">
        <v>509</v>
      </c>
      <c r="L102" s="237" t="s">
        <v>622</v>
      </c>
      <c r="M102" s="237" t="s">
        <v>836</v>
      </c>
      <c r="N102" s="237"/>
      <c r="O102" s="237"/>
      <c r="P102" s="237" t="s">
        <v>617</v>
      </c>
      <c r="Q102" s="243" t="s">
        <v>262</v>
      </c>
      <c r="R102" s="239" t="s">
        <v>263</v>
      </c>
      <c r="S102" s="243" t="s">
        <v>262</v>
      </c>
      <c r="T102" s="237" t="s">
        <v>509</v>
      </c>
      <c r="U102" s="237" t="s">
        <v>622</v>
      </c>
      <c r="V102" s="237" t="s">
        <v>624</v>
      </c>
      <c r="W102" s="237" t="s">
        <v>624</v>
      </c>
      <c r="X102" s="237"/>
      <c r="Y102" s="239" t="s">
        <v>734</v>
      </c>
      <c r="Z102" s="397"/>
      <c r="AA102" s="237"/>
      <c r="AB102" s="396"/>
      <c r="AC102" s="239"/>
      <c r="AD102" s="397"/>
      <c r="AE102" s="239"/>
      <c r="AF102" s="239"/>
      <c r="AG102" s="239" t="s">
        <v>837</v>
      </c>
      <c r="AH102" s="237" t="s">
        <v>229</v>
      </c>
      <c r="AI102" s="240">
        <v>0</v>
      </c>
      <c r="AJ102" s="240">
        <v>0</v>
      </c>
      <c r="AK102" s="240">
        <v>0</v>
      </c>
      <c r="AL102" s="240">
        <v>0</v>
      </c>
      <c r="AM102" s="240">
        <v>0</v>
      </c>
      <c r="AN102" s="240"/>
      <c r="AO102" s="240">
        <v>0</v>
      </c>
      <c r="AP102" s="240">
        <v>0</v>
      </c>
      <c r="AQ102" s="240">
        <v>0</v>
      </c>
      <c r="AR102" s="240">
        <v>0</v>
      </c>
      <c r="AS102" s="240">
        <v>0</v>
      </c>
      <c r="AT102" s="240">
        <v>0</v>
      </c>
      <c r="AU102" s="240">
        <f>SUM(Tabela10[[#This Row],[jan/26]:[dez/26]])</f>
        <v>0</v>
      </c>
      <c r="AV102" s="240">
        <v>1000000</v>
      </c>
      <c r="AW102" s="240">
        <v>0</v>
      </c>
      <c r="AX102" s="240">
        <v>0</v>
      </c>
      <c r="AY102" s="240">
        <v>0</v>
      </c>
      <c r="AZ102" s="240">
        <f>SUM(Tabela10[[#This Row],[2026]:[2030]])</f>
        <v>1000000</v>
      </c>
      <c r="BA102" s="242">
        <v>0</v>
      </c>
      <c r="BB102" s="240">
        <v>0</v>
      </c>
      <c r="BC102" s="240">
        <v>0</v>
      </c>
      <c r="BD102" s="240">
        <v>0</v>
      </c>
      <c r="BE102" s="240">
        <v>0</v>
      </c>
      <c r="BF102" s="241">
        <f>SUM(Tabela10[[#This Row],[2026-2030]:[2035]])</f>
        <v>1000000</v>
      </c>
      <c r="BG102" s="243" t="e" cm="1" vm="1">
        <f t="array" aca="1" ref="BG102" ca="1">_xlfn.SEQUENCE(COUNTA(Tabela10[Empresa]),1,1)</f>
        <v>#VALUE!</v>
      </c>
      <c r="BH102" s="243" t="s">
        <v>262</v>
      </c>
      <c r="BI102" s="243" t="e">
        <f>VLOOKUP(Tabela10[[#This Row],[ID real2]],[2]CONSOLIDADA!$AU:$AZ,6,FALSE)</f>
        <v>#N/A</v>
      </c>
      <c r="BJ102" s="243" t="s">
        <v>261</v>
      </c>
      <c r="BK102" s="243">
        <v>2025</v>
      </c>
      <c r="BL102" s="243" t="s">
        <v>838</v>
      </c>
      <c r="BM102" s="243" t="s">
        <v>839</v>
      </c>
      <c r="BN102" s="243" t="s">
        <v>262</v>
      </c>
      <c r="BO102" s="243" t="s">
        <v>628</v>
      </c>
      <c r="BP102" s="243" t="s">
        <v>569</v>
      </c>
      <c r="BQ102" s="243" t="s">
        <v>552</v>
      </c>
      <c r="BR102" s="346">
        <v>9000</v>
      </c>
      <c r="BS102" s="243" t="s">
        <v>669</v>
      </c>
      <c r="BT102" s="243" t="s">
        <v>262</v>
      </c>
      <c r="BU102" s="243" t="s">
        <v>629</v>
      </c>
      <c r="BV102" s="243" t="str">
        <f>Tabela10[[#This Row],[Descrição do projeto]]</f>
        <v>OPGW CURUÁ-UNA/TAPAJÓS</v>
      </c>
    </row>
    <row r="103" spans="1:74" hidden="1" x14ac:dyDescent="0.35">
      <c r="A103" s="237">
        <v>773</v>
      </c>
      <c r="B103" s="237" t="b">
        <v>0</v>
      </c>
      <c r="C103" s="237"/>
      <c r="D103" s="238" t="s">
        <v>439</v>
      </c>
      <c r="E103" s="238" t="s">
        <v>442</v>
      </c>
      <c r="F103" s="237" t="str">
        <f>_xlfn.CONCAT(Tabela10[[#This Row],[VP]],Tabela10[[#This Row],[Analise Estrategia]])</f>
        <v>COO773</v>
      </c>
      <c r="G103" s="239" t="e">
        <f>_xlfn.CONCAT('Consolidado-Eletronorte'!#REF!,"_",ROW('Consolidado-Eletronorte'!#REF!)-ROW('Consolidado-Eletronorte'!$G$18))</f>
        <v>#REF!</v>
      </c>
      <c r="H103" s="239" t="s">
        <v>506</v>
      </c>
      <c r="I103" s="237" t="s">
        <v>507</v>
      </c>
      <c r="J103" s="239" t="s">
        <v>508</v>
      </c>
      <c r="K103" s="237" t="s">
        <v>509</v>
      </c>
      <c r="L103" s="237" t="s">
        <v>509</v>
      </c>
      <c r="M103" s="237" t="s">
        <v>840</v>
      </c>
      <c r="N103" s="239"/>
      <c r="O103" s="237"/>
      <c r="P103" s="246"/>
      <c r="Q103" s="243" t="s">
        <v>146</v>
      </c>
      <c r="R103" s="239" t="s">
        <v>148</v>
      </c>
      <c r="S103" s="243" t="s">
        <v>146</v>
      </c>
      <c r="T103" s="237" t="s">
        <v>509</v>
      </c>
      <c r="U103" s="237" t="s">
        <v>509</v>
      </c>
      <c r="V103" s="237" t="s">
        <v>840</v>
      </c>
      <c r="W103" s="237" t="s">
        <v>841</v>
      </c>
      <c r="X103" s="237"/>
      <c r="Y103" s="239" t="s">
        <v>564</v>
      </c>
      <c r="Z103" s="397"/>
      <c r="AA103" s="237"/>
      <c r="AB103" s="396"/>
      <c r="AC103" s="239"/>
      <c r="AD103" s="397"/>
      <c r="AE103" s="239"/>
      <c r="AF103" s="239"/>
      <c r="AG103" s="246"/>
      <c r="AH103" s="237" t="s">
        <v>149</v>
      </c>
      <c r="AI103" s="246"/>
      <c r="AJ103" s="246"/>
      <c r="AK103" s="246"/>
      <c r="AL103" s="246"/>
      <c r="AM103" s="246"/>
      <c r="AN103" s="246"/>
      <c r="AO103" s="246"/>
      <c r="AP103" s="246"/>
      <c r="AQ103" s="246"/>
      <c r="AR103" s="246"/>
      <c r="AS103" s="246"/>
      <c r="AT103" s="246"/>
      <c r="AU103" s="240">
        <f>SUM(Tabela10[[#This Row],[jan/26]:[dez/26]])</f>
        <v>0</v>
      </c>
      <c r="AV103" s="240"/>
      <c r="AW103" s="246">
        <v>7820000</v>
      </c>
      <c r="AX103" s="246">
        <v>4692000</v>
      </c>
      <c r="AY103" s="246">
        <v>0</v>
      </c>
      <c r="AZ103" s="240">
        <f>SUM(Tabela10[[#This Row],[2026]:[2030]])</f>
        <v>12512000</v>
      </c>
      <c r="BA103" s="239"/>
      <c r="BB103" s="239"/>
      <c r="BC103" s="239"/>
      <c r="BD103" s="239"/>
      <c r="BE103" s="239"/>
      <c r="BF103" s="241">
        <f>SUM(Tabela10[[#This Row],[2026-2030]:[2035]])</f>
        <v>12512000</v>
      </c>
      <c r="BG103" s="243"/>
      <c r="BH103" s="243" t="s">
        <v>146</v>
      </c>
      <c r="BI103" s="243" t="e">
        <f>VLOOKUP(Tabela10[[#This Row],[ID real2]],[2]CONSOLIDADA!$AU:$AZ,6,FALSE)</f>
        <v>#N/A</v>
      </c>
      <c r="BJ103" s="243" t="e">
        <v>#N/A</v>
      </c>
      <c r="BK103" s="243">
        <v>2025</v>
      </c>
      <c r="BL103" s="243"/>
      <c r="BM103" s="243"/>
      <c r="BN103" s="243" t="s">
        <v>146</v>
      </c>
      <c r="BO103" s="243" t="s">
        <v>517</v>
      </c>
      <c r="BP103" s="243" t="s">
        <v>517</v>
      </c>
      <c r="BQ103" s="243" t="s">
        <v>517</v>
      </c>
      <c r="BR103" s="346">
        <v>0</v>
      </c>
      <c r="BS103" s="243" t="s">
        <v>540</v>
      </c>
      <c r="BT103" s="243" t="s">
        <v>146</v>
      </c>
      <c r="BU103" s="243" t="e">
        <v>#N/A</v>
      </c>
      <c r="BV103" s="62" t="s">
        <v>842</v>
      </c>
    </row>
    <row r="104" spans="1:74" hidden="1" x14ac:dyDescent="0.35">
      <c r="A104" s="237">
        <v>271</v>
      </c>
      <c r="B104" s="237" t="e" cm="1">
        <f t="array" ref="B104">AND(ISTEXT('Consolidado-Eletronorte'!#REF!),SUM('Consolidado-Eletronorte'!#REF!)&gt;0)</f>
        <v>#REF!</v>
      </c>
      <c r="C104" s="237" t="str">
        <f t="shared" ref="C104:C130" ca="1" si="9">$J$13</f>
        <v>Capex Orcamentário_PE2026_2030_red_35_porcentoR3_consulta.xlsx</v>
      </c>
      <c r="D104" s="238" t="str">
        <f t="shared" ref="D104:D130" si="10">$H$13</f>
        <v>COO</v>
      </c>
      <c r="E104" s="238" t="str">
        <f t="shared" ref="E104:E130" si="11">$H$14</f>
        <v>Lucas Martins</v>
      </c>
      <c r="F104" s="237" t="str">
        <f>_xlfn.CONCAT(Tabela10[[#This Row],[VP]],Tabela10[[#This Row],[Analise Estrategia]])</f>
        <v>COO271</v>
      </c>
      <c r="G104" s="239" t="e">
        <f>_xlfn.CONCAT('Consolidado-Eletronorte'!#REF!,"_",ROW('Consolidado-Eletronorte'!#REF!)-ROW('Consolidado-Eletronorte'!$G$18))</f>
        <v>#REF!</v>
      </c>
      <c r="H104" s="239" t="s">
        <v>506</v>
      </c>
      <c r="I104" s="237" t="s">
        <v>507</v>
      </c>
      <c r="J104" s="239" t="s">
        <v>508</v>
      </c>
      <c r="K104" s="237" t="s">
        <v>509</v>
      </c>
      <c r="L104" s="237" t="s">
        <v>509</v>
      </c>
      <c r="M104" s="237" t="s">
        <v>577</v>
      </c>
      <c r="N104" s="237"/>
      <c r="O104" s="237"/>
      <c r="P104" s="237" t="s">
        <v>587</v>
      </c>
      <c r="Q104" s="243" t="s">
        <v>162</v>
      </c>
      <c r="R104" s="239" t="s">
        <v>164</v>
      </c>
      <c r="S104" s="243" t="s">
        <v>162</v>
      </c>
      <c r="T104" s="237" t="s">
        <v>509</v>
      </c>
      <c r="U104" s="237" t="s">
        <v>509</v>
      </c>
      <c r="V104" s="237" t="s">
        <v>577</v>
      </c>
      <c r="W104" s="237" t="s">
        <v>577</v>
      </c>
      <c r="X104" s="237"/>
      <c r="Y104" s="239" t="s">
        <v>564</v>
      </c>
      <c r="Z104" s="397"/>
      <c r="AA104" s="237"/>
      <c r="AB104" s="396"/>
      <c r="AC104" s="239"/>
      <c r="AD104" s="397"/>
      <c r="AE104" s="239"/>
      <c r="AF104" s="239"/>
      <c r="AG104" s="239" t="s">
        <v>843</v>
      </c>
      <c r="AH104" s="237" t="s">
        <v>154</v>
      </c>
      <c r="AI104" s="240">
        <v>0</v>
      </c>
      <c r="AJ104" s="240">
        <v>0</v>
      </c>
      <c r="AK104" s="240">
        <v>0</v>
      </c>
      <c r="AL104" s="240">
        <v>0</v>
      </c>
      <c r="AM104" s="240">
        <v>0</v>
      </c>
      <c r="AN104" s="240">
        <v>0</v>
      </c>
      <c r="AO104" s="240">
        <v>0</v>
      </c>
      <c r="AP104" s="240">
        <v>0</v>
      </c>
      <c r="AQ104" s="240">
        <v>0</v>
      </c>
      <c r="AR104" s="240">
        <v>0</v>
      </c>
      <c r="AS104" s="240">
        <v>0</v>
      </c>
      <c r="AT104" s="240">
        <v>0</v>
      </c>
      <c r="AU104" s="240">
        <f>SUM(Tabela10[[#This Row],[jan/26]:[dez/26]])</f>
        <v>0</v>
      </c>
      <c r="AV104" s="240">
        <v>20910319</v>
      </c>
      <c r="AW104" s="240">
        <v>6233333.3300000001</v>
      </c>
      <c r="AX104" s="240">
        <v>0</v>
      </c>
      <c r="AY104" s="240">
        <v>0</v>
      </c>
      <c r="AZ104" s="240">
        <f>SUM(Tabela10[[#This Row],[2026]:[2030]])</f>
        <v>27143652.329999998</v>
      </c>
      <c r="BA104" s="242">
        <v>0</v>
      </c>
      <c r="BB104" s="240">
        <v>0</v>
      </c>
      <c r="BC104" s="240">
        <v>0</v>
      </c>
      <c r="BD104" s="240">
        <v>0</v>
      </c>
      <c r="BE104" s="240">
        <v>0</v>
      </c>
      <c r="BF104" s="241">
        <f>SUM(Tabela10[[#This Row],[2026-2030]:[2035]])</f>
        <v>27143652.329999998</v>
      </c>
      <c r="BG104" s="243" t="e" cm="1" vm="1">
        <f t="array" aca="1" ref="BG104" ca="1">_xlfn.SEQUENCE(COUNTA(Tabela10[Empresa]),1,1)</f>
        <v>#VALUE!</v>
      </c>
      <c r="BH104" s="243" t="s">
        <v>162</v>
      </c>
      <c r="BI104" s="243" t="e">
        <f>VLOOKUP(Tabela10[[#This Row],[ID real2]],[2]CONSOLIDADA!$AU:$AZ,6,FALSE)</f>
        <v>#N/A</v>
      </c>
      <c r="BJ104" s="243" t="s">
        <v>165</v>
      </c>
      <c r="BK104" s="243">
        <v>2026</v>
      </c>
      <c r="BL104" s="243" t="s">
        <v>844</v>
      </c>
      <c r="BM104" s="243">
        <v>0</v>
      </c>
      <c r="BN104" s="243" t="s">
        <v>162</v>
      </c>
      <c r="BO104" s="243" t="s">
        <v>568</v>
      </c>
      <c r="BP104" s="243" t="s">
        <v>561</v>
      </c>
      <c r="BQ104" s="243" t="s">
        <v>561</v>
      </c>
      <c r="BR104" s="346">
        <v>0</v>
      </c>
      <c r="BS104" s="243"/>
      <c r="BT104" s="243" t="s">
        <v>162</v>
      </c>
      <c r="BU104" s="243" t="s">
        <v>554</v>
      </c>
      <c r="BV104" s="243" t="str">
        <f>Tabela10[[#This Row],[Descrição do projeto]]</f>
        <v>Modernização RVT UHE Balbina</v>
      </c>
    </row>
    <row r="105" spans="1:74" hidden="1" x14ac:dyDescent="0.35">
      <c r="A105" s="237">
        <v>273</v>
      </c>
      <c r="B105" s="237" t="e" cm="1">
        <f t="array" ref="B105">AND(ISTEXT('Consolidado-Eletronorte'!#REF!),SUM('Consolidado-Eletronorte'!#REF!)&gt;0)</f>
        <v>#REF!</v>
      </c>
      <c r="C105" s="237" t="str">
        <f t="shared" ca="1" si="9"/>
        <v>Capex Orcamentário_PE2026_2030_red_35_porcentoR3_consulta.xlsx</v>
      </c>
      <c r="D105" s="238" t="str">
        <f t="shared" si="10"/>
        <v>COO</v>
      </c>
      <c r="E105" s="238" t="str">
        <f t="shared" si="11"/>
        <v>Lucas Martins</v>
      </c>
      <c r="F105" s="237" t="str">
        <f>_xlfn.CONCAT(Tabela10[[#This Row],[VP]],Tabela10[[#This Row],[Analise Estrategia]])</f>
        <v>COO273</v>
      </c>
      <c r="G105" s="239" t="e">
        <f>_xlfn.CONCAT('Consolidado-Eletronorte'!#REF!,"_",ROW('Consolidado-Eletronorte'!#REF!)-ROW('Consolidado-Eletronorte'!$G$18))</f>
        <v>#REF!</v>
      </c>
      <c r="H105" s="239" t="s">
        <v>506</v>
      </c>
      <c r="I105" s="237" t="s">
        <v>507</v>
      </c>
      <c r="J105" s="239" t="s">
        <v>508</v>
      </c>
      <c r="K105" s="237" t="s">
        <v>509</v>
      </c>
      <c r="L105" s="237" t="s">
        <v>509</v>
      </c>
      <c r="M105" s="237" t="s">
        <v>577</v>
      </c>
      <c r="N105" s="237"/>
      <c r="O105" s="237"/>
      <c r="P105" s="237" t="s">
        <v>587</v>
      </c>
      <c r="Q105" s="243" t="s">
        <v>166</v>
      </c>
      <c r="R105" s="239" t="s">
        <v>167</v>
      </c>
      <c r="S105" s="243" t="s">
        <v>166</v>
      </c>
      <c r="T105" s="237" t="s">
        <v>509</v>
      </c>
      <c r="U105" s="237" t="s">
        <v>509</v>
      </c>
      <c r="V105" s="237" t="s">
        <v>577</v>
      </c>
      <c r="W105" s="237" t="s">
        <v>577</v>
      </c>
      <c r="X105" s="237"/>
      <c r="Y105" s="239" t="s">
        <v>564</v>
      </c>
      <c r="Z105" s="397"/>
      <c r="AA105" s="237"/>
      <c r="AB105" s="396"/>
      <c r="AC105" s="239"/>
      <c r="AD105" s="397"/>
      <c r="AE105" s="239"/>
      <c r="AF105" s="239"/>
      <c r="AG105" s="239" t="s">
        <v>845</v>
      </c>
      <c r="AH105" s="237" t="s">
        <v>154</v>
      </c>
      <c r="AI105" s="240">
        <v>0</v>
      </c>
      <c r="AJ105" s="240">
        <v>0</v>
      </c>
      <c r="AK105" s="240">
        <v>0</v>
      </c>
      <c r="AL105" s="240">
        <v>0</v>
      </c>
      <c r="AM105" s="240">
        <v>0</v>
      </c>
      <c r="AN105" s="240">
        <v>0</v>
      </c>
      <c r="AO105" s="240">
        <v>0</v>
      </c>
      <c r="AP105" s="240">
        <v>0</v>
      </c>
      <c r="AQ105" s="240">
        <v>0</v>
      </c>
      <c r="AR105" s="240">
        <v>0</v>
      </c>
      <c r="AS105" s="240">
        <v>0</v>
      </c>
      <c r="AT105" s="240">
        <v>0</v>
      </c>
      <c r="AU105" s="240">
        <f>SUM(Tabela10[[#This Row],[jan/26]:[dez/26]])</f>
        <v>0</v>
      </c>
      <c r="AV105" s="240">
        <v>7200000</v>
      </c>
      <c r="AW105" s="240">
        <v>0</v>
      </c>
      <c r="AX105" s="240">
        <v>0</v>
      </c>
      <c r="AY105" s="240">
        <v>0</v>
      </c>
      <c r="AZ105" s="240">
        <f>SUM(Tabela10[[#This Row],[2026]:[2030]])</f>
        <v>7200000</v>
      </c>
      <c r="BA105" s="242">
        <v>0</v>
      </c>
      <c r="BB105" s="240">
        <v>0</v>
      </c>
      <c r="BC105" s="240">
        <v>0</v>
      </c>
      <c r="BD105" s="240">
        <v>0</v>
      </c>
      <c r="BE105" s="240">
        <v>0</v>
      </c>
      <c r="BF105" s="241">
        <f>SUM(Tabela10[[#This Row],[2026-2030]:[2035]])</f>
        <v>7200000</v>
      </c>
      <c r="BG105" s="243" t="e" cm="1" vm="1">
        <f t="array" aca="1" ref="BG105" ca="1">_xlfn.SEQUENCE(COUNTA(Tabela10[Empresa]),1,1)</f>
        <v>#VALUE!</v>
      </c>
      <c r="BH105" s="243" t="s">
        <v>166</v>
      </c>
      <c r="BI105" s="243" t="e">
        <f>VLOOKUP(Tabela10[[#This Row],[ID real2]],[2]CONSOLIDADA!$AU:$AZ,6,FALSE)</f>
        <v>#N/A</v>
      </c>
      <c r="BJ105" s="243" t="s">
        <v>165</v>
      </c>
      <c r="BK105" s="243">
        <v>2026</v>
      </c>
      <c r="BL105" s="243" t="s">
        <v>846</v>
      </c>
      <c r="BM105" s="243">
        <v>0</v>
      </c>
      <c r="BN105" s="243" t="s">
        <v>166</v>
      </c>
      <c r="BO105" s="243" t="s">
        <v>568</v>
      </c>
      <c r="BP105" s="243" t="s">
        <v>561</v>
      </c>
      <c r="BQ105" s="243" t="s">
        <v>561</v>
      </c>
      <c r="BR105" s="346">
        <v>0</v>
      </c>
      <c r="BS105" s="243"/>
      <c r="BT105" s="243" t="s">
        <v>166</v>
      </c>
      <c r="BU105" s="243" t="s">
        <v>554</v>
      </c>
      <c r="BV105" s="243" t="str">
        <f>Tabela10[[#This Row],[Descrição do projeto]]</f>
        <v>SPCS balbina</v>
      </c>
    </row>
    <row r="106" spans="1:74" hidden="1" x14ac:dyDescent="0.35">
      <c r="A106" s="237">
        <v>322</v>
      </c>
      <c r="B106" s="237" t="e" cm="1">
        <f t="array" ref="B106">AND(ISTEXT('Consolidado-Eletronorte'!#REF!),SUM('Consolidado-Eletronorte'!#REF!)&gt;0)</f>
        <v>#REF!</v>
      </c>
      <c r="C106" s="237" t="str">
        <f t="shared" ca="1" si="9"/>
        <v>Capex Orcamentário_PE2026_2030_red_35_porcentoR3_consulta.xlsx</v>
      </c>
      <c r="D106" s="238" t="str">
        <f t="shared" si="10"/>
        <v>COO</v>
      </c>
      <c r="E106" s="238" t="str">
        <f t="shared" si="11"/>
        <v>Lucas Martins</v>
      </c>
      <c r="F106" s="237" t="str">
        <f>_xlfn.CONCAT(Tabela10[[#This Row],[VP]],Tabela10[[#This Row],[Analise Estrategia]])</f>
        <v>COO322</v>
      </c>
      <c r="G106" s="239" t="e">
        <f>_xlfn.CONCAT('Consolidado-Eletronorte'!#REF!,"_",ROW('Consolidado-Eletronorte'!#REF!)-ROW('Consolidado-Eletronorte'!$G$18))</f>
        <v>#REF!</v>
      </c>
      <c r="H106" s="239" t="s">
        <v>506</v>
      </c>
      <c r="I106" s="237" t="s">
        <v>507</v>
      </c>
      <c r="J106" s="239" t="s">
        <v>508</v>
      </c>
      <c r="K106" s="237" t="s">
        <v>509</v>
      </c>
      <c r="L106" s="237" t="s">
        <v>509</v>
      </c>
      <c r="M106" s="237" t="s">
        <v>577</v>
      </c>
      <c r="N106" s="237"/>
      <c r="O106" s="237"/>
      <c r="P106" s="237" t="s">
        <v>587</v>
      </c>
      <c r="Q106" s="243" t="s">
        <v>168</v>
      </c>
      <c r="R106" s="239" t="s">
        <v>169</v>
      </c>
      <c r="S106" s="243" t="s">
        <v>168</v>
      </c>
      <c r="T106" s="237" t="s">
        <v>509</v>
      </c>
      <c r="U106" s="237" t="s">
        <v>509</v>
      </c>
      <c r="V106" s="237" t="s">
        <v>577</v>
      </c>
      <c r="W106" s="237" t="s">
        <v>577</v>
      </c>
      <c r="X106" s="237"/>
      <c r="Y106" s="239" t="s">
        <v>564</v>
      </c>
      <c r="Z106" s="397"/>
      <c r="AA106" s="237"/>
      <c r="AB106" s="396"/>
      <c r="AC106" s="239"/>
      <c r="AD106" s="397"/>
      <c r="AE106" s="239"/>
      <c r="AF106" s="239"/>
      <c r="AG106" s="239" t="s">
        <v>847</v>
      </c>
      <c r="AH106" s="237" t="s">
        <v>158</v>
      </c>
      <c r="AI106" s="240">
        <v>0</v>
      </c>
      <c r="AJ106" s="240">
        <v>0</v>
      </c>
      <c r="AK106" s="240">
        <v>0</v>
      </c>
      <c r="AL106" s="240">
        <v>0</v>
      </c>
      <c r="AM106" s="240">
        <v>0</v>
      </c>
      <c r="AN106" s="240">
        <v>0</v>
      </c>
      <c r="AO106" s="240">
        <v>0</v>
      </c>
      <c r="AP106" s="240">
        <v>0</v>
      </c>
      <c r="AQ106" s="240">
        <v>0</v>
      </c>
      <c r="AR106" s="240">
        <v>0</v>
      </c>
      <c r="AS106" s="240">
        <v>0</v>
      </c>
      <c r="AT106" s="240">
        <v>0</v>
      </c>
      <c r="AU106" s="240">
        <f>SUM(Tabela10[[#This Row],[jan/26]:[dez/26]])</f>
        <v>0</v>
      </c>
      <c r="AV106" s="240">
        <v>3000000</v>
      </c>
      <c r="AW106" s="240">
        <v>3000000</v>
      </c>
      <c r="AX106" s="240">
        <v>0</v>
      </c>
      <c r="AY106" s="240">
        <v>0</v>
      </c>
      <c r="AZ106" s="240">
        <f>SUM(Tabela10[[#This Row],[2026]:[2030]])</f>
        <v>6000000</v>
      </c>
      <c r="BA106" s="242">
        <v>0</v>
      </c>
      <c r="BB106" s="240">
        <v>0</v>
      </c>
      <c r="BC106" s="240">
        <v>0</v>
      </c>
      <c r="BD106" s="240">
        <v>0</v>
      </c>
      <c r="BE106" s="240">
        <v>0</v>
      </c>
      <c r="BF106" s="241">
        <f>SUM(Tabela10[[#This Row],[2026-2030]:[2035]])</f>
        <v>6000000</v>
      </c>
      <c r="BG106" s="243" t="e" cm="1" vm="1">
        <f t="array" aca="1" ref="BG106" ca="1">_xlfn.SEQUENCE(COUNTA(Tabela10[Empresa]),1,1)</f>
        <v>#VALUE!</v>
      </c>
      <c r="BH106" s="243" t="s">
        <v>168</v>
      </c>
      <c r="BI106" s="243" t="e">
        <f>VLOOKUP(Tabela10[[#This Row],[ID real2]],[2]CONSOLIDADA!$AU:$AZ,6,FALSE)</f>
        <v>#N/A</v>
      </c>
      <c r="BJ106" s="243" t="s">
        <v>159</v>
      </c>
      <c r="BK106" s="243">
        <v>2026</v>
      </c>
      <c r="BL106" s="243" t="s">
        <v>848</v>
      </c>
      <c r="BM106" s="243">
        <v>0</v>
      </c>
      <c r="BN106" s="243" t="s">
        <v>168</v>
      </c>
      <c r="BO106" s="243" t="s">
        <v>568</v>
      </c>
      <c r="BP106" s="243" t="s">
        <v>561</v>
      </c>
      <c r="BQ106" s="243" t="s">
        <v>561</v>
      </c>
      <c r="BR106" s="346">
        <v>0</v>
      </c>
      <c r="BS106" s="243"/>
      <c r="BT106" s="243" t="s">
        <v>168</v>
      </c>
      <c r="BU106" s="243" t="s">
        <v>592</v>
      </c>
      <c r="BV106" s="243" t="str">
        <f>Tabela10[[#This Row],[Descrição do projeto]]</f>
        <v>MODERNIZAÇÃO DO SISTEMA DE AR DE REGULAÇÃO UHE BALBINA</v>
      </c>
    </row>
    <row r="107" spans="1:74" hidden="1" x14ac:dyDescent="0.35">
      <c r="A107" s="237">
        <v>323</v>
      </c>
      <c r="B107" s="237" t="e" cm="1">
        <f t="array" ref="B107">AND(ISTEXT('Consolidado-Eletronorte'!#REF!),SUM('Consolidado-Eletronorte'!#REF!)&gt;0)</f>
        <v>#REF!</v>
      </c>
      <c r="C107" s="237" t="str">
        <f t="shared" ca="1" si="9"/>
        <v>Capex Orcamentário_PE2026_2030_red_35_porcentoR3_consulta.xlsx</v>
      </c>
      <c r="D107" s="238" t="str">
        <f t="shared" si="10"/>
        <v>COO</v>
      </c>
      <c r="E107" s="238" t="str">
        <f t="shared" si="11"/>
        <v>Lucas Martins</v>
      </c>
      <c r="F107" s="237" t="str">
        <f>_xlfn.CONCAT(Tabela10[[#This Row],[VP]],Tabela10[[#This Row],[Analise Estrategia]])</f>
        <v>COO323</v>
      </c>
      <c r="G107" s="239" t="e">
        <f>_xlfn.CONCAT('Consolidado-Eletronorte'!#REF!,"_",ROW('Consolidado-Eletronorte'!#REF!)-ROW('Consolidado-Eletronorte'!$G$18))</f>
        <v>#REF!</v>
      </c>
      <c r="H107" s="239" t="s">
        <v>506</v>
      </c>
      <c r="I107" s="237" t="s">
        <v>507</v>
      </c>
      <c r="J107" s="239" t="s">
        <v>508</v>
      </c>
      <c r="K107" s="237" t="s">
        <v>509</v>
      </c>
      <c r="L107" s="237" t="s">
        <v>509</v>
      </c>
      <c r="M107" s="237" t="s">
        <v>577</v>
      </c>
      <c r="N107" s="237"/>
      <c r="O107" s="237"/>
      <c r="P107" s="237" t="s">
        <v>587</v>
      </c>
      <c r="Q107" s="243" t="s">
        <v>170</v>
      </c>
      <c r="R107" s="239" t="s">
        <v>172</v>
      </c>
      <c r="S107" s="243" t="s">
        <v>170</v>
      </c>
      <c r="T107" s="237" t="s">
        <v>509</v>
      </c>
      <c r="U107" s="237" t="s">
        <v>509</v>
      </c>
      <c r="V107" s="237" t="s">
        <v>577</v>
      </c>
      <c r="W107" s="237" t="s">
        <v>577</v>
      </c>
      <c r="X107" s="237"/>
      <c r="Y107" s="239" t="s">
        <v>564</v>
      </c>
      <c r="Z107" s="397"/>
      <c r="AA107" s="237"/>
      <c r="AB107" s="396"/>
      <c r="AC107" s="239"/>
      <c r="AD107" s="397"/>
      <c r="AE107" s="239"/>
      <c r="AF107" s="239"/>
      <c r="AG107" s="239" t="s">
        <v>849</v>
      </c>
      <c r="AH107" s="237" t="s">
        <v>158</v>
      </c>
      <c r="AI107" s="240">
        <v>0</v>
      </c>
      <c r="AJ107" s="240">
        <v>0</v>
      </c>
      <c r="AK107" s="240">
        <v>0</v>
      </c>
      <c r="AL107" s="240">
        <v>0</v>
      </c>
      <c r="AM107" s="240">
        <v>0</v>
      </c>
      <c r="AN107" s="240">
        <v>0</v>
      </c>
      <c r="AO107" s="240">
        <v>0</v>
      </c>
      <c r="AP107" s="240">
        <v>0</v>
      </c>
      <c r="AQ107" s="240">
        <v>0</v>
      </c>
      <c r="AR107" s="240">
        <v>0</v>
      </c>
      <c r="AS107" s="240">
        <v>0</v>
      </c>
      <c r="AT107" s="240">
        <v>0</v>
      </c>
      <c r="AU107" s="240">
        <f>SUM(Tabela10[[#This Row],[jan/26]:[dez/26]])</f>
        <v>0</v>
      </c>
      <c r="AV107" s="240">
        <v>3000000</v>
      </c>
      <c r="AW107" s="240">
        <v>500000</v>
      </c>
      <c r="AX107" s="240">
        <v>0</v>
      </c>
      <c r="AY107" s="240">
        <v>0</v>
      </c>
      <c r="AZ107" s="240">
        <f>SUM(Tabela10[[#This Row],[2026]:[2030]])</f>
        <v>3500000</v>
      </c>
      <c r="BA107" s="242">
        <v>0</v>
      </c>
      <c r="BB107" s="240">
        <v>0</v>
      </c>
      <c r="BC107" s="240">
        <v>0</v>
      </c>
      <c r="BD107" s="240">
        <v>0</v>
      </c>
      <c r="BE107" s="240">
        <v>0</v>
      </c>
      <c r="BF107" s="241">
        <f>SUM(Tabela10[[#This Row],[2026-2030]:[2035]])</f>
        <v>3500000</v>
      </c>
      <c r="BG107" s="243" t="e" cm="1" vm="1">
        <f t="array" aca="1" ref="BG107" ca="1">_xlfn.SEQUENCE(COUNTA(Tabela10[Empresa]),1,1)</f>
        <v>#VALUE!</v>
      </c>
      <c r="BH107" s="243" t="s">
        <v>170</v>
      </c>
      <c r="BI107" s="243" t="e">
        <f>VLOOKUP(Tabela10[[#This Row],[ID real2]],[2]CONSOLIDADA!$AU:$AZ,6,FALSE)</f>
        <v>#N/A</v>
      </c>
      <c r="BJ107" s="243" t="s">
        <v>159</v>
      </c>
      <c r="BK107" s="243">
        <v>2026</v>
      </c>
      <c r="BL107" s="243" t="s">
        <v>850</v>
      </c>
      <c r="BM107" s="243">
        <v>0</v>
      </c>
      <c r="BN107" s="243" t="s">
        <v>170</v>
      </c>
      <c r="BO107" s="243" t="s">
        <v>568</v>
      </c>
      <c r="BP107" s="243" t="s">
        <v>561</v>
      </c>
      <c r="BQ107" s="243" t="s">
        <v>561</v>
      </c>
      <c r="BR107" s="346">
        <v>0</v>
      </c>
      <c r="BS107" s="243"/>
      <c r="BT107" s="243" t="s">
        <v>170</v>
      </c>
      <c r="BU107" s="243" t="s">
        <v>592</v>
      </c>
      <c r="BV107" s="243" t="str">
        <f>Tabela10[[#This Row],[Descrição do projeto]]</f>
        <v>MODERNIZAÇÃO DO SISTEMA RESFR. MANCAL COMBINADO UHE BALBINA</v>
      </c>
    </row>
    <row r="108" spans="1:74" hidden="1" x14ac:dyDescent="0.35">
      <c r="A108" s="237">
        <v>321</v>
      </c>
      <c r="B108" s="237" t="e" cm="1">
        <f t="array" ref="B108">AND(ISTEXT('Consolidado-Eletronorte'!#REF!),SUM('Consolidado-Eletronorte'!#REF!)&gt;0)</f>
        <v>#REF!</v>
      </c>
      <c r="C108" s="237" t="str">
        <f t="shared" ca="1" si="9"/>
        <v>Capex Orcamentário_PE2026_2030_red_35_porcentoR3_consulta.xlsx</v>
      </c>
      <c r="D108" s="238" t="str">
        <f t="shared" si="10"/>
        <v>COO</v>
      </c>
      <c r="E108" s="238" t="str">
        <f t="shared" si="11"/>
        <v>Lucas Martins</v>
      </c>
      <c r="F108" s="237" t="str">
        <f>_xlfn.CONCAT(Tabela10[[#This Row],[VP]],Tabela10[[#This Row],[Analise Estrategia]])</f>
        <v>COO321</v>
      </c>
      <c r="G108" s="239" t="e">
        <f>_xlfn.CONCAT('Consolidado-Eletronorte'!#REF!,"_",ROW('Consolidado-Eletronorte'!#REF!)-ROW('Consolidado-Eletronorte'!$G$18))</f>
        <v>#REF!</v>
      </c>
      <c r="H108" s="239" t="s">
        <v>506</v>
      </c>
      <c r="I108" s="237" t="s">
        <v>507</v>
      </c>
      <c r="J108" s="239" t="s">
        <v>508</v>
      </c>
      <c r="K108" s="237" t="s">
        <v>509</v>
      </c>
      <c r="L108" s="237" t="s">
        <v>509</v>
      </c>
      <c r="M108" s="237" t="s">
        <v>577</v>
      </c>
      <c r="N108" s="237"/>
      <c r="O108" s="237"/>
      <c r="P108" s="237" t="s">
        <v>587</v>
      </c>
      <c r="Q108" s="243" t="s">
        <v>175</v>
      </c>
      <c r="R108" s="239" t="s">
        <v>176</v>
      </c>
      <c r="S108" s="243" t="s">
        <v>175</v>
      </c>
      <c r="T108" s="237" t="s">
        <v>509</v>
      </c>
      <c r="U108" s="237" t="s">
        <v>509</v>
      </c>
      <c r="V108" s="237" t="s">
        <v>577</v>
      </c>
      <c r="W108" s="237" t="s">
        <v>577</v>
      </c>
      <c r="X108" s="237"/>
      <c r="Y108" s="239" t="s">
        <v>564</v>
      </c>
      <c r="Z108" s="397"/>
      <c r="AA108" s="237"/>
      <c r="AB108" s="396"/>
      <c r="AC108" s="239"/>
      <c r="AD108" s="397"/>
      <c r="AE108" s="239"/>
      <c r="AF108" s="239"/>
      <c r="AG108" s="239" t="s">
        <v>851</v>
      </c>
      <c r="AH108" s="237" t="s">
        <v>158</v>
      </c>
      <c r="AI108" s="240">
        <v>0</v>
      </c>
      <c r="AJ108" s="240">
        <v>0</v>
      </c>
      <c r="AK108" s="240">
        <v>0</v>
      </c>
      <c r="AL108" s="240">
        <v>0</v>
      </c>
      <c r="AM108" s="240">
        <v>0</v>
      </c>
      <c r="AN108" s="240">
        <v>0</v>
      </c>
      <c r="AO108" s="240">
        <v>0</v>
      </c>
      <c r="AP108" s="240">
        <v>0</v>
      </c>
      <c r="AQ108" s="240">
        <v>0</v>
      </c>
      <c r="AR108" s="240">
        <v>0</v>
      </c>
      <c r="AS108" s="240">
        <v>0</v>
      </c>
      <c r="AT108" s="240">
        <v>0</v>
      </c>
      <c r="AU108" s="240">
        <f>SUM(Tabela10[[#This Row],[jan/26]:[dez/26]])</f>
        <v>0</v>
      </c>
      <c r="AV108" s="240">
        <v>500000</v>
      </c>
      <c r="AW108" s="240">
        <v>1000000</v>
      </c>
      <c r="AX108" s="240">
        <v>0</v>
      </c>
      <c r="AY108" s="240">
        <v>0</v>
      </c>
      <c r="AZ108" s="240">
        <f>SUM(Tabela10[[#This Row],[2026]:[2030]])</f>
        <v>1500000</v>
      </c>
      <c r="BA108" s="242">
        <v>0</v>
      </c>
      <c r="BB108" s="240">
        <v>0</v>
      </c>
      <c r="BC108" s="240">
        <v>0</v>
      </c>
      <c r="BD108" s="240">
        <v>0</v>
      </c>
      <c r="BE108" s="240">
        <v>0</v>
      </c>
      <c r="BF108" s="241">
        <f>SUM(Tabela10[[#This Row],[2026-2030]:[2035]])</f>
        <v>1500000</v>
      </c>
      <c r="BG108" s="243" t="e" cm="1" vm="1">
        <f t="array" aca="1" ref="BG108" ca="1">_xlfn.SEQUENCE(COUNTA(Tabela10[Empresa]),1,1)</f>
        <v>#VALUE!</v>
      </c>
      <c r="BH108" s="243" t="s">
        <v>175</v>
      </c>
      <c r="BI108" s="243" t="e">
        <f>VLOOKUP(Tabela10[[#This Row],[ID real2]],[2]CONSOLIDADA!$AU:$AZ,6,FALSE)</f>
        <v>#N/A</v>
      </c>
      <c r="BJ108" s="243" t="s">
        <v>159</v>
      </c>
      <c r="BK108" s="243">
        <v>2026</v>
      </c>
      <c r="BL108" s="243" t="s">
        <v>852</v>
      </c>
      <c r="BM108" s="243">
        <v>0</v>
      </c>
      <c r="BN108" s="243" t="s">
        <v>175</v>
      </c>
      <c r="BO108" s="243" t="s">
        <v>568</v>
      </c>
      <c r="BP108" s="243" t="s">
        <v>561</v>
      </c>
      <c r="BQ108" s="243" t="s">
        <v>561</v>
      </c>
      <c r="BR108" s="346">
        <v>0</v>
      </c>
      <c r="BS108" s="243"/>
      <c r="BT108" s="243" t="s">
        <v>175</v>
      </c>
      <c r="BU108" s="243" t="s">
        <v>592</v>
      </c>
      <c r="BV108" s="243" t="str">
        <f>Tabela10[[#This Row],[Descrição do projeto]]</f>
        <v>MODERNIZAÇÃO DO SISTEMA DE AR DE SERVIÇO UHE BALBINA</v>
      </c>
    </row>
    <row r="109" spans="1:74" hidden="1" x14ac:dyDescent="0.35">
      <c r="A109" s="237">
        <v>325</v>
      </c>
      <c r="B109" s="237" t="e" cm="1">
        <f t="array" ref="B109">AND(ISTEXT('Consolidado-Eletronorte'!#REF!),SUM('Consolidado-Eletronorte'!#REF!)&gt;0)</f>
        <v>#REF!</v>
      </c>
      <c r="C109" s="237" t="str">
        <f t="shared" ca="1" si="9"/>
        <v>Capex Orcamentário_PE2026_2030_red_35_porcentoR3_consulta.xlsx</v>
      </c>
      <c r="D109" s="238" t="str">
        <f t="shared" si="10"/>
        <v>COO</v>
      </c>
      <c r="E109" s="238" t="str">
        <f t="shared" si="11"/>
        <v>Lucas Martins</v>
      </c>
      <c r="F109" s="237" t="str">
        <f>_xlfn.CONCAT(Tabela10[[#This Row],[VP]],Tabela10[[#This Row],[Analise Estrategia]])</f>
        <v>COO325</v>
      </c>
      <c r="G109" s="239" t="e">
        <f>_xlfn.CONCAT('Consolidado-Eletronorte'!#REF!,"_",ROW('Consolidado-Eletronorte'!#REF!)-ROW('Consolidado-Eletronorte'!$G$18))</f>
        <v>#REF!</v>
      </c>
      <c r="H109" s="239" t="s">
        <v>506</v>
      </c>
      <c r="I109" s="237" t="s">
        <v>507</v>
      </c>
      <c r="J109" s="239" t="s">
        <v>508</v>
      </c>
      <c r="K109" s="237" t="s">
        <v>509</v>
      </c>
      <c r="L109" s="237" t="s">
        <v>509</v>
      </c>
      <c r="M109" s="237" t="s">
        <v>577</v>
      </c>
      <c r="N109" s="237"/>
      <c r="O109" s="237"/>
      <c r="P109" s="237" t="s">
        <v>587</v>
      </c>
      <c r="Q109" s="243" t="s">
        <v>173</v>
      </c>
      <c r="R109" s="239" t="s">
        <v>174</v>
      </c>
      <c r="S109" s="243" t="s">
        <v>173</v>
      </c>
      <c r="T109" s="237" t="s">
        <v>509</v>
      </c>
      <c r="U109" s="237" t="s">
        <v>509</v>
      </c>
      <c r="V109" s="237" t="s">
        <v>577</v>
      </c>
      <c r="W109" s="237" t="s">
        <v>577</v>
      </c>
      <c r="X109" s="237"/>
      <c r="Y109" s="239" t="s">
        <v>564</v>
      </c>
      <c r="Z109" s="397"/>
      <c r="AA109" s="237"/>
      <c r="AB109" s="396"/>
      <c r="AC109" s="239"/>
      <c r="AD109" s="397"/>
      <c r="AE109" s="239"/>
      <c r="AF109" s="239"/>
      <c r="AG109" s="239" t="s">
        <v>853</v>
      </c>
      <c r="AH109" s="237" t="s">
        <v>158</v>
      </c>
      <c r="AI109" s="240">
        <v>0</v>
      </c>
      <c r="AJ109" s="240">
        <v>0</v>
      </c>
      <c r="AK109" s="240">
        <v>0</v>
      </c>
      <c r="AL109" s="240">
        <v>0</v>
      </c>
      <c r="AM109" s="240">
        <v>0</v>
      </c>
      <c r="AN109" s="240">
        <v>0</v>
      </c>
      <c r="AO109" s="240">
        <v>0</v>
      </c>
      <c r="AP109" s="240">
        <v>0</v>
      </c>
      <c r="AQ109" s="240">
        <v>0</v>
      </c>
      <c r="AR109" s="240">
        <v>0</v>
      </c>
      <c r="AS109" s="240">
        <v>0</v>
      </c>
      <c r="AT109" s="240">
        <v>0</v>
      </c>
      <c r="AU109" s="240">
        <f>SUM(Tabela10[[#This Row],[jan/26]:[dez/26]])</f>
        <v>0</v>
      </c>
      <c r="AV109" s="240">
        <v>1200000</v>
      </c>
      <c r="AW109" s="240">
        <v>300000</v>
      </c>
      <c r="AX109" s="240">
        <v>0</v>
      </c>
      <c r="AY109" s="240">
        <v>0</v>
      </c>
      <c r="AZ109" s="240">
        <f>SUM(Tabela10[[#This Row],[2026]:[2030]])</f>
        <v>1500000</v>
      </c>
      <c r="BA109" s="242">
        <v>0</v>
      </c>
      <c r="BB109" s="240">
        <v>0</v>
      </c>
      <c r="BC109" s="240">
        <v>0</v>
      </c>
      <c r="BD109" s="240">
        <v>0</v>
      </c>
      <c r="BE109" s="240">
        <v>0</v>
      </c>
      <c r="BF109" s="241">
        <f>SUM(Tabela10[[#This Row],[2026-2030]:[2035]])</f>
        <v>1500000</v>
      </c>
      <c r="BG109" s="243" t="e" cm="1" vm="1">
        <f t="array" aca="1" ref="BG109" ca="1">_xlfn.SEQUENCE(COUNTA(Tabela10[Empresa]),1,1)</f>
        <v>#VALUE!</v>
      </c>
      <c r="BH109" s="243" t="s">
        <v>173</v>
      </c>
      <c r="BI109" s="243" t="e">
        <f>VLOOKUP(Tabela10[[#This Row],[ID real2]],[2]CONSOLIDADA!$AU:$AZ,6,FALSE)</f>
        <v>#N/A</v>
      </c>
      <c r="BJ109" s="243" t="s">
        <v>159</v>
      </c>
      <c r="BK109" s="243">
        <v>2026</v>
      </c>
      <c r="BL109" s="243" t="s">
        <v>854</v>
      </c>
      <c r="BM109" s="243">
        <v>0</v>
      </c>
      <c r="BN109" s="243" t="s">
        <v>173</v>
      </c>
      <c r="BO109" s="243" t="s">
        <v>568</v>
      </c>
      <c r="BP109" s="243" t="s">
        <v>561</v>
      </c>
      <c r="BQ109" s="243" t="s">
        <v>561</v>
      </c>
      <c r="BR109" s="346">
        <v>0</v>
      </c>
      <c r="BS109" s="243"/>
      <c r="BT109" s="243" t="s">
        <v>173</v>
      </c>
      <c r="BU109" s="243" t="s">
        <v>592</v>
      </c>
      <c r="BV109" s="243" t="str">
        <f>Tabela10[[#This Row],[Descrição do projeto]]</f>
        <v>MODERNIZAÇÃO DO SIST INJEÇÃO DE ÓLEO MANCAL ESCORA UHE BALBINA</v>
      </c>
    </row>
    <row r="110" spans="1:74" hidden="1" x14ac:dyDescent="0.35">
      <c r="A110" s="237">
        <v>324</v>
      </c>
      <c r="B110" s="237" t="e" cm="1">
        <f t="array" ref="B110">AND(ISTEXT('Consolidado-Eletronorte'!#REF!),SUM('Consolidado-Eletronorte'!#REF!)&gt;0)</f>
        <v>#REF!</v>
      </c>
      <c r="C110" s="237" t="str">
        <f t="shared" ca="1" si="9"/>
        <v>Capex Orcamentário_PE2026_2030_red_35_porcentoR3_consulta.xlsx</v>
      </c>
      <c r="D110" s="238" t="str">
        <f t="shared" si="10"/>
        <v>COO</v>
      </c>
      <c r="E110" s="238" t="str">
        <f t="shared" si="11"/>
        <v>Lucas Martins</v>
      </c>
      <c r="F110" s="237" t="str">
        <f>_xlfn.CONCAT(Tabela10[[#This Row],[VP]],Tabela10[[#This Row],[Analise Estrategia]])</f>
        <v>COO324</v>
      </c>
      <c r="G110" s="239" t="e">
        <f>_xlfn.CONCAT('Consolidado-Eletronorte'!#REF!,"_",ROW('Consolidado-Eletronorte'!#REF!)-ROW('Consolidado-Eletronorte'!$G$18))</f>
        <v>#REF!</v>
      </c>
      <c r="H110" s="239" t="s">
        <v>506</v>
      </c>
      <c r="I110" s="237" t="s">
        <v>507</v>
      </c>
      <c r="J110" s="239" t="s">
        <v>508</v>
      </c>
      <c r="K110" s="237" t="s">
        <v>509</v>
      </c>
      <c r="L110" s="237" t="s">
        <v>509</v>
      </c>
      <c r="M110" s="237" t="s">
        <v>577</v>
      </c>
      <c r="N110" s="237"/>
      <c r="O110" s="237"/>
      <c r="P110" s="237" t="s">
        <v>587</v>
      </c>
      <c r="Q110" s="243" t="s">
        <v>179</v>
      </c>
      <c r="R110" s="239" t="s">
        <v>180</v>
      </c>
      <c r="S110" s="243" t="s">
        <v>179</v>
      </c>
      <c r="T110" s="237" t="s">
        <v>509</v>
      </c>
      <c r="U110" s="237" t="s">
        <v>509</v>
      </c>
      <c r="V110" s="237" t="s">
        <v>577</v>
      </c>
      <c r="W110" s="237" t="s">
        <v>577</v>
      </c>
      <c r="X110" s="237"/>
      <c r="Y110" s="239" t="s">
        <v>564</v>
      </c>
      <c r="Z110" s="397"/>
      <c r="AA110" s="237"/>
      <c r="AB110" s="396"/>
      <c r="AC110" s="239"/>
      <c r="AD110" s="397"/>
      <c r="AE110" s="239"/>
      <c r="AF110" s="239"/>
      <c r="AG110" s="239" t="s">
        <v>855</v>
      </c>
      <c r="AH110" s="237" t="s">
        <v>158</v>
      </c>
      <c r="AI110" s="240">
        <v>0</v>
      </c>
      <c r="AJ110" s="240">
        <v>0</v>
      </c>
      <c r="AK110" s="240">
        <v>0</v>
      </c>
      <c r="AL110" s="240">
        <v>0</v>
      </c>
      <c r="AM110" s="240">
        <v>0</v>
      </c>
      <c r="AN110" s="240">
        <v>0</v>
      </c>
      <c r="AO110" s="240">
        <v>0</v>
      </c>
      <c r="AP110" s="240">
        <v>0</v>
      </c>
      <c r="AQ110" s="240">
        <v>0</v>
      </c>
      <c r="AR110" s="240">
        <v>0</v>
      </c>
      <c r="AS110" s="240">
        <v>0</v>
      </c>
      <c r="AT110" s="240">
        <v>0</v>
      </c>
      <c r="AU110" s="240">
        <f>SUM(Tabela10[[#This Row],[jan/26]:[dez/26]])</f>
        <v>0</v>
      </c>
      <c r="AV110" s="240">
        <v>1000000</v>
      </c>
      <c r="AW110" s="240">
        <v>0</v>
      </c>
      <c r="AX110" s="240">
        <v>0</v>
      </c>
      <c r="AY110" s="240">
        <v>0</v>
      </c>
      <c r="AZ110" s="240">
        <f>SUM(Tabela10[[#This Row],[2026]:[2030]])</f>
        <v>1000000</v>
      </c>
      <c r="BA110" s="242">
        <v>0</v>
      </c>
      <c r="BB110" s="240">
        <v>0</v>
      </c>
      <c r="BC110" s="240">
        <v>0</v>
      </c>
      <c r="BD110" s="240">
        <v>0</v>
      </c>
      <c r="BE110" s="240">
        <v>0</v>
      </c>
      <c r="BF110" s="241">
        <f>SUM(Tabela10[[#This Row],[2026-2030]:[2035]])</f>
        <v>1000000</v>
      </c>
      <c r="BG110" s="243" t="e" cm="1" vm="1">
        <f t="array" aca="1" ref="BG110" ca="1">_xlfn.SEQUENCE(COUNTA(Tabela10[Empresa]),1,1)</f>
        <v>#VALUE!</v>
      </c>
      <c r="BH110" s="243" t="s">
        <v>179</v>
      </c>
      <c r="BI110" s="243" t="e">
        <f>VLOOKUP(Tabela10[[#This Row],[ID real2]],[2]CONSOLIDADA!$AU:$AZ,6,FALSE)</f>
        <v>#N/A</v>
      </c>
      <c r="BJ110" s="243" t="s">
        <v>159</v>
      </c>
      <c r="BK110" s="243">
        <v>2026</v>
      </c>
      <c r="BL110" s="243" t="s">
        <v>856</v>
      </c>
      <c r="BM110" s="243">
        <v>0</v>
      </c>
      <c r="BN110" s="243" t="s">
        <v>179</v>
      </c>
      <c r="BO110" s="243" t="s">
        <v>568</v>
      </c>
      <c r="BP110" s="243" t="s">
        <v>561</v>
      </c>
      <c r="BQ110" s="243" t="s">
        <v>561</v>
      </c>
      <c r="BR110" s="346">
        <v>0</v>
      </c>
      <c r="BS110" s="243"/>
      <c r="BT110" s="243" t="s">
        <v>179</v>
      </c>
      <c r="BU110" s="243" t="s">
        <v>592</v>
      </c>
      <c r="BV110" s="243" t="str">
        <f>Tabela10[[#This Row],[Descrição do projeto]]</f>
        <v>MODERNIZAÇÃO DO SISTEMA RESFR. MANCAL GERADOR UHE BALBINA</v>
      </c>
    </row>
    <row r="111" spans="1:74" hidden="1" x14ac:dyDescent="0.35">
      <c r="A111" s="237">
        <v>326</v>
      </c>
      <c r="B111" s="237" t="e" cm="1">
        <f t="array" ref="B111">AND(ISTEXT('Consolidado-Eletronorte'!#REF!),SUM('Consolidado-Eletronorte'!#REF!)&gt;0)</f>
        <v>#REF!</v>
      </c>
      <c r="C111" s="237" t="str">
        <f t="shared" ca="1" si="9"/>
        <v>Capex Orcamentário_PE2026_2030_red_35_porcentoR3_consulta.xlsx</v>
      </c>
      <c r="D111" s="238" t="str">
        <f t="shared" si="10"/>
        <v>COO</v>
      </c>
      <c r="E111" s="238" t="str">
        <f t="shared" si="11"/>
        <v>Lucas Martins</v>
      </c>
      <c r="F111" s="237" t="str">
        <f>_xlfn.CONCAT(Tabela10[[#This Row],[VP]],Tabela10[[#This Row],[Analise Estrategia]])</f>
        <v>COO326</v>
      </c>
      <c r="G111" s="239" t="e">
        <f>_xlfn.CONCAT('Consolidado-Eletronorte'!#REF!,"_",ROW('Consolidado-Eletronorte'!#REF!)-ROW('Consolidado-Eletronorte'!$G$18))</f>
        <v>#REF!</v>
      </c>
      <c r="H111" s="239" t="s">
        <v>506</v>
      </c>
      <c r="I111" s="237" t="s">
        <v>507</v>
      </c>
      <c r="J111" s="239" t="s">
        <v>508</v>
      </c>
      <c r="K111" s="237" t="s">
        <v>509</v>
      </c>
      <c r="L111" s="237" t="s">
        <v>509</v>
      </c>
      <c r="M111" s="237" t="s">
        <v>577</v>
      </c>
      <c r="N111" s="237"/>
      <c r="O111" s="237"/>
      <c r="P111" s="237" t="s">
        <v>587</v>
      </c>
      <c r="Q111" s="243" t="s">
        <v>177</v>
      </c>
      <c r="R111" s="239" t="s">
        <v>178</v>
      </c>
      <c r="S111" s="243" t="s">
        <v>177</v>
      </c>
      <c r="T111" s="237" t="s">
        <v>509</v>
      </c>
      <c r="U111" s="237" t="s">
        <v>509</v>
      </c>
      <c r="V111" s="237" t="s">
        <v>577</v>
      </c>
      <c r="W111" s="237" t="s">
        <v>577</v>
      </c>
      <c r="X111" s="237"/>
      <c r="Y111" s="239" t="s">
        <v>564</v>
      </c>
      <c r="Z111" s="397"/>
      <c r="AA111" s="237"/>
      <c r="AB111" s="396"/>
      <c r="AC111" s="239"/>
      <c r="AD111" s="397"/>
      <c r="AE111" s="239"/>
      <c r="AF111" s="239"/>
      <c r="AG111" s="239" t="s">
        <v>857</v>
      </c>
      <c r="AH111" s="237" t="s">
        <v>158</v>
      </c>
      <c r="AI111" s="240">
        <v>0</v>
      </c>
      <c r="AJ111" s="240">
        <v>0</v>
      </c>
      <c r="AK111" s="240">
        <v>0</v>
      </c>
      <c r="AL111" s="240">
        <v>0</v>
      </c>
      <c r="AM111" s="240">
        <v>0</v>
      </c>
      <c r="AN111" s="240">
        <v>0</v>
      </c>
      <c r="AO111" s="240">
        <v>0</v>
      </c>
      <c r="AP111" s="240">
        <v>0</v>
      </c>
      <c r="AQ111" s="240">
        <v>0</v>
      </c>
      <c r="AR111" s="240">
        <v>0</v>
      </c>
      <c r="AS111" s="240">
        <v>0</v>
      </c>
      <c r="AT111" s="240">
        <v>0</v>
      </c>
      <c r="AU111" s="240">
        <f>SUM(Tabela10[[#This Row],[jan/26]:[dez/26]])</f>
        <v>0</v>
      </c>
      <c r="AV111" s="240">
        <v>600000</v>
      </c>
      <c r="AW111" s="240">
        <v>400000</v>
      </c>
      <c r="AX111" s="240">
        <v>0</v>
      </c>
      <c r="AY111" s="240">
        <v>0</v>
      </c>
      <c r="AZ111" s="240">
        <f>SUM(Tabela10[[#This Row],[2026]:[2030]])</f>
        <v>1000000</v>
      </c>
      <c r="BA111" s="242">
        <v>0</v>
      </c>
      <c r="BB111" s="240">
        <v>0</v>
      </c>
      <c r="BC111" s="240">
        <v>0</v>
      </c>
      <c r="BD111" s="240">
        <v>0</v>
      </c>
      <c r="BE111" s="240">
        <v>0</v>
      </c>
      <c r="BF111" s="241">
        <f>SUM(Tabela10[[#This Row],[2026-2030]:[2035]])</f>
        <v>1000000</v>
      </c>
      <c r="BG111" s="243" t="e" cm="1" vm="1">
        <f t="array" aca="1" ref="BG111" ca="1">_xlfn.SEQUENCE(COUNTA(Tabela10[Empresa]),1,1)</f>
        <v>#VALUE!</v>
      </c>
      <c r="BH111" s="243" t="s">
        <v>177</v>
      </c>
      <c r="BI111" s="243" t="e">
        <f>VLOOKUP(Tabela10[[#This Row],[ID real2]],[2]CONSOLIDADA!$AU:$AZ,6,FALSE)</f>
        <v>#N/A</v>
      </c>
      <c r="BJ111" s="243" t="s">
        <v>159</v>
      </c>
      <c r="BK111" s="243">
        <v>2026</v>
      </c>
      <c r="BL111" s="243" t="s">
        <v>858</v>
      </c>
      <c r="BM111" s="243">
        <v>0</v>
      </c>
      <c r="BN111" s="243" t="s">
        <v>177</v>
      </c>
      <c r="BO111" s="243" t="s">
        <v>568</v>
      </c>
      <c r="BP111" s="243" t="s">
        <v>561</v>
      </c>
      <c r="BQ111" s="243" t="s">
        <v>561</v>
      </c>
      <c r="BR111" s="346">
        <v>0</v>
      </c>
      <c r="BS111" s="243"/>
      <c r="BT111" s="243" t="s">
        <v>177</v>
      </c>
      <c r="BU111" s="243" t="s">
        <v>592</v>
      </c>
      <c r="BV111" s="243" t="str">
        <f>Tabela10[[#This Row],[Descrição do projeto]]</f>
        <v>MODERNIZACAO DO SISTEMA DRENAGEM TAMPA DA TURBINA UHE BALBINA</v>
      </c>
    </row>
    <row r="112" spans="1:74" hidden="1" x14ac:dyDescent="0.35">
      <c r="A112" s="237">
        <v>282</v>
      </c>
      <c r="B112" s="237" t="e" cm="1">
        <f t="array" ref="B112">AND(ISTEXT('Consolidado-Eletronorte'!#REF!),SUM('Consolidado-Eletronorte'!#REF!)&gt;0)</f>
        <v>#REF!</v>
      </c>
      <c r="C112" s="237" t="str">
        <f t="shared" ca="1" si="9"/>
        <v>Capex Orcamentário_PE2026_2030_red_35_porcentoR3_consulta.xlsx</v>
      </c>
      <c r="D112" s="238" t="str">
        <f t="shared" si="10"/>
        <v>COO</v>
      </c>
      <c r="E112" s="238" t="str">
        <f t="shared" si="11"/>
        <v>Lucas Martins</v>
      </c>
      <c r="F112" s="237" t="str">
        <f>_xlfn.CONCAT(Tabela10[[#This Row],[VP]],Tabela10[[#This Row],[Analise Estrategia]])</f>
        <v>COO282</v>
      </c>
      <c r="G112" s="239" t="e">
        <f>_xlfn.CONCAT('Consolidado-Eletronorte'!#REF!,"_",ROW('Consolidado-Eletronorte'!#REF!)-ROW('Consolidado-Eletronorte'!$G$18))</f>
        <v>#REF!</v>
      </c>
      <c r="H112" s="239" t="s">
        <v>506</v>
      </c>
      <c r="I112" s="237" t="s">
        <v>507</v>
      </c>
      <c r="J112" s="239" t="s">
        <v>508</v>
      </c>
      <c r="K112" s="237" t="s">
        <v>509</v>
      </c>
      <c r="L112" s="237" t="s">
        <v>509</v>
      </c>
      <c r="M112" s="237" t="s">
        <v>577</v>
      </c>
      <c r="N112" s="237"/>
      <c r="O112" s="237"/>
      <c r="P112" s="237" t="s">
        <v>587</v>
      </c>
      <c r="Q112" s="243" t="s">
        <v>181</v>
      </c>
      <c r="R112" s="239" t="s">
        <v>182</v>
      </c>
      <c r="S112" s="243" t="s">
        <v>181</v>
      </c>
      <c r="T112" s="237" t="s">
        <v>509</v>
      </c>
      <c r="U112" s="237" t="s">
        <v>509</v>
      </c>
      <c r="V112" s="237" t="s">
        <v>577</v>
      </c>
      <c r="W112" s="237" t="s">
        <v>577</v>
      </c>
      <c r="X112" s="237"/>
      <c r="Y112" s="239" t="s">
        <v>564</v>
      </c>
      <c r="Z112" s="397"/>
      <c r="AA112" s="237"/>
      <c r="AB112" s="396"/>
      <c r="AC112" s="239"/>
      <c r="AD112" s="397"/>
      <c r="AE112" s="239"/>
      <c r="AF112" s="239"/>
      <c r="AG112" s="239" t="s">
        <v>859</v>
      </c>
      <c r="AH112" s="237" t="s">
        <v>154</v>
      </c>
      <c r="AI112" s="240">
        <v>0</v>
      </c>
      <c r="AJ112" s="240">
        <v>0</v>
      </c>
      <c r="AK112" s="240">
        <v>0</v>
      </c>
      <c r="AL112" s="240">
        <v>0</v>
      </c>
      <c r="AM112" s="240">
        <v>0</v>
      </c>
      <c r="AN112" s="240">
        <v>0</v>
      </c>
      <c r="AO112" s="240">
        <v>0</v>
      </c>
      <c r="AP112" s="240">
        <v>0</v>
      </c>
      <c r="AQ112" s="240">
        <v>0</v>
      </c>
      <c r="AR112" s="240">
        <v>0</v>
      </c>
      <c r="AS112" s="240">
        <v>0</v>
      </c>
      <c r="AT112" s="240">
        <v>0</v>
      </c>
      <c r="AU112" s="240">
        <f>SUM(Tabela10[[#This Row],[jan/26]:[dez/26]])</f>
        <v>0</v>
      </c>
      <c r="AV112" s="240">
        <v>800000</v>
      </c>
      <c r="AW112" s="240">
        <v>0</v>
      </c>
      <c r="AX112" s="240">
        <v>0</v>
      </c>
      <c r="AY112" s="240">
        <v>0</v>
      </c>
      <c r="AZ112" s="240">
        <f>SUM(Tabela10[[#This Row],[2026]:[2030]])</f>
        <v>800000</v>
      </c>
      <c r="BA112" s="242">
        <v>0</v>
      </c>
      <c r="BB112" s="240">
        <v>0</v>
      </c>
      <c r="BC112" s="240">
        <v>0</v>
      </c>
      <c r="BD112" s="240">
        <v>0</v>
      </c>
      <c r="BE112" s="240">
        <v>0</v>
      </c>
      <c r="BF112" s="241">
        <f>SUM(Tabela10[[#This Row],[2026-2030]:[2035]])</f>
        <v>800000</v>
      </c>
      <c r="BG112" s="243" t="e" cm="1" vm="1">
        <f t="array" aca="1" ref="BG112" ca="1">_xlfn.SEQUENCE(COUNTA(Tabela10[Empresa]),1,1)</f>
        <v>#VALUE!</v>
      </c>
      <c r="BH112" s="243" t="s">
        <v>181</v>
      </c>
      <c r="BI112" s="243" t="e">
        <f>VLOOKUP(Tabela10[[#This Row],[ID real2]],[2]CONSOLIDADA!$AU:$AZ,6,FALSE)</f>
        <v>#N/A</v>
      </c>
      <c r="BJ112" s="243" t="s">
        <v>165</v>
      </c>
      <c r="BK112" s="243">
        <v>2025</v>
      </c>
      <c r="BL112" s="243" t="s">
        <v>860</v>
      </c>
      <c r="BM112" s="243" t="s">
        <v>861</v>
      </c>
      <c r="BN112" s="243" t="s">
        <v>181</v>
      </c>
      <c r="BO112" s="243" t="s">
        <v>568</v>
      </c>
      <c r="BP112" s="243" t="s">
        <v>569</v>
      </c>
      <c r="BQ112" s="243" t="s">
        <v>561</v>
      </c>
      <c r="BR112" s="346">
        <v>0</v>
      </c>
      <c r="BS112" s="243"/>
      <c r="BT112" s="243" t="s">
        <v>181</v>
      </c>
      <c r="BU112" s="243" t="s">
        <v>554</v>
      </c>
      <c r="BV112" s="243" t="str">
        <f>Tabela10[[#This Row],[Descrição do projeto]]</f>
        <v>Instalar comando e controle sistema de drenagem e esgotamento da UHE Balbina</v>
      </c>
    </row>
    <row r="113" spans="1:74" hidden="1" x14ac:dyDescent="0.35">
      <c r="A113" s="237">
        <v>281</v>
      </c>
      <c r="B113" s="237" t="e" cm="1">
        <f t="array" ref="B113">AND(ISTEXT('Consolidado-Eletronorte'!#REF!),SUM('Consolidado-Eletronorte'!#REF!)&gt;0)</f>
        <v>#REF!</v>
      </c>
      <c r="C113" s="237" t="str">
        <f t="shared" ca="1" si="9"/>
        <v>Capex Orcamentário_PE2026_2030_red_35_porcentoR3_consulta.xlsx</v>
      </c>
      <c r="D113" s="238" t="str">
        <f t="shared" si="10"/>
        <v>COO</v>
      </c>
      <c r="E113" s="238" t="str">
        <f t="shared" si="11"/>
        <v>Lucas Martins</v>
      </c>
      <c r="F113" s="237" t="str">
        <f>_xlfn.CONCAT(Tabela10[[#This Row],[VP]],Tabela10[[#This Row],[Analise Estrategia]])</f>
        <v>COO281</v>
      </c>
      <c r="G113" s="239" t="e">
        <f>_xlfn.CONCAT('Consolidado-Eletronorte'!#REF!,"_",ROW('Consolidado-Eletronorte'!#REF!)-ROW('Consolidado-Eletronorte'!$G$18))</f>
        <v>#REF!</v>
      </c>
      <c r="H113" s="239" t="s">
        <v>506</v>
      </c>
      <c r="I113" s="237" t="s">
        <v>507</v>
      </c>
      <c r="J113" s="239" t="s">
        <v>508</v>
      </c>
      <c r="K113" s="237" t="s">
        <v>509</v>
      </c>
      <c r="L113" s="237" t="s">
        <v>509</v>
      </c>
      <c r="M113" s="237" t="s">
        <v>577</v>
      </c>
      <c r="N113" s="237"/>
      <c r="O113" s="237"/>
      <c r="P113" s="237" t="s">
        <v>587</v>
      </c>
      <c r="Q113" s="243" t="s">
        <v>183</v>
      </c>
      <c r="R113" s="239" t="s">
        <v>184</v>
      </c>
      <c r="S113" s="243" t="s">
        <v>183</v>
      </c>
      <c r="T113" s="237" t="s">
        <v>509</v>
      </c>
      <c r="U113" s="237" t="s">
        <v>509</v>
      </c>
      <c r="V113" s="237" t="s">
        <v>577</v>
      </c>
      <c r="W113" s="237" t="s">
        <v>577</v>
      </c>
      <c r="X113" s="237"/>
      <c r="Y113" s="239" t="s">
        <v>564</v>
      </c>
      <c r="Z113" s="397"/>
      <c r="AA113" s="237"/>
      <c r="AB113" s="396"/>
      <c r="AC113" s="239"/>
      <c r="AD113" s="397"/>
      <c r="AE113" s="239"/>
      <c r="AF113" s="239"/>
      <c r="AG113" s="239" t="s">
        <v>862</v>
      </c>
      <c r="AH113" s="237" t="s">
        <v>154</v>
      </c>
      <c r="AI113" s="240">
        <v>0</v>
      </c>
      <c r="AJ113" s="240">
        <v>0</v>
      </c>
      <c r="AK113" s="240">
        <v>0</v>
      </c>
      <c r="AL113" s="240">
        <v>0</v>
      </c>
      <c r="AM113" s="240">
        <v>0</v>
      </c>
      <c r="AN113" s="240">
        <v>0</v>
      </c>
      <c r="AO113" s="240">
        <v>0</v>
      </c>
      <c r="AP113" s="240">
        <v>0</v>
      </c>
      <c r="AQ113" s="240">
        <v>0</v>
      </c>
      <c r="AR113" s="240">
        <v>0</v>
      </c>
      <c r="AS113" s="240">
        <v>0</v>
      </c>
      <c r="AT113" s="240">
        <v>0</v>
      </c>
      <c r="AU113" s="240">
        <f>SUM(Tabela10[[#This Row],[jan/26]:[dez/26]])</f>
        <v>0</v>
      </c>
      <c r="AV113" s="240">
        <v>600000</v>
      </c>
      <c r="AW113" s="240">
        <v>0</v>
      </c>
      <c r="AX113" s="240">
        <v>0</v>
      </c>
      <c r="AY113" s="240">
        <v>0</v>
      </c>
      <c r="AZ113" s="240">
        <f>SUM(Tabela10[[#This Row],[2026]:[2030]])</f>
        <v>600000</v>
      </c>
      <c r="BA113" s="242">
        <v>0</v>
      </c>
      <c r="BB113" s="240">
        <v>0</v>
      </c>
      <c r="BC113" s="240">
        <v>0</v>
      </c>
      <c r="BD113" s="240">
        <v>0</v>
      </c>
      <c r="BE113" s="240">
        <v>0</v>
      </c>
      <c r="BF113" s="241">
        <f>SUM(Tabela10[[#This Row],[2026-2030]:[2035]])</f>
        <v>600000</v>
      </c>
      <c r="BG113" s="243" t="e" cm="1" vm="1">
        <f t="array" aca="1" ref="BG113" ca="1">_xlfn.SEQUENCE(COUNTA(Tabela10[Empresa]),1,1)</f>
        <v>#VALUE!</v>
      </c>
      <c r="BH113" s="243" t="s">
        <v>183</v>
      </c>
      <c r="BI113" s="243" t="e">
        <f>VLOOKUP(Tabela10[[#This Row],[ID real2]],[2]CONSOLIDADA!$AU:$AZ,6,FALSE)</f>
        <v>#N/A</v>
      </c>
      <c r="BJ113" s="243" t="s">
        <v>165</v>
      </c>
      <c r="BK113" s="243">
        <v>2025</v>
      </c>
      <c r="BL113" s="243" t="s">
        <v>863</v>
      </c>
      <c r="BM113" s="243" t="s">
        <v>864</v>
      </c>
      <c r="BN113" s="243" t="s">
        <v>183</v>
      </c>
      <c r="BO113" s="243" t="s">
        <v>568</v>
      </c>
      <c r="BP113" s="243" t="s">
        <v>569</v>
      </c>
      <c r="BQ113" s="243" t="s">
        <v>552</v>
      </c>
      <c r="BR113" s="346">
        <v>0</v>
      </c>
      <c r="BS113" s="243"/>
      <c r="BT113" s="243" t="s">
        <v>183</v>
      </c>
      <c r="BU113" s="243" t="s">
        <v>554</v>
      </c>
      <c r="BV113" s="243" t="str">
        <f>Tabela10[[#This Row],[Descrição do projeto]]</f>
        <v>Implatação de rede aérea de alimentação na UHE Balbina</v>
      </c>
    </row>
    <row r="114" spans="1:74" ht="14.5" hidden="1" customHeight="1" x14ac:dyDescent="0.35">
      <c r="A114" s="237">
        <v>327</v>
      </c>
      <c r="B114" s="237" t="e" cm="1">
        <f t="array" ref="B114">AND(ISTEXT('Consolidado-Eletronorte'!#REF!),SUM('Consolidado-Eletronorte'!#REF!)&gt;0)</f>
        <v>#REF!</v>
      </c>
      <c r="C114" s="237" t="str">
        <f t="shared" ca="1" si="9"/>
        <v>Capex Orcamentário_PE2026_2030_red_35_porcentoR3_consulta.xlsx</v>
      </c>
      <c r="D114" s="238" t="str">
        <f t="shared" si="10"/>
        <v>COO</v>
      </c>
      <c r="E114" s="238" t="str">
        <f t="shared" si="11"/>
        <v>Lucas Martins</v>
      </c>
      <c r="F114" s="237" t="str">
        <f>_xlfn.CONCAT(Tabela10[[#This Row],[VP]],Tabela10[[#This Row],[Analise Estrategia]])</f>
        <v>COO327</v>
      </c>
      <c r="G114" s="239" t="e">
        <f>_xlfn.CONCAT('Consolidado-Eletronorte'!#REF!,"_",ROW('Consolidado-Eletronorte'!#REF!)-ROW('Consolidado-Eletronorte'!$G$18))</f>
        <v>#REF!</v>
      </c>
      <c r="H114" s="239" t="s">
        <v>506</v>
      </c>
      <c r="I114" s="237" t="s">
        <v>507</v>
      </c>
      <c r="J114" s="239" t="s">
        <v>508</v>
      </c>
      <c r="K114" s="237" t="s">
        <v>509</v>
      </c>
      <c r="L114" s="237" t="s">
        <v>509</v>
      </c>
      <c r="M114" s="237" t="s">
        <v>577</v>
      </c>
      <c r="N114" s="237"/>
      <c r="O114" s="237"/>
      <c r="P114" s="237" t="s">
        <v>587</v>
      </c>
      <c r="Q114" s="243" t="s">
        <v>200</v>
      </c>
      <c r="R114" s="239" t="s">
        <v>201</v>
      </c>
      <c r="S114" s="243" t="s">
        <v>200</v>
      </c>
      <c r="T114" s="237" t="s">
        <v>509</v>
      </c>
      <c r="U114" s="237" t="s">
        <v>509</v>
      </c>
      <c r="V114" s="237" t="s">
        <v>577</v>
      </c>
      <c r="W114" s="237" t="s">
        <v>577</v>
      </c>
      <c r="X114" s="237"/>
      <c r="Y114" s="239" t="s">
        <v>564</v>
      </c>
      <c r="Z114" s="397"/>
      <c r="AA114" s="237"/>
      <c r="AB114" s="396"/>
      <c r="AC114" s="239"/>
      <c r="AD114" s="397"/>
      <c r="AE114" s="239"/>
      <c r="AF114" s="239"/>
      <c r="AG114" s="239" t="s">
        <v>865</v>
      </c>
      <c r="AH114" s="237" t="s">
        <v>154</v>
      </c>
      <c r="AI114" s="240">
        <v>0</v>
      </c>
      <c r="AJ114" s="240">
        <v>0</v>
      </c>
      <c r="AK114" s="240">
        <v>0</v>
      </c>
      <c r="AL114" s="240">
        <v>0</v>
      </c>
      <c r="AM114" s="240">
        <v>0</v>
      </c>
      <c r="AN114" s="240">
        <v>0</v>
      </c>
      <c r="AO114" s="240">
        <v>0</v>
      </c>
      <c r="AP114" s="240">
        <v>0</v>
      </c>
      <c r="AQ114" s="240">
        <v>0</v>
      </c>
      <c r="AR114" s="240">
        <v>0</v>
      </c>
      <c r="AS114" s="240">
        <v>0</v>
      </c>
      <c r="AT114" s="240">
        <v>0</v>
      </c>
      <c r="AU114" s="240">
        <f>SUM(Tabela10[[#This Row],[jan/26]:[dez/26]])</f>
        <v>0</v>
      </c>
      <c r="AV114" s="240">
        <v>250000</v>
      </c>
      <c r="AW114" s="240">
        <v>250000</v>
      </c>
      <c r="AX114" s="240">
        <v>0</v>
      </c>
      <c r="AY114" s="240">
        <v>0</v>
      </c>
      <c r="AZ114" s="240">
        <f>SUM(Tabela10[[#This Row],[2026]:[2030]])</f>
        <v>500000</v>
      </c>
      <c r="BA114" s="242">
        <v>0</v>
      </c>
      <c r="BB114" s="240">
        <v>0</v>
      </c>
      <c r="BC114" s="240">
        <v>0</v>
      </c>
      <c r="BD114" s="240">
        <v>0</v>
      </c>
      <c r="BE114" s="240">
        <v>0</v>
      </c>
      <c r="BF114" s="241">
        <f>SUM(Tabela10[[#This Row],[2026-2030]:[2035]])</f>
        <v>500000</v>
      </c>
      <c r="BG114" s="243" t="e" cm="1" vm="1">
        <f t="array" aca="1" ref="BG114" ca="1">_xlfn.SEQUENCE(COUNTA(Tabela10[Empresa]),1,1)</f>
        <v>#VALUE!</v>
      </c>
      <c r="BH114" s="243" t="s">
        <v>200</v>
      </c>
      <c r="BI114" s="243" t="e">
        <f>VLOOKUP(Tabela10[[#This Row],[ID real2]],[2]CONSOLIDADA!$AU:$AZ,6,FALSE)</f>
        <v>#N/A</v>
      </c>
      <c r="BJ114" s="243" t="s">
        <v>155</v>
      </c>
      <c r="BK114" s="243">
        <v>2026</v>
      </c>
      <c r="BL114" s="243" t="s">
        <v>866</v>
      </c>
      <c r="BM114" s="243">
        <v>0</v>
      </c>
      <c r="BN114" s="243" t="s">
        <v>200</v>
      </c>
      <c r="BO114" s="243" t="s">
        <v>568</v>
      </c>
      <c r="BP114" s="243" t="s">
        <v>561</v>
      </c>
      <c r="BQ114" s="243" t="s">
        <v>561</v>
      </c>
      <c r="BR114" s="346">
        <v>0</v>
      </c>
      <c r="BS114" s="243"/>
      <c r="BT114" s="243" t="s">
        <v>200</v>
      </c>
      <c r="BU114" s="243" t="s">
        <v>583</v>
      </c>
      <c r="BV114" s="243" t="str">
        <f>Tabela10[[#This Row],[Descrição do projeto]]</f>
        <v>MODERNIZACAO SISTEMA DE CLORO BARRILHA UHE BALBINA</v>
      </c>
    </row>
    <row r="115" spans="1:74" hidden="1" x14ac:dyDescent="0.35">
      <c r="A115" s="237">
        <v>329</v>
      </c>
      <c r="B115" s="237" t="e" cm="1">
        <f t="array" ref="B115">AND(ISTEXT('Consolidado-Eletronorte'!#REF!),SUM('Consolidado-Eletronorte'!#REF!)&gt;0)</f>
        <v>#REF!</v>
      </c>
      <c r="C115" s="237" t="str">
        <f t="shared" ca="1" si="9"/>
        <v>Capex Orcamentário_PE2026_2030_red_35_porcentoR3_consulta.xlsx</v>
      </c>
      <c r="D115" s="238" t="str">
        <f t="shared" si="10"/>
        <v>COO</v>
      </c>
      <c r="E115" s="238" t="str">
        <f t="shared" si="11"/>
        <v>Lucas Martins</v>
      </c>
      <c r="F115" s="237" t="str">
        <f>_xlfn.CONCAT(Tabela10[[#This Row],[VP]],Tabela10[[#This Row],[Analise Estrategia]])</f>
        <v>COO329</v>
      </c>
      <c r="G115" s="239" t="e">
        <f>_xlfn.CONCAT('Consolidado-Eletronorte'!#REF!,"_",ROW('Consolidado-Eletronorte'!#REF!)-ROW('Consolidado-Eletronorte'!$G$18))</f>
        <v>#REF!</v>
      </c>
      <c r="H115" s="239" t="s">
        <v>506</v>
      </c>
      <c r="I115" s="237" t="s">
        <v>507</v>
      </c>
      <c r="J115" s="239" t="s">
        <v>508</v>
      </c>
      <c r="K115" s="237" t="s">
        <v>509</v>
      </c>
      <c r="L115" s="237" t="s">
        <v>509</v>
      </c>
      <c r="M115" s="237" t="s">
        <v>577</v>
      </c>
      <c r="N115" s="237"/>
      <c r="O115" s="237"/>
      <c r="P115" s="237" t="s">
        <v>587</v>
      </c>
      <c r="Q115" s="243" t="s">
        <v>188</v>
      </c>
      <c r="R115" s="239" t="s">
        <v>189</v>
      </c>
      <c r="S115" s="243" t="s">
        <v>188</v>
      </c>
      <c r="T115" s="237" t="s">
        <v>509</v>
      </c>
      <c r="U115" s="237" t="s">
        <v>509</v>
      </c>
      <c r="V115" s="237" t="s">
        <v>577</v>
      </c>
      <c r="W115" s="237" t="s">
        <v>577</v>
      </c>
      <c r="X115" s="237"/>
      <c r="Y115" s="239" t="s">
        <v>564</v>
      </c>
      <c r="Z115" s="397"/>
      <c r="AA115" s="237"/>
      <c r="AB115" s="396"/>
      <c r="AC115" s="239"/>
      <c r="AD115" s="397"/>
      <c r="AE115" s="239"/>
      <c r="AF115" s="239"/>
      <c r="AG115" s="239" t="s">
        <v>867</v>
      </c>
      <c r="AH115" s="237" t="s">
        <v>154</v>
      </c>
      <c r="AI115" s="240">
        <v>0</v>
      </c>
      <c r="AJ115" s="240">
        <v>0</v>
      </c>
      <c r="AK115" s="240">
        <v>0</v>
      </c>
      <c r="AL115" s="240">
        <v>0</v>
      </c>
      <c r="AM115" s="240">
        <v>0</v>
      </c>
      <c r="AN115" s="240">
        <v>0</v>
      </c>
      <c r="AO115" s="240">
        <v>0</v>
      </c>
      <c r="AP115" s="240">
        <v>0</v>
      </c>
      <c r="AQ115" s="240">
        <v>0</v>
      </c>
      <c r="AR115" s="240">
        <v>0</v>
      </c>
      <c r="AS115" s="240">
        <v>0</v>
      </c>
      <c r="AT115" s="240">
        <v>0</v>
      </c>
      <c r="AU115" s="240">
        <f>SUM(Tabela10[[#This Row],[jan/26]:[dez/26]])</f>
        <v>0</v>
      </c>
      <c r="AV115" s="240">
        <v>250000</v>
      </c>
      <c r="AW115" s="240">
        <v>250000</v>
      </c>
      <c r="AX115" s="240">
        <v>0</v>
      </c>
      <c r="AY115" s="240">
        <v>0</v>
      </c>
      <c r="AZ115" s="240">
        <f>SUM(Tabela10[[#This Row],[2026]:[2030]])</f>
        <v>500000</v>
      </c>
      <c r="BA115" s="242">
        <v>0</v>
      </c>
      <c r="BB115" s="240">
        <v>0</v>
      </c>
      <c r="BC115" s="240">
        <v>0</v>
      </c>
      <c r="BD115" s="240">
        <v>0</v>
      </c>
      <c r="BE115" s="240">
        <v>0</v>
      </c>
      <c r="BF115" s="241">
        <f>SUM(Tabela10[[#This Row],[2026-2030]:[2035]])</f>
        <v>500000</v>
      </c>
      <c r="BG115" s="243" t="e" cm="1" vm="1">
        <f t="array" aca="1" ref="BG115" ca="1">_xlfn.SEQUENCE(COUNTA(Tabela10[Empresa]),1,1)</f>
        <v>#VALUE!</v>
      </c>
      <c r="BH115" s="243" t="s">
        <v>188</v>
      </c>
      <c r="BI115" s="243" t="e">
        <f>VLOOKUP(Tabela10[[#This Row],[ID real2]],[2]CONSOLIDADA!$AU:$AZ,6,FALSE)</f>
        <v>#N/A</v>
      </c>
      <c r="BJ115" s="243" t="s">
        <v>155</v>
      </c>
      <c r="BK115" s="243">
        <v>2026</v>
      </c>
      <c r="BL115" s="243" t="s">
        <v>868</v>
      </c>
      <c r="BM115" s="243">
        <v>0</v>
      </c>
      <c r="BN115" s="243" t="s">
        <v>188</v>
      </c>
      <c r="BO115" s="243" t="s">
        <v>568</v>
      </c>
      <c r="BP115" s="243" t="s">
        <v>561</v>
      </c>
      <c r="BQ115" s="243" t="s">
        <v>561</v>
      </c>
      <c r="BR115" s="346">
        <v>0</v>
      </c>
      <c r="BS115" s="243"/>
      <c r="BT115" s="243" t="s">
        <v>188</v>
      </c>
      <c r="BU115" s="243" t="s">
        <v>583</v>
      </c>
      <c r="BV115" s="243" t="str">
        <f>Tabela10[[#This Row],[Descrição do projeto]]</f>
        <v>Modernização Comportas Vertedouro UHE BALBINA</v>
      </c>
    </row>
    <row r="116" spans="1:74" hidden="1" x14ac:dyDescent="0.35">
      <c r="A116" s="237">
        <v>330</v>
      </c>
      <c r="B116" s="237" t="e" cm="1">
        <f t="array" ref="B116">AND(ISTEXT('Consolidado-Eletronorte'!#REF!),SUM('Consolidado-Eletronorte'!#REF!)&gt;0)</f>
        <v>#REF!</v>
      </c>
      <c r="C116" s="237" t="str">
        <f t="shared" ca="1" si="9"/>
        <v>Capex Orcamentário_PE2026_2030_red_35_porcentoR3_consulta.xlsx</v>
      </c>
      <c r="D116" s="238" t="str">
        <f t="shared" si="10"/>
        <v>COO</v>
      </c>
      <c r="E116" s="238" t="str">
        <f t="shared" si="11"/>
        <v>Lucas Martins</v>
      </c>
      <c r="F116" s="237" t="str">
        <f>_xlfn.CONCAT(Tabela10[[#This Row],[VP]],Tabela10[[#This Row],[Analise Estrategia]])</f>
        <v>COO330</v>
      </c>
      <c r="G116" s="239" t="e">
        <f>_xlfn.CONCAT('Consolidado-Eletronorte'!#REF!,"_",ROW('Consolidado-Eletronorte'!#REF!)-ROW('Consolidado-Eletronorte'!$G$18))</f>
        <v>#REF!</v>
      </c>
      <c r="H116" s="239" t="s">
        <v>506</v>
      </c>
      <c r="I116" s="237" t="s">
        <v>507</v>
      </c>
      <c r="J116" s="239" t="s">
        <v>508</v>
      </c>
      <c r="K116" s="237" t="s">
        <v>509</v>
      </c>
      <c r="L116" s="237" t="s">
        <v>509</v>
      </c>
      <c r="M116" s="237" t="s">
        <v>577</v>
      </c>
      <c r="N116" s="237"/>
      <c r="O116" s="237"/>
      <c r="P116" s="237" t="s">
        <v>587</v>
      </c>
      <c r="Q116" s="243" t="s">
        <v>185</v>
      </c>
      <c r="R116" s="239" t="s">
        <v>187</v>
      </c>
      <c r="S116" s="243" t="s">
        <v>185</v>
      </c>
      <c r="T116" s="237" t="s">
        <v>509</v>
      </c>
      <c r="U116" s="237" t="s">
        <v>509</v>
      </c>
      <c r="V116" s="237" t="s">
        <v>577</v>
      </c>
      <c r="W116" s="237" t="s">
        <v>577</v>
      </c>
      <c r="X116" s="237"/>
      <c r="Y116" s="239" t="s">
        <v>564</v>
      </c>
      <c r="Z116" s="397"/>
      <c r="AA116" s="237"/>
      <c r="AB116" s="396"/>
      <c r="AC116" s="239"/>
      <c r="AD116" s="397"/>
      <c r="AE116" s="239"/>
      <c r="AF116" s="239"/>
      <c r="AG116" s="239" t="s">
        <v>869</v>
      </c>
      <c r="AH116" s="237" t="s">
        <v>154</v>
      </c>
      <c r="AI116" s="240">
        <v>0</v>
      </c>
      <c r="AJ116" s="240">
        <v>0</v>
      </c>
      <c r="AK116" s="240">
        <v>0</v>
      </c>
      <c r="AL116" s="240">
        <v>0</v>
      </c>
      <c r="AM116" s="240">
        <v>0</v>
      </c>
      <c r="AN116" s="240">
        <v>0</v>
      </c>
      <c r="AO116" s="240">
        <v>0</v>
      </c>
      <c r="AP116" s="240">
        <v>0</v>
      </c>
      <c r="AQ116" s="240">
        <v>0</v>
      </c>
      <c r="AR116" s="240">
        <v>0</v>
      </c>
      <c r="AS116" s="240">
        <v>0</v>
      </c>
      <c r="AT116" s="240">
        <v>0</v>
      </c>
      <c r="AU116" s="240">
        <f>SUM(Tabela10[[#This Row],[jan/26]:[dez/26]])</f>
        <v>0</v>
      </c>
      <c r="AV116" s="240">
        <v>250000</v>
      </c>
      <c r="AW116" s="240">
        <v>250000</v>
      </c>
      <c r="AX116" s="240">
        <v>0</v>
      </c>
      <c r="AY116" s="240">
        <v>0</v>
      </c>
      <c r="AZ116" s="240">
        <f>SUM(Tabela10[[#This Row],[2026]:[2030]])</f>
        <v>500000</v>
      </c>
      <c r="BA116" s="242">
        <v>0</v>
      </c>
      <c r="BB116" s="240">
        <v>0</v>
      </c>
      <c r="BC116" s="240">
        <v>0</v>
      </c>
      <c r="BD116" s="240">
        <v>0</v>
      </c>
      <c r="BE116" s="240">
        <v>0</v>
      </c>
      <c r="BF116" s="241">
        <f>SUM(Tabela10[[#This Row],[2026-2030]:[2035]])</f>
        <v>500000</v>
      </c>
      <c r="BG116" s="243" t="e" cm="1" vm="1">
        <f t="array" aca="1" ref="BG116" ca="1">_xlfn.SEQUENCE(COUNTA(Tabela10[Empresa]),1,1)</f>
        <v>#VALUE!</v>
      </c>
      <c r="BH116" s="243" t="s">
        <v>185</v>
      </c>
      <c r="BI116" s="243" t="e">
        <f>VLOOKUP(Tabela10[[#This Row],[ID real2]],[2]CONSOLIDADA!$AU:$AZ,6,FALSE)</f>
        <v>#N/A</v>
      </c>
      <c r="BJ116" s="243" t="s">
        <v>155</v>
      </c>
      <c r="BK116" s="243">
        <v>2026</v>
      </c>
      <c r="BL116" s="243" t="s">
        <v>870</v>
      </c>
      <c r="BM116" s="243">
        <v>0</v>
      </c>
      <c r="BN116" s="243" t="s">
        <v>185</v>
      </c>
      <c r="BO116" s="243" t="s">
        <v>568</v>
      </c>
      <c r="BP116" s="243" t="s">
        <v>561</v>
      </c>
      <c r="BQ116" s="243" t="s">
        <v>561</v>
      </c>
      <c r="BR116" s="346">
        <v>0</v>
      </c>
      <c r="BS116" s="243"/>
      <c r="BT116" s="243" t="s">
        <v>185</v>
      </c>
      <c r="BU116" s="243" t="s">
        <v>583</v>
      </c>
      <c r="BV116" s="243" t="str">
        <f>Tabela10[[#This Row],[Descrição do projeto]]</f>
        <v>Modernização Comportas Tomada D'agua UHE BALBINA</v>
      </c>
    </row>
    <row r="117" spans="1:74" hidden="1" x14ac:dyDescent="0.35">
      <c r="A117" s="237">
        <v>331</v>
      </c>
      <c r="B117" s="237" t="e" cm="1">
        <f t="array" ref="B117">AND(ISTEXT('Consolidado-Eletronorte'!#REF!),SUM('Consolidado-Eletronorte'!#REF!)&gt;0)</f>
        <v>#REF!</v>
      </c>
      <c r="C117" s="237" t="str">
        <f t="shared" ca="1" si="9"/>
        <v>Capex Orcamentário_PE2026_2030_red_35_porcentoR3_consulta.xlsx</v>
      </c>
      <c r="D117" s="238" t="str">
        <f t="shared" si="10"/>
        <v>COO</v>
      </c>
      <c r="E117" s="238" t="str">
        <f t="shared" si="11"/>
        <v>Lucas Martins</v>
      </c>
      <c r="F117" s="237" t="str">
        <f>_xlfn.CONCAT(Tabela10[[#This Row],[VP]],Tabela10[[#This Row],[Analise Estrategia]])</f>
        <v>COO331</v>
      </c>
      <c r="G117" s="239" t="e">
        <f>_xlfn.CONCAT('Consolidado-Eletronorte'!#REF!,"_",ROW('Consolidado-Eletronorte'!#REF!)-ROW('Consolidado-Eletronorte'!$G$18))</f>
        <v>#REF!</v>
      </c>
      <c r="H117" s="239" t="s">
        <v>506</v>
      </c>
      <c r="I117" s="237" t="s">
        <v>507</v>
      </c>
      <c r="J117" s="239" t="s">
        <v>508</v>
      </c>
      <c r="K117" s="237" t="s">
        <v>509</v>
      </c>
      <c r="L117" s="237" t="s">
        <v>509</v>
      </c>
      <c r="M117" s="237" t="s">
        <v>577</v>
      </c>
      <c r="N117" s="237"/>
      <c r="O117" s="237"/>
      <c r="P117" s="237" t="s">
        <v>587</v>
      </c>
      <c r="Q117" s="243" t="s">
        <v>198</v>
      </c>
      <c r="R117" s="239" t="s">
        <v>199</v>
      </c>
      <c r="S117" s="243" t="s">
        <v>198</v>
      </c>
      <c r="T117" s="237" t="s">
        <v>509</v>
      </c>
      <c r="U117" s="237" t="s">
        <v>509</v>
      </c>
      <c r="V117" s="237" t="s">
        <v>577</v>
      </c>
      <c r="W117" s="237" t="s">
        <v>577</v>
      </c>
      <c r="X117" s="237"/>
      <c r="Y117" s="239" t="s">
        <v>564</v>
      </c>
      <c r="Z117" s="397"/>
      <c r="AA117" s="237"/>
      <c r="AB117" s="396"/>
      <c r="AC117" s="239"/>
      <c r="AD117" s="397"/>
      <c r="AE117" s="239"/>
      <c r="AF117" s="239"/>
      <c r="AG117" s="239" t="s">
        <v>871</v>
      </c>
      <c r="AH117" s="237" t="s">
        <v>154</v>
      </c>
      <c r="AI117" s="240">
        <v>0</v>
      </c>
      <c r="AJ117" s="240">
        <v>0</v>
      </c>
      <c r="AK117" s="240">
        <v>0</v>
      </c>
      <c r="AL117" s="240">
        <v>0</v>
      </c>
      <c r="AM117" s="240">
        <v>0</v>
      </c>
      <c r="AN117" s="240">
        <v>0</v>
      </c>
      <c r="AO117" s="240">
        <v>0</v>
      </c>
      <c r="AP117" s="240">
        <v>0</v>
      </c>
      <c r="AQ117" s="240">
        <v>0</v>
      </c>
      <c r="AR117" s="240">
        <v>0</v>
      </c>
      <c r="AS117" s="240">
        <v>0</v>
      </c>
      <c r="AT117" s="240">
        <v>0</v>
      </c>
      <c r="AU117" s="240">
        <f>SUM(Tabela10[[#This Row],[jan/26]:[dez/26]])</f>
        <v>0</v>
      </c>
      <c r="AV117" s="240">
        <v>250000</v>
      </c>
      <c r="AW117" s="240">
        <v>250000</v>
      </c>
      <c r="AX117" s="240">
        <v>0</v>
      </c>
      <c r="AY117" s="240">
        <v>0</v>
      </c>
      <c r="AZ117" s="240">
        <f>SUM(Tabela10[[#This Row],[2026]:[2030]])</f>
        <v>500000</v>
      </c>
      <c r="BA117" s="242">
        <v>0</v>
      </c>
      <c r="BB117" s="240">
        <v>0</v>
      </c>
      <c r="BC117" s="240">
        <v>0</v>
      </c>
      <c r="BD117" s="240">
        <v>0</v>
      </c>
      <c r="BE117" s="240">
        <v>0</v>
      </c>
      <c r="BF117" s="241">
        <f>SUM(Tabela10[[#This Row],[2026-2030]:[2035]])</f>
        <v>500000</v>
      </c>
      <c r="BG117" s="243" t="e" cm="1" vm="1">
        <f t="array" aca="1" ref="BG117" ca="1">_xlfn.SEQUENCE(COUNTA(Tabela10[Empresa]),1,1)</f>
        <v>#VALUE!</v>
      </c>
      <c r="BH117" s="243" t="s">
        <v>198</v>
      </c>
      <c r="BI117" s="243" t="e">
        <f>VLOOKUP(Tabela10[[#This Row],[ID real2]],[2]CONSOLIDADA!$AU:$AZ,6,FALSE)</f>
        <v>#N/A</v>
      </c>
      <c r="BJ117" s="243" t="s">
        <v>155</v>
      </c>
      <c r="BK117" s="243">
        <v>2026</v>
      </c>
      <c r="BL117" s="243" t="s">
        <v>872</v>
      </c>
      <c r="BM117" s="243">
        <v>0</v>
      </c>
      <c r="BN117" s="243" t="s">
        <v>198</v>
      </c>
      <c r="BO117" s="243" t="s">
        <v>568</v>
      </c>
      <c r="BP117" s="243" t="s">
        <v>561</v>
      </c>
      <c r="BQ117" s="243" t="s">
        <v>561</v>
      </c>
      <c r="BR117" s="346">
        <v>0</v>
      </c>
      <c r="BS117" s="243"/>
      <c r="BT117" s="243" t="s">
        <v>198</v>
      </c>
      <c r="BU117" s="243" t="s">
        <v>583</v>
      </c>
      <c r="BV117" s="243" t="str">
        <f>Tabela10[[#This Row],[Descrição do projeto]]</f>
        <v>Modernização Pórtico UHE BALBINA</v>
      </c>
    </row>
    <row r="118" spans="1:74" hidden="1" x14ac:dyDescent="0.35">
      <c r="A118" s="237">
        <v>332</v>
      </c>
      <c r="B118" s="237" t="e" cm="1">
        <f t="array" ref="B118">AND(ISTEXT('Consolidado-Eletronorte'!#REF!),SUM('Consolidado-Eletronorte'!#REF!)&gt;0)</f>
        <v>#REF!</v>
      </c>
      <c r="C118" s="237" t="str">
        <f t="shared" ca="1" si="9"/>
        <v>Capex Orcamentário_PE2026_2030_red_35_porcentoR3_consulta.xlsx</v>
      </c>
      <c r="D118" s="238" t="str">
        <f t="shared" si="10"/>
        <v>COO</v>
      </c>
      <c r="E118" s="238" t="str">
        <f t="shared" si="11"/>
        <v>Lucas Martins</v>
      </c>
      <c r="F118" s="237" t="str">
        <f>_xlfn.CONCAT(Tabela10[[#This Row],[VP]],Tabela10[[#This Row],[Analise Estrategia]])</f>
        <v>COO332</v>
      </c>
      <c r="G118" s="239" t="e">
        <f>_xlfn.CONCAT('Consolidado-Eletronorte'!#REF!,"_",ROW('Consolidado-Eletronorte'!#REF!)-ROW('Consolidado-Eletronorte'!$G$18))</f>
        <v>#REF!</v>
      </c>
      <c r="H118" s="239" t="s">
        <v>506</v>
      </c>
      <c r="I118" s="237" t="s">
        <v>507</v>
      </c>
      <c r="J118" s="239" t="s">
        <v>508</v>
      </c>
      <c r="K118" s="237" t="s">
        <v>509</v>
      </c>
      <c r="L118" s="237" t="s">
        <v>509</v>
      </c>
      <c r="M118" s="237" t="s">
        <v>577</v>
      </c>
      <c r="N118" s="237"/>
      <c r="O118" s="237"/>
      <c r="P118" s="237" t="s">
        <v>587</v>
      </c>
      <c r="Q118" s="243" t="s">
        <v>196</v>
      </c>
      <c r="R118" s="239" t="s">
        <v>197</v>
      </c>
      <c r="S118" s="243" t="s">
        <v>196</v>
      </c>
      <c r="T118" s="237" t="s">
        <v>509</v>
      </c>
      <c r="U118" s="237" t="s">
        <v>509</v>
      </c>
      <c r="V118" s="237" t="s">
        <v>577</v>
      </c>
      <c r="W118" s="237" t="s">
        <v>577</v>
      </c>
      <c r="X118" s="237"/>
      <c r="Y118" s="239" t="s">
        <v>564</v>
      </c>
      <c r="Z118" s="397"/>
      <c r="AA118" s="237"/>
      <c r="AB118" s="396"/>
      <c r="AC118" s="239"/>
      <c r="AD118" s="397"/>
      <c r="AE118" s="239"/>
      <c r="AF118" s="239"/>
      <c r="AG118" s="239" t="s">
        <v>873</v>
      </c>
      <c r="AH118" s="237" t="s">
        <v>154</v>
      </c>
      <c r="AI118" s="240">
        <v>0</v>
      </c>
      <c r="AJ118" s="240">
        <v>0</v>
      </c>
      <c r="AK118" s="240">
        <v>0</v>
      </c>
      <c r="AL118" s="240">
        <v>0</v>
      </c>
      <c r="AM118" s="240">
        <v>0</v>
      </c>
      <c r="AN118" s="240">
        <v>0</v>
      </c>
      <c r="AO118" s="240">
        <v>0</v>
      </c>
      <c r="AP118" s="240">
        <v>0</v>
      </c>
      <c r="AQ118" s="240">
        <v>0</v>
      </c>
      <c r="AR118" s="240">
        <v>0</v>
      </c>
      <c r="AS118" s="240">
        <v>0</v>
      </c>
      <c r="AT118" s="240">
        <v>0</v>
      </c>
      <c r="AU118" s="240">
        <f>SUM(Tabela10[[#This Row],[jan/26]:[dez/26]])</f>
        <v>0</v>
      </c>
      <c r="AV118" s="240">
        <v>250000</v>
      </c>
      <c r="AW118" s="240">
        <v>250000</v>
      </c>
      <c r="AX118" s="240">
        <v>0</v>
      </c>
      <c r="AY118" s="240">
        <v>0</v>
      </c>
      <c r="AZ118" s="240">
        <f>SUM(Tabela10[[#This Row],[2026]:[2030]])</f>
        <v>500000</v>
      </c>
      <c r="BA118" s="242">
        <v>0</v>
      </c>
      <c r="BB118" s="240">
        <v>0</v>
      </c>
      <c r="BC118" s="240">
        <v>0</v>
      </c>
      <c r="BD118" s="240">
        <v>0</v>
      </c>
      <c r="BE118" s="240">
        <v>0</v>
      </c>
      <c r="BF118" s="241">
        <f>SUM(Tabela10[[#This Row],[2026-2030]:[2035]])</f>
        <v>500000</v>
      </c>
      <c r="BG118" s="243" t="e" cm="1" vm="1">
        <f t="array" aca="1" ref="BG118" ca="1">_xlfn.SEQUENCE(COUNTA(Tabela10[Empresa]),1,1)</f>
        <v>#VALUE!</v>
      </c>
      <c r="BH118" s="243" t="s">
        <v>196</v>
      </c>
      <c r="BI118" s="243" t="e">
        <f>VLOOKUP(Tabela10[[#This Row],[ID real2]],[2]CONSOLIDADA!$AU:$AZ,6,FALSE)</f>
        <v>#N/A</v>
      </c>
      <c r="BJ118" s="243" t="s">
        <v>155</v>
      </c>
      <c r="BK118" s="243">
        <v>2026</v>
      </c>
      <c r="BL118" s="243" t="s">
        <v>874</v>
      </c>
      <c r="BM118" s="243">
        <v>0</v>
      </c>
      <c r="BN118" s="243" t="s">
        <v>196</v>
      </c>
      <c r="BO118" s="243" t="s">
        <v>568</v>
      </c>
      <c r="BP118" s="243" t="s">
        <v>561</v>
      </c>
      <c r="BQ118" s="243" t="s">
        <v>561</v>
      </c>
      <c r="BR118" s="346">
        <v>0</v>
      </c>
      <c r="BS118" s="243"/>
      <c r="BT118" s="243" t="s">
        <v>196</v>
      </c>
      <c r="BU118" s="243" t="s">
        <v>583</v>
      </c>
      <c r="BV118" s="243" t="str">
        <f>Tabela10[[#This Row],[Descrição do projeto]]</f>
        <v>Modernização Ponte Rolante UHE BALBINA</v>
      </c>
    </row>
    <row r="119" spans="1:74" hidden="1" x14ac:dyDescent="0.35">
      <c r="A119" s="237">
        <v>333</v>
      </c>
      <c r="B119" s="237" t="e" cm="1">
        <f t="array" ref="B119">AND(ISTEXT('Consolidado-Eletronorte'!#REF!),SUM('Consolidado-Eletronorte'!#REF!)&gt;0)</f>
        <v>#REF!</v>
      </c>
      <c r="C119" s="237" t="str">
        <f t="shared" ca="1" si="9"/>
        <v>Capex Orcamentário_PE2026_2030_red_35_porcentoR3_consulta.xlsx</v>
      </c>
      <c r="D119" s="238" t="str">
        <f t="shared" si="10"/>
        <v>COO</v>
      </c>
      <c r="E119" s="238" t="str">
        <f t="shared" si="11"/>
        <v>Lucas Martins</v>
      </c>
      <c r="F119" s="237" t="str">
        <f>_xlfn.CONCAT(Tabela10[[#This Row],[VP]],Tabela10[[#This Row],[Analise Estrategia]])</f>
        <v>COO333</v>
      </c>
      <c r="G119" s="239" t="e">
        <f>_xlfn.CONCAT('Consolidado-Eletronorte'!#REF!,"_",ROW('Consolidado-Eletronorte'!#REF!)-ROW('Consolidado-Eletronorte'!$G$18))</f>
        <v>#REF!</v>
      </c>
      <c r="H119" s="239" t="s">
        <v>506</v>
      </c>
      <c r="I119" s="237" t="s">
        <v>507</v>
      </c>
      <c r="J119" s="239" t="s">
        <v>508</v>
      </c>
      <c r="K119" s="237" t="s">
        <v>509</v>
      </c>
      <c r="L119" s="237" t="s">
        <v>509</v>
      </c>
      <c r="M119" s="237" t="s">
        <v>577</v>
      </c>
      <c r="N119" s="237"/>
      <c r="O119" s="237"/>
      <c r="P119" s="237" t="s">
        <v>587</v>
      </c>
      <c r="Q119" s="243" t="s">
        <v>194</v>
      </c>
      <c r="R119" s="239" t="s">
        <v>195</v>
      </c>
      <c r="S119" s="243" t="s">
        <v>194</v>
      </c>
      <c r="T119" s="237" t="s">
        <v>509</v>
      </c>
      <c r="U119" s="237" t="s">
        <v>509</v>
      </c>
      <c r="V119" s="237" t="s">
        <v>577</v>
      </c>
      <c r="W119" s="237" t="s">
        <v>577</v>
      </c>
      <c r="X119" s="237"/>
      <c r="Y119" s="239" t="s">
        <v>564</v>
      </c>
      <c r="Z119" s="397"/>
      <c r="AA119" s="237"/>
      <c r="AB119" s="396"/>
      <c r="AC119" s="239"/>
      <c r="AD119" s="397"/>
      <c r="AE119" s="239"/>
      <c r="AF119" s="239"/>
      <c r="AG119" s="239" t="s">
        <v>875</v>
      </c>
      <c r="AH119" s="237" t="s">
        <v>154</v>
      </c>
      <c r="AI119" s="240">
        <v>0</v>
      </c>
      <c r="AJ119" s="240">
        <v>0</v>
      </c>
      <c r="AK119" s="240">
        <v>0</v>
      </c>
      <c r="AL119" s="240">
        <v>0</v>
      </c>
      <c r="AM119" s="240">
        <v>0</v>
      </c>
      <c r="AN119" s="240">
        <v>0</v>
      </c>
      <c r="AO119" s="240">
        <v>0</v>
      </c>
      <c r="AP119" s="240">
        <v>0</v>
      </c>
      <c r="AQ119" s="240">
        <v>0</v>
      </c>
      <c r="AR119" s="240">
        <v>0</v>
      </c>
      <c r="AS119" s="240">
        <v>0</v>
      </c>
      <c r="AT119" s="240">
        <v>0</v>
      </c>
      <c r="AU119" s="240">
        <f>SUM(Tabela10[[#This Row],[jan/26]:[dez/26]])</f>
        <v>0</v>
      </c>
      <c r="AV119" s="240">
        <v>250000</v>
      </c>
      <c r="AW119" s="240">
        <v>250000</v>
      </c>
      <c r="AX119" s="240">
        <v>0</v>
      </c>
      <c r="AY119" s="240">
        <v>0</v>
      </c>
      <c r="AZ119" s="240">
        <f>SUM(Tabela10[[#This Row],[2026]:[2030]])</f>
        <v>500000</v>
      </c>
      <c r="BA119" s="242">
        <v>0</v>
      </c>
      <c r="BB119" s="240">
        <v>0</v>
      </c>
      <c r="BC119" s="240">
        <v>0</v>
      </c>
      <c r="BD119" s="240">
        <v>0</v>
      </c>
      <c r="BE119" s="240">
        <v>0</v>
      </c>
      <c r="BF119" s="241">
        <f>SUM(Tabela10[[#This Row],[2026-2030]:[2035]])</f>
        <v>500000</v>
      </c>
      <c r="BG119" s="243" t="e" cm="1" vm="1">
        <f t="array" aca="1" ref="BG119" ca="1">_xlfn.SEQUENCE(COUNTA(Tabela10[Empresa]),1,1)</f>
        <v>#VALUE!</v>
      </c>
      <c r="BH119" s="243" t="s">
        <v>194</v>
      </c>
      <c r="BI119" s="243" t="e">
        <f>VLOOKUP(Tabela10[[#This Row],[ID real2]],[2]CONSOLIDADA!$AU:$AZ,6,FALSE)</f>
        <v>#N/A</v>
      </c>
      <c r="BJ119" s="243" t="s">
        <v>155</v>
      </c>
      <c r="BK119" s="243">
        <v>2026</v>
      </c>
      <c r="BL119" s="243" t="s">
        <v>876</v>
      </c>
      <c r="BM119" s="243">
        <v>0</v>
      </c>
      <c r="BN119" s="243" t="s">
        <v>194</v>
      </c>
      <c r="BO119" s="243" t="s">
        <v>568</v>
      </c>
      <c r="BP119" s="243" t="s">
        <v>561</v>
      </c>
      <c r="BQ119" s="243" t="s">
        <v>561</v>
      </c>
      <c r="BR119" s="346">
        <v>0</v>
      </c>
      <c r="BS119" s="243"/>
      <c r="BT119" s="243" t="s">
        <v>194</v>
      </c>
      <c r="BU119" s="243" t="s">
        <v>583</v>
      </c>
      <c r="BV119" s="243" t="str">
        <f>Tabela10[[#This Row],[Descrição do projeto]]</f>
        <v>Modernização dos Centros de Carga Miscelânea 380 VCA UHE Balbina</v>
      </c>
    </row>
    <row r="120" spans="1:74" hidden="1" x14ac:dyDescent="0.35">
      <c r="A120" s="237">
        <v>334</v>
      </c>
      <c r="B120" s="237" t="e" cm="1">
        <f t="array" ref="B120">AND(ISTEXT('Consolidado-Eletronorte'!#REF!),SUM('Consolidado-Eletronorte'!#REF!)&gt;0)</f>
        <v>#REF!</v>
      </c>
      <c r="C120" s="237" t="str">
        <f t="shared" ca="1" si="9"/>
        <v>Capex Orcamentário_PE2026_2030_red_35_porcentoR3_consulta.xlsx</v>
      </c>
      <c r="D120" s="238" t="str">
        <f t="shared" si="10"/>
        <v>COO</v>
      </c>
      <c r="E120" s="238" t="str">
        <f t="shared" si="11"/>
        <v>Lucas Martins</v>
      </c>
      <c r="F120" s="237" t="str">
        <f>_xlfn.CONCAT(Tabela10[[#This Row],[VP]],Tabela10[[#This Row],[Analise Estrategia]])</f>
        <v>COO334</v>
      </c>
      <c r="G120" s="239" t="e">
        <f>_xlfn.CONCAT('Consolidado-Eletronorte'!#REF!,"_",ROW('Consolidado-Eletronorte'!#REF!)-ROW('Consolidado-Eletronorte'!$G$18))</f>
        <v>#REF!</v>
      </c>
      <c r="H120" s="239" t="s">
        <v>506</v>
      </c>
      <c r="I120" s="237" t="s">
        <v>507</v>
      </c>
      <c r="J120" s="239" t="s">
        <v>508</v>
      </c>
      <c r="K120" s="237" t="s">
        <v>509</v>
      </c>
      <c r="L120" s="237" t="s">
        <v>509</v>
      </c>
      <c r="M120" s="237" t="s">
        <v>577</v>
      </c>
      <c r="N120" s="237"/>
      <c r="O120" s="237"/>
      <c r="P120" s="237" t="s">
        <v>587</v>
      </c>
      <c r="Q120" s="243" t="s">
        <v>192</v>
      </c>
      <c r="R120" s="239" t="s">
        <v>193</v>
      </c>
      <c r="S120" s="243" t="s">
        <v>192</v>
      </c>
      <c r="T120" s="237" t="s">
        <v>509</v>
      </c>
      <c r="U120" s="237" t="s">
        <v>509</v>
      </c>
      <c r="V120" s="237" t="s">
        <v>577</v>
      </c>
      <c r="W120" s="237" t="s">
        <v>577</v>
      </c>
      <c r="X120" s="237"/>
      <c r="Y120" s="239" t="s">
        <v>564</v>
      </c>
      <c r="Z120" s="397"/>
      <c r="AA120" s="237"/>
      <c r="AB120" s="396"/>
      <c r="AC120" s="239"/>
      <c r="AD120" s="397"/>
      <c r="AE120" s="239"/>
      <c r="AF120" s="239"/>
      <c r="AG120" s="239" t="s">
        <v>877</v>
      </c>
      <c r="AH120" s="237" t="s">
        <v>154</v>
      </c>
      <c r="AI120" s="240">
        <v>0</v>
      </c>
      <c r="AJ120" s="240">
        <v>0</v>
      </c>
      <c r="AK120" s="240">
        <v>0</v>
      </c>
      <c r="AL120" s="240">
        <v>0</v>
      </c>
      <c r="AM120" s="240">
        <v>0</v>
      </c>
      <c r="AN120" s="240">
        <v>0</v>
      </c>
      <c r="AO120" s="240">
        <v>0</v>
      </c>
      <c r="AP120" s="240">
        <v>0</v>
      </c>
      <c r="AQ120" s="240">
        <v>0</v>
      </c>
      <c r="AR120" s="240">
        <v>0</v>
      </c>
      <c r="AS120" s="240">
        <v>0</v>
      </c>
      <c r="AT120" s="240">
        <v>0</v>
      </c>
      <c r="AU120" s="240">
        <f>SUM(Tabela10[[#This Row],[jan/26]:[dez/26]])</f>
        <v>0</v>
      </c>
      <c r="AV120" s="240">
        <v>250000</v>
      </c>
      <c r="AW120" s="240">
        <v>250000</v>
      </c>
      <c r="AX120" s="240">
        <v>0</v>
      </c>
      <c r="AY120" s="240">
        <v>0</v>
      </c>
      <c r="AZ120" s="240">
        <f>SUM(Tabela10[[#This Row],[2026]:[2030]])</f>
        <v>500000</v>
      </c>
      <c r="BA120" s="242">
        <v>0</v>
      </c>
      <c r="BB120" s="240">
        <v>0</v>
      </c>
      <c r="BC120" s="240">
        <v>0</v>
      </c>
      <c r="BD120" s="240">
        <v>0</v>
      </c>
      <c r="BE120" s="240">
        <v>0</v>
      </c>
      <c r="BF120" s="241">
        <f>SUM(Tabela10[[#This Row],[2026-2030]:[2035]])</f>
        <v>500000</v>
      </c>
      <c r="BG120" s="243" t="e" cm="1" vm="1">
        <f t="array" aca="1" ref="BG120" ca="1">_xlfn.SEQUENCE(COUNTA(Tabela10[Empresa]),1,1)</f>
        <v>#VALUE!</v>
      </c>
      <c r="BH120" s="243" t="s">
        <v>192</v>
      </c>
      <c r="BI120" s="243" t="e">
        <f>VLOOKUP(Tabela10[[#This Row],[ID real2]],[2]CONSOLIDADA!$AU:$AZ,6,FALSE)</f>
        <v>#N/A</v>
      </c>
      <c r="BJ120" s="243" t="s">
        <v>155</v>
      </c>
      <c r="BK120" s="243">
        <v>2026</v>
      </c>
      <c r="BL120" s="243" t="s">
        <v>878</v>
      </c>
      <c r="BM120" s="243">
        <v>0</v>
      </c>
      <c r="BN120" s="243" t="s">
        <v>192</v>
      </c>
      <c r="BO120" s="243" t="s">
        <v>568</v>
      </c>
      <c r="BP120" s="243" t="s">
        <v>561</v>
      </c>
      <c r="BQ120" s="243" t="s">
        <v>561</v>
      </c>
      <c r="BR120" s="346">
        <v>0</v>
      </c>
      <c r="BS120" s="243"/>
      <c r="BT120" s="243" t="s">
        <v>192</v>
      </c>
      <c r="BU120" s="243" t="s">
        <v>583</v>
      </c>
      <c r="BV120" s="243" t="str">
        <f>Tabela10[[#This Row],[Descrição do projeto]]</f>
        <v>Modernização do Serviço Auxiliar 13,8 KVCA UHE Balbina</v>
      </c>
    </row>
    <row r="121" spans="1:74" hidden="1" x14ac:dyDescent="0.35">
      <c r="A121" s="237">
        <v>335</v>
      </c>
      <c r="B121" s="237" t="e" cm="1">
        <f t="array" ref="B121">AND(ISTEXT('Consolidado-Eletronorte'!#REF!),SUM('Consolidado-Eletronorte'!#REF!)&gt;0)</f>
        <v>#REF!</v>
      </c>
      <c r="C121" s="237" t="str">
        <f t="shared" ca="1" si="9"/>
        <v>Capex Orcamentário_PE2026_2030_red_35_porcentoR3_consulta.xlsx</v>
      </c>
      <c r="D121" s="238" t="str">
        <f t="shared" si="10"/>
        <v>COO</v>
      </c>
      <c r="E121" s="238" t="str">
        <f t="shared" si="11"/>
        <v>Lucas Martins</v>
      </c>
      <c r="F121" s="237" t="str">
        <f>_xlfn.CONCAT(Tabela10[[#This Row],[VP]],Tabela10[[#This Row],[Analise Estrategia]])</f>
        <v>COO335</v>
      </c>
      <c r="G121" s="239" t="e">
        <f>_xlfn.CONCAT('Consolidado-Eletronorte'!#REF!,"_",ROW('Consolidado-Eletronorte'!#REF!)-ROW('Consolidado-Eletronorte'!$G$18))</f>
        <v>#REF!</v>
      </c>
      <c r="H121" s="239" t="s">
        <v>506</v>
      </c>
      <c r="I121" s="237" t="s">
        <v>507</v>
      </c>
      <c r="J121" s="239" t="s">
        <v>508</v>
      </c>
      <c r="K121" s="237" t="s">
        <v>509</v>
      </c>
      <c r="L121" s="237" t="s">
        <v>509</v>
      </c>
      <c r="M121" s="237" t="s">
        <v>577</v>
      </c>
      <c r="N121" s="237"/>
      <c r="O121" s="237"/>
      <c r="P121" s="237" t="s">
        <v>587</v>
      </c>
      <c r="Q121" s="243" t="s">
        <v>190</v>
      </c>
      <c r="R121" s="239" t="s">
        <v>191</v>
      </c>
      <c r="S121" s="243" t="s">
        <v>190</v>
      </c>
      <c r="T121" s="237" t="s">
        <v>509</v>
      </c>
      <c r="U121" s="237" t="s">
        <v>509</v>
      </c>
      <c r="V121" s="237" t="s">
        <v>577</v>
      </c>
      <c r="W121" s="237" t="s">
        <v>577</v>
      </c>
      <c r="X121" s="237"/>
      <c r="Y121" s="239" t="s">
        <v>564</v>
      </c>
      <c r="Z121" s="397"/>
      <c r="AA121" s="237"/>
      <c r="AB121" s="396"/>
      <c r="AC121" s="239"/>
      <c r="AD121" s="397"/>
      <c r="AE121" s="239"/>
      <c r="AF121" s="239"/>
      <c r="AG121" s="239" t="s">
        <v>879</v>
      </c>
      <c r="AH121" s="237" t="s">
        <v>154</v>
      </c>
      <c r="AI121" s="240">
        <v>0</v>
      </c>
      <c r="AJ121" s="240">
        <v>0</v>
      </c>
      <c r="AK121" s="240">
        <v>0</v>
      </c>
      <c r="AL121" s="240">
        <v>0</v>
      </c>
      <c r="AM121" s="240">
        <v>0</v>
      </c>
      <c r="AN121" s="240">
        <v>0</v>
      </c>
      <c r="AO121" s="240">
        <v>0</v>
      </c>
      <c r="AP121" s="240">
        <v>0</v>
      </c>
      <c r="AQ121" s="240">
        <v>0</v>
      </c>
      <c r="AR121" s="240">
        <v>0</v>
      </c>
      <c r="AS121" s="240">
        <v>0</v>
      </c>
      <c r="AT121" s="240">
        <v>0</v>
      </c>
      <c r="AU121" s="240">
        <f>SUM(Tabela10[[#This Row],[jan/26]:[dez/26]])</f>
        <v>0</v>
      </c>
      <c r="AV121" s="240">
        <v>250000</v>
      </c>
      <c r="AW121" s="240">
        <v>250000</v>
      </c>
      <c r="AX121" s="240">
        <v>0</v>
      </c>
      <c r="AY121" s="240">
        <v>0</v>
      </c>
      <c r="AZ121" s="240">
        <f>SUM(Tabela10[[#This Row],[2026]:[2030]])</f>
        <v>500000</v>
      </c>
      <c r="BA121" s="242">
        <v>0</v>
      </c>
      <c r="BB121" s="240">
        <v>0</v>
      </c>
      <c r="BC121" s="240">
        <v>0</v>
      </c>
      <c r="BD121" s="240">
        <v>0</v>
      </c>
      <c r="BE121" s="240">
        <v>0</v>
      </c>
      <c r="BF121" s="241">
        <f>SUM(Tabela10[[#This Row],[2026-2030]:[2035]])</f>
        <v>500000</v>
      </c>
      <c r="BG121" s="243" t="e" cm="1" vm="1">
        <f t="array" aca="1" ref="BG121" ca="1">_xlfn.SEQUENCE(COUNTA(Tabela10[Empresa]),1,1)</f>
        <v>#VALUE!</v>
      </c>
      <c r="BH121" s="243" t="s">
        <v>190</v>
      </c>
      <c r="BI121" s="243" t="e">
        <f>VLOOKUP(Tabela10[[#This Row],[ID real2]],[2]CONSOLIDADA!$AU:$AZ,6,FALSE)</f>
        <v>#N/A</v>
      </c>
      <c r="BJ121" s="243" t="s">
        <v>155</v>
      </c>
      <c r="BK121" s="243">
        <v>2026</v>
      </c>
      <c r="BL121" s="243" t="s">
        <v>880</v>
      </c>
      <c r="BM121" s="243">
        <v>0</v>
      </c>
      <c r="BN121" s="243" t="s">
        <v>190</v>
      </c>
      <c r="BO121" s="243" t="s">
        <v>568</v>
      </c>
      <c r="BP121" s="243" t="s">
        <v>561</v>
      </c>
      <c r="BQ121" s="243" t="s">
        <v>561</v>
      </c>
      <c r="BR121" s="346">
        <v>0</v>
      </c>
      <c r="BS121" s="243"/>
      <c r="BT121" s="243" t="s">
        <v>190</v>
      </c>
      <c r="BU121" s="243" t="s">
        <v>583</v>
      </c>
      <c r="BV121" s="243" t="str">
        <f>Tabela10[[#This Row],[Descrição do projeto]]</f>
        <v>Modernização do Serviço Auxiliar 125 VCC UHE Balbina</v>
      </c>
    </row>
    <row r="122" spans="1:74" ht="14.5" hidden="1" customHeight="1" x14ac:dyDescent="0.35">
      <c r="A122" s="237">
        <v>319</v>
      </c>
      <c r="B122" s="237" t="e" cm="1">
        <f t="array" ref="B122">AND(ISTEXT('Consolidado-Eletronorte'!#REF!),SUM('Consolidado-Eletronorte'!#REF!)&gt;0)</f>
        <v>#REF!</v>
      </c>
      <c r="C122" s="237" t="str">
        <f t="shared" ca="1" si="9"/>
        <v>Capex Orcamentário_PE2026_2030_red_35_porcentoR3_consulta.xlsx</v>
      </c>
      <c r="D122" s="238" t="str">
        <f t="shared" si="10"/>
        <v>COO</v>
      </c>
      <c r="E122" s="238" t="str">
        <f t="shared" si="11"/>
        <v>Lucas Martins</v>
      </c>
      <c r="F122" s="237" t="str">
        <f>_xlfn.CONCAT(Tabela10[[#This Row],[VP]],Tabela10[[#This Row],[Analise Estrategia]])</f>
        <v>COO319</v>
      </c>
      <c r="G122" s="239" t="e">
        <f>_xlfn.CONCAT('Consolidado-Eletronorte'!#REF!,"_",ROW('Consolidado-Eletronorte'!#REF!)-ROW('Consolidado-Eletronorte'!$G$18))</f>
        <v>#REF!</v>
      </c>
      <c r="H122" s="239" t="s">
        <v>506</v>
      </c>
      <c r="I122" s="237" t="s">
        <v>507</v>
      </c>
      <c r="J122" s="239" t="s">
        <v>508</v>
      </c>
      <c r="K122" s="237" t="s">
        <v>509</v>
      </c>
      <c r="L122" s="237" t="s">
        <v>509</v>
      </c>
      <c r="M122" s="237" t="s">
        <v>577</v>
      </c>
      <c r="N122" s="237"/>
      <c r="O122" s="237"/>
      <c r="P122" s="237" t="s">
        <v>587</v>
      </c>
      <c r="Q122" s="243" t="s">
        <v>202</v>
      </c>
      <c r="R122" s="239" t="s">
        <v>203</v>
      </c>
      <c r="S122" s="243" t="s">
        <v>202</v>
      </c>
      <c r="T122" s="237" t="s">
        <v>509</v>
      </c>
      <c r="U122" s="237" t="s">
        <v>509</v>
      </c>
      <c r="V122" s="237" t="s">
        <v>577</v>
      </c>
      <c r="W122" s="237" t="s">
        <v>577</v>
      </c>
      <c r="X122" s="237"/>
      <c r="Y122" s="239" t="s">
        <v>564</v>
      </c>
      <c r="Z122" s="397"/>
      <c r="AA122" s="237"/>
      <c r="AB122" s="396"/>
      <c r="AC122" s="239"/>
      <c r="AD122" s="397"/>
      <c r="AE122" s="239"/>
      <c r="AF122" s="239"/>
      <c r="AG122" s="239" t="s">
        <v>203</v>
      </c>
      <c r="AH122" s="237" t="s">
        <v>154</v>
      </c>
      <c r="AI122" s="240">
        <v>0</v>
      </c>
      <c r="AJ122" s="240">
        <v>0</v>
      </c>
      <c r="AK122" s="240">
        <v>0</v>
      </c>
      <c r="AL122" s="240">
        <v>0</v>
      </c>
      <c r="AM122" s="240">
        <v>0</v>
      </c>
      <c r="AN122" s="240">
        <v>0</v>
      </c>
      <c r="AO122" s="240">
        <v>0</v>
      </c>
      <c r="AP122" s="240">
        <v>0</v>
      </c>
      <c r="AQ122" s="240">
        <v>0</v>
      </c>
      <c r="AR122" s="240">
        <v>0</v>
      </c>
      <c r="AS122" s="240">
        <v>0</v>
      </c>
      <c r="AT122" s="240">
        <v>0</v>
      </c>
      <c r="AU122" s="240">
        <f>SUM(Tabela10[[#This Row],[jan/26]:[dez/26]])</f>
        <v>0</v>
      </c>
      <c r="AV122" s="240">
        <v>250000</v>
      </c>
      <c r="AW122" s="240">
        <v>0</v>
      </c>
      <c r="AX122" s="240">
        <v>0</v>
      </c>
      <c r="AY122" s="240">
        <v>0</v>
      </c>
      <c r="AZ122" s="240">
        <f>SUM(Tabela10[[#This Row],[2026]:[2030]])</f>
        <v>250000</v>
      </c>
      <c r="BA122" s="242">
        <v>0</v>
      </c>
      <c r="BB122" s="240">
        <v>0</v>
      </c>
      <c r="BC122" s="240">
        <v>0</v>
      </c>
      <c r="BD122" s="240">
        <v>0</v>
      </c>
      <c r="BE122" s="240">
        <v>0</v>
      </c>
      <c r="BF122" s="241">
        <f>SUM(Tabela10[[#This Row],[2026-2030]:[2035]])</f>
        <v>250000</v>
      </c>
      <c r="BG122" s="243" t="e" cm="1" vm="1">
        <f t="array" aca="1" ref="BG122" ca="1">_xlfn.SEQUENCE(COUNTA(Tabela10[Empresa]),1,1)</f>
        <v>#VALUE!</v>
      </c>
      <c r="BH122" s="243" t="s">
        <v>202</v>
      </c>
      <c r="BI122" s="243" t="e">
        <f>VLOOKUP(Tabela10[[#This Row],[ID real2]],[2]CONSOLIDADA!$AU:$AZ,6,FALSE)</f>
        <v>#N/A</v>
      </c>
      <c r="BJ122" s="243" t="s">
        <v>165</v>
      </c>
      <c r="BK122" s="243">
        <v>2026</v>
      </c>
      <c r="BL122" s="243" t="s">
        <v>881</v>
      </c>
      <c r="BM122" s="243">
        <v>0</v>
      </c>
      <c r="BN122" s="243" t="s">
        <v>202</v>
      </c>
      <c r="BO122" s="243" t="s">
        <v>568</v>
      </c>
      <c r="BP122" s="243" t="s">
        <v>561</v>
      </c>
      <c r="BQ122" s="243" t="s">
        <v>561</v>
      </c>
      <c r="BR122" s="346">
        <v>0</v>
      </c>
      <c r="BS122" s="243"/>
      <c r="BT122" s="243" t="s">
        <v>202</v>
      </c>
      <c r="BU122" s="243" t="s">
        <v>554</v>
      </c>
      <c r="BV122" s="243" t="str">
        <f>Tabela10[[#This Row],[Descrição do projeto]]</f>
        <v>Atualização dos Servidores do SPCS</v>
      </c>
    </row>
    <row r="123" spans="1:74" hidden="1" x14ac:dyDescent="0.35">
      <c r="A123" s="237">
        <v>328</v>
      </c>
      <c r="B123" s="237" t="e" cm="1">
        <f t="array" ref="B123">AND(ISTEXT('Consolidado-Eletronorte'!#REF!),SUM('Consolidado-Eletronorte'!#REF!)&gt;0)</f>
        <v>#REF!</v>
      </c>
      <c r="C123" s="237" t="str">
        <f t="shared" ca="1" si="9"/>
        <v>Capex Orcamentário_PE2026_2030_red_35_porcentoR3_consulta.xlsx</v>
      </c>
      <c r="D123" s="238" t="str">
        <f t="shared" si="10"/>
        <v>COO</v>
      </c>
      <c r="E123" s="238" t="str">
        <f t="shared" si="11"/>
        <v>Lucas Martins</v>
      </c>
      <c r="F123" s="237" t="str">
        <f>_xlfn.CONCAT(Tabela10[[#This Row],[VP]],Tabela10[[#This Row],[Analise Estrategia]])</f>
        <v>COO328</v>
      </c>
      <c r="G123" s="239" t="e">
        <f>_xlfn.CONCAT('Consolidado-Eletronorte'!#REF!,"_",ROW('Consolidado-Eletronorte'!#REF!)-ROW('Consolidado-Eletronorte'!$G$18))</f>
        <v>#REF!</v>
      </c>
      <c r="H123" s="239" t="s">
        <v>506</v>
      </c>
      <c r="I123" s="237" t="s">
        <v>507</v>
      </c>
      <c r="J123" s="239" t="s">
        <v>508</v>
      </c>
      <c r="K123" s="237" t="s">
        <v>509</v>
      </c>
      <c r="L123" s="237" t="s">
        <v>509</v>
      </c>
      <c r="M123" s="237" t="s">
        <v>577</v>
      </c>
      <c r="N123" s="237"/>
      <c r="O123" s="237"/>
      <c r="P123" s="237" t="s">
        <v>587</v>
      </c>
      <c r="Q123" s="243" t="s">
        <v>204</v>
      </c>
      <c r="R123" s="239" t="s">
        <v>205</v>
      </c>
      <c r="S123" s="243" t="s">
        <v>204</v>
      </c>
      <c r="T123" s="237" t="s">
        <v>509</v>
      </c>
      <c r="U123" s="237" t="s">
        <v>509</v>
      </c>
      <c r="V123" s="237" t="s">
        <v>577</v>
      </c>
      <c r="W123" s="237" t="s">
        <v>577</v>
      </c>
      <c r="X123" s="237"/>
      <c r="Y123" s="239" t="s">
        <v>564</v>
      </c>
      <c r="Z123" s="397"/>
      <c r="AA123" s="237"/>
      <c r="AB123" s="396"/>
      <c r="AC123" s="239"/>
      <c r="AD123" s="397"/>
      <c r="AE123" s="239"/>
      <c r="AF123" s="239"/>
      <c r="AG123" s="239" t="s">
        <v>882</v>
      </c>
      <c r="AH123" s="237" t="s">
        <v>154</v>
      </c>
      <c r="AI123" s="240">
        <v>0</v>
      </c>
      <c r="AJ123" s="240">
        <v>0</v>
      </c>
      <c r="AK123" s="240">
        <v>0</v>
      </c>
      <c r="AL123" s="240">
        <v>0</v>
      </c>
      <c r="AM123" s="240">
        <v>0</v>
      </c>
      <c r="AN123" s="240">
        <v>0</v>
      </c>
      <c r="AO123" s="240">
        <v>0</v>
      </c>
      <c r="AP123" s="240">
        <v>0</v>
      </c>
      <c r="AQ123" s="240">
        <v>0</v>
      </c>
      <c r="AR123" s="240">
        <v>0</v>
      </c>
      <c r="AS123" s="240">
        <v>0</v>
      </c>
      <c r="AT123" s="240">
        <v>0</v>
      </c>
      <c r="AU123" s="240">
        <f>SUM(Tabela10[[#This Row],[jan/26]:[dez/26]])</f>
        <v>0</v>
      </c>
      <c r="AV123" s="240">
        <v>100000</v>
      </c>
      <c r="AW123" s="240">
        <v>0</v>
      </c>
      <c r="AX123" s="240">
        <v>0</v>
      </c>
      <c r="AY123" s="240">
        <v>0</v>
      </c>
      <c r="AZ123" s="240">
        <f>SUM(Tabela10[[#This Row],[2026]:[2030]])</f>
        <v>100000</v>
      </c>
      <c r="BA123" s="242">
        <v>0</v>
      </c>
      <c r="BB123" s="240">
        <v>0</v>
      </c>
      <c r="BC123" s="240">
        <v>0</v>
      </c>
      <c r="BD123" s="240">
        <v>0</v>
      </c>
      <c r="BE123" s="240">
        <v>0</v>
      </c>
      <c r="BF123" s="241">
        <f>SUM(Tabela10[[#This Row],[2026-2030]:[2035]])</f>
        <v>100000</v>
      </c>
      <c r="BG123" s="243" t="e" cm="1" vm="1">
        <f t="array" aca="1" ref="BG123" ca="1">_xlfn.SEQUENCE(COUNTA(Tabela10[Empresa]),1,1)</f>
        <v>#VALUE!</v>
      </c>
      <c r="BH123" s="243" t="s">
        <v>204</v>
      </c>
      <c r="BI123" s="243" t="e">
        <f>VLOOKUP(Tabela10[[#This Row],[ID real2]],[2]CONSOLIDADA!$AU:$AZ,6,FALSE)</f>
        <v>#N/A</v>
      </c>
      <c r="BJ123" s="243" t="s">
        <v>155</v>
      </c>
      <c r="BK123" s="243">
        <v>2026</v>
      </c>
      <c r="BL123" s="243" t="s">
        <v>883</v>
      </c>
      <c r="BM123" s="243">
        <v>0</v>
      </c>
      <c r="BN123" s="243" t="s">
        <v>204</v>
      </c>
      <c r="BO123" s="243" t="s">
        <v>568</v>
      </c>
      <c r="BP123" s="243" t="s">
        <v>561</v>
      </c>
      <c r="BQ123" s="243" t="s">
        <v>561</v>
      </c>
      <c r="BR123" s="346">
        <v>0</v>
      </c>
      <c r="BS123" s="243"/>
      <c r="BT123" s="243" t="s">
        <v>204</v>
      </c>
      <c r="BU123" s="243" t="s">
        <v>583</v>
      </c>
      <c r="BV123" s="243" t="str">
        <f>Tabela10[[#This Row],[Descrição do projeto]]</f>
        <v>MODERNIZAÇÃO DOS ANÉIS COLETORES COM INSTALAÇÃO DE SISTEMA DE LIMPEZA AUTOMÁTICA UHE BALBINA</v>
      </c>
    </row>
    <row r="124" spans="1:74" hidden="1" x14ac:dyDescent="0.35">
      <c r="A124" s="237">
        <v>338</v>
      </c>
      <c r="B124" s="237" t="e" cm="1">
        <f t="array" ref="B124">AND(ISTEXT('Consolidado-Eletronorte'!#REF!),SUM('Consolidado-Eletronorte'!#REF!)&gt;0)</f>
        <v>#REF!</v>
      </c>
      <c r="C124" s="237" t="str">
        <f t="shared" ca="1" si="9"/>
        <v>Capex Orcamentário_PE2026_2030_red_35_porcentoR3_consulta.xlsx</v>
      </c>
      <c r="D124" s="238" t="str">
        <f t="shared" si="10"/>
        <v>COO</v>
      </c>
      <c r="E124" s="238" t="str">
        <f t="shared" si="11"/>
        <v>Lucas Martins</v>
      </c>
      <c r="F124" s="237" t="str">
        <f>_xlfn.CONCAT(Tabela10[[#This Row],[VP]],Tabela10[[#This Row],[Analise Estrategia]])</f>
        <v>COO338</v>
      </c>
      <c r="G124" s="239" t="e">
        <f>_xlfn.CONCAT('Consolidado-Eletronorte'!#REF!,"_",ROW('Consolidado-Eletronorte'!#REF!)-ROW('Consolidado-Eletronorte'!$G$18))</f>
        <v>#REF!</v>
      </c>
      <c r="H124" s="239" t="s">
        <v>506</v>
      </c>
      <c r="I124" s="237" t="s">
        <v>507</v>
      </c>
      <c r="J124" s="239" t="s">
        <v>508</v>
      </c>
      <c r="K124" s="237" t="s">
        <v>509</v>
      </c>
      <c r="L124" s="237" t="s">
        <v>509</v>
      </c>
      <c r="M124" s="237" t="s">
        <v>577</v>
      </c>
      <c r="N124" s="237"/>
      <c r="O124" s="237"/>
      <c r="P124" s="237" t="s">
        <v>612</v>
      </c>
      <c r="Q124" s="243" t="s">
        <v>214</v>
      </c>
      <c r="R124" s="239" t="s">
        <v>215</v>
      </c>
      <c r="S124" s="243" t="s">
        <v>214</v>
      </c>
      <c r="T124" s="237" t="s">
        <v>509</v>
      </c>
      <c r="U124" s="237" t="s">
        <v>509</v>
      </c>
      <c r="V124" s="237" t="s">
        <v>577</v>
      </c>
      <c r="W124" s="237" t="s">
        <v>577</v>
      </c>
      <c r="X124" s="237"/>
      <c r="Y124" s="239" t="s">
        <v>564</v>
      </c>
      <c r="Z124" s="397"/>
      <c r="AA124" s="237"/>
      <c r="AB124" s="396"/>
      <c r="AC124" s="239"/>
      <c r="AD124" s="397"/>
      <c r="AE124" s="239"/>
      <c r="AF124" s="239"/>
      <c r="AG124" s="239" t="s">
        <v>884</v>
      </c>
      <c r="AH124" s="237" t="s">
        <v>210</v>
      </c>
      <c r="AI124" s="240">
        <v>0</v>
      </c>
      <c r="AJ124" s="240">
        <v>0</v>
      </c>
      <c r="AK124" s="240">
        <v>0</v>
      </c>
      <c r="AL124" s="240">
        <v>0</v>
      </c>
      <c r="AM124" s="240">
        <v>0</v>
      </c>
      <c r="AN124" s="240">
        <v>0</v>
      </c>
      <c r="AO124" s="240">
        <v>0</v>
      </c>
      <c r="AP124" s="240">
        <v>0</v>
      </c>
      <c r="AQ124" s="240">
        <v>0</v>
      </c>
      <c r="AR124" s="240">
        <v>0</v>
      </c>
      <c r="AS124" s="240">
        <v>0</v>
      </c>
      <c r="AT124" s="240">
        <v>0</v>
      </c>
      <c r="AU124" s="240">
        <f>SUM(Tabela10[[#This Row],[jan/26]:[dez/26]])</f>
        <v>0</v>
      </c>
      <c r="AV124" s="240">
        <v>0</v>
      </c>
      <c r="AW124" s="240">
        <v>1000000</v>
      </c>
      <c r="AX124" s="240">
        <v>2000000</v>
      </c>
      <c r="AY124" s="240">
        <v>1000000</v>
      </c>
      <c r="AZ124" s="240">
        <f>SUM(Tabela10[[#This Row],[2026]:[2030]])</f>
        <v>4000000</v>
      </c>
      <c r="BA124" s="242">
        <v>0</v>
      </c>
      <c r="BB124" s="240">
        <v>0</v>
      </c>
      <c r="BC124" s="240">
        <v>0</v>
      </c>
      <c r="BD124" s="240">
        <v>0</v>
      </c>
      <c r="BE124" s="240">
        <v>0</v>
      </c>
      <c r="BF124" s="241">
        <f>SUM(Tabela10[[#This Row],[2026-2030]:[2035]])</f>
        <v>4000000</v>
      </c>
      <c r="BG124" s="243" t="e" cm="1" vm="1">
        <f t="array" aca="1" ref="BG124" ca="1">_xlfn.SEQUENCE(COUNTA(Tabela10[Empresa]),1,1)</f>
        <v>#VALUE!</v>
      </c>
      <c r="BH124" s="243" t="s">
        <v>214</v>
      </c>
      <c r="BI124" s="243" t="e">
        <f>VLOOKUP(Tabela10[[#This Row],[ID real2]],[2]CONSOLIDADA!$AU:$AZ,6,FALSE)</f>
        <v>#N/A</v>
      </c>
      <c r="BJ124" s="243" t="s">
        <v>155</v>
      </c>
      <c r="BK124" s="243">
        <v>2026</v>
      </c>
      <c r="BL124" s="243" t="s">
        <v>885</v>
      </c>
      <c r="BM124" s="243">
        <v>0</v>
      </c>
      <c r="BN124" s="243" t="s">
        <v>214</v>
      </c>
      <c r="BO124" s="243" t="s">
        <v>568</v>
      </c>
      <c r="BP124" s="243" t="s">
        <v>561</v>
      </c>
      <c r="BQ124" s="243" t="s">
        <v>561</v>
      </c>
      <c r="BR124" s="346">
        <v>0</v>
      </c>
      <c r="BS124" s="243"/>
      <c r="BT124" s="243" t="s">
        <v>214</v>
      </c>
      <c r="BU124" s="243" t="s">
        <v>583</v>
      </c>
      <c r="BV124" s="243" t="str">
        <f>Tabela10[[#This Row],[Descrição do projeto]]</f>
        <v>Modernização Ponte rolante da UHCN</v>
      </c>
    </row>
    <row r="125" spans="1:74" ht="14.5" hidden="1" customHeight="1" x14ac:dyDescent="0.35">
      <c r="A125" s="237">
        <v>337</v>
      </c>
      <c r="B125" s="237" t="e" cm="1">
        <f t="array" ref="B125">AND(ISTEXT('Consolidado-Eletronorte'!#REF!),SUM('Consolidado-Eletronorte'!#REF!)&gt;0)</f>
        <v>#REF!</v>
      </c>
      <c r="C125" s="237" t="str">
        <f t="shared" ca="1" si="9"/>
        <v>Capex Orcamentário_PE2026_2030_red_35_porcentoR3_consulta.xlsx</v>
      </c>
      <c r="D125" s="238" t="str">
        <f t="shared" si="10"/>
        <v>COO</v>
      </c>
      <c r="E125" s="238" t="str">
        <f t="shared" si="11"/>
        <v>Lucas Martins</v>
      </c>
      <c r="F125" s="237" t="str">
        <f>_xlfn.CONCAT(Tabela10[[#This Row],[VP]],Tabela10[[#This Row],[Analise Estrategia]])</f>
        <v>COO337</v>
      </c>
      <c r="G125" s="239" t="e">
        <f>_xlfn.CONCAT('Consolidado-Eletronorte'!#REF!,"_",ROW('Consolidado-Eletronorte'!#REF!)-ROW('Consolidado-Eletronorte'!$G$18))</f>
        <v>#REF!</v>
      </c>
      <c r="H125" s="239" t="s">
        <v>506</v>
      </c>
      <c r="I125" s="237" t="s">
        <v>507</v>
      </c>
      <c r="J125" s="239" t="s">
        <v>508</v>
      </c>
      <c r="K125" s="237" t="s">
        <v>509</v>
      </c>
      <c r="L125" s="237" t="s">
        <v>509</v>
      </c>
      <c r="M125" s="237" t="s">
        <v>577</v>
      </c>
      <c r="N125" s="237"/>
      <c r="O125" s="237"/>
      <c r="P125" s="237" t="s">
        <v>612</v>
      </c>
      <c r="Q125" s="243" t="s">
        <v>220</v>
      </c>
      <c r="R125" s="239" t="s">
        <v>221</v>
      </c>
      <c r="S125" s="243" t="s">
        <v>220</v>
      </c>
      <c r="T125" s="237" t="s">
        <v>509</v>
      </c>
      <c r="U125" s="237" t="s">
        <v>509</v>
      </c>
      <c r="V125" s="237" t="s">
        <v>577</v>
      </c>
      <c r="W125" s="237" t="s">
        <v>577</v>
      </c>
      <c r="X125" s="237"/>
      <c r="Y125" s="239" t="s">
        <v>564</v>
      </c>
      <c r="Z125" s="397"/>
      <c r="AA125" s="237"/>
      <c r="AB125" s="396"/>
      <c r="AC125" s="239"/>
      <c r="AD125" s="397"/>
      <c r="AE125" s="239"/>
      <c r="AF125" s="239"/>
      <c r="AG125" s="239" t="s">
        <v>886</v>
      </c>
      <c r="AH125" s="237" t="s">
        <v>210</v>
      </c>
      <c r="AI125" s="240">
        <v>0</v>
      </c>
      <c r="AJ125" s="240">
        <v>0</v>
      </c>
      <c r="AK125" s="240">
        <v>0</v>
      </c>
      <c r="AL125" s="240">
        <v>0</v>
      </c>
      <c r="AM125" s="240">
        <v>0</v>
      </c>
      <c r="AN125" s="240">
        <v>0</v>
      </c>
      <c r="AO125" s="240">
        <v>0</v>
      </c>
      <c r="AP125" s="240">
        <v>0</v>
      </c>
      <c r="AQ125" s="240">
        <v>0</v>
      </c>
      <c r="AR125" s="240">
        <v>0</v>
      </c>
      <c r="AS125" s="240">
        <v>0</v>
      </c>
      <c r="AT125" s="240">
        <v>0</v>
      </c>
      <c r="AU125" s="240">
        <f>SUM(Tabela10[[#This Row],[jan/26]:[dez/26]])</f>
        <v>0</v>
      </c>
      <c r="AV125" s="240">
        <v>250000</v>
      </c>
      <c r="AW125" s="240">
        <v>250000</v>
      </c>
      <c r="AX125" s="240">
        <v>0</v>
      </c>
      <c r="AY125" s="240">
        <v>0</v>
      </c>
      <c r="AZ125" s="240">
        <f>SUM(Tabela10[[#This Row],[2026]:[2030]])</f>
        <v>500000</v>
      </c>
      <c r="BA125" s="242">
        <v>0</v>
      </c>
      <c r="BB125" s="240">
        <v>0</v>
      </c>
      <c r="BC125" s="240">
        <v>0</v>
      </c>
      <c r="BD125" s="240">
        <v>0</v>
      </c>
      <c r="BE125" s="240">
        <v>0</v>
      </c>
      <c r="BF125" s="241">
        <f>SUM(Tabela10[[#This Row],[2026-2030]:[2035]])</f>
        <v>500000</v>
      </c>
      <c r="BG125" s="243" t="e" cm="1" vm="1">
        <f t="array" aca="1" ref="BG125" ca="1">_xlfn.SEQUENCE(COUNTA(Tabela10[Empresa]),1,1)</f>
        <v>#VALUE!</v>
      </c>
      <c r="BH125" s="243" t="s">
        <v>220</v>
      </c>
      <c r="BI125" s="243" t="e">
        <f>VLOOKUP(Tabela10[[#This Row],[ID real2]],[2]CONSOLIDADA!$AU:$AZ,6,FALSE)</f>
        <v>#N/A</v>
      </c>
      <c r="BJ125" s="243" t="s">
        <v>165</v>
      </c>
      <c r="BK125" s="243">
        <v>2026</v>
      </c>
      <c r="BL125" s="243" t="s">
        <v>887</v>
      </c>
      <c r="BM125" s="243">
        <v>0</v>
      </c>
      <c r="BN125" s="243" t="s">
        <v>220</v>
      </c>
      <c r="BO125" s="243" t="s">
        <v>568</v>
      </c>
      <c r="BP125" s="243" t="s">
        <v>561</v>
      </c>
      <c r="BQ125" s="243" t="s">
        <v>561</v>
      </c>
      <c r="BR125" s="346">
        <v>0</v>
      </c>
      <c r="BS125" s="243"/>
      <c r="BT125" s="243" t="s">
        <v>220</v>
      </c>
      <c r="BU125" s="243" t="s">
        <v>554</v>
      </c>
      <c r="BV125" s="243" t="str">
        <f>Tabela10[[#This Row],[Descrição do projeto]]</f>
        <v>Modernização Sistema de Supervisão da UHCN</v>
      </c>
    </row>
    <row r="126" spans="1:74" hidden="1" x14ac:dyDescent="0.35">
      <c r="A126" s="237">
        <v>292</v>
      </c>
      <c r="B126" s="237" t="e" cm="1">
        <f t="array" ref="B126">AND(ISTEXT('Consolidado-Eletronorte'!#REF!),SUM('Consolidado-Eletronorte'!#REF!)&gt;0)</f>
        <v>#REF!</v>
      </c>
      <c r="C126" s="237" t="str">
        <f t="shared" ca="1" si="9"/>
        <v>Capex Orcamentário_PE2026_2030_red_35_porcentoR3_consulta.xlsx</v>
      </c>
      <c r="D126" s="238" t="str">
        <f t="shared" si="10"/>
        <v>COO</v>
      </c>
      <c r="E126" s="238" t="str">
        <f t="shared" si="11"/>
        <v>Lucas Martins</v>
      </c>
      <c r="F126" s="237" t="str">
        <f>_xlfn.CONCAT(Tabela10[[#This Row],[VP]],Tabela10[[#This Row],[Analise Estrategia]])</f>
        <v>COO292</v>
      </c>
      <c r="G126" s="239" t="e">
        <f>_xlfn.CONCAT('Consolidado-Eletronorte'!#REF!,"_",ROW('Consolidado-Eletronorte'!#REF!)-ROW('Consolidado-Eletronorte'!$G$18))</f>
        <v>#REF!</v>
      </c>
      <c r="H126" s="239" t="s">
        <v>506</v>
      </c>
      <c r="I126" s="237" t="s">
        <v>507</v>
      </c>
      <c r="J126" s="239" t="s">
        <v>508</v>
      </c>
      <c r="K126" s="237" t="s">
        <v>509</v>
      </c>
      <c r="L126" s="237" t="s">
        <v>509</v>
      </c>
      <c r="M126" s="237" t="s">
        <v>555</v>
      </c>
      <c r="N126" s="237"/>
      <c r="O126" s="237"/>
      <c r="P126" s="237" t="s">
        <v>617</v>
      </c>
      <c r="Q126" s="243" t="s">
        <v>272</v>
      </c>
      <c r="R126" s="239" t="s">
        <v>273</v>
      </c>
      <c r="S126" s="243" t="s">
        <v>272</v>
      </c>
      <c r="T126" s="237" t="s">
        <v>509</v>
      </c>
      <c r="U126" s="237" t="s">
        <v>509</v>
      </c>
      <c r="V126" s="237" t="s">
        <v>555</v>
      </c>
      <c r="W126" s="237" t="s">
        <v>555</v>
      </c>
      <c r="X126" s="237"/>
      <c r="Y126" s="239">
        <v>3400004431</v>
      </c>
      <c r="Z126" s="397">
        <v>100000</v>
      </c>
      <c r="AA126" s="237"/>
      <c r="AB126" s="396"/>
      <c r="AC126" s="239"/>
      <c r="AD126" s="397"/>
      <c r="AE126" s="239"/>
      <c r="AF126" s="239"/>
      <c r="AG126" s="239" t="s">
        <v>888</v>
      </c>
      <c r="AH126" s="237" t="s">
        <v>229</v>
      </c>
      <c r="AI126" s="240">
        <v>0</v>
      </c>
      <c r="AJ126" s="240">
        <v>0</v>
      </c>
      <c r="AK126" s="240">
        <v>0</v>
      </c>
      <c r="AL126" s="240">
        <v>0</v>
      </c>
      <c r="AM126" s="240">
        <v>0</v>
      </c>
      <c r="AN126" s="240">
        <v>0</v>
      </c>
      <c r="AO126" s="240"/>
      <c r="AP126" s="240">
        <v>0</v>
      </c>
      <c r="AQ126" s="240">
        <v>0</v>
      </c>
      <c r="AR126" s="240">
        <v>100000</v>
      </c>
      <c r="AS126" s="240">
        <v>0</v>
      </c>
      <c r="AT126" s="240">
        <v>0</v>
      </c>
      <c r="AU126" s="334">
        <f>SUM(Tabela10[[#This Row],[jan/26]:[dez/26]])</f>
        <v>100000</v>
      </c>
      <c r="AV126" s="334">
        <v>500000</v>
      </c>
      <c r="AW126" s="334"/>
      <c r="AX126" s="240">
        <v>0</v>
      </c>
      <c r="AY126" s="240">
        <v>0</v>
      </c>
      <c r="AZ126" s="240">
        <f>SUM(Tabela10[[#This Row],[2026]:[2030]])</f>
        <v>600000</v>
      </c>
      <c r="BA126" s="242">
        <v>0</v>
      </c>
      <c r="BB126" s="240">
        <v>0</v>
      </c>
      <c r="BC126" s="240">
        <v>0</v>
      </c>
      <c r="BD126" s="240">
        <v>0</v>
      </c>
      <c r="BE126" s="240">
        <v>0</v>
      </c>
      <c r="BF126" s="241">
        <f>SUM(Tabela10[[#This Row],[2026-2030]:[2035]])</f>
        <v>600000</v>
      </c>
      <c r="BG126" s="243" t="e" cm="1" vm="1">
        <f t="array" aca="1" ref="BG126" ca="1">_xlfn.SEQUENCE(COUNTA(Tabela10[Empresa]),1,1)</f>
        <v>#VALUE!</v>
      </c>
      <c r="BH126" s="243" t="s">
        <v>272</v>
      </c>
      <c r="BI126" s="243" t="e">
        <f>VLOOKUP(Tabela10[[#This Row],[ID real2]],[2]CONSOLIDADA!$AU:$AZ,6,FALSE)</f>
        <v>#N/A</v>
      </c>
      <c r="BJ126" s="243" t="s">
        <v>247</v>
      </c>
      <c r="BK126" s="243">
        <v>2025</v>
      </c>
      <c r="BL126" s="243" t="s">
        <v>889</v>
      </c>
      <c r="BM126" s="243" t="s">
        <v>890</v>
      </c>
      <c r="BN126" s="243" t="s">
        <v>272</v>
      </c>
      <c r="BO126" s="243" t="s">
        <v>581</v>
      </c>
      <c r="BP126" s="243" t="s">
        <v>621</v>
      </c>
      <c r="BQ126" s="243" t="s">
        <v>552</v>
      </c>
      <c r="BR126" s="346">
        <v>2000000</v>
      </c>
      <c r="BS126" s="243" t="s">
        <v>891</v>
      </c>
      <c r="BT126" s="243" t="s">
        <v>272</v>
      </c>
      <c r="BU126" s="243" t="s">
        <v>670</v>
      </c>
      <c r="BV126" s="243" t="str">
        <f>Tabela10[[#This Row],[Descrição do projeto]]</f>
        <v>Implantação da mesa de comando da sala de controle da UHE Curuá-Una</v>
      </c>
    </row>
    <row r="127" spans="1:74" x14ac:dyDescent="0.35">
      <c r="A127" s="237">
        <v>291</v>
      </c>
      <c r="B127" s="237" t="e" cm="1">
        <f t="array" ref="B127">AND(ISTEXT('Consolidado-Eletronorte'!#REF!),SUM('Consolidado-Eletronorte'!#REF!)&gt;0)</f>
        <v>#REF!</v>
      </c>
      <c r="C127" s="237" t="str">
        <f t="shared" ca="1" si="9"/>
        <v>Capex Orcamentário_PE2026_2030_red_35_porcentoR3_consulta.xlsx</v>
      </c>
      <c r="D127" s="238" t="str">
        <f t="shared" si="10"/>
        <v>COO</v>
      </c>
      <c r="E127" s="238" t="str">
        <f t="shared" si="11"/>
        <v>Lucas Martins</v>
      </c>
      <c r="F127" s="237" t="str">
        <f>_xlfn.CONCAT(Tabela10[[#This Row],[VP]],Tabela10[[#This Row],[Analise Estrategia]])</f>
        <v>COO291</v>
      </c>
      <c r="G127" s="239" t="e">
        <f>_xlfn.CONCAT('Consolidado-Eletronorte'!#REF!,"_",ROW('Consolidado-Eletronorte'!#REF!)-ROW('Consolidado-Eletronorte'!$G$18))</f>
        <v>#REF!</v>
      </c>
      <c r="H127" s="239" t="s">
        <v>506</v>
      </c>
      <c r="I127" s="237" t="s">
        <v>507</v>
      </c>
      <c r="J127" s="239" t="s">
        <v>508</v>
      </c>
      <c r="K127" s="237" t="s">
        <v>509</v>
      </c>
      <c r="L127" s="237" t="s">
        <v>509</v>
      </c>
      <c r="M127" s="428" t="s">
        <v>555</v>
      </c>
      <c r="N127" s="237" t="s">
        <v>270</v>
      </c>
      <c r="O127" s="237"/>
      <c r="P127" s="237" t="s">
        <v>617</v>
      </c>
      <c r="Q127" s="243" t="s">
        <v>270</v>
      </c>
      <c r="R127" s="239" t="s">
        <v>271</v>
      </c>
      <c r="S127" s="243" t="s">
        <v>270</v>
      </c>
      <c r="T127" s="237" t="s">
        <v>509</v>
      </c>
      <c r="U127" s="237" t="s">
        <v>509</v>
      </c>
      <c r="V127" s="237" t="s">
        <v>555</v>
      </c>
      <c r="W127" s="237" t="s">
        <v>555</v>
      </c>
      <c r="X127" s="237"/>
      <c r="Y127" s="237"/>
      <c r="Z127" s="396"/>
      <c r="AA127" s="237"/>
      <c r="AB127" s="396"/>
      <c r="AC127" s="239">
        <v>4500088525</v>
      </c>
      <c r="AD127" s="397">
        <v>490817.92</v>
      </c>
      <c r="AE127" s="239" t="s">
        <v>892</v>
      </c>
      <c r="AF127" s="239" t="s">
        <v>740</v>
      </c>
      <c r="AG127" s="239" t="s">
        <v>893</v>
      </c>
      <c r="AH127" s="237" t="s">
        <v>229</v>
      </c>
      <c r="AI127" s="240">
        <v>0</v>
      </c>
      <c r="AJ127" s="240"/>
      <c r="AK127" s="240">
        <v>0</v>
      </c>
      <c r="AL127" s="240">
        <v>600000</v>
      </c>
      <c r="AM127" s="240">
        <v>0</v>
      </c>
      <c r="AN127" s="240">
        <v>0</v>
      </c>
      <c r="AO127" s="240">
        <v>0</v>
      </c>
      <c r="AP127" s="240">
        <v>0</v>
      </c>
      <c r="AQ127" s="240">
        <v>0</v>
      </c>
      <c r="AR127" s="240">
        <v>0</v>
      </c>
      <c r="AS127" s="240">
        <v>0</v>
      </c>
      <c r="AT127" s="240">
        <v>0</v>
      </c>
      <c r="AU127" s="240">
        <f>SUM(Tabela10[[#This Row],[jan/26]:[dez/26]])</f>
        <v>600000</v>
      </c>
      <c r="AV127" s="240">
        <v>0</v>
      </c>
      <c r="AW127" s="240">
        <v>0</v>
      </c>
      <c r="AX127" s="240">
        <v>0</v>
      </c>
      <c r="AY127" s="240">
        <v>0</v>
      </c>
      <c r="AZ127" s="240">
        <f>SUM(Tabela10[[#This Row],[2026]:[2030]])</f>
        <v>600000</v>
      </c>
      <c r="BA127" s="242">
        <v>0</v>
      </c>
      <c r="BB127" s="240">
        <v>0</v>
      </c>
      <c r="BC127" s="240">
        <v>0</v>
      </c>
      <c r="BD127" s="240">
        <v>0</v>
      </c>
      <c r="BE127" s="240">
        <v>0</v>
      </c>
      <c r="BF127" s="241">
        <f>SUM(Tabela10[[#This Row],[2026-2030]:[2035]])</f>
        <v>600000</v>
      </c>
      <c r="BG127" s="243" t="e" cm="1" vm="1">
        <f t="array" aca="1" ref="BG127" ca="1">_xlfn.SEQUENCE(COUNTA(Tabela10[Empresa]),1,1)</f>
        <v>#VALUE!</v>
      </c>
      <c r="BH127" s="243" t="s">
        <v>270</v>
      </c>
      <c r="BI127" s="243" t="e">
        <f>VLOOKUP(Tabela10[[#This Row],[ID real2]],[2]CONSOLIDADA!$AU:$AZ,6,FALSE)</f>
        <v>#N/A</v>
      </c>
      <c r="BJ127" s="243" t="s">
        <v>247</v>
      </c>
      <c r="BK127" s="243">
        <v>2025</v>
      </c>
      <c r="BL127" s="243" t="s">
        <v>894</v>
      </c>
      <c r="BM127" s="243" t="s">
        <v>895</v>
      </c>
      <c r="BN127" s="243" t="s">
        <v>270</v>
      </c>
      <c r="BO127" s="243" t="s">
        <v>517</v>
      </c>
      <c r="BP127" s="243" t="s">
        <v>621</v>
      </c>
      <c r="BQ127" s="243" t="s">
        <v>517</v>
      </c>
      <c r="BR127" s="346">
        <v>1200000</v>
      </c>
      <c r="BS127" s="243" t="s">
        <v>532</v>
      </c>
      <c r="BT127" s="243" t="s">
        <v>270</v>
      </c>
      <c r="BU127" s="243" t="s">
        <v>670</v>
      </c>
      <c r="BV127" s="243" t="str">
        <f>Tabela10[[#This Row],[Descrição do projeto]]</f>
        <v>Aquisição das bombas do sistema de regulação de velocidade da UHE Curuá-Una UGH01,02,03</v>
      </c>
    </row>
    <row r="128" spans="1:74" hidden="1" x14ac:dyDescent="0.35">
      <c r="A128" s="237">
        <v>299</v>
      </c>
      <c r="B128" s="237" t="e" cm="1">
        <f t="array" ref="B128">AND(ISTEXT('Consolidado-Eletronorte'!#REF!),SUM('Consolidado-Eletronorte'!#REF!)&gt;0)</f>
        <v>#REF!</v>
      </c>
      <c r="C128" s="237" t="str">
        <f t="shared" ca="1" si="9"/>
        <v>Capex Orcamentário_PE2026_2030_red_35_porcentoR3_consulta.xlsx</v>
      </c>
      <c r="D128" s="238" t="str">
        <f t="shared" si="10"/>
        <v>COO</v>
      </c>
      <c r="E128" s="238" t="str">
        <f t="shared" si="11"/>
        <v>Lucas Martins</v>
      </c>
      <c r="F128" s="237" t="str">
        <f>_xlfn.CONCAT(Tabela10[[#This Row],[VP]],Tabela10[[#This Row],[Analise Estrategia]])</f>
        <v>COO299</v>
      </c>
      <c r="G128" s="239" t="e">
        <f>_xlfn.CONCAT('Consolidado-Eletronorte'!#REF!,"_",ROW('Consolidado-Eletronorte'!#REF!)-ROW('Consolidado-Eletronorte'!$G$18))</f>
        <v>#REF!</v>
      </c>
      <c r="H128" s="239" t="s">
        <v>506</v>
      </c>
      <c r="I128" s="237" t="s">
        <v>507</v>
      </c>
      <c r="J128" s="239" t="s">
        <v>508</v>
      </c>
      <c r="K128" s="237" t="s">
        <v>509</v>
      </c>
      <c r="L128" s="237" t="s">
        <v>509</v>
      </c>
      <c r="M128" s="237" t="s">
        <v>555</v>
      </c>
      <c r="N128" s="237"/>
      <c r="O128" s="237"/>
      <c r="P128" s="237" t="s">
        <v>617</v>
      </c>
      <c r="Q128" s="243" t="s">
        <v>257</v>
      </c>
      <c r="R128" s="239" t="s">
        <v>258</v>
      </c>
      <c r="S128" s="243" t="s">
        <v>257</v>
      </c>
      <c r="T128" s="237" t="s">
        <v>509</v>
      </c>
      <c r="U128" s="237" t="s">
        <v>509</v>
      </c>
      <c r="V128" s="237" t="s">
        <v>555</v>
      </c>
      <c r="W128" s="237" t="s">
        <v>555</v>
      </c>
      <c r="X128" s="237"/>
      <c r="Y128" s="239" t="s">
        <v>564</v>
      </c>
      <c r="Z128" s="397"/>
      <c r="AA128" s="237"/>
      <c r="AB128" s="396"/>
      <c r="AC128" s="239"/>
      <c r="AD128" s="397"/>
      <c r="AE128" s="239"/>
      <c r="AF128" s="239"/>
      <c r="AG128" s="239" t="s">
        <v>896</v>
      </c>
      <c r="AH128" s="237" t="s">
        <v>229</v>
      </c>
      <c r="AI128" s="240">
        <v>0</v>
      </c>
      <c r="AJ128" s="240">
        <v>0</v>
      </c>
      <c r="AK128" s="240">
        <v>0</v>
      </c>
      <c r="AL128" s="240">
        <v>0</v>
      </c>
      <c r="AM128" s="240">
        <v>0</v>
      </c>
      <c r="AN128" s="240">
        <v>0</v>
      </c>
      <c r="AO128" s="240">
        <v>0</v>
      </c>
      <c r="AP128" s="240">
        <v>0</v>
      </c>
      <c r="AQ128" s="240">
        <v>0</v>
      </c>
      <c r="AR128" s="240">
        <v>0</v>
      </c>
      <c r="AS128" s="240">
        <v>0</v>
      </c>
      <c r="AT128" s="240">
        <v>0</v>
      </c>
      <c r="AU128" s="240">
        <f>SUM(Tabela10[[#This Row],[jan/26]:[dez/26]])</f>
        <v>0</v>
      </c>
      <c r="AV128" s="240">
        <v>500000</v>
      </c>
      <c r="AW128" s="240">
        <v>0</v>
      </c>
      <c r="AX128" s="240">
        <v>0</v>
      </c>
      <c r="AY128" s="240">
        <v>0</v>
      </c>
      <c r="AZ128" s="240">
        <f>SUM(Tabela10[[#This Row],[2026]:[2030]])</f>
        <v>500000</v>
      </c>
      <c r="BA128" s="242">
        <v>0</v>
      </c>
      <c r="BB128" s="240">
        <v>0</v>
      </c>
      <c r="BC128" s="240">
        <v>0</v>
      </c>
      <c r="BD128" s="240">
        <v>0</v>
      </c>
      <c r="BE128" s="240">
        <v>0</v>
      </c>
      <c r="BF128" s="241">
        <f>SUM(Tabela10[[#This Row],[2026-2030]:[2035]])</f>
        <v>500000</v>
      </c>
      <c r="BG128" s="243" t="e" cm="1" vm="1">
        <f t="array" aca="1" ref="BG128" ca="1">_xlfn.SEQUENCE(COUNTA(Tabela10[Empresa]),1,1)</f>
        <v>#VALUE!</v>
      </c>
      <c r="BH128" s="243" t="s">
        <v>257</v>
      </c>
      <c r="BI128" s="243" t="e">
        <f>VLOOKUP(Tabela10[[#This Row],[ID real2]],[2]CONSOLIDADA!$AU:$AZ,6,FALSE)</f>
        <v>#N/A</v>
      </c>
      <c r="BJ128" s="243" t="s">
        <v>247</v>
      </c>
      <c r="BK128" s="243">
        <v>2025</v>
      </c>
      <c r="BL128" s="243" t="s">
        <v>897</v>
      </c>
      <c r="BM128" s="243" t="s">
        <v>898</v>
      </c>
      <c r="BN128" s="243" t="s">
        <v>257</v>
      </c>
      <c r="BO128" s="243" t="s">
        <v>568</v>
      </c>
      <c r="BP128" s="243" t="s">
        <v>621</v>
      </c>
      <c r="BQ128" s="243" t="s">
        <v>552</v>
      </c>
      <c r="BR128" s="346">
        <v>0</v>
      </c>
      <c r="BS128" s="243"/>
      <c r="BT128" s="243" t="s">
        <v>257</v>
      </c>
      <c r="BU128" s="243" t="s">
        <v>670</v>
      </c>
      <c r="BV128" s="243" t="str">
        <f>Tabela10[[#This Row],[Descrição do projeto]]</f>
        <v>Modernização do conjunto de TCs da LT CUTA-LI5-01 da UHE Curuá-Una</v>
      </c>
    </row>
    <row r="129" spans="1:74" hidden="1" x14ac:dyDescent="0.35">
      <c r="A129" s="237">
        <v>320</v>
      </c>
      <c r="B129" s="237" t="e" cm="1">
        <f t="array" ref="B129">AND(ISTEXT('Consolidado-Eletronorte'!#REF!),SUM('Consolidado-Eletronorte'!#REF!)&gt;0)</f>
        <v>#REF!</v>
      </c>
      <c r="C129" s="237" t="str">
        <f t="shared" ca="1" si="9"/>
        <v>Capex Orcamentário_PE2026_2030_red_35_porcentoR3_consulta.xlsx</v>
      </c>
      <c r="D129" s="238" t="str">
        <f t="shared" si="10"/>
        <v>COO</v>
      </c>
      <c r="E129" s="238" t="str">
        <f t="shared" si="11"/>
        <v>Lucas Martins</v>
      </c>
      <c r="F129" s="237" t="str">
        <f>_xlfn.CONCAT(Tabela10[[#This Row],[VP]],Tabela10[[#This Row],[Analise Estrategia]])</f>
        <v>COO320</v>
      </c>
      <c r="G129" s="239" t="e">
        <f>_xlfn.CONCAT('Consolidado-Eletronorte'!#REF!,"_",ROW('Consolidado-Eletronorte'!#REF!)-ROW('Consolidado-Eletronorte'!$G$18))</f>
        <v>#REF!</v>
      </c>
      <c r="H129" s="239" t="s">
        <v>506</v>
      </c>
      <c r="I129" s="237" t="s">
        <v>507</v>
      </c>
      <c r="J129" s="239" t="s">
        <v>508</v>
      </c>
      <c r="K129" s="237" t="s">
        <v>509</v>
      </c>
      <c r="L129" s="237" t="s">
        <v>509</v>
      </c>
      <c r="M129" s="237" t="s">
        <v>577</v>
      </c>
      <c r="N129" s="237"/>
      <c r="O129" s="237"/>
      <c r="P129" s="237" t="s">
        <v>617</v>
      </c>
      <c r="Q129" s="243" t="s">
        <v>245</v>
      </c>
      <c r="R129" s="239" t="s">
        <v>246</v>
      </c>
      <c r="S129" s="243" t="s">
        <v>245</v>
      </c>
      <c r="T129" s="237" t="s">
        <v>509</v>
      </c>
      <c r="U129" s="237" t="s">
        <v>509</v>
      </c>
      <c r="V129" s="237" t="s">
        <v>577</v>
      </c>
      <c r="W129" s="237" t="s">
        <v>577</v>
      </c>
      <c r="X129" s="237"/>
      <c r="Y129" s="239" t="s">
        <v>564</v>
      </c>
      <c r="Z129" s="397"/>
      <c r="AA129" s="237"/>
      <c r="AB129" s="396"/>
      <c r="AC129" s="239"/>
      <c r="AD129" s="397"/>
      <c r="AE129" s="239"/>
      <c r="AF129" s="239"/>
      <c r="AG129" s="239" t="s">
        <v>899</v>
      </c>
      <c r="AH129" s="237" t="s">
        <v>229</v>
      </c>
      <c r="AI129" s="240">
        <v>0</v>
      </c>
      <c r="AJ129" s="240">
        <v>0</v>
      </c>
      <c r="AK129" s="240">
        <v>0</v>
      </c>
      <c r="AL129" s="240">
        <v>0</v>
      </c>
      <c r="AM129" s="240">
        <v>0</v>
      </c>
      <c r="AN129" s="240">
        <v>0</v>
      </c>
      <c r="AO129" s="240">
        <v>0</v>
      </c>
      <c r="AP129" s="240">
        <v>0</v>
      </c>
      <c r="AQ129" s="240">
        <v>0</v>
      </c>
      <c r="AR129" s="240">
        <v>0</v>
      </c>
      <c r="AS129" s="240">
        <v>0</v>
      </c>
      <c r="AT129" s="240">
        <v>0</v>
      </c>
      <c r="AU129" s="240">
        <f>SUM(Tabela10[[#This Row],[jan/26]:[dez/26]])</f>
        <v>0</v>
      </c>
      <c r="AV129" s="240">
        <v>500000</v>
      </c>
      <c r="AW129" s="240">
        <v>0</v>
      </c>
      <c r="AX129" s="240">
        <v>0</v>
      </c>
      <c r="AY129" s="240">
        <v>0</v>
      </c>
      <c r="AZ129" s="240">
        <f>SUM(Tabela10[[#This Row],[2026]:[2030]])</f>
        <v>500000</v>
      </c>
      <c r="BA129" s="242">
        <v>0</v>
      </c>
      <c r="BB129" s="240">
        <v>0</v>
      </c>
      <c r="BC129" s="240">
        <v>0</v>
      </c>
      <c r="BD129" s="240">
        <v>0</v>
      </c>
      <c r="BE129" s="240">
        <v>0</v>
      </c>
      <c r="BF129" s="241">
        <f>SUM(Tabela10[[#This Row],[2026-2030]:[2035]])</f>
        <v>500000</v>
      </c>
      <c r="BG129" s="243" t="e" cm="1" vm="1">
        <f t="array" aca="1" ref="BG129" ca="1">_xlfn.SEQUENCE(COUNTA(Tabela10[Empresa]),1,1)</f>
        <v>#VALUE!</v>
      </c>
      <c r="BH129" s="243" t="s">
        <v>245</v>
      </c>
      <c r="BI129" s="243" t="e">
        <f>VLOOKUP(Tabela10[[#This Row],[ID real2]],[2]CONSOLIDADA!$AU:$AZ,6,FALSE)</f>
        <v>#N/A</v>
      </c>
      <c r="BJ129" s="243" t="s">
        <v>247</v>
      </c>
      <c r="BK129" s="243">
        <v>2025</v>
      </c>
      <c r="BL129" s="243" t="s">
        <v>900</v>
      </c>
      <c r="BM129" s="243" t="s">
        <v>901</v>
      </c>
      <c r="BN129" s="243" t="s">
        <v>245</v>
      </c>
      <c r="BO129" s="243" t="s">
        <v>568</v>
      </c>
      <c r="BP129" s="243" t="s">
        <v>621</v>
      </c>
      <c r="BQ129" s="243" t="s">
        <v>552</v>
      </c>
      <c r="BR129" s="346">
        <v>0</v>
      </c>
      <c r="BS129" s="243"/>
      <c r="BT129" s="243" t="s">
        <v>245</v>
      </c>
      <c r="BU129" s="243" t="s">
        <v>670</v>
      </c>
      <c r="BV129" s="243" t="str">
        <f>Tabela10[[#This Row],[Descrição do projeto]]</f>
        <v>Modernização do disjuntor da LT CUTA-LI5-01 da UHE Curuá-Una</v>
      </c>
    </row>
    <row r="130" spans="1:74" hidden="1" x14ac:dyDescent="0.35">
      <c r="A130" s="237">
        <v>285</v>
      </c>
      <c r="B130" s="237" t="e" cm="1">
        <f t="array" ref="B130">AND(ISTEXT('Consolidado-Eletronorte'!#REF!),SUM('Consolidado-Eletronorte'!#REF!)&gt;0)</f>
        <v>#REF!</v>
      </c>
      <c r="C130" s="237" t="str">
        <f t="shared" ca="1" si="9"/>
        <v>Capex Orcamentário_PE2026_2030_red_35_porcentoR3_consulta.xlsx</v>
      </c>
      <c r="D130" s="238" t="str">
        <f t="shared" si="10"/>
        <v>COO</v>
      </c>
      <c r="E130" s="238" t="str">
        <f t="shared" si="11"/>
        <v>Lucas Martins</v>
      </c>
      <c r="F130" s="237" t="str">
        <f>_xlfn.CONCAT(Tabela10[[#This Row],[VP]],Tabela10[[#This Row],[Analise Estrategia]])</f>
        <v>COO285</v>
      </c>
      <c r="G130" s="239" t="e">
        <f>_xlfn.CONCAT('Consolidado-Eletronorte'!#REF!,"_",ROW('Consolidado-Eletronorte'!#REF!)-ROW('Consolidado-Eletronorte'!$G$18))</f>
        <v>#REF!</v>
      </c>
      <c r="H130" s="239" t="s">
        <v>506</v>
      </c>
      <c r="I130" s="237" t="s">
        <v>507</v>
      </c>
      <c r="J130" s="239" t="s">
        <v>508</v>
      </c>
      <c r="K130" s="237" t="s">
        <v>509</v>
      </c>
      <c r="L130" s="237" t="s">
        <v>509</v>
      </c>
      <c r="M130" s="237" t="s">
        <v>577</v>
      </c>
      <c r="N130" s="237"/>
      <c r="O130" s="237"/>
      <c r="P130" s="237" t="s">
        <v>617</v>
      </c>
      <c r="Q130" s="243" t="s">
        <v>248</v>
      </c>
      <c r="R130" s="239" t="s">
        <v>249</v>
      </c>
      <c r="S130" s="243" t="s">
        <v>248</v>
      </c>
      <c r="T130" s="237" t="s">
        <v>509</v>
      </c>
      <c r="U130" s="237" t="s">
        <v>509</v>
      </c>
      <c r="V130" s="237" t="s">
        <v>577</v>
      </c>
      <c r="W130" s="237" t="s">
        <v>577</v>
      </c>
      <c r="X130" s="237"/>
      <c r="Y130" s="239" t="s">
        <v>564</v>
      </c>
      <c r="Z130" s="397"/>
      <c r="AA130" s="237"/>
      <c r="AB130" s="396"/>
      <c r="AC130" s="239"/>
      <c r="AD130" s="397"/>
      <c r="AE130" s="239"/>
      <c r="AF130" s="239"/>
      <c r="AG130" s="239" t="s">
        <v>902</v>
      </c>
      <c r="AH130" s="237" t="s">
        <v>229</v>
      </c>
      <c r="AI130" s="240">
        <v>0</v>
      </c>
      <c r="AJ130" s="240">
        <v>0</v>
      </c>
      <c r="AK130" s="240">
        <v>0</v>
      </c>
      <c r="AL130" s="240">
        <v>0</v>
      </c>
      <c r="AM130" s="240">
        <v>0</v>
      </c>
      <c r="AN130" s="240">
        <v>0</v>
      </c>
      <c r="AO130" s="240">
        <v>0</v>
      </c>
      <c r="AP130" s="240">
        <v>0</v>
      </c>
      <c r="AQ130" s="240">
        <v>0</v>
      </c>
      <c r="AR130" s="240">
        <v>0</v>
      </c>
      <c r="AS130" s="240">
        <v>0</v>
      </c>
      <c r="AT130" s="240">
        <v>0</v>
      </c>
      <c r="AU130" s="240">
        <f>SUM(Tabela10[[#This Row],[jan/26]:[dez/26]])</f>
        <v>0</v>
      </c>
      <c r="AV130" s="240">
        <v>250000</v>
      </c>
      <c r="AW130" s="240">
        <v>0</v>
      </c>
      <c r="AX130" s="240">
        <v>0</v>
      </c>
      <c r="AY130" s="240">
        <v>0</v>
      </c>
      <c r="AZ130" s="240">
        <f>SUM(Tabela10[[#This Row],[2026]:[2030]])</f>
        <v>250000</v>
      </c>
      <c r="BA130" s="242">
        <v>0</v>
      </c>
      <c r="BB130" s="240">
        <v>0</v>
      </c>
      <c r="BC130" s="240">
        <v>0</v>
      </c>
      <c r="BD130" s="240">
        <v>0</v>
      </c>
      <c r="BE130" s="240">
        <v>0</v>
      </c>
      <c r="BF130" s="241">
        <f>SUM(Tabela10[[#This Row],[2026-2030]:[2035]])</f>
        <v>250000</v>
      </c>
      <c r="BG130" s="243" t="e" cm="1" vm="1">
        <f t="array" aca="1" ref="BG130" ca="1">_xlfn.SEQUENCE(COUNTA(Tabela10[Empresa]),1,1)</f>
        <v>#VALUE!</v>
      </c>
      <c r="BH130" s="243" t="s">
        <v>248</v>
      </c>
      <c r="BI130" s="243" t="e">
        <f>VLOOKUP(Tabela10[[#This Row],[ID real2]],[2]CONSOLIDADA!$AU:$AZ,6,FALSE)</f>
        <v>#N/A</v>
      </c>
      <c r="BJ130" s="243" t="s">
        <v>155</v>
      </c>
      <c r="BK130" s="243">
        <v>2026</v>
      </c>
      <c r="BL130" s="243" t="s">
        <v>903</v>
      </c>
      <c r="BM130" s="243">
        <v>0</v>
      </c>
      <c r="BN130" s="243" t="s">
        <v>248</v>
      </c>
      <c r="BO130" s="243" t="s">
        <v>568</v>
      </c>
      <c r="BP130" s="243" t="s">
        <v>561</v>
      </c>
      <c r="BQ130" s="243" t="s">
        <v>561</v>
      </c>
      <c r="BR130" s="346">
        <v>0</v>
      </c>
      <c r="BS130" s="243"/>
      <c r="BT130" s="243" t="s">
        <v>248</v>
      </c>
      <c r="BU130" s="243" t="s">
        <v>583</v>
      </c>
      <c r="BV130" s="243" t="str">
        <f>Tabela10[[#This Row],[Descrição do projeto]]</f>
        <v>Estação de tratamento de agua de serviço para minimizar a contaminação ferro bactéria</v>
      </c>
    </row>
    <row r="131" spans="1:74" hidden="1" x14ac:dyDescent="0.35">
      <c r="A131" s="237">
        <v>300</v>
      </c>
      <c r="B131" s="237" t="e" cm="1">
        <f t="array" ref="B131">AND(ISTEXT('Consolidado-Eletronorte'!#REF!),SUM('Consolidado-Eletronorte'!#REF!)&gt;0)</f>
        <v>#REF!</v>
      </c>
      <c r="C131" s="237" t="str">
        <f t="shared" ref="C131:C147" ca="1" si="12">$J$13</f>
        <v>Capex Orcamentário_PE2026_2030_red_35_porcentoR3_consulta.xlsx</v>
      </c>
      <c r="D131" s="238" t="str">
        <f t="shared" ref="D131:D147" si="13">$H$13</f>
        <v>COO</v>
      </c>
      <c r="E131" s="238" t="str">
        <f t="shared" ref="E131:E147" si="14">$H$14</f>
        <v>Lucas Martins</v>
      </c>
      <c r="F131" s="237" t="str">
        <f>_xlfn.CONCAT(Tabela10[[#This Row],[VP]],Tabela10[[#This Row],[Analise Estrategia]])</f>
        <v>COO300</v>
      </c>
      <c r="G131" s="239" t="e">
        <f>_xlfn.CONCAT('Consolidado-Eletronorte'!#REF!,"_",ROW('Consolidado-Eletronorte'!#REF!)-ROW('Consolidado-Eletronorte'!$G$18))</f>
        <v>#REF!</v>
      </c>
      <c r="H131" s="239" t="s">
        <v>506</v>
      </c>
      <c r="I131" s="237" t="s">
        <v>507</v>
      </c>
      <c r="J131" s="239" t="s">
        <v>508</v>
      </c>
      <c r="K131" s="237" t="s">
        <v>509</v>
      </c>
      <c r="L131" s="237" t="s">
        <v>509</v>
      </c>
      <c r="M131" s="237" t="s">
        <v>577</v>
      </c>
      <c r="N131" s="237"/>
      <c r="O131" s="237"/>
      <c r="P131" s="237">
        <v>157189</v>
      </c>
      <c r="Q131" s="243" t="s">
        <v>294</v>
      </c>
      <c r="R131" s="239" t="s">
        <v>295</v>
      </c>
      <c r="S131" s="243" t="s">
        <v>294</v>
      </c>
      <c r="T131" s="237" t="s">
        <v>509</v>
      </c>
      <c r="U131" s="237" t="s">
        <v>509</v>
      </c>
      <c r="V131" s="237" t="s">
        <v>577</v>
      </c>
      <c r="W131" s="237" t="s">
        <v>577</v>
      </c>
      <c r="X131" s="237"/>
      <c r="Y131" s="239" t="s">
        <v>564</v>
      </c>
      <c r="Z131" s="397"/>
      <c r="AA131" s="237"/>
      <c r="AB131" s="396"/>
      <c r="AC131" s="239"/>
      <c r="AD131" s="397"/>
      <c r="AE131" s="239"/>
      <c r="AF131" s="239"/>
      <c r="AG131" s="239" t="s">
        <v>904</v>
      </c>
      <c r="AH131" s="237" t="s">
        <v>276</v>
      </c>
      <c r="AI131" s="240">
        <v>0</v>
      </c>
      <c r="AJ131" s="240">
        <v>0</v>
      </c>
      <c r="AK131" s="240">
        <v>0</v>
      </c>
      <c r="AL131" s="240">
        <v>0</v>
      </c>
      <c r="AM131" s="240">
        <v>0</v>
      </c>
      <c r="AN131" s="240">
        <v>0</v>
      </c>
      <c r="AO131" s="240">
        <v>0</v>
      </c>
      <c r="AP131" s="240">
        <v>0</v>
      </c>
      <c r="AQ131" s="240">
        <v>0</v>
      </c>
      <c r="AR131" s="240">
        <v>0</v>
      </c>
      <c r="AS131" s="240">
        <v>0</v>
      </c>
      <c r="AT131" s="240">
        <v>0</v>
      </c>
      <c r="AU131" s="240">
        <f>SUM(Tabela10[[#This Row],[jan/26]:[dez/26]])</f>
        <v>0</v>
      </c>
      <c r="AV131" s="240">
        <v>250000</v>
      </c>
      <c r="AW131" s="240">
        <v>250000</v>
      </c>
      <c r="AX131" s="240">
        <v>0</v>
      </c>
      <c r="AY131" s="240">
        <v>0</v>
      </c>
      <c r="AZ131" s="240">
        <f>SUM(Tabela10[[#This Row],[2026]:[2030]])</f>
        <v>500000</v>
      </c>
      <c r="BA131" s="242">
        <v>0</v>
      </c>
      <c r="BB131" s="240">
        <v>0</v>
      </c>
      <c r="BC131" s="240">
        <v>0</v>
      </c>
      <c r="BD131" s="240">
        <v>0</v>
      </c>
      <c r="BE131" s="240">
        <v>0</v>
      </c>
      <c r="BF131" s="241">
        <f>SUM(Tabela10[[#This Row],[2026-2030]:[2035]])</f>
        <v>500000</v>
      </c>
      <c r="BG131" s="243" t="e" cm="1" vm="1">
        <f t="array" aca="1" ref="BG131" ca="1">_xlfn.SEQUENCE(COUNTA(Tabela10[Empresa]),1,1)</f>
        <v>#VALUE!</v>
      </c>
      <c r="BH131" s="243" t="s">
        <v>294</v>
      </c>
      <c r="BI131" s="243" t="e">
        <f>VLOOKUP(Tabela10[[#This Row],[ID real2]],[2]CONSOLIDADA!$AU:$AZ,6,FALSE)</f>
        <v>#N/A</v>
      </c>
      <c r="BJ131" s="243" t="s">
        <v>155</v>
      </c>
      <c r="BK131" s="243">
        <v>2026</v>
      </c>
      <c r="BL131" s="243" t="s">
        <v>905</v>
      </c>
      <c r="BM131" s="243">
        <v>0</v>
      </c>
      <c r="BN131" s="243" t="s">
        <v>294</v>
      </c>
      <c r="BO131" s="243" t="s">
        <v>568</v>
      </c>
      <c r="BP131" s="243" t="s">
        <v>561</v>
      </c>
      <c r="BQ131" s="243" t="s">
        <v>561</v>
      </c>
      <c r="BR131" s="346">
        <v>0</v>
      </c>
      <c r="BS131" s="243"/>
      <c r="BT131" s="243" t="s">
        <v>294</v>
      </c>
      <c r="BU131" s="243" t="s">
        <v>583</v>
      </c>
      <c r="BV131" s="243" t="str">
        <f>Tabela10[[#This Row],[Descrição do projeto]]</f>
        <v>Modernização dos Centros de Carga Miscelânea 380 VCA UHE SAMUEL</v>
      </c>
    </row>
    <row r="132" spans="1:74" hidden="1" x14ac:dyDescent="0.35">
      <c r="A132" s="237">
        <v>301</v>
      </c>
      <c r="B132" s="237" t="e" cm="1">
        <f t="array" ref="B132">AND(ISTEXT('Consolidado-Eletronorte'!#REF!),SUM('Consolidado-Eletronorte'!#REF!)&gt;0)</f>
        <v>#REF!</v>
      </c>
      <c r="C132" s="237" t="str">
        <f t="shared" ca="1" si="12"/>
        <v>Capex Orcamentário_PE2026_2030_red_35_porcentoR3_consulta.xlsx</v>
      </c>
      <c r="D132" s="238" t="str">
        <f t="shared" si="13"/>
        <v>COO</v>
      </c>
      <c r="E132" s="238" t="str">
        <f t="shared" si="14"/>
        <v>Lucas Martins</v>
      </c>
      <c r="F132" s="237" t="str">
        <f>_xlfn.CONCAT(Tabela10[[#This Row],[VP]],Tabela10[[#This Row],[Analise Estrategia]])</f>
        <v>COO301</v>
      </c>
      <c r="G132" s="239" t="e">
        <f>_xlfn.CONCAT('Consolidado-Eletronorte'!#REF!,"_",ROW('Consolidado-Eletronorte'!#REF!)-ROW('Consolidado-Eletronorte'!$G$18))</f>
        <v>#REF!</v>
      </c>
      <c r="H132" s="239" t="s">
        <v>506</v>
      </c>
      <c r="I132" s="237" t="s">
        <v>507</v>
      </c>
      <c r="J132" s="239" t="s">
        <v>508</v>
      </c>
      <c r="K132" s="237" t="s">
        <v>509</v>
      </c>
      <c r="L132" s="237" t="s">
        <v>509</v>
      </c>
      <c r="M132" s="237" t="s">
        <v>577</v>
      </c>
      <c r="N132" s="237"/>
      <c r="O132" s="237"/>
      <c r="P132" s="237">
        <v>157189</v>
      </c>
      <c r="Q132" s="243" t="s">
        <v>292</v>
      </c>
      <c r="R132" s="239" t="s">
        <v>293</v>
      </c>
      <c r="S132" s="243" t="s">
        <v>292</v>
      </c>
      <c r="T132" s="237" t="s">
        <v>509</v>
      </c>
      <c r="U132" s="237" t="s">
        <v>509</v>
      </c>
      <c r="V132" s="237" t="s">
        <v>577</v>
      </c>
      <c r="W132" s="237" t="s">
        <v>577</v>
      </c>
      <c r="X132" s="237"/>
      <c r="Y132" s="239" t="s">
        <v>564</v>
      </c>
      <c r="Z132" s="397"/>
      <c r="AA132" s="237"/>
      <c r="AB132" s="396"/>
      <c r="AC132" s="239"/>
      <c r="AD132" s="397"/>
      <c r="AE132" s="239"/>
      <c r="AF132" s="239"/>
      <c r="AG132" s="239" t="s">
        <v>906</v>
      </c>
      <c r="AH132" s="237" t="s">
        <v>276</v>
      </c>
      <c r="AI132" s="240">
        <v>0</v>
      </c>
      <c r="AJ132" s="240">
        <v>0</v>
      </c>
      <c r="AK132" s="240">
        <v>0</v>
      </c>
      <c r="AL132" s="240">
        <v>0</v>
      </c>
      <c r="AM132" s="240">
        <v>0</v>
      </c>
      <c r="AN132" s="240">
        <v>0</v>
      </c>
      <c r="AO132" s="240">
        <v>0</v>
      </c>
      <c r="AP132" s="240">
        <v>0</v>
      </c>
      <c r="AQ132" s="240">
        <v>0</v>
      </c>
      <c r="AR132" s="240">
        <v>0</v>
      </c>
      <c r="AS132" s="240">
        <v>0</v>
      </c>
      <c r="AT132" s="240">
        <v>0</v>
      </c>
      <c r="AU132" s="240">
        <f>SUM(Tabela10[[#This Row],[jan/26]:[dez/26]])</f>
        <v>0</v>
      </c>
      <c r="AV132" s="240">
        <v>250000</v>
      </c>
      <c r="AW132" s="240">
        <v>250000</v>
      </c>
      <c r="AX132" s="240">
        <v>0</v>
      </c>
      <c r="AY132" s="240">
        <v>0</v>
      </c>
      <c r="AZ132" s="240">
        <f>SUM(Tabela10[[#This Row],[2026]:[2030]])</f>
        <v>500000</v>
      </c>
      <c r="BA132" s="242">
        <v>0</v>
      </c>
      <c r="BB132" s="240">
        <v>0</v>
      </c>
      <c r="BC132" s="240">
        <v>0</v>
      </c>
      <c r="BD132" s="240">
        <v>0</v>
      </c>
      <c r="BE132" s="240">
        <v>0</v>
      </c>
      <c r="BF132" s="241">
        <f>SUM(Tabela10[[#This Row],[2026-2030]:[2035]])</f>
        <v>500000</v>
      </c>
      <c r="BG132" s="243" t="e" cm="1" vm="1">
        <f t="array" aca="1" ref="BG132" ca="1">_xlfn.SEQUENCE(COUNTA(Tabela10[Empresa]),1,1)</f>
        <v>#VALUE!</v>
      </c>
      <c r="BH132" s="243" t="s">
        <v>292</v>
      </c>
      <c r="BI132" s="243" t="e">
        <f>VLOOKUP(Tabela10[[#This Row],[ID real2]],[2]CONSOLIDADA!$AU:$AZ,6,FALSE)</f>
        <v>#N/A</v>
      </c>
      <c r="BJ132" s="243" t="s">
        <v>155</v>
      </c>
      <c r="BK132" s="243">
        <v>2026</v>
      </c>
      <c r="BL132" s="243" t="s">
        <v>907</v>
      </c>
      <c r="BM132" s="243">
        <v>0</v>
      </c>
      <c r="BN132" s="243" t="s">
        <v>292</v>
      </c>
      <c r="BO132" s="243" t="s">
        <v>568</v>
      </c>
      <c r="BP132" s="243" t="s">
        <v>561</v>
      </c>
      <c r="BQ132" s="243" t="s">
        <v>561</v>
      </c>
      <c r="BR132" s="346">
        <v>0</v>
      </c>
      <c r="BS132" s="243"/>
      <c r="BT132" s="243" t="s">
        <v>292</v>
      </c>
      <c r="BU132" s="243" t="s">
        <v>583</v>
      </c>
      <c r="BV132" s="243" t="str">
        <f>Tabela10[[#This Row],[Descrição do projeto]]</f>
        <v>Modernização do Serviço Auxiliar 13,8 KVCA UHE SAMUEL</v>
      </c>
    </row>
    <row r="133" spans="1:74" hidden="1" x14ac:dyDescent="0.35">
      <c r="A133" s="237">
        <v>302</v>
      </c>
      <c r="B133" s="237" t="e" cm="1">
        <f t="array" ref="B133">AND(ISTEXT('Consolidado-Eletronorte'!#REF!),SUM('Consolidado-Eletronorte'!#REF!)&gt;0)</f>
        <v>#REF!</v>
      </c>
      <c r="C133" s="237" t="str">
        <f t="shared" ca="1" si="12"/>
        <v>Capex Orcamentário_PE2026_2030_red_35_porcentoR3_consulta.xlsx</v>
      </c>
      <c r="D133" s="238" t="str">
        <f t="shared" si="13"/>
        <v>COO</v>
      </c>
      <c r="E133" s="238" t="str">
        <f t="shared" si="14"/>
        <v>Lucas Martins</v>
      </c>
      <c r="F133" s="237" t="str">
        <f>_xlfn.CONCAT(Tabela10[[#This Row],[VP]],Tabela10[[#This Row],[Analise Estrategia]])</f>
        <v>COO302</v>
      </c>
      <c r="G133" s="239" t="e">
        <f>_xlfn.CONCAT('Consolidado-Eletronorte'!#REF!,"_",ROW('Consolidado-Eletronorte'!#REF!)-ROW('Consolidado-Eletronorte'!$G$18))</f>
        <v>#REF!</v>
      </c>
      <c r="H133" s="239" t="s">
        <v>506</v>
      </c>
      <c r="I133" s="237" t="s">
        <v>507</v>
      </c>
      <c r="J133" s="239" t="s">
        <v>508</v>
      </c>
      <c r="K133" s="237" t="s">
        <v>509</v>
      </c>
      <c r="L133" s="237" t="s">
        <v>509</v>
      </c>
      <c r="M133" s="237" t="s">
        <v>577</v>
      </c>
      <c r="N133" s="237"/>
      <c r="O133" s="237"/>
      <c r="P133" s="237">
        <v>157189</v>
      </c>
      <c r="Q133" s="243" t="s">
        <v>306</v>
      </c>
      <c r="R133" s="239" t="s">
        <v>307</v>
      </c>
      <c r="S133" s="243" t="s">
        <v>306</v>
      </c>
      <c r="T133" s="237" t="s">
        <v>509</v>
      </c>
      <c r="U133" s="237" t="s">
        <v>509</v>
      </c>
      <c r="V133" s="237" t="s">
        <v>577</v>
      </c>
      <c r="W133" s="237" t="s">
        <v>577</v>
      </c>
      <c r="X133" s="237"/>
      <c r="Y133" s="239" t="s">
        <v>564</v>
      </c>
      <c r="Z133" s="397"/>
      <c r="AA133" s="237"/>
      <c r="AB133" s="396"/>
      <c r="AC133" s="239"/>
      <c r="AD133" s="397"/>
      <c r="AE133" s="239"/>
      <c r="AF133" s="239"/>
      <c r="AG133" s="239" t="s">
        <v>908</v>
      </c>
      <c r="AH133" s="237" t="s">
        <v>276</v>
      </c>
      <c r="AI133" s="240">
        <v>0</v>
      </c>
      <c r="AJ133" s="240">
        <v>0</v>
      </c>
      <c r="AK133" s="240">
        <v>0</v>
      </c>
      <c r="AL133" s="240">
        <v>0</v>
      </c>
      <c r="AM133" s="240">
        <v>0</v>
      </c>
      <c r="AN133" s="240">
        <v>0</v>
      </c>
      <c r="AO133" s="240">
        <v>0</v>
      </c>
      <c r="AP133" s="240">
        <v>0</v>
      </c>
      <c r="AQ133" s="240">
        <v>0</v>
      </c>
      <c r="AR133" s="240">
        <v>0</v>
      </c>
      <c r="AS133" s="240">
        <v>0</v>
      </c>
      <c r="AT133" s="240">
        <v>0</v>
      </c>
      <c r="AU133" s="240">
        <f>SUM(Tabela10[[#This Row],[jan/26]:[dez/26]])</f>
        <v>0</v>
      </c>
      <c r="AV133" s="240">
        <v>250000</v>
      </c>
      <c r="AW133" s="240">
        <v>250000</v>
      </c>
      <c r="AX133" s="240">
        <v>0</v>
      </c>
      <c r="AY133" s="240">
        <v>0</v>
      </c>
      <c r="AZ133" s="240">
        <f>SUM(Tabela10[[#This Row],[2026]:[2030]])</f>
        <v>500000</v>
      </c>
      <c r="BA133" s="242">
        <v>0</v>
      </c>
      <c r="BB133" s="240">
        <v>0</v>
      </c>
      <c r="BC133" s="240">
        <v>0</v>
      </c>
      <c r="BD133" s="240">
        <v>0</v>
      </c>
      <c r="BE133" s="240">
        <v>0</v>
      </c>
      <c r="BF133" s="241">
        <f>SUM(Tabela10[[#This Row],[2026-2030]:[2035]])</f>
        <v>500000</v>
      </c>
      <c r="BG133" s="243" t="e" cm="1" vm="1">
        <f t="array" aca="1" ref="BG133" ca="1">_xlfn.SEQUENCE(COUNTA(Tabela10[Empresa]),1,1)</f>
        <v>#VALUE!</v>
      </c>
      <c r="BH133" s="243" t="s">
        <v>306</v>
      </c>
      <c r="BI133" s="243" t="e">
        <f>VLOOKUP(Tabela10[[#This Row],[ID real2]],[2]CONSOLIDADA!$AU:$AZ,6,FALSE)</f>
        <v>#N/A</v>
      </c>
      <c r="BJ133" s="243" t="s">
        <v>155</v>
      </c>
      <c r="BK133" s="243">
        <v>2026</v>
      </c>
      <c r="BL133" s="243" t="s">
        <v>909</v>
      </c>
      <c r="BM133" s="243">
        <v>0</v>
      </c>
      <c r="BN133" s="243" t="s">
        <v>306</v>
      </c>
      <c r="BO133" s="243" t="s">
        <v>568</v>
      </c>
      <c r="BP133" s="243" t="s">
        <v>561</v>
      </c>
      <c r="BQ133" s="243" t="s">
        <v>561</v>
      </c>
      <c r="BR133" s="346">
        <v>0</v>
      </c>
      <c r="BS133" s="243"/>
      <c r="BT133" s="243" t="s">
        <v>306</v>
      </c>
      <c r="BU133" s="243" t="s">
        <v>583</v>
      </c>
      <c r="BV133" s="243" t="str">
        <f>Tabela10[[#This Row],[Descrição do projeto]]</f>
        <v>Substituição Transformador Regulador 01 13,8 KVCA UHE SAMUEL</v>
      </c>
    </row>
    <row r="134" spans="1:74" hidden="1" x14ac:dyDescent="0.35">
      <c r="A134" s="237">
        <v>303</v>
      </c>
      <c r="B134" s="237" t="e" cm="1">
        <f t="array" ref="B134">AND(ISTEXT('Consolidado-Eletronorte'!#REF!),SUM('Consolidado-Eletronorte'!#REF!)&gt;0)</f>
        <v>#REF!</v>
      </c>
      <c r="C134" s="237" t="str">
        <f t="shared" ca="1" si="12"/>
        <v>Capex Orcamentário_PE2026_2030_red_35_porcentoR3_consulta.xlsx</v>
      </c>
      <c r="D134" s="238" t="str">
        <f t="shared" si="13"/>
        <v>COO</v>
      </c>
      <c r="E134" s="238" t="str">
        <f t="shared" si="14"/>
        <v>Lucas Martins</v>
      </c>
      <c r="F134" s="237" t="str">
        <f>_xlfn.CONCAT(Tabela10[[#This Row],[VP]],Tabela10[[#This Row],[Analise Estrategia]])</f>
        <v>COO303</v>
      </c>
      <c r="G134" s="239" t="e">
        <f>_xlfn.CONCAT('Consolidado-Eletronorte'!#REF!,"_",ROW('Consolidado-Eletronorte'!#REF!)-ROW('Consolidado-Eletronorte'!$G$18))</f>
        <v>#REF!</v>
      </c>
      <c r="H134" s="239" t="s">
        <v>506</v>
      </c>
      <c r="I134" s="237" t="s">
        <v>507</v>
      </c>
      <c r="J134" s="239" t="s">
        <v>508</v>
      </c>
      <c r="K134" s="237" t="s">
        <v>509</v>
      </c>
      <c r="L134" s="237" t="s">
        <v>509</v>
      </c>
      <c r="M134" s="237" t="s">
        <v>577</v>
      </c>
      <c r="N134" s="237"/>
      <c r="O134" s="237"/>
      <c r="P134" s="237">
        <v>157189</v>
      </c>
      <c r="Q134" s="243" t="s">
        <v>308</v>
      </c>
      <c r="R134" s="239" t="s">
        <v>309</v>
      </c>
      <c r="S134" s="243" t="s">
        <v>308</v>
      </c>
      <c r="T134" s="237" t="s">
        <v>509</v>
      </c>
      <c r="U134" s="237" t="s">
        <v>509</v>
      </c>
      <c r="V134" s="237" t="s">
        <v>577</v>
      </c>
      <c r="W134" s="237" t="s">
        <v>577</v>
      </c>
      <c r="X134" s="237"/>
      <c r="Y134" s="239" t="s">
        <v>564</v>
      </c>
      <c r="Z134" s="397"/>
      <c r="AA134" s="237"/>
      <c r="AB134" s="396"/>
      <c r="AC134" s="239"/>
      <c r="AD134" s="397"/>
      <c r="AE134" s="239"/>
      <c r="AF134" s="239"/>
      <c r="AG134" s="239" t="s">
        <v>910</v>
      </c>
      <c r="AH134" s="237" t="s">
        <v>276</v>
      </c>
      <c r="AI134" s="240">
        <v>0</v>
      </c>
      <c r="AJ134" s="240">
        <v>0</v>
      </c>
      <c r="AK134" s="240">
        <v>0</v>
      </c>
      <c r="AL134" s="240">
        <v>0</v>
      </c>
      <c r="AM134" s="240">
        <v>0</v>
      </c>
      <c r="AN134" s="240">
        <v>0</v>
      </c>
      <c r="AO134" s="240">
        <v>0</v>
      </c>
      <c r="AP134" s="240">
        <v>0</v>
      </c>
      <c r="AQ134" s="240">
        <v>0</v>
      </c>
      <c r="AR134" s="240">
        <v>0</v>
      </c>
      <c r="AS134" s="240">
        <v>0</v>
      </c>
      <c r="AT134" s="240">
        <v>0</v>
      </c>
      <c r="AU134" s="240">
        <f>SUM(Tabela10[[#This Row],[jan/26]:[dez/26]])</f>
        <v>0</v>
      </c>
      <c r="AV134" s="240">
        <v>250000</v>
      </c>
      <c r="AW134" s="240">
        <v>250000</v>
      </c>
      <c r="AX134" s="240">
        <v>0</v>
      </c>
      <c r="AY134" s="240">
        <v>0</v>
      </c>
      <c r="AZ134" s="240">
        <f>SUM(Tabela10[[#This Row],[2026]:[2030]])</f>
        <v>500000</v>
      </c>
      <c r="BA134" s="242">
        <v>0</v>
      </c>
      <c r="BB134" s="240">
        <v>0</v>
      </c>
      <c r="BC134" s="240">
        <v>0</v>
      </c>
      <c r="BD134" s="240">
        <v>0</v>
      </c>
      <c r="BE134" s="240">
        <v>0</v>
      </c>
      <c r="BF134" s="241">
        <f>SUM(Tabela10[[#This Row],[2026-2030]:[2035]])</f>
        <v>500000</v>
      </c>
      <c r="BG134" s="243" t="e" cm="1" vm="1">
        <f t="array" aca="1" ref="BG134" ca="1">_xlfn.SEQUENCE(COUNTA(Tabela10[Empresa]),1,1)</f>
        <v>#VALUE!</v>
      </c>
      <c r="BH134" s="243" t="s">
        <v>308</v>
      </c>
      <c r="BI134" s="243" t="e">
        <f>VLOOKUP(Tabela10[[#This Row],[ID real2]],[2]CONSOLIDADA!$AU:$AZ,6,FALSE)</f>
        <v>#N/A</v>
      </c>
      <c r="BJ134" s="243" t="s">
        <v>155</v>
      </c>
      <c r="BK134" s="243">
        <v>2026</v>
      </c>
      <c r="BL134" s="243" t="s">
        <v>911</v>
      </c>
      <c r="BM134" s="243">
        <v>0</v>
      </c>
      <c r="BN134" s="243" t="s">
        <v>308</v>
      </c>
      <c r="BO134" s="243" t="s">
        <v>568</v>
      </c>
      <c r="BP134" s="243" t="s">
        <v>561</v>
      </c>
      <c r="BQ134" s="243" t="s">
        <v>561</v>
      </c>
      <c r="BR134" s="346">
        <v>0</v>
      </c>
      <c r="BS134" s="243"/>
      <c r="BT134" s="243" t="s">
        <v>308</v>
      </c>
      <c r="BU134" s="243" t="s">
        <v>583</v>
      </c>
      <c r="BV134" s="243" t="str">
        <f>Tabela10[[#This Row],[Descrição do projeto]]</f>
        <v>Substituição Transformador Serviço Auxiliar 01 13,8/0,38 KVCA UHE SAMUEL</v>
      </c>
    </row>
    <row r="135" spans="1:74" hidden="1" x14ac:dyDescent="0.35">
      <c r="A135" s="237">
        <v>304</v>
      </c>
      <c r="B135" s="237" t="e" cm="1">
        <f t="array" ref="B135">AND(ISTEXT('Consolidado-Eletronorte'!#REF!),SUM('Consolidado-Eletronorte'!#REF!)&gt;0)</f>
        <v>#REF!</v>
      </c>
      <c r="C135" s="237" t="str">
        <f t="shared" ca="1" si="12"/>
        <v>Capex Orcamentário_PE2026_2030_red_35_porcentoR3_consulta.xlsx</v>
      </c>
      <c r="D135" s="238" t="str">
        <f t="shared" si="13"/>
        <v>COO</v>
      </c>
      <c r="E135" s="238" t="str">
        <f t="shared" si="14"/>
        <v>Lucas Martins</v>
      </c>
      <c r="F135" s="237" t="str">
        <f>_xlfn.CONCAT(Tabela10[[#This Row],[VP]],Tabela10[[#This Row],[Analise Estrategia]])</f>
        <v>COO304</v>
      </c>
      <c r="G135" s="239" t="e">
        <f>_xlfn.CONCAT('Consolidado-Eletronorte'!#REF!,"_",ROW('Consolidado-Eletronorte'!#REF!)-ROW('Consolidado-Eletronorte'!$G$18))</f>
        <v>#REF!</v>
      </c>
      <c r="H135" s="239" t="s">
        <v>506</v>
      </c>
      <c r="I135" s="237" t="s">
        <v>507</v>
      </c>
      <c r="J135" s="239" t="s">
        <v>508</v>
      </c>
      <c r="K135" s="237" t="s">
        <v>509</v>
      </c>
      <c r="L135" s="237" t="s">
        <v>509</v>
      </c>
      <c r="M135" s="237" t="s">
        <v>577</v>
      </c>
      <c r="N135" s="237"/>
      <c r="O135" s="237"/>
      <c r="P135" s="237">
        <v>157189</v>
      </c>
      <c r="Q135" s="243" t="s">
        <v>290</v>
      </c>
      <c r="R135" s="239" t="s">
        <v>291</v>
      </c>
      <c r="S135" s="243" t="s">
        <v>290</v>
      </c>
      <c r="T135" s="237" t="s">
        <v>509</v>
      </c>
      <c r="U135" s="237" t="s">
        <v>509</v>
      </c>
      <c r="V135" s="237" t="s">
        <v>577</v>
      </c>
      <c r="W135" s="237" t="s">
        <v>577</v>
      </c>
      <c r="X135" s="237"/>
      <c r="Y135" s="239" t="s">
        <v>564</v>
      </c>
      <c r="Z135" s="397"/>
      <c r="AA135" s="237"/>
      <c r="AB135" s="396"/>
      <c r="AC135" s="239"/>
      <c r="AD135" s="397"/>
      <c r="AE135" s="239"/>
      <c r="AF135" s="239"/>
      <c r="AG135" s="239" t="s">
        <v>912</v>
      </c>
      <c r="AH135" s="237" t="s">
        <v>276</v>
      </c>
      <c r="AI135" s="240">
        <v>0</v>
      </c>
      <c r="AJ135" s="240">
        <v>0</v>
      </c>
      <c r="AK135" s="240">
        <v>0</v>
      </c>
      <c r="AL135" s="240">
        <v>0</v>
      </c>
      <c r="AM135" s="240">
        <v>0</v>
      </c>
      <c r="AN135" s="240">
        <v>0</v>
      </c>
      <c r="AO135" s="240">
        <v>0</v>
      </c>
      <c r="AP135" s="240">
        <v>0</v>
      </c>
      <c r="AQ135" s="240">
        <v>0</v>
      </c>
      <c r="AR135" s="240">
        <v>0</v>
      </c>
      <c r="AS135" s="240">
        <v>0</v>
      </c>
      <c r="AT135" s="240">
        <v>0</v>
      </c>
      <c r="AU135" s="240">
        <f>SUM(Tabela10[[#This Row],[jan/26]:[dez/26]])</f>
        <v>0</v>
      </c>
      <c r="AV135" s="240">
        <v>250000</v>
      </c>
      <c r="AW135" s="240">
        <v>250000</v>
      </c>
      <c r="AX135" s="240">
        <v>0</v>
      </c>
      <c r="AY135" s="240">
        <v>0</v>
      </c>
      <c r="AZ135" s="240">
        <f>SUM(Tabela10[[#This Row],[2026]:[2030]])</f>
        <v>500000</v>
      </c>
      <c r="BA135" s="242">
        <v>0</v>
      </c>
      <c r="BB135" s="240">
        <v>0</v>
      </c>
      <c r="BC135" s="240">
        <v>0</v>
      </c>
      <c r="BD135" s="240">
        <v>0</v>
      </c>
      <c r="BE135" s="240">
        <v>0</v>
      </c>
      <c r="BF135" s="241">
        <f>SUM(Tabela10[[#This Row],[2026-2030]:[2035]])</f>
        <v>500000</v>
      </c>
      <c r="BG135" s="243" t="e" cm="1" vm="1">
        <f t="array" aca="1" ref="BG135" ca="1">_xlfn.SEQUENCE(COUNTA(Tabela10[Empresa]),1,1)</f>
        <v>#VALUE!</v>
      </c>
      <c r="BH135" s="243" t="s">
        <v>290</v>
      </c>
      <c r="BI135" s="243" t="e">
        <f>VLOOKUP(Tabela10[[#This Row],[ID real2]],[2]CONSOLIDADA!$AU:$AZ,6,FALSE)</f>
        <v>#N/A</v>
      </c>
      <c r="BJ135" s="243" t="s">
        <v>155</v>
      </c>
      <c r="BK135" s="243">
        <v>2026</v>
      </c>
      <c r="BL135" s="243" t="s">
        <v>913</v>
      </c>
      <c r="BM135" s="243">
        <v>0</v>
      </c>
      <c r="BN135" s="243" t="s">
        <v>290</v>
      </c>
      <c r="BO135" s="243" t="s">
        <v>568</v>
      </c>
      <c r="BP135" s="243" t="s">
        <v>561</v>
      </c>
      <c r="BQ135" s="243" t="s">
        <v>561</v>
      </c>
      <c r="BR135" s="346">
        <v>0</v>
      </c>
      <c r="BS135" s="243"/>
      <c r="BT135" s="243" t="s">
        <v>290</v>
      </c>
      <c r="BU135" s="243" t="s">
        <v>583</v>
      </c>
      <c r="BV135" s="243" t="str">
        <f>Tabela10[[#This Row],[Descrição do projeto]]</f>
        <v>Modernização do Serviço Auxiliar 125 VCC UHE SAMUEL</v>
      </c>
    </row>
    <row r="136" spans="1:74" ht="14.5" hidden="1" customHeight="1" x14ac:dyDescent="0.35">
      <c r="A136" s="237">
        <v>305</v>
      </c>
      <c r="B136" s="237" t="e" cm="1">
        <f t="array" ref="B136">AND(ISTEXT('Consolidado-Eletronorte'!#REF!),SUM('Consolidado-Eletronorte'!#REF!)&gt;0)</f>
        <v>#REF!</v>
      </c>
      <c r="C136" s="237" t="str">
        <f t="shared" ca="1" si="12"/>
        <v>Capex Orcamentário_PE2026_2030_red_35_porcentoR3_consulta.xlsx</v>
      </c>
      <c r="D136" s="238" t="str">
        <f t="shared" si="13"/>
        <v>COO</v>
      </c>
      <c r="E136" s="238" t="str">
        <f t="shared" si="14"/>
        <v>Lucas Martins</v>
      </c>
      <c r="F136" s="237" t="str">
        <f>_xlfn.CONCAT(Tabela10[[#This Row],[VP]],Tabela10[[#This Row],[Analise Estrategia]])</f>
        <v>COO305</v>
      </c>
      <c r="G136" s="239" t="e">
        <f>_xlfn.CONCAT('Consolidado-Eletronorte'!#REF!,"_",ROW('Consolidado-Eletronorte'!#REF!)-ROW('Consolidado-Eletronorte'!$G$18))</f>
        <v>#REF!</v>
      </c>
      <c r="H136" s="239" t="s">
        <v>506</v>
      </c>
      <c r="I136" s="237" t="s">
        <v>507</v>
      </c>
      <c r="J136" s="239" t="s">
        <v>508</v>
      </c>
      <c r="K136" s="237" t="s">
        <v>509</v>
      </c>
      <c r="L136" s="237" t="s">
        <v>509</v>
      </c>
      <c r="M136" s="237" t="s">
        <v>577</v>
      </c>
      <c r="N136" s="237"/>
      <c r="O136" s="237"/>
      <c r="P136" s="237">
        <v>157189</v>
      </c>
      <c r="Q136" s="243" t="s">
        <v>286</v>
      </c>
      <c r="R136" s="239" t="s">
        <v>287</v>
      </c>
      <c r="S136" s="243" t="s">
        <v>286</v>
      </c>
      <c r="T136" s="237" t="s">
        <v>509</v>
      </c>
      <c r="U136" s="237" t="s">
        <v>509</v>
      </c>
      <c r="V136" s="237" t="s">
        <v>577</v>
      </c>
      <c r="W136" s="237" t="s">
        <v>577</v>
      </c>
      <c r="X136" s="237"/>
      <c r="Y136" s="239" t="s">
        <v>564</v>
      </c>
      <c r="Z136" s="397"/>
      <c r="AA136" s="237"/>
      <c r="AB136" s="396"/>
      <c r="AC136" s="239"/>
      <c r="AD136" s="397"/>
      <c r="AE136" s="239"/>
      <c r="AF136" s="239"/>
      <c r="AG136" s="239" t="s">
        <v>914</v>
      </c>
      <c r="AH136" s="237" t="s">
        <v>276</v>
      </c>
      <c r="AI136" s="240">
        <v>0</v>
      </c>
      <c r="AJ136" s="240">
        <v>0</v>
      </c>
      <c r="AK136" s="240">
        <v>0</v>
      </c>
      <c r="AL136" s="240">
        <v>0</v>
      </c>
      <c r="AM136" s="240">
        <v>0</v>
      </c>
      <c r="AN136" s="240">
        <v>0</v>
      </c>
      <c r="AO136" s="240">
        <v>0</v>
      </c>
      <c r="AP136" s="240">
        <v>0</v>
      </c>
      <c r="AQ136" s="240">
        <v>0</v>
      </c>
      <c r="AR136" s="240">
        <v>0</v>
      </c>
      <c r="AS136" s="240">
        <v>0</v>
      </c>
      <c r="AT136" s="240">
        <v>0</v>
      </c>
      <c r="AU136" s="240">
        <f>SUM(Tabela10[[#This Row],[jan/26]:[dez/26]])</f>
        <v>0</v>
      </c>
      <c r="AV136" s="240">
        <v>250000</v>
      </c>
      <c r="AW136" s="240">
        <v>250000</v>
      </c>
      <c r="AX136" s="240">
        <v>0</v>
      </c>
      <c r="AY136" s="240">
        <v>0</v>
      </c>
      <c r="AZ136" s="240">
        <f>SUM(Tabela10[[#This Row],[2026]:[2030]])</f>
        <v>500000</v>
      </c>
      <c r="BA136" s="242">
        <v>0</v>
      </c>
      <c r="BB136" s="240">
        <v>0</v>
      </c>
      <c r="BC136" s="240">
        <v>0</v>
      </c>
      <c r="BD136" s="240">
        <v>0</v>
      </c>
      <c r="BE136" s="240">
        <v>0</v>
      </c>
      <c r="BF136" s="241">
        <f>SUM(Tabela10[[#This Row],[2026-2030]:[2035]])</f>
        <v>500000</v>
      </c>
      <c r="BG136" s="243" t="e" cm="1" vm="1">
        <f t="array" aca="1" ref="BG136" ca="1">_xlfn.SEQUENCE(COUNTA(Tabela10[Empresa]),1,1)</f>
        <v>#VALUE!</v>
      </c>
      <c r="BH136" s="243" t="s">
        <v>286</v>
      </c>
      <c r="BI136" s="243" t="e">
        <f>VLOOKUP(Tabela10[[#This Row],[ID real2]],[2]CONSOLIDADA!$AU:$AZ,6,FALSE)</f>
        <v>#N/A</v>
      </c>
      <c r="BJ136" s="243" t="s">
        <v>155</v>
      </c>
      <c r="BK136" s="243">
        <v>2026</v>
      </c>
      <c r="BL136" s="243" t="s">
        <v>915</v>
      </c>
      <c r="BM136" s="243">
        <v>0</v>
      </c>
      <c r="BN136" s="243" t="s">
        <v>286</v>
      </c>
      <c r="BO136" s="243" t="s">
        <v>568</v>
      </c>
      <c r="BP136" s="243" t="s">
        <v>561</v>
      </c>
      <c r="BQ136" s="243" t="s">
        <v>561</v>
      </c>
      <c r="BR136" s="346">
        <v>0</v>
      </c>
      <c r="BS136" s="243"/>
      <c r="BT136" s="243" t="s">
        <v>286</v>
      </c>
      <c r="BU136" s="243" t="s">
        <v>583</v>
      </c>
      <c r="BV136" s="243" t="str">
        <f>Tabela10[[#This Row],[Descrição do projeto]]</f>
        <v>Modernização Comportas de Emergência UHE SAMUEL</v>
      </c>
    </row>
    <row r="137" spans="1:74" hidden="1" x14ac:dyDescent="0.35">
      <c r="A137" s="237">
        <v>306</v>
      </c>
      <c r="B137" s="237" t="e" cm="1">
        <f t="array" ref="B137">AND(ISTEXT('Consolidado-Eletronorte'!#REF!),SUM('Consolidado-Eletronorte'!#REF!)&gt;0)</f>
        <v>#REF!</v>
      </c>
      <c r="C137" s="237" t="str">
        <f t="shared" ca="1" si="12"/>
        <v>Capex Orcamentário_PE2026_2030_red_35_porcentoR3_consulta.xlsx</v>
      </c>
      <c r="D137" s="238" t="str">
        <f t="shared" si="13"/>
        <v>COO</v>
      </c>
      <c r="E137" s="238" t="str">
        <f t="shared" si="14"/>
        <v>Lucas Martins</v>
      </c>
      <c r="F137" s="237" t="str">
        <f>_xlfn.CONCAT(Tabela10[[#This Row],[VP]],Tabela10[[#This Row],[Analise Estrategia]])</f>
        <v>COO306</v>
      </c>
      <c r="G137" s="239" t="e">
        <f>_xlfn.CONCAT('Consolidado-Eletronorte'!#REF!,"_",ROW('Consolidado-Eletronorte'!#REF!)-ROW('Consolidado-Eletronorte'!$G$18))</f>
        <v>#REF!</v>
      </c>
      <c r="H137" s="239" t="s">
        <v>506</v>
      </c>
      <c r="I137" s="237" t="s">
        <v>507</v>
      </c>
      <c r="J137" s="239" t="s">
        <v>508</v>
      </c>
      <c r="K137" s="237" t="s">
        <v>509</v>
      </c>
      <c r="L137" s="237" t="s">
        <v>509</v>
      </c>
      <c r="M137" s="237" t="s">
        <v>577</v>
      </c>
      <c r="N137" s="237"/>
      <c r="O137" s="237"/>
      <c r="P137" s="237">
        <v>157189</v>
      </c>
      <c r="Q137" s="243" t="s">
        <v>288</v>
      </c>
      <c r="R137" s="239" t="s">
        <v>289</v>
      </c>
      <c r="S137" s="243" t="s">
        <v>288</v>
      </c>
      <c r="T137" s="237" t="s">
        <v>509</v>
      </c>
      <c r="U137" s="237" t="s">
        <v>509</v>
      </c>
      <c r="V137" s="237" t="s">
        <v>577</v>
      </c>
      <c r="W137" s="237" t="s">
        <v>577</v>
      </c>
      <c r="X137" s="237"/>
      <c r="Y137" s="239" t="s">
        <v>564</v>
      </c>
      <c r="Z137" s="397"/>
      <c r="AA137" s="237"/>
      <c r="AB137" s="396"/>
      <c r="AC137" s="239"/>
      <c r="AD137" s="397"/>
      <c r="AE137" s="239"/>
      <c r="AF137" s="239"/>
      <c r="AG137" s="239" t="s">
        <v>916</v>
      </c>
      <c r="AH137" s="237" t="s">
        <v>276</v>
      </c>
      <c r="AI137" s="240">
        <v>0</v>
      </c>
      <c r="AJ137" s="240">
        <v>0</v>
      </c>
      <c r="AK137" s="240">
        <v>0</v>
      </c>
      <c r="AL137" s="240">
        <v>0</v>
      </c>
      <c r="AM137" s="240">
        <v>0</v>
      </c>
      <c r="AN137" s="240">
        <v>0</v>
      </c>
      <c r="AO137" s="240">
        <v>0</v>
      </c>
      <c r="AP137" s="240">
        <v>0</v>
      </c>
      <c r="AQ137" s="240">
        <v>0</v>
      </c>
      <c r="AR137" s="240">
        <v>0</v>
      </c>
      <c r="AS137" s="240">
        <v>0</v>
      </c>
      <c r="AT137" s="240">
        <v>0</v>
      </c>
      <c r="AU137" s="240">
        <f>SUM(Tabela10[[#This Row],[jan/26]:[dez/26]])</f>
        <v>0</v>
      </c>
      <c r="AV137" s="240">
        <v>250000</v>
      </c>
      <c r="AW137" s="240">
        <v>250000</v>
      </c>
      <c r="AX137" s="240">
        <v>0</v>
      </c>
      <c r="AY137" s="240">
        <v>0</v>
      </c>
      <c r="AZ137" s="240">
        <f>SUM(Tabela10[[#This Row],[2026]:[2030]])</f>
        <v>500000</v>
      </c>
      <c r="BA137" s="242">
        <v>0</v>
      </c>
      <c r="BB137" s="240">
        <v>0</v>
      </c>
      <c r="BC137" s="240">
        <v>0</v>
      </c>
      <c r="BD137" s="240">
        <v>0</v>
      </c>
      <c r="BE137" s="240">
        <v>0</v>
      </c>
      <c r="BF137" s="241">
        <f>SUM(Tabela10[[#This Row],[2026-2030]:[2035]])</f>
        <v>500000</v>
      </c>
      <c r="BG137" s="243" t="e" cm="1" vm="1">
        <f t="array" aca="1" ref="BG137" ca="1">_xlfn.SEQUENCE(COUNTA(Tabela10[Empresa]),1,1)</f>
        <v>#VALUE!</v>
      </c>
      <c r="BH137" s="243" t="s">
        <v>288</v>
      </c>
      <c r="BI137" s="243" t="e">
        <f>VLOOKUP(Tabela10[[#This Row],[ID real2]],[2]CONSOLIDADA!$AU:$AZ,6,FALSE)</f>
        <v>#N/A</v>
      </c>
      <c r="BJ137" s="243" t="s">
        <v>155</v>
      </c>
      <c r="BK137" s="243">
        <v>2026</v>
      </c>
      <c r="BL137" s="243" t="s">
        <v>917</v>
      </c>
      <c r="BM137" s="243">
        <v>0</v>
      </c>
      <c r="BN137" s="243" t="s">
        <v>288</v>
      </c>
      <c r="BO137" s="243" t="s">
        <v>568</v>
      </c>
      <c r="BP137" s="243" t="s">
        <v>561</v>
      </c>
      <c r="BQ137" s="243" t="s">
        <v>561</v>
      </c>
      <c r="BR137" s="346">
        <v>0</v>
      </c>
      <c r="BS137" s="243"/>
      <c r="BT137" s="243" t="s">
        <v>288</v>
      </c>
      <c r="BU137" s="243" t="s">
        <v>583</v>
      </c>
      <c r="BV137" s="243" t="str">
        <f>Tabela10[[#This Row],[Descrição do projeto]]</f>
        <v>Modernização Comportas Vertedouro UHE SAMUEL</v>
      </c>
    </row>
    <row r="138" spans="1:74" hidden="1" x14ac:dyDescent="0.35">
      <c r="A138" s="237">
        <v>307</v>
      </c>
      <c r="B138" s="237" t="e" cm="1">
        <f t="array" ref="B138">AND(ISTEXT('Consolidado-Eletronorte'!#REF!),SUM('Consolidado-Eletronorte'!#REF!)&gt;0)</f>
        <v>#REF!</v>
      </c>
      <c r="C138" s="237" t="str">
        <f t="shared" ca="1" si="12"/>
        <v>Capex Orcamentário_PE2026_2030_red_35_porcentoR3_consulta.xlsx</v>
      </c>
      <c r="D138" s="238" t="str">
        <f t="shared" si="13"/>
        <v>COO</v>
      </c>
      <c r="E138" s="238" t="str">
        <f t="shared" si="14"/>
        <v>Lucas Martins</v>
      </c>
      <c r="F138" s="237" t="str">
        <f>_xlfn.CONCAT(Tabela10[[#This Row],[VP]],Tabela10[[#This Row],[Analise Estrategia]])</f>
        <v>COO307</v>
      </c>
      <c r="G138" s="239" t="e">
        <f>_xlfn.CONCAT('Consolidado-Eletronorte'!#REF!,"_",ROW('Consolidado-Eletronorte'!#REF!)-ROW('Consolidado-Eletronorte'!$G$18))</f>
        <v>#REF!</v>
      </c>
      <c r="H138" s="239" t="s">
        <v>506</v>
      </c>
      <c r="I138" s="237" t="s">
        <v>507</v>
      </c>
      <c r="J138" s="239" t="s">
        <v>508</v>
      </c>
      <c r="K138" s="237" t="s">
        <v>509</v>
      </c>
      <c r="L138" s="237" t="s">
        <v>509</v>
      </c>
      <c r="M138" s="237" t="s">
        <v>577</v>
      </c>
      <c r="N138" s="237"/>
      <c r="O138" s="237"/>
      <c r="P138" s="237">
        <v>157189</v>
      </c>
      <c r="Q138" s="243" t="s">
        <v>298</v>
      </c>
      <c r="R138" s="239" t="s">
        <v>299</v>
      </c>
      <c r="S138" s="243" t="s">
        <v>298</v>
      </c>
      <c r="T138" s="237" t="s">
        <v>509</v>
      </c>
      <c r="U138" s="237" t="s">
        <v>509</v>
      </c>
      <c r="V138" s="237" t="s">
        <v>577</v>
      </c>
      <c r="W138" s="237" t="s">
        <v>577</v>
      </c>
      <c r="X138" s="237"/>
      <c r="Y138" s="239" t="s">
        <v>564</v>
      </c>
      <c r="Z138" s="397"/>
      <c r="AA138" s="237"/>
      <c r="AB138" s="396"/>
      <c r="AC138" s="239"/>
      <c r="AD138" s="397"/>
      <c r="AE138" s="239"/>
      <c r="AF138" s="239"/>
      <c r="AG138" s="239" t="s">
        <v>918</v>
      </c>
      <c r="AH138" s="237" t="s">
        <v>276</v>
      </c>
      <c r="AI138" s="240">
        <v>0</v>
      </c>
      <c r="AJ138" s="240">
        <v>0</v>
      </c>
      <c r="AK138" s="240">
        <v>0</v>
      </c>
      <c r="AL138" s="240">
        <v>0</v>
      </c>
      <c r="AM138" s="240">
        <v>0</v>
      </c>
      <c r="AN138" s="240">
        <v>0</v>
      </c>
      <c r="AO138" s="240">
        <v>0</v>
      </c>
      <c r="AP138" s="240">
        <v>0</v>
      </c>
      <c r="AQ138" s="240">
        <v>0</v>
      </c>
      <c r="AR138" s="240">
        <v>0</v>
      </c>
      <c r="AS138" s="240">
        <v>0</v>
      </c>
      <c r="AT138" s="240">
        <v>0</v>
      </c>
      <c r="AU138" s="240">
        <f>SUM(Tabela10[[#This Row],[jan/26]:[dez/26]])</f>
        <v>0</v>
      </c>
      <c r="AV138" s="240">
        <v>250000</v>
      </c>
      <c r="AW138" s="240">
        <v>250000</v>
      </c>
      <c r="AX138" s="240">
        <v>0</v>
      </c>
      <c r="AY138" s="240">
        <v>0</v>
      </c>
      <c r="AZ138" s="240">
        <f>SUM(Tabela10[[#This Row],[2026]:[2030]])</f>
        <v>500000</v>
      </c>
      <c r="BA138" s="242">
        <v>0</v>
      </c>
      <c r="BB138" s="240">
        <v>0</v>
      </c>
      <c r="BC138" s="240">
        <v>0</v>
      </c>
      <c r="BD138" s="240">
        <v>0</v>
      </c>
      <c r="BE138" s="240">
        <v>0</v>
      </c>
      <c r="BF138" s="241">
        <f>SUM(Tabela10[[#This Row],[2026-2030]:[2035]])</f>
        <v>500000</v>
      </c>
      <c r="BG138" s="243" t="e" cm="1" vm="1">
        <f t="array" aca="1" ref="BG138" ca="1">_xlfn.SEQUENCE(COUNTA(Tabela10[Empresa]),1,1)</f>
        <v>#VALUE!</v>
      </c>
      <c r="BH138" s="243" t="s">
        <v>298</v>
      </c>
      <c r="BI138" s="243" t="e">
        <f>VLOOKUP(Tabela10[[#This Row],[ID real2]],[2]CONSOLIDADA!$AU:$AZ,6,FALSE)</f>
        <v>#N/A</v>
      </c>
      <c r="BJ138" s="243" t="s">
        <v>155</v>
      </c>
      <c r="BK138" s="243">
        <v>2026</v>
      </c>
      <c r="BL138" s="243" t="s">
        <v>919</v>
      </c>
      <c r="BM138" s="243">
        <v>0</v>
      </c>
      <c r="BN138" s="243" t="s">
        <v>298</v>
      </c>
      <c r="BO138" s="243" t="s">
        <v>568</v>
      </c>
      <c r="BP138" s="243" t="s">
        <v>561</v>
      </c>
      <c r="BQ138" s="243" t="s">
        <v>561</v>
      </c>
      <c r="BR138" s="346">
        <v>0</v>
      </c>
      <c r="BS138" s="243"/>
      <c r="BT138" s="243" t="s">
        <v>298</v>
      </c>
      <c r="BU138" s="243" t="s">
        <v>583</v>
      </c>
      <c r="BV138" s="243" t="str">
        <f>Tabela10[[#This Row],[Descrição do projeto]]</f>
        <v>Modernização Pórtico UHE SAMUEL</v>
      </c>
    </row>
    <row r="139" spans="1:74" hidden="1" x14ac:dyDescent="0.35">
      <c r="A139" s="237">
        <v>308</v>
      </c>
      <c r="B139" s="237" t="e" cm="1">
        <f t="array" ref="B139">AND(ISTEXT('Consolidado-Eletronorte'!#REF!),SUM('Consolidado-Eletronorte'!#REF!)&gt;0)</f>
        <v>#REF!</v>
      </c>
      <c r="C139" s="237" t="str">
        <f t="shared" ca="1" si="12"/>
        <v>Capex Orcamentário_PE2026_2030_red_35_porcentoR3_consulta.xlsx</v>
      </c>
      <c r="D139" s="238" t="str">
        <f t="shared" si="13"/>
        <v>COO</v>
      </c>
      <c r="E139" s="238" t="str">
        <f t="shared" si="14"/>
        <v>Lucas Martins</v>
      </c>
      <c r="F139" s="237" t="str">
        <f>_xlfn.CONCAT(Tabela10[[#This Row],[VP]],Tabela10[[#This Row],[Analise Estrategia]])</f>
        <v>COO308</v>
      </c>
      <c r="G139" s="239" t="e">
        <f>_xlfn.CONCAT('Consolidado-Eletronorte'!#REF!,"_",ROW('Consolidado-Eletronorte'!#REF!)-ROW('Consolidado-Eletronorte'!$G$18))</f>
        <v>#REF!</v>
      </c>
      <c r="H139" s="239" t="s">
        <v>506</v>
      </c>
      <c r="I139" s="237" t="s">
        <v>507</v>
      </c>
      <c r="J139" s="239" t="s">
        <v>508</v>
      </c>
      <c r="K139" s="237" t="s">
        <v>509</v>
      </c>
      <c r="L139" s="237" t="s">
        <v>509</v>
      </c>
      <c r="M139" s="237" t="s">
        <v>577</v>
      </c>
      <c r="N139" s="237"/>
      <c r="O139" s="237"/>
      <c r="P139" s="237">
        <v>157189</v>
      </c>
      <c r="Q139" s="243" t="s">
        <v>296</v>
      </c>
      <c r="R139" s="239" t="s">
        <v>297</v>
      </c>
      <c r="S139" s="243" t="s">
        <v>296</v>
      </c>
      <c r="T139" s="237" t="s">
        <v>509</v>
      </c>
      <c r="U139" s="237" t="s">
        <v>509</v>
      </c>
      <c r="V139" s="237" t="s">
        <v>577</v>
      </c>
      <c r="W139" s="237" t="s">
        <v>577</v>
      </c>
      <c r="X139" s="237"/>
      <c r="Y139" s="239" t="s">
        <v>564</v>
      </c>
      <c r="Z139" s="397"/>
      <c r="AA139" s="237"/>
      <c r="AB139" s="396"/>
      <c r="AC139" s="239"/>
      <c r="AD139" s="397"/>
      <c r="AE139" s="239"/>
      <c r="AF139" s="239"/>
      <c r="AG139" s="239" t="s">
        <v>920</v>
      </c>
      <c r="AH139" s="237" t="s">
        <v>276</v>
      </c>
      <c r="AI139" s="240">
        <v>0</v>
      </c>
      <c r="AJ139" s="240">
        <v>0</v>
      </c>
      <c r="AK139" s="240">
        <v>0</v>
      </c>
      <c r="AL139" s="240">
        <v>0</v>
      </c>
      <c r="AM139" s="240">
        <v>0</v>
      </c>
      <c r="AN139" s="240">
        <v>0</v>
      </c>
      <c r="AO139" s="240">
        <v>0</v>
      </c>
      <c r="AP139" s="240">
        <v>0</v>
      </c>
      <c r="AQ139" s="240">
        <v>0</v>
      </c>
      <c r="AR139" s="240">
        <v>0</v>
      </c>
      <c r="AS139" s="240">
        <v>0</v>
      </c>
      <c r="AT139" s="240">
        <v>0</v>
      </c>
      <c r="AU139" s="240">
        <f>SUM(Tabela10[[#This Row],[jan/26]:[dez/26]])</f>
        <v>0</v>
      </c>
      <c r="AV139" s="240">
        <v>250000</v>
      </c>
      <c r="AW139" s="240">
        <v>250000</v>
      </c>
      <c r="AX139" s="240">
        <v>0</v>
      </c>
      <c r="AY139" s="240">
        <v>0</v>
      </c>
      <c r="AZ139" s="240">
        <f>SUM(Tabela10[[#This Row],[2026]:[2030]])</f>
        <v>500000</v>
      </c>
      <c r="BA139" s="242">
        <v>0</v>
      </c>
      <c r="BB139" s="240">
        <v>0</v>
      </c>
      <c r="BC139" s="240">
        <v>0</v>
      </c>
      <c r="BD139" s="240">
        <v>0</v>
      </c>
      <c r="BE139" s="240">
        <v>0</v>
      </c>
      <c r="BF139" s="241">
        <f>SUM(Tabela10[[#This Row],[2026-2030]:[2035]])</f>
        <v>500000</v>
      </c>
      <c r="BG139" s="243" t="e" cm="1" vm="1">
        <f t="array" aca="1" ref="BG139" ca="1">_xlfn.SEQUENCE(COUNTA(Tabela10[Empresa]),1,1)</f>
        <v>#VALUE!</v>
      </c>
      <c r="BH139" s="243" t="s">
        <v>296</v>
      </c>
      <c r="BI139" s="243" t="e">
        <f>VLOOKUP(Tabela10[[#This Row],[ID real2]],[2]CONSOLIDADA!$AU:$AZ,6,FALSE)</f>
        <v>#N/A</v>
      </c>
      <c r="BJ139" s="243" t="s">
        <v>155</v>
      </c>
      <c r="BK139" s="243">
        <v>2026</v>
      </c>
      <c r="BL139" s="243" t="s">
        <v>921</v>
      </c>
      <c r="BM139" s="243">
        <v>0</v>
      </c>
      <c r="BN139" s="243" t="s">
        <v>296</v>
      </c>
      <c r="BO139" s="243" t="s">
        <v>568</v>
      </c>
      <c r="BP139" s="243" t="s">
        <v>561</v>
      </c>
      <c r="BQ139" s="243" t="s">
        <v>561</v>
      </c>
      <c r="BR139" s="346">
        <v>0</v>
      </c>
      <c r="BS139" s="243"/>
      <c r="BT139" s="243" t="s">
        <v>296</v>
      </c>
      <c r="BU139" s="243" t="s">
        <v>583</v>
      </c>
      <c r="BV139" s="243" t="str">
        <f>Tabela10[[#This Row],[Descrição do projeto]]</f>
        <v>Modernização Pontes Rolantes UHE SAMUEL</v>
      </c>
    </row>
    <row r="140" spans="1:74" ht="14.5" hidden="1" customHeight="1" x14ac:dyDescent="0.35">
      <c r="A140" s="237">
        <v>309</v>
      </c>
      <c r="B140" s="237" t="e" cm="1">
        <f t="array" ref="B140">AND(ISTEXT('Consolidado-Eletronorte'!#REF!),SUM('Consolidado-Eletronorte'!#REF!)&gt;0)</f>
        <v>#REF!</v>
      </c>
      <c r="C140" s="237" t="str">
        <f t="shared" ca="1" si="12"/>
        <v>Capex Orcamentário_PE2026_2030_red_35_porcentoR3_consulta.xlsx</v>
      </c>
      <c r="D140" s="238" t="str">
        <f t="shared" si="13"/>
        <v>COO</v>
      </c>
      <c r="E140" s="238" t="str">
        <f t="shared" si="14"/>
        <v>Lucas Martins</v>
      </c>
      <c r="F140" s="237" t="str">
        <f>_xlfn.CONCAT(Tabela10[[#This Row],[VP]],Tabela10[[#This Row],[Analise Estrategia]])</f>
        <v>COO309</v>
      </c>
      <c r="G140" s="239" t="e">
        <f>_xlfn.CONCAT('Consolidado-Eletronorte'!#REF!,"_",ROW('Consolidado-Eletronorte'!#REF!)-ROW('Consolidado-Eletronorte'!$G$18))</f>
        <v>#REF!</v>
      </c>
      <c r="H140" s="239" t="s">
        <v>506</v>
      </c>
      <c r="I140" s="237" t="s">
        <v>507</v>
      </c>
      <c r="J140" s="239" t="s">
        <v>508</v>
      </c>
      <c r="K140" s="237" t="s">
        <v>509</v>
      </c>
      <c r="L140" s="237" t="s">
        <v>509</v>
      </c>
      <c r="M140" s="237" t="s">
        <v>577</v>
      </c>
      <c r="N140" s="237"/>
      <c r="O140" s="237"/>
      <c r="P140" s="237">
        <v>157189</v>
      </c>
      <c r="Q140" s="243" t="s">
        <v>302</v>
      </c>
      <c r="R140" s="239" t="s">
        <v>303</v>
      </c>
      <c r="S140" s="243" t="s">
        <v>302</v>
      </c>
      <c r="T140" s="237" t="s">
        <v>509</v>
      </c>
      <c r="U140" s="237" t="s">
        <v>509</v>
      </c>
      <c r="V140" s="237" t="s">
        <v>577</v>
      </c>
      <c r="W140" s="237" t="s">
        <v>577</v>
      </c>
      <c r="X140" s="237"/>
      <c r="Y140" s="239" t="s">
        <v>564</v>
      </c>
      <c r="Z140" s="397"/>
      <c r="AA140" s="237"/>
      <c r="AB140" s="396"/>
      <c r="AC140" s="239"/>
      <c r="AD140" s="397"/>
      <c r="AE140" s="239"/>
      <c r="AF140" s="239"/>
      <c r="AG140" s="239" t="s">
        <v>922</v>
      </c>
      <c r="AH140" s="237" t="s">
        <v>276</v>
      </c>
      <c r="AI140" s="240">
        <v>0</v>
      </c>
      <c r="AJ140" s="240">
        <v>0</v>
      </c>
      <c r="AK140" s="240">
        <v>0</v>
      </c>
      <c r="AL140" s="240">
        <v>0</v>
      </c>
      <c r="AM140" s="240">
        <v>0</v>
      </c>
      <c r="AN140" s="240">
        <v>0</v>
      </c>
      <c r="AO140" s="240">
        <v>0</v>
      </c>
      <c r="AP140" s="240">
        <v>0</v>
      </c>
      <c r="AQ140" s="240">
        <v>0</v>
      </c>
      <c r="AR140" s="240">
        <v>0</v>
      </c>
      <c r="AS140" s="240">
        <v>0</v>
      </c>
      <c r="AT140" s="240">
        <v>0</v>
      </c>
      <c r="AU140" s="240">
        <f>SUM(Tabela10[[#This Row],[jan/26]:[dez/26]])</f>
        <v>0</v>
      </c>
      <c r="AV140" s="240">
        <v>250000</v>
      </c>
      <c r="AW140" s="240">
        <v>250000</v>
      </c>
      <c r="AX140" s="240">
        <v>0</v>
      </c>
      <c r="AY140" s="240">
        <v>0</v>
      </c>
      <c r="AZ140" s="240">
        <f>SUM(Tabela10[[#This Row],[2026]:[2030]])</f>
        <v>500000</v>
      </c>
      <c r="BA140" s="242">
        <v>0</v>
      </c>
      <c r="BB140" s="240">
        <v>0</v>
      </c>
      <c r="BC140" s="240">
        <v>0</v>
      </c>
      <c r="BD140" s="240">
        <v>0</v>
      </c>
      <c r="BE140" s="240">
        <v>0</v>
      </c>
      <c r="BF140" s="241">
        <f>SUM(Tabela10[[#This Row],[2026-2030]:[2035]])</f>
        <v>500000</v>
      </c>
      <c r="BG140" s="243" t="e" cm="1" vm="1">
        <f t="array" aca="1" ref="BG140" ca="1">_xlfn.SEQUENCE(COUNTA(Tabela10[Empresa]),1,1)</f>
        <v>#VALUE!</v>
      </c>
      <c r="BH140" s="243" t="s">
        <v>302</v>
      </c>
      <c r="BI140" s="243" t="e">
        <f>VLOOKUP(Tabela10[[#This Row],[ID real2]],[2]CONSOLIDADA!$AU:$AZ,6,FALSE)</f>
        <v>#N/A</v>
      </c>
      <c r="BJ140" s="243" t="s">
        <v>155</v>
      </c>
      <c r="BK140" s="243">
        <v>2026</v>
      </c>
      <c r="BL140" s="243" t="s">
        <v>923</v>
      </c>
      <c r="BM140" s="243">
        <v>0</v>
      </c>
      <c r="BN140" s="243" t="s">
        <v>302</v>
      </c>
      <c r="BO140" s="243" t="s">
        <v>568</v>
      </c>
      <c r="BP140" s="243" t="s">
        <v>561</v>
      </c>
      <c r="BQ140" s="243" t="s">
        <v>561</v>
      </c>
      <c r="BR140" s="346">
        <v>0</v>
      </c>
      <c r="BS140" s="243"/>
      <c r="BT140" s="243" t="s">
        <v>302</v>
      </c>
      <c r="BU140" s="243" t="s">
        <v>583</v>
      </c>
      <c r="BV140" s="243" t="str">
        <f>Tabela10[[#This Row],[Descrição do projeto]]</f>
        <v>Modernização Sistema Anti-Incêndio UHE SAMUEL</v>
      </c>
    </row>
    <row r="141" spans="1:74" ht="14.5" hidden="1" customHeight="1" x14ac:dyDescent="0.35">
      <c r="A141" s="237">
        <v>310</v>
      </c>
      <c r="B141" s="237" t="e" cm="1">
        <f t="array" ref="B141">AND(ISTEXT('Consolidado-Eletronorte'!#REF!),SUM('Consolidado-Eletronorte'!#REF!)&gt;0)</f>
        <v>#REF!</v>
      </c>
      <c r="C141" s="237" t="str">
        <f t="shared" ca="1" si="12"/>
        <v>Capex Orcamentário_PE2026_2030_red_35_porcentoR3_consulta.xlsx</v>
      </c>
      <c r="D141" s="238" t="str">
        <f t="shared" si="13"/>
        <v>COO</v>
      </c>
      <c r="E141" s="238" t="str">
        <f t="shared" si="14"/>
        <v>Lucas Martins</v>
      </c>
      <c r="F141" s="237" t="str">
        <f>_xlfn.CONCAT(Tabela10[[#This Row],[VP]],Tabela10[[#This Row],[Analise Estrategia]])</f>
        <v>COO310</v>
      </c>
      <c r="G141" s="239" t="e">
        <f>_xlfn.CONCAT('Consolidado-Eletronorte'!#REF!,"_",ROW('Consolidado-Eletronorte'!#REF!)-ROW('Consolidado-Eletronorte'!$G$18))</f>
        <v>#REF!</v>
      </c>
      <c r="H141" s="239" t="s">
        <v>506</v>
      </c>
      <c r="I141" s="237" t="s">
        <v>507</v>
      </c>
      <c r="J141" s="239" t="s">
        <v>508</v>
      </c>
      <c r="K141" s="237" t="s">
        <v>509</v>
      </c>
      <c r="L141" s="237" t="s">
        <v>509</v>
      </c>
      <c r="M141" s="237" t="s">
        <v>577</v>
      </c>
      <c r="N141" s="237"/>
      <c r="O141" s="237"/>
      <c r="P141" s="237">
        <v>157189</v>
      </c>
      <c r="Q141" s="243" t="s">
        <v>300</v>
      </c>
      <c r="R141" s="239" t="s">
        <v>301</v>
      </c>
      <c r="S141" s="243" t="s">
        <v>300</v>
      </c>
      <c r="T141" s="237" t="s">
        <v>509</v>
      </c>
      <c r="U141" s="237" t="s">
        <v>509</v>
      </c>
      <c r="V141" s="237" t="s">
        <v>577</v>
      </c>
      <c r="W141" s="237" t="s">
        <v>577</v>
      </c>
      <c r="X141" s="237"/>
      <c r="Y141" s="239" t="s">
        <v>564</v>
      </c>
      <c r="Z141" s="397"/>
      <c r="AA141" s="237"/>
      <c r="AB141" s="396"/>
      <c r="AC141" s="239"/>
      <c r="AD141" s="397"/>
      <c r="AE141" s="239"/>
      <c r="AF141" s="239"/>
      <c r="AG141" s="239" t="s">
        <v>924</v>
      </c>
      <c r="AH141" s="237" t="s">
        <v>276</v>
      </c>
      <c r="AI141" s="240">
        <v>0</v>
      </c>
      <c r="AJ141" s="240">
        <v>0</v>
      </c>
      <c r="AK141" s="240">
        <v>0</v>
      </c>
      <c r="AL141" s="240">
        <v>0</v>
      </c>
      <c r="AM141" s="240">
        <v>0</v>
      </c>
      <c r="AN141" s="240">
        <v>0</v>
      </c>
      <c r="AO141" s="240">
        <v>0</v>
      </c>
      <c r="AP141" s="240">
        <v>0</v>
      </c>
      <c r="AQ141" s="240">
        <v>0</v>
      </c>
      <c r="AR141" s="240">
        <v>0</v>
      </c>
      <c r="AS141" s="240">
        <v>0</v>
      </c>
      <c r="AT141" s="240">
        <v>0</v>
      </c>
      <c r="AU141" s="240">
        <f>SUM(Tabela10[[#This Row],[jan/26]:[dez/26]])</f>
        <v>0</v>
      </c>
      <c r="AV141" s="240">
        <v>250000</v>
      </c>
      <c r="AW141" s="240">
        <v>250000</v>
      </c>
      <c r="AX141" s="240">
        <v>0</v>
      </c>
      <c r="AY141" s="240">
        <v>0</v>
      </c>
      <c r="AZ141" s="240">
        <f>SUM(Tabela10[[#This Row],[2026]:[2030]])</f>
        <v>500000</v>
      </c>
      <c r="BA141" s="242">
        <v>0</v>
      </c>
      <c r="BB141" s="240">
        <v>0</v>
      </c>
      <c r="BC141" s="240">
        <v>0</v>
      </c>
      <c r="BD141" s="240">
        <v>0</v>
      </c>
      <c r="BE141" s="240">
        <v>0</v>
      </c>
      <c r="BF141" s="241">
        <f>SUM(Tabela10[[#This Row],[2026-2030]:[2035]])</f>
        <v>500000</v>
      </c>
      <c r="BG141" s="243" t="e" cm="1" vm="1">
        <f t="array" aca="1" ref="BG141" ca="1">_xlfn.SEQUENCE(COUNTA(Tabela10[Empresa]),1,1)</f>
        <v>#VALUE!</v>
      </c>
      <c r="BH141" s="243" t="s">
        <v>300</v>
      </c>
      <c r="BI141" s="243" t="e">
        <f>VLOOKUP(Tabela10[[#This Row],[ID real2]],[2]CONSOLIDADA!$AU:$AZ,6,FALSE)</f>
        <v>#N/A</v>
      </c>
      <c r="BJ141" s="243" t="s">
        <v>165</v>
      </c>
      <c r="BK141" s="243">
        <v>2025</v>
      </c>
      <c r="BL141" s="243" t="s">
        <v>925</v>
      </c>
      <c r="BM141" s="243" t="s">
        <v>926</v>
      </c>
      <c r="BN141" s="243" t="s">
        <v>300</v>
      </c>
      <c r="BO141" s="243" t="s">
        <v>568</v>
      </c>
      <c r="BP141" s="243" t="s">
        <v>561</v>
      </c>
      <c r="BQ141" s="243" t="s">
        <v>552</v>
      </c>
      <c r="BR141" s="346">
        <v>0</v>
      </c>
      <c r="BS141" s="243"/>
      <c r="BT141" s="243" t="s">
        <v>300</v>
      </c>
      <c r="BU141" s="243" t="s">
        <v>554</v>
      </c>
      <c r="BV141" s="243" t="str">
        <f>Tabela10[[#This Row],[Descrição do projeto]]</f>
        <v>Modernização RDPs UHE Samuel</v>
      </c>
    </row>
    <row r="142" spans="1:74" hidden="1" x14ac:dyDescent="0.35">
      <c r="A142" s="237">
        <v>311</v>
      </c>
      <c r="B142" s="237" t="e" cm="1">
        <f t="array" ref="B142">AND(ISTEXT('Consolidado-Eletronorte'!#REF!),SUM('Consolidado-Eletronorte'!#REF!)&gt;0)</f>
        <v>#REF!</v>
      </c>
      <c r="C142" s="237" t="str">
        <f t="shared" ca="1" si="12"/>
        <v>Capex Orcamentário_PE2026_2030_red_35_porcentoR3_consulta.xlsx</v>
      </c>
      <c r="D142" s="238" t="str">
        <f t="shared" si="13"/>
        <v>COO</v>
      </c>
      <c r="E142" s="238" t="str">
        <f t="shared" si="14"/>
        <v>Lucas Martins</v>
      </c>
      <c r="F142" s="237" t="str">
        <f>_xlfn.CONCAT(Tabela10[[#This Row],[VP]],Tabela10[[#This Row],[Analise Estrategia]])</f>
        <v>COO311</v>
      </c>
      <c r="G142" s="239" t="e">
        <f>_xlfn.CONCAT('Consolidado-Eletronorte'!#REF!,"_",ROW('Consolidado-Eletronorte'!#REF!)-ROW('Consolidado-Eletronorte'!$G$18))</f>
        <v>#REF!</v>
      </c>
      <c r="H142" s="239" t="s">
        <v>506</v>
      </c>
      <c r="I142" s="237" t="s">
        <v>507</v>
      </c>
      <c r="J142" s="239" t="s">
        <v>508</v>
      </c>
      <c r="K142" s="237" t="s">
        <v>509</v>
      </c>
      <c r="L142" s="237" t="s">
        <v>509</v>
      </c>
      <c r="M142" s="237" t="s">
        <v>577</v>
      </c>
      <c r="N142" s="237"/>
      <c r="O142" s="237"/>
      <c r="P142" s="237">
        <v>157189</v>
      </c>
      <c r="Q142" s="243" t="s">
        <v>304</v>
      </c>
      <c r="R142" s="239" t="s">
        <v>305</v>
      </c>
      <c r="S142" s="243" t="s">
        <v>304</v>
      </c>
      <c r="T142" s="237" t="s">
        <v>509</v>
      </c>
      <c r="U142" s="237" t="s">
        <v>509</v>
      </c>
      <c r="V142" s="237" t="s">
        <v>577</v>
      </c>
      <c r="W142" s="237" t="s">
        <v>577</v>
      </c>
      <c r="X142" s="237"/>
      <c r="Y142" s="239" t="s">
        <v>564</v>
      </c>
      <c r="Z142" s="397"/>
      <c r="AA142" s="237"/>
      <c r="AB142" s="396"/>
      <c r="AC142" s="239"/>
      <c r="AD142" s="397"/>
      <c r="AE142" s="239"/>
      <c r="AF142" s="239"/>
      <c r="AG142" s="239" t="s">
        <v>927</v>
      </c>
      <c r="AH142" s="237" t="s">
        <v>276</v>
      </c>
      <c r="AI142" s="240">
        <v>0</v>
      </c>
      <c r="AJ142" s="240">
        <v>0</v>
      </c>
      <c r="AK142" s="240">
        <v>0</v>
      </c>
      <c r="AL142" s="240">
        <v>0</v>
      </c>
      <c r="AM142" s="240">
        <v>0</v>
      </c>
      <c r="AN142" s="240">
        <v>0</v>
      </c>
      <c r="AO142" s="240">
        <v>0</v>
      </c>
      <c r="AP142" s="240">
        <v>0</v>
      </c>
      <c r="AQ142" s="240">
        <v>0</v>
      </c>
      <c r="AR142" s="240">
        <v>0</v>
      </c>
      <c r="AS142" s="240">
        <v>0</v>
      </c>
      <c r="AT142" s="240">
        <v>0</v>
      </c>
      <c r="AU142" s="240">
        <f>SUM(Tabela10[[#This Row],[jan/26]:[dez/26]])</f>
        <v>0</v>
      </c>
      <c r="AV142" s="240">
        <v>250000</v>
      </c>
      <c r="AW142" s="240">
        <v>250000</v>
      </c>
      <c r="AX142" s="240">
        <v>0</v>
      </c>
      <c r="AY142" s="240">
        <v>0</v>
      </c>
      <c r="AZ142" s="240">
        <f>SUM(Tabela10[[#This Row],[2026]:[2030]])</f>
        <v>500000</v>
      </c>
      <c r="BA142" s="242">
        <v>0</v>
      </c>
      <c r="BB142" s="240">
        <v>0</v>
      </c>
      <c r="BC142" s="240">
        <v>0</v>
      </c>
      <c r="BD142" s="240">
        <v>0</v>
      </c>
      <c r="BE142" s="240">
        <v>0</v>
      </c>
      <c r="BF142" s="241">
        <f>SUM(Tabela10[[#This Row],[2026-2030]:[2035]])</f>
        <v>500000</v>
      </c>
      <c r="BG142" s="243" t="e" cm="1" vm="1">
        <f t="array" aca="1" ref="BG142" ca="1">_xlfn.SEQUENCE(COUNTA(Tabela10[Empresa]),1,1)</f>
        <v>#VALUE!</v>
      </c>
      <c r="BH142" s="243" t="s">
        <v>304</v>
      </c>
      <c r="BI142" s="243" t="e">
        <f>VLOOKUP(Tabela10[[#This Row],[ID real2]],[2]CONSOLIDADA!$AU:$AZ,6,FALSE)</f>
        <v>#N/A</v>
      </c>
      <c r="BJ142" s="243" t="s">
        <v>155</v>
      </c>
      <c r="BK142" s="243">
        <v>2026</v>
      </c>
      <c r="BL142" s="243" t="s">
        <v>928</v>
      </c>
      <c r="BM142" s="243">
        <v>0</v>
      </c>
      <c r="BN142" s="243" t="s">
        <v>304</v>
      </c>
      <c r="BO142" s="243" t="s">
        <v>568</v>
      </c>
      <c r="BP142" s="243" t="s">
        <v>561</v>
      </c>
      <c r="BQ142" s="243" t="s">
        <v>561</v>
      </c>
      <c r="BR142" s="346">
        <v>0</v>
      </c>
      <c r="BS142" s="243"/>
      <c r="BT142" s="243" t="s">
        <v>304</v>
      </c>
      <c r="BU142" s="243" t="s">
        <v>583</v>
      </c>
      <c r="BV142" s="243" t="str">
        <f>Tabela10[[#This Row],[Descrição do projeto]]</f>
        <v>Revitalização de Painéis Elétricos</v>
      </c>
    </row>
    <row r="143" spans="1:74" hidden="1" x14ac:dyDescent="0.35">
      <c r="A143" s="237">
        <v>312</v>
      </c>
      <c r="B143" s="237" t="e" cm="1">
        <f t="array" ref="B143">AND(ISTEXT('Consolidado-Eletronorte'!#REF!),SUM('Consolidado-Eletronorte'!#REF!)&gt;0)</f>
        <v>#REF!</v>
      </c>
      <c r="C143" s="237" t="str">
        <f t="shared" ca="1" si="12"/>
        <v>Capex Orcamentário_PE2026_2030_red_35_porcentoR3_consulta.xlsx</v>
      </c>
      <c r="D143" s="238" t="str">
        <f t="shared" si="13"/>
        <v>COO</v>
      </c>
      <c r="E143" s="238" t="str">
        <f t="shared" si="14"/>
        <v>Lucas Martins</v>
      </c>
      <c r="F143" s="237" t="str">
        <f>_xlfn.CONCAT(Tabela10[[#This Row],[VP]],Tabela10[[#This Row],[Analise Estrategia]])</f>
        <v>COO312</v>
      </c>
      <c r="G143" s="239" t="e">
        <f>_xlfn.CONCAT('Consolidado-Eletronorte'!#REF!,"_",ROW('Consolidado-Eletronorte'!#REF!)-ROW('Consolidado-Eletronorte'!$G$18))</f>
        <v>#REF!</v>
      </c>
      <c r="H143" s="239" t="s">
        <v>506</v>
      </c>
      <c r="I143" s="237" t="s">
        <v>507</v>
      </c>
      <c r="J143" s="239" t="s">
        <v>508</v>
      </c>
      <c r="K143" s="237" t="s">
        <v>509</v>
      </c>
      <c r="L143" s="237" t="s">
        <v>509</v>
      </c>
      <c r="M143" s="237" t="s">
        <v>577</v>
      </c>
      <c r="N143" s="237"/>
      <c r="O143" s="237"/>
      <c r="P143" s="237">
        <v>157189</v>
      </c>
      <c r="Q143" s="243" t="s">
        <v>284</v>
      </c>
      <c r="R143" s="239" t="s">
        <v>285</v>
      </c>
      <c r="S143" s="243" t="s">
        <v>284</v>
      </c>
      <c r="T143" s="237" t="s">
        <v>509</v>
      </c>
      <c r="U143" s="237" t="s">
        <v>509</v>
      </c>
      <c r="V143" s="237" t="s">
        <v>577</v>
      </c>
      <c r="W143" s="237" t="s">
        <v>577</v>
      </c>
      <c r="X143" s="237"/>
      <c r="Y143" s="239" t="s">
        <v>564</v>
      </c>
      <c r="Z143" s="397"/>
      <c r="AA143" s="237"/>
      <c r="AB143" s="396"/>
      <c r="AC143" s="239"/>
      <c r="AD143" s="397"/>
      <c r="AE143" s="239"/>
      <c r="AF143" s="239"/>
      <c r="AG143" s="239" t="s">
        <v>929</v>
      </c>
      <c r="AH143" s="237" t="s">
        <v>276</v>
      </c>
      <c r="AI143" s="240">
        <v>0</v>
      </c>
      <c r="AJ143" s="240">
        <v>0</v>
      </c>
      <c r="AK143" s="240">
        <v>0</v>
      </c>
      <c r="AL143" s="240">
        <v>0</v>
      </c>
      <c r="AM143" s="240">
        <v>0</v>
      </c>
      <c r="AN143" s="240">
        <v>0</v>
      </c>
      <c r="AO143" s="240">
        <v>0</v>
      </c>
      <c r="AP143" s="240">
        <v>0</v>
      </c>
      <c r="AQ143" s="240">
        <v>0</v>
      </c>
      <c r="AR143" s="240">
        <v>0</v>
      </c>
      <c r="AS143" s="240">
        <v>0</v>
      </c>
      <c r="AT143" s="240">
        <v>0</v>
      </c>
      <c r="AU143" s="240">
        <f>SUM(Tabela10[[#This Row],[jan/26]:[dez/26]])</f>
        <v>0</v>
      </c>
      <c r="AV143" s="240">
        <v>250000</v>
      </c>
      <c r="AW143" s="240">
        <v>250000</v>
      </c>
      <c r="AX143" s="240">
        <v>0</v>
      </c>
      <c r="AY143" s="240">
        <v>0</v>
      </c>
      <c r="AZ143" s="240">
        <f>SUM(Tabela10[[#This Row],[2026]:[2030]])</f>
        <v>500000</v>
      </c>
      <c r="BA143" s="242">
        <v>0</v>
      </c>
      <c r="BB143" s="240">
        <v>0</v>
      </c>
      <c r="BC143" s="240">
        <v>0</v>
      </c>
      <c r="BD143" s="240">
        <v>0</v>
      </c>
      <c r="BE143" s="240">
        <v>0</v>
      </c>
      <c r="BF143" s="241">
        <f>SUM(Tabela10[[#This Row],[2026-2030]:[2035]])</f>
        <v>500000</v>
      </c>
      <c r="BG143" s="243" t="e" cm="1" vm="1">
        <f t="array" aca="1" ref="BG143" ca="1">_xlfn.SEQUENCE(COUNTA(Tabela10[Empresa]),1,1)</f>
        <v>#VALUE!</v>
      </c>
      <c r="BH143" s="243" t="s">
        <v>284</v>
      </c>
      <c r="BI143" s="243" t="e">
        <f>VLOOKUP(Tabela10[[#This Row],[ID real2]],[2]CONSOLIDADA!$AU:$AZ,6,FALSE)</f>
        <v>#N/A</v>
      </c>
      <c r="BJ143" s="243" t="s">
        <v>165</v>
      </c>
      <c r="BK143" s="243">
        <v>2026</v>
      </c>
      <c r="BL143" s="243" t="s">
        <v>930</v>
      </c>
      <c r="BM143" s="243">
        <v>0</v>
      </c>
      <c r="BN143" s="243" t="s">
        <v>284</v>
      </c>
      <c r="BO143" s="243" t="s">
        <v>568</v>
      </c>
      <c r="BP143" s="243" t="s">
        <v>561</v>
      </c>
      <c r="BQ143" s="243" t="s">
        <v>561</v>
      </c>
      <c r="BR143" s="346">
        <v>0</v>
      </c>
      <c r="BS143" s="243"/>
      <c r="BT143" s="243" t="s">
        <v>284</v>
      </c>
      <c r="BU143" s="243" t="s">
        <v>554</v>
      </c>
      <c r="BV143" s="243" t="str">
        <f>Tabela10[[#This Row],[Descrição do projeto]]</f>
        <v>Integração de Sistemas ao Supervisório</v>
      </c>
    </row>
    <row r="144" spans="1:74" x14ac:dyDescent="0.35">
      <c r="A144" s="237">
        <v>348</v>
      </c>
      <c r="B144" s="237" t="e" cm="1">
        <f t="array" ref="B144">AND(ISTEXT('Consolidado-Eletronorte'!#REF!),SUM('Consolidado-Eletronorte'!#REF!)&gt;0)</f>
        <v>#REF!</v>
      </c>
      <c r="C144" s="237" t="str">
        <f t="shared" ca="1" si="12"/>
        <v>Capex Orcamentário_PE2026_2030_red_35_porcentoR3_consulta.xlsx</v>
      </c>
      <c r="D144" s="238" t="str">
        <f t="shared" si="13"/>
        <v>COO</v>
      </c>
      <c r="E144" s="238" t="str">
        <f t="shared" si="14"/>
        <v>Lucas Martins</v>
      </c>
      <c r="F144" s="237" t="str">
        <f>_xlfn.CONCAT(Tabela10[[#This Row],[VP]],Tabela10[[#This Row],[Analise Estrategia]])</f>
        <v>COO348</v>
      </c>
      <c r="G144" s="239" t="e">
        <f>_xlfn.CONCAT('Consolidado-Eletronorte'!#REF!,"_",ROW('Consolidado-Eletronorte'!#REF!)-ROW('Consolidado-Eletronorte'!$G$18))</f>
        <v>#REF!</v>
      </c>
      <c r="H144" s="239" t="s">
        <v>506</v>
      </c>
      <c r="I144" s="237" t="s">
        <v>507</v>
      </c>
      <c r="J144" s="239" t="s">
        <v>508</v>
      </c>
      <c r="K144" s="237" t="s">
        <v>509</v>
      </c>
      <c r="L144" s="237" t="s">
        <v>509</v>
      </c>
      <c r="M144" s="237" t="s">
        <v>931</v>
      </c>
      <c r="N144" s="237"/>
      <c r="O144" s="237"/>
      <c r="P144" s="237" t="s">
        <v>511</v>
      </c>
      <c r="Q144" s="243" t="s">
        <v>416</v>
      </c>
      <c r="R144" s="239" t="s">
        <v>417</v>
      </c>
      <c r="S144" s="243" t="s">
        <v>416</v>
      </c>
      <c r="T144" s="237" t="s">
        <v>509</v>
      </c>
      <c r="U144" s="237" t="s">
        <v>509</v>
      </c>
      <c r="V144" s="237" t="s">
        <v>931</v>
      </c>
      <c r="W144" s="237" t="s">
        <v>931</v>
      </c>
      <c r="X144" s="237"/>
      <c r="Y144" s="237"/>
      <c r="Z144" s="396"/>
      <c r="AA144" s="237"/>
      <c r="AB144" s="396"/>
      <c r="AC144" s="239">
        <v>4500076990</v>
      </c>
      <c r="AD144" s="397">
        <v>4842186.93</v>
      </c>
      <c r="AE144" s="239" t="s">
        <v>932</v>
      </c>
      <c r="AF144" s="239" t="s">
        <v>933</v>
      </c>
      <c r="AG144" s="239" t="s">
        <v>934</v>
      </c>
      <c r="AH144" s="237" t="s">
        <v>319</v>
      </c>
      <c r="AI144" s="240">
        <v>0</v>
      </c>
      <c r="AJ144" s="240">
        <v>0</v>
      </c>
      <c r="AK144" s="240">
        <v>500000</v>
      </c>
      <c r="AL144" s="240">
        <v>0</v>
      </c>
      <c r="AM144" s="240">
        <v>0</v>
      </c>
      <c r="AN144" s="240">
        <v>0</v>
      </c>
      <c r="AO144" s="240">
        <v>0</v>
      </c>
      <c r="AP144" s="240">
        <v>0</v>
      </c>
      <c r="AQ144" s="240">
        <v>0</v>
      </c>
      <c r="AR144" s="240">
        <v>0</v>
      </c>
      <c r="AS144" s="240">
        <v>0</v>
      </c>
      <c r="AT144" s="240">
        <v>0</v>
      </c>
      <c r="AU144" s="240">
        <f>SUM(Tabela10[[#This Row],[jan/26]:[dez/26]])</f>
        <v>500000</v>
      </c>
      <c r="AV144" s="240">
        <v>0</v>
      </c>
      <c r="AW144" s="240">
        <v>0</v>
      </c>
      <c r="AX144" s="240">
        <v>0</v>
      </c>
      <c r="AY144" s="240">
        <v>0</v>
      </c>
      <c r="AZ144" s="240">
        <f>SUM(Tabela10[[#This Row],[2026]:[2030]])</f>
        <v>500000</v>
      </c>
      <c r="BA144" s="242">
        <v>0</v>
      </c>
      <c r="BB144" s="240">
        <v>0</v>
      </c>
      <c r="BC144" s="240">
        <v>0</v>
      </c>
      <c r="BD144" s="240">
        <v>0</v>
      </c>
      <c r="BE144" s="240">
        <v>0</v>
      </c>
      <c r="BF144" s="241">
        <f>SUM(Tabela10[[#This Row],[2026-2030]:[2035]])</f>
        <v>500000</v>
      </c>
      <c r="BG144" s="243" t="e" cm="1" vm="1">
        <f t="array" aca="1" ref="BG144" ca="1">_xlfn.SEQUENCE(COUNTA(Tabela10[Empresa]),1,1)</f>
        <v>#VALUE!</v>
      </c>
      <c r="BH144" s="243" t="s">
        <v>416</v>
      </c>
      <c r="BI144" s="243" t="e">
        <f>VLOOKUP(Tabela10[[#This Row],[ID real2]],[2]CONSOLIDADA!$AU:$AZ,6,FALSE)</f>
        <v>#N/A</v>
      </c>
      <c r="BJ144" s="243" t="s">
        <v>155</v>
      </c>
      <c r="BK144" s="243">
        <v>2025</v>
      </c>
      <c r="BL144" s="243" t="s">
        <v>935</v>
      </c>
      <c r="BM144" s="243" t="s">
        <v>936</v>
      </c>
      <c r="BN144" s="243" t="s">
        <v>416</v>
      </c>
      <c r="BO144" s="243" t="s">
        <v>517</v>
      </c>
      <c r="BP144" s="243" t="s">
        <v>561</v>
      </c>
      <c r="BQ144" s="243" t="s">
        <v>517</v>
      </c>
      <c r="BR144" s="346">
        <v>500000</v>
      </c>
      <c r="BS144" s="243" t="s">
        <v>540</v>
      </c>
      <c r="BT144" s="243" t="s">
        <v>416</v>
      </c>
      <c r="BU144" s="243" t="s">
        <v>583</v>
      </c>
      <c r="BV144" s="243" t="str">
        <f>Tabela10[[#This Row],[Descrição do projeto]]</f>
        <v>Modernização da GIS TUUGH-19 da UHE Tucuruí</v>
      </c>
    </row>
    <row r="145" spans="1:74" hidden="1" x14ac:dyDescent="0.35">
      <c r="A145" s="237">
        <v>354</v>
      </c>
      <c r="B145" s="237" t="e" cm="1">
        <f t="array" ref="B145">AND(ISTEXT('Consolidado-Eletronorte'!#REF!),SUM('Consolidado-Eletronorte'!#REF!)&gt;0)</f>
        <v>#REF!</v>
      </c>
      <c r="C145" s="237" t="str">
        <f t="shared" ca="1" si="12"/>
        <v>Capex Orcamentário_PE2026_2030_red_35_porcentoR3_consulta.xlsx</v>
      </c>
      <c r="D145" s="238" t="str">
        <f t="shared" si="13"/>
        <v>COO</v>
      </c>
      <c r="E145" s="238" t="str">
        <f t="shared" si="14"/>
        <v>Lucas Martins</v>
      </c>
      <c r="F145" s="237" t="str">
        <f>_xlfn.CONCAT(Tabela10[[#This Row],[VP]],Tabela10[[#This Row],[Analise Estrategia]])</f>
        <v>COO354</v>
      </c>
      <c r="G145" s="239" t="e">
        <f>_xlfn.CONCAT('Consolidado-Eletronorte'!#REF!,"_",ROW('Consolidado-Eletronorte'!#REF!)-ROW('Consolidado-Eletronorte'!$G$18))</f>
        <v>#REF!</v>
      </c>
      <c r="H145" s="239" t="s">
        <v>506</v>
      </c>
      <c r="I145" s="237" t="s">
        <v>507</v>
      </c>
      <c r="J145" s="239" t="s">
        <v>508</v>
      </c>
      <c r="K145" s="237" t="s">
        <v>509</v>
      </c>
      <c r="L145" s="237" t="s">
        <v>509</v>
      </c>
      <c r="M145" s="237" t="s">
        <v>555</v>
      </c>
      <c r="N145" s="237"/>
      <c r="O145" s="237"/>
      <c r="P145" s="237" t="s">
        <v>511</v>
      </c>
      <c r="Q145" s="243" t="s">
        <v>420</v>
      </c>
      <c r="R145" s="239" t="s">
        <v>421</v>
      </c>
      <c r="S145" s="243" t="s">
        <v>420</v>
      </c>
      <c r="T145" s="237" t="s">
        <v>509</v>
      </c>
      <c r="U145" s="237" t="s">
        <v>509</v>
      </c>
      <c r="V145" s="237" t="s">
        <v>555</v>
      </c>
      <c r="W145" s="237" t="s">
        <v>555</v>
      </c>
      <c r="X145" s="237"/>
      <c r="Y145" s="239">
        <v>3500007510</v>
      </c>
      <c r="Z145" s="397">
        <v>705000</v>
      </c>
      <c r="AA145" s="237"/>
      <c r="AB145" s="396"/>
      <c r="AC145" s="239"/>
      <c r="AD145" s="397"/>
      <c r="AE145" s="239"/>
      <c r="AF145" s="239"/>
      <c r="AG145" s="239" t="s">
        <v>937</v>
      </c>
      <c r="AH145" s="237" t="s">
        <v>319</v>
      </c>
      <c r="AI145" s="240">
        <v>0</v>
      </c>
      <c r="AJ145" s="240">
        <v>223686</v>
      </c>
      <c r="AK145" s="240">
        <v>0</v>
      </c>
      <c r="AL145" s="240">
        <v>0</v>
      </c>
      <c r="AM145" s="240">
        <v>0</v>
      </c>
      <c r="AN145" s="240">
        <v>0</v>
      </c>
      <c r="AO145" s="240">
        <v>0</v>
      </c>
      <c r="AP145" s="240">
        <v>0</v>
      </c>
      <c r="AQ145" s="240">
        <v>0</v>
      </c>
      <c r="AR145" s="240">
        <v>0</v>
      </c>
      <c r="AS145" s="240">
        <v>0</v>
      </c>
      <c r="AT145" s="240">
        <v>0</v>
      </c>
      <c r="AU145" s="240">
        <f>SUM(Tabela10[[#This Row],[jan/26]:[dez/26]])</f>
        <v>223686</v>
      </c>
      <c r="AV145" s="240">
        <v>0</v>
      </c>
      <c r="AW145" s="240">
        <v>0</v>
      </c>
      <c r="AX145" s="240">
        <v>0</v>
      </c>
      <c r="AY145" s="240">
        <v>0</v>
      </c>
      <c r="AZ145" s="240">
        <f>SUM(Tabela10[[#This Row],[2026]:[2030]])</f>
        <v>223686</v>
      </c>
      <c r="BA145" s="242">
        <v>0</v>
      </c>
      <c r="BB145" s="240">
        <v>0</v>
      </c>
      <c r="BC145" s="240">
        <v>0</v>
      </c>
      <c r="BD145" s="240">
        <v>0</v>
      </c>
      <c r="BE145" s="240">
        <v>0</v>
      </c>
      <c r="BF145" s="241">
        <f>SUM(Tabela10[[#This Row],[2026-2030]:[2035]])</f>
        <v>223686</v>
      </c>
      <c r="BG145" s="243" t="e" cm="1" vm="1">
        <f t="array" aca="1" ref="BG145" ca="1">_xlfn.SEQUENCE(COUNTA(Tabela10[Empresa]),1,1)</f>
        <v>#VALUE!</v>
      </c>
      <c r="BH145" s="243" t="s">
        <v>420</v>
      </c>
      <c r="BI145" s="243" t="e">
        <f>VLOOKUP(Tabela10[[#This Row],[ID real2]],[2]CONSOLIDADA!$AU:$AZ,6,FALSE)</f>
        <v>#N/A</v>
      </c>
      <c r="BJ145" s="243" t="s">
        <v>382</v>
      </c>
      <c r="BK145" s="243">
        <v>2025</v>
      </c>
      <c r="BL145" s="243" t="s">
        <v>938</v>
      </c>
      <c r="BM145" s="243" t="s">
        <v>939</v>
      </c>
      <c r="BN145" s="243" t="s">
        <v>420</v>
      </c>
      <c r="BO145" s="243" t="s">
        <v>550</v>
      </c>
      <c r="BP145" s="243" t="s">
        <v>569</v>
      </c>
      <c r="BQ145" s="243" t="s">
        <v>552</v>
      </c>
      <c r="BR145" s="346">
        <v>223686</v>
      </c>
      <c r="BS145" s="243" t="s">
        <v>540</v>
      </c>
      <c r="BT145" s="243" t="s">
        <v>420</v>
      </c>
      <c r="BU145" s="243" t="s">
        <v>563</v>
      </c>
      <c r="BV145" s="243" t="str">
        <f>Tabela10[[#This Row],[Descrição do projeto]]</f>
        <v>Modernização dos disjuntores MERLIN GERIN para a UHE Tucuruí</v>
      </c>
    </row>
    <row r="146" spans="1:74" hidden="1" x14ac:dyDescent="0.35">
      <c r="A146" s="237">
        <v>369</v>
      </c>
      <c r="B146" s="237" t="e" cm="1">
        <f t="array" ref="B146">AND(ISTEXT('Consolidado-Eletronorte'!#REF!),SUM('Consolidado-Eletronorte'!#REF!)&gt;0)</f>
        <v>#REF!</v>
      </c>
      <c r="C146" s="237" t="str">
        <f t="shared" ca="1" si="12"/>
        <v>Capex Orcamentário_PE2026_2030_red_35_porcentoR3_consulta.xlsx</v>
      </c>
      <c r="D146" s="238" t="str">
        <f t="shared" si="13"/>
        <v>COO</v>
      </c>
      <c r="E146" s="238" t="str">
        <f t="shared" si="14"/>
        <v>Lucas Martins</v>
      </c>
      <c r="F146" s="237" t="str">
        <f>_xlfn.CONCAT(Tabela10[[#This Row],[VP]],Tabela10[[#This Row],[Analise Estrategia]])</f>
        <v>COO369</v>
      </c>
      <c r="G146" s="239" t="e">
        <f>_xlfn.CONCAT('Consolidado-Eletronorte'!#REF!,"_",ROW('Consolidado-Eletronorte'!#REF!)-ROW('Consolidado-Eletronorte'!$G$18))</f>
        <v>#REF!</v>
      </c>
      <c r="H146" s="239" t="s">
        <v>506</v>
      </c>
      <c r="I146" s="237" t="s">
        <v>507</v>
      </c>
      <c r="J146" s="239" t="s">
        <v>508</v>
      </c>
      <c r="K146" s="237" t="s">
        <v>509</v>
      </c>
      <c r="L146" s="237" t="s">
        <v>622</v>
      </c>
      <c r="M146" s="237" t="s">
        <v>940</v>
      </c>
      <c r="N146" s="237"/>
      <c r="O146" s="237"/>
      <c r="P146" s="237" t="s">
        <v>511</v>
      </c>
      <c r="Q146" s="243" t="s">
        <v>422</v>
      </c>
      <c r="R146" s="239" t="s">
        <v>423</v>
      </c>
      <c r="S146" s="243" t="s">
        <v>422</v>
      </c>
      <c r="T146" s="237" t="s">
        <v>509</v>
      </c>
      <c r="U146" s="237" t="s">
        <v>622</v>
      </c>
      <c r="V146" s="237" t="s">
        <v>624</v>
      </c>
      <c r="W146" s="237" t="s">
        <v>624</v>
      </c>
      <c r="X146" s="237"/>
      <c r="Y146" s="239" t="s">
        <v>734</v>
      </c>
      <c r="Z146" s="397"/>
      <c r="AA146" s="237"/>
      <c r="AB146" s="396"/>
      <c r="AC146" s="239"/>
      <c r="AD146" s="397"/>
      <c r="AE146" s="239"/>
      <c r="AF146" s="239"/>
      <c r="AG146" s="239" t="s">
        <v>941</v>
      </c>
      <c r="AH146" s="237" t="s">
        <v>344</v>
      </c>
      <c r="AI146" s="240">
        <v>0</v>
      </c>
      <c r="AJ146" s="240">
        <v>0</v>
      </c>
      <c r="AK146" s="240">
        <v>0</v>
      </c>
      <c r="AL146" s="240">
        <v>0</v>
      </c>
      <c r="AM146" s="240">
        <v>53000</v>
      </c>
      <c r="AN146" s="240">
        <v>0</v>
      </c>
      <c r="AO146" s="240">
        <v>0</v>
      </c>
      <c r="AP146" s="240">
        <v>0</v>
      </c>
      <c r="AQ146" s="240">
        <v>0</v>
      </c>
      <c r="AR146" s="240">
        <v>0</v>
      </c>
      <c r="AS146" s="240">
        <v>0</v>
      </c>
      <c r="AT146" s="240">
        <v>0</v>
      </c>
      <c r="AU146" s="240">
        <f>SUM(Tabela10[[#This Row],[jan/26]:[dez/26]])</f>
        <v>53000</v>
      </c>
      <c r="AV146" s="240">
        <v>0</v>
      </c>
      <c r="AW146" s="240">
        <v>0</v>
      </c>
      <c r="AX146" s="240">
        <v>0</v>
      </c>
      <c r="AY146" s="240">
        <v>0</v>
      </c>
      <c r="AZ146" s="240">
        <f>SUM(Tabela10[[#This Row],[2026]:[2030]])</f>
        <v>53000</v>
      </c>
      <c r="BA146" s="242">
        <v>0</v>
      </c>
      <c r="BB146" s="240">
        <v>0</v>
      </c>
      <c r="BC146" s="240">
        <v>0</v>
      </c>
      <c r="BD146" s="240">
        <v>0</v>
      </c>
      <c r="BE146" s="240">
        <v>0</v>
      </c>
      <c r="BF146" s="241">
        <f>SUM(Tabela10[[#This Row],[2026-2030]:[2035]])</f>
        <v>53000</v>
      </c>
      <c r="BG146" s="243" t="e" cm="1" vm="1">
        <f t="array" aca="1" ref="BG146" ca="1">_xlfn.SEQUENCE(COUNTA(Tabela10[Empresa]),1,1)</f>
        <v>#VALUE!</v>
      </c>
      <c r="BH146" s="243" t="s">
        <v>422</v>
      </c>
      <c r="BI146" s="243" t="e">
        <f>VLOOKUP(Tabela10[[#This Row],[ID real2]],[2]CONSOLIDADA!$AU:$AZ,6,FALSE)</f>
        <v>#N/A</v>
      </c>
      <c r="BJ146" s="243" t="s">
        <v>261</v>
      </c>
      <c r="BK146" s="243">
        <v>2025</v>
      </c>
      <c r="BL146" s="243" t="s">
        <v>942</v>
      </c>
      <c r="BM146" s="243" t="s">
        <v>943</v>
      </c>
      <c r="BN146" s="243" t="s">
        <v>422</v>
      </c>
      <c r="BO146" s="243" t="s">
        <v>550</v>
      </c>
      <c r="BP146" s="243" t="s">
        <v>569</v>
      </c>
      <c r="BQ146" s="243" t="s">
        <v>552</v>
      </c>
      <c r="BR146" s="346">
        <v>53000</v>
      </c>
      <c r="BS146" s="243" t="s">
        <v>540</v>
      </c>
      <c r="BT146" s="243" t="s">
        <v>422</v>
      </c>
      <c r="BU146" s="243" t="s">
        <v>629</v>
      </c>
      <c r="BV146" s="243" t="str">
        <f>Tabela10[[#This Row],[Descrição do projeto]]</f>
        <v>SWITCHES DE TO</v>
      </c>
    </row>
    <row r="147" spans="1:74" x14ac:dyDescent="0.35">
      <c r="A147" s="237">
        <v>355</v>
      </c>
      <c r="B147" s="237" t="e" cm="1">
        <f t="array" ref="B147">AND(ISTEXT('Consolidado-Eletronorte'!#REF!),SUM('Consolidado-Eletronorte'!#REF!)&gt;0)</f>
        <v>#REF!</v>
      </c>
      <c r="C147" s="237" t="str">
        <f t="shared" ca="1" si="12"/>
        <v>Capex Orcamentário_PE2026_2030_red_35_porcentoR3_consulta.xlsx</v>
      </c>
      <c r="D147" s="238" t="str">
        <f t="shared" si="13"/>
        <v>COO</v>
      </c>
      <c r="E147" s="238" t="str">
        <f t="shared" si="14"/>
        <v>Lucas Martins</v>
      </c>
      <c r="F147" s="237" t="str">
        <f>_xlfn.CONCAT(Tabela10[[#This Row],[VP]],Tabela10[[#This Row],[Analise Estrategia]])</f>
        <v>COO355</v>
      </c>
      <c r="G147" s="239" t="e">
        <f>_xlfn.CONCAT('Consolidado-Eletronorte'!#REF!,"_",ROW('Consolidado-Eletronorte'!#REF!)-ROW('Consolidado-Eletronorte'!$G$18))</f>
        <v>#REF!</v>
      </c>
      <c r="H147" s="239" t="s">
        <v>506</v>
      </c>
      <c r="I147" s="237" t="s">
        <v>507</v>
      </c>
      <c r="J147" s="239" t="s">
        <v>508</v>
      </c>
      <c r="K147" s="237" t="s">
        <v>509</v>
      </c>
      <c r="L147" s="237" t="s">
        <v>509</v>
      </c>
      <c r="M147" s="237" t="s">
        <v>944</v>
      </c>
      <c r="N147" s="237"/>
      <c r="O147" s="237"/>
      <c r="P147" s="237" t="s">
        <v>511</v>
      </c>
      <c r="Q147" s="243" t="s">
        <v>424</v>
      </c>
      <c r="R147" s="239" t="s">
        <v>425</v>
      </c>
      <c r="S147" s="243" t="s">
        <v>424</v>
      </c>
      <c r="T147" s="237" t="s">
        <v>509</v>
      </c>
      <c r="U147" s="237" t="s">
        <v>509</v>
      </c>
      <c r="V147" s="237" t="s">
        <v>944</v>
      </c>
      <c r="W147" s="237" t="s">
        <v>944</v>
      </c>
      <c r="X147" s="237"/>
      <c r="Y147" s="237"/>
      <c r="Z147" s="396"/>
      <c r="AA147" s="237"/>
      <c r="AB147" s="396"/>
      <c r="AC147" s="239">
        <v>4500063694</v>
      </c>
      <c r="AD147" s="397">
        <v>16249773.039999999</v>
      </c>
      <c r="AE147" s="239" t="s">
        <v>945</v>
      </c>
      <c r="AF147" s="239" t="s">
        <v>946</v>
      </c>
      <c r="AG147" s="239" t="s">
        <v>947</v>
      </c>
      <c r="AH147" s="237" t="s">
        <v>319</v>
      </c>
      <c r="AI147" s="240">
        <v>0</v>
      </c>
      <c r="AJ147" s="240">
        <v>0</v>
      </c>
      <c r="AK147" s="240">
        <v>0</v>
      </c>
      <c r="AL147" s="240">
        <v>0</v>
      </c>
      <c r="AM147" s="240">
        <v>0</v>
      </c>
      <c r="AN147" s="240">
        <v>0</v>
      </c>
      <c r="AO147" s="240">
        <v>0</v>
      </c>
      <c r="AP147" s="240">
        <v>0</v>
      </c>
      <c r="AQ147" s="240">
        <v>0</v>
      </c>
      <c r="AR147" s="240">
        <v>0</v>
      </c>
      <c r="AS147" s="240">
        <v>0</v>
      </c>
      <c r="AT147" s="240">
        <v>0</v>
      </c>
      <c r="AU147" s="240">
        <f>SUM(Tabela10[[#This Row],[jan/26]:[dez/26]])</f>
        <v>0</v>
      </c>
      <c r="AV147" s="240">
        <v>0</v>
      </c>
      <c r="AW147" s="240">
        <v>0</v>
      </c>
      <c r="AX147" s="240">
        <v>0</v>
      </c>
      <c r="AY147" s="240">
        <v>0</v>
      </c>
      <c r="AZ147" s="240">
        <f>SUM(Tabela10[[#This Row],[2026]:[2030]])</f>
        <v>0</v>
      </c>
      <c r="BA147" s="242">
        <v>0</v>
      </c>
      <c r="BB147" s="240">
        <v>0</v>
      </c>
      <c r="BC147" s="240">
        <v>0</v>
      </c>
      <c r="BD147" s="240">
        <v>0</v>
      </c>
      <c r="BE147" s="240">
        <v>0</v>
      </c>
      <c r="BF147" s="241">
        <f>SUM(Tabela10[[#This Row],[2026-2030]:[2035]])</f>
        <v>0</v>
      </c>
      <c r="BG147" s="243" t="e" cm="1" vm="1">
        <f t="array" aca="1" ref="BG147" ca="1">_xlfn.SEQUENCE(COUNTA(Tabela10[Empresa]),1,1)</f>
        <v>#VALUE!</v>
      </c>
      <c r="BH147" s="243" t="s">
        <v>424</v>
      </c>
      <c r="BI147" s="243" t="e">
        <f>VLOOKUP(Tabela10[[#This Row],[ID real2]],[2]CONSOLIDADA!$AU:$AZ,6,FALSE)</f>
        <v>#N/A</v>
      </c>
      <c r="BJ147" s="243" t="s">
        <v>349</v>
      </c>
      <c r="BK147" s="243">
        <v>2025</v>
      </c>
      <c r="BL147" s="243" t="s">
        <v>948</v>
      </c>
      <c r="BM147" s="243" t="s">
        <v>949</v>
      </c>
      <c r="BN147" s="243" t="s">
        <v>424</v>
      </c>
      <c r="BO147" s="243" t="s">
        <v>517</v>
      </c>
      <c r="BP147" s="243" t="s">
        <v>569</v>
      </c>
      <c r="BQ147" s="243" t="s">
        <v>517</v>
      </c>
      <c r="BR147" s="346">
        <v>3000000</v>
      </c>
      <c r="BS147" s="243" t="s">
        <v>950</v>
      </c>
      <c r="BT147" s="243" t="s">
        <v>424</v>
      </c>
      <c r="BU147" s="243" t="s">
        <v>691</v>
      </c>
      <c r="BV147" s="243" t="str">
        <f>Tabela10[[#This Row],[Descrição do projeto]]</f>
        <v>Modernização do sistema de drenagem e esgotamento da UHE Tucuruí</v>
      </c>
    </row>
    <row r="148" spans="1:74" x14ac:dyDescent="0.35">
      <c r="AH148" s="342"/>
      <c r="AI148" s="355"/>
      <c r="AJ148" s="355"/>
      <c r="AK148" s="355"/>
      <c r="AL148" s="355"/>
      <c r="AM148" s="355"/>
      <c r="AN148" s="355"/>
      <c r="AO148" s="355"/>
      <c r="AP148" s="355"/>
      <c r="AQ148" s="355"/>
      <c r="AR148" s="355"/>
      <c r="AS148" s="355"/>
      <c r="AT148" s="355"/>
      <c r="AU148" s="355"/>
      <c r="AW148" s="315"/>
      <c r="BJ148" s="243"/>
    </row>
    <row r="149" spans="1:74" x14ac:dyDescent="0.35">
      <c r="R149" s="421"/>
      <c r="AI149" s="343"/>
      <c r="AJ149" s="343"/>
      <c r="AK149" s="343"/>
      <c r="AL149" s="343"/>
      <c r="AM149" s="343"/>
      <c r="AN149" s="343"/>
      <c r="AO149" s="343"/>
      <c r="AP149" s="343"/>
      <c r="AQ149" s="343"/>
      <c r="AR149" s="343"/>
      <c r="AS149" s="343"/>
      <c r="AT149" s="343"/>
      <c r="AU149" s="342"/>
      <c r="AV149" s="315"/>
      <c r="AW149" s="315"/>
      <c r="AX149" s="315"/>
      <c r="AY149" s="315"/>
    </row>
    <row r="150" spans="1:74" x14ac:dyDescent="0.35">
      <c r="AH150" s="342"/>
      <c r="AI150" s="355"/>
      <c r="AJ150" s="355"/>
      <c r="AK150" s="355"/>
      <c r="AL150" s="355"/>
      <c r="AM150" s="355"/>
      <c r="AN150" s="355"/>
      <c r="AO150" s="355"/>
      <c r="AP150" s="355"/>
      <c r="AQ150" s="355"/>
      <c r="AR150" s="355"/>
      <c r="AS150" s="355"/>
      <c r="AT150" s="355"/>
      <c r="AU150" s="355"/>
      <c r="AV150" s="315"/>
    </row>
    <row r="151" spans="1:74" x14ac:dyDescent="0.35">
      <c r="AH151" s="342"/>
      <c r="AI151" s="357"/>
      <c r="AJ151" s="357"/>
      <c r="AK151" s="357"/>
      <c r="AL151" s="357"/>
      <c r="AM151" s="357"/>
      <c r="AN151" s="357"/>
      <c r="AO151" s="357"/>
      <c r="AP151" s="357"/>
      <c r="AQ151" s="357"/>
      <c r="AR151" s="357"/>
      <c r="AS151" s="357"/>
      <c r="AT151" s="357"/>
      <c r="AU151" s="315"/>
    </row>
    <row r="152" spans="1:74" x14ac:dyDescent="0.35">
      <c r="AH152" s="342"/>
      <c r="AU152" s="315"/>
    </row>
    <row r="153" spans="1:74" x14ac:dyDescent="0.35">
      <c r="AH153" s="342"/>
      <c r="AI153" s="356"/>
      <c r="AJ153" s="356"/>
      <c r="AK153" s="356"/>
      <c r="AL153" s="356"/>
      <c r="AM153" s="62"/>
      <c r="AN153" s="62"/>
      <c r="AO153" s="356"/>
      <c r="AP153" s="356"/>
      <c r="AQ153" s="356"/>
      <c r="AR153" s="356"/>
      <c r="AS153" s="356"/>
      <c r="AT153" s="356"/>
      <c r="AU153" s="315"/>
    </row>
    <row r="154" spans="1:74" x14ac:dyDescent="0.35">
      <c r="AH154" s="342"/>
      <c r="AM154" s="62"/>
      <c r="AN154" s="370"/>
    </row>
    <row r="155" spans="1:74" x14ac:dyDescent="0.35">
      <c r="AH155" s="342"/>
      <c r="AI155" s="358"/>
      <c r="AJ155" s="358"/>
      <c r="AK155" s="358"/>
      <c r="AL155" s="358"/>
      <c r="AM155" s="62"/>
      <c r="AN155" s="62"/>
      <c r="AO155" s="358"/>
      <c r="AP155" s="358"/>
      <c r="AQ155" s="358"/>
      <c r="AR155" s="358"/>
      <c r="AS155" s="358"/>
      <c r="AT155" s="358"/>
      <c r="AU155" s="315"/>
    </row>
    <row r="156" spans="1:74" x14ac:dyDescent="0.35">
      <c r="AH156" s="342"/>
      <c r="AI156" s="358"/>
      <c r="AJ156" s="358"/>
      <c r="AK156" s="358"/>
      <c r="AL156" s="358"/>
      <c r="AM156" s="62"/>
      <c r="AN156" s="370"/>
      <c r="AO156" s="358"/>
      <c r="AP156" s="358"/>
      <c r="AQ156" s="357"/>
      <c r="AR156" s="358"/>
      <c r="AS156" s="358"/>
      <c r="AT156" s="358"/>
    </row>
    <row r="157" spans="1:74" x14ac:dyDescent="0.35">
      <c r="AH157" s="342"/>
      <c r="AM157" s="62"/>
      <c r="AN157" s="370"/>
    </row>
    <row r="158" spans="1:74" x14ac:dyDescent="0.35">
      <c r="AH158" s="342"/>
      <c r="AM158" s="62"/>
      <c r="AN158" s="370"/>
      <c r="AO158" s="339"/>
      <c r="AU158" s="351"/>
    </row>
    <row r="159" spans="1:74" x14ac:dyDescent="0.35">
      <c r="AH159" s="342"/>
      <c r="AM159" s="62"/>
      <c r="AN159" s="370"/>
    </row>
    <row r="160" spans="1:74" x14ac:dyDescent="0.35">
      <c r="AM160" s="62"/>
      <c r="AN160" s="370"/>
    </row>
    <row r="161" spans="29:48" x14ac:dyDescent="0.35">
      <c r="AC161" s="351"/>
      <c r="AD161" s="401"/>
      <c r="AE161" s="391"/>
      <c r="AF161" s="391"/>
      <c r="AH161" s="342"/>
      <c r="AM161" s="62"/>
      <c r="AN161" s="62"/>
      <c r="AU161" s="354"/>
      <c r="AV161" s="343"/>
    </row>
    <row r="162" spans="29:48" x14ac:dyDescent="0.35">
      <c r="AH162" s="342"/>
      <c r="AU162" s="343"/>
      <c r="AV162" s="343"/>
    </row>
    <row r="163" spans="29:48" x14ac:dyDescent="0.35">
      <c r="AC163" s="353"/>
      <c r="AE163" s="353"/>
      <c r="AF163" s="353"/>
      <c r="AK163" s="2"/>
      <c r="AL163" s="2"/>
      <c r="AM163" s="2"/>
      <c r="AN163" s="2"/>
      <c r="AO163" s="2"/>
    </row>
    <row r="164" spans="29:48" x14ac:dyDescent="0.35">
      <c r="AL164" s="370"/>
    </row>
    <row r="166" spans="29:48" x14ac:dyDescent="0.35">
      <c r="AO166" s="370"/>
    </row>
    <row r="167" spans="29:48" x14ac:dyDescent="0.35">
      <c r="AP167" s="343"/>
      <c r="AQ167" s="370"/>
    </row>
    <row r="168" spans="29:48" x14ac:dyDescent="0.35">
      <c r="AR168" s="370"/>
    </row>
    <row r="169" spans="29:48" x14ac:dyDescent="0.35">
      <c r="AI169" s="343"/>
      <c r="AJ169" s="343"/>
      <c r="AK169" s="343"/>
      <c r="AL169" s="343"/>
      <c r="AM169" s="343"/>
      <c r="AN169" s="343"/>
      <c r="AO169" s="343"/>
      <c r="AP169" s="343"/>
      <c r="AQ169" s="343"/>
      <c r="AR169" s="343"/>
      <c r="AS169" s="343"/>
      <c r="AT169" s="343"/>
      <c r="AU169" s="119"/>
    </row>
  </sheetData>
  <mergeCells count="2">
    <mergeCell ref="L12:L16"/>
    <mergeCell ref="M12:O16"/>
  </mergeCells>
  <phoneticPr fontId="24" type="noConversion"/>
  <conditionalFormatting sqref="A15">
    <cfRule type="cellIs" dxfId="24" priority="10" operator="equal">
      <formula>TRUE</formula>
    </cfRule>
  </conditionalFormatting>
  <conditionalFormatting sqref="B19:B147">
    <cfRule type="cellIs" dxfId="23" priority="3" operator="equal">
      <formula>TRUE</formula>
    </cfRule>
  </conditionalFormatting>
  <conditionalFormatting sqref="H12">
    <cfRule type="cellIs" dxfId="22" priority="9" operator="equal">
      <formula>TRUE</formula>
    </cfRule>
  </conditionalFormatting>
  <conditionalFormatting sqref="M12:N12">
    <cfRule type="duplicateValues" dxfId="21" priority="7"/>
  </conditionalFormatting>
  <conditionalFormatting sqref="BV103">
    <cfRule type="duplicateValues" dxfId="20" priority="1"/>
  </conditionalFormatting>
  <dataValidations count="6">
    <dataValidation type="list" allowBlank="1" showInputMessage="1" showErrorMessage="1" sqref="H13" xr:uid="{FEB4F72D-0FF5-48A0-9DE8-4028E94B69A6}">
      <formula1>_VP</formula1>
    </dataValidation>
    <dataValidation type="list" allowBlank="1" showInputMessage="1" showErrorMessage="1" sqref="J19:J147" xr:uid="{208BA943-283E-4A2B-B1D4-70C6D4050B4D}">
      <formula1>_Segmento</formula1>
    </dataValidation>
    <dataValidation type="list" allowBlank="1" showInputMessage="1" showErrorMessage="1" sqref="H19:H147" xr:uid="{2C1D0220-2A29-4F86-BE8D-92E7118AD559}">
      <formula1>_Corporativo_SPE</formula1>
    </dataValidation>
    <dataValidation type="list" allowBlank="1" showInputMessage="1" showErrorMessage="1" sqref="U19:U147 L19:L147" xr:uid="{50CC49C4-5F57-4696-9E51-9AB95BAEABFD}">
      <formula1>INDIRECT(SUBSTITUTE($J19&amp;$K19," ",""))</formula1>
    </dataValidation>
    <dataValidation type="list" allowBlank="1" showInputMessage="1" showErrorMessage="1" sqref="I19:I147" xr:uid="{8F6F6C85-36D1-4D9E-BFDE-C2CD239F5073}">
      <formula1>INDIRECT($H19)</formula1>
    </dataValidation>
    <dataValidation type="list" allowBlank="1" showInputMessage="1" showErrorMessage="1" sqref="T19:T147 K19:K147" xr:uid="{4321DFEC-0EB7-4FED-A1C8-AF938683B435}">
      <formula1>INDIRECT($J19)</formula1>
    </dataValidation>
  </dataValidations>
  <pageMargins left="0.511811024" right="0.511811024" top="0.78740157499999996" bottom="0.78740157499999996" header="0.31496062000000002" footer="0.31496062000000002"/>
  <pageSetup paperSize="9" orientation="portrait" r:id="rId1"/>
  <ignoredErrors>
    <ignoredError sqref="D18 E18" calculatedColumn="1"/>
  </ignoredErrors>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542CC-4613-4FB4-9FC7-93BC3AA20A8E}">
  <dimension ref="A1:R18"/>
  <sheetViews>
    <sheetView zoomScale="55" zoomScaleNormal="55" workbookViewId="0">
      <selection activeCell="M14" sqref="M14"/>
    </sheetView>
  </sheetViews>
  <sheetFormatPr defaultRowHeight="13" x14ac:dyDescent="0.3"/>
  <cols>
    <col min="1" max="1" width="9.3984375" bestFit="1" customWidth="1"/>
    <col min="2" max="2" width="18.59765625" bestFit="1" customWidth="1"/>
    <col min="3" max="3" width="16.59765625" bestFit="1" customWidth="1"/>
    <col min="4" max="5" width="18.8984375" bestFit="1" customWidth="1"/>
    <col min="7" max="7" width="16.59765625" bestFit="1" customWidth="1"/>
    <col min="14" max="14" width="12.296875" bestFit="1" customWidth="1"/>
    <col min="15" max="15" width="9.3984375" bestFit="1" customWidth="1"/>
    <col min="16" max="16" width="19.59765625" bestFit="1" customWidth="1"/>
    <col min="17" max="17" width="16.3984375" bestFit="1" customWidth="1"/>
    <col min="18" max="18" width="8.09765625" bestFit="1" customWidth="1"/>
  </cols>
  <sheetData>
    <row r="1" spans="1:18" x14ac:dyDescent="0.3">
      <c r="A1" s="402" t="s">
        <v>452</v>
      </c>
      <c r="B1" t="s">
        <v>951</v>
      </c>
      <c r="C1" t="s">
        <v>952</v>
      </c>
      <c r="E1" t="s">
        <v>953</v>
      </c>
    </row>
    <row r="2" spans="1:18" ht="21" x14ac:dyDescent="0.3">
      <c r="A2" s="389" t="s">
        <v>555</v>
      </c>
      <c r="B2" s="339" t="e">
        <f>SUMIF([2]CONSOLIDADA!G:W,#REF!,[2]CONSOLIDADA!W:W)*1000</f>
        <v>#VALUE!</v>
      </c>
      <c r="C2" s="339">
        <v>2750000</v>
      </c>
      <c r="E2" s="339">
        <v>21608230</v>
      </c>
      <c r="G2" s="340" t="e">
        <f>B2-E2</f>
        <v>#VALUE!</v>
      </c>
      <c r="N2" s="389" t="s">
        <v>208</v>
      </c>
      <c r="O2" s="389" t="s">
        <v>577</v>
      </c>
      <c r="P2" s="403" t="s">
        <v>209</v>
      </c>
      <c r="Q2" s="404" t="s">
        <v>210</v>
      </c>
      <c r="R2" s="405">
        <v>200</v>
      </c>
    </row>
    <row r="3" spans="1:18" ht="21" x14ac:dyDescent="0.3">
      <c r="A3" s="389" t="s">
        <v>577</v>
      </c>
      <c r="B3" s="339" t="e">
        <f>SUMIF([2]CONSOLIDADA!G:W,#REF!,[2]CONSOLIDADA!W:W)*1000</f>
        <v>#VALUE!</v>
      </c>
      <c r="C3" s="339">
        <v>200000</v>
      </c>
      <c r="E3" s="339">
        <v>20589080</v>
      </c>
      <c r="G3" s="340" t="e">
        <f t="shared" ref="G3:G17" si="0">B3-E3</f>
        <v>#VALUE!</v>
      </c>
      <c r="N3" s="390" t="s">
        <v>222</v>
      </c>
      <c r="O3" s="390" t="s">
        <v>555</v>
      </c>
      <c r="P3" s="406" t="s">
        <v>223</v>
      </c>
      <c r="Q3" s="407" t="s">
        <v>210</v>
      </c>
      <c r="R3" s="408">
        <v>500</v>
      </c>
    </row>
    <row r="4" spans="1:18" ht="21" x14ac:dyDescent="0.3">
      <c r="A4" s="390" t="s">
        <v>546</v>
      </c>
      <c r="B4" s="339" t="e">
        <f>SUMIF([2]CONSOLIDADA!G:W,#REF!,[2]CONSOLIDADA!W:W)*1000</f>
        <v>#VALUE!</v>
      </c>
      <c r="C4" s="339"/>
      <c r="E4" s="339">
        <v>4000000</v>
      </c>
      <c r="G4" s="340" t="e">
        <f t="shared" si="0"/>
        <v>#VALUE!</v>
      </c>
      <c r="N4" s="389" t="s">
        <v>259</v>
      </c>
      <c r="O4" s="389" t="s">
        <v>624</v>
      </c>
      <c r="P4" s="403" t="s">
        <v>260</v>
      </c>
      <c r="Q4" s="404" t="s">
        <v>229</v>
      </c>
      <c r="R4" s="405">
        <v>2262</v>
      </c>
    </row>
    <row r="5" spans="1:18" ht="21" x14ac:dyDescent="0.3">
      <c r="A5" s="390" t="s">
        <v>800</v>
      </c>
      <c r="B5" s="339" t="e">
        <f>SUMIF([2]CONSOLIDADA!G:W,#REF!,[2]CONSOLIDADA!W:W)*1000</f>
        <v>#VALUE!</v>
      </c>
      <c r="C5" s="339"/>
      <c r="E5" s="339">
        <v>450000</v>
      </c>
      <c r="G5" s="340" t="e">
        <f t="shared" si="0"/>
        <v>#VALUE!</v>
      </c>
      <c r="N5" s="390" t="s">
        <v>310</v>
      </c>
      <c r="O5" s="390" t="s">
        <v>555</v>
      </c>
      <c r="P5" s="406" t="s">
        <v>311</v>
      </c>
      <c r="Q5" s="407" t="s">
        <v>276</v>
      </c>
      <c r="R5" s="408">
        <v>300</v>
      </c>
    </row>
    <row r="6" spans="1:18" ht="31.5" x14ac:dyDescent="0.3">
      <c r="A6" s="389" t="s">
        <v>510</v>
      </c>
      <c r="B6" s="339" t="e">
        <f>SUMIF([2]CONSOLIDADA!G:W,#REF!,[2]CONSOLIDADA!W:W)*1000</f>
        <v>#VALUE!</v>
      </c>
      <c r="C6" s="339"/>
      <c r="E6" s="339">
        <v>149463999</v>
      </c>
      <c r="G6" s="340" t="e">
        <f t="shared" si="0"/>
        <v>#VALUE!</v>
      </c>
      <c r="N6" s="389" t="s">
        <v>374</v>
      </c>
      <c r="O6" s="389" t="s">
        <v>555</v>
      </c>
      <c r="P6" s="403" t="s">
        <v>375</v>
      </c>
      <c r="Q6" s="404" t="s">
        <v>319</v>
      </c>
      <c r="R6" s="405">
        <v>1000</v>
      </c>
    </row>
    <row r="7" spans="1:18" ht="42" x14ac:dyDescent="0.3">
      <c r="A7" s="390" t="s">
        <v>526</v>
      </c>
      <c r="B7" s="339" t="e">
        <f>SUMIF([2]CONSOLIDADA!G:W,#REF!,[2]CONSOLIDADA!W:W)*1000</f>
        <v>#VALUE!</v>
      </c>
      <c r="C7" s="339"/>
      <c r="E7" s="339">
        <v>38800452</v>
      </c>
      <c r="G7" s="340" t="e">
        <f t="shared" si="0"/>
        <v>#VALUE!</v>
      </c>
      <c r="N7" s="390" t="s">
        <v>378</v>
      </c>
      <c r="O7" s="390" t="s">
        <v>555</v>
      </c>
      <c r="P7" s="406" t="s">
        <v>379</v>
      </c>
      <c r="Q7" s="407" t="s">
        <v>319</v>
      </c>
      <c r="R7" s="408">
        <v>350</v>
      </c>
    </row>
    <row r="8" spans="1:18" ht="21" x14ac:dyDescent="0.3">
      <c r="A8" s="389" t="s">
        <v>535</v>
      </c>
      <c r="B8" s="339" t="e">
        <f>SUMIF([2]CONSOLIDADA!G:W,#REF!,[2]CONSOLIDADA!W:W)*1000</f>
        <v>#VALUE!</v>
      </c>
      <c r="C8" s="339"/>
      <c r="E8" s="339">
        <v>40258201</v>
      </c>
      <c r="G8" s="340" t="e">
        <f t="shared" si="0"/>
        <v>#VALUE!</v>
      </c>
      <c r="N8" s="389" t="s">
        <v>380</v>
      </c>
      <c r="O8" s="389" t="s">
        <v>555</v>
      </c>
      <c r="P8" s="403" t="s">
        <v>954</v>
      </c>
      <c r="Q8" s="404" t="s">
        <v>319</v>
      </c>
      <c r="R8" s="405">
        <v>250</v>
      </c>
    </row>
    <row r="9" spans="1:18" ht="21" x14ac:dyDescent="0.3">
      <c r="A9" s="390" t="s">
        <v>598</v>
      </c>
      <c r="B9" s="339" t="e">
        <f>SUMIF([2]CONSOLIDADA!G:W,#REF!,[2]CONSOLIDADA!W:W)*1000</f>
        <v>#VALUE!</v>
      </c>
      <c r="C9" s="339"/>
      <c r="E9" s="339">
        <v>10000000</v>
      </c>
      <c r="G9" s="340" t="e">
        <f t="shared" si="0"/>
        <v>#VALUE!</v>
      </c>
      <c r="N9" s="390" t="s">
        <v>385</v>
      </c>
      <c r="O9" s="390" t="s">
        <v>555</v>
      </c>
      <c r="P9" s="406" t="s">
        <v>954</v>
      </c>
      <c r="Q9" s="407" t="s">
        <v>319</v>
      </c>
      <c r="R9" s="408">
        <v>200</v>
      </c>
    </row>
    <row r="10" spans="1:18" ht="21" x14ac:dyDescent="0.3">
      <c r="A10" s="389" t="s">
        <v>636</v>
      </c>
      <c r="B10" s="339" t="e">
        <f>SUMIF([2]CONSOLIDADA!G:W,#REF!,[2]CONSOLIDADA!W:W)*1000</f>
        <v>#VALUE!</v>
      </c>
      <c r="C10" s="339"/>
      <c r="E10" s="339">
        <v>8500000</v>
      </c>
      <c r="G10" s="340" t="e">
        <f t="shared" si="0"/>
        <v>#VALUE!</v>
      </c>
      <c r="N10" s="409" t="s">
        <v>387</v>
      </c>
      <c r="O10" s="409" t="s">
        <v>555</v>
      </c>
      <c r="P10" s="410" t="s">
        <v>954</v>
      </c>
      <c r="Q10" s="411" t="s">
        <v>319</v>
      </c>
      <c r="R10" s="412">
        <v>150</v>
      </c>
    </row>
    <row r="11" spans="1:18" x14ac:dyDescent="0.3">
      <c r="A11" s="389" t="s">
        <v>624</v>
      </c>
      <c r="B11" s="339" t="e">
        <f>SUMIF([2]CONSOLIDADA!G:W,#REF!,[2]CONSOLIDADA!W:W)*1000</f>
        <v>#VALUE!</v>
      </c>
      <c r="C11" s="339">
        <v>2262000</v>
      </c>
      <c r="E11" s="339">
        <v>1003000</v>
      </c>
      <c r="G11" s="340" t="e">
        <f t="shared" si="0"/>
        <v>#VALUE!</v>
      </c>
    </row>
    <row r="12" spans="1:18" x14ac:dyDescent="0.3">
      <c r="A12" s="390" t="s">
        <v>727</v>
      </c>
      <c r="B12" s="339" t="e">
        <f>SUMIF([2]CONSOLIDADA!G:W,#REF!,[2]CONSOLIDADA!W:W)*1000</f>
        <v>#VALUE!</v>
      </c>
      <c r="C12" s="339"/>
      <c r="E12" s="339">
        <v>1800000</v>
      </c>
      <c r="G12" s="340" t="e">
        <f t="shared" si="0"/>
        <v>#VALUE!</v>
      </c>
    </row>
    <row r="13" spans="1:18" x14ac:dyDescent="0.3">
      <c r="A13" s="390" t="s">
        <v>738</v>
      </c>
      <c r="B13" s="339" t="e">
        <f>SUMIF([2]CONSOLIDADA!G:W,#REF!,[2]CONSOLIDADA!W:W)*1000</f>
        <v>#VALUE!</v>
      </c>
      <c r="C13" s="339"/>
      <c r="E13" s="339">
        <v>1500000</v>
      </c>
      <c r="G13" s="340" t="e">
        <f t="shared" si="0"/>
        <v>#VALUE!</v>
      </c>
    </row>
    <row r="14" spans="1:18" x14ac:dyDescent="0.3">
      <c r="A14" s="390" t="s">
        <v>789</v>
      </c>
      <c r="B14" s="339" t="e">
        <f>SUMIF([2]CONSOLIDADA!G:W,#REF!,[2]CONSOLIDADA!W:W)*1000</f>
        <v>#VALUE!</v>
      </c>
      <c r="C14" s="339"/>
      <c r="E14" s="339">
        <v>1000000</v>
      </c>
      <c r="G14" s="340" t="e">
        <f t="shared" si="0"/>
        <v>#VALUE!</v>
      </c>
    </row>
    <row r="15" spans="1:18" x14ac:dyDescent="0.3">
      <c r="A15" s="389" t="s">
        <v>931</v>
      </c>
      <c r="B15" s="339" t="e">
        <f>SUMIF([2]CONSOLIDADA!G:W,#REF!,[2]CONSOLIDADA!W:W)*1000</f>
        <v>#VALUE!</v>
      </c>
      <c r="C15" s="339"/>
      <c r="E15" s="339">
        <v>500000</v>
      </c>
      <c r="G15" s="340" t="e">
        <f t="shared" si="0"/>
        <v>#VALUE!</v>
      </c>
    </row>
    <row r="16" spans="1:18" x14ac:dyDescent="0.3">
      <c r="A16" s="390" t="s">
        <v>830</v>
      </c>
      <c r="B16" s="339" t="e">
        <f>SUMIF([2]CONSOLIDADA!G:W,#REF!,[2]CONSOLIDADA!W:W)*1000</f>
        <v>#VALUE!</v>
      </c>
      <c r="C16" s="339"/>
      <c r="E16" s="339">
        <v>500000</v>
      </c>
      <c r="G16" s="340" t="e">
        <f t="shared" si="0"/>
        <v>#VALUE!</v>
      </c>
    </row>
    <row r="17" spans="1:7" x14ac:dyDescent="0.3">
      <c r="A17" s="389" t="s">
        <v>944</v>
      </c>
      <c r="B17" s="339" t="e">
        <f>SUMIF([2]CONSOLIDADA!G:W,#REF!,[2]CONSOLIDADA!W:W)*1000</f>
        <v>#VALUE!</v>
      </c>
      <c r="C17" s="339"/>
      <c r="E17" s="339">
        <v>0</v>
      </c>
      <c r="G17" s="340" t="e">
        <f t="shared" si="0"/>
        <v>#VALUE!</v>
      </c>
    </row>
    <row r="18" spans="1:7" x14ac:dyDescent="0.3">
      <c r="B18" s="339" t="e">
        <f>SUM(B1:B17)</f>
        <v>#VALUE!</v>
      </c>
      <c r="C18" s="339">
        <f>SUM(C2:C17)</f>
        <v>5212000</v>
      </c>
      <c r="D18" s="340" t="e">
        <f>B18-C18</f>
        <v>#VALUE!</v>
      </c>
      <c r="E18" s="413">
        <f>SUM(E2:E17)</f>
        <v>299972962</v>
      </c>
      <c r="F18" s="340" t="e">
        <f>E18-D18</f>
        <v>#VALUE!</v>
      </c>
      <c r="G18" s="340" t="e">
        <f>B18-E18</f>
        <v>#VALUE!</v>
      </c>
    </row>
  </sheetData>
  <conditionalFormatting sqref="P2:P10">
    <cfRule type="duplicateValues" dxfId="19" priority="1"/>
    <cfRule type="duplicateValues" dxfId="18" priority="2"/>
  </conditionalFormatting>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B9254-413F-41D3-95A5-0FB4562941B6}">
  <dimension ref="A1:C145"/>
  <sheetViews>
    <sheetView topLeftCell="A91" workbookViewId="0">
      <selection activeCell="C108" sqref="C108"/>
    </sheetView>
  </sheetViews>
  <sheetFormatPr defaultRowHeight="14.5" outlineLevelCol="2" x14ac:dyDescent="0.35"/>
  <cols>
    <col min="1" max="1" width="10.8984375" style="2" customWidth="1"/>
    <col min="2" max="2" width="12.09765625" style="2" customWidth="1"/>
    <col min="3" max="3" width="16.69921875" style="90" customWidth="1" outlineLevel="2"/>
  </cols>
  <sheetData>
    <row r="1" spans="1:3" ht="13" x14ac:dyDescent="0.3">
      <c r="A1" s="149" t="s">
        <v>468</v>
      </c>
      <c r="B1" s="149" t="s">
        <v>466</v>
      </c>
      <c r="C1" s="149" t="s">
        <v>456</v>
      </c>
    </row>
    <row r="2" spans="1:3" ht="13" x14ac:dyDescent="0.3">
      <c r="A2" s="239">
        <v>4500080379</v>
      </c>
      <c r="B2" s="237"/>
      <c r="C2" s="243" t="s">
        <v>317</v>
      </c>
    </row>
    <row r="3" spans="1:3" ht="13" x14ac:dyDescent="0.3">
      <c r="A3" s="239">
        <v>4500083678</v>
      </c>
      <c r="B3" s="237"/>
      <c r="C3" s="243" t="s">
        <v>317</v>
      </c>
    </row>
    <row r="4" spans="1:3" ht="13" x14ac:dyDescent="0.3">
      <c r="A4" s="239">
        <v>4500092563</v>
      </c>
      <c r="B4" s="237">
        <v>4600002316</v>
      </c>
      <c r="C4" s="243" t="s">
        <v>317</v>
      </c>
    </row>
    <row r="5" spans="1:3" ht="13" x14ac:dyDescent="0.3">
      <c r="A5" s="239">
        <v>4500083678</v>
      </c>
      <c r="B5" s="237"/>
      <c r="C5" s="243" t="s">
        <v>317</v>
      </c>
    </row>
    <row r="6" spans="1:3" ht="13" x14ac:dyDescent="0.3">
      <c r="A6" s="239">
        <v>4500093709</v>
      </c>
      <c r="B6" s="237">
        <v>4600002745</v>
      </c>
      <c r="C6" s="243" t="s">
        <v>322</v>
      </c>
    </row>
    <row r="7" spans="1:3" ht="13" x14ac:dyDescent="0.3">
      <c r="A7" s="239">
        <v>4500083678</v>
      </c>
      <c r="B7" s="237"/>
      <c r="C7" s="243" t="s">
        <v>322</v>
      </c>
    </row>
    <row r="8" spans="1:3" ht="13" x14ac:dyDescent="0.3">
      <c r="A8" s="239">
        <v>4500080069</v>
      </c>
      <c r="B8" s="237"/>
      <c r="C8" s="243" t="s">
        <v>325</v>
      </c>
    </row>
    <row r="9" spans="1:3" ht="13" x14ac:dyDescent="0.3">
      <c r="A9" s="239">
        <v>4500083678</v>
      </c>
      <c r="B9" s="237"/>
      <c r="C9" s="243" t="s">
        <v>325</v>
      </c>
    </row>
    <row r="10" spans="1:3" ht="13" x14ac:dyDescent="0.3">
      <c r="A10" s="239"/>
      <c r="B10" s="237"/>
      <c r="C10" s="243" t="s">
        <v>274</v>
      </c>
    </row>
    <row r="11" spans="1:3" ht="13" x14ac:dyDescent="0.3">
      <c r="A11" s="239"/>
      <c r="B11" s="237">
        <v>4600003254</v>
      </c>
      <c r="C11" s="243" t="s">
        <v>430</v>
      </c>
    </row>
    <row r="12" spans="1:3" ht="13" x14ac:dyDescent="0.3">
      <c r="A12" s="239"/>
      <c r="B12" s="237"/>
      <c r="C12" s="243" t="s">
        <v>352</v>
      </c>
    </row>
    <row r="13" spans="1:3" ht="13" x14ac:dyDescent="0.3">
      <c r="A13" s="239">
        <v>4500089266</v>
      </c>
      <c r="B13" s="239">
        <v>4600001891</v>
      </c>
      <c r="C13" s="243" t="s">
        <v>331</v>
      </c>
    </row>
    <row r="14" spans="1:3" ht="13" x14ac:dyDescent="0.3">
      <c r="A14" s="239">
        <v>4500082946</v>
      </c>
      <c r="B14" s="237"/>
      <c r="C14" s="243" t="s">
        <v>328</v>
      </c>
    </row>
    <row r="15" spans="1:3" ht="13" x14ac:dyDescent="0.3">
      <c r="A15" s="239"/>
      <c r="B15" s="237"/>
      <c r="C15" s="243" t="s">
        <v>376</v>
      </c>
    </row>
    <row r="16" spans="1:3" ht="13" x14ac:dyDescent="0.3">
      <c r="A16" s="239"/>
      <c r="B16" s="237"/>
      <c r="C16" s="243" t="s">
        <v>156</v>
      </c>
    </row>
    <row r="17" spans="1:3" ht="13" x14ac:dyDescent="0.3">
      <c r="A17" s="239"/>
      <c r="B17" s="239">
        <v>4600001776</v>
      </c>
      <c r="C17" s="243" t="s">
        <v>350</v>
      </c>
    </row>
    <row r="18" spans="1:3" ht="13" x14ac:dyDescent="0.3">
      <c r="A18" s="239">
        <v>4500073938</v>
      </c>
      <c r="B18" s="237"/>
      <c r="C18" s="243" t="s">
        <v>334</v>
      </c>
    </row>
    <row r="19" spans="1:3" ht="13" x14ac:dyDescent="0.3">
      <c r="A19" s="239">
        <v>4500078421</v>
      </c>
      <c r="B19" s="237"/>
      <c r="C19" s="243" t="s">
        <v>334</v>
      </c>
    </row>
    <row r="20" spans="1:3" ht="13" x14ac:dyDescent="0.3">
      <c r="A20" s="239">
        <v>4500081780</v>
      </c>
      <c r="B20" s="237"/>
      <c r="C20" s="243" t="s">
        <v>354</v>
      </c>
    </row>
    <row r="21" spans="1:3" ht="13" x14ac:dyDescent="0.3">
      <c r="A21" s="239"/>
      <c r="B21" s="237"/>
      <c r="C21" s="243" t="s">
        <v>225</v>
      </c>
    </row>
    <row r="22" spans="1:3" ht="13" x14ac:dyDescent="0.3">
      <c r="A22" s="239">
        <v>4500083041</v>
      </c>
      <c r="B22" s="237"/>
      <c r="C22" s="243" t="s">
        <v>235</v>
      </c>
    </row>
    <row r="23" spans="1:3" ht="13" x14ac:dyDescent="0.3">
      <c r="A23" s="239"/>
      <c r="B23" s="237"/>
      <c r="C23" s="243" t="s">
        <v>232</v>
      </c>
    </row>
    <row r="24" spans="1:3" ht="13" x14ac:dyDescent="0.3">
      <c r="A24" s="239"/>
      <c r="B24" s="237"/>
      <c r="C24" s="243" t="s">
        <v>250</v>
      </c>
    </row>
    <row r="25" spans="1:3" ht="13" x14ac:dyDescent="0.3">
      <c r="A25" s="239"/>
      <c r="B25" s="237"/>
      <c r="C25" s="243" t="s">
        <v>252</v>
      </c>
    </row>
    <row r="26" spans="1:3" ht="13" x14ac:dyDescent="0.3">
      <c r="A26" s="239">
        <v>4500073892</v>
      </c>
      <c r="B26" s="237"/>
      <c r="C26" s="243" t="s">
        <v>357</v>
      </c>
    </row>
    <row r="27" spans="1:3" ht="13" x14ac:dyDescent="0.3">
      <c r="A27" s="239">
        <v>4500063694</v>
      </c>
      <c r="B27" s="237"/>
      <c r="C27" s="243" t="s">
        <v>424</v>
      </c>
    </row>
    <row r="28" spans="1:3" ht="13" x14ac:dyDescent="0.3">
      <c r="A28" s="239"/>
      <c r="B28" s="237"/>
      <c r="C28" s="243" t="s">
        <v>277</v>
      </c>
    </row>
    <row r="29" spans="1:3" ht="13" x14ac:dyDescent="0.3">
      <c r="A29" s="239"/>
      <c r="B29" s="237"/>
      <c r="C29" s="243" t="s">
        <v>222</v>
      </c>
    </row>
    <row r="30" spans="1:3" ht="13" x14ac:dyDescent="0.3">
      <c r="A30" s="239"/>
      <c r="B30" s="237"/>
      <c r="C30" s="243" t="s">
        <v>259</v>
      </c>
    </row>
    <row r="31" spans="1:3" ht="13" x14ac:dyDescent="0.3">
      <c r="A31" s="239"/>
      <c r="B31" s="237"/>
      <c r="C31" s="243" t="s">
        <v>227</v>
      </c>
    </row>
    <row r="32" spans="1:3" ht="13" x14ac:dyDescent="0.3">
      <c r="A32" s="239">
        <v>4500071331</v>
      </c>
      <c r="B32" s="237"/>
      <c r="C32" s="243" t="s">
        <v>345</v>
      </c>
    </row>
    <row r="33" spans="1:3" ht="13" x14ac:dyDescent="0.3">
      <c r="A33" s="239">
        <v>4500084896</v>
      </c>
      <c r="B33" s="237"/>
      <c r="C33" s="243" t="s">
        <v>339</v>
      </c>
    </row>
    <row r="34" spans="1:3" ht="13" x14ac:dyDescent="0.3">
      <c r="A34" s="239"/>
      <c r="B34" s="237"/>
      <c r="C34" s="243" t="s">
        <v>272</v>
      </c>
    </row>
    <row r="35" spans="1:3" ht="13" x14ac:dyDescent="0.3">
      <c r="A35" s="239"/>
      <c r="B35" s="237"/>
      <c r="C35" s="243" t="s">
        <v>280</v>
      </c>
    </row>
    <row r="36" spans="1:3" ht="13" x14ac:dyDescent="0.3">
      <c r="A36" s="239"/>
      <c r="B36" s="237"/>
      <c r="C36" s="243" t="s">
        <v>282</v>
      </c>
    </row>
    <row r="37" spans="1:3" ht="13" x14ac:dyDescent="0.3">
      <c r="A37" s="383"/>
      <c r="B37" s="237"/>
      <c r="C37" s="243" t="s">
        <v>347</v>
      </c>
    </row>
    <row r="38" spans="1:3" ht="13" x14ac:dyDescent="0.3">
      <c r="A38" s="239"/>
      <c r="B38" s="237"/>
      <c r="C38" s="243" t="s">
        <v>402</v>
      </c>
    </row>
    <row r="39" spans="1:3" ht="13" x14ac:dyDescent="0.3">
      <c r="A39" s="239">
        <v>4500079784</v>
      </c>
      <c r="B39" s="237"/>
      <c r="C39" s="243" t="s">
        <v>383</v>
      </c>
    </row>
    <row r="40" spans="1:3" ht="13" x14ac:dyDescent="0.3">
      <c r="A40" s="239">
        <v>4500086920</v>
      </c>
      <c r="B40" s="237"/>
      <c r="C40" s="243" t="s">
        <v>389</v>
      </c>
    </row>
    <row r="41" spans="1:3" ht="13" x14ac:dyDescent="0.3">
      <c r="A41" s="239"/>
      <c r="B41" s="237"/>
      <c r="C41" s="243" t="s">
        <v>370</v>
      </c>
    </row>
    <row r="42" spans="1:3" ht="13" x14ac:dyDescent="0.3">
      <c r="A42" s="239"/>
      <c r="B42" s="237"/>
      <c r="C42" s="243" t="s">
        <v>372</v>
      </c>
    </row>
    <row r="43" spans="1:3" ht="13" x14ac:dyDescent="0.3">
      <c r="A43" s="239"/>
      <c r="B43" s="237"/>
      <c r="C43" s="243" t="s">
        <v>400</v>
      </c>
    </row>
    <row r="44" spans="1:3" ht="13" x14ac:dyDescent="0.3">
      <c r="A44" s="239"/>
      <c r="B44" s="237"/>
      <c r="C44" s="243" t="s">
        <v>266</v>
      </c>
    </row>
    <row r="45" spans="1:3" ht="13" x14ac:dyDescent="0.3">
      <c r="A45" s="239">
        <v>4500088525</v>
      </c>
      <c r="B45" s="237"/>
      <c r="C45" s="243" t="s">
        <v>270</v>
      </c>
    </row>
    <row r="46" spans="1:3" ht="13" x14ac:dyDescent="0.3">
      <c r="A46" s="239"/>
      <c r="B46" s="237"/>
      <c r="C46" s="243" t="s">
        <v>398</v>
      </c>
    </row>
    <row r="47" spans="1:3" ht="13" x14ac:dyDescent="0.3">
      <c r="A47" s="239"/>
      <c r="B47" s="237"/>
      <c r="C47" s="243" t="s">
        <v>239</v>
      </c>
    </row>
    <row r="48" spans="1:3" ht="13" x14ac:dyDescent="0.3">
      <c r="A48" s="239"/>
      <c r="B48" s="237"/>
      <c r="C48" s="243" t="s">
        <v>264</v>
      </c>
    </row>
    <row r="49" spans="1:3" ht="13" x14ac:dyDescent="0.3">
      <c r="A49" s="239"/>
      <c r="B49" s="237"/>
      <c r="C49" s="243" t="s">
        <v>312</v>
      </c>
    </row>
    <row r="50" spans="1:3" ht="13" x14ac:dyDescent="0.3">
      <c r="A50" s="239"/>
      <c r="B50" s="237"/>
      <c r="C50" s="243" t="s">
        <v>428</v>
      </c>
    </row>
    <row r="51" spans="1:3" ht="13" x14ac:dyDescent="0.3">
      <c r="A51" s="239"/>
      <c r="B51" s="237"/>
      <c r="C51" s="243" t="s">
        <v>337</v>
      </c>
    </row>
    <row r="52" spans="1:3" ht="13" x14ac:dyDescent="0.3">
      <c r="A52" s="392">
        <v>4500094983</v>
      </c>
      <c r="B52" s="383">
        <v>4600002965</v>
      </c>
      <c r="C52" s="243" t="s">
        <v>364</v>
      </c>
    </row>
    <row r="53" spans="1:3" ht="13" x14ac:dyDescent="0.3">
      <c r="A53" s="239"/>
      <c r="B53" s="237"/>
      <c r="C53" s="243" t="s">
        <v>396</v>
      </c>
    </row>
    <row r="54" spans="1:3" ht="13" x14ac:dyDescent="0.3">
      <c r="A54" s="239"/>
      <c r="B54" s="237"/>
      <c r="C54" s="243" t="s">
        <v>414</v>
      </c>
    </row>
    <row r="55" spans="1:3" ht="13" x14ac:dyDescent="0.3">
      <c r="A55" s="239"/>
      <c r="B55" s="237">
        <v>4600003365</v>
      </c>
      <c r="C55" s="243" t="s">
        <v>412</v>
      </c>
    </row>
    <row r="56" spans="1:3" ht="13" x14ac:dyDescent="0.3">
      <c r="A56" s="239">
        <v>4500081111</v>
      </c>
      <c r="B56" s="237"/>
      <c r="C56" s="243" t="s">
        <v>410</v>
      </c>
    </row>
    <row r="57" spans="1:3" ht="13" x14ac:dyDescent="0.3">
      <c r="A57" s="239"/>
      <c r="B57" s="237"/>
      <c r="C57" s="243" t="s">
        <v>391</v>
      </c>
    </row>
    <row r="58" spans="1:3" ht="13" x14ac:dyDescent="0.3">
      <c r="A58" s="239"/>
      <c r="B58" s="237"/>
      <c r="C58" s="243" t="s">
        <v>360</v>
      </c>
    </row>
    <row r="59" spans="1:3" ht="13" x14ac:dyDescent="0.3">
      <c r="A59" s="239"/>
      <c r="B59" s="237"/>
      <c r="C59" s="243" t="s">
        <v>374</v>
      </c>
    </row>
    <row r="60" spans="1:3" ht="13" x14ac:dyDescent="0.3">
      <c r="A60" s="239"/>
      <c r="B60" s="237"/>
      <c r="C60" s="243" t="s">
        <v>212</v>
      </c>
    </row>
    <row r="61" spans="1:3" ht="13" x14ac:dyDescent="0.3">
      <c r="A61" s="239"/>
      <c r="B61" s="237"/>
      <c r="C61" s="243" t="s">
        <v>342</v>
      </c>
    </row>
    <row r="62" spans="1:3" ht="13" x14ac:dyDescent="0.3">
      <c r="A62" s="239"/>
      <c r="B62" s="237"/>
      <c r="C62" s="243" t="s">
        <v>216</v>
      </c>
    </row>
    <row r="63" spans="1:3" ht="13" x14ac:dyDescent="0.3">
      <c r="A63" s="239"/>
      <c r="B63" s="237"/>
      <c r="C63" s="243" t="s">
        <v>404</v>
      </c>
    </row>
    <row r="64" spans="1:3" ht="13" x14ac:dyDescent="0.3">
      <c r="A64" s="239"/>
      <c r="B64" s="237"/>
      <c r="C64" s="243" t="s">
        <v>378</v>
      </c>
    </row>
    <row r="65" spans="1:3" ht="13" x14ac:dyDescent="0.3">
      <c r="A65" s="239"/>
      <c r="B65" s="237"/>
      <c r="C65" s="243" t="s">
        <v>151</v>
      </c>
    </row>
    <row r="66" spans="1:3" ht="13" x14ac:dyDescent="0.3">
      <c r="A66" s="239"/>
      <c r="B66" s="237"/>
      <c r="C66" s="243" t="s">
        <v>208</v>
      </c>
    </row>
    <row r="67" spans="1:3" ht="13" x14ac:dyDescent="0.3">
      <c r="A67" s="239"/>
      <c r="B67" s="237"/>
      <c r="C67" s="243" t="s">
        <v>268</v>
      </c>
    </row>
    <row r="68" spans="1:3" ht="13" x14ac:dyDescent="0.3">
      <c r="A68" s="239">
        <v>4500057018</v>
      </c>
      <c r="B68" s="237"/>
      <c r="C68" s="243" t="s">
        <v>406</v>
      </c>
    </row>
    <row r="69" spans="1:3" ht="13" x14ac:dyDescent="0.3">
      <c r="A69" s="239">
        <v>4500095170</v>
      </c>
      <c r="B69" s="239">
        <v>4600002614</v>
      </c>
      <c r="C69" s="243" t="s">
        <v>408</v>
      </c>
    </row>
    <row r="70" spans="1:3" ht="13" x14ac:dyDescent="0.3">
      <c r="A70" s="239">
        <v>4500079631</v>
      </c>
      <c r="B70" s="237"/>
      <c r="C70" s="243" t="s">
        <v>418</v>
      </c>
    </row>
    <row r="71" spans="1:3" ht="13" x14ac:dyDescent="0.3">
      <c r="A71" s="239">
        <v>4500076990</v>
      </c>
      <c r="B71" s="237"/>
      <c r="C71" s="243" t="s">
        <v>416</v>
      </c>
    </row>
    <row r="72" spans="1:3" ht="13" x14ac:dyDescent="0.3">
      <c r="A72" s="239">
        <v>4500095158</v>
      </c>
      <c r="B72" s="239">
        <v>4600001418</v>
      </c>
      <c r="C72" s="243" t="s">
        <v>380</v>
      </c>
    </row>
    <row r="73" spans="1:3" ht="13" x14ac:dyDescent="0.3">
      <c r="A73" s="239">
        <v>4500067440</v>
      </c>
      <c r="B73" s="237"/>
      <c r="C73" s="243" t="s">
        <v>314</v>
      </c>
    </row>
    <row r="74" spans="1:3" ht="13" x14ac:dyDescent="0.3">
      <c r="A74" s="239">
        <v>4500084143</v>
      </c>
      <c r="B74" s="237"/>
      <c r="C74" s="243" t="s">
        <v>385</v>
      </c>
    </row>
    <row r="75" spans="1:3" ht="13" x14ac:dyDescent="0.3">
      <c r="A75" s="239"/>
      <c r="B75" s="237"/>
      <c r="C75" s="243" t="s">
        <v>218</v>
      </c>
    </row>
    <row r="76" spans="1:3" ht="13" x14ac:dyDescent="0.3">
      <c r="A76" s="239"/>
      <c r="B76" s="237"/>
      <c r="C76" s="243" t="s">
        <v>243</v>
      </c>
    </row>
    <row r="77" spans="1:3" ht="13" x14ac:dyDescent="0.3">
      <c r="A77" s="239">
        <v>4500083316</v>
      </c>
      <c r="B77" s="237"/>
      <c r="C77" s="243" t="s">
        <v>387</v>
      </c>
    </row>
    <row r="78" spans="1:3" ht="13" x14ac:dyDescent="0.3">
      <c r="A78" s="239"/>
      <c r="B78" s="237"/>
      <c r="C78" s="243" t="s">
        <v>426</v>
      </c>
    </row>
    <row r="79" spans="1:3" ht="13" x14ac:dyDescent="0.3">
      <c r="A79" s="239"/>
      <c r="B79" s="237"/>
      <c r="C79" s="243" t="s">
        <v>420</v>
      </c>
    </row>
    <row r="80" spans="1:3" ht="13" x14ac:dyDescent="0.3">
      <c r="A80" s="239"/>
      <c r="B80" s="237"/>
      <c r="C80" s="243" t="s">
        <v>206</v>
      </c>
    </row>
    <row r="81" spans="1:3" ht="13" x14ac:dyDescent="0.3">
      <c r="A81" s="239"/>
      <c r="B81" s="237"/>
      <c r="C81" s="243" t="s">
        <v>310</v>
      </c>
    </row>
    <row r="82" spans="1:3" ht="13" x14ac:dyDescent="0.3">
      <c r="A82" s="239"/>
      <c r="B82" s="237"/>
      <c r="C82" s="243" t="s">
        <v>255</v>
      </c>
    </row>
    <row r="83" spans="1:3" ht="13" x14ac:dyDescent="0.3">
      <c r="A83" s="239"/>
      <c r="B83" s="237"/>
      <c r="C83" s="243" t="s">
        <v>422</v>
      </c>
    </row>
    <row r="84" spans="1:3" ht="13" x14ac:dyDescent="0.3">
      <c r="A84" s="239"/>
      <c r="B84" s="237"/>
      <c r="C84" s="243" t="s">
        <v>262</v>
      </c>
    </row>
    <row r="85" spans="1:3" ht="13" x14ac:dyDescent="0.3">
      <c r="A85" s="239"/>
      <c r="B85" s="237"/>
      <c r="C85" s="243" t="s">
        <v>146</v>
      </c>
    </row>
    <row r="86" spans="1:3" ht="13" x14ac:dyDescent="0.3">
      <c r="A86" s="239"/>
      <c r="B86" s="237"/>
      <c r="C86" s="243" t="s">
        <v>162</v>
      </c>
    </row>
    <row r="87" spans="1:3" ht="13" x14ac:dyDescent="0.3">
      <c r="A87" s="239"/>
      <c r="B87" s="237"/>
      <c r="C87" s="243" t="s">
        <v>166</v>
      </c>
    </row>
    <row r="88" spans="1:3" ht="13" x14ac:dyDescent="0.3">
      <c r="A88" s="239"/>
      <c r="B88" s="237"/>
      <c r="C88" s="243" t="s">
        <v>168</v>
      </c>
    </row>
    <row r="89" spans="1:3" ht="13" x14ac:dyDescent="0.3">
      <c r="A89" s="239"/>
      <c r="B89" s="237"/>
      <c r="C89" s="243" t="s">
        <v>170</v>
      </c>
    </row>
    <row r="90" spans="1:3" ht="13" x14ac:dyDescent="0.3">
      <c r="A90" s="239"/>
      <c r="B90" s="237"/>
      <c r="C90" s="243" t="s">
        <v>175</v>
      </c>
    </row>
    <row r="91" spans="1:3" ht="13" x14ac:dyDescent="0.3">
      <c r="A91" s="239"/>
      <c r="B91" s="237"/>
      <c r="C91" s="243" t="s">
        <v>173</v>
      </c>
    </row>
    <row r="92" spans="1:3" ht="13" x14ac:dyDescent="0.3">
      <c r="A92" s="239"/>
      <c r="B92" s="237"/>
      <c r="C92" s="243" t="s">
        <v>179</v>
      </c>
    </row>
    <row r="93" spans="1:3" ht="13" x14ac:dyDescent="0.3">
      <c r="A93" s="239"/>
      <c r="B93" s="237"/>
      <c r="C93" s="243" t="s">
        <v>177</v>
      </c>
    </row>
    <row r="94" spans="1:3" ht="13" x14ac:dyDescent="0.3">
      <c r="A94" s="239"/>
      <c r="B94" s="237"/>
      <c r="C94" s="243" t="s">
        <v>181</v>
      </c>
    </row>
    <row r="95" spans="1:3" ht="13" x14ac:dyDescent="0.3">
      <c r="A95" s="239"/>
      <c r="B95" s="237"/>
      <c r="C95" s="243" t="s">
        <v>183</v>
      </c>
    </row>
    <row r="96" spans="1:3" ht="13" x14ac:dyDescent="0.3">
      <c r="A96" s="239"/>
      <c r="B96" s="237"/>
      <c r="C96" s="243" t="s">
        <v>200</v>
      </c>
    </row>
    <row r="97" spans="1:3" ht="13" x14ac:dyDescent="0.3">
      <c r="A97" s="239"/>
      <c r="B97" s="237"/>
      <c r="C97" s="243" t="s">
        <v>188</v>
      </c>
    </row>
    <row r="98" spans="1:3" ht="13" x14ac:dyDescent="0.3">
      <c r="A98" s="239"/>
      <c r="B98" s="237"/>
      <c r="C98" s="243" t="s">
        <v>185</v>
      </c>
    </row>
    <row r="99" spans="1:3" ht="13" x14ac:dyDescent="0.3">
      <c r="A99" s="239"/>
      <c r="B99" s="237"/>
      <c r="C99" s="243" t="s">
        <v>198</v>
      </c>
    </row>
    <row r="100" spans="1:3" ht="13" x14ac:dyDescent="0.3">
      <c r="A100" s="239"/>
      <c r="B100" s="237"/>
      <c r="C100" s="243" t="s">
        <v>196</v>
      </c>
    </row>
    <row r="101" spans="1:3" ht="13" x14ac:dyDescent="0.3">
      <c r="A101" s="239"/>
      <c r="B101" s="237"/>
      <c r="C101" s="243" t="s">
        <v>194</v>
      </c>
    </row>
    <row r="102" spans="1:3" ht="13" x14ac:dyDescent="0.3">
      <c r="A102" s="239"/>
      <c r="B102" s="237"/>
      <c r="C102" s="243" t="s">
        <v>192</v>
      </c>
    </row>
    <row r="103" spans="1:3" ht="13" x14ac:dyDescent="0.3">
      <c r="A103" s="239"/>
      <c r="B103" s="237"/>
      <c r="C103" s="243" t="s">
        <v>190</v>
      </c>
    </row>
    <row r="104" spans="1:3" ht="13" x14ac:dyDescent="0.3">
      <c r="A104" s="239"/>
      <c r="B104" s="237"/>
      <c r="C104" s="243" t="s">
        <v>202</v>
      </c>
    </row>
    <row r="105" spans="1:3" ht="13" x14ac:dyDescent="0.3">
      <c r="A105" s="239"/>
      <c r="B105" s="237"/>
      <c r="C105" s="243" t="s">
        <v>204</v>
      </c>
    </row>
    <row r="106" spans="1:3" ht="13" x14ac:dyDescent="0.3">
      <c r="A106" s="239"/>
      <c r="B106" s="237"/>
      <c r="C106" s="243" t="s">
        <v>214</v>
      </c>
    </row>
    <row r="107" spans="1:3" ht="13" x14ac:dyDescent="0.3">
      <c r="A107" s="239"/>
      <c r="B107" s="237"/>
      <c r="C107" s="243" t="s">
        <v>220</v>
      </c>
    </row>
    <row r="108" spans="1:3" ht="13" x14ac:dyDescent="0.3">
      <c r="A108" s="239"/>
      <c r="B108" s="237"/>
      <c r="C108" s="243" t="s">
        <v>237</v>
      </c>
    </row>
    <row r="109" spans="1:3" ht="13" x14ac:dyDescent="0.3">
      <c r="A109" s="239"/>
      <c r="B109" s="237"/>
      <c r="C109" s="243" t="s">
        <v>241</v>
      </c>
    </row>
    <row r="110" spans="1:3" ht="13" x14ac:dyDescent="0.3">
      <c r="A110" s="239"/>
      <c r="B110" s="237"/>
      <c r="C110" s="243" t="s">
        <v>257</v>
      </c>
    </row>
    <row r="111" spans="1:3" ht="13" x14ac:dyDescent="0.3">
      <c r="A111" s="239"/>
      <c r="B111" s="237"/>
      <c r="C111" s="243" t="s">
        <v>245</v>
      </c>
    </row>
    <row r="112" spans="1:3" ht="13" x14ac:dyDescent="0.3">
      <c r="A112" s="239"/>
      <c r="B112" s="237"/>
      <c r="C112" s="243" t="s">
        <v>248</v>
      </c>
    </row>
    <row r="113" spans="1:3" ht="13" x14ac:dyDescent="0.3">
      <c r="A113" s="239"/>
      <c r="B113" s="237"/>
      <c r="C113" s="243" t="s">
        <v>294</v>
      </c>
    </row>
    <row r="114" spans="1:3" ht="13" x14ac:dyDescent="0.3">
      <c r="A114" s="239"/>
      <c r="B114" s="237"/>
      <c r="C114" s="243" t="s">
        <v>292</v>
      </c>
    </row>
    <row r="115" spans="1:3" ht="13" x14ac:dyDescent="0.3">
      <c r="A115" s="239"/>
      <c r="B115" s="237"/>
      <c r="C115" s="243" t="s">
        <v>306</v>
      </c>
    </row>
    <row r="116" spans="1:3" ht="13" x14ac:dyDescent="0.3">
      <c r="A116" s="239"/>
      <c r="B116" s="237"/>
      <c r="C116" s="243" t="s">
        <v>308</v>
      </c>
    </row>
    <row r="117" spans="1:3" ht="13" x14ac:dyDescent="0.3">
      <c r="A117" s="239"/>
      <c r="B117" s="237"/>
      <c r="C117" s="243" t="s">
        <v>290</v>
      </c>
    </row>
    <row r="118" spans="1:3" ht="13" x14ac:dyDescent="0.3">
      <c r="A118" s="239"/>
      <c r="B118" s="237"/>
      <c r="C118" s="243" t="s">
        <v>286</v>
      </c>
    </row>
    <row r="119" spans="1:3" ht="13" x14ac:dyDescent="0.3">
      <c r="A119" s="239"/>
      <c r="B119" s="237"/>
      <c r="C119" s="243" t="s">
        <v>288</v>
      </c>
    </row>
    <row r="120" spans="1:3" ht="13" x14ac:dyDescent="0.3">
      <c r="A120" s="239"/>
      <c r="B120" s="237"/>
      <c r="C120" s="243" t="s">
        <v>298</v>
      </c>
    </row>
    <row r="121" spans="1:3" ht="13" x14ac:dyDescent="0.3">
      <c r="A121" s="239"/>
      <c r="B121" s="237"/>
      <c r="C121" s="243" t="s">
        <v>296</v>
      </c>
    </row>
    <row r="122" spans="1:3" ht="13" x14ac:dyDescent="0.3">
      <c r="A122" s="239"/>
      <c r="B122" s="237"/>
      <c r="C122" s="243" t="s">
        <v>302</v>
      </c>
    </row>
    <row r="123" spans="1:3" ht="13" x14ac:dyDescent="0.3">
      <c r="A123" s="239"/>
      <c r="B123" s="237"/>
      <c r="C123" s="243" t="s">
        <v>300</v>
      </c>
    </row>
    <row r="124" spans="1:3" ht="13" x14ac:dyDescent="0.3">
      <c r="A124" s="239"/>
      <c r="B124" s="237"/>
      <c r="C124" s="243" t="s">
        <v>304</v>
      </c>
    </row>
    <row r="125" spans="1:3" ht="13" x14ac:dyDescent="0.3">
      <c r="A125" s="239"/>
      <c r="B125" s="237"/>
      <c r="C125" s="243" t="s">
        <v>284</v>
      </c>
    </row>
    <row r="126" spans="1:3" ht="13" x14ac:dyDescent="0.3">
      <c r="A126" s="239"/>
      <c r="B126" s="237"/>
      <c r="C126" s="243" t="s">
        <v>393</v>
      </c>
    </row>
    <row r="127" spans="1:3" ht="13" x14ac:dyDescent="0.3">
      <c r="A127" s="239"/>
      <c r="B127" s="237"/>
      <c r="C127" s="243" t="s">
        <v>362</v>
      </c>
    </row>
    <row r="128" spans="1:3" ht="13" x14ac:dyDescent="0.3">
      <c r="A128" s="239"/>
      <c r="B128" s="237"/>
      <c r="C128" s="243" t="s">
        <v>368</v>
      </c>
    </row>
    <row r="129" spans="1:3" ht="13" x14ac:dyDescent="0.3">
      <c r="A129" s="239"/>
      <c r="B129" s="237"/>
      <c r="C129" s="243" t="s">
        <v>366</v>
      </c>
    </row>
    <row r="143" spans="1:3" x14ac:dyDescent="0.35">
      <c r="A143" s="351"/>
    </row>
    <row r="145" spans="1:1" x14ac:dyDescent="0.35">
      <c r="A145" s="353"/>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7531B-D57D-400F-9F19-6C18477A4350}">
  <dimension ref="B2:Z125"/>
  <sheetViews>
    <sheetView workbookViewId="0">
      <selection activeCell="H28" sqref="H28"/>
    </sheetView>
  </sheetViews>
  <sheetFormatPr defaultRowHeight="13" x14ac:dyDescent="0.3"/>
  <sheetData>
    <row r="2" spans="2:26" ht="39" x14ac:dyDescent="0.3">
      <c r="B2" s="360" t="s">
        <v>457</v>
      </c>
      <c r="C2" s="361" t="s">
        <v>459</v>
      </c>
      <c r="D2" s="361" t="s">
        <v>460</v>
      </c>
      <c r="E2" s="362" t="s">
        <v>955</v>
      </c>
      <c r="F2" s="360" t="s">
        <v>956</v>
      </c>
      <c r="G2" s="360" t="s">
        <v>472</v>
      </c>
      <c r="H2" s="360" t="s">
        <v>473</v>
      </c>
      <c r="I2" s="363" t="s">
        <v>474</v>
      </c>
      <c r="J2" s="363" t="s">
        <v>475</v>
      </c>
      <c r="K2" s="363" t="s">
        <v>476</v>
      </c>
      <c r="L2" s="363" t="s">
        <v>477</v>
      </c>
      <c r="M2" s="363" t="s">
        <v>478</v>
      </c>
      <c r="N2" s="363" t="s">
        <v>479</v>
      </c>
      <c r="O2" s="363" t="s">
        <v>480</v>
      </c>
      <c r="P2" s="363" t="s">
        <v>481</v>
      </c>
      <c r="Q2" s="363" t="s">
        <v>482</v>
      </c>
      <c r="R2" s="363" t="s">
        <v>483</v>
      </c>
      <c r="S2" s="363" t="s">
        <v>484</v>
      </c>
      <c r="T2" s="363" t="s">
        <v>485</v>
      </c>
      <c r="U2" s="364" t="s">
        <v>60</v>
      </c>
      <c r="V2" s="364" t="s">
        <v>61</v>
      </c>
      <c r="W2" s="364" t="s">
        <v>62</v>
      </c>
      <c r="X2" s="364" t="s">
        <v>64</v>
      </c>
      <c r="Y2" s="364" t="s">
        <v>66</v>
      </c>
      <c r="Z2" s="364" t="s">
        <v>486</v>
      </c>
    </row>
    <row r="3" spans="2:26" x14ac:dyDescent="0.3">
      <c r="B3" s="365" t="s">
        <v>318</v>
      </c>
      <c r="C3" s="366" t="s">
        <v>509</v>
      </c>
      <c r="D3" s="366" t="s">
        <v>509</v>
      </c>
      <c r="E3" s="366" t="s">
        <v>510</v>
      </c>
      <c r="F3" s="365" t="s">
        <v>957</v>
      </c>
      <c r="G3" s="365" t="s">
        <v>514</v>
      </c>
      <c r="H3" s="366" t="s">
        <v>319</v>
      </c>
      <c r="I3" s="367">
        <f>'Consolidado-Eletronorte'!AI19/1000</f>
        <v>11888.566659999999</v>
      </c>
      <c r="J3" s="367">
        <f>'Consolidado-Eletronorte'!AJ19/1000</f>
        <v>20886.113570000001</v>
      </c>
      <c r="K3" s="367">
        <f>'Consolidado-Eletronorte'!AK19/1000</f>
        <v>6922.8946099999994</v>
      </c>
      <c r="L3" s="367">
        <f>'Consolidado-Eletronorte'!AL19/1000</f>
        <v>1909.3058399999998</v>
      </c>
      <c r="M3" s="367">
        <f>'Consolidado-Eletronorte'!AM19/1000</f>
        <v>35832.721410000006</v>
      </c>
      <c r="N3" s="367">
        <f>'Consolidado-Eletronorte'!AN19/1000</f>
        <v>15091.38697</v>
      </c>
      <c r="O3" s="367">
        <f>'Consolidado-Eletronorte'!AO19/1000</f>
        <v>16898.137739999998</v>
      </c>
      <c r="P3" s="367">
        <f>'Consolidado-Eletronorte'!AP19/1000</f>
        <v>22249.745649999993</v>
      </c>
      <c r="Q3" s="367">
        <f>'Consolidado-Eletronorte'!AQ19/1000</f>
        <v>993.64817000000005</v>
      </c>
      <c r="R3" s="367">
        <f>'Consolidado-Eletronorte'!AR19/1000</f>
        <v>11791.477140000003</v>
      </c>
      <c r="S3" s="367">
        <f>'Consolidado-Eletronorte'!AS19/1000</f>
        <v>2500</v>
      </c>
      <c r="T3" s="367">
        <f>'Consolidado-Eletronorte'!AT19/1000</f>
        <v>2500</v>
      </c>
      <c r="U3" s="367">
        <f>'Consolidado-Eletronorte'!AU19/1000</f>
        <v>149463.99776</v>
      </c>
      <c r="V3" s="367">
        <f>'Consolidado-Eletronorte'!AV19/1000</f>
        <v>186404.97793658334</v>
      </c>
      <c r="W3" s="367">
        <f>'Consolidado-Eletronorte'!AW19/1000</f>
        <v>138328.62518250005</v>
      </c>
      <c r="X3" s="367">
        <f>'Consolidado-Eletronorte'!AX19/1000</f>
        <v>69976.375790000006</v>
      </c>
      <c r="Y3" s="367">
        <f>'Consolidado-Eletronorte'!AY19/1000</f>
        <v>500</v>
      </c>
      <c r="Z3" s="367">
        <f>'Consolidado-Eletronorte'!AZ19/1000</f>
        <v>544673.97666908335</v>
      </c>
    </row>
    <row r="4" spans="2:26" x14ac:dyDescent="0.3">
      <c r="B4" s="239" t="s">
        <v>323</v>
      </c>
      <c r="C4" s="237" t="s">
        <v>509</v>
      </c>
      <c r="D4" s="237" t="s">
        <v>509</v>
      </c>
      <c r="E4" s="237" t="s">
        <v>526</v>
      </c>
      <c r="F4" s="239" t="s">
        <v>958</v>
      </c>
      <c r="G4" s="239" t="s">
        <v>529</v>
      </c>
      <c r="H4" s="237" t="s">
        <v>319</v>
      </c>
      <c r="I4" s="367">
        <f>'Consolidado-Eletronorte'!AI23/1000</f>
        <v>0</v>
      </c>
      <c r="J4" s="367">
        <f>'Consolidado-Eletronorte'!AJ23/1000</f>
        <v>0</v>
      </c>
      <c r="K4" s="367">
        <f>'Consolidado-Eletronorte'!AK23/1000</f>
        <v>0</v>
      </c>
      <c r="L4" s="367">
        <f>'Consolidado-Eletronorte'!AL23/1000</f>
        <v>0</v>
      </c>
      <c r="M4" s="367">
        <f>'Consolidado-Eletronorte'!AM23/1000</f>
        <v>0</v>
      </c>
      <c r="N4" s="367">
        <f>'Consolidado-Eletronorte'!AN23/1000</f>
        <v>0</v>
      </c>
      <c r="O4" s="367">
        <f>'Consolidado-Eletronorte'!AO23/1000</f>
        <v>0</v>
      </c>
      <c r="P4" s="367">
        <f>'Consolidado-Eletronorte'!AP23/1000</f>
        <v>19838.463617900001</v>
      </c>
      <c r="Q4" s="367">
        <f>'Consolidado-Eletronorte'!AQ23/1000</f>
        <v>0</v>
      </c>
      <c r="R4" s="367">
        <f>'Consolidado-Eletronorte'!AR23/1000</f>
        <v>0</v>
      </c>
      <c r="S4" s="367">
        <f>'Consolidado-Eletronorte'!AS23/1000</f>
        <v>0</v>
      </c>
      <c r="T4" s="367">
        <f>'Consolidado-Eletronorte'!AT23/1000</f>
        <v>10903.654989844999</v>
      </c>
      <c r="U4" s="367">
        <f>'Consolidado-Eletronorte'!AU23/1000</f>
        <v>30742.118607745</v>
      </c>
      <c r="V4" s="367">
        <f>'Consolidado-Eletronorte'!AV23/1000</f>
        <v>165692.11097322998</v>
      </c>
      <c r="W4" s="367">
        <f>'Consolidado-Eletronorte'!AW23/1000</f>
        <v>0</v>
      </c>
      <c r="X4" s="367">
        <f>'Consolidado-Eletronorte'!AX23/1000</f>
        <v>0</v>
      </c>
      <c r="Y4" s="367">
        <f>'Consolidado-Eletronorte'!AY23/1000</f>
        <v>0</v>
      </c>
      <c r="Z4" s="367">
        <f>'Consolidado-Eletronorte'!AZ23/1000</f>
        <v>196434.22958097496</v>
      </c>
    </row>
    <row r="5" spans="2:26" x14ac:dyDescent="0.3">
      <c r="B5" s="365" t="s">
        <v>326</v>
      </c>
      <c r="C5" s="366" t="s">
        <v>509</v>
      </c>
      <c r="D5" s="366" t="s">
        <v>509</v>
      </c>
      <c r="E5" s="366" t="s">
        <v>535</v>
      </c>
      <c r="F5" s="365" t="s">
        <v>959</v>
      </c>
      <c r="G5" s="365" t="s">
        <v>529</v>
      </c>
      <c r="H5" s="366" t="s">
        <v>319</v>
      </c>
      <c r="I5" s="367">
        <f>'Consolidado-Eletronorte'!AI25/1000</f>
        <v>173.38548750000001</v>
      </c>
      <c r="J5" s="367">
        <f>'Consolidado-Eletronorte'!AJ25/1000</f>
        <v>173.38548750000001</v>
      </c>
      <c r="K5" s="367">
        <f>'Consolidado-Eletronorte'!AK25/1000</f>
        <v>173.38548750000001</v>
      </c>
      <c r="L5" s="367">
        <f>'Consolidado-Eletronorte'!AL25/1000</f>
        <v>9038.8059775000002</v>
      </c>
      <c r="M5" s="367">
        <f>'Consolidado-Eletronorte'!AM25/1000</f>
        <v>7332.1391541666671</v>
      </c>
      <c r="N5" s="367">
        <f>'Consolidado-Eletronorte'!AN25/1000</f>
        <v>173.38548750000001</v>
      </c>
      <c r="O5" s="367">
        <f>'Consolidado-Eletronorte'!AO25/1000</f>
        <v>281.63864750000005</v>
      </c>
      <c r="P5" s="367">
        <f>'Consolidado-Eletronorte'!AP25/1000</f>
        <v>12423.385487500002</v>
      </c>
      <c r="Q5" s="367">
        <f>'Consolidado-Eletronorte'!AQ25/1000</f>
        <v>676.34304750000001</v>
      </c>
      <c r="R5" s="367">
        <f>'Consolidado-Eletronorte'!AR25/1000</f>
        <v>7463.5787541666668</v>
      </c>
      <c r="S5" s="367">
        <f>'Consolidado-Eletronorte'!AS25/1000</f>
        <v>173.38548750000001</v>
      </c>
      <c r="T5" s="367">
        <f>'Consolidado-Eletronorte'!AT25/1000</f>
        <v>173.38548750000001</v>
      </c>
      <c r="U5" s="367">
        <f>'Consolidado-Eletronorte'!AU25/1000</f>
        <v>38256.203993333322</v>
      </c>
      <c r="V5" s="367">
        <f>'Consolidado-Eletronorte'!AV25/1000</f>
        <v>10144.01902</v>
      </c>
      <c r="W5" s="367">
        <f>'Consolidado-Eletronorte'!AW25/1000</f>
        <v>221.46360999999999</v>
      </c>
      <c r="X5" s="367">
        <f>'Consolidado-Eletronorte'!AX25/1000</f>
        <v>0</v>
      </c>
      <c r="Y5" s="367">
        <f>'Consolidado-Eletronorte'!AY25/1000</f>
        <v>0</v>
      </c>
      <c r="Z5" s="367">
        <f>'Consolidado-Eletronorte'!AZ25/1000</f>
        <v>48621.68662333332</v>
      </c>
    </row>
    <row r="6" spans="2:26" x14ac:dyDescent="0.3">
      <c r="B6" s="239" t="s">
        <v>275</v>
      </c>
      <c r="C6" s="237" t="s">
        <v>509</v>
      </c>
      <c r="D6" s="237" t="s">
        <v>509</v>
      </c>
      <c r="E6" s="237" t="s">
        <v>546</v>
      </c>
      <c r="F6" s="239">
        <v>3700008198</v>
      </c>
      <c r="G6" s="239" t="s">
        <v>547</v>
      </c>
      <c r="H6" s="237" t="s">
        <v>276</v>
      </c>
      <c r="I6" s="367">
        <f>'Consolidado-Eletronorte'!AI28/1000</f>
        <v>0</v>
      </c>
      <c r="J6" s="367">
        <f>'Consolidado-Eletronorte'!AJ28/1000</f>
        <v>0</v>
      </c>
      <c r="K6" s="367">
        <f>'Consolidado-Eletronorte'!AK28/1000</f>
        <v>0</v>
      </c>
      <c r="L6" s="367">
        <f>'Consolidado-Eletronorte'!AL28/1000</f>
        <v>0</v>
      </c>
      <c r="M6" s="367">
        <f>'Consolidado-Eletronorte'!AM28/1000</f>
        <v>0</v>
      </c>
      <c r="N6" s="367">
        <f>'Consolidado-Eletronorte'!AN28/1000</f>
        <v>0</v>
      </c>
      <c r="O6" s="367">
        <f>'Consolidado-Eletronorte'!AO28/1000</f>
        <v>0</v>
      </c>
      <c r="P6" s="367">
        <f>'Consolidado-Eletronorte'!AP28/1000</f>
        <v>0</v>
      </c>
      <c r="Q6" s="367">
        <f>'Consolidado-Eletronorte'!AQ28/1000</f>
        <v>0</v>
      </c>
      <c r="R6" s="367">
        <f>'Consolidado-Eletronorte'!AR28/1000</f>
        <v>2000</v>
      </c>
      <c r="S6" s="367">
        <f>'Consolidado-Eletronorte'!AS28/1000</f>
        <v>2000</v>
      </c>
      <c r="T6" s="367">
        <f>'Consolidado-Eletronorte'!AT28/1000</f>
        <v>0</v>
      </c>
      <c r="U6" s="367">
        <f>'Consolidado-Eletronorte'!AU28/1000</f>
        <v>4000</v>
      </c>
      <c r="V6" s="367">
        <f>'Consolidado-Eletronorte'!AV28/1000</f>
        <v>23500</v>
      </c>
      <c r="W6" s="367">
        <f>'Consolidado-Eletronorte'!AW28/1000</f>
        <v>0</v>
      </c>
      <c r="X6" s="367">
        <f>'Consolidado-Eletronorte'!AX28/1000</f>
        <v>0</v>
      </c>
      <c r="Y6" s="367">
        <f>'Consolidado-Eletronorte'!AY28/1000</f>
        <v>0</v>
      </c>
      <c r="Z6" s="367">
        <f>'Consolidado-Eletronorte'!AZ28/1000</f>
        <v>27500</v>
      </c>
    </row>
    <row r="7" spans="2:26" x14ac:dyDescent="0.3">
      <c r="B7" s="365" t="s">
        <v>431</v>
      </c>
      <c r="C7" s="366" t="s">
        <v>509</v>
      </c>
      <c r="D7" s="366" t="s">
        <v>509</v>
      </c>
      <c r="E7" s="366" t="s">
        <v>555</v>
      </c>
      <c r="F7" s="365">
        <v>3400004379</v>
      </c>
      <c r="G7" s="365" t="s">
        <v>558</v>
      </c>
      <c r="H7" s="366" t="s">
        <v>319</v>
      </c>
      <c r="I7" s="367">
        <f>'Consolidado-Eletronorte'!AI29/1000</f>
        <v>0</v>
      </c>
      <c r="J7" s="367">
        <f>'Consolidado-Eletronorte'!AJ29/1000</f>
        <v>0</v>
      </c>
      <c r="K7" s="367">
        <f>'Consolidado-Eletronorte'!AK29/1000</f>
        <v>0</v>
      </c>
      <c r="L7" s="367">
        <f>'Consolidado-Eletronorte'!AL29/1000</f>
        <v>0</v>
      </c>
      <c r="M7" s="367">
        <f>'Consolidado-Eletronorte'!AM29/1000</f>
        <v>0</v>
      </c>
      <c r="N7" s="367">
        <f>'Consolidado-Eletronorte'!AN29/1000</f>
        <v>0</v>
      </c>
      <c r="O7" s="367">
        <f>'Consolidado-Eletronorte'!AO29/1000</f>
        <v>0</v>
      </c>
      <c r="P7" s="367">
        <f>'Consolidado-Eletronorte'!AP29/1000</f>
        <v>0</v>
      </c>
      <c r="Q7" s="367">
        <f>'Consolidado-Eletronorte'!AQ29/1000</f>
        <v>0</v>
      </c>
      <c r="R7" s="367">
        <f>'Consolidado-Eletronorte'!AR29/1000</f>
        <v>0</v>
      </c>
      <c r="S7" s="367">
        <f>'Consolidado-Eletronorte'!AS29/1000</f>
        <v>0</v>
      </c>
      <c r="T7" s="367">
        <f>'Consolidado-Eletronorte'!AT29/1000</f>
        <v>0</v>
      </c>
      <c r="U7" s="367">
        <f>'Consolidado-Eletronorte'!AU29/1000</f>
        <v>0</v>
      </c>
      <c r="V7" s="367">
        <f>'Consolidado-Eletronorte'!AV29/1000</f>
        <v>16000</v>
      </c>
      <c r="W7" s="367">
        <f>'Consolidado-Eletronorte'!AW29/1000</f>
        <v>16000</v>
      </c>
      <c r="X7" s="367">
        <f>'Consolidado-Eletronorte'!AX29/1000</f>
        <v>16000</v>
      </c>
      <c r="Y7" s="367">
        <f>'Consolidado-Eletronorte'!AY29/1000</f>
        <v>0</v>
      </c>
      <c r="Z7" s="367">
        <f>'Consolidado-Eletronorte'!AZ29/1000</f>
        <v>48000</v>
      </c>
    </row>
    <row r="8" spans="2:26" x14ac:dyDescent="0.3">
      <c r="B8" s="239" t="s">
        <v>353</v>
      </c>
      <c r="C8" s="237" t="s">
        <v>509</v>
      </c>
      <c r="D8" s="237" t="s">
        <v>509</v>
      </c>
      <c r="E8" s="237" t="s">
        <v>526</v>
      </c>
      <c r="F8" s="239">
        <v>3400004381</v>
      </c>
      <c r="G8" s="239" t="s">
        <v>584</v>
      </c>
      <c r="H8" s="237" t="s">
        <v>319</v>
      </c>
      <c r="I8" s="367">
        <f>'Consolidado-Eletronorte'!AI30/1000</f>
        <v>0</v>
      </c>
      <c r="J8" s="367">
        <f>'Consolidado-Eletronorte'!AJ30/1000</f>
        <v>0</v>
      </c>
      <c r="K8" s="367">
        <f>'Consolidado-Eletronorte'!AK30/1000</f>
        <v>0</v>
      </c>
      <c r="L8" s="367">
        <f>'Consolidado-Eletronorte'!AL30/1000</f>
        <v>0</v>
      </c>
      <c r="M8" s="367">
        <f>'Consolidado-Eletronorte'!AM30/1000</f>
        <v>0</v>
      </c>
      <c r="N8" s="367">
        <f>'Consolidado-Eletronorte'!AN30/1000</f>
        <v>0</v>
      </c>
      <c r="O8" s="367">
        <f>'Consolidado-Eletronorte'!AO30/1000</f>
        <v>0</v>
      </c>
      <c r="P8" s="367">
        <f>'Consolidado-Eletronorte'!AP30/1000</f>
        <v>0</v>
      </c>
      <c r="Q8" s="367">
        <f>'Consolidado-Eletronorte'!AQ30/1000</f>
        <v>0</v>
      </c>
      <c r="R8" s="367">
        <f>'Consolidado-Eletronorte'!AR30/1000</f>
        <v>0</v>
      </c>
      <c r="S8" s="367">
        <f>'Consolidado-Eletronorte'!AS30/1000</f>
        <v>0</v>
      </c>
      <c r="T8" s="367">
        <f>'Consolidado-Eletronorte'!AT30/1000</f>
        <v>0</v>
      </c>
      <c r="U8" s="367">
        <f>'Consolidado-Eletronorte'!AU30/1000</f>
        <v>0</v>
      </c>
      <c r="V8" s="367">
        <f>'Consolidado-Eletronorte'!AV30/1000</f>
        <v>2000</v>
      </c>
      <c r="W8" s="367">
        <f>'Consolidado-Eletronorte'!AW30/1000</f>
        <v>9500</v>
      </c>
      <c r="X8" s="367">
        <f>'Consolidado-Eletronorte'!AX30/1000</f>
        <v>10000</v>
      </c>
      <c r="Y8" s="367">
        <f>'Consolidado-Eletronorte'!AY30/1000</f>
        <v>0</v>
      </c>
      <c r="Z8" s="367">
        <f>'Consolidado-Eletronorte'!AZ30/1000</f>
        <v>21500</v>
      </c>
    </row>
    <row r="9" spans="2:26" x14ac:dyDescent="0.3">
      <c r="B9" s="365" t="s">
        <v>332</v>
      </c>
      <c r="C9" s="366" t="s">
        <v>509</v>
      </c>
      <c r="D9" s="366" t="s">
        <v>509</v>
      </c>
      <c r="E9" s="366" t="s">
        <v>636</v>
      </c>
      <c r="F9" s="365">
        <v>4600001891</v>
      </c>
      <c r="G9" s="365" t="s">
        <v>638</v>
      </c>
      <c r="H9" s="366" t="s">
        <v>319</v>
      </c>
      <c r="I9" s="367">
        <f>'Consolidado-Eletronorte'!AI31/1000</f>
        <v>0</v>
      </c>
      <c r="J9" s="367">
        <f>'Consolidado-Eletronorte'!AJ31/1000</f>
        <v>0</v>
      </c>
      <c r="K9" s="367">
        <f>'Consolidado-Eletronorte'!AK31/1000</f>
        <v>0</v>
      </c>
      <c r="L9" s="367">
        <f>'Consolidado-Eletronorte'!AL31/1000</f>
        <v>0</v>
      </c>
      <c r="M9" s="367">
        <f>'Consolidado-Eletronorte'!AM31/1000</f>
        <v>0</v>
      </c>
      <c r="N9" s="367">
        <f>'Consolidado-Eletronorte'!AN31/1000</f>
        <v>0</v>
      </c>
      <c r="O9" s="367">
        <f>'Consolidado-Eletronorte'!AO31/1000</f>
        <v>0</v>
      </c>
      <c r="P9" s="367">
        <f>'Consolidado-Eletronorte'!AP31/1000</f>
        <v>0</v>
      </c>
      <c r="Q9" s="367">
        <f>'Consolidado-Eletronorte'!AQ31/1000</f>
        <v>2000</v>
      </c>
      <c r="R9" s="367">
        <f>'Consolidado-Eletronorte'!AR31/1000</f>
        <v>0</v>
      </c>
      <c r="S9" s="367">
        <f>'Consolidado-Eletronorte'!AS31/1000</f>
        <v>2000</v>
      </c>
      <c r="T9" s="367">
        <f>'Consolidado-Eletronorte'!AT31/1000</f>
        <v>2000</v>
      </c>
      <c r="U9" s="367">
        <f>'Consolidado-Eletronorte'!AU31/1000</f>
        <v>6000</v>
      </c>
      <c r="V9" s="367">
        <f>'Consolidado-Eletronorte'!AV31/1000</f>
        <v>7000</v>
      </c>
      <c r="W9" s="367">
        <f>'Consolidado-Eletronorte'!AW31/1000</f>
        <v>4000</v>
      </c>
      <c r="X9" s="367">
        <f>'Consolidado-Eletronorte'!AX31/1000</f>
        <v>4000</v>
      </c>
      <c r="Y9" s="367">
        <f>'Consolidado-Eletronorte'!AY31/1000</f>
        <v>0</v>
      </c>
      <c r="Z9" s="367">
        <f>'Consolidado-Eletronorte'!AZ31/1000</f>
        <v>21000</v>
      </c>
    </row>
    <row r="10" spans="2:26" x14ac:dyDescent="0.3">
      <c r="B10" s="239" t="s">
        <v>329</v>
      </c>
      <c r="C10" s="237" t="s">
        <v>509</v>
      </c>
      <c r="D10" s="237" t="s">
        <v>509</v>
      </c>
      <c r="E10" s="237" t="s">
        <v>598</v>
      </c>
      <c r="F10" s="239">
        <v>4500082946</v>
      </c>
      <c r="G10" s="239" t="s">
        <v>601</v>
      </c>
      <c r="H10" s="237" t="s">
        <v>319</v>
      </c>
      <c r="I10" s="367">
        <f>'Consolidado-Eletronorte'!AI32/1000</f>
        <v>0</v>
      </c>
      <c r="J10" s="367">
        <f>'Consolidado-Eletronorte'!AJ32/1000</f>
        <v>0</v>
      </c>
      <c r="K10" s="367">
        <f>'Consolidado-Eletronorte'!AK32/1000</f>
        <v>0</v>
      </c>
      <c r="L10" s="367">
        <f>'Consolidado-Eletronorte'!AL32/1000</f>
        <v>0</v>
      </c>
      <c r="M10" s="367">
        <f>'Consolidado-Eletronorte'!AM32/1000</f>
        <v>0</v>
      </c>
      <c r="N10" s="367">
        <f>'Consolidado-Eletronorte'!AN32/1000</f>
        <v>0</v>
      </c>
      <c r="O10" s="367">
        <f>'Consolidado-Eletronorte'!AO32/1000</f>
        <v>0</v>
      </c>
      <c r="P10" s="367">
        <f>'Consolidado-Eletronorte'!AP32/1000</f>
        <v>0</v>
      </c>
      <c r="Q10" s="367">
        <f>'Consolidado-Eletronorte'!AQ32/1000</f>
        <v>0</v>
      </c>
      <c r="R10" s="367">
        <f>'Consolidado-Eletronorte'!AR32/1000</f>
        <v>0</v>
      </c>
      <c r="S10" s="367">
        <f>'Consolidado-Eletronorte'!AS32/1000</f>
        <v>2000</v>
      </c>
      <c r="T10" s="367">
        <f>'Consolidado-Eletronorte'!AT32/1000</f>
        <v>0</v>
      </c>
      <c r="U10" s="367">
        <f>'Consolidado-Eletronorte'!AU32/1000</f>
        <v>2000</v>
      </c>
      <c r="V10" s="367">
        <f>'Consolidado-Eletronorte'!AV32/1000</f>
        <v>7400</v>
      </c>
      <c r="W10" s="367">
        <f>'Consolidado-Eletronorte'!AW32/1000</f>
        <v>4000</v>
      </c>
      <c r="X10" s="367">
        <f>'Consolidado-Eletronorte'!AX32/1000</f>
        <v>5000</v>
      </c>
      <c r="Y10" s="367">
        <f>'Consolidado-Eletronorte'!AY32/1000</f>
        <v>0</v>
      </c>
      <c r="Z10" s="367">
        <f>'Consolidado-Eletronorte'!AZ32/1000</f>
        <v>18400</v>
      </c>
    </row>
    <row r="11" spans="2:26" x14ac:dyDescent="0.3">
      <c r="B11" s="365" t="s">
        <v>377</v>
      </c>
      <c r="C11" s="366" t="s">
        <v>509</v>
      </c>
      <c r="D11" s="366" t="s">
        <v>509</v>
      </c>
      <c r="E11" s="366" t="s">
        <v>577</v>
      </c>
      <c r="F11" s="365">
        <v>3700014880</v>
      </c>
      <c r="G11" s="365" t="s">
        <v>578</v>
      </c>
      <c r="H11" s="366" t="s">
        <v>319</v>
      </c>
      <c r="I11" s="367">
        <f>'Consolidado-Eletronorte'!AI33/1000</f>
        <v>0</v>
      </c>
      <c r="J11" s="367">
        <f>'Consolidado-Eletronorte'!AJ33/1000</f>
        <v>0</v>
      </c>
      <c r="K11" s="367">
        <f>'Consolidado-Eletronorte'!AK33/1000</f>
        <v>0</v>
      </c>
      <c r="L11" s="367">
        <f>'Consolidado-Eletronorte'!AL33/1000</f>
        <v>0</v>
      </c>
      <c r="M11" s="367">
        <f>'Consolidado-Eletronorte'!AM33/1000</f>
        <v>0</v>
      </c>
      <c r="N11" s="367">
        <f>'Consolidado-Eletronorte'!AN33/1000</f>
        <v>1500</v>
      </c>
      <c r="O11" s="367">
        <f>'Consolidado-Eletronorte'!AO33/1000</f>
        <v>0</v>
      </c>
      <c r="P11" s="367">
        <f>'Consolidado-Eletronorte'!AP33/1000</f>
        <v>0</v>
      </c>
      <c r="Q11" s="367">
        <f>'Consolidado-Eletronorte'!AQ33/1000</f>
        <v>0</v>
      </c>
      <c r="R11" s="367">
        <f>'Consolidado-Eletronorte'!AR33/1000</f>
        <v>3500</v>
      </c>
      <c r="S11" s="367">
        <f>'Consolidado-Eletronorte'!AS33/1000</f>
        <v>0</v>
      </c>
      <c r="T11" s="367">
        <f>'Consolidado-Eletronorte'!AT33/1000</f>
        <v>0</v>
      </c>
      <c r="U11" s="367">
        <f>'Consolidado-Eletronorte'!AU33/1000</f>
        <v>5000</v>
      </c>
      <c r="V11" s="367">
        <f>'Consolidado-Eletronorte'!AV33/1000</f>
        <v>6750</v>
      </c>
      <c r="W11" s="367">
        <f>'Consolidado-Eletronorte'!AW33/1000</f>
        <v>5000</v>
      </c>
      <c r="X11" s="367">
        <f>'Consolidado-Eletronorte'!AX33/1000</f>
        <v>0</v>
      </c>
      <c r="Y11" s="367">
        <f>'Consolidado-Eletronorte'!AY33/1000</f>
        <v>0</v>
      </c>
      <c r="Z11" s="367">
        <f>'Consolidado-Eletronorte'!AZ33/1000</f>
        <v>16750</v>
      </c>
    </row>
    <row r="12" spans="2:26" x14ac:dyDescent="0.3">
      <c r="B12" s="239" t="s">
        <v>157</v>
      </c>
      <c r="C12" s="237" t="s">
        <v>509</v>
      </c>
      <c r="D12" s="237" t="s">
        <v>509</v>
      </c>
      <c r="E12" s="237" t="s">
        <v>555</v>
      </c>
      <c r="F12" s="239">
        <v>3700011458</v>
      </c>
      <c r="G12" s="239" t="s">
        <v>589</v>
      </c>
      <c r="H12" s="237" t="s">
        <v>158</v>
      </c>
      <c r="I12" s="367">
        <f>'Consolidado-Eletronorte'!AI34/1000</f>
        <v>0</v>
      </c>
      <c r="J12" s="367">
        <f>'Consolidado-Eletronorte'!AJ34/1000</f>
        <v>0</v>
      </c>
      <c r="K12" s="367">
        <f>'Consolidado-Eletronorte'!AK34/1000</f>
        <v>0</v>
      </c>
      <c r="L12" s="367">
        <f>'Consolidado-Eletronorte'!AL34/1000</f>
        <v>0</v>
      </c>
      <c r="M12" s="367">
        <f>'Consolidado-Eletronorte'!AM34/1000</f>
        <v>0</v>
      </c>
      <c r="N12" s="367">
        <f>'Consolidado-Eletronorte'!AN34/1000</f>
        <v>0</v>
      </c>
      <c r="O12" s="367">
        <f>'Consolidado-Eletronorte'!AO34/1000</f>
        <v>0</v>
      </c>
      <c r="P12" s="367">
        <f>'Consolidado-Eletronorte'!AP34/1000</f>
        <v>0</v>
      </c>
      <c r="Q12" s="367">
        <f>'Consolidado-Eletronorte'!AQ34/1000</f>
        <v>2000</v>
      </c>
      <c r="R12" s="367">
        <f>'Consolidado-Eletronorte'!AR34/1000</f>
        <v>0</v>
      </c>
      <c r="S12" s="367">
        <f>'Consolidado-Eletronorte'!AS34/1000</f>
        <v>0</v>
      </c>
      <c r="T12" s="367">
        <f>'Consolidado-Eletronorte'!AT34/1000</f>
        <v>2000</v>
      </c>
      <c r="U12" s="367">
        <f>'Consolidado-Eletronorte'!AU34/1000</f>
        <v>4000</v>
      </c>
      <c r="V12" s="367">
        <f>'Consolidado-Eletronorte'!AV34/1000</f>
        <v>2000</v>
      </c>
      <c r="W12" s="367">
        <f>'Consolidado-Eletronorte'!AW34/1000</f>
        <v>0</v>
      </c>
      <c r="X12" s="367">
        <f>'Consolidado-Eletronorte'!AX34/1000</f>
        <v>0</v>
      </c>
      <c r="Y12" s="367">
        <f>'Consolidado-Eletronorte'!AY34/1000</f>
        <v>0</v>
      </c>
      <c r="Z12" s="367">
        <f>'Consolidado-Eletronorte'!AZ34/1000</f>
        <v>6000</v>
      </c>
    </row>
    <row r="13" spans="2:26" x14ac:dyDescent="0.3">
      <c r="B13" s="365" t="s">
        <v>351</v>
      </c>
      <c r="C13" s="366" t="s">
        <v>509</v>
      </c>
      <c r="D13" s="366" t="s">
        <v>509</v>
      </c>
      <c r="E13" s="366" t="s">
        <v>555</v>
      </c>
      <c r="F13" s="365" t="s">
        <v>960</v>
      </c>
      <c r="G13" s="365" t="s">
        <v>573</v>
      </c>
      <c r="H13" s="366" t="s">
        <v>319</v>
      </c>
      <c r="I13" s="367">
        <f>'Consolidado-Eletronorte'!AI35/1000</f>
        <v>0</v>
      </c>
      <c r="J13" s="367">
        <f>'Consolidado-Eletronorte'!AJ35/1000</f>
        <v>0</v>
      </c>
      <c r="K13" s="367">
        <f>'Consolidado-Eletronorte'!AK35/1000</f>
        <v>0</v>
      </c>
      <c r="L13" s="367">
        <f>'Consolidado-Eletronorte'!AL35/1000</f>
        <v>0</v>
      </c>
      <c r="M13" s="367">
        <f>'Consolidado-Eletronorte'!AM35/1000</f>
        <v>0</v>
      </c>
      <c r="N13" s="367">
        <f>'Consolidado-Eletronorte'!AN35/1000</f>
        <v>1000</v>
      </c>
      <c r="O13" s="367">
        <f>'Consolidado-Eletronorte'!AO35/1000</f>
        <v>0</v>
      </c>
      <c r="P13" s="367">
        <f>'Consolidado-Eletronorte'!AP35/1000</f>
        <v>1000</v>
      </c>
      <c r="Q13" s="367">
        <f>'Consolidado-Eletronorte'!AQ35/1000</f>
        <v>0</v>
      </c>
      <c r="R13" s="367">
        <f>'Consolidado-Eletronorte'!AR35/1000</f>
        <v>1000</v>
      </c>
      <c r="S13" s="367">
        <f>'Consolidado-Eletronorte'!AS35/1000</f>
        <v>0</v>
      </c>
      <c r="T13" s="367">
        <f>'Consolidado-Eletronorte'!AT35/1000</f>
        <v>0</v>
      </c>
      <c r="U13" s="367">
        <f>'Consolidado-Eletronorte'!AU35/1000</f>
        <v>3000</v>
      </c>
      <c r="V13" s="367">
        <f>'Consolidado-Eletronorte'!AV35/1000</f>
        <v>7500</v>
      </c>
      <c r="W13" s="367">
        <f>'Consolidado-Eletronorte'!AW35/1000</f>
        <v>5000</v>
      </c>
      <c r="X13" s="367">
        <f>'Consolidado-Eletronorte'!AX35/1000</f>
        <v>0</v>
      </c>
      <c r="Y13" s="367">
        <f>'Consolidado-Eletronorte'!AY35/1000</f>
        <v>0</v>
      </c>
      <c r="Z13" s="367">
        <f>'Consolidado-Eletronorte'!AZ35/1000</f>
        <v>15500</v>
      </c>
    </row>
    <row r="14" spans="2:26" x14ac:dyDescent="0.3">
      <c r="B14" s="239" t="s">
        <v>335</v>
      </c>
      <c r="C14" s="237" t="s">
        <v>509</v>
      </c>
      <c r="D14" s="237" t="s">
        <v>509</v>
      </c>
      <c r="E14" s="237" t="s">
        <v>526</v>
      </c>
      <c r="F14" s="239" t="s">
        <v>961</v>
      </c>
      <c r="G14" s="239" t="s">
        <v>594</v>
      </c>
      <c r="H14" s="237" t="s">
        <v>319</v>
      </c>
      <c r="I14" s="367">
        <f>'Consolidado-Eletronorte'!AI36/1000</f>
        <v>0</v>
      </c>
      <c r="J14" s="367">
        <f>'Consolidado-Eletronorte'!AJ36/1000</f>
        <v>0</v>
      </c>
      <c r="K14" s="367">
        <f>'Consolidado-Eletronorte'!AK36/1000</f>
        <v>0</v>
      </c>
      <c r="L14" s="367">
        <f>'Consolidado-Eletronorte'!AL36/1000</f>
        <v>3500</v>
      </c>
      <c r="M14" s="367">
        <f>'Consolidado-Eletronorte'!AM36/1000</f>
        <v>0</v>
      </c>
      <c r="N14" s="367">
        <f>'Consolidado-Eletronorte'!AN36/1000</f>
        <v>0</v>
      </c>
      <c r="O14" s="367">
        <f>'Consolidado-Eletronorte'!AO36/1000</f>
        <v>0</v>
      </c>
      <c r="P14" s="367">
        <f>'Consolidado-Eletronorte'!AP36/1000</f>
        <v>3500</v>
      </c>
      <c r="Q14" s="367">
        <f>'Consolidado-Eletronorte'!AQ36/1000</f>
        <v>0</v>
      </c>
      <c r="R14" s="367">
        <f>'Consolidado-Eletronorte'!AR36/1000</f>
        <v>3000</v>
      </c>
      <c r="S14" s="367">
        <f>'Consolidado-Eletronorte'!AS36/1000</f>
        <v>0</v>
      </c>
      <c r="T14" s="367">
        <f>'Consolidado-Eletronorte'!AT36/1000</f>
        <v>0</v>
      </c>
      <c r="U14" s="367">
        <f>'Consolidado-Eletronorte'!AU36/1000</f>
        <v>10000</v>
      </c>
      <c r="V14" s="367">
        <f>'Consolidado-Eletronorte'!AV36/1000</f>
        <v>0</v>
      </c>
      <c r="W14" s="367">
        <f>'Consolidado-Eletronorte'!AW36/1000</f>
        <v>0</v>
      </c>
      <c r="X14" s="367">
        <f>'Consolidado-Eletronorte'!AX36/1000</f>
        <v>0</v>
      </c>
      <c r="Y14" s="367">
        <f>'Consolidado-Eletronorte'!AY36/1000</f>
        <v>0</v>
      </c>
      <c r="Z14" s="367">
        <f>'Consolidado-Eletronorte'!AZ36/1000</f>
        <v>10000</v>
      </c>
    </row>
    <row r="15" spans="2:26" x14ac:dyDescent="0.3">
      <c r="B15" s="365" t="s">
        <v>355</v>
      </c>
      <c r="C15" s="366" t="s">
        <v>509</v>
      </c>
      <c r="D15" s="366" t="s">
        <v>509</v>
      </c>
      <c r="E15" s="366" t="s">
        <v>577</v>
      </c>
      <c r="F15" s="365">
        <v>4500081780</v>
      </c>
      <c r="G15" s="365" t="s">
        <v>643</v>
      </c>
      <c r="H15" s="366" t="s">
        <v>319</v>
      </c>
      <c r="I15" s="367">
        <f>'Consolidado-Eletronorte'!AI38/1000</f>
        <v>0</v>
      </c>
      <c r="J15" s="367">
        <f>'Consolidado-Eletronorte'!AJ38/1000</f>
        <v>0</v>
      </c>
      <c r="K15" s="367">
        <f>'Consolidado-Eletronorte'!AK38/1000</f>
        <v>745.05100000000004</v>
      </c>
      <c r="L15" s="367">
        <f>'Consolidado-Eletronorte'!AL38/1000</f>
        <v>0</v>
      </c>
      <c r="M15" s="367">
        <f>'Consolidado-Eletronorte'!AM38/1000</f>
        <v>0</v>
      </c>
      <c r="N15" s="367">
        <f>'Consolidado-Eletronorte'!AN38/1000</f>
        <v>745.05100000000004</v>
      </c>
      <c r="O15" s="367">
        <f>'Consolidado-Eletronorte'!AO38/1000</f>
        <v>0</v>
      </c>
      <c r="P15" s="367">
        <f>'Consolidado-Eletronorte'!AP38/1000</f>
        <v>0</v>
      </c>
      <c r="Q15" s="367">
        <f>'Consolidado-Eletronorte'!AQ38/1000</f>
        <v>745.05100000000004</v>
      </c>
      <c r="R15" s="367">
        <f>'Consolidado-Eletronorte'!AR38/1000</f>
        <v>0</v>
      </c>
      <c r="S15" s="367">
        <f>'Consolidado-Eletronorte'!AS38/1000</f>
        <v>745.05100000000004</v>
      </c>
      <c r="T15" s="367">
        <f>'Consolidado-Eletronorte'!AT38/1000</f>
        <v>0</v>
      </c>
      <c r="U15" s="367">
        <f>'Consolidado-Eletronorte'!AU38/1000</f>
        <v>2980.2040000000002</v>
      </c>
      <c r="V15" s="367">
        <f>'Consolidado-Eletronorte'!AV38/1000</f>
        <v>4000</v>
      </c>
      <c r="W15" s="367">
        <f>'Consolidado-Eletronorte'!AW38/1000</f>
        <v>2000</v>
      </c>
      <c r="X15" s="367">
        <f>'Consolidado-Eletronorte'!AX38/1000</f>
        <v>0</v>
      </c>
      <c r="Y15" s="367">
        <f>'Consolidado-Eletronorte'!AY38/1000</f>
        <v>0</v>
      </c>
      <c r="Z15" s="367">
        <f>'Consolidado-Eletronorte'!AZ38/1000</f>
        <v>8980.2039999999997</v>
      </c>
    </row>
    <row r="16" spans="2:26" x14ac:dyDescent="0.3">
      <c r="B16" s="239" t="s">
        <v>226</v>
      </c>
      <c r="C16" s="237" t="s">
        <v>509</v>
      </c>
      <c r="D16" s="237" t="s">
        <v>509</v>
      </c>
      <c r="E16" s="237" t="s">
        <v>555</v>
      </c>
      <c r="F16" s="239" t="s">
        <v>564</v>
      </c>
      <c r="G16" s="239" t="s">
        <v>613</v>
      </c>
      <c r="H16" s="237" t="s">
        <v>210</v>
      </c>
      <c r="I16" s="367">
        <f>'Consolidado-Eletronorte'!AI39/1000</f>
        <v>0</v>
      </c>
      <c r="J16" s="367">
        <f>'Consolidado-Eletronorte'!AJ39/1000</f>
        <v>0</v>
      </c>
      <c r="K16" s="367">
        <f>'Consolidado-Eletronorte'!AK39/1000</f>
        <v>0</v>
      </c>
      <c r="L16" s="367">
        <f>'Consolidado-Eletronorte'!AL39/1000</f>
        <v>0</v>
      </c>
      <c r="M16" s="367">
        <f>'Consolidado-Eletronorte'!AM39/1000</f>
        <v>0</v>
      </c>
      <c r="N16" s="367">
        <f>'Consolidado-Eletronorte'!AN39/1000</f>
        <v>0</v>
      </c>
      <c r="O16" s="367">
        <f>'Consolidado-Eletronorte'!AO39/1000</f>
        <v>0</v>
      </c>
      <c r="P16" s="367">
        <f>'Consolidado-Eletronorte'!AP39/1000</f>
        <v>0</v>
      </c>
      <c r="Q16" s="367">
        <f>'Consolidado-Eletronorte'!AQ39/1000</f>
        <v>0</v>
      </c>
      <c r="R16" s="367">
        <f>'Consolidado-Eletronorte'!AR39/1000</f>
        <v>0</v>
      </c>
      <c r="S16" s="367">
        <f>'Consolidado-Eletronorte'!AS39/1000</f>
        <v>0</v>
      </c>
      <c r="T16" s="367">
        <f>'Consolidado-Eletronorte'!AT39/1000</f>
        <v>0</v>
      </c>
      <c r="U16" s="367">
        <f>'Consolidado-Eletronorte'!AU39/1000</f>
        <v>0</v>
      </c>
      <c r="V16" s="367">
        <f>'Consolidado-Eletronorte'!AV39/1000</f>
        <v>7500</v>
      </c>
      <c r="W16" s="367">
        <f>'Consolidado-Eletronorte'!AW39/1000</f>
        <v>7500</v>
      </c>
      <c r="X16" s="367">
        <f>'Consolidado-Eletronorte'!AX39/1000</f>
        <v>0</v>
      </c>
      <c r="Y16" s="367">
        <f>'Consolidado-Eletronorte'!AY39/1000</f>
        <v>0</v>
      </c>
      <c r="Z16" s="367">
        <f>'Consolidado-Eletronorte'!AZ39/1000</f>
        <v>15000</v>
      </c>
    </row>
    <row r="17" spans="2:26" x14ac:dyDescent="0.3">
      <c r="B17" s="365" t="s">
        <v>236</v>
      </c>
      <c r="C17" s="366" t="s">
        <v>509</v>
      </c>
      <c r="D17" s="366" t="s">
        <v>509</v>
      </c>
      <c r="E17" s="366" t="s">
        <v>577</v>
      </c>
      <c r="F17" s="365">
        <v>4500083041</v>
      </c>
      <c r="G17" s="365" t="s">
        <v>655</v>
      </c>
      <c r="H17" s="366" t="s">
        <v>229</v>
      </c>
      <c r="I17" s="367">
        <f>'Consolidado-Eletronorte'!AI40/1000</f>
        <v>0</v>
      </c>
      <c r="J17" s="367">
        <f>'Consolidado-Eletronorte'!AJ40/1000</f>
        <v>0</v>
      </c>
      <c r="K17" s="367">
        <f>'Consolidado-Eletronorte'!AK40/1000</f>
        <v>0</v>
      </c>
      <c r="L17" s="367">
        <f>'Consolidado-Eletronorte'!AL40/1000</f>
        <v>0</v>
      </c>
      <c r="M17" s="367">
        <f>'Consolidado-Eletronorte'!AM40/1000</f>
        <v>0</v>
      </c>
      <c r="N17" s="367">
        <f>'Consolidado-Eletronorte'!AN40/1000</f>
        <v>1500</v>
      </c>
      <c r="O17" s="367">
        <f>'Consolidado-Eletronorte'!AO40/1000</f>
        <v>0</v>
      </c>
      <c r="P17" s="367">
        <f>'Consolidado-Eletronorte'!AP40/1000</f>
        <v>0</v>
      </c>
      <c r="Q17" s="367">
        <f>'Consolidado-Eletronorte'!AQ40/1000</f>
        <v>0</v>
      </c>
      <c r="R17" s="367">
        <f>'Consolidado-Eletronorte'!AR40/1000</f>
        <v>1500</v>
      </c>
      <c r="S17" s="367">
        <f>'Consolidado-Eletronorte'!AS40/1000</f>
        <v>0</v>
      </c>
      <c r="T17" s="367">
        <f>'Consolidado-Eletronorte'!AT40/1000</f>
        <v>0</v>
      </c>
      <c r="U17" s="367">
        <f>'Consolidado-Eletronorte'!AU40/1000</f>
        <v>3000</v>
      </c>
      <c r="V17" s="367">
        <f>'Consolidado-Eletronorte'!AV40/1000</f>
        <v>1500</v>
      </c>
      <c r="W17" s="367">
        <f>'Consolidado-Eletronorte'!AW40/1000</f>
        <v>2000</v>
      </c>
      <c r="X17" s="367">
        <f>'Consolidado-Eletronorte'!AX40/1000</f>
        <v>0</v>
      </c>
      <c r="Y17" s="367">
        <f>'Consolidado-Eletronorte'!AY40/1000</f>
        <v>0</v>
      </c>
      <c r="Z17" s="367">
        <f>'Consolidado-Eletronorte'!AZ40/1000</f>
        <v>6500</v>
      </c>
    </row>
    <row r="18" spans="2:26" x14ac:dyDescent="0.3">
      <c r="B18" s="239" t="s">
        <v>233</v>
      </c>
      <c r="C18" s="237" t="s">
        <v>509</v>
      </c>
      <c r="D18" s="237" t="s">
        <v>509</v>
      </c>
      <c r="E18" s="237" t="s">
        <v>577</v>
      </c>
      <c r="F18" s="239">
        <v>3400004383</v>
      </c>
      <c r="G18" s="239" t="s">
        <v>618</v>
      </c>
      <c r="H18" s="237" t="s">
        <v>229</v>
      </c>
      <c r="I18" s="367">
        <f>'Consolidado-Eletronorte'!AI41/1000</f>
        <v>0</v>
      </c>
      <c r="J18" s="367">
        <f>'Consolidado-Eletronorte'!AJ41/1000</f>
        <v>0</v>
      </c>
      <c r="K18" s="367">
        <f>'Consolidado-Eletronorte'!AK41/1000</f>
        <v>565.5</v>
      </c>
      <c r="L18" s="367">
        <f>'Consolidado-Eletronorte'!AL41/1000</f>
        <v>0</v>
      </c>
      <c r="M18" s="367">
        <f>'Consolidado-Eletronorte'!AM41/1000</f>
        <v>0</v>
      </c>
      <c r="N18" s="367">
        <f>'Consolidado-Eletronorte'!AN41/1000</f>
        <v>565.5</v>
      </c>
      <c r="O18" s="367">
        <f>'Consolidado-Eletronorte'!AO41/1000</f>
        <v>0</v>
      </c>
      <c r="P18" s="367">
        <f>'Consolidado-Eletronorte'!AP41/1000</f>
        <v>0</v>
      </c>
      <c r="Q18" s="367">
        <f>'Consolidado-Eletronorte'!AQ41/1000</f>
        <v>565.5</v>
      </c>
      <c r="R18" s="367">
        <f>'Consolidado-Eletronorte'!AR41/1000</f>
        <v>0</v>
      </c>
      <c r="S18" s="367">
        <f>'Consolidado-Eletronorte'!AS41/1000</f>
        <v>0</v>
      </c>
      <c r="T18" s="367">
        <f>'Consolidado-Eletronorte'!AT41/1000</f>
        <v>565.5</v>
      </c>
      <c r="U18" s="367">
        <f>'Consolidado-Eletronorte'!AU41/1000</f>
        <v>2262</v>
      </c>
      <c r="V18" s="367">
        <f>'Consolidado-Eletronorte'!AV41/1000</f>
        <v>2790</v>
      </c>
      <c r="W18" s="367">
        <f>'Consolidado-Eletronorte'!AW41/1000</f>
        <v>678</v>
      </c>
      <c r="X18" s="367">
        <f>'Consolidado-Eletronorte'!AX41/1000</f>
        <v>0</v>
      </c>
      <c r="Y18" s="367">
        <f>'Consolidado-Eletronorte'!AY41/1000</f>
        <v>0</v>
      </c>
      <c r="Z18" s="367">
        <f>'Consolidado-Eletronorte'!AZ41/1000</f>
        <v>5730</v>
      </c>
    </row>
    <row r="19" spans="2:26" x14ac:dyDescent="0.3">
      <c r="B19" s="365" t="s">
        <v>251</v>
      </c>
      <c r="C19" s="366" t="s">
        <v>509</v>
      </c>
      <c r="D19" s="366" t="s">
        <v>509</v>
      </c>
      <c r="E19" s="366" t="s">
        <v>555</v>
      </c>
      <c r="F19" s="365" t="s">
        <v>564</v>
      </c>
      <c r="G19" s="365" t="s">
        <v>667</v>
      </c>
      <c r="H19" s="366" t="s">
        <v>229</v>
      </c>
      <c r="I19" s="367">
        <f>'Consolidado-Eletronorte'!AI42/1000</f>
        <v>0</v>
      </c>
      <c r="J19" s="367">
        <f>'Consolidado-Eletronorte'!AJ42/1000</f>
        <v>0</v>
      </c>
      <c r="K19" s="367">
        <f>'Consolidado-Eletronorte'!AK42/1000</f>
        <v>0</v>
      </c>
      <c r="L19" s="367">
        <f>'Consolidado-Eletronorte'!AL42/1000</f>
        <v>0</v>
      </c>
      <c r="M19" s="367">
        <f>'Consolidado-Eletronorte'!AM42/1000</f>
        <v>0</v>
      </c>
      <c r="N19" s="367">
        <f>'Consolidado-Eletronorte'!AN42/1000</f>
        <v>0</v>
      </c>
      <c r="O19" s="367">
        <f>'Consolidado-Eletronorte'!AO42/1000</f>
        <v>0</v>
      </c>
      <c r="P19" s="367">
        <f>'Consolidado-Eletronorte'!AP42/1000</f>
        <v>0</v>
      </c>
      <c r="Q19" s="367">
        <f>'Consolidado-Eletronorte'!AQ42/1000</f>
        <v>0</v>
      </c>
      <c r="R19" s="367">
        <f>'Consolidado-Eletronorte'!AR42/1000</f>
        <v>0</v>
      </c>
      <c r="S19" s="367">
        <f>'Consolidado-Eletronorte'!AS42/1000</f>
        <v>0</v>
      </c>
      <c r="T19" s="367">
        <f>'Consolidado-Eletronorte'!AT42/1000</f>
        <v>0</v>
      </c>
      <c r="U19" s="367">
        <f>'Consolidado-Eletronorte'!AU42/1000</f>
        <v>0</v>
      </c>
      <c r="V19" s="367">
        <f>'Consolidado-Eletronorte'!AV42/1000</f>
        <v>3600</v>
      </c>
      <c r="W19" s="367">
        <f>'Consolidado-Eletronorte'!AW42/1000</f>
        <v>0</v>
      </c>
      <c r="X19" s="367">
        <f>'Consolidado-Eletronorte'!AX42/1000</f>
        <v>0</v>
      </c>
      <c r="Y19" s="367">
        <f>'Consolidado-Eletronorte'!AY42/1000</f>
        <v>0</v>
      </c>
      <c r="Z19" s="367">
        <f>'Consolidado-Eletronorte'!AZ42/1000</f>
        <v>3600</v>
      </c>
    </row>
    <row r="20" spans="2:26" x14ac:dyDescent="0.3">
      <c r="B20" s="239" t="s">
        <v>253</v>
      </c>
      <c r="C20" s="237" t="s">
        <v>509</v>
      </c>
      <c r="D20" s="237" t="s">
        <v>509</v>
      </c>
      <c r="E20" s="237" t="s">
        <v>555</v>
      </c>
      <c r="F20" s="239" t="s">
        <v>564</v>
      </c>
      <c r="G20" s="239" t="s">
        <v>706</v>
      </c>
      <c r="H20" s="237" t="s">
        <v>229</v>
      </c>
      <c r="I20" s="367">
        <f>'Consolidado-Eletronorte'!AI43/1000</f>
        <v>0</v>
      </c>
      <c r="J20" s="367">
        <f>'Consolidado-Eletronorte'!AJ43/1000</f>
        <v>0</v>
      </c>
      <c r="K20" s="367">
        <f>'Consolidado-Eletronorte'!AK43/1000</f>
        <v>0</v>
      </c>
      <c r="L20" s="367">
        <f>'Consolidado-Eletronorte'!AL43/1000</f>
        <v>0</v>
      </c>
      <c r="M20" s="367">
        <f>'Consolidado-Eletronorte'!AM43/1000</f>
        <v>0</v>
      </c>
      <c r="N20" s="367">
        <f>'Consolidado-Eletronorte'!AN43/1000</f>
        <v>0</v>
      </c>
      <c r="O20" s="367">
        <f>'Consolidado-Eletronorte'!AO43/1000</f>
        <v>0</v>
      </c>
      <c r="P20" s="367">
        <f>'Consolidado-Eletronorte'!AP43/1000</f>
        <v>0</v>
      </c>
      <c r="Q20" s="367">
        <f>'Consolidado-Eletronorte'!AQ43/1000</f>
        <v>0</v>
      </c>
      <c r="R20" s="367">
        <f>'Consolidado-Eletronorte'!AR43/1000</f>
        <v>0</v>
      </c>
      <c r="S20" s="367">
        <f>'Consolidado-Eletronorte'!AS43/1000</f>
        <v>0</v>
      </c>
      <c r="T20" s="367">
        <f>'Consolidado-Eletronorte'!AT43/1000</f>
        <v>0</v>
      </c>
      <c r="U20" s="367">
        <f>'Consolidado-Eletronorte'!AU43/1000</f>
        <v>0</v>
      </c>
      <c r="V20" s="367">
        <f>'Consolidado-Eletronorte'!AV43/1000</f>
        <v>2000</v>
      </c>
      <c r="W20" s="367">
        <f>'Consolidado-Eletronorte'!AW43/1000</f>
        <v>1500</v>
      </c>
      <c r="X20" s="367">
        <f>'Consolidado-Eletronorte'!AX43/1000</f>
        <v>0</v>
      </c>
      <c r="Y20" s="367">
        <f>'Consolidado-Eletronorte'!AY43/1000</f>
        <v>0</v>
      </c>
      <c r="Z20" s="367">
        <f>'Consolidado-Eletronorte'!AZ43/1000</f>
        <v>3500</v>
      </c>
    </row>
    <row r="21" spans="2:26" x14ac:dyDescent="0.3">
      <c r="B21" s="365" t="s">
        <v>358</v>
      </c>
      <c r="C21" s="366" t="s">
        <v>509</v>
      </c>
      <c r="D21" s="366" t="s">
        <v>509</v>
      </c>
      <c r="E21" s="366" t="s">
        <v>555</v>
      </c>
      <c r="F21" s="365">
        <v>4500073892</v>
      </c>
      <c r="G21" s="365" t="s">
        <v>609</v>
      </c>
      <c r="H21" s="366" t="s">
        <v>319</v>
      </c>
      <c r="I21" s="367">
        <f>'Consolidado-Eletronorte'!AI44/1000</f>
        <v>0</v>
      </c>
      <c r="J21" s="367">
        <f>'Consolidado-Eletronorte'!AJ44/1000</f>
        <v>2125</v>
      </c>
      <c r="K21" s="367">
        <f>'Consolidado-Eletronorte'!AK44/1000</f>
        <v>0</v>
      </c>
      <c r="L21" s="367">
        <f>'Consolidado-Eletronorte'!AL44/1000</f>
        <v>2125</v>
      </c>
      <c r="M21" s="367">
        <f>'Consolidado-Eletronorte'!AM44/1000</f>
        <v>0</v>
      </c>
      <c r="N21" s="367">
        <f>'Consolidado-Eletronorte'!AN44/1000</f>
        <v>2125</v>
      </c>
      <c r="O21" s="367">
        <f>'Consolidado-Eletronorte'!AO44/1000</f>
        <v>0</v>
      </c>
      <c r="P21" s="367">
        <f>'Consolidado-Eletronorte'!AP44/1000</f>
        <v>2125</v>
      </c>
      <c r="Q21" s="367">
        <f>'Consolidado-Eletronorte'!AQ44/1000</f>
        <v>0</v>
      </c>
      <c r="R21" s="367">
        <f>'Consolidado-Eletronorte'!AR44/1000</f>
        <v>0</v>
      </c>
      <c r="S21" s="367">
        <f>'Consolidado-Eletronorte'!AS44/1000</f>
        <v>0</v>
      </c>
      <c r="T21" s="367">
        <f>'Consolidado-Eletronorte'!AT44/1000</f>
        <v>0</v>
      </c>
      <c r="U21" s="367">
        <f>'Consolidado-Eletronorte'!AU44/1000</f>
        <v>8500</v>
      </c>
      <c r="V21" s="367">
        <f>'Consolidado-Eletronorte'!AV44/1000</f>
        <v>0</v>
      </c>
      <c r="W21" s="367">
        <f>'Consolidado-Eletronorte'!AW44/1000</f>
        <v>0</v>
      </c>
      <c r="X21" s="367">
        <f>'Consolidado-Eletronorte'!AX44/1000</f>
        <v>0</v>
      </c>
      <c r="Y21" s="367">
        <f>'Consolidado-Eletronorte'!AY44/1000</f>
        <v>0</v>
      </c>
      <c r="Z21" s="367">
        <f>'Consolidado-Eletronorte'!AZ44/1000</f>
        <v>8500</v>
      </c>
    </row>
    <row r="22" spans="2:26" x14ac:dyDescent="0.3">
      <c r="B22" s="239" t="s">
        <v>425</v>
      </c>
      <c r="C22" s="237" t="s">
        <v>509</v>
      </c>
      <c r="D22" s="237" t="s">
        <v>509</v>
      </c>
      <c r="E22" s="237" t="s">
        <v>944</v>
      </c>
      <c r="F22" s="239">
        <v>4500063694</v>
      </c>
      <c r="G22" s="239" t="s">
        <v>947</v>
      </c>
      <c r="H22" s="237" t="s">
        <v>319</v>
      </c>
      <c r="I22" s="367">
        <f>'Consolidado-Eletronorte'!AI45/1000</f>
        <v>0</v>
      </c>
      <c r="J22" s="367">
        <f>'Consolidado-Eletronorte'!AJ45/1000</f>
        <v>0</v>
      </c>
      <c r="K22" s="367">
        <f>'Consolidado-Eletronorte'!AK45/1000</f>
        <v>0</v>
      </c>
      <c r="L22" s="367">
        <f>'Consolidado-Eletronorte'!AL45/1000</f>
        <v>0</v>
      </c>
      <c r="M22" s="367">
        <f>'Consolidado-Eletronorte'!AM45/1000</f>
        <v>2500</v>
      </c>
      <c r="N22" s="367">
        <f>'Consolidado-Eletronorte'!AN45/1000</f>
        <v>0</v>
      </c>
      <c r="O22" s="367">
        <f>'Consolidado-Eletronorte'!AO45/1000</f>
        <v>0</v>
      </c>
      <c r="P22" s="367">
        <f>'Consolidado-Eletronorte'!AP45/1000</f>
        <v>0</v>
      </c>
      <c r="Q22" s="367">
        <f>'Consolidado-Eletronorte'!AQ45/1000</f>
        <v>0</v>
      </c>
      <c r="R22" s="367">
        <f>'Consolidado-Eletronorte'!AR45/1000</f>
        <v>2500</v>
      </c>
      <c r="S22" s="367">
        <f>'Consolidado-Eletronorte'!AS45/1000</f>
        <v>0</v>
      </c>
      <c r="T22" s="367">
        <f>'Consolidado-Eletronorte'!AT45/1000</f>
        <v>0</v>
      </c>
      <c r="U22" s="367">
        <f>'Consolidado-Eletronorte'!AU45/1000</f>
        <v>5000</v>
      </c>
      <c r="V22" s="367">
        <f>'Consolidado-Eletronorte'!AV45/1000</f>
        <v>2500</v>
      </c>
      <c r="W22" s="367">
        <f>'Consolidado-Eletronorte'!AW45/1000</f>
        <v>0</v>
      </c>
      <c r="X22" s="367">
        <f>'Consolidado-Eletronorte'!AX45/1000</f>
        <v>0</v>
      </c>
      <c r="Y22" s="367">
        <f>'Consolidado-Eletronorte'!AY45/1000</f>
        <v>0</v>
      </c>
      <c r="Z22" s="367">
        <f>'Consolidado-Eletronorte'!AZ45/1000</f>
        <v>7500</v>
      </c>
    </row>
    <row r="23" spans="2:26" x14ac:dyDescent="0.3">
      <c r="B23" s="365" t="s">
        <v>278</v>
      </c>
      <c r="C23" s="366" t="s">
        <v>509</v>
      </c>
      <c r="D23" s="366" t="s">
        <v>509</v>
      </c>
      <c r="E23" s="366" t="s">
        <v>577</v>
      </c>
      <c r="F23" s="365" t="s">
        <v>564</v>
      </c>
      <c r="G23" s="365"/>
      <c r="H23" s="366" t="s">
        <v>276</v>
      </c>
      <c r="I23" s="367">
        <f>'Consolidado-Eletronorte'!AI46/1000</f>
        <v>0</v>
      </c>
      <c r="J23" s="367">
        <f>'Consolidado-Eletronorte'!AJ46/1000</f>
        <v>0</v>
      </c>
      <c r="K23" s="367">
        <f>'Consolidado-Eletronorte'!AK46/1000</f>
        <v>0</v>
      </c>
      <c r="L23" s="367">
        <f>'Consolidado-Eletronorte'!AL46/1000</f>
        <v>0</v>
      </c>
      <c r="M23" s="367">
        <f>'Consolidado-Eletronorte'!AM46/1000</f>
        <v>0</v>
      </c>
      <c r="N23" s="367">
        <f>'Consolidado-Eletronorte'!AN46/1000</f>
        <v>0</v>
      </c>
      <c r="O23" s="367">
        <f>'Consolidado-Eletronorte'!AO46/1000</f>
        <v>0</v>
      </c>
      <c r="P23" s="367">
        <f>'Consolidado-Eletronorte'!AP46/1000</f>
        <v>0</v>
      </c>
      <c r="Q23" s="367">
        <f>'Consolidado-Eletronorte'!AQ46/1000</f>
        <v>0</v>
      </c>
      <c r="R23" s="367">
        <f>'Consolidado-Eletronorte'!AR46/1000</f>
        <v>0</v>
      </c>
      <c r="S23" s="367">
        <f>'Consolidado-Eletronorte'!AS46/1000</f>
        <v>0</v>
      </c>
      <c r="T23" s="367">
        <f>'Consolidado-Eletronorte'!AT46/1000</f>
        <v>0</v>
      </c>
      <c r="U23" s="367">
        <f>'Consolidado-Eletronorte'!AU46/1000</f>
        <v>0</v>
      </c>
      <c r="V23" s="367">
        <f>'Consolidado-Eletronorte'!AV46/1000</f>
        <v>6000</v>
      </c>
      <c r="W23" s="367">
        <f>'Consolidado-Eletronorte'!AW46/1000</f>
        <v>6000</v>
      </c>
      <c r="X23" s="367">
        <f>'Consolidado-Eletronorte'!AX46/1000</f>
        <v>0</v>
      </c>
      <c r="Y23" s="367">
        <f>'Consolidado-Eletronorte'!AY46/1000</f>
        <v>0</v>
      </c>
      <c r="Z23" s="367">
        <f>'Consolidado-Eletronorte'!AZ46/1000</f>
        <v>12000</v>
      </c>
    </row>
    <row r="24" spans="2:26" x14ac:dyDescent="0.3">
      <c r="B24" s="239" t="s">
        <v>223</v>
      </c>
      <c r="C24" s="237" t="s">
        <v>509</v>
      </c>
      <c r="D24" s="237" t="s">
        <v>509</v>
      </c>
      <c r="E24" s="237" t="s">
        <v>555</v>
      </c>
      <c r="F24" s="239" t="s">
        <v>564</v>
      </c>
      <c r="G24" s="239" t="s">
        <v>647</v>
      </c>
      <c r="H24" s="237" t="s">
        <v>210</v>
      </c>
      <c r="I24" s="367">
        <f>'Consolidado-Eletronorte'!AI47/1000</f>
        <v>0</v>
      </c>
      <c r="J24" s="367">
        <f>'Consolidado-Eletronorte'!AJ47/1000</f>
        <v>0</v>
      </c>
      <c r="K24" s="367">
        <f>'Consolidado-Eletronorte'!AK47/1000</f>
        <v>0</v>
      </c>
      <c r="L24" s="367">
        <f>'Consolidado-Eletronorte'!AL47/1000</f>
        <v>0</v>
      </c>
      <c r="M24" s="367">
        <f>'Consolidado-Eletronorte'!AM47/1000</f>
        <v>0</v>
      </c>
      <c r="N24" s="367">
        <f>'Consolidado-Eletronorte'!AN47/1000</f>
        <v>0</v>
      </c>
      <c r="O24" s="367">
        <f>'Consolidado-Eletronorte'!AO47/1000</f>
        <v>0</v>
      </c>
      <c r="P24" s="367">
        <f>'Consolidado-Eletronorte'!AP47/1000</f>
        <v>0</v>
      </c>
      <c r="Q24" s="367">
        <f>'Consolidado-Eletronorte'!AQ47/1000</f>
        <v>0</v>
      </c>
      <c r="R24" s="367">
        <f>'Consolidado-Eletronorte'!AR47/1000</f>
        <v>500</v>
      </c>
      <c r="S24" s="367">
        <f>'Consolidado-Eletronorte'!AS47/1000</f>
        <v>0</v>
      </c>
      <c r="T24" s="367">
        <f>'Consolidado-Eletronorte'!AT47/1000</f>
        <v>0</v>
      </c>
      <c r="U24" s="367">
        <f>'Consolidado-Eletronorte'!AU47/1000</f>
        <v>500</v>
      </c>
      <c r="V24" s="367">
        <f>'Consolidado-Eletronorte'!AV47/1000</f>
        <v>3200</v>
      </c>
      <c r="W24" s="367">
        <f>'Consolidado-Eletronorte'!AW47/1000</f>
        <v>1800</v>
      </c>
      <c r="X24" s="367">
        <f>'Consolidado-Eletronorte'!AX47/1000</f>
        <v>0</v>
      </c>
      <c r="Y24" s="367">
        <f>'Consolidado-Eletronorte'!AY47/1000</f>
        <v>0</v>
      </c>
      <c r="Z24" s="367">
        <f>'Consolidado-Eletronorte'!AZ47/1000</f>
        <v>5500</v>
      </c>
    </row>
    <row r="25" spans="2:26" x14ac:dyDescent="0.3">
      <c r="B25" s="365" t="s">
        <v>260</v>
      </c>
      <c r="C25" s="366" t="s">
        <v>509</v>
      </c>
      <c r="D25" s="366" t="s">
        <v>622</v>
      </c>
      <c r="E25" s="366" t="s">
        <v>624</v>
      </c>
      <c r="F25" s="365" t="s">
        <v>734</v>
      </c>
      <c r="G25" s="365" t="s">
        <v>625</v>
      </c>
      <c r="H25" s="366" t="s">
        <v>229</v>
      </c>
      <c r="I25" s="367">
        <f>'Consolidado-Eletronorte'!AI48/1000</f>
        <v>0</v>
      </c>
      <c r="J25" s="367">
        <f>'Consolidado-Eletronorte'!AJ48/1000</f>
        <v>0</v>
      </c>
      <c r="K25" s="367">
        <f>'Consolidado-Eletronorte'!AK48/1000</f>
        <v>0</v>
      </c>
      <c r="L25" s="367">
        <f>'Consolidado-Eletronorte'!AL48/1000</f>
        <v>0</v>
      </c>
      <c r="M25" s="367">
        <f>'Consolidado-Eletronorte'!AM48/1000</f>
        <v>0</v>
      </c>
      <c r="N25" s="367">
        <f>'Consolidado-Eletronorte'!AN48/1000</f>
        <v>0</v>
      </c>
      <c r="O25" s="367">
        <f>'Consolidado-Eletronorte'!AO48/1000</f>
        <v>0</v>
      </c>
      <c r="P25" s="367">
        <f>'Consolidado-Eletronorte'!AP48/1000</f>
        <v>1000</v>
      </c>
      <c r="Q25" s="367">
        <f>'Consolidado-Eletronorte'!AQ48/1000</f>
        <v>0</v>
      </c>
      <c r="R25" s="367">
        <f>'Consolidado-Eletronorte'!AR48/1000</f>
        <v>0</v>
      </c>
      <c r="S25" s="367">
        <f>'Consolidado-Eletronorte'!AS48/1000</f>
        <v>0</v>
      </c>
      <c r="T25" s="367">
        <f>'Consolidado-Eletronorte'!AT48/1000</f>
        <v>0</v>
      </c>
      <c r="U25" s="367">
        <f>'Consolidado-Eletronorte'!AU48/1000</f>
        <v>1000</v>
      </c>
      <c r="V25" s="367">
        <f>'Consolidado-Eletronorte'!AV48/1000</f>
        <v>2100</v>
      </c>
      <c r="W25" s="367">
        <f>'Consolidado-Eletronorte'!AW48/1000</f>
        <v>0</v>
      </c>
      <c r="X25" s="367">
        <f>'Consolidado-Eletronorte'!AX48/1000</f>
        <v>0</v>
      </c>
      <c r="Y25" s="367">
        <f>'Consolidado-Eletronorte'!AY48/1000</f>
        <v>0</v>
      </c>
      <c r="Z25" s="367">
        <f>'Consolidado-Eletronorte'!AZ48/1000</f>
        <v>3100</v>
      </c>
    </row>
    <row r="26" spans="2:26" x14ac:dyDescent="0.3">
      <c r="B26" s="239" t="s">
        <v>228</v>
      </c>
      <c r="C26" s="237" t="s">
        <v>509</v>
      </c>
      <c r="D26" s="237" t="s">
        <v>509</v>
      </c>
      <c r="E26" s="237" t="s">
        <v>577</v>
      </c>
      <c r="F26" s="239">
        <v>3400002925</v>
      </c>
      <c r="G26" s="239" t="s">
        <v>650</v>
      </c>
      <c r="H26" s="237" t="s">
        <v>229</v>
      </c>
      <c r="I26" s="367">
        <f>'Consolidado-Eletronorte'!AI49/1000</f>
        <v>0</v>
      </c>
      <c r="J26" s="367">
        <f>'Consolidado-Eletronorte'!AJ49/1000</f>
        <v>500</v>
      </c>
      <c r="K26" s="367">
        <f>'Consolidado-Eletronorte'!AK49/1000</f>
        <v>0</v>
      </c>
      <c r="L26" s="367">
        <f>'Consolidado-Eletronorte'!AL49/1000</f>
        <v>0</v>
      </c>
      <c r="M26" s="367">
        <f>'Consolidado-Eletronorte'!AM49/1000</f>
        <v>0</v>
      </c>
      <c r="N26" s="367">
        <f>'Consolidado-Eletronorte'!AN49/1000</f>
        <v>1000</v>
      </c>
      <c r="O26" s="367">
        <f>'Consolidado-Eletronorte'!AO49/1000</f>
        <v>0</v>
      </c>
      <c r="P26" s="367">
        <f>'Consolidado-Eletronorte'!AP49/1000</f>
        <v>0</v>
      </c>
      <c r="Q26" s="367">
        <f>'Consolidado-Eletronorte'!AQ49/1000</f>
        <v>0</v>
      </c>
      <c r="R26" s="367">
        <f>'Consolidado-Eletronorte'!AR49/1000</f>
        <v>1500</v>
      </c>
      <c r="S26" s="367">
        <f>'Consolidado-Eletronorte'!AS49/1000</f>
        <v>0</v>
      </c>
      <c r="T26" s="367">
        <f>'Consolidado-Eletronorte'!AT49/1000</f>
        <v>0</v>
      </c>
      <c r="U26" s="367">
        <f>'Consolidado-Eletronorte'!AU49/1000</f>
        <v>3000</v>
      </c>
      <c r="V26" s="367">
        <f>'Consolidado-Eletronorte'!AV49/1000</f>
        <v>0</v>
      </c>
      <c r="W26" s="367">
        <f>'Consolidado-Eletronorte'!AW49/1000</f>
        <v>0</v>
      </c>
      <c r="X26" s="367">
        <f>'Consolidado-Eletronorte'!AX49/1000</f>
        <v>0</v>
      </c>
      <c r="Y26" s="367">
        <f>'Consolidado-Eletronorte'!AY49/1000</f>
        <v>0</v>
      </c>
      <c r="Z26" s="367">
        <f>'Consolidado-Eletronorte'!AZ49/1000</f>
        <v>3000</v>
      </c>
    </row>
    <row r="27" spans="2:26" x14ac:dyDescent="0.3">
      <c r="B27" s="365" t="s">
        <v>346</v>
      </c>
      <c r="C27" s="366" t="s">
        <v>509</v>
      </c>
      <c r="D27" s="366" t="s">
        <v>509</v>
      </c>
      <c r="E27" s="366" t="s">
        <v>555</v>
      </c>
      <c r="F27" s="365" t="s">
        <v>962</v>
      </c>
      <c r="G27" s="365" t="s">
        <v>682</v>
      </c>
      <c r="H27" s="366" t="s">
        <v>319</v>
      </c>
      <c r="I27" s="367">
        <f>'Consolidado-Eletronorte'!AI50/1000</f>
        <v>0</v>
      </c>
      <c r="J27" s="367">
        <f>'Consolidado-Eletronorte'!AJ50/1000</f>
        <v>0</v>
      </c>
      <c r="K27" s="367">
        <f>'Consolidado-Eletronorte'!AK50/1000</f>
        <v>0</v>
      </c>
      <c r="L27" s="367">
        <f>'Consolidado-Eletronorte'!AL50/1000</f>
        <v>0</v>
      </c>
      <c r="M27" s="367">
        <f>'Consolidado-Eletronorte'!AM50/1000</f>
        <v>0</v>
      </c>
      <c r="N27" s="367">
        <f>'Consolidado-Eletronorte'!AN50/1000</f>
        <v>0</v>
      </c>
      <c r="O27" s="367">
        <f>'Consolidado-Eletronorte'!AO50/1000</f>
        <v>0</v>
      </c>
      <c r="P27" s="367">
        <f>'Consolidado-Eletronorte'!AP50/1000</f>
        <v>0</v>
      </c>
      <c r="Q27" s="367">
        <f>'Consolidado-Eletronorte'!AQ50/1000</f>
        <v>0</v>
      </c>
      <c r="R27" s="367">
        <f>'Consolidado-Eletronorte'!AR50/1000</f>
        <v>0</v>
      </c>
      <c r="S27" s="367">
        <f>'Consolidado-Eletronorte'!AS50/1000</f>
        <v>0</v>
      </c>
      <c r="T27" s="367">
        <f>'Consolidado-Eletronorte'!AT50/1000</f>
        <v>0</v>
      </c>
      <c r="U27" s="367">
        <f>'Consolidado-Eletronorte'!AU50/1000</f>
        <v>0</v>
      </c>
      <c r="V27" s="367">
        <f>'Consolidado-Eletronorte'!AV50/1000</f>
        <v>2000</v>
      </c>
      <c r="W27" s="367">
        <f>'Consolidado-Eletronorte'!AW50/1000</f>
        <v>2500</v>
      </c>
      <c r="X27" s="367">
        <f>'Consolidado-Eletronorte'!AX50/1000</f>
        <v>1500</v>
      </c>
      <c r="Y27" s="367">
        <f>'Consolidado-Eletronorte'!AY50/1000</f>
        <v>0</v>
      </c>
      <c r="Z27" s="367">
        <f>'Consolidado-Eletronorte'!AZ50/1000</f>
        <v>6000</v>
      </c>
    </row>
    <row r="28" spans="2:26" x14ac:dyDescent="0.3">
      <c r="B28" s="239" t="s">
        <v>340</v>
      </c>
      <c r="C28" s="237" t="s">
        <v>509</v>
      </c>
      <c r="D28" s="237" t="s">
        <v>509</v>
      </c>
      <c r="E28" s="237" t="s">
        <v>555</v>
      </c>
      <c r="F28" s="239">
        <v>4500084896</v>
      </c>
      <c r="G28" s="239" t="s">
        <v>762</v>
      </c>
      <c r="H28" s="237" t="s">
        <v>319</v>
      </c>
      <c r="I28" s="367">
        <f>'Consolidado-Eletronorte'!AI51/1000</f>
        <v>0</v>
      </c>
      <c r="J28" s="367">
        <f>'Consolidado-Eletronorte'!AJ51/1000</f>
        <v>0</v>
      </c>
      <c r="K28" s="367">
        <f>'Consolidado-Eletronorte'!AK51/1000</f>
        <v>0</v>
      </c>
      <c r="L28" s="367">
        <f>'Consolidado-Eletronorte'!AL51/1000</f>
        <v>0</v>
      </c>
      <c r="M28" s="367">
        <f>'Consolidado-Eletronorte'!AM51/1000</f>
        <v>0</v>
      </c>
      <c r="N28" s="367">
        <f>'Consolidado-Eletronorte'!AN51/1000</f>
        <v>0</v>
      </c>
      <c r="O28" s="367">
        <f>'Consolidado-Eletronorte'!AO51/1000</f>
        <v>0</v>
      </c>
      <c r="P28" s="367">
        <f>'Consolidado-Eletronorte'!AP51/1000</f>
        <v>0</v>
      </c>
      <c r="Q28" s="367">
        <f>'Consolidado-Eletronorte'!AQ51/1000</f>
        <v>0</v>
      </c>
      <c r="R28" s="367">
        <f>'Consolidado-Eletronorte'!AR51/1000</f>
        <v>0</v>
      </c>
      <c r="S28" s="367">
        <f>'Consolidado-Eletronorte'!AS51/1000</f>
        <v>1000</v>
      </c>
      <c r="T28" s="367">
        <f>'Consolidado-Eletronorte'!AT51/1000</f>
        <v>0</v>
      </c>
      <c r="U28" s="367">
        <f>'Consolidado-Eletronorte'!AU51/1000</f>
        <v>1000</v>
      </c>
      <c r="V28" s="367">
        <f>'Consolidado-Eletronorte'!AV51/1000</f>
        <v>2500</v>
      </c>
      <c r="W28" s="367">
        <f>'Consolidado-Eletronorte'!AW51/1000</f>
        <v>2500</v>
      </c>
      <c r="X28" s="367">
        <f>'Consolidado-Eletronorte'!AX51/1000</f>
        <v>0</v>
      </c>
      <c r="Y28" s="367">
        <f>'Consolidado-Eletronorte'!AY51/1000</f>
        <v>0</v>
      </c>
      <c r="Z28" s="367">
        <f>'Consolidado-Eletronorte'!AZ51/1000</f>
        <v>6000</v>
      </c>
    </row>
    <row r="29" spans="2:26" x14ac:dyDescent="0.3">
      <c r="B29" s="365" t="s">
        <v>273</v>
      </c>
      <c r="C29" s="366" t="s">
        <v>509</v>
      </c>
      <c r="D29" s="366" t="s">
        <v>509</v>
      </c>
      <c r="E29" s="366" t="s">
        <v>555</v>
      </c>
      <c r="F29" s="365">
        <v>3400004431</v>
      </c>
      <c r="G29" s="365" t="s">
        <v>888</v>
      </c>
      <c r="H29" s="366" t="s">
        <v>229</v>
      </c>
      <c r="I29" s="367">
        <f>'Consolidado-Eletronorte'!AI52/1000</f>
        <v>0</v>
      </c>
      <c r="J29" s="367">
        <f>'Consolidado-Eletronorte'!AJ52/1000</f>
        <v>0</v>
      </c>
      <c r="K29" s="367">
        <f>'Consolidado-Eletronorte'!AK52/1000</f>
        <v>0</v>
      </c>
      <c r="L29" s="367">
        <f>'Consolidado-Eletronorte'!AL52/1000</f>
        <v>0</v>
      </c>
      <c r="M29" s="367">
        <f>'Consolidado-Eletronorte'!AM52/1000</f>
        <v>0</v>
      </c>
      <c r="N29" s="367">
        <f>'Consolidado-Eletronorte'!AN52/1000</f>
        <v>0</v>
      </c>
      <c r="O29" s="367">
        <f>'Consolidado-Eletronorte'!AO52/1000</f>
        <v>0</v>
      </c>
      <c r="P29" s="367">
        <f>'Consolidado-Eletronorte'!AP52/1000</f>
        <v>0</v>
      </c>
      <c r="Q29" s="367">
        <f>'Consolidado-Eletronorte'!AQ52/1000</f>
        <v>0</v>
      </c>
      <c r="R29" s="367">
        <f>'Consolidado-Eletronorte'!AR52/1000</f>
        <v>0</v>
      </c>
      <c r="S29" s="367">
        <f>'Consolidado-Eletronorte'!AS52/1000</f>
        <v>0</v>
      </c>
      <c r="T29" s="367">
        <f>'Consolidado-Eletronorte'!AT52/1000</f>
        <v>0</v>
      </c>
      <c r="U29" s="367">
        <f>'Consolidado-Eletronorte'!AU52/1000</f>
        <v>0</v>
      </c>
      <c r="V29" s="367">
        <f>'Consolidado-Eletronorte'!AV52/1000</f>
        <v>3000</v>
      </c>
      <c r="W29" s="367">
        <f>'Consolidado-Eletronorte'!AW52/1000</f>
        <v>0</v>
      </c>
      <c r="X29" s="367">
        <f>'Consolidado-Eletronorte'!AX52/1000</f>
        <v>0</v>
      </c>
      <c r="Y29" s="367">
        <f>'Consolidado-Eletronorte'!AY52/1000</f>
        <v>0</v>
      </c>
      <c r="Z29" s="367">
        <f>'Consolidado-Eletronorte'!AZ52/1000</f>
        <v>3000</v>
      </c>
    </row>
    <row r="30" spans="2:26" x14ac:dyDescent="0.3">
      <c r="B30" s="239" t="s">
        <v>281</v>
      </c>
      <c r="C30" s="237" t="s">
        <v>509</v>
      </c>
      <c r="D30" s="237" t="s">
        <v>509</v>
      </c>
      <c r="E30" s="237" t="s">
        <v>577</v>
      </c>
      <c r="F30" s="239" t="s">
        <v>564</v>
      </c>
      <c r="G30" s="239" t="s">
        <v>671</v>
      </c>
      <c r="H30" s="237" t="s">
        <v>276</v>
      </c>
      <c r="I30" s="367">
        <f>'Consolidado-Eletronorte'!AI53/1000</f>
        <v>0</v>
      </c>
      <c r="J30" s="367">
        <f>'Consolidado-Eletronorte'!AJ53/1000</f>
        <v>0</v>
      </c>
      <c r="K30" s="367">
        <f>'Consolidado-Eletronorte'!AK53/1000</f>
        <v>0</v>
      </c>
      <c r="L30" s="367">
        <f>'Consolidado-Eletronorte'!AL53/1000</f>
        <v>0</v>
      </c>
      <c r="M30" s="367">
        <f>'Consolidado-Eletronorte'!AM53/1000</f>
        <v>0</v>
      </c>
      <c r="N30" s="367">
        <f>'Consolidado-Eletronorte'!AN53/1000</f>
        <v>0</v>
      </c>
      <c r="O30" s="367">
        <f>'Consolidado-Eletronorte'!AO53/1000</f>
        <v>0</v>
      </c>
      <c r="P30" s="367">
        <f>'Consolidado-Eletronorte'!AP53/1000</f>
        <v>0</v>
      </c>
      <c r="Q30" s="367">
        <f>'Consolidado-Eletronorte'!AQ53/1000</f>
        <v>0</v>
      </c>
      <c r="R30" s="367">
        <f>'Consolidado-Eletronorte'!AR53/1000</f>
        <v>0</v>
      </c>
      <c r="S30" s="367">
        <f>'Consolidado-Eletronorte'!AS53/1000</f>
        <v>0</v>
      </c>
      <c r="T30" s="367">
        <f>'Consolidado-Eletronorte'!AT53/1000</f>
        <v>0</v>
      </c>
      <c r="U30" s="367">
        <f>'Consolidado-Eletronorte'!AU53/1000</f>
        <v>0</v>
      </c>
      <c r="V30" s="367">
        <f>'Consolidado-Eletronorte'!AV53/1000</f>
        <v>1750</v>
      </c>
      <c r="W30" s="367">
        <f>'Consolidado-Eletronorte'!AW53/1000</f>
        <v>0</v>
      </c>
      <c r="X30" s="367">
        <f>'Consolidado-Eletronorte'!AX53/1000</f>
        <v>0</v>
      </c>
      <c r="Y30" s="367">
        <f>'Consolidado-Eletronorte'!AY53/1000</f>
        <v>0</v>
      </c>
      <c r="Z30" s="367">
        <f>'Consolidado-Eletronorte'!AZ53/1000</f>
        <v>1750</v>
      </c>
    </row>
    <row r="31" spans="2:26" x14ac:dyDescent="0.3">
      <c r="B31" s="365" t="s">
        <v>283</v>
      </c>
      <c r="C31" s="366" t="s">
        <v>509</v>
      </c>
      <c r="D31" s="366" t="s">
        <v>509</v>
      </c>
      <c r="E31" s="366" t="s">
        <v>577</v>
      </c>
      <c r="F31" s="365" t="s">
        <v>564</v>
      </c>
      <c r="G31" s="365" t="s">
        <v>674</v>
      </c>
      <c r="H31" s="366" t="s">
        <v>276</v>
      </c>
      <c r="I31" s="367">
        <f>'Consolidado-Eletronorte'!AI54/1000</f>
        <v>0</v>
      </c>
      <c r="J31" s="367">
        <f>'Consolidado-Eletronorte'!AJ54/1000</f>
        <v>0</v>
      </c>
      <c r="K31" s="367">
        <f>'Consolidado-Eletronorte'!AK54/1000</f>
        <v>0</v>
      </c>
      <c r="L31" s="367">
        <f>'Consolidado-Eletronorte'!AL54/1000</f>
        <v>0</v>
      </c>
      <c r="M31" s="367">
        <f>'Consolidado-Eletronorte'!AM54/1000</f>
        <v>0</v>
      </c>
      <c r="N31" s="367">
        <f>'Consolidado-Eletronorte'!AN54/1000</f>
        <v>0</v>
      </c>
      <c r="O31" s="367">
        <f>'Consolidado-Eletronorte'!AO54/1000</f>
        <v>0</v>
      </c>
      <c r="P31" s="367">
        <f>'Consolidado-Eletronorte'!AP54/1000</f>
        <v>0</v>
      </c>
      <c r="Q31" s="367">
        <f>'Consolidado-Eletronorte'!AQ54/1000</f>
        <v>0</v>
      </c>
      <c r="R31" s="367">
        <f>'Consolidado-Eletronorte'!AR54/1000</f>
        <v>0</v>
      </c>
      <c r="S31" s="367">
        <f>'Consolidado-Eletronorte'!AS54/1000</f>
        <v>0</v>
      </c>
      <c r="T31" s="367">
        <f>'Consolidado-Eletronorte'!AT54/1000</f>
        <v>0</v>
      </c>
      <c r="U31" s="367">
        <f>'Consolidado-Eletronorte'!AU54/1000</f>
        <v>0</v>
      </c>
      <c r="V31" s="367">
        <f>'Consolidado-Eletronorte'!AV54/1000</f>
        <v>1750</v>
      </c>
      <c r="W31" s="367">
        <f>'Consolidado-Eletronorte'!AW54/1000</f>
        <v>0</v>
      </c>
      <c r="X31" s="367">
        <f>'Consolidado-Eletronorte'!AX54/1000</f>
        <v>0</v>
      </c>
      <c r="Y31" s="367">
        <f>'Consolidado-Eletronorte'!AY54/1000</f>
        <v>0</v>
      </c>
      <c r="Z31" s="367">
        <f>'Consolidado-Eletronorte'!AZ54/1000</f>
        <v>1750</v>
      </c>
    </row>
    <row r="32" spans="2:26" x14ac:dyDescent="0.3">
      <c r="B32" s="239" t="s">
        <v>348</v>
      </c>
      <c r="C32" s="237" t="s">
        <v>509</v>
      </c>
      <c r="D32" s="237" t="s">
        <v>509</v>
      </c>
      <c r="E32" s="237" t="s">
        <v>685</v>
      </c>
      <c r="F32" s="239" t="s">
        <v>564</v>
      </c>
      <c r="G32" s="239" t="s">
        <v>686</v>
      </c>
      <c r="H32" s="237" t="s">
        <v>319</v>
      </c>
      <c r="I32" s="367">
        <f>'Consolidado-Eletronorte'!AI55/1000</f>
        <v>0</v>
      </c>
      <c r="J32" s="367">
        <f>'Consolidado-Eletronorte'!AJ55/1000</f>
        <v>0</v>
      </c>
      <c r="K32" s="367">
        <f>'Consolidado-Eletronorte'!AK55/1000</f>
        <v>0</v>
      </c>
      <c r="L32" s="367">
        <f>'Consolidado-Eletronorte'!AL55/1000</f>
        <v>0</v>
      </c>
      <c r="M32" s="367">
        <f>'Consolidado-Eletronorte'!AM55/1000</f>
        <v>0</v>
      </c>
      <c r="N32" s="367">
        <f>'Consolidado-Eletronorte'!AN55/1000</f>
        <v>0</v>
      </c>
      <c r="O32" s="367">
        <f>'Consolidado-Eletronorte'!AO55/1000</f>
        <v>0</v>
      </c>
      <c r="P32" s="367">
        <f>'Consolidado-Eletronorte'!AP55/1000</f>
        <v>0</v>
      </c>
      <c r="Q32" s="367">
        <f>'Consolidado-Eletronorte'!AQ55/1000</f>
        <v>0</v>
      </c>
      <c r="R32" s="367">
        <f>'Consolidado-Eletronorte'!AR55/1000</f>
        <v>0</v>
      </c>
      <c r="S32" s="367">
        <f>'Consolidado-Eletronorte'!AS55/1000</f>
        <v>0</v>
      </c>
      <c r="T32" s="367">
        <f>'Consolidado-Eletronorte'!AT55/1000</f>
        <v>0</v>
      </c>
      <c r="U32" s="367">
        <f>'Consolidado-Eletronorte'!AU55/1000</f>
        <v>0</v>
      </c>
      <c r="V32" s="367">
        <f>'Consolidado-Eletronorte'!AV55/1000</f>
        <v>3000</v>
      </c>
      <c r="W32" s="367">
        <f>'Consolidado-Eletronorte'!AW55/1000</f>
        <v>2500</v>
      </c>
      <c r="X32" s="367">
        <f>'Consolidado-Eletronorte'!AX55/1000</f>
        <v>0</v>
      </c>
      <c r="Y32" s="367">
        <f>'Consolidado-Eletronorte'!AY55/1000</f>
        <v>0</v>
      </c>
      <c r="Z32" s="367">
        <f>'Consolidado-Eletronorte'!AZ55/1000</f>
        <v>5500</v>
      </c>
    </row>
    <row r="33" spans="2:26" x14ac:dyDescent="0.3">
      <c r="B33" s="365" t="s">
        <v>403</v>
      </c>
      <c r="C33" s="366" t="s">
        <v>509</v>
      </c>
      <c r="D33" s="366" t="s">
        <v>509</v>
      </c>
      <c r="E33" s="366" t="s">
        <v>555</v>
      </c>
      <c r="F33" s="365" t="s">
        <v>564</v>
      </c>
      <c r="G33" s="365" t="s">
        <v>797</v>
      </c>
      <c r="H33" s="366" t="s">
        <v>319</v>
      </c>
      <c r="I33" s="367">
        <f>'Consolidado-Eletronorte'!AI56/1000</f>
        <v>166.66666666666666</v>
      </c>
      <c r="J33" s="367">
        <f>'Consolidado-Eletronorte'!AJ56/1000</f>
        <v>166.66666666666666</v>
      </c>
      <c r="K33" s="367">
        <f>'Consolidado-Eletronorte'!AK56/1000</f>
        <v>166.66666666666666</v>
      </c>
      <c r="L33" s="367">
        <f>'Consolidado-Eletronorte'!AL56/1000</f>
        <v>166.66666666666666</v>
      </c>
      <c r="M33" s="367">
        <f>'Consolidado-Eletronorte'!AM56/1000</f>
        <v>166.66666666666666</v>
      </c>
      <c r="N33" s="367">
        <f>'Consolidado-Eletronorte'!AN56/1000</f>
        <v>166.66666666666666</v>
      </c>
      <c r="O33" s="367">
        <f>'Consolidado-Eletronorte'!AO56/1000</f>
        <v>166.66666666666666</v>
      </c>
      <c r="P33" s="367">
        <f>'Consolidado-Eletronorte'!AP56/1000</f>
        <v>166.66666666666666</v>
      </c>
      <c r="Q33" s="367">
        <f>'Consolidado-Eletronorte'!AQ56/1000</f>
        <v>166.66666666666666</v>
      </c>
      <c r="R33" s="367">
        <f>'Consolidado-Eletronorte'!AR56/1000</f>
        <v>166.66666666666666</v>
      </c>
      <c r="S33" s="367">
        <f>'Consolidado-Eletronorte'!AS56/1000</f>
        <v>166.66666666666666</v>
      </c>
      <c r="T33" s="367">
        <f>'Consolidado-Eletronorte'!AT56/1000</f>
        <v>166.66666666666666</v>
      </c>
      <c r="U33" s="367">
        <f>'Consolidado-Eletronorte'!AU56/1000</f>
        <v>2000.0000000000002</v>
      </c>
      <c r="V33" s="367">
        <f>'Consolidado-Eletronorte'!AV56/1000</f>
        <v>2000</v>
      </c>
      <c r="W33" s="367">
        <f>'Consolidado-Eletronorte'!AW56/1000</f>
        <v>1000</v>
      </c>
      <c r="X33" s="367">
        <f>'Consolidado-Eletronorte'!AX56/1000</f>
        <v>0</v>
      </c>
      <c r="Y33" s="367">
        <f>'Consolidado-Eletronorte'!AY56/1000</f>
        <v>0</v>
      </c>
      <c r="Z33" s="367">
        <f>'Consolidado-Eletronorte'!AZ56/1000</f>
        <v>5000</v>
      </c>
    </row>
    <row r="34" spans="2:26" x14ac:dyDescent="0.3">
      <c r="B34" s="239" t="s">
        <v>384</v>
      </c>
      <c r="C34" s="237" t="s">
        <v>509</v>
      </c>
      <c r="D34" s="237" t="s">
        <v>509</v>
      </c>
      <c r="E34" s="237" t="s">
        <v>727</v>
      </c>
      <c r="F34" s="239">
        <v>4500079784</v>
      </c>
      <c r="G34" s="239" t="s">
        <v>730</v>
      </c>
      <c r="H34" s="237" t="s">
        <v>319</v>
      </c>
      <c r="I34" s="367">
        <f>'Consolidado-Eletronorte'!AI57/1000</f>
        <v>0</v>
      </c>
      <c r="J34" s="367">
        <f>'Consolidado-Eletronorte'!AJ57/1000</f>
        <v>0</v>
      </c>
      <c r="K34" s="367">
        <f>'Consolidado-Eletronorte'!AK57/1000</f>
        <v>0</v>
      </c>
      <c r="L34" s="367" t="e">
        <f>'Consolidado-Eletronorte'!AL57/1000</f>
        <v>#VALUE!</v>
      </c>
      <c r="M34" s="367">
        <f>'Consolidado-Eletronorte'!AM57/1000</f>
        <v>0</v>
      </c>
      <c r="N34" s="367">
        <f>'Consolidado-Eletronorte'!AN57/1000</f>
        <v>0</v>
      </c>
      <c r="O34" s="367">
        <f>'Consolidado-Eletronorte'!AO57/1000</f>
        <v>0</v>
      </c>
      <c r="P34" s="367">
        <f>'Consolidado-Eletronorte'!AP57/1000</f>
        <v>0</v>
      </c>
      <c r="Q34" s="367">
        <f>'Consolidado-Eletronorte'!AQ57/1000</f>
        <v>0</v>
      </c>
      <c r="R34" s="367">
        <f>'Consolidado-Eletronorte'!AR57/1000</f>
        <v>0</v>
      </c>
      <c r="S34" s="367">
        <f>'Consolidado-Eletronorte'!AS57/1000</f>
        <v>0</v>
      </c>
      <c r="T34" s="367">
        <f>'Consolidado-Eletronorte'!AT57/1000</f>
        <v>0</v>
      </c>
      <c r="U34" s="367">
        <f>'Consolidado-Eletronorte'!AU57/1000</f>
        <v>0</v>
      </c>
      <c r="V34" s="367">
        <f>'Consolidado-Eletronorte'!AV57/1000</f>
        <v>1300</v>
      </c>
      <c r="W34" s="367">
        <f>'Consolidado-Eletronorte'!AW57/1000</f>
        <v>1300</v>
      </c>
      <c r="X34" s="367">
        <f>'Consolidado-Eletronorte'!AX57/1000</f>
        <v>1950</v>
      </c>
      <c r="Y34" s="367">
        <f>'Consolidado-Eletronorte'!AY57/1000</f>
        <v>0</v>
      </c>
      <c r="Z34" s="367">
        <f>'Consolidado-Eletronorte'!AZ57/1000</f>
        <v>4550</v>
      </c>
    </row>
    <row r="35" spans="2:26" x14ac:dyDescent="0.3">
      <c r="B35" s="365" t="s">
        <v>390</v>
      </c>
      <c r="C35" s="366" t="s">
        <v>509</v>
      </c>
      <c r="D35" s="366" t="s">
        <v>509</v>
      </c>
      <c r="E35" s="366" t="s">
        <v>555</v>
      </c>
      <c r="F35" s="365">
        <v>4500086920</v>
      </c>
      <c r="G35" s="365" t="s">
        <v>767</v>
      </c>
      <c r="H35" s="366" t="s">
        <v>319</v>
      </c>
      <c r="I35" s="367">
        <f>'Consolidado-Eletronorte'!AI58/1000</f>
        <v>0</v>
      </c>
      <c r="J35" s="367">
        <f>'Consolidado-Eletronorte'!AJ58/1000</f>
        <v>0</v>
      </c>
      <c r="K35" s="367">
        <f>'Consolidado-Eletronorte'!AK58/1000</f>
        <v>450</v>
      </c>
      <c r="L35" s="367">
        <f>'Consolidado-Eletronorte'!AL58/1000</f>
        <v>0</v>
      </c>
      <c r="M35" s="367">
        <f>'Consolidado-Eletronorte'!AM58/1000</f>
        <v>550</v>
      </c>
      <c r="N35" s="367">
        <f>'Consolidado-Eletronorte'!AN58/1000</f>
        <v>0</v>
      </c>
      <c r="O35" s="367">
        <f>'Consolidado-Eletronorte'!AO58/1000</f>
        <v>0</v>
      </c>
      <c r="P35" s="367">
        <f>'Consolidado-Eletronorte'!AP58/1000</f>
        <v>0</v>
      </c>
      <c r="Q35" s="367">
        <f>'Consolidado-Eletronorte'!AQ58/1000</f>
        <v>0</v>
      </c>
      <c r="R35" s="367">
        <f>'Consolidado-Eletronorte'!AR58/1000</f>
        <v>0</v>
      </c>
      <c r="S35" s="367">
        <f>'Consolidado-Eletronorte'!AS58/1000</f>
        <v>0</v>
      </c>
      <c r="T35" s="367">
        <f>'Consolidado-Eletronorte'!AT58/1000</f>
        <v>0</v>
      </c>
      <c r="U35" s="367">
        <f>'Consolidado-Eletronorte'!AU58/1000</f>
        <v>1000</v>
      </c>
      <c r="V35" s="367">
        <f>'Consolidado-Eletronorte'!AV58/1000</f>
        <v>3000</v>
      </c>
      <c r="W35" s="367">
        <f>'Consolidado-Eletronorte'!AW58/1000</f>
        <v>0</v>
      </c>
      <c r="X35" s="367">
        <f>'Consolidado-Eletronorte'!AX58/1000</f>
        <v>0</v>
      </c>
      <c r="Y35" s="367">
        <f>'Consolidado-Eletronorte'!AY58/1000</f>
        <v>0</v>
      </c>
      <c r="Z35" s="367">
        <f>'Consolidado-Eletronorte'!AZ58/1000</f>
        <v>4000</v>
      </c>
    </row>
    <row r="36" spans="2:26" x14ac:dyDescent="0.3">
      <c r="B36" s="239" t="s">
        <v>371</v>
      </c>
      <c r="C36" s="237" t="s">
        <v>509</v>
      </c>
      <c r="D36" s="237" t="s">
        <v>509</v>
      </c>
      <c r="E36" s="237" t="s">
        <v>577</v>
      </c>
      <c r="F36" s="239" t="s">
        <v>564</v>
      </c>
      <c r="G36" s="239" t="s">
        <v>371</v>
      </c>
      <c r="H36" s="237" t="s">
        <v>319</v>
      </c>
      <c r="I36" s="367">
        <f>'Consolidado-Eletronorte'!AI59/1000</f>
        <v>0</v>
      </c>
      <c r="J36" s="367">
        <f>'Consolidado-Eletronorte'!AJ59/1000</f>
        <v>0</v>
      </c>
      <c r="K36" s="367">
        <f>'Consolidado-Eletronorte'!AK59/1000</f>
        <v>0</v>
      </c>
      <c r="L36" s="367">
        <f>'Consolidado-Eletronorte'!AL59/1000</f>
        <v>0</v>
      </c>
      <c r="M36" s="367">
        <f>'Consolidado-Eletronorte'!AM59/1000</f>
        <v>0</v>
      </c>
      <c r="N36" s="367">
        <f>'Consolidado-Eletronorte'!AN59/1000</f>
        <v>0</v>
      </c>
      <c r="O36" s="367">
        <f>'Consolidado-Eletronorte'!AO59/1000</f>
        <v>0</v>
      </c>
      <c r="P36" s="367">
        <f>'Consolidado-Eletronorte'!AP59/1000</f>
        <v>0</v>
      </c>
      <c r="Q36" s="367">
        <f>'Consolidado-Eletronorte'!AQ59/1000</f>
        <v>0</v>
      </c>
      <c r="R36" s="367">
        <f>'Consolidado-Eletronorte'!AR59/1000</f>
        <v>0</v>
      </c>
      <c r="S36" s="367">
        <f>'Consolidado-Eletronorte'!AS59/1000</f>
        <v>0</v>
      </c>
      <c r="T36" s="367">
        <f>'Consolidado-Eletronorte'!AT59/1000</f>
        <v>0</v>
      </c>
      <c r="U36" s="367">
        <f>'Consolidado-Eletronorte'!AU59/1000</f>
        <v>0</v>
      </c>
      <c r="V36" s="367">
        <f>'Consolidado-Eletronorte'!AV59/1000</f>
        <v>1000</v>
      </c>
      <c r="W36" s="367">
        <f>'Consolidado-Eletronorte'!AW59/1000</f>
        <v>3000</v>
      </c>
      <c r="X36" s="367">
        <f>'Consolidado-Eletronorte'!AX59/1000</f>
        <v>0</v>
      </c>
      <c r="Y36" s="367">
        <f>'Consolidado-Eletronorte'!AY59/1000</f>
        <v>0</v>
      </c>
      <c r="Z36" s="367">
        <f>'Consolidado-Eletronorte'!AZ59/1000</f>
        <v>4000</v>
      </c>
    </row>
    <row r="37" spans="2:26" x14ac:dyDescent="0.3">
      <c r="B37" s="365" t="s">
        <v>373</v>
      </c>
      <c r="C37" s="366" t="s">
        <v>509</v>
      </c>
      <c r="D37" s="366" t="s">
        <v>509</v>
      </c>
      <c r="E37" s="366" t="s">
        <v>577</v>
      </c>
      <c r="F37" s="365" t="s">
        <v>564</v>
      </c>
      <c r="G37" s="365" t="s">
        <v>814</v>
      </c>
      <c r="H37" s="366" t="s">
        <v>319</v>
      </c>
      <c r="I37" s="367">
        <f>'Consolidado-Eletronorte'!AI60/1000</f>
        <v>0</v>
      </c>
      <c r="J37" s="367">
        <f>'Consolidado-Eletronorte'!AJ60/1000</f>
        <v>0</v>
      </c>
      <c r="K37" s="367">
        <f>'Consolidado-Eletronorte'!AK60/1000</f>
        <v>0</v>
      </c>
      <c r="L37" s="367">
        <f>'Consolidado-Eletronorte'!AL60/1000</f>
        <v>0</v>
      </c>
      <c r="M37" s="367">
        <f>'Consolidado-Eletronorte'!AM60/1000</f>
        <v>0</v>
      </c>
      <c r="N37" s="367">
        <f>'Consolidado-Eletronorte'!AN60/1000</f>
        <v>0</v>
      </c>
      <c r="O37" s="367">
        <f>'Consolidado-Eletronorte'!AO60/1000</f>
        <v>0</v>
      </c>
      <c r="P37" s="367">
        <f>'Consolidado-Eletronorte'!AP60/1000</f>
        <v>0</v>
      </c>
      <c r="Q37" s="367">
        <f>'Consolidado-Eletronorte'!AQ60/1000</f>
        <v>1000</v>
      </c>
      <c r="R37" s="367">
        <f>'Consolidado-Eletronorte'!AR60/1000</f>
        <v>0</v>
      </c>
      <c r="S37" s="367">
        <f>'Consolidado-Eletronorte'!AS60/1000</f>
        <v>0</v>
      </c>
      <c r="T37" s="367">
        <f>'Consolidado-Eletronorte'!AT60/1000</f>
        <v>0</v>
      </c>
      <c r="U37" s="367">
        <f>'Consolidado-Eletronorte'!AU60/1000</f>
        <v>1000</v>
      </c>
      <c r="V37" s="367">
        <f>'Consolidado-Eletronorte'!AV60/1000</f>
        <v>1000</v>
      </c>
      <c r="W37" s="367">
        <f>'Consolidado-Eletronorte'!AW60/1000</f>
        <v>1000</v>
      </c>
      <c r="X37" s="367">
        <f>'Consolidado-Eletronorte'!AX60/1000</f>
        <v>0</v>
      </c>
      <c r="Y37" s="367">
        <f>'Consolidado-Eletronorte'!AY60/1000</f>
        <v>0</v>
      </c>
      <c r="Z37" s="367">
        <f>'Consolidado-Eletronorte'!AZ60/1000</f>
        <v>3000</v>
      </c>
    </row>
    <row r="38" spans="2:26" x14ac:dyDescent="0.3">
      <c r="B38" s="239" t="s">
        <v>401</v>
      </c>
      <c r="C38" s="237" t="s">
        <v>509</v>
      </c>
      <c r="D38" s="237" t="s">
        <v>509</v>
      </c>
      <c r="E38" s="237" t="s">
        <v>555</v>
      </c>
      <c r="F38" s="239" t="s">
        <v>564</v>
      </c>
      <c r="G38" s="239" t="s">
        <v>781</v>
      </c>
      <c r="H38" s="237" t="s">
        <v>319</v>
      </c>
      <c r="I38" s="367">
        <f>'Consolidado-Eletronorte'!AI61/1000</f>
        <v>0</v>
      </c>
      <c r="J38" s="367">
        <f>'Consolidado-Eletronorte'!AJ61/1000</f>
        <v>500</v>
      </c>
      <c r="K38" s="367">
        <f>'Consolidado-Eletronorte'!AK61/1000</f>
        <v>0</v>
      </c>
      <c r="L38" s="367">
        <f>'Consolidado-Eletronorte'!AL61/1000</f>
        <v>0</v>
      </c>
      <c r="M38" s="367">
        <f>'Consolidado-Eletronorte'!AM61/1000</f>
        <v>0</v>
      </c>
      <c r="N38" s="367">
        <f>'Consolidado-Eletronorte'!AN61/1000</f>
        <v>0</v>
      </c>
      <c r="O38" s="367">
        <f>'Consolidado-Eletronorte'!AO61/1000</f>
        <v>0</v>
      </c>
      <c r="P38" s="367">
        <f>'Consolidado-Eletronorte'!AP61/1000</f>
        <v>500</v>
      </c>
      <c r="Q38" s="367">
        <f>'Consolidado-Eletronorte'!AQ61/1000</f>
        <v>0</v>
      </c>
      <c r="R38" s="367">
        <f>'Consolidado-Eletronorte'!AR61/1000</f>
        <v>0</v>
      </c>
      <c r="S38" s="367">
        <f>'Consolidado-Eletronorte'!AS61/1000</f>
        <v>0</v>
      </c>
      <c r="T38" s="367">
        <f>'Consolidado-Eletronorte'!AT61/1000</f>
        <v>0</v>
      </c>
      <c r="U38" s="367">
        <f>'Consolidado-Eletronorte'!AU61/1000</f>
        <v>1000</v>
      </c>
      <c r="V38" s="367">
        <f>'Consolidado-Eletronorte'!AV61/1000</f>
        <v>1500</v>
      </c>
      <c r="W38" s="367">
        <f>'Consolidado-Eletronorte'!AW61/1000</f>
        <v>0</v>
      </c>
      <c r="X38" s="367">
        <f>'Consolidado-Eletronorte'!AX61/1000</f>
        <v>0</v>
      </c>
      <c r="Y38" s="367">
        <f>'Consolidado-Eletronorte'!AY61/1000</f>
        <v>0</v>
      </c>
      <c r="Z38" s="367">
        <f>'Consolidado-Eletronorte'!AZ61/1000</f>
        <v>2500</v>
      </c>
    </row>
    <row r="39" spans="2:26" x14ac:dyDescent="0.3">
      <c r="B39" s="365" t="s">
        <v>267</v>
      </c>
      <c r="C39" s="366" t="s">
        <v>509</v>
      </c>
      <c r="D39" s="366" t="s">
        <v>509</v>
      </c>
      <c r="E39" s="366" t="s">
        <v>577</v>
      </c>
      <c r="F39" s="365">
        <v>3400002926</v>
      </c>
      <c r="G39" s="365" t="s">
        <v>717</v>
      </c>
      <c r="H39" s="366" t="s">
        <v>229</v>
      </c>
      <c r="I39" s="367">
        <f>'Consolidado-Eletronorte'!AI62/1000</f>
        <v>0</v>
      </c>
      <c r="J39" s="367">
        <f>'Consolidado-Eletronorte'!AJ62/1000</f>
        <v>0</v>
      </c>
      <c r="K39" s="367">
        <f>'Consolidado-Eletronorte'!AK62/1000</f>
        <v>0</v>
      </c>
      <c r="L39" s="367">
        <f>'Consolidado-Eletronorte'!AL62/1000</f>
        <v>0</v>
      </c>
      <c r="M39" s="367">
        <f>'Consolidado-Eletronorte'!AM62/1000</f>
        <v>0</v>
      </c>
      <c r="N39" s="367">
        <f>'Consolidado-Eletronorte'!AN62/1000</f>
        <v>0</v>
      </c>
      <c r="O39" s="367">
        <f>'Consolidado-Eletronorte'!AO62/1000</f>
        <v>0</v>
      </c>
      <c r="P39" s="367">
        <f>'Consolidado-Eletronorte'!AP62/1000</f>
        <v>0</v>
      </c>
      <c r="Q39" s="367">
        <f>'Consolidado-Eletronorte'!AQ62/1000</f>
        <v>0</v>
      </c>
      <c r="R39" s="367">
        <f>'Consolidado-Eletronorte'!AR62/1000</f>
        <v>0</v>
      </c>
      <c r="S39" s="367">
        <f>'Consolidado-Eletronorte'!AS62/1000</f>
        <v>0</v>
      </c>
      <c r="T39" s="367">
        <f>'Consolidado-Eletronorte'!AT62/1000</f>
        <v>0</v>
      </c>
      <c r="U39" s="367">
        <f>'Consolidado-Eletronorte'!AU62/1000</f>
        <v>0</v>
      </c>
      <c r="V39" s="367">
        <f>'Consolidado-Eletronorte'!AV62/1000</f>
        <v>3000</v>
      </c>
      <c r="W39" s="367">
        <f>'Consolidado-Eletronorte'!AW62/1000</f>
        <v>0</v>
      </c>
      <c r="X39" s="367">
        <f>'Consolidado-Eletronorte'!AX62/1000</f>
        <v>0</v>
      </c>
      <c r="Y39" s="367">
        <f>'Consolidado-Eletronorte'!AY62/1000</f>
        <v>0</v>
      </c>
      <c r="Z39" s="367">
        <f>'Consolidado-Eletronorte'!AZ62/1000</f>
        <v>3000</v>
      </c>
    </row>
    <row r="40" spans="2:26" x14ac:dyDescent="0.3">
      <c r="B40" s="239" t="s">
        <v>271</v>
      </c>
      <c r="C40" s="237" t="s">
        <v>509</v>
      </c>
      <c r="D40" s="237" t="s">
        <v>509</v>
      </c>
      <c r="E40" s="237" t="s">
        <v>555</v>
      </c>
      <c r="F40" s="239">
        <v>4500088525</v>
      </c>
      <c r="G40" s="239" t="s">
        <v>893</v>
      </c>
      <c r="H40" s="237" t="s">
        <v>229</v>
      </c>
      <c r="I40" s="367">
        <f>'Consolidado-Eletronorte'!AI63/1000</f>
        <v>0</v>
      </c>
      <c r="J40" s="367">
        <f>'Consolidado-Eletronorte'!AJ63/1000</f>
        <v>0</v>
      </c>
      <c r="K40" s="367">
        <f>'Consolidado-Eletronorte'!AK63/1000</f>
        <v>0</v>
      </c>
      <c r="L40" s="367">
        <f>'Consolidado-Eletronorte'!AL63/1000</f>
        <v>0</v>
      </c>
      <c r="M40" s="367">
        <f>'Consolidado-Eletronorte'!AM63/1000</f>
        <v>0</v>
      </c>
      <c r="N40" s="367">
        <f>'Consolidado-Eletronorte'!AN63/1000</f>
        <v>0</v>
      </c>
      <c r="O40" s="367">
        <f>'Consolidado-Eletronorte'!AO63/1000</f>
        <v>0</v>
      </c>
      <c r="P40" s="367">
        <f>'Consolidado-Eletronorte'!AP63/1000</f>
        <v>0</v>
      </c>
      <c r="Q40" s="367">
        <f>'Consolidado-Eletronorte'!AQ63/1000</f>
        <v>500</v>
      </c>
      <c r="R40" s="367">
        <f>'Consolidado-Eletronorte'!AR63/1000</f>
        <v>0</v>
      </c>
      <c r="S40" s="367">
        <f>'Consolidado-Eletronorte'!AS63/1000</f>
        <v>0</v>
      </c>
      <c r="T40" s="367">
        <f>'Consolidado-Eletronorte'!AT63/1000</f>
        <v>500</v>
      </c>
      <c r="U40" s="367">
        <f>'Consolidado-Eletronorte'!AU63/1000</f>
        <v>1000</v>
      </c>
      <c r="V40" s="367">
        <f>'Consolidado-Eletronorte'!AV63/1000</f>
        <v>1000</v>
      </c>
      <c r="W40" s="367">
        <f>'Consolidado-Eletronorte'!AW63/1000</f>
        <v>700</v>
      </c>
      <c r="X40" s="367">
        <f>'Consolidado-Eletronorte'!AX63/1000</f>
        <v>0</v>
      </c>
      <c r="Y40" s="367">
        <f>'Consolidado-Eletronorte'!AY63/1000</f>
        <v>0</v>
      </c>
      <c r="Z40" s="367">
        <f>'Consolidado-Eletronorte'!AZ63/1000</f>
        <v>2700</v>
      </c>
    </row>
    <row r="41" spans="2:26" x14ac:dyDescent="0.3">
      <c r="B41" s="365" t="s">
        <v>399</v>
      </c>
      <c r="C41" s="366" t="s">
        <v>509</v>
      </c>
      <c r="D41" s="366" t="s">
        <v>509</v>
      </c>
      <c r="E41" s="366" t="s">
        <v>555</v>
      </c>
      <c r="F41" s="365" t="s">
        <v>564</v>
      </c>
      <c r="G41" s="365" t="s">
        <v>778</v>
      </c>
      <c r="H41" s="366" t="s">
        <v>319</v>
      </c>
      <c r="I41" s="367">
        <f>'Consolidado-Eletronorte'!AI64/1000</f>
        <v>0</v>
      </c>
      <c r="J41" s="367">
        <f>'Consolidado-Eletronorte'!AJ64/1000</f>
        <v>0</v>
      </c>
      <c r="K41" s="367">
        <f>'Consolidado-Eletronorte'!AK64/1000</f>
        <v>0</v>
      </c>
      <c r="L41" s="367">
        <f>'Consolidado-Eletronorte'!AL64/1000</f>
        <v>0</v>
      </c>
      <c r="M41" s="367">
        <f>'Consolidado-Eletronorte'!AM64/1000</f>
        <v>0</v>
      </c>
      <c r="N41" s="367">
        <f>'Consolidado-Eletronorte'!AN64/1000</f>
        <v>0</v>
      </c>
      <c r="O41" s="367">
        <f>'Consolidado-Eletronorte'!AO64/1000</f>
        <v>0</v>
      </c>
      <c r="P41" s="367">
        <f>'Consolidado-Eletronorte'!AP64/1000</f>
        <v>0</v>
      </c>
      <c r="Q41" s="367">
        <f>'Consolidado-Eletronorte'!AQ64/1000</f>
        <v>0</v>
      </c>
      <c r="R41" s="367">
        <f>'Consolidado-Eletronorte'!AR64/1000</f>
        <v>0</v>
      </c>
      <c r="S41" s="367">
        <f>'Consolidado-Eletronorte'!AS64/1000</f>
        <v>0</v>
      </c>
      <c r="T41" s="367">
        <f>'Consolidado-Eletronorte'!AT64/1000</f>
        <v>0</v>
      </c>
      <c r="U41" s="367">
        <f>'Consolidado-Eletronorte'!AU64/1000</f>
        <v>0</v>
      </c>
      <c r="V41" s="367">
        <f>'Consolidado-Eletronorte'!AV64/1000</f>
        <v>1000</v>
      </c>
      <c r="W41" s="367">
        <f>'Consolidado-Eletronorte'!AW64/1000</f>
        <v>1000</v>
      </c>
      <c r="X41" s="367">
        <f>'Consolidado-Eletronorte'!AX64/1000</f>
        <v>500</v>
      </c>
      <c r="Y41" s="367">
        <f>'Consolidado-Eletronorte'!AY64/1000</f>
        <v>0</v>
      </c>
      <c r="Z41" s="367">
        <f>'Consolidado-Eletronorte'!AZ64/1000</f>
        <v>2500</v>
      </c>
    </row>
    <row r="42" spans="2:26" x14ac:dyDescent="0.3">
      <c r="B42" s="239" t="s">
        <v>240</v>
      </c>
      <c r="C42" s="237" t="s">
        <v>509</v>
      </c>
      <c r="D42" s="237" t="s">
        <v>509</v>
      </c>
      <c r="E42" s="237" t="s">
        <v>577</v>
      </c>
      <c r="F42" s="239" t="s">
        <v>564</v>
      </c>
      <c r="G42" s="239" t="s">
        <v>633</v>
      </c>
      <c r="H42" s="237" t="s">
        <v>229</v>
      </c>
      <c r="I42" s="367">
        <f>'Consolidado-Eletronorte'!AI65/1000</f>
        <v>0</v>
      </c>
      <c r="J42" s="367">
        <f>'Consolidado-Eletronorte'!AJ65/1000</f>
        <v>0</v>
      </c>
      <c r="K42" s="367">
        <f>'Consolidado-Eletronorte'!AK65/1000</f>
        <v>0</v>
      </c>
      <c r="L42" s="367">
        <f>'Consolidado-Eletronorte'!AL65/1000</f>
        <v>0</v>
      </c>
      <c r="M42" s="367">
        <f>'Consolidado-Eletronorte'!AM65/1000</f>
        <v>0</v>
      </c>
      <c r="N42" s="367">
        <f>'Consolidado-Eletronorte'!AN65/1000</f>
        <v>0</v>
      </c>
      <c r="O42" s="367">
        <f>'Consolidado-Eletronorte'!AO65/1000</f>
        <v>0</v>
      </c>
      <c r="P42" s="367">
        <f>'Consolidado-Eletronorte'!AP65/1000</f>
        <v>0</v>
      </c>
      <c r="Q42" s="367">
        <f>'Consolidado-Eletronorte'!AQ65/1000</f>
        <v>0</v>
      </c>
      <c r="R42" s="367">
        <f>'Consolidado-Eletronorte'!AR65/1000</f>
        <v>600</v>
      </c>
      <c r="S42" s="367">
        <f>'Consolidado-Eletronorte'!AS65/1000</f>
        <v>0</v>
      </c>
      <c r="T42" s="367">
        <f>'Consolidado-Eletronorte'!AT65/1000</f>
        <v>0</v>
      </c>
      <c r="U42" s="367">
        <f>'Consolidado-Eletronorte'!AU65/1000</f>
        <v>600</v>
      </c>
      <c r="V42" s="367">
        <f>'Consolidado-Eletronorte'!AV65/1000</f>
        <v>1200</v>
      </c>
      <c r="W42" s="367">
        <f>'Consolidado-Eletronorte'!AW65/1000</f>
        <v>0</v>
      </c>
      <c r="X42" s="367">
        <f>'Consolidado-Eletronorte'!AX65/1000</f>
        <v>0</v>
      </c>
      <c r="Y42" s="367">
        <f>'Consolidado-Eletronorte'!AY65/1000</f>
        <v>0</v>
      </c>
      <c r="Z42" s="367">
        <f>'Consolidado-Eletronorte'!AZ65/1000</f>
        <v>1800</v>
      </c>
    </row>
    <row r="43" spans="2:26" x14ac:dyDescent="0.3">
      <c r="B43" s="365" t="s">
        <v>265</v>
      </c>
      <c r="C43" s="366" t="s">
        <v>509</v>
      </c>
      <c r="D43" s="366" t="s">
        <v>509</v>
      </c>
      <c r="E43" s="366" t="s">
        <v>577</v>
      </c>
      <c r="F43" s="365">
        <v>3400002922</v>
      </c>
      <c r="G43" s="365" t="s">
        <v>709</v>
      </c>
      <c r="H43" s="366" t="s">
        <v>229</v>
      </c>
      <c r="I43" s="367">
        <f>'Consolidado-Eletronorte'!AI66/1000</f>
        <v>0</v>
      </c>
      <c r="J43" s="367">
        <f>'Consolidado-Eletronorte'!AJ66/1000</f>
        <v>0</v>
      </c>
      <c r="K43" s="367">
        <f>'Consolidado-Eletronorte'!AK66/1000</f>
        <v>0</v>
      </c>
      <c r="L43" s="367">
        <f>'Consolidado-Eletronorte'!AL66/1000</f>
        <v>0</v>
      </c>
      <c r="M43" s="367">
        <f>'Consolidado-Eletronorte'!AM66/1000</f>
        <v>0</v>
      </c>
      <c r="N43" s="367">
        <f>'Consolidado-Eletronorte'!AN66/1000</f>
        <v>0</v>
      </c>
      <c r="O43" s="367">
        <f>'Consolidado-Eletronorte'!AO66/1000</f>
        <v>0</v>
      </c>
      <c r="P43" s="367">
        <f>'Consolidado-Eletronorte'!AP66/1000</f>
        <v>0</v>
      </c>
      <c r="Q43" s="367">
        <f>'Consolidado-Eletronorte'!AQ66/1000</f>
        <v>0</v>
      </c>
      <c r="R43" s="367">
        <f>'Consolidado-Eletronorte'!AR66/1000</f>
        <v>0</v>
      </c>
      <c r="S43" s="367">
        <f>'Consolidado-Eletronorte'!AS66/1000</f>
        <v>0</v>
      </c>
      <c r="T43" s="367">
        <f>'Consolidado-Eletronorte'!AT66/1000</f>
        <v>0</v>
      </c>
      <c r="U43" s="367">
        <f>'Consolidado-Eletronorte'!AU66/1000</f>
        <v>0</v>
      </c>
      <c r="V43" s="367">
        <f>'Consolidado-Eletronorte'!AV66/1000</f>
        <v>1800</v>
      </c>
      <c r="W43" s="367">
        <f>'Consolidado-Eletronorte'!AW66/1000</f>
        <v>0</v>
      </c>
      <c r="X43" s="367">
        <f>'Consolidado-Eletronorte'!AX66/1000</f>
        <v>0</v>
      </c>
      <c r="Y43" s="367">
        <f>'Consolidado-Eletronorte'!AY66/1000</f>
        <v>0</v>
      </c>
      <c r="Z43" s="367">
        <f>'Consolidado-Eletronorte'!AZ66/1000</f>
        <v>1800</v>
      </c>
    </row>
    <row r="44" spans="2:26" x14ac:dyDescent="0.3">
      <c r="B44" s="239" t="s">
        <v>313</v>
      </c>
      <c r="C44" s="237" t="s">
        <v>509</v>
      </c>
      <c r="D44" s="237" t="s">
        <v>509</v>
      </c>
      <c r="E44" s="237" t="s">
        <v>577</v>
      </c>
      <c r="F44" s="239">
        <v>3400004646</v>
      </c>
      <c r="G44" s="239" t="s">
        <v>723</v>
      </c>
      <c r="H44" s="237" t="s">
        <v>276</v>
      </c>
      <c r="I44" s="367">
        <f>'Consolidado-Eletronorte'!AI67/1000</f>
        <v>0</v>
      </c>
      <c r="J44" s="367">
        <f>'Consolidado-Eletronorte'!AJ67/1000</f>
        <v>0</v>
      </c>
      <c r="K44" s="367">
        <f>'Consolidado-Eletronorte'!AK67/1000</f>
        <v>0</v>
      </c>
      <c r="L44" s="367">
        <f>'Consolidado-Eletronorte'!AL67/1000</f>
        <v>0</v>
      </c>
      <c r="M44" s="367">
        <f>'Consolidado-Eletronorte'!AM67/1000</f>
        <v>0</v>
      </c>
      <c r="N44" s="367">
        <f>'Consolidado-Eletronorte'!AN67/1000</f>
        <v>0</v>
      </c>
      <c r="O44" s="367">
        <f>'Consolidado-Eletronorte'!AO67/1000</f>
        <v>0</v>
      </c>
      <c r="P44" s="367">
        <f>'Consolidado-Eletronorte'!AP67/1000</f>
        <v>0</v>
      </c>
      <c r="Q44" s="367">
        <f>'Consolidado-Eletronorte'!AQ67/1000</f>
        <v>0</v>
      </c>
      <c r="R44" s="367">
        <f>'Consolidado-Eletronorte'!AR67/1000</f>
        <v>0</v>
      </c>
      <c r="S44" s="367">
        <f>'Consolidado-Eletronorte'!AS67/1000</f>
        <v>912.05</v>
      </c>
      <c r="T44" s="367">
        <f>'Consolidado-Eletronorte'!AT67/1000</f>
        <v>0</v>
      </c>
      <c r="U44" s="367">
        <f>'Consolidado-Eletronorte'!AU67/1000</f>
        <v>912.05</v>
      </c>
      <c r="V44" s="367">
        <f>'Consolidado-Eletronorte'!AV67/1000</f>
        <v>4560.25</v>
      </c>
      <c r="W44" s="367">
        <f>'Consolidado-Eletronorte'!AW67/1000</f>
        <v>0</v>
      </c>
      <c r="X44" s="367">
        <f>'Consolidado-Eletronorte'!AX67/1000</f>
        <v>0</v>
      </c>
      <c r="Y44" s="367">
        <f>'Consolidado-Eletronorte'!AY67/1000</f>
        <v>0</v>
      </c>
      <c r="Z44" s="367">
        <f>'Consolidado-Eletronorte'!AZ67/1000</f>
        <v>5472.3</v>
      </c>
    </row>
    <row r="45" spans="2:26" x14ac:dyDescent="0.3">
      <c r="B45" s="365" t="s">
        <v>429</v>
      </c>
      <c r="C45" s="366" t="s">
        <v>509</v>
      </c>
      <c r="D45" s="366" t="s">
        <v>509</v>
      </c>
      <c r="E45" s="366" t="s">
        <v>577</v>
      </c>
      <c r="F45" s="365">
        <v>3400005392</v>
      </c>
      <c r="G45" s="365" t="s">
        <v>812</v>
      </c>
      <c r="H45" s="366" t="s">
        <v>319</v>
      </c>
      <c r="I45" s="367">
        <f>'Consolidado-Eletronorte'!AI68/1000</f>
        <v>0</v>
      </c>
      <c r="J45" s="367">
        <f>'Consolidado-Eletronorte'!AJ68/1000</f>
        <v>0</v>
      </c>
      <c r="K45" s="367">
        <f>'Consolidado-Eletronorte'!AK68/1000</f>
        <v>0</v>
      </c>
      <c r="L45" s="367">
        <f>'Consolidado-Eletronorte'!AL68/1000</f>
        <v>0</v>
      </c>
      <c r="M45" s="367">
        <f>'Consolidado-Eletronorte'!AM68/1000</f>
        <v>0</v>
      </c>
      <c r="N45" s="367">
        <f>'Consolidado-Eletronorte'!AN68/1000</f>
        <v>0</v>
      </c>
      <c r="O45" s="367">
        <f>'Consolidado-Eletronorte'!AO68/1000</f>
        <v>0</v>
      </c>
      <c r="P45" s="367">
        <f>'Consolidado-Eletronorte'!AP68/1000</f>
        <v>0</v>
      </c>
      <c r="Q45" s="367">
        <f>'Consolidado-Eletronorte'!AQ68/1000</f>
        <v>0</v>
      </c>
      <c r="R45" s="367">
        <f>'Consolidado-Eletronorte'!AR68/1000</f>
        <v>0</v>
      </c>
      <c r="S45" s="367">
        <f>'Consolidado-Eletronorte'!AS68/1000</f>
        <v>0</v>
      </c>
      <c r="T45" s="367">
        <f>'Consolidado-Eletronorte'!AT68/1000</f>
        <v>0</v>
      </c>
      <c r="U45" s="367">
        <f>'Consolidado-Eletronorte'!AU68/1000</f>
        <v>0</v>
      </c>
      <c r="V45" s="367">
        <f>'Consolidado-Eletronorte'!AV68/1000</f>
        <v>1000</v>
      </c>
      <c r="W45" s="367">
        <f>'Consolidado-Eletronorte'!AW68/1000</f>
        <v>1500</v>
      </c>
      <c r="X45" s="367">
        <f>'Consolidado-Eletronorte'!AX68/1000</f>
        <v>0</v>
      </c>
      <c r="Y45" s="367">
        <f>'Consolidado-Eletronorte'!AY68/1000</f>
        <v>0</v>
      </c>
      <c r="Z45" s="367">
        <f>'Consolidado-Eletronorte'!AZ68/1000</f>
        <v>2500</v>
      </c>
    </row>
    <row r="46" spans="2:26" x14ac:dyDescent="0.3">
      <c r="B46" s="239" t="s">
        <v>338</v>
      </c>
      <c r="C46" s="237" t="s">
        <v>509</v>
      </c>
      <c r="D46" s="237" t="s">
        <v>509</v>
      </c>
      <c r="E46" s="237" t="s">
        <v>555</v>
      </c>
      <c r="F46" s="239">
        <v>3700007704</v>
      </c>
      <c r="G46" s="239" t="s">
        <v>703</v>
      </c>
      <c r="H46" s="237" t="s">
        <v>319</v>
      </c>
      <c r="I46" s="367">
        <f>'Consolidado-Eletronorte'!AI69/1000</f>
        <v>0</v>
      </c>
      <c r="J46" s="367">
        <f>'Consolidado-Eletronorte'!AJ69/1000</f>
        <v>0</v>
      </c>
      <c r="K46" s="367">
        <f>'Consolidado-Eletronorte'!AK69/1000</f>
        <v>0</v>
      </c>
      <c r="L46" s="367">
        <f>'Consolidado-Eletronorte'!AL69/1000</f>
        <v>900</v>
      </c>
      <c r="M46" s="367">
        <f>'Consolidado-Eletronorte'!AM69/1000</f>
        <v>0</v>
      </c>
      <c r="N46" s="367">
        <f>'Consolidado-Eletronorte'!AN69/1000</f>
        <v>0</v>
      </c>
      <c r="O46" s="367">
        <f>'Consolidado-Eletronorte'!AO69/1000</f>
        <v>0</v>
      </c>
      <c r="P46" s="367">
        <f>'Consolidado-Eletronorte'!AP69/1000</f>
        <v>0</v>
      </c>
      <c r="Q46" s="367">
        <f>'Consolidado-Eletronorte'!AQ69/1000</f>
        <v>900</v>
      </c>
      <c r="R46" s="367">
        <f>'Consolidado-Eletronorte'!AR69/1000</f>
        <v>0</v>
      </c>
      <c r="S46" s="367">
        <f>'Consolidado-Eletronorte'!AS69/1000</f>
        <v>0</v>
      </c>
      <c r="T46" s="367">
        <f>'Consolidado-Eletronorte'!AT69/1000</f>
        <v>0</v>
      </c>
      <c r="U46" s="367">
        <f>'Consolidado-Eletronorte'!AU69/1000</f>
        <v>1800</v>
      </c>
      <c r="V46" s="367">
        <f>'Consolidado-Eletronorte'!AV69/1000</f>
        <v>557.20000000000005</v>
      </c>
      <c r="W46" s="367">
        <f>'Consolidado-Eletronorte'!AW69/1000</f>
        <v>0</v>
      </c>
      <c r="X46" s="367">
        <f>'Consolidado-Eletronorte'!AX69/1000</f>
        <v>0</v>
      </c>
      <c r="Y46" s="367">
        <f>'Consolidado-Eletronorte'!AY69/1000</f>
        <v>0</v>
      </c>
      <c r="Z46" s="367">
        <f>'Consolidado-Eletronorte'!AZ69/1000</f>
        <v>2357.1999999999998</v>
      </c>
    </row>
    <row r="47" spans="2:26" x14ac:dyDescent="0.3">
      <c r="B47" s="365" t="s">
        <v>365</v>
      </c>
      <c r="C47" s="366" t="s">
        <v>509</v>
      </c>
      <c r="D47" s="366" t="s">
        <v>509</v>
      </c>
      <c r="E47" s="366" t="s">
        <v>577</v>
      </c>
      <c r="F47" s="365" t="s">
        <v>564</v>
      </c>
      <c r="G47" s="365" t="s">
        <v>714</v>
      </c>
      <c r="H47" s="366" t="s">
        <v>319</v>
      </c>
      <c r="I47" s="367">
        <f>'Consolidado-Eletronorte'!AI70/1000</f>
        <v>0</v>
      </c>
      <c r="J47" s="367">
        <f>'Consolidado-Eletronorte'!AJ70/1000</f>
        <v>237.5</v>
      </c>
      <c r="K47" s="367">
        <f>'Consolidado-Eletronorte'!AK70/1000</f>
        <v>0</v>
      </c>
      <c r="L47" s="367">
        <f>'Consolidado-Eletronorte'!AL70/1000</f>
        <v>0</v>
      </c>
      <c r="M47" s="367">
        <f>'Consolidado-Eletronorte'!AM70/1000</f>
        <v>237.5</v>
      </c>
      <c r="N47" s="367">
        <f>'Consolidado-Eletronorte'!AN70/1000</f>
        <v>0</v>
      </c>
      <c r="O47" s="367">
        <f>'Consolidado-Eletronorte'!AO70/1000</f>
        <v>0</v>
      </c>
      <c r="P47" s="367">
        <f>'Consolidado-Eletronorte'!AP70/1000</f>
        <v>237.5</v>
      </c>
      <c r="Q47" s="367">
        <f>'Consolidado-Eletronorte'!AQ70/1000</f>
        <v>0</v>
      </c>
      <c r="R47" s="367">
        <f>'Consolidado-Eletronorte'!AR70/1000</f>
        <v>0</v>
      </c>
      <c r="S47" s="367">
        <f>'Consolidado-Eletronorte'!AS70/1000</f>
        <v>237.5</v>
      </c>
      <c r="T47" s="367">
        <f>'Consolidado-Eletronorte'!AT70/1000</f>
        <v>0</v>
      </c>
      <c r="U47" s="367">
        <f>'Consolidado-Eletronorte'!AU70/1000</f>
        <v>950</v>
      </c>
      <c r="V47" s="367">
        <f>'Consolidado-Eletronorte'!AV70/1000</f>
        <v>1000</v>
      </c>
      <c r="W47" s="367">
        <f>'Consolidado-Eletronorte'!AW70/1000</f>
        <v>100</v>
      </c>
      <c r="X47" s="367">
        <f>'Consolidado-Eletronorte'!AX70/1000</f>
        <v>0</v>
      </c>
      <c r="Y47" s="367">
        <f>'Consolidado-Eletronorte'!AY70/1000</f>
        <v>0</v>
      </c>
      <c r="Z47" s="367">
        <f>'Consolidado-Eletronorte'!AZ70/1000</f>
        <v>2050</v>
      </c>
    </row>
    <row r="48" spans="2:26" x14ac:dyDescent="0.3">
      <c r="B48" s="239" t="s">
        <v>397</v>
      </c>
      <c r="C48" s="237" t="s">
        <v>509</v>
      </c>
      <c r="D48" s="237" t="s">
        <v>509</v>
      </c>
      <c r="E48" s="237" t="s">
        <v>555</v>
      </c>
      <c r="F48" s="239" t="s">
        <v>564</v>
      </c>
      <c r="G48" s="239" t="s">
        <v>397</v>
      </c>
      <c r="H48" s="237" t="s">
        <v>319</v>
      </c>
      <c r="I48" s="367">
        <f>'Consolidado-Eletronorte'!AI71/1000</f>
        <v>0</v>
      </c>
      <c r="J48" s="367">
        <f>'Consolidado-Eletronorte'!AJ71/1000</f>
        <v>0</v>
      </c>
      <c r="K48" s="367">
        <f>'Consolidado-Eletronorte'!AK71/1000</f>
        <v>0</v>
      </c>
      <c r="L48" s="367">
        <f>'Consolidado-Eletronorte'!AL71/1000</f>
        <v>0</v>
      </c>
      <c r="M48" s="367">
        <f>'Consolidado-Eletronorte'!AM71/1000</f>
        <v>0</v>
      </c>
      <c r="N48" s="367">
        <f>'Consolidado-Eletronorte'!AN71/1000</f>
        <v>0</v>
      </c>
      <c r="O48" s="367">
        <f>'Consolidado-Eletronorte'!AO71/1000</f>
        <v>500</v>
      </c>
      <c r="P48" s="367">
        <f>'Consolidado-Eletronorte'!AP71/1000</f>
        <v>0</v>
      </c>
      <c r="Q48" s="367">
        <f>'Consolidado-Eletronorte'!AQ71/1000</f>
        <v>0</v>
      </c>
      <c r="R48" s="367">
        <f>'Consolidado-Eletronorte'!AR71/1000</f>
        <v>500</v>
      </c>
      <c r="S48" s="367">
        <f>'Consolidado-Eletronorte'!AS71/1000</f>
        <v>0</v>
      </c>
      <c r="T48" s="367">
        <f>'Consolidado-Eletronorte'!AT71/1000</f>
        <v>500</v>
      </c>
      <c r="U48" s="367">
        <f>'Consolidado-Eletronorte'!AU71/1000</f>
        <v>1500</v>
      </c>
      <c r="V48" s="367">
        <f>'Consolidado-Eletronorte'!AV71/1000</f>
        <v>500</v>
      </c>
      <c r="W48" s="367">
        <f>'Consolidado-Eletronorte'!AW71/1000</f>
        <v>0</v>
      </c>
      <c r="X48" s="367">
        <f>'Consolidado-Eletronorte'!AX71/1000</f>
        <v>0</v>
      </c>
      <c r="Y48" s="367">
        <f>'Consolidado-Eletronorte'!AY71/1000</f>
        <v>0</v>
      </c>
      <c r="Z48" s="367">
        <f>'Consolidado-Eletronorte'!AZ71/1000</f>
        <v>2000</v>
      </c>
    </row>
    <row r="49" spans="2:26" x14ac:dyDescent="0.3">
      <c r="B49" s="365" t="s">
        <v>415</v>
      </c>
      <c r="C49" s="366" t="s">
        <v>509</v>
      </c>
      <c r="D49" s="366" t="s">
        <v>509</v>
      </c>
      <c r="E49" s="366" t="s">
        <v>577</v>
      </c>
      <c r="F49" s="365">
        <v>3400004384</v>
      </c>
      <c r="G49" s="365" t="s">
        <v>700</v>
      </c>
      <c r="H49" s="366" t="s">
        <v>319</v>
      </c>
      <c r="I49" s="367">
        <f>'Consolidado-Eletronorte'!AI72/1000</f>
        <v>0</v>
      </c>
      <c r="J49" s="367">
        <f>'Consolidado-Eletronorte'!AJ72/1000</f>
        <v>0</v>
      </c>
      <c r="K49" s="367">
        <f>'Consolidado-Eletronorte'!AK72/1000</f>
        <v>0</v>
      </c>
      <c r="L49" s="367">
        <f>'Consolidado-Eletronorte'!AL72/1000</f>
        <v>0</v>
      </c>
      <c r="M49" s="367">
        <f>'Consolidado-Eletronorte'!AM72/1000</f>
        <v>0</v>
      </c>
      <c r="N49" s="367">
        <f>'Consolidado-Eletronorte'!AN72/1000</f>
        <v>0</v>
      </c>
      <c r="O49" s="367">
        <f>'Consolidado-Eletronorte'!AO72/1000</f>
        <v>0</v>
      </c>
      <c r="P49" s="367">
        <f>'Consolidado-Eletronorte'!AP72/1000</f>
        <v>0</v>
      </c>
      <c r="Q49" s="367">
        <f>'Consolidado-Eletronorte'!AQ72/1000</f>
        <v>0</v>
      </c>
      <c r="R49" s="367">
        <f>'Consolidado-Eletronorte'!AR72/1000</f>
        <v>0</v>
      </c>
      <c r="S49" s="367">
        <f>'Consolidado-Eletronorte'!AS72/1000</f>
        <v>0</v>
      </c>
      <c r="T49" s="367">
        <f>'Consolidado-Eletronorte'!AT72/1000</f>
        <v>0</v>
      </c>
      <c r="U49" s="367">
        <f>'Consolidado-Eletronorte'!AU72/1000</f>
        <v>0</v>
      </c>
      <c r="V49" s="367">
        <f>'Consolidado-Eletronorte'!AV72/1000</f>
        <v>1000</v>
      </c>
      <c r="W49" s="367">
        <f>'Consolidado-Eletronorte'!AW72/1000</f>
        <v>1000</v>
      </c>
      <c r="X49" s="367">
        <f>'Consolidado-Eletronorte'!AX72/1000</f>
        <v>0</v>
      </c>
      <c r="Y49" s="367">
        <f>'Consolidado-Eletronorte'!AY72/1000</f>
        <v>0</v>
      </c>
      <c r="Z49" s="367">
        <f>'Consolidado-Eletronorte'!AZ72/1000</f>
        <v>2000</v>
      </c>
    </row>
    <row r="50" spans="2:26" x14ac:dyDescent="0.3">
      <c r="B50" s="239" t="s">
        <v>413</v>
      </c>
      <c r="C50" s="237" t="s">
        <v>509</v>
      </c>
      <c r="D50" s="237" t="s">
        <v>509</v>
      </c>
      <c r="E50" s="237" t="s">
        <v>577</v>
      </c>
      <c r="F50" s="239">
        <v>3700014472</v>
      </c>
      <c r="G50" s="239" t="s">
        <v>694</v>
      </c>
      <c r="H50" s="237" t="s">
        <v>319</v>
      </c>
      <c r="I50" s="367">
        <f>'Consolidado-Eletronorte'!AI73/1000</f>
        <v>0</v>
      </c>
      <c r="J50" s="367">
        <f>'Consolidado-Eletronorte'!AJ73/1000</f>
        <v>0</v>
      </c>
      <c r="K50" s="367">
        <f>'Consolidado-Eletronorte'!AK73/1000</f>
        <v>0</v>
      </c>
      <c r="L50" s="367">
        <f>'Consolidado-Eletronorte'!AL73/1000</f>
        <v>0</v>
      </c>
      <c r="M50" s="367">
        <f>'Consolidado-Eletronorte'!AM73/1000</f>
        <v>0</v>
      </c>
      <c r="N50" s="367">
        <f>'Consolidado-Eletronorte'!AN73/1000</f>
        <v>0</v>
      </c>
      <c r="O50" s="367">
        <f>'Consolidado-Eletronorte'!AO73/1000</f>
        <v>0</v>
      </c>
      <c r="P50" s="367">
        <f>'Consolidado-Eletronorte'!AP73/1000</f>
        <v>0</v>
      </c>
      <c r="Q50" s="367">
        <f>'Consolidado-Eletronorte'!AQ73/1000</f>
        <v>0</v>
      </c>
      <c r="R50" s="367">
        <f>'Consolidado-Eletronorte'!AR73/1000</f>
        <v>0</v>
      </c>
      <c r="S50" s="367">
        <f>'Consolidado-Eletronorte'!AS73/1000</f>
        <v>0</v>
      </c>
      <c r="T50" s="367">
        <f>'Consolidado-Eletronorte'!AT73/1000</f>
        <v>250</v>
      </c>
      <c r="U50" s="367">
        <f>'Consolidado-Eletronorte'!AU73/1000</f>
        <v>250</v>
      </c>
      <c r="V50" s="367">
        <f>'Consolidado-Eletronorte'!AV73/1000</f>
        <v>900</v>
      </c>
      <c r="W50" s="367">
        <f>'Consolidado-Eletronorte'!AW73/1000</f>
        <v>750</v>
      </c>
      <c r="X50" s="367">
        <f>'Consolidado-Eletronorte'!AX73/1000</f>
        <v>0</v>
      </c>
      <c r="Y50" s="367">
        <f>'Consolidado-Eletronorte'!AY73/1000</f>
        <v>0</v>
      </c>
      <c r="Z50" s="367">
        <f>'Consolidado-Eletronorte'!AZ73/1000</f>
        <v>1900</v>
      </c>
    </row>
    <row r="51" spans="2:26" x14ac:dyDescent="0.3">
      <c r="B51" s="365" t="s">
        <v>411</v>
      </c>
      <c r="C51" s="366" t="s">
        <v>509</v>
      </c>
      <c r="D51" s="366" t="s">
        <v>509</v>
      </c>
      <c r="E51" s="366" t="s">
        <v>789</v>
      </c>
      <c r="F51" s="365">
        <v>4500081111</v>
      </c>
      <c r="G51" s="365" t="s">
        <v>791</v>
      </c>
      <c r="H51" s="366" t="s">
        <v>319</v>
      </c>
      <c r="I51" s="367">
        <f>'Consolidado-Eletronorte'!AI74/1000</f>
        <v>0</v>
      </c>
      <c r="J51" s="367">
        <f>'Consolidado-Eletronorte'!AJ74/1000</f>
        <v>0</v>
      </c>
      <c r="K51" s="367">
        <f>'Consolidado-Eletronorte'!AK74/1000</f>
        <v>0</v>
      </c>
      <c r="L51" s="367">
        <f>'Consolidado-Eletronorte'!AL74/1000</f>
        <v>0</v>
      </c>
      <c r="M51" s="367">
        <f>'Consolidado-Eletronorte'!AM74/1000</f>
        <v>0</v>
      </c>
      <c r="N51" s="367">
        <f>'Consolidado-Eletronorte'!AN74/1000</f>
        <v>0</v>
      </c>
      <c r="O51" s="367">
        <f>'Consolidado-Eletronorte'!AO74/1000</f>
        <v>0</v>
      </c>
      <c r="P51" s="367">
        <f>'Consolidado-Eletronorte'!AP74/1000</f>
        <v>0</v>
      </c>
      <c r="Q51" s="367">
        <f>'Consolidado-Eletronorte'!AQ74/1000</f>
        <v>0</v>
      </c>
      <c r="R51" s="367">
        <f>'Consolidado-Eletronorte'!AR74/1000</f>
        <v>0</v>
      </c>
      <c r="S51" s="367">
        <f>'Consolidado-Eletronorte'!AS74/1000</f>
        <v>0</v>
      </c>
      <c r="T51" s="367">
        <f>'Consolidado-Eletronorte'!AT74/1000</f>
        <v>150</v>
      </c>
      <c r="U51" s="367">
        <f>'Consolidado-Eletronorte'!AU74/1000</f>
        <v>150</v>
      </c>
      <c r="V51" s="367">
        <f>'Consolidado-Eletronorte'!AV74/1000</f>
        <v>900</v>
      </c>
      <c r="W51" s="367">
        <f>'Consolidado-Eletronorte'!AW74/1000</f>
        <v>850</v>
      </c>
      <c r="X51" s="367">
        <f>'Consolidado-Eletronorte'!AX74/1000</f>
        <v>0</v>
      </c>
      <c r="Y51" s="367">
        <f>'Consolidado-Eletronorte'!AY74/1000</f>
        <v>0</v>
      </c>
      <c r="Z51" s="367">
        <f>'Consolidado-Eletronorte'!AZ74/1000</f>
        <v>1900</v>
      </c>
    </row>
    <row r="52" spans="2:26" x14ac:dyDescent="0.3">
      <c r="B52" s="239" t="s">
        <v>392</v>
      </c>
      <c r="C52" s="237" t="s">
        <v>509</v>
      </c>
      <c r="D52" s="237" t="s">
        <v>509</v>
      </c>
      <c r="E52" s="237" t="s">
        <v>555</v>
      </c>
      <c r="F52" s="239" t="s">
        <v>564</v>
      </c>
      <c r="G52" s="239" t="s">
        <v>565</v>
      </c>
      <c r="H52" s="237" t="s">
        <v>319</v>
      </c>
      <c r="I52" s="367">
        <f>'Consolidado-Eletronorte'!AI75/1000</f>
        <v>0</v>
      </c>
      <c r="J52" s="367">
        <f>'Consolidado-Eletronorte'!AJ75/1000</f>
        <v>0</v>
      </c>
      <c r="K52" s="367">
        <f>'Consolidado-Eletronorte'!AK75/1000</f>
        <v>0</v>
      </c>
      <c r="L52" s="367">
        <f>'Consolidado-Eletronorte'!AL75/1000</f>
        <v>0</v>
      </c>
      <c r="M52" s="367">
        <f>'Consolidado-Eletronorte'!AM75/1000</f>
        <v>0</v>
      </c>
      <c r="N52" s="367">
        <f>'Consolidado-Eletronorte'!AN75/1000</f>
        <v>0</v>
      </c>
      <c r="O52" s="367">
        <f>'Consolidado-Eletronorte'!AO75/1000</f>
        <v>0</v>
      </c>
      <c r="P52" s="367">
        <f>'Consolidado-Eletronorte'!AP75/1000</f>
        <v>0</v>
      </c>
      <c r="Q52" s="367">
        <f>'Consolidado-Eletronorte'!AQ75/1000</f>
        <v>0</v>
      </c>
      <c r="R52" s="367">
        <f>'Consolidado-Eletronorte'!AR75/1000</f>
        <v>0</v>
      </c>
      <c r="S52" s="367">
        <f>'Consolidado-Eletronorte'!AS75/1000</f>
        <v>0</v>
      </c>
      <c r="T52" s="367">
        <f>'Consolidado-Eletronorte'!AT75/1000</f>
        <v>200</v>
      </c>
      <c r="U52" s="367">
        <f>'Consolidado-Eletronorte'!AU75/1000</f>
        <v>200</v>
      </c>
      <c r="V52" s="367">
        <f>'Consolidado-Eletronorte'!AV75/1000</f>
        <v>900</v>
      </c>
      <c r="W52" s="367">
        <f>'Consolidado-Eletronorte'!AW75/1000</f>
        <v>800</v>
      </c>
      <c r="X52" s="367">
        <f>'Consolidado-Eletronorte'!AX75/1000</f>
        <v>0</v>
      </c>
      <c r="Y52" s="367">
        <f>'Consolidado-Eletronorte'!AY75/1000</f>
        <v>0</v>
      </c>
      <c r="Z52" s="367">
        <f>'Consolidado-Eletronorte'!AZ75/1000</f>
        <v>1900</v>
      </c>
    </row>
    <row r="53" spans="2:26" x14ac:dyDescent="0.3">
      <c r="B53" s="365" t="s">
        <v>361</v>
      </c>
      <c r="C53" s="366" t="s">
        <v>509</v>
      </c>
      <c r="D53" s="366" t="s">
        <v>509</v>
      </c>
      <c r="E53" s="366" t="s">
        <v>577</v>
      </c>
      <c r="F53" s="365" t="s">
        <v>564</v>
      </c>
      <c r="G53" s="365" t="s">
        <v>659</v>
      </c>
      <c r="H53" s="366" t="s">
        <v>319</v>
      </c>
      <c r="I53" s="367">
        <f>'Consolidado-Eletronorte'!AI76/1000</f>
        <v>0</v>
      </c>
      <c r="J53" s="367">
        <f>'Consolidado-Eletronorte'!AJ76/1000</f>
        <v>0</v>
      </c>
      <c r="K53" s="367">
        <f>'Consolidado-Eletronorte'!AK76/1000</f>
        <v>300</v>
      </c>
      <c r="L53" s="367">
        <f>'Consolidado-Eletronorte'!AL76/1000</f>
        <v>0</v>
      </c>
      <c r="M53" s="367">
        <f>'Consolidado-Eletronorte'!AM76/1000</f>
        <v>0</v>
      </c>
      <c r="N53" s="367">
        <f>'Consolidado-Eletronorte'!AN76/1000</f>
        <v>424.33600000000001</v>
      </c>
      <c r="O53" s="367">
        <f>'Consolidado-Eletronorte'!AO76/1000</f>
        <v>0</v>
      </c>
      <c r="P53" s="367">
        <f>'Consolidado-Eletronorte'!AP76/1000</f>
        <v>400</v>
      </c>
      <c r="Q53" s="367">
        <f>'Consolidado-Eletronorte'!AQ76/1000</f>
        <v>0</v>
      </c>
      <c r="R53" s="367">
        <f>'Consolidado-Eletronorte'!AR76/1000</f>
        <v>0</v>
      </c>
      <c r="S53" s="367">
        <f>'Consolidado-Eletronorte'!AS76/1000</f>
        <v>0</v>
      </c>
      <c r="T53" s="367">
        <f>'Consolidado-Eletronorte'!AT76/1000</f>
        <v>700</v>
      </c>
      <c r="U53" s="367">
        <f>'Consolidado-Eletronorte'!AU76/1000</f>
        <v>1824.336</v>
      </c>
      <c r="V53" s="367">
        <f>'Consolidado-Eletronorte'!AV76/1000</f>
        <v>0</v>
      </c>
      <c r="W53" s="367">
        <f>'Consolidado-Eletronorte'!AW76/1000</f>
        <v>0</v>
      </c>
      <c r="X53" s="367">
        <f>'Consolidado-Eletronorte'!AX76/1000</f>
        <v>0</v>
      </c>
      <c r="Y53" s="367">
        <f>'Consolidado-Eletronorte'!AY76/1000</f>
        <v>0</v>
      </c>
      <c r="Z53" s="367">
        <f>'Consolidado-Eletronorte'!AZ76/1000</f>
        <v>1824.336</v>
      </c>
    </row>
    <row r="54" spans="2:26" x14ac:dyDescent="0.3">
      <c r="B54" s="239" t="s">
        <v>375</v>
      </c>
      <c r="C54" s="237" t="s">
        <v>509</v>
      </c>
      <c r="D54" s="237" t="s">
        <v>509</v>
      </c>
      <c r="E54" s="237" t="s">
        <v>555</v>
      </c>
      <c r="F54" s="239" t="s">
        <v>564</v>
      </c>
      <c r="G54" s="239" t="s">
        <v>663</v>
      </c>
      <c r="H54" s="237" t="s">
        <v>319</v>
      </c>
      <c r="I54" s="367">
        <f>'Consolidado-Eletronorte'!AI77/1000</f>
        <v>0</v>
      </c>
      <c r="J54" s="367">
        <f>'Consolidado-Eletronorte'!AJ77/1000</f>
        <v>0</v>
      </c>
      <c r="K54" s="367">
        <f>'Consolidado-Eletronorte'!AK77/1000</f>
        <v>840</v>
      </c>
      <c r="L54" s="367">
        <f>'Consolidado-Eletronorte'!AL77/1000</f>
        <v>0</v>
      </c>
      <c r="M54" s="367">
        <f>'Consolidado-Eletronorte'!AM77/1000</f>
        <v>840</v>
      </c>
      <c r="N54" s="367">
        <f>'Consolidado-Eletronorte'!AN77/1000</f>
        <v>0</v>
      </c>
      <c r="O54" s="367">
        <f>'Consolidado-Eletronorte'!AO77/1000</f>
        <v>0</v>
      </c>
      <c r="P54" s="367">
        <f>'Consolidado-Eletronorte'!AP77/1000</f>
        <v>0</v>
      </c>
      <c r="Q54" s="367">
        <f>'Consolidado-Eletronorte'!AQ77/1000</f>
        <v>0</v>
      </c>
      <c r="R54" s="367">
        <f>'Consolidado-Eletronorte'!AR77/1000</f>
        <v>0</v>
      </c>
      <c r="S54" s="367">
        <f>'Consolidado-Eletronorte'!AS77/1000</f>
        <v>0</v>
      </c>
      <c r="T54" s="367">
        <f>'Consolidado-Eletronorte'!AT77/1000</f>
        <v>0</v>
      </c>
      <c r="U54" s="367">
        <f>'Consolidado-Eletronorte'!AU77/1000</f>
        <v>1680</v>
      </c>
      <c r="V54" s="367">
        <f>'Consolidado-Eletronorte'!AV77/1000</f>
        <v>0</v>
      </c>
      <c r="W54" s="367">
        <f>'Consolidado-Eletronorte'!AW77/1000</f>
        <v>0</v>
      </c>
      <c r="X54" s="367">
        <f>'Consolidado-Eletronorte'!AX77/1000</f>
        <v>0</v>
      </c>
      <c r="Y54" s="367">
        <f>'Consolidado-Eletronorte'!AY77/1000</f>
        <v>0</v>
      </c>
      <c r="Z54" s="367">
        <f>'Consolidado-Eletronorte'!AZ77/1000</f>
        <v>1680</v>
      </c>
    </row>
    <row r="55" spans="2:26" x14ac:dyDescent="0.3">
      <c r="B55" s="365" t="s">
        <v>213</v>
      </c>
      <c r="C55" s="366" t="s">
        <v>509</v>
      </c>
      <c r="D55" s="366" t="s">
        <v>509</v>
      </c>
      <c r="E55" s="366" t="s">
        <v>577</v>
      </c>
      <c r="F55" s="365" t="s">
        <v>564</v>
      </c>
      <c r="G55" s="365" t="s">
        <v>769</v>
      </c>
      <c r="H55" s="366" t="s">
        <v>210</v>
      </c>
      <c r="I55" s="367">
        <f>'Consolidado-Eletronorte'!AI78/1000</f>
        <v>0</v>
      </c>
      <c r="J55" s="367">
        <f>'Consolidado-Eletronorte'!AJ78/1000</f>
        <v>0</v>
      </c>
      <c r="K55" s="367">
        <f>'Consolidado-Eletronorte'!AK78/1000</f>
        <v>0</v>
      </c>
      <c r="L55" s="367">
        <f>'Consolidado-Eletronorte'!AL78/1000</f>
        <v>0</v>
      </c>
      <c r="M55" s="367">
        <f>'Consolidado-Eletronorte'!AM78/1000</f>
        <v>0</v>
      </c>
      <c r="N55" s="367">
        <f>'Consolidado-Eletronorte'!AN78/1000</f>
        <v>0</v>
      </c>
      <c r="O55" s="367">
        <f>'Consolidado-Eletronorte'!AO78/1000</f>
        <v>0</v>
      </c>
      <c r="P55" s="367">
        <f>'Consolidado-Eletronorte'!AP78/1000</f>
        <v>0</v>
      </c>
      <c r="Q55" s="367">
        <f>'Consolidado-Eletronorte'!AQ78/1000</f>
        <v>0</v>
      </c>
      <c r="R55" s="367">
        <f>'Consolidado-Eletronorte'!AR78/1000</f>
        <v>0</v>
      </c>
      <c r="S55" s="367">
        <f>'Consolidado-Eletronorte'!AS78/1000</f>
        <v>0</v>
      </c>
      <c r="T55" s="367">
        <f>'Consolidado-Eletronorte'!AT78/1000</f>
        <v>0</v>
      </c>
      <c r="U55" s="367">
        <f>'Consolidado-Eletronorte'!AU78/1000</f>
        <v>0</v>
      </c>
      <c r="V55" s="367">
        <f>'Consolidado-Eletronorte'!AV78/1000</f>
        <v>1000</v>
      </c>
      <c r="W55" s="367">
        <f>'Consolidado-Eletronorte'!AW78/1000</f>
        <v>3000</v>
      </c>
      <c r="X55" s="367">
        <f>'Consolidado-Eletronorte'!AX78/1000</f>
        <v>500</v>
      </c>
      <c r="Y55" s="367">
        <f>'Consolidado-Eletronorte'!AY78/1000</f>
        <v>0</v>
      </c>
      <c r="Z55" s="367">
        <f>'Consolidado-Eletronorte'!AZ78/1000</f>
        <v>4500</v>
      </c>
    </row>
    <row r="56" spans="2:26" x14ac:dyDescent="0.3">
      <c r="B56" s="239" t="s">
        <v>343</v>
      </c>
      <c r="C56" s="237" t="s">
        <v>509</v>
      </c>
      <c r="D56" s="237" t="s">
        <v>622</v>
      </c>
      <c r="E56" s="237" t="s">
        <v>624</v>
      </c>
      <c r="F56" s="239" t="s">
        <v>734</v>
      </c>
      <c r="G56" s="239" t="s">
        <v>735</v>
      </c>
      <c r="H56" s="237" t="s">
        <v>344</v>
      </c>
      <c r="I56" s="367">
        <f>'Consolidado-Eletronorte'!AI79/1000</f>
        <v>0</v>
      </c>
      <c r="J56" s="367">
        <f>'Consolidado-Eletronorte'!AJ79/1000</f>
        <v>0</v>
      </c>
      <c r="K56" s="367">
        <f>'Consolidado-Eletronorte'!AK79/1000</f>
        <v>0</v>
      </c>
      <c r="L56" s="367">
        <f>'Consolidado-Eletronorte'!AL79/1000</f>
        <v>0</v>
      </c>
      <c r="M56" s="367">
        <f>'Consolidado-Eletronorte'!AM79/1000</f>
        <v>500</v>
      </c>
      <c r="N56" s="367">
        <f>'Consolidado-Eletronorte'!AN79/1000</f>
        <v>0</v>
      </c>
      <c r="O56" s="367">
        <f>'Consolidado-Eletronorte'!AO79/1000</f>
        <v>500</v>
      </c>
      <c r="P56" s="367">
        <f>'Consolidado-Eletronorte'!AP79/1000</f>
        <v>0</v>
      </c>
      <c r="Q56" s="367">
        <f>'Consolidado-Eletronorte'!AQ79/1000</f>
        <v>500</v>
      </c>
      <c r="R56" s="367">
        <f>'Consolidado-Eletronorte'!AR79/1000</f>
        <v>0</v>
      </c>
      <c r="S56" s="367">
        <f>'Consolidado-Eletronorte'!AS79/1000</f>
        <v>0</v>
      </c>
      <c r="T56" s="367">
        <f>'Consolidado-Eletronorte'!AT79/1000</f>
        <v>0</v>
      </c>
      <c r="U56" s="367">
        <f>'Consolidado-Eletronorte'!AU79/1000</f>
        <v>1500</v>
      </c>
      <c r="V56" s="367">
        <f>'Consolidado-Eletronorte'!AV79/1000</f>
        <v>0</v>
      </c>
      <c r="W56" s="367">
        <f>'Consolidado-Eletronorte'!AW79/1000</f>
        <v>0</v>
      </c>
      <c r="X56" s="367">
        <f>'Consolidado-Eletronorte'!AX79/1000</f>
        <v>0</v>
      </c>
      <c r="Y56" s="367">
        <f>'Consolidado-Eletronorte'!AY79/1000</f>
        <v>0</v>
      </c>
      <c r="Z56" s="367">
        <f>'Consolidado-Eletronorte'!AZ79/1000</f>
        <v>1500</v>
      </c>
    </row>
    <row r="57" spans="2:26" x14ac:dyDescent="0.3">
      <c r="B57" s="365" t="s">
        <v>217</v>
      </c>
      <c r="C57" s="366" t="s">
        <v>509</v>
      </c>
      <c r="D57" s="366" t="s">
        <v>509</v>
      </c>
      <c r="E57" s="366" t="s">
        <v>577</v>
      </c>
      <c r="F57" s="365" t="s">
        <v>564</v>
      </c>
      <c r="G57" s="365" t="s">
        <v>775</v>
      </c>
      <c r="H57" s="366" t="s">
        <v>210</v>
      </c>
      <c r="I57" s="367">
        <f>'Consolidado-Eletronorte'!AI80/1000</f>
        <v>0</v>
      </c>
      <c r="J57" s="367">
        <f>'Consolidado-Eletronorte'!AJ80/1000</f>
        <v>0</v>
      </c>
      <c r="K57" s="367">
        <f>'Consolidado-Eletronorte'!AK80/1000</f>
        <v>0</v>
      </c>
      <c r="L57" s="367">
        <f>'Consolidado-Eletronorte'!AL80/1000</f>
        <v>0</v>
      </c>
      <c r="M57" s="367">
        <f>'Consolidado-Eletronorte'!AM80/1000</f>
        <v>0</v>
      </c>
      <c r="N57" s="367">
        <f>'Consolidado-Eletronorte'!AN80/1000</f>
        <v>0</v>
      </c>
      <c r="O57" s="367">
        <f>'Consolidado-Eletronorte'!AO80/1000</f>
        <v>0</v>
      </c>
      <c r="P57" s="367">
        <f>'Consolidado-Eletronorte'!AP80/1000</f>
        <v>0</v>
      </c>
      <c r="Q57" s="367">
        <f>'Consolidado-Eletronorte'!AQ80/1000</f>
        <v>0</v>
      </c>
      <c r="R57" s="367">
        <f>'Consolidado-Eletronorte'!AR80/1000</f>
        <v>0</v>
      </c>
      <c r="S57" s="367">
        <f>'Consolidado-Eletronorte'!AS80/1000</f>
        <v>0</v>
      </c>
      <c r="T57" s="367">
        <f>'Consolidado-Eletronorte'!AT80/1000</f>
        <v>0</v>
      </c>
      <c r="U57" s="367">
        <f>'Consolidado-Eletronorte'!AU80/1000</f>
        <v>0</v>
      </c>
      <c r="V57" s="367">
        <f>'Consolidado-Eletronorte'!AV80/1000</f>
        <v>1000</v>
      </c>
      <c r="W57" s="367">
        <f>'Consolidado-Eletronorte'!AW80/1000</f>
        <v>500</v>
      </c>
      <c r="X57" s="367">
        <f>'Consolidado-Eletronorte'!AX80/1000</f>
        <v>1000</v>
      </c>
      <c r="Y57" s="367">
        <f>'Consolidado-Eletronorte'!AY80/1000</f>
        <v>0</v>
      </c>
      <c r="Z57" s="367">
        <f>'Consolidado-Eletronorte'!AZ80/1000</f>
        <v>2500</v>
      </c>
    </row>
    <row r="58" spans="2:26" x14ac:dyDescent="0.3">
      <c r="B58" s="239" t="s">
        <v>405</v>
      </c>
      <c r="C58" s="237" t="s">
        <v>509</v>
      </c>
      <c r="D58" s="237" t="s">
        <v>509</v>
      </c>
      <c r="E58" s="237" t="s">
        <v>555</v>
      </c>
      <c r="F58" s="239" t="s">
        <v>564</v>
      </c>
      <c r="G58" s="239" t="s">
        <v>781</v>
      </c>
      <c r="H58" s="237" t="s">
        <v>319</v>
      </c>
      <c r="I58" s="367">
        <f>'Consolidado-Eletronorte'!AI81/1000</f>
        <v>0</v>
      </c>
      <c r="J58" s="367">
        <f>'Consolidado-Eletronorte'!AJ81/1000</f>
        <v>0</v>
      </c>
      <c r="K58" s="367">
        <f>'Consolidado-Eletronorte'!AK81/1000</f>
        <v>0</v>
      </c>
      <c r="L58" s="367">
        <f>'Consolidado-Eletronorte'!AL81/1000</f>
        <v>0</v>
      </c>
      <c r="M58" s="367">
        <f>'Consolidado-Eletronorte'!AM81/1000</f>
        <v>0</v>
      </c>
      <c r="N58" s="367">
        <f>'Consolidado-Eletronorte'!AN81/1000</f>
        <v>0</v>
      </c>
      <c r="O58" s="367">
        <f>'Consolidado-Eletronorte'!AO81/1000</f>
        <v>0</v>
      </c>
      <c r="P58" s="367">
        <f>'Consolidado-Eletronorte'!AP81/1000</f>
        <v>0</v>
      </c>
      <c r="Q58" s="367">
        <f>'Consolidado-Eletronorte'!AQ81/1000</f>
        <v>0</v>
      </c>
      <c r="R58" s="367">
        <f>'Consolidado-Eletronorte'!AR81/1000</f>
        <v>0</v>
      </c>
      <c r="S58" s="367">
        <f>'Consolidado-Eletronorte'!AS81/1000</f>
        <v>0</v>
      </c>
      <c r="T58" s="367">
        <f>'Consolidado-Eletronorte'!AT81/1000</f>
        <v>0</v>
      </c>
      <c r="U58" s="367">
        <f>'Consolidado-Eletronorte'!AU81/1000</f>
        <v>0</v>
      </c>
      <c r="V58" s="367">
        <f>'Consolidado-Eletronorte'!AV81/1000</f>
        <v>650</v>
      </c>
      <c r="W58" s="367">
        <f>'Consolidado-Eletronorte'!AW81/1000</f>
        <v>750</v>
      </c>
      <c r="X58" s="367">
        <f>'Consolidado-Eletronorte'!AX81/1000</f>
        <v>0</v>
      </c>
      <c r="Y58" s="367">
        <f>'Consolidado-Eletronorte'!AY81/1000</f>
        <v>0</v>
      </c>
      <c r="Z58" s="367">
        <f>'Consolidado-Eletronorte'!AZ81/1000</f>
        <v>1400</v>
      </c>
    </row>
    <row r="59" spans="2:26" x14ac:dyDescent="0.3">
      <c r="B59" s="365" t="s">
        <v>379</v>
      </c>
      <c r="C59" s="366" t="s">
        <v>509</v>
      </c>
      <c r="D59" s="366" t="s">
        <v>509</v>
      </c>
      <c r="E59" s="366" t="s">
        <v>555</v>
      </c>
      <c r="F59" s="365" t="s">
        <v>564</v>
      </c>
      <c r="G59" s="365" t="s">
        <v>817</v>
      </c>
      <c r="H59" s="366" t="s">
        <v>319</v>
      </c>
      <c r="I59" s="367">
        <f>'Consolidado-Eletronorte'!AI82/1000</f>
        <v>0</v>
      </c>
      <c r="J59" s="367">
        <f>'Consolidado-Eletronorte'!AJ82/1000</f>
        <v>0</v>
      </c>
      <c r="K59" s="367">
        <f>'Consolidado-Eletronorte'!AK82/1000</f>
        <v>0</v>
      </c>
      <c r="L59" s="367">
        <f>'Consolidado-Eletronorte'!AL82/1000</f>
        <v>0</v>
      </c>
      <c r="M59" s="367">
        <f>'Consolidado-Eletronorte'!AM82/1000</f>
        <v>0</v>
      </c>
      <c r="N59" s="367">
        <f>'Consolidado-Eletronorte'!AN82/1000</f>
        <v>0</v>
      </c>
      <c r="O59" s="367">
        <f>'Consolidado-Eletronorte'!AO82/1000</f>
        <v>0</v>
      </c>
      <c r="P59" s="367">
        <f>'Consolidado-Eletronorte'!AP82/1000</f>
        <v>0</v>
      </c>
      <c r="Q59" s="367">
        <f>'Consolidado-Eletronorte'!AQ82/1000</f>
        <v>0</v>
      </c>
      <c r="R59" s="367">
        <f>'Consolidado-Eletronorte'!AR82/1000</f>
        <v>0</v>
      </c>
      <c r="S59" s="367">
        <f>'Consolidado-Eletronorte'!AS82/1000</f>
        <v>0</v>
      </c>
      <c r="T59" s="367">
        <f>'Consolidado-Eletronorte'!AT82/1000</f>
        <v>0</v>
      </c>
      <c r="U59" s="367">
        <f>'Consolidado-Eletronorte'!AU82/1000</f>
        <v>0</v>
      </c>
      <c r="V59" s="367">
        <f>'Consolidado-Eletronorte'!AV82/1000</f>
        <v>695.25419999999997</v>
      </c>
      <c r="W59" s="367">
        <f>'Consolidado-Eletronorte'!AW82/1000</f>
        <v>695.25419999999997</v>
      </c>
      <c r="X59" s="367">
        <f>'Consolidado-Eletronorte'!AX82/1000</f>
        <v>0</v>
      </c>
      <c r="Y59" s="367">
        <f>'Consolidado-Eletronorte'!AY82/1000</f>
        <v>0</v>
      </c>
      <c r="Z59" s="367">
        <f>'Consolidado-Eletronorte'!AZ82/1000</f>
        <v>1390.5083999999999</v>
      </c>
    </row>
    <row r="60" spans="2:26" x14ac:dyDescent="0.3">
      <c r="B60" s="239" t="s">
        <v>153</v>
      </c>
      <c r="C60" s="237" t="s">
        <v>509</v>
      </c>
      <c r="D60" s="237" t="s">
        <v>509</v>
      </c>
      <c r="E60" s="237" t="s">
        <v>577</v>
      </c>
      <c r="F60" s="239" t="s">
        <v>564</v>
      </c>
      <c r="G60" s="239" t="s">
        <v>783</v>
      </c>
      <c r="H60" s="237" t="s">
        <v>154</v>
      </c>
      <c r="I60" s="367">
        <f>'Consolidado-Eletronorte'!AI83/1000</f>
        <v>0</v>
      </c>
      <c r="J60" s="367">
        <f>'Consolidado-Eletronorte'!AJ83/1000</f>
        <v>0</v>
      </c>
      <c r="K60" s="367">
        <f>'Consolidado-Eletronorte'!AK83/1000</f>
        <v>0</v>
      </c>
      <c r="L60" s="367">
        <f>'Consolidado-Eletronorte'!AL83/1000</f>
        <v>0</v>
      </c>
      <c r="M60" s="367">
        <f>'Consolidado-Eletronorte'!AM83/1000</f>
        <v>0</v>
      </c>
      <c r="N60" s="367">
        <f>'Consolidado-Eletronorte'!AN83/1000</f>
        <v>0</v>
      </c>
      <c r="O60" s="367">
        <f>'Consolidado-Eletronorte'!AO83/1000</f>
        <v>0</v>
      </c>
      <c r="P60" s="367">
        <f>'Consolidado-Eletronorte'!AP83/1000</f>
        <v>0</v>
      </c>
      <c r="Q60" s="367">
        <f>'Consolidado-Eletronorte'!AQ83/1000</f>
        <v>0</v>
      </c>
      <c r="R60" s="367">
        <f>'Consolidado-Eletronorte'!AR83/1000</f>
        <v>0</v>
      </c>
      <c r="S60" s="367">
        <f>'Consolidado-Eletronorte'!AS83/1000</f>
        <v>0</v>
      </c>
      <c r="T60" s="367">
        <f>'Consolidado-Eletronorte'!AT83/1000</f>
        <v>0</v>
      </c>
      <c r="U60" s="367">
        <f>'Consolidado-Eletronorte'!AU83/1000</f>
        <v>0</v>
      </c>
      <c r="V60" s="367">
        <f>'Consolidado-Eletronorte'!AV83/1000</f>
        <v>200</v>
      </c>
      <c r="W60" s="367">
        <f>'Consolidado-Eletronorte'!AW83/1000</f>
        <v>650</v>
      </c>
      <c r="X60" s="367">
        <f>'Consolidado-Eletronorte'!AX83/1000</f>
        <v>466.66667000000001</v>
      </c>
      <c r="Y60" s="367">
        <f>'Consolidado-Eletronorte'!AY83/1000</f>
        <v>0</v>
      </c>
      <c r="Z60" s="367">
        <f>'Consolidado-Eletronorte'!AZ83/1000</f>
        <v>1316.6666699999998</v>
      </c>
    </row>
    <row r="61" spans="2:26" x14ac:dyDescent="0.3">
      <c r="B61" s="365" t="s">
        <v>209</v>
      </c>
      <c r="C61" s="366" t="s">
        <v>509</v>
      </c>
      <c r="D61" s="366" t="s">
        <v>509</v>
      </c>
      <c r="E61" s="366" t="s">
        <v>577</v>
      </c>
      <c r="F61" s="365" t="s">
        <v>564</v>
      </c>
      <c r="G61" s="365" t="s">
        <v>785</v>
      </c>
      <c r="H61" s="366" t="s">
        <v>210</v>
      </c>
      <c r="I61" s="367">
        <f>'Consolidado-Eletronorte'!AI84/1000</f>
        <v>0</v>
      </c>
      <c r="J61" s="367">
        <f>'Consolidado-Eletronorte'!AJ84/1000</f>
        <v>0</v>
      </c>
      <c r="K61" s="367">
        <f>'Consolidado-Eletronorte'!AK84/1000</f>
        <v>0</v>
      </c>
      <c r="L61" s="367">
        <f>'Consolidado-Eletronorte'!AL84/1000</f>
        <v>0</v>
      </c>
      <c r="M61" s="367">
        <f>'Consolidado-Eletronorte'!AM84/1000</f>
        <v>0</v>
      </c>
      <c r="N61" s="367">
        <f>'Consolidado-Eletronorte'!AN84/1000</f>
        <v>0</v>
      </c>
      <c r="O61" s="367">
        <f>'Consolidado-Eletronorte'!AO84/1000</f>
        <v>0</v>
      </c>
      <c r="P61" s="367">
        <f>'Consolidado-Eletronorte'!AP84/1000</f>
        <v>0</v>
      </c>
      <c r="Q61" s="367">
        <f>'Consolidado-Eletronorte'!AQ84/1000</f>
        <v>0</v>
      </c>
      <c r="R61" s="367">
        <f>'Consolidado-Eletronorte'!AR84/1000</f>
        <v>0</v>
      </c>
      <c r="S61" s="367">
        <f>'Consolidado-Eletronorte'!AS84/1000</f>
        <v>200</v>
      </c>
      <c r="T61" s="367">
        <f>'Consolidado-Eletronorte'!AT84/1000</f>
        <v>0</v>
      </c>
      <c r="U61" s="367">
        <f>'Consolidado-Eletronorte'!AU84/1000</f>
        <v>200</v>
      </c>
      <c r="V61" s="367">
        <f>'Consolidado-Eletronorte'!AV84/1000</f>
        <v>0</v>
      </c>
      <c r="W61" s="367">
        <f>'Consolidado-Eletronorte'!AW84/1000</f>
        <v>0</v>
      </c>
      <c r="X61" s="367">
        <f>'Consolidado-Eletronorte'!AX84/1000</f>
        <v>0</v>
      </c>
      <c r="Y61" s="367">
        <f>'Consolidado-Eletronorte'!AY84/1000</f>
        <v>0</v>
      </c>
      <c r="Z61" s="367">
        <f>'Consolidado-Eletronorte'!AZ84/1000</f>
        <v>200</v>
      </c>
    </row>
    <row r="62" spans="2:26" x14ac:dyDescent="0.3">
      <c r="B62" s="239" t="s">
        <v>269</v>
      </c>
      <c r="C62" s="237" t="s">
        <v>509</v>
      </c>
      <c r="D62" s="237" t="s">
        <v>509</v>
      </c>
      <c r="E62" s="237" t="s">
        <v>555</v>
      </c>
      <c r="F62" s="239">
        <v>3400002923</v>
      </c>
      <c r="G62" s="239" t="s">
        <v>650</v>
      </c>
      <c r="H62" s="237" t="s">
        <v>229</v>
      </c>
      <c r="I62" s="367">
        <f>'Consolidado-Eletronorte'!AI85/1000</f>
        <v>0</v>
      </c>
      <c r="J62" s="367">
        <f>'Consolidado-Eletronorte'!AJ85/1000</f>
        <v>0</v>
      </c>
      <c r="K62" s="367">
        <f>'Consolidado-Eletronorte'!AK85/1000</f>
        <v>0</v>
      </c>
      <c r="L62" s="367">
        <f>'Consolidado-Eletronorte'!AL85/1000</f>
        <v>0</v>
      </c>
      <c r="M62" s="367">
        <f>'Consolidado-Eletronorte'!AM85/1000</f>
        <v>0</v>
      </c>
      <c r="N62" s="367">
        <f>'Consolidado-Eletronorte'!AN85/1000</f>
        <v>0</v>
      </c>
      <c r="O62" s="367">
        <f>'Consolidado-Eletronorte'!AO85/1000</f>
        <v>0</v>
      </c>
      <c r="P62" s="367">
        <f>'Consolidado-Eletronorte'!AP85/1000</f>
        <v>0</v>
      </c>
      <c r="Q62" s="367">
        <f>'Consolidado-Eletronorte'!AQ85/1000</f>
        <v>300</v>
      </c>
      <c r="R62" s="367">
        <f>'Consolidado-Eletronorte'!AR85/1000</f>
        <v>0</v>
      </c>
      <c r="S62" s="367">
        <f>'Consolidado-Eletronorte'!AS85/1000</f>
        <v>300</v>
      </c>
      <c r="T62" s="367">
        <f>'Consolidado-Eletronorte'!AT85/1000</f>
        <v>0</v>
      </c>
      <c r="U62" s="367">
        <f>'Consolidado-Eletronorte'!AU85/1000</f>
        <v>600</v>
      </c>
      <c r="V62" s="367">
        <f>'Consolidado-Eletronorte'!AV85/1000</f>
        <v>600</v>
      </c>
      <c r="W62" s="367">
        <f>'Consolidado-Eletronorte'!AW85/1000</f>
        <v>0</v>
      </c>
      <c r="X62" s="367">
        <f>'Consolidado-Eletronorte'!AX85/1000</f>
        <v>0</v>
      </c>
      <c r="Y62" s="367">
        <f>'Consolidado-Eletronorte'!AY85/1000</f>
        <v>0</v>
      </c>
      <c r="Z62" s="367">
        <f>'Consolidado-Eletronorte'!AZ85/1000</f>
        <v>1200</v>
      </c>
    </row>
    <row r="63" spans="2:26" x14ac:dyDescent="0.3">
      <c r="B63" s="365" t="s">
        <v>407</v>
      </c>
      <c r="C63" s="366" t="s">
        <v>509</v>
      </c>
      <c r="D63" s="366" t="s">
        <v>509</v>
      </c>
      <c r="E63" s="366" t="s">
        <v>738</v>
      </c>
      <c r="F63" s="365">
        <v>4500057018</v>
      </c>
      <c r="G63" s="365" t="s">
        <v>741</v>
      </c>
      <c r="H63" s="366" t="s">
        <v>319</v>
      </c>
      <c r="I63" s="367">
        <f>'Consolidado-Eletronorte'!AI86/1000</f>
        <v>0</v>
      </c>
      <c r="J63" s="367">
        <f>'Consolidado-Eletronorte'!AJ86/1000</f>
        <v>0</v>
      </c>
      <c r="K63" s="367">
        <f>'Consolidado-Eletronorte'!AK86/1000</f>
        <v>1000</v>
      </c>
      <c r="L63" s="367">
        <f>'Consolidado-Eletronorte'!AL86/1000</f>
        <v>0</v>
      </c>
      <c r="M63" s="367">
        <f>'Consolidado-Eletronorte'!AM86/1000</f>
        <v>0</v>
      </c>
      <c r="N63" s="367">
        <f>'Consolidado-Eletronorte'!AN86/1000</f>
        <v>0</v>
      </c>
      <c r="O63" s="367">
        <f>'Consolidado-Eletronorte'!AO86/1000</f>
        <v>0</v>
      </c>
      <c r="P63" s="367">
        <f>'Consolidado-Eletronorte'!AP86/1000</f>
        <v>0</v>
      </c>
      <c r="Q63" s="367">
        <f>'Consolidado-Eletronorte'!AQ86/1000</f>
        <v>0</v>
      </c>
      <c r="R63" s="367">
        <f>'Consolidado-Eletronorte'!AR86/1000</f>
        <v>0</v>
      </c>
      <c r="S63" s="367">
        <f>'Consolidado-Eletronorte'!AS86/1000</f>
        <v>0</v>
      </c>
      <c r="T63" s="367">
        <f>'Consolidado-Eletronorte'!AT86/1000</f>
        <v>0</v>
      </c>
      <c r="U63" s="367">
        <f>'Consolidado-Eletronorte'!AU86/1000</f>
        <v>1000</v>
      </c>
      <c r="V63" s="367">
        <f>'Consolidado-Eletronorte'!AV86/1000</f>
        <v>0</v>
      </c>
      <c r="W63" s="367">
        <f>'Consolidado-Eletronorte'!AW86/1000</f>
        <v>0</v>
      </c>
      <c r="X63" s="367">
        <f>'Consolidado-Eletronorte'!AX86/1000</f>
        <v>0</v>
      </c>
      <c r="Y63" s="367">
        <f>'Consolidado-Eletronorte'!AY86/1000</f>
        <v>0</v>
      </c>
      <c r="Z63" s="367">
        <f>'Consolidado-Eletronorte'!AZ86/1000</f>
        <v>1000</v>
      </c>
    </row>
    <row r="64" spans="2:26" x14ac:dyDescent="0.3">
      <c r="B64" s="239" t="s">
        <v>409</v>
      </c>
      <c r="C64" s="237" t="s">
        <v>509</v>
      </c>
      <c r="D64" s="237" t="s">
        <v>509</v>
      </c>
      <c r="E64" s="237" t="s">
        <v>577</v>
      </c>
      <c r="F64" s="239">
        <v>4600002614</v>
      </c>
      <c r="G64" s="239"/>
      <c r="H64" s="237" t="s">
        <v>319</v>
      </c>
      <c r="I64" s="367">
        <f>'Consolidado-Eletronorte'!AI87/1000</f>
        <v>0</v>
      </c>
      <c r="J64" s="367">
        <f>'Consolidado-Eletronorte'!AJ87/1000</f>
        <v>0</v>
      </c>
      <c r="K64" s="367">
        <f>'Consolidado-Eletronorte'!AK87/1000</f>
        <v>0</v>
      </c>
      <c r="L64" s="367">
        <f>'Consolidado-Eletronorte'!AL87/1000</f>
        <v>0</v>
      </c>
      <c r="M64" s="367">
        <f>'Consolidado-Eletronorte'!AM87/1000</f>
        <v>0</v>
      </c>
      <c r="N64" s="367">
        <f>'Consolidado-Eletronorte'!AN87/1000</f>
        <v>0</v>
      </c>
      <c r="O64" s="367">
        <f>'Consolidado-Eletronorte'!AO87/1000</f>
        <v>0</v>
      </c>
      <c r="P64" s="367">
        <f>'Consolidado-Eletronorte'!AP87/1000</f>
        <v>0</v>
      </c>
      <c r="Q64" s="367">
        <f>'Consolidado-Eletronorte'!AQ87/1000</f>
        <v>0</v>
      </c>
      <c r="R64" s="367">
        <f>'Consolidado-Eletronorte'!AR87/1000</f>
        <v>0</v>
      </c>
      <c r="S64" s="367">
        <f>'Consolidado-Eletronorte'!AS87/1000</f>
        <v>0</v>
      </c>
      <c r="T64" s="367">
        <f>'Consolidado-Eletronorte'!AT87/1000</f>
        <v>0</v>
      </c>
      <c r="U64" s="367">
        <f>'Consolidado-Eletronorte'!AU87/1000</f>
        <v>0</v>
      </c>
      <c r="V64" s="367">
        <f>'Consolidado-Eletronorte'!AV87/1000</f>
        <v>1000</v>
      </c>
      <c r="W64" s="367">
        <f>'Consolidado-Eletronorte'!AW87/1000</f>
        <v>0</v>
      </c>
      <c r="X64" s="367">
        <f>'Consolidado-Eletronorte'!AX87/1000</f>
        <v>0</v>
      </c>
      <c r="Y64" s="367">
        <f>'Consolidado-Eletronorte'!AY87/1000</f>
        <v>0</v>
      </c>
      <c r="Z64" s="367">
        <f>'Consolidado-Eletronorte'!AZ87/1000</f>
        <v>1000</v>
      </c>
    </row>
    <row r="65" spans="2:26" x14ac:dyDescent="0.3">
      <c r="B65" s="365" t="s">
        <v>419</v>
      </c>
      <c r="C65" s="366" t="s">
        <v>509</v>
      </c>
      <c r="D65" s="366" t="s">
        <v>509</v>
      </c>
      <c r="E65" s="366" t="s">
        <v>830</v>
      </c>
      <c r="F65" s="365">
        <v>4500079631</v>
      </c>
      <c r="G65" s="365" t="s">
        <v>833</v>
      </c>
      <c r="H65" s="366" t="s">
        <v>319</v>
      </c>
      <c r="I65" s="367">
        <f>'Consolidado-Eletronorte'!AI88/1000</f>
        <v>0</v>
      </c>
      <c r="J65" s="367">
        <f>'Consolidado-Eletronorte'!AJ88/1000</f>
        <v>0</v>
      </c>
      <c r="K65" s="367">
        <f>'Consolidado-Eletronorte'!AK88/1000</f>
        <v>0</v>
      </c>
      <c r="L65" s="367">
        <f>'Consolidado-Eletronorte'!AL88/1000</f>
        <v>0</v>
      </c>
      <c r="M65" s="367">
        <f>'Consolidado-Eletronorte'!AM88/1000</f>
        <v>0</v>
      </c>
      <c r="N65" s="367">
        <f>'Consolidado-Eletronorte'!AN88/1000</f>
        <v>0</v>
      </c>
      <c r="O65" s="367">
        <f>'Consolidado-Eletronorte'!AO88/1000</f>
        <v>0</v>
      </c>
      <c r="P65" s="367">
        <f>'Consolidado-Eletronorte'!AP88/1000</f>
        <v>0</v>
      </c>
      <c r="Q65" s="367">
        <f>'Consolidado-Eletronorte'!AQ88/1000</f>
        <v>0</v>
      </c>
      <c r="R65" s="367">
        <f>'Consolidado-Eletronorte'!AR88/1000</f>
        <v>0</v>
      </c>
      <c r="S65" s="367">
        <f>'Consolidado-Eletronorte'!AS88/1000</f>
        <v>0</v>
      </c>
      <c r="T65" s="367">
        <f>'Consolidado-Eletronorte'!AT88/1000</f>
        <v>0</v>
      </c>
      <c r="U65" s="367">
        <f>'Consolidado-Eletronorte'!AU88/1000</f>
        <v>0</v>
      </c>
      <c r="V65" s="367">
        <f>'Consolidado-Eletronorte'!AV88/1000</f>
        <v>1000</v>
      </c>
      <c r="W65" s="367">
        <f>'Consolidado-Eletronorte'!AW88/1000</f>
        <v>0</v>
      </c>
      <c r="X65" s="367">
        <f>'Consolidado-Eletronorte'!AX88/1000</f>
        <v>0</v>
      </c>
      <c r="Y65" s="367">
        <f>'Consolidado-Eletronorte'!AY88/1000</f>
        <v>0</v>
      </c>
      <c r="Z65" s="367">
        <f>'Consolidado-Eletronorte'!AZ88/1000</f>
        <v>1000</v>
      </c>
    </row>
    <row r="66" spans="2:26" x14ac:dyDescent="0.3">
      <c r="B66" s="239" t="s">
        <v>417</v>
      </c>
      <c r="C66" s="237" t="s">
        <v>509</v>
      </c>
      <c r="D66" s="237" t="s">
        <v>509</v>
      </c>
      <c r="E66" s="237" t="s">
        <v>931</v>
      </c>
      <c r="F66" s="239">
        <v>4500076990</v>
      </c>
      <c r="G66" s="239" t="s">
        <v>934</v>
      </c>
      <c r="H66" s="237" t="s">
        <v>319</v>
      </c>
      <c r="I66" s="367">
        <f>'Consolidado-Eletronorte'!AI89/1000</f>
        <v>0</v>
      </c>
      <c r="J66" s="367">
        <f>'Consolidado-Eletronorte'!AJ89/1000</f>
        <v>0</v>
      </c>
      <c r="K66" s="367">
        <f>'Consolidado-Eletronorte'!AK89/1000</f>
        <v>0</v>
      </c>
      <c r="L66" s="367">
        <f>'Consolidado-Eletronorte'!AL89/1000</f>
        <v>0</v>
      </c>
      <c r="M66" s="367">
        <f>'Consolidado-Eletronorte'!AM89/1000</f>
        <v>0</v>
      </c>
      <c r="N66" s="367">
        <f>'Consolidado-Eletronorte'!AN89/1000</f>
        <v>0</v>
      </c>
      <c r="O66" s="367">
        <f>'Consolidado-Eletronorte'!AO89/1000</f>
        <v>0</v>
      </c>
      <c r="P66" s="367">
        <f>'Consolidado-Eletronorte'!AP89/1000</f>
        <v>0</v>
      </c>
      <c r="Q66" s="367">
        <f>'Consolidado-Eletronorte'!AQ89/1000</f>
        <v>0</v>
      </c>
      <c r="R66" s="367">
        <f>'Consolidado-Eletronorte'!AR89/1000</f>
        <v>0</v>
      </c>
      <c r="S66" s="367">
        <f>'Consolidado-Eletronorte'!AS89/1000</f>
        <v>0</v>
      </c>
      <c r="T66" s="367">
        <f>'Consolidado-Eletronorte'!AT89/1000</f>
        <v>0</v>
      </c>
      <c r="U66" s="367">
        <f>'Consolidado-Eletronorte'!AU89/1000</f>
        <v>0</v>
      </c>
      <c r="V66" s="367">
        <f>'Consolidado-Eletronorte'!AV89/1000</f>
        <v>951</v>
      </c>
      <c r="W66" s="367">
        <f>'Consolidado-Eletronorte'!AW89/1000</f>
        <v>0</v>
      </c>
      <c r="X66" s="367">
        <f>'Consolidado-Eletronorte'!AX89/1000</f>
        <v>0</v>
      </c>
      <c r="Y66" s="367">
        <f>'Consolidado-Eletronorte'!AY89/1000</f>
        <v>0</v>
      </c>
      <c r="Z66" s="367">
        <f>'Consolidado-Eletronorte'!AZ89/1000</f>
        <v>951</v>
      </c>
    </row>
    <row r="67" spans="2:26" x14ac:dyDescent="0.3">
      <c r="B67" s="365" t="s">
        <v>954</v>
      </c>
      <c r="C67" s="366" t="s">
        <v>509</v>
      </c>
      <c r="D67" s="366" t="s">
        <v>509</v>
      </c>
      <c r="E67" s="366" t="s">
        <v>555</v>
      </c>
      <c r="F67" s="365" t="s">
        <v>564</v>
      </c>
      <c r="G67" s="365" t="s">
        <v>750</v>
      </c>
      <c r="H67" s="366" t="s">
        <v>319</v>
      </c>
      <c r="I67" s="367">
        <f>'Consolidado-Eletronorte'!AI90/1000</f>
        <v>0</v>
      </c>
      <c r="J67" s="367">
        <f>'Consolidado-Eletronorte'!AJ90/1000</f>
        <v>0</v>
      </c>
      <c r="K67" s="367">
        <f>'Consolidado-Eletronorte'!AK90/1000</f>
        <v>0</v>
      </c>
      <c r="L67" s="367">
        <f>'Consolidado-Eletronorte'!AL90/1000</f>
        <v>0</v>
      </c>
      <c r="M67" s="367">
        <f>'Consolidado-Eletronorte'!AM90/1000</f>
        <v>0</v>
      </c>
      <c r="N67" s="367">
        <f>'Consolidado-Eletronorte'!AN90/1000</f>
        <v>0</v>
      </c>
      <c r="O67" s="367">
        <f>'Consolidado-Eletronorte'!AO90/1000</f>
        <v>0</v>
      </c>
      <c r="P67" s="367">
        <f>'Consolidado-Eletronorte'!AP90/1000</f>
        <v>0</v>
      </c>
      <c r="Q67" s="367">
        <f>'Consolidado-Eletronorte'!AQ90/1000</f>
        <v>0</v>
      </c>
      <c r="R67" s="367">
        <f>'Consolidado-Eletronorte'!AR90/1000</f>
        <v>0</v>
      </c>
      <c r="S67" s="367">
        <f>'Consolidado-Eletronorte'!AS90/1000</f>
        <v>0</v>
      </c>
      <c r="T67" s="367">
        <f>'Consolidado-Eletronorte'!AT90/1000</f>
        <v>0</v>
      </c>
      <c r="U67" s="367">
        <f>'Consolidado-Eletronorte'!AU90/1000</f>
        <v>0</v>
      </c>
      <c r="V67" s="367">
        <f>'Consolidado-Eletronorte'!AV90/1000</f>
        <v>450.28</v>
      </c>
      <c r="W67" s="367">
        <f>'Consolidado-Eletronorte'!AW90/1000</f>
        <v>450.28</v>
      </c>
      <c r="X67" s="367">
        <f>'Consolidado-Eletronorte'!AX90/1000</f>
        <v>0</v>
      </c>
      <c r="Y67" s="367">
        <f>'Consolidado-Eletronorte'!AY90/1000</f>
        <v>0</v>
      </c>
      <c r="Z67" s="367">
        <f>'Consolidado-Eletronorte'!AZ90/1000</f>
        <v>900.56</v>
      </c>
    </row>
    <row r="68" spans="2:26" x14ac:dyDescent="0.3">
      <c r="B68" s="239" t="s">
        <v>315</v>
      </c>
      <c r="C68" s="237" t="s">
        <v>509</v>
      </c>
      <c r="D68" s="237" t="s">
        <v>509</v>
      </c>
      <c r="E68" s="237" t="s">
        <v>800</v>
      </c>
      <c r="F68" s="239">
        <v>4500067440</v>
      </c>
      <c r="G68" s="239" t="s">
        <v>803</v>
      </c>
      <c r="H68" s="237" t="s">
        <v>276</v>
      </c>
      <c r="I68" s="367">
        <f>'Consolidado-Eletronorte'!AI91/1000</f>
        <v>0</v>
      </c>
      <c r="J68" s="367">
        <f>'Consolidado-Eletronorte'!AJ91/1000</f>
        <v>0</v>
      </c>
      <c r="K68" s="367">
        <f>'Consolidado-Eletronorte'!AK91/1000</f>
        <v>0</v>
      </c>
      <c r="L68" s="367">
        <f>'Consolidado-Eletronorte'!AL91/1000</f>
        <v>0</v>
      </c>
      <c r="M68" s="367">
        <f>'Consolidado-Eletronorte'!AM91/1000</f>
        <v>0</v>
      </c>
      <c r="N68" s="367">
        <f>'Consolidado-Eletronorte'!AN91/1000</f>
        <v>0</v>
      </c>
      <c r="O68" s="367">
        <f>'Consolidado-Eletronorte'!AO91/1000</f>
        <v>450</v>
      </c>
      <c r="P68" s="367">
        <f>'Consolidado-Eletronorte'!AP91/1000</f>
        <v>0</v>
      </c>
      <c r="Q68" s="367">
        <f>'Consolidado-Eletronorte'!AQ91/1000</f>
        <v>0</v>
      </c>
      <c r="R68" s="367">
        <f>'Consolidado-Eletronorte'!AR91/1000</f>
        <v>0</v>
      </c>
      <c r="S68" s="367">
        <f>'Consolidado-Eletronorte'!AS91/1000</f>
        <v>0</v>
      </c>
      <c r="T68" s="367">
        <f>'Consolidado-Eletronorte'!AT91/1000</f>
        <v>0</v>
      </c>
      <c r="U68" s="367">
        <f>'Consolidado-Eletronorte'!AU91/1000</f>
        <v>450</v>
      </c>
      <c r="V68" s="367">
        <f>'Consolidado-Eletronorte'!AV91/1000</f>
        <v>0</v>
      </c>
      <c r="W68" s="367">
        <f>'Consolidado-Eletronorte'!AW91/1000</f>
        <v>0</v>
      </c>
      <c r="X68" s="367">
        <f>'Consolidado-Eletronorte'!AX91/1000</f>
        <v>0</v>
      </c>
      <c r="Y68" s="367">
        <f>'Consolidado-Eletronorte'!AY91/1000</f>
        <v>0</v>
      </c>
      <c r="Z68" s="367">
        <f>'Consolidado-Eletronorte'!AZ91/1000</f>
        <v>450</v>
      </c>
    </row>
    <row r="69" spans="2:26" x14ac:dyDescent="0.3">
      <c r="B69" s="365" t="s">
        <v>954</v>
      </c>
      <c r="C69" s="366" t="s">
        <v>509</v>
      </c>
      <c r="D69" s="366" t="s">
        <v>509</v>
      </c>
      <c r="E69" s="366" t="s">
        <v>555</v>
      </c>
      <c r="F69" s="365" t="s">
        <v>564</v>
      </c>
      <c r="G69" s="365" t="s">
        <v>754</v>
      </c>
      <c r="H69" s="366" t="s">
        <v>319</v>
      </c>
      <c r="I69" s="367">
        <f>'Consolidado-Eletronorte'!AI92/1000</f>
        <v>0</v>
      </c>
      <c r="J69" s="367">
        <f>'Consolidado-Eletronorte'!AJ92/1000</f>
        <v>0</v>
      </c>
      <c r="K69" s="367">
        <f>'Consolidado-Eletronorte'!AK92/1000</f>
        <v>0</v>
      </c>
      <c r="L69" s="367">
        <f>'Consolidado-Eletronorte'!AL92/1000</f>
        <v>0</v>
      </c>
      <c r="M69" s="367">
        <f>'Consolidado-Eletronorte'!AM92/1000</f>
        <v>0</v>
      </c>
      <c r="N69" s="367">
        <f>'Consolidado-Eletronorte'!AN92/1000</f>
        <v>0</v>
      </c>
      <c r="O69" s="367">
        <f>'Consolidado-Eletronorte'!AO92/1000</f>
        <v>0</v>
      </c>
      <c r="P69" s="367">
        <f>'Consolidado-Eletronorte'!AP92/1000</f>
        <v>0</v>
      </c>
      <c r="Q69" s="367">
        <f>'Consolidado-Eletronorte'!AQ92/1000</f>
        <v>0</v>
      </c>
      <c r="R69" s="367">
        <f>'Consolidado-Eletronorte'!AR92/1000</f>
        <v>0</v>
      </c>
      <c r="S69" s="367">
        <f>'Consolidado-Eletronorte'!AS92/1000</f>
        <v>0</v>
      </c>
      <c r="T69" s="367">
        <f>'Consolidado-Eletronorte'!AT92/1000</f>
        <v>0</v>
      </c>
      <c r="U69" s="367">
        <f>'Consolidado-Eletronorte'!AU92/1000</f>
        <v>0</v>
      </c>
      <c r="V69" s="367">
        <f>'Consolidado-Eletronorte'!AV92/1000</f>
        <v>900</v>
      </c>
      <c r="W69" s="367">
        <f>'Consolidado-Eletronorte'!AW92/1000</f>
        <v>0</v>
      </c>
      <c r="X69" s="367">
        <f>'Consolidado-Eletronorte'!AX92/1000</f>
        <v>0</v>
      </c>
      <c r="Y69" s="367">
        <f>'Consolidado-Eletronorte'!AY92/1000</f>
        <v>0</v>
      </c>
      <c r="Z69" s="367">
        <f>'Consolidado-Eletronorte'!AZ92/1000</f>
        <v>900</v>
      </c>
    </row>
    <row r="70" spans="2:26" x14ac:dyDescent="0.3">
      <c r="B70" s="239" t="s">
        <v>219</v>
      </c>
      <c r="C70" s="237" t="s">
        <v>509</v>
      </c>
      <c r="D70" s="237" t="s">
        <v>509</v>
      </c>
      <c r="E70" s="237" t="s">
        <v>577</v>
      </c>
      <c r="F70" s="239" t="s">
        <v>564</v>
      </c>
      <c r="G70" s="239" t="s">
        <v>808</v>
      </c>
      <c r="H70" s="237" t="s">
        <v>210</v>
      </c>
      <c r="I70" s="367">
        <f>'Consolidado-Eletronorte'!AI93/1000</f>
        <v>0</v>
      </c>
      <c r="J70" s="367">
        <f>'Consolidado-Eletronorte'!AJ93/1000</f>
        <v>0</v>
      </c>
      <c r="K70" s="367">
        <f>'Consolidado-Eletronorte'!AK93/1000</f>
        <v>0</v>
      </c>
      <c r="L70" s="367">
        <f>'Consolidado-Eletronorte'!AL93/1000</f>
        <v>0</v>
      </c>
      <c r="M70" s="367">
        <f>'Consolidado-Eletronorte'!AM93/1000</f>
        <v>0</v>
      </c>
      <c r="N70" s="367">
        <f>'Consolidado-Eletronorte'!AN93/1000</f>
        <v>0</v>
      </c>
      <c r="O70" s="367">
        <f>'Consolidado-Eletronorte'!AO93/1000</f>
        <v>0</v>
      </c>
      <c r="P70" s="367">
        <f>'Consolidado-Eletronorte'!AP93/1000</f>
        <v>0</v>
      </c>
      <c r="Q70" s="367">
        <f>'Consolidado-Eletronorte'!AQ93/1000</f>
        <v>0</v>
      </c>
      <c r="R70" s="367">
        <f>'Consolidado-Eletronorte'!AR93/1000</f>
        <v>0</v>
      </c>
      <c r="S70" s="367">
        <f>'Consolidado-Eletronorte'!AS93/1000</f>
        <v>0</v>
      </c>
      <c r="T70" s="367">
        <f>'Consolidado-Eletronorte'!AT93/1000</f>
        <v>0</v>
      </c>
      <c r="U70" s="367">
        <f>'Consolidado-Eletronorte'!AU93/1000</f>
        <v>0</v>
      </c>
      <c r="V70" s="367">
        <f>'Consolidado-Eletronorte'!AV93/1000</f>
        <v>600</v>
      </c>
      <c r="W70" s="367">
        <f>'Consolidado-Eletronorte'!AW93/1000</f>
        <v>300</v>
      </c>
      <c r="X70" s="367">
        <f>'Consolidado-Eletronorte'!AX93/1000</f>
        <v>0</v>
      </c>
      <c r="Y70" s="367">
        <f>'Consolidado-Eletronorte'!AY93/1000</f>
        <v>0</v>
      </c>
      <c r="Z70" s="367">
        <f>'Consolidado-Eletronorte'!AZ93/1000</f>
        <v>900</v>
      </c>
    </row>
    <row r="71" spans="2:26" x14ac:dyDescent="0.3">
      <c r="B71" s="365" t="s">
        <v>244</v>
      </c>
      <c r="C71" s="366" t="s">
        <v>509</v>
      </c>
      <c r="D71" s="366" t="s">
        <v>509</v>
      </c>
      <c r="E71" s="366" t="s">
        <v>577</v>
      </c>
      <c r="F71" s="365" t="s">
        <v>564</v>
      </c>
      <c r="G71" s="365" t="s">
        <v>810</v>
      </c>
      <c r="H71" s="366" t="s">
        <v>229</v>
      </c>
      <c r="I71" s="367">
        <f>'Consolidado-Eletronorte'!AI94/1000</f>
        <v>0</v>
      </c>
      <c r="J71" s="367">
        <f>'Consolidado-Eletronorte'!AJ94/1000</f>
        <v>0</v>
      </c>
      <c r="K71" s="367">
        <f>'Consolidado-Eletronorte'!AK94/1000</f>
        <v>0</v>
      </c>
      <c r="L71" s="367">
        <f>'Consolidado-Eletronorte'!AL94/1000</f>
        <v>0</v>
      </c>
      <c r="M71" s="367">
        <f>'Consolidado-Eletronorte'!AM94/1000</f>
        <v>0</v>
      </c>
      <c r="N71" s="367">
        <f>'Consolidado-Eletronorte'!AN94/1000</f>
        <v>0</v>
      </c>
      <c r="O71" s="367">
        <f>'Consolidado-Eletronorte'!AO94/1000</f>
        <v>0</v>
      </c>
      <c r="P71" s="367">
        <f>'Consolidado-Eletronorte'!AP94/1000</f>
        <v>0</v>
      </c>
      <c r="Q71" s="367">
        <f>'Consolidado-Eletronorte'!AQ94/1000</f>
        <v>0</v>
      </c>
      <c r="R71" s="367">
        <f>'Consolidado-Eletronorte'!AR94/1000</f>
        <v>0</v>
      </c>
      <c r="S71" s="367">
        <f>'Consolidado-Eletronorte'!AS94/1000</f>
        <v>0</v>
      </c>
      <c r="T71" s="367">
        <f>'Consolidado-Eletronorte'!AT94/1000</f>
        <v>0</v>
      </c>
      <c r="U71" s="367">
        <f>'Consolidado-Eletronorte'!AU94/1000</f>
        <v>0</v>
      </c>
      <c r="V71" s="367">
        <f>'Consolidado-Eletronorte'!AV94/1000</f>
        <v>600</v>
      </c>
      <c r="W71" s="367">
        <f>'Consolidado-Eletronorte'!AW94/1000</f>
        <v>600</v>
      </c>
      <c r="X71" s="367">
        <f>'Consolidado-Eletronorte'!AX94/1000</f>
        <v>0</v>
      </c>
      <c r="Y71" s="367">
        <f>'Consolidado-Eletronorte'!AY94/1000</f>
        <v>0</v>
      </c>
      <c r="Z71" s="367">
        <f>'Consolidado-Eletronorte'!AZ94/1000</f>
        <v>1200</v>
      </c>
    </row>
    <row r="72" spans="2:26" x14ac:dyDescent="0.3">
      <c r="B72" s="239" t="s">
        <v>954</v>
      </c>
      <c r="C72" s="237" t="s">
        <v>509</v>
      </c>
      <c r="D72" s="237" t="s">
        <v>509</v>
      </c>
      <c r="E72" s="237" t="s">
        <v>555</v>
      </c>
      <c r="F72" s="239" t="s">
        <v>564</v>
      </c>
      <c r="G72" s="239" t="s">
        <v>758</v>
      </c>
      <c r="H72" s="237" t="s">
        <v>319</v>
      </c>
      <c r="I72" s="367">
        <f>'Consolidado-Eletronorte'!AI95/1000</f>
        <v>0</v>
      </c>
      <c r="J72" s="367">
        <f>'Consolidado-Eletronorte'!AJ95/1000</f>
        <v>0</v>
      </c>
      <c r="K72" s="367">
        <f>'Consolidado-Eletronorte'!AK95/1000</f>
        <v>0</v>
      </c>
      <c r="L72" s="367">
        <f>'Consolidado-Eletronorte'!AL95/1000</f>
        <v>0</v>
      </c>
      <c r="M72" s="367">
        <f>'Consolidado-Eletronorte'!AM95/1000</f>
        <v>0</v>
      </c>
      <c r="N72" s="367">
        <f>'Consolidado-Eletronorte'!AN95/1000</f>
        <v>0</v>
      </c>
      <c r="O72" s="367">
        <f>'Consolidado-Eletronorte'!AO95/1000</f>
        <v>0</v>
      </c>
      <c r="P72" s="367">
        <f>'Consolidado-Eletronorte'!AP95/1000</f>
        <v>0</v>
      </c>
      <c r="Q72" s="367">
        <f>'Consolidado-Eletronorte'!AQ95/1000</f>
        <v>0</v>
      </c>
      <c r="R72" s="367">
        <f>'Consolidado-Eletronorte'!AR95/1000</f>
        <v>0</v>
      </c>
      <c r="S72" s="367">
        <f>'Consolidado-Eletronorte'!AS95/1000</f>
        <v>0</v>
      </c>
      <c r="T72" s="367">
        <f>'Consolidado-Eletronorte'!AT95/1000</f>
        <v>0</v>
      </c>
      <c r="U72" s="367">
        <f>'Consolidado-Eletronorte'!AU95/1000</f>
        <v>0</v>
      </c>
      <c r="V72" s="367">
        <f>'Consolidado-Eletronorte'!AV95/1000</f>
        <v>897.51</v>
      </c>
      <c r="W72" s="367">
        <f>'Consolidado-Eletronorte'!AW95/1000</f>
        <v>0</v>
      </c>
      <c r="X72" s="367">
        <f>'Consolidado-Eletronorte'!AX95/1000</f>
        <v>0</v>
      </c>
      <c r="Y72" s="367">
        <f>'Consolidado-Eletronorte'!AY95/1000</f>
        <v>0</v>
      </c>
      <c r="Z72" s="367">
        <f>'Consolidado-Eletronorte'!AZ95/1000</f>
        <v>897.51</v>
      </c>
    </row>
    <row r="73" spans="2:26" x14ac:dyDescent="0.3">
      <c r="B73" s="365" t="s">
        <v>427</v>
      </c>
      <c r="C73" s="366" t="s">
        <v>509</v>
      </c>
      <c r="D73" s="366" t="s">
        <v>509</v>
      </c>
      <c r="E73" s="366" t="s">
        <v>577</v>
      </c>
      <c r="F73" s="365">
        <v>3400004230</v>
      </c>
      <c r="G73" s="365" t="s">
        <v>744</v>
      </c>
      <c r="H73" s="366" t="s">
        <v>319</v>
      </c>
      <c r="I73" s="367">
        <f>'Consolidado-Eletronorte'!AI96/1000</f>
        <v>0</v>
      </c>
      <c r="J73" s="367">
        <f>'Consolidado-Eletronorte'!AJ96/1000</f>
        <v>0</v>
      </c>
      <c r="K73" s="367">
        <f>'Consolidado-Eletronorte'!AK96/1000</f>
        <v>0</v>
      </c>
      <c r="L73" s="367">
        <f>'Consolidado-Eletronorte'!AL96/1000</f>
        <v>0</v>
      </c>
      <c r="M73" s="367">
        <f>'Consolidado-Eletronorte'!AM96/1000</f>
        <v>0</v>
      </c>
      <c r="N73" s="367">
        <f>'Consolidado-Eletronorte'!AN96/1000</f>
        <v>0</v>
      </c>
      <c r="O73" s="367">
        <f>'Consolidado-Eletronorte'!AO96/1000</f>
        <v>0</v>
      </c>
      <c r="P73" s="367">
        <f>'Consolidado-Eletronorte'!AP96/1000</f>
        <v>0</v>
      </c>
      <c r="Q73" s="367">
        <f>'Consolidado-Eletronorte'!AQ96/1000</f>
        <v>0</v>
      </c>
      <c r="R73" s="367">
        <f>'Consolidado-Eletronorte'!AR96/1000</f>
        <v>0</v>
      </c>
      <c r="S73" s="367">
        <f>'Consolidado-Eletronorte'!AS96/1000</f>
        <v>0</v>
      </c>
      <c r="T73" s="367">
        <f>'Consolidado-Eletronorte'!AT96/1000</f>
        <v>0</v>
      </c>
      <c r="U73" s="367">
        <f>'Consolidado-Eletronorte'!AU96/1000</f>
        <v>0</v>
      </c>
      <c r="V73" s="367">
        <f>'Consolidado-Eletronorte'!AV96/1000</f>
        <v>720</v>
      </c>
      <c r="W73" s="367">
        <f>'Consolidado-Eletronorte'!AW96/1000</f>
        <v>0</v>
      </c>
      <c r="X73" s="367">
        <f>'Consolidado-Eletronorte'!AX96/1000</f>
        <v>0</v>
      </c>
      <c r="Y73" s="367">
        <f>'Consolidado-Eletronorte'!AY96/1000</f>
        <v>0</v>
      </c>
      <c r="Z73" s="367">
        <f>'Consolidado-Eletronorte'!AZ96/1000</f>
        <v>720</v>
      </c>
    </row>
    <row r="74" spans="2:26" x14ac:dyDescent="0.3">
      <c r="B74" s="239" t="s">
        <v>421</v>
      </c>
      <c r="C74" s="237" t="s">
        <v>509</v>
      </c>
      <c r="D74" s="237" t="s">
        <v>509</v>
      </c>
      <c r="E74" s="237" t="s">
        <v>555</v>
      </c>
      <c r="F74" s="239">
        <v>3400004437</v>
      </c>
      <c r="G74" s="239" t="s">
        <v>937</v>
      </c>
      <c r="H74" s="237" t="s">
        <v>319</v>
      </c>
      <c r="I74" s="367">
        <f>'Consolidado-Eletronorte'!AI97/1000</f>
        <v>0</v>
      </c>
      <c r="J74" s="367">
        <f>'Consolidado-Eletronorte'!AJ97/1000</f>
        <v>0</v>
      </c>
      <c r="K74" s="367">
        <f>'Consolidado-Eletronorte'!AK97/1000</f>
        <v>0</v>
      </c>
      <c r="L74" s="367">
        <f>'Consolidado-Eletronorte'!AL97/1000</f>
        <v>0</v>
      </c>
      <c r="M74" s="367">
        <f>'Consolidado-Eletronorte'!AM97/1000</f>
        <v>0</v>
      </c>
      <c r="N74" s="367">
        <f>'Consolidado-Eletronorte'!AN97/1000</f>
        <v>0</v>
      </c>
      <c r="O74" s="367">
        <f>'Consolidado-Eletronorte'!AO97/1000</f>
        <v>0</v>
      </c>
      <c r="P74" s="367">
        <f>'Consolidado-Eletronorte'!AP97/1000</f>
        <v>0</v>
      </c>
      <c r="Q74" s="367">
        <f>'Consolidado-Eletronorte'!AQ97/1000</f>
        <v>0</v>
      </c>
      <c r="R74" s="367">
        <f>'Consolidado-Eletronorte'!AR97/1000</f>
        <v>350</v>
      </c>
      <c r="S74" s="367">
        <f>'Consolidado-Eletronorte'!AS97/1000</f>
        <v>0</v>
      </c>
      <c r="T74" s="367">
        <f>'Consolidado-Eletronorte'!AT97/1000</f>
        <v>0</v>
      </c>
      <c r="U74" s="367">
        <f>'Consolidado-Eletronorte'!AU97/1000</f>
        <v>350</v>
      </c>
      <c r="V74" s="367">
        <f>'Consolidado-Eletronorte'!AV97/1000</f>
        <v>350</v>
      </c>
      <c r="W74" s="367">
        <f>'Consolidado-Eletronorte'!AW97/1000</f>
        <v>0</v>
      </c>
      <c r="X74" s="367">
        <f>'Consolidado-Eletronorte'!AX97/1000</f>
        <v>0</v>
      </c>
      <c r="Y74" s="367">
        <f>'Consolidado-Eletronorte'!AY97/1000</f>
        <v>0</v>
      </c>
      <c r="Z74" s="367">
        <f>'Consolidado-Eletronorte'!AZ97/1000</f>
        <v>700</v>
      </c>
    </row>
    <row r="75" spans="2:26" x14ac:dyDescent="0.3">
      <c r="B75" s="365" t="s">
        <v>207</v>
      </c>
      <c r="C75" s="366" t="s">
        <v>509</v>
      </c>
      <c r="D75" s="366" t="s">
        <v>509</v>
      </c>
      <c r="E75" s="366" t="s">
        <v>555</v>
      </c>
      <c r="F75" s="365">
        <v>3500006131</v>
      </c>
      <c r="G75" s="365" t="s">
        <v>819</v>
      </c>
      <c r="H75" s="366" t="s">
        <v>158</v>
      </c>
      <c r="I75" s="367">
        <f>'Consolidado-Eletronorte'!AI98/1000</f>
        <v>0</v>
      </c>
      <c r="J75" s="367">
        <f>'Consolidado-Eletronorte'!AJ98/1000</f>
        <v>0</v>
      </c>
      <c r="K75" s="367">
        <f>'Consolidado-Eletronorte'!AK98/1000</f>
        <v>0</v>
      </c>
      <c r="L75" s="367">
        <f>'Consolidado-Eletronorte'!AL98/1000</f>
        <v>0</v>
      </c>
      <c r="M75" s="367">
        <f>'Consolidado-Eletronorte'!AM98/1000</f>
        <v>150</v>
      </c>
      <c r="N75" s="367">
        <f>'Consolidado-Eletronorte'!AN98/1000</f>
        <v>0</v>
      </c>
      <c r="O75" s="367">
        <f>'Consolidado-Eletronorte'!AO98/1000</f>
        <v>200</v>
      </c>
      <c r="P75" s="367">
        <f>'Consolidado-Eletronorte'!AP98/1000</f>
        <v>0</v>
      </c>
      <c r="Q75" s="367">
        <f>'Consolidado-Eletronorte'!AQ98/1000</f>
        <v>150</v>
      </c>
      <c r="R75" s="367">
        <f>'Consolidado-Eletronorte'!AR98/1000</f>
        <v>0</v>
      </c>
      <c r="S75" s="367">
        <f>'Consolidado-Eletronorte'!AS98/1000</f>
        <v>100</v>
      </c>
      <c r="T75" s="367">
        <f>'Consolidado-Eletronorte'!AT98/1000</f>
        <v>0</v>
      </c>
      <c r="U75" s="367">
        <f>'Consolidado-Eletronorte'!AU98/1000</f>
        <v>600</v>
      </c>
      <c r="V75" s="367">
        <f>'Consolidado-Eletronorte'!AV98/1000</f>
        <v>500</v>
      </c>
      <c r="W75" s="367">
        <f>'Consolidado-Eletronorte'!AW98/1000</f>
        <v>0</v>
      </c>
      <c r="X75" s="367">
        <f>'Consolidado-Eletronorte'!AX98/1000</f>
        <v>0</v>
      </c>
      <c r="Y75" s="367">
        <f>'Consolidado-Eletronorte'!AY98/1000</f>
        <v>0</v>
      </c>
      <c r="Z75" s="367">
        <f>'Consolidado-Eletronorte'!AZ98/1000</f>
        <v>1100</v>
      </c>
    </row>
    <row r="76" spans="2:26" x14ac:dyDescent="0.3">
      <c r="B76" s="239" t="s">
        <v>311</v>
      </c>
      <c r="C76" s="237" t="s">
        <v>509</v>
      </c>
      <c r="D76" s="237" t="s">
        <v>509</v>
      </c>
      <c r="E76" s="237" t="s">
        <v>555</v>
      </c>
      <c r="F76" s="239" t="s">
        <v>564</v>
      </c>
      <c r="G76" s="239" t="s">
        <v>822</v>
      </c>
      <c r="H76" s="237" t="s">
        <v>276</v>
      </c>
      <c r="I76" s="367">
        <f>'Consolidado-Eletronorte'!AI99/1000</f>
        <v>0</v>
      </c>
      <c r="J76" s="367">
        <f>'Consolidado-Eletronorte'!AJ99/1000</f>
        <v>0</v>
      </c>
      <c r="K76" s="367">
        <f>'Consolidado-Eletronorte'!AK99/1000</f>
        <v>0</v>
      </c>
      <c r="L76" s="367">
        <f>'Consolidado-Eletronorte'!AL99/1000</f>
        <v>0</v>
      </c>
      <c r="M76" s="367">
        <f>'Consolidado-Eletronorte'!AM99/1000</f>
        <v>0</v>
      </c>
      <c r="N76" s="367">
        <f>'Consolidado-Eletronorte'!AN99/1000</f>
        <v>0</v>
      </c>
      <c r="O76" s="367">
        <f>'Consolidado-Eletronorte'!AO99/1000</f>
        <v>0</v>
      </c>
      <c r="P76" s="367">
        <f>'Consolidado-Eletronorte'!AP99/1000</f>
        <v>0</v>
      </c>
      <c r="Q76" s="367">
        <f>'Consolidado-Eletronorte'!AQ99/1000</f>
        <v>0</v>
      </c>
      <c r="R76" s="367">
        <f>'Consolidado-Eletronorte'!AR99/1000</f>
        <v>0</v>
      </c>
      <c r="S76" s="367">
        <f>'Consolidado-Eletronorte'!AS99/1000</f>
        <v>300</v>
      </c>
      <c r="T76" s="367">
        <f>'Consolidado-Eletronorte'!AT99/1000</f>
        <v>0</v>
      </c>
      <c r="U76" s="367">
        <f>'Consolidado-Eletronorte'!AU99/1000</f>
        <v>300</v>
      </c>
      <c r="V76" s="367">
        <f>'Consolidado-Eletronorte'!AV99/1000</f>
        <v>200</v>
      </c>
      <c r="W76" s="367">
        <f>'Consolidado-Eletronorte'!AW99/1000</f>
        <v>0</v>
      </c>
      <c r="X76" s="367">
        <f>'Consolidado-Eletronorte'!AX99/1000</f>
        <v>0</v>
      </c>
      <c r="Y76" s="367">
        <f>'Consolidado-Eletronorte'!AY99/1000</f>
        <v>0</v>
      </c>
      <c r="Z76" s="367">
        <f>'Consolidado-Eletronorte'!AZ99/1000</f>
        <v>500</v>
      </c>
    </row>
    <row r="77" spans="2:26" x14ac:dyDescent="0.3">
      <c r="B77" s="365" t="s">
        <v>256</v>
      </c>
      <c r="C77" s="366" t="s">
        <v>509</v>
      </c>
      <c r="D77" s="366" t="s">
        <v>509</v>
      </c>
      <c r="E77" s="366" t="s">
        <v>555</v>
      </c>
      <c r="F77" s="365" t="s">
        <v>564</v>
      </c>
      <c r="G77" s="365" t="s">
        <v>827</v>
      </c>
      <c r="H77" s="366" t="s">
        <v>229</v>
      </c>
      <c r="I77" s="367">
        <f>'Consolidado-Eletronorte'!AI100/1000</f>
        <v>0</v>
      </c>
      <c r="J77" s="367">
        <f>'Consolidado-Eletronorte'!AJ100/1000</f>
        <v>0</v>
      </c>
      <c r="K77" s="367">
        <f>'Consolidado-Eletronorte'!AK100/1000</f>
        <v>0</v>
      </c>
      <c r="L77" s="367">
        <f>'Consolidado-Eletronorte'!AL100/1000</f>
        <v>0</v>
      </c>
      <c r="M77" s="367">
        <f>'Consolidado-Eletronorte'!AM100/1000</f>
        <v>0</v>
      </c>
      <c r="N77" s="367">
        <f>'Consolidado-Eletronorte'!AN100/1000</f>
        <v>0</v>
      </c>
      <c r="O77" s="367">
        <f>'Consolidado-Eletronorte'!AO100/1000</f>
        <v>0</v>
      </c>
      <c r="P77" s="367">
        <f>'Consolidado-Eletronorte'!AP100/1000</f>
        <v>0</v>
      </c>
      <c r="Q77" s="367">
        <f>'Consolidado-Eletronorte'!AQ100/1000</f>
        <v>0</v>
      </c>
      <c r="R77" s="367">
        <f>'Consolidado-Eletronorte'!AR100/1000</f>
        <v>0</v>
      </c>
      <c r="S77" s="367">
        <f>'Consolidado-Eletronorte'!AS100/1000</f>
        <v>0</v>
      </c>
      <c r="T77" s="367">
        <f>'Consolidado-Eletronorte'!AT100/1000</f>
        <v>0</v>
      </c>
      <c r="U77" s="367">
        <f>'Consolidado-Eletronorte'!AU100/1000</f>
        <v>0</v>
      </c>
      <c r="V77" s="367">
        <f>'Consolidado-Eletronorte'!AV100/1000</f>
        <v>1100</v>
      </c>
      <c r="W77" s="367">
        <f>'Consolidado-Eletronorte'!AW100/1000</f>
        <v>0</v>
      </c>
      <c r="X77" s="367">
        <f>'Consolidado-Eletronorte'!AX100/1000</f>
        <v>0</v>
      </c>
      <c r="Y77" s="367">
        <f>'Consolidado-Eletronorte'!AY100/1000</f>
        <v>0</v>
      </c>
      <c r="Z77" s="367">
        <f>'Consolidado-Eletronorte'!AZ100/1000</f>
        <v>1100</v>
      </c>
    </row>
    <row r="78" spans="2:26" x14ac:dyDescent="0.3">
      <c r="B78" s="239" t="s">
        <v>423</v>
      </c>
      <c r="C78" s="237" t="s">
        <v>509</v>
      </c>
      <c r="D78" s="237" t="s">
        <v>622</v>
      </c>
      <c r="E78" s="237" t="s">
        <v>624</v>
      </c>
      <c r="F78" s="239" t="s">
        <v>734</v>
      </c>
      <c r="G78" s="239" t="s">
        <v>941</v>
      </c>
      <c r="H78" s="237" t="s">
        <v>344</v>
      </c>
      <c r="I78" s="367">
        <f>'Consolidado-Eletronorte'!AI101/1000</f>
        <v>0</v>
      </c>
      <c r="J78" s="367">
        <f>'Consolidado-Eletronorte'!AJ101/1000</f>
        <v>500</v>
      </c>
      <c r="K78" s="367">
        <f>'Consolidado-Eletronorte'!AK101/1000</f>
        <v>0</v>
      </c>
      <c r="L78" s="367">
        <f>'Consolidado-Eletronorte'!AL101/1000</f>
        <v>0</v>
      </c>
      <c r="M78" s="367">
        <f>'Consolidado-Eletronorte'!AM101/1000</f>
        <v>0</v>
      </c>
      <c r="N78" s="367">
        <f>'Consolidado-Eletronorte'!AN101/1000</f>
        <v>0</v>
      </c>
      <c r="O78" s="367">
        <f>'Consolidado-Eletronorte'!AO101/1000</f>
        <v>0</v>
      </c>
      <c r="P78" s="367">
        <f>'Consolidado-Eletronorte'!AP101/1000</f>
        <v>0</v>
      </c>
      <c r="Q78" s="367">
        <f>'Consolidado-Eletronorte'!AQ101/1000</f>
        <v>0</v>
      </c>
      <c r="R78" s="367">
        <f>'Consolidado-Eletronorte'!AR101/1000</f>
        <v>0</v>
      </c>
      <c r="S78" s="367">
        <f>'Consolidado-Eletronorte'!AS101/1000</f>
        <v>0</v>
      </c>
      <c r="T78" s="367">
        <f>'Consolidado-Eletronorte'!AT101/1000</f>
        <v>0</v>
      </c>
      <c r="U78" s="367">
        <f>'Consolidado-Eletronorte'!AU101/1000</f>
        <v>500</v>
      </c>
      <c r="V78" s="367">
        <f>'Consolidado-Eletronorte'!AV101/1000</f>
        <v>0</v>
      </c>
      <c r="W78" s="367">
        <f>'Consolidado-Eletronorte'!AW101/1000</f>
        <v>0</v>
      </c>
      <c r="X78" s="367">
        <f>'Consolidado-Eletronorte'!AX101/1000</f>
        <v>0</v>
      </c>
      <c r="Y78" s="367">
        <f>'Consolidado-Eletronorte'!AY101/1000</f>
        <v>0</v>
      </c>
      <c r="Z78" s="367">
        <f>'Consolidado-Eletronorte'!AZ101/1000</f>
        <v>500</v>
      </c>
    </row>
    <row r="79" spans="2:26" x14ac:dyDescent="0.3">
      <c r="B79" s="365" t="s">
        <v>263</v>
      </c>
      <c r="C79" s="366" t="s">
        <v>509</v>
      </c>
      <c r="D79" s="366" t="s">
        <v>622</v>
      </c>
      <c r="E79" s="366" t="s">
        <v>624</v>
      </c>
      <c r="F79" s="365" t="s">
        <v>734</v>
      </c>
      <c r="G79" s="365" t="s">
        <v>837</v>
      </c>
      <c r="H79" s="366" t="s">
        <v>229</v>
      </c>
      <c r="I79" s="367">
        <f>'Consolidado-Eletronorte'!AI102/1000</f>
        <v>0</v>
      </c>
      <c r="J79" s="367">
        <f>'Consolidado-Eletronorte'!AJ102/1000</f>
        <v>0</v>
      </c>
      <c r="K79" s="367">
        <f>'Consolidado-Eletronorte'!AK102/1000</f>
        <v>0</v>
      </c>
      <c r="L79" s="367">
        <f>'Consolidado-Eletronorte'!AL102/1000</f>
        <v>0</v>
      </c>
      <c r="M79" s="367">
        <f>'Consolidado-Eletronorte'!AM102/1000</f>
        <v>0</v>
      </c>
      <c r="N79" s="367">
        <f>'Consolidado-Eletronorte'!AN102/1000</f>
        <v>0</v>
      </c>
      <c r="O79" s="367">
        <f>'Consolidado-Eletronorte'!AO102/1000</f>
        <v>0</v>
      </c>
      <c r="P79" s="367">
        <f>'Consolidado-Eletronorte'!AP102/1000</f>
        <v>0</v>
      </c>
      <c r="Q79" s="367">
        <f>'Consolidado-Eletronorte'!AQ102/1000</f>
        <v>0</v>
      </c>
      <c r="R79" s="367">
        <f>'Consolidado-Eletronorte'!AR102/1000</f>
        <v>0</v>
      </c>
      <c r="S79" s="367">
        <f>'Consolidado-Eletronorte'!AS102/1000</f>
        <v>0</v>
      </c>
      <c r="T79" s="367">
        <f>'Consolidado-Eletronorte'!AT102/1000</f>
        <v>0</v>
      </c>
      <c r="U79" s="367">
        <f>'Consolidado-Eletronorte'!AU102/1000</f>
        <v>0</v>
      </c>
      <c r="V79" s="367">
        <f>'Consolidado-Eletronorte'!AV102/1000</f>
        <v>1000</v>
      </c>
      <c r="W79" s="367">
        <f>'Consolidado-Eletronorte'!AW102/1000</f>
        <v>0</v>
      </c>
      <c r="X79" s="367">
        <f>'Consolidado-Eletronorte'!AX102/1000</f>
        <v>0</v>
      </c>
      <c r="Y79" s="367">
        <f>'Consolidado-Eletronorte'!AY102/1000</f>
        <v>0</v>
      </c>
      <c r="Z79" s="367">
        <f>'Consolidado-Eletronorte'!AZ102/1000</f>
        <v>1000</v>
      </c>
    </row>
    <row r="80" spans="2:26" x14ac:dyDescent="0.3">
      <c r="B80" s="239" t="s">
        <v>148</v>
      </c>
      <c r="C80" s="237" t="s">
        <v>509</v>
      </c>
      <c r="D80" s="237" t="s">
        <v>509</v>
      </c>
      <c r="E80" s="237" t="s">
        <v>840</v>
      </c>
      <c r="F80" s="239"/>
      <c r="G80" s="246"/>
      <c r="H80" s="237" t="s">
        <v>149</v>
      </c>
      <c r="I80" s="367">
        <f>'Consolidado-Eletronorte'!AI103/1000</f>
        <v>0</v>
      </c>
      <c r="J80" s="367">
        <f>'Consolidado-Eletronorte'!AJ103/1000</f>
        <v>0</v>
      </c>
      <c r="K80" s="367">
        <f>'Consolidado-Eletronorte'!AK103/1000</f>
        <v>0</v>
      </c>
      <c r="L80" s="367">
        <f>'Consolidado-Eletronorte'!AL103/1000</f>
        <v>0</v>
      </c>
      <c r="M80" s="367">
        <f>'Consolidado-Eletronorte'!AM103/1000</f>
        <v>0</v>
      </c>
      <c r="N80" s="367">
        <f>'Consolidado-Eletronorte'!AN103/1000</f>
        <v>0</v>
      </c>
      <c r="O80" s="367">
        <f>'Consolidado-Eletronorte'!AO103/1000</f>
        <v>0</v>
      </c>
      <c r="P80" s="367">
        <f>'Consolidado-Eletronorte'!AP103/1000</f>
        <v>0</v>
      </c>
      <c r="Q80" s="367">
        <f>'Consolidado-Eletronorte'!AQ103/1000</f>
        <v>0</v>
      </c>
      <c r="R80" s="367">
        <f>'Consolidado-Eletronorte'!AR103/1000</f>
        <v>0</v>
      </c>
      <c r="S80" s="367">
        <f>'Consolidado-Eletronorte'!AS103/1000</f>
        <v>0</v>
      </c>
      <c r="T80" s="367">
        <f>'Consolidado-Eletronorte'!AT103/1000</f>
        <v>0</v>
      </c>
      <c r="U80" s="367">
        <f>'Consolidado-Eletronorte'!AU103/1000</f>
        <v>0</v>
      </c>
      <c r="V80" s="367">
        <f>'Consolidado-Eletronorte'!AV103/1000</f>
        <v>0</v>
      </c>
      <c r="W80" s="367">
        <f>'Consolidado-Eletronorte'!AW103/1000</f>
        <v>7820</v>
      </c>
      <c r="X80" s="367">
        <f>'Consolidado-Eletronorte'!AX103/1000</f>
        <v>4692</v>
      </c>
      <c r="Y80" s="367">
        <f>'Consolidado-Eletronorte'!AY103/1000</f>
        <v>0</v>
      </c>
      <c r="Z80" s="367">
        <f>'Consolidado-Eletronorte'!AZ103/1000</f>
        <v>12512</v>
      </c>
    </row>
    <row r="81" spans="2:26" x14ac:dyDescent="0.3">
      <c r="B81" s="365" t="s">
        <v>164</v>
      </c>
      <c r="C81" s="366" t="s">
        <v>509</v>
      </c>
      <c r="D81" s="366" t="s">
        <v>509</v>
      </c>
      <c r="E81" s="366" t="s">
        <v>577</v>
      </c>
      <c r="F81" s="365"/>
      <c r="G81" s="365" t="s">
        <v>843</v>
      </c>
      <c r="H81" s="366" t="s">
        <v>154</v>
      </c>
      <c r="I81" s="367">
        <f>'Consolidado-Eletronorte'!AI104/1000</f>
        <v>0</v>
      </c>
      <c r="J81" s="367">
        <f>'Consolidado-Eletronorte'!AJ104/1000</f>
        <v>0</v>
      </c>
      <c r="K81" s="367">
        <f>'Consolidado-Eletronorte'!AK104/1000</f>
        <v>0</v>
      </c>
      <c r="L81" s="367">
        <f>'Consolidado-Eletronorte'!AL104/1000</f>
        <v>0</v>
      </c>
      <c r="M81" s="367">
        <f>'Consolidado-Eletronorte'!AM104/1000</f>
        <v>0</v>
      </c>
      <c r="N81" s="367">
        <f>'Consolidado-Eletronorte'!AN104/1000</f>
        <v>0</v>
      </c>
      <c r="O81" s="367">
        <f>'Consolidado-Eletronorte'!AO104/1000</f>
        <v>0</v>
      </c>
      <c r="P81" s="367">
        <f>'Consolidado-Eletronorte'!AP104/1000</f>
        <v>0</v>
      </c>
      <c r="Q81" s="367">
        <f>'Consolidado-Eletronorte'!AQ104/1000</f>
        <v>0</v>
      </c>
      <c r="R81" s="367">
        <f>'Consolidado-Eletronorte'!AR104/1000</f>
        <v>0</v>
      </c>
      <c r="S81" s="367">
        <f>'Consolidado-Eletronorte'!AS104/1000</f>
        <v>0</v>
      </c>
      <c r="T81" s="367">
        <f>'Consolidado-Eletronorte'!AT104/1000</f>
        <v>0</v>
      </c>
      <c r="U81" s="367">
        <f>'Consolidado-Eletronorte'!AU104/1000</f>
        <v>0</v>
      </c>
      <c r="V81" s="367">
        <f>'Consolidado-Eletronorte'!AV104/1000</f>
        <v>20910.319</v>
      </c>
      <c r="W81" s="367">
        <f>'Consolidado-Eletronorte'!AW104/1000</f>
        <v>6233.3333300000004</v>
      </c>
      <c r="X81" s="367">
        <f>'Consolidado-Eletronorte'!AX104/1000</f>
        <v>0</v>
      </c>
      <c r="Y81" s="367">
        <f>'Consolidado-Eletronorte'!AY104/1000</f>
        <v>0</v>
      </c>
      <c r="Z81" s="367">
        <f>'Consolidado-Eletronorte'!AZ104/1000</f>
        <v>27143.652329999997</v>
      </c>
    </row>
    <row r="82" spans="2:26" x14ac:dyDescent="0.3">
      <c r="B82" s="239" t="s">
        <v>167</v>
      </c>
      <c r="C82" s="237" t="s">
        <v>509</v>
      </c>
      <c r="D82" s="237" t="s">
        <v>509</v>
      </c>
      <c r="E82" s="237" t="s">
        <v>577</v>
      </c>
      <c r="F82" s="239"/>
      <c r="G82" s="239" t="s">
        <v>845</v>
      </c>
      <c r="H82" s="237" t="s">
        <v>154</v>
      </c>
      <c r="I82" s="367">
        <f>'Consolidado-Eletronorte'!AI105/1000</f>
        <v>0</v>
      </c>
      <c r="J82" s="367">
        <f>'Consolidado-Eletronorte'!AJ105/1000</f>
        <v>0</v>
      </c>
      <c r="K82" s="367">
        <f>'Consolidado-Eletronorte'!AK105/1000</f>
        <v>0</v>
      </c>
      <c r="L82" s="367">
        <f>'Consolidado-Eletronorte'!AL105/1000</f>
        <v>0</v>
      </c>
      <c r="M82" s="367">
        <f>'Consolidado-Eletronorte'!AM105/1000</f>
        <v>0</v>
      </c>
      <c r="N82" s="367">
        <f>'Consolidado-Eletronorte'!AN105/1000</f>
        <v>0</v>
      </c>
      <c r="O82" s="367">
        <f>'Consolidado-Eletronorte'!AO105/1000</f>
        <v>0</v>
      </c>
      <c r="P82" s="367">
        <f>'Consolidado-Eletronorte'!AP105/1000</f>
        <v>0</v>
      </c>
      <c r="Q82" s="367">
        <f>'Consolidado-Eletronorte'!AQ105/1000</f>
        <v>0</v>
      </c>
      <c r="R82" s="367">
        <f>'Consolidado-Eletronorte'!AR105/1000</f>
        <v>0</v>
      </c>
      <c r="S82" s="367">
        <f>'Consolidado-Eletronorte'!AS105/1000</f>
        <v>0</v>
      </c>
      <c r="T82" s="367">
        <f>'Consolidado-Eletronorte'!AT105/1000</f>
        <v>0</v>
      </c>
      <c r="U82" s="367">
        <f>'Consolidado-Eletronorte'!AU105/1000</f>
        <v>0</v>
      </c>
      <c r="V82" s="367">
        <f>'Consolidado-Eletronorte'!AV105/1000</f>
        <v>7200</v>
      </c>
      <c r="W82" s="367">
        <f>'Consolidado-Eletronorte'!AW105/1000</f>
        <v>0</v>
      </c>
      <c r="X82" s="367">
        <f>'Consolidado-Eletronorte'!AX105/1000</f>
        <v>0</v>
      </c>
      <c r="Y82" s="367">
        <f>'Consolidado-Eletronorte'!AY105/1000</f>
        <v>0</v>
      </c>
      <c r="Z82" s="367">
        <f>'Consolidado-Eletronorte'!AZ105/1000</f>
        <v>7200</v>
      </c>
    </row>
    <row r="83" spans="2:26" x14ac:dyDescent="0.3">
      <c r="B83" s="365" t="s">
        <v>169</v>
      </c>
      <c r="C83" s="366" t="s">
        <v>509</v>
      </c>
      <c r="D83" s="366" t="s">
        <v>509</v>
      </c>
      <c r="E83" s="366" t="s">
        <v>577</v>
      </c>
      <c r="F83" s="365"/>
      <c r="G83" s="365" t="s">
        <v>847</v>
      </c>
      <c r="H83" s="366" t="s">
        <v>158</v>
      </c>
      <c r="I83" s="367">
        <f>'Consolidado-Eletronorte'!AI106/1000</f>
        <v>0</v>
      </c>
      <c r="J83" s="367">
        <f>'Consolidado-Eletronorte'!AJ106/1000</f>
        <v>0</v>
      </c>
      <c r="K83" s="367">
        <f>'Consolidado-Eletronorte'!AK106/1000</f>
        <v>0</v>
      </c>
      <c r="L83" s="367">
        <f>'Consolidado-Eletronorte'!AL106/1000</f>
        <v>0</v>
      </c>
      <c r="M83" s="367">
        <f>'Consolidado-Eletronorte'!AM106/1000</f>
        <v>0</v>
      </c>
      <c r="N83" s="367">
        <f>'Consolidado-Eletronorte'!AN106/1000</f>
        <v>0</v>
      </c>
      <c r="O83" s="367">
        <f>'Consolidado-Eletronorte'!AO106/1000</f>
        <v>0</v>
      </c>
      <c r="P83" s="367">
        <f>'Consolidado-Eletronorte'!AP106/1000</f>
        <v>0</v>
      </c>
      <c r="Q83" s="367">
        <f>'Consolidado-Eletronorte'!AQ106/1000</f>
        <v>0</v>
      </c>
      <c r="R83" s="367">
        <f>'Consolidado-Eletronorte'!AR106/1000</f>
        <v>0</v>
      </c>
      <c r="S83" s="367">
        <f>'Consolidado-Eletronorte'!AS106/1000</f>
        <v>0</v>
      </c>
      <c r="T83" s="367">
        <f>'Consolidado-Eletronorte'!AT106/1000</f>
        <v>0</v>
      </c>
      <c r="U83" s="367">
        <f>'Consolidado-Eletronorte'!AU106/1000</f>
        <v>0</v>
      </c>
      <c r="V83" s="367">
        <f>'Consolidado-Eletronorte'!AV106/1000</f>
        <v>3000</v>
      </c>
      <c r="W83" s="367">
        <f>'Consolidado-Eletronorte'!AW106/1000</f>
        <v>3000</v>
      </c>
      <c r="X83" s="367">
        <f>'Consolidado-Eletronorte'!AX106/1000</f>
        <v>0</v>
      </c>
      <c r="Y83" s="367">
        <f>'Consolidado-Eletronorte'!AY106/1000</f>
        <v>0</v>
      </c>
      <c r="Z83" s="367">
        <f>'Consolidado-Eletronorte'!AZ106/1000</f>
        <v>6000</v>
      </c>
    </row>
    <row r="84" spans="2:26" x14ac:dyDescent="0.3">
      <c r="B84" s="239" t="s">
        <v>172</v>
      </c>
      <c r="C84" s="237" t="s">
        <v>509</v>
      </c>
      <c r="D84" s="237" t="s">
        <v>509</v>
      </c>
      <c r="E84" s="237" t="s">
        <v>577</v>
      </c>
      <c r="F84" s="239"/>
      <c r="G84" s="239" t="s">
        <v>849</v>
      </c>
      <c r="H84" s="237" t="s">
        <v>158</v>
      </c>
      <c r="I84" s="367">
        <f>'Consolidado-Eletronorte'!AI107/1000</f>
        <v>0</v>
      </c>
      <c r="J84" s="367">
        <f>'Consolidado-Eletronorte'!AJ107/1000</f>
        <v>0</v>
      </c>
      <c r="K84" s="367">
        <f>'Consolidado-Eletronorte'!AK107/1000</f>
        <v>0</v>
      </c>
      <c r="L84" s="367">
        <f>'Consolidado-Eletronorte'!AL107/1000</f>
        <v>0</v>
      </c>
      <c r="M84" s="367">
        <f>'Consolidado-Eletronorte'!AM107/1000</f>
        <v>0</v>
      </c>
      <c r="N84" s="367">
        <f>'Consolidado-Eletronorte'!AN107/1000</f>
        <v>0</v>
      </c>
      <c r="O84" s="367">
        <f>'Consolidado-Eletronorte'!AO107/1000</f>
        <v>0</v>
      </c>
      <c r="P84" s="367">
        <f>'Consolidado-Eletronorte'!AP107/1000</f>
        <v>0</v>
      </c>
      <c r="Q84" s="367">
        <f>'Consolidado-Eletronorte'!AQ107/1000</f>
        <v>0</v>
      </c>
      <c r="R84" s="367">
        <f>'Consolidado-Eletronorte'!AR107/1000</f>
        <v>0</v>
      </c>
      <c r="S84" s="367">
        <f>'Consolidado-Eletronorte'!AS107/1000</f>
        <v>0</v>
      </c>
      <c r="T84" s="367">
        <f>'Consolidado-Eletronorte'!AT107/1000</f>
        <v>0</v>
      </c>
      <c r="U84" s="367">
        <f>'Consolidado-Eletronorte'!AU107/1000</f>
        <v>0</v>
      </c>
      <c r="V84" s="367">
        <f>'Consolidado-Eletronorte'!AV107/1000</f>
        <v>3000</v>
      </c>
      <c r="W84" s="367">
        <f>'Consolidado-Eletronorte'!AW107/1000</f>
        <v>500</v>
      </c>
      <c r="X84" s="367">
        <f>'Consolidado-Eletronorte'!AX107/1000</f>
        <v>0</v>
      </c>
      <c r="Y84" s="367">
        <f>'Consolidado-Eletronorte'!AY107/1000</f>
        <v>0</v>
      </c>
      <c r="Z84" s="367">
        <f>'Consolidado-Eletronorte'!AZ107/1000</f>
        <v>3500</v>
      </c>
    </row>
    <row r="85" spans="2:26" x14ac:dyDescent="0.3">
      <c r="B85" s="365" t="s">
        <v>176</v>
      </c>
      <c r="C85" s="366" t="s">
        <v>509</v>
      </c>
      <c r="D85" s="366" t="s">
        <v>509</v>
      </c>
      <c r="E85" s="366" t="s">
        <v>577</v>
      </c>
      <c r="F85" s="365"/>
      <c r="G85" s="365" t="s">
        <v>851</v>
      </c>
      <c r="H85" s="366" t="s">
        <v>158</v>
      </c>
      <c r="I85" s="367">
        <f>'Consolidado-Eletronorte'!AI108/1000</f>
        <v>0</v>
      </c>
      <c r="J85" s="367">
        <f>'Consolidado-Eletronorte'!AJ108/1000</f>
        <v>0</v>
      </c>
      <c r="K85" s="367">
        <f>'Consolidado-Eletronorte'!AK108/1000</f>
        <v>0</v>
      </c>
      <c r="L85" s="367">
        <f>'Consolidado-Eletronorte'!AL108/1000</f>
        <v>0</v>
      </c>
      <c r="M85" s="367">
        <f>'Consolidado-Eletronorte'!AM108/1000</f>
        <v>0</v>
      </c>
      <c r="N85" s="367">
        <f>'Consolidado-Eletronorte'!AN108/1000</f>
        <v>0</v>
      </c>
      <c r="O85" s="367">
        <f>'Consolidado-Eletronorte'!AO108/1000</f>
        <v>0</v>
      </c>
      <c r="P85" s="367">
        <f>'Consolidado-Eletronorte'!AP108/1000</f>
        <v>0</v>
      </c>
      <c r="Q85" s="367">
        <f>'Consolidado-Eletronorte'!AQ108/1000</f>
        <v>0</v>
      </c>
      <c r="R85" s="367">
        <f>'Consolidado-Eletronorte'!AR108/1000</f>
        <v>0</v>
      </c>
      <c r="S85" s="367">
        <f>'Consolidado-Eletronorte'!AS108/1000</f>
        <v>0</v>
      </c>
      <c r="T85" s="367">
        <f>'Consolidado-Eletronorte'!AT108/1000</f>
        <v>0</v>
      </c>
      <c r="U85" s="367">
        <f>'Consolidado-Eletronorte'!AU108/1000</f>
        <v>0</v>
      </c>
      <c r="V85" s="367">
        <f>'Consolidado-Eletronorte'!AV108/1000</f>
        <v>500</v>
      </c>
      <c r="W85" s="367">
        <f>'Consolidado-Eletronorte'!AW108/1000</f>
        <v>1000</v>
      </c>
      <c r="X85" s="367">
        <f>'Consolidado-Eletronorte'!AX108/1000</f>
        <v>0</v>
      </c>
      <c r="Y85" s="367">
        <f>'Consolidado-Eletronorte'!AY108/1000</f>
        <v>0</v>
      </c>
      <c r="Z85" s="367">
        <f>'Consolidado-Eletronorte'!AZ108/1000</f>
        <v>1500</v>
      </c>
    </row>
    <row r="86" spans="2:26" x14ac:dyDescent="0.3">
      <c r="B86" s="239" t="s">
        <v>174</v>
      </c>
      <c r="C86" s="237" t="s">
        <v>509</v>
      </c>
      <c r="D86" s="237" t="s">
        <v>509</v>
      </c>
      <c r="E86" s="237" t="s">
        <v>577</v>
      </c>
      <c r="F86" s="239"/>
      <c r="G86" s="239" t="s">
        <v>853</v>
      </c>
      <c r="H86" s="237" t="s">
        <v>158</v>
      </c>
      <c r="I86" s="367">
        <f>'Consolidado-Eletronorte'!AI109/1000</f>
        <v>0</v>
      </c>
      <c r="J86" s="367">
        <f>'Consolidado-Eletronorte'!AJ109/1000</f>
        <v>0</v>
      </c>
      <c r="K86" s="367">
        <f>'Consolidado-Eletronorte'!AK109/1000</f>
        <v>0</v>
      </c>
      <c r="L86" s="367">
        <f>'Consolidado-Eletronorte'!AL109/1000</f>
        <v>0</v>
      </c>
      <c r="M86" s="367">
        <f>'Consolidado-Eletronorte'!AM109/1000</f>
        <v>0</v>
      </c>
      <c r="N86" s="367">
        <f>'Consolidado-Eletronorte'!AN109/1000</f>
        <v>0</v>
      </c>
      <c r="O86" s="367">
        <f>'Consolidado-Eletronorte'!AO109/1000</f>
        <v>0</v>
      </c>
      <c r="P86" s="367">
        <f>'Consolidado-Eletronorte'!AP109/1000</f>
        <v>0</v>
      </c>
      <c r="Q86" s="367">
        <f>'Consolidado-Eletronorte'!AQ109/1000</f>
        <v>0</v>
      </c>
      <c r="R86" s="367">
        <f>'Consolidado-Eletronorte'!AR109/1000</f>
        <v>0</v>
      </c>
      <c r="S86" s="367">
        <f>'Consolidado-Eletronorte'!AS109/1000</f>
        <v>0</v>
      </c>
      <c r="T86" s="367">
        <f>'Consolidado-Eletronorte'!AT109/1000</f>
        <v>0</v>
      </c>
      <c r="U86" s="367">
        <f>'Consolidado-Eletronorte'!AU109/1000</f>
        <v>0</v>
      </c>
      <c r="V86" s="367">
        <f>'Consolidado-Eletronorte'!AV109/1000</f>
        <v>1200</v>
      </c>
      <c r="W86" s="367">
        <f>'Consolidado-Eletronorte'!AW109/1000</f>
        <v>300</v>
      </c>
      <c r="X86" s="367">
        <f>'Consolidado-Eletronorte'!AX109/1000</f>
        <v>0</v>
      </c>
      <c r="Y86" s="367">
        <f>'Consolidado-Eletronorte'!AY109/1000</f>
        <v>0</v>
      </c>
      <c r="Z86" s="367">
        <f>'Consolidado-Eletronorte'!AZ109/1000</f>
        <v>1500</v>
      </c>
    </row>
    <row r="87" spans="2:26" x14ac:dyDescent="0.3">
      <c r="B87" s="365" t="s">
        <v>180</v>
      </c>
      <c r="C87" s="366" t="s">
        <v>509</v>
      </c>
      <c r="D87" s="366" t="s">
        <v>509</v>
      </c>
      <c r="E87" s="366" t="s">
        <v>577</v>
      </c>
      <c r="F87" s="365"/>
      <c r="G87" s="365" t="s">
        <v>855</v>
      </c>
      <c r="H87" s="366" t="s">
        <v>158</v>
      </c>
      <c r="I87" s="367">
        <f>'Consolidado-Eletronorte'!AI110/1000</f>
        <v>0</v>
      </c>
      <c r="J87" s="367">
        <f>'Consolidado-Eletronorte'!AJ110/1000</f>
        <v>0</v>
      </c>
      <c r="K87" s="367">
        <f>'Consolidado-Eletronorte'!AK110/1000</f>
        <v>0</v>
      </c>
      <c r="L87" s="367">
        <f>'Consolidado-Eletronorte'!AL110/1000</f>
        <v>0</v>
      </c>
      <c r="M87" s="367">
        <f>'Consolidado-Eletronorte'!AM110/1000</f>
        <v>0</v>
      </c>
      <c r="N87" s="367">
        <f>'Consolidado-Eletronorte'!AN110/1000</f>
        <v>0</v>
      </c>
      <c r="O87" s="367">
        <f>'Consolidado-Eletronorte'!AO110/1000</f>
        <v>0</v>
      </c>
      <c r="P87" s="367">
        <f>'Consolidado-Eletronorte'!AP110/1000</f>
        <v>0</v>
      </c>
      <c r="Q87" s="367">
        <f>'Consolidado-Eletronorte'!AQ110/1000</f>
        <v>0</v>
      </c>
      <c r="R87" s="367">
        <f>'Consolidado-Eletronorte'!AR110/1000</f>
        <v>0</v>
      </c>
      <c r="S87" s="367">
        <f>'Consolidado-Eletronorte'!AS110/1000</f>
        <v>0</v>
      </c>
      <c r="T87" s="367">
        <f>'Consolidado-Eletronorte'!AT110/1000</f>
        <v>0</v>
      </c>
      <c r="U87" s="367">
        <f>'Consolidado-Eletronorte'!AU110/1000</f>
        <v>0</v>
      </c>
      <c r="V87" s="367">
        <f>'Consolidado-Eletronorte'!AV110/1000</f>
        <v>1000</v>
      </c>
      <c r="W87" s="367">
        <f>'Consolidado-Eletronorte'!AW110/1000</f>
        <v>0</v>
      </c>
      <c r="X87" s="367">
        <f>'Consolidado-Eletronorte'!AX110/1000</f>
        <v>0</v>
      </c>
      <c r="Y87" s="367">
        <f>'Consolidado-Eletronorte'!AY110/1000</f>
        <v>0</v>
      </c>
      <c r="Z87" s="367">
        <f>'Consolidado-Eletronorte'!AZ110/1000</f>
        <v>1000</v>
      </c>
    </row>
    <row r="88" spans="2:26" x14ac:dyDescent="0.3">
      <c r="B88" s="239" t="s">
        <v>178</v>
      </c>
      <c r="C88" s="237" t="s">
        <v>509</v>
      </c>
      <c r="D88" s="237" t="s">
        <v>509</v>
      </c>
      <c r="E88" s="237" t="s">
        <v>577</v>
      </c>
      <c r="F88" s="239"/>
      <c r="G88" s="239" t="s">
        <v>857</v>
      </c>
      <c r="H88" s="237" t="s">
        <v>158</v>
      </c>
      <c r="I88" s="367">
        <f>'Consolidado-Eletronorte'!AI111/1000</f>
        <v>0</v>
      </c>
      <c r="J88" s="367">
        <f>'Consolidado-Eletronorte'!AJ111/1000</f>
        <v>0</v>
      </c>
      <c r="K88" s="367">
        <f>'Consolidado-Eletronorte'!AK111/1000</f>
        <v>0</v>
      </c>
      <c r="L88" s="367">
        <f>'Consolidado-Eletronorte'!AL111/1000</f>
        <v>0</v>
      </c>
      <c r="M88" s="367">
        <f>'Consolidado-Eletronorte'!AM111/1000</f>
        <v>0</v>
      </c>
      <c r="N88" s="367">
        <f>'Consolidado-Eletronorte'!AN111/1000</f>
        <v>0</v>
      </c>
      <c r="O88" s="367">
        <f>'Consolidado-Eletronorte'!AO111/1000</f>
        <v>0</v>
      </c>
      <c r="P88" s="367">
        <f>'Consolidado-Eletronorte'!AP111/1000</f>
        <v>0</v>
      </c>
      <c r="Q88" s="367">
        <f>'Consolidado-Eletronorte'!AQ111/1000</f>
        <v>0</v>
      </c>
      <c r="R88" s="367">
        <f>'Consolidado-Eletronorte'!AR111/1000</f>
        <v>0</v>
      </c>
      <c r="S88" s="367">
        <f>'Consolidado-Eletronorte'!AS111/1000</f>
        <v>0</v>
      </c>
      <c r="T88" s="367">
        <f>'Consolidado-Eletronorte'!AT111/1000</f>
        <v>0</v>
      </c>
      <c r="U88" s="367">
        <f>'Consolidado-Eletronorte'!AU111/1000</f>
        <v>0</v>
      </c>
      <c r="V88" s="367">
        <f>'Consolidado-Eletronorte'!AV111/1000</f>
        <v>600</v>
      </c>
      <c r="W88" s="367">
        <f>'Consolidado-Eletronorte'!AW111/1000</f>
        <v>400</v>
      </c>
      <c r="X88" s="367">
        <f>'Consolidado-Eletronorte'!AX111/1000</f>
        <v>0</v>
      </c>
      <c r="Y88" s="367">
        <f>'Consolidado-Eletronorte'!AY111/1000</f>
        <v>0</v>
      </c>
      <c r="Z88" s="367">
        <f>'Consolidado-Eletronorte'!AZ111/1000</f>
        <v>1000</v>
      </c>
    </row>
    <row r="89" spans="2:26" x14ac:dyDescent="0.3">
      <c r="B89" s="365" t="s">
        <v>182</v>
      </c>
      <c r="C89" s="366" t="s">
        <v>509</v>
      </c>
      <c r="D89" s="366" t="s">
        <v>509</v>
      </c>
      <c r="E89" s="366" t="s">
        <v>577</v>
      </c>
      <c r="F89" s="365"/>
      <c r="G89" s="365" t="s">
        <v>859</v>
      </c>
      <c r="H89" s="366" t="s">
        <v>154</v>
      </c>
      <c r="I89" s="367">
        <f>'Consolidado-Eletronorte'!AI112/1000</f>
        <v>0</v>
      </c>
      <c r="J89" s="367">
        <f>'Consolidado-Eletronorte'!AJ112/1000</f>
        <v>0</v>
      </c>
      <c r="K89" s="367">
        <f>'Consolidado-Eletronorte'!AK112/1000</f>
        <v>0</v>
      </c>
      <c r="L89" s="367">
        <f>'Consolidado-Eletronorte'!AL112/1000</f>
        <v>0</v>
      </c>
      <c r="M89" s="367">
        <f>'Consolidado-Eletronorte'!AM112/1000</f>
        <v>0</v>
      </c>
      <c r="N89" s="367">
        <f>'Consolidado-Eletronorte'!AN112/1000</f>
        <v>0</v>
      </c>
      <c r="O89" s="367">
        <f>'Consolidado-Eletronorte'!AO112/1000</f>
        <v>0</v>
      </c>
      <c r="P89" s="367">
        <f>'Consolidado-Eletronorte'!AP112/1000</f>
        <v>0</v>
      </c>
      <c r="Q89" s="367">
        <f>'Consolidado-Eletronorte'!AQ112/1000</f>
        <v>0</v>
      </c>
      <c r="R89" s="367">
        <f>'Consolidado-Eletronorte'!AR112/1000</f>
        <v>0</v>
      </c>
      <c r="S89" s="367">
        <f>'Consolidado-Eletronorte'!AS112/1000</f>
        <v>0</v>
      </c>
      <c r="T89" s="367">
        <f>'Consolidado-Eletronorte'!AT112/1000</f>
        <v>0</v>
      </c>
      <c r="U89" s="367">
        <f>'Consolidado-Eletronorte'!AU112/1000</f>
        <v>0</v>
      </c>
      <c r="V89" s="367">
        <f>'Consolidado-Eletronorte'!AV112/1000</f>
        <v>800</v>
      </c>
      <c r="W89" s="367">
        <f>'Consolidado-Eletronorte'!AW112/1000</f>
        <v>0</v>
      </c>
      <c r="X89" s="367">
        <f>'Consolidado-Eletronorte'!AX112/1000</f>
        <v>0</v>
      </c>
      <c r="Y89" s="367">
        <f>'Consolidado-Eletronorte'!AY112/1000</f>
        <v>0</v>
      </c>
      <c r="Z89" s="367">
        <f>'Consolidado-Eletronorte'!AZ112/1000</f>
        <v>800</v>
      </c>
    </row>
    <row r="90" spans="2:26" x14ac:dyDescent="0.3">
      <c r="B90" s="239" t="s">
        <v>184</v>
      </c>
      <c r="C90" s="237" t="s">
        <v>509</v>
      </c>
      <c r="D90" s="237" t="s">
        <v>509</v>
      </c>
      <c r="E90" s="237" t="s">
        <v>577</v>
      </c>
      <c r="F90" s="239"/>
      <c r="G90" s="239" t="s">
        <v>862</v>
      </c>
      <c r="H90" s="237" t="s">
        <v>154</v>
      </c>
      <c r="I90" s="367">
        <f>'Consolidado-Eletronorte'!AI113/1000</f>
        <v>0</v>
      </c>
      <c r="J90" s="367">
        <f>'Consolidado-Eletronorte'!AJ113/1000</f>
        <v>0</v>
      </c>
      <c r="K90" s="367">
        <f>'Consolidado-Eletronorte'!AK113/1000</f>
        <v>0</v>
      </c>
      <c r="L90" s="367">
        <f>'Consolidado-Eletronorte'!AL113/1000</f>
        <v>0</v>
      </c>
      <c r="M90" s="367">
        <f>'Consolidado-Eletronorte'!AM113/1000</f>
        <v>0</v>
      </c>
      <c r="N90" s="367">
        <f>'Consolidado-Eletronorte'!AN113/1000</f>
        <v>0</v>
      </c>
      <c r="O90" s="367">
        <f>'Consolidado-Eletronorte'!AO113/1000</f>
        <v>0</v>
      </c>
      <c r="P90" s="367">
        <f>'Consolidado-Eletronorte'!AP113/1000</f>
        <v>0</v>
      </c>
      <c r="Q90" s="367">
        <f>'Consolidado-Eletronorte'!AQ113/1000</f>
        <v>0</v>
      </c>
      <c r="R90" s="367">
        <f>'Consolidado-Eletronorte'!AR113/1000</f>
        <v>0</v>
      </c>
      <c r="S90" s="367">
        <f>'Consolidado-Eletronorte'!AS113/1000</f>
        <v>0</v>
      </c>
      <c r="T90" s="367">
        <f>'Consolidado-Eletronorte'!AT113/1000</f>
        <v>0</v>
      </c>
      <c r="U90" s="367">
        <f>'Consolidado-Eletronorte'!AU113/1000</f>
        <v>0</v>
      </c>
      <c r="V90" s="367">
        <f>'Consolidado-Eletronorte'!AV113/1000</f>
        <v>600</v>
      </c>
      <c r="W90" s="367">
        <f>'Consolidado-Eletronorte'!AW113/1000</f>
        <v>0</v>
      </c>
      <c r="X90" s="367">
        <f>'Consolidado-Eletronorte'!AX113/1000</f>
        <v>0</v>
      </c>
      <c r="Y90" s="367">
        <f>'Consolidado-Eletronorte'!AY113/1000</f>
        <v>0</v>
      </c>
      <c r="Z90" s="367">
        <f>'Consolidado-Eletronorte'!AZ113/1000</f>
        <v>600</v>
      </c>
    </row>
    <row r="91" spans="2:26" x14ac:dyDescent="0.3">
      <c r="B91" s="365" t="s">
        <v>201</v>
      </c>
      <c r="C91" s="366" t="s">
        <v>509</v>
      </c>
      <c r="D91" s="366" t="s">
        <v>509</v>
      </c>
      <c r="E91" s="366" t="s">
        <v>577</v>
      </c>
      <c r="F91" s="365"/>
      <c r="G91" s="365" t="s">
        <v>865</v>
      </c>
      <c r="H91" s="366" t="s">
        <v>154</v>
      </c>
      <c r="I91" s="367">
        <f>'Consolidado-Eletronorte'!AI114/1000</f>
        <v>0</v>
      </c>
      <c r="J91" s="367">
        <f>'Consolidado-Eletronorte'!AJ114/1000</f>
        <v>0</v>
      </c>
      <c r="K91" s="367">
        <f>'Consolidado-Eletronorte'!AK114/1000</f>
        <v>0</v>
      </c>
      <c r="L91" s="367">
        <f>'Consolidado-Eletronorte'!AL114/1000</f>
        <v>0</v>
      </c>
      <c r="M91" s="367">
        <f>'Consolidado-Eletronorte'!AM114/1000</f>
        <v>0</v>
      </c>
      <c r="N91" s="367">
        <f>'Consolidado-Eletronorte'!AN114/1000</f>
        <v>0</v>
      </c>
      <c r="O91" s="367">
        <f>'Consolidado-Eletronorte'!AO114/1000</f>
        <v>0</v>
      </c>
      <c r="P91" s="367">
        <f>'Consolidado-Eletronorte'!AP114/1000</f>
        <v>0</v>
      </c>
      <c r="Q91" s="367">
        <f>'Consolidado-Eletronorte'!AQ114/1000</f>
        <v>0</v>
      </c>
      <c r="R91" s="367">
        <f>'Consolidado-Eletronorte'!AR114/1000</f>
        <v>0</v>
      </c>
      <c r="S91" s="367">
        <f>'Consolidado-Eletronorte'!AS114/1000</f>
        <v>0</v>
      </c>
      <c r="T91" s="367">
        <f>'Consolidado-Eletronorte'!AT114/1000</f>
        <v>0</v>
      </c>
      <c r="U91" s="367">
        <f>'Consolidado-Eletronorte'!AU114/1000</f>
        <v>0</v>
      </c>
      <c r="V91" s="367">
        <f>'Consolidado-Eletronorte'!AV114/1000</f>
        <v>250</v>
      </c>
      <c r="W91" s="367">
        <f>'Consolidado-Eletronorte'!AW114/1000</f>
        <v>250</v>
      </c>
      <c r="X91" s="367">
        <f>'Consolidado-Eletronorte'!AX114/1000</f>
        <v>0</v>
      </c>
      <c r="Y91" s="367">
        <f>'Consolidado-Eletronorte'!AY114/1000</f>
        <v>0</v>
      </c>
      <c r="Z91" s="367">
        <f>'Consolidado-Eletronorte'!AZ114/1000</f>
        <v>500</v>
      </c>
    </row>
    <row r="92" spans="2:26" x14ac:dyDescent="0.3">
      <c r="B92" s="239" t="s">
        <v>189</v>
      </c>
      <c r="C92" s="237" t="s">
        <v>509</v>
      </c>
      <c r="D92" s="237" t="s">
        <v>509</v>
      </c>
      <c r="E92" s="237" t="s">
        <v>577</v>
      </c>
      <c r="F92" s="239"/>
      <c r="G92" s="239" t="s">
        <v>867</v>
      </c>
      <c r="H92" s="237" t="s">
        <v>154</v>
      </c>
      <c r="I92" s="367">
        <f>'Consolidado-Eletronorte'!AI115/1000</f>
        <v>0</v>
      </c>
      <c r="J92" s="367">
        <f>'Consolidado-Eletronorte'!AJ115/1000</f>
        <v>0</v>
      </c>
      <c r="K92" s="367">
        <f>'Consolidado-Eletronorte'!AK115/1000</f>
        <v>0</v>
      </c>
      <c r="L92" s="367">
        <f>'Consolidado-Eletronorte'!AL115/1000</f>
        <v>0</v>
      </c>
      <c r="M92" s="367">
        <f>'Consolidado-Eletronorte'!AM115/1000</f>
        <v>0</v>
      </c>
      <c r="N92" s="367">
        <f>'Consolidado-Eletronorte'!AN115/1000</f>
        <v>0</v>
      </c>
      <c r="O92" s="367">
        <f>'Consolidado-Eletronorte'!AO115/1000</f>
        <v>0</v>
      </c>
      <c r="P92" s="367">
        <f>'Consolidado-Eletronorte'!AP115/1000</f>
        <v>0</v>
      </c>
      <c r="Q92" s="367">
        <f>'Consolidado-Eletronorte'!AQ115/1000</f>
        <v>0</v>
      </c>
      <c r="R92" s="367">
        <f>'Consolidado-Eletronorte'!AR115/1000</f>
        <v>0</v>
      </c>
      <c r="S92" s="367">
        <f>'Consolidado-Eletronorte'!AS115/1000</f>
        <v>0</v>
      </c>
      <c r="T92" s="367">
        <f>'Consolidado-Eletronorte'!AT115/1000</f>
        <v>0</v>
      </c>
      <c r="U92" s="367">
        <f>'Consolidado-Eletronorte'!AU115/1000</f>
        <v>0</v>
      </c>
      <c r="V92" s="367">
        <f>'Consolidado-Eletronorte'!AV115/1000</f>
        <v>250</v>
      </c>
      <c r="W92" s="367">
        <f>'Consolidado-Eletronorte'!AW115/1000</f>
        <v>250</v>
      </c>
      <c r="X92" s="367">
        <f>'Consolidado-Eletronorte'!AX115/1000</f>
        <v>0</v>
      </c>
      <c r="Y92" s="367">
        <f>'Consolidado-Eletronorte'!AY115/1000</f>
        <v>0</v>
      </c>
      <c r="Z92" s="367">
        <f>'Consolidado-Eletronorte'!AZ115/1000</f>
        <v>500</v>
      </c>
    </row>
    <row r="93" spans="2:26" x14ac:dyDescent="0.3">
      <c r="B93" s="365" t="s">
        <v>187</v>
      </c>
      <c r="C93" s="366" t="s">
        <v>509</v>
      </c>
      <c r="D93" s="366" t="s">
        <v>509</v>
      </c>
      <c r="E93" s="366" t="s">
        <v>577</v>
      </c>
      <c r="F93" s="365"/>
      <c r="G93" s="365" t="s">
        <v>869</v>
      </c>
      <c r="H93" s="366" t="s">
        <v>154</v>
      </c>
      <c r="I93" s="367">
        <f>'Consolidado-Eletronorte'!AI116/1000</f>
        <v>0</v>
      </c>
      <c r="J93" s="367">
        <f>'Consolidado-Eletronorte'!AJ116/1000</f>
        <v>0</v>
      </c>
      <c r="K93" s="367">
        <f>'Consolidado-Eletronorte'!AK116/1000</f>
        <v>0</v>
      </c>
      <c r="L93" s="367">
        <f>'Consolidado-Eletronorte'!AL116/1000</f>
        <v>0</v>
      </c>
      <c r="M93" s="367">
        <f>'Consolidado-Eletronorte'!AM116/1000</f>
        <v>0</v>
      </c>
      <c r="N93" s="367">
        <f>'Consolidado-Eletronorte'!AN116/1000</f>
        <v>0</v>
      </c>
      <c r="O93" s="367">
        <f>'Consolidado-Eletronorte'!AO116/1000</f>
        <v>0</v>
      </c>
      <c r="P93" s="367">
        <f>'Consolidado-Eletronorte'!AP116/1000</f>
        <v>0</v>
      </c>
      <c r="Q93" s="367">
        <f>'Consolidado-Eletronorte'!AQ116/1000</f>
        <v>0</v>
      </c>
      <c r="R93" s="367">
        <f>'Consolidado-Eletronorte'!AR116/1000</f>
        <v>0</v>
      </c>
      <c r="S93" s="367">
        <f>'Consolidado-Eletronorte'!AS116/1000</f>
        <v>0</v>
      </c>
      <c r="T93" s="367">
        <f>'Consolidado-Eletronorte'!AT116/1000</f>
        <v>0</v>
      </c>
      <c r="U93" s="367">
        <f>'Consolidado-Eletronorte'!AU116/1000</f>
        <v>0</v>
      </c>
      <c r="V93" s="367">
        <f>'Consolidado-Eletronorte'!AV116/1000</f>
        <v>250</v>
      </c>
      <c r="W93" s="367">
        <f>'Consolidado-Eletronorte'!AW116/1000</f>
        <v>250</v>
      </c>
      <c r="X93" s="367">
        <f>'Consolidado-Eletronorte'!AX116/1000</f>
        <v>0</v>
      </c>
      <c r="Y93" s="367">
        <f>'Consolidado-Eletronorte'!AY116/1000</f>
        <v>0</v>
      </c>
      <c r="Z93" s="367">
        <f>'Consolidado-Eletronorte'!AZ116/1000</f>
        <v>500</v>
      </c>
    </row>
    <row r="94" spans="2:26" x14ac:dyDescent="0.3">
      <c r="B94" s="239" t="s">
        <v>199</v>
      </c>
      <c r="C94" s="237" t="s">
        <v>509</v>
      </c>
      <c r="D94" s="237" t="s">
        <v>509</v>
      </c>
      <c r="E94" s="237" t="s">
        <v>577</v>
      </c>
      <c r="F94" s="239"/>
      <c r="G94" s="239" t="s">
        <v>871</v>
      </c>
      <c r="H94" s="237" t="s">
        <v>154</v>
      </c>
      <c r="I94" s="367">
        <f>'Consolidado-Eletronorte'!AI117/1000</f>
        <v>0</v>
      </c>
      <c r="J94" s="367">
        <f>'Consolidado-Eletronorte'!AJ117/1000</f>
        <v>0</v>
      </c>
      <c r="K94" s="367">
        <f>'Consolidado-Eletronorte'!AK117/1000</f>
        <v>0</v>
      </c>
      <c r="L94" s="367">
        <f>'Consolidado-Eletronorte'!AL117/1000</f>
        <v>0</v>
      </c>
      <c r="M94" s="367">
        <f>'Consolidado-Eletronorte'!AM117/1000</f>
        <v>0</v>
      </c>
      <c r="N94" s="367">
        <f>'Consolidado-Eletronorte'!AN117/1000</f>
        <v>0</v>
      </c>
      <c r="O94" s="367">
        <f>'Consolidado-Eletronorte'!AO117/1000</f>
        <v>0</v>
      </c>
      <c r="P94" s="367">
        <f>'Consolidado-Eletronorte'!AP117/1000</f>
        <v>0</v>
      </c>
      <c r="Q94" s="367">
        <f>'Consolidado-Eletronorte'!AQ117/1000</f>
        <v>0</v>
      </c>
      <c r="R94" s="367">
        <f>'Consolidado-Eletronorte'!AR117/1000</f>
        <v>0</v>
      </c>
      <c r="S94" s="367">
        <f>'Consolidado-Eletronorte'!AS117/1000</f>
        <v>0</v>
      </c>
      <c r="T94" s="367">
        <f>'Consolidado-Eletronorte'!AT117/1000</f>
        <v>0</v>
      </c>
      <c r="U94" s="367">
        <f>'Consolidado-Eletronorte'!AU117/1000</f>
        <v>0</v>
      </c>
      <c r="V94" s="367">
        <f>'Consolidado-Eletronorte'!AV117/1000</f>
        <v>250</v>
      </c>
      <c r="W94" s="367">
        <f>'Consolidado-Eletronorte'!AW117/1000</f>
        <v>250</v>
      </c>
      <c r="X94" s="367">
        <f>'Consolidado-Eletronorte'!AX117/1000</f>
        <v>0</v>
      </c>
      <c r="Y94" s="367">
        <f>'Consolidado-Eletronorte'!AY117/1000</f>
        <v>0</v>
      </c>
      <c r="Z94" s="367">
        <f>'Consolidado-Eletronorte'!AZ117/1000</f>
        <v>500</v>
      </c>
    </row>
    <row r="95" spans="2:26" x14ac:dyDescent="0.3">
      <c r="B95" s="365" t="s">
        <v>197</v>
      </c>
      <c r="C95" s="366" t="s">
        <v>509</v>
      </c>
      <c r="D95" s="366" t="s">
        <v>509</v>
      </c>
      <c r="E95" s="366" t="s">
        <v>577</v>
      </c>
      <c r="F95" s="365"/>
      <c r="G95" s="365" t="s">
        <v>873</v>
      </c>
      <c r="H95" s="366" t="s">
        <v>154</v>
      </c>
      <c r="I95" s="367">
        <f>'Consolidado-Eletronorte'!AI118/1000</f>
        <v>0</v>
      </c>
      <c r="J95" s="367">
        <f>'Consolidado-Eletronorte'!AJ118/1000</f>
        <v>0</v>
      </c>
      <c r="K95" s="367">
        <f>'Consolidado-Eletronorte'!AK118/1000</f>
        <v>0</v>
      </c>
      <c r="L95" s="367">
        <f>'Consolidado-Eletronorte'!AL118/1000</f>
        <v>0</v>
      </c>
      <c r="M95" s="367">
        <f>'Consolidado-Eletronorte'!AM118/1000</f>
        <v>0</v>
      </c>
      <c r="N95" s="367">
        <f>'Consolidado-Eletronorte'!AN118/1000</f>
        <v>0</v>
      </c>
      <c r="O95" s="367">
        <f>'Consolidado-Eletronorte'!AO118/1000</f>
        <v>0</v>
      </c>
      <c r="P95" s="367">
        <f>'Consolidado-Eletronorte'!AP118/1000</f>
        <v>0</v>
      </c>
      <c r="Q95" s="367">
        <f>'Consolidado-Eletronorte'!AQ118/1000</f>
        <v>0</v>
      </c>
      <c r="R95" s="367">
        <f>'Consolidado-Eletronorte'!AR118/1000</f>
        <v>0</v>
      </c>
      <c r="S95" s="367">
        <f>'Consolidado-Eletronorte'!AS118/1000</f>
        <v>0</v>
      </c>
      <c r="T95" s="367">
        <f>'Consolidado-Eletronorte'!AT118/1000</f>
        <v>0</v>
      </c>
      <c r="U95" s="367">
        <f>'Consolidado-Eletronorte'!AU118/1000</f>
        <v>0</v>
      </c>
      <c r="V95" s="367">
        <f>'Consolidado-Eletronorte'!AV118/1000</f>
        <v>250</v>
      </c>
      <c r="W95" s="367">
        <f>'Consolidado-Eletronorte'!AW118/1000</f>
        <v>250</v>
      </c>
      <c r="X95" s="367">
        <f>'Consolidado-Eletronorte'!AX118/1000</f>
        <v>0</v>
      </c>
      <c r="Y95" s="367">
        <f>'Consolidado-Eletronorte'!AY118/1000</f>
        <v>0</v>
      </c>
      <c r="Z95" s="367">
        <f>'Consolidado-Eletronorte'!AZ118/1000</f>
        <v>500</v>
      </c>
    </row>
    <row r="96" spans="2:26" x14ac:dyDescent="0.3">
      <c r="B96" s="239" t="s">
        <v>195</v>
      </c>
      <c r="C96" s="237" t="s">
        <v>509</v>
      </c>
      <c r="D96" s="237" t="s">
        <v>509</v>
      </c>
      <c r="E96" s="237" t="s">
        <v>577</v>
      </c>
      <c r="F96" s="239"/>
      <c r="G96" s="239" t="s">
        <v>875</v>
      </c>
      <c r="H96" s="237" t="s">
        <v>154</v>
      </c>
      <c r="I96" s="367">
        <f>'Consolidado-Eletronorte'!AI119/1000</f>
        <v>0</v>
      </c>
      <c r="J96" s="367">
        <f>'Consolidado-Eletronorte'!AJ119/1000</f>
        <v>0</v>
      </c>
      <c r="K96" s="367">
        <f>'Consolidado-Eletronorte'!AK119/1000</f>
        <v>0</v>
      </c>
      <c r="L96" s="367">
        <f>'Consolidado-Eletronorte'!AL119/1000</f>
        <v>0</v>
      </c>
      <c r="M96" s="367">
        <f>'Consolidado-Eletronorte'!AM119/1000</f>
        <v>0</v>
      </c>
      <c r="N96" s="367">
        <f>'Consolidado-Eletronorte'!AN119/1000</f>
        <v>0</v>
      </c>
      <c r="O96" s="367">
        <f>'Consolidado-Eletronorte'!AO119/1000</f>
        <v>0</v>
      </c>
      <c r="P96" s="367">
        <f>'Consolidado-Eletronorte'!AP119/1000</f>
        <v>0</v>
      </c>
      <c r="Q96" s="367">
        <f>'Consolidado-Eletronorte'!AQ119/1000</f>
        <v>0</v>
      </c>
      <c r="R96" s="367">
        <f>'Consolidado-Eletronorte'!AR119/1000</f>
        <v>0</v>
      </c>
      <c r="S96" s="367">
        <f>'Consolidado-Eletronorte'!AS119/1000</f>
        <v>0</v>
      </c>
      <c r="T96" s="367">
        <f>'Consolidado-Eletronorte'!AT119/1000</f>
        <v>0</v>
      </c>
      <c r="U96" s="367">
        <f>'Consolidado-Eletronorte'!AU119/1000</f>
        <v>0</v>
      </c>
      <c r="V96" s="367">
        <f>'Consolidado-Eletronorte'!AV119/1000</f>
        <v>250</v>
      </c>
      <c r="W96" s="367">
        <f>'Consolidado-Eletronorte'!AW119/1000</f>
        <v>250</v>
      </c>
      <c r="X96" s="367">
        <f>'Consolidado-Eletronorte'!AX119/1000</f>
        <v>0</v>
      </c>
      <c r="Y96" s="367">
        <f>'Consolidado-Eletronorte'!AY119/1000</f>
        <v>0</v>
      </c>
      <c r="Z96" s="367">
        <f>'Consolidado-Eletronorte'!AZ119/1000</f>
        <v>500</v>
      </c>
    </row>
    <row r="97" spans="2:26" x14ac:dyDescent="0.3">
      <c r="B97" s="365" t="s">
        <v>193</v>
      </c>
      <c r="C97" s="366" t="s">
        <v>509</v>
      </c>
      <c r="D97" s="366" t="s">
        <v>509</v>
      </c>
      <c r="E97" s="366" t="s">
        <v>577</v>
      </c>
      <c r="F97" s="365"/>
      <c r="G97" s="365" t="s">
        <v>877</v>
      </c>
      <c r="H97" s="366" t="s">
        <v>154</v>
      </c>
      <c r="I97" s="367">
        <f>'Consolidado-Eletronorte'!AI120/1000</f>
        <v>0</v>
      </c>
      <c r="J97" s="367">
        <f>'Consolidado-Eletronorte'!AJ120/1000</f>
        <v>0</v>
      </c>
      <c r="K97" s="367">
        <f>'Consolidado-Eletronorte'!AK120/1000</f>
        <v>0</v>
      </c>
      <c r="L97" s="367">
        <f>'Consolidado-Eletronorte'!AL120/1000</f>
        <v>0</v>
      </c>
      <c r="M97" s="367">
        <f>'Consolidado-Eletronorte'!AM120/1000</f>
        <v>0</v>
      </c>
      <c r="N97" s="367">
        <f>'Consolidado-Eletronorte'!AN120/1000</f>
        <v>0</v>
      </c>
      <c r="O97" s="367">
        <f>'Consolidado-Eletronorte'!AO120/1000</f>
        <v>0</v>
      </c>
      <c r="P97" s="367">
        <f>'Consolidado-Eletronorte'!AP120/1000</f>
        <v>0</v>
      </c>
      <c r="Q97" s="367">
        <f>'Consolidado-Eletronorte'!AQ120/1000</f>
        <v>0</v>
      </c>
      <c r="R97" s="367">
        <f>'Consolidado-Eletronorte'!AR120/1000</f>
        <v>0</v>
      </c>
      <c r="S97" s="367">
        <f>'Consolidado-Eletronorte'!AS120/1000</f>
        <v>0</v>
      </c>
      <c r="T97" s="367">
        <f>'Consolidado-Eletronorte'!AT120/1000</f>
        <v>0</v>
      </c>
      <c r="U97" s="367">
        <f>'Consolidado-Eletronorte'!AU120/1000</f>
        <v>0</v>
      </c>
      <c r="V97" s="367">
        <f>'Consolidado-Eletronorte'!AV120/1000</f>
        <v>250</v>
      </c>
      <c r="W97" s="367">
        <f>'Consolidado-Eletronorte'!AW120/1000</f>
        <v>250</v>
      </c>
      <c r="X97" s="367">
        <f>'Consolidado-Eletronorte'!AX120/1000</f>
        <v>0</v>
      </c>
      <c r="Y97" s="367">
        <f>'Consolidado-Eletronorte'!AY120/1000</f>
        <v>0</v>
      </c>
      <c r="Z97" s="367">
        <f>'Consolidado-Eletronorte'!AZ120/1000</f>
        <v>500</v>
      </c>
    </row>
    <row r="98" spans="2:26" x14ac:dyDescent="0.3">
      <c r="B98" s="239" t="s">
        <v>191</v>
      </c>
      <c r="C98" s="237" t="s">
        <v>509</v>
      </c>
      <c r="D98" s="237" t="s">
        <v>509</v>
      </c>
      <c r="E98" s="237" t="s">
        <v>577</v>
      </c>
      <c r="F98" s="239"/>
      <c r="G98" s="239" t="s">
        <v>879</v>
      </c>
      <c r="H98" s="237" t="s">
        <v>154</v>
      </c>
      <c r="I98" s="367">
        <f>'Consolidado-Eletronorte'!AI121/1000</f>
        <v>0</v>
      </c>
      <c r="J98" s="367">
        <f>'Consolidado-Eletronorte'!AJ121/1000</f>
        <v>0</v>
      </c>
      <c r="K98" s="367">
        <f>'Consolidado-Eletronorte'!AK121/1000</f>
        <v>0</v>
      </c>
      <c r="L98" s="367">
        <f>'Consolidado-Eletronorte'!AL121/1000</f>
        <v>0</v>
      </c>
      <c r="M98" s="367">
        <f>'Consolidado-Eletronorte'!AM121/1000</f>
        <v>0</v>
      </c>
      <c r="N98" s="367">
        <f>'Consolidado-Eletronorte'!AN121/1000</f>
        <v>0</v>
      </c>
      <c r="O98" s="367">
        <f>'Consolidado-Eletronorte'!AO121/1000</f>
        <v>0</v>
      </c>
      <c r="P98" s="367">
        <f>'Consolidado-Eletronorte'!AP121/1000</f>
        <v>0</v>
      </c>
      <c r="Q98" s="367">
        <f>'Consolidado-Eletronorte'!AQ121/1000</f>
        <v>0</v>
      </c>
      <c r="R98" s="367">
        <f>'Consolidado-Eletronorte'!AR121/1000</f>
        <v>0</v>
      </c>
      <c r="S98" s="367">
        <f>'Consolidado-Eletronorte'!AS121/1000</f>
        <v>0</v>
      </c>
      <c r="T98" s="367">
        <f>'Consolidado-Eletronorte'!AT121/1000</f>
        <v>0</v>
      </c>
      <c r="U98" s="367">
        <f>'Consolidado-Eletronorte'!AU121/1000</f>
        <v>0</v>
      </c>
      <c r="V98" s="367">
        <f>'Consolidado-Eletronorte'!AV121/1000</f>
        <v>250</v>
      </c>
      <c r="W98" s="367">
        <f>'Consolidado-Eletronorte'!AW121/1000</f>
        <v>250</v>
      </c>
      <c r="X98" s="367">
        <f>'Consolidado-Eletronorte'!AX121/1000</f>
        <v>0</v>
      </c>
      <c r="Y98" s="367">
        <f>'Consolidado-Eletronorte'!AY121/1000</f>
        <v>0</v>
      </c>
      <c r="Z98" s="367">
        <f>'Consolidado-Eletronorte'!AZ121/1000</f>
        <v>500</v>
      </c>
    </row>
    <row r="99" spans="2:26" x14ac:dyDescent="0.3">
      <c r="B99" s="365" t="s">
        <v>203</v>
      </c>
      <c r="C99" s="366" t="s">
        <v>509</v>
      </c>
      <c r="D99" s="366" t="s">
        <v>509</v>
      </c>
      <c r="E99" s="366" t="s">
        <v>577</v>
      </c>
      <c r="F99" s="365"/>
      <c r="G99" s="365" t="s">
        <v>203</v>
      </c>
      <c r="H99" s="366" t="s">
        <v>154</v>
      </c>
      <c r="I99" s="367">
        <f>'Consolidado-Eletronorte'!AI122/1000</f>
        <v>0</v>
      </c>
      <c r="J99" s="367">
        <f>'Consolidado-Eletronorte'!AJ122/1000</f>
        <v>0</v>
      </c>
      <c r="K99" s="367">
        <f>'Consolidado-Eletronorte'!AK122/1000</f>
        <v>0</v>
      </c>
      <c r="L99" s="367">
        <f>'Consolidado-Eletronorte'!AL122/1000</f>
        <v>0</v>
      </c>
      <c r="M99" s="367">
        <f>'Consolidado-Eletronorte'!AM122/1000</f>
        <v>0</v>
      </c>
      <c r="N99" s="367">
        <f>'Consolidado-Eletronorte'!AN122/1000</f>
        <v>0</v>
      </c>
      <c r="O99" s="367">
        <f>'Consolidado-Eletronorte'!AO122/1000</f>
        <v>0</v>
      </c>
      <c r="P99" s="367">
        <f>'Consolidado-Eletronorte'!AP122/1000</f>
        <v>0</v>
      </c>
      <c r="Q99" s="367">
        <f>'Consolidado-Eletronorte'!AQ122/1000</f>
        <v>0</v>
      </c>
      <c r="R99" s="367">
        <f>'Consolidado-Eletronorte'!AR122/1000</f>
        <v>0</v>
      </c>
      <c r="S99" s="367">
        <f>'Consolidado-Eletronorte'!AS122/1000</f>
        <v>0</v>
      </c>
      <c r="T99" s="367">
        <f>'Consolidado-Eletronorte'!AT122/1000</f>
        <v>0</v>
      </c>
      <c r="U99" s="367">
        <f>'Consolidado-Eletronorte'!AU122/1000</f>
        <v>0</v>
      </c>
      <c r="V99" s="367">
        <f>'Consolidado-Eletronorte'!AV122/1000</f>
        <v>250</v>
      </c>
      <c r="W99" s="367">
        <f>'Consolidado-Eletronorte'!AW122/1000</f>
        <v>0</v>
      </c>
      <c r="X99" s="367">
        <f>'Consolidado-Eletronorte'!AX122/1000</f>
        <v>0</v>
      </c>
      <c r="Y99" s="367">
        <f>'Consolidado-Eletronorte'!AY122/1000</f>
        <v>0</v>
      </c>
      <c r="Z99" s="367">
        <f>'Consolidado-Eletronorte'!AZ122/1000</f>
        <v>250</v>
      </c>
    </row>
    <row r="100" spans="2:26" x14ac:dyDescent="0.3">
      <c r="B100" s="239" t="s">
        <v>205</v>
      </c>
      <c r="C100" s="237" t="s">
        <v>509</v>
      </c>
      <c r="D100" s="237" t="s">
        <v>509</v>
      </c>
      <c r="E100" s="237" t="s">
        <v>577</v>
      </c>
      <c r="F100" s="239"/>
      <c r="G100" s="239" t="s">
        <v>882</v>
      </c>
      <c r="H100" s="237" t="s">
        <v>154</v>
      </c>
      <c r="I100" s="367">
        <f>'Consolidado-Eletronorte'!AI123/1000</f>
        <v>0</v>
      </c>
      <c r="J100" s="367">
        <f>'Consolidado-Eletronorte'!AJ123/1000</f>
        <v>0</v>
      </c>
      <c r="K100" s="367">
        <f>'Consolidado-Eletronorte'!AK123/1000</f>
        <v>0</v>
      </c>
      <c r="L100" s="367">
        <f>'Consolidado-Eletronorte'!AL123/1000</f>
        <v>0</v>
      </c>
      <c r="M100" s="367">
        <f>'Consolidado-Eletronorte'!AM123/1000</f>
        <v>0</v>
      </c>
      <c r="N100" s="367">
        <f>'Consolidado-Eletronorte'!AN123/1000</f>
        <v>0</v>
      </c>
      <c r="O100" s="367">
        <f>'Consolidado-Eletronorte'!AO123/1000</f>
        <v>0</v>
      </c>
      <c r="P100" s="367">
        <f>'Consolidado-Eletronorte'!AP123/1000</f>
        <v>0</v>
      </c>
      <c r="Q100" s="367">
        <f>'Consolidado-Eletronorte'!AQ123/1000</f>
        <v>0</v>
      </c>
      <c r="R100" s="367">
        <f>'Consolidado-Eletronorte'!AR123/1000</f>
        <v>0</v>
      </c>
      <c r="S100" s="367">
        <f>'Consolidado-Eletronorte'!AS123/1000</f>
        <v>0</v>
      </c>
      <c r="T100" s="367">
        <f>'Consolidado-Eletronorte'!AT123/1000</f>
        <v>0</v>
      </c>
      <c r="U100" s="367">
        <f>'Consolidado-Eletronorte'!AU123/1000</f>
        <v>0</v>
      </c>
      <c r="V100" s="367">
        <f>'Consolidado-Eletronorte'!AV123/1000</f>
        <v>100</v>
      </c>
      <c r="W100" s="367">
        <f>'Consolidado-Eletronorte'!AW123/1000</f>
        <v>0</v>
      </c>
      <c r="X100" s="367">
        <f>'Consolidado-Eletronorte'!AX123/1000</f>
        <v>0</v>
      </c>
      <c r="Y100" s="367">
        <f>'Consolidado-Eletronorte'!AY123/1000</f>
        <v>0</v>
      </c>
      <c r="Z100" s="367">
        <f>'Consolidado-Eletronorte'!AZ123/1000</f>
        <v>100</v>
      </c>
    </row>
    <row r="101" spans="2:26" x14ac:dyDescent="0.3">
      <c r="B101" s="365" t="s">
        <v>215</v>
      </c>
      <c r="C101" s="366" t="s">
        <v>509</v>
      </c>
      <c r="D101" s="366" t="s">
        <v>509</v>
      </c>
      <c r="E101" s="366" t="s">
        <v>577</v>
      </c>
      <c r="F101" s="365"/>
      <c r="G101" s="365" t="s">
        <v>884</v>
      </c>
      <c r="H101" s="366" t="s">
        <v>210</v>
      </c>
      <c r="I101" s="367">
        <f>'Consolidado-Eletronorte'!AI124/1000</f>
        <v>0</v>
      </c>
      <c r="J101" s="367">
        <f>'Consolidado-Eletronorte'!AJ124/1000</f>
        <v>0</v>
      </c>
      <c r="K101" s="367">
        <f>'Consolidado-Eletronorte'!AK124/1000</f>
        <v>0</v>
      </c>
      <c r="L101" s="367">
        <f>'Consolidado-Eletronorte'!AL124/1000</f>
        <v>0</v>
      </c>
      <c r="M101" s="367">
        <f>'Consolidado-Eletronorte'!AM124/1000</f>
        <v>0</v>
      </c>
      <c r="N101" s="367">
        <f>'Consolidado-Eletronorte'!AN124/1000</f>
        <v>0</v>
      </c>
      <c r="O101" s="367">
        <f>'Consolidado-Eletronorte'!AO124/1000</f>
        <v>0</v>
      </c>
      <c r="P101" s="367">
        <f>'Consolidado-Eletronorte'!AP124/1000</f>
        <v>0</v>
      </c>
      <c r="Q101" s="367">
        <f>'Consolidado-Eletronorte'!AQ124/1000</f>
        <v>0</v>
      </c>
      <c r="R101" s="367">
        <f>'Consolidado-Eletronorte'!AR124/1000</f>
        <v>0</v>
      </c>
      <c r="S101" s="367">
        <f>'Consolidado-Eletronorte'!AS124/1000</f>
        <v>0</v>
      </c>
      <c r="T101" s="367">
        <f>'Consolidado-Eletronorte'!AT124/1000</f>
        <v>0</v>
      </c>
      <c r="U101" s="367">
        <f>'Consolidado-Eletronorte'!AU124/1000</f>
        <v>0</v>
      </c>
      <c r="V101" s="367">
        <f>'Consolidado-Eletronorte'!AV124/1000</f>
        <v>0</v>
      </c>
      <c r="W101" s="367">
        <f>'Consolidado-Eletronorte'!AW124/1000</f>
        <v>1000</v>
      </c>
      <c r="X101" s="367">
        <f>'Consolidado-Eletronorte'!AX124/1000</f>
        <v>2000</v>
      </c>
      <c r="Y101" s="367">
        <f>'Consolidado-Eletronorte'!AY124/1000</f>
        <v>1000</v>
      </c>
      <c r="Z101" s="367">
        <f>'Consolidado-Eletronorte'!AZ124/1000</f>
        <v>4000</v>
      </c>
    </row>
    <row r="102" spans="2:26" x14ac:dyDescent="0.3">
      <c r="B102" s="239" t="s">
        <v>221</v>
      </c>
      <c r="C102" s="237" t="s">
        <v>509</v>
      </c>
      <c r="D102" s="237" t="s">
        <v>509</v>
      </c>
      <c r="E102" s="237" t="s">
        <v>577</v>
      </c>
      <c r="F102" s="239"/>
      <c r="G102" s="239" t="s">
        <v>886</v>
      </c>
      <c r="H102" s="237" t="s">
        <v>210</v>
      </c>
      <c r="I102" s="367">
        <f>'Consolidado-Eletronorte'!AI125/1000</f>
        <v>0</v>
      </c>
      <c r="J102" s="367">
        <f>'Consolidado-Eletronorte'!AJ125/1000</f>
        <v>0</v>
      </c>
      <c r="K102" s="367">
        <f>'Consolidado-Eletronorte'!AK125/1000</f>
        <v>0</v>
      </c>
      <c r="L102" s="367">
        <f>'Consolidado-Eletronorte'!AL125/1000</f>
        <v>0</v>
      </c>
      <c r="M102" s="367">
        <f>'Consolidado-Eletronorte'!AM125/1000</f>
        <v>0</v>
      </c>
      <c r="N102" s="367">
        <f>'Consolidado-Eletronorte'!AN125/1000</f>
        <v>0</v>
      </c>
      <c r="O102" s="367">
        <f>'Consolidado-Eletronorte'!AO125/1000</f>
        <v>0</v>
      </c>
      <c r="P102" s="367">
        <f>'Consolidado-Eletronorte'!AP125/1000</f>
        <v>0</v>
      </c>
      <c r="Q102" s="367">
        <f>'Consolidado-Eletronorte'!AQ125/1000</f>
        <v>0</v>
      </c>
      <c r="R102" s="367">
        <f>'Consolidado-Eletronorte'!AR125/1000</f>
        <v>0</v>
      </c>
      <c r="S102" s="367">
        <f>'Consolidado-Eletronorte'!AS125/1000</f>
        <v>0</v>
      </c>
      <c r="T102" s="367">
        <f>'Consolidado-Eletronorte'!AT125/1000</f>
        <v>0</v>
      </c>
      <c r="U102" s="367">
        <f>'Consolidado-Eletronorte'!AU125/1000</f>
        <v>0</v>
      </c>
      <c r="V102" s="367">
        <f>'Consolidado-Eletronorte'!AV125/1000</f>
        <v>250</v>
      </c>
      <c r="W102" s="367">
        <f>'Consolidado-Eletronorte'!AW125/1000</f>
        <v>250</v>
      </c>
      <c r="X102" s="367">
        <f>'Consolidado-Eletronorte'!AX125/1000</f>
        <v>0</v>
      </c>
      <c r="Y102" s="367">
        <f>'Consolidado-Eletronorte'!AY125/1000</f>
        <v>0</v>
      </c>
      <c r="Z102" s="367">
        <f>'Consolidado-Eletronorte'!AZ125/1000</f>
        <v>500</v>
      </c>
    </row>
    <row r="103" spans="2:26" x14ac:dyDescent="0.3">
      <c r="B103" s="365" t="s">
        <v>238</v>
      </c>
      <c r="C103" s="366" t="s">
        <v>509</v>
      </c>
      <c r="D103" s="366" t="s">
        <v>509</v>
      </c>
      <c r="E103" s="366" t="s">
        <v>577</v>
      </c>
      <c r="F103" s="365"/>
      <c r="G103" s="365" t="s">
        <v>630</v>
      </c>
      <c r="H103" s="366" t="s">
        <v>229</v>
      </c>
      <c r="I103" s="367">
        <f>'Consolidado-Eletronorte'!AI126/1000</f>
        <v>0</v>
      </c>
      <c r="J103" s="367">
        <f>'Consolidado-Eletronorte'!AJ126/1000</f>
        <v>0</v>
      </c>
      <c r="K103" s="367">
        <f>'Consolidado-Eletronorte'!AK126/1000</f>
        <v>0</v>
      </c>
      <c r="L103" s="367">
        <f>'Consolidado-Eletronorte'!AL126/1000</f>
        <v>0</v>
      </c>
      <c r="M103" s="367">
        <f>'Consolidado-Eletronorte'!AM126/1000</f>
        <v>0</v>
      </c>
      <c r="N103" s="367">
        <f>'Consolidado-Eletronorte'!AN126/1000</f>
        <v>0</v>
      </c>
      <c r="O103" s="367">
        <f>'Consolidado-Eletronorte'!AO126/1000</f>
        <v>0</v>
      </c>
      <c r="P103" s="367">
        <f>'Consolidado-Eletronorte'!AP126/1000</f>
        <v>0</v>
      </c>
      <c r="Q103" s="367">
        <f>'Consolidado-Eletronorte'!AQ126/1000</f>
        <v>0</v>
      </c>
      <c r="R103" s="367">
        <f>'Consolidado-Eletronorte'!AR126/1000</f>
        <v>100</v>
      </c>
      <c r="S103" s="367">
        <f>'Consolidado-Eletronorte'!AS126/1000</f>
        <v>0</v>
      </c>
      <c r="T103" s="367">
        <f>'Consolidado-Eletronorte'!AT126/1000</f>
        <v>0</v>
      </c>
      <c r="U103" s="367">
        <f>'Consolidado-Eletronorte'!AU126/1000</f>
        <v>100</v>
      </c>
      <c r="V103" s="367">
        <f>'Consolidado-Eletronorte'!AV126/1000</f>
        <v>500</v>
      </c>
      <c r="W103" s="367">
        <f>'Consolidado-Eletronorte'!AW126/1000</f>
        <v>0</v>
      </c>
      <c r="X103" s="367">
        <f>'Consolidado-Eletronorte'!AX126/1000</f>
        <v>0</v>
      </c>
      <c r="Y103" s="367">
        <f>'Consolidado-Eletronorte'!AY126/1000</f>
        <v>0</v>
      </c>
      <c r="Z103" s="367">
        <f>'Consolidado-Eletronorte'!AZ126/1000</f>
        <v>600</v>
      </c>
    </row>
    <row r="104" spans="2:26" x14ac:dyDescent="0.3">
      <c r="B104" s="239" t="s">
        <v>242</v>
      </c>
      <c r="C104" s="237" t="s">
        <v>509</v>
      </c>
      <c r="D104" s="237" t="s">
        <v>509</v>
      </c>
      <c r="E104" s="237" t="s">
        <v>577</v>
      </c>
      <c r="F104" s="239"/>
      <c r="G104" s="239" t="s">
        <v>720</v>
      </c>
      <c r="H104" s="237" t="s">
        <v>229</v>
      </c>
      <c r="I104" s="367">
        <f>'Consolidado-Eletronorte'!AI127/1000</f>
        <v>0</v>
      </c>
      <c r="J104" s="367">
        <f>'Consolidado-Eletronorte'!AJ127/1000</f>
        <v>0</v>
      </c>
      <c r="K104" s="367">
        <f>'Consolidado-Eletronorte'!AK127/1000</f>
        <v>0</v>
      </c>
      <c r="L104" s="367">
        <f>'Consolidado-Eletronorte'!AL127/1000</f>
        <v>600</v>
      </c>
      <c r="M104" s="367">
        <f>'Consolidado-Eletronorte'!AM127/1000</f>
        <v>0</v>
      </c>
      <c r="N104" s="367">
        <f>'Consolidado-Eletronorte'!AN127/1000</f>
        <v>0</v>
      </c>
      <c r="O104" s="367">
        <f>'Consolidado-Eletronorte'!AO127/1000</f>
        <v>0</v>
      </c>
      <c r="P104" s="367">
        <f>'Consolidado-Eletronorte'!AP127/1000</f>
        <v>0</v>
      </c>
      <c r="Q104" s="367">
        <f>'Consolidado-Eletronorte'!AQ127/1000</f>
        <v>0</v>
      </c>
      <c r="R104" s="367">
        <f>'Consolidado-Eletronorte'!AR127/1000</f>
        <v>0</v>
      </c>
      <c r="S104" s="367">
        <f>'Consolidado-Eletronorte'!AS127/1000</f>
        <v>0</v>
      </c>
      <c r="T104" s="367">
        <f>'Consolidado-Eletronorte'!AT127/1000</f>
        <v>0</v>
      </c>
      <c r="U104" s="367">
        <f>'Consolidado-Eletronorte'!AU127/1000</f>
        <v>600</v>
      </c>
      <c r="V104" s="367">
        <f>'Consolidado-Eletronorte'!AV127/1000</f>
        <v>0</v>
      </c>
      <c r="W104" s="367">
        <f>'Consolidado-Eletronorte'!AW127/1000</f>
        <v>0</v>
      </c>
      <c r="X104" s="367">
        <f>'Consolidado-Eletronorte'!AX127/1000</f>
        <v>0</v>
      </c>
      <c r="Y104" s="367">
        <f>'Consolidado-Eletronorte'!AY127/1000</f>
        <v>0</v>
      </c>
      <c r="Z104" s="367">
        <f>'Consolidado-Eletronorte'!AZ127/1000</f>
        <v>600</v>
      </c>
    </row>
    <row r="105" spans="2:26" x14ac:dyDescent="0.3">
      <c r="B105" s="365" t="s">
        <v>231</v>
      </c>
      <c r="C105" s="366" t="s">
        <v>509</v>
      </c>
      <c r="D105" s="366" t="s">
        <v>509</v>
      </c>
      <c r="E105" s="366" t="s">
        <v>577</v>
      </c>
      <c r="F105" s="365">
        <v>4600002717</v>
      </c>
      <c r="G105" s="365" t="s">
        <v>231</v>
      </c>
      <c r="H105" s="366" t="s">
        <v>229</v>
      </c>
      <c r="I105" s="367" t="e">
        <f>'Consolidado-Eletronorte'!#REF!/1000</f>
        <v>#REF!</v>
      </c>
      <c r="J105" s="367" t="e">
        <f>'Consolidado-Eletronorte'!#REF!/1000</f>
        <v>#REF!</v>
      </c>
      <c r="K105" s="367" t="e">
        <f>'Consolidado-Eletronorte'!#REF!/1000</f>
        <v>#REF!</v>
      </c>
      <c r="L105" s="367" t="e">
        <f>'Consolidado-Eletronorte'!#REF!/1000</f>
        <v>#REF!</v>
      </c>
      <c r="M105" s="367" t="e">
        <f>'Consolidado-Eletronorte'!#REF!/1000</f>
        <v>#REF!</v>
      </c>
      <c r="N105" s="367" t="e">
        <f>'Consolidado-Eletronorte'!#REF!/1000</f>
        <v>#REF!</v>
      </c>
      <c r="O105" s="367" t="e">
        <f>'Consolidado-Eletronorte'!#REF!/1000</f>
        <v>#REF!</v>
      </c>
      <c r="P105" s="367" t="e">
        <f>'Consolidado-Eletronorte'!#REF!/1000</f>
        <v>#REF!</v>
      </c>
      <c r="Q105" s="367" t="e">
        <f>'Consolidado-Eletronorte'!#REF!/1000</f>
        <v>#REF!</v>
      </c>
      <c r="R105" s="367" t="e">
        <f>'Consolidado-Eletronorte'!#REF!/1000</f>
        <v>#REF!</v>
      </c>
      <c r="S105" s="367" t="e">
        <f>'Consolidado-Eletronorte'!#REF!/1000</f>
        <v>#REF!</v>
      </c>
      <c r="T105" s="367" t="e">
        <f>'Consolidado-Eletronorte'!#REF!/1000</f>
        <v>#REF!</v>
      </c>
      <c r="U105" s="367" t="e">
        <f>'Consolidado-Eletronorte'!#REF!/1000</f>
        <v>#REF!</v>
      </c>
      <c r="V105" s="367" t="e">
        <f>'Consolidado-Eletronorte'!#REF!/1000</f>
        <v>#REF!</v>
      </c>
      <c r="W105" s="367" t="e">
        <f>'Consolidado-Eletronorte'!#REF!/1000</f>
        <v>#REF!</v>
      </c>
      <c r="X105" s="367" t="e">
        <f>'Consolidado-Eletronorte'!#REF!/1000</f>
        <v>#REF!</v>
      </c>
      <c r="Y105" s="367" t="e">
        <f>'Consolidado-Eletronorte'!#REF!/1000</f>
        <v>#REF!</v>
      </c>
      <c r="Z105" s="367" t="e">
        <f>'Consolidado-Eletronorte'!#REF!/1000</f>
        <v>#REF!</v>
      </c>
    </row>
    <row r="106" spans="2:26" x14ac:dyDescent="0.3">
      <c r="B106" s="239" t="s">
        <v>258</v>
      </c>
      <c r="C106" s="237" t="s">
        <v>509</v>
      </c>
      <c r="D106" s="237" t="s">
        <v>509</v>
      </c>
      <c r="E106" s="237" t="s">
        <v>555</v>
      </c>
      <c r="F106" s="239"/>
      <c r="G106" s="239" t="s">
        <v>896</v>
      </c>
      <c r="H106" s="237" t="s">
        <v>229</v>
      </c>
      <c r="I106" s="367">
        <f>'Consolidado-Eletronorte'!AI128/1000</f>
        <v>0</v>
      </c>
      <c r="J106" s="367">
        <f>'Consolidado-Eletronorte'!AJ128/1000</f>
        <v>0</v>
      </c>
      <c r="K106" s="367">
        <f>'Consolidado-Eletronorte'!AK128/1000</f>
        <v>0</v>
      </c>
      <c r="L106" s="367">
        <f>'Consolidado-Eletronorte'!AL128/1000</f>
        <v>0</v>
      </c>
      <c r="M106" s="367">
        <f>'Consolidado-Eletronorte'!AM128/1000</f>
        <v>0</v>
      </c>
      <c r="N106" s="367">
        <f>'Consolidado-Eletronorte'!AN128/1000</f>
        <v>0</v>
      </c>
      <c r="O106" s="367">
        <f>'Consolidado-Eletronorte'!AO128/1000</f>
        <v>0</v>
      </c>
      <c r="P106" s="367">
        <f>'Consolidado-Eletronorte'!AP128/1000</f>
        <v>0</v>
      </c>
      <c r="Q106" s="367">
        <f>'Consolidado-Eletronorte'!AQ128/1000</f>
        <v>0</v>
      </c>
      <c r="R106" s="367">
        <f>'Consolidado-Eletronorte'!AR128/1000</f>
        <v>0</v>
      </c>
      <c r="S106" s="367">
        <f>'Consolidado-Eletronorte'!AS128/1000</f>
        <v>0</v>
      </c>
      <c r="T106" s="367">
        <f>'Consolidado-Eletronorte'!AT128/1000</f>
        <v>0</v>
      </c>
      <c r="U106" s="367">
        <f>'Consolidado-Eletronorte'!AU128/1000</f>
        <v>0</v>
      </c>
      <c r="V106" s="367">
        <f>'Consolidado-Eletronorte'!AV128/1000</f>
        <v>500</v>
      </c>
      <c r="W106" s="367">
        <f>'Consolidado-Eletronorte'!AW128/1000</f>
        <v>0</v>
      </c>
      <c r="X106" s="367">
        <f>'Consolidado-Eletronorte'!AX128/1000</f>
        <v>0</v>
      </c>
      <c r="Y106" s="367">
        <f>'Consolidado-Eletronorte'!AY128/1000</f>
        <v>0</v>
      </c>
      <c r="Z106" s="367">
        <f>'Consolidado-Eletronorte'!AZ128/1000</f>
        <v>500</v>
      </c>
    </row>
    <row r="107" spans="2:26" x14ac:dyDescent="0.3">
      <c r="B107" s="365" t="s">
        <v>246</v>
      </c>
      <c r="C107" s="366" t="s">
        <v>509</v>
      </c>
      <c r="D107" s="366" t="s">
        <v>509</v>
      </c>
      <c r="E107" s="366" t="s">
        <v>577</v>
      </c>
      <c r="F107" s="365"/>
      <c r="G107" s="365" t="s">
        <v>899</v>
      </c>
      <c r="H107" s="366" t="s">
        <v>229</v>
      </c>
      <c r="I107" s="367">
        <f>'Consolidado-Eletronorte'!AI129/1000</f>
        <v>0</v>
      </c>
      <c r="J107" s="367">
        <f>'Consolidado-Eletronorte'!AJ129/1000</f>
        <v>0</v>
      </c>
      <c r="K107" s="367">
        <f>'Consolidado-Eletronorte'!AK129/1000</f>
        <v>0</v>
      </c>
      <c r="L107" s="367">
        <f>'Consolidado-Eletronorte'!AL129/1000</f>
        <v>0</v>
      </c>
      <c r="M107" s="367">
        <f>'Consolidado-Eletronorte'!AM129/1000</f>
        <v>0</v>
      </c>
      <c r="N107" s="367">
        <f>'Consolidado-Eletronorte'!AN129/1000</f>
        <v>0</v>
      </c>
      <c r="O107" s="367">
        <f>'Consolidado-Eletronorte'!AO129/1000</f>
        <v>0</v>
      </c>
      <c r="P107" s="367">
        <f>'Consolidado-Eletronorte'!AP129/1000</f>
        <v>0</v>
      </c>
      <c r="Q107" s="367">
        <f>'Consolidado-Eletronorte'!AQ129/1000</f>
        <v>0</v>
      </c>
      <c r="R107" s="367">
        <f>'Consolidado-Eletronorte'!AR129/1000</f>
        <v>0</v>
      </c>
      <c r="S107" s="367">
        <f>'Consolidado-Eletronorte'!AS129/1000</f>
        <v>0</v>
      </c>
      <c r="T107" s="367">
        <f>'Consolidado-Eletronorte'!AT129/1000</f>
        <v>0</v>
      </c>
      <c r="U107" s="367">
        <f>'Consolidado-Eletronorte'!AU129/1000</f>
        <v>0</v>
      </c>
      <c r="V107" s="367">
        <f>'Consolidado-Eletronorte'!AV129/1000</f>
        <v>500</v>
      </c>
      <c r="W107" s="367">
        <f>'Consolidado-Eletronorte'!AW129/1000</f>
        <v>0</v>
      </c>
      <c r="X107" s="367">
        <f>'Consolidado-Eletronorte'!AX129/1000</f>
        <v>0</v>
      </c>
      <c r="Y107" s="367">
        <f>'Consolidado-Eletronorte'!AY129/1000</f>
        <v>0</v>
      </c>
      <c r="Z107" s="367">
        <f>'Consolidado-Eletronorte'!AZ129/1000</f>
        <v>500</v>
      </c>
    </row>
    <row r="108" spans="2:26" x14ac:dyDescent="0.3">
      <c r="B108" s="239" t="s">
        <v>249</v>
      </c>
      <c r="C108" s="237" t="s">
        <v>509</v>
      </c>
      <c r="D108" s="237" t="s">
        <v>509</v>
      </c>
      <c r="E108" s="237" t="s">
        <v>577</v>
      </c>
      <c r="F108" s="239"/>
      <c r="G108" s="239" t="s">
        <v>902</v>
      </c>
      <c r="H108" s="237" t="s">
        <v>229</v>
      </c>
      <c r="I108" s="367">
        <f>'Consolidado-Eletronorte'!AI130/1000</f>
        <v>0</v>
      </c>
      <c r="J108" s="367">
        <f>'Consolidado-Eletronorte'!AJ130/1000</f>
        <v>0</v>
      </c>
      <c r="K108" s="367">
        <f>'Consolidado-Eletronorte'!AK130/1000</f>
        <v>0</v>
      </c>
      <c r="L108" s="367">
        <f>'Consolidado-Eletronorte'!AL130/1000</f>
        <v>0</v>
      </c>
      <c r="M108" s="367">
        <f>'Consolidado-Eletronorte'!AM130/1000</f>
        <v>0</v>
      </c>
      <c r="N108" s="367">
        <f>'Consolidado-Eletronorte'!AN130/1000</f>
        <v>0</v>
      </c>
      <c r="O108" s="367">
        <f>'Consolidado-Eletronorte'!AO130/1000</f>
        <v>0</v>
      </c>
      <c r="P108" s="367">
        <f>'Consolidado-Eletronorte'!AP130/1000</f>
        <v>0</v>
      </c>
      <c r="Q108" s="367">
        <f>'Consolidado-Eletronorte'!AQ130/1000</f>
        <v>0</v>
      </c>
      <c r="R108" s="367">
        <f>'Consolidado-Eletronorte'!AR130/1000</f>
        <v>0</v>
      </c>
      <c r="S108" s="367">
        <f>'Consolidado-Eletronorte'!AS130/1000</f>
        <v>0</v>
      </c>
      <c r="T108" s="367">
        <f>'Consolidado-Eletronorte'!AT130/1000</f>
        <v>0</v>
      </c>
      <c r="U108" s="367">
        <f>'Consolidado-Eletronorte'!AU130/1000</f>
        <v>0</v>
      </c>
      <c r="V108" s="367">
        <f>'Consolidado-Eletronorte'!AV130/1000</f>
        <v>250</v>
      </c>
      <c r="W108" s="367">
        <f>'Consolidado-Eletronorte'!AW130/1000</f>
        <v>0</v>
      </c>
      <c r="X108" s="367">
        <f>'Consolidado-Eletronorte'!AX130/1000</f>
        <v>0</v>
      </c>
      <c r="Y108" s="367">
        <f>'Consolidado-Eletronorte'!AY130/1000</f>
        <v>0</v>
      </c>
      <c r="Z108" s="367">
        <f>'Consolidado-Eletronorte'!AZ130/1000</f>
        <v>250</v>
      </c>
    </row>
    <row r="109" spans="2:26" x14ac:dyDescent="0.3">
      <c r="B109" s="365" t="s">
        <v>295</v>
      </c>
      <c r="C109" s="366" t="s">
        <v>509</v>
      </c>
      <c r="D109" s="366" t="s">
        <v>509</v>
      </c>
      <c r="E109" s="366" t="s">
        <v>577</v>
      </c>
      <c r="F109" s="365"/>
      <c r="G109" s="365" t="s">
        <v>904</v>
      </c>
      <c r="H109" s="366" t="s">
        <v>276</v>
      </c>
      <c r="I109" s="367">
        <f>'Consolidado-Eletronorte'!AI131/1000</f>
        <v>0</v>
      </c>
      <c r="J109" s="367">
        <f>'Consolidado-Eletronorte'!AJ131/1000</f>
        <v>0</v>
      </c>
      <c r="K109" s="367">
        <f>'Consolidado-Eletronorte'!AK131/1000</f>
        <v>0</v>
      </c>
      <c r="L109" s="367">
        <f>'Consolidado-Eletronorte'!AL131/1000</f>
        <v>0</v>
      </c>
      <c r="M109" s="367">
        <f>'Consolidado-Eletronorte'!AM131/1000</f>
        <v>0</v>
      </c>
      <c r="N109" s="367">
        <f>'Consolidado-Eletronorte'!AN131/1000</f>
        <v>0</v>
      </c>
      <c r="O109" s="367">
        <f>'Consolidado-Eletronorte'!AO131/1000</f>
        <v>0</v>
      </c>
      <c r="P109" s="367">
        <f>'Consolidado-Eletronorte'!AP131/1000</f>
        <v>0</v>
      </c>
      <c r="Q109" s="367">
        <f>'Consolidado-Eletronorte'!AQ131/1000</f>
        <v>0</v>
      </c>
      <c r="R109" s="367">
        <f>'Consolidado-Eletronorte'!AR131/1000</f>
        <v>0</v>
      </c>
      <c r="S109" s="367">
        <f>'Consolidado-Eletronorte'!AS131/1000</f>
        <v>0</v>
      </c>
      <c r="T109" s="367">
        <f>'Consolidado-Eletronorte'!AT131/1000</f>
        <v>0</v>
      </c>
      <c r="U109" s="367">
        <f>'Consolidado-Eletronorte'!AU131/1000</f>
        <v>0</v>
      </c>
      <c r="V109" s="367">
        <f>'Consolidado-Eletronorte'!AV131/1000</f>
        <v>250</v>
      </c>
      <c r="W109" s="367">
        <f>'Consolidado-Eletronorte'!AW131/1000</f>
        <v>250</v>
      </c>
      <c r="X109" s="367">
        <f>'Consolidado-Eletronorte'!AX131/1000</f>
        <v>0</v>
      </c>
      <c r="Y109" s="367">
        <f>'Consolidado-Eletronorte'!AY131/1000</f>
        <v>0</v>
      </c>
      <c r="Z109" s="367">
        <f>'Consolidado-Eletronorte'!AZ131/1000</f>
        <v>500</v>
      </c>
    </row>
    <row r="110" spans="2:26" x14ac:dyDescent="0.3">
      <c r="B110" s="239" t="s">
        <v>293</v>
      </c>
      <c r="C110" s="237" t="s">
        <v>509</v>
      </c>
      <c r="D110" s="237" t="s">
        <v>509</v>
      </c>
      <c r="E110" s="237" t="s">
        <v>577</v>
      </c>
      <c r="F110" s="239"/>
      <c r="G110" s="239" t="s">
        <v>906</v>
      </c>
      <c r="H110" s="237" t="s">
        <v>276</v>
      </c>
      <c r="I110" s="367">
        <f>'Consolidado-Eletronorte'!AI132/1000</f>
        <v>0</v>
      </c>
      <c r="J110" s="367">
        <f>'Consolidado-Eletronorte'!AJ132/1000</f>
        <v>0</v>
      </c>
      <c r="K110" s="367">
        <f>'Consolidado-Eletronorte'!AK132/1000</f>
        <v>0</v>
      </c>
      <c r="L110" s="367">
        <f>'Consolidado-Eletronorte'!AL132/1000</f>
        <v>0</v>
      </c>
      <c r="M110" s="367">
        <f>'Consolidado-Eletronorte'!AM132/1000</f>
        <v>0</v>
      </c>
      <c r="N110" s="367">
        <f>'Consolidado-Eletronorte'!AN132/1000</f>
        <v>0</v>
      </c>
      <c r="O110" s="367">
        <f>'Consolidado-Eletronorte'!AO132/1000</f>
        <v>0</v>
      </c>
      <c r="P110" s="367">
        <f>'Consolidado-Eletronorte'!AP132/1000</f>
        <v>0</v>
      </c>
      <c r="Q110" s="367">
        <f>'Consolidado-Eletronorte'!AQ132/1000</f>
        <v>0</v>
      </c>
      <c r="R110" s="367">
        <f>'Consolidado-Eletronorte'!AR132/1000</f>
        <v>0</v>
      </c>
      <c r="S110" s="367">
        <f>'Consolidado-Eletronorte'!AS132/1000</f>
        <v>0</v>
      </c>
      <c r="T110" s="367">
        <f>'Consolidado-Eletronorte'!AT132/1000</f>
        <v>0</v>
      </c>
      <c r="U110" s="367">
        <f>'Consolidado-Eletronorte'!AU132/1000</f>
        <v>0</v>
      </c>
      <c r="V110" s="367">
        <f>'Consolidado-Eletronorte'!AV132/1000</f>
        <v>250</v>
      </c>
      <c r="W110" s="367">
        <f>'Consolidado-Eletronorte'!AW132/1000</f>
        <v>250</v>
      </c>
      <c r="X110" s="367">
        <f>'Consolidado-Eletronorte'!AX132/1000</f>
        <v>0</v>
      </c>
      <c r="Y110" s="367">
        <f>'Consolidado-Eletronorte'!AY132/1000</f>
        <v>0</v>
      </c>
      <c r="Z110" s="367">
        <f>'Consolidado-Eletronorte'!AZ132/1000</f>
        <v>500</v>
      </c>
    </row>
    <row r="111" spans="2:26" x14ac:dyDescent="0.3">
      <c r="B111" s="365" t="s">
        <v>307</v>
      </c>
      <c r="C111" s="366" t="s">
        <v>509</v>
      </c>
      <c r="D111" s="366" t="s">
        <v>509</v>
      </c>
      <c r="E111" s="366" t="s">
        <v>577</v>
      </c>
      <c r="F111" s="365"/>
      <c r="G111" s="365" t="s">
        <v>908</v>
      </c>
      <c r="H111" s="366" t="s">
        <v>276</v>
      </c>
      <c r="I111" s="367">
        <f>'Consolidado-Eletronorte'!AI133/1000</f>
        <v>0</v>
      </c>
      <c r="J111" s="367">
        <f>'Consolidado-Eletronorte'!AJ133/1000</f>
        <v>0</v>
      </c>
      <c r="K111" s="367">
        <f>'Consolidado-Eletronorte'!AK133/1000</f>
        <v>0</v>
      </c>
      <c r="L111" s="367">
        <f>'Consolidado-Eletronorte'!AL133/1000</f>
        <v>0</v>
      </c>
      <c r="M111" s="367">
        <f>'Consolidado-Eletronorte'!AM133/1000</f>
        <v>0</v>
      </c>
      <c r="N111" s="367">
        <f>'Consolidado-Eletronorte'!AN133/1000</f>
        <v>0</v>
      </c>
      <c r="O111" s="367">
        <f>'Consolidado-Eletronorte'!AO133/1000</f>
        <v>0</v>
      </c>
      <c r="P111" s="367">
        <f>'Consolidado-Eletronorte'!AP133/1000</f>
        <v>0</v>
      </c>
      <c r="Q111" s="367">
        <f>'Consolidado-Eletronorte'!AQ133/1000</f>
        <v>0</v>
      </c>
      <c r="R111" s="367">
        <f>'Consolidado-Eletronorte'!AR133/1000</f>
        <v>0</v>
      </c>
      <c r="S111" s="367">
        <f>'Consolidado-Eletronorte'!AS133/1000</f>
        <v>0</v>
      </c>
      <c r="T111" s="367">
        <f>'Consolidado-Eletronorte'!AT133/1000</f>
        <v>0</v>
      </c>
      <c r="U111" s="367">
        <f>'Consolidado-Eletronorte'!AU133/1000</f>
        <v>0</v>
      </c>
      <c r="V111" s="367">
        <f>'Consolidado-Eletronorte'!AV133/1000</f>
        <v>250</v>
      </c>
      <c r="W111" s="367">
        <f>'Consolidado-Eletronorte'!AW133/1000</f>
        <v>250</v>
      </c>
      <c r="X111" s="367">
        <f>'Consolidado-Eletronorte'!AX133/1000</f>
        <v>0</v>
      </c>
      <c r="Y111" s="367">
        <f>'Consolidado-Eletronorte'!AY133/1000</f>
        <v>0</v>
      </c>
      <c r="Z111" s="367">
        <f>'Consolidado-Eletronorte'!AZ133/1000</f>
        <v>500</v>
      </c>
    </row>
    <row r="112" spans="2:26" x14ac:dyDescent="0.3">
      <c r="B112" s="239" t="s">
        <v>309</v>
      </c>
      <c r="C112" s="237" t="s">
        <v>509</v>
      </c>
      <c r="D112" s="237" t="s">
        <v>509</v>
      </c>
      <c r="E112" s="237" t="s">
        <v>577</v>
      </c>
      <c r="F112" s="239"/>
      <c r="G112" s="239" t="s">
        <v>910</v>
      </c>
      <c r="H112" s="237" t="s">
        <v>276</v>
      </c>
      <c r="I112" s="367">
        <f>'Consolidado-Eletronorte'!AI134/1000</f>
        <v>0</v>
      </c>
      <c r="J112" s="367">
        <f>'Consolidado-Eletronorte'!AJ134/1000</f>
        <v>0</v>
      </c>
      <c r="K112" s="367">
        <f>'Consolidado-Eletronorte'!AK134/1000</f>
        <v>0</v>
      </c>
      <c r="L112" s="367">
        <f>'Consolidado-Eletronorte'!AL134/1000</f>
        <v>0</v>
      </c>
      <c r="M112" s="367">
        <f>'Consolidado-Eletronorte'!AM134/1000</f>
        <v>0</v>
      </c>
      <c r="N112" s="367">
        <f>'Consolidado-Eletronorte'!AN134/1000</f>
        <v>0</v>
      </c>
      <c r="O112" s="367">
        <f>'Consolidado-Eletronorte'!AO134/1000</f>
        <v>0</v>
      </c>
      <c r="P112" s="367">
        <f>'Consolidado-Eletronorte'!AP134/1000</f>
        <v>0</v>
      </c>
      <c r="Q112" s="367">
        <f>'Consolidado-Eletronorte'!AQ134/1000</f>
        <v>0</v>
      </c>
      <c r="R112" s="367">
        <f>'Consolidado-Eletronorte'!AR134/1000</f>
        <v>0</v>
      </c>
      <c r="S112" s="367">
        <f>'Consolidado-Eletronorte'!AS134/1000</f>
        <v>0</v>
      </c>
      <c r="T112" s="367">
        <f>'Consolidado-Eletronorte'!AT134/1000</f>
        <v>0</v>
      </c>
      <c r="U112" s="367">
        <f>'Consolidado-Eletronorte'!AU134/1000</f>
        <v>0</v>
      </c>
      <c r="V112" s="367">
        <f>'Consolidado-Eletronorte'!AV134/1000</f>
        <v>250</v>
      </c>
      <c r="W112" s="367">
        <f>'Consolidado-Eletronorte'!AW134/1000</f>
        <v>250</v>
      </c>
      <c r="X112" s="367">
        <f>'Consolidado-Eletronorte'!AX134/1000</f>
        <v>0</v>
      </c>
      <c r="Y112" s="367">
        <f>'Consolidado-Eletronorte'!AY134/1000</f>
        <v>0</v>
      </c>
      <c r="Z112" s="367">
        <f>'Consolidado-Eletronorte'!AZ134/1000</f>
        <v>500</v>
      </c>
    </row>
    <row r="113" spans="2:26" x14ac:dyDescent="0.3">
      <c r="B113" s="365" t="s">
        <v>291</v>
      </c>
      <c r="C113" s="366" t="s">
        <v>509</v>
      </c>
      <c r="D113" s="366" t="s">
        <v>509</v>
      </c>
      <c r="E113" s="366" t="s">
        <v>577</v>
      </c>
      <c r="F113" s="365"/>
      <c r="G113" s="365" t="s">
        <v>912</v>
      </c>
      <c r="H113" s="366" t="s">
        <v>276</v>
      </c>
      <c r="I113" s="367">
        <f>'Consolidado-Eletronorte'!AI135/1000</f>
        <v>0</v>
      </c>
      <c r="J113" s="367">
        <f>'Consolidado-Eletronorte'!AJ135/1000</f>
        <v>0</v>
      </c>
      <c r="K113" s="367">
        <f>'Consolidado-Eletronorte'!AK135/1000</f>
        <v>0</v>
      </c>
      <c r="L113" s="367">
        <f>'Consolidado-Eletronorte'!AL135/1000</f>
        <v>0</v>
      </c>
      <c r="M113" s="367">
        <f>'Consolidado-Eletronorte'!AM135/1000</f>
        <v>0</v>
      </c>
      <c r="N113" s="367">
        <f>'Consolidado-Eletronorte'!AN135/1000</f>
        <v>0</v>
      </c>
      <c r="O113" s="367">
        <f>'Consolidado-Eletronorte'!AO135/1000</f>
        <v>0</v>
      </c>
      <c r="P113" s="367">
        <f>'Consolidado-Eletronorte'!AP135/1000</f>
        <v>0</v>
      </c>
      <c r="Q113" s="367">
        <f>'Consolidado-Eletronorte'!AQ135/1000</f>
        <v>0</v>
      </c>
      <c r="R113" s="367">
        <f>'Consolidado-Eletronorte'!AR135/1000</f>
        <v>0</v>
      </c>
      <c r="S113" s="367">
        <f>'Consolidado-Eletronorte'!AS135/1000</f>
        <v>0</v>
      </c>
      <c r="T113" s="367">
        <f>'Consolidado-Eletronorte'!AT135/1000</f>
        <v>0</v>
      </c>
      <c r="U113" s="367">
        <f>'Consolidado-Eletronorte'!AU135/1000</f>
        <v>0</v>
      </c>
      <c r="V113" s="367">
        <f>'Consolidado-Eletronorte'!AV135/1000</f>
        <v>250</v>
      </c>
      <c r="W113" s="367">
        <f>'Consolidado-Eletronorte'!AW135/1000</f>
        <v>250</v>
      </c>
      <c r="X113" s="367">
        <f>'Consolidado-Eletronorte'!AX135/1000</f>
        <v>0</v>
      </c>
      <c r="Y113" s="367">
        <f>'Consolidado-Eletronorte'!AY135/1000</f>
        <v>0</v>
      </c>
      <c r="Z113" s="367">
        <f>'Consolidado-Eletronorte'!AZ135/1000</f>
        <v>500</v>
      </c>
    </row>
    <row r="114" spans="2:26" x14ac:dyDescent="0.3">
      <c r="B114" s="239" t="s">
        <v>287</v>
      </c>
      <c r="C114" s="237" t="s">
        <v>509</v>
      </c>
      <c r="D114" s="237" t="s">
        <v>509</v>
      </c>
      <c r="E114" s="237" t="s">
        <v>577</v>
      </c>
      <c r="F114" s="239"/>
      <c r="G114" s="239" t="s">
        <v>914</v>
      </c>
      <c r="H114" s="237" t="s">
        <v>276</v>
      </c>
      <c r="I114" s="367">
        <f>'Consolidado-Eletronorte'!AI136/1000</f>
        <v>0</v>
      </c>
      <c r="J114" s="367">
        <f>'Consolidado-Eletronorte'!AJ136/1000</f>
        <v>0</v>
      </c>
      <c r="K114" s="367">
        <f>'Consolidado-Eletronorte'!AK136/1000</f>
        <v>0</v>
      </c>
      <c r="L114" s="367">
        <f>'Consolidado-Eletronorte'!AL136/1000</f>
        <v>0</v>
      </c>
      <c r="M114" s="367">
        <f>'Consolidado-Eletronorte'!AM136/1000</f>
        <v>0</v>
      </c>
      <c r="N114" s="367">
        <f>'Consolidado-Eletronorte'!AN136/1000</f>
        <v>0</v>
      </c>
      <c r="O114" s="367">
        <f>'Consolidado-Eletronorte'!AO136/1000</f>
        <v>0</v>
      </c>
      <c r="P114" s="367">
        <f>'Consolidado-Eletronorte'!AP136/1000</f>
        <v>0</v>
      </c>
      <c r="Q114" s="367">
        <f>'Consolidado-Eletronorte'!AQ136/1000</f>
        <v>0</v>
      </c>
      <c r="R114" s="367">
        <f>'Consolidado-Eletronorte'!AR136/1000</f>
        <v>0</v>
      </c>
      <c r="S114" s="367">
        <f>'Consolidado-Eletronorte'!AS136/1000</f>
        <v>0</v>
      </c>
      <c r="T114" s="367">
        <f>'Consolidado-Eletronorte'!AT136/1000</f>
        <v>0</v>
      </c>
      <c r="U114" s="367">
        <f>'Consolidado-Eletronorte'!AU136/1000</f>
        <v>0</v>
      </c>
      <c r="V114" s="367">
        <f>'Consolidado-Eletronorte'!AV136/1000</f>
        <v>250</v>
      </c>
      <c r="W114" s="367">
        <f>'Consolidado-Eletronorte'!AW136/1000</f>
        <v>250</v>
      </c>
      <c r="X114" s="367">
        <f>'Consolidado-Eletronorte'!AX136/1000</f>
        <v>0</v>
      </c>
      <c r="Y114" s="367">
        <f>'Consolidado-Eletronorte'!AY136/1000</f>
        <v>0</v>
      </c>
      <c r="Z114" s="367">
        <f>'Consolidado-Eletronorte'!AZ136/1000</f>
        <v>500</v>
      </c>
    </row>
    <row r="115" spans="2:26" x14ac:dyDescent="0.3">
      <c r="B115" s="365" t="s">
        <v>289</v>
      </c>
      <c r="C115" s="366" t="s">
        <v>509</v>
      </c>
      <c r="D115" s="366" t="s">
        <v>509</v>
      </c>
      <c r="E115" s="366" t="s">
        <v>577</v>
      </c>
      <c r="F115" s="365"/>
      <c r="G115" s="365" t="s">
        <v>916</v>
      </c>
      <c r="H115" s="366" t="s">
        <v>276</v>
      </c>
      <c r="I115" s="367">
        <f>'Consolidado-Eletronorte'!AI137/1000</f>
        <v>0</v>
      </c>
      <c r="J115" s="367">
        <f>'Consolidado-Eletronorte'!AJ137/1000</f>
        <v>0</v>
      </c>
      <c r="K115" s="367">
        <f>'Consolidado-Eletronorte'!AK137/1000</f>
        <v>0</v>
      </c>
      <c r="L115" s="367">
        <f>'Consolidado-Eletronorte'!AL137/1000</f>
        <v>0</v>
      </c>
      <c r="M115" s="367">
        <f>'Consolidado-Eletronorte'!AM137/1000</f>
        <v>0</v>
      </c>
      <c r="N115" s="367">
        <f>'Consolidado-Eletronorte'!AN137/1000</f>
        <v>0</v>
      </c>
      <c r="O115" s="367">
        <f>'Consolidado-Eletronorte'!AO137/1000</f>
        <v>0</v>
      </c>
      <c r="P115" s="367">
        <f>'Consolidado-Eletronorte'!AP137/1000</f>
        <v>0</v>
      </c>
      <c r="Q115" s="367">
        <f>'Consolidado-Eletronorte'!AQ137/1000</f>
        <v>0</v>
      </c>
      <c r="R115" s="367">
        <f>'Consolidado-Eletronorte'!AR137/1000</f>
        <v>0</v>
      </c>
      <c r="S115" s="367">
        <f>'Consolidado-Eletronorte'!AS137/1000</f>
        <v>0</v>
      </c>
      <c r="T115" s="367">
        <f>'Consolidado-Eletronorte'!AT137/1000</f>
        <v>0</v>
      </c>
      <c r="U115" s="367">
        <f>'Consolidado-Eletronorte'!AU137/1000</f>
        <v>0</v>
      </c>
      <c r="V115" s="367">
        <f>'Consolidado-Eletronorte'!AV137/1000</f>
        <v>250</v>
      </c>
      <c r="W115" s="367">
        <f>'Consolidado-Eletronorte'!AW137/1000</f>
        <v>250</v>
      </c>
      <c r="X115" s="367">
        <f>'Consolidado-Eletronorte'!AX137/1000</f>
        <v>0</v>
      </c>
      <c r="Y115" s="367">
        <f>'Consolidado-Eletronorte'!AY137/1000</f>
        <v>0</v>
      </c>
      <c r="Z115" s="367">
        <f>'Consolidado-Eletronorte'!AZ137/1000</f>
        <v>500</v>
      </c>
    </row>
    <row r="116" spans="2:26" x14ac:dyDescent="0.3">
      <c r="B116" s="239" t="s">
        <v>299</v>
      </c>
      <c r="C116" s="237" t="s">
        <v>509</v>
      </c>
      <c r="D116" s="237" t="s">
        <v>509</v>
      </c>
      <c r="E116" s="237" t="s">
        <v>577</v>
      </c>
      <c r="F116" s="239"/>
      <c r="G116" s="239" t="s">
        <v>918</v>
      </c>
      <c r="H116" s="237" t="s">
        <v>276</v>
      </c>
      <c r="I116" s="367">
        <f>'Consolidado-Eletronorte'!AI138/1000</f>
        <v>0</v>
      </c>
      <c r="J116" s="367">
        <f>'Consolidado-Eletronorte'!AJ138/1000</f>
        <v>0</v>
      </c>
      <c r="K116" s="367">
        <f>'Consolidado-Eletronorte'!AK138/1000</f>
        <v>0</v>
      </c>
      <c r="L116" s="367">
        <f>'Consolidado-Eletronorte'!AL138/1000</f>
        <v>0</v>
      </c>
      <c r="M116" s="367">
        <f>'Consolidado-Eletronorte'!AM138/1000</f>
        <v>0</v>
      </c>
      <c r="N116" s="367">
        <f>'Consolidado-Eletronorte'!AN138/1000</f>
        <v>0</v>
      </c>
      <c r="O116" s="367">
        <f>'Consolidado-Eletronorte'!AO138/1000</f>
        <v>0</v>
      </c>
      <c r="P116" s="367">
        <f>'Consolidado-Eletronorte'!AP138/1000</f>
        <v>0</v>
      </c>
      <c r="Q116" s="367">
        <f>'Consolidado-Eletronorte'!AQ138/1000</f>
        <v>0</v>
      </c>
      <c r="R116" s="367">
        <f>'Consolidado-Eletronorte'!AR138/1000</f>
        <v>0</v>
      </c>
      <c r="S116" s="367">
        <f>'Consolidado-Eletronorte'!AS138/1000</f>
        <v>0</v>
      </c>
      <c r="T116" s="367">
        <f>'Consolidado-Eletronorte'!AT138/1000</f>
        <v>0</v>
      </c>
      <c r="U116" s="367">
        <f>'Consolidado-Eletronorte'!AU138/1000</f>
        <v>0</v>
      </c>
      <c r="V116" s="367">
        <f>'Consolidado-Eletronorte'!AV138/1000</f>
        <v>250</v>
      </c>
      <c r="W116" s="367">
        <f>'Consolidado-Eletronorte'!AW138/1000</f>
        <v>250</v>
      </c>
      <c r="X116" s="367">
        <f>'Consolidado-Eletronorte'!AX138/1000</f>
        <v>0</v>
      </c>
      <c r="Y116" s="367">
        <f>'Consolidado-Eletronorte'!AY138/1000</f>
        <v>0</v>
      </c>
      <c r="Z116" s="367">
        <f>'Consolidado-Eletronorte'!AZ138/1000</f>
        <v>500</v>
      </c>
    </row>
    <row r="117" spans="2:26" x14ac:dyDescent="0.3">
      <c r="B117" s="365" t="s">
        <v>297</v>
      </c>
      <c r="C117" s="366" t="s">
        <v>509</v>
      </c>
      <c r="D117" s="366" t="s">
        <v>509</v>
      </c>
      <c r="E117" s="366" t="s">
        <v>577</v>
      </c>
      <c r="F117" s="365"/>
      <c r="G117" s="365" t="s">
        <v>920</v>
      </c>
      <c r="H117" s="366" t="s">
        <v>276</v>
      </c>
      <c r="I117" s="367">
        <f>'Consolidado-Eletronorte'!AI139/1000</f>
        <v>0</v>
      </c>
      <c r="J117" s="367">
        <f>'Consolidado-Eletronorte'!AJ139/1000</f>
        <v>0</v>
      </c>
      <c r="K117" s="367">
        <f>'Consolidado-Eletronorte'!AK139/1000</f>
        <v>0</v>
      </c>
      <c r="L117" s="367">
        <f>'Consolidado-Eletronorte'!AL139/1000</f>
        <v>0</v>
      </c>
      <c r="M117" s="367">
        <f>'Consolidado-Eletronorte'!AM139/1000</f>
        <v>0</v>
      </c>
      <c r="N117" s="367">
        <f>'Consolidado-Eletronorte'!AN139/1000</f>
        <v>0</v>
      </c>
      <c r="O117" s="367">
        <f>'Consolidado-Eletronorte'!AO139/1000</f>
        <v>0</v>
      </c>
      <c r="P117" s="367">
        <f>'Consolidado-Eletronorte'!AP139/1000</f>
        <v>0</v>
      </c>
      <c r="Q117" s="367">
        <f>'Consolidado-Eletronorte'!AQ139/1000</f>
        <v>0</v>
      </c>
      <c r="R117" s="367">
        <f>'Consolidado-Eletronorte'!AR139/1000</f>
        <v>0</v>
      </c>
      <c r="S117" s="367">
        <f>'Consolidado-Eletronorte'!AS139/1000</f>
        <v>0</v>
      </c>
      <c r="T117" s="367">
        <f>'Consolidado-Eletronorte'!AT139/1000</f>
        <v>0</v>
      </c>
      <c r="U117" s="367">
        <f>'Consolidado-Eletronorte'!AU139/1000</f>
        <v>0</v>
      </c>
      <c r="V117" s="367">
        <f>'Consolidado-Eletronorte'!AV139/1000</f>
        <v>250</v>
      </c>
      <c r="W117" s="367">
        <f>'Consolidado-Eletronorte'!AW139/1000</f>
        <v>250</v>
      </c>
      <c r="X117" s="367">
        <f>'Consolidado-Eletronorte'!AX139/1000</f>
        <v>0</v>
      </c>
      <c r="Y117" s="367">
        <f>'Consolidado-Eletronorte'!AY139/1000</f>
        <v>0</v>
      </c>
      <c r="Z117" s="367">
        <f>'Consolidado-Eletronorte'!AZ139/1000</f>
        <v>500</v>
      </c>
    </row>
    <row r="118" spans="2:26" x14ac:dyDescent="0.3">
      <c r="B118" s="239" t="s">
        <v>303</v>
      </c>
      <c r="C118" s="237" t="s">
        <v>509</v>
      </c>
      <c r="D118" s="237" t="s">
        <v>509</v>
      </c>
      <c r="E118" s="237" t="s">
        <v>577</v>
      </c>
      <c r="F118" s="239"/>
      <c r="G118" s="239" t="s">
        <v>922</v>
      </c>
      <c r="H118" s="237" t="s">
        <v>276</v>
      </c>
      <c r="I118" s="367">
        <f>'Consolidado-Eletronorte'!AI140/1000</f>
        <v>0</v>
      </c>
      <c r="J118" s="367">
        <f>'Consolidado-Eletronorte'!AJ140/1000</f>
        <v>0</v>
      </c>
      <c r="K118" s="367">
        <f>'Consolidado-Eletronorte'!AK140/1000</f>
        <v>0</v>
      </c>
      <c r="L118" s="367">
        <f>'Consolidado-Eletronorte'!AL140/1000</f>
        <v>0</v>
      </c>
      <c r="M118" s="367">
        <f>'Consolidado-Eletronorte'!AM140/1000</f>
        <v>0</v>
      </c>
      <c r="N118" s="367">
        <f>'Consolidado-Eletronorte'!AN140/1000</f>
        <v>0</v>
      </c>
      <c r="O118" s="367">
        <f>'Consolidado-Eletronorte'!AO140/1000</f>
        <v>0</v>
      </c>
      <c r="P118" s="367">
        <f>'Consolidado-Eletronorte'!AP140/1000</f>
        <v>0</v>
      </c>
      <c r="Q118" s="367">
        <f>'Consolidado-Eletronorte'!AQ140/1000</f>
        <v>0</v>
      </c>
      <c r="R118" s="367">
        <f>'Consolidado-Eletronorte'!AR140/1000</f>
        <v>0</v>
      </c>
      <c r="S118" s="367">
        <f>'Consolidado-Eletronorte'!AS140/1000</f>
        <v>0</v>
      </c>
      <c r="T118" s="367">
        <f>'Consolidado-Eletronorte'!AT140/1000</f>
        <v>0</v>
      </c>
      <c r="U118" s="367">
        <f>'Consolidado-Eletronorte'!AU140/1000</f>
        <v>0</v>
      </c>
      <c r="V118" s="367">
        <f>'Consolidado-Eletronorte'!AV140/1000</f>
        <v>250</v>
      </c>
      <c r="W118" s="367">
        <f>'Consolidado-Eletronorte'!AW140/1000</f>
        <v>250</v>
      </c>
      <c r="X118" s="367">
        <f>'Consolidado-Eletronorte'!AX140/1000</f>
        <v>0</v>
      </c>
      <c r="Y118" s="367">
        <f>'Consolidado-Eletronorte'!AY140/1000</f>
        <v>0</v>
      </c>
      <c r="Z118" s="367">
        <f>'Consolidado-Eletronorte'!AZ140/1000</f>
        <v>500</v>
      </c>
    </row>
    <row r="119" spans="2:26" x14ac:dyDescent="0.3">
      <c r="B119" s="365" t="s">
        <v>301</v>
      </c>
      <c r="C119" s="366" t="s">
        <v>509</v>
      </c>
      <c r="D119" s="366" t="s">
        <v>509</v>
      </c>
      <c r="E119" s="366" t="s">
        <v>577</v>
      </c>
      <c r="F119" s="365"/>
      <c r="G119" s="365" t="s">
        <v>924</v>
      </c>
      <c r="H119" s="366" t="s">
        <v>276</v>
      </c>
      <c r="I119" s="367">
        <f>'Consolidado-Eletronorte'!AI141/1000</f>
        <v>0</v>
      </c>
      <c r="J119" s="367">
        <f>'Consolidado-Eletronorte'!AJ141/1000</f>
        <v>0</v>
      </c>
      <c r="K119" s="367">
        <f>'Consolidado-Eletronorte'!AK141/1000</f>
        <v>0</v>
      </c>
      <c r="L119" s="367">
        <f>'Consolidado-Eletronorte'!AL141/1000</f>
        <v>0</v>
      </c>
      <c r="M119" s="367">
        <f>'Consolidado-Eletronorte'!AM141/1000</f>
        <v>0</v>
      </c>
      <c r="N119" s="367">
        <f>'Consolidado-Eletronorte'!AN141/1000</f>
        <v>0</v>
      </c>
      <c r="O119" s="367">
        <f>'Consolidado-Eletronorte'!AO141/1000</f>
        <v>0</v>
      </c>
      <c r="P119" s="367">
        <f>'Consolidado-Eletronorte'!AP141/1000</f>
        <v>0</v>
      </c>
      <c r="Q119" s="367">
        <f>'Consolidado-Eletronorte'!AQ141/1000</f>
        <v>0</v>
      </c>
      <c r="R119" s="367">
        <f>'Consolidado-Eletronorte'!AR141/1000</f>
        <v>0</v>
      </c>
      <c r="S119" s="367">
        <f>'Consolidado-Eletronorte'!AS141/1000</f>
        <v>0</v>
      </c>
      <c r="T119" s="367">
        <f>'Consolidado-Eletronorte'!AT141/1000</f>
        <v>0</v>
      </c>
      <c r="U119" s="367">
        <f>'Consolidado-Eletronorte'!AU141/1000</f>
        <v>0</v>
      </c>
      <c r="V119" s="367">
        <f>'Consolidado-Eletronorte'!AV141/1000</f>
        <v>250</v>
      </c>
      <c r="W119" s="367">
        <f>'Consolidado-Eletronorte'!AW141/1000</f>
        <v>250</v>
      </c>
      <c r="X119" s="367">
        <f>'Consolidado-Eletronorte'!AX141/1000</f>
        <v>0</v>
      </c>
      <c r="Y119" s="367">
        <f>'Consolidado-Eletronorte'!AY141/1000</f>
        <v>0</v>
      </c>
      <c r="Z119" s="367">
        <f>'Consolidado-Eletronorte'!AZ141/1000</f>
        <v>500</v>
      </c>
    </row>
    <row r="120" spans="2:26" x14ac:dyDescent="0.3">
      <c r="B120" s="239" t="s">
        <v>305</v>
      </c>
      <c r="C120" s="237" t="s">
        <v>509</v>
      </c>
      <c r="D120" s="237" t="s">
        <v>509</v>
      </c>
      <c r="E120" s="237" t="s">
        <v>577</v>
      </c>
      <c r="F120" s="239"/>
      <c r="G120" s="239" t="s">
        <v>927</v>
      </c>
      <c r="H120" s="237" t="s">
        <v>276</v>
      </c>
      <c r="I120" s="367">
        <f>'Consolidado-Eletronorte'!AI142/1000</f>
        <v>0</v>
      </c>
      <c r="J120" s="367">
        <f>'Consolidado-Eletronorte'!AJ142/1000</f>
        <v>0</v>
      </c>
      <c r="K120" s="367">
        <f>'Consolidado-Eletronorte'!AK142/1000</f>
        <v>0</v>
      </c>
      <c r="L120" s="367">
        <f>'Consolidado-Eletronorte'!AL142/1000</f>
        <v>0</v>
      </c>
      <c r="M120" s="367">
        <f>'Consolidado-Eletronorte'!AM142/1000</f>
        <v>0</v>
      </c>
      <c r="N120" s="367">
        <f>'Consolidado-Eletronorte'!AN142/1000</f>
        <v>0</v>
      </c>
      <c r="O120" s="367">
        <f>'Consolidado-Eletronorte'!AO142/1000</f>
        <v>0</v>
      </c>
      <c r="P120" s="367">
        <f>'Consolidado-Eletronorte'!AP142/1000</f>
        <v>0</v>
      </c>
      <c r="Q120" s="367">
        <f>'Consolidado-Eletronorte'!AQ142/1000</f>
        <v>0</v>
      </c>
      <c r="R120" s="367">
        <f>'Consolidado-Eletronorte'!AR142/1000</f>
        <v>0</v>
      </c>
      <c r="S120" s="367">
        <f>'Consolidado-Eletronorte'!AS142/1000</f>
        <v>0</v>
      </c>
      <c r="T120" s="367">
        <f>'Consolidado-Eletronorte'!AT142/1000</f>
        <v>0</v>
      </c>
      <c r="U120" s="367">
        <f>'Consolidado-Eletronorte'!AU142/1000</f>
        <v>0</v>
      </c>
      <c r="V120" s="367">
        <f>'Consolidado-Eletronorte'!AV142/1000</f>
        <v>250</v>
      </c>
      <c r="W120" s="367">
        <f>'Consolidado-Eletronorte'!AW142/1000</f>
        <v>250</v>
      </c>
      <c r="X120" s="367">
        <f>'Consolidado-Eletronorte'!AX142/1000</f>
        <v>0</v>
      </c>
      <c r="Y120" s="367">
        <f>'Consolidado-Eletronorte'!AY142/1000</f>
        <v>0</v>
      </c>
      <c r="Z120" s="367">
        <f>'Consolidado-Eletronorte'!AZ142/1000</f>
        <v>500</v>
      </c>
    </row>
    <row r="121" spans="2:26" x14ac:dyDescent="0.3">
      <c r="B121" s="365" t="s">
        <v>285</v>
      </c>
      <c r="C121" s="366" t="s">
        <v>509</v>
      </c>
      <c r="D121" s="366" t="s">
        <v>509</v>
      </c>
      <c r="E121" s="366" t="s">
        <v>577</v>
      </c>
      <c r="F121" s="365"/>
      <c r="G121" s="365" t="s">
        <v>929</v>
      </c>
      <c r="H121" s="366" t="s">
        <v>276</v>
      </c>
      <c r="I121" s="367">
        <f>'Consolidado-Eletronorte'!AI143/1000</f>
        <v>0</v>
      </c>
      <c r="J121" s="367">
        <f>'Consolidado-Eletronorte'!AJ143/1000</f>
        <v>0</v>
      </c>
      <c r="K121" s="367">
        <f>'Consolidado-Eletronorte'!AK143/1000</f>
        <v>0</v>
      </c>
      <c r="L121" s="367">
        <f>'Consolidado-Eletronorte'!AL143/1000</f>
        <v>0</v>
      </c>
      <c r="M121" s="367">
        <f>'Consolidado-Eletronorte'!AM143/1000</f>
        <v>0</v>
      </c>
      <c r="N121" s="367">
        <f>'Consolidado-Eletronorte'!AN143/1000</f>
        <v>0</v>
      </c>
      <c r="O121" s="367">
        <f>'Consolidado-Eletronorte'!AO143/1000</f>
        <v>0</v>
      </c>
      <c r="P121" s="367">
        <f>'Consolidado-Eletronorte'!AP143/1000</f>
        <v>0</v>
      </c>
      <c r="Q121" s="367">
        <f>'Consolidado-Eletronorte'!AQ143/1000</f>
        <v>0</v>
      </c>
      <c r="R121" s="367">
        <f>'Consolidado-Eletronorte'!AR143/1000</f>
        <v>0</v>
      </c>
      <c r="S121" s="367">
        <f>'Consolidado-Eletronorte'!AS143/1000</f>
        <v>0</v>
      </c>
      <c r="T121" s="367">
        <f>'Consolidado-Eletronorte'!AT143/1000</f>
        <v>0</v>
      </c>
      <c r="U121" s="367">
        <f>'Consolidado-Eletronorte'!AU143/1000</f>
        <v>0</v>
      </c>
      <c r="V121" s="367">
        <f>'Consolidado-Eletronorte'!AV143/1000</f>
        <v>250</v>
      </c>
      <c r="W121" s="367">
        <f>'Consolidado-Eletronorte'!AW143/1000</f>
        <v>250</v>
      </c>
      <c r="X121" s="367">
        <f>'Consolidado-Eletronorte'!AX143/1000</f>
        <v>0</v>
      </c>
      <c r="Y121" s="367">
        <f>'Consolidado-Eletronorte'!AY143/1000</f>
        <v>0</v>
      </c>
      <c r="Z121" s="367">
        <f>'Consolidado-Eletronorte'!AZ143/1000</f>
        <v>500</v>
      </c>
    </row>
    <row r="122" spans="2:26" x14ac:dyDescent="0.3">
      <c r="B122" s="239" t="s">
        <v>394</v>
      </c>
      <c r="C122" s="237" t="s">
        <v>509</v>
      </c>
      <c r="D122" s="237" t="s">
        <v>509</v>
      </c>
      <c r="E122" s="237" t="s">
        <v>555</v>
      </c>
      <c r="F122" s="239"/>
      <c r="G122" s="239" t="s">
        <v>676</v>
      </c>
      <c r="H122" s="237" t="s">
        <v>319</v>
      </c>
      <c r="I122" s="367">
        <f>'Consolidado-Eletronorte'!AI144/1000</f>
        <v>0</v>
      </c>
      <c r="J122" s="367">
        <f>'Consolidado-Eletronorte'!AJ144/1000</f>
        <v>0</v>
      </c>
      <c r="K122" s="367">
        <f>'Consolidado-Eletronorte'!AK144/1000</f>
        <v>500</v>
      </c>
      <c r="L122" s="367">
        <f>'Consolidado-Eletronorte'!AL144/1000</f>
        <v>0</v>
      </c>
      <c r="M122" s="367">
        <f>'Consolidado-Eletronorte'!AM144/1000</f>
        <v>0</v>
      </c>
      <c r="N122" s="367">
        <f>'Consolidado-Eletronorte'!AN144/1000</f>
        <v>0</v>
      </c>
      <c r="O122" s="367">
        <f>'Consolidado-Eletronorte'!AO144/1000</f>
        <v>0</v>
      </c>
      <c r="P122" s="367">
        <f>'Consolidado-Eletronorte'!AP144/1000</f>
        <v>0</v>
      </c>
      <c r="Q122" s="367">
        <f>'Consolidado-Eletronorte'!AQ144/1000</f>
        <v>0</v>
      </c>
      <c r="R122" s="367">
        <f>'Consolidado-Eletronorte'!AR144/1000</f>
        <v>0</v>
      </c>
      <c r="S122" s="367">
        <f>'Consolidado-Eletronorte'!AS144/1000</f>
        <v>0</v>
      </c>
      <c r="T122" s="367">
        <f>'Consolidado-Eletronorte'!AT144/1000</f>
        <v>0</v>
      </c>
      <c r="U122" s="367">
        <f>'Consolidado-Eletronorte'!AU144/1000</f>
        <v>500</v>
      </c>
      <c r="V122" s="367">
        <f>'Consolidado-Eletronorte'!AV144/1000</f>
        <v>0</v>
      </c>
      <c r="W122" s="367">
        <f>'Consolidado-Eletronorte'!AW144/1000</f>
        <v>0</v>
      </c>
      <c r="X122" s="367">
        <f>'Consolidado-Eletronorte'!AX144/1000</f>
        <v>0</v>
      </c>
      <c r="Y122" s="367">
        <f>'Consolidado-Eletronorte'!AY144/1000</f>
        <v>0</v>
      </c>
      <c r="Z122" s="367">
        <f>'Consolidado-Eletronorte'!AZ144/1000</f>
        <v>500</v>
      </c>
    </row>
    <row r="123" spans="2:26" x14ac:dyDescent="0.3">
      <c r="B123" s="365" t="s">
        <v>363</v>
      </c>
      <c r="C123" s="366" t="s">
        <v>509</v>
      </c>
      <c r="D123" s="366" t="s">
        <v>509</v>
      </c>
      <c r="E123" s="366" t="s">
        <v>577</v>
      </c>
      <c r="F123" s="365"/>
      <c r="G123" s="365" t="s">
        <v>697</v>
      </c>
      <c r="H123" s="366" t="s">
        <v>319</v>
      </c>
      <c r="I123" s="367">
        <f>'Consolidado-Eletronorte'!AI145/1000</f>
        <v>0</v>
      </c>
      <c r="J123" s="367">
        <f>'Consolidado-Eletronorte'!AJ145/1000</f>
        <v>223.68600000000001</v>
      </c>
      <c r="K123" s="367">
        <f>'Consolidado-Eletronorte'!AK145/1000</f>
        <v>0</v>
      </c>
      <c r="L123" s="367">
        <f>'Consolidado-Eletronorte'!AL145/1000</f>
        <v>0</v>
      </c>
      <c r="M123" s="367">
        <f>'Consolidado-Eletronorte'!AM145/1000</f>
        <v>0</v>
      </c>
      <c r="N123" s="367">
        <f>'Consolidado-Eletronorte'!AN145/1000</f>
        <v>0</v>
      </c>
      <c r="O123" s="367">
        <f>'Consolidado-Eletronorte'!AO145/1000</f>
        <v>0</v>
      </c>
      <c r="P123" s="367">
        <f>'Consolidado-Eletronorte'!AP145/1000</f>
        <v>0</v>
      </c>
      <c r="Q123" s="367">
        <f>'Consolidado-Eletronorte'!AQ145/1000</f>
        <v>0</v>
      </c>
      <c r="R123" s="367">
        <f>'Consolidado-Eletronorte'!AR145/1000</f>
        <v>0</v>
      </c>
      <c r="S123" s="367">
        <f>'Consolidado-Eletronorte'!AS145/1000</f>
        <v>0</v>
      </c>
      <c r="T123" s="367">
        <f>'Consolidado-Eletronorte'!AT145/1000</f>
        <v>0</v>
      </c>
      <c r="U123" s="367">
        <f>'Consolidado-Eletronorte'!AU145/1000</f>
        <v>223.68600000000001</v>
      </c>
      <c r="V123" s="367">
        <f>'Consolidado-Eletronorte'!AV145/1000</f>
        <v>0</v>
      </c>
      <c r="W123" s="367">
        <f>'Consolidado-Eletronorte'!AW145/1000</f>
        <v>0</v>
      </c>
      <c r="X123" s="367">
        <f>'Consolidado-Eletronorte'!AX145/1000</f>
        <v>0</v>
      </c>
      <c r="Y123" s="367">
        <f>'Consolidado-Eletronorte'!AY145/1000</f>
        <v>0</v>
      </c>
      <c r="Z123" s="367">
        <f>'Consolidado-Eletronorte'!AZ145/1000</f>
        <v>223.68600000000001</v>
      </c>
    </row>
    <row r="124" spans="2:26" x14ac:dyDescent="0.3">
      <c r="B124" s="239" t="s">
        <v>369</v>
      </c>
      <c r="C124" s="237" t="s">
        <v>509</v>
      </c>
      <c r="D124" s="237" t="s">
        <v>509</v>
      </c>
      <c r="E124" s="237" t="s">
        <v>577</v>
      </c>
      <c r="F124" s="239"/>
      <c r="G124" s="239" t="s">
        <v>794</v>
      </c>
      <c r="H124" s="237" t="s">
        <v>319</v>
      </c>
      <c r="I124" s="367">
        <f>'Consolidado-Eletronorte'!AI146/1000</f>
        <v>0</v>
      </c>
      <c r="J124" s="367">
        <f>'Consolidado-Eletronorte'!AJ146/1000</f>
        <v>0</v>
      </c>
      <c r="K124" s="367">
        <f>'Consolidado-Eletronorte'!AK146/1000</f>
        <v>0</v>
      </c>
      <c r="L124" s="367">
        <f>'Consolidado-Eletronorte'!AL146/1000</f>
        <v>0</v>
      </c>
      <c r="M124" s="367">
        <f>'Consolidado-Eletronorte'!AM146/1000</f>
        <v>53</v>
      </c>
      <c r="N124" s="367">
        <f>'Consolidado-Eletronorte'!AN146/1000</f>
        <v>0</v>
      </c>
      <c r="O124" s="367">
        <f>'Consolidado-Eletronorte'!AO146/1000</f>
        <v>0</v>
      </c>
      <c r="P124" s="367">
        <f>'Consolidado-Eletronorte'!AP146/1000</f>
        <v>0</v>
      </c>
      <c r="Q124" s="367">
        <f>'Consolidado-Eletronorte'!AQ146/1000</f>
        <v>0</v>
      </c>
      <c r="R124" s="367">
        <f>'Consolidado-Eletronorte'!AR146/1000</f>
        <v>0</v>
      </c>
      <c r="S124" s="367">
        <f>'Consolidado-Eletronorte'!AS146/1000</f>
        <v>0</v>
      </c>
      <c r="T124" s="367">
        <f>'Consolidado-Eletronorte'!AT146/1000</f>
        <v>0</v>
      </c>
      <c r="U124" s="367">
        <f>'Consolidado-Eletronorte'!AU146/1000</f>
        <v>53</v>
      </c>
      <c r="V124" s="367">
        <f>'Consolidado-Eletronorte'!AV146/1000</f>
        <v>0</v>
      </c>
      <c r="W124" s="367">
        <f>'Consolidado-Eletronorte'!AW146/1000</f>
        <v>0</v>
      </c>
      <c r="X124" s="367">
        <f>'Consolidado-Eletronorte'!AX146/1000</f>
        <v>0</v>
      </c>
      <c r="Y124" s="367">
        <f>'Consolidado-Eletronorte'!AY146/1000</f>
        <v>0</v>
      </c>
      <c r="Z124" s="367">
        <f>'Consolidado-Eletronorte'!AZ146/1000</f>
        <v>53</v>
      </c>
    </row>
    <row r="125" spans="2:26" x14ac:dyDescent="0.3">
      <c r="B125" s="368" t="s">
        <v>367</v>
      </c>
      <c r="C125" s="369" t="s">
        <v>509</v>
      </c>
      <c r="D125" s="369" t="s">
        <v>509</v>
      </c>
      <c r="E125" s="369" t="s">
        <v>577</v>
      </c>
      <c r="F125" s="368"/>
      <c r="G125" s="368" t="s">
        <v>367</v>
      </c>
      <c r="H125" s="369" t="s">
        <v>319</v>
      </c>
      <c r="I125" s="367">
        <f>'Consolidado-Eletronorte'!AI147/1000</f>
        <v>0</v>
      </c>
      <c r="J125" s="367">
        <f>'Consolidado-Eletronorte'!AJ147/1000</f>
        <v>0</v>
      </c>
      <c r="K125" s="367">
        <f>'Consolidado-Eletronorte'!AK147/1000</f>
        <v>0</v>
      </c>
      <c r="L125" s="367">
        <f>'Consolidado-Eletronorte'!AL147/1000</f>
        <v>0</v>
      </c>
      <c r="M125" s="367">
        <f>'Consolidado-Eletronorte'!AM147/1000</f>
        <v>0</v>
      </c>
      <c r="N125" s="367">
        <f>'Consolidado-Eletronorte'!AN147/1000</f>
        <v>0</v>
      </c>
      <c r="O125" s="367">
        <f>'Consolidado-Eletronorte'!AO147/1000</f>
        <v>0</v>
      </c>
      <c r="P125" s="367">
        <f>'Consolidado-Eletronorte'!AP147/1000</f>
        <v>0</v>
      </c>
      <c r="Q125" s="367">
        <f>'Consolidado-Eletronorte'!AQ147/1000</f>
        <v>0</v>
      </c>
      <c r="R125" s="367">
        <f>'Consolidado-Eletronorte'!AR147/1000</f>
        <v>0</v>
      </c>
      <c r="S125" s="367">
        <f>'Consolidado-Eletronorte'!AS147/1000</f>
        <v>0</v>
      </c>
      <c r="T125" s="367">
        <f>'Consolidado-Eletronorte'!AT147/1000</f>
        <v>0</v>
      </c>
      <c r="U125" s="367">
        <f>'Consolidado-Eletronorte'!AU147/1000</f>
        <v>0</v>
      </c>
      <c r="V125" s="367">
        <f>'Consolidado-Eletronorte'!AV147/1000</f>
        <v>0</v>
      </c>
      <c r="W125" s="367">
        <f>'Consolidado-Eletronorte'!AW147/1000</f>
        <v>0</v>
      </c>
      <c r="X125" s="367">
        <f>'Consolidado-Eletronorte'!AX147/1000</f>
        <v>0</v>
      </c>
      <c r="Y125" s="367">
        <f>'Consolidado-Eletronorte'!AY147/1000</f>
        <v>0</v>
      </c>
      <c r="Z125" s="367">
        <f>'Consolidado-Eletronorte'!AZ147/1000</f>
        <v>0</v>
      </c>
    </row>
  </sheetData>
  <dataValidations count="2">
    <dataValidation type="list" allowBlank="1" showInputMessage="1" showErrorMessage="1" sqref="C3:C125" xr:uid="{F827D00E-C4BB-4954-B8C7-AB72BAAA2B9B}">
      <formula1>INDIRECT($J3)</formula1>
    </dataValidation>
    <dataValidation type="list" allowBlank="1" showInputMessage="1" showErrorMessage="1" sqref="D3:D125" xr:uid="{B58486D9-72D1-4366-A14D-205FDA730AEE}">
      <formula1>INDIRECT(SUBSTITUTE($J3&amp;$K3," ",""))</formula1>
    </dataValidation>
  </dataValidations>
  <pageMargins left="0.511811024" right="0.511811024" top="0.78740157499999996" bottom="0.78740157499999996" header="0.31496062000000002" footer="0.31496062000000002"/>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EF608-719D-487C-9DF9-0A60FC40F44F}">
  <dimension ref="A1:B26"/>
  <sheetViews>
    <sheetView workbookViewId="0">
      <selection sqref="A1:B26"/>
    </sheetView>
  </sheetViews>
  <sheetFormatPr defaultRowHeight="13" x14ac:dyDescent="0.3"/>
  <cols>
    <col min="1" max="1" width="12.59765625" bestFit="1" customWidth="1"/>
    <col min="2" max="2" width="32.59765625" bestFit="1" customWidth="1"/>
    <col min="3" max="3" width="13.3984375" bestFit="1" customWidth="1"/>
  </cols>
  <sheetData>
    <row r="1" spans="1:2" x14ac:dyDescent="0.3">
      <c r="A1" s="399" t="s">
        <v>963</v>
      </c>
      <c r="B1" s="399" t="s">
        <v>964</v>
      </c>
    </row>
    <row r="2" spans="1:2" x14ac:dyDescent="0.3">
      <c r="A2" s="399">
        <v>4500057018</v>
      </c>
      <c r="B2" s="399" t="s">
        <v>740</v>
      </c>
    </row>
    <row r="3" spans="1:2" x14ac:dyDescent="0.3">
      <c r="A3" s="399">
        <v>4500063694</v>
      </c>
      <c r="B3" s="399" t="s">
        <v>946</v>
      </c>
    </row>
    <row r="4" spans="1:2" x14ac:dyDescent="0.3">
      <c r="A4" s="399">
        <v>4500067440</v>
      </c>
      <c r="B4" s="399" t="s">
        <v>802</v>
      </c>
    </row>
    <row r="5" spans="1:2" x14ac:dyDescent="0.3">
      <c r="A5" s="399">
        <v>4500071331</v>
      </c>
      <c r="B5" s="399" t="s">
        <v>608</v>
      </c>
    </row>
    <row r="6" spans="1:2" x14ac:dyDescent="0.3">
      <c r="A6" s="399">
        <v>4500073892</v>
      </c>
      <c r="B6" s="399" t="s">
        <v>608</v>
      </c>
    </row>
    <row r="7" spans="1:2" x14ac:dyDescent="0.3">
      <c r="A7" s="399">
        <v>4500073938</v>
      </c>
      <c r="B7" s="399" t="s">
        <v>537</v>
      </c>
    </row>
    <row r="8" spans="1:2" x14ac:dyDescent="0.3">
      <c r="A8" s="399">
        <v>4500076990</v>
      </c>
      <c r="B8" s="399" t="s">
        <v>933</v>
      </c>
    </row>
    <row r="9" spans="1:2" x14ac:dyDescent="0.3">
      <c r="A9" s="399">
        <v>4500078421</v>
      </c>
      <c r="B9" s="399" t="s">
        <v>606</v>
      </c>
    </row>
    <row r="10" spans="1:2" x14ac:dyDescent="0.3">
      <c r="A10" s="399">
        <v>4500079631</v>
      </c>
      <c r="B10" s="399" t="s">
        <v>832</v>
      </c>
    </row>
    <row r="11" spans="1:2" x14ac:dyDescent="0.3">
      <c r="A11" s="399">
        <v>4500079784</v>
      </c>
      <c r="B11" s="399" t="s">
        <v>729</v>
      </c>
    </row>
    <row r="12" spans="1:2" x14ac:dyDescent="0.3">
      <c r="A12" s="399">
        <v>4500080069</v>
      </c>
      <c r="B12" s="399" t="s">
        <v>537</v>
      </c>
    </row>
    <row r="13" spans="1:2" x14ac:dyDescent="0.3">
      <c r="A13" s="399">
        <v>4500080379</v>
      </c>
      <c r="B13" s="399" t="s">
        <v>513</v>
      </c>
    </row>
    <row r="14" spans="1:2" x14ac:dyDescent="0.3">
      <c r="A14" s="399">
        <v>4500081111</v>
      </c>
      <c r="B14" s="399" t="s">
        <v>600</v>
      </c>
    </row>
    <row r="15" spans="1:2" x14ac:dyDescent="0.3">
      <c r="A15" s="399">
        <v>4500081780</v>
      </c>
      <c r="B15" s="399" t="s">
        <v>642</v>
      </c>
    </row>
    <row r="16" spans="1:2" x14ac:dyDescent="0.3">
      <c r="A16" s="399">
        <v>4500082946</v>
      </c>
      <c r="B16" s="399" t="s">
        <v>600</v>
      </c>
    </row>
    <row r="17" spans="1:2" x14ac:dyDescent="0.3">
      <c r="A17" s="399">
        <v>4500083041</v>
      </c>
      <c r="B17" s="399" t="s">
        <v>654</v>
      </c>
    </row>
    <row r="18" spans="1:2" x14ac:dyDescent="0.3">
      <c r="A18" s="399">
        <v>4500083316</v>
      </c>
      <c r="B18" s="399" t="s">
        <v>757</v>
      </c>
    </row>
    <row r="19" spans="1:2" x14ac:dyDescent="0.3">
      <c r="A19" s="399">
        <v>4500083678</v>
      </c>
      <c r="B19" s="399" t="s">
        <v>522</v>
      </c>
    </row>
    <row r="20" spans="1:2" x14ac:dyDescent="0.3">
      <c r="A20" s="399">
        <v>4500084143</v>
      </c>
      <c r="B20" s="399" t="s">
        <v>537</v>
      </c>
    </row>
    <row r="21" spans="1:2" x14ac:dyDescent="0.3">
      <c r="A21" s="399">
        <v>4500084896</v>
      </c>
      <c r="B21" s="399" t="s">
        <v>761</v>
      </c>
    </row>
    <row r="22" spans="1:2" x14ac:dyDescent="0.3">
      <c r="A22" s="399">
        <v>4500086920</v>
      </c>
      <c r="B22" s="399" t="s">
        <v>766</v>
      </c>
    </row>
    <row r="23" spans="1:2" x14ac:dyDescent="0.3">
      <c r="A23" s="399">
        <v>4500088525</v>
      </c>
      <c r="B23" s="399" t="s">
        <v>740</v>
      </c>
    </row>
    <row r="24" spans="1:2" x14ac:dyDescent="0.3">
      <c r="A24" s="399">
        <v>4500092563</v>
      </c>
      <c r="B24" s="399" t="s">
        <v>524</v>
      </c>
    </row>
    <row r="25" spans="1:2" x14ac:dyDescent="0.3">
      <c r="A25" s="399">
        <v>4500093709</v>
      </c>
      <c r="B25" s="399" t="s">
        <v>528</v>
      </c>
    </row>
    <row r="26" spans="1:2" x14ac:dyDescent="0.3">
      <c r="A26" s="399">
        <v>4500094983</v>
      </c>
      <c r="B26" s="399" t="s">
        <v>713</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76C19-1F29-46D7-A7DD-6365DCCAB75D}">
  <dimension ref="A1:M3"/>
  <sheetViews>
    <sheetView topLeftCell="C1" workbookViewId="0">
      <selection activeCell="M16" sqref="M16"/>
    </sheetView>
  </sheetViews>
  <sheetFormatPr defaultRowHeight="13" x14ac:dyDescent="0.3"/>
  <cols>
    <col min="1" max="2" width="16" bestFit="1" customWidth="1"/>
    <col min="3" max="4" width="15" bestFit="1" customWidth="1"/>
    <col min="5" max="6" width="16" bestFit="1" customWidth="1"/>
    <col min="7" max="7" width="20.09765625" customWidth="1"/>
    <col min="8" max="8" width="16" bestFit="1" customWidth="1"/>
    <col min="9" max="9" width="13.59765625" bestFit="1" customWidth="1"/>
    <col min="10" max="10" width="16.3984375" bestFit="1" customWidth="1"/>
    <col min="11" max="12" width="16" bestFit="1" customWidth="1"/>
    <col min="13" max="13" width="17" bestFit="1" customWidth="1"/>
    <col min="16" max="16" width="12.3984375" bestFit="1" customWidth="1"/>
  </cols>
  <sheetData>
    <row r="1" spans="1:13" x14ac:dyDescent="0.3">
      <c r="A1" t="s">
        <v>965</v>
      </c>
    </row>
    <row r="2" spans="1:13" x14ac:dyDescent="0.3">
      <c r="A2" s="339">
        <v>11888566.659999998</v>
      </c>
      <c r="B2" s="339">
        <v>20886113.57</v>
      </c>
      <c r="C2" s="339">
        <v>6922894.6099999994</v>
      </c>
      <c r="D2" s="339">
        <v>1909305.8399999999</v>
      </c>
      <c r="E2" s="339">
        <v>35832721.410000004</v>
      </c>
      <c r="F2" s="339">
        <v>15091386.969999999</v>
      </c>
      <c r="G2" s="339">
        <v>16898137.739999998</v>
      </c>
      <c r="H2" s="339">
        <v>22249745.649999995</v>
      </c>
      <c r="I2" s="339">
        <v>993648.17</v>
      </c>
      <c r="J2" s="339">
        <v>11791477.140000002</v>
      </c>
      <c r="K2" s="339">
        <v>10338964.949999997</v>
      </c>
      <c r="L2" s="339">
        <v>19778364.169999987</v>
      </c>
      <c r="M2" s="339">
        <f>SUM(A2:L2)</f>
        <v>174581326.87999997</v>
      </c>
    </row>
    <row r="3" spans="1:13" x14ac:dyDescent="0.3">
      <c r="M3" s="340">
        <f>M2*0.8</f>
        <v>139665061.50399998</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87FB8-94D5-4E56-BB4B-FD3D4BA2552B}">
  <dimension ref="B2:I24"/>
  <sheetViews>
    <sheetView zoomScale="130" zoomScaleNormal="130" workbookViewId="0">
      <selection activeCell="D24" sqref="D24"/>
    </sheetView>
  </sheetViews>
  <sheetFormatPr defaultRowHeight="13" x14ac:dyDescent="0.3"/>
  <cols>
    <col min="2" max="2" width="23.3984375" bestFit="1" customWidth="1"/>
    <col min="3" max="3" width="30.3984375" customWidth="1"/>
    <col min="4" max="4" width="17.3984375" bestFit="1" customWidth="1"/>
    <col min="5" max="6" width="17" bestFit="1" customWidth="1"/>
    <col min="7" max="7" width="15" bestFit="1" customWidth="1"/>
    <col min="8" max="8" width="18.59765625" bestFit="1" customWidth="1"/>
    <col min="9" max="9" width="17" bestFit="1" customWidth="1"/>
    <col min="13" max="13" width="14.8984375" bestFit="1" customWidth="1"/>
  </cols>
  <sheetData>
    <row r="2" spans="2:9" x14ac:dyDescent="0.3">
      <c r="C2">
        <v>2026</v>
      </c>
      <c r="D2">
        <v>2027</v>
      </c>
      <c r="E2">
        <v>2028</v>
      </c>
      <c r="F2">
        <v>2029</v>
      </c>
      <c r="G2">
        <v>2030</v>
      </c>
      <c r="H2" t="s">
        <v>486</v>
      </c>
    </row>
    <row r="3" spans="2:9" x14ac:dyDescent="0.3">
      <c r="B3" t="s">
        <v>966</v>
      </c>
      <c r="C3" s="339">
        <v>498412155.34557289</v>
      </c>
      <c r="D3" s="339">
        <v>418859352.89737338</v>
      </c>
      <c r="E3" s="339">
        <v>251307710.50978091</v>
      </c>
      <c r="F3" s="339">
        <v>102379989.75519</v>
      </c>
      <c r="G3" s="339">
        <v>9873837.0683330633</v>
      </c>
      <c r="H3" s="339">
        <v>1280833045.5762503</v>
      </c>
    </row>
    <row r="4" spans="2:9" x14ac:dyDescent="0.3">
      <c r="B4" t="s">
        <v>967</v>
      </c>
      <c r="C4" s="339">
        <v>448088284.82557291</v>
      </c>
      <c r="D4" s="339">
        <v>410295777.75658339</v>
      </c>
      <c r="E4" s="339">
        <v>243231856.84250009</v>
      </c>
      <c r="F4" s="339">
        <v>87085259.820000008</v>
      </c>
      <c r="G4" s="339">
        <v>1500000</v>
      </c>
      <c r="H4" s="339">
        <v>1190201179.2446563</v>
      </c>
    </row>
    <row r="5" spans="2:9" ht="30" customHeight="1" x14ac:dyDescent="0.3">
      <c r="B5" s="431" t="s">
        <v>968</v>
      </c>
      <c r="C5" s="431"/>
      <c r="D5" s="431"/>
    </row>
    <row r="6" spans="2:9" x14ac:dyDescent="0.3">
      <c r="B6" s="106" t="s">
        <v>969</v>
      </c>
      <c r="C6" s="106" t="s">
        <v>970</v>
      </c>
      <c r="D6" s="347" t="s">
        <v>971</v>
      </c>
    </row>
    <row r="7" spans="2:9" x14ac:dyDescent="0.3">
      <c r="B7" s="106" t="s">
        <v>972</v>
      </c>
      <c r="C7" s="348">
        <v>330080597.0255729</v>
      </c>
      <c r="D7" s="349">
        <f>C7/C4</f>
        <v>0.73664188108391004</v>
      </c>
    </row>
    <row r="8" spans="2:9" x14ac:dyDescent="0.3">
      <c r="B8" s="106" t="s">
        <v>552</v>
      </c>
      <c r="C8" s="348">
        <v>71486613.599999994</v>
      </c>
      <c r="D8" s="349">
        <f>C8/C4</f>
        <v>0.15953689489522707</v>
      </c>
    </row>
    <row r="9" spans="2:9" x14ac:dyDescent="0.3">
      <c r="B9" s="106" t="s">
        <v>973</v>
      </c>
      <c r="C9" s="348">
        <v>46521074.200000003</v>
      </c>
      <c r="D9" s="349">
        <f>C9/C4</f>
        <v>0.10382122402086284</v>
      </c>
    </row>
    <row r="10" spans="2:9" x14ac:dyDescent="0.3">
      <c r="B10" s="106" t="s">
        <v>974</v>
      </c>
      <c r="C10" s="350">
        <f>SUM(C7:C9)</f>
        <v>448088284.82557291</v>
      </c>
      <c r="D10" s="347">
        <f>SUM(D7:D9)</f>
        <v>0.99999999999999989</v>
      </c>
    </row>
    <row r="13" spans="2:9" x14ac:dyDescent="0.3">
      <c r="B13" s="431" t="s">
        <v>975</v>
      </c>
      <c r="C13" s="431"/>
      <c r="D13" s="431"/>
    </row>
    <row r="14" spans="2:9" x14ac:dyDescent="0.3">
      <c r="B14" s="106" t="s">
        <v>969</v>
      </c>
      <c r="C14" s="106" t="s">
        <v>970</v>
      </c>
      <c r="D14" s="347" t="s">
        <v>971</v>
      </c>
    </row>
    <row r="15" spans="2:9" x14ac:dyDescent="0.3">
      <c r="B15" s="106" t="s">
        <v>972</v>
      </c>
      <c r="C15" s="348">
        <v>322833193.0255729</v>
      </c>
      <c r="D15" s="349">
        <f>C15/C18</f>
        <v>0.79849525942174715</v>
      </c>
      <c r="I15" s="348"/>
    </row>
    <row r="16" spans="2:9" x14ac:dyDescent="0.3">
      <c r="B16" s="106" t="s">
        <v>552</v>
      </c>
      <c r="C16" s="348">
        <v>47947686</v>
      </c>
      <c r="D16" s="349">
        <f>C16/C18</f>
        <v>0.11859375305379359</v>
      </c>
    </row>
    <row r="17" spans="2:9" x14ac:dyDescent="0.3">
      <c r="B17" s="106" t="s">
        <v>973</v>
      </c>
      <c r="C17" s="348">
        <v>33521074.199999999</v>
      </c>
      <c r="D17" s="349">
        <f>C17/C18</f>
        <v>8.2910987524459301E-2</v>
      </c>
    </row>
    <row r="18" spans="2:9" x14ac:dyDescent="0.3">
      <c r="B18" s="106" t="s">
        <v>974</v>
      </c>
      <c r="C18" s="350">
        <f>SUM(C15:C17)</f>
        <v>404301953.22557288</v>
      </c>
      <c r="D18" s="347"/>
      <c r="I18" s="352"/>
    </row>
    <row r="20" spans="2:9" x14ac:dyDescent="0.3">
      <c r="I20" s="340"/>
    </row>
    <row r="21" spans="2:9" x14ac:dyDescent="0.3">
      <c r="B21" t="s">
        <v>976</v>
      </c>
      <c r="C21" s="341">
        <f>(C10-C18)/C10</f>
        <v>9.7718090570131075E-2</v>
      </c>
    </row>
    <row r="22" spans="2:9" x14ac:dyDescent="0.3">
      <c r="B22" t="s">
        <v>977</v>
      </c>
      <c r="C22" s="341">
        <f>(C4-D22)/C4</f>
        <v>0.27882357094754734</v>
      </c>
      <c r="D22" s="339">
        <v>323150709.15074497</v>
      </c>
    </row>
    <row r="23" spans="2:9" x14ac:dyDescent="0.3">
      <c r="B23" t="s">
        <v>978</v>
      </c>
      <c r="C23" s="340">
        <f>C4*0.65</f>
        <v>291257385.13662243</v>
      </c>
    </row>
    <row r="24" spans="2:9" x14ac:dyDescent="0.3">
      <c r="B24" t="s">
        <v>979</v>
      </c>
      <c r="C24" s="341">
        <f>(C4-D24)/C4</f>
        <v>0.32351584134346312</v>
      </c>
      <c r="D24" s="339">
        <v>303124626.36407834</v>
      </c>
    </row>
  </sheetData>
  <mergeCells count="2">
    <mergeCell ref="B5:D5"/>
    <mergeCell ref="B13:D13"/>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FEAAE-5779-4A93-A09E-CCE92AA91613}">
  <dimension ref="A3:C9"/>
  <sheetViews>
    <sheetView workbookViewId="0">
      <selection activeCell="B9" sqref="B9"/>
    </sheetView>
  </sheetViews>
  <sheetFormatPr defaultRowHeight="13" x14ac:dyDescent="0.3"/>
  <cols>
    <col min="1" max="2" width="17.3984375" bestFit="1" customWidth="1"/>
  </cols>
  <sheetData>
    <row r="3" spans="1:3" x14ac:dyDescent="0.3">
      <c r="A3" s="111" t="s">
        <v>132</v>
      </c>
      <c r="B3" t="s">
        <v>133</v>
      </c>
    </row>
    <row r="4" spans="1:3" x14ac:dyDescent="0.3">
      <c r="A4" s="112" t="s">
        <v>517</v>
      </c>
      <c r="B4" s="340">
        <v>270873890.36407834</v>
      </c>
      <c r="C4" s="371">
        <f>GETPIVOTDATA("2026",$A$3,"Status Contratação","Contratado")/GETPIVOTDATA("2026",$A$3)</f>
        <v>0.89360568823839426</v>
      </c>
    </row>
    <row r="5" spans="1:3" x14ac:dyDescent="0.3">
      <c r="A5" s="112" t="s">
        <v>550</v>
      </c>
      <c r="B5" s="340">
        <v>24938736</v>
      </c>
      <c r="C5" s="371">
        <f>GETPIVOTDATA("2026",$A$3,"Status Contratação","Em negociação")/GETPIVOTDATA("2026",$A$3)</f>
        <v>8.2272220172723495E-2</v>
      </c>
    </row>
    <row r="6" spans="1:3" x14ac:dyDescent="0.3">
      <c r="A6" s="112" t="s">
        <v>568</v>
      </c>
      <c r="B6" s="340">
        <v>2100000</v>
      </c>
      <c r="C6" s="371">
        <f>GETPIVOTDATA("2026",$A$3,"Status Contratação","Não iniciado")/GETPIVOTDATA("2026",$A$3)</f>
        <v>6.9278435908988875E-3</v>
      </c>
    </row>
    <row r="7" spans="1:3" x14ac:dyDescent="0.3">
      <c r="A7" s="112" t="s">
        <v>581</v>
      </c>
      <c r="B7" s="340">
        <v>2100000</v>
      </c>
      <c r="C7" s="371">
        <f>GETPIVOTDATA("2026",$A$3,"Status Contratação","RC aprovada")/GETPIVOTDATA("2026",$A$3)</f>
        <v>6.9278435908988875E-3</v>
      </c>
    </row>
    <row r="8" spans="1:3" x14ac:dyDescent="0.3">
      <c r="A8" s="112" t="s">
        <v>628</v>
      </c>
      <c r="B8" s="340">
        <v>3112000</v>
      </c>
      <c r="C8" s="371">
        <f>GETPIVOTDATA("2026",$A$3,"Status Contratação","TR em elaboração")/GETPIVOTDATA("2026",$A$3)</f>
        <v>1.0266404407084446E-2</v>
      </c>
    </row>
    <row r="9" spans="1:3" x14ac:dyDescent="0.3">
      <c r="A9" s="112" t="s">
        <v>136</v>
      </c>
      <c r="B9" s="340">
        <v>303124626.36407834</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5399D-F900-42AA-850E-283FFD516BEA}">
  <dimension ref="A3:I45"/>
  <sheetViews>
    <sheetView topLeftCell="A23" zoomScale="130" zoomScaleNormal="130" workbookViewId="0">
      <selection activeCell="D45" sqref="A29:D45"/>
    </sheetView>
  </sheetViews>
  <sheetFormatPr defaultRowHeight="13" x14ac:dyDescent="0.3"/>
  <cols>
    <col min="1" max="1" width="17.3984375" bestFit="1" customWidth="1"/>
    <col min="2" max="2" width="40.59765625" bestFit="1" customWidth="1"/>
    <col min="3" max="3" width="17" bestFit="1" customWidth="1"/>
    <col min="4" max="4" width="47" bestFit="1" customWidth="1"/>
    <col min="8" max="8" width="14.69921875" bestFit="1" customWidth="1"/>
  </cols>
  <sheetData>
    <row r="3" spans="1:9" x14ac:dyDescent="0.3">
      <c r="A3" s="111" t="s">
        <v>132</v>
      </c>
      <c r="B3" t="s">
        <v>133</v>
      </c>
      <c r="C3" t="s">
        <v>15</v>
      </c>
      <c r="H3" t="s">
        <v>980</v>
      </c>
      <c r="I3" s="373" t="e">
        <f>C7+C12+C15</f>
        <v>#VALUE!</v>
      </c>
    </row>
    <row r="4" spans="1:9" x14ac:dyDescent="0.3">
      <c r="A4" s="112" t="s">
        <v>840</v>
      </c>
      <c r="B4" s="247">
        <v>0</v>
      </c>
    </row>
    <row r="5" spans="1:9" x14ac:dyDescent="0.3">
      <c r="A5" s="112" t="s">
        <v>738</v>
      </c>
      <c r="B5" s="247">
        <v>1500000</v>
      </c>
      <c r="C5" s="372" t="s">
        <v>583</v>
      </c>
    </row>
    <row r="6" spans="1:9" x14ac:dyDescent="0.3">
      <c r="A6" s="112" t="s">
        <v>944</v>
      </c>
      <c r="B6" s="247">
        <v>0</v>
      </c>
    </row>
    <row r="7" spans="1:9" x14ac:dyDescent="0.3">
      <c r="A7" s="112" t="s">
        <v>510</v>
      </c>
      <c r="B7" s="247">
        <v>149463997.75999999</v>
      </c>
      <c r="C7" s="341" t="s">
        <v>520</v>
      </c>
    </row>
    <row r="8" spans="1:9" x14ac:dyDescent="0.3">
      <c r="A8" s="112" t="s">
        <v>800</v>
      </c>
      <c r="B8" s="247">
        <v>450000</v>
      </c>
      <c r="C8" s="372" t="s">
        <v>981</v>
      </c>
    </row>
    <row r="9" spans="1:9" x14ac:dyDescent="0.3">
      <c r="A9" s="112" t="s">
        <v>685</v>
      </c>
      <c r="B9" s="247">
        <v>0</v>
      </c>
    </row>
    <row r="10" spans="1:9" x14ac:dyDescent="0.3">
      <c r="A10" s="112" t="s">
        <v>598</v>
      </c>
      <c r="B10" s="247">
        <v>10000000</v>
      </c>
      <c r="C10" s="372" t="s">
        <v>583</v>
      </c>
    </row>
    <row r="11" spans="1:9" x14ac:dyDescent="0.3">
      <c r="A11" s="112" t="s">
        <v>931</v>
      </c>
      <c r="B11" s="247">
        <v>500000</v>
      </c>
      <c r="C11" s="372" t="s">
        <v>583</v>
      </c>
    </row>
    <row r="12" spans="1:9" x14ac:dyDescent="0.3">
      <c r="A12" s="112" t="s">
        <v>535</v>
      </c>
      <c r="B12" s="247">
        <v>38256203.993333325</v>
      </c>
      <c r="C12" s="372" t="s">
        <v>541</v>
      </c>
    </row>
    <row r="13" spans="1:9" x14ac:dyDescent="0.3">
      <c r="A13" s="112" t="s">
        <v>830</v>
      </c>
      <c r="B13" s="247">
        <v>500000</v>
      </c>
      <c r="C13" s="372" t="s">
        <v>583</v>
      </c>
    </row>
    <row r="14" spans="1:9" x14ac:dyDescent="0.3">
      <c r="A14" s="112" t="s">
        <v>789</v>
      </c>
      <c r="B14" s="247">
        <v>1000000</v>
      </c>
      <c r="C14" t="s">
        <v>982</v>
      </c>
    </row>
    <row r="15" spans="1:9" x14ac:dyDescent="0.3">
      <c r="A15" s="112" t="s">
        <v>526</v>
      </c>
      <c r="B15" s="247">
        <v>38742118.607744999</v>
      </c>
      <c r="C15" s="372" t="s">
        <v>983</v>
      </c>
    </row>
    <row r="16" spans="1:9" x14ac:dyDescent="0.3">
      <c r="A16" s="112" t="s">
        <v>577</v>
      </c>
      <c r="B16" s="247">
        <v>20789080.002999999</v>
      </c>
      <c r="C16" s="372" t="s">
        <v>583</v>
      </c>
    </row>
    <row r="17" spans="1:4" x14ac:dyDescent="0.3">
      <c r="A17" s="112" t="s">
        <v>555</v>
      </c>
      <c r="B17" s="247">
        <v>24358226</v>
      </c>
      <c r="C17" s="372" t="s">
        <v>984</v>
      </c>
    </row>
    <row r="18" spans="1:4" x14ac:dyDescent="0.3">
      <c r="A18" s="112" t="s">
        <v>727</v>
      </c>
      <c r="B18" s="247">
        <v>1800000</v>
      </c>
      <c r="C18" s="372" t="s">
        <v>583</v>
      </c>
    </row>
    <row r="19" spans="1:4" x14ac:dyDescent="0.3">
      <c r="A19" s="112" t="s">
        <v>546</v>
      </c>
      <c r="B19" s="247">
        <v>4000000</v>
      </c>
      <c r="C19" t="s">
        <v>554</v>
      </c>
    </row>
    <row r="20" spans="1:4" x14ac:dyDescent="0.3">
      <c r="A20" s="112" t="s">
        <v>636</v>
      </c>
      <c r="B20" s="247">
        <v>8500000</v>
      </c>
      <c r="C20" t="s">
        <v>985</v>
      </c>
    </row>
    <row r="21" spans="1:4" x14ac:dyDescent="0.3">
      <c r="A21" s="112" t="s">
        <v>624</v>
      </c>
      <c r="B21" s="247">
        <v>3265000</v>
      </c>
      <c r="C21" t="s">
        <v>629</v>
      </c>
    </row>
    <row r="22" spans="1:4" x14ac:dyDescent="0.3">
      <c r="A22" s="112" t="s">
        <v>136</v>
      </c>
      <c r="B22" s="247">
        <v>303124626.36407828</v>
      </c>
    </row>
    <row r="29" spans="1:4" x14ac:dyDescent="0.3">
      <c r="A29" s="374" t="s">
        <v>986</v>
      </c>
      <c r="B29" s="375" t="s">
        <v>121</v>
      </c>
      <c r="C29" s="375" t="s">
        <v>133</v>
      </c>
      <c r="D29" s="376" t="s">
        <v>15</v>
      </c>
    </row>
    <row r="30" spans="1:4" x14ac:dyDescent="0.3">
      <c r="A30" s="377" t="s">
        <v>738</v>
      </c>
      <c r="B30" s="106" t="s">
        <v>987</v>
      </c>
      <c r="C30" s="348">
        <v>1500000</v>
      </c>
      <c r="D30" s="378" t="s">
        <v>583</v>
      </c>
    </row>
    <row r="31" spans="1:4" x14ac:dyDescent="0.3">
      <c r="A31" s="377" t="s">
        <v>510</v>
      </c>
      <c r="B31" s="106" t="s">
        <v>988</v>
      </c>
      <c r="C31" s="348">
        <v>149463997.75999999</v>
      </c>
      <c r="D31" s="378" t="s">
        <v>520</v>
      </c>
    </row>
    <row r="32" spans="1:4" x14ac:dyDescent="0.3">
      <c r="A32" s="377" t="s">
        <v>800</v>
      </c>
      <c r="B32" s="106" t="s">
        <v>989</v>
      </c>
      <c r="C32" s="348">
        <v>450000</v>
      </c>
      <c r="D32" s="378" t="s">
        <v>981</v>
      </c>
    </row>
    <row r="33" spans="1:4" x14ac:dyDescent="0.3">
      <c r="A33" s="377" t="s">
        <v>598</v>
      </c>
      <c r="B33" s="106" t="s">
        <v>990</v>
      </c>
      <c r="C33" s="348">
        <v>10000000</v>
      </c>
      <c r="D33" s="378" t="s">
        <v>583</v>
      </c>
    </row>
    <row r="34" spans="1:4" x14ac:dyDescent="0.3">
      <c r="A34" s="377" t="s">
        <v>931</v>
      </c>
      <c r="B34" s="106" t="s">
        <v>991</v>
      </c>
      <c r="C34" s="348">
        <v>500000</v>
      </c>
      <c r="D34" s="378" t="s">
        <v>583</v>
      </c>
    </row>
    <row r="35" spans="1:4" x14ac:dyDescent="0.3">
      <c r="A35" s="377" t="s">
        <v>535</v>
      </c>
      <c r="B35" s="106" t="s">
        <v>992</v>
      </c>
      <c r="C35" s="348">
        <v>38256203.993333325</v>
      </c>
      <c r="D35" s="378" t="s">
        <v>541</v>
      </c>
    </row>
    <row r="36" spans="1:4" x14ac:dyDescent="0.3">
      <c r="A36" s="377" t="s">
        <v>830</v>
      </c>
      <c r="B36" s="106" t="s">
        <v>993</v>
      </c>
      <c r="C36" s="348">
        <v>500000</v>
      </c>
      <c r="D36" s="378" t="s">
        <v>583</v>
      </c>
    </row>
    <row r="37" spans="1:4" x14ac:dyDescent="0.3">
      <c r="A37" s="377" t="s">
        <v>789</v>
      </c>
      <c r="B37" s="106" t="s">
        <v>994</v>
      </c>
      <c r="C37" s="348">
        <v>1000000</v>
      </c>
      <c r="D37" s="378" t="s">
        <v>982</v>
      </c>
    </row>
    <row r="38" spans="1:4" x14ac:dyDescent="0.3">
      <c r="A38" s="377" t="s">
        <v>526</v>
      </c>
      <c r="B38" s="106" t="s">
        <v>995</v>
      </c>
      <c r="C38" s="348">
        <v>38742118.607744999</v>
      </c>
      <c r="D38" s="378" t="s">
        <v>983</v>
      </c>
    </row>
    <row r="39" spans="1:4" x14ac:dyDescent="0.3">
      <c r="A39" s="377" t="s">
        <v>577</v>
      </c>
      <c r="B39" s="106" t="s">
        <v>996</v>
      </c>
      <c r="C39" s="348">
        <v>20789080.002999999</v>
      </c>
      <c r="D39" s="378" t="s">
        <v>583</v>
      </c>
    </row>
    <row r="40" spans="1:4" x14ac:dyDescent="0.3">
      <c r="A40" s="377" t="s">
        <v>555</v>
      </c>
      <c r="B40" s="106" t="s">
        <v>997</v>
      </c>
      <c r="C40" s="348">
        <v>24358226</v>
      </c>
      <c r="D40" s="378" t="s">
        <v>984</v>
      </c>
    </row>
    <row r="41" spans="1:4" x14ac:dyDescent="0.3">
      <c r="A41" s="377" t="s">
        <v>727</v>
      </c>
      <c r="B41" s="106" t="s">
        <v>998</v>
      </c>
      <c r="C41" s="348">
        <v>1800000</v>
      </c>
      <c r="D41" s="378" t="s">
        <v>583</v>
      </c>
    </row>
    <row r="42" spans="1:4" x14ac:dyDescent="0.3">
      <c r="A42" s="377" t="s">
        <v>546</v>
      </c>
      <c r="B42" s="106" t="s">
        <v>999</v>
      </c>
      <c r="C42" s="348">
        <v>4000000</v>
      </c>
      <c r="D42" s="378" t="s">
        <v>554</v>
      </c>
    </row>
    <row r="43" spans="1:4" x14ac:dyDescent="0.3">
      <c r="A43" s="377" t="s">
        <v>636</v>
      </c>
      <c r="B43" s="106" t="s">
        <v>1000</v>
      </c>
      <c r="C43" s="348">
        <v>8500000</v>
      </c>
      <c r="D43" s="378" t="s">
        <v>985</v>
      </c>
    </row>
    <row r="44" spans="1:4" x14ac:dyDescent="0.3">
      <c r="A44" s="377" t="s">
        <v>624</v>
      </c>
      <c r="B44" s="106" t="s">
        <v>263</v>
      </c>
      <c r="C44" s="348">
        <v>3265000</v>
      </c>
      <c r="D44" s="378" t="s">
        <v>629</v>
      </c>
    </row>
    <row r="45" spans="1:4" x14ac:dyDescent="0.3">
      <c r="A45" s="379" t="s">
        <v>136</v>
      </c>
      <c r="B45" s="380"/>
      <c r="C45" s="381">
        <v>303124626.36407828</v>
      </c>
      <c r="D45" s="382"/>
    </row>
  </sheetData>
  <pageMargins left="0.511811024" right="0.511811024" top="0.78740157499999996" bottom="0.78740157499999996" header="0.31496062000000002" footer="0.31496062000000002"/>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3F336-D71D-431F-A332-AB958F5BA14E}">
  <dimension ref="A3:F10"/>
  <sheetViews>
    <sheetView workbookViewId="0">
      <selection activeCell="A3" sqref="A3:B10"/>
    </sheetView>
  </sheetViews>
  <sheetFormatPr defaultRowHeight="13" x14ac:dyDescent="0.3"/>
  <cols>
    <col min="1" max="1" width="18" bestFit="1" customWidth="1"/>
    <col min="2" max="6" width="17.3984375" bestFit="1" customWidth="1"/>
  </cols>
  <sheetData>
    <row r="3" spans="1:6" x14ac:dyDescent="0.3">
      <c r="A3" s="111" t="s">
        <v>132</v>
      </c>
      <c r="B3" t="s">
        <v>133</v>
      </c>
      <c r="C3" t="s">
        <v>1001</v>
      </c>
      <c r="D3" t="s">
        <v>1002</v>
      </c>
      <c r="E3" t="s">
        <v>1003</v>
      </c>
    </row>
    <row r="4" spans="1:6" x14ac:dyDescent="0.3">
      <c r="A4" s="112" t="s">
        <v>149</v>
      </c>
      <c r="B4" s="340">
        <v>0</v>
      </c>
      <c r="C4" s="340"/>
      <c r="D4" s="340">
        <v>7820000</v>
      </c>
      <c r="E4" s="340">
        <v>4692000</v>
      </c>
    </row>
    <row r="5" spans="1:6" x14ac:dyDescent="0.3">
      <c r="A5" s="112" t="s">
        <v>158</v>
      </c>
      <c r="B5" s="340">
        <v>4600000</v>
      </c>
      <c r="C5" s="340">
        <v>43860319</v>
      </c>
      <c r="D5" s="340">
        <v>14083333.33</v>
      </c>
      <c r="E5" s="340">
        <v>466666.67</v>
      </c>
      <c r="F5" s="340"/>
    </row>
    <row r="6" spans="1:6" x14ac:dyDescent="0.3">
      <c r="A6" s="112" t="s">
        <v>210</v>
      </c>
      <c r="B6" s="340">
        <v>700000</v>
      </c>
      <c r="C6" s="340">
        <v>13550000</v>
      </c>
      <c r="D6" s="340">
        <v>14350000</v>
      </c>
      <c r="E6" s="340">
        <v>3500000</v>
      </c>
      <c r="F6" s="340">
        <v>700000</v>
      </c>
    </row>
    <row r="7" spans="1:6" x14ac:dyDescent="0.3">
      <c r="A7" s="112" t="s">
        <v>229</v>
      </c>
      <c r="B7" s="340">
        <v>12739030.003</v>
      </c>
      <c r="C7" s="340">
        <v>27940000</v>
      </c>
      <c r="D7" s="340">
        <v>5478000</v>
      </c>
      <c r="E7" s="340">
        <v>0</v>
      </c>
      <c r="F7" s="340">
        <v>12739030.003</v>
      </c>
    </row>
    <row r="8" spans="1:6" x14ac:dyDescent="0.3">
      <c r="A8" s="112" t="s">
        <v>276</v>
      </c>
      <c r="B8" s="340">
        <v>5662050</v>
      </c>
      <c r="C8" s="340">
        <v>41010250</v>
      </c>
      <c r="D8" s="340">
        <v>9250000</v>
      </c>
      <c r="E8" s="340">
        <v>0</v>
      </c>
      <c r="F8" s="340">
        <v>5662050</v>
      </c>
    </row>
    <row r="9" spans="1:6" x14ac:dyDescent="0.3">
      <c r="A9" s="112" t="s">
        <v>319</v>
      </c>
      <c r="B9" s="340">
        <v>279423546.36107832</v>
      </c>
      <c r="C9" s="340">
        <v>448062352.12981325</v>
      </c>
      <c r="D9" s="340">
        <v>205745622.99250007</v>
      </c>
      <c r="E9" s="340">
        <v>108926375.79000001</v>
      </c>
      <c r="F9" s="340">
        <v>279423546.36107832</v>
      </c>
    </row>
    <row r="10" spans="1:6" x14ac:dyDescent="0.3">
      <c r="A10" s="112" t="s">
        <v>136</v>
      </c>
      <c r="B10" s="340">
        <v>303124626.36407834</v>
      </c>
      <c r="C10" s="340">
        <v>574422921.12981319</v>
      </c>
      <c r="D10" s="340">
        <v>256726956.32250005</v>
      </c>
      <c r="E10" s="340">
        <v>117585042.46000001</v>
      </c>
      <c r="F10" s="340">
        <f>SUM(F5:F9)</f>
        <v>298524626.36407834</v>
      </c>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57D87-BA98-46D1-AAAA-1315E805E1C8}">
  <dimension ref="A3:C42"/>
  <sheetViews>
    <sheetView topLeftCell="A4" workbookViewId="0">
      <selection activeCell="A36" sqref="A36"/>
    </sheetView>
  </sheetViews>
  <sheetFormatPr defaultRowHeight="13" x14ac:dyDescent="0.3"/>
  <cols>
    <col min="1" max="1" width="16.296875" bestFit="1" customWidth="1"/>
    <col min="2" max="2" width="13.59765625" bestFit="1" customWidth="1"/>
    <col min="3" max="3" width="18.59765625" bestFit="1" customWidth="1"/>
  </cols>
  <sheetData>
    <row r="3" spans="1:2" x14ac:dyDescent="0.3">
      <c r="A3" s="111" t="s">
        <v>132</v>
      </c>
      <c r="B3" t="s">
        <v>133</v>
      </c>
    </row>
    <row r="4" spans="1:2" x14ac:dyDescent="0.3">
      <c r="A4" s="112" t="s">
        <v>211</v>
      </c>
      <c r="B4" s="340">
        <v>1989080.003</v>
      </c>
    </row>
    <row r="5" spans="1:2" x14ac:dyDescent="0.3">
      <c r="A5" s="112" t="s">
        <v>155</v>
      </c>
      <c r="B5" s="340">
        <v>38600000</v>
      </c>
    </row>
    <row r="6" spans="1:2" x14ac:dyDescent="0.3">
      <c r="A6" s="112" t="s">
        <v>320</v>
      </c>
      <c r="B6" s="340">
        <v>218462320.36107832</v>
      </c>
    </row>
    <row r="7" spans="1:2" x14ac:dyDescent="0.3">
      <c r="A7" s="112" t="s">
        <v>254</v>
      </c>
      <c r="B7" s="340">
        <v>0</v>
      </c>
    </row>
    <row r="8" spans="1:2" x14ac:dyDescent="0.3">
      <c r="A8" s="112" t="s">
        <v>316</v>
      </c>
      <c r="B8" s="340">
        <v>450000</v>
      </c>
    </row>
    <row r="9" spans="1:2" x14ac:dyDescent="0.3">
      <c r="A9" s="112" t="s">
        <v>333</v>
      </c>
      <c r="B9" s="340">
        <v>8500000</v>
      </c>
    </row>
    <row r="10" spans="1:2" x14ac:dyDescent="0.3">
      <c r="A10" s="112" t="s">
        <v>159</v>
      </c>
      <c r="B10" s="340">
        <v>4600000</v>
      </c>
    </row>
    <row r="11" spans="1:2" x14ac:dyDescent="0.3">
      <c r="A11" s="112" t="s">
        <v>224</v>
      </c>
      <c r="B11" s="340">
        <v>500000</v>
      </c>
    </row>
    <row r="12" spans="1:2" x14ac:dyDescent="0.3">
      <c r="A12" s="112" t="s">
        <v>247</v>
      </c>
      <c r="B12" s="340">
        <v>1300000</v>
      </c>
    </row>
    <row r="13" spans="1:2" x14ac:dyDescent="0.3">
      <c r="A13" s="112" t="s">
        <v>279</v>
      </c>
      <c r="B13" s="340">
        <v>0</v>
      </c>
    </row>
    <row r="14" spans="1:2" x14ac:dyDescent="0.3">
      <c r="A14" s="112" t="s">
        <v>349</v>
      </c>
      <c r="B14" s="340">
        <v>0</v>
      </c>
    </row>
    <row r="15" spans="1:2" x14ac:dyDescent="0.3">
      <c r="A15" s="112" t="s">
        <v>382</v>
      </c>
      <c r="B15" s="340">
        <v>623686</v>
      </c>
    </row>
    <row r="16" spans="1:2" x14ac:dyDescent="0.3">
      <c r="A16" s="112" t="s">
        <v>341</v>
      </c>
      <c r="B16" s="340">
        <v>16834540</v>
      </c>
    </row>
    <row r="17" spans="1:3" x14ac:dyDescent="0.3">
      <c r="A17" s="112" t="s">
        <v>165</v>
      </c>
      <c r="B17" s="340">
        <v>7000000</v>
      </c>
    </row>
    <row r="18" spans="1:3" x14ac:dyDescent="0.3">
      <c r="A18" s="112" t="s">
        <v>261</v>
      </c>
      <c r="B18" s="340">
        <v>3265000</v>
      </c>
    </row>
    <row r="19" spans="1:3" x14ac:dyDescent="0.3">
      <c r="A19" s="112" t="s">
        <v>1004</v>
      </c>
      <c r="B19" s="340">
        <v>1000000</v>
      </c>
    </row>
    <row r="20" spans="1:3" x14ac:dyDescent="0.3">
      <c r="A20" s="112" t="s">
        <v>136</v>
      </c>
      <c r="B20" s="340">
        <v>303124626.36407828</v>
      </c>
    </row>
    <row r="22" spans="1:3" x14ac:dyDescent="0.3">
      <c r="A22" s="111" t="s">
        <v>60</v>
      </c>
      <c r="B22" t="s">
        <v>1005</v>
      </c>
    </row>
    <row r="24" spans="1:3" x14ac:dyDescent="0.3">
      <c r="A24" s="111" t="s">
        <v>132</v>
      </c>
      <c r="B24" t="s">
        <v>1006</v>
      </c>
      <c r="C24" t="s">
        <v>133</v>
      </c>
    </row>
    <row r="25" spans="1:3" x14ac:dyDescent="0.3">
      <c r="A25" s="112" t="s">
        <v>186</v>
      </c>
      <c r="B25">
        <v>7</v>
      </c>
      <c r="C25" s="340">
        <v>2226686</v>
      </c>
    </row>
    <row r="26" spans="1:3" x14ac:dyDescent="0.3">
      <c r="A26" s="112" t="s">
        <v>152</v>
      </c>
      <c r="B26">
        <v>15</v>
      </c>
      <c r="C26" s="340">
        <v>11531366.003</v>
      </c>
    </row>
    <row r="27" spans="1:3" x14ac:dyDescent="0.3">
      <c r="A27" s="112" t="s">
        <v>171</v>
      </c>
      <c r="B27">
        <v>9</v>
      </c>
      <c r="C27" s="340">
        <v>12750000</v>
      </c>
    </row>
    <row r="28" spans="1:3" x14ac:dyDescent="0.3">
      <c r="A28" s="112" t="s">
        <v>147</v>
      </c>
      <c r="B28">
        <v>13</v>
      </c>
      <c r="C28" s="340">
        <v>48154254</v>
      </c>
    </row>
    <row r="29" spans="1:3" x14ac:dyDescent="0.3">
      <c r="A29" s="112" t="s">
        <v>163</v>
      </c>
      <c r="B29">
        <v>5</v>
      </c>
      <c r="C29" s="340">
        <v>228462320.36107832</v>
      </c>
    </row>
    <row r="30" spans="1:3" x14ac:dyDescent="0.3">
      <c r="A30" s="112" t="s">
        <v>136</v>
      </c>
      <c r="B30">
        <v>49</v>
      </c>
      <c r="C30" s="340">
        <v>303124626.36407828</v>
      </c>
    </row>
    <row r="36" spans="1:3" x14ac:dyDescent="0.3">
      <c r="A36" s="111" t="s">
        <v>132</v>
      </c>
      <c r="B36" t="s">
        <v>1006</v>
      </c>
      <c r="C36" t="s">
        <v>1007</v>
      </c>
    </row>
    <row r="37" spans="1:3" x14ac:dyDescent="0.3">
      <c r="A37" s="112" t="s">
        <v>186</v>
      </c>
      <c r="B37">
        <v>35</v>
      </c>
      <c r="C37" s="340">
        <v>15026686</v>
      </c>
    </row>
    <row r="38" spans="1:3" x14ac:dyDescent="0.3">
      <c r="A38" s="112" t="s">
        <v>152</v>
      </c>
      <c r="B38">
        <v>39</v>
      </c>
      <c r="C38" s="340">
        <v>49557611.072999999</v>
      </c>
    </row>
    <row r="39" spans="1:3" x14ac:dyDescent="0.3">
      <c r="A39" s="112" t="s">
        <v>171</v>
      </c>
      <c r="B39">
        <v>21</v>
      </c>
      <c r="C39" s="340">
        <v>68857200</v>
      </c>
    </row>
    <row r="40" spans="1:3" x14ac:dyDescent="0.3">
      <c r="A40" s="112" t="s">
        <v>147</v>
      </c>
      <c r="B40">
        <v>20</v>
      </c>
      <c r="C40" s="340">
        <v>185044504</v>
      </c>
    </row>
    <row r="41" spans="1:3" x14ac:dyDescent="0.3">
      <c r="A41" s="112" t="s">
        <v>163</v>
      </c>
      <c r="B41">
        <v>8</v>
      </c>
      <c r="C41" s="340">
        <v>934873545.20339167</v>
      </c>
    </row>
    <row r="42" spans="1:3" x14ac:dyDescent="0.3">
      <c r="A42" s="112" t="s">
        <v>136</v>
      </c>
      <c r="B42">
        <v>123</v>
      </c>
      <c r="C42" s="340">
        <v>1253359546.2763915</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51C93-D0DD-486E-A3A1-078B78AEF8C3}">
  <dimension ref="A3:O161"/>
  <sheetViews>
    <sheetView topLeftCell="A118" zoomScaleNormal="100" workbookViewId="0">
      <selection activeCell="B127" sqref="B127"/>
    </sheetView>
  </sheetViews>
  <sheetFormatPr defaultRowHeight="13" x14ac:dyDescent="0.3"/>
  <cols>
    <col min="1" max="1" width="18" bestFit="1" customWidth="1"/>
    <col min="2" max="2" width="17.3984375" bestFit="1" customWidth="1"/>
    <col min="3" max="5" width="14.69921875" bestFit="1" customWidth="1"/>
    <col min="6" max="6" width="12.59765625" bestFit="1" customWidth="1"/>
    <col min="7" max="7" width="17.3984375" bestFit="1" customWidth="1"/>
    <col min="8" max="8" width="15.59765625" customWidth="1"/>
    <col min="9" max="9" width="17.3984375" bestFit="1" customWidth="1"/>
    <col min="10" max="10" width="15.296875" bestFit="1" customWidth="1"/>
    <col min="11" max="12" width="13.69921875" bestFit="1" customWidth="1"/>
    <col min="13" max="14" width="12.59765625" bestFit="1" customWidth="1"/>
    <col min="15" max="15" width="17.3984375" bestFit="1" customWidth="1"/>
    <col min="16" max="16" width="12.59765625" bestFit="1" customWidth="1"/>
    <col min="17" max="21" width="17.59765625" bestFit="1" customWidth="1"/>
  </cols>
  <sheetData>
    <row r="3" spans="1:7" x14ac:dyDescent="0.3">
      <c r="A3" s="111" t="s">
        <v>13</v>
      </c>
      <c r="B3" t="s">
        <v>439</v>
      </c>
    </row>
    <row r="4" spans="1:7" x14ac:dyDescent="0.3">
      <c r="A4" s="111" t="s">
        <v>451</v>
      </c>
      <c r="B4" t="s">
        <v>509</v>
      </c>
    </row>
    <row r="6" spans="1:7" x14ac:dyDescent="0.3">
      <c r="A6" s="111" t="s">
        <v>132</v>
      </c>
      <c r="B6" t="s">
        <v>133</v>
      </c>
      <c r="C6" t="s">
        <v>1001</v>
      </c>
      <c r="D6" t="s">
        <v>1002</v>
      </c>
      <c r="E6" t="s">
        <v>1003</v>
      </c>
      <c r="F6" t="s">
        <v>1008</v>
      </c>
      <c r="G6" t="s">
        <v>134</v>
      </c>
    </row>
    <row r="7" spans="1:7" x14ac:dyDescent="0.3">
      <c r="A7" s="112" t="s">
        <v>517</v>
      </c>
      <c r="B7" s="236">
        <v>251992320.36107832</v>
      </c>
      <c r="C7" s="236">
        <v>380298307.92981327</v>
      </c>
      <c r="D7" s="236">
        <v>155370088.79250008</v>
      </c>
      <c r="E7" s="236">
        <v>78668375.790000007</v>
      </c>
      <c r="F7" s="236">
        <v>500000</v>
      </c>
      <c r="G7" s="236">
        <v>866829092.87339163</v>
      </c>
    </row>
    <row r="8" spans="1:7" x14ac:dyDescent="0.3">
      <c r="A8" s="244" t="s">
        <v>507</v>
      </c>
      <c r="B8" s="236">
        <v>251992320.36107832</v>
      </c>
      <c r="C8" s="236">
        <v>380298307.92981327</v>
      </c>
      <c r="D8" s="236">
        <v>155370088.79250008</v>
      </c>
      <c r="E8" s="236">
        <v>78668375.790000007</v>
      </c>
      <c r="F8" s="236">
        <v>500000</v>
      </c>
      <c r="G8" s="236">
        <v>866829092.87339163</v>
      </c>
    </row>
    <row r="9" spans="1:7" x14ac:dyDescent="0.3">
      <c r="A9" s="112" t="s">
        <v>552</v>
      </c>
      <c r="B9" s="236">
        <v>29512766.002999999</v>
      </c>
      <c r="C9" s="236">
        <v>79257760</v>
      </c>
      <c r="D9" s="236">
        <v>30950000</v>
      </c>
      <c r="E9" s="236">
        <v>21000000</v>
      </c>
      <c r="F9" s="236">
        <v>0</v>
      </c>
      <c r="G9" s="236">
        <v>160720526.00299999</v>
      </c>
    </row>
    <row r="10" spans="1:7" x14ac:dyDescent="0.3">
      <c r="A10" s="244" t="s">
        <v>507</v>
      </c>
      <c r="B10" s="236">
        <v>29512766.002999999</v>
      </c>
      <c r="C10" s="236">
        <v>79257760</v>
      </c>
      <c r="D10" s="236">
        <v>30950000</v>
      </c>
      <c r="E10" s="236">
        <v>21000000</v>
      </c>
      <c r="F10" s="236">
        <v>0</v>
      </c>
      <c r="G10" s="236">
        <v>160720526.00299999</v>
      </c>
    </row>
    <row r="11" spans="1:7" x14ac:dyDescent="0.3">
      <c r="A11" s="112" t="s">
        <v>561</v>
      </c>
      <c r="B11" s="236">
        <v>0</v>
      </c>
      <c r="C11" s="236">
        <v>55460319</v>
      </c>
      <c r="D11" s="236">
        <v>23183333.329999998</v>
      </c>
      <c r="E11" s="236">
        <v>2000000</v>
      </c>
      <c r="F11" s="236">
        <v>1000000</v>
      </c>
      <c r="G11" s="236">
        <v>81643652.329999998</v>
      </c>
    </row>
    <row r="12" spans="1:7" x14ac:dyDescent="0.3">
      <c r="A12" s="244" t="s">
        <v>507</v>
      </c>
      <c r="B12" s="236">
        <v>0</v>
      </c>
      <c r="C12" s="236">
        <v>55460319</v>
      </c>
      <c r="D12" s="236">
        <v>23183333.329999998</v>
      </c>
      <c r="E12" s="236">
        <v>2000000</v>
      </c>
      <c r="F12" s="236">
        <v>1000000</v>
      </c>
      <c r="G12" s="236">
        <v>81643652.329999998</v>
      </c>
    </row>
    <row r="13" spans="1:7" x14ac:dyDescent="0.3">
      <c r="A13" s="112" t="s">
        <v>604</v>
      </c>
      <c r="B13" s="236">
        <v>10000000</v>
      </c>
      <c r="C13" s="236">
        <v>0</v>
      </c>
      <c r="D13" s="236">
        <v>0</v>
      </c>
      <c r="E13" s="236">
        <v>0</v>
      </c>
      <c r="F13" s="236">
        <v>0</v>
      </c>
      <c r="G13" s="236">
        <v>10000000</v>
      </c>
    </row>
    <row r="14" spans="1:7" x14ac:dyDescent="0.3">
      <c r="A14" s="244" t="s">
        <v>507</v>
      </c>
      <c r="B14" s="236">
        <v>10000000</v>
      </c>
      <c r="C14" s="236">
        <v>0</v>
      </c>
      <c r="D14" s="236">
        <v>0</v>
      </c>
      <c r="E14" s="236">
        <v>0</v>
      </c>
      <c r="F14" s="236">
        <v>0</v>
      </c>
      <c r="G14" s="236">
        <v>10000000</v>
      </c>
    </row>
    <row r="15" spans="1:7" x14ac:dyDescent="0.3">
      <c r="A15" s="112" t="s">
        <v>570</v>
      </c>
      <c r="B15" s="236">
        <v>8354540</v>
      </c>
      <c r="C15" s="236">
        <v>54616534.200000003</v>
      </c>
      <c r="D15" s="236">
        <v>46445534.200000003</v>
      </c>
      <c r="E15" s="236">
        <v>15916666.67</v>
      </c>
      <c r="F15" s="236">
        <v>0</v>
      </c>
      <c r="G15" s="236">
        <v>125333275.07000001</v>
      </c>
    </row>
    <row r="16" spans="1:7" x14ac:dyDescent="0.3">
      <c r="A16" s="244" t="s">
        <v>507</v>
      </c>
      <c r="B16" s="236">
        <v>8354540</v>
      </c>
      <c r="C16" s="236">
        <v>54616534.200000003</v>
      </c>
      <c r="D16" s="236">
        <v>46445534.200000003</v>
      </c>
      <c r="E16" s="236">
        <v>15916666.67</v>
      </c>
      <c r="F16" s="236">
        <v>0</v>
      </c>
      <c r="G16" s="236">
        <v>125333275.07000001</v>
      </c>
    </row>
    <row r="17" spans="1:7" x14ac:dyDescent="0.3">
      <c r="A17" s="112" t="s">
        <v>136</v>
      </c>
      <c r="B17" s="236">
        <v>299859626.36407834</v>
      </c>
      <c r="C17" s="236">
        <v>569632921.12981331</v>
      </c>
      <c r="D17" s="236">
        <v>255948956.32250005</v>
      </c>
      <c r="E17" s="236">
        <v>117585042.46000001</v>
      </c>
      <c r="F17" s="236">
        <v>1500000</v>
      </c>
      <c r="G17" s="236">
        <v>1244526546.2763915</v>
      </c>
    </row>
    <row r="29" spans="1:7" x14ac:dyDescent="0.3">
      <c r="A29" s="112"/>
      <c r="B29" s="236"/>
      <c r="C29" s="236"/>
      <c r="D29" s="236"/>
      <c r="E29" s="236"/>
      <c r="F29" s="236"/>
    </row>
    <row r="30" spans="1:7" x14ac:dyDescent="0.3">
      <c r="A30" s="112"/>
      <c r="B30" s="236"/>
      <c r="C30" s="236"/>
      <c r="D30" s="236"/>
      <c r="E30" s="236"/>
      <c r="F30" s="236"/>
    </row>
    <row r="31" spans="1:7" x14ac:dyDescent="0.3">
      <c r="A31" s="112"/>
      <c r="B31" s="236"/>
      <c r="C31" s="236"/>
      <c r="D31" s="236"/>
      <c r="E31" s="236"/>
      <c r="F31" s="236"/>
    </row>
    <row r="32" spans="1:7" x14ac:dyDescent="0.3">
      <c r="A32" s="112"/>
      <c r="B32" s="236"/>
      <c r="C32" s="236"/>
      <c r="D32" s="236"/>
      <c r="E32" s="236"/>
      <c r="F32" s="236"/>
    </row>
    <row r="33" spans="1:15" x14ac:dyDescent="0.3">
      <c r="A33" s="111" t="s">
        <v>13</v>
      </c>
      <c r="B33" t="s">
        <v>439</v>
      </c>
      <c r="C33" s="236"/>
      <c r="D33" s="236"/>
      <c r="E33" s="236"/>
      <c r="F33" s="236"/>
    </row>
    <row r="34" spans="1:15" x14ac:dyDescent="0.3">
      <c r="A34" s="111" t="s">
        <v>450</v>
      </c>
      <c r="B34" t="s">
        <v>509</v>
      </c>
    </row>
    <row r="35" spans="1:15" x14ac:dyDescent="0.3">
      <c r="A35" s="111" t="s">
        <v>19</v>
      </c>
      <c r="B35" t="s">
        <v>507</v>
      </c>
      <c r="I35" s="111" t="s">
        <v>450</v>
      </c>
      <c r="J35" t="s">
        <v>509</v>
      </c>
    </row>
    <row r="36" spans="1:15" x14ac:dyDescent="0.3">
      <c r="A36" s="111" t="s">
        <v>451</v>
      </c>
      <c r="B36" t="s">
        <v>509</v>
      </c>
      <c r="I36" s="111" t="s">
        <v>451</v>
      </c>
      <c r="J36" t="s">
        <v>509</v>
      </c>
    </row>
    <row r="38" spans="1:15" x14ac:dyDescent="0.3">
      <c r="A38" s="111" t="s">
        <v>132</v>
      </c>
      <c r="B38" t="s">
        <v>133</v>
      </c>
      <c r="C38" t="s">
        <v>1001</v>
      </c>
      <c r="D38" t="s">
        <v>1002</v>
      </c>
      <c r="E38" t="s">
        <v>1003</v>
      </c>
      <c r="F38" t="s">
        <v>1008</v>
      </c>
      <c r="G38" t="s">
        <v>134</v>
      </c>
      <c r="I38" s="111" t="s">
        <v>132</v>
      </c>
      <c r="J38" t="s">
        <v>133</v>
      </c>
      <c r="K38" t="s">
        <v>1001</v>
      </c>
      <c r="L38" t="s">
        <v>1002</v>
      </c>
      <c r="M38" t="s">
        <v>1003</v>
      </c>
      <c r="N38" t="s">
        <v>1008</v>
      </c>
      <c r="O38" t="s">
        <v>134</v>
      </c>
    </row>
    <row r="39" spans="1:15" x14ac:dyDescent="0.3">
      <c r="A39" s="112" t="s">
        <v>517</v>
      </c>
      <c r="B39" s="247">
        <v>251992320.36107832</v>
      </c>
      <c r="C39" s="247">
        <v>380298307.92981327</v>
      </c>
      <c r="D39" s="247">
        <v>155370088.79250008</v>
      </c>
      <c r="E39" s="247">
        <v>78668375.790000007</v>
      </c>
      <c r="F39" s="247">
        <v>500000</v>
      </c>
      <c r="G39" s="247">
        <v>866829092.87339163</v>
      </c>
      <c r="I39" s="112" t="s">
        <v>507</v>
      </c>
      <c r="J39" s="247">
        <v>299859626.36407834</v>
      </c>
      <c r="K39" s="247">
        <v>569632921.12981319</v>
      </c>
      <c r="L39" s="247">
        <v>255948956.32250008</v>
      </c>
      <c r="M39" s="247">
        <v>117585042.46000001</v>
      </c>
      <c r="N39" s="247">
        <v>1500000</v>
      </c>
      <c r="O39" s="247">
        <v>1244526546.2763917</v>
      </c>
    </row>
    <row r="40" spans="1:15" x14ac:dyDescent="0.3">
      <c r="A40" s="112" t="s">
        <v>552</v>
      </c>
      <c r="B40" s="247">
        <v>29512766.002999999</v>
      </c>
      <c r="C40" s="247">
        <v>79257760</v>
      </c>
      <c r="D40" s="247">
        <v>30950000</v>
      </c>
      <c r="E40" s="247">
        <v>21000000</v>
      </c>
      <c r="F40" s="247">
        <v>0</v>
      </c>
      <c r="G40" s="247">
        <v>160720526.00299999</v>
      </c>
      <c r="I40" s="112" t="s">
        <v>136</v>
      </c>
      <c r="J40" s="247">
        <v>299859626.36407834</v>
      </c>
      <c r="K40" s="247">
        <v>569632921.12981319</v>
      </c>
      <c r="L40" s="247">
        <v>255948956.32250008</v>
      </c>
      <c r="M40" s="247">
        <v>117585042.46000001</v>
      </c>
      <c r="N40" s="247">
        <v>1500000</v>
      </c>
      <c r="O40" s="247">
        <v>1244526546.2763917</v>
      </c>
    </row>
    <row r="41" spans="1:15" x14ac:dyDescent="0.3">
      <c r="A41" s="112" t="s">
        <v>561</v>
      </c>
      <c r="B41" s="247">
        <v>0</v>
      </c>
      <c r="C41" s="247">
        <v>55460319</v>
      </c>
      <c r="D41" s="247">
        <v>23183333.329999998</v>
      </c>
      <c r="E41" s="247">
        <v>2000000</v>
      </c>
      <c r="F41" s="247">
        <v>1000000</v>
      </c>
      <c r="G41" s="247">
        <v>81643652.329999998</v>
      </c>
    </row>
    <row r="42" spans="1:15" x14ac:dyDescent="0.3">
      <c r="A42" s="112" t="s">
        <v>604</v>
      </c>
      <c r="B42" s="247">
        <v>10000000</v>
      </c>
      <c r="C42" s="247">
        <v>0</v>
      </c>
      <c r="D42" s="247">
        <v>0</v>
      </c>
      <c r="E42" s="247">
        <v>0</v>
      </c>
      <c r="F42" s="247">
        <v>0</v>
      </c>
      <c r="G42" s="247">
        <v>10000000</v>
      </c>
    </row>
    <row r="43" spans="1:15" ht="13.5" thickBot="1" x14ac:dyDescent="0.35">
      <c r="A43" s="112" t="s">
        <v>570</v>
      </c>
      <c r="B43" s="247">
        <v>8354540</v>
      </c>
      <c r="C43" s="247">
        <v>54616534.200000003</v>
      </c>
      <c r="D43" s="247">
        <v>46445534.200000003</v>
      </c>
      <c r="E43" s="247">
        <v>15916666.67</v>
      </c>
      <c r="F43" s="247">
        <v>0</v>
      </c>
      <c r="G43" s="247">
        <v>125333275.07000001</v>
      </c>
    </row>
    <row r="44" spans="1:15" ht="15.5" x14ac:dyDescent="0.3">
      <c r="A44" s="112" t="s">
        <v>136</v>
      </c>
      <c r="B44" s="247">
        <v>299859626.36407834</v>
      </c>
      <c r="C44" s="247">
        <v>569632921.12981331</v>
      </c>
      <c r="D44" s="247">
        <v>255948956.32250005</v>
      </c>
      <c r="E44" s="247">
        <v>117585042.46000001</v>
      </c>
      <c r="F44" s="247">
        <v>1500000</v>
      </c>
      <c r="G44" s="247">
        <v>1244526546.2763915</v>
      </c>
      <c r="H44" s="317" t="s">
        <v>486</v>
      </c>
    </row>
    <row r="45" spans="1:15" ht="15.5" x14ac:dyDescent="0.3">
      <c r="A45" s="318" t="s">
        <v>517</v>
      </c>
      <c r="B45" s="319">
        <v>1249500000</v>
      </c>
      <c r="C45" s="319">
        <f>GETPIVOTDATA("Soma de 2026",$A$38,"Status CISE","Contratado")</f>
        <v>251992320.36107832</v>
      </c>
      <c r="D45" s="319">
        <f>GETPIVOTDATA("Soma de 2027",$A$38,"Status CISE","Contratado")</f>
        <v>380298307.92981327</v>
      </c>
      <c r="E45" s="319">
        <f>GETPIVOTDATA("Soma de 2028",$A$38,"Status CISE","Contratado")</f>
        <v>155370088.79250008</v>
      </c>
      <c r="F45" s="319">
        <f>GETPIVOTDATA("Soma de 2029",$A$38,"Status CISE","Contratado")</f>
        <v>78668375.790000007</v>
      </c>
      <c r="G45" s="319">
        <f>GETPIVOTDATA("Soma de 2030",$A$38,"Status CISE","Contratado")</f>
        <v>500000</v>
      </c>
      <c r="H45" s="320">
        <f>SUM(C45:G45)</f>
        <v>866829092.87339163</v>
      </c>
    </row>
    <row r="46" spans="1:15" ht="15.5" x14ac:dyDescent="0.3">
      <c r="A46" s="318" t="s">
        <v>552</v>
      </c>
      <c r="B46" s="319">
        <v>0</v>
      </c>
      <c r="C46" s="319">
        <f>GETPIVOTDATA("Soma de 2026",$A$38,"Status CISE","Em Contratação")</f>
        <v>29512766.002999999</v>
      </c>
      <c r="D46" s="319">
        <f>GETPIVOTDATA("Soma de 2027",$A$38,"Status CISE","Em Contratação")</f>
        <v>79257760</v>
      </c>
      <c r="E46" s="319">
        <f>GETPIVOTDATA("Soma de 2028",$A$38,"Status CISE","Em Contratação")</f>
        <v>30950000</v>
      </c>
      <c r="F46" s="319">
        <f>GETPIVOTDATA("Soma de 2029",$A$38,"Status CISE","Em Contratação")</f>
        <v>21000000</v>
      </c>
      <c r="G46" s="319">
        <f>GETPIVOTDATA("Soma de 2030",$A$38,"Status CISE","Em Contratação")</f>
        <v>0</v>
      </c>
      <c r="H46" s="320">
        <f t="shared" ref="H46:H47" si="0">SUM(C46:G46)</f>
        <v>160720526.00299999</v>
      </c>
    </row>
    <row r="47" spans="1:15" ht="15.5" x14ac:dyDescent="0.3">
      <c r="A47" s="318" t="s">
        <v>561</v>
      </c>
      <c r="B47" s="319">
        <v>0</v>
      </c>
      <c r="C47" s="319">
        <f>GETPIVOTDATA("Soma de 2026",$A$38,"Status CISE","Nova Demanda")</f>
        <v>0</v>
      </c>
      <c r="D47" s="319">
        <f>GETPIVOTDATA("Soma de 2027",$A$38,"Status CISE","Nova Demanda")</f>
        <v>55460319</v>
      </c>
      <c r="E47" s="319">
        <f>GETPIVOTDATA("Soma de 2028",$A$38,"Status CISE","Nova Demanda")</f>
        <v>23183333.329999998</v>
      </c>
      <c r="F47" s="319">
        <f>GETPIVOTDATA("Soma de 2029",$A$38,"Status CISE","Nova Demanda")</f>
        <v>2000000</v>
      </c>
      <c r="G47" s="319">
        <f>GETPIVOTDATA("Soma de 2030",$A$38,"Status CISE","Nova Demanda")</f>
        <v>1000000</v>
      </c>
      <c r="H47" s="320">
        <f t="shared" si="0"/>
        <v>81643652.329999998</v>
      </c>
    </row>
    <row r="48" spans="1:15" ht="16" thickBot="1" x14ac:dyDescent="0.35">
      <c r="A48" s="321" t="s">
        <v>136</v>
      </c>
      <c r="B48" s="322">
        <f>SUM(B44:B47)</f>
        <v>1549359626.3640783</v>
      </c>
      <c r="C48" s="322">
        <f>SUM(C44:C47)</f>
        <v>851138007.49389172</v>
      </c>
      <c r="D48" s="322">
        <f t="shared" ref="D48:H48" si="1">SUM(D44:D47)</f>
        <v>770965343.25231338</v>
      </c>
      <c r="E48" s="322">
        <f t="shared" si="1"/>
        <v>327088464.58250004</v>
      </c>
      <c r="F48" s="322">
        <f t="shared" si="1"/>
        <v>103168375.79000001</v>
      </c>
      <c r="G48" s="322">
        <f t="shared" si="1"/>
        <v>1246026546.2763915</v>
      </c>
      <c r="H48" s="323">
        <f t="shared" si="1"/>
        <v>1109193271.2063916</v>
      </c>
    </row>
    <row r="55" spans="1:14" x14ac:dyDescent="0.3">
      <c r="J55">
        <f>6489-1249.5</f>
        <v>5239.5</v>
      </c>
      <c r="K55">
        <f>8116.2-J55</f>
        <v>2876.7</v>
      </c>
    </row>
    <row r="61" spans="1:14" x14ac:dyDescent="0.3">
      <c r="A61" s="111" t="s">
        <v>450</v>
      </c>
      <c r="B61" t="s">
        <v>509</v>
      </c>
      <c r="I61" s="111" t="s">
        <v>13</v>
      </c>
      <c r="J61" t="s">
        <v>439</v>
      </c>
      <c r="K61" s="236"/>
      <c r="L61" s="236"/>
      <c r="M61" s="236"/>
      <c r="N61" s="236"/>
    </row>
    <row r="62" spans="1:14" x14ac:dyDescent="0.3">
      <c r="A62" s="111" t="s">
        <v>19</v>
      </c>
      <c r="B62" t="s">
        <v>507</v>
      </c>
      <c r="I62" s="111" t="s">
        <v>450</v>
      </c>
      <c r="J62" t="s">
        <v>509</v>
      </c>
    </row>
    <row r="63" spans="1:14" x14ac:dyDescent="0.3">
      <c r="A63" s="111" t="s">
        <v>451</v>
      </c>
      <c r="B63" t="s">
        <v>509</v>
      </c>
      <c r="I63" s="111" t="s">
        <v>19</v>
      </c>
      <c r="J63" t="s">
        <v>507</v>
      </c>
    </row>
    <row r="64" spans="1:14" x14ac:dyDescent="0.3">
      <c r="I64" s="111" t="s">
        <v>451</v>
      </c>
      <c r="J64" t="s">
        <v>509</v>
      </c>
    </row>
    <row r="65" spans="1:15" x14ac:dyDescent="0.3">
      <c r="A65" s="111" t="s">
        <v>132</v>
      </c>
      <c r="B65" t="s">
        <v>133</v>
      </c>
      <c r="C65" t="s">
        <v>1001</v>
      </c>
      <c r="D65" t="s">
        <v>1002</v>
      </c>
      <c r="E65" t="s">
        <v>1003</v>
      </c>
      <c r="F65" t="s">
        <v>1008</v>
      </c>
      <c r="G65" t="s">
        <v>134</v>
      </c>
    </row>
    <row r="66" spans="1:15" x14ac:dyDescent="0.3">
      <c r="A66" s="112" t="s">
        <v>439</v>
      </c>
      <c r="B66" s="247">
        <v>299859626.36407834</v>
      </c>
      <c r="C66" s="247">
        <v>569632921.12981331</v>
      </c>
      <c r="D66" s="247">
        <v>255948956.32250005</v>
      </c>
      <c r="E66" s="247">
        <v>117585042.46000001</v>
      </c>
      <c r="F66" s="247">
        <v>1500000</v>
      </c>
      <c r="G66" s="247">
        <v>1244526546.2763915</v>
      </c>
      <c r="I66" s="111" t="s">
        <v>132</v>
      </c>
      <c r="J66" t="s">
        <v>133</v>
      </c>
      <c r="K66" t="s">
        <v>1001</v>
      </c>
      <c r="L66" t="s">
        <v>1002</v>
      </c>
      <c r="M66" t="s">
        <v>1003</v>
      </c>
      <c r="N66" t="s">
        <v>1008</v>
      </c>
      <c r="O66" t="s">
        <v>134</v>
      </c>
    </row>
    <row r="67" spans="1:15" x14ac:dyDescent="0.3">
      <c r="A67" s="244" t="s">
        <v>517</v>
      </c>
      <c r="B67" s="247">
        <v>251992320.36107832</v>
      </c>
      <c r="C67" s="247">
        <v>380298307.92981327</v>
      </c>
      <c r="D67" s="247">
        <v>155370088.79250008</v>
      </c>
      <c r="E67" s="247">
        <v>78668375.790000007</v>
      </c>
      <c r="F67" s="247">
        <v>500000</v>
      </c>
      <c r="G67" s="247">
        <v>866829092.87339163</v>
      </c>
      <c r="I67" s="112" t="s">
        <v>517</v>
      </c>
      <c r="J67" s="247">
        <v>251992320.36107832</v>
      </c>
      <c r="K67" s="247">
        <v>380298307.92981327</v>
      </c>
      <c r="L67" s="247">
        <v>155370088.79250008</v>
      </c>
      <c r="M67" s="247">
        <v>78668375.790000007</v>
      </c>
      <c r="N67" s="247">
        <v>500000</v>
      </c>
      <c r="O67" s="247">
        <v>866829092.87339163</v>
      </c>
    </row>
    <row r="68" spans="1:15" x14ac:dyDescent="0.3">
      <c r="A68" s="244" t="s">
        <v>552</v>
      </c>
      <c r="B68" s="247">
        <v>29512766.002999999</v>
      </c>
      <c r="C68" s="247">
        <v>79257760</v>
      </c>
      <c r="D68" s="247">
        <v>30950000</v>
      </c>
      <c r="E68" s="247">
        <v>21000000</v>
      </c>
      <c r="F68" s="247">
        <v>0</v>
      </c>
      <c r="G68" s="247">
        <v>160720526.00299999</v>
      </c>
      <c r="I68" s="112" t="s">
        <v>552</v>
      </c>
      <c r="J68" s="247">
        <v>29512766.002999999</v>
      </c>
      <c r="K68" s="247">
        <v>79257760</v>
      </c>
      <c r="L68" s="247">
        <v>30950000</v>
      </c>
      <c r="M68" s="247">
        <v>21000000</v>
      </c>
      <c r="N68" s="247">
        <v>0</v>
      </c>
      <c r="O68" s="247">
        <v>160720526.00300002</v>
      </c>
    </row>
    <row r="69" spans="1:15" x14ac:dyDescent="0.3">
      <c r="A69" s="244" t="s">
        <v>561</v>
      </c>
      <c r="B69" s="247">
        <v>0</v>
      </c>
      <c r="C69" s="247">
        <v>55460319</v>
      </c>
      <c r="D69" s="247">
        <v>23183333.329999998</v>
      </c>
      <c r="E69" s="247">
        <v>2000000</v>
      </c>
      <c r="F69" s="247">
        <v>1000000</v>
      </c>
      <c r="G69" s="247">
        <v>81643652.329999998</v>
      </c>
      <c r="I69" s="112" t="s">
        <v>136</v>
      </c>
      <c r="J69" s="247">
        <v>281505086.36407834</v>
      </c>
      <c r="K69" s="247">
        <v>459556067.92981327</v>
      </c>
      <c r="L69" s="247">
        <v>186320088.79250008</v>
      </c>
      <c r="M69" s="247">
        <v>99668375.790000007</v>
      </c>
      <c r="N69" s="247">
        <v>500000</v>
      </c>
      <c r="O69" s="247">
        <v>1027549618.8763916</v>
      </c>
    </row>
    <row r="70" spans="1:15" x14ac:dyDescent="0.3">
      <c r="A70" s="244" t="s">
        <v>604</v>
      </c>
      <c r="B70" s="247">
        <v>10000000</v>
      </c>
      <c r="C70" s="247">
        <v>0</v>
      </c>
      <c r="D70" s="247">
        <v>0</v>
      </c>
      <c r="E70" s="247">
        <v>0</v>
      </c>
      <c r="F70" s="247">
        <v>0</v>
      </c>
      <c r="G70" s="247">
        <v>10000000</v>
      </c>
    </row>
    <row r="71" spans="1:15" x14ac:dyDescent="0.3">
      <c r="A71" s="244" t="s">
        <v>570</v>
      </c>
      <c r="B71" s="247">
        <v>8354540</v>
      </c>
      <c r="C71" s="247">
        <v>54616534.200000003</v>
      </c>
      <c r="D71" s="247">
        <v>46445534.200000003</v>
      </c>
      <c r="E71" s="247">
        <v>15916666.67</v>
      </c>
      <c r="F71" s="247">
        <v>0</v>
      </c>
      <c r="G71" s="247">
        <v>125333275.07000001</v>
      </c>
    </row>
    <row r="72" spans="1:15" x14ac:dyDescent="0.3">
      <c r="A72" s="112" t="s">
        <v>136</v>
      </c>
      <c r="B72" s="247">
        <v>299859626.36407834</v>
      </c>
      <c r="C72" s="247">
        <v>569632921.12981331</v>
      </c>
      <c r="D72" s="247">
        <v>255948956.32250005</v>
      </c>
      <c r="E72" s="247">
        <v>117585042.46000001</v>
      </c>
      <c r="F72" s="247">
        <v>1500000</v>
      </c>
      <c r="G72" s="247">
        <v>1244526546.2763915</v>
      </c>
    </row>
    <row r="73" spans="1:15" x14ac:dyDescent="0.3">
      <c r="I73" s="111" t="s">
        <v>13</v>
      </c>
      <c r="J73" t="s">
        <v>439</v>
      </c>
      <c r="K73" s="236"/>
      <c r="L73" s="236"/>
      <c r="M73" s="236"/>
      <c r="N73" s="236"/>
    </row>
    <row r="74" spans="1:15" x14ac:dyDescent="0.3">
      <c r="I74" s="111" t="s">
        <v>450</v>
      </c>
      <c r="J74" t="s">
        <v>509</v>
      </c>
    </row>
    <row r="75" spans="1:15" x14ac:dyDescent="0.3">
      <c r="I75" s="111" t="s">
        <v>19</v>
      </c>
      <c r="J75" t="s">
        <v>507</v>
      </c>
    </row>
    <row r="76" spans="1:15" x14ac:dyDescent="0.3">
      <c r="I76" s="111" t="s">
        <v>451</v>
      </c>
      <c r="J76" t="s">
        <v>509</v>
      </c>
    </row>
    <row r="77" spans="1:15" ht="13.5" thickBot="1" x14ac:dyDescent="0.35"/>
    <row r="78" spans="1:15" ht="14.5" x14ac:dyDescent="0.3">
      <c r="A78" s="302" t="s">
        <v>1009</v>
      </c>
      <c r="B78" s="303">
        <v>2026</v>
      </c>
      <c r="C78" s="303">
        <v>2027</v>
      </c>
      <c r="D78" s="303">
        <v>2028</v>
      </c>
      <c r="E78" s="303">
        <v>2029</v>
      </c>
      <c r="F78" s="303">
        <v>2030</v>
      </c>
      <c r="G78" s="304" t="s">
        <v>486</v>
      </c>
      <c r="I78" s="111" t="s">
        <v>132</v>
      </c>
      <c r="J78" t="s">
        <v>133</v>
      </c>
      <c r="K78" t="s">
        <v>1001</v>
      </c>
      <c r="L78" t="s">
        <v>1002</v>
      </c>
      <c r="M78" t="s">
        <v>1003</v>
      </c>
      <c r="N78" t="s">
        <v>1008</v>
      </c>
      <c r="O78" t="s">
        <v>134</v>
      </c>
    </row>
    <row r="79" spans="1:15" ht="14.5" x14ac:dyDescent="0.3">
      <c r="A79" s="309" t="s">
        <v>439</v>
      </c>
      <c r="B79" s="310">
        <f>GETPIVOTDATA("Soma de 2026",$A$65,"VP","COO")</f>
        <v>299859626.36407834</v>
      </c>
      <c r="C79" s="310">
        <f>GETPIVOTDATA("Soma de 2027",$A$65,"VP","COO")</f>
        <v>569632921.12981331</v>
      </c>
      <c r="D79" s="310">
        <f>GETPIVOTDATA("Soma de 2028",$A$65,"VP","COO")</f>
        <v>255948956.32250005</v>
      </c>
      <c r="E79" s="310">
        <f>GETPIVOTDATA("Soma de 2029",$A$65,"VP","COO")</f>
        <v>117585042.46000001</v>
      </c>
      <c r="F79" s="310">
        <f>GETPIVOTDATA("Soma de 2030",$A$65,"VP","COO")</f>
        <v>1500000</v>
      </c>
      <c r="G79" s="311">
        <f>GETPIVOTDATA("Soma de 2026-2030",$A$65,"VP","COO")</f>
        <v>1244526546.2763915</v>
      </c>
      <c r="I79" s="112" t="s">
        <v>561</v>
      </c>
      <c r="J79" s="247">
        <v>0</v>
      </c>
      <c r="K79" s="247">
        <v>55460319</v>
      </c>
      <c r="L79" s="247">
        <v>23183333.329999998</v>
      </c>
      <c r="M79" s="247">
        <v>2000000</v>
      </c>
      <c r="N79" s="247">
        <v>1000000</v>
      </c>
      <c r="O79" s="247">
        <v>81643652.329999998</v>
      </c>
    </row>
    <row r="80" spans="1:15" x14ac:dyDescent="0.3">
      <c r="A80" s="305" t="s">
        <v>517</v>
      </c>
      <c r="B80" s="306">
        <f>GETPIVOTDATA("Soma de 2026",$A$65,"VP","COO","Status CISE","Contratado")</f>
        <v>251992320.36107832</v>
      </c>
      <c r="C80" s="306">
        <f>GETPIVOTDATA("Soma de 2027",$A$65,"VP","COO","Status CISE","Contratado")</f>
        <v>380298307.92981327</v>
      </c>
      <c r="D80" s="306">
        <f>GETPIVOTDATA("Soma de 2028",$A$65,"VP","COO","Status CISE","Contratado")</f>
        <v>155370088.79250008</v>
      </c>
      <c r="E80" s="306">
        <f>GETPIVOTDATA("Soma de 2029",$A$65,"VP","COO","Status CISE","Contratado")</f>
        <v>78668375.790000007</v>
      </c>
      <c r="F80" s="306">
        <f>GETPIVOTDATA("Soma de 2030",$A$65,"VP","COO","Status CISE","Contratado")</f>
        <v>500000</v>
      </c>
      <c r="G80" s="307">
        <f>GETPIVOTDATA("Soma de 2026-2030",$A$65,"VP","COO","Status CISE","Contratado")</f>
        <v>866829092.87339163</v>
      </c>
      <c r="I80" s="112" t="s">
        <v>136</v>
      </c>
      <c r="J80" s="247">
        <v>0</v>
      </c>
      <c r="K80" s="247">
        <v>55460319</v>
      </c>
      <c r="L80" s="247">
        <v>23183333.329999998</v>
      </c>
      <c r="M80" s="247">
        <v>2000000</v>
      </c>
      <c r="N80" s="247">
        <v>1000000</v>
      </c>
      <c r="O80" s="247">
        <v>81643652.329999998</v>
      </c>
    </row>
    <row r="81" spans="1:11" x14ac:dyDescent="0.3">
      <c r="A81" s="305" t="s">
        <v>552</v>
      </c>
      <c r="B81" s="306">
        <f>GETPIVOTDATA("Soma de 2026",$A$65,"VP","COO","Status CISE","Em Contratação")</f>
        <v>29512766.002999999</v>
      </c>
      <c r="C81" s="306">
        <f>GETPIVOTDATA("Soma de 2027",$A$65,"VP","COO","Status CISE","Em Contratação")</f>
        <v>79257760</v>
      </c>
      <c r="D81" s="306">
        <f>GETPIVOTDATA("Soma de 2028",$A$65,"VP","COO","Status CISE","Em Contratação")</f>
        <v>30950000</v>
      </c>
      <c r="E81" s="306">
        <f>GETPIVOTDATA("Soma de 2029",$A$65,"VP","COO","Status CISE","Em Contratação")</f>
        <v>21000000</v>
      </c>
      <c r="F81" s="306">
        <f>GETPIVOTDATA("Soma de 2030",$A$65,"VP","COO","Status CISE","Em Contratação")</f>
        <v>0</v>
      </c>
      <c r="G81" s="307">
        <f>GETPIVOTDATA("Soma de 2026-2030",$A$65,"VP","COO","Status CISE","Em Contratação")</f>
        <v>160720526.00299999</v>
      </c>
    </row>
    <row r="82" spans="1:11" x14ac:dyDescent="0.3">
      <c r="A82" s="305" t="s">
        <v>561</v>
      </c>
      <c r="B82" s="306">
        <f>GETPIVOTDATA("Soma de 2026",$A$65,"VP","COO","Status CISE","Nova Demanda")</f>
        <v>0</v>
      </c>
      <c r="C82" s="306">
        <f>GETPIVOTDATA("Soma de 2027",$A$65,"VP","COO","Status CISE","Nova Demanda")</f>
        <v>55460319</v>
      </c>
      <c r="D82" s="306">
        <f>GETPIVOTDATA("Soma de 2028",$A$65,"VP","COO","Status CISE","Nova Demanda")</f>
        <v>23183333.329999998</v>
      </c>
      <c r="E82" s="306">
        <f>GETPIVOTDATA("Soma de 2029",$A$65,"VP","COO","Status CISE","Nova Demanda")</f>
        <v>2000000</v>
      </c>
      <c r="F82" s="306">
        <f>GETPIVOTDATA("Soma de 2030",$A$65,"VP","COO","Status CISE","Nova Demanda")</f>
        <v>1000000</v>
      </c>
      <c r="G82" s="307">
        <f>GETPIVOTDATA("Soma de 2026-2030",$A$65,"VP","COO","Status CISE","Nova Demanda")</f>
        <v>81643652.329999998</v>
      </c>
    </row>
    <row r="83" spans="1:11" x14ac:dyDescent="0.3">
      <c r="A83" s="305" t="s">
        <v>604</v>
      </c>
      <c r="B83" s="306">
        <f>GETPIVOTDATA("Soma de 2026",$A$65,"VP","COO","Status CISE","Reajuste")</f>
        <v>10000000</v>
      </c>
      <c r="C83" s="306">
        <f>GETPIVOTDATA("Soma de 2027",$A$65,"VP","COO","Status CISE","Reajuste")</f>
        <v>0</v>
      </c>
      <c r="D83" s="306">
        <f>GETPIVOTDATA("Soma de 2028",$A$65,"VP","COO","Status CISE","Reajuste")</f>
        <v>0</v>
      </c>
      <c r="E83" s="306">
        <f>GETPIVOTDATA("Soma de 2029",$A$65,"VP","COO","Status CISE","Reajuste")</f>
        <v>0</v>
      </c>
      <c r="F83" s="306">
        <f>GETPIVOTDATA("Soma de 2030",$A$65,"VP","COO","Status CISE","Reajuste")</f>
        <v>0</v>
      </c>
      <c r="G83" s="307">
        <f>GETPIVOTDATA("Soma de 2026-2030",$A$65,"VP","COO","Status CISE","Reajuste")</f>
        <v>10000000</v>
      </c>
    </row>
    <row r="84" spans="1:11" ht="14.5" x14ac:dyDescent="0.3">
      <c r="A84" s="309" t="s">
        <v>1010</v>
      </c>
      <c r="B84" s="310" t="e">
        <f>GETPIVOTDATA("Soma de 2026",$A$65,"VP","VEE")</f>
        <v>#REF!</v>
      </c>
      <c r="C84" s="310" t="e">
        <f>GETPIVOTDATA("Soma de 2027",$A$65,"VP","VEE")</f>
        <v>#REF!</v>
      </c>
      <c r="D84" s="310" t="e">
        <f>GETPIVOTDATA("Soma de 2028",$A$65,"VP","VEE")</f>
        <v>#REF!</v>
      </c>
      <c r="E84" s="310" t="e">
        <f>GETPIVOTDATA("Soma de 2029",$A$65,"VP","VEE")</f>
        <v>#REF!</v>
      </c>
      <c r="F84" s="310" t="e">
        <f>GETPIVOTDATA("Soma de 2030",$A$65,"VP","VEE")</f>
        <v>#REF!</v>
      </c>
      <c r="G84" s="311" t="e">
        <f>GETPIVOTDATA("Soma de 2026-2030",$A$65,"VP","VEE")</f>
        <v>#REF!</v>
      </c>
    </row>
    <row r="85" spans="1:11" x14ac:dyDescent="0.3">
      <c r="A85" s="305" t="s">
        <v>517</v>
      </c>
      <c r="B85" s="306" t="e">
        <f>GETPIVOTDATA("Soma de 2026",$A$65,"VP","VEE","Status CISE","Contratado")</f>
        <v>#REF!</v>
      </c>
      <c r="C85" s="306" t="e">
        <f>GETPIVOTDATA("Soma de 2027",$A$65,"VP","VEE","Status CISE","Contratado")</f>
        <v>#REF!</v>
      </c>
      <c r="D85" s="306" t="e">
        <f>GETPIVOTDATA("Soma de 2028",$A$65,"VP","VEE","Status CISE","Contratado")</f>
        <v>#REF!</v>
      </c>
      <c r="E85" s="306" t="e">
        <f>GETPIVOTDATA("Soma de 2029",$A$65,"VP","VEE","Status CISE","Contratado")</f>
        <v>#REF!</v>
      </c>
      <c r="F85" s="306" t="e">
        <f>GETPIVOTDATA("Soma de 2030",$A$65,"VP","VEE","Status CISE","Contratado")</f>
        <v>#REF!</v>
      </c>
      <c r="G85" s="307" t="e">
        <f>GETPIVOTDATA("Soma de 2026-2030",$A$65,"VP","VEE","Status CISE","Contratado")</f>
        <v>#REF!</v>
      </c>
    </row>
    <row r="86" spans="1:11" x14ac:dyDescent="0.3">
      <c r="A86" s="305" t="s">
        <v>552</v>
      </c>
      <c r="B86" s="306" t="e">
        <f>GETPIVOTDATA("Soma de 2026",$A$65,"VP","VEE","Status CISE","Em Contratação")</f>
        <v>#REF!</v>
      </c>
      <c r="C86" s="306" t="e">
        <f>GETPIVOTDATA("Soma de 2027",$A$65,"VP","VEE","Status CISE","Em Contratação")</f>
        <v>#REF!</v>
      </c>
      <c r="D86" s="306" t="e">
        <f>GETPIVOTDATA("Soma de 2028",$A$65,"VP","VEE","Status CISE","Em Contratação")</f>
        <v>#REF!</v>
      </c>
      <c r="E86" s="306" t="e">
        <f>GETPIVOTDATA("Soma de 2029",$A$65,"VP","VEE","Status CISE","Em Contratação")</f>
        <v>#REF!</v>
      </c>
      <c r="F86" s="306" t="e">
        <f>GETPIVOTDATA("Soma de 2030",$A$65,"VP","VEE","Status CISE","Em Contratação")</f>
        <v>#REF!</v>
      </c>
      <c r="G86" s="307" t="e">
        <f>GETPIVOTDATA("Soma de 2026-2030",$A$65,"VP","VEE","Status CISE","Em Contratação")</f>
        <v>#REF!</v>
      </c>
    </row>
    <row r="87" spans="1:11" x14ac:dyDescent="0.3">
      <c r="A87" s="305" t="s">
        <v>561</v>
      </c>
      <c r="B87" s="306" t="e">
        <f>GETPIVOTDATA("Soma de 2026",$A$65,"VP","VEE","Status CISE","Nova Demanda")</f>
        <v>#REF!</v>
      </c>
      <c r="C87" s="306" t="e">
        <f>GETPIVOTDATA("Soma de 2027",$A$65,"VP","VEE","Status CISE","Nova Demanda")</f>
        <v>#REF!</v>
      </c>
      <c r="D87" s="306" t="e">
        <f>GETPIVOTDATA("Soma de 2028",$A$65,"VP","VEE","Status CISE","Nova Demanda")</f>
        <v>#REF!</v>
      </c>
      <c r="E87" s="306" t="e">
        <f>GETPIVOTDATA("Soma de 2029",$A$65,"VP","VEE","Status CISE","Nova Demanda")</f>
        <v>#REF!</v>
      </c>
      <c r="F87" s="306" t="e">
        <f>GETPIVOTDATA("Soma de 2030",$A$65,"VP","VEE","Status CISE","Nova Demanda")</f>
        <v>#REF!</v>
      </c>
      <c r="G87" s="307" t="e">
        <f>GETPIVOTDATA("Soma de 2026-2030",$A$65,"VP","VEE","Status CISE","Nova Demanda")</f>
        <v>#REF!</v>
      </c>
    </row>
    <row r="88" spans="1:11" x14ac:dyDescent="0.3">
      <c r="A88" s="336" t="s">
        <v>604</v>
      </c>
      <c r="B88" s="337" t="e">
        <f>GETPIVOTDATA("Soma de 2026",$A$65,"VP","VEE","Status CISE","Reajuste")</f>
        <v>#REF!</v>
      </c>
      <c r="C88" s="337" t="e">
        <f>GETPIVOTDATA("Soma de 2027",$A$65,"VP","VEE","Status CISE","Reajuste")</f>
        <v>#REF!</v>
      </c>
      <c r="D88" s="337" t="e">
        <f>GETPIVOTDATA("Soma de 2028",$A$65,"VP","VEE","Status CISE","Reajuste")</f>
        <v>#REF!</v>
      </c>
      <c r="E88" s="337" t="e">
        <f>GETPIVOTDATA("Soma de 2029",$A$65,"VP","VEE","Status CISE","Reajuste")</f>
        <v>#REF!</v>
      </c>
      <c r="F88" s="337" t="e">
        <f>GETPIVOTDATA("Soma de 2030",$A$65,"VP","VEE","Status CISE","Reajuste")</f>
        <v>#REF!</v>
      </c>
      <c r="G88" s="338" t="e">
        <f>GETPIVOTDATA("Soma de 2026-2030",$A$65,"VP","VEE","Status CISE","Reajuste")</f>
        <v>#REF!</v>
      </c>
    </row>
    <row r="89" spans="1:11" ht="15" thickBot="1" x14ac:dyDescent="0.35">
      <c r="A89" s="312" t="s">
        <v>136</v>
      </c>
      <c r="B89" s="313">
        <f>GETPIVOTDATA("Soma de 2026",$A$65)</f>
        <v>299859626.36407834</v>
      </c>
      <c r="C89" s="313">
        <f>GETPIVOTDATA("Soma de 2027",$A$65)</f>
        <v>569632921.12981331</v>
      </c>
      <c r="D89" s="313">
        <f>GETPIVOTDATA("Soma de 2028",$A$65)</f>
        <v>255948956.32250005</v>
      </c>
      <c r="E89" s="313">
        <f>GETPIVOTDATA("Soma de 2029",$A$65)</f>
        <v>117585042.46000001</v>
      </c>
      <c r="F89" s="313">
        <f>GETPIVOTDATA("Soma de 2030",$A$65)</f>
        <v>1500000</v>
      </c>
      <c r="G89" s="314">
        <f>GETPIVOTDATA("Soma de 2026-2030",$A$65)</f>
        <v>1244526546.2763915</v>
      </c>
    </row>
    <row r="92" spans="1:11" x14ac:dyDescent="0.3">
      <c r="A92" s="111" t="s">
        <v>451</v>
      </c>
      <c r="B92" t="s">
        <v>509</v>
      </c>
    </row>
    <row r="94" spans="1:11" x14ac:dyDescent="0.3">
      <c r="A94" s="111" t="s">
        <v>132</v>
      </c>
      <c r="B94" t="s">
        <v>134</v>
      </c>
    </row>
    <row r="95" spans="1:11" x14ac:dyDescent="0.3">
      <c r="A95" s="112" t="s">
        <v>319</v>
      </c>
      <c r="B95" s="308">
        <v>1040554897.2733916</v>
      </c>
      <c r="F95" s="331"/>
      <c r="G95" s="331"/>
      <c r="H95" s="331"/>
      <c r="I95" s="331"/>
      <c r="J95" s="331"/>
      <c r="K95" s="331"/>
    </row>
    <row r="96" spans="1:11" x14ac:dyDescent="0.3">
      <c r="A96" s="112" t="s">
        <v>158</v>
      </c>
      <c r="B96" s="308">
        <v>63010319</v>
      </c>
      <c r="F96" s="112" t="s">
        <v>517</v>
      </c>
      <c r="G96" s="247">
        <v>2849039964.9319043</v>
      </c>
      <c r="H96" s="247"/>
      <c r="I96" s="247"/>
      <c r="J96" s="247"/>
      <c r="K96" s="247"/>
    </row>
    <row r="97" spans="1:11" x14ac:dyDescent="0.3">
      <c r="A97" s="112" t="s">
        <v>276</v>
      </c>
      <c r="B97" s="308">
        <v>55922300</v>
      </c>
      <c r="F97" s="112" t="s">
        <v>552</v>
      </c>
      <c r="G97" s="247">
        <v>3419412949.8086138</v>
      </c>
      <c r="H97" s="247"/>
      <c r="I97" s="247"/>
      <c r="J97" s="247"/>
      <c r="K97" s="247"/>
    </row>
    <row r="98" spans="1:11" x14ac:dyDescent="0.3">
      <c r="A98" s="112" t="s">
        <v>229</v>
      </c>
      <c r="B98" s="308">
        <v>39427030.002999999</v>
      </c>
      <c r="F98" s="112" t="s">
        <v>561</v>
      </c>
      <c r="G98" s="247">
        <v>1847743608.8600359</v>
      </c>
      <c r="H98" s="247"/>
      <c r="I98" s="247"/>
      <c r="J98" s="247"/>
      <c r="K98" s="247"/>
    </row>
    <row r="99" spans="1:11" x14ac:dyDescent="0.3">
      <c r="A99" s="112" t="s">
        <v>210</v>
      </c>
      <c r="B99" s="308">
        <v>33100000</v>
      </c>
      <c r="F99" s="332" t="s">
        <v>136</v>
      </c>
      <c r="G99" s="333">
        <v>8116196523.6005545</v>
      </c>
      <c r="H99" s="333"/>
      <c r="I99" s="333"/>
      <c r="J99" s="333"/>
      <c r="K99" s="333"/>
    </row>
    <row r="100" spans="1:11" x14ac:dyDescent="0.3">
      <c r="A100" s="112" t="s">
        <v>149</v>
      </c>
      <c r="B100" s="308">
        <v>12512000</v>
      </c>
    </row>
    <row r="101" spans="1:11" x14ac:dyDescent="0.3">
      <c r="A101" s="112" t="s">
        <v>136</v>
      </c>
      <c r="B101" s="308">
        <v>1244526546.2763915</v>
      </c>
    </row>
    <row r="105" spans="1:11" x14ac:dyDescent="0.3">
      <c r="F105" t="s">
        <v>517</v>
      </c>
      <c r="G105" s="236">
        <v>2849039964.9319043</v>
      </c>
    </row>
    <row r="106" spans="1:11" x14ac:dyDescent="0.3">
      <c r="F106" t="s">
        <v>552</v>
      </c>
      <c r="G106" s="236">
        <v>3419412949.8086138</v>
      </c>
    </row>
    <row r="107" spans="1:11" x14ac:dyDescent="0.3">
      <c r="F107" t="s">
        <v>561</v>
      </c>
      <c r="G107" s="236">
        <v>1847743608.8600359</v>
      </c>
    </row>
    <row r="108" spans="1:11" x14ac:dyDescent="0.3">
      <c r="F108" t="s">
        <v>136</v>
      </c>
      <c r="G108" s="236">
        <v>8116196523.6005545</v>
      </c>
    </row>
    <row r="157" spans="1:2" x14ac:dyDescent="0.3">
      <c r="A157" s="111" t="s">
        <v>451</v>
      </c>
      <c r="B157" t="s">
        <v>509</v>
      </c>
    </row>
    <row r="159" spans="1:2" x14ac:dyDescent="0.3">
      <c r="A159" s="111" t="s">
        <v>132</v>
      </c>
      <c r="B159" t="s">
        <v>134</v>
      </c>
    </row>
    <row r="160" spans="1:2" x14ac:dyDescent="0.3">
      <c r="A160" s="112" t="s">
        <v>507</v>
      </c>
      <c r="B160" s="308">
        <v>1244526546.2763917</v>
      </c>
    </row>
    <row r="161" spans="1:2" x14ac:dyDescent="0.3">
      <c r="A161" s="112" t="s">
        <v>136</v>
      </c>
      <c r="B161" s="308">
        <v>1244526546.2763917</v>
      </c>
    </row>
  </sheetData>
  <pageMargins left="0.511811024" right="0.511811024" top="0.78740157499999996" bottom="0.78740157499999996" header="0.31496062000000002" footer="0.31496062000000002"/>
  <pageSetup paperSize="9" orientation="portrait" r:id="rId9"/>
  <drawing r:id="rId1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B74F1-0C6A-404F-A0CD-962606A0DC3E}">
  <dimension ref="A1:Q16"/>
  <sheetViews>
    <sheetView zoomScaleNormal="100" workbookViewId="0">
      <selection sqref="A1:K16"/>
    </sheetView>
  </sheetViews>
  <sheetFormatPr defaultRowHeight="13" x14ac:dyDescent="0.3"/>
  <cols>
    <col min="1" max="1" width="12.59765625" bestFit="1" customWidth="1"/>
    <col min="2" max="2" width="24.296875" customWidth="1"/>
    <col min="3" max="3" width="81.09765625" bestFit="1" customWidth="1"/>
    <col min="4" max="4" width="13.69921875" bestFit="1" customWidth="1"/>
    <col min="5" max="5" width="10.8984375" bestFit="1" customWidth="1"/>
    <col min="6" max="10" width="7.09765625" customWidth="1"/>
    <col min="11" max="11" width="11.8984375" customWidth="1"/>
    <col min="12" max="12" width="13.3984375" bestFit="1" customWidth="1"/>
  </cols>
  <sheetData>
    <row r="1" spans="1:17" ht="14.5" x14ac:dyDescent="0.3">
      <c r="A1" s="325" t="s">
        <v>19</v>
      </c>
      <c r="B1" s="325" t="s">
        <v>1011</v>
      </c>
      <c r="C1" s="325" t="s">
        <v>1012</v>
      </c>
      <c r="D1" s="325" t="s">
        <v>1013</v>
      </c>
      <c r="E1" s="325" t="s">
        <v>122</v>
      </c>
      <c r="F1" s="325" t="s">
        <v>59</v>
      </c>
      <c r="G1" s="325" t="s">
        <v>60</v>
      </c>
      <c r="H1" s="325" t="s">
        <v>61</v>
      </c>
      <c r="I1" s="325" t="s">
        <v>62</v>
      </c>
      <c r="J1" s="325" t="s">
        <v>64</v>
      </c>
      <c r="K1" s="325" t="s">
        <v>1014</v>
      </c>
    </row>
    <row r="2" spans="1:17" ht="14.5" x14ac:dyDescent="0.3">
      <c r="A2" s="326" t="s">
        <v>1015</v>
      </c>
      <c r="B2" s="326" t="s">
        <v>1016</v>
      </c>
      <c r="C2" s="326" t="s">
        <v>1017</v>
      </c>
      <c r="D2" s="326" t="s">
        <v>1018</v>
      </c>
      <c r="E2" s="326" t="s">
        <v>517</v>
      </c>
      <c r="F2" s="327">
        <v>143463830.02176121</v>
      </c>
      <c r="G2" s="327">
        <v>273232900.75796318</v>
      </c>
      <c r="H2" s="327">
        <v>338327908.409693</v>
      </c>
      <c r="I2" s="327">
        <v>229068853.81273466</v>
      </c>
      <c r="J2" s="327">
        <v>95499754.76784794</v>
      </c>
      <c r="K2" s="327">
        <f>SUM(F2:J2)</f>
        <v>1079593247.77</v>
      </c>
      <c r="L2" s="324"/>
      <c r="M2" s="324"/>
      <c r="N2" s="324"/>
      <c r="O2" s="324"/>
      <c r="P2" s="324"/>
      <c r="Q2" s="324"/>
    </row>
    <row r="3" spans="1:17" ht="14.5" x14ac:dyDescent="0.3">
      <c r="A3" s="326" t="s">
        <v>507</v>
      </c>
      <c r="B3" s="326" t="s">
        <v>319</v>
      </c>
      <c r="C3" s="326" t="s">
        <v>318</v>
      </c>
      <c r="D3" s="326" t="s">
        <v>1019</v>
      </c>
      <c r="E3" s="326" t="s">
        <v>517</v>
      </c>
      <c r="F3" s="327">
        <v>171280364.75447249</v>
      </c>
      <c r="G3" s="327">
        <v>180725279.63704008</v>
      </c>
      <c r="H3" s="327">
        <v>134113797.52111384</v>
      </c>
      <c r="I3" s="327">
        <v>67921781.087373585</v>
      </c>
      <c r="J3" s="327">
        <v>0</v>
      </c>
      <c r="K3" s="327">
        <f t="shared" ref="K3:K16" si="0">SUM(F3:J3)</f>
        <v>554041223</v>
      </c>
    </row>
    <row r="4" spans="1:17" ht="14.5" x14ac:dyDescent="0.3">
      <c r="A4" s="326" t="s">
        <v>1015</v>
      </c>
      <c r="B4" s="326" t="s">
        <v>1020</v>
      </c>
      <c r="C4" s="326" t="s">
        <v>1021</v>
      </c>
      <c r="D4" s="326" t="s">
        <v>1018</v>
      </c>
      <c r="E4" s="326" t="s">
        <v>517</v>
      </c>
      <c r="F4" s="327">
        <v>33307194.210550047</v>
      </c>
      <c r="G4" s="327">
        <v>105572199.08120485</v>
      </c>
      <c r="H4" s="327">
        <v>107702498.85665253</v>
      </c>
      <c r="I4" s="327">
        <v>33206968.69316189</v>
      </c>
      <c r="J4" s="327">
        <v>6003789.0681348266</v>
      </c>
      <c r="K4" s="327">
        <f t="shared" si="0"/>
        <v>285792649.90970415</v>
      </c>
    </row>
    <row r="5" spans="1:17" ht="14.5" x14ac:dyDescent="0.3">
      <c r="A5" s="326" t="s">
        <v>1015</v>
      </c>
      <c r="B5" s="326" t="s">
        <v>1022</v>
      </c>
      <c r="C5" s="326" t="s">
        <v>1023</v>
      </c>
      <c r="D5" s="326" t="s">
        <v>1018</v>
      </c>
      <c r="E5" s="326" t="s">
        <v>517</v>
      </c>
      <c r="F5" s="327">
        <v>193425032.38628048</v>
      </c>
      <c r="G5" s="327">
        <v>43400164.683719531</v>
      </c>
      <c r="H5" s="327">
        <v>0</v>
      </c>
      <c r="I5" s="327">
        <v>0</v>
      </c>
      <c r="J5" s="327">
        <v>0</v>
      </c>
      <c r="K5" s="327">
        <f t="shared" si="0"/>
        <v>236825197.06999999</v>
      </c>
    </row>
    <row r="6" spans="1:17" ht="14.5" x14ac:dyDescent="0.3">
      <c r="A6" s="326" t="s">
        <v>1024</v>
      </c>
      <c r="B6" s="326" t="s">
        <v>1025</v>
      </c>
      <c r="C6" s="326" t="s">
        <v>1026</v>
      </c>
      <c r="D6" s="326" t="s">
        <v>1018</v>
      </c>
      <c r="E6" s="326" t="s">
        <v>517</v>
      </c>
      <c r="F6" s="327">
        <v>91318372.590000004</v>
      </c>
      <c r="G6" s="327">
        <v>64708475.340000004</v>
      </c>
      <c r="H6" s="327">
        <v>64268173.329999998</v>
      </c>
      <c r="I6" s="327">
        <v>453200.10000000003</v>
      </c>
      <c r="J6" s="327">
        <v>0</v>
      </c>
      <c r="K6" s="327">
        <f t="shared" si="0"/>
        <v>220748221.35999998</v>
      </c>
    </row>
    <row r="7" spans="1:17" ht="14.5" x14ac:dyDescent="0.3">
      <c r="A7" s="326" t="s">
        <v>507</v>
      </c>
      <c r="B7" s="326" t="s">
        <v>319</v>
      </c>
      <c r="C7" s="326" t="s">
        <v>1027</v>
      </c>
      <c r="D7" s="326" t="s">
        <v>1019</v>
      </c>
      <c r="E7" s="326" t="s">
        <v>517</v>
      </c>
      <c r="F7" s="327">
        <v>71760000</v>
      </c>
      <c r="G7" s="327">
        <v>42000000</v>
      </c>
      <c r="H7" s="327">
        <v>33200000</v>
      </c>
      <c r="I7" s="327">
        <v>0</v>
      </c>
      <c r="J7" s="327">
        <v>0</v>
      </c>
      <c r="K7" s="327">
        <f t="shared" si="0"/>
        <v>146960000</v>
      </c>
    </row>
    <row r="8" spans="1:17" ht="14.5" x14ac:dyDescent="0.3">
      <c r="A8" s="326" t="s">
        <v>507</v>
      </c>
      <c r="B8" s="326" t="s">
        <v>319</v>
      </c>
      <c r="C8" s="326" t="s">
        <v>1028</v>
      </c>
      <c r="D8" s="326" t="s">
        <v>1019</v>
      </c>
      <c r="E8" s="326" t="s">
        <v>517</v>
      </c>
      <c r="F8" s="327">
        <v>60852017.579999998</v>
      </c>
      <c r="G8" s="327">
        <v>0</v>
      </c>
      <c r="H8" s="327">
        <v>0</v>
      </c>
      <c r="I8" s="327">
        <v>0</v>
      </c>
      <c r="J8" s="327">
        <v>0</v>
      </c>
      <c r="K8" s="327">
        <f t="shared" si="0"/>
        <v>60852017.579999998</v>
      </c>
    </row>
    <row r="9" spans="1:17" ht="14.5" x14ac:dyDescent="0.3">
      <c r="A9" s="326" t="s">
        <v>507</v>
      </c>
      <c r="B9" s="326" t="s">
        <v>319</v>
      </c>
      <c r="C9" s="326" t="s">
        <v>326</v>
      </c>
      <c r="D9" s="326" t="s">
        <v>1019</v>
      </c>
      <c r="E9" s="326" t="s">
        <v>517</v>
      </c>
      <c r="F9" s="327">
        <v>33164957.66</v>
      </c>
      <c r="G9" s="327">
        <v>10144019.02</v>
      </c>
      <c r="H9" s="327">
        <v>221433.61</v>
      </c>
      <c r="I9" s="327">
        <v>0</v>
      </c>
      <c r="J9" s="327">
        <v>0</v>
      </c>
      <c r="K9" s="327">
        <f t="shared" si="0"/>
        <v>43530410.289999999</v>
      </c>
    </row>
    <row r="10" spans="1:17" ht="14.5" x14ac:dyDescent="0.3">
      <c r="A10" s="326" t="s">
        <v>1015</v>
      </c>
      <c r="B10" s="326" t="s">
        <v>1029</v>
      </c>
      <c r="C10" s="326" t="s">
        <v>1030</v>
      </c>
      <c r="D10" s="326" t="s">
        <v>1019</v>
      </c>
      <c r="E10" s="326" t="s">
        <v>517</v>
      </c>
      <c r="F10" s="327">
        <v>28500000</v>
      </c>
      <c r="G10" s="327">
        <v>9000000</v>
      </c>
      <c r="H10" s="327">
        <v>0</v>
      </c>
      <c r="I10" s="327">
        <v>0</v>
      </c>
      <c r="J10" s="327">
        <v>0</v>
      </c>
      <c r="K10" s="327">
        <f t="shared" si="0"/>
        <v>37500000</v>
      </c>
    </row>
    <row r="11" spans="1:17" ht="14.5" x14ac:dyDescent="0.3">
      <c r="A11" s="326" t="s">
        <v>507</v>
      </c>
      <c r="B11" s="326" t="s">
        <v>319</v>
      </c>
      <c r="C11" s="326" t="s">
        <v>351</v>
      </c>
      <c r="D11" s="326" t="s">
        <v>1019</v>
      </c>
      <c r="E11" s="326" t="s">
        <v>517</v>
      </c>
      <c r="F11" s="327">
        <v>6000000</v>
      </c>
      <c r="G11" s="327">
        <v>7000000</v>
      </c>
      <c r="H11" s="327">
        <v>4000000</v>
      </c>
      <c r="I11" s="327">
        <v>4000000</v>
      </c>
      <c r="J11" s="327">
        <v>0</v>
      </c>
      <c r="K11" s="327">
        <f t="shared" si="0"/>
        <v>21000000</v>
      </c>
    </row>
    <row r="12" spans="1:17" ht="14.5" x14ac:dyDescent="0.3">
      <c r="A12" s="326" t="s">
        <v>1015</v>
      </c>
      <c r="B12" s="326" t="s">
        <v>149</v>
      </c>
      <c r="C12" s="326" t="s">
        <v>1031</v>
      </c>
      <c r="D12" s="326" t="s">
        <v>1032</v>
      </c>
      <c r="E12" s="326" t="s">
        <v>517</v>
      </c>
      <c r="F12" s="327">
        <v>20435917.535700001</v>
      </c>
      <c r="G12" s="327">
        <v>0</v>
      </c>
      <c r="H12" s="327">
        <v>0</v>
      </c>
      <c r="I12" s="327">
        <v>0</v>
      </c>
      <c r="J12" s="327">
        <v>0</v>
      </c>
      <c r="K12" s="327">
        <f t="shared" si="0"/>
        <v>20435917.535700001</v>
      </c>
    </row>
    <row r="13" spans="1:17" ht="14.5" x14ac:dyDescent="0.3">
      <c r="A13" s="326" t="s">
        <v>507</v>
      </c>
      <c r="B13" s="326" t="s">
        <v>319</v>
      </c>
      <c r="C13" s="326" t="s">
        <v>1033</v>
      </c>
      <c r="D13" s="326" t="s">
        <v>1019</v>
      </c>
      <c r="E13" s="326" t="s">
        <v>517</v>
      </c>
      <c r="F13" s="327">
        <v>2000000</v>
      </c>
      <c r="G13" s="327">
        <v>8000000</v>
      </c>
      <c r="H13" s="327">
        <v>10000000</v>
      </c>
      <c r="I13" s="327">
        <v>0</v>
      </c>
      <c r="J13" s="327">
        <v>0</v>
      </c>
      <c r="K13" s="327">
        <f t="shared" si="0"/>
        <v>20000000</v>
      </c>
    </row>
    <row r="14" spans="1:17" ht="14.5" x14ac:dyDescent="0.3">
      <c r="A14" s="326" t="s">
        <v>135</v>
      </c>
      <c r="B14" s="326" t="s">
        <v>1034</v>
      </c>
      <c r="C14" s="326" t="s">
        <v>1035</v>
      </c>
      <c r="D14" s="326" t="s">
        <v>1018</v>
      </c>
      <c r="E14" s="326" t="s">
        <v>517</v>
      </c>
      <c r="F14" s="327">
        <v>3367645</v>
      </c>
      <c r="G14" s="327">
        <v>13827521</v>
      </c>
      <c r="H14" s="327"/>
      <c r="I14" s="327">
        <v>0</v>
      </c>
      <c r="J14" s="327">
        <v>0</v>
      </c>
      <c r="K14" s="327">
        <f t="shared" si="0"/>
        <v>17195166</v>
      </c>
    </row>
    <row r="15" spans="1:17" ht="14.5" x14ac:dyDescent="0.3">
      <c r="A15" s="328" t="s">
        <v>507</v>
      </c>
      <c r="B15" s="328" t="s">
        <v>319</v>
      </c>
      <c r="C15" s="328" t="s">
        <v>1036</v>
      </c>
      <c r="D15" s="328" t="s">
        <v>1019</v>
      </c>
      <c r="E15" s="326" t="s">
        <v>517</v>
      </c>
      <c r="F15" s="327">
        <v>5000000</v>
      </c>
      <c r="G15" s="327">
        <v>5000000</v>
      </c>
      <c r="H15" s="327">
        <v>5000000</v>
      </c>
      <c r="I15" s="327">
        <v>0</v>
      </c>
      <c r="J15" s="327">
        <v>0</v>
      </c>
      <c r="K15" s="327">
        <f t="shared" si="0"/>
        <v>15000000</v>
      </c>
    </row>
    <row r="16" spans="1:17" ht="14.5" x14ac:dyDescent="0.3">
      <c r="A16" s="329" t="s">
        <v>507</v>
      </c>
      <c r="B16" s="329" t="s">
        <v>149</v>
      </c>
      <c r="C16" s="329" t="s">
        <v>148</v>
      </c>
      <c r="D16" s="329" t="s">
        <v>1032</v>
      </c>
      <c r="E16" s="329" t="s">
        <v>517</v>
      </c>
      <c r="F16" s="330">
        <v>0</v>
      </c>
      <c r="G16" s="330"/>
      <c r="H16" s="330">
        <v>7820000</v>
      </c>
      <c r="I16" s="330">
        <v>4692000</v>
      </c>
      <c r="J16" s="330">
        <v>0</v>
      </c>
      <c r="K16" s="330">
        <f t="shared" si="0"/>
        <v>12512000</v>
      </c>
    </row>
  </sheetData>
  <pageMargins left="0.511811024" right="0.511811024" top="0.78740157499999996" bottom="0.78740157499999996" header="0.31496062000000002" footer="0.31496062000000002"/>
  <drawing r:id="rId1"/>
  <tableParts count="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5B8B4-39F1-4178-ACB3-60A9B5864A17}">
  <sheetPr>
    <tabColor rgb="FFD6EB00"/>
  </sheetPr>
  <dimension ref="A1:AZ1002"/>
  <sheetViews>
    <sheetView showGridLines="0" topLeftCell="BH9" zoomScale="70" zoomScaleNormal="70" workbookViewId="0">
      <selection activeCell="AS8" sqref="AS8:AZ8"/>
    </sheetView>
  </sheetViews>
  <sheetFormatPr defaultColWidth="8.69921875" defaultRowHeight="14.5" x14ac:dyDescent="0.35"/>
  <cols>
    <col min="1" max="1" width="63.3984375" style="1" bestFit="1" customWidth="1"/>
    <col min="2" max="2" width="40.8984375" style="2" bestFit="1" customWidth="1"/>
    <col min="3" max="3" width="25.8984375" style="3" bestFit="1" customWidth="1"/>
    <col min="4" max="4" width="10.09765625" style="2" bestFit="1" customWidth="1"/>
    <col min="5" max="5" width="17.69921875" style="2" bestFit="1" customWidth="1"/>
    <col min="6" max="6" width="15.8984375" style="2" bestFit="1" customWidth="1"/>
    <col min="7" max="7" width="28.59765625" style="2" bestFit="1" customWidth="1"/>
    <col min="8" max="8" width="19.3984375" style="90" bestFit="1" customWidth="1"/>
    <col min="9" max="9" width="11.3984375" style="90" bestFit="1" customWidth="1"/>
    <col min="10" max="10" width="51" style="90" bestFit="1" customWidth="1"/>
    <col min="11" max="11" width="21.8984375" style="2" bestFit="1" customWidth="1"/>
    <col min="12" max="12" width="26.69921875" style="2" bestFit="1" customWidth="1"/>
    <col min="13" max="13" width="21.69921875" style="2" bestFit="1" customWidth="1"/>
    <col min="14" max="14" width="21.09765625" style="2" bestFit="1" customWidth="1"/>
    <col min="15" max="15" width="17.09765625" style="90" bestFit="1" customWidth="1"/>
    <col min="16" max="16" width="19.3984375" style="90" bestFit="1" customWidth="1"/>
    <col min="17" max="17" width="129" style="2" customWidth="1"/>
    <col min="18" max="18" width="43.09765625" style="90" customWidth="1"/>
    <col min="19" max="19" width="22.3984375" style="2" bestFit="1" customWidth="1"/>
    <col min="20" max="20" width="42.3984375" style="2" hidden="1" customWidth="1"/>
    <col min="21" max="21" width="15.09765625" style="2" hidden="1" customWidth="1"/>
    <col min="22" max="23" width="15.09765625" style="90" hidden="1" customWidth="1"/>
    <col min="24" max="24" width="15.09765625" hidden="1" customWidth="1"/>
    <col min="25" max="25" width="18.09765625" hidden="1" customWidth="1"/>
    <col min="26" max="26" width="15.09765625" hidden="1" customWidth="1"/>
    <col min="27" max="30" width="15.09765625" style="2" hidden="1" customWidth="1"/>
    <col min="31" max="32" width="16.8984375" style="2" hidden="1" customWidth="1"/>
    <col min="33" max="33" width="18" style="2" hidden="1" customWidth="1"/>
    <col min="34" max="34" width="15.09765625" style="2" hidden="1" customWidth="1"/>
    <col min="35" max="36" width="14" style="2" hidden="1" customWidth="1"/>
    <col min="37" max="37" width="18" style="2" hidden="1" customWidth="1"/>
    <col min="38" max="38" width="15.09765625" style="2" hidden="1" customWidth="1"/>
    <col min="39" max="41" width="12.09765625" style="2" hidden="1" customWidth="1"/>
    <col min="42" max="42" width="15.09765625" style="2" hidden="1" customWidth="1"/>
    <col min="43" max="43" width="25.296875" style="2" hidden="1" customWidth="1"/>
    <col min="44" max="44" width="17.09765625" style="2" hidden="1" customWidth="1"/>
    <col min="45" max="45" width="24.69921875" style="2" hidden="1" customWidth="1"/>
    <col min="46" max="46" width="19.09765625" style="2" hidden="1" customWidth="1"/>
    <col min="47" max="47" width="30.09765625" style="2" bestFit="1" customWidth="1"/>
    <col min="48" max="48" width="19.09765625" style="2" customWidth="1"/>
    <col min="49" max="49" width="24.69921875" style="2" bestFit="1" customWidth="1"/>
    <col min="50" max="50" width="35.3984375" style="2" bestFit="1" customWidth="1"/>
    <col min="51" max="51" width="19" style="2" bestFit="1" customWidth="1"/>
    <col min="52" max="52" width="29.3984375" style="2" bestFit="1" customWidth="1"/>
    <col min="53" max="16384" width="8.69921875" style="2"/>
  </cols>
  <sheetData>
    <row r="1" spans="1:52" ht="9" hidden="1" customHeight="1" thickBot="1" x14ac:dyDescent="0.4">
      <c r="O1" s="68"/>
      <c r="R1" s="2"/>
      <c r="T1" s="90"/>
      <c r="V1" s="2"/>
      <c r="W1" s="2"/>
      <c r="X1" s="90"/>
      <c r="Y1" s="90"/>
      <c r="Z1" s="2"/>
    </row>
    <row r="2" spans="1:52" ht="24" hidden="1" customHeight="1" thickBot="1" x14ac:dyDescent="0.65">
      <c r="A2" s="2"/>
      <c r="B2" s="4" t="s">
        <v>433</v>
      </c>
      <c r="C2" s="4"/>
      <c r="G2" s="64" t="s">
        <v>434</v>
      </c>
      <c r="H2" s="92" t="b">
        <f>AND($H$3&lt;&gt;"",$H$4&lt;&gt;"")</f>
        <v>1</v>
      </c>
      <c r="J2" s="76" t="s">
        <v>435</v>
      </c>
      <c r="L2" s="430" t="s">
        <v>436</v>
      </c>
      <c r="M2" s="225" t="s">
        <v>437</v>
      </c>
      <c r="N2" s="225"/>
      <c r="O2" s="225"/>
      <c r="R2" s="2"/>
      <c r="T2" s="90"/>
      <c r="V2" s="2"/>
      <c r="W2" s="2"/>
      <c r="X2" s="90"/>
      <c r="Y2" s="90"/>
      <c r="Z2" s="5"/>
      <c r="AA2" s="5"/>
      <c r="AB2" s="5"/>
      <c r="AC2" s="5"/>
      <c r="AD2" s="5"/>
      <c r="AE2" s="5"/>
      <c r="AJ2" s="6"/>
      <c r="AP2" s="5"/>
    </row>
    <row r="3" spans="1:52" ht="17.149999999999999" hidden="1" customHeight="1" x14ac:dyDescent="0.5">
      <c r="A3" s="2"/>
      <c r="B3" s="7" t="s">
        <v>438</v>
      </c>
      <c r="C3" s="8"/>
      <c r="G3" s="63" t="s">
        <v>13</v>
      </c>
      <c r="H3" s="93" t="s">
        <v>439</v>
      </c>
      <c r="I3" s="231" t="s">
        <v>11</v>
      </c>
      <c r="J3" s="96" t="str" cm="1">
        <f t="array" aca="1" ref="J3" ca="1">MID(CELL("filename"),SEARCH("[",CELL("filename"))+1,SEARCH("]",CELL("filename"))-SEARCH("[",CELL("filename"))-1)</f>
        <v>Capex Orcamentário_PE2026_2030_red_35_porcentoR3_consulta.xlsx</v>
      </c>
      <c r="L3" s="430"/>
      <c r="M3" s="225"/>
      <c r="N3" s="225"/>
      <c r="O3" s="225"/>
      <c r="R3" s="2"/>
      <c r="T3" s="204">
        <f>SUBTOTAL(9,Tabela96[jan/26])</f>
        <v>667710</v>
      </c>
      <c r="U3" s="204">
        <f>SUBTOTAL(9,Tabela96[fev/26])</f>
        <v>942615</v>
      </c>
      <c r="V3" s="204">
        <f>SUBTOTAL(9,Tabela96[mar/26])</f>
        <v>724225</v>
      </c>
      <c r="W3" s="204">
        <f>SUBTOTAL(9,Tabela96[abr/26])</f>
        <v>925249</v>
      </c>
      <c r="X3" s="204">
        <f>SUBTOTAL(9,Tabela96[mai/26])</f>
        <v>600960</v>
      </c>
      <c r="Y3" s="204">
        <f>SUBTOTAL(9,Tabela96[jun/26])</f>
        <v>787949</v>
      </c>
      <c r="Z3" s="204">
        <f>SUBTOTAL(9,Tabela96[jul/26])</f>
        <v>1948960</v>
      </c>
      <c r="AA3" s="204">
        <f>SUBTOTAL(9,Tabela96[ago/26])</f>
        <v>1395494</v>
      </c>
      <c r="AB3" s="204">
        <f>SUBTOTAL(9,Tabela96[set/26])</f>
        <v>2383183</v>
      </c>
      <c r="AC3" s="204">
        <f>SUBTOTAL(9,Tabela96[out/26])</f>
        <v>1591546</v>
      </c>
      <c r="AD3" s="204">
        <f>SUBTOTAL(9,Tabela96[nov/26])</f>
        <v>1223205</v>
      </c>
      <c r="AE3" s="204">
        <f>SUBTOTAL(9,Tabela96[dez/26])</f>
        <v>1178676</v>
      </c>
      <c r="AF3" s="204">
        <f>SUBTOTAL(9,Tabela96[2026])</f>
        <v>14369772</v>
      </c>
      <c r="AG3" s="204">
        <f>SUBTOTAL(9,Tabela96[2027])</f>
        <v>21261292.199999999</v>
      </c>
      <c r="AH3" s="204">
        <f>SUBTOTAL(9,Tabela96[2028])</f>
        <v>1160674</v>
      </c>
      <c r="AI3" s="204">
        <f>SUBTOTAL(9,Tabela96[2029])</f>
        <v>360113</v>
      </c>
      <c r="AJ3" s="204">
        <f>SUBTOTAL(9,Tabela96[2030])</f>
        <v>71325</v>
      </c>
      <c r="AK3" s="204">
        <f>SUBTOTAL(9,Tabela96[2026-2030])</f>
        <v>37223176.200000003</v>
      </c>
      <c r="AL3" s="204">
        <f>SUBTOTAL(9,Tabela96[2031])</f>
        <v>2685000</v>
      </c>
      <c r="AM3" s="204">
        <f>SUBTOTAL(9,Tabela96[2032])</f>
        <v>0</v>
      </c>
      <c r="AN3" s="204">
        <f>SUBTOTAL(9,Tabela96[2033])</f>
        <v>0</v>
      </c>
      <c r="AO3" s="204">
        <f>SUBTOTAL(9,Tabela96[2034])</f>
        <v>0</v>
      </c>
      <c r="AP3" s="204">
        <f>SUBTOTAL(9,Tabela96[2035])</f>
        <v>200000</v>
      </c>
      <c r="AQ3" s="204">
        <f>SUBTOTAL(9,Tabela96[2026-2035])</f>
        <v>40108176.200000003</v>
      </c>
    </row>
    <row r="4" spans="1:52" ht="12.75" hidden="1" customHeight="1" thickBot="1" x14ac:dyDescent="0.4">
      <c r="A4" s="2"/>
      <c r="C4" s="2"/>
      <c r="D4" s="89"/>
      <c r="G4" s="63" t="s">
        <v>441</v>
      </c>
      <c r="H4" s="94" t="s">
        <v>442</v>
      </c>
      <c r="J4" s="232"/>
      <c r="L4" s="430"/>
      <c r="M4" s="225"/>
      <c r="N4" s="225"/>
      <c r="O4" s="225"/>
      <c r="R4" s="2"/>
      <c r="T4" s="205">
        <f>SUM(Tabela96[jan/26])</f>
        <v>667710</v>
      </c>
      <c r="U4" s="205">
        <f>SUM(Tabela96[fev/26])</f>
        <v>942615</v>
      </c>
      <c r="V4" s="205">
        <f>SUM(Tabela96[mar/26])</f>
        <v>724225</v>
      </c>
      <c r="W4" s="205">
        <f>SUM(Tabela96[abr/26])</f>
        <v>925249</v>
      </c>
      <c r="X4" s="205">
        <f>SUM(Tabela96[mai/26])</f>
        <v>600960</v>
      </c>
      <c r="Y4" s="205">
        <f>SUM(Tabela96[jun/26])</f>
        <v>787949</v>
      </c>
      <c r="Z4" s="205">
        <f>SUM(Tabela96[jul/26])</f>
        <v>1948960</v>
      </c>
      <c r="AA4" s="205">
        <f>SUM(Tabela96[ago/26])</f>
        <v>1395494</v>
      </c>
      <c r="AB4" s="205">
        <f>SUM(Tabela96[set/26])</f>
        <v>2383183</v>
      </c>
      <c r="AC4" s="205">
        <f>SUM(Tabela96[out/26])</f>
        <v>1591546</v>
      </c>
      <c r="AD4" s="205">
        <f>SUM(Tabela96[nov/26])</f>
        <v>1223205</v>
      </c>
      <c r="AE4" s="205">
        <f>SUM(Tabela96[dez/26])</f>
        <v>1178676</v>
      </c>
      <c r="AF4" s="205">
        <f>SUM(Tabela96[2026])</f>
        <v>14369772</v>
      </c>
      <c r="AG4" s="205">
        <f>SUM(Tabela96[2027])</f>
        <v>21261292.199999999</v>
      </c>
      <c r="AH4" s="205">
        <f>SUM(Tabela96[2028])</f>
        <v>1160674</v>
      </c>
      <c r="AI4" s="205">
        <f>SUM(Tabela96[2029])</f>
        <v>360113</v>
      </c>
      <c r="AJ4" s="205">
        <f>SUM(Tabela96[2030])</f>
        <v>71325</v>
      </c>
      <c r="AK4" s="205">
        <f>SUM(Tabela96[2026-2030])</f>
        <v>37223176.200000003</v>
      </c>
      <c r="AL4" s="205">
        <f>SUM(Tabela96[2031])</f>
        <v>2685000</v>
      </c>
      <c r="AM4" s="205">
        <f>SUM(Tabela96[2032])</f>
        <v>0</v>
      </c>
      <c r="AN4" s="205">
        <f>SUM(Tabela96[2033])</f>
        <v>0</v>
      </c>
      <c r="AO4" s="205">
        <f>SUM(Tabela96[2034])</f>
        <v>0</v>
      </c>
      <c r="AP4" s="205">
        <f>SUM(Tabela96[2035])</f>
        <v>200000</v>
      </c>
      <c r="AQ4" s="205">
        <f>SUM(Tabela96[2026-2035])</f>
        <v>40108176.200000003</v>
      </c>
    </row>
    <row r="5" spans="1:52" ht="31.5" hidden="1" customHeight="1" thickBot="1" x14ac:dyDescent="0.4">
      <c r="A5" s="203" t="e">
        <f>AND($H$2,'Consolidado-Eletronorte'!$B$19:$B$19)</f>
        <v>#REF!</v>
      </c>
      <c r="B5" s="12" t="str">
        <f>_xlfn.CONCAT(D9)</f>
        <v>COO</v>
      </c>
      <c r="C5" s="13"/>
      <c r="J5" s="232"/>
      <c r="L5" s="430"/>
      <c r="M5" s="225"/>
      <c r="N5" s="225"/>
      <c r="O5" s="225"/>
      <c r="P5" s="91"/>
      <c r="R5" s="2"/>
      <c r="T5" s="90"/>
      <c r="U5" s="14"/>
      <c r="V5" s="14"/>
      <c r="W5" s="14"/>
      <c r="X5" s="91"/>
      <c r="Y5" s="91"/>
      <c r="Z5" s="15"/>
      <c r="AA5" s="15"/>
      <c r="AB5" s="15"/>
      <c r="AC5" s="15"/>
      <c r="AD5" s="15"/>
      <c r="AE5" s="15"/>
      <c r="AF5" s="15"/>
      <c r="AG5" s="15"/>
      <c r="AH5" s="15"/>
      <c r="AI5" s="15"/>
      <c r="AJ5" s="15"/>
      <c r="AK5" s="15"/>
      <c r="AL5" s="15"/>
      <c r="AM5" s="15"/>
      <c r="AN5" s="15"/>
      <c r="AO5" s="15"/>
    </row>
    <row r="6" spans="1:52" ht="25.5" hidden="1" customHeight="1" x14ac:dyDescent="0.35">
      <c r="C6" s="2"/>
      <c r="H6" s="95"/>
      <c r="I6" s="67"/>
      <c r="J6" s="233" t="s">
        <v>444</v>
      </c>
      <c r="K6" s="206">
        <f>COUNTIF('Consolidado-Eletronorte'!$B$19:$B$19,TRUE)</f>
        <v>0</v>
      </c>
      <c r="L6" s="432"/>
      <c r="M6" s="226"/>
      <c r="N6" s="226"/>
      <c r="O6" s="226"/>
      <c r="R6" s="2"/>
      <c r="T6" s="90"/>
      <c r="V6" s="2"/>
      <c r="W6" s="2"/>
      <c r="X6" s="90"/>
      <c r="Y6" s="90"/>
      <c r="Z6" s="2"/>
    </row>
    <row r="7" spans="1:52" s="74" customFormat="1" ht="40.15" customHeight="1" x14ac:dyDescent="0.45">
      <c r="A7" s="69" t="s">
        <v>445</v>
      </c>
      <c r="B7" s="70"/>
      <c r="C7" s="71"/>
      <c r="D7" s="71"/>
      <c r="E7" s="71"/>
      <c r="F7" s="71"/>
      <c r="G7" s="72"/>
      <c r="H7" s="98" t="s">
        <v>23</v>
      </c>
      <c r="I7" s="99"/>
      <c r="J7" s="99"/>
      <c r="K7" s="99"/>
      <c r="L7" s="100"/>
      <c r="M7" s="78" t="s">
        <v>446</v>
      </c>
      <c r="N7" s="101" t="s">
        <v>447</v>
      </c>
      <c r="O7" s="101"/>
      <c r="P7" s="102"/>
      <c r="Q7" s="102"/>
      <c r="R7" s="102"/>
      <c r="S7" s="102"/>
      <c r="T7" s="65" t="s">
        <v>448</v>
      </c>
      <c r="U7" s="65"/>
      <c r="V7" s="65"/>
      <c r="W7" s="65"/>
      <c r="X7" s="65"/>
      <c r="Y7" s="65"/>
      <c r="Z7" s="65"/>
      <c r="AA7" s="65"/>
      <c r="AB7" s="65"/>
      <c r="AC7" s="65"/>
      <c r="AD7" s="65"/>
      <c r="AE7" s="65"/>
      <c r="AF7" s="65"/>
      <c r="AG7" s="65"/>
      <c r="AH7" s="65"/>
      <c r="AI7" s="65"/>
      <c r="AJ7" s="65"/>
      <c r="AK7" s="65"/>
      <c r="AL7" s="65"/>
      <c r="AM7" s="65"/>
      <c r="AN7" s="65"/>
      <c r="AO7" s="65"/>
      <c r="AP7" s="65"/>
      <c r="AQ7" s="65"/>
      <c r="AR7" s="66"/>
      <c r="AS7" s="73"/>
    </row>
    <row r="8" spans="1:52" s="18" customFormat="1" x14ac:dyDescent="0.35">
      <c r="A8" s="249" t="s">
        <v>8</v>
      </c>
      <c r="B8" s="249" t="s">
        <v>10</v>
      </c>
      <c r="C8" s="249" t="s">
        <v>11</v>
      </c>
      <c r="D8" s="249" t="s">
        <v>13</v>
      </c>
      <c r="E8" s="249" t="s">
        <v>15</v>
      </c>
      <c r="F8" s="249" t="s">
        <v>16</v>
      </c>
      <c r="G8" s="249" t="s">
        <v>449</v>
      </c>
      <c r="H8" s="250" t="s">
        <v>20</v>
      </c>
      <c r="I8" s="250" t="s">
        <v>19</v>
      </c>
      <c r="J8" s="250" t="s">
        <v>21</v>
      </c>
      <c r="K8" s="250" t="s">
        <v>450</v>
      </c>
      <c r="L8" s="250" t="s">
        <v>451</v>
      </c>
      <c r="M8" s="251" t="s">
        <v>452</v>
      </c>
      <c r="N8" s="252" t="s">
        <v>453</v>
      </c>
      <c r="O8" s="149" t="s">
        <v>454</v>
      </c>
      <c r="P8" s="149" t="s">
        <v>455</v>
      </c>
      <c r="Q8" s="149" t="s">
        <v>457</v>
      </c>
      <c r="R8" s="149" t="s">
        <v>472</v>
      </c>
      <c r="S8" s="149" t="s">
        <v>473</v>
      </c>
      <c r="T8" s="253" t="s">
        <v>474</v>
      </c>
      <c r="U8" s="253" t="s">
        <v>475</v>
      </c>
      <c r="V8" s="253" t="s">
        <v>476</v>
      </c>
      <c r="W8" s="253" t="s">
        <v>477</v>
      </c>
      <c r="X8" s="253" t="s">
        <v>478</v>
      </c>
      <c r="Y8" s="253" t="s">
        <v>479</v>
      </c>
      <c r="Z8" s="253" t="s">
        <v>480</v>
      </c>
      <c r="AA8" s="253" t="s">
        <v>481</v>
      </c>
      <c r="AB8" s="253" t="s">
        <v>482</v>
      </c>
      <c r="AC8" s="253" t="s">
        <v>483</v>
      </c>
      <c r="AD8" s="253" t="s">
        <v>484</v>
      </c>
      <c r="AE8" s="253" t="s">
        <v>485</v>
      </c>
      <c r="AF8" s="254" t="s">
        <v>60</v>
      </c>
      <c r="AG8" s="254" t="s">
        <v>61</v>
      </c>
      <c r="AH8" s="254" t="s">
        <v>62</v>
      </c>
      <c r="AI8" s="254" t="s">
        <v>64</v>
      </c>
      <c r="AJ8" s="254" t="s">
        <v>66</v>
      </c>
      <c r="AK8" s="254" t="s">
        <v>486</v>
      </c>
      <c r="AL8" s="254" t="s">
        <v>67</v>
      </c>
      <c r="AM8" s="254" t="s">
        <v>68</v>
      </c>
      <c r="AN8" s="254" t="s">
        <v>69</v>
      </c>
      <c r="AO8" s="254" t="s">
        <v>487</v>
      </c>
      <c r="AP8" s="254" t="s">
        <v>488</v>
      </c>
      <c r="AQ8" s="255" t="s">
        <v>489</v>
      </c>
      <c r="AR8" s="257" t="s">
        <v>1037</v>
      </c>
      <c r="AS8" s="258" t="s">
        <v>493</v>
      </c>
      <c r="AT8" s="259" t="s">
        <v>494</v>
      </c>
      <c r="AU8" s="260" t="s">
        <v>495</v>
      </c>
      <c r="AV8" s="258" t="s">
        <v>496</v>
      </c>
      <c r="AW8" s="258" t="s">
        <v>498</v>
      </c>
      <c r="AX8" s="258" t="s">
        <v>1038</v>
      </c>
      <c r="AY8" s="258" t="s">
        <v>502</v>
      </c>
      <c r="AZ8" s="258" t="s">
        <v>504</v>
      </c>
    </row>
    <row r="9" spans="1:52" ht="100.5" customHeight="1" x14ac:dyDescent="0.35">
      <c r="A9" s="162"/>
      <c r="B9" s="179" t="b" cm="1">
        <f t="array" ref="B9">AND(ISTEXT('Consolidado-Eletronorte'!$H19:$M19),SUM('Consolidado-Eletronorte'!$AI19:$BF19)&gt;0)</f>
        <v>1</v>
      </c>
      <c r="C9" s="162" t="str">
        <f t="shared" ref="C9:C43" ca="1" si="0">$J$3</f>
        <v>Capex Orcamentário_PE2026_2030_red_35_porcentoR3_consulta.xlsx</v>
      </c>
      <c r="D9" s="162" t="str">
        <f t="shared" ref="D9:D43" si="1">$H$3</f>
        <v>COO</v>
      </c>
      <c r="E9" s="162" t="str">
        <f t="shared" ref="E9:E43" si="2">$H$4</f>
        <v>Lucas Martins</v>
      </c>
      <c r="F9" s="162"/>
      <c r="G9" s="162" t="str">
        <f>_xlfn.CONCAT('Consolidado-Eletronorte'!$D19,"_",ROW('Consolidado-Eletronorte'!$G19)-ROW('Consolidado-Eletronorte'!$G$18))</f>
        <v>COO_1</v>
      </c>
      <c r="H9" s="165" t="s">
        <v>506</v>
      </c>
      <c r="I9" s="165" t="s">
        <v>135</v>
      </c>
      <c r="J9" s="165" t="s">
        <v>508</v>
      </c>
      <c r="K9" s="165" t="s">
        <v>1039</v>
      </c>
      <c r="L9" s="165" t="s">
        <v>1040</v>
      </c>
      <c r="M9" s="165" t="s">
        <v>1041</v>
      </c>
      <c r="N9" s="165"/>
      <c r="O9" s="165"/>
      <c r="P9" s="165"/>
      <c r="Q9" s="178" t="s">
        <v>1042</v>
      </c>
      <c r="R9" s="178" t="s">
        <v>1043</v>
      </c>
      <c r="S9" s="178" t="s">
        <v>1044</v>
      </c>
      <c r="T9" s="198">
        <v>15000</v>
      </c>
      <c r="U9" s="198">
        <v>80000</v>
      </c>
      <c r="V9" s="198">
        <v>65000</v>
      </c>
      <c r="W9" s="198">
        <v>40000</v>
      </c>
      <c r="X9" s="198" t="s">
        <v>1045</v>
      </c>
      <c r="Y9" s="198" t="s">
        <v>1045</v>
      </c>
      <c r="Z9" s="198" t="s">
        <v>1045</v>
      </c>
      <c r="AA9" s="198" t="s">
        <v>1045</v>
      </c>
      <c r="AB9" s="198" t="s">
        <v>1045</v>
      </c>
      <c r="AC9" s="198" t="s">
        <v>1045</v>
      </c>
      <c r="AD9" s="198" t="s">
        <v>1045</v>
      </c>
      <c r="AE9" s="198" t="s">
        <v>1045</v>
      </c>
      <c r="AF9" s="197">
        <f>SUM(Tabela96[[#This Row],[jan/26]:[dez/26]])</f>
        <v>200000</v>
      </c>
      <c r="AG9" s="198">
        <v>0</v>
      </c>
      <c r="AH9" s="198">
        <v>0</v>
      </c>
      <c r="AI9" s="198">
        <v>0</v>
      </c>
      <c r="AJ9" s="198">
        <v>0</v>
      </c>
      <c r="AK9" s="198">
        <f>SUM(Tabela96[[#This Row],[2026]:[2030]])</f>
        <v>200000</v>
      </c>
      <c r="AL9" s="198">
        <v>0</v>
      </c>
      <c r="AM9" s="198">
        <v>0</v>
      </c>
      <c r="AN9" s="198">
        <v>0</v>
      </c>
      <c r="AO9" s="198">
        <v>0</v>
      </c>
      <c r="AP9" s="198">
        <v>0</v>
      </c>
      <c r="AQ9" s="202">
        <f>SUM(Tabela96[[#This Row],[2026-2030]:[2035]])</f>
        <v>200000</v>
      </c>
      <c r="AS9" s="178" t="s">
        <v>1046</v>
      </c>
      <c r="AT9" s="201">
        <v>2025</v>
      </c>
      <c r="AU9" s="178" t="s">
        <v>1047</v>
      </c>
      <c r="AV9" s="112" t="s">
        <v>1048</v>
      </c>
      <c r="AW9" s="178" t="s">
        <v>1049</v>
      </c>
      <c r="AZ9" s="178" t="s">
        <v>1050</v>
      </c>
    </row>
    <row r="10" spans="1:52" ht="52.5" customHeight="1" x14ac:dyDescent="0.35">
      <c r="A10" s="162"/>
      <c r="B10" s="179" t="e" cm="1">
        <f t="array" ref="B10">AND(ISTEXT('Consolidado-Eletronorte'!#REF!),SUM('Consolidado-Eletronorte'!#REF!)&gt;0)</f>
        <v>#REF!</v>
      </c>
      <c r="C10" s="162" t="str">
        <f t="shared" ca="1" si="0"/>
        <v>Capex Orcamentário_PE2026_2030_red_35_porcentoR3_consulta.xlsx</v>
      </c>
      <c r="D10" s="162" t="str">
        <f t="shared" si="1"/>
        <v>COO</v>
      </c>
      <c r="E10" s="162" t="str">
        <f t="shared" si="2"/>
        <v>Lucas Martins</v>
      </c>
      <c r="F10" s="162"/>
      <c r="G10" s="162" t="e">
        <f>_xlfn.CONCAT('Consolidado-Eletronorte'!#REF!,"_",ROW('Consolidado-Eletronorte'!#REF!)-ROW('Consolidado-Eletronorte'!$G$18))</f>
        <v>#REF!</v>
      </c>
      <c r="H10" s="165" t="s">
        <v>506</v>
      </c>
      <c r="I10" s="165" t="s">
        <v>135</v>
      </c>
      <c r="J10" s="165" t="s">
        <v>508</v>
      </c>
      <c r="K10" s="165" t="s">
        <v>1039</v>
      </c>
      <c r="L10" s="165" t="s">
        <v>1040</v>
      </c>
      <c r="M10" s="178" t="s">
        <v>1051</v>
      </c>
      <c r="N10" s="165"/>
      <c r="O10" s="165"/>
      <c r="P10" s="165"/>
      <c r="Q10" s="178" t="s">
        <v>1052</v>
      </c>
      <c r="R10" s="178" t="s">
        <v>1053</v>
      </c>
      <c r="S10" s="178" t="s">
        <v>1054</v>
      </c>
      <c r="T10" s="198">
        <v>15000</v>
      </c>
      <c r="U10" s="198">
        <v>80000</v>
      </c>
      <c r="V10" s="198">
        <v>65000</v>
      </c>
      <c r="W10" s="198">
        <v>40000</v>
      </c>
      <c r="X10" s="198" t="s">
        <v>1045</v>
      </c>
      <c r="Y10" s="198" t="s">
        <v>1045</v>
      </c>
      <c r="Z10" s="198" t="s">
        <v>1045</v>
      </c>
      <c r="AA10" s="198" t="s">
        <v>1045</v>
      </c>
      <c r="AB10" s="198" t="s">
        <v>1045</v>
      </c>
      <c r="AC10" s="198" t="s">
        <v>1045</v>
      </c>
      <c r="AD10" s="198" t="s">
        <v>1045</v>
      </c>
      <c r="AE10" s="198" t="s">
        <v>1045</v>
      </c>
      <c r="AF10" s="197">
        <f>SUM(Tabela96[[#This Row],[jan/26]:[dez/26]])</f>
        <v>200000</v>
      </c>
      <c r="AG10" s="198">
        <v>0</v>
      </c>
      <c r="AH10" s="198">
        <v>0</v>
      </c>
      <c r="AI10" s="198">
        <v>0</v>
      </c>
      <c r="AJ10" s="198">
        <v>0</v>
      </c>
      <c r="AK10" s="198">
        <f>SUM(Tabela96[[#This Row],[2026]:[2030]])</f>
        <v>200000</v>
      </c>
      <c r="AL10" s="198">
        <v>0</v>
      </c>
      <c r="AM10" s="198">
        <v>0</v>
      </c>
      <c r="AN10" s="198">
        <v>0</v>
      </c>
      <c r="AO10" s="198">
        <v>0</v>
      </c>
      <c r="AP10" s="198">
        <v>0</v>
      </c>
      <c r="AQ10" s="202">
        <f>SUM(Tabela96[[#This Row],[2026-2030]:[2035]])</f>
        <v>200000</v>
      </c>
      <c r="AS10" s="178" t="s">
        <v>1046</v>
      </c>
      <c r="AT10" s="201">
        <v>2025</v>
      </c>
      <c r="AU10" s="178" t="s">
        <v>1055</v>
      </c>
      <c r="AV10" s="112" t="s">
        <v>1056</v>
      </c>
      <c r="AW10" s="178" t="s">
        <v>1049</v>
      </c>
      <c r="AZ10" s="178" t="s">
        <v>1050</v>
      </c>
    </row>
    <row r="11" spans="1:52" ht="24.75" customHeight="1" x14ac:dyDescent="0.35">
      <c r="B11" s="179" t="e" cm="1">
        <f t="array" ref="B11">AND(ISTEXT('Consolidado-Eletronorte'!#REF!),SUM('Consolidado-Eletronorte'!#REF!)&gt;0)</f>
        <v>#REF!</v>
      </c>
      <c r="C11" s="162" t="str">
        <f t="shared" ca="1" si="0"/>
        <v>Capex Orcamentário_PE2026_2030_red_35_porcentoR3_consulta.xlsx</v>
      </c>
      <c r="D11" s="163" t="str">
        <f t="shared" si="1"/>
        <v>COO</v>
      </c>
      <c r="E11" s="163" t="str">
        <f t="shared" si="2"/>
        <v>Lucas Martins</v>
      </c>
      <c r="F11" s="164"/>
      <c r="G11" s="164" t="e">
        <f>_xlfn.CONCAT('Consolidado-Eletronorte'!#REF!,"_",ROW('Consolidado-Eletronorte'!#REF!)-ROW('Consolidado-Eletronorte'!$G$18))</f>
        <v>#REF!</v>
      </c>
      <c r="H11" s="165" t="s">
        <v>506</v>
      </c>
      <c r="I11" s="165" t="s">
        <v>135</v>
      </c>
      <c r="J11" s="165" t="s">
        <v>508</v>
      </c>
      <c r="K11" s="165" t="s">
        <v>1039</v>
      </c>
      <c r="L11" s="165" t="s">
        <v>1040</v>
      </c>
      <c r="M11" s="178" t="s">
        <v>1057</v>
      </c>
      <c r="N11" s="165"/>
      <c r="O11" s="165"/>
      <c r="P11" s="165"/>
      <c r="Q11" s="178" t="s">
        <v>1058</v>
      </c>
      <c r="R11" s="178" t="s">
        <v>1059</v>
      </c>
      <c r="S11" s="178" t="s">
        <v>1060</v>
      </c>
      <c r="T11" s="198">
        <v>15000</v>
      </c>
      <c r="U11" s="198">
        <v>80000</v>
      </c>
      <c r="V11" s="198">
        <v>65000</v>
      </c>
      <c r="W11" s="198">
        <v>60000</v>
      </c>
      <c r="X11" s="198" t="s">
        <v>1045</v>
      </c>
      <c r="Y11" s="198" t="s">
        <v>1045</v>
      </c>
      <c r="Z11" s="198" t="s">
        <v>1045</v>
      </c>
      <c r="AA11" s="198" t="s">
        <v>1045</v>
      </c>
      <c r="AB11" s="198" t="s">
        <v>1045</v>
      </c>
      <c r="AC11" s="198" t="s">
        <v>1045</v>
      </c>
      <c r="AD11" s="198" t="s">
        <v>1045</v>
      </c>
      <c r="AE11" s="198" t="s">
        <v>1045</v>
      </c>
      <c r="AF11" s="197">
        <f>SUM(Tabela96[[#This Row],[jan/26]:[dez/26]])</f>
        <v>220000</v>
      </c>
      <c r="AG11" s="198">
        <v>0</v>
      </c>
      <c r="AH11" s="198">
        <v>0</v>
      </c>
      <c r="AI11" s="198">
        <v>0</v>
      </c>
      <c r="AJ11" s="198">
        <v>0</v>
      </c>
      <c r="AK11" s="198">
        <f>SUM(Tabela96[[#This Row],[2026]:[2030]])</f>
        <v>220000</v>
      </c>
      <c r="AL11" s="198">
        <v>0</v>
      </c>
      <c r="AM11" s="198">
        <v>0</v>
      </c>
      <c r="AN11" s="198">
        <v>0</v>
      </c>
      <c r="AO11" s="198">
        <v>0</v>
      </c>
      <c r="AP11" s="198">
        <v>0</v>
      </c>
      <c r="AQ11" s="202">
        <f>SUM(Tabela96[[#This Row],[2026-2030]:[2035]])</f>
        <v>220000</v>
      </c>
      <c r="AS11" s="178" t="s">
        <v>1046</v>
      </c>
      <c r="AT11" s="201">
        <v>2025</v>
      </c>
      <c r="AU11" s="178" t="s">
        <v>1061</v>
      </c>
      <c r="AV11" s="182" t="s">
        <v>1062</v>
      </c>
      <c r="AW11" s="178" t="s">
        <v>1049</v>
      </c>
      <c r="AZ11" s="178" t="s">
        <v>1050</v>
      </c>
    </row>
    <row r="12" spans="1:52" ht="24.75" customHeight="1" x14ac:dyDescent="0.35">
      <c r="B12" s="179" t="e" cm="1">
        <f t="array" ref="B12">AND(ISTEXT('Consolidado-Eletronorte'!#REF!),SUM('Consolidado-Eletronorte'!#REF!)&gt;0)</f>
        <v>#REF!</v>
      </c>
      <c r="C12" s="162" t="str">
        <f t="shared" ca="1" si="0"/>
        <v>Capex Orcamentário_PE2026_2030_red_35_porcentoR3_consulta.xlsx</v>
      </c>
      <c r="D12" s="163" t="str">
        <f t="shared" si="1"/>
        <v>COO</v>
      </c>
      <c r="E12" s="163" t="str">
        <f t="shared" si="2"/>
        <v>Lucas Martins</v>
      </c>
      <c r="F12" s="164"/>
      <c r="G12" s="164" t="e">
        <f>_xlfn.CONCAT('Consolidado-Eletronorte'!#REF!,"_",ROW('Consolidado-Eletronorte'!#REF!)-ROW('Consolidado-Eletronorte'!$G$18))</f>
        <v>#REF!</v>
      </c>
      <c r="H12" s="165" t="s">
        <v>506</v>
      </c>
      <c r="I12" s="165" t="s">
        <v>135</v>
      </c>
      <c r="J12" s="165" t="s">
        <v>508</v>
      </c>
      <c r="K12" s="165" t="s">
        <v>1039</v>
      </c>
      <c r="L12" s="165" t="s">
        <v>1040</v>
      </c>
      <c r="M12" s="178" t="s">
        <v>1063</v>
      </c>
      <c r="N12" s="165"/>
      <c r="O12" s="165"/>
      <c r="P12" s="165"/>
      <c r="Q12" s="178" t="s">
        <v>1064</v>
      </c>
      <c r="R12" s="178" t="s">
        <v>1065</v>
      </c>
      <c r="S12" s="178" t="s">
        <v>1034</v>
      </c>
      <c r="T12" s="198">
        <v>15000</v>
      </c>
      <c r="U12" s="198">
        <v>80000</v>
      </c>
      <c r="V12" s="198">
        <v>65000</v>
      </c>
      <c r="W12" s="198">
        <v>60000</v>
      </c>
      <c r="X12" s="198" t="s">
        <v>1045</v>
      </c>
      <c r="Y12" s="198" t="s">
        <v>1045</v>
      </c>
      <c r="Z12" s="198" t="s">
        <v>1045</v>
      </c>
      <c r="AA12" s="198" t="s">
        <v>1045</v>
      </c>
      <c r="AB12" s="198" t="s">
        <v>1045</v>
      </c>
      <c r="AC12" s="198" t="s">
        <v>1045</v>
      </c>
      <c r="AD12" s="198" t="s">
        <v>1045</v>
      </c>
      <c r="AE12" s="198" t="s">
        <v>1045</v>
      </c>
      <c r="AF12" s="197">
        <f>SUM(Tabela96[[#This Row],[jan/26]:[dez/26]])</f>
        <v>220000</v>
      </c>
      <c r="AG12" s="198">
        <v>0</v>
      </c>
      <c r="AH12" s="198">
        <v>0</v>
      </c>
      <c r="AI12" s="198">
        <v>0</v>
      </c>
      <c r="AJ12" s="198">
        <v>0</v>
      </c>
      <c r="AK12" s="198">
        <f>SUM(Tabela96[[#This Row],[2026]:[2030]])</f>
        <v>220000</v>
      </c>
      <c r="AL12" s="198">
        <v>0</v>
      </c>
      <c r="AM12" s="198">
        <v>0</v>
      </c>
      <c r="AN12" s="198">
        <v>0</v>
      </c>
      <c r="AO12" s="198">
        <v>0</v>
      </c>
      <c r="AP12" s="198">
        <v>0</v>
      </c>
      <c r="AQ12" s="202">
        <f>SUM(Tabela96[[#This Row],[2026-2030]:[2035]])</f>
        <v>220000</v>
      </c>
      <c r="AS12" s="178" t="s">
        <v>1046</v>
      </c>
      <c r="AT12" s="201">
        <v>2025</v>
      </c>
      <c r="AU12" s="178" t="s">
        <v>1066</v>
      </c>
      <c r="AV12" s="182" t="s">
        <v>1067</v>
      </c>
      <c r="AW12" s="178" t="s">
        <v>1049</v>
      </c>
      <c r="AZ12" s="178" t="s">
        <v>1050</v>
      </c>
    </row>
    <row r="13" spans="1:52" ht="24.75" customHeight="1" x14ac:dyDescent="0.35">
      <c r="B13" s="179" t="e" cm="1">
        <f t="array" ref="B13">AND(ISTEXT('Consolidado-Eletronorte'!#REF!),SUM('Consolidado-Eletronorte'!#REF!)&gt;0)</f>
        <v>#REF!</v>
      </c>
      <c r="C13" s="162" t="str">
        <f t="shared" ca="1" si="0"/>
        <v>Capex Orcamentário_PE2026_2030_red_35_porcentoR3_consulta.xlsx</v>
      </c>
      <c r="D13" s="163" t="str">
        <f t="shared" si="1"/>
        <v>COO</v>
      </c>
      <c r="E13" s="163" t="str">
        <f t="shared" si="2"/>
        <v>Lucas Martins</v>
      </c>
      <c r="F13" s="164"/>
      <c r="G13" s="164" t="e">
        <f>_xlfn.CONCAT('Consolidado-Eletronorte'!#REF!,"_",ROW('Consolidado-Eletronorte'!#REF!)-ROW('Consolidado-Eletronorte'!$G$18))</f>
        <v>#REF!</v>
      </c>
      <c r="H13" s="165" t="s">
        <v>506</v>
      </c>
      <c r="I13" s="165" t="s">
        <v>135</v>
      </c>
      <c r="J13" s="165" t="s">
        <v>508</v>
      </c>
      <c r="K13" s="165" t="s">
        <v>1039</v>
      </c>
      <c r="L13" s="165" t="s">
        <v>1040</v>
      </c>
      <c r="M13" s="178" t="s">
        <v>1068</v>
      </c>
      <c r="N13" s="165"/>
      <c r="O13" s="165"/>
      <c r="P13" s="165"/>
      <c r="Q13" s="178" t="s">
        <v>1069</v>
      </c>
      <c r="R13" s="178" t="s">
        <v>1070</v>
      </c>
      <c r="S13" s="178" t="s">
        <v>1054</v>
      </c>
      <c r="T13" s="198">
        <v>5000</v>
      </c>
      <c r="U13" s="198">
        <v>5000</v>
      </c>
      <c r="V13" s="198">
        <v>5000</v>
      </c>
      <c r="W13" s="198">
        <v>5000</v>
      </c>
      <c r="X13" s="198" t="s">
        <v>1045</v>
      </c>
      <c r="Y13" s="198" t="s">
        <v>1045</v>
      </c>
      <c r="Z13" s="198" t="s">
        <v>1045</v>
      </c>
      <c r="AA13" s="198" t="s">
        <v>1045</v>
      </c>
      <c r="AB13" s="198" t="s">
        <v>1045</v>
      </c>
      <c r="AC13" s="198" t="s">
        <v>1045</v>
      </c>
      <c r="AD13" s="198" t="s">
        <v>1045</v>
      </c>
      <c r="AE13" s="198" t="s">
        <v>1045</v>
      </c>
      <c r="AF13" s="197">
        <f>SUM(Tabela96[[#This Row],[jan/26]:[dez/26]])</f>
        <v>20000</v>
      </c>
      <c r="AG13" s="198">
        <v>0</v>
      </c>
      <c r="AH13" s="198">
        <v>0</v>
      </c>
      <c r="AI13" s="198">
        <v>0</v>
      </c>
      <c r="AJ13" s="198">
        <v>0</v>
      </c>
      <c r="AK13" s="198">
        <f>SUM(Tabela96[[#This Row],[2026]:[2030]])</f>
        <v>20000</v>
      </c>
      <c r="AL13" s="198">
        <v>0</v>
      </c>
      <c r="AM13" s="198">
        <v>0</v>
      </c>
      <c r="AN13" s="198">
        <v>0</v>
      </c>
      <c r="AO13" s="198">
        <v>0</v>
      </c>
      <c r="AP13" s="198">
        <v>0</v>
      </c>
      <c r="AQ13" s="202">
        <f>SUM(Tabela96[[#This Row],[2026-2030]:[2035]])</f>
        <v>20000</v>
      </c>
      <c r="AS13" s="178" t="s">
        <v>1046</v>
      </c>
      <c r="AT13" s="201">
        <v>2025</v>
      </c>
      <c r="AU13" s="178" t="s">
        <v>1071</v>
      </c>
      <c r="AV13" s="182" t="s">
        <v>1072</v>
      </c>
      <c r="AW13" s="178" t="s">
        <v>1049</v>
      </c>
      <c r="AZ13" s="178" t="s">
        <v>1050</v>
      </c>
    </row>
    <row r="14" spans="1:52" ht="24.75" customHeight="1" x14ac:dyDescent="0.35">
      <c r="B14" s="179" t="e" cm="1">
        <f t="array" ref="B14">AND(ISTEXT('Consolidado-Eletronorte'!#REF!),SUM('Consolidado-Eletronorte'!#REF!)&gt;0)</f>
        <v>#REF!</v>
      </c>
      <c r="C14" s="162" t="str">
        <f t="shared" ca="1" si="0"/>
        <v>Capex Orcamentário_PE2026_2030_red_35_porcentoR3_consulta.xlsx</v>
      </c>
      <c r="D14" s="163" t="str">
        <f t="shared" si="1"/>
        <v>COO</v>
      </c>
      <c r="E14" s="163" t="str">
        <f t="shared" si="2"/>
        <v>Lucas Martins</v>
      </c>
      <c r="F14" s="164"/>
      <c r="G14" s="164" t="e">
        <f>_xlfn.CONCAT('Consolidado-Eletronorte'!#REF!,"_",ROW('Consolidado-Eletronorte'!#REF!)-ROW('Consolidado-Eletronorte'!$G$18))</f>
        <v>#REF!</v>
      </c>
      <c r="H14" s="165" t="s">
        <v>506</v>
      </c>
      <c r="I14" s="165" t="s">
        <v>135</v>
      </c>
      <c r="J14" s="165" t="s">
        <v>508</v>
      </c>
      <c r="K14" s="165" t="s">
        <v>1039</v>
      </c>
      <c r="L14" s="165" t="s">
        <v>1040</v>
      </c>
      <c r="M14" s="178" t="s">
        <v>1073</v>
      </c>
      <c r="N14" s="165"/>
      <c r="O14" s="165"/>
      <c r="P14" s="165"/>
      <c r="Q14" s="178" t="s">
        <v>1074</v>
      </c>
      <c r="R14" s="178" t="s">
        <v>1075</v>
      </c>
      <c r="S14" s="178" t="s">
        <v>1054</v>
      </c>
      <c r="T14" s="198">
        <v>5000</v>
      </c>
      <c r="U14" s="198">
        <v>5000</v>
      </c>
      <c r="V14" s="198">
        <v>5000</v>
      </c>
      <c r="W14" s="198">
        <v>5000</v>
      </c>
      <c r="X14" s="198" t="s">
        <v>1045</v>
      </c>
      <c r="Y14" s="198" t="s">
        <v>1045</v>
      </c>
      <c r="Z14" s="198" t="s">
        <v>1045</v>
      </c>
      <c r="AA14" s="198" t="s">
        <v>1045</v>
      </c>
      <c r="AB14" s="198" t="s">
        <v>1045</v>
      </c>
      <c r="AC14" s="198" t="s">
        <v>1045</v>
      </c>
      <c r="AD14" s="198" t="s">
        <v>1045</v>
      </c>
      <c r="AE14" s="198" t="s">
        <v>1045</v>
      </c>
      <c r="AF14" s="197">
        <f>SUM(Tabela96[[#This Row],[jan/26]:[dez/26]])</f>
        <v>20000</v>
      </c>
      <c r="AG14" s="198">
        <v>0</v>
      </c>
      <c r="AH14" s="198">
        <v>0</v>
      </c>
      <c r="AI14" s="198">
        <v>0</v>
      </c>
      <c r="AJ14" s="198">
        <v>0</v>
      </c>
      <c r="AK14" s="198">
        <f>SUM(Tabela96[[#This Row],[2026]:[2030]])</f>
        <v>20000</v>
      </c>
      <c r="AL14" s="198">
        <v>0</v>
      </c>
      <c r="AM14" s="198">
        <v>0</v>
      </c>
      <c r="AN14" s="198">
        <v>0</v>
      </c>
      <c r="AO14" s="198">
        <v>0</v>
      </c>
      <c r="AP14" s="198">
        <v>0</v>
      </c>
      <c r="AQ14" s="202">
        <f>SUM(Tabela96[[#This Row],[2026-2030]:[2035]])</f>
        <v>20000</v>
      </c>
      <c r="AS14" s="178" t="s">
        <v>1046</v>
      </c>
      <c r="AT14" s="201">
        <v>2025</v>
      </c>
      <c r="AU14" s="178" t="s">
        <v>1076</v>
      </c>
      <c r="AV14" s="182" t="s">
        <v>1072</v>
      </c>
      <c r="AW14" s="178" t="s">
        <v>1049</v>
      </c>
      <c r="AZ14" s="178" t="s">
        <v>1050</v>
      </c>
    </row>
    <row r="15" spans="1:52" ht="24.75" customHeight="1" x14ac:dyDescent="0.35">
      <c r="B15" s="179" t="e" cm="1">
        <f t="array" ref="B15">AND(ISTEXT('Consolidado-Eletronorte'!#REF!),SUM('Consolidado-Eletronorte'!#REF!)&gt;0)</f>
        <v>#REF!</v>
      </c>
      <c r="C15" s="162" t="str">
        <f t="shared" ca="1" si="0"/>
        <v>Capex Orcamentário_PE2026_2030_red_35_porcentoR3_consulta.xlsx</v>
      </c>
      <c r="D15" s="163" t="str">
        <f t="shared" si="1"/>
        <v>COO</v>
      </c>
      <c r="E15" s="163" t="str">
        <f t="shared" si="2"/>
        <v>Lucas Martins</v>
      </c>
      <c r="F15" s="164"/>
      <c r="G15" s="164" t="e">
        <f>_xlfn.CONCAT('Consolidado-Eletronorte'!#REF!,"_",ROW('Consolidado-Eletronorte'!#REF!)-ROW('Consolidado-Eletronorte'!$G$18))</f>
        <v>#REF!</v>
      </c>
      <c r="H15" s="165" t="s">
        <v>506</v>
      </c>
      <c r="I15" s="165" t="s">
        <v>135</v>
      </c>
      <c r="J15" s="165" t="s">
        <v>508</v>
      </c>
      <c r="K15" s="165" t="s">
        <v>1039</v>
      </c>
      <c r="L15" s="165" t="s">
        <v>1040</v>
      </c>
      <c r="M15" s="178" t="s">
        <v>1068</v>
      </c>
      <c r="N15" s="165"/>
      <c r="O15" s="165"/>
      <c r="P15" s="165"/>
      <c r="Q15" s="178" t="s">
        <v>1077</v>
      </c>
      <c r="R15" s="178" t="s">
        <v>1078</v>
      </c>
      <c r="S15" s="178" t="s">
        <v>1054</v>
      </c>
      <c r="T15" s="198">
        <v>5000</v>
      </c>
      <c r="U15" s="198">
        <v>5000</v>
      </c>
      <c r="V15" s="198">
        <v>5000</v>
      </c>
      <c r="W15" s="198">
        <v>5000</v>
      </c>
      <c r="X15" s="198" t="s">
        <v>1045</v>
      </c>
      <c r="Y15" s="198" t="s">
        <v>1045</v>
      </c>
      <c r="Z15" s="198" t="s">
        <v>1045</v>
      </c>
      <c r="AA15" s="198" t="s">
        <v>1045</v>
      </c>
      <c r="AB15" s="198" t="s">
        <v>1045</v>
      </c>
      <c r="AC15" s="198" t="s">
        <v>1045</v>
      </c>
      <c r="AD15" s="198" t="s">
        <v>1045</v>
      </c>
      <c r="AE15" s="198" t="s">
        <v>1045</v>
      </c>
      <c r="AF15" s="197">
        <f>SUM(Tabela96[[#This Row],[jan/26]:[dez/26]])</f>
        <v>20000</v>
      </c>
      <c r="AG15" s="198">
        <v>0</v>
      </c>
      <c r="AH15" s="198">
        <v>0</v>
      </c>
      <c r="AI15" s="198">
        <v>0</v>
      </c>
      <c r="AJ15" s="198">
        <v>0</v>
      </c>
      <c r="AK15" s="198">
        <f>SUM(Tabela96[[#This Row],[2026]:[2030]])</f>
        <v>20000</v>
      </c>
      <c r="AL15" s="198">
        <v>0</v>
      </c>
      <c r="AM15" s="198">
        <v>0</v>
      </c>
      <c r="AN15" s="198">
        <v>0</v>
      </c>
      <c r="AO15" s="198">
        <v>0</v>
      </c>
      <c r="AP15" s="198">
        <v>0</v>
      </c>
      <c r="AQ15" s="202">
        <f>SUM(Tabela96[[#This Row],[2026-2030]:[2035]])</f>
        <v>20000</v>
      </c>
      <c r="AS15" s="178" t="s">
        <v>1046</v>
      </c>
      <c r="AT15" s="201">
        <v>2025</v>
      </c>
      <c r="AU15" s="178" t="s">
        <v>1079</v>
      </c>
      <c r="AV15" s="182" t="s">
        <v>1072</v>
      </c>
      <c r="AW15" s="178" t="s">
        <v>1049</v>
      </c>
      <c r="AZ15" s="178" t="s">
        <v>1050</v>
      </c>
    </row>
    <row r="16" spans="1:52" ht="24.75" customHeight="1" x14ac:dyDescent="0.35">
      <c r="B16" s="179" t="e" cm="1">
        <f t="array" ref="B16">AND(ISTEXT('Consolidado-Eletronorte'!#REF!),SUM('Consolidado-Eletronorte'!#REF!)&gt;0)</f>
        <v>#REF!</v>
      </c>
      <c r="C16" s="162" t="str">
        <f t="shared" ca="1" si="0"/>
        <v>Capex Orcamentário_PE2026_2030_red_35_porcentoR3_consulta.xlsx</v>
      </c>
      <c r="D16" s="163" t="str">
        <f t="shared" si="1"/>
        <v>COO</v>
      </c>
      <c r="E16" s="163" t="str">
        <f t="shared" si="2"/>
        <v>Lucas Martins</v>
      </c>
      <c r="F16" s="164"/>
      <c r="G16" s="164" t="e">
        <f>_xlfn.CONCAT('Consolidado-Eletronorte'!#REF!,"_",ROW('Consolidado-Eletronorte'!#REF!)-ROW('Consolidado-Eletronorte'!$G$18))</f>
        <v>#REF!</v>
      </c>
      <c r="H16" s="165" t="s">
        <v>506</v>
      </c>
      <c r="I16" s="165" t="s">
        <v>135</v>
      </c>
      <c r="J16" s="165" t="s">
        <v>508</v>
      </c>
      <c r="K16" s="165" t="s">
        <v>1039</v>
      </c>
      <c r="L16" s="165" t="s">
        <v>1040</v>
      </c>
      <c r="M16" s="178" t="s">
        <v>1080</v>
      </c>
      <c r="N16" s="165"/>
      <c r="O16" s="165"/>
      <c r="P16" s="165"/>
      <c r="Q16" s="178" t="s">
        <v>1081</v>
      </c>
      <c r="R16" s="178" t="s">
        <v>1082</v>
      </c>
      <c r="S16" s="178" t="s">
        <v>1044</v>
      </c>
      <c r="T16" s="198">
        <v>5000</v>
      </c>
      <c r="U16" s="198">
        <v>5000</v>
      </c>
      <c r="V16" s="198">
        <v>5000</v>
      </c>
      <c r="W16" s="198">
        <v>5000</v>
      </c>
      <c r="X16" s="198" t="s">
        <v>1045</v>
      </c>
      <c r="Y16" s="198" t="s">
        <v>1045</v>
      </c>
      <c r="Z16" s="198" t="s">
        <v>1045</v>
      </c>
      <c r="AA16" s="198" t="s">
        <v>1045</v>
      </c>
      <c r="AB16" s="198" t="s">
        <v>1045</v>
      </c>
      <c r="AC16" s="198" t="s">
        <v>1045</v>
      </c>
      <c r="AD16" s="198" t="s">
        <v>1045</v>
      </c>
      <c r="AE16" s="198" t="s">
        <v>1045</v>
      </c>
      <c r="AF16" s="197">
        <f>SUM(Tabela96[[#This Row],[jan/26]:[dez/26]])</f>
        <v>20000</v>
      </c>
      <c r="AG16" s="198">
        <v>0</v>
      </c>
      <c r="AH16" s="198">
        <v>0</v>
      </c>
      <c r="AI16" s="198">
        <v>0</v>
      </c>
      <c r="AJ16" s="198">
        <v>0</v>
      </c>
      <c r="AK16" s="198">
        <f>SUM(Tabela96[[#This Row],[2026]:[2030]])</f>
        <v>20000</v>
      </c>
      <c r="AL16" s="198">
        <v>0</v>
      </c>
      <c r="AM16" s="198">
        <v>0</v>
      </c>
      <c r="AN16" s="198">
        <v>0</v>
      </c>
      <c r="AO16" s="198">
        <v>0</v>
      </c>
      <c r="AP16" s="198">
        <v>0</v>
      </c>
      <c r="AQ16" s="202">
        <f>SUM(Tabela96[[#This Row],[2026-2030]:[2035]])</f>
        <v>20000</v>
      </c>
      <c r="AS16" s="178" t="s">
        <v>1046</v>
      </c>
      <c r="AT16" s="201">
        <v>2025</v>
      </c>
      <c r="AU16" s="178" t="s">
        <v>1083</v>
      </c>
      <c r="AV16" s="182"/>
      <c r="AW16" s="178" t="s">
        <v>1049</v>
      </c>
      <c r="AZ16" s="178" t="s">
        <v>1050</v>
      </c>
    </row>
    <row r="17" spans="2:52" ht="24.75" customHeight="1" x14ac:dyDescent="0.35">
      <c r="B17" s="179" t="e" cm="1">
        <f t="array" ref="B17">AND(ISTEXT('Consolidado-Eletronorte'!#REF!),SUM('Consolidado-Eletronorte'!#REF!)&gt;0)</f>
        <v>#REF!</v>
      </c>
      <c r="C17" s="162" t="str">
        <f t="shared" ca="1" si="0"/>
        <v>Capex Orcamentário_PE2026_2030_red_35_porcentoR3_consulta.xlsx</v>
      </c>
      <c r="D17" s="163" t="str">
        <f t="shared" si="1"/>
        <v>COO</v>
      </c>
      <c r="E17" s="163" t="str">
        <f t="shared" si="2"/>
        <v>Lucas Martins</v>
      </c>
      <c r="F17" s="164"/>
      <c r="G17" s="164" t="e">
        <f>_xlfn.CONCAT('Consolidado-Eletronorte'!#REF!,"_",ROW('Consolidado-Eletronorte'!#REF!)-ROW('Consolidado-Eletronorte'!$G$18))</f>
        <v>#REF!</v>
      </c>
      <c r="H17" s="165" t="s">
        <v>506</v>
      </c>
      <c r="I17" s="165" t="s">
        <v>135</v>
      </c>
      <c r="J17" s="165" t="s">
        <v>508</v>
      </c>
      <c r="K17" s="165" t="s">
        <v>1039</v>
      </c>
      <c r="L17" s="165" t="s">
        <v>1040</v>
      </c>
      <c r="M17" s="178" t="s">
        <v>1084</v>
      </c>
      <c r="N17" s="165"/>
      <c r="O17" s="165"/>
      <c r="P17" s="165"/>
      <c r="Q17" s="178" t="s">
        <v>1035</v>
      </c>
      <c r="R17" s="178" t="s">
        <v>1085</v>
      </c>
      <c r="S17" s="178" t="s">
        <v>1034</v>
      </c>
      <c r="T17" s="197">
        <v>20000</v>
      </c>
      <c r="U17" s="197">
        <v>20000</v>
      </c>
      <c r="V17" s="197">
        <v>114947</v>
      </c>
      <c r="W17" s="197">
        <v>170000</v>
      </c>
      <c r="X17" s="197">
        <v>170000</v>
      </c>
      <c r="Y17" s="197">
        <v>20000</v>
      </c>
      <c r="Z17" s="197">
        <v>20000</v>
      </c>
      <c r="AA17" s="197">
        <v>597034</v>
      </c>
      <c r="AB17" s="197">
        <v>448318</v>
      </c>
      <c r="AC17" s="197">
        <v>163140</v>
      </c>
      <c r="AD17" s="197">
        <v>545530</v>
      </c>
      <c r="AE17" s="197">
        <v>1078676</v>
      </c>
      <c r="AF17" s="197">
        <f>SUM(Tabela96[[#This Row],[jan/26]:[dez/26]])</f>
        <v>3367645</v>
      </c>
      <c r="AG17" s="197">
        <v>13827521</v>
      </c>
      <c r="AH17" s="198"/>
      <c r="AI17" s="198">
        <v>0</v>
      </c>
      <c r="AJ17" s="198">
        <v>0</v>
      </c>
      <c r="AK17" s="198">
        <f>SUM(Tabela96[[#This Row],[2026]:[2030]])</f>
        <v>17195166</v>
      </c>
      <c r="AL17" s="198">
        <v>0</v>
      </c>
      <c r="AM17" s="198">
        <v>0</v>
      </c>
      <c r="AN17" s="198">
        <v>0</v>
      </c>
      <c r="AO17" s="198">
        <v>0</v>
      </c>
      <c r="AP17" s="198">
        <v>0</v>
      </c>
      <c r="AQ17" s="202">
        <f>SUM(Tabela96[[#This Row],[2026-2030]:[2035]])</f>
        <v>17195166</v>
      </c>
      <c r="AS17" s="178" t="s">
        <v>1046</v>
      </c>
      <c r="AT17" s="201">
        <v>2024</v>
      </c>
      <c r="AU17" s="178" t="s">
        <v>1086</v>
      </c>
      <c r="AV17" s="182" t="s">
        <v>1087</v>
      </c>
      <c r="AW17" s="178" t="s">
        <v>517</v>
      </c>
      <c r="AZ17" s="178" t="s">
        <v>1088</v>
      </c>
    </row>
    <row r="18" spans="2:52" ht="24.75" customHeight="1" x14ac:dyDescent="0.35">
      <c r="B18" s="179" t="e" cm="1">
        <f t="array" ref="B18">AND(ISTEXT('Consolidado-Eletronorte'!#REF!),SUM('Consolidado-Eletronorte'!#REF!)&gt;0)</f>
        <v>#REF!</v>
      </c>
      <c r="C18" s="162" t="str">
        <f t="shared" ca="1" si="0"/>
        <v>Capex Orcamentário_PE2026_2030_red_35_porcentoR3_consulta.xlsx</v>
      </c>
      <c r="D18" s="163" t="str">
        <f t="shared" si="1"/>
        <v>COO</v>
      </c>
      <c r="E18" s="163" t="str">
        <f t="shared" si="2"/>
        <v>Lucas Martins</v>
      </c>
      <c r="F18" s="164"/>
      <c r="G18" s="164" t="e">
        <f>_xlfn.CONCAT('Consolidado-Eletronorte'!#REF!,"_",ROW('Consolidado-Eletronorte'!#REF!)-ROW('Consolidado-Eletronorte'!$G$18))</f>
        <v>#REF!</v>
      </c>
      <c r="H18" s="165" t="s">
        <v>506</v>
      </c>
      <c r="I18" s="165" t="s">
        <v>135</v>
      </c>
      <c r="J18" s="165" t="s">
        <v>508</v>
      </c>
      <c r="K18" s="165" t="s">
        <v>1039</v>
      </c>
      <c r="L18" s="165" t="s">
        <v>1040</v>
      </c>
      <c r="M18" s="178" t="s">
        <v>1089</v>
      </c>
      <c r="N18" s="165"/>
      <c r="O18" s="165"/>
      <c r="P18" s="165"/>
      <c r="Q18" s="178" t="s">
        <v>1090</v>
      </c>
      <c r="R18" s="178" t="s">
        <v>1091</v>
      </c>
      <c r="S18" s="178" t="s">
        <v>1060</v>
      </c>
      <c r="T18" s="198" t="s">
        <v>1045</v>
      </c>
      <c r="U18" s="198" t="s">
        <v>1045</v>
      </c>
      <c r="V18" s="198" t="s">
        <v>1045</v>
      </c>
      <c r="W18" s="198" t="s">
        <v>1045</v>
      </c>
      <c r="X18" s="198" t="s">
        <v>1045</v>
      </c>
      <c r="Y18" s="198">
        <v>41653</v>
      </c>
      <c r="Z18" s="261"/>
      <c r="AA18" s="198" t="s">
        <v>1045</v>
      </c>
      <c r="AB18" s="198">
        <v>181585</v>
      </c>
      <c r="AC18" s="198">
        <v>309406</v>
      </c>
      <c r="AD18" s="198">
        <v>38675</v>
      </c>
      <c r="AE18" s="198" t="s">
        <v>1045</v>
      </c>
      <c r="AF18" s="197">
        <f>SUM(Tabela96[[#This Row],[jan/26]:[dez/26]])</f>
        <v>571319</v>
      </c>
      <c r="AG18" s="198">
        <v>425434</v>
      </c>
      <c r="AH18" s="198">
        <v>0</v>
      </c>
      <c r="AI18" s="198">
        <v>0</v>
      </c>
      <c r="AJ18" s="198">
        <v>0</v>
      </c>
      <c r="AK18" s="198">
        <f>SUM(Tabela96[[#This Row],[2026]:[2030]])</f>
        <v>996753</v>
      </c>
      <c r="AL18" s="198">
        <v>0</v>
      </c>
      <c r="AM18" s="198">
        <v>0</v>
      </c>
      <c r="AN18" s="198">
        <v>0</v>
      </c>
      <c r="AO18" s="198">
        <v>0</v>
      </c>
      <c r="AP18" s="198">
        <v>0</v>
      </c>
      <c r="AQ18" s="202">
        <f>SUM(Tabela96[[#This Row],[2026-2030]:[2035]])</f>
        <v>996753</v>
      </c>
      <c r="AS18" s="178" t="s">
        <v>1046</v>
      </c>
      <c r="AT18" s="201">
        <v>2025</v>
      </c>
      <c r="AU18" s="178" t="s">
        <v>1092</v>
      </c>
      <c r="AV18" s="182" t="s">
        <v>1093</v>
      </c>
      <c r="AW18" s="178" t="s">
        <v>517</v>
      </c>
      <c r="AZ18" s="178" t="s">
        <v>1094</v>
      </c>
    </row>
    <row r="19" spans="2:52" ht="24.75" customHeight="1" x14ac:dyDescent="0.35">
      <c r="B19" s="179" t="e" cm="1">
        <f t="array" ref="B19">AND(ISTEXT('Consolidado-Eletronorte'!#REF!),SUM('Consolidado-Eletronorte'!#REF!)&gt;0)</f>
        <v>#REF!</v>
      </c>
      <c r="C19" s="162" t="str">
        <f t="shared" ca="1" si="0"/>
        <v>Capex Orcamentário_PE2026_2030_red_35_porcentoR3_consulta.xlsx</v>
      </c>
      <c r="D19" s="163" t="str">
        <f t="shared" si="1"/>
        <v>COO</v>
      </c>
      <c r="E19" s="163" t="str">
        <f t="shared" si="2"/>
        <v>Lucas Martins</v>
      </c>
      <c r="F19" s="164"/>
      <c r="G19" s="164" t="e">
        <f>_xlfn.CONCAT('Consolidado-Eletronorte'!#REF!,"_",ROW('Consolidado-Eletronorte'!#REF!)-ROW('Consolidado-Eletronorte'!$G$18))</f>
        <v>#REF!</v>
      </c>
      <c r="H19" s="165" t="s">
        <v>506</v>
      </c>
      <c r="I19" s="165" t="s">
        <v>135</v>
      </c>
      <c r="J19" s="165" t="s">
        <v>508</v>
      </c>
      <c r="K19" s="165" t="s">
        <v>1039</v>
      </c>
      <c r="L19" s="165" t="s">
        <v>1040</v>
      </c>
      <c r="M19" s="178" t="s">
        <v>1095</v>
      </c>
      <c r="N19" s="165"/>
      <c r="O19" s="165"/>
      <c r="P19" s="165"/>
      <c r="Q19" s="178" t="s">
        <v>1096</v>
      </c>
      <c r="R19" s="178" t="s">
        <v>1097</v>
      </c>
      <c r="S19" s="178" t="s">
        <v>1060</v>
      </c>
      <c r="T19" s="198" t="s">
        <v>1045</v>
      </c>
      <c r="U19" s="198" t="s">
        <v>1045</v>
      </c>
      <c r="V19" s="198" t="s">
        <v>1045</v>
      </c>
      <c r="W19" s="198" t="s">
        <v>1045</v>
      </c>
      <c r="X19" s="198" t="s">
        <v>1045</v>
      </c>
      <c r="Y19" s="198">
        <v>97484</v>
      </c>
      <c r="Z19" s="261"/>
      <c r="AA19" s="198" t="s">
        <v>1045</v>
      </c>
      <c r="AB19" s="198">
        <v>389937</v>
      </c>
      <c r="AC19" s="261"/>
      <c r="AD19" s="198" t="s">
        <v>1045</v>
      </c>
      <c r="AE19" s="198" t="s">
        <v>1045</v>
      </c>
      <c r="AF19" s="197">
        <f>SUM(Tabela96[[#This Row],[jan/26]:[dez/26]])</f>
        <v>487421</v>
      </c>
      <c r="AG19" s="198" t="s">
        <v>1045</v>
      </c>
      <c r="AH19" s="198">
        <v>0</v>
      </c>
      <c r="AI19" s="198">
        <v>0</v>
      </c>
      <c r="AJ19" s="198">
        <v>0</v>
      </c>
      <c r="AK19" s="198">
        <f>SUM(Tabela96[[#This Row],[2026]:[2030]])</f>
        <v>487421</v>
      </c>
      <c r="AL19" s="198">
        <v>0</v>
      </c>
      <c r="AM19" s="198">
        <v>0</v>
      </c>
      <c r="AN19" s="198">
        <v>0</v>
      </c>
      <c r="AO19" s="198">
        <v>0</v>
      </c>
      <c r="AP19" s="198">
        <v>0</v>
      </c>
      <c r="AQ19" s="202">
        <f>SUM(Tabela96[[#This Row],[2026-2030]:[2035]])</f>
        <v>487421</v>
      </c>
      <c r="AS19" s="178" t="s">
        <v>1046</v>
      </c>
      <c r="AT19" s="201">
        <v>2025</v>
      </c>
      <c r="AU19" s="178" t="s">
        <v>1098</v>
      </c>
      <c r="AV19" s="182" t="s">
        <v>1093</v>
      </c>
      <c r="AW19" s="178" t="s">
        <v>517</v>
      </c>
      <c r="AZ19" s="178" t="s">
        <v>1094</v>
      </c>
    </row>
    <row r="20" spans="2:52" ht="24.75" customHeight="1" x14ac:dyDescent="0.35">
      <c r="B20" s="179" t="e" cm="1">
        <f t="array" ref="B20">AND(ISTEXT('Consolidado-Eletronorte'!#REF!),SUM('Consolidado-Eletronorte'!#REF!)&gt;0)</f>
        <v>#REF!</v>
      </c>
      <c r="C20" s="162" t="str">
        <f t="shared" ca="1" si="0"/>
        <v>Capex Orcamentário_PE2026_2030_red_35_porcentoR3_consulta.xlsx</v>
      </c>
      <c r="D20" s="163" t="str">
        <f t="shared" si="1"/>
        <v>COO</v>
      </c>
      <c r="E20" s="163" t="str">
        <f t="shared" si="2"/>
        <v>Lucas Martins</v>
      </c>
      <c r="F20" s="164"/>
      <c r="G20" s="164" t="e">
        <f>_xlfn.CONCAT('Consolidado-Eletronorte'!#REF!,"_",ROW('Consolidado-Eletronorte'!#REF!)-ROW('Consolidado-Eletronorte'!$G$18))</f>
        <v>#REF!</v>
      </c>
      <c r="H20" s="165" t="s">
        <v>506</v>
      </c>
      <c r="I20" s="165" t="s">
        <v>135</v>
      </c>
      <c r="J20" s="165" t="s">
        <v>508</v>
      </c>
      <c r="K20" s="165" t="s">
        <v>1039</v>
      </c>
      <c r="L20" s="165" t="s">
        <v>1040</v>
      </c>
      <c r="M20" s="178" t="s">
        <v>1099</v>
      </c>
      <c r="N20" s="165"/>
      <c r="O20" s="165"/>
      <c r="P20" s="165"/>
      <c r="Q20" s="178" t="s">
        <v>1100</v>
      </c>
      <c r="R20" s="178" t="s">
        <v>1101</v>
      </c>
      <c r="S20" s="178" t="s">
        <v>1060</v>
      </c>
      <c r="T20" s="198" t="s">
        <v>1045</v>
      </c>
      <c r="U20" s="198" t="s">
        <v>1045</v>
      </c>
      <c r="V20" s="198" t="s">
        <v>1045</v>
      </c>
      <c r="W20" s="198" t="s">
        <v>1045</v>
      </c>
      <c r="X20" s="198" t="s">
        <v>1045</v>
      </c>
      <c r="Y20" s="198">
        <v>75676</v>
      </c>
      <c r="Z20" s="261"/>
      <c r="AA20" s="198" t="s">
        <v>1045</v>
      </c>
      <c r="AB20" s="198">
        <v>302707</v>
      </c>
      <c r="AC20" s="261"/>
      <c r="AD20" s="198" t="s">
        <v>1045</v>
      </c>
      <c r="AE20" s="198" t="s">
        <v>1045</v>
      </c>
      <c r="AF20" s="197">
        <f>SUM(Tabela96[[#This Row],[jan/26]:[dez/26]])</f>
        <v>378383</v>
      </c>
      <c r="AG20" s="198" t="s">
        <v>1045</v>
      </c>
      <c r="AH20" s="198">
        <v>0</v>
      </c>
      <c r="AI20" s="198">
        <v>0</v>
      </c>
      <c r="AJ20" s="198">
        <v>0</v>
      </c>
      <c r="AK20" s="198">
        <f>SUM(Tabela96[[#This Row],[2026]:[2030]])</f>
        <v>378383</v>
      </c>
      <c r="AL20" s="198">
        <v>0</v>
      </c>
      <c r="AM20" s="198">
        <v>0</v>
      </c>
      <c r="AN20" s="198">
        <v>0</v>
      </c>
      <c r="AO20" s="198">
        <v>0</v>
      </c>
      <c r="AP20" s="198">
        <v>0</v>
      </c>
      <c r="AQ20" s="202">
        <f>SUM(Tabela96[[#This Row],[2026-2030]:[2035]])</f>
        <v>378383</v>
      </c>
      <c r="AS20" s="178" t="s">
        <v>1046</v>
      </c>
      <c r="AT20" s="201">
        <v>2025</v>
      </c>
      <c r="AU20" s="178" t="s">
        <v>1102</v>
      </c>
      <c r="AV20" s="182" t="s">
        <v>1093</v>
      </c>
      <c r="AW20" s="178" t="s">
        <v>517</v>
      </c>
      <c r="AZ20" s="178" t="s">
        <v>1094</v>
      </c>
    </row>
    <row r="21" spans="2:52" ht="24.75" customHeight="1" x14ac:dyDescent="0.35">
      <c r="B21" s="179" t="e" cm="1">
        <f t="array" ref="B21">AND(ISTEXT('Consolidado-Eletronorte'!#REF!),SUM('Consolidado-Eletronorte'!#REF!)&gt;0)</f>
        <v>#REF!</v>
      </c>
      <c r="C21" s="162" t="str">
        <f t="shared" ca="1" si="0"/>
        <v>Capex Orcamentário_PE2026_2030_red_35_porcentoR3_consulta.xlsx</v>
      </c>
      <c r="D21" s="163" t="str">
        <f t="shared" si="1"/>
        <v>COO</v>
      </c>
      <c r="E21" s="163" t="str">
        <f t="shared" si="2"/>
        <v>Lucas Martins</v>
      </c>
      <c r="F21" s="164"/>
      <c r="G21" s="164" t="e">
        <f>_xlfn.CONCAT('Consolidado-Eletronorte'!#REF!,"_",ROW('Consolidado-Eletronorte'!#REF!)-ROW('Consolidado-Eletronorte'!$G$18))</f>
        <v>#REF!</v>
      </c>
      <c r="H21" s="165" t="s">
        <v>506</v>
      </c>
      <c r="I21" s="165" t="s">
        <v>135</v>
      </c>
      <c r="J21" s="165" t="s">
        <v>508</v>
      </c>
      <c r="K21" s="165" t="s">
        <v>1039</v>
      </c>
      <c r="L21" s="165" t="s">
        <v>1040</v>
      </c>
      <c r="M21" s="178" t="s">
        <v>1103</v>
      </c>
      <c r="N21" s="165"/>
      <c r="O21" s="165"/>
      <c r="P21" s="165"/>
      <c r="Q21" s="178" t="s">
        <v>1104</v>
      </c>
      <c r="R21" s="178" t="s">
        <v>1105</v>
      </c>
      <c r="S21" s="178" t="s">
        <v>1060</v>
      </c>
      <c r="T21" s="198" t="s">
        <v>1045</v>
      </c>
      <c r="U21" s="198" t="s">
        <v>1045</v>
      </c>
      <c r="V21" s="198" t="s">
        <v>1045</v>
      </c>
      <c r="W21" s="198" t="s">
        <v>1045</v>
      </c>
      <c r="X21" s="198" t="s">
        <v>1045</v>
      </c>
      <c r="Y21" s="198">
        <v>74508</v>
      </c>
      <c r="Z21" s="261"/>
      <c r="AA21" s="198" t="s">
        <v>1045</v>
      </c>
      <c r="AB21" s="198">
        <v>298034</v>
      </c>
      <c r="AC21" s="261"/>
      <c r="AD21" s="198" t="s">
        <v>1045</v>
      </c>
      <c r="AE21" s="198" t="s">
        <v>1045</v>
      </c>
      <c r="AF21" s="197">
        <f>SUM(Tabela96[[#This Row],[jan/26]:[dez/26]])</f>
        <v>372542</v>
      </c>
      <c r="AG21" s="198" t="s">
        <v>1045</v>
      </c>
      <c r="AH21" s="198">
        <v>0</v>
      </c>
      <c r="AI21" s="198">
        <v>0</v>
      </c>
      <c r="AJ21" s="198">
        <v>0</v>
      </c>
      <c r="AK21" s="198">
        <f>SUM(Tabela96[[#This Row],[2026]:[2030]])</f>
        <v>372542</v>
      </c>
      <c r="AL21" s="198">
        <v>0</v>
      </c>
      <c r="AM21" s="198">
        <v>0</v>
      </c>
      <c r="AN21" s="198">
        <v>0</v>
      </c>
      <c r="AO21" s="198">
        <v>0</v>
      </c>
      <c r="AP21" s="198">
        <v>0</v>
      </c>
      <c r="AQ21" s="202">
        <f>SUM(Tabela96[[#This Row],[2026-2030]:[2035]])</f>
        <v>372542</v>
      </c>
      <c r="AS21" s="178" t="s">
        <v>1046</v>
      </c>
      <c r="AT21" s="201">
        <v>2025</v>
      </c>
      <c r="AU21" s="178" t="s">
        <v>1106</v>
      </c>
      <c r="AV21" s="182" t="s">
        <v>1093</v>
      </c>
      <c r="AW21" s="178" t="s">
        <v>517</v>
      </c>
      <c r="AZ21" s="178" t="s">
        <v>1094</v>
      </c>
    </row>
    <row r="22" spans="2:52" ht="24.75" customHeight="1" x14ac:dyDescent="0.35">
      <c r="B22" s="179" t="e" cm="1">
        <f t="array" ref="B22">AND(ISTEXT('Consolidado-Eletronorte'!#REF!),SUM('Consolidado-Eletronorte'!#REF!)&gt;0)</f>
        <v>#REF!</v>
      </c>
      <c r="C22" s="162" t="str">
        <f t="shared" ca="1" si="0"/>
        <v>Capex Orcamentário_PE2026_2030_red_35_porcentoR3_consulta.xlsx</v>
      </c>
      <c r="D22" s="163" t="str">
        <f t="shared" si="1"/>
        <v>COO</v>
      </c>
      <c r="E22" s="163" t="str">
        <f t="shared" si="2"/>
        <v>Lucas Martins</v>
      </c>
      <c r="F22" s="164"/>
      <c r="G22" s="164" t="e">
        <f>_xlfn.CONCAT('Consolidado-Eletronorte'!#REF!,"_",ROW('Consolidado-Eletronorte'!#REF!)-ROW('Consolidado-Eletronorte'!$G$18))</f>
        <v>#REF!</v>
      </c>
      <c r="H22" s="165" t="s">
        <v>506</v>
      </c>
      <c r="I22" s="165" t="s">
        <v>135</v>
      </c>
      <c r="J22" s="165" t="s">
        <v>508</v>
      </c>
      <c r="K22" s="165" t="s">
        <v>1039</v>
      </c>
      <c r="L22" s="165" t="s">
        <v>1040</v>
      </c>
      <c r="M22" s="178" t="s">
        <v>1107</v>
      </c>
      <c r="N22" s="165"/>
      <c r="O22" s="165"/>
      <c r="P22" s="165"/>
      <c r="Q22" s="178" t="s">
        <v>1108</v>
      </c>
      <c r="R22" s="178" t="s">
        <v>1097</v>
      </c>
      <c r="S22" s="178" t="s">
        <v>1060</v>
      </c>
      <c r="T22" s="198" t="s">
        <v>1045</v>
      </c>
      <c r="U22" s="198" t="s">
        <v>1045</v>
      </c>
      <c r="V22" s="198" t="s">
        <v>1045</v>
      </c>
      <c r="W22" s="198" t="s">
        <v>1045</v>
      </c>
      <c r="X22" s="198" t="s">
        <v>1045</v>
      </c>
      <c r="Y22" s="198">
        <v>97484</v>
      </c>
      <c r="Z22" s="261"/>
      <c r="AA22" s="198" t="s">
        <v>1045</v>
      </c>
      <c r="AB22" s="198" t="s">
        <v>1045</v>
      </c>
      <c r="AC22" s="198" t="s">
        <v>1045</v>
      </c>
      <c r="AD22" s="198" t="s">
        <v>1045</v>
      </c>
      <c r="AE22" s="198" t="s">
        <v>1045</v>
      </c>
      <c r="AF22" s="197">
        <f>SUM(Tabela96[[#This Row],[jan/26]:[dez/26]])</f>
        <v>97484</v>
      </c>
      <c r="AG22" s="198">
        <v>389937</v>
      </c>
      <c r="AH22" s="198">
        <v>0</v>
      </c>
      <c r="AI22" s="198">
        <v>0</v>
      </c>
      <c r="AJ22" s="198">
        <v>0</v>
      </c>
      <c r="AK22" s="198">
        <f>SUM(Tabela96[[#This Row],[2026]:[2030]])</f>
        <v>487421</v>
      </c>
      <c r="AL22" s="198">
        <v>0</v>
      </c>
      <c r="AM22" s="198">
        <v>0</v>
      </c>
      <c r="AN22" s="198">
        <v>0</v>
      </c>
      <c r="AO22" s="198">
        <v>0</v>
      </c>
      <c r="AP22" s="198">
        <v>0</v>
      </c>
      <c r="AQ22" s="202">
        <f>SUM(Tabela96[[#This Row],[2026-2030]:[2035]])</f>
        <v>487421</v>
      </c>
      <c r="AS22" s="178" t="s">
        <v>1046</v>
      </c>
      <c r="AT22" s="201">
        <v>2025</v>
      </c>
      <c r="AU22" s="178" t="s">
        <v>1109</v>
      </c>
      <c r="AV22" s="182" t="s">
        <v>1093</v>
      </c>
      <c r="AW22" s="178" t="s">
        <v>517</v>
      </c>
      <c r="AZ22" s="178" t="s">
        <v>1094</v>
      </c>
    </row>
    <row r="23" spans="2:52" ht="24.75" customHeight="1" x14ac:dyDescent="0.35">
      <c r="B23" s="179" t="e" cm="1">
        <f t="array" ref="B23">AND(ISTEXT('Consolidado-Eletronorte'!#REF!),SUM('Consolidado-Eletronorte'!#REF!)&gt;0)</f>
        <v>#REF!</v>
      </c>
      <c r="C23" s="162" t="str">
        <f t="shared" ca="1" si="0"/>
        <v>Capex Orcamentário_PE2026_2030_red_35_porcentoR3_consulta.xlsx</v>
      </c>
      <c r="D23" s="163" t="str">
        <f t="shared" si="1"/>
        <v>COO</v>
      </c>
      <c r="E23" s="163" t="str">
        <f t="shared" si="2"/>
        <v>Lucas Martins</v>
      </c>
      <c r="F23" s="164"/>
      <c r="G23" s="164" t="e">
        <f>_xlfn.CONCAT('Consolidado-Eletronorte'!#REF!,"_",ROW('Consolidado-Eletronorte'!#REF!)-ROW('Consolidado-Eletronorte'!$G$18))</f>
        <v>#REF!</v>
      </c>
      <c r="H23" s="165" t="s">
        <v>506</v>
      </c>
      <c r="I23" s="165" t="s">
        <v>135</v>
      </c>
      <c r="J23" s="165" t="s">
        <v>508</v>
      </c>
      <c r="K23" s="165" t="s">
        <v>1039</v>
      </c>
      <c r="L23" s="165" t="s">
        <v>1040</v>
      </c>
      <c r="M23" s="178" t="s">
        <v>1110</v>
      </c>
      <c r="N23" s="165"/>
      <c r="O23" s="165"/>
      <c r="P23" s="165"/>
      <c r="Q23" s="178" t="s">
        <v>1111</v>
      </c>
      <c r="R23" s="178" t="s">
        <v>1101</v>
      </c>
      <c r="S23" s="178" t="s">
        <v>1060</v>
      </c>
      <c r="T23" s="198" t="s">
        <v>1045</v>
      </c>
      <c r="U23" s="198" t="s">
        <v>1045</v>
      </c>
      <c r="V23" s="198" t="s">
        <v>1045</v>
      </c>
      <c r="W23" s="198" t="s">
        <v>1045</v>
      </c>
      <c r="X23" s="198" t="s">
        <v>1045</v>
      </c>
      <c r="Y23" s="198">
        <v>75676</v>
      </c>
      <c r="Z23" s="261"/>
      <c r="AA23" s="198" t="s">
        <v>1045</v>
      </c>
      <c r="AB23" s="198" t="s">
        <v>1045</v>
      </c>
      <c r="AC23" s="198" t="s">
        <v>1045</v>
      </c>
      <c r="AD23" s="198" t="s">
        <v>1045</v>
      </c>
      <c r="AE23" s="198" t="s">
        <v>1045</v>
      </c>
      <c r="AF23" s="197">
        <f>SUM(Tabela96[[#This Row],[jan/26]:[dez/26]])</f>
        <v>75676</v>
      </c>
      <c r="AG23" s="198">
        <v>302707</v>
      </c>
      <c r="AH23" s="198">
        <v>0</v>
      </c>
      <c r="AI23" s="198">
        <v>0</v>
      </c>
      <c r="AJ23" s="198">
        <v>0</v>
      </c>
      <c r="AK23" s="198">
        <f>SUM(Tabela96[[#This Row],[2026]:[2030]])</f>
        <v>378383</v>
      </c>
      <c r="AL23" s="198">
        <v>0</v>
      </c>
      <c r="AM23" s="198">
        <v>0</v>
      </c>
      <c r="AN23" s="198">
        <v>0</v>
      </c>
      <c r="AO23" s="198">
        <v>0</v>
      </c>
      <c r="AP23" s="198">
        <v>0</v>
      </c>
      <c r="AQ23" s="202">
        <f>SUM(Tabela96[[#This Row],[2026-2030]:[2035]])</f>
        <v>378383</v>
      </c>
      <c r="AS23" s="178" t="s">
        <v>1046</v>
      </c>
      <c r="AT23" s="201">
        <v>2025</v>
      </c>
      <c r="AU23" s="178" t="s">
        <v>1112</v>
      </c>
      <c r="AV23" s="182" t="s">
        <v>1093</v>
      </c>
      <c r="AW23" s="178" t="s">
        <v>517</v>
      </c>
      <c r="AZ23" s="178" t="s">
        <v>1094</v>
      </c>
    </row>
    <row r="24" spans="2:52" ht="24.75" customHeight="1" x14ac:dyDescent="0.35">
      <c r="B24" s="179" t="e" cm="1">
        <f t="array" ref="B24">AND(ISTEXT('Consolidado-Eletronorte'!#REF!),SUM('Consolidado-Eletronorte'!#REF!)&gt;0)</f>
        <v>#REF!</v>
      </c>
      <c r="C24" s="162" t="str">
        <f t="shared" ca="1" si="0"/>
        <v>Capex Orcamentário_PE2026_2030_red_35_porcentoR3_consulta.xlsx</v>
      </c>
      <c r="D24" s="163" t="str">
        <f t="shared" si="1"/>
        <v>COO</v>
      </c>
      <c r="E24" s="163" t="str">
        <f t="shared" si="2"/>
        <v>Lucas Martins</v>
      </c>
      <c r="F24" s="164"/>
      <c r="G24" s="164" t="e">
        <f>_xlfn.CONCAT('Consolidado-Eletronorte'!#REF!,"_",ROW('Consolidado-Eletronorte'!#REF!)-ROW('Consolidado-Eletronorte'!$G$18))</f>
        <v>#REF!</v>
      </c>
      <c r="H24" s="165" t="s">
        <v>506</v>
      </c>
      <c r="I24" s="165" t="s">
        <v>135</v>
      </c>
      <c r="J24" s="165" t="s">
        <v>508</v>
      </c>
      <c r="K24" s="165" t="s">
        <v>1039</v>
      </c>
      <c r="L24" s="165" t="s">
        <v>1040</v>
      </c>
      <c r="M24" s="178" t="s">
        <v>1113</v>
      </c>
      <c r="N24" s="165"/>
      <c r="O24" s="165"/>
      <c r="P24" s="165"/>
      <c r="Q24" s="178" t="s">
        <v>1114</v>
      </c>
      <c r="R24" s="178" t="s">
        <v>1105</v>
      </c>
      <c r="S24" s="178" t="s">
        <v>1060</v>
      </c>
      <c r="T24" s="198" t="s">
        <v>1045</v>
      </c>
      <c r="U24" s="198" t="s">
        <v>1045</v>
      </c>
      <c r="V24" s="198" t="s">
        <v>1045</v>
      </c>
      <c r="W24" s="198" t="s">
        <v>1045</v>
      </c>
      <c r="X24" s="198" t="s">
        <v>1045</v>
      </c>
      <c r="Y24" s="198">
        <v>74508</v>
      </c>
      <c r="Z24" s="261"/>
      <c r="AA24" s="198" t="s">
        <v>1045</v>
      </c>
      <c r="AB24" s="198" t="s">
        <v>1045</v>
      </c>
      <c r="AC24" s="198" t="s">
        <v>1045</v>
      </c>
      <c r="AD24" s="198" t="s">
        <v>1045</v>
      </c>
      <c r="AE24" s="198" t="s">
        <v>1045</v>
      </c>
      <c r="AF24" s="197">
        <f>SUM(Tabela96[[#This Row],[jan/26]:[dez/26]])</f>
        <v>74508</v>
      </c>
      <c r="AG24" s="198">
        <v>298034</v>
      </c>
      <c r="AH24" s="198">
        <v>0</v>
      </c>
      <c r="AI24" s="198">
        <v>0</v>
      </c>
      <c r="AJ24" s="198">
        <v>0</v>
      </c>
      <c r="AK24" s="198">
        <f>SUM(Tabela96[[#This Row],[2026]:[2030]])</f>
        <v>372542</v>
      </c>
      <c r="AL24" s="198">
        <v>0</v>
      </c>
      <c r="AM24" s="198">
        <v>0</v>
      </c>
      <c r="AN24" s="198">
        <v>0</v>
      </c>
      <c r="AO24" s="198">
        <v>0</v>
      </c>
      <c r="AP24" s="198">
        <v>0</v>
      </c>
      <c r="AQ24" s="202">
        <f>SUM(Tabela96[[#This Row],[2026-2030]:[2035]])</f>
        <v>372542</v>
      </c>
      <c r="AS24" s="178" t="s">
        <v>1046</v>
      </c>
      <c r="AT24" s="201">
        <v>2025</v>
      </c>
      <c r="AU24" s="178" t="s">
        <v>1115</v>
      </c>
      <c r="AV24" s="182" t="s">
        <v>1093</v>
      </c>
      <c r="AW24" s="178" t="s">
        <v>517</v>
      </c>
      <c r="AZ24" s="178" t="s">
        <v>1094</v>
      </c>
    </row>
    <row r="25" spans="2:52" ht="24.75" customHeight="1" x14ac:dyDescent="0.35">
      <c r="B25" s="179" t="e" cm="1">
        <f t="array" ref="B25">AND(ISTEXT('Consolidado-Eletronorte'!#REF!),SUM('Consolidado-Eletronorte'!#REF!)&gt;0)</f>
        <v>#REF!</v>
      </c>
      <c r="C25" s="162" t="str">
        <f t="shared" ca="1" si="0"/>
        <v>Capex Orcamentário_PE2026_2030_red_35_porcentoR3_consulta.xlsx</v>
      </c>
      <c r="D25" s="163" t="str">
        <f t="shared" si="1"/>
        <v>COO</v>
      </c>
      <c r="E25" s="163" t="str">
        <f t="shared" si="2"/>
        <v>Lucas Martins</v>
      </c>
      <c r="F25" s="164"/>
      <c r="G25" s="164" t="e">
        <f>_xlfn.CONCAT('Consolidado-Eletronorte'!#REF!,"_",ROW('Consolidado-Eletronorte'!#REF!)-ROW('Consolidado-Eletronorte'!$G$18))</f>
        <v>#REF!</v>
      </c>
      <c r="H25" s="165" t="s">
        <v>506</v>
      </c>
      <c r="I25" s="165" t="s">
        <v>135</v>
      </c>
      <c r="J25" s="165" t="s">
        <v>508</v>
      </c>
      <c r="K25" s="165" t="s">
        <v>1039</v>
      </c>
      <c r="L25" s="165" t="s">
        <v>1040</v>
      </c>
      <c r="M25" s="178" t="s">
        <v>1116</v>
      </c>
      <c r="N25" s="165"/>
      <c r="O25" s="165"/>
      <c r="P25" s="165"/>
      <c r="Q25" s="178" t="s">
        <v>1117</v>
      </c>
      <c r="R25" s="178" t="s">
        <v>1091</v>
      </c>
      <c r="S25" s="178" t="s">
        <v>1034</v>
      </c>
      <c r="T25" s="198">
        <v>78440</v>
      </c>
      <c r="U25" s="198">
        <v>92700</v>
      </c>
      <c r="V25" s="198">
        <v>298318</v>
      </c>
      <c r="W25" s="198">
        <v>37289</v>
      </c>
      <c r="X25" s="261"/>
      <c r="Y25" s="198" t="s">
        <v>1045</v>
      </c>
      <c r="Z25" s="198" t="s">
        <v>1045</v>
      </c>
      <c r="AA25" s="198" t="s">
        <v>1045</v>
      </c>
      <c r="AB25" s="198" t="s">
        <v>1045</v>
      </c>
      <c r="AC25" s="198" t="s">
        <v>1045</v>
      </c>
      <c r="AD25" s="198" t="s">
        <v>1045</v>
      </c>
      <c r="AE25" s="198" t="s">
        <v>1045</v>
      </c>
      <c r="AF25" s="197">
        <f>SUM(Tabela96[[#This Row],[jan/26]:[dez/26]])</f>
        <v>506747</v>
      </c>
      <c r="AG25" s="198">
        <v>410187</v>
      </c>
      <c r="AH25" s="198">
        <v>0</v>
      </c>
      <c r="AI25" s="198">
        <v>0</v>
      </c>
      <c r="AJ25" s="198">
        <v>0</v>
      </c>
      <c r="AK25" s="198">
        <f>SUM(Tabela96[[#This Row],[2026]:[2030]])</f>
        <v>916934</v>
      </c>
      <c r="AL25" s="198">
        <v>0</v>
      </c>
      <c r="AM25" s="198">
        <v>0</v>
      </c>
      <c r="AN25" s="198">
        <v>0</v>
      </c>
      <c r="AO25" s="198">
        <v>0</v>
      </c>
      <c r="AP25" s="198">
        <v>0</v>
      </c>
      <c r="AQ25" s="202">
        <f>SUM(Tabela96[[#This Row],[2026-2030]:[2035]])</f>
        <v>916934</v>
      </c>
      <c r="AS25" s="178" t="s">
        <v>1046</v>
      </c>
      <c r="AT25" s="201">
        <v>2025</v>
      </c>
      <c r="AU25" s="178" t="s">
        <v>1118</v>
      </c>
      <c r="AV25" s="182" t="s">
        <v>1119</v>
      </c>
      <c r="AW25" s="178" t="s">
        <v>517</v>
      </c>
      <c r="AZ25" s="178" t="s">
        <v>1094</v>
      </c>
    </row>
    <row r="26" spans="2:52" ht="24.75" customHeight="1" x14ac:dyDescent="0.35">
      <c r="B26" s="179" t="e" cm="1">
        <f t="array" ref="B26">AND(ISTEXT('Consolidado-Eletronorte'!#REF!),SUM('Consolidado-Eletronorte'!#REF!)&gt;0)</f>
        <v>#REF!</v>
      </c>
      <c r="C26" s="162" t="str">
        <f t="shared" ca="1" si="0"/>
        <v>Capex Orcamentário_PE2026_2030_red_35_porcentoR3_consulta.xlsx</v>
      </c>
      <c r="D26" s="163" t="str">
        <f t="shared" si="1"/>
        <v>COO</v>
      </c>
      <c r="E26" s="163" t="str">
        <f t="shared" si="2"/>
        <v>Lucas Martins</v>
      </c>
      <c r="F26" s="164"/>
      <c r="G26" s="164" t="e">
        <f>_xlfn.CONCAT('Consolidado-Eletronorte'!#REF!,"_",ROW('Consolidado-Eletronorte'!#REF!)-ROW('Consolidado-Eletronorte'!$G$18))</f>
        <v>#REF!</v>
      </c>
      <c r="H26" s="165" t="s">
        <v>506</v>
      </c>
      <c r="I26" s="165" t="s">
        <v>135</v>
      </c>
      <c r="J26" s="165" t="s">
        <v>508</v>
      </c>
      <c r="K26" s="165" t="s">
        <v>1039</v>
      </c>
      <c r="L26" s="165" t="s">
        <v>1040</v>
      </c>
      <c r="M26" s="178" t="s">
        <v>1120</v>
      </c>
      <c r="N26" s="165"/>
      <c r="O26" s="165"/>
      <c r="P26" s="165"/>
      <c r="Q26" s="178" t="s">
        <v>1121</v>
      </c>
      <c r="R26" s="178" t="s">
        <v>1097</v>
      </c>
      <c r="S26" s="178" t="s">
        <v>1034</v>
      </c>
      <c r="T26" s="198">
        <v>183148</v>
      </c>
      <c r="U26" s="198">
        <v>183148</v>
      </c>
      <c r="V26" s="198" t="s">
        <v>1045</v>
      </c>
      <c r="W26" s="198" t="s">
        <v>1045</v>
      </c>
      <c r="X26" s="198" t="s">
        <v>1045</v>
      </c>
      <c r="Y26" s="198" t="s">
        <v>1045</v>
      </c>
      <c r="Z26" s="198" t="s">
        <v>1045</v>
      </c>
      <c r="AA26" s="198" t="s">
        <v>1045</v>
      </c>
      <c r="AB26" s="198" t="s">
        <v>1045</v>
      </c>
      <c r="AC26" s="198" t="s">
        <v>1045</v>
      </c>
      <c r="AD26" s="198" t="s">
        <v>1045</v>
      </c>
      <c r="AE26" s="198" t="s">
        <v>1045</v>
      </c>
      <c r="AF26" s="197">
        <f>SUM(Tabela96[[#This Row],[jan/26]:[dez/26]])</f>
        <v>366296</v>
      </c>
      <c r="AG26" s="198"/>
      <c r="AH26" s="198">
        <v>0</v>
      </c>
      <c r="AI26" s="198">
        <v>0</v>
      </c>
      <c r="AJ26" s="198">
        <v>0</v>
      </c>
      <c r="AK26" s="198">
        <f>SUM(Tabela96[[#This Row],[2026]:[2030]])</f>
        <v>366296</v>
      </c>
      <c r="AL26" s="198">
        <v>0</v>
      </c>
      <c r="AM26" s="198">
        <v>0</v>
      </c>
      <c r="AN26" s="198">
        <v>0</v>
      </c>
      <c r="AO26" s="198">
        <v>0</v>
      </c>
      <c r="AP26" s="198">
        <v>0</v>
      </c>
      <c r="AQ26" s="202">
        <f>SUM(Tabela96[[#This Row],[2026-2030]:[2035]])</f>
        <v>366296</v>
      </c>
      <c r="AS26" s="178" t="s">
        <v>1046</v>
      </c>
      <c r="AT26" s="201">
        <v>2025</v>
      </c>
      <c r="AU26" s="178" t="s">
        <v>1122</v>
      </c>
      <c r="AV26" s="182" t="s">
        <v>1119</v>
      </c>
      <c r="AW26" s="178" t="s">
        <v>517</v>
      </c>
      <c r="AZ26" s="178" t="s">
        <v>1094</v>
      </c>
    </row>
    <row r="27" spans="2:52" ht="24.75" customHeight="1" x14ac:dyDescent="0.35">
      <c r="B27" s="179" t="e" cm="1">
        <f t="array" ref="B27">AND(ISTEXT('Consolidado-Eletronorte'!#REF!),SUM('Consolidado-Eletronorte'!#REF!)&gt;0)</f>
        <v>#REF!</v>
      </c>
      <c r="C27" s="162" t="str">
        <f t="shared" ca="1" si="0"/>
        <v>Capex Orcamentário_PE2026_2030_red_35_porcentoR3_consulta.xlsx</v>
      </c>
      <c r="D27" s="163" t="str">
        <f t="shared" si="1"/>
        <v>COO</v>
      </c>
      <c r="E27" s="163" t="str">
        <f t="shared" si="2"/>
        <v>Lucas Martins</v>
      </c>
      <c r="F27" s="164"/>
      <c r="G27" s="164" t="e">
        <f>_xlfn.CONCAT('Consolidado-Eletronorte'!#REF!,"_",ROW('Consolidado-Eletronorte'!#REF!)-ROW('Consolidado-Eletronorte'!$G$18))</f>
        <v>#REF!</v>
      </c>
      <c r="H27" s="165" t="s">
        <v>506</v>
      </c>
      <c r="I27" s="165" t="s">
        <v>135</v>
      </c>
      <c r="J27" s="165" t="s">
        <v>508</v>
      </c>
      <c r="K27" s="165" t="s">
        <v>1039</v>
      </c>
      <c r="L27" s="165" t="s">
        <v>1040</v>
      </c>
      <c r="M27" s="178" t="s">
        <v>1123</v>
      </c>
      <c r="N27" s="165"/>
      <c r="O27" s="165"/>
      <c r="P27" s="165"/>
      <c r="Q27" s="178" t="s">
        <v>1124</v>
      </c>
      <c r="R27" s="178" t="s">
        <v>1101</v>
      </c>
      <c r="S27" s="178" t="s">
        <v>1034</v>
      </c>
      <c r="T27" s="198">
        <v>136594</v>
      </c>
      <c r="U27" s="198">
        <v>136594</v>
      </c>
      <c r="V27" s="198" t="s">
        <v>1045</v>
      </c>
      <c r="W27" s="198" t="s">
        <v>1045</v>
      </c>
      <c r="X27" s="198" t="s">
        <v>1045</v>
      </c>
      <c r="Y27" s="198" t="s">
        <v>1045</v>
      </c>
      <c r="Z27" s="198" t="s">
        <v>1045</v>
      </c>
      <c r="AA27" s="198" t="s">
        <v>1045</v>
      </c>
      <c r="AB27" s="198" t="s">
        <v>1045</v>
      </c>
      <c r="AC27" s="198" t="s">
        <v>1045</v>
      </c>
      <c r="AD27" s="198" t="s">
        <v>1045</v>
      </c>
      <c r="AE27" s="198" t="s">
        <v>1045</v>
      </c>
      <c r="AF27" s="197">
        <f>SUM(Tabela96[[#This Row],[jan/26]:[dez/26]])</f>
        <v>273188</v>
      </c>
      <c r="AG27" s="198"/>
      <c r="AH27" s="198">
        <v>0</v>
      </c>
      <c r="AI27" s="198">
        <v>0</v>
      </c>
      <c r="AJ27" s="198">
        <v>0</v>
      </c>
      <c r="AK27" s="198">
        <f>SUM(Tabela96[[#This Row],[2026]:[2030]])</f>
        <v>273188</v>
      </c>
      <c r="AL27" s="198">
        <v>0</v>
      </c>
      <c r="AM27" s="198">
        <v>0</v>
      </c>
      <c r="AN27" s="198">
        <v>0</v>
      </c>
      <c r="AO27" s="198">
        <v>0</v>
      </c>
      <c r="AP27" s="198">
        <v>0</v>
      </c>
      <c r="AQ27" s="202">
        <f>SUM(Tabela96[[#This Row],[2026-2030]:[2035]])</f>
        <v>273188</v>
      </c>
      <c r="AS27" s="178" t="s">
        <v>1046</v>
      </c>
      <c r="AT27" s="201">
        <v>2025</v>
      </c>
      <c r="AU27" s="178" t="s">
        <v>1125</v>
      </c>
      <c r="AV27" s="182" t="s">
        <v>1119</v>
      </c>
      <c r="AW27" s="178" t="s">
        <v>517</v>
      </c>
      <c r="AZ27" s="178" t="s">
        <v>1094</v>
      </c>
    </row>
    <row r="28" spans="2:52" ht="24.75" customHeight="1" x14ac:dyDescent="0.35">
      <c r="B28" s="179" t="e" cm="1">
        <f t="array" ref="B28">AND(ISTEXT('Consolidado-Eletronorte'!#REF!),SUM('Consolidado-Eletronorte'!#REF!)&gt;0)</f>
        <v>#REF!</v>
      </c>
      <c r="C28" s="162" t="str">
        <f t="shared" ca="1" si="0"/>
        <v>Capex Orcamentário_PE2026_2030_red_35_porcentoR3_consulta.xlsx</v>
      </c>
      <c r="D28" s="163" t="str">
        <f t="shared" si="1"/>
        <v>COO</v>
      </c>
      <c r="E28" s="163" t="str">
        <f t="shared" si="2"/>
        <v>Lucas Martins</v>
      </c>
      <c r="F28" s="164"/>
      <c r="G28" s="164" t="e">
        <f>_xlfn.CONCAT('Consolidado-Eletronorte'!#REF!,"_",ROW('Consolidado-Eletronorte'!#REF!)-ROW('Consolidado-Eletronorte'!$G$18))</f>
        <v>#REF!</v>
      </c>
      <c r="H28" s="165" t="s">
        <v>506</v>
      </c>
      <c r="I28" s="165" t="s">
        <v>135</v>
      </c>
      <c r="J28" s="165" t="s">
        <v>508</v>
      </c>
      <c r="K28" s="165" t="s">
        <v>1039</v>
      </c>
      <c r="L28" s="165" t="s">
        <v>1040</v>
      </c>
      <c r="M28" s="178" t="s">
        <v>1126</v>
      </c>
      <c r="N28" s="165"/>
      <c r="O28" s="165"/>
      <c r="P28" s="165"/>
      <c r="Q28" s="178" t="s">
        <v>1127</v>
      </c>
      <c r="R28" s="178" t="s">
        <v>1105</v>
      </c>
      <c r="S28" s="178" t="s">
        <v>1034</v>
      </c>
      <c r="T28" s="198">
        <v>139213</v>
      </c>
      <c r="U28" s="198">
        <v>139213</v>
      </c>
      <c r="V28" s="198" t="s">
        <v>1045</v>
      </c>
      <c r="W28" s="198" t="s">
        <v>1045</v>
      </c>
      <c r="X28" s="198" t="s">
        <v>1045</v>
      </c>
      <c r="Y28" s="198" t="s">
        <v>1045</v>
      </c>
      <c r="Z28" s="198" t="s">
        <v>1045</v>
      </c>
      <c r="AA28" s="198" t="s">
        <v>1045</v>
      </c>
      <c r="AB28" s="198" t="s">
        <v>1045</v>
      </c>
      <c r="AC28" s="198" t="s">
        <v>1045</v>
      </c>
      <c r="AD28" s="198" t="s">
        <v>1045</v>
      </c>
      <c r="AE28" s="198" t="s">
        <v>1045</v>
      </c>
      <c r="AF28" s="197">
        <f>SUM(Tabela96[[#This Row],[jan/26]:[dez/26]])</f>
        <v>278426</v>
      </c>
      <c r="AG28" s="198"/>
      <c r="AH28" s="198">
        <v>0</v>
      </c>
      <c r="AI28" s="198">
        <v>0</v>
      </c>
      <c r="AJ28" s="198">
        <v>0</v>
      </c>
      <c r="AK28" s="198">
        <f>SUM(Tabela96[[#This Row],[2026]:[2030]])</f>
        <v>278426</v>
      </c>
      <c r="AL28" s="198">
        <v>0</v>
      </c>
      <c r="AM28" s="198">
        <v>0</v>
      </c>
      <c r="AN28" s="198">
        <v>0</v>
      </c>
      <c r="AO28" s="198">
        <v>0</v>
      </c>
      <c r="AP28" s="198">
        <v>0</v>
      </c>
      <c r="AQ28" s="202">
        <f>SUM(Tabela96[[#This Row],[2026-2030]:[2035]])</f>
        <v>278426</v>
      </c>
      <c r="AS28" s="178" t="s">
        <v>1046</v>
      </c>
      <c r="AT28" s="201">
        <v>2025</v>
      </c>
      <c r="AU28" s="178" t="s">
        <v>1128</v>
      </c>
      <c r="AV28" s="182" t="s">
        <v>1119</v>
      </c>
      <c r="AW28" s="178" t="s">
        <v>517</v>
      </c>
      <c r="AZ28" s="178" t="s">
        <v>1094</v>
      </c>
    </row>
    <row r="29" spans="2:52" ht="24.75" customHeight="1" x14ac:dyDescent="0.35">
      <c r="B29" s="179" t="e" cm="1">
        <f t="array" ref="B29">AND(ISTEXT('Consolidado-Eletronorte'!#REF!),SUM('Consolidado-Eletronorte'!#REF!)&gt;0)</f>
        <v>#REF!</v>
      </c>
      <c r="C29" s="162" t="str">
        <f t="shared" ca="1" si="0"/>
        <v>Capex Orcamentário_PE2026_2030_red_35_porcentoR3_consulta.xlsx</v>
      </c>
      <c r="D29" s="163" t="str">
        <f t="shared" si="1"/>
        <v>COO</v>
      </c>
      <c r="E29" s="163" t="str">
        <f t="shared" si="2"/>
        <v>Lucas Martins</v>
      </c>
      <c r="F29" s="164"/>
      <c r="G29" s="164" t="e">
        <f>_xlfn.CONCAT('Consolidado-Eletronorte'!#REF!,"_",ROW('Consolidado-Eletronorte'!#REF!)-ROW('Consolidado-Eletronorte'!$G$18))</f>
        <v>#REF!</v>
      </c>
      <c r="H29" s="165" t="s">
        <v>506</v>
      </c>
      <c r="I29" s="165" t="s">
        <v>135</v>
      </c>
      <c r="J29" s="165" t="s">
        <v>508</v>
      </c>
      <c r="K29" s="165" t="s">
        <v>1039</v>
      </c>
      <c r="L29" s="165" t="s">
        <v>1040</v>
      </c>
      <c r="M29" s="178" t="s">
        <v>1129</v>
      </c>
      <c r="N29" s="165"/>
      <c r="O29" s="165"/>
      <c r="P29" s="165"/>
      <c r="Q29" s="178" t="s">
        <v>1130</v>
      </c>
      <c r="R29" s="178" t="s">
        <v>1097</v>
      </c>
      <c r="S29" s="178" t="s">
        <v>1034</v>
      </c>
      <c r="T29" s="198" t="s">
        <v>1045</v>
      </c>
      <c r="U29" s="198" t="s">
        <v>1045</v>
      </c>
      <c r="V29" s="198" t="s">
        <v>1045</v>
      </c>
      <c r="W29" s="198" t="s">
        <v>1045</v>
      </c>
      <c r="X29" s="198" t="s">
        <v>1045</v>
      </c>
      <c r="Y29" s="198" t="s">
        <v>1045</v>
      </c>
      <c r="Z29" s="198" t="s">
        <v>1045</v>
      </c>
      <c r="AA29" s="198" t="s">
        <v>1045</v>
      </c>
      <c r="AB29" s="198" t="s">
        <v>1045</v>
      </c>
      <c r="AC29" s="198" t="s">
        <v>1045</v>
      </c>
      <c r="AD29" s="198" t="s">
        <v>1045</v>
      </c>
      <c r="AE29" s="198" t="s">
        <v>1045</v>
      </c>
      <c r="AF29" s="197">
        <f>SUM(Tabela96[[#This Row],[jan/26]:[dez/26]])</f>
        <v>0</v>
      </c>
      <c r="AG29" s="198">
        <v>402926.7</v>
      </c>
      <c r="AH29" s="198">
        <v>0</v>
      </c>
      <c r="AI29" s="198">
        <v>0</v>
      </c>
      <c r="AJ29" s="198">
        <v>0</v>
      </c>
      <c r="AK29" s="198">
        <f>SUM(Tabela96[[#This Row],[2026]:[2030]])</f>
        <v>402926.7</v>
      </c>
      <c r="AL29" s="198">
        <v>0</v>
      </c>
      <c r="AM29" s="198">
        <v>0</v>
      </c>
      <c r="AN29" s="198">
        <v>0</v>
      </c>
      <c r="AO29" s="198">
        <v>0</v>
      </c>
      <c r="AP29" s="198">
        <v>0</v>
      </c>
      <c r="AQ29" s="202">
        <f>SUM(Tabela96[[#This Row],[2026-2030]:[2035]])</f>
        <v>402926.7</v>
      </c>
      <c r="AS29" s="178" t="s">
        <v>1046</v>
      </c>
      <c r="AT29" s="201">
        <v>2025</v>
      </c>
      <c r="AU29" s="178" t="s">
        <v>1131</v>
      </c>
      <c r="AV29" s="182" t="s">
        <v>1119</v>
      </c>
      <c r="AW29" s="178" t="s">
        <v>517</v>
      </c>
      <c r="AZ29" s="178" t="s">
        <v>1094</v>
      </c>
    </row>
    <row r="30" spans="2:52" ht="24.75" customHeight="1" x14ac:dyDescent="0.35">
      <c r="B30" s="179" t="e" cm="1">
        <f t="array" ref="B30">AND(ISTEXT('Consolidado-Eletronorte'!#REF!),SUM('Consolidado-Eletronorte'!#REF!)&gt;0)</f>
        <v>#REF!</v>
      </c>
      <c r="C30" s="162" t="str">
        <f t="shared" ca="1" si="0"/>
        <v>Capex Orcamentário_PE2026_2030_red_35_porcentoR3_consulta.xlsx</v>
      </c>
      <c r="D30" s="163" t="str">
        <f t="shared" si="1"/>
        <v>COO</v>
      </c>
      <c r="E30" s="163" t="str">
        <f t="shared" si="2"/>
        <v>Lucas Martins</v>
      </c>
      <c r="F30" s="164"/>
      <c r="G30" s="164" t="e">
        <f>_xlfn.CONCAT('Consolidado-Eletronorte'!#REF!,"_",ROW('Consolidado-Eletronorte'!#REF!)-ROW('Consolidado-Eletronorte'!$G$18))</f>
        <v>#REF!</v>
      </c>
      <c r="H30" s="165" t="s">
        <v>506</v>
      </c>
      <c r="I30" s="165" t="s">
        <v>135</v>
      </c>
      <c r="J30" s="165" t="s">
        <v>508</v>
      </c>
      <c r="K30" s="165" t="s">
        <v>1039</v>
      </c>
      <c r="L30" s="165" t="s">
        <v>1040</v>
      </c>
      <c r="M30" s="178" t="s">
        <v>1132</v>
      </c>
      <c r="N30" s="165"/>
      <c r="O30" s="165"/>
      <c r="P30" s="165"/>
      <c r="Q30" s="178" t="s">
        <v>1133</v>
      </c>
      <c r="R30" s="178" t="s">
        <v>1101</v>
      </c>
      <c r="S30" s="178" t="s">
        <v>1034</v>
      </c>
      <c r="T30" s="198" t="s">
        <v>1045</v>
      </c>
      <c r="U30" s="198" t="s">
        <v>1045</v>
      </c>
      <c r="V30" s="198" t="s">
        <v>1045</v>
      </c>
      <c r="W30" s="198" t="s">
        <v>1045</v>
      </c>
      <c r="X30" s="198" t="s">
        <v>1045</v>
      </c>
      <c r="Y30" s="198" t="s">
        <v>1045</v>
      </c>
      <c r="Z30" s="198" t="s">
        <v>1045</v>
      </c>
      <c r="AA30" s="198" t="s">
        <v>1045</v>
      </c>
      <c r="AB30" s="198" t="s">
        <v>1045</v>
      </c>
      <c r="AC30" s="198" t="s">
        <v>1045</v>
      </c>
      <c r="AD30" s="198" t="s">
        <v>1045</v>
      </c>
      <c r="AE30" s="198" t="s">
        <v>1045</v>
      </c>
      <c r="AF30" s="197">
        <f>SUM(Tabela96[[#This Row],[jan/26]:[dez/26]])</f>
        <v>0</v>
      </c>
      <c r="AG30" s="198">
        <v>300507.90000000002</v>
      </c>
      <c r="AH30" s="198">
        <v>0</v>
      </c>
      <c r="AI30" s="198">
        <v>0</v>
      </c>
      <c r="AJ30" s="198">
        <v>0</v>
      </c>
      <c r="AK30" s="198">
        <f>SUM(Tabela96[[#This Row],[2026]:[2030]])</f>
        <v>300507.90000000002</v>
      </c>
      <c r="AL30" s="198">
        <v>0</v>
      </c>
      <c r="AM30" s="198">
        <v>0</v>
      </c>
      <c r="AN30" s="198">
        <v>0</v>
      </c>
      <c r="AO30" s="198">
        <v>0</v>
      </c>
      <c r="AP30" s="198">
        <v>0</v>
      </c>
      <c r="AQ30" s="202">
        <f>SUM(Tabela96[[#This Row],[2026-2030]:[2035]])</f>
        <v>300507.90000000002</v>
      </c>
      <c r="AS30" s="178" t="s">
        <v>1046</v>
      </c>
      <c r="AT30" s="201">
        <v>2025</v>
      </c>
      <c r="AU30" s="178" t="s">
        <v>1134</v>
      </c>
      <c r="AV30" s="182" t="s">
        <v>1119</v>
      </c>
      <c r="AW30" s="178" t="s">
        <v>517</v>
      </c>
      <c r="AZ30" s="178" t="s">
        <v>1094</v>
      </c>
    </row>
    <row r="31" spans="2:52" ht="24.75" customHeight="1" x14ac:dyDescent="0.35">
      <c r="B31" s="179" t="e" cm="1">
        <f t="array" ref="B31">AND(ISTEXT('Consolidado-Eletronorte'!#REF!),SUM('Consolidado-Eletronorte'!#REF!)&gt;0)</f>
        <v>#REF!</v>
      </c>
      <c r="C31" s="162" t="str">
        <f t="shared" ca="1" si="0"/>
        <v>Capex Orcamentário_PE2026_2030_red_35_porcentoR3_consulta.xlsx</v>
      </c>
      <c r="D31" s="163" t="str">
        <f t="shared" si="1"/>
        <v>COO</v>
      </c>
      <c r="E31" s="163" t="str">
        <f t="shared" si="2"/>
        <v>Lucas Martins</v>
      </c>
      <c r="F31" s="164"/>
      <c r="G31" s="164" t="e">
        <f>_xlfn.CONCAT('Consolidado-Eletronorte'!#REF!,"_",ROW('Consolidado-Eletronorte'!#REF!)-ROW('Consolidado-Eletronorte'!$G$18))</f>
        <v>#REF!</v>
      </c>
      <c r="H31" s="165" t="s">
        <v>506</v>
      </c>
      <c r="I31" s="165" t="s">
        <v>135</v>
      </c>
      <c r="J31" s="165" t="s">
        <v>508</v>
      </c>
      <c r="K31" s="165" t="s">
        <v>1039</v>
      </c>
      <c r="L31" s="165" t="s">
        <v>1040</v>
      </c>
      <c r="M31" s="178" t="s">
        <v>1135</v>
      </c>
      <c r="N31" s="165"/>
      <c r="O31" s="165"/>
      <c r="P31" s="165"/>
      <c r="Q31" s="178" t="s">
        <v>1136</v>
      </c>
      <c r="R31" s="178" t="s">
        <v>1105</v>
      </c>
      <c r="S31" s="178" t="s">
        <v>1034</v>
      </c>
      <c r="T31" s="198" t="s">
        <v>1045</v>
      </c>
      <c r="U31" s="198" t="s">
        <v>1045</v>
      </c>
      <c r="V31" s="198" t="s">
        <v>1045</v>
      </c>
      <c r="W31" s="198" t="s">
        <v>1045</v>
      </c>
      <c r="X31" s="198" t="s">
        <v>1045</v>
      </c>
      <c r="Y31" s="198" t="s">
        <v>1045</v>
      </c>
      <c r="Z31" s="198" t="s">
        <v>1045</v>
      </c>
      <c r="AA31" s="198" t="s">
        <v>1045</v>
      </c>
      <c r="AB31" s="198" t="s">
        <v>1045</v>
      </c>
      <c r="AC31" s="198" t="s">
        <v>1045</v>
      </c>
      <c r="AD31" s="198" t="s">
        <v>1045</v>
      </c>
      <c r="AE31" s="198" t="s">
        <v>1045</v>
      </c>
      <c r="AF31" s="197">
        <f>SUM(Tabela96[[#This Row],[jan/26]:[dez/26]])</f>
        <v>0</v>
      </c>
      <c r="AG31" s="198">
        <v>306268.60000000003</v>
      </c>
      <c r="AH31" s="198">
        <v>0</v>
      </c>
      <c r="AI31" s="198">
        <v>0</v>
      </c>
      <c r="AJ31" s="198">
        <v>0</v>
      </c>
      <c r="AK31" s="198">
        <f>SUM(Tabela96[[#This Row],[2026]:[2030]])</f>
        <v>306268.60000000003</v>
      </c>
      <c r="AL31" s="198">
        <v>0</v>
      </c>
      <c r="AM31" s="198">
        <v>0</v>
      </c>
      <c r="AN31" s="198">
        <v>0</v>
      </c>
      <c r="AO31" s="198">
        <v>0</v>
      </c>
      <c r="AP31" s="198">
        <v>0</v>
      </c>
      <c r="AQ31" s="202">
        <f>SUM(Tabela96[[#This Row],[2026-2030]:[2035]])</f>
        <v>306268.60000000003</v>
      </c>
      <c r="AS31" s="178" t="s">
        <v>1046</v>
      </c>
      <c r="AT31" s="201">
        <v>2025</v>
      </c>
      <c r="AU31" s="178" t="s">
        <v>1137</v>
      </c>
      <c r="AV31" s="182" t="s">
        <v>1119</v>
      </c>
      <c r="AW31" s="178" t="s">
        <v>517</v>
      </c>
      <c r="AZ31" s="178" t="s">
        <v>1094</v>
      </c>
    </row>
    <row r="32" spans="2:52" ht="24.75" customHeight="1" x14ac:dyDescent="0.35">
      <c r="B32" s="179" t="e" cm="1">
        <f t="array" ref="B32">AND(ISTEXT('Consolidado-Eletronorte'!#REF!),SUM('Consolidado-Eletronorte'!#REF!)&gt;0)</f>
        <v>#REF!</v>
      </c>
      <c r="C32" s="162" t="str">
        <f t="shared" ca="1" si="0"/>
        <v>Capex Orcamentário_PE2026_2030_red_35_porcentoR3_consulta.xlsx</v>
      </c>
      <c r="D32" s="163" t="str">
        <f t="shared" si="1"/>
        <v>COO</v>
      </c>
      <c r="E32" s="163" t="str">
        <f t="shared" si="2"/>
        <v>Lucas Martins</v>
      </c>
      <c r="F32" s="164"/>
      <c r="G32" s="164" t="e">
        <f>_xlfn.CONCAT('Consolidado-Eletronorte'!#REF!,"_",ROW('Consolidado-Eletronorte'!#REF!)-ROW('Consolidado-Eletronorte'!$G$18))</f>
        <v>#REF!</v>
      </c>
      <c r="H32" s="165" t="s">
        <v>506</v>
      </c>
      <c r="I32" s="165" t="s">
        <v>135</v>
      </c>
      <c r="J32" s="165" t="s">
        <v>508</v>
      </c>
      <c r="K32" s="165" t="s">
        <v>1039</v>
      </c>
      <c r="L32" s="165" t="s">
        <v>1040</v>
      </c>
      <c r="M32" s="178" t="s">
        <v>1138</v>
      </c>
      <c r="N32" s="165"/>
      <c r="O32" s="165"/>
      <c r="P32" s="165"/>
      <c r="Q32" s="178" t="s">
        <v>1139</v>
      </c>
      <c r="R32" s="178" t="s">
        <v>1140</v>
      </c>
      <c r="S32" s="178" t="s">
        <v>1141</v>
      </c>
      <c r="T32" s="198">
        <v>215</v>
      </c>
      <c r="U32" s="198">
        <v>215</v>
      </c>
      <c r="V32" s="198">
        <v>215</v>
      </c>
      <c r="W32" s="198">
        <v>215</v>
      </c>
      <c r="X32" s="198">
        <v>215</v>
      </c>
      <c r="Y32" s="198">
        <v>215</v>
      </c>
      <c r="Z32" s="198">
        <v>215</v>
      </c>
      <c r="AA32" s="198">
        <v>215</v>
      </c>
      <c r="AB32" s="198">
        <v>215</v>
      </c>
      <c r="AC32" s="198" t="s">
        <v>1045</v>
      </c>
      <c r="AD32" s="198" t="s">
        <v>1045</v>
      </c>
      <c r="AE32" s="198" t="s">
        <v>1045</v>
      </c>
      <c r="AF32" s="197">
        <f>SUM(Tabela96[[#This Row],[jan/26]:[dez/26]])</f>
        <v>1935</v>
      </c>
      <c r="AG32" s="198">
        <v>0</v>
      </c>
      <c r="AH32" s="198">
        <v>0</v>
      </c>
      <c r="AI32" s="198">
        <v>0</v>
      </c>
      <c r="AJ32" s="198">
        <v>0</v>
      </c>
      <c r="AK32" s="198">
        <f>SUM(Tabela96[[#This Row],[2026]:[2030]])</f>
        <v>1935</v>
      </c>
      <c r="AL32" s="198">
        <v>0</v>
      </c>
      <c r="AM32" s="198">
        <v>0</v>
      </c>
      <c r="AN32" s="198">
        <v>0</v>
      </c>
      <c r="AO32" s="198">
        <v>0</v>
      </c>
      <c r="AP32" s="198">
        <v>0</v>
      </c>
      <c r="AQ32" s="202">
        <f>SUM(Tabela96[[#This Row],[2026-2030]:[2035]])</f>
        <v>1935</v>
      </c>
      <c r="AS32" s="178" t="s">
        <v>1046</v>
      </c>
      <c r="AT32" s="201">
        <v>2024</v>
      </c>
      <c r="AU32" s="178" t="s">
        <v>1142</v>
      </c>
      <c r="AV32" s="182" t="s">
        <v>1143</v>
      </c>
      <c r="AW32" s="178" t="s">
        <v>517</v>
      </c>
      <c r="AZ32" s="178" t="s">
        <v>1144</v>
      </c>
    </row>
    <row r="33" spans="2:52" ht="24.75" customHeight="1" x14ac:dyDescent="0.35">
      <c r="B33" s="179" t="e" cm="1">
        <f t="array" ref="B33">AND(ISTEXT('Consolidado-Eletronorte'!#REF!),SUM('Consolidado-Eletronorte'!#REF!)&gt;0)</f>
        <v>#REF!</v>
      </c>
      <c r="C33" s="162" t="str">
        <f t="shared" ca="1" si="0"/>
        <v>Capex Orcamentário_PE2026_2030_red_35_porcentoR3_consulta.xlsx</v>
      </c>
      <c r="D33" s="163" t="str">
        <f t="shared" si="1"/>
        <v>COO</v>
      </c>
      <c r="E33" s="163" t="str">
        <f t="shared" si="2"/>
        <v>Lucas Martins</v>
      </c>
      <c r="F33" s="164"/>
      <c r="G33" s="164" t="e">
        <f>_xlfn.CONCAT('Consolidado-Eletronorte'!#REF!,"_",ROW('Consolidado-Eletronorte'!#REF!)-ROW('Consolidado-Eletronorte'!$G$18))</f>
        <v>#REF!</v>
      </c>
      <c r="H33" s="165" t="s">
        <v>506</v>
      </c>
      <c r="I33" s="165" t="s">
        <v>135</v>
      </c>
      <c r="J33" s="165" t="s">
        <v>508</v>
      </c>
      <c r="K33" s="165" t="s">
        <v>1039</v>
      </c>
      <c r="L33" s="165" t="s">
        <v>1040</v>
      </c>
      <c r="M33" s="178" t="s">
        <v>1145</v>
      </c>
      <c r="N33" s="165"/>
      <c r="O33" s="165"/>
      <c r="P33" s="165"/>
      <c r="Q33" s="178" t="s">
        <v>1146</v>
      </c>
      <c r="R33" s="178" t="s">
        <v>1140</v>
      </c>
      <c r="S33" s="178" t="s">
        <v>1141</v>
      </c>
      <c r="T33" s="198">
        <v>215</v>
      </c>
      <c r="U33" s="198">
        <v>215</v>
      </c>
      <c r="V33" s="198">
        <v>215</v>
      </c>
      <c r="W33" s="198">
        <v>215</v>
      </c>
      <c r="X33" s="198">
        <v>215</v>
      </c>
      <c r="Y33" s="198">
        <v>215</v>
      </c>
      <c r="Z33" s="198">
        <v>215</v>
      </c>
      <c r="AA33" s="198">
        <v>215</v>
      </c>
      <c r="AB33" s="198">
        <v>215</v>
      </c>
      <c r="AC33" s="198" t="s">
        <v>1045</v>
      </c>
      <c r="AD33" s="198" t="s">
        <v>1045</v>
      </c>
      <c r="AE33" s="198" t="s">
        <v>1045</v>
      </c>
      <c r="AF33" s="197">
        <f>SUM(Tabela96[[#This Row],[jan/26]:[dez/26]])</f>
        <v>1935</v>
      </c>
      <c r="AG33" s="198">
        <v>0</v>
      </c>
      <c r="AH33" s="198">
        <v>0</v>
      </c>
      <c r="AI33" s="198">
        <v>0</v>
      </c>
      <c r="AJ33" s="198">
        <v>0</v>
      </c>
      <c r="AK33" s="198">
        <f>SUM(Tabela96[[#This Row],[2026]:[2030]])</f>
        <v>1935</v>
      </c>
      <c r="AL33" s="198">
        <v>0</v>
      </c>
      <c r="AM33" s="198">
        <v>0</v>
      </c>
      <c r="AN33" s="198">
        <v>0</v>
      </c>
      <c r="AO33" s="198">
        <v>0</v>
      </c>
      <c r="AP33" s="198">
        <v>0</v>
      </c>
      <c r="AQ33" s="202">
        <f>SUM(Tabela96[[#This Row],[2026-2030]:[2035]])</f>
        <v>1935</v>
      </c>
      <c r="AS33" s="178" t="s">
        <v>1046</v>
      </c>
      <c r="AT33" s="201">
        <v>2024</v>
      </c>
      <c r="AU33" s="178" t="s">
        <v>1147</v>
      </c>
      <c r="AV33" s="182" t="s">
        <v>1143</v>
      </c>
      <c r="AW33" s="178" t="s">
        <v>517</v>
      </c>
      <c r="AZ33" s="178" t="s">
        <v>1144</v>
      </c>
    </row>
    <row r="34" spans="2:52" ht="24.75" customHeight="1" x14ac:dyDescent="0.35">
      <c r="B34" s="179" t="e" cm="1">
        <f t="array" ref="B34">AND(ISTEXT('Consolidado-Eletronorte'!#REF!),SUM('Consolidado-Eletronorte'!#REF!)&gt;0)</f>
        <v>#REF!</v>
      </c>
      <c r="C34" s="162" t="str">
        <f t="shared" ca="1" si="0"/>
        <v>Capex Orcamentário_PE2026_2030_red_35_porcentoR3_consulta.xlsx</v>
      </c>
      <c r="D34" s="163" t="str">
        <f t="shared" si="1"/>
        <v>COO</v>
      </c>
      <c r="E34" s="163" t="str">
        <f t="shared" si="2"/>
        <v>Lucas Martins</v>
      </c>
      <c r="F34" s="164"/>
      <c r="G34" s="164" t="e">
        <f>_xlfn.CONCAT('Consolidado-Eletronorte'!#REF!,"_",ROW('Consolidado-Eletronorte'!#REF!)-ROW('Consolidado-Eletronorte'!$G$18))</f>
        <v>#REF!</v>
      </c>
      <c r="H34" s="165" t="s">
        <v>506</v>
      </c>
      <c r="I34" s="165" t="s">
        <v>135</v>
      </c>
      <c r="J34" s="165" t="s">
        <v>508</v>
      </c>
      <c r="K34" s="165" t="s">
        <v>1039</v>
      </c>
      <c r="L34" s="165" t="s">
        <v>1040</v>
      </c>
      <c r="M34" s="178" t="s">
        <v>1148</v>
      </c>
      <c r="N34" s="165"/>
      <c r="O34" s="165"/>
      <c r="P34" s="165"/>
      <c r="Q34" s="178" t="s">
        <v>1149</v>
      </c>
      <c r="R34" s="178" t="s">
        <v>1140</v>
      </c>
      <c r="S34" s="178" t="s">
        <v>1141</v>
      </c>
      <c r="T34" s="198">
        <v>215</v>
      </c>
      <c r="U34" s="198">
        <v>215</v>
      </c>
      <c r="V34" s="198">
        <v>215</v>
      </c>
      <c r="W34" s="198">
        <v>215</v>
      </c>
      <c r="X34" s="198">
        <v>215</v>
      </c>
      <c r="Y34" s="198">
        <v>215</v>
      </c>
      <c r="Z34" s="198">
        <v>215</v>
      </c>
      <c r="AA34" s="198">
        <v>215</v>
      </c>
      <c r="AB34" s="198">
        <v>215</v>
      </c>
      <c r="AC34" s="198" t="s">
        <v>1045</v>
      </c>
      <c r="AD34" s="198" t="s">
        <v>1045</v>
      </c>
      <c r="AE34" s="198" t="s">
        <v>1045</v>
      </c>
      <c r="AF34" s="197">
        <f>SUM(Tabela96[[#This Row],[jan/26]:[dez/26]])</f>
        <v>1935</v>
      </c>
      <c r="AG34" s="198">
        <v>0</v>
      </c>
      <c r="AH34" s="198">
        <v>0</v>
      </c>
      <c r="AI34" s="198">
        <v>0</v>
      </c>
      <c r="AJ34" s="198">
        <v>0</v>
      </c>
      <c r="AK34" s="198">
        <f>SUM(Tabela96[[#This Row],[2026]:[2030]])</f>
        <v>1935</v>
      </c>
      <c r="AL34" s="198">
        <v>0</v>
      </c>
      <c r="AM34" s="198">
        <v>0</v>
      </c>
      <c r="AN34" s="198">
        <v>0</v>
      </c>
      <c r="AO34" s="198">
        <v>0</v>
      </c>
      <c r="AP34" s="198">
        <v>0</v>
      </c>
      <c r="AQ34" s="202">
        <f>SUM(Tabela96[[#This Row],[2026-2030]:[2035]])</f>
        <v>1935</v>
      </c>
      <c r="AS34" s="178" t="s">
        <v>1046</v>
      </c>
      <c r="AT34" s="201">
        <v>2024</v>
      </c>
      <c r="AU34" s="178" t="s">
        <v>1150</v>
      </c>
      <c r="AV34" s="182" t="s">
        <v>1143</v>
      </c>
      <c r="AW34" s="178" t="s">
        <v>517</v>
      </c>
      <c r="AZ34" s="178" t="s">
        <v>1144</v>
      </c>
    </row>
    <row r="35" spans="2:52" ht="24.75" customHeight="1" x14ac:dyDescent="0.35">
      <c r="B35" s="179" t="e" cm="1">
        <f t="array" ref="B35">AND(ISTEXT('Consolidado-Eletronorte'!#REF!),SUM('Consolidado-Eletronorte'!#REF!)&gt;0)</f>
        <v>#REF!</v>
      </c>
      <c r="C35" s="162" t="str">
        <f t="shared" ca="1" si="0"/>
        <v>Capex Orcamentário_PE2026_2030_red_35_porcentoR3_consulta.xlsx</v>
      </c>
      <c r="D35" s="163" t="str">
        <f t="shared" si="1"/>
        <v>COO</v>
      </c>
      <c r="E35" s="163" t="str">
        <f t="shared" si="2"/>
        <v>Lucas Martins</v>
      </c>
      <c r="F35" s="164"/>
      <c r="G35" s="164" t="e">
        <f>_xlfn.CONCAT('Consolidado-Eletronorte'!#REF!,"_",ROW('Consolidado-Eletronorte'!#REF!)-ROW('Consolidado-Eletronorte'!$G$18))</f>
        <v>#REF!</v>
      </c>
      <c r="H35" s="165" t="s">
        <v>506</v>
      </c>
      <c r="I35" s="165" t="s">
        <v>135</v>
      </c>
      <c r="J35" s="165" t="s">
        <v>508</v>
      </c>
      <c r="K35" s="165" t="s">
        <v>1039</v>
      </c>
      <c r="L35" s="165" t="s">
        <v>1040</v>
      </c>
      <c r="M35" s="178" t="s">
        <v>1151</v>
      </c>
      <c r="N35" s="165"/>
      <c r="O35" s="165"/>
      <c r="P35" s="165"/>
      <c r="Q35" s="178" t="s">
        <v>1152</v>
      </c>
      <c r="R35" s="178" t="s">
        <v>1140</v>
      </c>
      <c r="S35" s="178" t="s">
        <v>1141</v>
      </c>
      <c r="T35" s="198">
        <v>215</v>
      </c>
      <c r="U35" s="198">
        <v>215</v>
      </c>
      <c r="V35" s="198">
        <v>215</v>
      </c>
      <c r="W35" s="198">
        <v>215</v>
      </c>
      <c r="X35" s="198">
        <v>215</v>
      </c>
      <c r="Y35" s="198">
        <v>215</v>
      </c>
      <c r="Z35" s="198">
        <v>215</v>
      </c>
      <c r="AA35" s="198">
        <v>215</v>
      </c>
      <c r="AB35" s="198">
        <v>215</v>
      </c>
      <c r="AC35" s="198" t="s">
        <v>1045</v>
      </c>
      <c r="AD35" s="198" t="s">
        <v>1045</v>
      </c>
      <c r="AE35" s="198" t="s">
        <v>1045</v>
      </c>
      <c r="AF35" s="197">
        <f>SUM(Tabela96[[#This Row],[jan/26]:[dez/26]])</f>
        <v>1935</v>
      </c>
      <c r="AG35" s="198">
        <v>0</v>
      </c>
      <c r="AH35" s="198">
        <v>0</v>
      </c>
      <c r="AI35" s="198">
        <v>0</v>
      </c>
      <c r="AJ35" s="198">
        <v>0</v>
      </c>
      <c r="AK35" s="198">
        <f>SUM(Tabela96[[#This Row],[2026]:[2030]])</f>
        <v>1935</v>
      </c>
      <c r="AL35" s="198">
        <v>0</v>
      </c>
      <c r="AM35" s="198">
        <v>0</v>
      </c>
      <c r="AN35" s="198">
        <v>0</v>
      </c>
      <c r="AO35" s="198">
        <v>0</v>
      </c>
      <c r="AP35" s="198">
        <v>0</v>
      </c>
      <c r="AQ35" s="202">
        <f>SUM(Tabela96[[#This Row],[2026-2030]:[2035]])</f>
        <v>1935</v>
      </c>
      <c r="AS35" s="178" t="s">
        <v>1046</v>
      </c>
      <c r="AT35" s="201">
        <v>2024</v>
      </c>
      <c r="AU35" s="178" t="s">
        <v>1153</v>
      </c>
      <c r="AV35" s="182" t="s">
        <v>1143</v>
      </c>
      <c r="AW35" s="178" t="s">
        <v>517</v>
      </c>
      <c r="AZ35" s="178" t="s">
        <v>1144</v>
      </c>
    </row>
    <row r="36" spans="2:52" ht="24.75" customHeight="1" x14ac:dyDescent="0.35">
      <c r="B36" s="179" t="e" cm="1">
        <f t="array" ref="B36">AND(ISTEXT('Consolidado-Eletronorte'!#REF!),SUM('Consolidado-Eletronorte'!#REF!)&gt;0)</f>
        <v>#REF!</v>
      </c>
      <c r="C36" s="162" t="str">
        <f t="shared" ca="1" si="0"/>
        <v>Capex Orcamentário_PE2026_2030_red_35_porcentoR3_consulta.xlsx</v>
      </c>
      <c r="D36" s="163" t="str">
        <f t="shared" si="1"/>
        <v>COO</v>
      </c>
      <c r="E36" s="163" t="str">
        <f t="shared" si="2"/>
        <v>Lucas Martins</v>
      </c>
      <c r="F36" s="164"/>
      <c r="G36" s="164" t="e">
        <f>_xlfn.CONCAT('Consolidado-Eletronorte'!#REF!,"_",ROW('Consolidado-Eletronorte'!#REF!)-ROW('Consolidado-Eletronorte'!$G$18))</f>
        <v>#REF!</v>
      </c>
      <c r="H36" s="165" t="s">
        <v>506</v>
      </c>
      <c r="I36" s="165" t="s">
        <v>135</v>
      </c>
      <c r="J36" s="165" t="s">
        <v>508</v>
      </c>
      <c r="K36" s="165" t="s">
        <v>1039</v>
      </c>
      <c r="L36" s="165" t="s">
        <v>1040</v>
      </c>
      <c r="M36" s="178" t="s">
        <v>1154</v>
      </c>
      <c r="N36" s="165"/>
      <c r="O36" s="165"/>
      <c r="P36" s="165"/>
      <c r="Q36" s="178" t="s">
        <v>1155</v>
      </c>
      <c r="R36" s="178" t="s">
        <v>1140</v>
      </c>
      <c r="S36" s="178" t="s">
        <v>1141</v>
      </c>
      <c r="T36" s="198">
        <v>215</v>
      </c>
      <c r="U36" s="198">
        <v>215</v>
      </c>
      <c r="V36" s="198">
        <v>215</v>
      </c>
      <c r="W36" s="198">
        <v>215</v>
      </c>
      <c r="X36" s="198">
        <v>215</v>
      </c>
      <c r="Y36" s="198">
        <v>215</v>
      </c>
      <c r="Z36" s="198">
        <v>215</v>
      </c>
      <c r="AA36" s="198">
        <v>215</v>
      </c>
      <c r="AB36" s="198">
        <v>215</v>
      </c>
      <c r="AC36" s="198" t="s">
        <v>1045</v>
      </c>
      <c r="AD36" s="198" t="s">
        <v>1045</v>
      </c>
      <c r="AE36" s="198" t="s">
        <v>1045</v>
      </c>
      <c r="AF36" s="197">
        <f>SUM(Tabela96[[#This Row],[jan/26]:[dez/26]])</f>
        <v>1935</v>
      </c>
      <c r="AG36" s="198">
        <v>0</v>
      </c>
      <c r="AH36" s="198">
        <v>0</v>
      </c>
      <c r="AI36" s="198">
        <v>0</v>
      </c>
      <c r="AJ36" s="198">
        <v>0</v>
      </c>
      <c r="AK36" s="198">
        <f>SUM(Tabela96[[#This Row],[2026]:[2030]])</f>
        <v>1935</v>
      </c>
      <c r="AL36" s="198">
        <v>0</v>
      </c>
      <c r="AM36" s="198">
        <v>0</v>
      </c>
      <c r="AN36" s="198">
        <v>0</v>
      </c>
      <c r="AO36" s="198">
        <v>0</v>
      </c>
      <c r="AP36" s="198">
        <v>0</v>
      </c>
      <c r="AQ36" s="202">
        <f>SUM(Tabela96[[#This Row],[2026-2030]:[2035]])</f>
        <v>1935</v>
      </c>
      <c r="AS36" s="178" t="s">
        <v>1046</v>
      </c>
      <c r="AT36" s="201">
        <v>2024</v>
      </c>
      <c r="AU36" s="178" t="s">
        <v>1156</v>
      </c>
      <c r="AV36" s="182" t="s">
        <v>1143</v>
      </c>
      <c r="AW36" s="178" t="s">
        <v>517</v>
      </c>
      <c r="AZ36" s="178" t="s">
        <v>1144</v>
      </c>
    </row>
    <row r="37" spans="2:52" ht="24.75" customHeight="1" x14ac:dyDescent="0.35">
      <c r="B37" s="179" t="e" cm="1">
        <f t="array" ref="B37">AND(ISTEXT('Consolidado-Eletronorte'!#REF!),SUM('Consolidado-Eletronorte'!#REF!)&gt;0)</f>
        <v>#REF!</v>
      </c>
      <c r="C37" s="162" t="str">
        <f t="shared" ca="1" si="0"/>
        <v>Capex Orcamentário_PE2026_2030_red_35_porcentoR3_consulta.xlsx</v>
      </c>
      <c r="D37" s="163" t="str">
        <f t="shared" si="1"/>
        <v>COO</v>
      </c>
      <c r="E37" s="163" t="str">
        <f t="shared" si="2"/>
        <v>Lucas Martins</v>
      </c>
      <c r="F37" s="164"/>
      <c r="G37" s="164" t="e">
        <f>_xlfn.CONCAT('Consolidado-Eletronorte'!#REF!,"_",ROW('Consolidado-Eletronorte'!#REF!)-ROW('Consolidado-Eletronorte'!$G$18))</f>
        <v>#REF!</v>
      </c>
      <c r="H37" s="165" t="s">
        <v>506</v>
      </c>
      <c r="I37" s="165" t="s">
        <v>135</v>
      </c>
      <c r="J37" s="165" t="s">
        <v>508</v>
      </c>
      <c r="K37" s="165" t="s">
        <v>1039</v>
      </c>
      <c r="L37" s="165" t="s">
        <v>1040</v>
      </c>
      <c r="M37" s="178" t="s">
        <v>1157</v>
      </c>
      <c r="N37" s="165"/>
      <c r="O37" s="165"/>
      <c r="P37" s="165"/>
      <c r="Q37" s="178" t="s">
        <v>1158</v>
      </c>
      <c r="R37" s="178" t="s">
        <v>1140</v>
      </c>
      <c r="S37" s="178" t="s">
        <v>1141</v>
      </c>
      <c r="T37" s="198">
        <v>215</v>
      </c>
      <c r="U37" s="198">
        <v>215</v>
      </c>
      <c r="V37" s="198">
        <v>215</v>
      </c>
      <c r="W37" s="198">
        <v>215</v>
      </c>
      <c r="X37" s="198">
        <v>215</v>
      </c>
      <c r="Y37" s="198">
        <v>215</v>
      </c>
      <c r="Z37" s="198">
        <v>215</v>
      </c>
      <c r="AA37" s="198">
        <v>215</v>
      </c>
      <c r="AB37" s="198">
        <v>215</v>
      </c>
      <c r="AC37" s="198" t="s">
        <v>1045</v>
      </c>
      <c r="AD37" s="198" t="s">
        <v>1045</v>
      </c>
      <c r="AE37" s="198" t="s">
        <v>1045</v>
      </c>
      <c r="AF37" s="197">
        <f>SUM(Tabela96[[#This Row],[jan/26]:[dez/26]])</f>
        <v>1935</v>
      </c>
      <c r="AG37" s="198">
        <v>0</v>
      </c>
      <c r="AH37" s="198">
        <v>0</v>
      </c>
      <c r="AI37" s="198">
        <v>0</v>
      </c>
      <c r="AJ37" s="198">
        <v>0</v>
      </c>
      <c r="AK37" s="198">
        <f>SUM(Tabela96[[#This Row],[2026]:[2030]])</f>
        <v>1935</v>
      </c>
      <c r="AL37" s="198">
        <v>0</v>
      </c>
      <c r="AM37" s="198">
        <v>0</v>
      </c>
      <c r="AN37" s="198">
        <v>0</v>
      </c>
      <c r="AO37" s="198">
        <v>0</v>
      </c>
      <c r="AP37" s="198">
        <v>0</v>
      </c>
      <c r="AQ37" s="202">
        <f>SUM(Tabela96[[#This Row],[2026-2030]:[2035]])</f>
        <v>1935</v>
      </c>
      <c r="AS37" s="178" t="s">
        <v>1046</v>
      </c>
      <c r="AT37" s="201">
        <v>2024</v>
      </c>
      <c r="AU37" s="178" t="s">
        <v>1159</v>
      </c>
      <c r="AV37" s="182" t="s">
        <v>1143</v>
      </c>
      <c r="AW37" s="178" t="s">
        <v>517</v>
      </c>
      <c r="AZ37" s="178" t="s">
        <v>1144</v>
      </c>
    </row>
    <row r="38" spans="2:52" ht="24.75" customHeight="1" x14ac:dyDescent="0.35">
      <c r="B38" s="179" t="e" cm="1">
        <f t="array" ref="B38">AND(ISTEXT('Consolidado-Eletronorte'!#REF!),SUM('Consolidado-Eletronorte'!#REF!)&gt;0)</f>
        <v>#REF!</v>
      </c>
      <c r="C38" s="162" t="str">
        <f t="shared" ca="1" si="0"/>
        <v>Capex Orcamentário_PE2026_2030_red_35_porcentoR3_consulta.xlsx</v>
      </c>
      <c r="D38" s="163" t="str">
        <f t="shared" si="1"/>
        <v>COO</v>
      </c>
      <c r="E38" s="163" t="str">
        <f t="shared" si="2"/>
        <v>Lucas Martins</v>
      </c>
      <c r="F38" s="164"/>
      <c r="G38" s="164" t="e">
        <f>_xlfn.CONCAT('Consolidado-Eletronorte'!#REF!,"_",ROW('Consolidado-Eletronorte'!#REF!)-ROW('Consolidado-Eletronorte'!$G$18))</f>
        <v>#REF!</v>
      </c>
      <c r="H38" s="165" t="s">
        <v>506</v>
      </c>
      <c r="I38" s="165" t="s">
        <v>135</v>
      </c>
      <c r="J38" s="165" t="s">
        <v>508</v>
      </c>
      <c r="K38" s="165" t="s">
        <v>1039</v>
      </c>
      <c r="L38" s="165" t="s">
        <v>1040</v>
      </c>
      <c r="M38" s="178" t="s">
        <v>1160</v>
      </c>
      <c r="N38" s="165"/>
      <c r="O38" s="165"/>
      <c r="P38" s="165"/>
      <c r="Q38" s="178" t="s">
        <v>1161</v>
      </c>
      <c r="R38" s="178" t="s">
        <v>1140</v>
      </c>
      <c r="S38" s="178" t="s">
        <v>1141</v>
      </c>
      <c r="T38" s="198">
        <v>215</v>
      </c>
      <c r="U38" s="198">
        <v>215</v>
      </c>
      <c r="V38" s="198">
        <v>215</v>
      </c>
      <c r="W38" s="198">
        <v>215</v>
      </c>
      <c r="X38" s="198">
        <v>215</v>
      </c>
      <c r="Y38" s="198">
        <v>215</v>
      </c>
      <c r="Z38" s="198">
        <v>215</v>
      </c>
      <c r="AA38" s="198">
        <v>215</v>
      </c>
      <c r="AB38" s="198">
        <v>215</v>
      </c>
      <c r="AC38" s="198" t="s">
        <v>1045</v>
      </c>
      <c r="AD38" s="198" t="s">
        <v>1045</v>
      </c>
      <c r="AE38" s="198" t="s">
        <v>1045</v>
      </c>
      <c r="AF38" s="197">
        <f>SUM(Tabela96[[#This Row],[jan/26]:[dez/26]])</f>
        <v>1935</v>
      </c>
      <c r="AG38" s="198">
        <v>0</v>
      </c>
      <c r="AH38" s="198">
        <v>0</v>
      </c>
      <c r="AI38" s="198">
        <v>0</v>
      </c>
      <c r="AJ38" s="198">
        <v>0</v>
      </c>
      <c r="AK38" s="198">
        <f>SUM(Tabela96[[#This Row],[2026]:[2030]])</f>
        <v>1935</v>
      </c>
      <c r="AL38" s="198">
        <v>0</v>
      </c>
      <c r="AM38" s="198">
        <v>0</v>
      </c>
      <c r="AN38" s="198">
        <v>0</v>
      </c>
      <c r="AO38" s="198">
        <v>0</v>
      </c>
      <c r="AP38" s="198">
        <v>0</v>
      </c>
      <c r="AQ38" s="202">
        <f>SUM(Tabela96[[#This Row],[2026-2030]:[2035]])</f>
        <v>1935</v>
      </c>
      <c r="AS38" s="178" t="s">
        <v>1046</v>
      </c>
      <c r="AT38" s="201">
        <v>2024</v>
      </c>
      <c r="AU38" s="178" t="s">
        <v>1162</v>
      </c>
      <c r="AV38" s="182" t="s">
        <v>1143</v>
      </c>
      <c r="AW38" s="178" t="s">
        <v>517</v>
      </c>
      <c r="AZ38" s="178" t="s">
        <v>1144</v>
      </c>
    </row>
    <row r="39" spans="2:52" ht="24.75" customHeight="1" x14ac:dyDescent="0.35">
      <c r="B39" s="179" t="e" cm="1">
        <f t="array" ref="B39">AND(ISTEXT('Consolidado-Eletronorte'!#REF!),SUM('Consolidado-Eletronorte'!#REF!)&gt;0)</f>
        <v>#REF!</v>
      </c>
      <c r="C39" s="162" t="str">
        <f t="shared" ca="1" si="0"/>
        <v>Capex Orcamentário_PE2026_2030_red_35_porcentoR3_consulta.xlsx</v>
      </c>
      <c r="D39" s="163" t="str">
        <f t="shared" si="1"/>
        <v>COO</v>
      </c>
      <c r="E39" s="163" t="str">
        <f t="shared" si="2"/>
        <v>Lucas Martins</v>
      </c>
      <c r="F39" s="164"/>
      <c r="G39" s="164" t="e">
        <f>_xlfn.CONCAT('Consolidado-Eletronorte'!#REF!,"_",ROW('Consolidado-Eletronorte'!#REF!)-ROW('Consolidado-Eletronorte'!$G$18))</f>
        <v>#REF!</v>
      </c>
      <c r="H39" s="165" t="s">
        <v>506</v>
      </c>
      <c r="I39" s="165" t="s">
        <v>135</v>
      </c>
      <c r="J39" s="165" t="s">
        <v>508</v>
      </c>
      <c r="K39" s="165" t="s">
        <v>1039</v>
      </c>
      <c r="L39" s="165" t="s">
        <v>1040</v>
      </c>
      <c r="M39" s="178" t="s">
        <v>1163</v>
      </c>
      <c r="N39" s="165"/>
      <c r="O39" s="165"/>
      <c r="P39" s="165"/>
      <c r="Q39" s="178" t="s">
        <v>1164</v>
      </c>
      <c r="R39" s="178" t="s">
        <v>1140</v>
      </c>
      <c r="S39" s="178" t="s">
        <v>1141</v>
      </c>
      <c r="T39" s="198">
        <v>215</v>
      </c>
      <c r="U39" s="198">
        <v>215</v>
      </c>
      <c r="V39" s="198">
        <v>215</v>
      </c>
      <c r="W39" s="198">
        <v>215</v>
      </c>
      <c r="X39" s="198">
        <v>215</v>
      </c>
      <c r="Y39" s="198">
        <v>215</v>
      </c>
      <c r="Z39" s="198">
        <v>215</v>
      </c>
      <c r="AA39" s="198">
        <v>215</v>
      </c>
      <c r="AB39" s="198">
        <v>215</v>
      </c>
      <c r="AC39" s="198" t="s">
        <v>1045</v>
      </c>
      <c r="AD39" s="198" t="s">
        <v>1045</v>
      </c>
      <c r="AE39" s="198" t="s">
        <v>1045</v>
      </c>
      <c r="AF39" s="197">
        <f>SUM(Tabela96[[#This Row],[jan/26]:[dez/26]])</f>
        <v>1935</v>
      </c>
      <c r="AG39" s="198">
        <v>0</v>
      </c>
      <c r="AH39" s="198">
        <v>0</v>
      </c>
      <c r="AI39" s="198">
        <v>0</v>
      </c>
      <c r="AJ39" s="198">
        <v>0</v>
      </c>
      <c r="AK39" s="198">
        <f>SUM(Tabela96[[#This Row],[2026]:[2030]])</f>
        <v>1935</v>
      </c>
      <c r="AL39" s="198">
        <v>0</v>
      </c>
      <c r="AM39" s="198">
        <v>0</v>
      </c>
      <c r="AN39" s="198">
        <v>0</v>
      </c>
      <c r="AO39" s="198">
        <v>0</v>
      </c>
      <c r="AP39" s="198">
        <v>0</v>
      </c>
      <c r="AQ39" s="202">
        <f>SUM(Tabela96[[#This Row],[2026-2030]:[2035]])</f>
        <v>1935</v>
      </c>
      <c r="AS39" s="178" t="s">
        <v>1046</v>
      </c>
      <c r="AT39" s="201">
        <v>2024</v>
      </c>
      <c r="AU39" s="178" t="s">
        <v>1165</v>
      </c>
      <c r="AV39" s="182" t="s">
        <v>1143</v>
      </c>
      <c r="AW39" s="178" t="s">
        <v>517</v>
      </c>
      <c r="AZ39" s="178" t="s">
        <v>1144</v>
      </c>
    </row>
    <row r="40" spans="2:52" ht="24.75" customHeight="1" x14ac:dyDescent="0.35">
      <c r="B40" s="179" t="e" cm="1">
        <f t="array" ref="B40">AND(ISTEXT('Consolidado-Eletronorte'!#REF!),SUM('Consolidado-Eletronorte'!#REF!)&gt;0)</f>
        <v>#REF!</v>
      </c>
      <c r="C40" s="162" t="str">
        <f t="shared" ca="1" si="0"/>
        <v>Capex Orcamentário_PE2026_2030_red_35_porcentoR3_consulta.xlsx</v>
      </c>
      <c r="D40" s="163" t="str">
        <f t="shared" si="1"/>
        <v>COO</v>
      </c>
      <c r="E40" s="163" t="str">
        <f t="shared" si="2"/>
        <v>Lucas Martins</v>
      </c>
      <c r="F40" s="164"/>
      <c r="G40" s="164" t="e">
        <f>_xlfn.CONCAT('Consolidado-Eletronorte'!#REF!,"_",ROW('Consolidado-Eletronorte'!#REF!)-ROW('Consolidado-Eletronorte'!$G$18))</f>
        <v>#REF!</v>
      </c>
      <c r="H40" s="165" t="s">
        <v>506</v>
      </c>
      <c r="I40" s="165" t="s">
        <v>135</v>
      </c>
      <c r="J40" s="165" t="s">
        <v>508</v>
      </c>
      <c r="K40" s="165" t="s">
        <v>1039</v>
      </c>
      <c r="L40" s="165" t="s">
        <v>1040</v>
      </c>
      <c r="M40" s="178" t="s">
        <v>1166</v>
      </c>
      <c r="N40" s="165"/>
      <c r="O40" s="165"/>
      <c r="P40" s="165"/>
      <c r="Q40" s="178" t="s">
        <v>1167</v>
      </c>
      <c r="R40" s="178" t="s">
        <v>1140</v>
      </c>
      <c r="S40" s="178" t="s">
        <v>1141</v>
      </c>
      <c r="T40" s="198">
        <v>215</v>
      </c>
      <c r="U40" s="198">
        <v>215</v>
      </c>
      <c r="V40" s="198">
        <v>215</v>
      </c>
      <c r="W40" s="198">
        <v>215</v>
      </c>
      <c r="X40" s="198">
        <v>215</v>
      </c>
      <c r="Y40" s="198">
        <v>215</v>
      </c>
      <c r="Z40" s="198">
        <v>215</v>
      </c>
      <c r="AA40" s="198">
        <v>215</v>
      </c>
      <c r="AB40" s="198">
        <v>215</v>
      </c>
      <c r="AC40" s="198" t="s">
        <v>1045</v>
      </c>
      <c r="AD40" s="198" t="s">
        <v>1045</v>
      </c>
      <c r="AE40" s="198" t="s">
        <v>1045</v>
      </c>
      <c r="AF40" s="197">
        <f>SUM(Tabela96[[#This Row],[jan/26]:[dez/26]])</f>
        <v>1935</v>
      </c>
      <c r="AG40" s="198">
        <v>0</v>
      </c>
      <c r="AH40" s="198">
        <v>0</v>
      </c>
      <c r="AI40" s="198">
        <v>0</v>
      </c>
      <c r="AJ40" s="198">
        <v>0</v>
      </c>
      <c r="AK40" s="198">
        <f>SUM(Tabela96[[#This Row],[2026]:[2030]])</f>
        <v>1935</v>
      </c>
      <c r="AL40" s="198">
        <v>0</v>
      </c>
      <c r="AM40" s="198">
        <v>0</v>
      </c>
      <c r="AN40" s="198">
        <v>0</v>
      </c>
      <c r="AO40" s="198">
        <v>0</v>
      </c>
      <c r="AP40" s="198">
        <v>0</v>
      </c>
      <c r="AQ40" s="202">
        <f>SUM(Tabela96[[#This Row],[2026-2030]:[2035]])</f>
        <v>1935</v>
      </c>
      <c r="AS40" s="178" t="s">
        <v>1046</v>
      </c>
      <c r="AT40" s="201">
        <v>2024</v>
      </c>
      <c r="AU40" s="178" t="s">
        <v>1168</v>
      </c>
      <c r="AV40" s="182" t="s">
        <v>1143</v>
      </c>
      <c r="AW40" s="178" t="s">
        <v>517</v>
      </c>
      <c r="AZ40" s="178" t="s">
        <v>1144</v>
      </c>
    </row>
    <row r="41" spans="2:52" ht="24.75" customHeight="1" x14ac:dyDescent="0.35">
      <c r="B41" s="179" t="e" cm="1">
        <f t="array" ref="B41">AND(ISTEXT('Consolidado-Eletronorte'!#REF!),SUM('Consolidado-Eletronorte'!#REF!)&gt;0)</f>
        <v>#REF!</v>
      </c>
      <c r="C41" s="162" t="str">
        <f t="shared" ca="1" si="0"/>
        <v>Capex Orcamentário_PE2026_2030_red_35_porcentoR3_consulta.xlsx</v>
      </c>
      <c r="D41" s="163" t="str">
        <f t="shared" si="1"/>
        <v>COO</v>
      </c>
      <c r="E41" s="163" t="str">
        <f t="shared" si="2"/>
        <v>Lucas Martins</v>
      </c>
      <c r="F41" s="164"/>
      <c r="G41" s="164" t="e">
        <f>_xlfn.CONCAT('Consolidado-Eletronorte'!#REF!,"_",ROW('Consolidado-Eletronorte'!#REF!)-ROW('Consolidado-Eletronorte'!$G$18))</f>
        <v>#REF!</v>
      </c>
      <c r="H41" s="165" t="s">
        <v>506</v>
      </c>
      <c r="I41" s="165" t="s">
        <v>135</v>
      </c>
      <c r="J41" s="165" t="s">
        <v>508</v>
      </c>
      <c r="K41" s="165" t="s">
        <v>1039</v>
      </c>
      <c r="L41" s="165" t="s">
        <v>1040</v>
      </c>
      <c r="M41" s="178" t="s">
        <v>1169</v>
      </c>
      <c r="N41" s="165"/>
      <c r="O41" s="165"/>
      <c r="P41" s="165"/>
      <c r="Q41" s="178" t="s">
        <v>1170</v>
      </c>
      <c r="R41" s="178" t="s">
        <v>1140</v>
      </c>
      <c r="S41" s="178" t="s">
        <v>1141</v>
      </c>
      <c r="T41" s="198">
        <v>215</v>
      </c>
      <c r="U41" s="198">
        <v>215</v>
      </c>
      <c r="V41" s="198">
        <v>215</v>
      </c>
      <c r="W41" s="198">
        <v>215</v>
      </c>
      <c r="X41" s="198">
        <v>215</v>
      </c>
      <c r="Y41" s="198">
        <v>215</v>
      </c>
      <c r="Z41" s="198">
        <v>215</v>
      </c>
      <c r="AA41" s="198">
        <v>215</v>
      </c>
      <c r="AB41" s="198">
        <v>215</v>
      </c>
      <c r="AC41" s="198" t="s">
        <v>1045</v>
      </c>
      <c r="AD41" s="198" t="s">
        <v>1045</v>
      </c>
      <c r="AE41" s="198" t="s">
        <v>1045</v>
      </c>
      <c r="AF41" s="197">
        <f>SUM(Tabela96[[#This Row],[jan/26]:[dez/26]])</f>
        <v>1935</v>
      </c>
      <c r="AG41" s="198">
        <v>0</v>
      </c>
      <c r="AH41" s="198">
        <v>0</v>
      </c>
      <c r="AI41" s="198">
        <v>0</v>
      </c>
      <c r="AJ41" s="198">
        <v>0</v>
      </c>
      <c r="AK41" s="198">
        <f>SUM(Tabela96[[#This Row],[2026]:[2030]])</f>
        <v>1935</v>
      </c>
      <c r="AL41" s="198">
        <v>0</v>
      </c>
      <c r="AM41" s="198">
        <v>0</v>
      </c>
      <c r="AN41" s="198">
        <v>0</v>
      </c>
      <c r="AO41" s="198">
        <v>0</v>
      </c>
      <c r="AP41" s="198">
        <v>0</v>
      </c>
      <c r="AQ41" s="202">
        <f>SUM(Tabela96[[#This Row],[2026-2030]:[2035]])</f>
        <v>1935</v>
      </c>
      <c r="AS41" s="178" t="s">
        <v>1046</v>
      </c>
      <c r="AT41" s="201">
        <v>2024</v>
      </c>
      <c r="AU41" s="178" t="s">
        <v>1171</v>
      </c>
      <c r="AV41" s="182" t="s">
        <v>1143</v>
      </c>
      <c r="AW41" s="178" t="s">
        <v>517</v>
      </c>
      <c r="AZ41" s="178" t="s">
        <v>1144</v>
      </c>
    </row>
    <row r="42" spans="2:52" ht="24.75" customHeight="1" x14ac:dyDescent="0.35">
      <c r="B42" s="179" t="e" cm="1">
        <f t="array" ref="B42">AND(ISTEXT('Consolidado-Eletronorte'!#REF!),SUM('Consolidado-Eletronorte'!#REF!)&gt;0)</f>
        <v>#REF!</v>
      </c>
      <c r="C42" s="162" t="str">
        <f t="shared" ca="1" si="0"/>
        <v>Capex Orcamentário_PE2026_2030_red_35_porcentoR3_consulta.xlsx</v>
      </c>
      <c r="D42" s="163" t="str">
        <f t="shared" si="1"/>
        <v>COO</v>
      </c>
      <c r="E42" s="163" t="str">
        <f t="shared" si="2"/>
        <v>Lucas Martins</v>
      </c>
      <c r="F42" s="164"/>
      <c r="G42" s="164" t="e">
        <f>_xlfn.CONCAT('Consolidado-Eletronorte'!#REF!,"_",ROW('Consolidado-Eletronorte'!#REF!)-ROW('Consolidado-Eletronorte'!$G$18))</f>
        <v>#REF!</v>
      </c>
      <c r="H42" s="165" t="s">
        <v>506</v>
      </c>
      <c r="I42" s="165" t="s">
        <v>135</v>
      </c>
      <c r="J42" s="165" t="s">
        <v>508</v>
      </c>
      <c r="K42" s="165" t="s">
        <v>1039</v>
      </c>
      <c r="L42" s="165" t="s">
        <v>1040</v>
      </c>
      <c r="M42" s="178" t="s">
        <v>1172</v>
      </c>
      <c r="N42" s="165"/>
      <c r="O42" s="165"/>
      <c r="P42" s="165"/>
      <c r="Q42" s="178" t="s">
        <v>1173</v>
      </c>
      <c r="R42" s="178" t="s">
        <v>1140</v>
      </c>
      <c r="S42" s="178" t="s">
        <v>1141</v>
      </c>
      <c r="T42" s="198">
        <v>215</v>
      </c>
      <c r="U42" s="198">
        <v>215</v>
      </c>
      <c r="V42" s="198">
        <v>215</v>
      </c>
      <c r="W42" s="198">
        <v>215</v>
      </c>
      <c r="X42" s="198">
        <v>215</v>
      </c>
      <c r="Y42" s="198">
        <v>215</v>
      </c>
      <c r="Z42" s="198">
        <v>215</v>
      </c>
      <c r="AA42" s="198">
        <v>215</v>
      </c>
      <c r="AB42" s="198">
        <v>215</v>
      </c>
      <c r="AC42" s="198" t="s">
        <v>1045</v>
      </c>
      <c r="AD42" s="198" t="s">
        <v>1045</v>
      </c>
      <c r="AE42" s="198" t="s">
        <v>1045</v>
      </c>
      <c r="AF42" s="197">
        <f>SUM(Tabela96[[#This Row],[jan/26]:[dez/26]])</f>
        <v>1935</v>
      </c>
      <c r="AG42" s="198">
        <v>0</v>
      </c>
      <c r="AH42" s="198">
        <v>0</v>
      </c>
      <c r="AI42" s="198">
        <v>0</v>
      </c>
      <c r="AJ42" s="198">
        <v>0</v>
      </c>
      <c r="AK42" s="198">
        <f>SUM(Tabela96[[#This Row],[2026]:[2030]])</f>
        <v>1935</v>
      </c>
      <c r="AL42" s="198">
        <v>0</v>
      </c>
      <c r="AM42" s="198">
        <v>0</v>
      </c>
      <c r="AN42" s="198">
        <v>0</v>
      </c>
      <c r="AO42" s="198">
        <v>0</v>
      </c>
      <c r="AP42" s="198">
        <v>0</v>
      </c>
      <c r="AQ42" s="202">
        <f>SUM(Tabela96[[#This Row],[2026-2030]:[2035]])</f>
        <v>1935</v>
      </c>
      <c r="AS42" s="178" t="s">
        <v>1046</v>
      </c>
      <c r="AT42" s="201">
        <v>2024</v>
      </c>
      <c r="AU42" s="178" t="s">
        <v>1174</v>
      </c>
      <c r="AV42" s="182" t="s">
        <v>1143</v>
      </c>
      <c r="AW42" s="178" t="s">
        <v>517</v>
      </c>
      <c r="AZ42" s="178" t="s">
        <v>1144</v>
      </c>
    </row>
    <row r="43" spans="2:52" ht="24.75" customHeight="1" x14ac:dyDescent="0.35">
      <c r="B43" s="179" t="e" cm="1">
        <f t="array" ref="B43">AND(ISTEXT('Consolidado-Eletronorte'!#REF!),SUM('Consolidado-Eletronorte'!#REF!)&gt;0)</f>
        <v>#REF!</v>
      </c>
      <c r="C43" s="162" t="str">
        <f t="shared" ca="1" si="0"/>
        <v>Capex Orcamentário_PE2026_2030_red_35_porcentoR3_consulta.xlsx</v>
      </c>
      <c r="D43" s="163" t="str">
        <f t="shared" si="1"/>
        <v>COO</v>
      </c>
      <c r="E43" s="163" t="str">
        <f t="shared" si="2"/>
        <v>Lucas Martins</v>
      </c>
      <c r="F43" s="164"/>
      <c r="G43" s="164" t="e">
        <f>_xlfn.CONCAT('Consolidado-Eletronorte'!#REF!,"_",ROW('Consolidado-Eletronorte'!#REF!)-ROW('Consolidado-Eletronorte'!$G$18))</f>
        <v>#REF!</v>
      </c>
      <c r="H43" s="165" t="s">
        <v>506</v>
      </c>
      <c r="I43" s="165" t="s">
        <v>135</v>
      </c>
      <c r="J43" s="165" t="s">
        <v>508</v>
      </c>
      <c r="K43" s="165" t="s">
        <v>1039</v>
      </c>
      <c r="L43" s="165" t="s">
        <v>1040</v>
      </c>
      <c r="M43" s="178" t="s">
        <v>1175</v>
      </c>
      <c r="N43" s="165"/>
      <c r="O43" s="165"/>
      <c r="P43" s="165"/>
      <c r="Q43" s="178" t="s">
        <v>1176</v>
      </c>
      <c r="R43" s="178" t="s">
        <v>1140</v>
      </c>
      <c r="S43" s="178" t="s">
        <v>1141</v>
      </c>
      <c r="T43" s="198">
        <v>215</v>
      </c>
      <c r="U43" s="198">
        <v>215</v>
      </c>
      <c r="V43" s="198">
        <v>215</v>
      </c>
      <c r="W43" s="198">
        <v>215</v>
      </c>
      <c r="X43" s="198">
        <v>215</v>
      </c>
      <c r="Y43" s="198">
        <v>215</v>
      </c>
      <c r="Z43" s="198">
        <v>215</v>
      </c>
      <c r="AA43" s="198">
        <v>215</v>
      </c>
      <c r="AB43" s="198">
        <v>215</v>
      </c>
      <c r="AC43" s="198" t="s">
        <v>1045</v>
      </c>
      <c r="AD43" s="198" t="s">
        <v>1045</v>
      </c>
      <c r="AE43" s="198" t="s">
        <v>1045</v>
      </c>
      <c r="AF43" s="197">
        <f>SUM(Tabela96[[#This Row],[jan/26]:[dez/26]])</f>
        <v>1935</v>
      </c>
      <c r="AG43" s="198">
        <v>0</v>
      </c>
      <c r="AH43" s="198">
        <v>0</v>
      </c>
      <c r="AI43" s="198">
        <v>0</v>
      </c>
      <c r="AJ43" s="198">
        <v>0</v>
      </c>
      <c r="AK43" s="198">
        <f>SUM(Tabela96[[#This Row],[2026]:[2030]])</f>
        <v>1935</v>
      </c>
      <c r="AL43" s="198">
        <v>0</v>
      </c>
      <c r="AM43" s="198">
        <v>0</v>
      </c>
      <c r="AN43" s="198">
        <v>0</v>
      </c>
      <c r="AO43" s="198">
        <v>0</v>
      </c>
      <c r="AP43" s="198">
        <v>0</v>
      </c>
      <c r="AQ43" s="202">
        <f>SUM(Tabela96[[#This Row],[2026-2030]:[2035]])</f>
        <v>1935</v>
      </c>
      <c r="AS43" s="178" t="s">
        <v>1046</v>
      </c>
      <c r="AT43" s="201">
        <v>2024</v>
      </c>
      <c r="AU43" s="178" t="s">
        <v>1177</v>
      </c>
      <c r="AV43" s="182" t="s">
        <v>1143</v>
      </c>
      <c r="AW43" s="178" t="s">
        <v>517</v>
      </c>
      <c r="AZ43" s="178" t="s">
        <v>1144</v>
      </c>
    </row>
    <row r="44" spans="2:52" ht="24.75" customHeight="1" x14ac:dyDescent="0.35">
      <c r="B44" s="179" t="e" cm="1">
        <f t="array" ref="B44">AND(ISTEXT('Consolidado-Eletronorte'!#REF!),SUM('Consolidado-Eletronorte'!#REF!)&gt;0)</f>
        <v>#REF!</v>
      </c>
      <c r="C44" s="162" t="str">
        <f t="shared" ref="C44:C75" ca="1" si="3">$J$3</f>
        <v>Capex Orcamentário_PE2026_2030_red_35_porcentoR3_consulta.xlsx</v>
      </c>
      <c r="D44" s="163" t="str">
        <f t="shared" ref="D44:D75" si="4">$H$3</f>
        <v>COO</v>
      </c>
      <c r="E44" s="163" t="str">
        <f t="shared" ref="E44:E75" si="5">$H$4</f>
        <v>Lucas Martins</v>
      </c>
      <c r="F44" s="164"/>
      <c r="G44" s="164" t="e">
        <f>_xlfn.CONCAT('Consolidado-Eletronorte'!#REF!,"_",ROW('Consolidado-Eletronorte'!#REF!)-ROW('Consolidado-Eletronorte'!$G$18))</f>
        <v>#REF!</v>
      </c>
      <c r="H44" s="165" t="s">
        <v>506</v>
      </c>
      <c r="I44" s="165" t="s">
        <v>135</v>
      </c>
      <c r="J44" s="165" t="s">
        <v>508</v>
      </c>
      <c r="K44" s="165" t="s">
        <v>1039</v>
      </c>
      <c r="L44" s="165" t="s">
        <v>1040</v>
      </c>
      <c r="M44" s="178" t="s">
        <v>1178</v>
      </c>
      <c r="N44" s="165"/>
      <c r="O44" s="165"/>
      <c r="P44" s="165"/>
      <c r="Q44" s="178" t="s">
        <v>1179</v>
      </c>
      <c r="R44" s="178" t="s">
        <v>1140</v>
      </c>
      <c r="S44" s="178" t="s">
        <v>1141</v>
      </c>
      <c r="T44" s="198">
        <v>215</v>
      </c>
      <c r="U44" s="198">
        <v>215</v>
      </c>
      <c r="V44" s="198">
        <v>215</v>
      </c>
      <c r="W44" s="198">
        <v>215</v>
      </c>
      <c r="X44" s="198">
        <v>215</v>
      </c>
      <c r="Y44" s="198">
        <v>215</v>
      </c>
      <c r="Z44" s="198">
        <v>215</v>
      </c>
      <c r="AA44" s="198">
        <v>215</v>
      </c>
      <c r="AB44" s="198">
        <v>215</v>
      </c>
      <c r="AC44" s="198" t="s">
        <v>1045</v>
      </c>
      <c r="AD44" s="198" t="s">
        <v>1045</v>
      </c>
      <c r="AE44" s="198" t="s">
        <v>1045</v>
      </c>
      <c r="AF44" s="197">
        <f>SUM(Tabela96[[#This Row],[jan/26]:[dez/26]])</f>
        <v>1935</v>
      </c>
      <c r="AG44" s="198">
        <v>0</v>
      </c>
      <c r="AH44" s="198">
        <v>0</v>
      </c>
      <c r="AI44" s="198">
        <v>0</v>
      </c>
      <c r="AJ44" s="198">
        <v>0</v>
      </c>
      <c r="AK44" s="198">
        <f>SUM(Tabela96[[#This Row],[2026]:[2030]])</f>
        <v>1935</v>
      </c>
      <c r="AL44" s="198">
        <v>0</v>
      </c>
      <c r="AM44" s="198">
        <v>0</v>
      </c>
      <c r="AN44" s="198">
        <v>0</v>
      </c>
      <c r="AO44" s="198">
        <v>0</v>
      </c>
      <c r="AP44" s="198">
        <v>0</v>
      </c>
      <c r="AQ44" s="202">
        <f>SUM(Tabela96[[#This Row],[2026-2030]:[2035]])</f>
        <v>1935</v>
      </c>
      <c r="AS44" s="178" t="s">
        <v>1046</v>
      </c>
      <c r="AT44" s="201">
        <v>2024</v>
      </c>
      <c r="AU44" s="178" t="s">
        <v>1180</v>
      </c>
      <c r="AV44" s="182" t="s">
        <v>1143</v>
      </c>
      <c r="AW44" s="178" t="s">
        <v>517</v>
      </c>
      <c r="AZ44" s="178" t="s">
        <v>1144</v>
      </c>
    </row>
    <row r="45" spans="2:52" ht="24.75" customHeight="1" x14ac:dyDescent="0.35">
      <c r="B45" s="179" t="e" cm="1">
        <f t="array" ref="B45">AND(ISTEXT('Consolidado-Eletronorte'!#REF!),SUM('Consolidado-Eletronorte'!#REF!)&gt;0)</f>
        <v>#REF!</v>
      </c>
      <c r="C45" s="162" t="str">
        <f t="shared" ca="1" si="3"/>
        <v>Capex Orcamentário_PE2026_2030_red_35_porcentoR3_consulta.xlsx</v>
      </c>
      <c r="D45" s="163" t="str">
        <f t="shared" si="4"/>
        <v>COO</v>
      </c>
      <c r="E45" s="163" t="str">
        <f t="shared" si="5"/>
        <v>Lucas Martins</v>
      </c>
      <c r="F45" s="164"/>
      <c r="G45" s="164" t="e">
        <f>_xlfn.CONCAT('Consolidado-Eletronorte'!#REF!,"_",ROW('Consolidado-Eletronorte'!#REF!)-ROW('Consolidado-Eletronorte'!$G$18))</f>
        <v>#REF!</v>
      </c>
      <c r="H45" s="165" t="s">
        <v>506</v>
      </c>
      <c r="I45" s="165" t="s">
        <v>135</v>
      </c>
      <c r="J45" s="165" t="s">
        <v>508</v>
      </c>
      <c r="K45" s="165" t="s">
        <v>1039</v>
      </c>
      <c r="L45" s="165" t="s">
        <v>1040</v>
      </c>
      <c r="M45" s="178" t="s">
        <v>1181</v>
      </c>
      <c r="N45" s="165"/>
      <c r="O45" s="165"/>
      <c r="P45" s="165"/>
      <c r="Q45" s="178" t="s">
        <v>1182</v>
      </c>
      <c r="R45" s="178" t="s">
        <v>1140</v>
      </c>
      <c r="S45" s="178" t="s">
        <v>1141</v>
      </c>
      <c r="T45" s="198">
        <v>215</v>
      </c>
      <c r="U45" s="198">
        <v>215</v>
      </c>
      <c r="V45" s="198">
        <v>215</v>
      </c>
      <c r="W45" s="198">
        <v>215</v>
      </c>
      <c r="X45" s="198">
        <v>215</v>
      </c>
      <c r="Y45" s="198">
        <v>215</v>
      </c>
      <c r="Z45" s="198">
        <v>215</v>
      </c>
      <c r="AA45" s="198">
        <v>215</v>
      </c>
      <c r="AB45" s="198">
        <v>215</v>
      </c>
      <c r="AC45" s="198" t="s">
        <v>1045</v>
      </c>
      <c r="AD45" s="198" t="s">
        <v>1045</v>
      </c>
      <c r="AE45" s="198" t="s">
        <v>1045</v>
      </c>
      <c r="AF45" s="197">
        <f>SUM(Tabela96[[#This Row],[jan/26]:[dez/26]])</f>
        <v>1935</v>
      </c>
      <c r="AG45" s="198">
        <v>0</v>
      </c>
      <c r="AH45" s="198">
        <v>0</v>
      </c>
      <c r="AI45" s="198">
        <v>0</v>
      </c>
      <c r="AJ45" s="198">
        <v>0</v>
      </c>
      <c r="AK45" s="198">
        <f>SUM(Tabela96[[#This Row],[2026]:[2030]])</f>
        <v>1935</v>
      </c>
      <c r="AL45" s="198">
        <v>0</v>
      </c>
      <c r="AM45" s="198">
        <v>0</v>
      </c>
      <c r="AN45" s="198">
        <v>0</v>
      </c>
      <c r="AO45" s="198">
        <v>0</v>
      </c>
      <c r="AP45" s="198">
        <v>0</v>
      </c>
      <c r="AQ45" s="202">
        <f>SUM(Tabela96[[#This Row],[2026-2030]:[2035]])</f>
        <v>1935</v>
      </c>
      <c r="AS45" s="178" t="s">
        <v>1046</v>
      </c>
      <c r="AT45" s="201">
        <v>2024</v>
      </c>
      <c r="AU45" s="178" t="s">
        <v>1183</v>
      </c>
      <c r="AV45" s="182" t="s">
        <v>1143</v>
      </c>
      <c r="AW45" s="178" t="s">
        <v>517</v>
      </c>
      <c r="AZ45" s="178" t="s">
        <v>1144</v>
      </c>
    </row>
    <row r="46" spans="2:52" ht="24.75" customHeight="1" x14ac:dyDescent="0.35">
      <c r="B46" s="179" t="e" cm="1">
        <f t="array" ref="B46">AND(ISTEXT('Consolidado-Eletronorte'!#REF!),SUM('Consolidado-Eletronorte'!#REF!)&gt;0)</f>
        <v>#REF!</v>
      </c>
      <c r="C46" s="162" t="str">
        <f t="shared" ca="1" si="3"/>
        <v>Capex Orcamentário_PE2026_2030_red_35_porcentoR3_consulta.xlsx</v>
      </c>
      <c r="D46" s="163" t="str">
        <f t="shared" si="4"/>
        <v>COO</v>
      </c>
      <c r="E46" s="163" t="str">
        <f t="shared" si="5"/>
        <v>Lucas Martins</v>
      </c>
      <c r="F46" s="164"/>
      <c r="G46" s="164" t="e">
        <f>_xlfn.CONCAT('Consolidado-Eletronorte'!#REF!,"_",ROW('Consolidado-Eletronorte'!#REF!)-ROW('Consolidado-Eletronorte'!$G$18))</f>
        <v>#REF!</v>
      </c>
      <c r="H46" s="165" t="s">
        <v>506</v>
      </c>
      <c r="I46" s="165" t="s">
        <v>135</v>
      </c>
      <c r="J46" s="165" t="s">
        <v>508</v>
      </c>
      <c r="K46" s="165" t="s">
        <v>1039</v>
      </c>
      <c r="L46" s="165" t="s">
        <v>1040</v>
      </c>
      <c r="M46" s="178" t="s">
        <v>1184</v>
      </c>
      <c r="N46" s="165"/>
      <c r="O46" s="165"/>
      <c r="P46" s="165"/>
      <c r="Q46" s="178" t="s">
        <v>1185</v>
      </c>
      <c r="R46" s="178" t="s">
        <v>1140</v>
      </c>
      <c r="S46" s="178" t="s">
        <v>1141</v>
      </c>
      <c r="T46" s="198">
        <v>215</v>
      </c>
      <c r="U46" s="198">
        <v>215</v>
      </c>
      <c r="V46" s="198">
        <v>215</v>
      </c>
      <c r="W46" s="198">
        <v>215</v>
      </c>
      <c r="X46" s="198">
        <v>215</v>
      </c>
      <c r="Y46" s="198">
        <v>215</v>
      </c>
      <c r="Z46" s="198">
        <v>215</v>
      </c>
      <c r="AA46" s="198">
        <v>215</v>
      </c>
      <c r="AB46" s="198">
        <v>215</v>
      </c>
      <c r="AC46" s="198" t="s">
        <v>1045</v>
      </c>
      <c r="AD46" s="198" t="s">
        <v>1045</v>
      </c>
      <c r="AE46" s="198" t="s">
        <v>1045</v>
      </c>
      <c r="AF46" s="197">
        <f>SUM(Tabela96[[#This Row],[jan/26]:[dez/26]])</f>
        <v>1935</v>
      </c>
      <c r="AG46" s="198">
        <v>0</v>
      </c>
      <c r="AH46" s="198">
        <v>0</v>
      </c>
      <c r="AI46" s="198">
        <v>0</v>
      </c>
      <c r="AJ46" s="198">
        <v>0</v>
      </c>
      <c r="AK46" s="198">
        <f>SUM(Tabela96[[#This Row],[2026]:[2030]])</f>
        <v>1935</v>
      </c>
      <c r="AL46" s="198">
        <v>0</v>
      </c>
      <c r="AM46" s="198">
        <v>0</v>
      </c>
      <c r="AN46" s="198">
        <v>0</v>
      </c>
      <c r="AO46" s="198">
        <v>0</v>
      </c>
      <c r="AP46" s="198">
        <v>0</v>
      </c>
      <c r="AQ46" s="202">
        <f>SUM(Tabela96[[#This Row],[2026-2030]:[2035]])</f>
        <v>1935</v>
      </c>
      <c r="AS46" s="178" t="s">
        <v>1046</v>
      </c>
      <c r="AT46" s="201">
        <v>2024</v>
      </c>
      <c r="AU46" s="178" t="s">
        <v>1186</v>
      </c>
      <c r="AV46" s="182" t="s">
        <v>1143</v>
      </c>
      <c r="AW46" s="178" t="s">
        <v>517</v>
      </c>
      <c r="AZ46" s="178" t="s">
        <v>1144</v>
      </c>
    </row>
    <row r="47" spans="2:52" ht="24.75" customHeight="1" x14ac:dyDescent="0.35">
      <c r="B47" s="179" t="e" cm="1">
        <f t="array" ref="B47">AND(ISTEXT('Consolidado-Eletronorte'!#REF!),SUM('Consolidado-Eletronorte'!#REF!)&gt;0)</f>
        <v>#REF!</v>
      </c>
      <c r="C47" s="162" t="str">
        <f t="shared" ca="1" si="3"/>
        <v>Capex Orcamentário_PE2026_2030_red_35_porcentoR3_consulta.xlsx</v>
      </c>
      <c r="D47" s="163" t="str">
        <f t="shared" si="4"/>
        <v>COO</v>
      </c>
      <c r="E47" s="163" t="str">
        <f t="shared" si="5"/>
        <v>Lucas Martins</v>
      </c>
      <c r="F47" s="164"/>
      <c r="G47" s="164" t="e">
        <f>_xlfn.CONCAT('Consolidado-Eletronorte'!#REF!,"_",ROW('Consolidado-Eletronorte'!#REF!)-ROW('Consolidado-Eletronorte'!$G$18))</f>
        <v>#REF!</v>
      </c>
      <c r="H47" s="165" t="s">
        <v>506</v>
      </c>
      <c r="I47" s="165" t="s">
        <v>135</v>
      </c>
      <c r="J47" s="165" t="s">
        <v>508</v>
      </c>
      <c r="K47" s="165" t="s">
        <v>1039</v>
      </c>
      <c r="L47" s="165" t="s">
        <v>1040</v>
      </c>
      <c r="M47" s="178" t="s">
        <v>1187</v>
      </c>
      <c r="N47" s="165"/>
      <c r="O47" s="165"/>
      <c r="P47" s="165"/>
      <c r="Q47" s="178" t="s">
        <v>1188</v>
      </c>
      <c r="R47" s="178" t="s">
        <v>1140</v>
      </c>
      <c r="S47" s="178" t="s">
        <v>1189</v>
      </c>
      <c r="T47" s="198">
        <v>215</v>
      </c>
      <c r="U47" s="198">
        <v>215</v>
      </c>
      <c r="V47" s="198">
        <v>215</v>
      </c>
      <c r="W47" s="198">
        <v>215</v>
      </c>
      <c r="X47" s="198">
        <v>215</v>
      </c>
      <c r="Y47" s="198">
        <v>215</v>
      </c>
      <c r="Z47" s="198">
        <v>215</v>
      </c>
      <c r="AA47" s="198">
        <v>215</v>
      </c>
      <c r="AB47" s="198">
        <v>215</v>
      </c>
      <c r="AC47" s="198" t="s">
        <v>1045</v>
      </c>
      <c r="AD47" s="198" t="s">
        <v>1045</v>
      </c>
      <c r="AE47" s="198" t="s">
        <v>1045</v>
      </c>
      <c r="AF47" s="197">
        <f>SUM(Tabela96[[#This Row],[jan/26]:[dez/26]])</f>
        <v>1935</v>
      </c>
      <c r="AG47" s="198">
        <v>0</v>
      </c>
      <c r="AH47" s="198">
        <v>0</v>
      </c>
      <c r="AI47" s="198">
        <v>0</v>
      </c>
      <c r="AJ47" s="198">
        <v>0</v>
      </c>
      <c r="AK47" s="198">
        <f>SUM(Tabela96[[#This Row],[2026]:[2030]])</f>
        <v>1935</v>
      </c>
      <c r="AL47" s="198">
        <v>0</v>
      </c>
      <c r="AM47" s="198">
        <v>0</v>
      </c>
      <c r="AN47" s="198">
        <v>0</v>
      </c>
      <c r="AO47" s="198">
        <v>0</v>
      </c>
      <c r="AP47" s="198">
        <v>0</v>
      </c>
      <c r="AQ47" s="202">
        <f>SUM(Tabela96[[#This Row],[2026-2030]:[2035]])</f>
        <v>1935</v>
      </c>
      <c r="AS47" s="178" t="s">
        <v>1046</v>
      </c>
      <c r="AT47" s="201">
        <v>2024</v>
      </c>
      <c r="AU47" s="178" t="s">
        <v>1190</v>
      </c>
      <c r="AV47" s="112" t="s">
        <v>1191</v>
      </c>
      <c r="AW47" s="178" t="s">
        <v>517</v>
      </c>
      <c r="AZ47" s="178" t="s">
        <v>1144</v>
      </c>
    </row>
    <row r="48" spans="2:52" ht="24.75" customHeight="1" x14ac:dyDescent="0.35">
      <c r="B48" s="179" t="e" cm="1">
        <f t="array" ref="B48">AND(ISTEXT('Consolidado-Eletronorte'!#REF!),SUM('Consolidado-Eletronorte'!#REF!)&gt;0)</f>
        <v>#REF!</v>
      </c>
      <c r="C48" s="162" t="str">
        <f t="shared" ca="1" si="3"/>
        <v>Capex Orcamentário_PE2026_2030_red_35_porcentoR3_consulta.xlsx</v>
      </c>
      <c r="D48" s="163" t="str">
        <f t="shared" si="4"/>
        <v>COO</v>
      </c>
      <c r="E48" s="163" t="str">
        <f t="shared" si="5"/>
        <v>Lucas Martins</v>
      </c>
      <c r="F48" s="164"/>
      <c r="G48" s="164" t="e">
        <f>_xlfn.CONCAT('Consolidado-Eletronorte'!#REF!,"_",ROW('Consolidado-Eletronorte'!#REF!)-ROW('Consolidado-Eletronorte'!$G$18))</f>
        <v>#REF!</v>
      </c>
      <c r="H48" s="165" t="s">
        <v>506</v>
      </c>
      <c r="I48" s="165" t="s">
        <v>135</v>
      </c>
      <c r="J48" s="165" t="s">
        <v>508</v>
      </c>
      <c r="K48" s="165" t="s">
        <v>1039</v>
      </c>
      <c r="L48" s="165" t="s">
        <v>1040</v>
      </c>
      <c r="M48" s="178" t="s">
        <v>1192</v>
      </c>
      <c r="N48" s="165"/>
      <c r="O48" s="165"/>
      <c r="P48" s="165"/>
      <c r="Q48" s="178" t="s">
        <v>1193</v>
      </c>
      <c r="R48" s="178" t="s">
        <v>1140</v>
      </c>
      <c r="S48" s="178" t="s">
        <v>1189</v>
      </c>
      <c r="T48" s="198">
        <v>215</v>
      </c>
      <c r="U48" s="198">
        <v>215</v>
      </c>
      <c r="V48" s="198">
        <v>215</v>
      </c>
      <c r="W48" s="198">
        <v>215</v>
      </c>
      <c r="X48" s="198">
        <v>215</v>
      </c>
      <c r="Y48" s="198">
        <v>215</v>
      </c>
      <c r="Z48" s="198">
        <v>215</v>
      </c>
      <c r="AA48" s="198">
        <v>215</v>
      </c>
      <c r="AB48" s="198">
        <v>215</v>
      </c>
      <c r="AC48" s="198" t="s">
        <v>1045</v>
      </c>
      <c r="AD48" s="198" t="s">
        <v>1045</v>
      </c>
      <c r="AE48" s="198" t="s">
        <v>1045</v>
      </c>
      <c r="AF48" s="197">
        <f>SUM(Tabela96[[#This Row],[jan/26]:[dez/26]])</f>
        <v>1935</v>
      </c>
      <c r="AG48" s="198">
        <v>0</v>
      </c>
      <c r="AH48" s="198">
        <v>0</v>
      </c>
      <c r="AI48" s="198">
        <v>0</v>
      </c>
      <c r="AJ48" s="198">
        <v>0</v>
      </c>
      <c r="AK48" s="198">
        <f>SUM(Tabela96[[#This Row],[2026]:[2030]])</f>
        <v>1935</v>
      </c>
      <c r="AL48" s="198">
        <v>0</v>
      </c>
      <c r="AM48" s="198">
        <v>0</v>
      </c>
      <c r="AN48" s="198">
        <v>0</v>
      </c>
      <c r="AO48" s="198">
        <v>0</v>
      </c>
      <c r="AP48" s="198">
        <v>0</v>
      </c>
      <c r="AQ48" s="202">
        <f>SUM(Tabela96[[#This Row],[2026-2030]:[2035]])</f>
        <v>1935</v>
      </c>
      <c r="AS48" s="178" t="s">
        <v>1046</v>
      </c>
      <c r="AT48" s="201">
        <v>2024</v>
      </c>
      <c r="AU48" s="178" t="s">
        <v>1194</v>
      </c>
      <c r="AV48" s="112" t="s">
        <v>1191</v>
      </c>
      <c r="AW48" s="178" t="s">
        <v>517</v>
      </c>
      <c r="AZ48" s="178" t="s">
        <v>1144</v>
      </c>
    </row>
    <row r="49" spans="2:52" ht="24.75" customHeight="1" x14ac:dyDescent="0.35">
      <c r="B49" s="179" t="e" cm="1">
        <f t="array" ref="B49">AND(ISTEXT('Consolidado-Eletronorte'!#REF!),SUM('Consolidado-Eletronorte'!#REF!)&gt;0)</f>
        <v>#REF!</v>
      </c>
      <c r="C49" s="162" t="str">
        <f t="shared" ca="1" si="3"/>
        <v>Capex Orcamentário_PE2026_2030_red_35_porcentoR3_consulta.xlsx</v>
      </c>
      <c r="D49" s="163" t="str">
        <f t="shared" si="4"/>
        <v>COO</v>
      </c>
      <c r="E49" s="163" t="str">
        <f t="shared" si="5"/>
        <v>Lucas Martins</v>
      </c>
      <c r="F49" s="164"/>
      <c r="G49" s="164" t="e">
        <f>_xlfn.CONCAT('Consolidado-Eletronorte'!#REF!,"_",ROW('Consolidado-Eletronorte'!#REF!)-ROW('Consolidado-Eletronorte'!$G$18))</f>
        <v>#REF!</v>
      </c>
      <c r="H49" s="165" t="s">
        <v>506</v>
      </c>
      <c r="I49" s="165" t="s">
        <v>135</v>
      </c>
      <c r="J49" s="165" t="s">
        <v>508</v>
      </c>
      <c r="K49" s="165" t="s">
        <v>1039</v>
      </c>
      <c r="L49" s="165" t="s">
        <v>1040</v>
      </c>
      <c r="M49" s="178" t="s">
        <v>1195</v>
      </c>
      <c r="N49" s="165"/>
      <c r="O49" s="165"/>
      <c r="P49" s="165"/>
      <c r="Q49" s="178" t="s">
        <v>1196</v>
      </c>
      <c r="R49" s="178" t="s">
        <v>1140</v>
      </c>
      <c r="S49" s="178" t="s">
        <v>1189</v>
      </c>
      <c r="T49" s="198">
        <v>215</v>
      </c>
      <c r="U49" s="198">
        <v>215</v>
      </c>
      <c r="V49" s="198">
        <v>215</v>
      </c>
      <c r="W49" s="198">
        <v>215</v>
      </c>
      <c r="X49" s="198">
        <v>215</v>
      </c>
      <c r="Y49" s="198">
        <v>215</v>
      </c>
      <c r="Z49" s="198">
        <v>215</v>
      </c>
      <c r="AA49" s="198">
        <v>215</v>
      </c>
      <c r="AB49" s="198">
        <v>215</v>
      </c>
      <c r="AC49" s="198" t="s">
        <v>1045</v>
      </c>
      <c r="AD49" s="198" t="s">
        <v>1045</v>
      </c>
      <c r="AE49" s="198" t="s">
        <v>1045</v>
      </c>
      <c r="AF49" s="197">
        <f>SUM(Tabela96[[#This Row],[jan/26]:[dez/26]])</f>
        <v>1935</v>
      </c>
      <c r="AG49" s="198">
        <v>0</v>
      </c>
      <c r="AH49" s="198">
        <v>0</v>
      </c>
      <c r="AI49" s="198">
        <v>0</v>
      </c>
      <c r="AJ49" s="198">
        <v>0</v>
      </c>
      <c r="AK49" s="198">
        <f>SUM(Tabela96[[#This Row],[2026]:[2030]])</f>
        <v>1935</v>
      </c>
      <c r="AL49" s="198">
        <v>0</v>
      </c>
      <c r="AM49" s="198">
        <v>0</v>
      </c>
      <c r="AN49" s="198">
        <v>0</v>
      </c>
      <c r="AO49" s="198">
        <v>0</v>
      </c>
      <c r="AP49" s="198">
        <v>0</v>
      </c>
      <c r="AQ49" s="202">
        <f>SUM(Tabela96[[#This Row],[2026-2030]:[2035]])</f>
        <v>1935</v>
      </c>
      <c r="AS49" s="178" t="s">
        <v>1046</v>
      </c>
      <c r="AT49" s="201">
        <v>2024</v>
      </c>
      <c r="AU49" s="178" t="s">
        <v>1197</v>
      </c>
      <c r="AV49" s="112" t="s">
        <v>1191</v>
      </c>
      <c r="AW49" s="178" t="s">
        <v>517</v>
      </c>
      <c r="AZ49" s="178" t="s">
        <v>1144</v>
      </c>
    </row>
    <row r="50" spans="2:52" ht="24.75" customHeight="1" x14ac:dyDescent="0.35">
      <c r="B50" s="179" t="e" cm="1">
        <f t="array" ref="B50">AND(ISTEXT('Consolidado-Eletronorte'!#REF!),SUM('Consolidado-Eletronorte'!#REF!)&gt;0)</f>
        <v>#REF!</v>
      </c>
      <c r="C50" s="162" t="str">
        <f t="shared" ca="1" si="3"/>
        <v>Capex Orcamentário_PE2026_2030_red_35_porcentoR3_consulta.xlsx</v>
      </c>
      <c r="D50" s="163" t="str">
        <f t="shared" si="4"/>
        <v>COO</v>
      </c>
      <c r="E50" s="163" t="str">
        <f t="shared" si="5"/>
        <v>Lucas Martins</v>
      </c>
      <c r="F50" s="164"/>
      <c r="G50" s="164" t="e">
        <f>_xlfn.CONCAT('Consolidado-Eletronorte'!#REF!,"_",ROW('Consolidado-Eletronorte'!#REF!)-ROW('Consolidado-Eletronorte'!$G$18))</f>
        <v>#REF!</v>
      </c>
      <c r="H50" s="165" t="s">
        <v>506</v>
      </c>
      <c r="I50" s="165" t="s">
        <v>135</v>
      </c>
      <c r="J50" s="165" t="s">
        <v>508</v>
      </c>
      <c r="K50" s="165" t="s">
        <v>1039</v>
      </c>
      <c r="L50" s="165" t="s">
        <v>1040</v>
      </c>
      <c r="M50" s="178" t="s">
        <v>1198</v>
      </c>
      <c r="N50" s="165"/>
      <c r="O50" s="165"/>
      <c r="P50" s="165"/>
      <c r="Q50" s="178" t="s">
        <v>1199</v>
      </c>
      <c r="R50" s="178" t="s">
        <v>1140</v>
      </c>
      <c r="S50" s="178" t="s">
        <v>1189</v>
      </c>
      <c r="T50" s="198">
        <v>215</v>
      </c>
      <c r="U50" s="198">
        <v>215</v>
      </c>
      <c r="V50" s="198">
        <v>215</v>
      </c>
      <c r="W50" s="198">
        <v>215</v>
      </c>
      <c r="X50" s="198">
        <v>215</v>
      </c>
      <c r="Y50" s="198">
        <v>215</v>
      </c>
      <c r="Z50" s="198">
        <v>215</v>
      </c>
      <c r="AA50" s="198">
        <v>215</v>
      </c>
      <c r="AB50" s="198">
        <v>215</v>
      </c>
      <c r="AC50" s="198" t="s">
        <v>1045</v>
      </c>
      <c r="AD50" s="198" t="s">
        <v>1045</v>
      </c>
      <c r="AE50" s="198" t="s">
        <v>1045</v>
      </c>
      <c r="AF50" s="197">
        <f>SUM(Tabela96[[#This Row],[jan/26]:[dez/26]])</f>
        <v>1935</v>
      </c>
      <c r="AG50" s="198">
        <v>0</v>
      </c>
      <c r="AH50" s="198">
        <v>0</v>
      </c>
      <c r="AI50" s="198">
        <v>0</v>
      </c>
      <c r="AJ50" s="198">
        <v>0</v>
      </c>
      <c r="AK50" s="198">
        <f>SUM(Tabela96[[#This Row],[2026]:[2030]])</f>
        <v>1935</v>
      </c>
      <c r="AL50" s="198">
        <v>0</v>
      </c>
      <c r="AM50" s="198">
        <v>0</v>
      </c>
      <c r="AN50" s="198">
        <v>0</v>
      </c>
      <c r="AO50" s="198">
        <v>0</v>
      </c>
      <c r="AP50" s="198">
        <v>0</v>
      </c>
      <c r="AQ50" s="202">
        <f>SUM(Tabela96[[#This Row],[2026-2030]:[2035]])</f>
        <v>1935</v>
      </c>
      <c r="AS50" s="178" t="s">
        <v>1046</v>
      </c>
      <c r="AT50" s="201">
        <v>2024</v>
      </c>
      <c r="AU50" s="178" t="s">
        <v>1200</v>
      </c>
      <c r="AV50" s="112" t="s">
        <v>1191</v>
      </c>
      <c r="AW50" s="178" t="s">
        <v>517</v>
      </c>
      <c r="AZ50" s="178" t="s">
        <v>1144</v>
      </c>
    </row>
    <row r="51" spans="2:52" ht="24.75" customHeight="1" x14ac:dyDescent="0.35">
      <c r="B51" s="179" t="e" cm="1">
        <f t="array" ref="B51">AND(ISTEXT('Consolidado-Eletronorte'!#REF!),SUM('Consolidado-Eletronorte'!#REF!)&gt;0)</f>
        <v>#REF!</v>
      </c>
      <c r="C51" s="162" t="str">
        <f t="shared" ca="1" si="3"/>
        <v>Capex Orcamentário_PE2026_2030_red_35_porcentoR3_consulta.xlsx</v>
      </c>
      <c r="D51" s="163" t="str">
        <f t="shared" si="4"/>
        <v>COO</v>
      </c>
      <c r="E51" s="163" t="str">
        <f t="shared" si="5"/>
        <v>Lucas Martins</v>
      </c>
      <c r="F51" s="164"/>
      <c r="G51" s="164" t="e">
        <f>_xlfn.CONCAT('Consolidado-Eletronorte'!#REF!,"_",ROW('Consolidado-Eletronorte'!#REF!)-ROW('Consolidado-Eletronorte'!$G$18))</f>
        <v>#REF!</v>
      </c>
      <c r="H51" s="165" t="s">
        <v>506</v>
      </c>
      <c r="I51" s="165" t="s">
        <v>135</v>
      </c>
      <c r="J51" s="165" t="s">
        <v>508</v>
      </c>
      <c r="K51" s="165" t="s">
        <v>1039</v>
      </c>
      <c r="L51" s="165" t="s">
        <v>1040</v>
      </c>
      <c r="M51" s="178" t="s">
        <v>1201</v>
      </c>
      <c r="N51" s="165"/>
      <c r="O51" s="165"/>
      <c r="P51" s="165"/>
      <c r="Q51" s="178" t="s">
        <v>1202</v>
      </c>
      <c r="R51" s="178" t="s">
        <v>1140</v>
      </c>
      <c r="S51" s="178" t="s">
        <v>1189</v>
      </c>
      <c r="T51" s="198">
        <v>215</v>
      </c>
      <c r="U51" s="198">
        <v>215</v>
      </c>
      <c r="V51" s="198">
        <v>215</v>
      </c>
      <c r="W51" s="198">
        <v>215</v>
      </c>
      <c r="X51" s="198">
        <v>215</v>
      </c>
      <c r="Y51" s="198">
        <v>215</v>
      </c>
      <c r="Z51" s="198">
        <v>215</v>
      </c>
      <c r="AA51" s="198">
        <v>215</v>
      </c>
      <c r="AB51" s="198">
        <v>215</v>
      </c>
      <c r="AC51" s="198" t="s">
        <v>1045</v>
      </c>
      <c r="AD51" s="198" t="s">
        <v>1045</v>
      </c>
      <c r="AE51" s="198" t="s">
        <v>1045</v>
      </c>
      <c r="AF51" s="197">
        <f>SUM(Tabela96[[#This Row],[jan/26]:[dez/26]])</f>
        <v>1935</v>
      </c>
      <c r="AG51" s="198">
        <v>0</v>
      </c>
      <c r="AH51" s="198">
        <v>0</v>
      </c>
      <c r="AI51" s="198">
        <v>0</v>
      </c>
      <c r="AJ51" s="198">
        <v>0</v>
      </c>
      <c r="AK51" s="198">
        <f>SUM(Tabela96[[#This Row],[2026]:[2030]])</f>
        <v>1935</v>
      </c>
      <c r="AL51" s="198">
        <v>0</v>
      </c>
      <c r="AM51" s="198">
        <v>0</v>
      </c>
      <c r="AN51" s="198">
        <v>0</v>
      </c>
      <c r="AO51" s="198">
        <v>0</v>
      </c>
      <c r="AP51" s="198">
        <v>0</v>
      </c>
      <c r="AQ51" s="202">
        <f>SUM(Tabela96[[#This Row],[2026-2030]:[2035]])</f>
        <v>1935</v>
      </c>
      <c r="AS51" s="178" t="s">
        <v>1046</v>
      </c>
      <c r="AT51" s="201">
        <v>2024</v>
      </c>
      <c r="AU51" s="178" t="s">
        <v>1203</v>
      </c>
      <c r="AV51" s="112" t="s">
        <v>1191</v>
      </c>
      <c r="AW51" s="178" t="s">
        <v>517</v>
      </c>
      <c r="AZ51" s="178" t="s">
        <v>1144</v>
      </c>
    </row>
    <row r="52" spans="2:52" ht="24.75" customHeight="1" x14ac:dyDescent="0.35">
      <c r="B52" s="179" t="e" cm="1">
        <f t="array" ref="B52">AND(ISTEXT('Consolidado-Eletronorte'!#REF!),SUM('Consolidado-Eletronorte'!#REF!)&gt;0)</f>
        <v>#REF!</v>
      </c>
      <c r="C52" s="162" t="str">
        <f t="shared" ca="1" si="3"/>
        <v>Capex Orcamentário_PE2026_2030_red_35_porcentoR3_consulta.xlsx</v>
      </c>
      <c r="D52" s="163" t="str">
        <f t="shared" si="4"/>
        <v>COO</v>
      </c>
      <c r="E52" s="163" t="str">
        <f t="shared" si="5"/>
        <v>Lucas Martins</v>
      </c>
      <c r="F52" s="164"/>
      <c r="G52" s="164" t="e">
        <f>_xlfn.CONCAT('Consolidado-Eletronorte'!#REF!,"_",ROW('Consolidado-Eletronorte'!#REF!)-ROW('Consolidado-Eletronorte'!$G$18))</f>
        <v>#REF!</v>
      </c>
      <c r="H52" s="165" t="s">
        <v>506</v>
      </c>
      <c r="I52" s="165" t="s">
        <v>135</v>
      </c>
      <c r="J52" s="165" t="s">
        <v>508</v>
      </c>
      <c r="K52" s="165" t="s">
        <v>1039</v>
      </c>
      <c r="L52" s="165" t="s">
        <v>1040</v>
      </c>
      <c r="M52" s="178" t="s">
        <v>1204</v>
      </c>
      <c r="N52" s="165"/>
      <c r="O52" s="165"/>
      <c r="P52" s="165"/>
      <c r="Q52" s="178" t="s">
        <v>1205</v>
      </c>
      <c r="R52" s="178" t="s">
        <v>1140</v>
      </c>
      <c r="S52" s="178" t="s">
        <v>1189</v>
      </c>
      <c r="T52" s="198">
        <v>215</v>
      </c>
      <c r="U52" s="198">
        <v>215</v>
      </c>
      <c r="V52" s="198">
        <v>215</v>
      </c>
      <c r="W52" s="198">
        <v>215</v>
      </c>
      <c r="X52" s="198">
        <v>215</v>
      </c>
      <c r="Y52" s="198">
        <v>215</v>
      </c>
      <c r="Z52" s="198">
        <v>215</v>
      </c>
      <c r="AA52" s="198">
        <v>215</v>
      </c>
      <c r="AB52" s="198">
        <v>215</v>
      </c>
      <c r="AC52" s="198" t="s">
        <v>1045</v>
      </c>
      <c r="AD52" s="198" t="s">
        <v>1045</v>
      </c>
      <c r="AE52" s="198" t="s">
        <v>1045</v>
      </c>
      <c r="AF52" s="197">
        <f>SUM(Tabela96[[#This Row],[jan/26]:[dez/26]])</f>
        <v>1935</v>
      </c>
      <c r="AG52" s="198">
        <v>0</v>
      </c>
      <c r="AH52" s="198">
        <v>0</v>
      </c>
      <c r="AI52" s="198">
        <v>0</v>
      </c>
      <c r="AJ52" s="198">
        <v>0</v>
      </c>
      <c r="AK52" s="198">
        <f>SUM(Tabela96[[#This Row],[2026]:[2030]])</f>
        <v>1935</v>
      </c>
      <c r="AL52" s="198">
        <v>0</v>
      </c>
      <c r="AM52" s="198">
        <v>0</v>
      </c>
      <c r="AN52" s="198">
        <v>0</v>
      </c>
      <c r="AO52" s="198">
        <v>0</v>
      </c>
      <c r="AP52" s="198">
        <v>0</v>
      </c>
      <c r="AQ52" s="202">
        <f>SUM(Tabela96[[#This Row],[2026-2030]:[2035]])</f>
        <v>1935</v>
      </c>
      <c r="AS52" s="178" t="s">
        <v>1046</v>
      </c>
      <c r="AT52" s="201">
        <v>2024</v>
      </c>
      <c r="AU52" s="178" t="s">
        <v>1206</v>
      </c>
      <c r="AV52" s="112" t="s">
        <v>1191</v>
      </c>
      <c r="AW52" s="178" t="s">
        <v>517</v>
      </c>
      <c r="AZ52" s="178" t="s">
        <v>1144</v>
      </c>
    </row>
    <row r="53" spans="2:52" ht="24.75" customHeight="1" x14ac:dyDescent="0.35">
      <c r="B53" s="179" t="e" cm="1">
        <f t="array" ref="B53">AND(ISTEXT('Consolidado-Eletronorte'!#REF!),SUM('Consolidado-Eletronorte'!#REF!)&gt;0)</f>
        <v>#REF!</v>
      </c>
      <c r="C53" s="162" t="str">
        <f t="shared" ca="1" si="3"/>
        <v>Capex Orcamentário_PE2026_2030_red_35_porcentoR3_consulta.xlsx</v>
      </c>
      <c r="D53" s="163" t="str">
        <f t="shared" si="4"/>
        <v>COO</v>
      </c>
      <c r="E53" s="163" t="str">
        <f t="shared" si="5"/>
        <v>Lucas Martins</v>
      </c>
      <c r="F53" s="164"/>
      <c r="G53" s="164" t="e">
        <f>_xlfn.CONCAT('Consolidado-Eletronorte'!#REF!,"_",ROW('Consolidado-Eletronorte'!#REF!)-ROW('Consolidado-Eletronorte'!$G$18))</f>
        <v>#REF!</v>
      </c>
      <c r="H53" s="165" t="s">
        <v>506</v>
      </c>
      <c r="I53" s="165" t="s">
        <v>135</v>
      </c>
      <c r="J53" s="165" t="s">
        <v>508</v>
      </c>
      <c r="K53" s="165" t="s">
        <v>1039</v>
      </c>
      <c r="L53" s="165" t="s">
        <v>1040</v>
      </c>
      <c r="M53" s="178" t="s">
        <v>1207</v>
      </c>
      <c r="N53" s="165"/>
      <c r="O53" s="165"/>
      <c r="P53" s="165"/>
      <c r="Q53" s="178" t="s">
        <v>1208</v>
      </c>
      <c r="R53" s="178" t="s">
        <v>1140</v>
      </c>
      <c r="S53" s="178" t="s">
        <v>1189</v>
      </c>
      <c r="T53" s="198">
        <v>215</v>
      </c>
      <c r="U53" s="198">
        <v>215</v>
      </c>
      <c r="V53" s="198">
        <v>215</v>
      </c>
      <c r="W53" s="198">
        <v>215</v>
      </c>
      <c r="X53" s="198">
        <v>215</v>
      </c>
      <c r="Y53" s="198">
        <v>215</v>
      </c>
      <c r="Z53" s="198">
        <v>215</v>
      </c>
      <c r="AA53" s="198">
        <v>215</v>
      </c>
      <c r="AB53" s="198">
        <v>215</v>
      </c>
      <c r="AC53" s="198" t="s">
        <v>1045</v>
      </c>
      <c r="AD53" s="198" t="s">
        <v>1045</v>
      </c>
      <c r="AE53" s="198" t="s">
        <v>1045</v>
      </c>
      <c r="AF53" s="197">
        <f>SUM(Tabela96[[#This Row],[jan/26]:[dez/26]])</f>
        <v>1935</v>
      </c>
      <c r="AG53" s="198">
        <v>0</v>
      </c>
      <c r="AH53" s="198">
        <v>0</v>
      </c>
      <c r="AI53" s="198">
        <v>0</v>
      </c>
      <c r="AJ53" s="198">
        <v>0</v>
      </c>
      <c r="AK53" s="198">
        <f>SUM(Tabela96[[#This Row],[2026]:[2030]])</f>
        <v>1935</v>
      </c>
      <c r="AL53" s="198">
        <v>0</v>
      </c>
      <c r="AM53" s="198">
        <v>0</v>
      </c>
      <c r="AN53" s="198">
        <v>0</v>
      </c>
      <c r="AO53" s="198">
        <v>0</v>
      </c>
      <c r="AP53" s="198">
        <v>0</v>
      </c>
      <c r="AQ53" s="202">
        <f>SUM(Tabela96[[#This Row],[2026-2030]:[2035]])</f>
        <v>1935</v>
      </c>
      <c r="AS53" s="178" t="s">
        <v>1046</v>
      </c>
      <c r="AT53" s="201">
        <v>2024</v>
      </c>
      <c r="AU53" s="178" t="s">
        <v>1209</v>
      </c>
      <c r="AV53" s="112" t="s">
        <v>1191</v>
      </c>
      <c r="AW53" s="178" t="s">
        <v>517</v>
      </c>
      <c r="AZ53" s="178" t="s">
        <v>1144</v>
      </c>
    </row>
    <row r="54" spans="2:52" ht="24.75" customHeight="1" x14ac:dyDescent="0.35">
      <c r="B54" s="179" t="e" cm="1">
        <f t="array" ref="B54">AND(ISTEXT('Consolidado-Eletronorte'!#REF!),SUM('Consolidado-Eletronorte'!#REF!)&gt;0)</f>
        <v>#REF!</v>
      </c>
      <c r="C54" s="162" t="str">
        <f t="shared" ca="1" si="3"/>
        <v>Capex Orcamentário_PE2026_2030_red_35_porcentoR3_consulta.xlsx</v>
      </c>
      <c r="D54" s="163" t="str">
        <f t="shared" si="4"/>
        <v>COO</v>
      </c>
      <c r="E54" s="163" t="str">
        <f t="shared" si="5"/>
        <v>Lucas Martins</v>
      </c>
      <c r="F54" s="164"/>
      <c r="G54" s="164" t="e">
        <f>_xlfn.CONCAT('Consolidado-Eletronorte'!#REF!,"_",ROW('Consolidado-Eletronorte'!#REF!)-ROW('Consolidado-Eletronorte'!$G$18))</f>
        <v>#REF!</v>
      </c>
      <c r="H54" s="165" t="s">
        <v>506</v>
      </c>
      <c r="I54" s="165" t="s">
        <v>135</v>
      </c>
      <c r="J54" s="165" t="s">
        <v>508</v>
      </c>
      <c r="K54" s="165" t="s">
        <v>1039</v>
      </c>
      <c r="L54" s="165" t="s">
        <v>1040</v>
      </c>
      <c r="M54" s="178" t="s">
        <v>1210</v>
      </c>
      <c r="N54" s="165"/>
      <c r="O54" s="165"/>
      <c r="P54" s="165"/>
      <c r="Q54" s="178" t="s">
        <v>1211</v>
      </c>
      <c r="R54" s="178" t="s">
        <v>1140</v>
      </c>
      <c r="S54" s="178" t="s">
        <v>1189</v>
      </c>
      <c r="T54" s="198">
        <v>215</v>
      </c>
      <c r="U54" s="198">
        <v>215</v>
      </c>
      <c r="V54" s="198">
        <v>215</v>
      </c>
      <c r="W54" s="198">
        <v>215</v>
      </c>
      <c r="X54" s="198">
        <v>215</v>
      </c>
      <c r="Y54" s="198">
        <v>215</v>
      </c>
      <c r="Z54" s="198">
        <v>215</v>
      </c>
      <c r="AA54" s="198">
        <v>215</v>
      </c>
      <c r="AB54" s="198">
        <v>215</v>
      </c>
      <c r="AC54" s="198" t="s">
        <v>1045</v>
      </c>
      <c r="AD54" s="198" t="s">
        <v>1045</v>
      </c>
      <c r="AE54" s="198" t="s">
        <v>1045</v>
      </c>
      <c r="AF54" s="197">
        <f>SUM(Tabela96[[#This Row],[jan/26]:[dez/26]])</f>
        <v>1935</v>
      </c>
      <c r="AG54" s="198">
        <v>0</v>
      </c>
      <c r="AH54" s="198">
        <v>0</v>
      </c>
      <c r="AI54" s="198">
        <v>0</v>
      </c>
      <c r="AJ54" s="198">
        <v>0</v>
      </c>
      <c r="AK54" s="198">
        <f>SUM(Tabela96[[#This Row],[2026]:[2030]])</f>
        <v>1935</v>
      </c>
      <c r="AL54" s="198">
        <v>0</v>
      </c>
      <c r="AM54" s="198">
        <v>0</v>
      </c>
      <c r="AN54" s="198">
        <v>0</v>
      </c>
      <c r="AO54" s="198">
        <v>0</v>
      </c>
      <c r="AP54" s="198">
        <v>0</v>
      </c>
      <c r="AQ54" s="202">
        <f>SUM(Tabela96[[#This Row],[2026-2030]:[2035]])</f>
        <v>1935</v>
      </c>
      <c r="AS54" s="178" t="s">
        <v>1046</v>
      </c>
      <c r="AT54" s="201">
        <v>2024</v>
      </c>
      <c r="AU54" s="178" t="s">
        <v>1212</v>
      </c>
      <c r="AV54" s="112" t="s">
        <v>1191</v>
      </c>
      <c r="AW54" s="178" t="s">
        <v>517</v>
      </c>
      <c r="AZ54" s="178" t="s">
        <v>1144</v>
      </c>
    </row>
    <row r="55" spans="2:52" ht="24.75" customHeight="1" x14ac:dyDescent="0.35">
      <c r="B55" s="179" t="e" cm="1">
        <f t="array" ref="B55">AND(ISTEXT('Consolidado-Eletronorte'!#REF!),SUM('Consolidado-Eletronorte'!#REF!)&gt;0)</f>
        <v>#REF!</v>
      </c>
      <c r="C55" s="162" t="str">
        <f t="shared" ca="1" si="3"/>
        <v>Capex Orcamentário_PE2026_2030_red_35_porcentoR3_consulta.xlsx</v>
      </c>
      <c r="D55" s="163" t="str">
        <f t="shared" si="4"/>
        <v>COO</v>
      </c>
      <c r="E55" s="163" t="str">
        <f t="shared" si="5"/>
        <v>Lucas Martins</v>
      </c>
      <c r="F55" s="164"/>
      <c r="G55" s="164" t="e">
        <f>_xlfn.CONCAT('Consolidado-Eletronorte'!#REF!,"_",ROW('Consolidado-Eletronorte'!#REF!)-ROW('Consolidado-Eletronorte'!$G$18))</f>
        <v>#REF!</v>
      </c>
      <c r="H55" s="165" t="s">
        <v>506</v>
      </c>
      <c r="I55" s="165" t="s">
        <v>135</v>
      </c>
      <c r="J55" s="165" t="s">
        <v>508</v>
      </c>
      <c r="K55" s="165" t="s">
        <v>1039</v>
      </c>
      <c r="L55" s="165" t="s">
        <v>1040</v>
      </c>
      <c r="M55" s="178" t="s">
        <v>1213</v>
      </c>
      <c r="N55" s="165"/>
      <c r="O55" s="165"/>
      <c r="P55" s="165"/>
      <c r="Q55" s="178" t="s">
        <v>1214</v>
      </c>
      <c r="R55" s="178" t="s">
        <v>1140</v>
      </c>
      <c r="S55" s="178" t="s">
        <v>1189</v>
      </c>
      <c r="T55" s="198">
        <v>215</v>
      </c>
      <c r="U55" s="198">
        <v>215</v>
      </c>
      <c r="V55" s="198">
        <v>215</v>
      </c>
      <c r="W55" s="198">
        <v>215</v>
      </c>
      <c r="X55" s="198">
        <v>215</v>
      </c>
      <c r="Y55" s="198">
        <v>215</v>
      </c>
      <c r="Z55" s="198">
        <v>215</v>
      </c>
      <c r="AA55" s="198">
        <v>215</v>
      </c>
      <c r="AB55" s="198">
        <v>215</v>
      </c>
      <c r="AC55" s="198" t="s">
        <v>1045</v>
      </c>
      <c r="AD55" s="198" t="s">
        <v>1045</v>
      </c>
      <c r="AE55" s="198" t="s">
        <v>1045</v>
      </c>
      <c r="AF55" s="197">
        <f>SUM(Tabela96[[#This Row],[jan/26]:[dez/26]])</f>
        <v>1935</v>
      </c>
      <c r="AG55" s="198">
        <v>0</v>
      </c>
      <c r="AH55" s="198">
        <v>0</v>
      </c>
      <c r="AI55" s="198">
        <v>0</v>
      </c>
      <c r="AJ55" s="198">
        <v>0</v>
      </c>
      <c r="AK55" s="198">
        <f>SUM(Tabela96[[#This Row],[2026]:[2030]])</f>
        <v>1935</v>
      </c>
      <c r="AL55" s="198">
        <v>0</v>
      </c>
      <c r="AM55" s="198">
        <v>0</v>
      </c>
      <c r="AN55" s="198">
        <v>0</v>
      </c>
      <c r="AO55" s="198">
        <v>0</v>
      </c>
      <c r="AP55" s="198">
        <v>0</v>
      </c>
      <c r="AQ55" s="202">
        <f>SUM(Tabela96[[#This Row],[2026-2030]:[2035]])</f>
        <v>1935</v>
      </c>
      <c r="AS55" s="178" t="s">
        <v>1046</v>
      </c>
      <c r="AT55" s="201">
        <v>2024</v>
      </c>
      <c r="AU55" s="178" t="s">
        <v>1215</v>
      </c>
      <c r="AV55" s="112" t="s">
        <v>1191</v>
      </c>
      <c r="AW55" s="178" t="s">
        <v>517</v>
      </c>
      <c r="AZ55" s="178" t="s">
        <v>1144</v>
      </c>
    </row>
    <row r="56" spans="2:52" ht="24.75" customHeight="1" x14ac:dyDescent="0.35">
      <c r="B56" s="179" t="e" cm="1">
        <f t="array" ref="B56">AND(ISTEXT('Consolidado-Eletronorte'!#REF!),SUM('Consolidado-Eletronorte'!#REF!)&gt;0)</f>
        <v>#REF!</v>
      </c>
      <c r="C56" s="162" t="str">
        <f t="shared" ca="1" si="3"/>
        <v>Capex Orcamentário_PE2026_2030_red_35_porcentoR3_consulta.xlsx</v>
      </c>
      <c r="D56" s="163" t="str">
        <f t="shared" si="4"/>
        <v>COO</v>
      </c>
      <c r="E56" s="163" t="str">
        <f t="shared" si="5"/>
        <v>Lucas Martins</v>
      </c>
      <c r="F56" s="164"/>
      <c r="G56" s="164" t="e">
        <f>_xlfn.CONCAT('Consolidado-Eletronorte'!#REF!,"_",ROW('Consolidado-Eletronorte'!#REF!)-ROW('Consolidado-Eletronorte'!$G$18))</f>
        <v>#REF!</v>
      </c>
      <c r="H56" s="165" t="s">
        <v>506</v>
      </c>
      <c r="I56" s="165" t="s">
        <v>135</v>
      </c>
      <c r="J56" s="165" t="s">
        <v>508</v>
      </c>
      <c r="K56" s="165" t="s">
        <v>1039</v>
      </c>
      <c r="L56" s="165" t="s">
        <v>1040</v>
      </c>
      <c r="M56" s="178" t="s">
        <v>1216</v>
      </c>
      <c r="N56" s="165"/>
      <c r="O56" s="165"/>
      <c r="P56" s="165"/>
      <c r="Q56" s="178" t="s">
        <v>1217</v>
      </c>
      <c r="R56" s="178" t="s">
        <v>1140</v>
      </c>
      <c r="S56" s="178" t="s">
        <v>1189</v>
      </c>
      <c r="T56" s="198">
        <v>215</v>
      </c>
      <c r="U56" s="198">
        <v>215</v>
      </c>
      <c r="V56" s="198">
        <v>215</v>
      </c>
      <c r="W56" s="198">
        <v>215</v>
      </c>
      <c r="X56" s="198">
        <v>215</v>
      </c>
      <c r="Y56" s="198">
        <v>215</v>
      </c>
      <c r="Z56" s="198">
        <v>215</v>
      </c>
      <c r="AA56" s="198">
        <v>215</v>
      </c>
      <c r="AB56" s="198">
        <v>215</v>
      </c>
      <c r="AC56" s="198" t="s">
        <v>1045</v>
      </c>
      <c r="AD56" s="198" t="s">
        <v>1045</v>
      </c>
      <c r="AE56" s="198" t="s">
        <v>1045</v>
      </c>
      <c r="AF56" s="197">
        <f>SUM(Tabela96[[#This Row],[jan/26]:[dez/26]])</f>
        <v>1935</v>
      </c>
      <c r="AG56" s="198">
        <v>0</v>
      </c>
      <c r="AH56" s="198">
        <v>0</v>
      </c>
      <c r="AI56" s="198">
        <v>0</v>
      </c>
      <c r="AJ56" s="198">
        <v>0</v>
      </c>
      <c r="AK56" s="198">
        <f>SUM(Tabela96[[#This Row],[2026]:[2030]])</f>
        <v>1935</v>
      </c>
      <c r="AL56" s="198">
        <v>0</v>
      </c>
      <c r="AM56" s="198">
        <v>0</v>
      </c>
      <c r="AN56" s="198">
        <v>0</v>
      </c>
      <c r="AO56" s="198">
        <v>0</v>
      </c>
      <c r="AP56" s="198">
        <v>0</v>
      </c>
      <c r="AQ56" s="202">
        <f>SUM(Tabela96[[#This Row],[2026-2030]:[2035]])</f>
        <v>1935</v>
      </c>
      <c r="AS56" s="178" t="s">
        <v>1046</v>
      </c>
      <c r="AT56" s="201">
        <v>2024</v>
      </c>
      <c r="AU56" s="178" t="s">
        <v>1218</v>
      </c>
      <c r="AV56" s="112" t="s">
        <v>1191</v>
      </c>
      <c r="AW56" s="178" t="s">
        <v>517</v>
      </c>
      <c r="AZ56" s="178" t="s">
        <v>1144</v>
      </c>
    </row>
    <row r="57" spans="2:52" ht="24.75" customHeight="1" x14ac:dyDescent="0.35">
      <c r="B57" s="179" t="e" cm="1">
        <f t="array" ref="B57">AND(ISTEXT('Consolidado-Eletronorte'!#REF!),SUM('Consolidado-Eletronorte'!#REF!)&gt;0)</f>
        <v>#REF!</v>
      </c>
      <c r="C57" s="162" t="str">
        <f t="shared" ca="1" si="3"/>
        <v>Capex Orcamentário_PE2026_2030_red_35_porcentoR3_consulta.xlsx</v>
      </c>
      <c r="D57" s="163" t="str">
        <f t="shared" si="4"/>
        <v>COO</v>
      </c>
      <c r="E57" s="163" t="str">
        <f t="shared" si="5"/>
        <v>Lucas Martins</v>
      </c>
      <c r="F57" s="164"/>
      <c r="G57" s="164" t="e">
        <f>_xlfn.CONCAT('Consolidado-Eletronorte'!#REF!,"_",ROW('Consolidado-Eletronorte'!#REF!)-ROW('Consolidado-Eletronorte'!$G$18))</f>
        <v>#REF!</v>
      </c>
      <c r="H57" s="165" t="s">
        <v>506</v>
      </c>
      <c r="I57" s="165" t="s">
        <v>135</v>
      </c>
      <c r="J57" s="165" t="s">
        <v>508</v>
      </c>
      <c r="K57" s="165" t="s">
        <v>1039</v>
      </c>
      <c r="L57" s="165" t="s">
        <v>1040</v>
      </c>
      <c r="M57" s="178" t="s">
        <v>1219</v>
      </c>
      <c r="N57" s="165"/>
      <c r="O57" s="165"/>
      <c r="P57" s="165"/>
      <c r="Q57" s="178" t="s">
        <v>1220</v>
      </c>
      <c r="R57" s="178" t="s">
        <v>1140</v>
      </c>
      <c r="S57" s="178" t="s">
        <v>1189</v>
      </c>
      <c r="T57" s="198">
        <v>215</v>
      </c>
      <c r="U57" s="198">
        <v>215</v>
      </c>
      <c r="V57" s="198">
        <v>215</v>
      </c>
      <c r="W57" s="198">
        <v>215</v>
      </c>
      <c r="X57" s="198">
        <v>215</v>
      </c>
      <c r="Y57" s="198">
        <v>215</v>
      </c>
      <c r="Z57" s="198">
        <v>215</v>
      </c>
      <c r="AA57" s="198">
        <v>215</v>
      </c>
      <c r="AB57" s="198">
        <v>215</v>
      </c>
      <c r="AC57" s="198" t="s">
        <v>1045</v>
      </c>
      <c r="AD57" s="198" t="s">
        <v>1045</v>
      </c>
      <c r="AE57" s="198" t="s">
        <v>1045</v>
      </c>
      <c r="AF57" s="197">
        <f>SUM(Tabela96[[#This Row],[jan/26]:[dez/26]])</f>
        <v>1935</v>
      </c>
      <c r="AG57" s="198">
        <v>0</v>
      </c>
      <c r="AH57" s="198">
        <v>0</v>
      </c>
      <c r="AI57" s="198">
        <v>0</v>
      </c>
      <c r="AJ57" s="198">
        <v>0</v>
      </c>
      <c r="AK57" s="198">
        <f>SUM(Tabela96[[#This Row],[2026]:[2030]])</f>
        <v>1935</v>
      </c>
      <c r="AL57" s="198">
        <v>0</v>
      </c>
      <c r="AM57" s="198">
        <v>0</v>
      </c>
      <c r="AN57" s="198">
        <v>0</v>
      </c>
      <c r="AO57" s="198">
        <v>0</v>
      </c>
      <c r="AP57" s="198">
        <v>0</v>
      </c>
      <c r="AQ57" s="202">
        <f>SUM(Tabela96[[#This Row],[2026-2030]:[2035]])</f>
        <v>1935</v>
      </c>
      <c r="AS57" s="178" t="s">
        <v>1046</v>
      </c>
      <c r="AT57" s="201">
        <v>2024</v>
      </c>
      <c r="AU57" s="178" t="s">
        <v>1221</v>
      </c>
      <c r="AV57" s="112" t="s">
        <v>1191</v>
      </c>
      <c r="AW57" s="178" t="s">
        <v>517</v>
      </c>
      <c r="AZ57" s="178" t="s">
        <v>1144</v>
      </c>
    </row>
    <row r="58" spans="2:52" ht="24.75" customHeight="1" x14ac:dyDescent="0.35">
      <c r="B58" s="179" t="e" cm="1">
        <f t="array" ref="B58">AND(ISTEXT('Consolidado-Eletronorte'!#REF!),SUM('Consolidado-Eletronorte'!#REF!)&gt;0)</f>
        <v>#REF!</v>
      </c>
      <c r="C58" s="162" t="str">
        <f t="shared" ca="1" si="3"/>
        <v>Capex Orcamentário_PE2026_2030_red_35_porcentoR3_consulta.xlsx</v>
      </c>
      <c r="D58" s="163" t="str">
        <f t="shared" si="4"/>
        <v>COO</v>
      </c>
      <c r="E58" s="163" t="str">
        <f t="shared" si="5"/>
        <v>Lucas Martins</v>
      </c>
      <c r="F58" s="164"/>
      <c r="G58" s="164" t="e">
        <f>_xlfn.CONCAT('Consolidado-Eletronorte'!#REF!,"_",ROW('Consolidado-Eletronorte'!#REF!)-ROW('Consolidado-Eletronorte'!$G$18))</f>
        <v>#REF!</v>
      </c>
      <c r="H58" s="165" t="s">
        <v>506</v>
      </c>
      <c r="I58" s="165" t="s">
        <v>135</v>
      </c>
      <c r="J58" s="165" t="s">
        <v>508</v>
      </c>
      <c r="K58" s="165" t="s">
        <v>1039</v>
      </c>
      <c r="L58" s="165" t="s">
        <v>1040</v>
      </c>
      <c r="M58" s="178" t="s">
        <v>1222</v>
      </c>
      <c r="N58" s="165"/>
      <c r="O58" s="165"/>
      <c r="P58" s="165"/>
      <c r="Q58" s="178" t="s">
        <v>1223</v>
      </c>
      <c r="R58" s="178" t="s">
        <v>1140</v>
      </c>
      <c r="S58" s="178" t="s">
        <v>1189</v>
      </c>
      <c r="T58" s="198">
        <v>215</v>
      </c>
      <c r="U58" s="198">
        <v>215</v>
      </c>
      <c r="V58" s="198">
        <v>215</v>
      </c>
      <c r="W58" s="198">
        <v>215</v>
      </c>
      <c r="X58" s="198">
        <v>215</v>
      </c>
      <c r="Y58" s="198">
        <v>215</v>
      </c>
      <c r="Z58" s="198">
        <v>215</v>
      </c>
      <c r="AA58" s="198">
        <v>215</v>
      </c>
      <c r="AB58" s="198">
        <v>215</v>
      </c>
      <c r="AC58" s="198" t="s">
        <v>1045</v>
      </c>
      <c r="AD58" s="198" t="s">
        <v>1045</v>
      </c>
      <c r="AE58" s="198" t="s">
        <v>1045</v>
      </c>
      <c r="AF58" s="197">
        <f>SUM(Tabela96[[#This Row],[jan/26]:[dez/26]])</f>
        <v>1935</v>
      </c>
      <c r="AG58" s="198">
        <v>0</v>
      </c>
      <c r="AH58" s="198">
        <v>0</v>
      </c>
      <c r="AI58" s="198">
        <v>0</v>
      </c>
      <c r="AJ58" s="198">
        <v>0</v>
      </c>
      <c r="AK58" s="198">
        <f>SUM(Tabela96[[#This Row],[2026]:[2030]])</f>
        <v>1935</v>
      </c>
      <c r="AL58" s="198">
        <v>0</v>
      </c>
      <c r="AM58" s="198">
        <v>0</v>
      </c>
      <c r="AN58" s="198">
        <v>0</v>
      </c>
      <c r="AO58" s="198">
        <v>0</v>
      </c>
      <c r="AP58" s="198">
        <v>0</v>
      </c>
      <c r="AQ58" s="202">
        <f>SUM(Tabela96[[#This Row],[2026-2030]:[2035]])</f>
        <v>1935</v>
      </c>
      <c r="AS58" s="178" t="s">
        <v>1046</v>
      </c>
      <c r="AT58" s="201">
        <v>2024</v>
      </c>
      <c r="AU58" s="178" t="s">
        <v>1224</v>
      </c>
      <c r="AV58" s="112" t="s">
        <v>1191</v>
      </c>
      <c r="AW58" s="178" t="s">
        <v>517</v>
      </c>
      <c r="AZ58" s="178" t="s">
        <v>1144</v>
      </c>
    </row>
    <row r="59" spans="2:52" ht="24.75" customHeight="1" x14ac:dyDescent="0.35">
      <c r="B59" s="179" t="e" cm="1">
        <f t="array" ref="B59">AND(ISTEXT('Consolidado-Eletronorte'!#REF!),SUM('Consolidado-Eletronorte'!#REF!)&gt;0)</f>
        <v>#REF!</v>
      </c>
      <c r="C59" s="162" t="str">
        <f t="shared" ca="1" si="3"/>
        <v>Capex Orcamentário_PE2026_2030_red_35_porcentoR3_consulta.xlsx</v>
      </c>
      <c r="D59" s="163" t="str">
        <f t="shared" si="4"/>
        <v>COO</v>
      </c>
      <c r="E59" s="163" t="str">
        <f t="shared" si="5"/>
        <v>Lucas Martins</v>
      </c>
      <c r="F59" s="164"/>
      <c r="G59" s="164" t="e">
        <f>_xlfn.CONCAT('Consolidado-Eletronorte'!#REF!,"_",ROW('Consolidado-Eletronorte'!#REF!)-ROW('Consolidado-Eletronorte'!$G$18))</f>
        <v>#REF!</v>
      </c>
      <c r="H59" s="165" t="s">
        <v>506</v>
      </c>
      <c r="I59" s="165" t="s">
        <v>135</v>
      </c>
      <c r="J59" s="165" t="s">
        <v>508</v>
      </c>
      <c r="K59" s="165" t="s">
        <v>1039</v>
      </c>
      <c r="L59" s="165" t="s">
        <v>1040</v>
      </c>
      <c r="M59" s="178" t="s">
        <v>1225</v>
      </c>
      <c r="N59" s="165"/>
      <c r="O59" s="165"/>
      <c r="P59" s="165"/>
      <c r="Q59" s="178" t="s">
        <v>1226</v>
      </c>
      <c r="R59" s="178" t="s">
        <v>1140</v>
      </c>
      <c r="S59" s="178" t="s">
        <v>1189</v>
      </c>
      <c r="T59" s="198">
        <v>215</v>
      </c>
      <c r="U59" s="198">
        <v>215</v>
      </c>
      <c r="V59" s="198">
        <v>215</v>
      </c>
      <c r="W59" s="198">
        <v>215</v>
      </c>
      <c r="X59" s="198">
        <v>215</v>
      </c>
      <c r="Y59" s="198">
        <v>215</v>
      </c>
      <c r="Z59" s="198">
        <v>215</v>
      </c>
      <c r="AA59" s="198">
        <v>215</v>
      </c>
      <c r="AB59" s="198">
        <v>215</v>
      </c>
      <c r="AC59" s="198" t="s">
        <v>1045</v>
      </c>
      <c r="AD59" s="198" t="s">
        <v>1045</v>
      </c>
      <c r="AE59" s="198" t="s">
        <v>1045</v>
      </c>
      <c r="AF59" s="197">
        <f>SUM(Tabela96[[#This Row],[jan/26]:[dez/26]])</f>
        <v>1935</v>
      </c>
      <c r="AG59" s="198">
        <v>0</v>
      </c>
      <c r="AH59" s="198">
        <v>0</v>
      </c>
      <c r="AI59" s="198">
        <v>0</v>
      </c>
      <c r="AJ59" s="198">
        <v>0</v>
      </c>
      <c r="AK59" s="198">
        <f>SUM(Tabela96[[#This Row],[2026]:[2030]])</f>
        <v>1935</v>
      </c>
      <c r="AL59" s="198">
        <v>0</v>
      </c>
      <c r="AM59" s="198">
        <v>0</v>
      </c>
      <c r="AN59" s="198">
        <v>0</v>
      </c>
      <c r="AO59" s="198">
        <v>0</v>
      </c>
      <c r="AP59" s="198">
        <v>0</v>
      </c>
      <c r="AQ59" s="202">
        <f>SUM(Tabela96[[#This Row],[2026-2030]:[2035]])</f>
        <v>1935</v>
      </c>
      <c r="AS59" s="178" t="s">
        <v>1046</v>
      </c>
      <c r="AT59" s="201">
        <v>2024</v>
      </c>
      <c r="AU59" s="178" t="s">
        <v>1227</v>
      </c>
      <c r="AV59" s="112" t="s">
        <v>1191</v>
      </c>
      <c r="AW59" s="178" t="s">
        <v>517</v>
      </c>
      <c r="AZ59" s="178" t="s">
        <v>1144</v>
      </c>
    </row>
    <row r="60" spans="2:52" ht="24.75" customHeight="1" x14ac:dyDescent="0.35">
      <c r="B60" s="179" t="e" cm="1">
        <f t="array" ref="B60">AND(ISTEXT('Consolidado-Eletronorte'!#REF!),SUM('Consolidado-Eletronorte'!#REF!)&gt;0)</f>
        <v>#REF!</v>
      </c>
      <c r="C60" s="162" t="str">
        <f t="shared" ca="1" si="3"/>
        <v>Capex Orcamentário_PE2026_2030_red_35_porcentoR3_consulta.xlsx</v>
      </c>
      <c r="D60" s="163" t="str">
        <f t="shared" si="4"/>
        <v>COO</v>
      </c>
      <c r="E60" s="163" t="str">
        <f t="shared" si="5"/>
        <v>Lucas Martins</v>
      </c>
      <c r="F60" s="164"/>
      <c r="G60" s="164" t="e">
        <f>_xlfn.CONCAT('Consolidado-Eletronorte'!#REF!,"_",ROW('Consolidado-Eletronorte'!#REF!)-ROW('Consolidado-Eletronorte'!$G$18))</f>
        <v>#REF!</v>
      </c>
      <c r="H60" s="165" t="s">
        <v>506</v>
      </c>
      <c r="I60" s="165" t="s">
        <v>135</v>
      </c>
      <c r="J60" s="165" t="s">
        <v>508</v>
      </c>
      <c r="K60" s="165" t="s">
        <v>1039</v>
      </c>
      <c r="L60" s="165" t="s">
        <v>1040</v>
      </c>
      <c r="M60" s="178" t="s">
        <v>1228</v>
      </c>
      <c r="N60" s="165"/>
      <c r="O60" s="165"/>
      <c r="P60" s="165"/>
      <c r="Q60" s="178" t="s">
        <v>1229</v>
      </c>
      <c r="R60" s="178" t="s">
        <v>1140</v>
      </c>
      <c r="S60" s="178" t="s">
        <v>1189</v>
      </c>
      <c r="T60" s="198">
        <v>215</v>
      </c>
      <c r="U60" s="198">
        <v>215</v>
      </c>
      <c r="V60" s="198">
        <v>215</v>
      </c>
      <c r="W60" s="198">
        <v>215</v>
      </c>
      <c r="X60" s="198">
        <v>215</v>
      </c>
      <c r="Y60" s="198">
        <v>215</v>
      </c>
      <c r="Z60" s="198">
        <v>215</v>
      </c>
      <c r="AA60" s="198">
        <v>215</v>
      </c>
      <c r="AB60" s="198">
        <v>215</v>
      </c>
      <c r="AC60" s="198" t="s">
        <v>1045</v>
      </c>
      <c r="AD60" s="198" t="s">
        <v>1045</v>
      </c>
      <c r="AE60" s="198" t="s">
        <v>1045</v>
      </c>
      <c r="AF60" s="197">
        <f>SUM(Tabela96[[#This Row],[jan/26]:[dez/26]])</f>
        <v>1935</v>
      </c>
      <c r="AG60" s="198">
        <v>0</v>
      </c>
      <c r="AH60" s="198">
        <v>0</v>
      </c>
      <c r="AI60" s="198">
        <v>0</v>
      </c>
      <c r="AJ60" s="198">
        <v>0</v>
      </c>
      <c r="AK60" s="198">
        <f>SUM(Tabela96[[#This Row],[2026]:[2030]])</f>
        <v>1935</v>
      </c>
      <c r="AL60" s="198">
        <v>0</v>
      </c>
      <c r="AM60" s="198">
        <v>0</v>
      </c>
      <c r="AN60" s="198">
        <v>0</v>
      </c>
      <c r="AO60" s="198">
        <v>0</v>
      </c>
      <c r="AP60" s="198">
        <v>0</v>
      </c>
      <c r="AQ60" s="202">
        <f>SUM(Tabela96[[#This Row],[2026-2030]:[2035]])</f>
        <v>1935</v>
      </c>
      <c r="AS60" s="178" t="s">
        <v>1046</v>
      </c>
      <c r="AT60" s="201">
        <v>2024</v>
      </c>
      <c r="AU60" s="178" t="s">
        <v>1230</v>
      </c>
      <c r="AV60" s="112" t="s">
        <v>1191</v>
      </c>
      <c r="AW60" s="178" t="s">
        <v>517</v>
      </c>
      <c r="AZ60" s="178" t="s">
        <v>1144</v>
      </c>
    </row>
    <row r="61" spans="2:52" ht="24.75" customHeight="1" x14ac:dyDescent="0.35">
      <c r="B61" s="179" t="e" cm="1">
        <f t="array" ref="B61">AND(ISTEXT('Consolidado-Eletronorte'!#REF!),SUM('Consolidado-Eletronorte'!#REF!)&gt;0)</f>
        <v>#REF!</v>
      </c>
      <c r="C61" s="162" t="str">
        <f t="shared" ca="1" si="3"/>
        <v>Capex Orcamentário_PE2026_2030_red_35_porcentoR3_consulta.xlsx</v>
      </c>
      <c r="D61" s="163" t="str">
        <f t="shared" si="4"/>
        <v>COO</v>
      </c>
      <c r="E61" s="163" t="str">
        <f t="shared" si="5"/>
        <v>Lucas Martins</v>
      </c>
      <c r="F61" s="164"/>
      <c r="G61" s="164" t="e">
        <f>_xlfn.CONCAT('Consolidado-Eletronorte'!#REF!,"_",ROW('Consolidado-Eletronorte'!#REF!)-ROW('Consolidado-Eletronorte'!$G$18))</f>
        <v>#REF!</v>
      </c>
      <c r="H61" s="165" t="s">
        <v>506</v>
      </c>
      <c r="I61" s="165" t="s">
        <v>135</v>
      </c>
      <c r="J61" s="165" t="s">
        <v>508</v>
      </c>
      <c r="K61" s="165" t="s">
        <v>1039</v>
      </c>
      <c r="L61" s="165" t="s">
        <v>1040</v>
      </c>
      <c r="M61" s="178" t="s">
        <v>1231</v>
      </c>
      <c r="N61" s="165"/>
      <c r="O61" s="165"/>
      <c r="P61" s="165"/>
      <c r="Q61" s="178" t="s">
        <v>1232</v>
      </c>
      <c r="R61" s="178" t="s">
        <v>1140</v>
      </c>
      <c r="S61" s="178" t="s">
        <v>1189</v>
      </c>
      <c r="T61" s="198">
        <v>215</v>
      </c>
      <c r="U61" s="198">
        <v>215</v>
      </c>
      <c r="V61" s="198">
        <v>215</v>
      </c>
      <c r="W61" s="198">
        <v>215</v>
      </c>
      <c r="X61" s="198">
        <v>215</v>
      </c>
      <c r="Y61" s="198">
        <v>215</v>
      </c>
      <c r="Z61" s="198">
        <v>215</v>
      </c>
      <c r="AA61" s="198">
        <v>215</v>
      </c>
      <c r="AB61" s="198">
        <v>215</v>
      </c>
      <c r="AC61" s="198" t="s">
        <v>1045</v>
      </c>
      <c r="AD61" s="198" t="s">
        <v>1045</v>
      </c>
      <c r="AE61" s="198" t="s">
        <v>1045</v>
      </c>
      <c r="AF61" s="197">
        <f>SUM(Tabela96[[#This Row],[jan/26]:[dez/26]])</f>
        <v>1935</v>
      </c>
      <c r="AG61" s="198">
        <v>0</v>
      </c>
      <c r="AH61" s="198">
        <v>0</v>
      </c>
      <c r="AI61" s="198">
        <v>0</v>
      </c>
      <c r="AJ61" s="198">
        <v>0</v>
      </c>
      <c r="AK61" s="198">
        <f>SUM(Tabela96[[#This Row],[2026]:[2030]])</f>
        <v>1935</v>
      </c>
      <c r="AL61" s="198">
        <v>0</v>
      </c>
      <c r="AM61" s="198">
        <v>0</v>
      </c>
      <c r="AN61" s="198">
        <v>0</v>
      </c>
      <c r="AO61" s="198">
        <v>0</v>
      </c>
      <c r="AP61" s="198">
        <v>0</v>
      </c>
      <c r="AQ61" s="202">
        <f>SUM(Tabela96[[#This Row],[2026-2030]:[2035]])</f>
        <v>1935</v>
      </c>
      <c r="AS61" s="178" t="s">
        <v>1046</v>
      </c>
      <c r="AT61" s="201">
        <v>2024</v>
      </c>
      <c r="AU61" s="178" t="s">
        <v>1233</v>
      </c>
      <c r="AV61" s="112" t="s">
        <v>1191</v>
      </c>
      <c r="AW61" s="178" t="s">
        <v>517</v>
      </c>
      <c r="AZ61" s="178" t="s">
        <v>1144</v>
      </c>
    </row>
    <row r="62" spans="2:52" ht="24.75" customHeight="1" x14ac:dyDescent="0.35">
      <c r="B62" s="179" t="e" cm="1">
        <f t="array" ref="B62">AND(ISTEXT('Consolidado-Eletronorte'!#REF!),SUM('Consolidado-Eletronorte'!#REF!)&gt;0)</f>
        <v>#REF!</v>
      </c>
      <c r="C62" s="162" t="str">
        <f t="shared" ca="1" si="3"/>
        <v>Capex Orcamentário_PE2026_2030_red_35_porcentoR3_consulta.xlsx</v>
      </c>
      <c r="D62" s="163" t="str">
        <f t="shared" si="4"/>
        <v>COO</v>
      </c>
      <c r="E62" s="163" t="str">
        <f t="shared" si="5"/>
        <v>Lucas Martins</v>
      </c>
      <c r="F62" s="164"/>
      <c r="G62" s="164" t="e">
        <f>_xlfn.CONCAT('Consolidado-Eletronorte'!#REF!,"_",ROW('Consolidado-Eletronorte'!#REF!)-ROW('Consolidado-Eletronorte'!$G$18))</f>
        <v>#REF!</v>
      </c>
      <c r="H62" s="165" t="s">
        <v>506</v>
      </c>
      <c r="I62" s="165" t="s">
        <v>135</v>
      </c>
      <c r="J62" s="165" t="s">
        <v>508</v>
      </c>
      <c r="K62" s="165" t="s">
        <v>1039</v>
      </c>
      <c r="L62" s="165" t="s">
        <v>1040</v>
      </c>
      <c r="M62" s="178" t="s">
        <v>1234</v>
      </c>
      <c r="N62" s="165"/>
      <c r="O62" s="165"/>
      <c r="P62" s="165"/>
      <c r="Q62" s="178" t="s">
        <v>1235</v>
      </c>
      <c r="R62" s="178" t="s">
        <v>1140</v>
      </c>
      <c r="S62" s="178" t="s">
        <v>1236</v>
      </c>
      <c r="T62" s="198">
        <v>215</v>
      </c>
      <c r="U62" s="198">
        <v>215</v>
      </c>
      <c r="V62" s="198">
        <v>215</v>
      </c>
      <c r="W62" s="198">
        <v>215</v>
      </c>
      <c r="X62" s="198">
        <v>215</v>
      </c>
      <c r="Y62" s="198">
        <v>215</v>
      </c>
      <c r="Z62" s="198">
        <v>215</v>
      </c>
      <c r="AA62" s="198">
        <v>215</v>
      </c>
      <c r="AB62" s="198">
        <v>215</v>
      </c>
      <c r="AC62" s="198" t="s">
        <v>1045</v>
      </c>
      <c r="AD62" s="198" t="s">
        <v>1045</v>
      </c>
      <c r="AE62" s="198" t="s">
        <v>1045</v>
      </c>
      <c r="AF62" s="197">
        <f>SUM(Tabela96[[#This Row],[jan/26]:[dez/26]])</f>
        <v>1935</v>
      </c>
      <c r="AG62" s="198">
        <v>0</v>
      </c>
      <c r="AH62" s="198">
        <v>0</v>
      </c>
      <c r="AI62" s="198">
        <v>0</v>
      </c>
      <c r="AJ62" s="198">
        <v>0</v>
      </c>
      <c r="AK62" s="198">
        <f>SUM(Tabela96[[#This Row],[2026]:[2030]])</f>
        <v>1935</v>
      </c>
      <c r="AL62" s="198">
        <v>0</v>
      </c>
      <c r="AM62" s="198">
        <v>0</v>
      </c>
      <c r="AN62" s="198">
        <v>0</v>
      </c>
      <c r="AO62" s="198">
        <v>0</v>
      </c>
      <c r="AP62" s="198">
        <v>0</v>
      </c>
      <c r="AQ62" s="202">
        <f>SUM(Tabela96[[#This Row],[2026-2030]:[2035]])</f>
        <v>1935</v>
      </c>
      <c r="AS62" s="178" t="s">
        <v>1046</v>
      </c>
      <c r="AT62" s="201">
        <v>2024</v>
      </c>
      <c r="AU62" s="178" t="s">
        <v>1237</v>
      </c>
      <c r="AV62" s="183" t="s">
        <v>1238</v>
      </c>
      <c r="AW62" s="178" t="s">
        <v>517</v>
      </c>
      <c r="AZ62" s="178" t="s">
        <v>1144</v>
      </c>
    </row>
    <row r="63" spans="2:52" ht="24.75" customHeight="1" x14ac:dyDescent="0.35">
      <c r="B63" s="179" t="e" cm="1">
        <f t="array" ref="B63">AND(ISTEXT('Consolidado-Eletronorte'!#REF!),SUM('Consolidado-Eletronorte'!#REF!)&gt;0)</f>
        <v>#REF!</v>
      </c>
      <c r="C63" s="162" t="str">
        <f t="shared" ca="1" si="3"/>
        <v>Capex Orcamentário_PE2026_2030_red_35_porcentoR3_consulta.xlsx</v>
      </c>
      <c r="D63" s="163" t="str">
        <f t="shared" si="4"/>
        <v>COO</v>
      </c>
      <c r="E63" s="163" t="str">
        <f t="shared" si="5"/>
        <v>Lucas Martins</v>
      </c>
      <c r="F63" s="164"/>
      <c r="G63" s="164" t="e">
        <f>_xlfn.CONCAT('Consolidado-Eletronorte'!#REF!,"_",ROW('Consolidado-Eletronorte'!#REF!)-ROW('Consolidado-Eletronorte'!$G$18))</f>
        <v>#REF!</v>
      </c>
      <c r="H63" s="165" t="s">
        <v>506</v>
      </c>
      <c r="I63" s="165" t="s">
        <v>135</v>
      </c>
      <c r="J63" s="165" t="s">
        <v>508</v>
      </c>
      <c r="K63" s="165" t="s">
        <v>1039</v>
      </c>
      <c r="L63" s="165" t="s">
        <v>1040</v>
      </c>
      <c r="M63" s="178" t="s">
        <v>1239</v>
      </c>
      <c r="N63" s="165"/>
      <c r="O63" s="165"/>
      <c r="P63" s="165"/>
      <c r="Q63" s="178" t="s">
        <v>1240</v>
      </c>
      <c r="R63" s="178" t="s">
        <v>1140</v>
      </c>
      <c r="S63" s="178" t="s">
        <v>1236</v>
      </c>
      <c r="T63" s="198">
        <v>215</v>
      </c>
      <c r="U63" s="198">
        <v>215</v>
      </c>
      <c r="V63" s="198">
        <v>215</v>
      </c>
      <c r="W63" s="198">
        <v>215</v>
      </c>
      <c r="X63" s="198">
        <v>215</v>
      </c>
      <c r="Y63" s="198">
        <v>215</v>
      </c>
      <c r="Z63" s="198">
        <v>215</v>
      </c>
      <c r="AA63" s="198">
        <v>215</v>
      </c>
      <c r="AB63" s="198">
        <v>215</v>
      </c>
      <c r="AC63" s="198" t="s">
        <v>1045</v>
      </c>
      <c r="AD63" s="198" t="s">
        <v>1045</v>
      </c>
      <c r="AE63" s="198" t="s">
        <v>1045</v>
      </c>
      <c r="AF63" s="197">
        <f>SUM(Tabela96[[#This Row],[jan/26]:[dez/26]])</f>
        <v>1935</v>
      </c>
      <c r="AG63" s="198">
        <v>0</v>
      </c>
      <c r="AH63" s="198">
        <v>0</v>
      </c>
      <c r="AI63" s="198">
        <v>0</v>
      </c>
      <c r="AJ63" s="198">
        <v>0</v>
      </c>
      <c r="AK63" s="198">
        <f>SUM(Tabela96[[#This Row],[2026]:[2030]])</f>
        <v>1935</v>
      </c>
      <c r="AL63" s="198">
        <v>0</v>
      </c>
      <c r="AM63" s="198">
        <v>0</v>
      </c>
      <c r="AN63" s="198">
        <v>0</v>
      </c>
      <c r="AO63" s="198">
        <v>0</v>
      </c>
      <c r="AP63" s="198">
        <v>0</v>
      </c>
      <c r="AQ63" s="202">
        <f>SUM(Tabela96[[#This Row],[2026-2030]:[2035]])</f>
        <v>1935</v>
      </c>
      <c r="AS63" s="178" t="s">
        <v>1046</v>
      </c>
      <c r="AT63" s="201">
        <v>2024</v>
      </c>
      <c r="AU63" s="178" t="s">
        <v>1241</v>
      </c>
      <c r="AV63" s="112" t="s">
        <v>1238</v>
      </c>
      <c r="AW63" s="178" t="s">
        <v>517</v>
      </c>
      <c r="AZ63" s="178" t="s">
        <v>1144</v>
      </c>
    </row>
    <row r="64" spans="2:52" ht="24.75" customHeight="1" x14ac:dyDescent="0.35">
      <c r="B64" s="179" t="e" cm="1">
        <f t="array" ref="B64">AND(ISTEXT('Consolidado-Eletronorte'!#REF!),SUM('Consolidado-Eletronorte'!#REF!)&gt;0)</f>
        <v>#REF!</v>
      </c>
      <c r="C64" s="162" t="str">
        <f t="shared" ca="1" si="3"/>
        <v>Capex Orcamentário_PE2026_2030_red_35_porcentoR3_consulta.xlsx</v>
      </c>
      <c r="D64" s="163" t="str">
        <f t="shared" si="4"/>
        <v>COO</v>
      </c>
      <c r="E64" s="163" t="str">
        <f t="shared" si="5"/>
        <v>Lucas Martins</v>
      </c>
      <c r="F64" s="164"/>
      <c r="G64" s="164" t="e">
        <f>_xlfn.CONCAT('Consolidado-Eletronorte'!#REF!,"_",ROW('Consolidado-Eletronorte'!#REF!)-ROW('Consolidado-Eletronorte'!$G$18))</f>
        <v>#REF!</v>
      </c>
      <c r="H64" s="165" t="s">
        <v>506</v>
      </c>
      <c r="I64" s="165" t="s">
        <v>135</v>
      </c>
      <c r="J64" s="165" t="s">
        <v>508</v>
      </c>
      <c r="K64" s="165" t="s">
        <v>1039</v>
      </c>
      <c r="L64" s="165" t="s">
        <v>1040</v>
      </c>
      <c r="M64" s="178" t="s">
        <v>1242</v>
      </c>
      <c r="N64" s="165"/>
      <c r="O64" s="165"/>
      <c r="P64" s="165"/>
      <c r="Q64" s="178" t="s">
        <v>1243</v>
      </c>
      <c r="R64" s="178" t="s">
        <v>1140</v>
      </c>
      <c r="S64" s="178" t="s">
        <v>1236</v>
      </c>
      <c r="T64" s="198">
        <v>215</v>
      </c>
      <c r="U64" s="198">
        <v>215</v>
      </c>
      <c r="V64" s="198">
        <v>215</v>
      </c>
      <c r="W64" s="198">
        <v>215</v>
      </c>
      <c r="X64" s="198">
        <v>215</v>
      </c>
      <c r="Y64" s="198">
        <v>215</v>
      </c>
      <c r="Z64" s="198">
        <v>215</v>
      </c>
      <c r="AA64" s="198">
        <v>215</v>
      </c>
      <c r="AB64" s="198">
        <v>215</v>
      </c>
      <c r="AC64" s="198" t="s">
        <v>1045</v>
      </c>
      <c r="AD64" s="198" t="s">
        <v>1045</v>
      </c>
      <c r="AE64" s="198" t="s">
        <v>1045</v>
      </c>
      <c r="AF64" s="197">
        <f>SUM(Tabela96[[#This Row],[jan/26]:[dez/26]])</f>
        <v>1935</v>
      </c>
      <c r="AG64" s="198">
        <v>0</v>
      </c>
      <c r="AH64" s="198">
        <v>0</v>
      </c>
      <c r="AI64" s="198">
        <v>0</v>
      </c>
      <c r="AJ64" s="198">
        <v>0</v>
      </c>
      <c r="AK64" s="198">
        <f>SUM(Tabela96[[#This Row],[2026]:[2030]])</f>
        <v>1935</v>
      </c>
      <c r="AL64" s="198">
        <v>0</v>
      </c>
      <c r="AM64" s="198">
        <v>0</v>
      </c>
      <c r="AN64" s="198">
        <v>0</v>
      </c>
      <c r="AO64" s="198">
        <v>0</v>
      </c>
      <c r="AP64" s="198">
        <v>0</v>
      </c>
      <c r="AQ64" s="202">
        <f>SUM(Tabela96[[#This Row],[2026-2030]:[2035]])</f>
        <v>1935</v>
      </c>
      <c r="AS64" s="178" t="s">
        <v>1046</v>
      </c>
      <c r="AT64" s="201">
        <v>2024</v>
      </c>
      <c r="AU64" s="178" t="s">
        <v>1244</v>
      </c>
      <c r="AV64" s="183" t="s">
        <v>1238</v>
      </c>
      <c r="AW64" s="178" t="s">
        <v>517</v>
      </c>
      <c r="AZ64" s="178" t="s">
        <v>1144</v>
      </c>
    </row>
    <row r="65" spans="2:52" ht="24.75" customHeight="1" x14ac:dyDescent="0.35">
      <c r="B65" s="179" t="e" cm="1">
        <f t="array" ref="B65">AND(ISTEXT('Consolidado-Eletronorte'!#REF!),SUM('Consolidado-Eletronorte'!#REF!)&gt;0)</f>
        <v>#REF!</v>
      </c>
      <c r="C65" s="162" t="str">
        <f t="shared" ca="1" si="3"/>
        <v>Capex Orcamentário_PE2026_2030_red_35_porcentoR3_consulta.xlsx</v>
      </c>
      <c r="D65" s="163" t="str">
        <f t="shared" si="4"/>
        <v>COO</v>
      </c>
      <c r="E65" s="163" t="str">
        <f t="shared" si="5"/>
        <v>Lucas Martins</v>
      </c>
      <c r="F65" s="164"/>
      <c r="G65" s="164" t="e">
        <f>_xlfn.CONCAT('Consolidado-Eletronorte'!#REF!,"_",ROW('Consolidado-Eletronorte'!#REF!)-ROW('Consolidado-Eletronorte'!$G$18))</f>
        <v>#REF!</v>
      </c>
      <c r="H65" s="165" t="s">
        <v>506</v>
      </c>
      <c r="I65" s="165" t="s">
        <v>135</v>
      </c>
      <c r="J65" s="165" t="s">
        <v>508</v>
      </c>
      <c r="K65" s="165" t="s">
        <v>1039</v>
      </c>
      <c r="L65" s="165" t="s">
        <v>1040</v>
      </c>
      <c r="M65" s="178" t="s">
        <v>1245</v>
      </c>
      <c r="N65" s="165"/>
      <c r="O65" s="165"/>
      <c r="P65" s="165"/>
      <c r="Q65" s="178" t="s">
        <v>1246</v>
      </c>
      <c r="R65" s="178" t="s">
        <v>1140</v>
      </c>
      <c r="S65" s="178" t="s">
        <v>1236</v>
      </c>
      <c r="T65" s="198">
        <v>215</v>
      </c>
      <c r="U65" s="198">
        <v>215</v>
      </c>
      <c r="V65" s="198">
        <v>215</v>
      </c>
      <c r="W65" s="198">
        <v>215</v>
      </c>
      <c r="X65" s="198">
        <v>215</v>
      </c>
      <c r="Y65" s="198">
        <v>215</v>
      </c>
      <c r="Z65" s="198">
        <v>215</v>
      </c>
      <c r="AA65" s="198">
        <v>215</v>
      </c>
      <c r="AB65" s="198">
        <v>215</v>
      </c>
      <c r="AC65" s="198" t="s">
        <v>1045</v>
      </c>
      <c r="AD65" s="198" t="s">
        <v>1045</v>
      </c>
      <c r="AE65" s="198" t="s">
        <v>1045</v>
      </c>
      <c r="AF65" s="197">
        <f>SUM(Tabela96[[#This Row],[jan/26]:[dez/26]])</f>
        <v>1935</v>
      </c>
      <c r="AG65" s="198">
        <v>0</v>
      </c>
      <c r="AH65" s="198">
        <v>0</v>
      </c>
      <c r="AI65" s="198">
        <v>0</v>
      </c>
      <c r="AJ65" s="198">
        <v>0</v>
      </c>
      <c r="AK65" s="198">
        <f>SUM(Tabela96[[#This Row],[2026]:[2030]])</f>
        <v>1935</v>
      </c>
      <c r="AL65" s="198">
        <v>0</v>
      </c>
      <c r="AM65" s="198">
        <v>0</v>
      </c>
      <c r="AN65" s="198">
        <v>0</v>
      </c>
      <c r="AO65" s="198">
        <v>0</v>
      </c>
      <c r="AP65" s="198">
        <v>0</v>
      </c>
      <c r="AQ65" s="202">
        <f>SUM(Tabela96[[#This Row],[2026-2030]:[2035]])</f>
        <v>1935</v>
      </c>
      <c r="AS65" s="178" t="s">
        <v>1046</v>
      </c>
      <c r="AT65" s="201">
        <v>2024</v>
      </c>
      <c r="AU65" s="178" t="s">
        <v>1247</v>
      </c>
      <c r="AV65" s="112" t="s">
        <v>1238</v>
      </c>
      <c r="AW65" s="178" t="s">
        <v>517</v>
      </c>
      <c r="AZ65" s="178" t="s">
        <v>1144</v>
      </c>
    </row>
    <row r="66" spans="2:52" ht="24.75" customHeight="1" x14ac:dyDescent="0.35">
      <c r="B66" s="179" t="e" cm="1">
        <f t="array" ref="B66">AND(ISTEXT('Consolidado-Eletronorte'!#REF!),SUM('Consolidado-Eletronorte'!#REF!)&gt;0)</f>
        <v>#REF!</v>
      </c>
      <c r="C66" s="162" t="str">
        <f t="shared" ca="1" si="3"/>
        <v>Capex Orcamentário_PE2026_2030_red_35_porcentoR3_consulta.xlsx</v>
      </c>
      <c r="D66" s="163" t="str">
        <f t="shared" si="4"/>
        <v>COO</v>
      </c>
      <c r="E66" s="163" t="str">
        <f t="shared" si="5"/>
        <v>Lucas Martins</v>
      </c>
      <c r="F66" s="164"/>
      <c r="G66" s="164" t="e">
        <f>_xlfn.CONCAT('Consolidado-Eletronorte'!#REF!,"_",ROW('Consolidado-Eletronorte'!#REF!)-ROW('Consolidado-Eletronorte'!$G$18))</f>
        <v>#REF!</v>
      </c>
      <c r="H66" s="165" t="s">
        <v>506</v>
      </c>
      <c r="I66" s="165" t="s">
        <v>135</v>
      </c>
      <c r="J66" s="165" t="s">
        <v>508</v>
      </c>
      <c r="K66" s="165" t="s">
        <v>1039</v>
      </c>
      <c r="L66" s="165" t="s">
        <v>1040</v>
      </c>
      <c r="M66" s="178" t="s">
        <v>1248</v>
      </c>
      <c r="N66" s="165"/>
      <c r="O66" s="165"/>
      <c r="P66" s="165"/>
      <c r="Q66" s="178" t="s">
        <v>1249</v>
      </c>
      <c r="R66" s="178" t="s">
        <v>1140</v>
      </c>
      <c r="S66" s="178" t="s">
        <v>1236</v>
      </c>
      <c r="T66" s="198">
        <v>215</v>
      </c>
      <c r="U66" s="198">
        <v>215</v>
      </c>
      <c r="V66" s="198">
        <v>215</v>
      </c>
      <c r="W66" s="198">
        <v>215</v>
      </c>
      <c r="X66" s="198">
        <v>215</v>
      </c>
      <c r="Y66" s="198">
        <v>215</v>
      </c>
      <c r="Z66" s="198">
        <v>215</v>
      </c>
      <c r="AA66" s="198">
        <v>215</v>
      </c>
      <c r="AB66" s="198">
        <v>215</v>
      </c>
      <c r="AC66" s="198" t="s">
        <v>1045</v>
      </c>
      <c r="AD66" s="198" t="s">
        <v>1045</v>
      </c>
      <c r="AE66" s="198" t="s">
        <v>1045</v>
      </c>
      <c r="AF66" s="197">
        <f>SUM(Tabela96[[#This Row],[jan/26]:[dez/26]])</f>
        <v>1935</v>
      </c>
      <c r="AG66" s="198">
        <v>0</v>
      </c>
      <c r="AH66" s="198">
        <v>0</v>
      </c>
      <c r="AI66" s="198">
        <v>0</v>
      </c>
      <c r="AJ66" s="198">
        <v>0</v>
      </c>
      <c r="AK66" s="198">
        <f>SUM(Tabela96[[#This Row],[2026]:[2030]])</f>
        <v>1935</v>
      </c>
      <c r="AL66" s="198">
        <v>0</v>
      </c>
      <c r="AM66" s="198">
        <v>0</v>
      </c>
      <c r="AN66" s="198">
        <v>0</v>
      </c>
      <c r="AO66" s="198">
        <v>0</v>
      </c>
      <c r="AP66" s="198">
        <v>0</v>
      </c>
      <c r="AQ66" s="202">
        <f>SUM(Tabela96[[#This Row],[2026-2030]:[2035]])</f>
        <v>1935</v>
      </c>
      <c r="AS66" s="178" t="s">
        <v>1046</v>
      </c>
      <c r="AT66" s="201">
        <v>2024</v>
      </c>
      <c r="AU66" s="178" t="s">
        <v>1250</v>
      </c>
      <c r="AV66" s="183" t="s">
        <v>1238</v>
      </c>
      <c r="AW66" s="178" t="s">
        <v>517</v>
      </c>
      <c r="AZ66" s="178" t="s">
        <v>1144</v>
      </c>
    </row>
    <row r="67" spans="2:52" ht="24.75" customHeight="1" x14ac:dyDescent="0.35">
      <c r="B67" s="179" t="e" cm="1">
        <f t="array" ref="B67">AND(ISTEXT('Consolidado-Eletronorte'!#REF!),SUM('Consolidado-Eletronorte'!#REF!)&gt;0)</f>
        <v>#REF!</v>
      </c>
      <c r="C67" s="162" t="str">
        <f t="shared" ca="1" si="3"/>
        <v>Capex Orcamentário_PE2026_2030_red_35_porcentoR3_consulta.xlsx</v>
      </c>
      <c r="D67" s="163" t="str">
        <f t="shared" si="4"/>
        <v>COO</v>
      </c>
      <c r="E67" s="163" t="str">
        <f t="shared" si="5"/>
        <v>Lucas Martins</v>
      </c>
      <c r="F67" s="164"/>
      <c r="G67" s="164" t="e">
        <f>_xlfn.CONCAT('Consolidado-Eletronorte'!#REF!,"_",ROW('Consolidado-Eletronorte'!#REF!)-ROW('Consolidado-Eletronorte'!$G$18))</f>
        <v>#REF!</v>
      </c>
      <c r="H67" s="165" t="s">
        <v>506</v>
      </c>
      <c r="I67" s="165" t="s">
        <v>135</v>
      </c>
      <c r="J67" s="165" t="s">
        <v>508</v>
      </c>
      <c r="K67" s="165" t="s">
        <v>1039</v>
      </c>
      <c r="L67" s="165" t="s">
        <v>1040</v>
      </c>
      <c r="M67" s="178" t="s">
        <v>1251</v>
      </c>
      <c r="N67" s="165"/>
      <c r="O67" s="165"/>
      <c r="P67" s="165"/>
      <c r="Q67" s="178" t="s">
        <v>1252</v>
      </c>
      <c r="R67" s="178" t="s">
        <v>1140</v>
      </c>
      <c r="S67" s="178" t="s">
        <v>1236</v>
      </c>
      <c r="T67" s="198">
        <v>215</v>
      </c>
      <c r="U67" s="198">
        <v>215</v>
      </c>
      <c r="V67" s="198">
        <v>215</v>
      </c>
      <c r="W67" s="198">
        <v>215</v>
      </c>
      <c r="X67" s="198">
        <v>215</v>
      </c>
      <c r="Y67" s="198">
        <v>215</v>
      </c>
      <c r="Z67" s="198">
        <v>215</v>
      </c>
      <c r="AA67" s="198">
        <v>215</v>
      </c>
      <c r="AB67" s="198">
        <v>215</v>
      </c>
      <c r="AC67" s="198" t="s">
        <v>1045</v>
      </c>
      <c r="AD67" s="198" t="s">
        <v>1045</v>
      </c>
      <c r="AE67" s="198" t="s">
        <v>1045</v>
      </c>
      <c r="AF67" s="197">
        <f>SUM(Tabela96[[#This Row],[jan/26]:[dez/26]])</f>
        <v>1935</v>
      </c>
      <c r="AG67" s="198">
        <v>0</v>
      </c>
      <c r="AH67" s="198">
        <v>0</v>
      </c>
      <c r="AI67" s="198">
        <v>0</v>
      </c>
      <c r="AJ67" s="198">
        <v>0</v>
      </c>
      <c r="AK67" s="198">
        <f>SUM(Tabela96[[#This Row],[2026]:[2030]])</f>
        <v>1935</v>
      </c>
      <c r="AL67" s="198">
        <v>0</v>
      </c>
      <c r="AM67" s="198">
        <v>0</v>
      </c>
      <c r="AN67" s="198">
        <v>0</v>
      </c>
      <c r="AO67" s="198">
        <v>0</v>
      </c>
      <c r="AP67" s="198">
        <v>0</v>
      </c>
      <c r="AQ67" s="202">
        <f>SUM(Tabela96[[#This Row],[2026-2030]:[2035]])</f>
        <v>1935</v>
      </c>
      <c r="AS67" s="178" t="s">
        <v>1046</v>
      </c>
      <c r="AT67" s="201">
        <v>2024</v>
      </c>
      <c r="AU67" s="178" t="s">
        <v>1253</v>
      </c>
      <c r="AV67" s="112" t="s">
        <v>1238</v>
      </c>
      <c r="AW67" s="178" t="s">
        <v>517</v>
      </c>
      <c r="AZ67" s="178" t="s">
        <v>1144</v>
      </c>
    </row>
    <row r="68" spans="2:52" ht="24.75" customHeight="1" x14ac:dyDescent="0.35">
      <c r="B68" s="179" t="e" cm="1">
        <f t="array" ref="B68">AND(ISTEXT('Consolidado-Eletronorte'!#REF!),SUM('Consolidado-Eletronorte'!#REF!)&gt;0)</f>
        <v>#REF!</v>
      </c>
      <c r="C68" s="162" t="str">
        <f t="shared" ca="1" si="3"/>
        <v>Capex Orcamentário_PE2026_2030_red_35_porcentoR3_consulta.xlsx</v>
      </c>
      <c r="D68" s="163" t="str">
        <f t="shared" si="4"/>
        <v>COO</v>
      </c>
      <c r="E68" s="163" t="str">
        <f t="shared" si="5"/>
        <v>Lucas Martins</v>
      </c>
      <c r="F68" s="164"/>
      <c r="G68" s="164" t="e">
        <f>_xlfn.CONCAT('Consolidado-Eletronorte'!#REF!,"_",ROW('Consolidado-Eletronorte'!#REF!)-ROW('Consolidado-Eletronorte'!$G$18))</f>
        <v>#REF!</v>
      </c>
      <c r="H68" s="165" t="s">
        <v>506</v>
      </c>
      <c r="I68" s="165" t="s">
        <v>135</v>
      </c>
      <c r="J68" s="165" t="s">
        <v>508</v>
      </c>
      <c r="K68" s="165" t="s">
        <v>1039</v>
      </c>
      <c r="L68" s="165" t="s">
        <v>1040</v>
      </c>
      <c r="M68" s="178" t="s">
        <v>1254</v>
      </c>
      <c r="N68" s="165"/>
      <c r="O68" s="165"/>
      <c r="P68" s="165"/>
      <c r="Q68" s="178" t="s">
        <v>1255</v>
      </c>
      <c r="R68" s="178" t="s">
        <v>1140</v>
      </c>
      <c r="S68" s="178" t="s">
        <v>1236</v>
      </c>
      <c r="T68" s="198">
        <v>215</v>
      </c>
      <c r="U68" s="198">
        <v>215</v>
      </c>
      <c r="V68" s="198">
        <v>215</v>
      </c>
      <c r="W68" s="198">
        <v>215</v>
      </c>
      <c r="X68" s="198">
        <v>215</v>
      </c>
      <c r="Y68" s="198">
        <v>215</v>
      </c>
      <c r="Z68" s="198">
        <v>215</v>
      </c>
      <c r="AA68" s="198">
        <v>215</v>
      </c>
      <c r="AB68" s="198">
        <v>215</v>
      </c>
      <c r="AC68" s="198" t="s">
        <v>1045</v>
      </c>
      <c r="AD68" s="198" t="s">
        <v>1045</v>
      </c>
      <c r="AE68" s="198" t="s">
        <v>1045</v>
      </c>
      <c r="AF68" s="197">
        <f>SUM(Tabela96[[#This Row],[jan/26]:[dez/26]])</f>
        <v>1935</v>
      </c>
      <c r="AG68" s="198">
        <v>0</v>
      </c>
      <c r="AH68" s="198">
        <v>0</v>
      </c>
      <c r="AI68" s="198">
        <v>0</v>
      </c>
      <c r="AJ68" s="198">
        <v>0</v>
      </c>
      <c r="AK68" s="198">
        <f>SUM(Tabela96[[#This Row],[2026]:[2030]])</f>
        <v>1935</v>
      </c>
      <c r="AL68" s="198">
        <v>0</v>
      </c>
      <c r="AM68" s="198">
        <v>0</v>
      </c>
      <c r="AN68" s="198">
        <v>0</v>
      </c>
      <c r="AO68" s="198">
        <v>0</v>
      </c>
      <c r="AP68" s="198">
        <v>0</v>
      </c>
      <c r="AQ68" s="202">
        <f>SUM(Tabela96[[#This Row],[2026-2030]:[2035]])</f>
        <v>1935</v>
      </c>
      <c r="AS68" s="178" t="s">
        <v>1046</v>
      </c>
      <c r="AT68" s="201">
        <v>2024</v>
      </c>
      <c r="AU68" s="178" t="s">
        <v>1256</v>
      </c>
      <c r="AV68" s="183" t="s">
        <v>1238</v>
      </c>
      <c r="AW68" s="178" t="s">
        <v>517</v>
      </c>
      <c r="AZ68" s="178" t="s">
        <v>1144</v>
      </c>
    </row>
    <row r="69" spans="2:52" ht="24.75" customHeight="1" x14ac:dyDescent="0.35">
      <c r="B69" s="179" t="e" cm="1">
        <f t="array" ref="B69">AND(ISTEXT('Consolidado-Eletronorte'!#REF!),SUM('Consolidado-Eletronorte'!#REF!)&gt;0)</f>
        <v>#REF!</v>
      </c>
      <c r="C69" s="162" t="str">
        <f t="shared" ca="1" si="3"/>
        <v>Capex Orcamentário_PE2026_2030_red_35_porcentoR3_consulta.xlsx</v>
      </c>
      <c r="D69" s="163" t="str">
        <f t="shared" si="4"/>
        <v>COO</v>
      </c>
      <c r="E69" s="163" t="str">
        <f t="shared" si="5"/>
        <v>Lucas Martins</v>
      </c>
      <c r="F69" s="164"/>
      <c r="G69" s="164" t="e">
        <f>_xlfn.CONCAT('Consolidado-Eletronorte'!#REF!,"_",ROW('Consolidado-Eletronorte'!#REF!)-ROW('Consolidado-Eletronorte'!$G$18))</f>
        <v>#REF!</v>
      </c>
      <c r="H69" s="165" t="s">
        <v>506</v>
      </c>
      <c r="I69" s="165" t="s">
        <v>135</v>
      </c>
      <c r="J69" s="165" t="s">
        <v>508</v>
      </c>
      <c r="K69" s="165" t="s">
        <v>1039</v>
      </c>
      <c r="L69" s="165" t="s">
        <v>1040</v>
      </c>
      <c r="M69" s="178" t="s">
        <v>1257</v>
      </c>
      <c r="N69" s="165"/>
      <c r="O69" s="165"/>
      <c r="P69" s="165"/>
      <c r="Q69" s="178" t="s">
        <v>1258</v>
      </c>
      <c r="R69" s="178" t="s">
        <v>1140</v>
      </c>
      <c r="S69" s="178" t="s">
        <v>1236</v>
      </c>
      <c r="T69" s="198">
        <v>215</v>
      </c>
      <c r="U69" s="198">
        <v>215</v>
      </c>
      <c r="V69" s="198">
        <v>215</v>
      </c>
      <c r="W69" s="198">
        <v>215</v>
      </c>
      <c r="X69" s="198">
        <v>215</v>
      </c>
      <c r="Y69" s="198">
        <v>215</v>
      </c>
      <c r="Z69" s="198">
        <v>215</v>
      </c>
      <c r="AA69" s="198">
        <v>215</v>
      </c>
      <c r="AB69" s="198">
        <v>215</v>
      </c>
      <c r="AC69" s="198" t="s">
        <v>1045</v>
      </c>
      <c r="AD69" s="198" t="s">
        <v>1045</v>
      </c>
      <c r="AE69" s="198" t="s">
        <v>1045</v>
      </c>
      <c r="AF69" s="197">
        <f>SUM(Tabela96[[#This Row],[jan/26]:[dez/26]])</f>
        <v>1935</v>
      </c>
      <c r="AG69" s="198">
        <v>0</v>
      </c>
      <c r="AH69" s="198">
        <v>0</v>
      </c>
      <c r="AI69" s="198">
        <v>0</v>
      </c>
      <c r="AJ69" s="198">
        <v>0</v>
      </c>
      <c r="AK69" s="198">
        <f>SUM(Tabela96[[#This Row],[2026]:[2030]])</f>
        <v>1935</v>
      </c>
      <c r="AL69" s="198">
        <v>0</v>
      </c>
      <c r="AM69" s="198">
        <v>0</v>
      </c>
      <c r="AN69" s="198">
        <v>0</v>
      </c>
      <c r="AO69" s="198">
        <v>0</v>
      </c>
      <c r="AP69" s="198">
        <v>0</v>
      </c>
      <c r="AQ69" s="202">
        <f>SUM(Tabela96[[#This Row],[2026-2030]:[2035]])</f>
        <v>1935</v>
      </c>
      <c r="AS69" s="178" t="s">
        <v>1046</v>
      </c>
      <c r="AT69" s="201">
        <v>2024</v>
      </c>
      <c r="AU69" s="178" t="s">
        <v>1259</v>
      </c>
      <c r="AV69" s="112" t="s">
        <v>1238</v>
      </c>
      <c r="AW69" s="178" t="s">
        <v>517</v>
      </c>
      <c r="AZ69" s="178" t="s">
        <v>1144</v>
      </c>
    </row>
    <row r="70" spans="2:52" ht="24.75" customHeight="1" x14ac:dyDescent="0.35">
      <c r="B70" s="179" t="e" cm="1">
        <f t="array" ref="B70">AND(ISTEXT('Consolidado-Eletronorte'!#REF!),SUM('Consolidado-Eletronorte'!#REF!)&gt;0)</f>
        <v>#REF!</v>
      </c>
      <c r="C70" s="162" t="str">
        <f t="shared" ca="1" si="3"/>
        <v>Capex Orcamentário_PE2026_2030_red_35_porcentoR3_consulta.xlsx</v>
      </c>
      <c r="D70" s="163" t="str">
        <f t="shared" si="4"/>
        <v>COO</v>
      </c>
      <c r="E70" s="163" t="str">
        <f t="shared" si="5"/>
        <v>Lucas Martins</v>
      </c>
      <c r="F70" s="164"/>
      <c r="G70" s="164" t="e">
        <f>_xlfn.CONCAT('Consolidado-Eletronorte'!#REF!,"_",ROW('Consolidado-Eletronorte'!#REF!)-ROW('Consolidado-Eletronorte'!$G$18))</f>
        <v>#REF!</v>
      </c>
      <c r="H70" s="165" t="s">
        <v>506</v>
      </c>
      <c r="I70" s="165" t="s">
        <v>135</v>
      </c>
      <c r="J70" s="165" t="s">
        <v>508</v>
      </c>
      <c r="K70" s="165" t="s">
        <v>1039</v>
      </c>
      <c r="L70" s="165" t="s">
        <v>1040</v>
      </c>
      <c r="M70" s="178" t="s">
        <v>1260</v>
      </c>
      <c r="N70" s="165"/>
      <c r="O70" s="165"/>
      <c r="P70" s="165"/>
      <c r="Q70" s="178" t="s">
        <v>1261</v>
      </c>
      <c r="R70" s="178" t="s">
        <v>1140</v>
      </c>
      <c r="S70" s="178" t="s">
        <v>1236</v>
      </c>
      <c r="T70" s="198">
        <v>215</v>
      </c>
      <c r="U70" s="198">
        <v>215</v>
      </c>
      <c r="V70" s="198">
        <v>215</v>
      </c>
      <c r="W70" s="198">
        <v>215</v>
      </c>
      <c r="X70" s="198">
        <v>215</v>
      </c>
      <c r="Y70" s="198">
        <v>215</v>
      </c>
      <c r="Z70" s="198">
        <v>215</v>
      </c>
      <c r="AA70" s="198">
        <v>215</v>
      </c>
      <c r="AB70" s="198">
        <v>215</v>
      </c>
      <c r="AC70" s="198" t="s">
        <v>1045</v>
      </c>
      <c r="AD70" s="198" t="s">
        <v>1045</v>
      </c>
      <c r="AE70" s="198" t="s">
        <v>1045</v>
      </c>
      <c r="AF70" s="197">
        <f>SUM(Tabela96[[#This Row],[jan/26]:[dez/26]])</f>
        <v>1935</v>
      </c>
      <c r="AG70" s="198">
        <v>0</v>
      </c>
      <c r="AH70" s="198">
        <v>0</v>
      </c>
      <c r="AI70" s="198">
        <v>0</v>
      </c>
      <c r="AJ70" s="198">
        <v>0</v>
      </c>
      <c r="AK70" s="198">
        <f>SUM(Tabela96[[#This Row],[2026]:[2030]])</f>
        <v>1935</v>
      </c>
      <c r="AL70" s="198">
        <v>0</v>
      </c>
      <c r="AM70" s="198">
        <v>0</v>
      </c>
      <c r="AN70" s="198">
        <v>0</v>
      </c>
      <c r="AO70" s="198">
        <v>0</v>
      </c>
      <c r="AP70" s="198">
        <v>0</v>
      </c>
      <c r="AQ70" s="202">
        <f>SUM(Tabela96[[#This Row],[2026-2030]:[2035]])</f>
        <v>1935</v>
      </c>
      <c r="AS70" s="178" t="s">
        <v>1046</v>
      </c>
      <c r="AT70" s="201">
        <v>2024</v>
      </c>
      <c r="AU70" s="178" t="s">
        <v>1262</v>
      </c>
      <c r="AV70" s="183" t="s">
        <v>1238</v>
      </c>
      <c r="AW70" s="178" t="s">
        <v>517</v>
      </c>
      <c r="AZ70" s="178" t="s">
        <v>1144</v>
      </c>
    </row>
    <row r="71" spans="2:52" ht="24.75" customHeight="1" x14ac:dyDescent="0.35">
      <c r="B71" s="179" t="e" cm="1">
        <f t="array" ref="B71">AND(ISTEXT('Consolidado-Eletronorte'!#REF!),SUM('Consolidado-Eletronorte'!#REF!)&gt;0)</f>
        <v>#REF!</v>
      </c>
      <c r="C71" s="162" t="str">
        <f t="shared" ca="1" si="3"/>
        <v>Capex Orcamentário_PE2026_2030_red_35_porcentoR3_consulta.xlsx</v>
      </c>
      <c r="D71" s="163" t="str">
        <f t="shared" si="4"/>
        <v>COO</v>
      </c>
      <c r="E71" s="163" t="str">
        <f t="shared" si="5"/>
        <v>Lucas Martins</v>
      </c>
      <c r="F71" s="164"/>
      <c r="G71" s="164" t="e">
        <f>_xlfn.CONCAT('Consolidado-Eletronorte'!#REF!,"_",ROW('Consolidado-Eletronorte'!#REF!)-ROW('Consolidado-Eletronorte'!$G$18))</f>
        <v>#REF!</v>
      </c>
      <c r="H71" s="165" t="s">
        <v>506</v>
      </c>
      <c r="I71" s="165" t="s">
        <v>135</v>
      </c>
      <c r="J71" s="165" t="s">
        <v>508</v>
      </c>
      <c r="K71" s="165" t="s">
        <v>1039</v>
      </c>
      <c r="L71" s="165" t="s">
        <v>1040</v>
      </c>
      <c r="M71" s="178" t="s">
        <v>1263</v>
      </c>
      <c r="N71" s="165"/>
      <c r="O71" s="165"/>
      <c r="P71" s="165"/>
      <c r="Q71" s="178" t="s">
        <v>1264</v>
      </c>
      <c r="R71" s="178" t="s">
        <v>1140</v>
      </c>
      <c r="S71" s="178" t="s">
        <v>1236</v>
      </c>
      <c r="T71" s="198">
        <v>215</v>
      </c>
      <c r="U71" s="198">
        <v>215</v>
      </c>
      <c r="V71" s="198">
        <v>215</v>
      </c>
      <c r="W71" s="198">
        <v>215</v>
      </c>
      <c r="X71" s="198">
        <v>215</v>
      </c>
      <c r="Y71" s="198">
        <v>215</v>
      </c>
      <c r="Z71" s="198">
        <v>215</v>
      </c>
      <c r="AA71" s="198">
        <v>215</v>
      </c>
      <c r="AB71" s="198">
        <v>215</v>
      </c>
      <c r="AC71" s="198" t="s">
        <v>1045</v>
      </c>
      <c r="AD71" s="198" t="s">
        <v>1045</v>
      </c>
      <c r="AE71" s="198" t="s">
        <v>1045</v>
      </c>
      <c r="AF71" s="197">
        <f>SUM(Tabela96[[#This Row],[jan/26]:[dez/26]])</f>
        <v>1935</v>
      </c>
      <c r="AG71" s="198">
        <v>0</v>
      </c>
      <c r="AH71" s="198">
        <v>0</v>
      </c>
      <c r="AI71" s="198">
        <v>0</v>
      </c>
      <c r="AJ71" s="198">
        <v>0</v>
      </c>
      <c r="AK71" s="198">
        <f>SUM(Tabela96[[#This Row],[2026]:[2030]])</f>
        <v>1935</v>
      </c>
      <c r="AL71" s="198">
        <v>0</v>
      </c>
      <c r="AM71" s="198">
        <v>0</v>
      </c>
      <c r="AN71" s="198">
        <v>0</v>
      </c>
      <c r="AO71" s="198">
        <v>0</v>
      </c>
      <c r="AP71" s="198">
        <v>0</v>
      </c>
      <c r="AQ71" s="202">
        <f>SUM(Tabela96[[#This Row],[2026-2030]:[2035]])</f>
        <v>1935</v>
      </c>
      <c r="AS71" s="178" t="s">
        <v>1046</v>
      </c>
      <c r="AT71" s="201">
        <v>2024</v>
      </c>
      <c r="AU71" s="178" t="s">
        <v>1265</v>
      </c>
      <c r="AV71" s="112" t="s">
        <v>1238</v>
      </c>
      <c r="AW71" s="178" t="s">
        <v>517</v>
      </c>
      <c r="AZ71" s="178" t="s">
        <v>1144</v>
      </c>
    </row>
    <row r="72" spans="2:52" ht="24.75" customHeight="1" x14ac:dyDescent="0.35">
      <c r="B72" s="179" t="e" cm="1">
        <f t="array" ref="B72">AND(ISTEXT('Consolidado-Eletronorte'!#REF!),SUM('Consolidado-Eletronorte'!#REF!)&gt;0)</f>
        <v>#REF!</v>
      </c>
      <c r="C72" s="162" t="str">
        <f t="shared" ca="1" si="3"/>
        <v>Capex Orcamentário_PE2026_2030_red_35_porcentoR3_consulta.xlsx</v>
      </c>
      <c r="D72" s="163" t="str">
        <f t="shared" si="4"/>
        <v>COO</v>
      </c>
      <c r="E72" s="163" t="str">
        <f t="shared" si="5"/>
        <v>Lucas Martins</v>
      </c>
      <c r="F72" s="164"/>
      <c r="G72" s="164" t="e">
        <f>_xlfn.CONCAT('Consolidado-Eletronorte'!#REF!,"_",ROW('Consolidado-Eletronorte'!#REF!)-ROW('Consolidado-Eletronorte'!$G$18))</f>
        <v>#REF!</v>
      </c>
      <c r="H72" s="165" t="s">
        <v>506</v>
      </c>
      <c r="I72" s="165" t="s">
        <v>135</v>
      </c>
      <c r="J72" s="165" t="s">
        <v>508</v>
      </c>
      <c r="K72" s="165" t="s">
        <v>1039</v>
      </c>
      <c r="L72" s="165" t="s">
        <v>1040</v>
      </c>
      <c r="M72" s="178" t="s">
        <v>1266</v>
      </c>
      <c r="N72" s="165"/>
      <c r="O72" s="165"/>
      <c r="P72" s="165"/>
      <c r="Q72" s="178" t="s">
        <v>1267</v>
      </c>
      <c r="R72" s="178" t="s">
        <v>1140</v>
      </c>
      <c r="S72" s="178" t="s">
        <v>1236</v>
      </c>
      <c r="T72" s="198">
        <v>215</v>
      </c>
      <c r="U72" s="198">
        <v>215</v>
      </c>
      <c r="V72" s="198">
        <v>215</v>
      </c>
      <c r="W72" s="198">
        <v>215</v>
      </c>
      <c r="X72" s="198">
        <v>215</v>
      </c>
      <c r="Y72" s="198">
        <v>215</v>
      </c>
      <c r="Z72" s="198">
        <v>215</v>
      </c>
      <c r="AA72" s="198">
        <v>215</v>
      </c>
      <c r="AB72" s="198">
        <v>215</v>
      </c>
      <c r="AC72" s="198" t="s">
        <v>1045</v>
      </c>
      <c r="AD72" s="198" t="s">
        <v>1045</v>
      </c>
      <c r="AE72" s="198" t="s">
        <v>1045</v>
      </c>
      <c r="AF72" s="197">
        <f>SUM(Tabela96[[#This Row],[jan/26]:[dez/26]])</f>
        <v>1935</v>
      </c>
      <c r="AG72" s="198">
        <v>0</v>
      </c>
      <c r="AH72" s="198">
        <v>0</v>
      </c>
      <c r="AI72" s="198">
        <v>0</v>
      </c>
      <c r="AJ72" s="198">
        <v>0</v>
      </c>
      <c r="AK72" s="198">
        <f>SUM(Tabela96[[#This Row],[2026]:[2030]])</f>
        <v>1935</v>
      </c>
      <c r="AL72" s="198">
        <v>0</v>
      </c>
      <c r="AM72" s="198">
        <v>0</v>
      </c>
      <c r="AN72" s="198">
        <v>0</v>
      </c>
      <c r="AO72" s="198">
        <v>0</v>
      </c>
      <c r="AP72" s="198">
        <v>0</v>
      </c>
      <c r="AQ72" s="202">
        <f>SUM(Tabela96[[#This Row],[2026-2030]:[2035]])</f>
        <v>1935</v>
      </c>
      <c r="AS72" s="178" t="s">
        <v>1046</v>
      </c>
      <c r="AT72" s="201">
        <v>2024</v>
      </c>
      <c r="AU72" s="178" t="s">
        <v>1268</v>
      </c>
      <c r="AV72" s="183" t="s">
        <v>1238</v>
      </c>
      <c r="AW72" s="178" t="s">
        <v>517</v>
      </c>
      <c r="AZ72" s="178" t="s">
        <v>1144</v>
      </c>
    </row>
    <row r="73" spans="2:52" ht="24.75" customHeight="1" x14ac:dyDescent="0.35">
      <c r="B73" s="179" t="e" cm="1">
        <f t="array" ref="B73">AND(ISTEXT('Consolidado-Eletronorte'!#REF!),SUM('Consolidado-Eletronorte'!#REF!)&gt;0)</f>
        <v>#REF!</v>
      </c>
      <c r="C73" s="162" t="str">
        <f t="shared" ca="1" si="3"/>
        <v>Capex Orcamentário_PE2026_2030_red_35_porcentoR3_consulta.xlsx</v>
      </c>
      <c r="D73" s="163" t="str">
        <f t="shared" si="4"/>
        <v>COO</v>
      </c>
      <c r="E73" s="163" t="str">
        <f t="shared" si="5"/>
        <v>Lucas Martins</v>
      </c>
      <c r="F73" s="164"/>
      <c r="G73" s="164" t="e">
        <f>_xlfn.CONCAT('Consolidado-Eletronorte'!#REF!,"_",ROW('Consolidado-Eletronorte'!#REF!)-ROW('Consolidado-Eletronorte'!$G$18))</f>
        <v>#REF!</v>
      </c>
      <c r="H73" s="165" t="s">
        <v>506</v>
      </c>
      <c r="I73" s="165" t="s">
        <v>135</v>
      </c>
      <c r="J73" s="165" t="s">
        <v>508</v>
      </c>
      <c r="K73" s="165" t="s">
        <v>1039</v>
      </c>
      <c r="L73" s="165" t="s">
        <v>1040</v>
      </c>
      <c r="M73" s="178" t="s">
        <v>1269</v>
      </c>
      <c r="N73" s="165"/>
      <c r="O73" s="165"/>
      <c r="P73" s="165"/>
      <c r="Q73" s="178" t="s">
        <v>1270</v>
      </c>
      <c r="R73" s="178" t="s">
        <v>1140</v>
      </c>
      <c r="S73" s="178" t="s">
        <v>1236</v>
      </c>
      <c r="T73" s="198">
        <v>215</v>
      </c>
      <c r="U73" s="198">
        <v>215</v>
      </c>
      <c r="V73" s="198">
        <v>215</v>
      </c>
      <c r="W73" s="198">
        <v>215</v>
      </c>
      <c r="X73" s="198">
        <v>215</v>
      </c>
      <c r="Y73" s="198">
        <v>215</v>
      </c>
      <c r="Z73" s="198">
        <v>215</v>
      </c>
      <c r="AA73" s="198">
        <v>215</v>
      </c>
      <c r="AB73" s="198">
        <v>215</v>
      </c>
      <c r="AC73" s="198" t="s">
        <v>1045</v>
      </c>
      <c r="AD73" s="198" t="s">
        <v>1045</v>
      </c>
      <c r="AE73" s="198" t="s">
        <v>1045</v>
      </c>
      <c r="AF73" s="197">
        <f>SUM(Tabela96[[#This Row],[jan/26]:[dez/26]])</f>
        <v>1935</v>
      </c>
      <c r="AG73" s="198">
        <v>0</v>
      </c>
      <c r="AH73" s="198">
        <v>0</v>
      </c>
      <c r="AI73" s="198">
        <v>0</v>
      </c>
      <c r="AJ73" s="198">
        <v>0</v>
      </c>
      <c r="AK73" s="198">
        <f>SUM(Tabela96[[#This Row],[2026]:[2030]])</f>
        <v>1935</v>
      </c>
      <c r="AL73" s="198">
        <v>0</v>
      </c>
      <c r="AM73" s="198">
        <v>0</v>
      </c>
      <c r="AN73" s="198">
        <v>0</v>
      </c>
      <c r="AO73" s="198">
        <v>0</v>
      </c>
      <c r="AP73" s="198">
        <v>0</v>
      </c>
      <c r="AQ73" s="202">
        <f>SUM(Tabela96[[#This Row],[2026-2030]:[2035]])</f>
        <v>1935</v>
      </c>
      <c r="AS73" s="178" t="s">
        <v>1046</v>
      </c>
      <c r="AT73" s="201">
        <v>2024</v>
      </c>
      <c r="AU73" s="178" t="s">
        <v>1271</v>
      </c>
      <c r="AV73" s="112" t="s">
        <v>1238</v>
      </c>
      <c r="AW73" s="178" t="s">
        <v>517</v>
      </c>
      <c r="AZ73" s="178" t="s">
        <v>1144</v>
      </c>
    </row>
    <row r="74" spans="2:52" ht="24.75" customHeight="1" x14ac:dyDescent="0.35">
      <c r="B74" s="179" t="e" cm="1">
        <f t="array" ref="B74">AND(ISTEXT('Consolidado-Eletronorte'!#REF!),SUM('Consolidado-Eletronorte'!#REF!)&gt;0)</f>
        <v>#REF!</v>
      </c>
      <c r="C74" s="162" t="str">
        <f t="shared" ca="1" si="3"/>
        <v>Capex Orcamentário_PE2026_2030_red_35_porcentoR3_consulta.xlsx</v>
      </c>
      <c r="D74" s="163" t="str">
        <f t="shared" si="4"/>
        <v>COO</v>
      </c>
      <c r="E74" s="163" t="str">
        <f t="shared" si="5"/>
        <v>Lucas Martins</v>
      </c>
      <c r="F74" s="164"/>
      <c r="G74" s="164" t="e">
        <f>_xlfn.CONCAT('Consolidado-Eletronorte'!#REF!,"_",ROW('Consolidado-Eletronorte'!#REF!)-ROW('Consolidado-Eletronorte'!$G$18))</f>
        <v>#REF!</v>
      </c>
      <c r="H74" s="165" t="s">
        <v>506</v>
      </c>
      <c r="I74" s="165" t="s">
        <v>135</v>
      </c>
      <c r="J74" s="165" t="s">
        <v>508</v>
      </c>
      <c r="K74" s="165" t="s">
        <v>1039</v>
      </c>
      <c r="L74" s="165" t="s">
        <v>1040</v>
      </c>
      <c r="M74" s="178" t="s">
        <v>1272</v>
      </c>
      <c r="N74" s="165"/>
      <c r="O74" s="165"/>
      <c r="P74" s="165"/>
      <c r="Q74" s="178" t="s">
        <v>1273</v>
      </c>
      <c r="R74" s="178" t="s">
        <v>1140</v>
      </c>
      <c r="S74" s="178" t="s">
        <v>1236</v>
      </c>
      <c r="T74" s="198">
        <v>215</v>
      </c>
      <c r="U74" s="198">
        <v>215</v>
      </c>
      <c r="V74" s="198">
        <v>215</v>
      </c>
      <c r="W74" s="198">
        <v>215</v>
      </c>
      <c r="X74" s="198">
        <v>215</v>
      </c>
      <c r="Y74" s="198">
        <v>215</v>
      </c>
      <c r="Z74" s="198">
        <v>215</v>
      </c>
      <c r="AA74" s="198">
        <v>215</v>
      </c>
      <c r="AB74" s="198">
        <v>215</v>
      </c>
      <c r="AC74" s="198" t="s">
        <v>1045</v>
      </c>
      <c r="AD74" s="198" t="s">
        <v>1045</v>
      </c>
      <c r="AE74" s="198" t="s">
        <v>1045</v>
      </c>
      <c r="AF74" s="197">
        <f>SUM(Tabela96[[#This Row],[jan/26]:[dez/26]])</f>
        <v>1935</v>
      </c>
      <c r="AG74" s="198">
        <v>0</v>
      </c>
      <c r="AH74" s="198">
        <v>0</v>
      </c>
      <c r="AI74" s="198">
        <v>0</v>
      </c>
      <c r="AJ74" s="198">
        <v>0</v>
      </c>
      <c r="AK74" s="198">
        <f>SUM(Tabela96[[#This Row],[2026]:[2030]])</f>
        <v>1935</v>
      </c>
      <c r="AL74" s="198">
        <v>0</v>
      </c>
      <c r="AM74" s="198">
        <v>0</v>
      </c>
      <c r="AN74" s="198">
        <v>0</v>
      </c>
      <c r="AO74" s="198">
        <v>0</v>
      </c>
      <c r="AP74" s="198">
        <v>0</v>
      </c>
      <c r="AQ74" s="202">
        <f>SUM(Tabela96[[#This Row],[2026-2030]:[2035]])</f>
        <v>1935</v>
      </c>
      <c r="AS74" s="178" t="s">
        <v>1046</v>
      </c>
      <c r="AT74" s="201">
        <v>2024</v>
      </c>
      <c r="AU74" s="178" t="s">
        <v>1274</v>
      </c>
      <c r="AV74" s="183" t="s">
        <v>1238</v>
      </c>
      <c r="AW74" s="178" t="s">
        <v>517</v>
      </c>
      <c r="AZ74" s="178" t="s">
        <v>1144</v>
      </c>
    </row>
    <row r="75" spans="2:52" ht="24.75" customHeight="1" x14ac:dyDescent="0.35">
      <c r="B75" s="179" t="e" cm="1">
        <f t="array" ref="B75">AND(ISTEXT('Consolidado-Eletronorte'!#REF!),SUM('Consolidado-Eletronorte'!#REF!)&gt;0)</f>
        <v>#REF!</v>
      </c>
      <c r="C75" s="162" t="str">
        <f t="shared" ca="1" si="3"/>
        <v>Capex Orcamentário_PE2026_2030_red_35_porcentoR3_consulta.xlsx</v>
      </c>
      <c r="D75" s="163" t="str">
        <f t="shared" si="4"/>
        <v>COO</v>
      </c>
      <c r="E75" s="163" t="str">
        <f t="shared" si="5"/>
        <v>Lucas Martins</v>
      </c>
      <c r="F75" s="164"/>
      <c r="G75" s="164" t="e">
        <f>_xlfn.CONCAT('Consolidado-Eletronorte'!#REF!,"_",ROW('Consolidado-Eletronorte'!#REF!)-ROW('Consolidado-Eletronorte'!$G$18))</f>
        <v>#REF!</v>
      </c>
      <c r="H75" s="165" t="s">
        <v>506</v>
      </c>
      <c r="I75" s="165" t="s">
        <v>135</v>
      </c>
      <c r="J75" s="165" t="s">
        <v>508</v>
      </c>
      <c r="K75" s="165" t="s">
        <v>1039</v>
      </c>
      <c r="L75" s="165" t="s">
        <v>1040</v>
      </c>
      <c r="M75" s="178" t="s">
        <v>1275</v>
      </c>
      <c r="N75" s="165"/>
      <c r="O75" s="165"/>
      <c r="P75" s="165"/>
      <c r="Q75" s="178" t="s">
        <v>1276</v>
      </c>
      <c r="R75" s="178" t="s">
        <v>1140</v>
      </c>
      <c r="S75" s="178" t="s">
        <v>1236</v>
      </c>
      <c r="T75" s="198">
        <v>215</v>
      </c>
      <c r="U75" s="198">
        <v>215</v>
      </c>
      <c r="V75" s="198">
        <v>215</v>
      </c>
      <c r="W75" s="198">
        <v>215</v>
      </c>
      <c r="X75" s="198">
        <v>215</v>
      </c>
      <c r="Y75" s="198">
        <v>215</v>
      </c>
      <c r="Z75" s="198">
        <v>215</v>
      </c>
      <c r="AA75" s="198">
        <v>215</v>
      </c>
      <c r="AB75" s="198">
        <v>215</v>
      </c>
      <c r="AC75" s="198" t="s">
        <v>1045</v>
      </c>
      <c r="AD75" s="198" t="s">
        <v>1045</v>
      </c>
      <c r="AE75" s="198" t="s">
        <v>1045</v>
      </c>
      <c r="AF75" s="197">
        <f>SUM(Tabela96[[#This Row],[jan/26]:[dez/26]])</f>
        <v>1935</v>
      </c>
      <c r="AG75" s="198">
        <v>0</v>
      </c>
      <c r="AH75" s="198">
        <v>0</v>
      </c>
      <c r="AI75" s="198">
        <v>0</v>
      </c>
      <c r="AJ75" s="198">
        <v>0</v>
      </c>
      <c r="AK75" s="198">
        <f>SUM(Tabela96[[#This Row],[2026]:[2030]])</f>
        <v>1935</v>
      </c>
      <c r="AL75" s="198">
        <v>0</v>
      </c>
      <c r="AM75" s="198">
        <v>0</v>
      </c>
      <c r="AN75" s="198">
        <v>0</v>
      </c>
      <c r="AO75" s="198">
        <v>0</v>
      </c>
      <c r="AP75" s="198">
        <v>0</v>
      </c>
      <c r="AQ75" s="202">
        <f>SUM(Tabela96[[#This Row],[2026-2030]:[2035]])</f>
        <v>1935</v>
      </c>
      <c r="AS75" s="178" t="s">
        <v>1046</v>
      </c>
      <c r="AT75" s="201">
        <v>2024</v>
      </c>
      <c r="AU75" s="178" t="s">
        <v>1277</v>
      </c>
      <c r="AV75" s="112" t="s">
        <v>1238</v>
      </c>
      <c r="AW75" s="178" t="s">
        <v>517</v>
      </c>
      <c r="AZ75" s="178" t="s">
        <v>1144</v>
      </c>
    </row>
    <row r="76" spans="2:52" ht="24.75" customHeight="1" x14ac:dyDescent="0.35">
      <c r="B76" s="179" t="e" cm="1">
        <f t="array" ref="B76">AND(ISTEXT('Consolidado-Eletronorte'!#REF!),SUM('Consolidado-Eletronorte'!#REF!)&gt;0)</f>
        <v>#REF!</v>
      </c>
      <c r="C76" s="162" t="str">
        <f t="shared" ref="C76:C107" ca="1" si="6">$J$3</f>
        <v>Capex Orcamentário_PE2026_2030_red_35_porcentoR3_consulta.xlsx</v>
      </c>
      <c r="D76" s="163" t="str">
        <f t="shared" ref="D76:D107" si="7">$H$3</f>
        <v>COO</v>
      </c>
      <c r="E76" s="163" t="str">
        <f t="shared" ref="E76:E107" si="8">$H$4</f>
        <v>Lucas Martins</v>
      </c>
      <c r="F76" s="164"/>
      <c r="G76" s="164" t="e">
        <f>_xlfn.CONCAT('Consolidado-Eletronorte'!#REF!,"_",ROW('Consolidado-Eletronorte'!#REF!)-ROW('Consolidado-Eletronorte'!$G$18))</f>
        <v>#REF!</v>
      </c>
      <c r="H76" s="165" t="s">
        <v>506</v>
      </c>
      <c r="I76" s="165" t="s">
        <v>135</v>
      </c>
      <c r="J76" s="165" t="s">
        <v>508</v>
      </c>
      <c r="K76" s="165" t="s">
        <v>1039</v>
      </c>
      <c r="L76" s="165" t="s">
        <v>1040</v>
      </c>
      <c r="M76" s="178" t="s">
        <v>1278</v>
      </c>
      <c r="N76" s="165"/>
      <c r="O76" s="165"/>
      <c r="P76" s="165"/>
      <c r="Q76" s="178" t="s">
        <v>1279</v>
      </c>
      <c r="R76" s="178" t="s">
        <v>1140</v>
      </c>
      <c r="S76" s="178" t="s">
        <v>1236</v>
      </c>
      <c r="T76" s="198">
        <v>215</v>
      </c>
      <c r="U76" s="198">
        <v>215</v>
      </c>
      <c r="V76" s="198">
        <v>215</v>
      </c>
      <c r="W76" s="198">
        <v>215</v>
      </c>
      <c r="X76" s="198">
        <v>215</v>
      </c>
      <c r="Y76" s="198">
        <v>215</v>
      </c>
      <c r="Z76" s="198">
        <v>215</v>
      </c>
      <c r="AA76" s="198">
        <v>215</v>
      </c>
      <c r="AB76" s="198">
        <v>215</v>
      </c>
      <c r="AC76" s="198" t="s">
        <v>1045</v>
      </c>
      <c r="AD76" s="198" t="s">
        <v>1045</v>
      </c>
      <c r="AE76" s="198" t="s">
        <v>1045</v>
      </c>
      <c r="AF76" s="197">
        <f>SUM(Tabela96[[#This Row],[jan/26]:[dez/26]])</f>
        <v>1935</v>
      </c>
      <c r="AG76" s="198">
        <v>0</v>
      </c>
      <c r="AH76" s="198">
        <v>0</v>
      </c>
      <c r="AI76" s="198">
        <v>0</v>
      </c>
      <c r="AJ76" s="198">
        <v>0</v>
      </c>
      <c r="AK76" s="198">
        <f>SUM(Tabela96[[#This Row],[2026]:[2030]])</f>
        <v>1935</v>
      </c>
      <c r="AL76" s="198">
        <v>0</v>
      </c>
      <c r="AM76" s="198">
        <v>0</v>
      </c>
      <c r="AN76" s="198">
        <v>0</v>
      </c>
      <c r="AO76" s="198">
        <v>0</v>
      </c>
      <c r="AP76" s="198">
        <v>0</v>
      </c>
      <c r="AQ76" s="202">
        <f>SUM(Tabela96[[#This Row],[2026-2030]:[2035]])</f>
        <v>1935</v>
      </c>
      <c r="AS76" s="178" t="s">
        <v>1046</v>
      </c>
      <c r="AT76" s="201">
        <v>2024</v>
      </c>
      <c r="AU76" s="178" t="s">
        <v>1280</v>
      </c>
      <c r="AV76" s="183" t="s">
        <v>1238</v>
      </c>
      <c r="AW76" s="178" t="s">
        <v>517</v>
      </c>
      <c r="AZ76" s="178" t="s">
        <v>1144</v>
      </c>
    </row>
    <row r="77" spans="2:52" ht="24.75" customHeight="1" x14ac:dyDescent="0.35">
      <c r="B77" s="179" t="e" cm="1">
        <f t="array" ref="B77">AND(ISTEXT('Consolidado-Eletronorte'!#REF!),SUM('Consolidado-Eletronorte'!#REF!)&gt;0)</f>
        <v>#REF!</v>
      </c>
      <c r="C77" s="162" t="str">
        <f t="shared" ca="1" si="6"/>
        <v>Capex Orcamentário_PE2026_2030_red_35_porcentoR3_consulta.xlsx</v>
      </c>
      <c r="D77" s="163" t="str">
        <f t="shared" si="7"/>
        <v>COO</v>
      </c>
      <c r="E77" s="163" t="str">
        <f t="shared" si="8"/>
        <v>Lucas Martins</v>
      </c>
      <c r="F77" s="164"/>
      <c r="G77" s="164" t="e">
        <f>_xlfn.CONCAT('Consolidado-Eletronorte'!#REF!,"_",ROW('Consolidado-Eletronorte'!#REF!)-ROW('Consolidado-Eletronorte'!$G$18))</f>
        <v>#REF!</v>
      </c>
      <c r="H77" s="165" t="s">
        <v>506</v>
      </c>
      <c r="I77" s="165" t="s">
        <v>135</v>
      </c>
      <c r="J77" s="165" t="s">
        <v>508</v>
      </c>
      <c r="K77" s="165" t="s">
        <v>1039</v>
      </c>
      <c r="L77" s="165" t="s">
        <v>1040</v>
      </c>
      <c r="M77" s="178" t="s">
        <v>1281</v>
      </c>
      <c r="N77" s="165"/>
      <c r="O77" s="165"/>
      <c r="P77" s="165"/>
      <c r="Q77" s="178" t="s">
        <v>1282</v>
      </c>
      <c r="R77" s="178" t="s">
        <v>1140</v>
      </c>
      <c r="S77" s="178" t="s">
        <v>1283</v>
      </c>
      <c r="T77" s="198">
        <v>215</v>
      </c>
      <c r="U77" s="198">
        <v>215</v>
      </c>
      <c r="V77" s="198">
        <v>215</v>
      </c>
      <c r="W77" s="198">
        <v>215</v>
      </c>
      <c r="X77" s="198">
        <v>215</v>
      </c>
      <c r="Y77" s="198">
        <v>215</v>
      </c>
      <c r="Z77" s="198">
        <v>215</v>
      </c>
      <c r="AA77" s="198">
        <v>215</v>
      </c>
      <c r="AB77" s="198">
        <v>215</v>
      </c>
      <c r="AC77" s="198" t="s">
        <v>1045</v>
      </c>
      <c r="AD77" s="198" t="s">
        <v>1045</v>
      </c>
      <c r="AE77" s="198" t="s">
        <v>1045</v>
      </c>
      <c r="AF77" s="197">
        <f>SUM(Tabela96[[#This Row],[jan/26]:[dez/26]])</f>
        <v>1935</v>
      </c>
      <c r="AG77" s="198">
        <v>0</v>
      </c>
      <c r="AH77" s="198">
        <v>0</v>
      </c>
      <c r="AI77" s="198">
        <v>0</v>
      </c>
      <c r="AJ77" s="198">
        <v>0</v>
      </c>
      <c r="AK77" s="198">
        <f>SUM(Tabela96[[#This Row],[2026]:[2030]])</f>
        <v>1935</v>
      </c>
      <c r="AL77" s="198">
        <v>0</v>
      </c>
      <c r="AM77" s="198">
        <v>0</v>
      </c>
      <c r="AN77" s="198">
        <v>0</v>
      </c>
      <c r="AO77" s="198">
        <v>0</v>
      </c>
      <c r="AP77" s="198">
        <v>0</v>
      </c>
      <c r="AQ77" s="202">
        <f>SUM(Tabela96[[#This Row],[2026-2030]:[2035]])</f>
        <v>1935</v>
      </c>
      <c r="AS77" s="178" t="s">
        <v>1046</v>
      </c>
      <c r="AT77" s="201">
        <v>2024</v>
      </c>
      <c r="AU77" s="178" t="s">
        <v>1284</v>
      </c>
      <c r="AV77" s="112" t="s">
        <v>1285</v>
      </c>
      <c r="AW77" s="178" t="s">
        <v>517</v>
      </c>
      <c r="AZ77" s="178" t="s">
        <v>1144</v>
      </c>
    </row>
    <row r="78" spans="2:52" ht="24.75" customHeight="1" x14ac:dyDescent="0.35">
      <c r="B78" s="179" t="e" cm="1">
        <f t="array" ref="B78">AND(ISTEXT('Consolidado-Eletronorte'!#REF!),SUM('Consolidado-Eletronorte'!#REF!)&gt;0)</f>
        <v>#REF!</v>
      </c>
      <c r="C78" s="162" t="str">
        <f t="shared" ca="1" si="6"/>
        <v>Capex Orcamentário_PE2026_2030_red_35_porcentoR3_consulta.xlsx</v>
      </c>
      <c r="D78" s="163" t="str">
        <f t="shared" si="7"/>
        <v>COO</v>
      </c>
      <c r="E78" s="163" t="str">
        <f t="shared" si="8"/>
        <v>Lucas Martins</v>
      </c>
      <c r="F78" s="164"/>
      <c r="G78" s="164" t="e">
        <f>_xlfn.CONCAT('Consolidado-Eletronorte'!#REF!,"_",ROW('Consolidado-Eletronorte'!#REF!)-ROW('Consolidado-Eletronorte'!$G$18))</f>
        <v>#REF!</v>
      </c>
      <c r="H78" s="165" t="s">
        <v>506</v>
      </c>
      <c r="I78" s="165" t="s">
        <v>135</v>
      </c>
      <c r="J78" s="165" t="s">
        <v>508</v>
      </c>
      <c r="K78" s="165" t="s">
        <v>1039</v>
      </c>
      <c r="L78" s="165" t="s">
        <v>1040</v>
      </c>
      <c r="M78" s="178" t="s">
        <v>1286</v>
      </c>
      <c r="N78" s="165"/>
      <c r="O78" s="165"/>
      <c r="P78" s="165"/>
      <c r="Q78" s="178" t="s">
        <v>1287</v>
      </c>
      <c r="R78" s="178" t="s">
        <v>1140</v>
      </c>
      <c r="S78" s="178" t="s">
        <v>1283</v>
      </c>
      <c r="T78" s="198">
        <v>215</v>
      </c>
      <c r="U78" s="198">
        <v>215</v>
      </c>
      <c r="V78" s="198">
        <v>215</v>
      </c>
      <c r="W78" s="198">
        <v>215</v>
      </c>
      <c r="X78" s="198">
        <v>215</v>
      </c>
      <c r="Y78" s="198">
        <v>215</v>
      </c>
      <c r="Z78" s="198">
        <v>215</v>
      </c>
      <c r="AA78" s="198">
        <v>215</v>
      </c>
      <c r="AB78" s="198">
        <v>215</v>
      </c>
      <c r="AC78" s="198" t="s">
        <v>1045</v>
      </c>
      <c r="AD78" s="198" t="s">
        <v>1045</v>
      </c>
      <c r="AE78" s="198" t="s">
        <v>1045</v>
      </c>
      <c r="AF78" s="197">
        <f>SUM(Tabela96[[#This Row],[jan/26]:[dez/26]])</f>
        <v>1935</v>
      </c>
      <c r="AG78" s="198">
        <v>0</v>
      </c>
      <c r="AH78" s="198">
        <v>0</v>
      </c>
      <c r="AI78" s="198">
        <v>0</v>
      </c>
      <c r="AJ78" s="198">
        <v>0</v>
      </c>
      <c r="AK78" s="198">
        <f>SUM(Tabela96[[#This Row],[2026]:[2030]])</f>
        <v>1935</v>
      </c>
      <c r="AL78" s="198">
        <v>0</v>
      </c>
      <c r="AM78" s="198">
        <v>0</v>
      </c>
      <c r="AN78" s="198">
        <v>0</v>
      </c>
      <c r="AO78" s="198">
        <v>0</v>
      </c>
      <c r="AP78" s="198">
        <v>0</v>
      </c>
      <c r="AQ78" s="202">
        <f>SUM(Tabela96[[#This Row],[2026-2030]:[2035]])</f>
        <v>1935</v>
      </c>
      <c r="AS78" s="178" t="s">
        <v>1046</v>
      </c>
      <c r="AT78" s="201">
        <v>2024</v>
      </c>
      <c r="AU78" s="178" t="s">
        <v>1288</v>
      </c>
      <c r="AV78" s="112" t="s">
        <v>1285</v>
      </c>
      <c r="AW78" s="178" t="s">
        <v>517</v>
      </c>
      <c r="AZ78" s="178" t="s">
        <v>1144</v>
      </c>
    </row>
    <row r="79" spans="2:52" ht="24.75" customHeight="1" x14ac:dyDescent="0.35">
      <c r="B79" s="179" t="e" cm="1">
        <f t="array" ref="B79">AND(ISTEXT('Consolidado-Eletronorte'!#REF!),SUM('Consolidado-Eletronorte'!#REF!)&gt;0)</f>
        <v>#REF!</v>
      </c>
      <c r="C79" s="162" t="str">
        <f t="shared" ca="1" si="6"/>
        <v>Capex Orcamentário_PE2026_2030_red_35_porcentoR3_consulta.xlsx</v>
      </c>
      <c r="D79" s="163" t="str">
        <f t="shared" si="7"/>
        <v>COO</v>
      </c>
      <c r="E79" s="163" t="str">
        <f t="shared" si="8"/>
        <v>Lucas Martins</v>
      </c>
      <c r="F79" s="164"/>
      <c r="G79" s="164" t="e">
        <f>_xlfn.CONCAT('Consolidado-Eletronorte'!#REF!,"_",ROW('Consolidado-Eletronorte'!#REF!)-ROW('Consolidado-Eletronorte'!$G$18))</f>
        <v>#REF!</v>
      </c>
      <c r="H79" s="165" t="s">
        <v>506</v>
      </c>
      <c r="I79" s="165" t="s">
        <v>135</v>
      </c>
      <c r="J79" s="165" t="s">
        <v>508</v>
      </c>
      <c r="K79" s="165" t="s">
        <v>1039</v>
      </c>
      <c r="L79" s="165" t="s">
        <v>1040</v>
      </c>
      <c r="M79" s="178" t="s">
        <v>1289</v>
      </c>
      <c r="N79" s="165"/>
      <c r="O79" s="165"/>
      <c r="P79" s="165"/>
      <c r="Q79" s="178" t="s">
        <v>1290</v>
      </c>
      <c r="R79" s="178" t="s">
        <v>1140</v>
      </c>
      <c r="S79" s="178" t="s">
        <v>1283</v>
      </c>
      <c r="T79" s="198">
        <v>215</v>
      </c>
      <c r="U79" s="198">
        <v>215</v>
      </c>
      <c r="V79" s="198">
        <v>215</v>
      </c>
      <c r="W79" s="198">
        <v>215</v>
      </c>
      <c r="X79" s="198">
        <v>215</v>
      </c>
      <c r="Y79" s="198">
        <v>215</v>
      </c>
      <c r="Z79" s="198">
        <v>215</v>
      </c>
      <c r="AA79" s="198">
        <v>215</v>
      </c>
      <c r="AB79" s="198">
        <v>215</v>
      </c>
      <c r="AC79" s="198" t="s">
        <v>1045</v>
      </c>
      <c r="AD79" s="198" t="s">
        <v>1045</v>
      </c>
      <c r="AE79" s="198" t="s">
        <v>1045</v>
      </c>
      <c r="AF79" s="197">
        <f>SUM(Tabela96[[#This Row],[jan/26]:[dez/26]])</f>
        <v>1935</v>
      </c>
      <c r="AG79" s="198">
        <v>0</v>
      </c>
      <c r="AH79" s="198">
        <v>0</v>
      </c>
      <c r="AI79" s="198">
        <v>0</v>
      </c>
      <c r="AJ79" s="198">
        <v>0</v>
      </c>
      <c r="AK79" s="198">
        <f>SUM(Tabela96[[#This Row],[2026]:[2030]])</f>
        <v>1935</v>
      </c>
      <c r="AL79" s="198">
        <v>0</v>
      </c>
      <c r="AM79" s="198">
        <v>0</v>
      </c>
      <c r="AN79" s="198">
        <v>0</v>
      </c>
      <c r="AO79" s="198">
        <v>0</v>
      </c>
      <c r="AP79" s="198">
        <v>0</v>
      </c>
      <c r="AQ79" s="202">
        <f>SUM(Tabela96[[#This Row],[2026-2030]:[2035]])</f>
        <v>1935</v>
      </c>
      <c r="AS79" s="178" t="s">
        <v>1046</v>
      </c>
      <c r="AT79" s="201">
        <v>2024</v>
      </c>
      <c r="AU79" s="178" t="s">
        <v>1291</v>
      </c>
      <c r="AV79" s="112" t="s">
        <v>1285</v>
      </c>
      <c r="AW79" s="178" t="s">
        <v>517</v>
      </c>
      <c r="AZ79" s="178" t="s">
        <v>1144</v>
      </c>
    </row>
    <row r="80" spans="2:52" ht="24.75" customHeight="1" x14ac:dyDescent="0.35">
      <c r="B80" s="179" t="e" cm="1">
        <f t="array" ref="B80">AND(ISTEXT('Consolidado-Eletronorte'!#REF!),SUM('Consolidado-Eletronorte'!#REF!)&gt;0)</f>
        <v>#REF!</v>
      </c>
      <c r="C80" s="162" t="str">
        <f t="shared" ca="1" si="6"/>
        <v>Capex Orcamentário_PE2026_2030_red_35_porcentoR3_consulta.xlsx</v>
      </c>
      <c r="D80" s="163" t="str">
        <f t="shared" si="7"/>
        <v>COO</v>
      </c>
      <c r="E80" s="163" t="str">
        <f t="shared" si="8"/>
        <v>Lucas Martins</v>
      </c>
      <c r="F80" s="164"/>
      <c r="G80" s="164" t="e">
        <f>_xlfn.CONCAT('Consolidado-Eletronorte'!#REF!,"_",ROW('Consolidado-Eletronorte'!#REF!)-ROW('Consolidado-Eletronorte'!$G$18))</f>
        <v>#REF!</v>
      </c>
      <c r="H80" s="165" t="s">
        <v>506</v>
      </c>
      <c r="I80" s="165" t="s">
        <v>135</v>
      </c>
      <c r="J80" s="165" t="s">
        <v>508</v>
      </c>
      <c r="K80" s="165" t="s">
        <v>1039</v>
      </c>
      <c r="L80" s="165" t="s">
        <v>1040</v>
      </c>
      <c r="M80" s="178" t="s">
        <v>1292</v>
      </c>
      <c r="N80" s="165"/>
      <c r="O80" s="165"/>
      <c r="P80" s="165"/>
      <c r="Q80" s="178" t="s">
        <v>1293</v>
      </c>
      <c r="R80" s="178" t="s">
        <v>1140</v>
      </c>
      <c r="S80" s="178" t="s">
        <v>1283</v>
      </c>
      <c r="T80" s="198">
        <v>215</v>
      </c>
      <c r="U80" s="198">
        <v>215</v>
      </c>
      <c r="V80" s="198">
        <v>215</v>
      </c>
      <c r="W80" s="198">
        <v>215</v>
      </c>
      <c r="X80" s="198">
        <v>215</v>
      </c>
      <c r="Y80" s="198">
        <v>215</v>
      </c>
      <c r="Z80" s="198">
        <v>215</v>
      </c>
      <c r="AA80" s="198">
        <v>215</v>
      </c>
      <c r="AB80" s="198">
        <v>215</v>
      </c>
      <c r="AC80" s="198" t="s">
        <v>1045</v>
      </c>
      <c r="AD80" s="198" t="s">
        <v>1045</v>
      </c>
      <c r="AE80" s="198" t="s">
        <v>1045</v>
      </c>
      <c r="AF80" s="197">
        <f>SUM(Tabela96[[#This Row],[jan/26]:[dez/26]])</f>
        <v>1935</v>
      </c>
      <c r="AG80" s="198">
        <v>0</v>
      </c>
      <c r="AH80" s="198">
        <v>0</v>
      </c>
      <c r="AI80" s="198">
        <v>0</v>
      </c>
      <c r="AJ80" s="198">
        <v>0</v>
      </c>
      <c r="AK80" s="198">
        <f>SUM(Tabela96[[#This Row],[2026]:[2030]])</f>
        <v>1935</v>
      </c>
      <c r="AL80" s="198">
        <v>0</v>
      </c>
      <c r="AM80" s="198">
        <v>0</v>
      </c>
      <c r="AN80" s="198">
        <v>0</v>
      </c>
      <c r="AO80" s="198">
        <v>0</v>
      </c>
      <c r="AP80" s="198">
        <v>0</v>
      </c>
      <c r="AQ80" s="202">
        <f>SUM(Tabela96[[#This Row],[2026-2030]:[2035]])</f>
        <v>1935</v>
      </c>
      <c r="AS80" s="178" t="s">
        <v>1046</v>
      </c>
      <c r="AT80" s="201">
        <v>2024</v>
      </c>
      <c r="AU80" s="178" t="s">
        <v>1294</v>
      </c>
      <c r="AV80" s="112" t="s">
        <v>1285</v>
      </c>
      <c r="AW80" s="178" t="s">
        <v>517</v>
      </c>
      <c r="AZ80" s="178" t="s">
        <v>1144</v>
      </c>
    </row>
    <row r="81" spans="2:52" ht="24.75" customHeight="1" x14ac:dyDescent="0.35">
      <c r="B81" s="179" t="e" cm="1">
        <f t="array" ref="B81">AND(ISTEXT('Consolidado-Eletronorte'!#REF!),SUM('Consolidado-Eletronorte'!#REF!)&gt;0)</f>
        <v>#REF!</v>
      </c>
      <c r="C81" s="162" t="str">
        <f t="shared" ca="1" si="6"/>
        <v>Capex Orcamentário_PE2026_2030_red_35_porcentoR3_consulta.xlsx</v>
      </c>
      <c r="D81" s="163" t="str">
        <f t="shared" si="7"/>
        <v>COO</v>
      </c>
      <c r="E81" s="163" t="str">
        <f t="shared" si="8"/>
        <v>Lucas Martins</v>
      </c>
      <c r="F81" s="164"/>
      <c r="G81" s="164" t="e">
        <f>_xlfn.CONCAT('Consolidado-Eletronorte'!#REF!,"_",ROW('Consolidado-Eletronorte'!#REF!)-ROW('Consolidado-Eletronorte'!$G$18))</f>
        <v>#REF!</v>
      </c>
      <c r="H81" s="165" t="s">
        <v>506</v>
      </c>
      <c r="I81" s="165" t="s">
        <v>135</v>
      </c>
      <c r="J81" s="165" t="s">
        <v>508</v>
      </c>
      <c r="K81" s="165" t="s">
        <v>1039</v>
      </c>
      <c r="L81" s="165" t="s">
        <v>1040</v>
      </c>
      <c r="M81" s="178" t="s">
        <v>1295</v>
      </c>
      <c r="N81" s="165"/>
      <c r="O81" s="165"/>
      <c r="P81" s="165"/>
      <c r="Q81" s="178" t="s">
        <v>1296</v>
      </c>
      <c r="R81" s="178" t="s">
        <v>1140</v>
      </c>
      <c r="S81" s="178" t="s">
        <v>1283</v>
      </c>
      <c r="T81" s="198">
        <v>215</v>
      </c>
      <c r="U81" s="198">
        <v>215</v>
      </c>
      <c r="V81" s="198">
        <v>215</v>
      </c>
      <c r="W81" s="198">
        <v>215</v>
      </c>
      <c r="X81" s="198">
        <v>215</v>
      </c>
      <c r="Y81" s="198">
        <v>215</v>
      </c>
      <c r="Z81" s="198">
        <v>215</v>
      </c>
      <c r="AA81" s="198">
        <v>215</v>
      </c>
      <c r="AB81" s="198">
        <v>215</v>
      </c>
      <c r="AC81" s="198" t="s">
        <v>1045</v>
      </c>
      <c r="AD81" s="198" t="s">
        <v>1045</v>
      </c>
      <c r="AE81" s="198" t="s">
        <v>1045</v>
      </c>
      <c r="AF81" s="197">
        <f>SUM(Tabela96[[#This Row],[jan/26]:[dez/26]])</f>
        <v>1935</v>
      </c>
      <c r="AG81" s="198">
        <v>0</v>
      </c>
      <c r="AH81" s="198">
        <v>0</v>
      </c>
      <c r="AI81" s="198">
        <v>0</v>
      </c>
      <c r="AJ81" s="198">
        <v>0</v>
      </c>
      <c r="AK81" s="198">
        <f>SUM(Tabela96[[#This Row],[2026]:[2030]])</f>
        <v>1935</v>
      </c>
      <c r="AL81" s="198">
        <v>0</v>
      </c>
      <c r="AM81" s="198">
        <v>0</v>
      </c>
      <c r="AN81" s="198">
        <v>0</v>
      </c>
      <c r="AO81" s="198">
        <v>0</v>
      </c>
      <c r="AP81" s="198">
        <v>0</v>
      </c>
      <c r="AQ81" s="202">
        <f>SUM(Tabela96[[#This Row],[2026-2030]:[2035]])</f>
        <v>1935</v>
      </c>
      <c r="AS81" s="178" t="s">
        <v>1046</v>
      </c>
      <c r="AT81" s="201">
        <v>2024</v>
      </c>
      <c r="AU81" s="178" t="s">
        <v>1297</v>
      </c>
      <c r="AV81" s="112" t="s">
        <v>1285</v>
      </c>
      <c r="AW81" s="178" t="s">
        <v>517</v>
      </c>
      <c r="AZ81" s="178" t="s">
        <v>1144</v>
      </c>
    </row>
    <row r="82" spans="2:52" ht="24.75" customHeight="1" x14ac:dyDescent="0.35">
      <c r="B82" s="179" t="e" cm="1">
        <f t="array" ref="B82">AND(ISTEXT('Consolidado-Eletronorte'!#REF!),SUM('Consolidado-Eletronorte'!#REF!)&gt;0)</f>
        <v>#REF!</v>
      </c>
      <c r="C82" s="162" t="str">
        <f t="shared" ca="1" si="6"/>
        <v>Capex Orcamentário_PE2026_2030_red_35_porcentoR3_consulta.xlsx</v>
      </c>
      <c r="D82" s="163" t="str">
        <f t="shared" si="7"/>
        <v>COO</v>
      </c>
      <c r="E82" s="163" t="str">
        <f t="shared" si="8"/>
        <v>Lucas Martins</v>
      </c>
      <c r="F82" s="164"/>
      <c r="G82" s="164" t="e">
        <f>_xlfn.CONCAT('Consolidado-Eletronorte'!#REF!,"_",ROW('Consolidado-Eletronorte'!#REF!)-ROW('Consolidado-Eletronorte'!$G$18))</f>
        <v>#REF!</v>
      </c>
      <c r="H82" s="165" t="s">
        <v>506</v>
      </c>
      <c r="I82" s="165" t="s">
        <v>135</v>
      </c>
      <c r="J82" s="165" t="s">
        <v>508</v>
      </c>
      <c r="K82" s="165" t="s">
        <v>1039</v>
      </c>
      <c r="L82" s="165" t="s">
        <v>1040</v>
      </c>
      <c r="M82" s="178" t="s">
        <v>1298</v>
      </c>
      <c r="N82" s="165"/>
      <c r="O82" s="165"/>
      <c r="P82" s="165"/>
      <c r="Q82" s="178" t="s">
        <v>1299</v>
      </c>
      <c r="R82" s="178" t="s">
        <v>1140</v>
      </c>
      <c r="S82" s="178" t="s">
        <v>1283</v>
      </c>
      <c r="T82" s="198">
        <v>215</v>
      </c>
      <c r="U82" s="198">
        <v>215</v>
      </c>
      <c r="V82" s="198">
        <v>215</v>
      </c>
      <c r="W82" s="198">
        <v>215</v>
      </c>
      <c r="X82" s="198">
        <v>215</v>
      </c>
      <c r="Y82" s="198">
        <v>215</v>
      </c>
      <c r="Z82" s="198">
        <v>215</v>
      </c>
      <c r="AA82" s="198">
        <v>215</v>
      </c>
      <c r="AB82" s="198">
        <v>215</v>
      </c>
      <c r="AC82" s="198" t="s">
        <v>1045</v>
      </c>
      <c r="AD82" s="198" t="s">
        <v>1045</v>
      </c>
      <c r="AE82" s="198" t="s">
        <v>1045</v>
      </c>
      <c r="AF82" s="197">
        <f>SUM(Tabela96[[#This Row],[jan/26]:[dez/26]])</f>
        <v>1935</v>
      </c>
      <c r="AG82" s="198">
        <v>0</v>
      </c>
      <c r="AH82" s="198">
        <v>0</v>
      </c>
      <c r="AI82" s="198">
        <v>0</v>
      </c>
      <c r="AJ82" s="198">
        <v>0</v>
      </c>
      <c r="AK82" s="198">
        <f>SUM(Tabela96[[#This Row],[2026]:[2030]])</f>
        <v>1935</v>
      </c>
      <c r="AL82" s="198">
        <v>0</v>
      </c>
      <c r="AM82" s="198">
        <v>0</v>
      </c>
      <c r="AN82" s="198">
        <v>0</v>
      </c>
      <c r="AO82" s="198">
        <v>0</v>
      </c>
      <c r="AP82" s="198">
        <v>0</v>
      </c>
      <c r="AQ82" s="202">
        <f>SUM(Tabela96[[#This Row],[2026-2030]:[2035]])</f>
        <v>1935</v>
      </c>
      <c r="AS82" s="178" t="s">
        <v>1046</v>
      </c>
      <c r="AT82" s="201">
        <v>2024</v>
      </c>
      <c r="AU82" s="178" t="s">
        <v>1300</v>
      </c>
      <c r="AV82" s="112" t="s">
        <v>1285</v>
      </c>
      <c r="AW82" s="178" t="s">
        <v>517</v>
      </c>
      <c r="AZ82" s="178" t="s">
        <v>1144</v>
      </c>
    </row>
    <row r="83" spans="2:52" ht="24.75" customHeight="1" x14ac:dyDescent="0.35">
      <c r="B83" s="179" t="e" cm="1">
        <f t="array" ref="B83">AND(ISTEXT('Consolidado-Eletronorte'!#REF!),SUM('Consolidado-Eletronorte'!#REF!)&gt;0)</f>
        <v>#REF!</v>
      </c>
      <c r="C83" s="162" t="str">
        <f t="shared" ca="1" si="6"/>
        <v>Capex Orcamentário_PE2026_2030_red_35_porcentoR3_consulta.xlsx</v>
      </c>
      <c r="D83" s="163" t="str">
        <f t="shared" si="7"/>
        <v>COO</v>
      </c>
      <c r="E83" s="163" t="str">
        <f t="shared" si="8"/>
        <v>Lucas Martins</v>
      </c>
      <c r="F83" s="164"/>
      <c r="G83" s="164" t="e">
        <f>_xlfn.CONCAT('Consolidado-Eletronorte'!#REF!,"_",ROW('Consolidado-Eletronorte'!#REF!)-ROW('Consolidado-Eletronorte'!$G$18))</f>
        <v>#REF!</v>
      </c>
      <c r="H83" s="165" t="s">
        <v>506</v>
      </c>
      <c r="I83" s="165" t="s">
        <v>135</v>
      </c>
      <c r="J83" s="165" t="s">
        <v>508</v>
      </c>
      <c r="K83" s="165" t="s">
        <v>1039</v>
      </c>
      <c r="L83" s="165" t="s">
        <v>1040</v>
      </c>
      <c r="M83" s="178" t="s">
        <v>1301</v>
      </c>
      <c r="N83" s="165"/>
      <c r="O83" s="165"/>
      <c r="P83" s="165"/>
      <c r="Q83" s="178" t="s">
        <v>1302</v>
      </c>
      <c r="R83" s="178" t="s">
        <v>1140</v>
      </c>
      <c r="S83" s="178" t="s">
        <v>1283</v>
      </c>
      <c r="T83" s="198">
        <v>215</v>
      </c>
      <c r="U83" s="198">
        <v>215</v>
      </c>
      <c r="V83" s="198">
        <v>215</v>
      </c>
      <c r="W83" s="198">
        <v>215</v>
      </c>
      <c r="X83" s="198">
        <v>215</v>
      </c>
      <c r="Y83" s="198">
        <v>215</v>
      </c>
      <c r="Z83" s="198">
        <v>215</v>
      </c>
      <c r="AA83" s="198">
        <v>215</v>
      </c>
      <c r="AB83" s="198">
        <v>215</v>
      </c>
      <c r="AC83" s="198" t="s">
        <v>1045</v>
      </c>
      <c r="AD83" s="198" t="s">
        <v>1045</v>
      </c>
      <c r="AE83" s="198" t="s">
        <v>1045</v>
      </c>
      <c r="AF83" s="197">
        <f>SUM(Tabela96[[#This Row],[jan/26]:[dez/26]])</f>
        <v>1935</v>
      </c>
      <c r="AG83" s="198">
        <v>0</v>
      </c>
      <c r="AH83" s="198">
        <v>0</v>
      </c>
      <c r="AI83" s="198">
        <v>0</v>
      </c>
      <c r="AJ83" s="198">
        <v>0</v>
      </c>
      <c r="AK83" s="198">
        <f>SUM(Tabela96[[#This Row],[2026]:[2030]])</f>
        <v>1935</v>
      </c>
      <c r="AL83" s="198">
        <v>0</v>
      </c>
      <c r="AM83" s="198">
        <v>0</v>
      </c>
      <c r="AN83" s="198">
        <v>0</v>
      </c>
      <c r="AO83" s="198">
        <v>0</v>
      </c>
      <c r="AP83" s="198">
        <v>0</v>
      </c>
      <c r="AQ83" s="202">
        <f>SUM(Tabela96[[#This Row],[2026-2030]:[2035]])</f>
        <v>1935</v>
      </c>
      <c r="AS83" s="178" t="s">
        <v>1046</v>
      </c>
      <c r="AT83" s="201">
        <v>2024</v>
      </c>
      <c r="AU83" s="178" t="s">
        <v>1303</v>
      </c>
      <c r="AV83" s="112" t="s">
        <v>1285</v>
      </c>
      <c r="AW83" s="178" t="s">
        <v>517</v>
      </c>
      <c r="AZ83" s="178" t="s">
        <v>1144</v>
      </c>
    </row>
    <row r="84" spans="2:52" ht="24.75" customHeight="1" x14ac:dyDescent="0.35">
      <c r="B84" s="179" t="e" cm="1">
        <f t="array" ref="B84">AND(ISTEXT('Consolidado-Eletronorte'!#REF!),SUM('Consolidado-Eletronorte'!#REF!)&gt;0)</f>
        <v>#REF!</v>
      </c>
      <c r="C84" s="162" t="str">
        <f t="shared" ca="1" si="6"/>
        <v>Capex Orcamentário_PE2026_2030_red_35_porcentoR3_consulta.xlsx</v>
      </c>
      <c r="D84" s="163" t="str">
        <f t="shared" si="7"/>
        <v>COO</v>
      </c>
      <c r="E84" s="163" t="str">
        <f t="shared" si="8"/>
        <v>Lucas Martins</v>
      </c>
      <c r="F84" s="164"/>
      <c r="G84" s="164" t="e">
        <f>_xlfn.CONCAT('Consolidado-Eletronorte'!#REF!,"_",ROW('Consolidado-Eletronorte'!#REF!)-ROW('Consolidado-Eletronorte'!$G$18))</f>
        <v>#REF!</v>
      </c>
      <c r="H84" s="165" t="s">
        <v>506</v>
      </c>
      <c r="I84" s="165" t="s">
        <v>135</v>
      </c>
      <c r="J84" s="165" t="s">
        <v>508</v>
      </c>
      <c r="K84" s="165" t="s">
        <v>1039</v>
      </c>
      <c r="L84" s="165" t="s">
        <v>1040</v>
      </c>
      <c r="M84" s="178" t="s">
        <v>1304</v>
      </c>
      <c r="N84" s="165"/>
      <c r="O84" s="165"/>
      <c r="P84" s="165"/>
      <c r="Q84" s="178" t="s">
        <v>1305</v>
      </c>
      <c r="R84" s="178" t="s">
        <v>1140</v>
      </c>
      <c r="S84" s="178" t="s">
        <v>1283</v>
      </c>
      <c r="T84" s="198">
        <v>215</v>
      </c>
      <c r="U84" s="198">
        <v>215</v>
      </c>
      <c r="V84" s="198">
        <v>215</v>
      </c>
      <c r="W84" s="198">
        <v>215</v>
      </c>
      <c r="X84" s="198">
        <v>215</v>
      </c>
      <c r="Y84" s="198">
        <v>215</v>
      </c>
      <c r="Z84" s="198">
        <v>215</v>
      </c>
      <c r="AA84" s="198">
        <v>215</v>
      </c>
      <c r="AB84" s="198">
        <v>215</v>
      </c>
      <c r="AC84" s="198" t="s">
        <v>1045</v>
      </c>
      <c r="AD84" s="198" t="s">
        <v>1045</v>
      </c>
      <c r="AE84" s="198" t="s">
        <v>1045</v>
      </c>
      <c r="AF84" s="197">
        <f>SUM(Tabela96[[#This Row],[jan/26]:[dez/26]])</f>
        <v>1935</v>
      </c>
      <c r="AG84" s="198">
        <v>0</v>
      </c>
      <c r="AH84" s="198">
        <v>0</v>
      </c>
      <c r="AI84" s="198">
        <v>0</v>
      </c>
      <c r="AJ84" s="198">
        <v>0</v>
      </c>
      <c r="AK84" s="198">
        <f>SUM(Tabela96[[#This Row],[2026]:[2030]])</f>
        <v>1935</v>
      </c>
      <c r="AL84" s="198">
        <v>0</v>
      </c>
      <c r="AM84" s="198">
        <v>0</v>
      </c>
      <c r="AN84" s="198">
        <v>0</v>
      </c>
      <c r="AO84" s="198">
        <v>0</v>
      </c>
      <c r="AP84" s="198">
        <v>0</v>
      </c>
      <c r="AQ84" s="202">
        <f>SUM(Tabela96[[#This Row],[2026-2030]:[2035]])</f>
        <v>1935</v>
      </c>
      <c r="AS84" s="178" t="s">
        <v>1046</v>
      </c>
      <c r="AT84" s="201">
        <v>2024</v>
      </c>
      <c r="AU84" s="178" t="s">
        <v>1306</v>
      </c>
      <c r="AV84" s="112" t="s">
        <v>1285</v>
      </c>
      <c r="AW84" s="178" t="s">
        <v>517</v>
      </c>
      <c r="AZ84" s="178" t="s">
        <v>1144</v>
      </c>
    </row>
    <row r="85" spans="2:52" ht="24.75" customHeight="1" x14ac:dyDescent="0.35">
      <c r="B85" s="179" t="e" cm="1">
        <f t="array" ref="B85">AND(ISTEXT('Consolidado-Eletronorte'!#REF!),SUM('Consolidado-Eletronorte'!#REF!)&gt;0)</f>
        <v>#REF!</v>
      </c>
      <c r="C85" s="162" t="str">
        <f t="shared" ca="1" si="6"/>
        <v>Capex Orcamentário_PE2026_2030_red_35_porcentoR3_consulta.xlsx</v>
      </c>
      <c r="D85" s="163" t="str">
        <f t="shared" si="7"/>
        <v>COO</v>
      </c>
      <c r="E85" s="163" t="str">
        <f t="shared" si="8"/>
        <v>Lucas Martins</v>
      </c>
      <c r="F85" s="164"/>
      <c r="G85" s="164" t="e">
        <f>_xlfn.CONCAT('Consolidado-Eletronorte'!#REF!,"_",ROW('Consolidado-Eletronorte'!#REF!)-ROW('Consolidado-Eletronorte'!$G$18))</f>
        <v>#REF!</v>
      </c>
      <c r="H85" s="165" t="s">
        <v>506</v>
      </c>
      <c r="I85" s="165" t="s">
        <v>135</v>
      </c>
      <c r="J85" s="165" t="s">
        <v>508</v>
      </c>
      <c r="K85" s="165" t="s">
        <v>1039</v>
      </c>
      <c r="L85" s="165" t="s">
        <v>1040</v>
      </c>
      <c r="M85" s="178" t="s">
        <v>1307</v>
      </c>
      <c r="N85" s="165"/>
      <c r="O85" s="165"/>
      <c r="P85" s="165"/>
      <c r="Q85" s="178" t="s">
        <v>1308</v>
      </c>
      <c r="R85" s="178" t="s">
        <v>1140</v>
      </c>
      <c r="S85" s="178" t="s">
        <v>1283</v>
      </c>
      <c r="T85" s="198">
        <v>215</v>
      </c>
      <c r="U85" s="198">
        <v>215</v>
      </c>
      <c r="V85" s="198">
        <v>215</v>
      </c>
      <c r="W85" s="198">
        <v>215</v>
      </c>
      <c r="X85" s="198">
        <v>215</v>
      </c>
      <c r="Y85" s="198">
        <v>215</v>
      </c>
      <c r="Z85" s="198">
        <v>215</v>
      </c>
      <c r="AA85" s="198">
        <v>215</v>
      </c>
      <c r="AB85" s="198">
        <v>215</v>
      </c>
      <c r="AC85" s="198" t="s">
        <v>1045</v>
      </c>
      <c r="AD85" s="198" t="s">
        <v>1045</v>
      </c>
      <c r="AE85" s="198" t="s">
        <v>1045</v>
      </c>
      <c r="AF85" s="197">
        <f>SUM(Tabela96[[#This Row],[jan/26]:[dez/26]])</f>
        <v>1935</v>
      </c>
      <c r="AG85" s="198">
        <v>0</v>
      </c>
      <c r="AH85" s="198">
        <v>0</v>
      </c>
      <c r="AI85" s="198">
        <v>0</v>
      </c>
      <c r="AJ85" s="198">
        <v>0</v>
      </c>
      <c r="AK85" s="198">
        <f>SUM(Tabela96[[#This Row],[2026]:[2030]])</f>
        <v>1935</v>
      </c>
      <c r="AL85" s="198">
        <v>0</v>
      </c>
      <c r="AM85" s="198">
        <v>0</v>
      </c>
      <c r="AN85" s="198">
        <v>0</v>
      </c>
      <c r="AO85" s="198">
        <v>0</v>
      </c>
      <c r="AP85" s="198">
        <v>0</v>
      </c>
      <c r="AQ85" s="202">
        <f>SUM(Tabela96[[#This Row],[2026-2030]:[2035]])</f>
        <v>1935</v>
      </c>
      <c r="AS85" s="178" t="s">
        <v>1046</v>
      </c>
      <c r="AT85" s="201">
        <v>2024</v>
      </c>
      <c r="AU85" s="178" t="s">
        <v>1309</v>
      </c>
      <c r="AV85" s="112" t="s">
        <v>1285</v>
      </c>
      <c r="AW85" s="178" t="s">
        <v>517</v>
      </c>
      <c r="AZ85" s="178" t="s">
        <v>1144</v>
      </c>
    </row>
    <row r="86" spans="2:52" ht="24.75" customHeight="1" x14ac:dyDescent="0.35">
      <c r="B86" s="179" t="e" cm="1">
        <f t="array" ref="B86">AND(ISTEXT('Consolidado-Eletronorte'!#REF!),SUM('Consolidado-Eletronorte'!#REF!)&gt;0)</f>
        <v>#REF!</v>
      </c>
      <c r="C86" s="162" t="str">
        <f t="shared" ca="1" si="6"/>
        <v>Capex Orcamentário_PE2026_2030_red_35_porcentoR3_consulta.xlsx</v>
      </c>
      <c r="D86" s="163" t="str">
        <f t="shared" si="7"/>
        <v>COO</v>
      </c>
      <c r="E86" s="163" t="str">
        <f t="shared" si="8"/>
        <v>Lucas Martins</v>
      </c>
      <c r="F86" s="164"/>
      <c r="G86" s="164" t="e">
        <f>_xlfn.CONCAT('Consolidado-Eletronorte'!#REF!,"_",ROW('Consolidado-Eletronorte'!#REF!)-ROW('Consolidado-Eletronorte'!$G$18))</f>
        <v>#REF!</v>
      </c>
      <c r="H86" s="165" t="s">
        <v>506</v>
      </c>
      <c r="I86" s="165" t="s">
        <v>135</v>
      </c>
      <c r="J86" s="165" t="s">
        <v>508</v>
      </c>
      <c r="K86" s="165" t="s">
        <v>1039</v>
      </c>
      <c r="L86" s="165" t="s">
        <v>1040</v>
      </c>
      <c r="M86" s="178" t="s">
        <v>1310</v>
      </c>
      <c r="N86" s="165"/>
      <c r="O86" s="165"/>
      <c r="P86" s="165"/>
      <c r="Q86" s="178" t="s">
        <v>1311</v>
      </c>
      <c r="R86" s="178" t="s">
        <v>1140</v>
      </c>
      <c r="S86" s="178" t="s">
        <v>1283</v>
      </c>
      <c r="T86" s="198">
        <v>215</v>
      </c>
      <c r="U86" s="198">
        <v>215</v>
      </c>
      <c r="V86" s="198">
        <v>215</v>
      </c>
      <c r="W86" s="198">
        <v>215</v>
      </c>
      <c r="X86" s="198">
        <v>215</v>
      </c>
      <c r="Y86" s="198">
        <v>215</v>
      </c>
      <c r="Z86" s="198">
        <v>215</v>
      </c>
      <c r="AA86" s="198">
        <v>215</v>
      </c>
      <c r="AB86" s="198">
        <v>215</v>
      </c>
      <c r="AC86" s="198" t="s">
        <v>1045</v>
      </c>
      <c r="AD86" s="198" t="s">
        <v>1045</v>
      </c>
      <c r="AE86" s="198" t="s">
        <v>1045</v>
      </c>
      <c r="AF86" s="197">
        <f>SUM(Tabela96[[#This Row],[jan/26]:[dez/26]])</f>
        <v>1935</v>
      </c>
      <c r="AG86" s="198">
        <v>0</v>
      </c>
      <c r="AH86" s="198">
        <v>0</v>
      </c>
      <c r="AI86" s="198">
        <v>0</v>
      </c>
      <c r="AJ86" s="198">
        <v>0</v>
      </c>
      <c r="AK86" s="198">
        <f>SUM(Tabela96[[#This Row],[2026]:[2030]])</f>
        <v>1935</v>
      </c>
      <c r="AL86" s="198">
        <v>0</v>
      </c>
      <c r="AM86" s="198">
        <v>0</v>
      </c>
      <c r="AN86" s="198">
        <v>0</v>
      </c>
      <c r="AO86" s="198">
        <v>0</v>
      </c>
      <c r="AP86" s="198">
        <v>0</v>
      </c>
      <c r="AQ86" s="202">
        <f>SUM(Tabela96[[#This Row],[2026-2030]:[2035]])</f>
        <v>1935</v>
      </c>
      <c r="AS86" s="178" t="s">
        <v>1046</v>
      </c>
      <c r="AT86" s="201">
        <v>2024</v>
      </c>
      <c r="AU86" s="178" t="s">
        <v>1312</v>
      </c>
      <c r="AV86" s="112" t="s">
        <v>1285</v>
      </c>
      <c r="AW86" s="178" t="s">
        <v>517</v>
      </c>
      <c r="AZ86" s="178" t="s">
        <v>1144</v>
      </c>
    </row>
    <row r="87" spans="2:52" ht="24.75" customHeight="1" x14ac:dyDescent="0.35">
      <c r="B87" s="179" t="e" cm="1">
        <f t="array" ref="B87">AND(ISTEXT('Consolidado-Eletronorte'!#REF!),SUM('Consolidado-Eletronorte'!#REF!)&gt;0)</f>
        <v>#REF!</v>
      </c>
      <c r="C87" s="162" t="str">
        <f t="shared" ca="1" si="6"/>
        <v>Capex Orcamentário_PE2026_2030_red_35_porcentoR3_consulta.xlsx</v>
      </c>
      <c r="D87" s="163" t="str">
        <f t="shared" si="7"/>
        <v>COO</v>
      </c>
      <c r="E87" s="163" t="str">
        <f t="shared" si="8"/>
        <v>Lucas Martins</v>
      </c>
      <c r="F87" s="164"/>
      <c r="G87" s="164" t="e">
        <f>_xlfn.CONCAT('Consolidado-Eletronorte'!#REF!,"_",ROW('Consolidado-Eletronorte'!#REF!)-ROW('Consolidado-Eletronorte'!$G$18))</f>
        <v>#REF!</v>
      </c>
      <c r="H87" s="165" t="s">
        <v>506</v>
      </c>
      <c r="I87" s="165" t="s">
        <v>135</v>
      </c>
      <c r="J87" s="165" t="s">
        <v>508</v>
      </c>
      <c r="K87" s="165" t="s">
        <v>1039</v>
      </c>
      <c r="L87" s="165" t="s">
        <v>1040</v>
      </c>
      <c r="M87" s="178" t="s">
        <v>1313</v>
      </c>
      <c r="N87" s="165"/>
      <c r="O87" s="165"/>
      <c r="P87" s="165"/>
      <c r="Q87" s="178" t="s">
        <v>1314</v>
      </c>
      <c r="R87" s="178" t="s">
        <v>1140</v>
      </c>
      <c r="S87" s="178" t="s">
        <v>1283</v>
      </c>
      <c r="T87" s="198">
        <v>215</v>
      </c>
      <c r="U87" s="198">
        <v>215</v>
      </c>
      <c r="V87" s="198">
        <v>215</v>
      </c>
      <c r="W87" s="198">
        <v>215</v>
      </c>
      <c r="X87" s="198">
        <v>215</v>
      </c>
      <c r="Y87" s="198">
        <v>215</v>
      </c>
      <c r="Z87" s="198">
        <v>215</v>
      </c>
      <c r="AA87" s="198">
        <v>215</v>
      </c>
      <c r="AB87" s="198">
        <v>215</v>
      </c>
      <c r="AC87" s="198" t="s">
        <v>1045</v>
      </c>
      <c r="AD87" s="198" t="s">
        <v>1045</v>
      </c>
      <c r="AE87" s="198" t="s">
        <v>1045</v>
      </c>
      <c r="AF87" s="197">
        <f>SUM(Tabela96[[#This Row],[jan/26]:[dez/26]])</f>
        <v>1935</v>
      </c>
      <c r="AG87" s="198">
        <v>0</v>
      </c>
      <c r="AH87" s="198">
        <v>0</v>
      </c>
      <c r="AI87" s="198">
        <v>0</v>
      </c>
      <c r="AJ87" s="198">
        <v>0</v>
      </c>
      <c r="AK87" s="198">
        <f>SUM(Tabela96[[#This Row],[2026]:[2030]])</f>
        <v>1935</v>
      </c>
      <c r="AL87" s="198">
        <v>0</v>
      </c>
      <c r="AM87" s="198">
        <v>0</v>
      </c>
      <c r="AN87" s="198">
        <v>0</v>
      </c>
      <c r="AO87" s="198">
        <v>0</v>
      </c>
      <c r="AP87" s="198">
        <v>0</v>
      </c>
      <c r="AQ87" s="202">
        <f>SUM(Tabela96[[#This Row],[2026-2030]:[2035]])</f>
        <v>1935</v>
      </c>
      <c r="AS87" s="178" t="s">
        <v>1046</v>
      </c>
      <c r="AT87" s="201">
        <v>2024</v>
      </c>
      <c r="AU87" s="178" t="s">
        <v>1315</v>
      </c>
      <c r="AV87" s="112" t="s">
        <v>1285</v>
      </c>
      <c r="AW87" s="178" t="s">
        <v>517</v>
      </c>
      <c r="AZ87" s="178" t="s">
        <v>1144</v>
      </c>
    </row>
    <row r="88" spans="2:52" ht="24.75" customHeight="1" x14ac:dyDescent="0.35">
      <c r="B88" s="179" t="e" cm="1">
        <f t="array" ref="B88">AND(ISTEXT('Consolidado-Eletronorte'!#REF!),SUM('Consolidado-Eletronorte'!#REF!)&gt;0)</f>
        <v>#REF!</v>
      </c>
      <c r="C88" s="162" t="str">
        <f t="shared" ca="1" si="6"/>
        <v>Capex Orcamentário_PE2026_2030_red_35_porcentoR3_consulta.xlsx</v>
      </c>
      <c r="D88" s="163" t="str">
        <f t="shared" si="7"/>
        <v>COO</v>
      </c>
      <c r="E88" s="163" t="str">
        <f t="shared" si="8"/>
        <v>Lucas Martins</v>
      </c>
      <c r="F88" s="164"/>
      <c r="G88" s="164" t="e">
        <f>_xlfn.CONCAT('Consolidado-Eletronorte'!#REF!,"_",ROW('Consolidado-Eletronorte'!#REF!)-ROW('Consolidado-Eletronorte'!$G$18))</f>
        <v>#REF!</v>
      </c>
      <c r="H88" s="165" t="s">
        <v>506</v>
      </c>
      <c r="I88" s="165" t="s">
        <v>135</v>
      </c>
      <c r="J88" s="165" t="s">
        <v>508</v>
      </c>
      <c r="K88" s="165" t="s">
        <v>1039</v>
      </c>
      <c r="L88" s="165" t="s">
        <v>1040</v>
      </c>
      <c r="M88" s="178" t="s">
        <v>1316</v>
      </c>
      <c r="N88" s="165"/>
      <c r="O88" s="165"/>
      <c r="P88" s="165"/>
      <c r="Q88" s="178" t="s">
        <v>1317</v>
      </c>
      <c r="R88" s="178" t="s">
        <v>1140</v>
      </c>
      <c r="S88" s="178" t="s">
        <v>1283</v>
      </c>
      <c r="T88" s="198">
        <v>215</v>
      </c>
      <c r="U88" s="198">
        <v>215</v>
      </c>
      <c r="V88" s="198">
        <v>215</v>
      </c>
      <c r="W88" s="198">
        <v>215</v>
      </c>
      <c r="X88" s="198">
        <v>215</v>
      </c>
      <c r="Y88" s="198">
        <v>215</v>
      </c>
      <c r="Z88" s="198">
        <v>215</v>
      </c>
      <c r="AA88" s="198">
        <v>215</v>
      </c>
      <c r="AB88" s="198">
        <v>215</v>
      </c>
      <c r="AC88" s="198" t="s">
        <v>1045</v>
      </c>
      <c r="AD88" s="198" t="s">
        <v>1045</v>
      </c>
      <c r="AE88" s="198" t="s">
        <v>1045</v>
      </c>
      <c r="AF88" s="197">
        <f>SUM(Tabela96[[#This Row],[jan/26]:[dez/26]])</f>
        <v>1935</v>
      </c>
      <c r="AG88" s="198">
        <v>0</v>
      </c>
      <c r="AH88" s="198">
        <v>0</v>
      </c>
      <c r="AI88" s="198">
        <v>0</v>
      </c>
      <c r="AJ88" s="198">
        <v>0</v>
      </c>
      <c r="AK88" s="198">
        <f>SUM(Tabela96[[#This Row],[2026]:[2030]])</f>
        <v>1935</v>
      </c>
      <c r="AL88" s="198">
        <v>0</v>
      </c>
      <c r="AM88" s="198">
        <v>0</v>
      </c>
      <c r="AN88" s="198">
        <v>0</v>
      </c>
      <c r="AO88" s="198">
        <v>0</v>
      </c>
      <c r="AP88" s="198">
        <v>0</v>
      </c>
      <c r="AQ88" s="202">
        <f>SUM(Tabela96[[#This Row],[2026-2030]:[2035]])</f>
        <v>1935</v>
      </c>
      <c r="AS88" s="178" t="s">
        <v>1046</v>
      </c>
      <c r="AT88" s="201">
        <v>2024</v>
      </c>
      <c r="AU88" s="178" t="s">
        <v>1318</v>
      </c>
      <c r="AV88" s="112" t="s">
        <v>1285</v>
      </c>
      <c r="AW88" s="178" t="s">
        <v>517</v>
      </c>
      <c r="AZ88" s="178" t="s">
        <v>1144</v>
      </c>
    </row>
    <row r="89" spans="2:52" ht="24.75" customHeight="1" x14ac:dyDescent="0.35">
      <c r="B89" s="179" t="e" cm="1">
        <f t="array" ref="B89">AND(ISTEXT('Consolidado-Eletronorte'!#REF!),SUM('Consolidado-Eletronorte'!#REF!)&gt;0)</f>
        <v>#REF!</v>
      </c>
      <c r="C89" s="162" t="str">
        <f t="shared" ca="1" si="6"/>
        <v>Capex Orcamentário_PE2026_2030_red_35_porcentoR3_consulta.xlsx</v>
      </c>
      <c r="D89" s="163" t="str">
        <f t="shared" si="7"/>
        <v>COO</v>
      </c>
      <c r="E89" s="163" t="str">
        <f t="shared" si="8"/>
        <v>Lucas Martins</v>
      </c>
      <c r="F89" s="164"/>
      <c r="G89" s="164" t="e">
        <f>_xlfn.CONCAT('Consolidado-Eletronorte'!#REF!,"_",ROW('Consolidado-Eletronorte'!#REF!)-ROW('Consolidado-Eletronorte'!$G$18))</f>
        <v>#REF!</v>
      </c>
      <c r="H89" s="165" t="s">
        <v>506</v>
      </c>
      <c r="I89" s="165" t="s">
        <v>135</v>
      </c>
      <c r="J89" s="165" t="s">
        <v>508</v>
      </c>
      <c r="K89" s="165" t="s">
        <v>1039</v>
      </c>
      <c r="L89" s="165" t="s">
        <v>1040</v>
      </c>
      <c r="M89" s="178" t="s">
        <v>1319</v>
      </c>
      <c r="N89" s="165"/>
      <c r="O89" s="165"/>
      <c r="P89" s="165"/>
      <c r="Q89" s="178" t="s">
        <v>1320</v>
      </c>
      <c r="R89" s="178" t="s">
        <v>1140</v>
      </c>
      <c r="S89" s="178" t="s">
        <v>1283</v>
      </c>
      <c r="T89" s="198">
        <v>215</v>
      </c>
      <c r="U89" s="198">
        <v>215</v>
      </c>
      <c r="V89" s="198">
        <v>215</v>
      </c>
      <c r="W89" s="198">
        <v>215</v>
      </c>
      <c r="X89" s="198">
        <v>215</v>
      </c>
      <c r="Y89" s="198">
        <v>215</v>
      </c>
      <c r="Z89" s="198">
        <v>215</v>
      </c>
      <c r="AA89" s="198">
        <v>215</v>
      </c>
      <c r="AB89" s="198">
        <v>215</v>
      </c>
      <c r="AC89" s="198" t="s">
        <v>1045</v>
      </c>
      <c r="AD89" s="198" t="s">
        <v>1045</v>
      </c>
      <c r="AE89" s="198" t="s">
        <v>1045</v>
      </c>
      <c r="AF89" s="197">
        <f>SUM(Tabela96[[#This Row],[jan/26]:[dez/26]])</f>
        <v>1935</v>
      </c>
      <c r="AG89" s="198">
        <v>0</v>
      </c>
      <c r="AH89" s="198">
        <v>0</v>
      </c>
      <c r="AI89" s="198">
        <v>0</v>
      </c>
      <c r="AJ89" s="198">
        <v>0</v>
      </c>
      <c r="AK89" s="198">
        <f>SUM(Tabela96[[#This Row],[2026]:[2030]])</f>
        <v>1935</v>
      </c>
      <c r="AL89" s="198">
        <v>0</v>
      </c>
      <c r="AM89" s="198">
        <v>0</v>
      </c>
      <c r="AN89" s="198">
        <v>0</v>
      </c>
      <c r="AO89" s="198">
        <v>0</v>
      </c>
      <c r="AP89" s="198">
        <v>0</v>
      </c>
      <c r="AQ89" s="202">
        <f>SUM(Tabela96[[#This Row],[2026-2030]:[2035]])</f>
        <v>1935</v>
      </c>
      <c r="AS89" s="178" t="s">
        <v>1046</v>
      </c>
      <c r="AT89" s="201">
        <v>2024</v>
      </c>
      <c r="AU89" s="178" t="s">
        <v>1321</v>
      </c>
      <c r="AV89" s="112" t="s">
        <v>1285</v>
      </c>
      <c r="AW89" s="178" t="s">
        <v>517</v>
      </c>
      <c r="AZ89" s="178" t="s">
        <v>1144</v>
      </c>
    </row>
    <row r="90" spans="2:52" ht="24.75" customHeight="1" x14ac:dyDescent="0.35">
      <c r="B90" s="179" t="e" cm="1">
        <f t="array" ref="B90">AND(ISTEXT('Consolidado-Eletronorte'!#REF!),SUM('Consolidado-Eletronorte'!#REF!)&gt;0)</f>
        <v>#REF!</v>
      </c>
      <c r="C90" s="162" t="str">
        <f t="shared" ca="1" si="6"/>
        <v>Capex Orcamentário_PE2026_2030_red_35_porcentoR3_consulta.xlsx</v>
      </c>
      <c r="D90" s="163" t="str">
        <f t="shared" si="7"/>
        <v>COO</v>
      </c>
      <c r="E90" s="163" t="str">
        <f t="shared" si="8"/>
        <v>Lucas Martins</v>
      </c>
      <c r="F90" s="164"/>
      <c r="G90" s="164" t="e">
        <f>_xlfn.CONCAT('Consolidado-Eletronorte'!#REF!,"_",ROW('Consolidado-Eletronorte'!#REF!)-ROW('Consolidado-Eletronorte'!$G$18))</f>
        <v>#REF!</v>
      </c>
      <c r="H90" s="165" t="s">
        <v>506</v>
      </c>
      <c r="I90" s="165" t="s">
        <v>135</v>
      </c>
      <c r="J90" s="165" t="s">
        <v>508</v>
      </c>
      <c r="K90" s="165" t="s">
        <v>1039</v>
      </c>
      <c r="L90" s="165" t="s">
        <v>1040</v>
      </c>
      <c r="M90" s="178" t="s">
        <v>1322</v>
      </c>
      <c r="N90" s="165"/>
      <c r="O90" s="165"/>
      <c r="P90" s="165"/>
      <c r="Q90" s="178" t="s">
        <v>1323</v>
      </c>
      <c r="R90" s="178" t="s">
        <v>1140</v>
      </c>
      <c r="S90" s="178" t="s">
        <v>1283</v>
      </c>
      <c r="T90" s="198">
        <v>215</v>
      </c>
      <c r="U90" s="198">
        <v>215</v>
      </c>
      <c r="V90" s="198">
        <v>215</v>
      </c>
      <c r="W90" s="198">
        <v>215</v>
      </c>
      <c r="X90" s="198">
        <v>215</v>
      </c>
      <c r="Y90" s="198">
        <v>215</v>
      </c>
      <c r="Z90" s="198">
        <v>215</v>
      </c>
      <c r="AA90" s="198">
        <v>215</v>
      </c>
      <c r="AB90" s="198">
        <v>215</v>
      </c>
      <c r="AC90" s="198" t="s">
        <v>1045</v>
      </c>
      <c r="AD90" s="198" t="s">
        <v>1045</v>
      </c>
      <c r="AE90" s="198" t="s">
        <v>1045</v>
      </c>
      <c r="AF90" s="197">
        <f>SUM(Tabela96[[#This Row],[jan/26]:[dez/26]])</f>
        <v>1935</v>
      </c>
      <c r="AG90" s="198">
        <v>0</v>
      </c>
      <c r="AH90" s="198">
        <v>0</v>
      </c>
      <c r="AI90" s="198">
        <v>0</v>
      </c>
      <c r="AJ90" s="198">
        <v>0</v>
      </c>
      <c r="AK90" s="198">
        <f>SUM(Tabela96[[#This Row],[2026]:[2030]])</f>
        <v>1935</v>
      </c>
      <c r="AL90" s="198">
        <v>0</v>
      </c>
      <c r="AM90" s="198">
        <v>0</v>
      </c>
      <c r="AN90" s="198">
        <v>0</v>
      </c>
      <c r="AO90" s="198">
        <v>0</v>
      </c>
      <c r="AP90" s="198">
        <v>0</v>
      </c>
      <c r="AQ90" s="202">
        <f>SUM(Tabela96[[#This Row],[2026-2030]:[2035]])</f>
        <v>1935</v>
      </c>
      <c r="AS90" s="178" t="s">
        <v>1046</v>
      </c>
      <c r="AT90" s="201">
        <v>2024</v>
      </c>
      <c r="AU90" s="178" t="s">
        <v>1324</v>
      </c>
      <c r="AV90" s="112" t="s">
        <v>1285</v>
      </c>
      <c r="AW90" s="178" t="s">
        <v>517</v>
      </c>
      <c r="AZ90" s="178" t="s">
        <v>1144</v>
      </c>
    </row>
    <row r="91" spans="2:52" ht="24.75" customHeight="1" x14ac:dyDescent="0.35">
      <c r="B91" s="179" t="e" cm="1">
        <f t="array" ref="B91">AND(ISTEXT('Consolidado-Eletronorte'!#REF!),SUM('Consolidado-Eletronorte'!#REF!)&gt;0)</f>
        <v>#REF!</v>
      </c>
      <c r="C91" s="162" t="str">
        <f t="shared" ca="1" si="6"/>
        <v>Capex Orcamentário_PE2026_2030_red_35_porcentoR3_consulta.xlsx</v>
      </c>
      <c r="D91" s="163" t="str">
        <f t="shared" si="7"/>
        <v>COO</v>
      </c>
      <c r="E91" s="163" t="str">
        <f t="shared" si="8"/>
        <v>Lucas Martins</v>
      </c>
      <c r="F91" s="164"/>
      <c r="G91" s="164" t="e">
        <f>_xlfn.CONCAT('Consolidado-Eletronorte'!#REF!,"_",ROW('Consolidado-Eletronorte'!#REF!)-ROW('Consolidado-Eletronorte'!$G$18))</f>
        <v>#REF!</v>
      </c>
      <c r="H91" s="165" t="s">
        <v>506</v>
      </c>
      <c r="I91" s="165" t="s">
        <v>135</v>
      </c>
      <c r="J91" s="165" t="s">
        <v>508</v>
      </c>
      <c r="K91" s="165" t="s">
        <v>1039</v>
      </c>
      <c r="L91" s="165" t="s">
        <v>1040</v>
      </c>
      <c r="M91" s="178" t="s">
        <v>1325</v>
      </c>
      <c r="N91" s="165"/>
      <c r="O91" s="165"/>
      <c r="P91" s="165"/>
      <c r="Q91" s="178" t="s">
        <v>1326</v>
      </c>
      <c r="R91" s="178" t="s">
        <v>1140</v>
      </c>
      <c r="S91" s="178" t="s">
        <v>1283</v>
      </c>
      <c r="T91" s="198">
        <v>215</v>
      </c>
      <c r="U91" s="198">
        <v>215</v>
      </c>
      <c r="V91" s="198">
        <v>215</v>
      </c>
      <c r="W91" s="198">
        <v>215</v>
      </c>
      <c r="X91" s="198">
        <v>215</v>
      </c>
      <c r="Y91" s="198">
        <v>215</v>
      </c>
      <c r="Z91" s="198">
        <v>215</v>
      </c>
      <c r="AA91" s="198">
        <v>215</v>
      </c>
      <c r="AB91" s="198">
        <v>215</v>
      </c>
      <c r="AC91" s="198" t="s">
        <v>1045</v>
      </c>
      <c r="AD91" s="198" t="s">
        <v>1045</v>
      </c>
      <c r="AE91" s="198" t="s">
        <v>1045</v>
      </c>
      <c r="AF91" s="197">
        <f>SUM(Tabela96[[#This Row],[jan/26]:[dez/26]])</f>
        <v>1935</v>
      </c>
      <c r="AG91" s="198">
        <v>0</v>
      </c>
      <c r="AH91" s="198">
        <v>0</v>
      </c>
      <c r="AI91" s="198">
        <v>0</v>
      </c>
      <c r="AJ91" s="198">
        <v>0</v>
      </c>
      <c r="AK91" s="198">
        <f>SUM(Tabela96[[#This Row],[2026]:[2030]])</f>
        <v>1935</v>
      </c>
      <c r="AL91" s="198">
        <v>0</v>
      </c>
      <c r="AM91" s="198">
        <v>0</v>
      </c>
      <c r="AN91" s="198">
        <v>0</v>
      </c>
      <c r="AO91" s="198">
        <v>0</v>
      </c>
      <c r="AP91" s="198">
        <v>0</v>
      </c>
      <c r="AQ91" s="202">
        <f>SUM(Tabela96[[#This Row],[2026-2030]:[2035]])</f>
        <v>1935</v>
      </c>
      <c r="AS91" s="178" t="s">
        <v>1046</v>
      </c>
      <c r="AT91" s="201">
        <v>2024</v>
      </c>
      <c r="AU91" s="178" t="s">
        <v>1327</v>
      </c>
      <c r="AV91" s="112" t="s">
        <v>1285</v>
      </c>
      <c r="AW91" s="178" t="s">
        <v>517</v>
      </c>
      <c r="AZ91" s="178" t="s">
        <v>1144</v>
      </c>
    </row>
    <row r="92" spans="2:52" ht="24.75" customHeight="1" x14ac:dyDescent="0.35">
      <c r="B92" s="179" t="e" cm="1">
        <f t="array" ref="B92">AND(ISTEXT('Consolidado-Eletronorte'!#REF!),SUM('Consolidado-Eletronorte'!#REF!)&gt;0)</f>
        <v>#REF!</v>
      </c>
      <c r="C92" s="162" t="str">
        <f t="shared" ca="1" si="6"/>
        <v>Capex Orcamentário_PE2026_2030_red_35_porcentoR3_consulta.xlsx</v>
      </c>
      <c r="D92" s="163" t="str">
        <f t="shared" si="7"/>
        <v>COO</v>
      </c>
      <c r="E92" s="163" t="str">
        <f t="shared" si="8"/>
        <v>Lucas Martins</v>
      </c>
      <c r="F92" s="164"/>
      <c r="G92" s="164" t="e">
        <f>_xlfn.CONCAT('Consolidado-Eletronorte'!#REF!,"_",ROW('Consolidado-Eletronorte'!#REF!)-ROW('Consolidado-Eletronorte'!$G$18))</f>
        <v>#REF!</v>
      </c>
      <c r="H92" s="165" t="s">
        <v>506</v>
      </c>
      <c r="I92" s="165" t="s">
        <v>135</v>
      </c>
      <c r="J92" s="165" t="s">
        <v>508</v>
      </c>
      <c r="K92" s="165" t="s">
        <v>1039</v>
      </c>
      <c r="L92" s="165" t="s">
        <v>1040</v>
      </c>
      <c r="M92" s="178" t="s">
        <v>1328</v>
      </c>
      <c r="N92" s="165"/>
      <c r="O92" s="165"/>
      <c r="P92" s="165"/>
      <c r="Q92" s="178" t="s">
        <v>1329</v>
      </c>
      <c r="R92" s="178" t="s">
        <v>1140</v>
      </c>
      <c r="S92" s="178" t="s">
        <v>1330</v>
      </c>
      <c r="T92" s="198">
        <v>215</v>
      </c>
      <c r="U92" s="198">
        <v>215</v>
      </c>
      <c r="V92" s="198">
        <v>215</v>
      </c>
      <c r="W92" s="198">
        <v>215</v>
      </c>
      <c r="X92" s="198">
        <v>215</v>
      </c>
      <c r="Y92" s="198">
        <v>215</v>
      </c>
      <c r="Z92" s="198">
        <v>215</v>
      </c>
      <c r="AA92" s="198">
        <v>215</v>
      </c>
      <c r="AB92" s="198">
        <v>215</v>
      </c>
      <c r="AC92" s="198" t="s">
        <v>1045</v>
      </c>
      <c r="AD92" s="198" t="s">
        <v>1045</v>
      </c>
      <c r="AE92" s="198" t="s">
        <v>1045</v>
      </c>
      <c r="AF92" s="197">
        <f>SUM(Tabela96[[#This Row],[jan/26]:[dez/26]])</f>
        <v>1935</v>
      </c>
      <c r="AG92" s="198">
        <v>0</v>
      </c>
      <c r="AH92" s="198">
        <v>0</v>
      </c>
      <c r="AI92" s="198">
        <v>0</v>
      </c>
      <c r="AJ92" s="198">
        <v>0</v>
      </c>
      <c r="AK92" s="198">
        <f>SUM(Tabela96[[#This Row],[2026]:[2030]])</f>
        <v>1935</v>
      </c>
      <c r="AL92" s="198">
        <v>0</v>
      </c>
      <c r="AM92" s="198">
        <v>0</v>
      </c>
      <c r="AN92" s="198">
        <v>0</v>
      </c>
      <c r="AO92" s="198">
        <v>0</v>
      </c>
      <c r="AP92" s="198">
        <v>0</v>
      </c>
      <c r="AQ92" s="202">
        <f>SUM(Tabela96[[#This Row],[2026-2030]:[2035]])</f>
        <v>1935</v>
      </c>
      <c r="AS92" s="178" t="s">
        <v>1046</v>
      </c>
      <c r="AT92" s="201">
        <v>2024</v>
      </c>
      <c r="AU92" s="178" t="s">
        <v>1331</v>
      </c>
      <c r="AV92" s="112" t="s">
        <v>1332</v>
      </c>
      <c r="AW92" s="178" t="s">
        <v>517</v>
      </c>
      <c r="AZ92" s="178" t="s">
        <v>1144</v>
      </c>
    </row>
    <row r="93" spans="2:52" ht="24.75" customHeight="1" x14ac:dyDescent="0.35">
      <c r="B93" s="179" t="e" cm="1">
        <f t="array" ref="B93">AND(ISTEXT('Consolidado-Eletronorte'!#REF!),SUM('Consolidado-Eletronorte'!#REF!)&gt;0)</f>
        <v>#REF!</v>
      </c>
      <c r="C93" s="162" t="str">
        <f t="shared" ca="1" si="6"/>
        <v>Capex Orcamentário_PE2026_2030_red_35_porcentoR3_consulta.xlsx</v>
      </c>
      <c r="D93" s="163" t="str">
        <f t="shared" si="7"/>
        <v>COO</v>
      </c>
      <c r="E93" s="163" t="str">
        <f t="shared" si="8"/>
        <v>Lucas Martins</v>
      </c>
      <c r="F93" s="164"/>
      <c r="G93" s="164" t="e">
        <f>_xlfn.CONCAT('Consolidado-Eletronorte'!#REF!,"_",ROW('Consolidado-Eletronorte'!#REF!)-ROW('Consolidado-Eletronorte'!$G$18))</f>
        <v>#REF!</v>
      </c>
      <c r="H93" s="165" t="s">
        <v>506</v>
      </c>
      <c r="I93" s="165" t="s">
        <v>135</v>
      </c>
      <c r="J93" s="165" t="s">
        <v>508</v>
      </c>
      <c r="K93" s="165" t="s">
        <v>1039</v>
      </c>
      <c r="L93" s="165" t="s">
        <v>1040</v>
      </c>
      <c r="M93" s="178" t="s">
        <v>1333</v>
      </c>
      <c r="N93" s="165"/>
      <c r="O93" s="165"/>
      <c r="P93" s="165"/>
      <c r="Q93" s="178" t="s">
        <v>1334</v>
      </c>
      <c r="R93" s="178" t="s">
        <v>1140</v>
      </c>
      <c r="S93" s="178" t="s">
        <v>1330</v>
      </c>
      <c r="T93" s="198">
        <v>215</v>
      </c>
      <c r="U93" s="198">
        <v>215</v>
      </c>
      <c r="V93" s="198">
        <v>215</v>
      </c>
      <c r="W93" s="198">
        <v>215</v>
      </c>
      <c r="X93" s="198">
        <v>215</v>
      </c>
      <c r="Y93" s="198">
        <v>215</v>
      </c>
      <c r="Z93" s="198">
        <v>215</v>
      </c>
      <c r="AA93" s="198">
        <v>215</v>
      </c>
      <c r="AB93" s="198">
        <v>215</v>
      </c>
      <c r="AC93" s="198" t="s">
        <v>1045</v>
      </c>
      <c r="AD93" s="198" t="s">
        <v>1045</v>
      </c>
      <c r="AE93" s="198" t="s">
        <v>1045</v>
      </c>
      <c r="AF93" s="197">
        <f>SUM(Tabela96[[#This Row],[jan/26]:[dez/26]])</f>
        <v>1935</v>
      </c>
      <c r="AG93" s="198">
        <v>0</v>
      </c>
      <c r="AH93" s="198">
        <v>0</v>
      </c>
      <c r="AI93" s="198">
        <v>0</v>
      </c>
      <c r="AJ93" s="198">
        <v>0</v>
      </c>
      <c r="AK93" s="198">
        <f>SUM(Tabela96[[#This Row],[2026]:[2030]])</f>
        <v>1935</v>
      </c>
      <c r="AL93" s="198">
        <v>0</v>
      </c>
      <c r="AM93" s="198">
        <v>0</v>
      </c>
      <c r="AN93" s="198">
        <v>0</v>
      </c>
      <c r="AO93" s="198">
        <v>0</v>
      </c>
      <c r="AP93" s="198">
        <v>0</v>
      </c>
      <c r="AQ93" s="202">
        <f>SUM(Tabela96[[#This Row],[2026-2030]:[2035]])</f>
        <v>1935</v>
      </c>
      <c r="AS93" s="178" t="s">
        <v>1046</v>
      </c>
      <c r="AT93" s="201">
        <v>2024</v>
      </c>
      <c r="AU93" s="178" t="s">
        <v>1335</v>
      </c>
      <c r="AV93" s="112" t="s">
        <v>1332</v>
      </c>
      <c r="AW93" s="178" t="s">
        <v>517</v>
      </c>
      <c r="AZ93" s="178" t="s">
        <v>1144</v>
      </c>
    </row>
    <row r="94" spans="2:52" ht="24.75" customHeight="1" x14ac:dyDescent="0.35">
      <c r="B94" s="179" t="e" cm="1">
        <f t="array" ref="B94">AND(ISTEXT('Consolidado-Eletronorte'!#REF!),SUM('Consolidado-Eletronorte'!#REF!)&gt;0)</f>
        <v>#REF!</v>
      </c>
      <c r="C94" s="162" t="str">
        <f t="shared" ca="1" si="6"/>
        <v>Capex Orcamentário_PE2026_2030_red_35_porcentoR3_consulta.xlsx</v>
      </c>
      <c r="D94" s="163" t="str">
        <f t="shared" si="7"/>
        <v>COO</v>
      </c>
      <c r="E94" s="163" t="str">
        <f t="shared" si="8"/>
        <v>Lucas Martins</v>
      </c>
      <c r="F94" s="164"/>
      <c r="G94" s="164" t="e">
        <f>_xlfn.CONCAT('Consolidado-Eletronorte'!#REF!,"_",ROW('Consolidado-Eletronorte'!#REF!)-ROW('Consolidado-Eletronorte'!$G$18))</f>
        <v>#REF!</v>
      </c>
      <c r="H94" s="165" t="s">
        <v>506</v>
      </c>
      <c r="I94" s="165" t="s">
        <v>135</v>
      </c>
      <c r="J94" s="165" t="s">
        <v>508</v>
      </c>
      <c r="K94" s="165" t="s">
        <v>1039</v>
      </c>
      <c r="L94" s="165" t="s">
        <v>1040</v>
      </c>
      <c r="M94" s="178" t="s">
        <v>1336</v>
      </c>
      <c r="N94" s="165"/>
      <c r="O94" s="165"/>
      <c r="P94" s="165"/>
      <c r="Q94" s="178" t="s">
        <v>1337</v>
      </c>
      <c r="R94" s="178" t="s">
        <v>1140</v>
      </c>
      <c r="S94" s="178" t="s">
        <v>1330</v>
      </c>
      <c r="T94" s="198">
        <v>215</v>
      </c>
      <c r="U94" s="198">
        <v>215</v>
      </c>
      <c r="V94" s="198">
        <v>215</v>
      </c>
      <c r="W94" s="198">
        <v>215</v>
      </c>
      <c r="X94" s="198">
        <v>215</v>
      </c>
      <c r="Y94" s="198">
        <v>215</v>
      </c>
      <c r="Z94" s="198">
        <v>215</v>
      </c>
      <c r="AA94" s="198">
        <v>215</v>
      </c>
      <c r="AB94" s="198">
        <v>215</v>
      </c>
      <c r="AC94" s="198" t="s">
        <v>1045</v>
      </c>
      <c r="AD94" s="198" t="s">
        <v>1045</v>
      </c>
      <c r="AE94" s="198" t="s">
        <v>1045</v>
      </c>
      <c r="AF94" s="197">
        <f>SUM(Tabela96[[#This Row],[jan/26]:[dez/26]])</f>
        <v>1935</v>
      </c>
      <c r="AG94" s="198">
        <v>0</v>
      </c>
      <c r="AH94" s="198">
        <v>0</v>
      </c>
      <c r="AI94" s="198">
        <v>0</v>
      </c>
      <c r="AJ94" s="198">
        <v>0</v>
      </c>
      <c r="AK94" s="198">
        <f>SUM(Tabela96[[#This Row],[2026]:[2030]])</f>
        <v>1935</v>
      </c>
      <c r="AL94" s="198">
        <v>0</v>
      </c>
      <c r="AM94" s="198">
        <v>0</v>
      </c>
      <c r="AN94" s="198">
        <v>0</v>
      </c>
      <c r="AO94" s="198">
        <v>0</v>
      </c>
      <c r="AP94" s="198">
        <v>0</v>
      </c>
      <c r="AQ94" s="202">
        <f>SUM(Tabela96[[#This Row],[2026-2030]:[2035]])</f>
        <v>1935</v>
      </c>
      <c r="AS94" s="178" t="s">
        <v>1046</v>
      </c>
      <c r="AT94" s="201">
        <v>2024</v>
      </c>
      <c r="AU94" s="178" t="s">
        <v>1338</v>
      </c>
      <c r="AV94" s="112" t="s">
        <v>1332</v>
      </c>
      <c r="AW94" s="178" t="s">
        <v>517</v>
      </c>
      <c r="AZ94" s="178" t="s">
        <v>1144</v>
      </c>
    </row>
    <row r="95" spans="2:52" ht="24.75" customHeight="1" x14ac:dyDescent="0.35">
      <c r="B95" s="179" t="e" cm="1">
        <f t="array" ref="B95">AND(ISTEXT('Consolidado-Eletronorte'!#REF!),SUM('Consolidado-Eletronorte'!#REF!)&gt;0)</f>
        <v>#REF!</v>
      </c>
      <c r="C95" s="162" t="str">
        <f t="shared" ca="1" si="6"/>
        <v>Capex Orcamentário_PE2026_2030_red_35_porcentoR3_consulta.xlsx</v>
      </c>
      <c r="D95" s="163" t="str">
        <f t="shared" si="7"/>
        <v>COO</v>
      </c>
      <c r="E95" s="163" t="str">
        <f t="shared" si="8"/>
        <v>Lucas Martins</v>
      </c>
      <c r="F95" s="164"/>
      <c r="G95" s="164" t="e">
        <f>_xlfn.CONCAT('Consolidado-Eletronorte'!#REF!,"_",ROW('Consolidado-Eletronorte'!#REF!)-ROW('Consolidado-Eletronorte'!$G$18))</f>
        <v>#REF!</v>
      </c>
      <c r="H95" s="165" t="s">
        <v>506</v>
      </c>
      <c r="I95" s="165" t="s">
        <v>135</v>
      </c>
      <c r="J95" s="165" t="s">
        <v>508</v>
      </c>
      <c r="K95" s="165" t="s">
        <v>1039</v>
      </c>
      <c r="L95" s="165" t="s">
        <v>1040</v>
      </c>
      <c r="M95" s="178" t="s">
        <v>1339</v>
      </c>
      <c r="N95" s="165"/>
      <c r="O95" s="165"/>
      <c r="P95" s="165"/>
      <c r="Q95" s="178" t="s">
        <v>1340</v>
      </c>
      <c r="R95" s="178" t="s">
        <v>1140</v>
      </c>
      <c r="S95" s="178" t="s">
        <v>1330</v>
      </c>
      <c r="T95" s="198">
        <v>215</v>
      </c>
      <c r="U95" s="198">
        <v>215</v>
      </c>
      <c r="V95" s="198">
        <v>215</v>
      </c>
      <c r="W95" s="198">
        <v>215</v>
      </c>
      <c r="X95" s="198">
        <v>215</v>
      </c>
      <c r="Y95" s="198">
        <v>215</v>
      </c>
      <c r="Z95" s="198">
        <v>215</v>
      </c>
      <c r="AA95" s="198">
        <v>215</v>
      </c>
      <c r="AB95" s="198">
        <v>215</v>
      </c>
      <c r="AC95" s="198" t="s">
        <v>1045</v>
      </c>
      <c r="AD95" s="198" t="s">
        <v>1045</v>
      </c>
      <c r="AE95" s="198" t="s">
        <v>1045</v>
      </c>
      <c r="AF95" s="197">
        <f>SUM(Tabela96[[#This Row],[jan/26]:[dez/26]])</f>
        <v>1935</v>
      </c>
      <c r="AG95" s="198">
        <v>0</v>
      </c>
      <c r="AH95" s="198">
        <v>0</v>
      </c>
      <c r="AI95" s="198">
        <v>0</v>
      </c>
      <c r="AJ95" s="198">
        <v>0</v>
      </c>
      <c r="AK95" s="198">
        <f>SUM(Tabela96[[#This Row],[2026]:[2030]])</f>
        <v>1935</v>
      </c>
      <c r="AL95" s="198">
        <v>0</v>
      </c>
      <c r="AM95" s="198">
        <v>0</v>
      </c>
      <c r="AN95" s="198">
        <v>0</v>
      </c>
      <c r="AO95" s="198">
        <v>0</v>
      </c>
      <c r="AP95" s="198">
        <v>0</v>
      </c>
      <c r="AQ95" s="202">
        <f>SUM(Tabela96[[#This Row],[2026-2030]:[2035]])</f>
        <v>1935</v>
      </c>
      <c r="AS95" s="178" t="s">
        <v>1046</v>
      </c>
      <c r="AT95" s="201">
        <v>2024</v>
      </c>
      <c r="AU95" s="178" t="s">
        <v>1341</v>
      </c>
      <c r="AV95" s="112" t="s">
        <v>1332</v>
      </c>
      <c r="AW95" s="178" t="s">
        <v>517</v>
      </c>
      <c r="AZ95" s="178" t="s">
        <v>1144</v>
      </c>
    </row>
    <row r="96" spans="2:52" ht="24.75" customHeight="1" x14ac:dyDescent="0.35">
      <c r="B96" s="179" t="e" cm="1">
        <f t="array" ref="B96">AND(ISTEXT('Consolidado-Eletronorte'!#REF!),SUM('Consolidado-Eletronorte'!#REF!)&gt;0)</f>
        <v>#REF!</v>
      </c>
      <c r="C96" s="162" t="str">
        <f t="shared" ca="1" si="6"/>
        <v>Capex Orcamentário_PE2026_2030_red_35_porcentoR3_consulta.xlsx</v>
      </c>
      <c r="D96" s="163" t="str">
        <f t="shared" si="7"/>
        <v>COO</v>
      </c>
      <c r="E96" s="163" t="str">
        <f t="shared" si="8"/>
        <v>Lucas Martins</v>
      </c>
      <c r="F96" s="164"/>
      <c r="G96" s="164" t="e">
        <f>_xlfn.CONCAT('Consolidado-Eletronorte'!#REF!,"_",ROW('Consolidado-Eletronorte'!#REF!)-ROW('Consolidado-Eletronorte'!$G$18))</f>
        <v>#REF!</v>
      </c>
      <c r="H96" s="165" t="s">
        <v>506</v>
      </c>
      <c r="I96" s="165" t="s">
        <v>135</v>
      </c>
      <c r="J96" s="165" t="s">
        <v>508</v>
      </c>
      <c r="K96" s="165" t="s">
        <v>1039</v>
      </c>
      <c r="L96" s="165" t="s">
        <v>1040</v>
      </c>
      <c r="M96" s="178" t="s">
        <v>1342</v>
      </c>
      <c r="N96" s="165"/>
      <c r="O96" s="165"/>
      <c r="P96" s="165"/>
      <c r="Q96" s="178" t="s">
        <v>1343</v>
      </c>
      <c r="R96" s="178" t="s">
        <v>1140</v>
      </c>
      <c r="S96" s="178" t="s">
        <v>1344</v>
      </c>
      <c r="T96" s="198">
        <v>215</v>
      </c>
      <c r="U96" s="198">
        <v>215</v>
      </c>
      <c r="V96" s="198">
        <v>215</v>
      </c>
      <c r="W96" s="198">
        <v>215</v>
      </c>
      <c r="X96" s="198">
        <v>215</v>
      </c>
      <c r="Y96" s="198">
        <v>215</v>
      </c>
      <c r="Z96" s="198">
        <v>215</v>
      </c>
      <c r="AA96" s="198">
        <v>215</v>
      </c>
      <c r="AB96" s="198">
        <v>215</v>
      </c>
      <c r="AC96" s="198" t="s">
        <v>1045</v>
      </c>
      <c r="AD96" s="198" t="s">
        <v>1045</v>
      </c>
      <c r="AE96" s="198" t="s">
        <v>1045</v>
      </c>
      <c r="AF96" s="197">
        <f>SUM(Tabela96[[#This Row],[jan/26]:[dez/26]])</f>
        <v>1935</v>
      </c>
      <c r="AG96" s="198">
        <v>0</v>
      </c>
      <c r="AH96" s="198">
        <v>0</v>
      </c>
      <c r="AI96" s="198">
        <v>0</v>
      </c>
      <c r="AJ96" s="198">
        <v>0</v>
      </c>
      <c r="AK96" s="198">
        <f>SUM(Tabela96[[#This Row],[2026]:[2030]])</f>
        <v>1935</v>
      </c>
      <c r="AL96" s="198">
        <v>0</v>
      </c>
      <c r="AM96" s="198">
        <v>0</v>
      </c>
      <c r="AN96" s="198">
        <v>0</v>
      </c>
      <c r="AO96" s="198">
        <v>0</v>
      </c>
      <c r="AP96" s="198">
        <v>0</v>
      </c>
      <c r="AQ96" s="202">
        <f>SUM(Tabela96[[#This Row],[2026-2030]:[2035]])</f>
        <v>1935</v>
      </c>
      <c r="AS96" s="178" t="s">
        <v>1046</v>
      </c>
      <c r="AT96" s="201">
        <v>2024</v>
      </c>
      <c r="AU96" s="178" t="s">
        <v>1345</v>
      </c>
      <c r="AV96" s="112" t="s">
        <v>1346</v>
      </c>
      <c r="AW96" s="178" t="s">
        <v>517</v>
      </c>
      <c r="AZ96" s="178" t="s">
        <v>1144</v>
      </c>
    </row>
    <row r="97" spans="2:52" ht="24.75" customHeight="1" x14ac:dyDescent="0.35">
      <c r="B97" s="179" t="e" cm="1">
        <f t="array" ref="B97">AND(ISTEXT('Consolidado-Eletronorte'!#REF!),SUM('Consolidado-Eletronorte'!#REF!)&gt;0)</f>
        <v>#REF!</v>
      </c>
      <c r="C97" s="162" t="str">
        <f t="shared" ca="1" si="6"/>
        <v>Capex Orcamentário_PE2026_2030_red_35_porcentoR3_consulta.xlsx</v>
      </c>
      <c r="D97" s="163" t="str">
        <f t="shared" si="7"/>
        <v>COO</v>
      </c>
      <c r="E97" s="163" t="str">
        <f t="shared" si="8"/>
        <v>Lucas Martins</v>
      </c>
      <c r="F97" s="164"/>
      <c r="G97" s="164" t="e">
        <f>_xlfn.CONCAT('Consolidado-Eletronorte'!#REF!,"_",ROW('Consolidado-Eletronorte'!#REF!)-ROW('Consolidado-Eletronorte'!$G$18))</f>
        <v>#REF!</v>
      </c>
      <c r="H97" s="165" t="s">
        <v>506</v>
      </c>
      <c r="I97" s="165" t="s">
        <v>135</v>
      </c>
      <c r="J97" s="165" t="s">
        <v>508</v>
      </c>
      <c r="K97" s="165" t="s">
        <v>1039</v>
      </c>
      <c r="L97" s="165" t="s">
        <v>1040</v>
      </c>
      <c r="M97" s="178" t="s">
        <v>1347</v>
      </c>
      <c r="N97" s="165"/>
      <c r="O97" s="165"/>
      <c r="P97" s="165"/>
      <c r="Q97" s="178" t="s">
        <v>1348</v>
      </c>
      <c r="R97" s="178" t="s">
        <v>1140</v>
      </c>
      <c r="S97" s="178" t="s">
        <v>1344</v>
      </c>
      <c r="T97" s="198">
        <v>215</v>
      </c>
      <c r="U97" s="198">
        <v>215</v>
      </c>
      <c r="V97" s="198">
        <v>215</v>
      </c>
      <c r="W97" s="198">
        <v>215</v>
      </c>
      <c r="X97" s="198">
        <v>215</v>
      </c>
      <c r="Y97" s="198">
        <v>215</v>
      </c>
      <c r="Z97" s="198">
        <v>215</v>
      </c>
      <c r="AA97" s="198">
        <v>215</v>
      </c>
      <c r="AB97" s="198">
        <v>215</v>
      </c>
      <c r="AC97" s="198" t="s">
        <v>1045</v>
      </c>
      <c r="AD97" s="198" t="s">
        <v>1045</v>
      </c>
      <c r="AE97" s="198" t="s">
        <v>1045</v>
      </c>
      <c r="AF97" s="197">
        <f>SUM(Tabela96[[#This Row],[jan/26]:[dez/26]])</f>
        <v>1935</v>
      </c>
      <c r="AG97" s="198">
        <v>0</v>
      </c>
      <c r="AH97" s="198">
        <v>0</v>
      </c>
      <c r="AI97" s="198">
        <v>0</v>
      </c>
      <c r="AJ97" s="198">
        <v>0</v>
      </c>
      <c r="AK97" s="198">
        <f>SUM(Tabela96[[#This Row],[2026]:[2030]])</f>
        <v>1935</v>
      </c>
      <c r="AL97" s="198">
        <v>0</v>
      </c>
      <c r="AM97" s="198">
        <v>0</v>
      </c>
      <c r="AN97" s="198">
        <v>0</v>
      </c>
      <c r="AO97" s="198">
        <v>0</v>
      </c>
      <c r="AP97" s="198">
        <v>0</v>
      </c>
      <c r="AQ97" s="202">
        <f>SUM(Tabela96[[#This Row],[2026-2030]:[2035]])</f>
        <v>1935</v>
      </c>
      <c r="AS97" s="178" t="s">
        <v>1046</v>
      </c>
      <c r="AT97" s="201">
        <v>2024</v>
      </c>
      <c r="AU97" s="178" t="s">
        <v>1349</v>
      </c>
      <c r="AV97" s="112" t="s">
        <v>1346</v>
      </c>
      <c r="AW97" s="178" t="s">
        <v>517</v>
      </c>
      <c r="AZ97" s="178" t="s">
        <v>1144</v>
      </c>
    </row>
    <row r="98" spans="2:52" ht="24.75" customHeight="1" x14ac:dyDescent="0.35">
      <c r="B98" s="179" t="e" cm="1">
        <f t="array" ref="B98">AND(ISTEXT('Consolidado-Eletronorte'!#REF!),SUM('Consolidado-Eletronorte'!#REF!)&gt;0)</f>
        <v>#REF!</v>
      </c>
      <c r="C98" s="162" t="str">
        <f t="shared" ca="1" si="6"/>
        <v>Capex Orcamentário_PE2026_2030_red_35_porcentoR3_consulta.xlsx</v>
      </c>
      <c r="D98" s="163" t="str">
        <f t="shared" si="7"/>
        <v>COO</v>
      </c>
      <c r="E98" s="163" t="str">
        <f t="shared" si="8"/>
        <v>Lucas Martins</v>
      </c>
      <c r="F98" s="164"/>
      <c r="G98" s="164" t="e">
        <f>_xlfn.CONCAT('Consolidado-Eletronorte'!#REF!,"_",ROW('Consolidado-Eletronorte'!#REF!)-ROW('Consolidado-Eletronorte'!$G$18))</f>
        <v>#REF!</v>
      </c>
      <c r="H98" s="165" t="s">
        <v>506</v>
      </c>
      <c r="I98" s="165" t="s">
        <v>135</v>
      </c>
      <c r="J98" s="165" t="s">
        <v>508</v>
      </c>
      <c r="K98" s="165" t="s">
        <v>1039</v>
      </c>
      <c r="L98" s="165" t="s">
        <v>1040</v>
      </c>
      <c r="M98" s="178" t="s">
        <v>1350</v>
      </c>
      <c r="N98" s="165"/>
      <c r="O98" s="165"/>
      <c r="P98" s="165"/>
      <c r="Q98" s="178" t="s">
        <v>1351</v>
      </c>
      <c r="R98" s="178" t="s">
        <v>1140</v>
      </c>
      <c r="S98" s="178" t="s">
        <v>1344</v>
      </c>
      <c r="T98" s="198">
        <v>215</v>
      </c>
      <c r="U98" s="198">
        <v>215</v>
      </c>
      <c r="V98" s="198">
        <v>215</v>
      </c>
      <c r="W98" s="198">
        <v>215</v>
      </c>
      <c r="X98" s="198">
        <v>215</v>
      </c>
      <c r="Y98" s="198">
        <v>215</v>
      </c>
      <c r="Z98" s="198">
        <v>215</v>
      </c>
      <c r="AA98" s="198">
        <v>215</v>
      </c>
      <c r="AB98" s="198">
        <v>215</v>
      </c>
      <c r="AC98" s="198" t="s">
        <v>1045</v>
      </c>
      <c r="AD98" s="198" t="s">
        <v>1045</v>
      </c>
      <c r="AE98" s="198" t="s">
        <v>1045</v>
      </c>
      <c r="AF98" s="197">
        <f>SUM(Tabela96[[#This Row],[jan/26]:[dez/26]])</f>
        <v>1935</v>
      </c>
      <c r="AG98" s="198">
        <v>0</v>
      </c>
      <c r="AH98" s="198">
        <v>0</v>
      </c>
      <c r="AI98" s="198">
        <v>0</v>
      </c>
      <c r="AJ98" s="198">
        <v>0</v>
      </c>
      <c r="AK98" s="198">
        <f>SUM(Tabela96[[#This Row],[2026]:[2030]])</f>
        <v>1935</v>
      </c>
      <c r="AL98" s="198">
        <v>0</v>
      </c>
      <c r="AM98" s="198">
        <v>0</v>
      </c>
      <c r="AN98" s="198">
        <v>0</v>
      </c>
      <c r="AO98" s="198">
        <v>0</v>
      </c>
      <c r="AP98" s="198">
        <v>0</v>
      </c>
      <c r="AQ98" s="202">
        <f>SUM(Tabela96[[#This Row],[2026-2030]:[2035]])</f>
        <v>1935</v>
      </c>
      <c r="AS98" s="178" t="s">
        <v>1046</v>
      </c>
      <c r="AT98" s="201">
        <v>2024</v>
      </c>
      <c r="AU98" s="178" t="s">
        <v>1352</v>
      </c>
      <c r="AV98" s="112" t="s">
        <v>1346</v>
      </c>
      <c r="AW98" s="178" t="s">
        <v>517</v>
      </c>
      <c r="AZ98" s="178" t="s">
        <v>1144</v>
      </c>
    </row>
    <row r="99" spans="2:52" ht="24.75" customHeight="1" x14ac:dyDescent="0.35">
      <c r="B99" s="179" t="e" cm="1">
        <f t="array" ref="B99">AND(ISTEXT('Consolidado-Eletronorte'!#REF!),SUM('Consolidado-Eletronorte'!#REF!)&gt;0)</f>
        <v>#REF!</v>
      </c>
      <c r="C99" s="162" t="str">
        <f t="shared" ca="1" si="6"/>
        <v>Capex Orcamentário_PE2026_2030_red_35_porcentoR3_consulta.xlsx</v>
      </c>
      <c r="D99" s="163" t="str">
        <f t="shared" si="7"/>
        <v>COO</v>
      </c>
      <c r="E99" s="163" t="str">
        <f t="shared" si="8"/>
        <v>Lucas Martins</v>
      </c>
      <c r="F99" s="164"/>
      <c r="G99" s="164" t="e">
        <f>_xlfn.CONCAT('Consolidado-Eletronorte'!#REF!,"_",ROW('Consolidado-Eletronorte'!#REF!)-ROW('Consolidado-Eletronorte'!$G$18))</f>
        <v>#REF!</v>
      </c>
      <c r="H99" s="165" t="s">
        <v>506</v>
      </c>
      <c r="I99" s="165" t="s">
        <v>135</v>
      </c>
      <c r="J99" s="165" t="s">
        <v>508</v>
      </c>
      <c r="K99" s="165" t="s">
        <v>1039</v>
      </c>
      <c r="L99" s="165" t="s">
        <v>1040</v>
      </c>
      <c r="M99" s="178" t="s">
        <v>1353</v>
      </c>
      <c r="N99" s="165"/>
      <c r="O99" s="165"/>
      <c r="P99" s="165"/>
      <c r="Q99" s="178" t="s">
        <v>1354</v>
      </c>
      <c r="R99" s="178" t="s">
        <v>1140</v>
      </c>
      <c r="S99" s="178" t="s">
        <v>1344</v>
      </c>
      <c r="T99" s="198">
        <v>215</v>
      </c>
      <c r="U99" s="198">
        <v>215</v>
      </c>
      <c r="V99" s="198">
        <v>215</v>
      </c>
      <c r="W99" s="198">
        <v>215</v>
      </c>
      <c r="X99" s="198">
        <v>215</v>
      </c>
      <c r="Y99" s="198">
        <v>215</v>
      </c>
      <c r="Z99" s="198">
        <v>215</v>
      </c>
      <c r="AA99" s="198">
        <v>215</v>
      </c>
      <c r="AB99" s="198">
        <v>215</v>
      </c>
      <c r="AC99" s="198" t="s">
        <v>1045</v>
      </c>
      <c r="AD99" s="198" t="s">
        <v>1045</v>
      </c>
      <c r="AE99" s="198" t="s">
        <v>1045</v>
      </c>
      <c r="AF99" s="197">
        <f>SUM(Tabela96[[#This Row],[jan/26]:[dez/26]])</f>
        <v>1935</v>
      </c>
      <c r="AG99" s="198">
        <v>0</v>
      </c>
      <c r="AH99" s="198">
        <v>0</v>
      </c>
      <c r="AI99" s="198">
        <v>0</v>
      </c>
      <c r="AJ99" s="198">
        <v>0</v>
      </c>
      <c r="AK99" s="198">
        <f>SUM(Tabela96[[#This Row],[2026]:[2030]])</f>
        <v>1935</v>
      </c>
      <c r="AL99" s="198">
        <v>0</v>
      </c>
      <c r="AM99" s="198">
        <v>0</v>
      </c>
      <c r="AN99" s="198">
        <v>0</v>
      </c>
      <c r="AO99" s="198">
        <v>0</v>
      </c>
      <c r="AP99" s="198">
        <v>0</v>
      </c>
      <c r="AQ99" s="202">
        <f>SUM(Tabela96[[#This Row],[2026-2030]:[2035]])</f>
        <v>1935</v>
      </c>
      <c r="AS99" s="178" t="s">
        <v>1046</v>
      </c>
      <c r="AT99" s="201">
        <v>2024</v>
      </c>
      <c r="AU99" s="178" t="s">
        <v>1355</v>
      </c>
      <c r="AV99" s="112" t="s">
        <v>1346</v>
      </c>
      <c r="AW99" s="178" t="s">
        <v>517</v>
      </c>
      <c r="AZ99" s="178" t="s">
        <v>1144</v>
      </c>
    </row>
    <row r="100" spans="2:52" ht="24.75" customHeight="1" x14ac:dyDescent="0.35">
      <c r="B100" s="179" t="e" cm="1">
        <f t="array" ref="B100">AND(ISTEXT('Consolidado-Eletronorte'!#REF!),SUM('Consolidado-Eletronorte'!#REF!)&gt;0)</f>
        <v>#REF!</v>
      </c>
      <c r="C100" s="162" t="str">
        <f t="shared" ca="1" si="6"/>
        <v>Capex Orcamentário_PE2026_2030_red_35_porcentoR3_consulta.xlsx</v>
      </c>
      <c r="D100" s="163" t="str">
        <f t="shared" si="7"/>
        <v>COO</v>
      </c>
      <c r="E100" s="163" t="str">
        <f t="shared" si="8"/>
        <v>Lucas Martins</v>
      </c>
      <c r="F100" s="164"/>
      <c r="G100" s="164" t="e">
        <f>_xlfn.CONCAT('Consolidado-Eletronorte'!#REF!,"_",ROW('Consolidado-Eletronorte'!#REF!)-ROW('Consolidado-Eletronorte'!$G$18))</f>
        <v>#REF!</v>
      </c>
      <c r="H100" s="165" t="s">
        <v>506</v>
      </c>
      <c r="I100" s="165" t="s">
        <v>135</v>
      </c>
      <c r="J100" s="165" t="s">
        <v>508</v>
      </c>
      <c r="K100" s="165" t="s">
        <v>1039</v>
      </c>
      <c r="L100" s="165" t="s">
        <v>1040</v>
      </c>
      <c r="M100" s="178" t="s">
        <v>1356</v>
      </c>
      <c r="N100" s="165"/>
      <c r="O100" s="165"/>
      <c r="P100" s="165"/>
      <c r="Q100" s="178" t="s">
        <v>1357</v>
      </c>
      <c r="R100" s="178" t="s">
        <v>1140</v>
      </c>
      <c r="S100" s="178" t="s">
        <v>1344</v>
      </c>
      <c r="T100" s="198">
        <v>215</v>
      </c>
      <c r="U100" s="198">
        <v>215</v>
      </c>
      <c r="V100" s="198">
        <v>215</v>
      </c>
      <c r="W100" s="198">
        <v>215</v>
      </c>
      <c r="X100" s="198">
        <v>215</v>
      </c>
      <c r="Y100" s="198">
        <v>215</v>
      </c>
      <c r="Z100" s="198">
        <v>215</v>
      </c>
      <c r="AA100" s="198">
        <v>215</v>
      </c>
      <c r="AB100" s="198">
        <v>215</v>
      </c>
      <c r="AC100" s="198" t="s">
        <v>1045</v>
      </c>
      <c r="AD100" s="198" t="s">
        <v>1045</v>
      </c>
      <c r="AE100" s="198" t="s">
        <v>1045</v>
      </c>
      <c r="AF100" s="197">
        <f>SUM(Tabela96[[#This Row],[jan/26]:[dez/26]])</f>
        <v>1935</v>
      </c>
      <c r="AG100" s="198">
        <v>0</v>
      </c>
      <c r="AH100" s="198">
        <v>0</v>
      </c>
      <c r="AI100" s="198">
        <v>0</v>
      </c>
      <c r="AJ100" s="198">
        <v>0</v>
      </c>
      <c r="AK100" s="198">
        <f>SUM(Tabela96[[#This Row],[2026]:[2030]])</f>
        <v>1935</v>
      </c>
      <c r="AL100" s="198">
        <v>0</v>
      </c>
      <c r="AM100" s="198">
        <v>0</v>
      </c>
      <c r="AN100" s="198">
        <v>0</v>
      </c>
      <c r="AO100" s="198">
        <v>0</v>
      </c>
      <c r="AP100" s="198">
        <v>0</v>
      </c>
      <c r="AQ100" s="202">
        <f>SUM(Tabela96[[#This Row],[2026-2030]:[2035]])</f>
        <v>1935</v>
      </c>
      <c r="AS100" s="178" t="s">
        <v>1046</v>
      </c>
      <c r="AT100" s="201">
        <v>2024</v>
      </c>
      <c r="AU100" s="178" t="s">
        <v>1358</v>
      </c>
      <c r="AV100" s="112" t="s">
        <v>1346</v>
      </c>
      <c r="AW100" s="178" t="s">
        <v>517</v>
      </c>
      <c r="AZ100" s="178" t="s">
        <v>1144</v>
      </c>
    </row>
    <row r="101" spans="2:52" ht="24.75" customHeight="1" x14ac:dyDescent="0.35">
      <c r="B101" s="179" t="e" cm="1">
        <f t="array" ref="B101">AND(ISTEXT('Consolidado-Eletronorte'!#REF!),SUM('Consolidado-Eletronorte'!#REF!)&gt;0)</f>
        <v>#REF!</v>
      </c>
      <c r="C101" s="162" t="str">
        <f t="shared" ca="1" si="6"/>
        <v>Capex Orcamentário_PE2026_2030_red_35_porcentoR3_consulta.xlsx</v>
      </c>
      <c r="D101" s="163" t="str">
        <f t="shared" si="7"/>
        <v>COO</v>
      </c>
      <c r="E101" s="163" t="str">
        <f t="shared" si="8"/>
        <v>Lucas Martins</v>
      </c>
      <c r="F101" s="164"/>
      <c r="G101" s="164" t="e">
        <f>_xlfn.CONCAT('Consolidado-Eletronorte'!#REF!,"_",ROW('Consolidado-Eletronorte'!#REF!)-ROW('Consolidado-Eletronorte'!$G$18))</f>
        <v>#REF!</v>
      </c>
      <c r="H101" s="165" t="s">
        <v>506</v>
      </c>
      <c r="I101" s="165" t="s">
        <v>135</v>
      </c>
      <c r="J101" s="165" t="s">
        <v>508</v>
      </c>
      <c r="K101" s="165" t="s">
        <v>1039</v>
      </c>
      <c r="L101" s="165" t="s">
        <v>1040</v>
      </c>
      <c r="M101" s="178" t="s">
        <v>1359</v>
      </c>
      <c r="N101" s="165"/>
      <c r="O101" s="165"/>
      <c r="P101" s="165"/>
      <c r="Q101" s="178" t="s">
        <v>1360</v>
      </c>
      <c r="R101" s="178" t="s">
        <v>1361</v>
      </c>
      <c r="S101" s="178" t="s">
        <v>1362</v>
      </c>
      <c r="T101" s="198" t="s">
        <v>1045</v>
      </c>
      <c r="U101" s="198">
        <v>215</v>
      </c>
      <c r="V101" s="198">
        <v>215</v>
      </c>
      <c r="W101" s="198">
        <v>215</v>
      </c>
      <c r="X101" s="198">
        <v>215</v>
      </c>
      <c r="Y101" s="198">
        <v>215</v>
      </c>
      <c r="Z101" s="198">
        <v>215</v>
      </c>
      <c r="AA101" s="198">
        <v>215</v>
      </c>
      <c r="AB101" s="198">
        <v>215</v>
      </c>
      <c r="AC101" s="198" t="s">
        <v>1045</v>
      </c>
      <c r="AD101" s="198" t="s">
        <v>1045</v>
      </c>
      <c r="AE101" s="198" t="s">
        <v>1045</v>
      </c>
      <c r="AF101" s="197">
        <f>SUM(Tabela96[[#This Row],[jan/26]:[dez/26]])</f>
        <v>1720</v>
      </c>
      <c r="AG101" s="198">
        <v>0</v>
      </c>
      <c r="AH101" s="198">
        <v>0</v>
      </c>
      <c r="AI101" s="198">
        <v>0</v>
      </c>
      <c r="AJ101" s="198">
        <v>0</v>
      </c>
      <c r="AK101" s="198">
        <f>SUM(Tabela96[[#This Row],[2026]:[2030]])</f>
        <v>1720</v>
      </c>
      <c r="AL101" s="198">
        <v>0</v>
      </c>
      <c r="AM101" s="198">
        <v>0</v>
      </c>
      <c r="AN101" s="198">
        <v>0</v>
      </c>
      <c r="AO101" s="198">
        <v>0</v>
      </c>
      <c r="AP101" s="198">
        <v>0</v>
      </c>
      <c r="AQ101" s="202">
        <f>SUM(Tabela96[[#This Row],[2026-2030]:[2035]])</f>
        <v>1720</v>
      </c>
      <c r="AS101" s="178" t="s">
        <v>1046</v>
      </c>
      <c r="AT101" s="201">
        <v>2024</v>
      </c>
      <c r="AU101" s="178" t="s">
        <v>1363</v>
      </c>
      <c r="AV101" s="112" t="s">
        <v>1364</v>
      </c>
      <c r="AW101" s="178" t="s">
        <v>517</v>
      </c>
      <c r="AZ101" s="178" t="s">
        <v>1365</v>
      </c>
    </row>
    <row r="102" spans="2:52" ht="24.75" customHeight="1" x14ac:dyDescent="0.35">
      <c r="B102" s="179" t="e" cm="1">
        <f t="array" ref="B102">AND(ISTEXT('Consolidado-Eletronorte'!#REF!),SUM('Consolidado-Eletronorte'!#REF!)&gt;0)</f>
        <v>#REF!</v>
      </c>
      <c r="C102" s="162" t="str">
        <f t="shared" ca="1" si="6"/>
        <v>Capex Orcamentário_PE2026_2030_red_35_porcentoR3_consulta.xlsx</v>
      </c>
      <c r="D102" s="163" t="str">
        <f t="shared" si="7"/>
        <v>COO</v>
      </c>
      <c r="E102" s="163" t="str">
        <f t="shared" si="8"/>
        <v>Lucas Martins</v>
      </c>
      <c r="F102" s="164"/>
      <c r="G102" s="164" t="e">
        <f>_xlfn.CONCAT('Consolidado-Eletronorte'!#REF!,"_",ROW('Consolidado-Eletronorte'!#REF!)-ROW('Consolidado-Eletronorte'!$G$18))</f>
        <v>#REF!</v>
      </c>
      <c r="H102" s="165" t="s">
        <v>506</v>
      </c>
      <c r="I102" s="165" t="s">
        <v>135</v>
      </c>
      <c r="J102" s="165" t="s">
        <v>508</v>
      </c>
      <c r="K102" s="165" t="s">
        <v>1039</v>
      </c>
      <c r="L102" s="165" t="s">
        <v>1040</v>
      </c>
      <c r="M102" s="178" t="s">
        <v>1366</v>
      </c>
      <c r="N102" s="165"/>
      <c r="O102" s="165"/>
      <c r="P102" s="165"/>
      <c r="Q102" s="178" t="s">
        <v>1367</v>
      </c>
      <c r="R102" s="178" t="s">
        <v>1361</v>
      </c>
      <c r="S102" s="178" t="s">
        <v>1362</v>
      </c>
      <c r="T102" s="198" t="s">
        <v>1045</v>
      </c>
      <c r="U102" s="198">
        <v>215</v>
      </c>
      <c r="V102" s="198">
        <v>215</v>
      </c>
      <c r="W102" s="198">
        <v>215</v>
      </c>
      <c r="X102" s="198">
        <v>215</v>
      </c>
      <c r="Y102" s="198">
        <v>215</v>
      </c>
      <c r="Z102" s="198">
        <v>215</v>
      </c>
      <c r="AA102" s="198">
        <v>215</v>
      </c>
      <c r="AB102" s="198">
        <v>215</v>
      </c>
      <c r="AC102" s="198" t="s">
        <v>1045</v>
      </c>
      <c r="AD102" s="198" t="s">
        <v>1045</v>
      </c>
      <c r="AE102" s="198" t="s">
        <v>1045</v>
      </c>
      <c r="AF102" s="197">
        <f>SUM(Tabela96[[#This Row],[jan/26]:[dez/26]])</f>
        <v>1720</v>
      </c>
      <c r="AG102" s="198">
        <v>0</v>
      </c>
      <c r="AH102" s="198">
        <v>0</v>
      </c>
      <c r="AI102" s="198">
        <v>0</v>
      </c>
      <c r="AJ102" s="198">
        <v>0</v>
      </c>
      <c r="AK102" s="198">
        <f>SUM(Tabela96[[#This Row],[2026]:[2030]])</f>
        <v>1720</v>
      </c>
      <c r="AL102" s="198">
        <v>0</v>
      </c>
      <c r="AM102" s="198">
        <v>0</v>
      </c>
      <c r="AN102" s="198">
        <v>0</v>
      </c>
      <c r="AO102" s="198">
        <v>0</v>
      </c>
      <c r="AP102" s="198">
        <v>0</v>
      </c>
      <c r="AQ102" s="202">
        <f>SUM(Tabela96[[#This Row],[2026-2030]:[2035]])</f>
        <v>1720</v>
      </c>
      <c r="AS102" s="178" t="s">
        <v>1046</v>
      </c>
      <c r="AT102" s="201">
        <v>2024</v>
      </c>
      <c r="AU102" s="178" t="s">
        <v>1368</v>
      </c>
      <c r="AV102" s="112" t="s">
        <v>1369</v>
      </c>
      <c r="AW102" s="178" t="s">
        <v>517</v>
      </c>
      <c r="AZ102" s="178" t="s">
        <v>1365</v>
      </c>
    </row>
    <row r="103" spans="2:52" ht="24.75" customHeight="1" x14ac:dyDescent="0.35">
      <c r="B103" s="179" t="e" cm="1">
        <f t="array" ref="B103">AND(ISTEXT('Consolidado-Eletronorte'!#REF!),SUM('Consolidado-Eletronorte'!#REF!)&gt;0)</f>
        <v>#REF!</v>
      </c>
      <c r="C103" s="162" t="str">
        <f t="shared" ca="1" si="6"/>
        <v>Capex Orcamentário_PE2026_2030_red_35_porcentoR3_consulta.xlsx</v>
      </c>
      <c r="D103" s="163" t="str">
        <f t="shared" si="7"/>
        <v>COO</v>
      </c>
      <c r="E103" s="163" t="str">
        <f t="shared" si="8"/>
        <v>Lucas Martins</v>
      </c>
      <c r="F103" s="164"/>
      <c r="G103" s="164" t="e">
        <f>_xlfn.CONCAT('Consolidado-Eletronorte'!#REF!,"_",ROW('Consolidado-Eletronorte'!#REF!)-ROW('Consolidado-Eletronorte'!$G$18))</f>
        <v>#REF!</v>
      </c>
      <c r="H103" s="165" t="s">
        <v>506</v>
      </c>
      <c r="I103" s="165" t="s">
        <v>135</v>
      </c>
      <c r="J103" s="165" t="s">
        <v>508</v>
      </c>
      <c r="K103" s="165" t="s">
        <v>1039</v>
      </c>
      <c r="L103" s="165" t="s">
        <v>1040</v>
      </c>
      <c r="M103" s="178" t="s">
        <v>1370</v>
      </c>
      <c r="N103" s="165"/>
      <c r="O103" s="165"/>
      <c r="P103" s="165"/>
      <c r="Q103" s="178" t="s">
        <v>1371</v>
      </c>
      <c r="R103" s="178" t="s">
        <v>1361</v>
      </c>
      <c r="S103" s="178" t="s">
        <v>1362</v>
      </c>
      <c r="T103" s="198" t="s">
        <v>1045</v>
      </c>
      <c r="U103" s="198">
        <v>215</v>
      </c>
      <c r="V103" s="198">
        <v>215</v>
      </c>
      <c r="W103" s="198">
        <v>215</v>
      </c>
      <c r="X103" s="198">
        <v>215</v>
      </c>
      <c r="Y103" s="198">
        <v>215</v>
      </c>
      <c r="Z103" s="198">
        <v>215</v>
      </c>
      <c r="AA103" s="198">
        <v>215</v>
      </c>
      <c r="AB103" s="198">
        <v>215</v>
      </c>
      <c r="AC103" s="198" t="s">
        <v>1045</v>
      </c>
      <c r="AD103" s="198" t="s">
        <v>1045</v>
      </c>
      <c r="AE103" s="198" t="s">
        <v>1045</v>
      </c>
      <c r="AF103" s="197">
        <f>SUM(Tabela96[[#This Row],[jan/26]:[dez/26]])</f>
        <v>1720</v>
      </c>
      <c r="AG103" s="198">
        <v>0</v>
      </c>
      <c r="AH103" s="198">
        <v>0</v>
      </c>
      <c r="AI103" s="198">
        <v>0</v>
      </c>
      <c r="AJ103" s="198">
        <v>0</v>
      </c>
      <c r="AK103" s="198">
        <f>SUM(Tabela96[[#This Row],[2026]:[2030]])</f>
        <v>1720</v>
      </c>
      <c r="AL103" s="198">
        <v>0</v>
      </c>
      <c r="AM103" s="198">
        <v>0</v>
      </c>
      <c r="AN103" s="198">
        <v>0</v>
      </c>
      <c r="AO103" s="198">
        <v>0</v>
      </c>
      <c r="AP103" s="198">
        <v>0</v>
      </c>
      <c r="AQ103" s="202">
        <f>SUM(Tabela96[[#This Row],[2026-2030]:[2035]])</f>
        <v>1720</v>
      </c>
      <c r="AS103" s="178" t="s">
        <v>1046</v>
      </c>
      <c r="AT103" s="201">
        <v>2024</v>
      </c>
      <c r="AU103" s="178" t="s">
        <v>1372</v>
      </c>
      <c r="AV103" s="112" t="s">
        <v>1373</v>
      </c>
      <c r="AW103" s="178" t="s">
        <v>517</v>
      </c>
      <c r="AZ103" s="178" t="s">
        <v>1365</v>
      </c>
    </row>
    <row r="104" spans="2:52" ht="24.75" customHeight="1" x14ac:dyDescent="0.35">
      <c r="B104" s="179" t="e" cm="1">
        <f t="array" ref="B104">AND(ISTEXT('Consolidado-Eletronorte'!#REF!),SUM('Consolidado-Eletronorte'!#REF!)&gt;0)</f>
        <v>#REF!</v>
      </c>
      <c r="C104" s="162" t="str">
        <f t="shared" ca="1" si="6"/>
        <v>Capex Orcamentário_PE2026_2030_red_35_porcentoR3_consulta.xlsx</v>
      </c>
      <c r="D104" s="163" t="str">
        <f t="shared" si="7"/>
        <v>COO</v>
      </c>
      <c r="E104" s="163" t="str">
        <f t="shared" si="8"/>
        <v>Lucas Martins</v>
      </c>
      <c r="F104" s="164"/>
      <c r="G104" s="164" t="e">
        <f>_xlfn.CONCAT('Consolidado-Eletronorte'!#REF!,"_",ROW('Consolidado-Eletronorte'!#REF!)-ROW('Consolidado-Eletronorte'!$G$18))</f>
        <v>#REF!</v>
      </c>
      <c r="H104" s="165" t="s">
        <v>506</v>
      </c>
      <c r="I104" s="165" t="s">
        <v>135</v>
      </c>
      <c r="J104" s="165" t="s">
        <v>508</v>
      </c>
      <c r="K104" s="165" t="s">
        <v>1039</v>
      </c>
      <c r="L104" s="165" t="s">
        <v>1040</v>
      </c>
      <c r="M104" s="178" t="s">
        <v>1374</v>
      </c>
      <c r="N104" s="165"/>
      <c r="O104" s="165"/>
      <c r="P104" s="165"/>
      <c r="Q104" s="178" t="s">
        <v>1375</v>
      </c>
      <c r="R104" s="178" t="s">
        <v>1376</v>
      </c>
      <c r="S104" s="178" t="s">
        <v>1377</v>
      </c>
      <c r="T104" s="198">
        <v>215</v>
      </c>
      <c r="U104" s="198">
        <v>215</v>
      </c>
      <c r="V104" s="198">
        <v>215</v>
      </c>
      <c r="W104" s="198">
        <v>215</v>
      </c>
      <c r="X104" s="198">
        <v>215</v>
      </c>
      <c r="Y104" s="198">
        <v>215</v>
      </c>
      <c r="Z104" s="198">
        <v>215</v>
      </c>
      <c r="AA104" s="198">
        <v>215</v>
      </c>
      <c r="AB104" s="198">
        <v>215</v>
      </c>
      <c r="AC104" s="198" t="s">
        <v>1045</v>
      </c>
      <c r="AD104" s="198" t="s">
        <v>1045</v>
      </c>
      <c r="AE104" s="198" t="s">
        <v>1045</v>
      </c>
      <c r="AF104" s="197">
        <f>SUM(Tabela96[[#This Row],[jan/26]:[dez/26]])</f>
        <v>1935</v>
      </c>
      <c r="AG104" s="198">
        <v>0</v>
      </c>
      <c r="AH104" s="198">
        <v>0</v>
      </c>
      <c r="AI104" s="198">
        <v>0</v>
      </c>
      <c r="AJ104" s="198">
        <v>0</v>
      </c>
      <c r="AK104" s="198">
        <f>SUM(Tabela96[[#This Row],[2026]:[2030]])</f>
        <v>1935</v>
      </c>
      <c r="AL104" s="198">
        <v>0</v>
      </c>
      <c r="AM104" s="198">
        <v>0</v>
      </c>
      <c r="AN104" s="198">
        <v>0</v>
      </c>
      <c r="AO104" s="198">
        <v>0</v>
      </c>
      <c r="AP104" s="198">
        <v>0</v>
      </c>
      <c r="AQ104" s="202">
        <f>SUM(Tabela96[[#This Row],[2026-2030]:[2035]])</f>
        <v>1935</v>
      </c>
      <c r="AS104" s="178" t="s">
        <v>1046</v>
      </c>
      <c r="AT104" s="201">
        <v>2024</v>
      </c>
      <c r="AU104" s="178" t="s">
        <v>1378</v>
      </c>
      <c r="AV104" s="112" t="s">
        <v>1379</v>
      </c>
      <c r="AW104" s="178" t="s">
        <v>517</v>
      </c>
      <c r="AZ104" s="178" t="s">
        <v>1144</v>
      </c>
    </row>
    <row r="105" spans="2:52" ht="24.75" customHeight="1" x14ac:dyDescent="0.35">
      <c r="B105" s="179" t="e" cm="1">
        <f t="array" ref="B105">AND(ISTEXT('Consolidado-Eletronorte'!#REF!),SUM('Consolidado-Eletronorte'!#REF!)&gt;0)</f>
        <v>#REF!</v>
      </c>
      <c r="C105" s="162" t="str">
        <f t="shared" ca="1" si="6"/>
        <v>Capex Orcamentário_PE2026_2030_red_35_porcentoR3_consulta.xlsx</v>
      </c>
      <c r="D105" s="163" t="str">
        <f t="shared" si="7"/>
        <v>COO</v>
      </c>
      <c r="E105" s="163" t="str">
        <f t="shared" si="8"/>
        <v>Lucas Martins</v>
      </c>
      <c r="F105" s="164"/>
      <c r="G105" s="164" t="e">
        <f>_xlfn.CONCAT('Consolidado-Eletronorte'!#REF!,"_",ROW('Consolidado-Eletronorte'!#REF!)-ROW('Consolidado-Eletronorte'!$G$18))</f>
        <v>#REF!</v>
      </c>
      <c r="H105" s="165" t="s">
        <v>506</v>
      </c>
      <c r="I105" s="165" t="s">
        <v>135</v>
      </c>
      <c r="J105" s="165" t="s">
        <v>508</v>
      </c>
      <c r="K105" s="165" t="s">
        <v>1039</v>
      </c>
      <c r="L105" s="165" t="s">
        <v>1040</v>
      </c>
      <c r="M105" s="178" t="s">
        <v>1380</v>
      </c>
      <c r="N105" s="165"/>
      <c r="O105" s="165"/>
      <c r="P105" s="165"/>
      <c r="Q105" s="178" t="s">
        <v>1381</v>
      </c>
      <c r="R105" s="178" t="s">
        <v>1376</v>
      </c>
      <c r="S105" s="178" t="s">
        <v>1377</v>
      </c>
      <c r="T105" s="198">
        <v>215</v>
      </c>
      <c r="U105" s="198">
        <v>215</v>
      </c>
      <c r="V105" s="198">
        <v>215</v>
      </c>
      <c r="W105" s="198">
        <v>215</v>
      </c>
      <c r="X105" s="198">
        <v>215</v>
      </c>
      <c r="Y105" s="198">
        <v>215</v>
      </c>
      <c r="Z105" s="198">
        <v>215</v>
      </c>
      <c r="AA105" s="198">
        <v>215</v>
      </c>
      <c r="AB105" s="198">
        <v>215</v>
      </c>
      <c r="AC105" s="198" t="s">
        <v>1045</v>
      </c>
      <c r="AD105" s="198" t="s">
        <v>1045</v>
      </c>
      <c r="AE105" s="198" t="s">
        <v>1045</v>
      </c>
      <c r="AF105" s="197">
        <f>SUM(Tabela96[[#This Row],[jan/26]:[dez/26]])</f>
        <v>1935</v>
      </c>
      <c r="AG105" s="198">
        <v>0</v>
      </c>
      <c r="AH105" s="198">
        <v>0</v>
      </c>
      <c r="AI105" s="198">
        <v>0</v>
      </c>
      <c r="AJ105" s="198">
        <v>0</v>
      </c>
      <c r="AK105" s="198">
        <f>SUM(Tabela96[[#This Row],[2026]:[2030]])</f>
        <v>1935</v>
      </c>
      <c r="AL105" s="198">
        <v>0</v>
      </c>
      <c r="AM105" s="198">
        <v>0</v>
      </c>
      <c r="AN105" s="198">
        <v>0</v>
      </c>
      <c r="AO105" s="198">
        <v>0</v>
      </c>
      <c r="AP105" s="198">
        <v>0</v>
      </c>
      <c r="AQ105" s="202">
        <f>SUM(Tabela96[[#This Row],[2026-2030]:[2035]])</f>
        <v>1935</v>
      </c>
      <c r="AS105" s="178" t="s">
        <v>1046</v>
      </c>
      <c r="AT105" s="201">
        <v>2024</v>
      </c>
      <c r="AU105" s="178" t="s">
        <v>1382</v>
      </c>
      <c r="AV105" s="223" t="s">
        <v>1379</v>
      </c>
      <c r="AW105" s="178" t="s">
        <v>517</v>
      </c>
      <c r="AZ105" s="178" t="s">
        <v>1144</v>
      </c>
    </row>
    <row r="106" spans="2:52" ht="24.75" customHeight="1" x14ac:dyDescent="0.35">
      <c r="B106" s="179" t="e" cm="1">
        <f t="array" ref="B106">AND(ISTEXT('Consolidado-Eletronorte'!#REF!),SUM('Consolidado-Eletronorte'!#REF!)&gt;0)</f>
        <v>#REF!</v>
      </c>
      <c r="C106" s="162" t="str">
        <f t="shared" ca="1" si="6"/>
        <v>Capex Orcamentário_PE2026_2030_red_35_porcentoR3_consulta.xlsx</v>
      </c>
      <c r="D106" s="163" t="str">
        <f t="shared" si="7"/>
        <v>COO</v>
      </c>
      <c r="E106" s="163" t="str">
        <f t="shared" si="8"/>
        <v>Lucas Martins</v>
      </c>
      <c r="F106" s="164"/>
      <c r="G106" s="164" t="e">
        <f>_xlfn.CONCAT('Consolidado-Eletronorte'!#REF!,"_",ROW('Consolidado-Eletronorte'!#REF!)-ROW('Consolidado-Eletronorte'!$G$18))</f>
        <v>#REF!</v>
      </c>
      <c r="H106" s="165" t="s">
        <v>506</v>
      </c>
      <c r="I106" s="165" t="s">
        <v>135</v>
      </c>
      <c r="J106" s="165" t="s">
        <v>508</v>
      </c>
      <c r="K106" s="165" t="s">
        <v>1039</v>
      </c>
      <c r="L106" s="165" t="s">
        <v>1040</v>
      </c>
      <c r="M106" s="178" t="s">
        <v>1383</v>
      </c>
      <c r="N106" s="165"/>
      <c r="O106" s="165"/>
      <c r="P106" s="165"/>
      <c r="Q106" s="178" t="s">
        <v>1384</v>
      </c>
      <c r="R106" s="178" t="s">
        <v>1376</v>
      </c>
      <c r="S106" s="178" t="s">
        <v>1377</v>
      </c>
      <c r="T106" s="198">
        <v>215</v>
      </c>
      <c r="U106" s="198">
        <v>215</v>
      </c>
      <c r="V106" s="198">
        <v>215</v>
      </c>
      <c r="W106" s="198">
        <v>215</v>
      </c>
      <c r="X106" s="198">
        <v>215</v>
      </c>
      <c r="Y106" s="198">
        <v>215</v>
      </c>
      <c r="Z106" s="198">
        <v>215</v>
      </c>
      <c r="AA106" s="198">
        <v>215</v>
      </c>
      <c r="AB106" s="198">
        <v>215</v>
      </c>
      <c r="AC106" s="198" t="s">
        <v>1045</v>
      </c>
      <c r="AD106" s="198" t="s">
        <v>1045</v>
      </c>
      <c r="AE106" s="198" t="s">
        <v>1045</v>
      </c>
      <c r="AF106" s="197">
        <f>SUM(Tabela96[[#This Row],[jan/26]:[dez/26]])</f>
        <v>1935</v>
      </c>
      <c r="AG106" s="198">
        <v>0</v>
      </c>
      <c r="AH106" s="198">
        <v>0</v>
      </c>
      <c r="AI106" s="198">
        <v>0</v>
      </c>
      <c r="AJ106" s="198">
        <v>0</v>
      </c>
      <c r="AK106" s="198">
        <f>SUM(Tabela96[[#This Row],[2026]:[2030]])</f>
        <v>1935</v>
      </c>
      <c r="AL106" s="198">
        <v>0</v>
      </c>
      <c r="AM106" s="198">
        <v>0</v>
      </c>
      <c r="AN106" s="198">
        <v>0</v>
      </c>
      <c r="AO106" s="198">
        <v>0</v>
      </c>
      <c r="AP106" s="198">
        <v>0</v>
      </c>
      <c r="AQ106" s="202">
        <f>SUM(Tabela96[[#This Row],[2026-2030]:[2035]])</f>
        <v>1935</v>
      </c>
      <c r="AS106" s="178" t="s">
        <v>1046</v>
      </c>
      <c r="AT106" s="201">
        <v>2024</v>
      </c>
      <c r="AU106" s="178" t="s">
        <v>1385</v>
      </c>
      <c r="AV106" s="112" t="s">
        <v>1379</v>
      </c>
      <c r="AW106" s="178" t="s">
        <v>517</v>
      </c>
      <c r="AZ106" s="178" t="s">
        <v>1144</v>
      </c>
    </row>
    <row r="107" spans="2:52" ht="24.75" customHeight="1" x14ac:dyDescent="0.35">
      <c r="B107" s="179" t="e" cm="1">
        <f t="array" ref="B107">AND(ISTEXT('Consolidado-Eletronorte'!#REF!),SUM('Consolidado-Eletronorte'!#REF!)&gt;0)</f>
        <v>#REF!</v>
      </c>
      <c r="C107" s="162" t="str">
        <f t="shared" ca="1" si="6"/>
        <v>Capex Orcamentário_PE2026_2030_red_35_porcentoR3_consulta.xlsx</v>
      </c>
      <c r="D107" s="163" t="str">
        <f t="shared" si="7"/>
        <v>COO</v>
      </c>
      <c r="E107" s="163" t="str">
        <f t="shared" si="8"/>
        <v>Lucas Martins</v>
      </c>
      <c r="F107" s="164"/>
      <c r="G107" s="164" t="e">
        <f>_xlfn.CONCAT('Consolidado-Eletronorte'!#REF!,"_",ROW('Consolidado-Eletronorte'!#REF!)-ROW('Consolidado-Eletronorte'!$G$18))</f>
        <v>#REF!</v>
      </c>
      <c r="H107" s="165" t="s">
        <v>506</v>
      </c>
      <c r="I107" s="165" t="s">
        <v>135</v>
      </c>
      <c r="J107" s="165" t="s">
        <v>508</v>
      </c>
      <c r="K107" s="165" t="s">
        <v>1039</v>
      </c>
      <c r="L107" s="165" t="s">
        <v>1040</v>
      </c>
      <c r="M107" s="178" t="s">
        <v>1386</v>
      </c>
      <c r="N107" s="165"/>
      <c r="O107" s="165"/>
      <c r="P107" s="165"/>
      <c r="Q107" s="178" t="s">
        <v>1387</v>
      </c>
      <c r="R107" s="178" t="s">
        <v>1376</v>
      </c>
      <c r="S107" s="178" t="s">
        <v>1377</v>
      </c>
      <c r="T107" s="198">
        <v>215</v>
      </c>
      <c r="U107" s="198">
        <v>215</v>
      </c>
      <c r="V107" s="198">
        <v>215</v>
      </c>
      <c r="W107" s="198">
        <v>215</v>
      </c>
      <c r="X107" s="198">
        <v>215</v>
      </c>
      <c r="Y107" s="198">
        <v>215</v>
      </c>
      <c r="Z107" s="198">
        <v>215</v>
      </c>
      <c r="AA107" s="198">
        <v>215</v>
      </c>
      <c r="AB107" s="198">
        <v>215</v>
      </c>
      <c r="AC107" s="198" t="s">
        <v>1045</v>
      </c>
      <c r="AD107" s="198" t="s">
        <v>1045</v>
      </c>
      <c r="AE107" s="198" t="s">
        <v>1045</v>
      </c>
      <c r="AF107" s="197">
        <f>SUM(Tabela96[[#This Row],[jan/26]:[dez/26]])</f>
        <v>1935</v>
      </c>
      <c r="AG107" s="198">
        <v>0</v>
      </c>
      <c r="AH107" s="198">
        <v>0</v>
      </c>
      <c r="AI107" s="198">
        <v>0</v>
      </c>
      <c r="AJ107" s="198">
        <v>0</v>
      </c>
      <c r="AK107" s="198">
        <f>SUM(Tabela96[[#This Row],[2026]:[2030]])</f>
        <v>1935</v>
      </c>
      <c r="AL107" s="198">
        <v>0</v>
      </c>
      <c r="AM107" s="198">
        <v>0</v>
      </c>
      <c r="AN107" s="198">
        <v>0</v>
      </c>
      <c r="AO107" s="198">
        <v>0</v>
      </c>
      <c r="AP107" s="198">
        <v>0</v>
      </c>
      <c r="AQ107" s="202">
        <f>SUM(Tabela96[[#This Row],[2026-2030]:[2035]])</f>
        <v>1935</v>
      </c>
      <c r="AS107" s="178" t="s">
        <v>1046</v>
      </c>
      <c r="AT107" s="201">
        <v>2024</v>
      </c>
      <c r="AU107" s="178" t="s">
        <v>1388</v>
      </c>
      <c r="AV107" s="223" t="s">
        <v>1379</v>
      </c>
      <c r="AW107" s="178" t="s">
        <v>517</v>
      </c>
      <c r="AZ107" s="178" t="s">
        <v>1144</v>
      </c>
    </row>
    <row r="108" spans="2:52" ht="24.75" customHeight="1" x14ac:dyDescent="0.35">
      <c r="B108" s="179" t="e" cm="1">
        <f t="array" ref="B108">AND(ISTEXT('Consolidado-Eletronorte'!#REF!),SUM('Consolidado-Eletronorte'!#REF!)&gt;0)</f>
        <v>#REF!</v>
      </c>
      <c r="C108" s="162" t="str">
        <f t="shared" ref="C108:C139" ca="1" si="9">$J$3</f>
        <v>Capex Orcamentário_PE2026_2030_red_35_porcentoR3_consulta.xlsx</v>
      </c>
      <c r="D108" s="163" t="str">
        <f t="shared" ref="D108:D139" si="10">$H$3</f>
        <v>COO</v>
      </c>
      <c r="E108" s="163" t="str">
        <f t="shared" ref="E108:E139" si="11">$H$4</f>
        <v>Lucas Martins</v>
      </c>
      <c r="F108" s="164"/>
      <c r="G108" s="164" t="e">
        <f>_xlfn.CONCAT('Consolidado-Eletronorte'!#REF!,"_",ROW('Consolidado-Eletronorte'!#REF!)-ROW('Consolidado-Eletronorte'!$G$18))</f>
        <v>#REF!</v>
      </c>
      <c r="H108" s="165" t="s">
        <v>506</v>
      </c>
      <c r="I108" s="165" t="s">
        <v>135</v>
      </c>
      <c r="J108" s="165" t="s">
        <v>508</v>
      </c>
      <c r="K108" s="165" t="s">
        <v>1039</v>
      </c>
      <c r="L108" s="165" t="s">
        <v>1040</v>
      </c>
      <c r="M108" s="178" t="s">
        <v>1389</v>
      </c>
      <c r="N108" s="165"/>
      <c r="O108" s="165"/>
      <c r="P108" s="165"/>
      <c r="Q108" s="178" t="s">
        <v>1390</v>
      </c>
      <c r="R108" s="178" t="s">
        <v>1376</v>
      </c>
      <c r="S108" s="178" t="s">
        <v>1377</v>
      </c>
      <c r="T108" s="198">
        <v>215</v>
      </c>
      <c r="U108" s="198">
        <v>215</v>
      </c>
      <c r="V108" s="198">
        <v>215</v>
      </c>
      <c r="W108" s="198">
        <v>215</v>
      </c>
      <c r="X108" s="198">
        <v>215</v>
      </c>
      <c r="Y108" s="198">
        <v>215</v>
      </c>
      <c r="Z108" s="198">
        <v>215</v>
      </c>
      <c r="AA108" s="198">
        <v>215</v>
      </c>
      <c r="AB108" s="198">
        <v>215</v>
      </c>
      <c r="AC108" s="198" t="s">
        <v>1045</v>
      </c>
      <c r="AD108" s="198" t="s">
        <v>1045</v>
      </c>
      <c r="AE108" s="198" t="s">
        <v>1045</v>
      </c>
      <c r="AF108" s="197">
        <f>SUM(Tabela96[[#This Row],[jan/26]:[dez/26]])</f>
        <v>1935</v>
      </c>
      <c r="AG108" s="198">
        <v>0</v>
      </c>
      <c r="AH108" s="198">
        <v>0</v>
      </c>
      <c r="AI108" s="198">
        <v>0</v>
      </c>
      <c r="AJ108" s="198">
        <v>0</v>
      </c>
      <c r="AK108" s="198">
        <f>SUM(Tabela96[[#This Row],[2026]:[2030]])</f>
        <v>1935</v>
      </c>
      <c r="AL108" s="198">
        <v>0</v>
      </c>
      <c r="AM108" s="198">
        <v>0</v>
      </c>
      <c r="AN108" s="198">
        <v>0</v>
      </c>
      <c r="AO108" s="198">
        <v>0</v>
      </c>
      <c r="AP108" s="198">
        <v>0</v>
      </c>
      <c r="AQ108" s="202">
        <f>SUM(Tabela96[[#This Row],[2026-2030]:[2035]])</f>
        <v>1935</v>
      </c>
      <c r="AS108" s="178" t="s">
        <v>1046</v>
      </c>
      <c r="AT108" s="201">
        <v>2024</v>
      </c>
      <c r="AU108" s="178" t="s">
        <v>1391</v>
      </c>
      <c r="AV108" s="112" t="s">
        <v>1379</v>
      </c>
      <c r="AW108" s="178" t="s">
        <v>517</v>
      </c>
      <c r="AZ108" s="178" t="s">
        <v>1144</v>
      </c>
    </row>
    <row r="109" spans="2:52" ht="24.75" customHeight="1" x14ac:dyDescent="0.35">
      <c r="B109" s="179" t="e" cm="1">
        <f t="array" ref="B109">AND(ISTEXT('Consolidado-Eletronorte'!#REF!),SUM('Consolidado-Eletronorte'!#REF!)&gt;0)</f>
        <v>#REF!</v>
      </c>
      <c r="C109" s="162" t="str">
        <f t="shared" ca="1" si="9"/>
        <v>Capex Orcamentário_PE2026_2030_red_35_porcentoR3_consulta.xlsx</v>
      </c>
      <c r="D109" s="163" t="str">
        <f t="shared" si="10"/>
        <v>COO</v>
      </c>
      <c r="E109" s="163" t="str">
        <f t="shared" si="11"/>
        <v>Lucas Martins</v>
      </c>
      <c r="F109" s="164"/>
      <c r="G109" s="164" t="e">
        <f>_xlfn.CONCAT('Consolidado-Eletronorte'!#REF!,"_",ROW('Consolidado-Eletronorte'!#REF!)-ROW('Consolidado-Eletronorte'!$G$18))</f>
        <v>#REF!</v>
      </c>
      <c r="H109" s="165" t="s">
        <v>506</v>
      </c>
      <c r="I109" s="165" t="s">
        <v>135</v>
      </c>
      <c r="J109" s="165" t="s">
        <v>508</v>
      </c>
      <c r="K109" s="165" t="s">
        <v>1039</v>
      </c>
      <c r="L109" s="165" t="s">
        <v>1040</v>
      </c>
      <c r="M109" s="178" t="s">
        <v>1392</v>
      </c>
      <c r="N109" s="165"/>
      <c r="O109" s="165"/>
      <c r="P109" s="165"/>
      <c r="Q109" s="178" t="s">
        <v>1393</v>
      </c>
      <c r="R109" s="178" t="s">
        <v>1376</v>
      </c>
      <c r="S109" s="178" t="s">
        <v>1377</v>
      </c>
      <c r="T109" s="198">
        <v>215</v>
      </c>
      <c r="U109" s="198">
        <v>215</v>
      </c>
      <c r="V109" s="198">
        <v>215</v>
      </c>
      <c r="W109" s="198">
        <v>215</v>
      </c>
      <c r="X109" s="198">
        <v>215</v>
      </c>
      <c r="Y109" s="198">
        <v>215</v>
      </c>
      <c r="Z109" s="198">
        <v>215</v>
      </c>
      <c r="AA109" s="198">
        <v>215</v>
      </c>
      <c r="AB109" s="198">
        <v>215</v>
      </c>
      <c r="AC109" s="198" t="s">
        <v>1045</v>
      </c>
      <c r="AD109" s="198" t="s">
        <v>1045</v>
      </c>
      <c r="AE109" s="198" t="s">
        <v>1045</v>
      </c>
      <c r="AF109" s="197">
        <f>SUM(Tabela96[[#This Row],[jan/26]:[dez/26]])</f>
        <v>1935</v>
      </c>
      <c r="AG109" s="198">
        <v>0</v>
      </c>
      <c r="AH109" s="198">
        <v>0</v>
      </c>
      <c r="AI109" s="198">
        <v>0</v>
      </c>
      <c r="AJ109" s="198">
        <v>0</v>
      </c>
      <c r="AK109" s="198">
        <f>SUM(Tabela96[[#This Row],[2026]:[2030]])</f>
        <v>1935</v>
      </c>
      <c r="AL109" s="198">
        <v>0</v>
      </c>
      <c r="AM109" s="198">
        <v>0</v>
      </c>
      <c r="AN109" s="198">
        <v>0</v>
      </c>
      <c r="AO109" s="198">
        <v>0</v>
      </c>
      <c r="AP109" s="198">
        <v>0</v>
      </c>
      <c r="AQ109" s="202">
        <f>SUM(Tabela96[[#This Row],[2026-2030]:[2035]])</f>
        <v>1935</v>
      </c>
      <c r="AS109" s="178" t="s">
        <v>1046</v>
      </c>
      <c r="AT109" s="201">
        <v>2024</v>
      </c>
      <c r="AU109" s="178" t="s">
        <v>1394</v>
      </c>
      <c r="AV109" s="223" t="s">
        <v>1379</v>
      </c>
      <c r="AW109" s="178" t="s">
        <v>517</v>
      </c>
      <c r="AZ109" s="178" t="s">
        <v>1144</v>
      </c>
    </row>
    <row r="110" spans="2:52" ht="24.75" customHeight="1" x14ac:dyDescent="0.35">
      <c r="B110" s="179" t="e" cm="1">
        <f t="array" ref="B110">AND(ISTEXT('Consolidado-Eletronorte'!#REF!),SUM('Consolidado-Eletronorte'!#REF!)&gt;0)</f>
        <v>#REF!</v>
      </c>
      <c r="C110" s="162" t="str">
        <f t="shared" ca="1" si="9"/>
        <v>Capex Orcamentário_PE2026_2030_red_35_porcentoR3_consulta.xlsx</v>
      </c>
      <c r="D110" s="163" t="str">
        <f t="shared" si="10"/>
        <v>COO</v>
      </c>
      <c r="E110" s="163" t="str">
        <f t="shared" si="11"/>
        <v>Lucas Martins</v>
      </c>
      <c r="F110" s="164"/>
      <c r="G110" s="164" t="e">
        <f>_xlfn.CONCAT('Consolidado-Eletronorte'!#REF!,"_",ROW('Consolidado-Eletronorte'!#REF!)-ROW('Consolidado-Eletronorte'!$G$18))</f>
        <v>#REF!</v>
      </c>
      <c r="H110" s="165" t="s">
        <v>506</v>
      </c>
      <c r="I110" s="165" t="s">
        <v>135</v>
      </c>
      <c r="J110" s="165" t="s">
        <v>508</v>
      </c>
      <c r="K110" s="165" t="s">
        <v>1039</v>
      </c>
      <c r="L110" s="165" t="s">
        <v>1040</v>
      </c>
      <c r="M110" s="178" t="s">
        <v>1395</v>
      </c>
      <c r="N110" s="165"/>
      <c r="O110" s="165"/>
      <c r="P110" s="165"/>
      <c r="Q110" s="178" t="s">
        <v>1396</v>
      </c>
      <c r="R110" s="178" t="s">
        <v>1376</v>
      </c>
      <c r="S110" s="178" t="s">
        <v>1377</v>
      </c>
      <c r="T110" s="198">
        <v>215</v>
      </c>
      <c r="U110" s="198">
        <v>215</v>
      </c>
      <c r="V110" s="198">
        <v>215</v>
      </c>
      <c r="W110" s="198">
        <v>215</v>
      </c>
      <c r="X110" s="198">
        <v>215</v>
      </c>
      <c r="Y110" s="198">
        <v>215</v>
      </c>
      <c r="Z110" s="198">
        <v>215</v>
      </c>
      <c r="AA110" s="198">
        <v>215</v>
      </c>
      <c r="AB110" s="198">
        <v>215</v>
      </c>
      <c r="AC110" s="198" t="s">
        <v>1045</v>
      </c>
      <c r="AD110" s="198" t="s">
        <v>1045</v>
      </c>
      <c r="AE110" s="198" t="s">
        <v>1045</v>
      </c>
      <c r="AF110" s="197">
        <f>SUM(Tabela96[[#This Row],[jan/26]:[dez/26]])</f>
        <v>1935</v>
      </c>
      <c r="AG110" s="198">
        <v>0</v>
      </c>
      <c r="AH110" s="198">
        <v>0</v>
      </c>
      <c r="AI110" s="198">
        <v>0</v>
      </c>
      <c r="AJ110" s="198">
        <v>0</v>
      </c>
      <c r="AK110" s="198">
        <f>SUM(Tabela96[[#This Row],[2026]:[2030]])</f>
        <v>1935</v>
      </c>
      <c r="AL110" s="198">
        <v>0</v>
      </c>
      <c r="AM110" s="198">
        <v>0</v>
      </c>
      <c r="AN110" s="198">
        <v>0</v>
      </c>
      <c r="AO110" s="198">
        <v>0</v>
      </c>
      <c r="AP110" s="198">
        <v>0</v>
      </c>
      <c r="AQ110" s="202">
        <f>SUM(Tabela96[[#This Row],[2026-2030]:[2035]])</f>
        <v>1935</v>
      </c>
      <c r="AS110" s="178" t="s">
        <v>1046</v>
      </c>
      <c r="AT110" s="201">
        <v>2024</v>
      </c>
      <c r="AU110" s="178" t="s">
        <v>1397</v>
      </c>
      <c r="AV110" s="112" t="s">
        <v>1379</v>
      </c>
      <c r="AW110" s="178" t="s">
        <v>517</v>
      </c>
      <c r="AZ110" s="178" t="s">
        <v>1144</v>
      </c>
    </row>
    <row r="111" spans="2:52" ht="24.75" customHeight="1" x14ac:dyDescent="0.35">
      <c r="B111" s="179" t="e" cm="1">
        <f t="array" ref="B111">AND(ISTEXT('Consolidado-Eletronorte'!#REF!),SUM('Consolidado-Eletronorte'!#REF!)&gt;0)</f>
        <v>#REF!</v>
      </c>
      <c r="C111" s="162" t="str">
        <f t="shared" ca="1" si="9"/>
        <v>Capex Orcamentário_PE2026_2030_red_35_porcentoR3_consulta.xlsx</v>
      </c>
      <c r="D111" s="163" t="str">
        <f t="shared" si="10"/>
        <v>COO</v>
      </c>
      <c r="E111" s="163" t="str">
        <f t="shared" si="11"/>
        <v>Lucas Martins</v>
      </c>
      <c r="F111" s="164"/>
      <c r="G111" s="164" t="e">
        <f>_xlfn.CONCAT('Consolidado-Eletronorte'!#REF!,"_",ROW('Consolidado-Eletronorte'!#REF!)-ROW('Consolidado-Eletronorte'!$G$18))</f>
        <v>#REF!</v>
      </c>
      <c r="H111" s="165" t="s">
        <v>506</v>
      </c>
      <c r="I111" s="165" t="s">
        <v>135</v>
      </c>
      <c r="J111" s="165" t="s">
        <v>508</v>
      </c>
      <c r="K111" s="165" t="s">
        <v>1039</v>
      </c>
      <c r="L111" s="165" t="s">
        <v>1040</v>
      </c>
      <c r="M111" s="178" t="s">
        <v>1398</v>
      </c>
      <c r="N111" s="165"/>
      <c r="O111" s="165"/>
      <c r="P111" s="165"/>
      <c r="Q111" s="178" t="s">
        <v>1399</v>
      </c>
      <c r="R111" s="178" t="s">
        <v>1376</v>
      </c>
      <c r="S111" s="178" t="s">
        <v>1377</v>
      </c>
      <c r="T111" s="198">
        <v>215</v>
      </c>
      <c r="U111" s="198">
        <v>215</v>
      </c>
      <c r="V111" s="198">
        <v>215</v>
      </c>
      <c r="W111" s="198">
        <v>215</v>
      </c>
      <c r="X111" s="198">
        <v>215</v>
      </c>
      <c r="Y111" s="198">
        <v>215</v>
      </c>
      <c r="Z111" s="198">
        <v>215</v>
      </c>
      <c r="AA111" s="198">
        <v>215</v>
      </c>
      <c r="AB111" s="198">
        <v>215</v>
      </c>
      <c r="AC111" s="198" t="s">
        <v>1045</v>
      </c>
      <c r="AD111" s="198" t="s">
        <v>1045</v>
      </c>
      <c r="AE111" s="198" t="s">
        <v>1045</v>
      </c>
      <c r="AF111" s="197">
        <f>SUM(Tabela96[[#This Row],[jan/26]:[dez/26]])</f>
        <v>1935</v>
      </c>
      <c r="AG111" s="198">
        <v>0</v>
      </c>
      <c r="AH111" s="198">
        <v>0</v>
      </c>
      <c r="AI111" s="198">
        <v>0</v>
      </c>
      <c r="AJ111" s="198">
        <v>0</v>
      </c>
      <c r="AK111" s="198">
        <f>SUM(Tabela96[[#This Row],[2026]:[2030]])</f>
        <v>1935</v>
      </c>
      <c r="AL111" s="198">
        <v>0</v>
      </c>
      <c r="AM111" s="198">
        <v>0</v>
      </c>
      <c r="AN111" s="198">
        <v>0</v>
      </c>
      <c r="AO111" s="198">
        <v>0</v>
      </c>
      <c r="AP111" s="198">
        <v>0</v>
      </c>
      <c r="AQ111" s="202">
        <f>SUM(Tabela96[[#This Row],[2026-2030]:[2035]])</f>
        <v>1935</v>
      </c>
      <c r="AS111" s="178" t="s">
        <v>1046</v>
      </c>
      <c r="AT111" s="201">
        <v>2024</v>
      </c>
      <c r="AU111" s="178" t="s">
        <v>1400</v>
      </c>
      <c r="AV111" s="223" t="s">
        <v>1379</v>
      </c>
      <c r="AW111" s="178" t="s">
        <v>517</v>
      </c>
      <c r="AZ111" s="178" t="s">
        <v>1144</v>
      </c>
    </row>
    <row r="112" spans="2:52" ht="24.75" customHeight="1" x14ac:dyDescent="0.35">
      <c r="B112" s="179" t="e" cm="1">
        <f t="array" ref="B112">AND(ISTEXT('Consolidado-Eletronorte'!#REF!),SUM('Consolidado-Eletronorte'!#REF!)&gt;0)</f>
        <v>#REF!</v>
      </c>
      <c r="C112" s="162" t="str">
        <f t="shared" ca="1" si="9"/>
        <v>Capex Orcamentário_PE2026_2030_red_35_porcentoR3_consulta.xlsx</v>
      </c>
      <c r="D112" s="163" t="str">
        <f t="shared" si="10"/>
        <v>COO</v>
      </c>
      <c r="E112" s="163" t="str">
        <f t="shared" si="11"/>
        <v>Lucas Martins</v>
      </c>
      <c r="F112" s="164"/>
      <c r="G112" s="164" t="e">
        <f>_xlfn.CONCAT('Consolidado-Eletronorte'!#REF!,"_",ROW('Consolidado-Eletronorte'!#REF!)-ROW('Consolidado-Eletronorte'!$G$18))</f>
        <v>#REF!</v>
      </c>
      <c r="H112" s="165" t="s">
        <v>506</v>
      </c>
      <c r="I112" s="165" t="s">
        <v>135</v>
      </c>
      <c r="J112" s="165" t="s">
        <v>508</v>
      </c>
      <c r="K112" s="165" t="s">
        <v>1039</v>
      </c>
      <c r="L112" s="165" t="s">
        <v>1040</v>
      </c>
      <c r="M112" s="178" t="s">
        <v>1401</v>
      </c>
      <c r="N112" s="165"/>
      <c r="O112" s="165"/>
      <c r="P112" s="165"/>
      <c r="Q112" s="178" t="s">
        <v>1402</v>
      </c>
      <c r="R112" s="178" t="s">
        <v>1376</v>
      </c>
      <c r="S112" s="178" t="s">
        <v>1377</v>
      </c>
      <c r="T112" s="198">
        <v>215</v>
      </c>
      <c r="U112" s="198">
        <v>215</v>
      </c>
      <c r="V112" s="198">
        <v>215</v>
      </c>
      <c r="W112" s="198">
        <v>215</v>
      </c>
      <c r="X112" s="198">
        <v>215</v>
      </c>
      <c r="Y112" s="198">
        <v>215</v>
      </c>
      <c r="Z112" s="198">
        <v>215</v>
      </c>
      <c r="AA112" s="198">
        <v>215</v>
      </c>
      <c r="AB112" s="198">
        <v>215</v>
      </c>
      <c r="AC112" s="198" t="s">
        <v>1045</v>
      </c>
      <c r="AD112" s="198" t="s">
        <v>1045</v>
      </c>
      <c r="AE112" s="198" t="s">
        <v>1045</v>
      </c>
      <c r="AF112" s="197">
        <f>SUM(Tabela96[[#This Row],[jan/26]:[dez/26]])</f>
        <v>1935</v>
      </c>
      <c r="AG112" s="198">
        <v>0</v>
      </c>
      <c r="AH112" s="198">
        <v>0</v>
      </c>
      <c r="AI112" s="198">
        <v>0</v>
      </c>
      <c r="AJ112" s="198">
        <v>0</v>
      </c>
      <c r="AK112" s="198">
        <f>SUM(Tabela96[[#This Row],[2026]:[2030]])</f>
        <v>1935</v>
      </c>
      <c r="AL112" s="198">
        <v>0</v>
      </c>
      <c r="AM112" s="198">
        <v>0</v>
      </c>
      <c r="AN112" s="198">
        <v>0</v>
      </c>
      <c r="AO112" s="198">
        <v>0</v>
      </c>
      <c r="AP112" s="198">
        <v>0</v>
      </c>
      <c r="AQ112" s="202">
        <f>SUM(Tabela96[[#This Row],[2026-2030]:[2035]])</f>
        <v>1935</v>
      </c>
      <c r="AS112" s="178" t="s">
        <v>1046</v>
      </c>
      <c r="AT112" s="201">
        <v>2024</v>
      </c>
      <c r="AU112" s="178" t="s">
        <v>1403</v>
      </c>
      <c r="AV112" s="112" t="s">
        <v>1379</v>
      </c>
      <c r="AW112" s="178" t="s">
        <v>517</v>
      </c>
      <c r="AZ112" s="178" t="s">
        <v>1144</v>
      </c>
    </row>
    <row r="113" spans="2:52" ht="24.75" customHeight="1" x14ac:dyDescent="0.35">
      <c r="B113" s="179" t="e" cm="1">
        <f t="array" ref="B113">AND(ISTEXT('Consolidado-Eletronorte'!#REF!),SUM('Consolidado-Eletronorte'!#REF!)&gt;0)</f>
        <v>#REF!</v>
      </c>
      <c r="C113" s="162" t="str">
        <f t="shared" ca="1" si="9"/>
        <v>Capex Orcamentário_PE2026_2030_red_35_porcentoR3_consulta.xlsx</v>
      </c>
      <c r="D113" s="163" t="str">
        <f t="shared" si="10"/>
        <v>COO</v>
      </c>
      <c r="E113" s="163" t="str">
        <f t="shared" si="11"/>
        <v>Lucas Martins</v>
      </c>
      <c r="F113" s="164"/>
      <c r="G113" s="164" t="e">
        <f>_xlfn.CONCAT('Consolidado-Eletronorte'!#REF!,"_",ROW('Consolidado-Eletronorte'!#REF!)-ROW('Consolidado-Eletronorte'!$G$18))</f>
        <v>#REF!</v>
      </c>
      <c r="H113" s="165" t="s">
        <v>506</v>
      </c>
      <c r="I113" s="165" t="s">
        <v>135</v>
      </c>
      <c r="J113" s="165" t="s">
        <v>508</v>
      </c>
      <c r="K113" s="165" t="s">
        <v>1039</v>
      </c>
      <c r="L113" s="165" t="s">
        <v>1040</v>
      </c>
      <c r="M113" s="178" t="s">
        <v>1404</v>
      </c>
      <c r="N113" s="165"/>
      <c r="O113" s="165"/>
      <c r="P113" s="165"/>
      <c r="Q113" s="178" t="s">
        <v>1405</v>
      </c>
      <c r="R113" s="178" t="s">
        <v>1376</v>
      </c>
      <c r="S113" s="178" t="s">
        <v>1377</v>
      </c>
      <c r="T113" s="198">
        <v>215</v>
      </c>
      <c r="U113" s="198">
        <v>215</v>
      </c>
      <c r="V113" s="198">
        <v>215</v>
      </c>
      <c r="W113" s="198">
        <v>215</v>
      </c>
      <c r="X113" s="198">
        <v>215</v>
      </c>
      <c r="Y113" s="198">
        <v>215</v>
      </c>
      <c r="Z113" s="198">
        <v>215</v>
      </c>
      <c r="AA113" s="198">
        <v>215</v>
      </c>
      <c r="AB113" s="198">
        <v>215</v>
      </c>
      <c r="AC113" s="198" t="s">
        <v>1045</v>
      </c>
      <c r="AD113" s="198" t="s">
        <v>1045</v>
      </c>
      <c r="AE113" s="198" t="s">
        <v>1045</v>
      </c>
      <c r="AF113" s="197">
        <f>SUM(Tabela96[[#This Row],[jan/26]:[dez/26]])</f>
        <v>1935</v>
      </c>
      <c r="AG113" s="198">
        <v>0</v>
      </c>
      <c r="AH113" s="198">
        <v>0</v>
      </c>
      <c r="AI113" s="198">
        <v>0</v>
      </c>
      <c r="AJ113" s="198">
        <v>0</v>
      </c>
      <c r="AK113" s="198">
        <f>SUM(Tabela96[[#This Row],[2026]:[2030]])</f>
        <v>1935</v>
      </c>
      <c r="AL113" s="198">
        <v>0</v>
      </c>
      <c r="AM113" s="198">
        <v>0</v>
      </c>
      <c r="AN113" s="198">
        <v>0</v>
      </c>
      <c r="AO113" s="198">
        <v>0</v>
      </c>
      <c r="AP113" s="198">
        <v>0</v>
      </c>
      <c r="AQ113" s="202">
        <f>SUM(Tabela96[[#This Row],[2026-2030]:[2035]])</f>
        <v>1935</v>
      </c>
      <c r="AS113" s="178" t="s">
        <v>1046</v>
      </c>
      <c r="AT113" s="201">
        <v>2024</v>
      </c>
      <c r="AU113" s="178" t="s">
        <v>1406</v>
      </c>
      <c r="AV113" s="223" t="s">
        <v>1379</v>
      </c>
      <c r="AW113" s="178" t="s">
        <v>517</v>
      </c>
      <c r="AZ113" s="178" t="s">
        <v>1144</v>
      </c>
    </row>
    <row r="114" spans="2:52" ht="24.75" customHeight="1" x14ac:dyDescent="0.35">
      <c r="B114" s="179" t="e" cm="1">
        <f t="array" ref="B114">AND(ISTEXT('Consolidado-Eletronorte'!#REF!),SUM('Consolidado-Eletronorte'!#REF!)&gt;0)</f>
        <v>#REF!</v>
      </c>
      <c r="C114" s="162" t="str">
        <f t="shared" ca="1" si="9"/>
        <v>Capex Orcamentário_PE2026_2030_red_35_porcentoR3_consulta.xlsx</v>
      </c>
      <c r="D114" s="163" t="str">
        <f t="shared" si="10"/>
        <v>COO</v>
      </c>
      <c r="E114" s="163" t="str">
        <f t="shared" si="11"/>
        <v>Lucas Martins</v>
      </c>
      <c r="F114" s="164"/>
      <c r="G114" s="164" t="e">
        <f>_xlfn.CONCAT('Consolidado-Eletronorte'!#REF!,"_",ROW('Consolidado-Eletronorte'!#REF!)-ROW('Consolidado-Eletronorte'!$G$18))</f>
        <v>#REF!</v>
      </c>
      <c r="H114" s="165" t="s">
        <v>506</v>
      </c>
      <c r="I114" s="165" t="s">
        <v>135</v>
      </c>
      <c r="J114" s="165" t="s">
        <v>508</v>
      </c>
      <c r="K114" s="165" t="s">
        <v>1039</v>
      </c>
      <c r="L114" s="165" t="s">
        <v>1040</v>
      </c>
      <c r="M114" s="178" t="s">
        <v>1407</v>
      </c>
      <c r="N114" s="165"/>
      <c r="O114" s="165"/>
      <c r="P114" s="165"/>
      <c r="Q114" s="178" t="s">
        <v>1408</v>
      </c>
      <c r="R114" s="178" t="s">
        <v>1376</v>
      </c>
      <c r="S114" s="178" t="s">
        <v>1377</v>
      </c>
      <c r="T114" s="198">
        <v>215</v>
      </c>
      <c r="U114" s="198">
        <v>215</v>
      </c>
      <c r="V114" s="198">
        <v>215</v>
      </c>
      <c r="W114" s="198">
        <v>215</v>
      </c>
      <c r="X114" s="198">
        <v>215</v>
      </c>
      <c r="Y114" s="198">
        <v>215</v>
      </c>
      <c r="Z114" s="198">
        <v>215</v>
      </c>
      <c r="AA114" s="198">
        <v>215</v>
      </c>
      <c r="AB114" s="198">
        <v>215</v>
      </c>
      <c r="AC114" s="198" t="s">
        <v>1045</v>
      </c>
      <c r="AD114" s="198" t="s">
        <v>1045</v>
      </c>
      <c r="AE114" s="198" t="s">
        <v>1045</v>
      </c>
      <c r="AF114" s="197">
        <f>SUM(Tabela96[[#This Row],[jan/26]:[dez/26]])</f>
        <v>1935</v>
      </c>
      <c r="AG114" s="198">
        <v>0</v>
      </c>
      <c r="AH114" s="198">
        <v>0</v>
      </c>
      <c r="AI114" s="198">
        <v>0</v>
      </c>
      <c r="AJ114" s="198">
        <v>0</v>
      </c>
      <c r="AK114" s="198">
        <f>SUM(Tabela96[[#This Row],[2026]:[2030]])</f>
        <v>1935</v>
      </c>
      <c r="AL114" s="198">
        <v>0</v>
      </c>
      <c r="AM114" s="198">
        <v>0</v>
      </c>
      <c r="AN114" s="198">
        <v>0</v>
      </c>
      <c r="AO114" s="198">
        <v>0</v>
      </c>
      <c r="AP114" s="198">
        <v>0</v>
      </c>
      <c r="AQ114" s="202">
        <f>SUM(Tabela96[[#This Row],[2026-2030]:[2035]])</f>
        <v>1935</v>
      </c>
      <c r="AS114" s="178" t="s">
        <v>1046</v>
      </c>
      <c r="AT114" s="201">
        <v>2024</v>
      </c>
      <c r="AU114" s="178" t="s">
        <v>1409</v>
      </c>
      <c r="AV114" s="112" t="s">
        <v>1379</v>
      </c>
      <c r="AW114" s="178" t="s">
        <v>517</v>
      </c>
      <c r="AZ114" s="178" t="s">
        <v>1144</v>
      </c>
    </row>
    <row r="115" spans="2:52" ht="24.75" customHeight="1" x14ac:dyDescent="0.35">
      <c r="B115" s="179" t="e" cm="1">
        <f t="array" ref="B115">AND(ISTEXT('Consolidado-Eletronorte'!#REF!),SUM('Consolidado-Eletronorte'!#REF!)&gt;0)</f>
        <v>#REF!</v>
      </c>
      <c r="C115" s="162" t="str">
        <f t="shared" ca="1" si="9"/>
        <v>Capex Orcamentário_PE2026_2030_red_35_porcentoR3_consulta.xlsx</v>
      </c>
      <c r="D115" s="163" t="str">
        <f t="shared" si="10"/>
        <v>COO</v>
      </c>
      <c r="E115" s="163" t="str">
        <f t="shared" si="11"/>
        <v>Lucas Martins</v>
      </c>
      <c r="F115" s="164"/>
      <c r="G115" s="164" t="e">
        <f>_xlfn.CONCAT('Consolidado-Eletronorte'!#REF!,"_",ROW('Consolidado-Eletronorte'!#REF!)-ROW('Consolidado-Eletronorte'!$G$18))</f>
        <v>#REF!</v>
      </c>
      <c r="H115" s="165" t="s">
        <v>506</v>
      </c>
      <c r="I115" s="165" t="s">
        <v>135</v>
      </c>
      <c r="J115" s="165" t="s">
        <v>508</v>
      </c>
      <c r="K115" s="165" t="s">
        <v>1039</v>
      </c>
      <c r="L115" s="165" t="s">
        <v>1040</v>
      </c>
      <c r="M115" s="178" t="s">
        <v>1410</v>
      </c>
      <c r="N115" s="165"/>
      <c r="O115" s="165"/>
      <c r="P115" s="165"/>
      <c r="Q115" s="178" t="s">
        <v>1411</v>
      </c>
      <c r="R115" s="178" t="s">
        <v>1376</v>
      </c>
      <c r="S115" s="178" t="s">
        <v>1377</v>
      </c>
      <c r="T115" s="198">
        <v>215</v>
      </c>
      <c r="U115" s="198">
        <v>215</v>
      </c>
      <c r="V115" s="198">
        <v>215</v>
      </c>
      <c r="W115" s="198">
        <v>215</v>
      </c>
      <c r="X115" s="198">
        <v>215</v>
      </c>
      <c r="Y115" s="198">
        <v>215</v>
      </c>
      <c r="Z115" s="198">
        <v>215</v>
      </c>
      <c r="AA115" s="198">
        <v>215</v>
      </c>
      <c r="AB115" s="198">
        <v>215</v>
      </c>
      <c r="AC115" s="198" t="s">
        <v>1045</v>
      </c>
      <c r="AD115" s="198" t="s">
        <v>1045</v>
      </c>
      <c r="AE115" s="198" t="s">
        <v>1045</v>
      </c>
      <c r="AF115" s="197">
        <f>SUM(Tabela96[[#This Row],[jan/26]:[dez/26]])</f>
        <v>1935</v>
      </c>
      <c r="AG115" s="198">
        <v>0</v>
      </c>
      <c r="AH115" s="198">
        <v>0</v>
      </c>
      <c r="AI115" s="198">
        <v>0</v>
      </c>
      <c r="AJ115" s="198">
        <v>0</v>
      </c>
      <c r="AK115" s="198">
        <f>SUM(Tabela96[[#This Row],[2026]:[2030]])</f>
        <v>1935</v>
      </c>
      <c r="AL115" s="198">
        <v>0</v>
      </c>
      <c r="AM115" s="198">
        <v>0</v>
      </c>
      <c r="AN115" s="198">
        <v>0</v>
      </c>
      <c r="AO115" s="198">
        <v>0</v>
      </c>
      <c r="AP115" s="198">
        <v>0</v>
      </c>
      <c r="AQ115" s="202">
        <f>SUM(Tabela96[[#This Row],[2026-2030]:[2035]])</f>
        <v>1935</v>
      </c>
      <c r="AS115" s="178" t="s">
        <v>1046</v>
      </c>
      <c r="AT115" s="201">
        <v>2024</v>
      </c>
      <c r="AU115" s="178" t="s">
        <v>1412</v>
      </c>
      <c r="AV115" s="223" t="s">
        <v>1379</v>
      </c>
      <c r="AW115" s="178" t="s">
        <v>517</v>
      </c>
      <c r="AZ115" s="178" t="s">
        <v>1144</v>
      </c>
    </row>
    <row r="116" spans="2:52" ht="24.75" customHeight="1" x14ac:dyDescent="0.35">
      <c r="B116" s="179" t="e" cm="1">
        <f t="array" ref="B116">AND(ISTEXT('Consolidado-Eletronorte'!#REF!),SUM('Consolidado-Eletronorte'!#REF!)&gt;0)</f>
        <v>#REF!</v>
      </c>
      <c r="C116" s="162" t="str">
        <f t="shared" ca="1" si="9"/>
        <v>Capex Orcamentário_PE2026_2030_red_35_porcentoR3_consulta.xlsx</v>
      </c>
      <c r="D116" s="163" t="str">
        <f t="shared" si="10"/>
        <v>COO</v>
      </c>
      <c r="E116" s="163" t="str">
        <f t="shared" si="11"/>
        <v>Lucas Martins</v>
      </c>
      <c r="F116" s="164"/>
      <c r="G116" s="164" t="e">
        <f>_xlfn.CONCAT('Consolidado-Eletronorte'!#REF!,"_",ROW('Consolidado-Eletronorte'!#REF!)-ROW('Consolidado-Eletronorte'!$G$18))</f>
        <v>#REF!</v>
      </c>
      <c r="H116" s="165" t="s">
        <v>506</v>
      </c>
      <c r="I116" s="165" t="s">
        <v>135</v>
      </c>
      <c r="J116" s="165" t="s">
        <v>508</v>
      </c>
      <c r="K116" s="165" t="s">
        <v>1039</v>
      </c>
      <c r="L116" s="165" t="s">
        <v>1040</v>
      </c>
      <c r="M116" s="178" t="s">
        <v>1413</v>
      </c>
      <c r="N116" s="165"/>
      <c r="O116" s="165"/>
      <c r="P116" s="165"/>
      <c r="Q116" s="178" t="s">
        <v>1414</v>
      </c>
      <c r="R116" s="178" t="s">
        <v>1376</v>
      </c>
      <c r="S116" s="178" t="s">
        <v>1377</v>
      </c>
      <c r="T116" s="198">
        <v>215</v>
      </c>
      <c r="U116" s="198">
        <v>215</v>
      </c>
      <c r="V116" s="198">
        <v>215</v>
      </c>
      <c r="W116" s="198">
        <v>215</v>
      </c>
      <c r="X116" s="198">
        <v>215</v>
      </c>
      <c r="Y116" s="198">
        <v>215</v>
      </c>
      <c r="Z116" s="198">
        <v>215</v>
      </c>
      <c r="AA116" s="198">
        <v>215</v>
      </c>
      <c r="AB116" s="198">
        <v>215</v>
      </c>
      <c r="AC116" s="198" t="s">
        <v>1045</v>
      </c>
      <c r="AD116" s="198" t="s">
        <v>1045</v>
      </c>
      <c r="AE116" s="198" t="s">
        <v>1045</v>
      </c>
      <c r="AF116" s="197">
        <f>SUM(Tabela96[[#This Row],[jan/26]:[dez/26]])</f>
        <v>1935</v>
      </c>
      <c r="AG116" s="198">
        <v>0</v>
      </c>
      <c r="AH116" s="198">
        <v>0</v>
      </c>
      <c r="AI116" s="198">
        <v>0</v>
      </c>
      <c r="AJ116" s="198">
        <v>0</v>
      </c>
      <c r="AK116" s="198">
        <f>SUM(Tabela96[[#This Row],[2026]:[2030]])</f>
        <v>1935</v>
      </c>
      <c r="AL116" s="198">
        <v>0</v>
      </c>
      <c r="AM116" s="198">
        <v>0</v>
      </c>
      <c r="AN116" s="198">
        <v>0</v>
      </c>
      <c r="AO116" s="198">
        <v>0</v>
      </c>
      <c r="AP116" s="198">
        <v>0</v>
      </c>
      <c r="AQ116" s="202">
        <f>SUM(Tabela96[[#This Row],[2026-2030]:[2035]])</f>
        <v>1935</v>
      </c>
      <c r="AS116" s="178" t="s">
        <v>1046</v>
      </c>
      <c r="AT116" s="201">
        <v>2024</v>
      </c>
      <c r="AU116" s="178" t="s">
        <v>1415</v>
      </c>
      <c r="AV116" s="112" t="s">
        <v>1379</v>
      </c>
      <c r="AW116" s="178" t="s">
        <v>517</v>
      </c>
      <c r="AZ116" s="178" t="s">
        <v>1144</v>
      </c>
    </row>
    <row r="117" spans="2:52" ht="24.75" customHeight="1" x14ac:dyDescent="0.35">
      <c r="B117" s="179" t="e" cm="1">
        <f t="array" ref="B117">AND(ISTEXT('Consolidado-Eletronorte'!#REF!),SUM('Consolidado-Eletronorte'!#REF!)&gt;0)</f>
        <v>#REF!</v>
      </c>
      <c r="C117" s="162" t="str">
        <f t="shared" ca="1" si="9"/>
        <v>Capex Orcamentário_PE2026_2030_red_35_porcentoR3_consulta.xlsx</v>
      </c>
      <c r="D117" s="163" t="str">
        <f t="shared" si="10"/>
        <v>COO</v>
      </c>
      <c r="E117" s="163" t="str">
        <f t="shared" si="11"/>
        <v>Lucas Martins</v>
      </c>
      <c r="F117" s="164"/>
      <c r="G117" s="164" t="e">
        <f>_xlfn.CONCAT('Consolidado-Eletronorte'!#REF!,"_",ROW('Consolidado-Eletronorte'!#REF!)-ROW('Consolidado-Eletronorte'!$G$18))</f>
        <v>#REF!</v>
      </c>
      <c r="H117" s="165" t="s">
        <v>506</v>
      </c>
      <c r="I117" s="165" t="s">
        <v>135</v>
      </c>
      <c r="J117" s="165" t="s">
        <v>508</v>
      </c>
      <c r="K117" s="165" t="s">
        <v>1039</v>
      </c>
      <c r="L117" s="165" t="s">
        <v>1040</v>
      </c>
      <c r="M117" s="178" t="s">
        <v>1416</v>
      </c>
      <c r="N117" s="165"/>
      <c r="O117" s="165"/>
      <c r="P117" s="165"/>
      <c r="Q117" s="178" t="s">
        <v>1417</v>
      </c>
      <c r="R117" s="178" t="s">
        <v>1376</v>
      </c>
      <c r="S117" s="178" t="s">
        <v>1377</v>
      </c>
      <c r="T117" s="198">
        <v>215</v>
      </c>
      <c r="U117" s="198">
        <v>215</v>
      </c>
      <c r="V117" s="198">
        <v>215</v>
      </c>
      <c r="W117" s="198">
        <v>215</v>
      </c>
      <c r="X117" s="198">
        <v>215</v>
      </c>
      <c r="Y117" s="198">
        <v>215</v>
      </c>
      <c r="Z117" s="198">
        <v>215</v>
      </c>
      <c r="AA117" s="198">
        <v>215</v>
      </c>
      <c r="AB117" s="198">
        <v>215</v>
      </c>
      <c r="AC117" s="198" t="s">
        <v>1045</v>
      </c>
      <c r="AD117" s="198" t="s">
        <v>1045</v>
      </c>
      <c r="AE117" s="198" t="s">
        <v>1045</v>
      </c>
      <c r="AF117" s="197">
        <f>SUM(Tabela96[[#This Row],[jan/26]:[dez/26]])</f>
        <v>1935</v>
      </c>
      <c r="AG117" s="198">
        <v>0</v>
      </c>
      <c r="AH117" s="198">
        <v>0</v>
      </c>
      <c r="AI117" s="198">
        <v>0</v>
      </c>
      <c r="AJ117" s="198">
        <v>0</v>
      </c>
      <c r="AK117" s="198">
        <f>SUM(Tabela96[[#This Row],[2026]:[2030]])</f>
        <v>1935</v>
      </c>
      <c r="AL117" s="198">
        <v>0</v>
      </c>
      <c r="AM117" s="198">
        <v>0</v>
      </c>
      <c r="AN117" s="198">
        <v>0</v>
      </c>
      <c r="AO117" s="198">
        <v>0</v>
      </c>
      <c r="AP117" s="198">
        <v>0</v>
      </c>
      <c r="AQ117" s="202">
        <f>SUM(Tabela96[[#This Row],[2026-2030]:[2035]])</f>
        <v>1935</v>
      </c>
      <c r="AS117" s="178" t="s">
        <v>1046</v>
      </c>
      <c r="AT117" s="201">
        <v>2024</v>
      </c>
      <c r="AU117" s="178" t="s">
        <v>1418</v>
      </c>
      <c r="AV117" s="223" t="s">
        <v>1379</v>
      </c>
      <c r="AW117" s="178" t="s">
        <v>517</v>
      </c>
      <c r="AZ117" s="178" t="s">
        <v>1144</v>
      </c>
    </row>
    <row r="118" spans="2:52" ht="24.75" customHeight="1" x14ac:dyDescent="0.35">
      <c r="B118" s="179" t="e" cm="1">
        <f t="array" ref="B118">AND(ISTEXT('Consolidado-Eletronorte'!#REF!),SUM('Consolidado-Eletronorte'!#REF!)&gt;0)</f>
        <v>#REF!</v>
      </c>
      <c r="C118" s="162" t="str">
        <f t="shared" ca="1" si="9"/>
        <v>Capex Orcamentário_PE2026_2030_red_35_porcentoR3_consulta.xlsx</v>
      </c>
      <c r="D118" s="163" t="str">
        <f t="shared" si="10"/>
        <v>COO</v>
      </c>
      <c r="E118" s="163" t="str">
        <f t="shared" si="11"/>
        <v>Lucas Martins</v>
      </c>
      <c r="F118" s="164"/>
      <c r="G118" s="164" t="e">
        <f>_xlfn.CONCAT('Consolidado-Eletronorte'!#REF!,"_",ROW('Consolidado-Eletronorte'!#REF!)-ROW('Consolidado-Eletronorte'!$G$18))</f>
        <v>#REF!</v>
      </c>
      <c r="H118" s="165" t="s">
        <v>506</v>
      </c>
      <c r="I118" s="165" t="s">
        <v>135</v>
      </c>
      <c r="J118" s="165" t="s">
        <v>508</v>
      </c>
      <c r="K118" s="165" t="s">
        <v>1039</v>
      </c>
      <c r="L118" s="165" t="s">
        <v>1040</v>
      </c>
      <c r="M118" s="178" t="s">
        <v>1419</v>
      </c>
      <c r="N118" s="165"/>
      <c r="O118" s="165"/>
      <c r="P118" s="165"/>
      <c r="Q118" s="178" t="s">
        <v>1420</v>
      </c>
      <c r="R118" s="178" t="s">
        <v>1376</v>
      </c>
      <c r="S118" s="178" t="s">
        <v>1377</v>
      </c>
      <c r="T118" s="198">
        <v>215</v>
      </c>
      <c r="U118" s="198">
        <v>215</v>
      </c>
      <c r="V118" s="198">
        <v>215</v>
      </c>
      <c r="W118" s="198">
        <v>215</v>
      </c>
      <c r="X118" s="198">
        <v>215</v>
      </c>
      <c r="Y118" s="198">
        <v>215</v>
      </c>
      <c r="Z118" s="198">
        <v>215</v>
      </c>
      <c r="AA118" s="198">
        <v>215</v>
      </c>
      <c r="AB118" s="198">
        <v>215</v>
      </c>
      <c r="AC118" s="198" t="s">
        <v>1045</v>
      </c>
      <c r="AD118" s="198" t="s">
        <v>1045</v>
      </c>
      <c r="AE118" s="198" t="s">
        <v>1045</v>
      </c>
      <c r="AF118" s="197">
        <f>SUM(Tabela96[[#This Row],[jan/26]:[dez/26]])</f>
        <v>1935</v>
      </c>
      <c r="AG118" s="198">
        <v>0</v>
      </c>
      <c r="AH118" s="198">
        <v>0</v>
      </c>
      <c r="AI118" s="198">
        <v>0</v>
      </c>
      <c r="AJ118" s="198">
        <v>0</v>
      </c>
      <c r="AK118" s="198">
        <f>SUM(Tabela96[[#This Row],[2026]:[2030]])</f>
        <v>1935</v>
      </c>
      <c r="AL118" s="198">
        <v>0</v>
      </c>
      <c r="AM118" s="198">
        <v>0</v>
      </c>
      <c r="AN118" s="198">
        <v>0</v>
      </c>
      <c r="AO118" s="198">
        <v>0</v>
      </c>
      <c r="AP118" s="198">
        <v>0</v>
      </c>
      <c r="AQ118" s="202">
        <f>SUM(Tabela96[[#This Row],[2026-2030]:[2035]])</f>
        <v>1935</v>
      </c>
      <c r="AS118" s="178" t="s">
        <v>1046</v>
      </c>
      <c r="AT118" s="201">
        <v>2024</v>
      </c>
      <c r="AU118" s="178" t="s">
        <v>1421</v>
      </c>
      <c r="AV118" s="112" t="s">
        <v>1379</v>
      </c>
      <c r="AW118" s="178" t="s">
        <v>517</v>
      </c>
      <c r="AZ118" s="178" t="s">
        <v>1144</v>
      </c>
    </row>
    <row r="119" spans="2:52" ht="24.75" customHeight="1" x14ac:dyDescent="0.35">
      <c r="B119" s="179" t="e" cm="1">
        <f t="array" ref="B119">AND(ISTEXT('Consolidado-Eletronorte'!#REF!),SUM('Consolidado-Eletronorte'!#REF!)&gt;0)</f>
        <v>#REF!</v>
      </c>
      <c r="C119" s="162" t="str">
        <f t="shared" ca="1" si="9"/>
        <v>Capex Orcamentário_PE2026_2030_red_35_porcentoR3_consulta.xlsx</v>
      </c>
      <c r="D119" s="163" t="str">
        <f t="shared" si="10"/>
        <v>COO</v>
      </c>
      <c r="E119" s="163" t="str">
        <f t="shared" si="11"/>
        <v>Lucas Martins</v>
      </c>
      <c r="F119" s="164"/>
      <c r="G119" s="164" t="e">
        <f>_xlfn.CONCAT('Consolidado-Eletronorte'!#REF!,"_",ROW('Consolidado-Eletronorte'!#REF!)-ROW('Consolidado-Eletronorte'!$G$18))</f>
        <v>#REF!</v>
      </c>
      <c r="H119" s="165" t="s">
        <v>506</v>
      </c>
      <c r="I119" s="165" t="s">
        <v>135</v>
      </c>
      <c r="J119" s="165" t="s">
        <v>508</v>
      </c>
      <c r="K119" s="165" t="s">
        <v>1039</v>
      </c>
      <c r="L119" s="165" t="s">
        <v>1040</v>
      </c>
      <c r="M119" s="178" t="s">
        <v>1422</v>
      </c>
      <c r="N119" s="165"/>
      <c r="O119" s="165"/>
      <c r="P119" s="165"/>
      <c r="Q119" s="178" t="s">
        <v>1423</v>
      </c>
      <c r="R119" s="178" t="s">
        <v>1376</v>
      </c>
      <c r="S119" s="178" t="s">
        <v>1377</v>
      </c>
      <c r="T119" s="198">
        <v>215</v>
      </c>
      <c r="U119" s="198">
        <v>215</v>
      </c>
      <c r="V119" s="198">
        <v>215</v>
      </c>
      <c r="W119" s="198">
        <v>215</v>
      </c>
      <c r="X119" s="198">
        <v>215</v>
      </c>
      <c r="Y119" s="198">
        <v>215</v>
      </c>
      <c r="Z119" s="198">
        <v>215</v>
      </c>
      <c r="AA119" s="198">
        <v>215</v>
      </c>
      <c r="AB119" s="198">
        <v>215</v>
      </c>
      <c r="AC119" s="198" t="s">
        <v>1045</v>
      </c>
      <c r="AD119" s="198" t="s">
        <v>1045</v>
      </c>
      <c r="AE119" s="198" t="s">
        <v>1045</v>
      </c>
      <c r="AF119" s="197">
        <f>SUM(Tabela96[[#This Row],[jan/26]:[dez/26]])</f>
        <v>1935</v>
      </c>
      <c r="AG119" s="198">
        <v>0</v>
      </c>
      <c r="AH119" s="198">
        <v>0</v>
      </c>
      <c r="AI119" s="198">
        <v>0</v>
      </c>
      <c r="AJ119" s="198">
        <v>0</v>
      </c>
      <c r="AK119" s="198">
        <f>SUM(Tabela96[[#This Row],[2026]:[2030]])</f>
        <v>1935</v>
      </c>
      <c r="AL119" s="198">
        <v>0</v>
      </c>
      <c r="AM119" s="198">
        <v>0</v>
      </c>
      <c r="AN119" s="198">
        <v>0</v>
      </c>
      <c r="AO119" s="198">
        <v>0</v>
      </c>
      <c r="AP119" s="198">
        <v>0</v>
      </c>
      <c r="AQ119" s="202">
        <f>SUM(Tabela96[[#This Row],[2026-2030]:[2035]])</f>
        <v>1935</v>
      </c>
      <c r="AS119" s="178" t="s">
        <v>1046</v>
      </c>
      <c r="AT119" s="201">
        <v>2024</v>
      </c>
      <c r="AU119" s="178" t="s">
        <v>1424</v>
      </c>
      <c r="AV119" s="223" t="s">
        <v>1379</v>
      </c>
      <c r="AW119" s="178" t="s">
        <v>517</v>
      </c>
      <c r="AZ119" s="178" t="s">
        <v>1144</v>
      </c>
    </row>
    <row r="120" spans="2:52" ht="24.75" customHeight="1" x14ac:dyDescent="0.35">
      <c r="B120" s="179" t="e" cm="1">
        <f t="array" ref="B120">AND(ISTEXT('Consolidado-Eletronorte'!#REF!),SUM('Consolidado-Eletronorte'!#REF!)&gt;0)</f>
        <v>#REF!</v>
      </c>
      <c r="C120" s="162" t="str">
        <f t="shared" ca="1" si="9"/>
        <v>Capex Orcamentário_PE2026_2030_red_35_porcentoR3_consulta.xlsx</v>
      </c>
      <c r="D120" s="163" t="str">
        <f t="shared" si="10"/>
        <v>COO</v>
      </c>
      <c r="E120" s="163" t="str">
        <f t="shared" si="11"/>
        <v>Lucas Martins</v>
      </c>
      <c r="F120" s="164"/>
      <c r="G120" s="164" t="e">
        <f>_xlfn.CONCAT('Consolidado-Eletronorte'!#REF!,"_",ROW('Consolidado-Eletronorte'!#REF!)-ROW('Consolidado-Eletronorte'!$G$18))</f>
        <v>#REF!</v>
      </c>
      <c r="H120" s="165" t="s">
        <v>506</v>
      </c>
      <c r="I120" s="165" t="s">
        <v>135</v>
      </c>
      <c r="J120" s="165" t="s">
        <v>508</v>
      </c>
      <c r="K120" s="165" t="s">
        <v>1039</v>
      </c>
      <c r="L120" s="165" t="s">
        <v>1040</v>
      </c>
      <c r="M120" s="178" t="s">
        <v>1425</v>
      </c>
      <c r="N120" s="165"/>
      <c r="O120" s="165"/>
      <c r="P120" s="165"/>
      <c r="Q120" s="178" t="s">
        <v>1426</v>
      </c>
      <c r="R120" s="178" t="s">
        <v>1376</v>
      </c>
      <c r="S120" s="178" t="s">
        <v>1377</v>
      </c>
      <c r="T120" s="198">
        <v>215</v>
      </c>
      <c r="U120" s="198">
        <v>215</v>
      </c>
      <c r="V120" s="198">
        <v>215</v>
      </c>
      <c r="W120" s="198">
        <v>215</v>
      </c>
      <c r="X120" s="198">
        <v>215</v>
      </c>
      <c r="Y120" s="198">
        <v>215</v>
      </c>
      <c r="Z120" s="198">
        <v>215</v>
      </c>
      <c r="AA120" s="198">
        <v>215</v>
      </c>
      <c r="AB120" s="198">
        <v>215</v>
      </c>
      <c r="AC120" s="198" t="s">
        <v>1045</v>
      </c>
      <c r="AD120" s="198" t="s">
        <v>1045</v>
      </c>
      <c r="AE120" s="198" t="s">
        <v>1045</v>
      </c>
      <c r="AF120" s="197">
        <f>SUM(Tabela96[[#This Row],[jan/26]:[dez/26]])</f>
        <v>1935</v>
      </c>
      <c r="AG120" s="198">
        <v>0</v>
      </c>
      <c r="AH120" s="198">
        <v>0</v>
      </c>
      <c r="AI120" s="198">
        <v>0</v>
      </c>
      <c r="AJ120" s="198">
        <v>0</v>
      </c>
      <c r="AK120" s="198">
        <f>SUM(Tabela96[[#This Row],[2026]:[2030]])</f>
        <v>1935</v>
      </c>
      <c r="AL120" s="198">
        <v>0</v>
      </c>
      <c r="AM120" s="198">
        <v>0</v>
      </c>
      <c r="AN120" s="198">
        <v>0</v>
      </c>
      <c r="AO120" s="198">
        <v>0</v>
      </c>
      <c r="AP120" s="198">
        <v>0</v>
      </c>
      <c r="AQ120" s="202">
        <f>SUM(Tabela96[[#This Row],[2026-2030]:[2035]])</f>
        <v>1935</v>
      </c>
      <c r="AS120" s="178" t="s">
        <v>1046</v>
      </c>
      <c r="AT120" s="201">
        <v>2024</v>
      </c>
      <c r="AU120" s="178" t="s">
        <v>1427</v>
      </c>
      <c r="AV120" s="112" t="s">
        <v>1379</v>
      </c>
      <c r="AW120" s="178" t="s">
        <v>517</v>
      </c>
      <c r="AZ120" s="178" t="s">
        <v>1144</v>
      </c>
    </row>
    <row r="121" spans="2:52" ht="24.75" customHeight="1" x14ac:dyDescent="0.35">
      <c r="B121" s="179" t="e" cm="1">
        <f t="array" ref="B121">AND(ISTEXT('Consolidado-Eletronorte'!#REF!),SUM('Consolidado-Eletronorte'!#REF!)&gt;0)</f>
        <v>#REF!</v>
      </c>
      <c r="C121" s="162" t="str">
        <f t="shared" ca="1" si="9"/>
        <v>Capex Orcamentário_PE2026_2030_red_35_porcentoR3_consulta.xlsx</v>
      </c>
      <c r="D121" s="163" t="str">
        <f t="shared" si="10"/>
        <v>COO</v>
      </c>
      <c r="E121" s="163" t="str">
        <f t="shared" si="11"/>
        <v>Lucas Martins</v>
      </c>
      <c r="F121" s="164"/>
      <c r="G121" s="164" t="e">
        <f>_xlfn.CONCAT('Consolidado-Eletronorte'!#REF!,"_",ROW('Consolidado-Eletronorte'!#REF!)-ROW('Consolidado-Eletronorte'!$G$18))</f>
        <v>#REF!</v>
      </c>
      <c r="H121" s="165" t="s">
        <v>506</v>
      </c>
      <c r="I121" s="165" t="s">
        <v>135</v>
      </c>
      <c r="J121" s="165" t="s">
        <v>508</v>
      </c>
      <c r="K121" s="165" t="s">
        <v>1039</v>
      </c>
      <c r="L121" s="165" t="s">
        <v>1040</v>
      </c>
      <c r="M121" s="178" t="s">
        <v>1428</v>
      </c>
      <c r="N121" s="165"/>
      <c r="O121" s="165"/>
      <c r="P121" s="165"/>
      <c r="Q121" s="178" t="s">
        <v>1429</v>
      </c>
      <c r="R121" s="178" t="s">
        <v>1376</v>
      </c>
      <c r="S121" s="178" t="s">
        <v>1377</v>
      </c>
      <c r="T121" s="198">
        <v>215</v>
      </c>
      <c r="U121" s="198">
        <v>215</v>
      </c>
      <c r="V121" s="198">
        <v>215</v>
      </c>
      <c r="W121" s="198">
        <v>215</v>
      </c>
      <c r="X121" s="198">
        <v>215</v>
      </c>
      <c r="Y121" s="198">
        <v>215</v>
      </c>
      <c r="Z121" s="198">
        <v>215</v>
      </c>
      <c r="AA121" s="198">
        <v>215</v>
      </c>
      <c r="AB121" s="198">
        <v>215</v>
      </c>
      <c r="AC121" s="198" t="s">
        <v>1045</v>
      </c>
      <c r="AD121" s="198" t="s">
        <v>1045</v>
      </c>
      <c r="AE121" s="198" t="s">
        <v>1045</v>
      </c>
      <c r="AF121" s="197">
        <f>SUM(Tabela96[[#This Row],[jan/26]:[dez/26]])</f>
        <v>1935</v>
      </c>
      <c r="AG121" s="198">
        <v>0</v>
      </c>
      <c r="AH121" s="198">
        <v>0</v>
      </c>
      <c r="AI121" s="198">
        <v>0</v>
      </c>
      <c r="AJ121" s="198">
        <v>0</v>
      </c>
      <c r="AK121" s="198">
        <f>SUM(Tabela96[[#This Row],[2026]:[2030]])</f>
        <v>1935</v>
      </c>
      <c r="AL121" s="198">
        <v>0</v>
      </c>
      <c r="AM121" s="198">
        <v>0</v>
      </c>
      <c r="AN121" s="198">
        <v>0</v>
      </c>
      <c r="AO121" s="198">
        <v>0</v>
      </c>
      <c r="AP121" s="198">
        <v>0</v>
      </c>
      <c r="AQ121" s="202">
        <f>SUM(Tabela96[[#This Row],[2026-2030]:[2035]])</f>
        <v>1935</v>
      </c>
      <c r="AS121" s="178" t="s">
        <v>1046</v>
      </c>
      <c r="AT121" s="201">
        <v>2024</v>
      </c>
      <c r="AU121" s="178" t="s">
        <v>1430</v>
      </c>
      <c r="AV121" s="223" t="s">
        <v>1379</v>
      </c>
      <c r="AW121" s="178" t="s">
        <v>517</v>
      </c>
      <c r="AZ121" s="178" t="s">
        <v>1144</v>
      </c>
    </row>
    <row r="122" spans="2:52" ht="24.75" customHeight="1" x14ac:dyDescent="0.35">
      <c r="B122" s="179" t="e" cm="1">
        <f t="array" ref="B122">AND(ISTEXT('Consolidado-Eletronorte'!#REF!),SUM('Consolidado-Eletronorte'!#REF!)&gt;0)</f>
        <v>#REF!</v>
      </c>
      <c r="C122" s="162" t="str">
        <f t="shared" ca="1" si="9"/>
        <v>Capex Orcamentário_PE2026_2030_red_35_porcentoR3_consulta.xlsx</v>
      </c>
      <c r="D122" s="163" t="str">
        <f t="shared" si="10"/>
        <v>COO</v>
      </c>
      <c r="E122" s="163" t="str">
        <f t="shared" si="11"/>
        <v>Lucas Martins</v>
      </c>
      <c r="F122" s="164"/>
      <c r="G122" s="164" t="e">
        <f>_xlfn.CONCAT('Consolidado-Eletronorte'!#REF!,"_",ROW('Consolidado-Eletronorte'!#REF!)-ROW('Consolidado-Eletronorte'!$G$18))</f>
        <v>#REF!</v>
      </c>
      <c r="H122" s="165" t="s">
        <v>506</v>
      </c>
      <c r="I122" s="165" t="s">
        <v>135</v>
      </c>
      <c r="J122" s="165" t="s">
        <v>508</v>
      </c>
      <c r="K122" s="165" t="s">
        <v>1039</v>
      </c>
      <c r="L122" s="165" t="s">
        <v>1040</v>
      </c>
      <c r="M122" s="178" t="s">
        <v>1431</v>
      </c>
      <c r="N122" s="165"/>
      <c r="O122" s="165"/>
      <c r="P122" s="165"/>
      <c r="Q122" s="178" t="s">
        <v>1432</v>
      </c>
      <c r="R122" s="178" t="s">
        <v>1376</v>
      </c>
      <c r="S122" s="178" t="s">
        <v>1377</v>
      </c>
      <c r="T122" s="198">
        <v>215</v>
      </c>
      <c r="U122" s="198">
        <v>215</v>
      </c>
      <c r="V122" s="198">
        <v>215</v>
      </c>
      <c r="W122" s="198">
        <v>215</v>
      </c>
      <c r="X122" s="198">
        <v>215</v>
      </c>
      <c r="Y122" s="198">
        <v>215</v>
      </c>
      <c r="Z122" s="198">
        <v>215</v>
      </c>
      <c r="AA122" s="198">
        <v>215</v>
      </c>
      <c r="AB122" s="198">
        <v>215</v>
      </c>
      <c r="AC122" s="198" t="s">
        <v>1045</v>
      </c>
      <c r="AD122" s="198" t="s">
        <v>1045</v>
      </c>
      <c r="AE122" s="198" t="s">
        <v>1045</v>
      </c>
      <c r="AF122" s="197">
        <f>SUM(Tabela96[[#This Row],[jan/26]:[dez/26]])</f>
        <v>1935</v>
      </c>
      <c r="AG122" s="198">
        <v>0</v>
      </c>
      <c r="AH122" s="198">
        <v>0</v>
      </c>
      <c r="AI122" s="198">
        <v>0</v>
      </c>
      <c r="AJ122" s="198">
        <v>0</v>
      </c>
      <c r="AK122" s="198">
        <f>SUM(Tabela96[[#This Row],[2026]:[2030]])</f>
        <v>1935</v>
      </c>
      <c r="AL122" s="198">
        <v>0</v>
      </c>
      <c r="AM122" s="198">
        <v>0</v>
      </c>
      <c r="AN122" s="198">
        <v>0</v>
      </c>
      <c r="AO122" s="198">
        <v>0</v>
      </c>
      <c r="AP122" s="198">
        <v>0</v>
      </c>
      <c r="AQ122" s="202">
        <f>SUM(Tabela96[[#This Row],[2026-2030]:[2035]])</f>
        <v>1935</v>
      </c>
      <c r="AS122" s="178" t="s">
        <v>1046</v>
      </c>
      <c r="AT122" s="201">
        <v>2024</v>
      </c>
      <c r="AU122" s="178" t="s">
        <v>1433</v>
      </c>
      <c r="AV122" s="112" t="s">
        <v>1379</v>
      </c>
      <c r="AW122" s="178" t="s">
        <v>517</v>
      </c>
      <c r="AZ122" s="178" t="s">
        <v>1144</v>
      </c>
    </row>
    <row r="123" spans="2:52" ht="24.75" customHeight="1" x14ac:dyDescent="0.35">
      <c r="B123" s="179" t="e" cm="1">
        <f t="array" ref="B123">AND(ISTEXT('Consolidado-Eletronorte'!#REF!),SUM('Consolidado-Eletronorte'!#REF!)&gt;0)</f>
        <v>#REF!</v>
      </c>
      <c r="C123" s="162" t="str">
        <f t="shared" ca="1" si="9"/>
        <v>Capex Orcamentário_PE2026_2030_red_35_porcentoR3_consulta.xlsx</v>
      </c>
      <c r="D123" s="163" t="str">
        <f t="shared" si="10"/>
        <v>COO</v>
      </c>
      <c r="E123" s="163" t="str">
        <f t="shared" si="11"/>
        <v>Lucas Martins</v>
      </c>
      <c r="F123" s="164"/>
      <c r="G123" s="164" t="e">
        <f>_xlfn.CONCAT('Consolidado-Eletronorte'!#REF!,"_",ROW('Consolidado-Eletronorte'!#REF!)-ROW('Consolidado-Eletronorte'!$G$18))</f>
        <v>#REF!</v>
      </c>
      <c r="H123" s="165" t="s">
        <v>506</v>
      </c>
      <c r="I123" s="165" t="s">
        <v>135</v>
      </c>
      <c r="J123" s="165" t="s">
        <v>508</v>
      </c>
      <c r="K123" s="165" t="s">
        <v>1039</v>
      </c>
      <c r="L123" s="165" t="s">
        <v>1040</v>
      </c>
      <c r="M123" s="178" t="s">
        <v>1434</v>
      </c>
      <c r="N123" s="165"/>
      <c r="O123" s="165"/>
      <c r="P123" s="165"/>
      <c r="Q123" s="178" t="s">
        <v>1435</v>
      </c>
      <c r="R123" s="178" t="s">
        <v>1376</v>
      </c>
      <c r="S123" s="178" t="s">
        <v>1377</v>
      </c>
      <c r="T123" s="198">
        <v>215</v>
      </c>
      <c r="U123" s="198">
        <v>215</v>
      </c>
      <c r="V123" s="198">
        <v>215</v>
      </c>
      <c r="W123" s="198">
        <v>215</v>
      </c>
      <c r="X123" s="198">
        <v>215</v>
      </c>
      <c r="Y123" s="198">
        <v>215</v>
      </c>
      <c r="Z123" s="198">
        <v>215</v>
      </c>
      <c r="AA123" s="198">
        <v>215</v>
      </c>
      <c r="AB123" s="198">
        <v>215</v>
      </c>
      <c r="AC123" s="198" t="s">
        <v>1045</v>
      </c>
      <c r="AD123" s="198" t="s">
        <v>1045</v>
      </c>
      <c r="AE123" s="198" t="s">
        <v>1045</v>
      </c>
      <c r="AF123" s="197">
        <f>SUM(Tabela96[[#This Row],[jan/26]:[dez/26]])</f>
        <v>1935</v>
      </c>
      <c r="AG123" s="198">
        <v>0</v>
      </c>
      <c r="AH123" s="198">
        <v>0</v>
      </c>
      <c r="AI123" s="198">
        <v>0</v>
      </c>
      <c r="AJ123" s="198">
        <v>0</v>
      </c>
      <c r="AK123" s="198">
        <f>SUM(Tabela96[[#This Row],[2026]:[2030]])</f>
        <v>1935</v>
      </c>
      <c r="AL123" s="198">
        <v>0</v>
      </c>
      <c r="AM123" s="198">
        <v>0</v>
      </c>
      <c r="AN123" s="198">
        <v>0</v>
      </c>
      <c r="AO123" s="198">
        <v>0</v>
      </c>
      <c r="AP123" s="198">
        <v>0</v>
      </c>
      <c r="AQ123" s="202">
        <f>SUM(Tabela96[[#This Row],[2026-2030]:[2035]])</f>
        <v>1935</v>
      </c>
      <c r="AS123" s="178" t="s">
        <v>1046</v>
      </c>
      <c r="AT123" s="201">
        <v>2024</v>
      </c>
      <c r="AU123" s="178" t="s">
        <v>1436</v>
      </c>
      <c r="AV123" s="223" t="s">
        <v>1379</v>
      </c>
      <c r="AW123" s="178" t="s">
        <v>517</v>
      </c>
      <c r="AZ123" s="178" t="s">
        <v>1144</v>
      </c>
    </row>
    <row r="124" spans="2:52" ht="24.75" customHeight="1" x14ac:dyDescent="0.35">
      <c r="B124" s="179" t="e" cm="1">
        <f t="array" ref="B124">AND(ISTEXT('Consolidado-Eletronorte'!#REF!),SUM('Consolidado-Eletronorte'!#REF!)&gt;0)</f>
        <v>#REF!</v>
      </c>
      <c r="C124" s="162" t="str">
        <f t="shared" ca="1" si="9"/>
        <v>Capex Orcamentário_PE2026_2030_red_35_porcentoR3_consulta.xlsx</v>
      </c>
      <c r="D124" s="163" t="str">
        <f t="shared" si="10"/>
        <v>COO</v>
      </c>
      <c r="E124" s="163" t="str">
        <f t="shared" si="11"/>
        <v>Lucas Martins</v>
      </c>
      <c r="F124" s="164"/>
      <c r="G124" s="164" t="e">
        <f>_xlfn.CONCAT('Consolidado-Eletronorte'!#REF!,"_",ROW('Consolidado-Eletronorte'!#REF!)-ROW('Consolidado-Eletronorte'!$G$18))</f>
        <v>#REF!</v>
      </c>
      <c r="H124" s="165" t="s">
        <v>506</v>
      </c>
      <c r="I124" s="165" t="s">
        <v>135</v>
      </c>
      <c r="J124" s="165" t="s">
        <v>508</v>
      </c>
      <c r="K124" s="165" t="s">
        <v>1039</v>
      </c>
      <c r="L124" s="165" t="s">
        <v>1040</v>
      </c>
      <c r="M124" s="178" t="s">
        <v>1437</v>
      </c>
      <c r="N124" s="165"/>
      <c r="O124" s="165"/>
      <c r="P124" s="165"/>
      <c r="Q124" s="178" t="s">
        <v>1438</v>
      </c>
      <c r="R124" s="178" t="s">
        <v>1376</v>
      </c>
      <c r="S124" s="178" t="s">
        <v>1377</v>
      </c>
      <c r="T124" s="198">
        <v>215</v>
      </c>
      <c r="U124" s="198">
        <v>215</v>
      </c>
      <c r="V124" s="198">
        <v>215</v>
      </c>
      <c r="W124" s="198">
        <v>215</v>
      </c>
      <c r="X124" s="198">
        <v>215</v>
      </c>
      <c r="Y124" s="198">
        <v>215</v>
      </c>
      <c r="Z124" s="198">
        <v>215</v>
      </c>
      <c r="AA124" s="198">
        <v>215</v>
      </c>
      <c r="AB124" s="198">
        <v>215</v>
      </c>
      <c r="AC124" s="198" t="s">
        <v>1045</v>
      </c>
      <c r="AD124" s="198" t="s">
        <v>1045</v>
      </c>
      <c r="AE124" s="198" t="s">
        <v>1045</v>
      </c>
      <c r="AF124" s="197">
        <f>SUM(Tabela96[[#This Row],[jan/26]:[dez/26]])</f>
        <v>1935</v>
      </c>
      <c r="AG124" s="198">
        <v>0</v>
      </c>
      <c r="AH124" s="198">
        <v>0</v>
      </c>
      <c r="AI124" s="198">
        <v>0</v>
      </c>
      <c r="AJ124" s="198">
        <v>0</v>
      </c>
      <c r="AK124" s="198">
        <f>SUM(Tabela96[[#This Row],[2026]:[2030]])</f>
        <v>1935</v>
      </c>
      <c r="AL124" s="198">
        <v>0</v>
      </c>
      <c r="AM124" s="198">
        <v>0</v>
      </c>
      <c r="AN124" s="198">
        <v>0</v>
      </c>
      <c r="AO124" s="198">
        <v>0</v>
      </c>
      <c r="AP124" s="198">
        <v>0</v>
      </c>
      <c r="AQ124" s="202">
        <f>SUM(Tabela96[[#This Row],[2026-2030]:[2035]])</f>
        <v>1935</v>
      </c>
      <c r="AS124" s="178" t="s">
        <v>1046</v>
      </c>
      <c r="AT124" s="201">
        <v>2024</v>
      </c>
      <c r="AU124" s="178" t="s">
        <v>1439</v>
      </c>
      <c r="AV124" s="112" t="s">
        <v>1379</v>
      </c>
      <c r="AW124" s="178" t="s">
        <v>517</v>
      </c>
      <c r="AZ124" s="178" t="s">
        <v>1144</v>
      </c>
    </row>
    <row r="125" spans="2:52" ht="24.75" customHeight="1" x14ac:dyDescent="0.35">
      <c r="B125" s="179" t="e" cm="1">
        <f t="array" ref="B125">AND(ISTEXT('Consolidado-Eletronorte'!#REF!),SUM('Consolidado-Eletronorte'!#REF!)&gt;0)</f>
        <v>#REF!</v>
      </c>
      <c r="C125" s="162" t="str">
        <f t="shared" ca="1" si="9"/>
        <v>Capex Orcamentário_PE2026_2030_red_35_porcentoR3_consulta.xlsx</v>
      </c>
      <c r="D125" s="163" t="str">
        <f t="shared" si="10"/>
        <v>COO</v>
      </c>
      <c r="E125" s="163" t="str">
        <f t="shared" si="11"/>
        <v>Lucas Martins</v>
      </c>
      <c r="F125" s="164"/>
      <c r="G125" s="164" t="e">
        <f>_xlfn.CONCAT('Consolidado-Eletronorte'!#REF!,"_",ROW('Consolidado-Eletronorte'!#REF!)-ROW('Consolidado-Eletronorte'!$G$18))</f>
        <v>#REF!</v>
      </c>
      <c r="H125" s="165" t="s">
        <v>506</v>
      </c>
      <c r="I125" s="165" t="s">
        <v>135</v>
      </c>
      <c r="J125" s="165" t="s">
        <v>508</v>
      </c>
      <c r="K125" s="165" t="s">
        <v>1039</v>
      </c>
      <c r="L125" s="165" t="s">
        <v>1040</v>
      </c>
      <c r="M125" s="178" t="s">
        <v>1440</v>
      </c>
      <c r="N125" s="165"/>
      <c r="O125" s="165"/>
      <c r="P125" s="165"/>
      <c r="Q125" s="178" t="s">
        <v>1441</v>
      </c>
      <c r="R125" s="178" t="s">
        <v>1376</v>
      </c>
      <c r="S125" s="178" t="s">
        <v>1377</v>
      </c>
      <c r="T125" s="198">
        <v>215</v>
      </c>
      <c r="U125" s="198">
        <v>215</v>
      </c>
      <c r="V125" s="198">
        <v>215</v>
      </c>
      <c r="W125" s="198">
        <v>215</v>
      </c>
      <c r="X125" s="198">
        <v>215</v>
      </c>
      <c r="Y125" s="198">
        <v>215</v>
      </c>
      <c r="Z125" s="198">
        <v>215</v>
      </c>
      <c r="AA125" s="198">
        <v>215</v>
      </c>
      <c r="AB125" s="198">
        <v>215</v>
      </c>
      <c r="AC125" s="198" t="s">
        <v>1045</v>
      </c>
      <c r="AD125" s="198" t="s">
        <v>1045</v>
      </c>
      <c r="AE125" s="198" t="s">
        <v>1045</v>
      </c>
      <c r="AF125" s="197">
        <f>SUM(Tabela96[[#This Row],[jan/26]:[dez/26]])</f>
        <v>1935</v>
      </c>
      <c r="AG125" s="198">
        <v>0</v>
      </c>
      <c r="AH125" s="198">
        <v>0</v>
      </c>
      <c r="AI125" s="198">
        <v>0</v>
      </c>
      <c r="AJ125" s="198">
        <v>0</v>
      </c>
      <c r="AK125" s="198">
        <f>SUM(Tabela96[[#This Row],[2026]:[2030]])</f>
        <v>1935</v>
      </c>
      <c r="AL125" s="198">
        <v>0</v>
      </c>
      <c r="AM125" s="198">
        <v>0</v>
      </c>
      <c r="AN125" s="198">
        <v>0</v>
      </c>
      <c r="AO125" s="198">
        <v>0</v>
      </c>
      <c r="AP125" s="198">
        <v>0</v>
      </c>
      <c r="AQ125" s="202">
        <f>SUM(Tabela96[[#This Row],[2026-2030]:[2035]])</f>
        <v>1935</v>
      </c>
      <c r="AS125" s="178" t="s">
        <v>1046</v>
      </c>
      <c r="AT125" s="201">
        <v>2024</v>
      </c>
      <c r="AU125" s="178" t="s">
        <v>1442</v>
      </c>
      <c r="AV125" s="223" t="s">
        <v>1379</v>
      </c>
      <c r="AW125" s="178" t="s">
        <v>517</v>
      </c>
      <c r="AZ125" s="178" t="s">
        <v>1144</v>
      </c>
    </row>
    <row r="126" spans="2:52" ht="24.75" customHeight="1" x14ac:dyDescent="0.35">
      <c r="B126" s="179" t="e" cm="1">
        <f t="array" ref="B126">AND(ISTEXT('Consolidado-Eletronorte'!#REF!),SUM('Consolidado-Eletronorte'!#REF!)&gt;0)</f>
        <v>#REF!</v>
      </c>
      <c r="C126" s="162" t="str">
        <f t="shared" ca="1" si="9"/>
        <v>Capex Orcamentário_PE2026_2030_red_35_porcentoR3_consulta.xlsx</v>
      </c>
      <c r="D126" s="163" t="str">
        <f t="shared" si="10"/>
        <v>COO</v>
      </c>
      <c r="E126" s="163" t="str">
        <f t="shared" si="11"/>
        <v>Lucas Martins</v>
      </c>
      <c r="F126" s="164"/>
      <c r="G126" s="164" t="e">
        <f>_xlfn.CONCAT('Consolidado-Eletronorte'!#REF!,"_",ROW('Consolidado-Eletronorte'!#REF!)-ROW('Consolidado-Eletronorte'!$G$18))</f>
        <v>#REF!</v>
      </c>
      <c r="H126" s="165" t="s">
        <v>506</v>
      </c>
      <c r="I126" s="165" t="s">
        <v>135</v>
      </c>
      <c r="J126" s="165" t="s">
        <v>508</v>
      </c>
      <c r="K126" s="165" t="s">
        <v>1039</v>
      </c>
      <c r="L126" s="165" t="s">
        <v>1040</v>
      </c>
      <c r="M126" s="178" t="s">
        <v>1443</v>
      </c>
      <c r="N126" s="165"/>
      <c r="O126" s="165"/>
      <c r="P126" s="165"/>
      <c r="Q126" s="178" t="s">
        <v>1444</v>
      </c>
      <c r="R126" s="178" t="s">
        <v>1376</v>
      </c>
      <c r="S126" s="178" t="s">
        <v>1377</v>
      </c>
      <c r="T126" s="198">
        <v>215</v>
      </c>
      <c r="U126" s="198">
        <v>215</v>
      </c>
      <c r="V126" s="198">
        <v>215</v>
      </c>
      <c r="W126" s="198">
        <v>215</v>
      </c>
      <c r="X126" s="198">
        <v>215</v>
      </c>
      <c r="Y126" s="198">
        <v>215</v>
      </c>
      <c r="Z126" s="198">
        <v>215</v>
      </c>
      <c r="AA126" s="198">
        <v>215</v>
      </c>
      <c r="AB126" s="198">
        <v>215</v>
      </c>
      <c r="AC126" s="198" t="s">
        <v>1045</v>
      </c>
      <c r="AD126" s="198" t="s">
        <v>1045</v>
      </c>
      <c r="AE126" s="198" t="s">
        <v>1045</v>
      </c>
      <c r="AF126" s="197">
        <f>SUM(Tabela96[[#This Row],[jan/26]:[dez/26]])</f>
        <v>1935</v>
      </c>
      <c r="AG126" s="198">
        <v>0</v>
      </c>
      <c r="AH126" s="198">
        <v>0</v>
      </c>
      <c r="AI126" s="198">
        <v>0</v>
      </c>
      <c r="AJ126" s="198">
        <v>0</v>
      </c>
      <c r="AK126" s="198">
        <f>SUM(Tabela96[[#This Row],[2026]:[2030]])</f>
        <v>1935</v>
      </c>
      <c r="AL126" s="198">
        <v>0</v>
      </c>
      <c r="AM126" s="198">
        <v>0</v>
      </c>
      <c r="AN126" s="198">
        <v>0</v>
      </c>
      <c r="AO126" s="198">
        <v>0</v>
      </c>
      <c r="AP126" s="198">
        <v>0</v>
      </c>
      <c r="AQ126" s="202">
        <f>SUM(Tabela96[[#This Row],[2026-2030]:[2035]])</f>
        <v>1935</v>
      </c>
      <c r="AS126" s="178" t="s">
        <v>1046</v>
      </c>
      <c r="AT126" s="201">
        <v>2024</v>
      </c>
      <c r="AU126" s="178" t="s">
        <v>1445</v>
      </c>
      <c r="AV126" s="112" t="s">
        <v>1379</v>
      </c>
      <c r="AW126" s="178" t="s">
        <v>517</v>
      </c>
      <c r="AZ126" s="178" t="s">
        <v>1144</v>
      </c>
    </row>
    <row r="127" spans="2:52" ht="24.75" customHeight="1" x14ac:dyDescent="0.35">
      <c r="B127" s="179" t="e" cm="1">
        <f t="array" ref="B127">AND(ISTEXT('Consolidado-Eletronorte'!#REF!),SUM('Consolidado-Eletronorte'!#REF!)&gt;0)</f>
        <v>#REF!</v>
      </c>
      <c r="C127" s="162" t="str">
        <f t="shared" ca="1" si="9"/>
        <v>Capex Orcamentário_PE2026_2030_red_35_porcentoR3_consulta.xlsx</v>
      </c>
      <c r="D127" s="163" t="str">
        <f t="shared" si="10"/>
        <v>COO</v>
      </c>
      <c r="E127" s="163" t="str">
        <f t="shared" si="11"/>
        <v>Lucas Martins</v>
      </c>
      <c r="F127" s="164"/>
      <c r="G127" s="164" t="e">
        <f>_xlfn.CONCAT('Consolidado-Eletronorte'!#REF!,"_",ROW('Consolidado-Eletronorte'!#REF!)-ROW('Consolidado-Eletronorte'!$G$18))</f>
        <v>#REF!</v>
      </c>
      <c r="H127" s="165" t="s">
        <v>506</v>
      </c>
      <c r="I127" s="165" t="s">
        <v>135</v>
      </c>
      <c r="J127" s="165" t="s">
        <v>508</v>
      </c>
      <c r="K127" s="165" t="s">
        <v>1039</v>
      </c>
      <c r="L127" s="165" t="s">
        <v>1040</v>
      </c>
      <c r="M127" s="178" t="s">
        <v>1446</v>
      </c>
      <c r="N127" s="165"/>
      <c r="O127" s="165"/>
      <c r="P127" s="165"/>
      <c r="Q127" s="178" t="s">
        <v>1447</v>
      </c>
      <c r="R127" s="178" t="s">
        <v>1376</v>
      </c>
      <c r="S127" s="178" t="s">
        <v>1448</v>
      </c>
      <c r="T127" s="198">
        <v>215</v>
      </c>
      <c r="U127" s="198">
        <v>215</v>
      </c>
      <c r="V127" s="198">
        <v>215</v>
      </c>
      <c r="W127" s="198">
        <v>215</v>
      </c>
      <c r="X127" s="198">
        <v>215</v>
      </c>
      <c r="Y127" s="198">
        <v>215</v>
      </c>
      <c r="Z127" s="198">
        <v>215</v>
      </c>
      <c r="AA127" s="198">
        <v>215</v>
      </c>
      <c r="AB127" s="198">
        <v>215</v>
      </c>
      <c r="AC127" s="198" t="s">
        <v>1045</v>
      </c>
      <c r="AD127" s="198" t="s">
        <v>1045</v>
      </c>
      <c r="AE127" s="198" t="s">
        <v>1045</v>
      </c>
      <c r="AF127" s="197">
        <f>SUM(Tabela96[[#This Row],[jan/26]:[dez/26]])</f>
        <v>1935</v>
      </c>
      <c r="AG127" s="198">
        <v>0</v>
      </c>
      <c r="AH127" s="198">
        <v>0</v>
      </c>
      <c r="AI127" s="198">
        <v>0</v>
      </c>
      <c r="AJ127" s="198">
        <v>0</v>
      </c>
      <c r="AK127" s="198">
        <f>SUM(Tabela96[[#This Row],[2026]:[2030]])</f>
        <v>1935</v>
      </c>
      <c r="AL127" s="198">
        <v>0</v>
      </c>
      <c r="AM127" s="198">
        <v>0</v>
      </c>
      <c r="AN127" s="198">
        <v>0</v>
      </c>
      <c r="AO127" s="198">
        <v>0</v>
      </c>
      <c r="AP127" s="198">
        <v>0</v>
      </c>
      <c r="AQ127" s="202">
        <f>SUM(Tabela96[[#This Row],[2026-2030]:[2035]])</f>
        <v>1935</v>
      </c>
      <c r="AS127" s="178" t="s">
        <v>1046</v>
      </c>
      <c r="AT127" s="201">
        <v>2024</v>
      </c>
      <c r="AU127" s="178" t="s">
        <v>1449</v>
      </c>
      <c r="AV127" s="223" t="s">
        <v>1450</v>
      </c>
      <c r="AW127" s="178" t="s">
        <v>517</v>
      </c>
      <c r="AZ127" s="178" t="s">
        <v>1144</v>
      </c>
    </row>
    <row r="128" spans="2:52" ht="24.75" customHeight="1" x14ac:dyDescent="0.35">
      <c r="B128" s="179" t="e" cm="1">
        <f t="array" ref="B128">AND(ISTEXT('Consolidado-Eletronorte'!#REF!),SUM('Consolidado-Eletronorte'!#REF!)&gt;0)</f>
        <v>#REF!</v>
      </c>
      <c r="C128" s="162" t="str">
        <f t="shared" ca="1" si="9"/>
        <v>Capex Orcamentário_PE2026_2030_red_35_porcentoR3_consulta.xlsx</v>
      </c>
      <c r="D128" s="163" t="str">
        <f t="shared" si="10"/>
        <v>COO</v>
      </c>
      <c r="E128" s="163" t="str">
        <f t="shared" si="11"/>
        <v>Lucas Martins</v>
      </c>
      <c r="F128" s="164"/>
      <c r="G128" s="164" t="e">
        <f>_xlfn.CONCAT('Consolidado-Eletronorte'!#REF!,"_",ROW('Consolidado-Eletronorte'!#REF!)-ROW('Consolidado-Eletronorte'!$G$18))</f>
        <v>#REF!</v>
      </c>
      <c r="H128" s="165" t="s">
        <v>506</v>
      </c>
      <c r="I128" s="165" t="s">
        <v>135</v>
      </c>
      <c r="J128" s="165" t="s">
        <v>508</v>
      </c>
      <c r="K128" s="165" t="s">
        <v>1039</v>
      </c>
      <c r="L128" s="165" t="s">
        <v>1040</v>
      </c>
      <c r="M128" s="178" t="s">
        <v>1451</v>
      </c>
      <c r="N128" s="165"/>
      <c r="O128" s="165"/>
      <c r="P128" s="165"/>
      <c r="Q128" s="178" t="s">
        <v>1452</v>
      </c>
      <c r="R128" s="178" t="s">
        <v>1376</v>
      </c>
      <c r="S128" s="178" t="s">
        <v>1448</v>
      </c>
      <c r="T128" s="198">
        <v>215</v>
      </c>
      <c r="U128" s="198">
        <v>215</v>
      </c>
      <c r="V128" s="198">
        <v>215</v>
      </c>
      <c r="W128" s="198">
        <v>215</v>
      </c>
      <c r="X128" s="198">
        <v>215</v>
      </c>
      <c r="Y128" s="198">
        <v>215</v>
      </c>
      <c r="Z128" s="198">
        <v>215</v>
      </c>
      <c r="AA128" s="198">
        <v>215</v>
      </c>
      <c r="AB128" s="198">
        <v>215</v>
      </c>
      <c r="AC128" s="198" t="s">
        <v>1045</v>
      </c>
      <c r="AD128" s="198" t="s">
        <v>1045</v>
      </c>
      <c r="AE128" s="198" t="s">
        <v>1045</v>
      </c>
      <c r="AF128" s="197">
        <f>SUM(Tabela96[[#This Row],[jan/26]:[dez/26]])</f>
        <v>1935</v>
      </c>
      <c r="AG128" s="198">
        <v>0</v>
      </c>
      <c r="AH128" s="198">
        <v>0</v>
      </c>
      <c r="AI128" s="198">
        <v>0</v>
      </c>
      <c r="AJ128" s="198">
        <v>0</v>
      </c>
      <c r="AK128" s="198">
        <f>SUM(Tabela96[[#This Row],[2026]:[2030]])</f>
        <v>1935</v>
      </c>
      <c r="AL128" s="198">
        <v>0</v>
      </c>
      <c r="AM128" s="198">
        <v>0</v>
      </c>
      <c r="AN128" s="198">
        <v>0</v>
      </c>
      <c r="AO128" s="198">
        <v>0</v>
      </c>
      <c r="AP128" s="198">
        <v>0</v>
      </c>
      <c r="AQ128" s="202">
        <f>SUM(Tabela96[[#This Row],[2026-2030]:[2035]])</f>
        <v>1935</v>
      </c>
      <c r="AS128" s="178" t="s">
        <v>1046</v>
      </c>
      <c r="AT128" s="201">
        <v>2024</v>
      </c>
      <c r="AU128" s="178" t="s">
        <v>1453</v>
      </c>
      <c r="AV128" s="223" t="s">
        <v>1450</v>
      </c>
      <c r="AW128" s="178" t="s">
        <v>517</v>
      </c>
      <c r="AZ128" s="178" t="s">
        <v>1144</v>
      </c>
    </row>
    <row r="129" spans="2:52" ht="24.75" customHeight="1" x14ac:dyDescent="0.35">
      <c r="B129" s="179" t="e" cm="1">
        <f t="array" ref="B129">AND(ISTEXT('Consolidado-Eletronorte'!#REF!),SUM('Consolidado-Eletronorte'!#REF!)&gt;0)</f>
        <v>#REF!</v>
      </c>
      <c r="C129" s="162" t="str">
        <f t="shared" ca="1" si="9"/>
        <v>Capex Orcamentário_PE2026_2030_red_35_porcentoR3_consulta.xlsx</v>
      </c>
      <c r="D129" s="163" t="str">
        <f t="shared" si="10"/>
        <v>COO</v>
      </c>
      <c r="E129" s="163" t="str">
        <f t="shared" si="11"/>
        <v>Lucas Martins</v>
      </c>
      <c r="F129" s="164"/>
      <c r="G129" s="164" t="e">
        <f>_xlfn.CONCAT('Consolidado-Eletronorte'!#REF!,"_",ROW('Consolidado-Eletronorte'!#REF!)-ROW('Consolidado-Eletronorte'!$G$18))</f>
        <v>#REF!</v>
      </c>
      <c r="H129" s="165" t="s">
        <v>506</v>
      </c>
      <c r="I129" s="165" t="s">
        <v>135</v>
      </c>
      <c r="J129" s="165" t="s">
        <v>508</v>
      </c>
      <c r="K129" s="165" t="s">
        <v>1039</v>
      </c>
      <c r="L129" s="165" t="s">
        <v>1040</v>
      </c>
      <c r="M129" s="178" t="s">
        <v>1454</v>
      </c>
      <c r="N129" s="165"/>
      <c r="O129" s="165"/>
      <c r="P129" s="165"/>
      <c r="Q129" s="178" t="s">
        <v>1455</v>
      </c>
      <c r="R129" s="178" t="s">
        <v>1376</v>
      </c>
      <c r="S129" s="178" t="s">
        <v>1448</v>
      </c>
      <c r="T129" s="198">
        <v>215</v>
      </c>
      <c r="U129" s="198">
        <v>215</v>
      </c>
      <c r="V129" s="198">
        <v>215</v>
      </c>
      <c r="W129" s="198">
        <v>215</v>
      </c>
      <c r="X129" s="198">
        <v>215</v>
      </c>
      <c r="Y129" s="198">
        <v>215</v>
      </c>
      <c r="Z129" s="198">
        <v>215</v>
      </c>
      <c r="AA129" s="198">
        <v>215</v>
      </c>
      <c r="AB129" s="198">
        <v>215</v>
      </c>
      <c r="AC129" s="198" t="s">
        <v>1045</v>
      </c>
      <c r="AD129" s="198" t="s">
        <v>1045</v>
      </c>
      <c r="AE129" s="198" t="s">
        <v>1045</v>
      </c>
      <c r="AF129" s="197">
        <f>SUM(Tabela96[[#This Row],[jan/26]:[dez/26]])</f>
        <v>1935</v>
      </c>
      <c r="AG129" s="198">
        <v>0</v>
      </c>
      <c r="AH129" s="198">
        <v>0</v>
      </c>
      <c r="AI129" s="198">
        <v>0</v>
      </c>
      <c r="AJ129" s="198">
        <v>0</v>
      </c>
      <c r="AK129" s="198">
        <f>SUM(Tabela96[[#This Row],[2026]:[2030]])</f>
        <v>1935</v>
      </c>
      <c r="AL129" s="198">
        <v>0</v>
      </c>
      <c r="AM129" s="198">
        <v>0</v>
      </c>
      <c r="AN129" s="198">
        <v>0</v>
      </c>
      <c r="AO129" s="198">
        <v>0</v>
      </c>
      <c r="AP129" s="198">
        <v>0</v>
      </c>
      <c r="AQ129" s="202">
        <f>SUM(Tabela96[[#This Row],[2026-2030]:[2035]])</f>
        <v>1935</v>
      </c>
      <c r="AS129" s="178" t="s">
        <v>1046</v>
      </c>
      <c r="AT129" s="201">
        <v>2024</v>
      </c>
      <c r="AU129" s="178" t="s">
        <v>1456</v>
      </c>
      <c r="AV129" s="223" t="s">
        <v>1450</v>
      </c>
      <c r="AW129" s="178" t="s">
        <v>517</v>
      </c>
      <c r="AZ129" s="178" t="s">
        <v>1144</v>
      </c>
    </row>
    <row r="130" spans="2:52" ht="24.75" customHeight="1" x14ac:dyDescent="0.35">
      <c r="B130" s="179" t="e" cm="1">
        <f t="array" ref="B130">AND(ISTEXT('Consolidado-Eletronorte'!#REF!),SUM('Consolidado-Eletronorte'!#REF!)&gt;0)</f>
        <v>#REF!</v>
      </c>
      <c r="C130" s="162" t="str">
        <f t="shared" ca="1" si="9"/>
        <v>Capex Orcamentário_PE2026_2030_red_35_porcentoR3_consulta.xlsx</v>
      </c>
      <c r="D130" s="163" t="str">
        <f t="shared" si="10"/>
        <v>COO</v>
      </c>
      <c r="E130" s="163" t="str">
        <f t="shared" si="11"/>
        <v>Lucas Martins</v>
      </c>
      <c r="F130" s="164"/>
      <c r="G130" s="164" t="e">
        <f>_xlfn.CONCAT('Consolidado-Eletronorte'!#REF!,"_",ROW('Consolidado-Eletronorte'!#REF!)-ROW('Consolidado-Eletronorte'!$G$18))</f>
        <v>#REF!</v>
      </c>
      <c r="H130" s="165" t="s">
        <v>506</v>
      </c>
      <c r="I130" s="165" t="s">
        <v>135</v>
      </c>
      <c r="J130" s="165" t="s">
        <v>508</v>
      </c>
      <c r="K130" s="165" t="s">
        <v>1039</v>
      </c>
      <c r="L130" s="165" t="s">
        <v>1040</v>
      </c>
      <c r="M130" s="178" t="s">
        <v>1457</v>
      </c>
      <c r="N130" s="165"/>
      <c r="O130" s="165"/>
      <c r="P130" s="165"/>
      <c r="Q130" s="178" t="s">
        <v>1458</v>
      </c>
      <c r="R130" s="178" t="s">
        <v>1376</v>
      </c>
      <c r="S130" s="178" t="s">
        <v>1448</v>
      </c>
      <c r="T130" s="198">
        <v>215</v>
      </c>
      <c r="U130" s="198">
        <v>215</v>
      </c>
      <c r="V130" s="198">
        <v>215</v>
      </c>
      <c r="W130" s="198">
        <v>215</v>
      </c>
      <c r="X130" s="198">
        <v>215</v>
      </c>
      <c r="Y130" s="198">
        <v>215</v>
      </c>
      <c r="Z130" s="198">
        <v>215</v>
      </c>
      <c r="AA130" s="198">
        <v>215</v>
      </c>
      <c r="AB130" s="198">
        <v>215</v>
      </c>
      <c r="AC130" s="198" t="s">
        <v>1045</v>
      </c>
      <c r="AD130" s="198" t="s">
        <v>1045</v>
      </c>
      <c r="AE130" s="198" t="s">
        <v>1045</v>
      </c>
      <c r="AF130" s="197">
        <f>SUM(Tabela96[[#This Row],[jan/26]:[dez/26]])</f>
        <v>1935</v>
      </c>
      <c r="AG130" s="198">
        <v>0</v>
      </c>
      <c r="AH130" s="198">
        <v>0</v>
      </c>
      <c r="AI130" s="198">
        <v>0</v>
      </c>
      <c r="AJ130" s="198">
        <v>0</v>
      </c>
      <c r="AK130" s="198">
        <f>SUM(Tabela96[[#This Row],[2026]:[2030]])</f>
        <v>1935</v>
      </c>
      <c r="AL130" s="198">
        <v>0</v>
      </c>
      <c r="AM130" s="198">
        <v>0</v>
      </c>
      <c r="AN130" s="198">
        <v>0</v>
      </c>
      <c r="AO130" s="198">
        <v>0</v>
      </c>
      <c r="AP130" s="198">
        <v>0</v>
      </c>
      <c r="AQ130" s="202">
        <f>SUM(Tabela96[[#This Row],[2026-2030]:[2035]])</f>
        <v>1935</v>
      </c>
      <c r="AS130" s="178" t="s">
        <v>1046</v>
      </c>
      <c r="AT130" s="201">
        <v>2024</v>
      </c>
      <c r="AU130" s="178" t="s">
        <v>1459</v>
      </c>
      <c r="AV130" s="223" t="s">
        <v>1450</v>
      </c>
      <c r="AW130" s="178" t="s">
        <v>517</v>
      </c>
      <c r="AZ130" s="178" t="s">
        <v>1144</v>
      </c>
    </row>
    <row r="131" spans="2:52" ht="24.75" customHeight="1" x14ac:dyDescent="0.35">
      <c r="B131" s="179" t="e" cm="1">
        <f t="array" ref="B131">AND(ISTEXT('Consolidado-Eletronorte'!#REF!),SUM('Consolidado-Eletronorte'!#REF!)&gt;0)</f>
        <v>#REF!</v>
      </c>
      <c r="C131" s="162" t="str">
        <f t="shared" ca="1" si="9"/>
        <v>Capex Orcamentário_PE2026_2030_red_35_porcentoR3_consulta.xlsx</v>
      </c>
      <c r="D131" s="163" t="str">
        <f t="shared" si="10"/>
        <v>COO</v>
      </c>
      <c r="E131" s="163" t="str">
        <f t="shared" si="11"/>
        <v>Lucas Martins</v>
      </c>
      <c r="F131" s="164"/>
      <c r="G131" s="164" t="e">
        <f>_xlfn.CONCAT('Consolidado-Eletronorte'!#REF!,"_",ROW('Consolidado-Eletronorte'!#REF!)-ROW('Consolidado-Eletronorte'!$G$18))</f>
        <v>#REF!</v>
      </c>
      <c r="H131" s="165" t="s">
        <v>506</v>
      </c>
      <c r="I131" s="165" t="s">
        <v>135</v>
      </c>
      <c r="J131" s="165" t="s">
        <v>508</v>
      </c>
      <c r="K131" s="165" t="s">
        <v>1039</v>
      </c>
      <c r="L131" s="165" t="s">
        <v>1040</v>
      </c>
      <c r="M131" s="178" t="s">
        <v>1460</v>
      </c>
      <c r="N131" s="165"/>
      <c r="O131" s="165"/>
      <c r="P131" s="165"/>
      <c r="Q131" s="178" t="s">
        <v>1461</v>
      </c>
      <c r="R131" s="178" t="s">
        <v>1376</v>
      </c>
      <c r="S131" s="178" t="s">
        <v>1448</v>
      </c>
      <c r="T131" s="198">
        <v>215</v>
      </c>
      <c r="U131" s="198">
        <v>215</v>
      </c>
      <c r="V131" s="198">
        <v>215</v>
      </c>
      <c r="W131" s="198">
        <v>215</v>
      </c>
      <c r="X131" s="198">
        <v>215</v>
      </c>
      <c r="Y131" s="198">
        <v>215</v>
      </c>
      <c r="Z131" s="198">
        <v>215</v>
      </c>
      <c r="AA131" s="198">
        <v>215</v>
      </c>
      <c r="AB131" s="198">
        <v>215</v>
      </c>
      <c r="AC131" s="198" t="s">
        <v>1045</v>
      </c>
      <c r="AD131" s="198" t="s">
        <v>1045</v>
      </c>
      <c r="AE131" s="198" t="s">
        <v>1045</v>
      </c>
      <c r="AF131" s="197">
        <f>SUM(Tabela96[[#This Row],[jan/26]:[dez/26]])</f>
        <v>1935</v>
      </c>
      <c r="AG131" s="198">
        <v>0</v>
      </c>
      <c r="AH131" s="198">
        <v>0</v>
      </c>
      <c r="AI131" s="198">
        <v>0</v>
      </c>
      <c r="AJ131" s="198">
        <v>0</v>
      </c>
      <c r="AK131" s="198">
        <f>SUM(Tabela96[[#This Row],[2026]:[2030]])</f>
        <v>1935</v>
      </c>
      <c r="AL131" s="198">
        <v>0</v>
      </c>
      <c r="AM131" s="198">
        <v>0</v>
      </c>
      <c r="AN131" s="198">
        <v>0</v>
      </c>
      <c r="AO131" s="198">
        <v>0</v>
      </c>
      <c r="AP131" s="198">
        <v>0</v>
      </c>
      <c r="AQ131" s="202">
        <f>SUM(Tabela96[[#This Row],[2026-2030]:[2035]])</f>
        <v>1935</v>
      </c>
      <c r="AS131" s="178" t="s">
        <v>1046</v>
      </c>
      <c r="AT131" s="201">
        <v>2024</v>
      </c>
      <c r="AU131" s="178" t="s">
        <v>1462</v>
      </c>
      <c r="AV131" s="223" t="s">
        <v>1450</v>
      </c>
      <c r="AW131" s="178" t="s">
        <v>517</v>
      </c>
      <c r="AZ131" s="178" t="s">
        <v>1144</v>
      </c>
    </row>
    <row r="132" spans="2:52" ht="24.75" customHeight="1" x14ac:dyDescent="0.35">
      <c r="B132" s="179" t="e" cm="1">
        <f t="array" ref="B132">AND(ISTEXT('Consolidado-Eletronorte'!#REF!),SUM('Consolidado-Eletronorte'!#REF!)&gt;0)</f>
        <v>#REF!</v>
      </c>
      <c r="C132" s="162" t="str">
        <f t="shared" ca="1" si="9"/>
        <v>Capex Orcamentário_PE2026_2030_red_35_porcentoR3_consulta.xlsx</v>
      </c>
      <c r="D132" s="163" t="str">
        <f t="shared" si="10"/>
        <v>COO</v>
      </c>
      <c r="E132" s="163" t="str">
        <f t="shared" si="11"/>
        <v>Lucas Martins</v>
      </c>
      <c r="F132" s="164"/>
      <c r="G132" s="164" t="e">
        <f>_xlfn.CONCAT('Consolidado-Eletronorte'!#REF!,"_",ROW('Consolidado-Eletronorte'!#REF!)-ROW('Consolidado-Eletronorte'!$G$18))</f>
        <v>#REF!</v>
      </c>
      <c r="H132" s="165" t="s">
        <v>506</v>
      </c>
      <c r="I132" s="165" t="s">
        <v>135</v>
      </c>
      <c r="J132" s="165" t="s">
        <v>508</v>
      </c>
      <c r="K132" s="165" t="s">
        <v>1039</v>
      </c>
      <c r="L132" s="165" t="s">
        <v>1040</v>
      </c>
      <c r="M132" s="178" t="s">
        <v>1463</v>
      </c>
      <c r="N132" s="165"/>
      <c r="O132" s="165"/>
      <c r="P132" s="165"/>
      <c r="Q132" s="178" t="s">
        <v>1464</v>
      </c>
      <c r="R132" s="178" t="s">
        <v>1376</v>
      </c>
      <c r="S132" s="178" t="s">
        <v>1448</v>
      </c>
      <c r="T132" s="198">
        <v>215</v>
      </c>
      <c r="U132" s="198">
        <v>215</v>
      </c>
      <c r="V132" s="198">
        <v>215</v>
      </c>
      <c r="W132" s="198">
        <v>215</v>
      </c>
      <c r="X132" s="198">
        <v>215</v>
      </c>
      <c r="Y132" s="198">
        <v>215</v>
      </c>
      <c r="Z132" s="198">
        <v>215</v>
      </c>
      <c r="AA132" s="198">
        <v>215</v>
      </c>
      <c r="AB132" s="198">
        <v>215</v>
      </c>
      <c r="AC132" s="198" t="s">
        <v>1045</v>
      </c>
      <c r="AD132" s="198" t="s">
        <v>1045</v>
      </c>
      <c r="AE132" s="198" t="s">
        <v>1045</v>
      </c>
      <c r="AF132" s="197">
        <f>SUM(Tabela96[[#This Row],[jan/26]:[dez/26]])</f>
        <v>1935</v>
      </c>
      <c r="AG132" s="198">
        <v>0</v>
      </c>
      <c r="AH132" s="198">
        <v>0</v>
      </c>
      <c r="AI132" s="198">
        <v>0</v>
      </c>
      <c r="AJ132" s="198">
        <v>0</v>
      </c>
      <c r="AK132" s="198">
        <f>SUM(Tabela96[[#This Row],[2026]:[2030]])</f>
        <v>1935</v>
      </c>
      <c r="AL132" s="198">
        <v>0</v>
      </c>
      <c r="AM132" s="198">
        <v>0</v>
      </c>
      <c r="AN132" s="198">
        <v>0</v>
      </c>
      <c r="AO132" s="198">
        <v>0</v>
      </c>
      <c r="AP132" s="198">
        <v>0</v>
      </c>
      <c r="AQ132" s="202">
        <f>SUM(Tabela96[[#This Row],[2026-2030]:[2035]])</f>
        <v>1935</v>
      </c>
      <c r="AS132" s="178" t="s">
        <v>1046</v>
      </c>
      <c r="AT132" s="201">
        <v>2024</v>
      </c>
      <c r="AU132" s="178" t="s">
        <v>1465</v>
      </c>
      <c r="AV132" s="223" t="s">
        <v>1450</v>
      </c>
      <c r="AW132" s="178" t="s">
        <v>517</v>
      </c>
      <c r="AZ132" s="178" t="s">
        <v>1144</v>
      </c>
    </row>
    <row r="133" spans="2:52" ht="24.75" customHeight="1" x14ac:dyDescent="0.35">
      <c r="B133" s="179" t="e" cm="1">
        <f t="array" ref="B133">AND(ISTEXT('Consolidado-Eletronorte'!#REF!),SUM('Consolidado-Eletronorte'!#REF!)&gt;0)</f>
        <v>#REF!</v>
      </c>
      <c r="C133" s="162" t="str">
        <f t="shared" ca="1" si="9"/>
        <v>Capex Orcamentário_PE2026_2030_red_35_porcentoR3_consulta.xlsx</v>
      </c>
      <c r="D133" s="163" t="str">
        <f t="shared" si="10"/>
        <v>COO</v>
      </c>
      <c r="E133" s="163" t="str">
        <f t="shared" si="11"/>
        <v>Lucas Martins</v>
      </c>
      <c r="F133" s="164"/>
      <c r="G133" s="164" t="e">
        <f>_xlfn.CONCAT('Consolidado-Eletronorte'!#REF!,"_",ROW('Consolidado-Eletronorte'!#REF!)-ROW('Consolidado-Eletronorte'!$G$18))</f>
        <v>#REF!</v>
      </c>
      <c r="H133" s="165" t="s">
        <v>506</v>
      </c>
      <c r="I133" s="165" t="s">
        <v>135</v>
      </c>
      <c r="J133" s="165" t="s">
        <v>508</v>
      </c>
      <c r="K133" s="165" t="s">
        <v>1039</v>
      </c>
      <c r="L133" s="165" t="s">
        <v>1040</v>
      </c>
      <c r="M133" s="178" t="s">
        <v>1466</v>
      </c>
      <c r="N133" s="165"/>
      <c r="O133" s="165"/>
      <c r="P133" s="165"/>
      <c r="Q133" s="178" t="s">
        <v>1467</v>
      </c>
      <c r="R133" s="178" t="s">
        <v>1376</v>
      </c>
      <c r="S133" s="178" t="s">
        <v>1448</v>
      </c>
      <c r="T133" s="198">
        <v>215</v>
      </c>
      <c r="U133" s="198">
        <v>215</v>
      </c>
      <c r="V133" s="198">
        <v>215</v>
      </c>
      <c r="W133" s="198">
        <v>215</v>
      </c>
      <c r="X133" s="198">
        <v>215</v>
      </c>
      <c r="Y133" s="198">
        <v>215</v>
      </c>
      <c r="Z133" s="198">
        <v>215</v>
      </c>
      <c r="AA133" s="198">
        <v>215</v>
      </c>
      <c r="AB133" s="198">
        <v>215</v>
      </c>
      <c r="AC133" s="198" t="s">
        <v>1045</v>
      </c>
      <c r="AD133" s="198" t="s">
        <v>1045</v>
      </c>
      <c r="AE133" s="198" t="s">
        <v>1045</v>
      </c>
      <c r="AF133" s="197">
        <f>SUM(Tabela96[[#This Row],[jan/26]:[dez/26]])</f>
        <v>1935</v>
      </c>
      <c r="AG133" s="198">
        <v>0</v>
      </c>
      <c r="AH133" s="198">
        <v>0</v>
      </c>
      <c r="AI133" s="198">
        <v>0</v>
      </c>
      <c r="AJ133" s="198">
        <v>0</v>
      </c>
      <c r="AK133" s="198">
        <f>SUM(Tabela96[[#This Row],[2026]:[2030]])</f>
        <v>1935</v>
      </c>
      <c r="AL133" s="198">
        <v>0</v>
      </c>
      <c r="AM133" s="198">
        <v>0</v>
      </c>
      <c r="AN133" s="198">
        <v>0</v>
      </c>
      <c r="AO133" s="198">
        <v>0</v>
      </c>
      <c r="AP133" s="198">
        <v>0</v>
      </c>
      <c r="AQ133" s="202">
        <f>SUM(Tabela96[[#This Row],[2026-2030]:[2035]])</f>
        <v>1935</v>
      </c>
      <c r="AS133" s="178" t="s">
        <v>1046</v>
      </c>
      <c r="AT133" s="201">
        <v>2024</v>
      </c>
      <c r="AU133" s="178" t="s">
        <v>1468</v>
      </c>
      <c r="AV133" s="223" t="s">
        <v>1450</v>
      </c>
      <c r="AW133" s="178" t="s">
        <v>517</v>
      </c>
      <c r="AZ133" s="178" t="s">
        <v>1144</v>
      </c>
    </row>
    <row r="134" spans="2:52" ht="24.75" customHeight="1" x14ac:dyDescent="0.35">
      <c r="B134" s="179" t="e" cm="1">
        <f t="array" ref="B134">AND(ISTEXT('Consolidado-Eletronorte'!#REF!),SUM('Consolidado-Eletronorte'!#REF!)&gt;0)</f>
        <v>#REF!</v>
      </c>
      <c r="C134" s="162" t="str">
        <f t="shared" ca="1" si="9"/>
        <v>Capex Orcamentário_PE2026_2030_red_35_porcentoR3_consulta.xlsx</v>
      </c>
      <c r="D134" s="163" t="str">
        <f t="shared" si="10"/>
        <v>COO</v>
      </c>
      <c r="E134" s="163" t="str">
        <f t="shared" si="11"/>
        <v>Lucas Martins</v>
      </c>
      <c r="F134" s="164"/>
      <c r="G134" s="164" t="e">
        <f>_xlfn.CONCAT('Consolidado-Eletronorte'!#REF!,"_",ROW('Consolidado-Eletronorte'!#REF!)-ROW('Consolidado-Eletronorte'!$G$18))</f>
        <v>#REF!</v>
      </c>
      <c r="H134" s="165" t="s">
        <v>506</v>
      </c>
      <c r="I134" s="165" t="s">
        <v>135</v>
      </c>
      <c r="J134" s="165" t="s">
        <v>508</v>
      </c>
      <c r="K134" s="165" t="s">
        <v>1039</v>
      </c>
      <c r="L134" s="165" t="s">
        <v>1040</v>
      </c>
      <c r="M134" s="178" t="s">
        <v>1469</v>
      </c>
      <c r="N134" s="165"/>
      <c r="O134" s="165"/>
      <c r="P134" s="165"/>
      <c r="Q134" s="178" t="s">
        <v>1470</v>
      </c>
      <c r="R134" s="178" t="s">
        <v>1376</v>
      </c>
      <c r="S134" s="178" t="s">
        <v>1448</v>
      </c>
      <c r="T134" s="198">
        <v>215</v>
      </c>
      <c r="U134" s="198">
        <v>215</v>
      </c>
      <c r="V134" s="198">
        <v>215</v>
      </c>
      <c r="W134" s="198">
        <v>215</v>
      </c>
      <c r="X134" s="198">
        <v>215</v>
      </c>
      <c r="Y134" s="198">
        <v>215</v>
      </c>
      <c r="Z134" s="198">
        <v>215</v>
      </c>
      <c r="AA134" s="198">
        <v>215</v>
      </c>
      <c r="AB134" s="198">
        <v>215</v>
      </c>
      <c r="AC134" s="198" t="s">
        <v>1045</v>
      </c>
      <c r="AD134" s="198" t="s">
        <v>1045</v>
      </c>
      <c r="AE134" s="198" t="s">
        <v>1045</v>
      </c>
      <c r="AF134" s="197">
        <f>SUM(Tabela96[[#This Row],[jan/26]:[dez/26]])</f>
        <v>1935</v>
      </c>
      <c r="AG134" s="198">
        <v>0</v>
      </c>
      <c r="AH134" s="198">
        <v>0</v>
      </c>
      <c r="AI134" s="198">
        <v>0</v>
      </c>
      <c r="AJ134" s="198">
        <v>0</v>
      </c>
      <c r="AK134" s="198">
        <f>SUM(Tabela96[[#This Row],[2026]:[2030]])</f>
        <v>1935</v>
      </c>
      <c r="AL134" s="198">
        <v>0</v>
      </c>
      <c r="AM134" s="198">
        <v>0</v>
      </c>
      <c r="AN134" s="198">
        <v>0</v>
      </c>
      <c r="AO134" s="198">
        <v>0</v>
      </c>
      <c r="AP134" s="198">
        <v>0</v>
      </c>
      <c r="AQ134" s="202">
        <f>SUM(Tabela96[[#This Row],[2026-2030]:[2035]])</f>
        <v>1935</v>
      </c>
      <c r="AS134" s="178" t="s">
        <v>1046</v>
      </c>
      <c r="AT134" s="201">
        <v>2024</v>
      </c>
      <c r="AU134" s="178" t="s">
        <v>1471</v>
      </c>
      <c r="AV134" s="223" t="s">
        <v>1450</v>
      </c>
      <c r="AW134" s="178" t="s">
        <v>517</v>
      </c>
      <c r="AZ134" s="178" t="s">
        <v>1144</v>
      </c>
    </row>
    <row r="135" spans="2:52" ht="24.75" customHeight="1" x14ac:dyDescent="0.35">
      <c r="B135" s="179" t="e" cm="1">
        <f t="array" ref="B135">AND(ISTEXT('Consolidado-Eletronorte'!#REF!),SUM('Consolidado-Eletronorte'!#REF!)&gt;0)</f>
        <v>#REF!</v>
      </c>
      <c r="C135" s="162" t="str">
        <f t="shared" ca="1" si="9"/>
        <v>Capex Orcamentário_PE2026_2030_red_35_porcentoR3_consulta.xlsx</v>
      </c>
      <c r="D135" s="163" t="str">
        <f t="shared" si="10"/>
        <v>COO</v>
      </c>
      <c r="E135" s="163" t="str">
        <f t="shared" si="11"/>
        <v>Lucas Martins</v>
      </c>
      <c r="F135" s="164"/>
      <c r="G135" s="164" t="e">
        <f>_xlfn.CONCAT('Consolidado-Eletronorte'!#REF!,"_",ROW('Consolidado-Eletronorte'!#REF!)-ROW('Consolidado-Eletronorte'!$G$18))</f>
        <v>#REF!</v>
      </c>
      <c r="H135" s="165" t="s">
        <v>506</v>
      </c>
      <c r="I135" s="165" t="s">
        <v>135</v>
      </c>
      <c r="J135" s="165" t="s">
        <v>508</v>
      </c>
      <c r="K135" s="165" t="s">
        <v>1039</v>
      </c>
      <c r="L135" s="165" t="s">
        <v>1040</v>
      </c>
      <c r="M135" s="178" t="s">
        <v>1472</v>
      </c>
      <c r="N135" s="165"/>
      <c r="O135" s="165"/>
      <c r="P135" s="165"/>
      <c r="Q135" s="178" t="s">
        <v>1473</v>
      </c>
      <c r="R135" s="178" t="s">
        <v>1376</v>
      </c>
      <c r="S135" s="178" t="s">
        <v>1448</v>
      </c>
      <c r="T135" s="198">
        <v>215</v>
      </c>
      <c r="U135" s="198">
        <v>215</v>
      </c>
      <c r="V135" s="198">
        <v>215</v>
      </c>
      <c r="W135" s="198">
        <v>215</v>
      </c>
      <c r="X135" s="198">
        <v>215</v>
      </c>
      <c r="Y135" s="198">
        <v>215</v>
      </c>
      <c r="Z135" s="198">
        <v>215</v>
      </c>
      <c r="AA135" s="198">
        <v>215</v>
      </c>
      <c r="AB135" s="198">
        <v>215</v>
      </c>
      <c r="AC135" s="198" t="s">
        <v>1045</v>
      </c>
      <c r="AD135" s="198" t="s">
        <v>1045</v>
      </c>
      <c r="AE135" s="198" t="s">
        <v>1045</v>
      </c>
      <c r="AF135" s="197">
        <f>SUM(Tabela96[[#This Row],[jan/26]:[dez/26]])</f>
        <v>1935</v>
      </c>
      <c r="AG135" s="198">
        <v>0</v>
      </c>
      <c r="AH135" s="198">
        <v>0</v>
      </c>
      <c r="AI135" s="198">
        <v>0</v>
      </c>
      <c r="AJ135" s="198">
        <v>0</v>
      </c>
      <c r="AK135" s="198">
        <f>SUM(Tabela96[[#This Row],[2026]:[2030]])</f>
        <v>1935</v>
      </c>
      <c r="AL135" s="198">
        <v>0</v>
      </c>
      <c r="AM135" s="198">
        <v>0</v>
      </c>
      <c r="AN135" s="198">
        <v>0</v>
      </c>
      <c r="AO135" s="198">
        <v>0</v>
      </c>
      <c r="AP135" s="198">
        <v>0</v>
      </c>
      <c r="AQ135" s="202">
        <f>SUM(Tabela96[[#This Row],[2026-2030]:[2035]])</f>
        <v>1935</v>
      </c>
      <c r="AS135" s="178" t="s">
        <v>1046</v>
      </c>
      <c r="AT135" s="201">
        <v>2024</v>
      </c>
      <c r="AU135" s="178" t="s">
        <v>1474</v>
      </c>
      <c r="AV135" s="223" t="s">
        <v>1450</v>
      </c>
      <c r="AW135" s="178" t="s">
        <v>517</v>
      </c>
      <c r="AZ135" s="178" t="s">
        <v>1144</v>
      </c>
    </row>
    <row r="136" spans="2:52" ht="24.75" customHeight="1" x14ac:dyDescent="0.35">
      <c r="B136" s="179" t="e" cm="1">
        <f t="array" ref="B136">AND(ISTEXT('Consolidado-Eletronorte'!#REF!),SUM('Consolidado-Eletronorte'!#REF!)&gt;0)</f>
        <v>#REF!</v>
      </c>
      <c r="C136" s="162" t="str">
        <f t="shared" ca="1" si="9"/>
        <v>Capex Orcamentário_PE2026_2030_red_35_porcentoR3_consulta.xlsx</v>
      </c>
      <c r="D136" s="163" t="str">
        <f t="shared" si="10"/>
        <v>COO</v>
      </c>
      <c r="E136" s="163" t="str">
        <f t="shared" si="11"/>
        <v>Lucas Martins</v>
      </c>
      <c r="F136" s="164"/>
      <c r="G136" s="164" t="e">
        <f>_xlfn.CONCAT('Consolidado-Eletronorte'!#REF!,"_",ROW('Consolidado-Eletronorte'!#REF!)-ROW('Consolidado-Eletronorte'!$G$18))</f>
        <v>#REF!</v>
      </c>
      <c r="H136" s="165" t="s">
        <v>506</v>
      </c>
      <c r="I136" s="165" t="s">
        <v>135</v>
      </c>
      <c r="J136" s="165" t="s">
        <v>508</v>
      </c>
      <c r="K136" s="165" t="s">
        <v>1039</v>
      </c>
      <c r="L136" s="165" t="s">
        <v>1040</v>
      </c>
      <c r="M136" s="178" t="s">
        <v>1475</v>
      </c>
      <c r="N136" s="165"/>
      <c r="O136" s="165"/>
      <c r="P136" s="165"/>
      <c r="Q136" s="178" t="s">
        <v>1476</v>
      </c>
      <c r="R136" s="178" t="s">
        <v>1376</v>
      </c>
      <c r="S136" s="178" t="s">
        <v>1448</v>
      </c>
      <c r="T136" s="198">
        <v>215</v>
      </c>
      <c r="U136" s="198">
        <v>215</v>
      </c>
      <c r="V136" s="198">
        <v>215</v>
      </c>
      <c r="W136" s="198">
        <v>215</v>
      </c>
      <c r="X136" s="198">
        <v>215</v>
      </c>
      <c r="Y136" s="198">
        <v>215</v>
      </c>
      <c r="Z136" s="198">
        <v>215</v>
      </c>
      <c r="AA136" s="198">
        <v>215</v>
      </c>
      <c r="AB136" s="198">
        <v>215</v>
      </c>
      <c r="AC136" s="198" t="s">
        <v>1045</v>
      </c>
      <c r="AD136" s="198" t="s">
        <v>1045</v>
      </c>
      <c r="AE136" s="198" t="s">
        <v>1045</v>
      </c>
      <c r="AF136" s="197">
        <f>SUM(Tabela96[[#This Row],[jan/26]:[dez/26]])</f>
        <v>1935</v>
      </c>
      <c r="AG136" s="198">
        <v>0</v>
      </c>
      <c r="AH136" s="198">
        <v>0</v>
      </c>
      <c r="AI136" s="198">
        <v>0</v>
      </c>
      <c r="AJ136" s="198">
        <v>0</v>
      </c>
      <c r="AK136" s="198">
        <f>SUM(Tabela96[[#This Row],[2026]:[2030]])</f>
        <v>1935</v>
      </c>
      <c r="AL136" s="198">
        <v>0</v>
      </c>
      <c r="AM136" s="198">
        <v>0</v>
      </c>
      <c r="AN136" s="198">
        <v>0</v>
      </c>
      <c r="AO136" s="198">
        <v>0</v>
      </c>
      <c r="AP136" s="198">
        <v>0</v>
      </c>
      <c r="AQ136" s="202">
        <f>SUM(Tabela96[[#This Row],[2026-2030]:[2035]])</f>
        <v>1935</v>
      </c>
      <c r="AS136" s="178" t="s">
        <v>1046</v>
      </c>
      <c r="AT136" s="201">
        <v>2024</v>
      </c>
      <c r="AU136" s="178" t="s">
        <v>1477</v>
      </c>
      <c r="AV136" s="223" t="s">
        <v>1450</v>
      </c>
      <c r="AW136" s="178" t="s">
        <v>517</v>
      </c>
      <c r="AZ136" s="178" t="s">
        <v>1144</v>
      </c>
    </row>
    <row r="137" spans="2:52" ht="24.75" customHeight="1" x14ac:dyDescent="0.35">
      <c r="B137" s="179" t="e" cm="1">
        <f t="array" ref="B137">AND(ISTEXT('Consolidado-Eletronorte'!#REF!),SUM('Consolidado-Eletronorte'!#REF!)&gt;0)</f>
        <v>#REF!</v>
      </c>
      <c r="C137" s="162" t="str">
        <f t="shared" ca="1" si="9"/>
        <v>Capex Orcamentário_PE2026_2030_red_35_porcentoR3_consulta.xlsx</v>
      </c>
      <c r="D137" s="163" t="str">
        <f t="shared" si="10"/>
        <v>COO</v>
      </c>
      <c r="E137" s="163" t="str">
        <f t="shared" si="11"/>
        <v>Lucas Martins</v>
      </c>
      <c r="F137" s="164"/>
      <c r="G137" s="164" t="e">
        <f>_xlfn.CONCAT('Consolidado-Eletronorte'!#REF!,"_",ROW('Consolidado-Eletronorte'!#REF!)-ROW('Consolidado-Eletronorte'!$G$18))</f>
        <v>#REF!</v>
      </c>
      <c r="H137" s="165" t="s">
        <v>506</v>
      </c>
      <c r="I137" s="165" t="s">
        <v>135</v>
      </c>
      <c r="J137" s="165" t="s">
        <v>508</v>
      </c>
      <c r="K137" s="165" t="s">
        <v>1039</v>
      </c>
      <c r="L137" s="165" t="s">
        <v>1040</v>
      </c>
      <c r="M137" s="178" t="s">
        <v>1478</v>
      </c>
      <c r="N137" s="165"/>
      <c r="O137" s="165"/>
      <c r="P137" s="165"/>
      <c r="Q137" s="178" t="s">
        <v>1479</v>
      </c>
      <c r="R137" s="178" t="s">
        <v>1376</v>
      </c>
      <c r="S137" s="178" t="s">
        <v>1448</v>
      </c>
      <c r="T137" s="198">
        <v>215</v>
      </c>
      <c r="U137" s="198">
        <v>215</v>
      </c>
      <c r="V137" s="198">
        <v>215</v>
      </c>
      <c r="W137" s="198">
        <v>215</v>
      </c>
      <c r="X137" s="198">
        <v>215</v>
      </c>
      <c r="Y137" s="198">
        <v>215</v>
      </c>
      <c r="Z137" s="198">
        <v>215</v>
      </c>
      <c r="AA137" s="198">
        <v>215</v>
      </c>
      <c r="AB137" s="198">
        <v>215</v>
      </c>
      <c r="AC137" s="198" t="s">
        <v>1045</v>
      </c>
      <c r="AD137" s="198" t="s">
        <v>1045</v>
      </c>
      <c r="AE137" s="198" t="s">
        <v>1045</v>
      </c>
      <c r="AF137" s="197">
        <f>SUM(Tabela96[[#This Row],[jan/26]:[dez/26]])</f>
        <v>1935</v>
      </c>
      <c r="AG137" s="198">
        <v>0</v>
      </c>
      <c r="AH137" s="198">
        <v>0</v>
      </c>
      <c r="AI137" s="198">
        <v>0</v>
      </c>
      <c r="AJ137" s="198">
        <v>0</v>
      </c>
      <c r="AK137" s="198">
        <f>SUM(Tabela96[[#This Row],[2026]:[2030]])</f>
        <v>1935</v>
      </c>
      <c r="AL137" s="198">
        <v>0</v>
      </c>
      <c r="AM137" s="198">
        <v>0</v>
      </c>
      <c r="AN137" s="198">
        <v>0</v>
      </c>
      <c r="AO137" s="198">
        <v>0</v>
      </c>
      <c r="AP137" s="198">
        <v>0</v>
      </c>
      <c r="AQ137" s="202">
        <f>SUM(Tabela96[[#This Row],[2026-2030]:[2035]])</f>
        <v>1935</v>
      </c>
      <c r="AS137" s="178" t="s">
        <v>1046</v>
      </c>
      <c r="AT137" s="201">
        <v>2024</v>
      </c>
      <c r="AU137" s="178" t="s">
        <v>1480</v>
      </c>
      <c r="AV137" s="223" t="s">
        <v>1450</v>
      </c>
      <c r="AW137" s="178" t="s">
        <v>517</v>
      </c>
      <c r="AZ137" s="178" t="s">
        <v>1144</v>
      </c>
    </row>
    <row r="138" spans="2:52" ht="24.75" customHeight="1" x14ac:dyDescent="0.35">
      <c r="B138" s="179" t="e" cm="1">
        <f t="array" ref="B138">AND(ISTEXT('Consolidado-Eletronorte'!#REF!),SUM('Consolidado-Eletronorte'!#REF!)&gt;0)</f>
        <v>#REF!</v>
      </c>
      <c r="C138" s="162" t="str">
        <f t="shared" ca="1" si="9"/>
        <v>Capex Orcamentário_PE2026_2030_red_35_porcentoR3_consulta.xlsx</v>
      </c>
      <c r="D138" s="163" t="str">
        <f t="shared" si="10"/>
        <v>COO</v>
      </c>
      <c r="E138" s="163" t="str">
        <f t="shared" si="11"/>
        <v>Lucas Martins</v>
      </c>
      <c r="F138" s="164"/>
      <c r="G138" s="164" t="e">
        <f>_xlfn.CONCAT('Consolidado-Eletronorte'!#REF!,"_",ROW('Consolidado-Eletronorte'!#REF!)-ROW('Consolidado-Eletronorte'!$G$18))</f>
        <v>#REF!</v>
      </c>
      <c r="H138" s="165" t="s">
        <v>506</v>
      </c>
      <c r="I138" s="165" t="s">
        <v>135</v>
      </c>
      <c r="J138" s="165" t="s">
        <v>508</v>
      </c>
      <c r="K138" s="165" t="s">
        <v>1039</v>
      </c>
      <c r="L138" s="165" t="s">
        <v>1040</v>
      </c>
      <c r="M138" s="178" t="s">
        <v>1481</v>
      </c>
      <c r="N138" s="165"/>
      <c r="O138" s="165"/>
      <c r="P138" s="165"/>
      <c r="Q138" s="178" t="s">
        <v>1482</v>
      </c>
      <c r="R138" s="178" t="s">
        <v>1376</v>
      </c>
      <c r="S138" s="178" t="s">
        <v>1448</v>
      </c>
      <c r="T138" s="198">
        <v>215</v>
      </c>
      <c r="U138" s="198">
        <v>215</v>
      </c>
      <c r="V138" s="198">
        <v>215</v>
      </c>
      <c r="W138" s="198">
        <v>215</v>
      </c>
      <c r="X138" s="198">
        <v>215</v>
      </c>
      <c r="Y138" s="198">
        <v>215</v>
      </c>
      <c r="Z138" s="198">
        <v>215</v>
      </c>
      <c r="AA138" s="198">
        <v>215</v>
      </c>
      <c r="AB138" s="198">
        <v>215</v>
      </c>
      <c r="AC138" s="198" t="s">
        <v>1045</v>
      </c>
      <c r="AD138" s="198" t="s">
        <v>1045</v>
      </c>
      <c r="AE138" s="198" t="s">
        <v>1045</v>
      </c>
      <c r="AF138" s="197">
        <f>SUM(Tabela96[[#This Row],[jan/26]:[dez/26]])</f>
        <v>1935</v>
      </c>
      <c r="AG138" s="198">
        <v>0</v>
      </c>
      <c r="AH138" s="198">
        <v>0</v>
      </c>
      <c r="AI138" s="198">
        <v>0</v>
      </c>
      <c r="AJ138" s="198">
        <v>0</v>
      </c>
      <c r="AK138" s="198">
        <f>SUM(Tabela96[[#This Row],[2026]:[2030]])</f>
        <v>1935</v>
      </c>
      <c r="AL138" s="198">
        <v>0</v>
      </c>
      <c r="AM138" s="198">
        <v>0</v>
      </c>
      <c r="AN138" s="198">
        <v>0</v>
      </c>
      <c r="AO138" s="198">
        <v>0</v>
      </c>
      <c r="AP138" s="198">
        <v>0</v>
      </c>
      <c r="AQ138" s="202">
        <f>SUM(Tabela96[[#This Row],[2026-2030]:[2035]])</f>
        <v>1935</v>
      </c>
      <c r="AS138" s="178" t="s">
        <v>1046</v>
      </c>
      <c r="AT138" s="201">
        <v>2024</v>
      </c>
      <c r="AU138" s="178" t="s">
        <v>1483</v>
      </c>
      <c r="AV138" s="223" t="s">
        <v>1450</v>
      </c>
      <c r="AW138" s="178" t="s">
        <v>517</v>
      </c>
      <c r="AZ138" s="178" t="s">
        <v>1144</v>
      </c>
    </row>
    <row r="139" spans="2:52" ht="24.75" customHeight="1" x14ac:dyDescent="0.35">
      <c r="B139" s="179" t="e" cm="1">
        <f t="array" ref="B139">AND(ISTEXT('Consolidado-Eletronorte'!#REF!),SUM('Consolidado-Eletronorte'!#REF!)&gt;0)</f>
        <v>#REF!</v>
      </c>
      <c r="C139" s="162" t="str">
        <f t="shared" ca="1" si="9"/>
        <v>Capex Orcamentário_PE2026_2030_red_35_porcentoR3_consulta.xlsx</v>
      </c>
      <c r="D139" s="163" t="str">
        <f t="shared" si="10"/>
        <v>COO</v>
      </c>
      <c r="E139" s="163" t="str">
        <f t="shared" si="11"/>
        <v>Lucas Martins</v>
      </c>
      <c r="F139" s="164"/>
      <c r="G139" s="164" t="e">
        <f>_xlfn.CONCAT('Consolidado-Eletronorte'!#REF!,"_",ROW('Consolidado-Eletronorte'!#REF!)-ROW('Consolidado-Eletronorte'!$G$18))</f>
        <v>#REF!</v>
      </c>
      <c r="H139" s="165" t="s">
        <v>506</v>
      </c>
      <c r="I139" s="165" t="s">
        <v>135</v>
      </c>
      <c r="J139" s="165" t="s">
        <v>508</v>
      </c>
      <c r="K139" s="165" t="s">
        <v>1039</v>
      </c>
      <c r="L139" s="165" t="s">
        <v>1040</v>
      </c>
      <c r="M139" s="178" t="s">
        <v>1484</v>
      </c>
      <c r="N139" s="165"/>
      <c r="O139" s="165"/>
      <c r="P139" s="165"/>
      <c r="Q139" s="178" t="s">
        <v>1485</v>
      </c>
      <c r="R139" s="178" t="s">
        <v>1376</v>
      </c>
      <c r="S139" s="178" t="s">
        <v>1448</v>
      </c>
      <c r="T139" s="198">
        <v>215</v>
      </c>
      <c r="U139" s="198">
        <v>215</v>
      </c>
      <c r="V139" s="198">
        <v>215</v>
      </c>
      <c r="W139" s="198">
        <v>215</v>
      </c>
      <c r="X139" s="198">
        <v>215</v>
      </c>
      <c r="Y139" s="198">
        <v>215</v>
      </c>
      <c r="Z139" s="198">
        <v>215</v>
      </c>
      <c r="AA139" s="198">
        <v>215</v>
      </c>
      <c r="AB139" s="198">
        <v>215</v>
      </c>
      <c r="AC139" s="198" t="s">
        <v>1045</v>
      </c>
      <c r="AD139" s="198" t="s">
        <v>1045</v>
      </c>
      <c r="AE139" s="198" t="s">
        <v>1045</v>
      </c>
      <c r="AF139" s="197">
        <f>SUM(Tabela96[[#This Row],[jan/26]:[dez/26]])</f>
        <v>1935</v>
      </c>
      <c r="AG139" s="198">
        <v>0</v>
      </c>
      <c r="AH139" s="198">
        <v>0</v>
      </c>
      <c r="AI139" s="198">
        <v>0</v>
      </c>
      <c r="AJ139" s="198">
        <v>0</v>
      </c>
      <c r="AK139" s="198">
        <f>SUM(Tabela96[[#This Row],[2026]:[2030]])</f>
        <v>1935</v>
      </c>
      <c r="AL139" s="198">
        <v>0</v>
      </c>
      <c r="AM139" s="198">
        <v>0</v>
      </c>
      <c r="AN139" s="198">
        <v>0</v>
      </c>
      <c r="AO139" s="198">
        <v>0</v>
      </c>
      <c r="AP139" s="198">
        <v>0</v>
      </c>
      <c r="AQ139" s="202">
        <f>SUM(Tabela96[[#This Row],[2026-2030]:[2035]])</f>
        <v>1935</v>
      </c>
      <c r="AS139" s="178" t="s">
        <v>1046</v>
      </c>
      <c r="AT139" s="201">
        <v>2024</v>
      </c>
      <c r="AU139" s="178" t="s">
        <v>1486</v>
      </c>
      <c r="AV139" s="223" t="s">
        <v>1450</v>
      </c>
      <c r="AW139" s="178" t="s">
        <v>517</v>
      </c>
      <c r="AZ139" s="178" t="s">
        <v>1144</v>
      </c>
    </row>
    <row r="140" spans="2:52" ht="24.75" customHeight="1" x14ac:dyDescent="0.35">
      <c r="B140" s="179" t="e" cm="1">
        <f t="array" ref="B140">AND(ISTEXT('Consolidado-Eletronorte'!#REF!),SUM('Consolidado-Eletronorte'!#REF!)&gt;0)</f>
        <v>#REF!</v>
      </c>
      <c r="C140" s="162" t="str">
        <f t="shared" ref="C140:C176" ca="1" si="12">$J$3</f>
        <v>Capex Orcamentário_PE2026_2030_red_35_porcentoR3_consulta.xlsx</v>
      </c>
      <c r="D140" s="163" t="str">
        <f t="shared" ref="D140:D176" si="13">$H$3</f>
        <v>COO</v>
      </c>
      <c r="E140" s="163" t="str">
        <f t="shared" ref="E140:E176" si="14">$H$4</f>
        <v>Lucas Martins</v>
      </c>
      <c r="F140" s="164"/>
      <c r="G140" s="164" t="e">
        <f>_xlfn.CONCAT('Consolidado-Eletronorte'!#REF!,"_",ROW('Consolidado-Eletronorte'!#REF!)-ROW('Consolidado-Eletronorte'!$G$18))</f>
        <v>#REF!</v>
      </c>
      <c r="H140" s="165" t="s">
        <v>506</v>
      </c>
      <c r="I140" s="165" t="s">
        <v>135</v>
      </c>
      <c r="J140" s="165" t="s">
        <v>508</v>
      </c>
      <c r="K140" s="165" t="s">
        <v>1039</v>
      </c>
      <c r="L140" s="165" t="s">
        <v>1040</v>
      </c>
      <c r="M140" s="178" t="s">
        <v>1487</v>
      </c>
      <c r="N140" s="165"/>
      <c r="O140" s="165"/>
      <c r="P140" s="165"/>
      <c r="Q140" s="178" t="s">
        <v>1488</v>
      </c>
      <c r="R140" s="178" t="s">
        <v>1376</v>
      </c>
      <c r="S140" s="178" t="s">
        <v>1448</v>
      </c>
      <c r="T140" s="198">
        <v>215</v>
      </c>
      <c r="U140" s="198">
        <v>215</v>
      </c>
      <c r="V140" s="198">
        <v>215</v>
      </c>
      <c r="W140" s="198">
        <v>215</v>
      </c>
      <c r="X140" s="198">
        <v>215</v>
      </c>
      <c r="Y140" s="198">
        <v>215</v>
      </c>
      <c r="Z140" s="198">
        <v>215</v>
      </c>
      <c r="AA140" s="198">
        <v>215</v>
      </c>
      <c r="AB140" s="198">
        <v>215</v>
      </c>
      <c r="AC140" s="198" t="s">
        <v>1045</v>
      </c>
      <c r="AD140" s="198" t="s">
        <v>1045</v>
      </c>
      <c r="AE140" s="198" t="s">
        <v>1045</v>
      </c>
      <c r="AF140" s="197">
        <f>SUM(Tabela96[[#This Row],[jan/26]:[dez/26]])</f>
        <v>1935</v>
      </c>
      <c r="AG140" s="198">
        <v>0</v>
      </c>
      <c r="AH140" s="198">
        <v>0</v>
      </c>
      <c r="AI140" s="198">
        <v>0</v>
      </c>
      <c r="AJ140" s="198">
        <v>0</v>
      </c>
      <c r="AK140" s="198">
        <f>SUM(Tabela96[[#This Row],[2026]:[2030]])</f>
        <v>1935</v>
      </c>
      <c r="AL140" s="198">
        <v>0</v>
      </c>
      <c r="AM140" s="198">
        <v>0</v>
      </c>
      <c r="AN140" s="198">
        <v>0</v>
      </c>
      <c r="AO140" s="198">
        <v>0</v>
      </c>
      <c r="AP140" s="198">
        <v>0</v>
      </c>
      <c r="AQ140" s="202">
        <f>SUM(Tabela96[[#This Row],[2026-2030]:[2035]])</f>
        <v>1935</v>
      </c>
      <c r="AS140" s="178" t="s">
        <v>1046</v>
      </c>
      <c r="AT140" s="201">
        <v>2024</v>
      </c>
      <c r="AU140" s="178" t="s">
        <v>1489</v>
      </c>
      <c r="AV140" s="223" t="s">
        <v>1450</v>
      </c>
      <c r="AW140" s="178" t="s">
        <v>517</v>
      </c>
      <c r="AZ140" s="178" t="s">
        <v>1144</v>
      </c>
    </row>
    <row r="141" spans="2:52" ht="24.75" customHeight="1" x14ac:dyDescent="0.35">
      <c r="B141" s="179" t="e" cm="1">
        <f t="array" ref="B141">AND(ISTEXT('Consolidado-Eletronorte'!#REF!),SUM('Consolidado-Eletronorte'!#REF!)&gt;0)</f>
        <v>#REF!</v>
      </c>
      <c r="C141" s="162" t="str">
        <f t="shared" ca="1" si="12"/>
        <v>Capex Orcamentário_PE2026_2030_red_35_porcentoR3_consulta.xlsx</v>
      </c>
      <c r="D141" s="163" t="str">
        <f t="shared" si="13"/>
        <v>COO</v>
      </c>
      <c r="E141" s="163" t="str">
        <f t="shared" si="14"/>
        <v>Lucas Martins</v>
      </c>
      <c r="F141" s="164"/>
      <c r="G141" s="164" t="e">
        <f>_xlfn.CONCAT('Consolidado-Eletronorte'!#REF!,"_",ROW('Consolidado-Eletronorte'!#REF!)-ROW('Consolidado-Eletronorte'!$G$18))</f>
        <v>#REF!</v>
      </c>
      <c r="H141" s="165" t="s">
        <v>506</v>
      </c>
      <c r="I141" s="165" t="s">
        <v>135</v>
      </c>
      <c r="J141" s="165" t="s">
        <v>508</v>
      </c>
      <c r="K141" s="165" t="s">
        <v>1039</v>
      </c>
      <c r="L141" s="165" t="s">
        <v>1040</v>
      </c>
      <c r="M141" s="178" t="s">
        <v>1490</v>
      </c>
      <c r="N141" s="165"/>
      <c r="O141" s="165"/>
      <c r="P141" s="165"/>
      <c r="Q141" s="178" t="s">
        <v>1491</v>
      </c>
      <c r="R141" s="178" t="s">
        <v>1376</v>
      </c>
      <c r="S141" s="178" t="s">
        <v>1448</v>
      </c>
      <c r="T141" s="198">
        <v>215</v>
      </c>
      <c r="U141" s="198">
        <v>215</v>
      </c>
      <c r="V141" s="198">
        <v>215</v>
      </c>
      <c r="W141" s="198">
        <v>215</v>
      </c>
      <c r="X141" s="198">
        <v>215</v>
      </c>
      <c r="Y141" s="198">
        <v>215</v>
      </c>
      <c r="Z141" s="198">
        <v>215</v>
      </c>
      <c r="AA141" s="198">
        <v>215</v>
      </c>
      <c r="AB141" s="198">
        <v>215</v>
      </c>
      <c r="AC141" s="198" t="s">
        <v>1045</v>
      </c>
      <c r="AD141" s="198" t="s">
        <v>1045</v>
      </c>
      <c r="AE141" s="198" t="s">
        <v>1045</v>
      </c>
      <c r="AF141" s="197">
        <f>SUM(Tabela96[[#This Row],[jan/26]:[dez/26]])</f>
        <v>1935</v>
      </c>
      <c r="AG141" s="198">
        <v>0</v>
      </c>
      <c r="AH141" s="198">
        <v>0</v>
      </c>
      <c r="AI141" s="198">
        <v>0</v>
      </c>
      <c r="AJ141" s="198">
        <v>0</v>
      </c>
      <c r="AK141" s="198">
        <f>SUM(Tabela96[[#This Row],[2026]:[2030]])</f>
        <v>1935</v>
      </c>
      <c r="AL141" s="198">
        <v>0</v>
      </c>
      <c r="AM141" s="198">
        <v>0</v>
      </c>
      <c r="AN141" s="198">
        <v>0</v>
      </c>
      <c r="AO141" s="198">
        <v>0</v>
      </c>
      <c r="AP141" s="198">
        <v>0</v>
      </c>
      <c r="AQ141" s="202">
        <f>SUM(Tabela96[[#This Row],[2026-2030]:[2035]])</f>
        <v>1935</v>
      </c>
      <c r="AS141" s="178" t="s">
        <v>1046</v>
      </c>
      <c r="AT141" s="201">
        <v>2024</v>
      </c>
      <c r="AU141" s="178" t="s">
        <v>1492</v>
      </c>
      <c r="AV141" s="223" t="s">
        <v>1450</v>
      </c>
      <c r="AW141" s="178" t="s">
        <v>517</v>
      </c>
      <c r="AZ141" s="178" t="s">
        <v>1144</v>
      </c>
    </row>
    <row r="142" spans="2:52" ht="24.75" customHeight="1" x14ac:dyDescent="0.35">
      <c r="B142" s="179" t="e" cm="1">
        <f t="array" ref="B142">AND(ISTEXT('Consolidado-Eletronorte'!#REF!),SUM('Consolidado-Eletronorte'!#REF!)&gt;0)</f>
        <v>#REF!</v>
      </c>
      <c r="C142" s="162" t="str">
        <f t="shared" ca="1" si="12"/>
        <v>Capex Orcamentário_PE2026_2030_red_35_porcentoR3_consulta.xlsx</v>
      </c>
      <c r="D142" s="163" t="str">
        <f t="shared" si="13"/>
        <v>COO</v>
      </c>
      <c r="E142" s="163" t="str">
        <f t="shared" si="14"/>
        <v>Lucas Martins</v>
      </c>
      <c r="F142" s="164"/>
      <c r="G142" s="164" t="e">
        <f>_xlfn.CONCAT('Consolidado-Eletronorte'!#REF!,"_",ROW('Consolidado-Eletronorte'!#REF!)-ROW('Consolidado-Eletronorte'!$G$18))</f>
        <v>#REF!</v>
      </c>
      <c r="H142" s="165" t="s">
        <v>506</v>
      </c>
      <c r="I142" s="165" t="s">
        <v>135</v>
      </c>
      <c r="J142" s="165" t="s">
        <v>508</v>
      </c>
      <c r="K142" s="165" t="s">
        <v>1039</v>
      </c>
      <c r="L142" s="165" t="s">
        <v>1040</v>
      </c>
      <c r="M142" s="178" t="s">
        <v>1493</v>
      </c>
      <c r="N142" s="165"/>
      <c r="O142" s="165"/>
      <c r="P142" s="165"/>
      <c r="Q142" s="178" t="s">
        <v>1494</v>
      </c>
      <c r="R142" s="178" t="s">
        <v>1376</v>
      </c>
      <c r="S142" s="178" t="s">
        <v>1448</v>
      </c>
      <c r="T142" s="198">
        <v>215</v>
      </c>
      <c r="U142" s="198">
        <v>215</v>
      </c>
      <c r="V142" s="198">
        <v>215</v>
      </c>
      <c r="W142" s="198">
        <v>215</v>
      </c>
      <c r="X142" s="198">
        <v>215</v>
      </c>
      <c r="Y142" s="198">
        <v>215</v>
      </c>
      <c r="Z142" s="198">
        <v>215</v>
      </c>
      <c r="AA142" s="198">
        <v>215</v>
      </c>
      <c r="AB142" s="198">
        <v>215</v>
      </c>
      <c r="AC142" s="198" t="s">
        <v>1045</v>
      </c>
      <c r="AD142" s="198" t="s">
        <v>1045</v>
      </c>
      <c r="AE142" s="198" t="s">
        <v>1045</v>
      </c>
      <c r="AF142" s="197">
        <f>SUM(Tabela96[[#This Row],[jan/26]:[dez/26]])</f>
        <v>1935</v>
      </c>
      <c r="AG142" s="198">
        <v>0</v>
      </c>
      <c r="AH142" s="198">
        <v>0</v>
      </c>
      <c r="AI142" s="198">
        <v>0</v>
      </c>
      <c r="AJ142" s="198">
        <v>0</v>
      </c>
      <c r="AK142" s="198">
        <f>SUM(Tabela96[[#This Row],[2026]:[2030]])</f>
        <v>1935</v>
      </c>
      <c r="AL142" s="198">
        <v>0</v>
      </c>
      <c r="AM142" s="198">
        <v>0</v>
      </c>
      <c r="AN142" s="198">
        <v>0</v>
      </c>
      <c r="AO142" s="198">
        <v>0</v>
      </c>
      <c r="AP142" s="198">
        <v>0</v>
      </c>
      <c r="AQ142" s="202">
        <f>SUM(Tabela96[[#This Row],[2026-2030]:[2035]])</f>
        <v>1935</v>
      </c>
      <c r="AS142" s="178" t="s">
        <v>1046</v>
      </c>
      <c r="AT142" s="201">
        <v>2024</v>
      </c>
      <c r="AU142" s="178" t="s">
        <v>1495</v>
      </c>
      <c r="AV142" s="223" t="s">
        <v>1450</v>
      </c>
      <c r="AW142" s="178" t="s">
        <v>517</v>
      </c>
      <c r="AZ142" s="178" t="s">
        <v>1144</v>
      </c>
    </row>
    <row r="143" spans="2:52" ht="24.75" customHeight="1" x14ac:dyDescent="0.35">
      <c r="B143" s="179" t="e" cm="1">
        <f t="array" ref="B143">AND(ISTEXT('Consolidado-Eletronorte'!#REF!),SUM('Consolidado-Eletronorte'!#REF!)&gt;0)</f>
        <v>#REF!</v>
      </c>
      <c r="C143" s="162" t="str">
        <f t="shared" ca="1" si="12"/>
        <v>Capex Orcamentário_PE2026_2030_red_35_porcentoR3_consulta.xlsx</v>
      </c>
      <c r="D143" s="163" t="str">
        <f t="shared" si="13"/>
        <v>COO</v>
      </c>
      <c r="E143" s="163" t="str">
        <f t="shared" si="14"/>
        <v>Lucas Martins</v>
      </c>
      <c r="F143" s="164"/>
      <c r="G143" s="164" t="e">
        <f>_xlfn.CONCAT('Consolidado-Eletronorte'!#REF!,"_",ROW('Consolidado-Eletronorte'!#REF!)-ROW('Consolidado-Eletronorte'!$G$18))</f>
        <v>#REF!</v>
      </c>
      <c r="H143" s="165" t="s">
        <v>506</v>
      </c>
      <c r="I143" s="165" t="s">
        <v>135</v>
      </c>
      <c r="J143" s="165" t="s">
        <v>508</v>
      </c>
      <c r="K143" s="165" t="s">
        <v>1039</v>
      </c>
      <c r="L143" s="165" t="s">
        <v>1040</v>
      </c>
      <c r="M143" s="178" t="s">
        <v>1496</v>
      </c>
      <c r="N143" s="165"/>
      <c r="O143" s="165"/>
      <c r="P143" s="165"/>
      <c r="Q143" s="178" t="s">
        <v>1497</v>
      </c>
      <c r="R143" s="178" t="s">
        <v>1376</v>
      </c>
      <c r="S143" s="178" t="s">
        <v>1448</v>
      </c>
      <c r="T143" s="198">
        <v>215</v>
      </c>
      <c r="U143" s="198">
        <v>215</v>
      </c>
      <c r="V143" s="198">
        <v>215</v>
      </c>
      <c r="W143" s="198">
        <v>215</v>
      </c>
      <c r="X143" s="198">
        <v>215</v>
      </c>
      <c r="Y143" s="198">
        <v>215</v>
      </c>
      <c r="Z143" s="198">
        <v>215</v>
      </c>
      <c r="AA143" s="198">
        <v>215</v>
      </c>
      <c r="AB143" s="198">
        <v>215</v>
      </c>
      <c r="AC143" s="198" t="s">
        <v>1045</v>
      </c>
      <c r="AD143" s="198" t="s">
        <v>1045</v>
      </c>
      <c r="AE143" s="198" t="s">
        <v>1045</v>
      </c>
      <c r="AF143" s="197">
        <f>SUM(Tabela96[[#This Row],[jan/26]:[dez/26]])</f>
        <v>1935</v>
      </c>
      <c r="AG143" s="198">
        <v>0</v>
      </c>
      <c r="AH143" s="198">
        <v>0</v>
      </c>
      <c r="AI143" s="198">
        <v>0</v>
      </c>
      <c r="AJ143" s="198">
        <v>0</v>
      </c>
      <c r="AK143" s="198">
        <f>SUM(Tabela96[[#This Row],[2026]:[2030]])</f>
        <v>1935</v>
      </c>
      <c r="AL143" s="198">
        <v>0</v>
      </c>
      <c r="AM143" s="198">
        <v>0</v>
      </c>
      <c r="AN143" s="198">
        <v>0</v>
      </c>
      <c r="AO143" s="198">
        <v>0</v>
      </c>
      <c r="AP143" s="198">
        <v>0</v>
      </c>
      <c r="AQ143" s="202">
        <f>SUM(Tabela96[[#This Row],[2026-2030]:[2035]])</f>
        <v>1935</v>
      </c>
      <c r="AS143" s="178" t="s">
        <v>1046</v>
      </c>
      <c r="AT143" s="201">
        <v>2024</v>
      </c>
      <c r="AU143" s="178" t="s">
        <v>1498</v>
      </c>
      <c r="AV143" s="223" t="s">
        <v>1450</v>
      </c>
      <c r="AW143" s="178" t="s">
        <v>517</v>
      </c>
      <c r="AZ143" s="178" t="s">
        <v>1144</v>
      </c>
    </row>
    <row r="144" spans="2:52" ht="24.75" customHeight="1" x14ac:dyDescent="0.35">
      <c r="B144" s="179" t="e" cm="1">
        <f t="array" ref="B144">AND(ISTEXT('Consolidado-Eletronorte'!#REF!),SUM('Consolidado-Eletronorte'!#REF!)&gt;0)</f>
        <v>#REF!</v>
      </c>
      <c r="C144" s="162" t="str">
        <f t="shared" ca="1" si="12"/>
        <v>Capex Orcamentário_PE2026_2030_red_35_porcentoR3_consulta.xlsx</v>
      </c>
      <c r="D144" s="163" t="str">
        <f t="shared" si="13"/>
        <v>COO</v>
      </c>
      <c r="E144" s="163" t="str">
        <f t="shared" si="14"/>
        <v>Lucas Martins</v>
      </c>
      <c r="F144" s="164"/>
      <c r="G144" s="164" t="e">
        <f>_xlfn.CONCAT('Consolidado-Eletronorte'!#REF!,"_",ROW('Consolidado-Eletronorte'!#REF!)-ROW('Consolidado-Eletronorte'!$G$18))</f>
        <v>#REF!</v>
      </c>
      <c r="H144" s="165" t="s">
        <v>506</v>
      </c>
      <c r="I144" s="165" t="s">
        <v>135</v>
      </c>
      <c r="J144" s="165" t="s">
        <v>508</v>
      </c>
      <c r="K144" s="165" t="s">
        <v>1039</v>
      </c>
      <c r="L144" s="165" t="s">
        <v>1040</v>
      </c>
      <c r="M144" s="178" t="s">
        <v>1499</v>
      </c>
      <c r="N144" s="165"/>
      <c r="O144" s="165"/>
      <c r="P144" s="165"/>
      <c r="Q144" s="178" t="s">
        <v>1500</v>
      </c>
      <c r="R144" s="178" t="s">
        <v>1376</v>
      </c>
      <c r="S144" s="178" t="s">
        <v>1448</v>
      </c>
      <c r="T144" s="198">
        <v>215</v>
      </c>
      <c r="U144" s="198">
        <v>215</v>
      </c>
      <c r="V144" s="198">
        <v>215</v>
      </c>
      <c r="W144" s="198">
        <v>215</v>
      </c>
      <c r="X144" s="198">
        <v>215</v>
      </c>
      <c r="Y144" s="198">
        <v>215</v>
      </c>
      <c r="Z144" s="198">
        <v>215</v>
      </c>
      <c r="AA144" s="198">
        <v>215</v>
      </c>
      <c r="AB144" s="198">
        <v>215</v>
      </c>
      <c r="AC144" s="198" t="s">
        <v>1045</v>
      </c>
      <c r="AD144" s="198" t="s">
        <v>1045</v>
      </c>
      <c r="AE144" s="198" t="s">
        <v>1045</v>
      </c>
      <c r="AF144" s="197">
        <f>SUM(Tabela96[[#This Row],[jan/26]:[dez/26]])</f>
        <v>1935</v>
      </c>
      <c r="AG144" s="198">
        <v>0</v>
      </c>
      <c r="AH144" s="198">
        <v>0</v>
      </c>
      <c r="AI144" s="198">
        <v>0</v>
      </c>
      <c r="AJ144" s="198">
        <v>0</v>
      </c>
      <c r="AK144" s="198">
        <f>SUM(Tabela96[[#This Row],[2026]:[2030]])</f>
        <v>1935</v>
      </c>
      <c r="AL144" s="198">
        <v>0</v>
      </c>
      <c r="AM144" s="198">
        <v>0</v>
      </c>
      <c r="AN144" s="198">
        <v>0</v>
      </c>
      <c r="AO144" s="198">
        <v>0</v>
      </c>
      <c r="AP144" s="198">
        <v>0</v>
      </c>
      <c r="AQ144" s="202">
        <f>SUM(Tabela96[[#This Row],[2026-2030]:[2035]])</f>
        <v>1935</v>
      </c>
      <c r="AS144" s="178" t="s">
        <v>1046</v>
      </c>
      <c r="AT144" s="201">
        <v>2024</v>
      </c>
      <c r="AU144" s="178" t="s">
        <v>1501</v>
      </c>
      <c r="AV144" s="223" t="s">
        <v>1450</v>
      </c>
      <c r="AW144" s="178" t="s">
        <v>517</v>
      </c>
      <c r="AZ144" s="178" t="s">
        <v>1144</v>
      </c>
    </row>
    <row r="145" spans="2:52" ht="24.75" customHeight="1" x14ac:dyDescent="0.35">
      <c r="B145" s="179" t="e" cm="1">
        <f t="array" ref="B145">AND(ISTEXT('Consolidado-Eletronorte'!#REF!),SUM('Consolidado-Eletronorte'!#REF!)&gt;0)</f>
        <v>#REF!</v>
      </c>
      <c r="C145" s="162" t="str">
        <f t="shared" ca="1" si="12"/>
        <v>Capex Orcamentário_PE2026_2030_red_35_porcentoR3_consulta.xlsx</v>
      </c>
      <c r="D145" s="163" t="str">
        <f t="shared" si="13"/>
        <v>COO</v>
      </c>
      <c r="E145" s="163" t="str">
        <f t="shared" si="14"/>
        <v>Lucas Martins</v>
      </c>
      <c r="F145" s="164"/>
      <c r="G145" s="164" t="e">
        <f>_xlfn.CONCAT('Consolidado-Eletronorte'!#REF!,"_",ROW('Consolidado-Eletronorte'!#REF!)-ROW('Consolidado-Eletronorte'!$G$18))</f>
        <v>#REF!</v>
      </c>
      <c r="H145" s="165" t="s">
        <v>506</v>
      </c>
      <c r="I145" s="165" t="s">
        <v>135</v>
      </c>
      <c r="J145" s="165" t="s">
        <v>508</v>
      </c>
      <c r="K145" s="165" t="s">
        <v>1039</v>
      </c>
      <c r="L145" s="165" t="s">
        <v>1040</v>
      </c>
      <c r="M145" s="178" t="s">
        <v>1502</v>
      </c>
      <c r="N145" s="165"/>
      <c r="O145" s="165"/>
      <c r="P145" s="165"/>
      <c r="Q145" s="178" t="s">
        <v>1503</v>
      </c>
      <c r="R145" s="178" t="s">
        <v>1376</v>
      </c>
      <c r="S145" s="178" t="s">
        <v>1448</v>
      </c>
      <c r="T145" s="198">
        <v>215</v>
      </c>
      <c r="U145" s="198">
        <v>215</v>
      </c>
      <c r="V145" s="198">
        <v>215</v>
      </c>
      <c r="W145" s="198">
        <v>215</v>
      </c>
      <c r="X145" s="198">
        <v>215</v>
      </c>
      <c r="Y145" s="198">
        <v>215</v>
      </c>
      <c r="Z145" s="198">
        <v>215</v>
      </c>
      <c r="AA145" s="198">
        <v>215</v>
      </c>
      <c r="AB145" s="198">
        <v>215</v>
      </c>
      <c r="AC145" s="198" t="s">
        <v>1045</v>
      </c>
      <c r="AD145" s="198" t="s">
        <v>1045</v>
      </c>
      <c r="AE145" s="198" t="s">
        <v>1045</v>
      </c>
      <c r="AF145" s="197">
        <f>SUM(Tabela96[[#This Row],[jan/26]:[dez/26]])</f>
        <v>1935</v>
      </c>
      <c r="AG145" s="198">
        <v>0</v>
      </c>
      <c r="AH145" s="198">
        <v>0</v>
      </c>
      <c r="AI145" s="198">
        <v>0</v>
      </c>
      <c r="AJ145" s="198">
        <v>0</v>
      </c>
      <c r="AK145" s="198">
        <f>SUM(Tabela96[[#This Row],[2026]:[2030]])</f>
        <v>1935</v>
      </c>
      <c r="AL145" s="198">
        <v>0</v>
      </c>
      <c r="AM145" s="198">
        <v>0</v>
      </c>
      <c r="AN145" s="198">
        <v>0</v>
      </c>
      <c r="AO145" s="198">
        <v>0</v>
      </c>
      <c r="AP145" s="198">
        <v>0</v>
      </c>
      <c r="AQ145" s="202">
        <f>SUM(Tabela96[[#This Row],[2026-2030]:[2035]])</f>
        <v>1935</v>
      </c>
      <c r="AS145" s="178" t="s">
        <v>1046</v>
      </c>
      <c r="AT145" s="201">
        <v>2024</v>
      </c>
      <c r="AU145" s="178" t="s">
        <v>1504</v>
      </c>
      <c r="AV145" s="223" t="s">
        <v>1450</v>
      </c>
      <c r="AW145" s="178" t="s">
        <v>517</v>
      </c>
      <c r="AZ145" s="178" t="s">
        <v>1144</v>
      </c>
    </row>
    <row r="146" spans="2:52" ht="24.75" customHeight="1" x14ac:dyDescent="0.35">
      <c r="B146" s="179" t="e" cm="1">
        <f t="array" ref="B146">AND(ISTEXT('Consolidado-Eletronorte'!#REF!),SUM('Consolidado-Eletronorte'!#REF!)&gt;0)</f>
        <v>#REF!</v>
      </c>
      <c r="C146" s="162" t="str">
        <f t="shared" ca="1" si="12"/>
        <v>Capex Orcamentário_PE2026_2030_red_35_porcentoR3_consulta.xlsx</v>
      </c>
      <c r="D146" s="163" t="str">
        <f t="shared" si="13"/>
        <v>COO</v>
      </c>
      <c r="E146" s="163" t="str">
        <f t="shared" si="14"/>
        <v>Lucas Martins</v>
      </c>
      <c r="F146" s="164"/>
      <c r="G146" s="164" t="e">
        <f>_xlfn.CONCAT('Consolidado-Eletronorte'!#REF!,"_",ROW('Consolidado-Eletronorte'!#REF!)-ROW('Consolidado-Eletronorte'!$G$18))</f>
        <v>#REF!</v>
      </c>
      <c r="H146" s="165" t="s">
        <v>506</v>
      </c>
      <c r="I146" s="165" t="s">
        <v>135</v>
      </c>
      <c r="J146" s="165" t="s">
        <v>508</v>
      </c>
      <c r="K146" s="165" t="s">
        <v>1039</v>
      </c>
      <c r="L146" s="165" t="s">
        <v>1040</v>
      </c>
      <c r="M146" s="178" t="s">
        <v>1505</v>
      </c>
      <c r="N146" s="165"/>
      <c r="O146" s="165"/>
      <c r="P146" s="165"/>
      <c r="Q146" s="178" t="s">
        <v>1506</v>
      </c>
      <c r="R146" s="178" t="s">
        <v>1376</v>
      </c>
      <c r="S146" s="178" t="s">
        <v>1448</v>
      </c>
      <c r="T146" s="198">
        <v>215</v>
      </c>
      <c r="U146" s="198">
        <v>215</v>
      </c>
      <c r="V146" s="198">
        <v>215</v>
      </c>
      <c r="W146" s="198">
        <v>215</v>
      </c>
      <c r="X146" s="198">
        <v>215</v>
      </c>
      <c r="Y146" s="198">
        <v>215</v>
      </c>
      <c r="Z146" s="198">
        <v>215</v>
      </c>
      <c r="AA146" s="198">
        <v>215</v>
      </c>
      <c r="AB146" s="198">
        <v>215</v>
      </c>
      <c r="AC146" s="198" t="s">
        <v>1045</v>
      </c>
      <c r="AD146" s="198" t="s">
        <v>1045</v>
      </c>
      <c r="AE146" s="198" t="s">
        <v>1045</v>
      </c>
      <c r="AF146" s="197">
        <f>SUM(Tabela96[[#This Row],[jan/26]:[dez/26]])</f>
        <v>1935</v>
      </c>
      <c r="AG146" s="198">
        <v>0</v>
      </c>
      <c r="AH146" s="198">
        <v>0</v>
      </c>
      <c r="AI146" s="198">
        <v>0</v>
      </c>
      <c r="AJ146" s="198">
        <v>0</v>
      </c>
      <c r="AK146" s="198">
        <f>SUM(Tabela96[[#This Row],[2026]:[2030]])</f>
        <v>1935</v>
      </c>
      <c r="AL146" s="198">
        <v>0</v>
      </c>
      <c r="AM146" s="198">
        <v>0</v>
      </c>
      <c r="AN146" s="198">
        <v>0</v>
      </c>
      <c r="AO146" s="198">
        <v>0</v>
      </c>
      <c r="AP146" s="198">
        <v>0</v>
      </c>
      <c r="AQ146" s="202">
        <f>SUM(Tabela96[[#This Row],[2026-2030]:[2035]])</f>
        <v>1935</v>
      </c>
      <c r="AS146" s="178" t="s">
        <v>1046</v>
      </c>
      <c r="AT146" s="201">
        <v>2024</v>
      </c>
      <c r="AU146" s="178" t="s">
        <v>1507</v>
      </c>
      <c r="AV146" s="223" t="s">
        <v>1450</v>
      </c>
      <c r="AW146" s="178" t="s">
        <v>517</v>
      </c>
      <c r="AZ146" s="178" t="s">
        <v>1144</v>
      </c>
    </row>
    <row r="147" spans="2:52" ht="24.75" customHeight="1" x14ac:dyDescent="0.35">
      <c r="B147" s="179" t="e" cm="1">
        <f t="array" ref="B147">AND(ISTEXT('Consolidado-Eletronorte'!#REF!),SUM('Consolidado-Eletronorte'!#REF!)&gt;0)</f>
        <v>#REF!</v>
      </c>
      <c r="C147" s="162" t="str">
        <f t="shared" ca="1" si="12"/>
        <v>Capex Orcamentário_PE2026_2030_red_35_porcentoR3_consulta.xlsx</v>
      </c>
      <c r="D147" s="163" t="str">
        <f t="shared" si="13"/>
        <v>COO</v>
      </c>
      <c r="E147" s="163" t="str">
        <f t="shared" si="14"/>
        <v>Lucas Martins</v>
      </c>
      <c r="F147" s="164"/>
      <c r="G147" s="164" t="e">
        <f>_xlfn.CONCAT('Consolidado-Eletronorte'!#REF!,"_",ROW('Consolidado-Eletronorte'!#REF!)-ROW('Consolidado-Eletronorte'!$G$18))</f>
        <v>#REF!</v>
      </c>
      <c r="H147" s="165" t="s">
        <v>506</v>
      </c>
      <c r="I147" s="165" t="s">
        <v>135</v>
      </c>
      <c r="J147" s="165" t="s">
        <v>508</v>
      </c>
      <c r="K147" s="165" t="s">
        <v>1039</v>
      </c>
      <c r="L147" s="165" t="s">
        <v>1040</v>
      </c>
      <c r="M147" s="178" t="s">
        <v>1508</v>
      </c>
      <c r="N147" s="165"/>
      <c r="O147" s="165"/>
      <c r="P147" s="165"/>
      <c r="Q147" s="178" t="s">
        <v>1509</v>
      </c>
      <c r="R147" s="178" t="s">
        <v>1376</v>
      </c>
      <c r="S147" s="178" t="s">
        <v>1448</v>
      </c>
      <c r="T147" s="198">
        <v>215</v>
      </c>
      <c r="U147" s="198">
        <v>215</v>
      </c>
      <c r="V147" s="198">
        <v>215</v>
      </c>
      <c r="W147" s="198">
        <v>215</v>
      </c>
      <c r="X147" s="198">
        <v>215</v>
      </c>
      <c r="Y147" s="198">
        <v>215</v>
      </c>
      <c r="Z147" s="198">
        <v>215</v>
      </c>
      <c r="AA147" s="198">
        <v>215</v>
      </c>
      <c r="AB147" s="198">
        <v>215</v>
      </c>
      <c r="AC147" s="198" t="s">
        <v>1045</v>
      </c>
      <c r="AD147" s="198" t="s">
        <v>1045</v>
      </c>
      <c r="AE147" s="198" t="s">
        <v>1045</v>
      </c>
      <c r="AF147" s="197">
        <f>SUM(Tabela96[[#This Row],[jan/26]:[dez/26]])</f>
        <v>1935</v>
      </c>
      <c r="AG147" s="198">
        <v>0</v>
      </c>
      <c r="AH147" s="198">
        <v>0</v>
      </c>
      <c r="AI147" s="198">
        <v>0</v>
      </c>
      <c r="AJ147" s="198">
        <v>0</v>
      </c>
      <c r="AK147" s="198">
        <f>SUM(Tabela96[[#This Row],[2026]:[2030]])</f>
        <v>1935</v>
      </c>
      <c r="AL147" s="198">
        <v>0</v>
      </c>
      <c r="AM147" s="198">
        <v>0</v>
      </c>
      <c r="AN147" s="198">
        <v>0</v>
      </c>
      <c r="AO147" s="198">
        <v>0</v>
      </c>
      <c r="AP147" s="198">
        <v>0</v>
      </c>
      <c r="AQ147" s="202">
        <f>SUM(Tabela96[[#This Row],[2026-2030]:[2035]])</f>
        <v>1935</v>
      </c>
      <c r="AS147" s="178" t="s">
        <v>1046</v>
      </c>
      <c r="AT147" s="201">
        <v>2024</v>
      </c>
      <c r="AU147" s="178" t="s">
        <v>1510</v>
      </c>
      <c r="AV147" s="223" t="s">
        <v>1450</v>
      </c>
      <c r="AW147" s="178" t="s">
        <v>517</v>
      </c>
      <c r="AZ147" s="178" t="s">
        <v>1144</v>
      </c>
    </row>
    <row r="148" spans="2:52" ht="24.75" customHeight="1" x14ac:dyDescent="0.35">
      <c r="B148" s="179" t="e" cm="1">
        <f t="array" ref="B148">AND(ISTEXT('Consolidado-Eletronorte'!#REF!),SUM('Consolidado-Eletronorte'!#REF!)&gt;0)</f>
        <v>#REF!</v>
      </c>
      <c r="C148" s="162" t="str">
        <f t="shared" ca="1" si="12"/>
        <v>Capex Orcamentário_PE2026_2030_red_35_porcentoR3_consulta.xlsx</v>
      </c>
      <c r="D148" s="163" t="str">
        <f t="shared" si="13"/>
        <v>COO</v>
      </c>
      <c r="E148" s="163" t="str">
        <f t="shared" si="14"/>
        <v>Lucas Martins</v>
      </c>
      <c r="F148" s="164"/>
      <c r="G148" s="164" t="e">
        <f>_xlfn.CONCAT('Consolidado-Eletronorte'!#REF!,"_",ROW('Consolidado-Eletronorte'!#REF!)-ROW('Consolidado-Eletronorte'!$G$18))</f>
        <v>#REF!</v>
      </c>
      <c r="H148" s="165" t="s">
        <v>506</v>
      </c>
      <c r="I148" s="165" t="s">
        <v>135</v>
      </c>
      <c r="J148" s="165" t="s">
        <v>508</v>
      </c>
      <c r="K148" s="165" t="s">
        <v>1039</v>
      </c>
      <c r="L148" s="165" t="s">
        <v>1040</v>
      </c>
      <c r="M148" s="178" t="s">
        <v>1511</v>
      </c>
      <c r="N148" s="165"/>
      <c r="O148" s="165"/>
      <c r="P148" s="165"/>
      <c r="Q148" s="178" t="s">
        <v>1512</v>
      </c>
      <c r="R148" s="178" t="s">
        <v>1376</v>
      </c>
      <c r="S148" s="178" t="s">
        <v>1448</v>
      </c>
      <c r="T148" s="198">
        <v>215</v>
      </c>
      <c r="U148" s="198">
        <v>215</v>
      </c>
      <c r="V148" s="198">
        <v>215</v>
      </c>
      <c r="W148" s="198">
        <v>215</v>
      </c>
      <c r="X148" s="198">
        <v>215</v>
      </c>
      <c r="Y148" s="198">
        <v>215</v>
      </c>
      <c r="Z148" s="198">
        <v>215</v>
      </c>
      <c r="AA148" s="198">
        <v>215</v>
      </c>
      <c r="AB148" s="198">
        <v>215</v>
      </c>
      <c r="AC148" s="198" t="s">
        <v>1045</v>
      </c>
      <c r="AD148" s="198" t="s">
        <v>1045</v>
      </c>
      <c r="AE148" s="198" t="s">
        <v>1045</v>
      </c>
      <c r="AF148" s="197">
        <f>SUM(Tabela96[[#This Row],[jan/26]:[dez/26]])</f>
        <v>1935</v>
      </c>
      <c r="AG148" s="198">
        <v>0</v>
      </c>
      <c r="AH148" s="198">
        <v>0</v>
      </c>
      <c r="AI148" s="198">
        <v>0</v>
      </c>
      <c r="AJ148" s="198">
        <v>0</v>
      </c>
      <c r="AK148" s="198">
        <f>SUM(Tabela96[[#This Row],[2026]:[2030]])</f>
        <v>1935</v>
      </c>
      <c r="AL148" s="198">
        <v>0</v>
      </c>
      <c r="AM148" s="198">
        <v>0</v>
      </c>
      <c r="AN148" s="198">
        <v>0</v>
      </c>
      <c r="AO148" s="198">
        <v>0</v>
      </c>
      <c r="AP148" s="198">
        <v>0</v>
      </c>
      <c r="AQ148" s="202">
        <f>SUM(Tabela96[[#This Row],[2026-2030]:[2035]])</f>
        <v>1935</v>
      </c>
      <c r="AS148" s="178" t="s">
        <v>1046</v>
      </c>
      <c r="AT148" s="201">
        <v>2024</v>
      </c>
      <c r="AU148" s="178" t="s">
        <v>1513</v>
      </c>
      <c r="AV148" s="223" t="s">
        <v>1450</v>
      </c>
      <c r="AW148" s="178" t="s">
        <v>517</v>
      </c>
      <c r="AZ148" s="178" t="s">
        <v>1144</v>
      </c>
    </row>
    <row r="149" spans="2:52" ht="24.75" customHeight="1" x14ac:dyDescent="0.35">
      <c r="B149" s="179" t="e" cm="1">
        <f t="array" ref="B149">AND(ISTEXT('Consolidado-Eletronorte'!#REF!),SUM('Consolidado-Eletronorte'!#REF!)&gt;0)</f>
        <v>#REF!</v>
      </c>
      <c r="C149" s="162" t="str">
        <f t="shared" ca="1" si="12"/>
        <v>Capex Orcamentário_PE2026_2030_red_35_porcentoR3_consulta.xlsx</v>
      </c>
      <c r="D149" s="163" t="str">
        <f t="shared" si="13"/>
        <v>COO</v>
      </c>
      <c r="E149" s="163" t="str">
        <f t="shared" si="14"/>
        <v>Lucas Martins</v>
      </c>
      <c r="F149" s="164"/>
      <c r="G149" s="164" t="e">
        <f>_xlfn.CONCAT('Consolidado-Eletronorte'!#REF!,"_",ROW('Consolidado-Eletronorte'!#REF!)-ROW('Consolidado-Eletronorte'!$G$18))</f>
        <v>#REF!</v>
      </c>
      <c r="H149" s="165" t="s">
        <v>506</v>
      </c>
      <c r="I149" s="165" t="s">
        <v>135</v>
      </c>
      <c r="J149" s="165" t="s">
        <v>508</v>
      </c>
      <c r="K149" s="165" t="s">
        <v>1039</v>
      </c>
      <c r="L149" s="165" t="s">
        <v>1040</v>
      </c>
      <c r="M149" s="178" t="s">
        <v>1514</v>
      </c>
      <c r="N149" s="165"/>
      <c r="O149" s="165"/>
      <c r="P149" s="165"/>
      <c r="Q149" s="178" t="s">
        <v>1515</v>
      </c>
      <c r="R149" s="178" t="s">
        <v>1376</v>
      </c>
      <c r="S149" s="178" t="s">
        <v>1448</v>
      </c>
      <c r="T149" s="198">
        <v>215</v>
      </c>
      <c r="U149" s="198">
        <v>215</v>
      </c>
      <c r="V149" s="198">
        <v>215</v>
      </c>
      <c r="W149" s="198">
        <v>215</v>
      </c>
      <c r="X149" s="198">
        <v>215</v>
      </c>
      <c r="Y149" s="198">
        <v>215</v>
      </c>
      <c r="Z149" s="198">
        <v>215</v>
      </c>
      <c r="AA149" s="198">
        <v>215</v>
      </c>
      <c r="AB149" s="198">
        <v>215</v>
      </c>
      <c r="AC149" s="198" t="s">
        <v>1045</v>
      </c>
      <c r="AD149" s="198" t="s">
        <v>1045</v>
      </c>
      <c r="AE149" s="198" t="s">
        <v>1045</v>
      </c>
      <c r="AF149" s="197">
        <f>SUM(Tabela96[[#This Row],[jan/26]:[dez/26]])</f>
        <v>1935</v>
      </c>
      <c r="AG149" s="198">
        <v>0</v>
      </c>
      <c r="AH149" s="198">
        <v>0</v>
      </c>
      <c r="AI149" s="198">
        <v>0</v>
      </c>
      <c r="AJ149" s="198">
        <v>0</v>
      </c>
      <c r="AK149" s="198">
        <f>SUM(Tabela96[[#This Row],[2026]:[2030]])</f>
        <v>1935</v>
      </c>
      <c r="AL149" s="198">
        <v>0</v>
      </c>
      <c r="AM149" s="198">
        <v>0</v>
      </c>
      <c r="AN149" s="198">
        <v>0</v>
      </c>
      <c r="AO149" s="198">
        <v>0</v>
      </c>
      <c r="AP149" s="198">
        <v>0</v>
      </c>
      <c r="AQ149" s="202">
        <f>SUM(Tabela96[[#This Row],[2026-2030]:[2035]])</f>
        <v>1935</v>
      </c>
      <c r="AS149" s="178" t="s">
        <v>1046</v>
      </c>
      <c r="AT149" s="201">
        <v>2024</v>
      </c>
      <c r="AU149" s="178" t="s">
        <v>1516</v>
      </c>
      <c r="AV149" s="223" t="s">
        <v>1450</v>
      </c>
      <c r="AW149" s="178" t="s">
        <v>517</v>
      </c>
      <c r="AZ149" s="178" t="s">
        <v>1144</v>
      </c>
    </row>
    <row r="150" spans="2:52" ht="24.75" customHeight="1" x14ac:dyDescent="0.35">
      <c r="B150" s="179" t="e" cm="1">
        <f t="array" ref="B150">AND(ISTEXT('Consolidado-Eletronorte'!#REF!),SUM('Consolidado-Eletronorte'!#REF!)&gt;0)</f>
        <v>#REF!</v>
      </c>
      <c r="C150" s="162" t="str">
        <f t="shared" ca="1" si="12"/>
        <v>Capex Orcamentário_PE2026_2030_red_35_porcentoR3_consulta.xlsx</v>
      </c>
      <c r="D150" s="163" t="str">
        <f t="shared" si="13"/>
        <v>COO</v>
      </c>
      <c r="E150" s="163" t="str">
        <f t="shared" si="14"/>
        <v>Lucas Martins</v>
      </c>
      <c r="F150" s="164"/>
      <c r="G150" s="164" t="e">
        <f>_xlfn.CONCAT('Consolidado-Eletronorte'!#REF!,"_",ROW('Consolidado-Eletronorte'!#REF!)-ROW('Consolidado-Eletronorte'!$G$18))</f>
        <v>#REF!</v>
      </c>
      <c r="H150" s="165" t="s">
        <v>506</v>
      </c>
      <c r="I150" s="165" t="s">
        <v>135</v>
      </c>
      <c r="J150" s="165" t="s">
        <v>508</v>
      </c>
      <c r="K150" s="165" t="s">
        <v>1039</v>
      </c>
      <c r="L150" s="165" t="s">
        <v>1040</v>
      </c>
      <c r="M150" s="178" t="s">
        <v>1517</v>
      </c>
      <c r="N150" s="165"/>
      <c r="O150" s="165"/>
      <c r="P150" s="165"/>
      <c r="Q150" s="178" t="s">
        <v>1518</v>
      </c>
      <c r="R150" s="178" t="s">
        <v>1376</v>
      </c>
      <c r="S150" s="178" t="s">
        <v>1448</v>
      </c>
      <c r="T150" s="198">
        <v>215</v>
      </c>
      <c r="U150" s="198">
        <v>215</v>
      </c>
      <c r="V150" s="198">
        <v>215</v>
      </c>
      <c r="W150" s="198">
        <v>215</v>
      </c>
      <c r="X150" s="198">
        <v>215</v>
      </c>
      <c r="Y150" s="198">
        <v>215</v>
      </c>
      <c r="Z150" s="198">
        <v>215</v>
      </c>
      <c r="AA150" s="198">
        <v>215</v>
      </c>
      <c r="AB150" s="198">
        <v>215</v>
      </c>
      <c r="AC150" s="198" t="s">
        <v>1045</v>
      </c>
      <c r="AD150" s="198" t="s">
        <v>1045</v>
      </c>
      <c r="AE150" s="198" t="s">
        <v>1045</v>
      </c>
      <c r="AF150" s="197">
        <f>SUM(Tabela96[[#This Row],[jan/26]:[dez/26]])</f>
        <v>1935</v>
      </c>
      <c r="AG150" s="198">
        <v>0</v>
      </c>
      <c r="AH150" s="198">
        <v>0</v>
      </c>
      <c r="AI150" s="198">
        <v>0</v>
      </c>
      <c r="AJ150" s="198">
        <v>0</v>
      </c>
      <c r="AK150" s="198">
        <f>SUM(Tabela96[[#This Row],[2026]:[2030]])</f>
        <v>1935</v>
      </c>
      <c r="AL150" s="198">
        <v>0</v>
      </c>
      <c r="AM150" s="198">
        <v>0</v>
      </c>
      <c r="AN150" s="198">
        <v>0</v>
      </c>
      <c r="AO150" s="198">
        <v>0</v>
      </c>
      <c r="AP150" s="198">
        <v>0</v>
      </c>
      <c r="AQ150" s="202">
        <f>SUM(Tabela96[[#This Row],[2026-2030]:[2035]])</f>
        <v>1935</v>
      </c>
      <c r="AS150" s="178" t="s">
        <v>1046</v>
      </c>
      <c r="AT150" s="201">
        <v>2024</v>
      </c>
      <c r="AU150" s="178" t="s">
        <v>1519</v>
      </c>
      <c r="AV150" s="223" t="s">
        <v>1450</v>
      </c>
      <c r="AW150" s="178" t="s">
        <v>517</v>
      </c>
      <c r="AZ150" s="178" t="s">
        <v>1144</v>
      </c>
    </row>
    <row r="151" spans="2:52" ht="24.75" customHeight="1" x14ac:dyDescent="0.35">
      <c r="B151" s="179" t="e" cm="1">
        <f t="array" ref="B151">AND(ISTEXT('Consolidado-Eletronorte'!#REF!),SUM('Consolidado-Eletronorte'!#REF!)&gt;0)</f>
        <v>#REF!</v>
      </c>
      <c r="C151" s="162" t="str">
        <f t="shared" ca="1" si="12"/>
        <v>Capex Orcamentário_PE2026_2030_red_35_porcentoR3_consulta.xlsx</v>
      </c>
      <c r="D151" s="163" t="str">
        <f t="shared" si="13"/>
        <v>COO</v>
      </c>
      <c r="E151" s="163" t="str">
        <f t="shared" si="14"/>
        <v>Lucas Martins</v>
      </c>
      <c r="F151" s="164"/>
      <c r="G151" s="164" t="e">
        <f>_xlfn.CONCAT('Consolidado-Eletronorte'!#REF!,"_",ROW('Consolidado-Eletronorte'!#REF!)-ROW('Consolidado-Eletronorte'!$G$18))</f>
        <v>#REF!</v>
      </c>
      <c r="H151" s="165" t="s">
        <v>506</v>
      </c>
      <c r="I151" s="165" t="s">
        <v>135</v>
      </c>
      <c r="J151" s="165" t="s">
        <v>508</v>
      </c>
      <c r="K151" s="165" t="s">
        <v>1039</v>
      </c>
      <c r="L151" s="165" t="s">
        <v>1040</v>
      </c>
      <c r="M151" s="178" t="s">
        <v>1520</v>
      </c>
      <c r="N151" s="165"/>
      <c r="O151" s="165"/>
      <c r="P151" s="165"/>
      <c r="Q151" s="178" t="s">
        <v>1521</v>
      </c>
      <c r="R151" s="178" t="s">
        <v>1376</v>
      </c>
      <c r="S151" s="178" t="s">
        <v>1522</v>
      </c>
      <c r="T151" s="198">
        <v>215</v>
      </c>
      <c r="U151" s="198">
        <v>215</v>
      </c>
      <c r="V151" s="198">
        <v>215</v>
      </c>
      <c r="W151" s="198">
        <v>215</v>
      </c>
      <c r="X151" s="198">
        <v>215</v>
      </c>
      <c r="Y151" s="198">
        <v>215</v>
      </c>
      <c r="Z151" s="198">
        <v>215</v>
      </c>
      <c r="AA151" s="198">
        <v>215</v>
      </c>
      <c r="AB151" s="198">
        <v>215</v>
      </c>
      <c r="AC151" s="198" t="s">
        <v>1045</v>
      </c>
      <c r="AD151" s="198" t="s">
        <v>1045</v>
      </c>
      <c r="AE151" s="198" t="s">
        <v>1045</v>
      </c>
      <c r="AF151" s="197">
        <f>SUM(Tabela96[[#This Row],[jan/26]:[dez/26]])</f>
        <v>1935</v>
      </c>
      <c r="AG151" s="198">
        <v>0</v>
      </c>
      <c r="AH151" s="198">
        <v>0</v>
      </c>
      <c r="AI151" s="198">
        <v>0</v>
      </c>
      <c r="AJ151" s="198">
        <v>0</v>
      </c>
      <c r="AK151" s="198">
        <f>SUM(Tabela96[[#This Row],[2026]:[2030]])</f>
        <v>1935</v>
      </c>
      <c r="AL151" s="198">
        <v>0</v>
      </c>
      <c r="AM151" s="198">
        <v>0</v>
      </c>
      <c r="AN151" s="198">
        <v>0</v>
      </c>
      <c r="AO151" s="198">
        <v>0</v>
      </c>
      <c r="AP151" s="198">
        <v>0</v>
      </c>
      <c r="AQ151" s="202">
        <f>SUM(Tabela96[[#This Row],[2026-2030]:[2035]])</f>
        <v>1935</v>
      </c>
      <c r="AS151" s="178" t="s">
        <v>1046</v>
      </c>
      <c r="AT151" s="201">
        <v>2024</v>
      </c>
      <c r="AU151" s="178" t="s">
        <v>1523</v>
      </c>
      <c r="AV151" s="112" t="s">
        <v>1524</v>
      </c>
      <c r="AW151" s="178" t="s">
        <v>517</v>
      </c>
      <c r="AZ151" s="178" t="s">
        <v>1144</v>
      </c>
    </row>
    <row r="152" spans="2:52" ht="24.75" customHeight="1" x14ac:dyDescent="0.35">
      <c r="B152" s="179" t="e" cm="1">
        <f t="array" ref="B152">AND(ISTEXT('Consolidado-Eletronorte'!#REF!),SUM('Consolidado-Eletronorte'!#REF!)&gt;0)</f>
        <v>#REF!</v>
      </c>
      <c r="C152" s="162" t="str">
        <f t="shared" ca="1" si="12"/>
        <v>Capex Orcamentário_PE2026_2030_red_35_porcentoR3_consulta.xlsx</v>
      </c>
      <c r="D152" s="163" t="str">
        <f t="shared" si="13"/>
        <v>COO</v>
      </c>
      <c r="E152" s="163" t="str">
        <f t="shared" si="14"/>
        <v>Lucas Martins</v>
      </c>
      <c r="F152" s="164"/>
      <c r="G152" s="164" t="e">
        <f>_xlfn.CONCAT('Consolidado-Eletronorte'!#REF!,"_",ROW('Consolidado-Eletronorte'!#REF!)-ROW('Consolidado-Eletronorte'!$G$18))</f>
        <v>#REF!</v>
      </c>
      <c r="H152" s="165" t="s">
        <v>506</v>
      </c>
      <c r="I152" s="165" t="s">
        <v>135</v>
      </c>
      <c r="J152" s="165" t="s">
        <v>508</v>
      </c>
      <c r="K152" s="165" t="s">
        <v>1039</v>
      </c>
      <c r="L152" s="165" t="s">
        <v>1040</v>
      </c>
      <c r="M152" s="178" t="s">
        <v>1525</v>
      </c>
      <c r="N152" s="165"/>
      <c r="O152" s="165"/>
      <c r="P152" s="165"/>
      <c r="Q152" s="178" t="s">
        <v>1526</v>
      </c>
      <c r="R152" s="178" t="s">
        <v>1376</v>
      </c>
      <c r="S152" s="178" t="s">
        <v>1522</v>
      </c>
      <c r="T152" s="198">
        <v>215</v>
      </c>
      <c r="U152" s="198">
        <v>215</v>
      </c>
      <c r="V152" s="198">
        <v>215</v>
      </c>
      <c r="W152" s="198">
        <v>215</v>
      </c>
      <c r="X152" s="198">
        <v>215</v>
      </c>
      <c r="Y152" s="198">
        <v>215</v>
      </c>
      <c r="Z152" s="198">
        <v>215</v>
      </c>
      <c r="AA152" s="198">
        <v>215</v>
      </c>
      <c r="AB152" s="198">
        <v>215</v>
      </c>
      <c r="AC152" s="198" t="s">
        <v>1045</v>
      </c>
      <c r="AD152" s="198" t="s">
        <v>1045</v>
      </c>
      <c r="AE152" s="198" t="s">
        <v>1045</v>
      </c>
      <c r="AF152" s="197">
        <f>SUM(Tabela96[[#This Row],[jan/26]:[dez/26]])</f>
        <v>1935</v>
      </c>
      <c r="AG152" s="198">
        <v>0</v>
      </c>
      <c r="AH152" s="198">
        <v>0</v>
      </c>
      <c r="AI152" s="198">
        <v>0</v>
      </c>
      <c r="AJ152" s="198">
        <v>0</v>
      </c>
      <c r="AK152" s="198">
        <f>SUM(Tabela96[[#This Row],[2026]:[2030]])</f>
        <v>1935</v>
      </c>
      <c r="AL152" s="198">
        <v>0</v>
      </c>
      <c r="AM152" s="198">
        <v>0</v>
      </c>
      <c r="AN152" s="198">
        <v>0</v>
      </c>
      <c r="AO152" s="198">
        <v>0</v>
      </c>
      <c r="AP152" s="198">
        <v>0</v>
      </c>
      <c r="AQ152" s="202">
        <f>SUM(Tabela96[[#This Row],[2026-2030]:[2035]])</f>
        <v>1935</v>
      </c>
      <c r="AS152" s="178" t="s">
        <v>1046</v>
      </c>
      <c r="AT152" s="201">
        <v>2024</v>
      </c>
      <c r="AU152" s="178" t="s">
        <v>1527</v>
      </c>
      <c r="AV152" s="112" t="s">
        <v>1524</v>
      </c>
      <c r="AW152" s="178" t="s">
        <v>517</v>
      </c>
      <c r="AZ152" s="178" t="s">
        <v>1144</v>
      </c>
    </row>
    <row r="153" spans="2:52" ht="24.75" customHeight="1" x14ac:dyDescent="0.35">
      <c r="B153" s="179" t="e" cm="1">
        <f t="array" ref="B153">AND(ISTEXT('Consolidado-Eletronorte'!#REF!),SUM('Consolidado-Eletronorte'!#REF!)&gt;0)</f>
        <v>#REF!</v>
      </c>
      <c r="C153" s="162" t="str">
        <f t="shared" ca="1" si="12"/>
        <v>Capex Orcamentário_PE2026_2030_red_35_porcentoR3_consulta.xlsx</v>
      </c>
      <c r="D153" s="163" t="str">
        <f t="shared" si="13"/>
        <v>COO</v>
      </c>
      <c r="E153" s="163" t="str">
        <f t="shared" si="14"/>
        <v>Lucas Martins</v>
      </c>
      <c r="F153" s="164"/>
      <c r="G153" s="164" t="e">
        <f>_xlfn.CONCAT('Consolidado-Eletronorte'!#REF!,"_",ROW('Consolidado-Eletronorte'!#REF!)-ROW('Consolidado-Eletronorte'!$G$18))</f>
        <v>#REF!</v>
      </c>
      <c r="H153" s="165" t="s">
        <v>506</v>
      </c>
      <c r="I153" s="165" t="s">
        <v>135</v>
      </c>
      <c r="J153" s="165" t="s">
        <v>508</v>
      </c>
      <c r="K153" s="165" t="s">
        <v>1039</v>
      </c>
      <c r="L153" s="165" t="s">
        <v>1040</v>
      </c>
      <c r="M153" s="178" t="s">
        <v>1528</v>
      </c>
      <c r="N153" s="165"/>
      <c r="O153" s="165"/>
      <c r="P153" s="165"/>
      <c r="Q153" s="178" t="s">
        <v>1529</v>
      </c>
      <c r="R153" s="178" t="s">
        <v>1376</v>
      </c>
      <c r="S153" s="178" t="s">
        <v>1522</v>
      </c>
      <c r="T153" s="198">
        <v>215</v>
      </c>
      <c r="U153" s="198">
        <v>215</v>
      </c>
      <c r="V153" s="198">
        <v>215</v>
      </c>
      <c r="W153" s="198">
        <v>215</v>
      </c>
      <c r="X153" s="198">
        <v>215</v>
      </c>
      <c r="Y153" s="198">
        <v>215</v>
      </c>
      <c r="Z153" s="198">
        <v>215</v>
      </c>
      <c r="AA153" s="198">
        <v>215</v>
      </c>
      <c r="AB153" s="198">
        <v>215</v>
      </c>
      <c r="AC153" s="198" t="s">
        <v>1045</v>
      </c>
      <c r="AD153" s="198" t="s">
        <v>1045</v>
      </c>
      <c r="AE153" s="198" t="s">
        <v>1045</v>
      </c>
      <c r="AF153" s="197">
        <f>SUM(Tabela96[[#This Row],[jan/26]:[dez/26]])</f>
        <v>1935</v>
      </c>
      <c r="AG153" s="198">
        <v>0</v>
      </c>
      <c r="AH153" s="198">
        <v>0</v>
      </c>
      <c r="AI153" s="198">
        <v>0</v>
      </c>
      <c r="AJ153" s="198">
        <v>0</v>
      </c>
      <c r="AK153" s="198">
        <f>SUM(Tabela96[[#This Row],[2026]:[2030]])</f>
        <v>1935</v>
      </c>
      <c r="AL153" s="198">
        <v>0</v>
      </c>
      <c r="AM153" s="198">
        <v>0</v>
      </c>
      <c r="AN153" s="198">
        <v>0</v>
      </c>
      <c r="AO153" s="198">
        <v>0</v>
      </c>
      <c r="AP153" s="198">
        <v>0</v>
      </c>
      <c r="AQ153" s="202">
        <f>SUM(Tabela96[[#This Row],[2026-2030]:[2035]])</f>
        <v>1935</v>
      </c>
      <c r="AS153" s="178" t="s">
        <v>1046</v>
      </c>
      <c r="AT153" s="201">
        <v>2024</v>
      </c>
      <c r="AU153" s="178" t="s">
        <v>1530</v>
      </c>
      <c r="AV153" s="112" t="s">
        <v>1524</v>
      </c>
      <c r="AW153" s="178" t="s">
        <v>517</v>
      </c>
      <c r="AZ153" s="178" t="s">
        <v>1144</v>
      </c>
    </row>
    <row r="154" spans="2:52" ht="24.75" customHeight="1" x14ac:dyDescent="0.35">
      <c r="B154" s="179" t="e" cm="1">
        <f t="array" ref="B154">AND(ISTEXT('Consolidado-Eletronorte'!#REF!),SUM('Consolidado-Eletronorte'!#REF!)&gt;0)</f>
        <v>#REF!</v>
      </c>
      <c r="C154" s="162" t="str">
        <f t="shared" ca="1" si="12"/>
        <v>Capex Orcamentário_PE2026_2030_red_35_porcentoR3_consulta.xlsx</v>
      </c>
      <c r="D154" s="163" t="str">
        <f t="shared" si="13"/>
        <v>COO</v>
      </c>
      <c r="E154" s="163" t="str">
        <f t="shared" si="14"/>
        <v>Lucas Martins</v>
      </c>
      <c r="F154" s="164"/>
      <c r="G154" s="164" t="e">
        <f>_xlfn.CONCAT('Consolidado-Eletronorte'!#REF!,"_",ROW('Consolidado-Eletronorte'!#REF!)-ROW('Consolidado-Eletronorte'!$G$18))</f>
        <v>#REF!</v>
      </c>
      <c r="H154" s="165" t="s">
        <v>506</v>
      </c>
      <c r="I154" s="165" t="s">
        <v>135</v>
      </c>
      <c r="J154" s="165" t="s">
        <v>508</v>
      </c>
      <c r="K154" s="165" t="s">
        <v>1039</v>
      </c>
      <c r="L154" s="165" t="s">
        <v>1040</v>
      </c>
      <c r="M154" s="178" t="s">
        <v>1531</v>
      </c>
      <c r="N154" s="165"/>
      <c r="O154" s="165"/>
      <c r="P154" s="165"/>
      <c r="Q154" s="178" t="s">
        <v>1532</v>
      </c>
      <c r="R154" s="178" t="s">
        <v>1376</v>
      </c>
      <c r="S154" s="178" t="s">
        <v>1522</v>
      </c>
      <c r="T154" s="198">
        <v>215</v>
      </c>
      <c r="U154" s="198">
        <v>215</v>
      </c>
      <c r="V154" s="198">
        <v>215</v>
      </c>
      <c r="W154" s="198">
        <v>215</v>
      </c>
      <c r="X154" s="198">
        <v>215</v>
      </c>
      <c r="Y154" s="198">
        <v>215</v>
      </c>
      <c r="Z154" s="198">
        <v>215</v>
      </c>
      <c r="AA154" s="198">
        <v>215</v>
      </c>
      <c r="AB154" s="198">
        <v>215</v>
      </c>
      <c r="AC154" s="198" t="s">
        <v>1045</v>
      </c>
      <c r="AD154" s="198" t="s">
        <v>1045</v>
      </c>
      <c r="AE154" s="198" t="s">
        <v>1045</v>
      </c>
      <c r="AF154" s="197">
        <f>SUM(Tabela96[[#This Row],[jan/26]:[dez/26]])</f>
        <v>1935</v>
      </c>
      <c r="AG154" s="198">
        <v>0</v>
      </c>
      <c r="AH154" s="198">
        <v>0</v>
      </c>
      <c r="AI154" s="198">
        <v>0</v>
      </c>
      <c r="AJ154" s="198">
        <v>0</v>
      </c>
      <c r="AK154" s="198">
        <f>SUM(Tabela96[[#This Row],[2026]:[2030]])</f>
        <v>1935</v>
      </c>
      <c r="AL154" s="198">
        <v>0</v>
      </c>
      <c r="AM154" s="198">
        <v>0</v>
      </c>
      <c r="AN154" s="198">
        <v>0</v>
      </c>
      <c r="AO154" s="198">
        <v>0</v>
      </c>
      <c r="AP154" s="198">
        <v>0</v>
      </c>
      <c r="AQ154" s="202">
        <f>SUM(Tabela96[[#This Row],[2026-2030]:[2035]])</f>
        <v>1935</v>
      </c>
      <c r="AS154" s="178" t="s">
        <v>1046</v>
      </c>
      <c r="AT154" s="201">
        <v>2024</v>
      </c>
      <c r="AU154" s="178" t="s">
        <v>1533</v>
      </c>
      <c r="AV154" s="112" t="s">
        <v>1524</v>
      </c>
      <c r="AW154" s="178" t="s">
        <v>517</v>
      </c>
      <c r="AZ154" s="178" t="s">
        <v>1144</v>
      </c>
    </row>
    <row r="155" spans="2:52" ht="24.75" customHeight="1" x14ac:dyDescent="0.35">
      <c r="B155" s="179" t="e" cm="1">
        <f t="array" ref="B155">AND(ISTEXT('Consolidado-Eletronorte'!#REF!),SUM('Consolidado-Eletronorte'!#REF!)&gt;0)</f>
        <v>#REF!</v>
      </c>
      <c r="C155" s="162" t="str">
        <f t="shared" ca="1" si="12"/>
        <v>Capex Orcamentário_PE2026_2030_red_35_porcentoR3_consulta.xlsx</v>
      </c>
      <c r="D155" s="163" t="str">
        <f t="shared" si="13"/>
        <v>COO</v>
      </c>
      <c r="E155" s="163" t="str">
        <f t="shared" si="14"/>
        <v>Lucas Martins</v>
      </c>
      <c r="F155" s="164"/>
      <c r="G155" s="164" t="e">
        <f>_xlfn.CONCAT('Consolidado-Eletronorte'!#REF!,"_",ROW('Consolidado-Eletronorte'!#REF!)-ROW('Consolidado-Eletronorte'!$G$18))</f>
        <v>#REF!</v>
      </c>
      <c r="H155" s="165" t="s">
        <v>506</v>
      </c>
      <c r="I155" s="165" t="s">
        <v>135</v>
      </c>
      <c r="J155" s="165" t="s">
        <v>508</v>
      </c>
      <c r="K155" s="165" t="s">
        <v>1039</v>
      </c>
      <c r="L155" s="165" t="s">
        <v>1040</v>
      </c>
      <c r="M155" s="178" t="s">
        <v>1534</v>
      </c>
      <c r="N155" s="165"/>
      <c r="O155" s="165"/>
      <c r="P155" s="165"/>
      <c r="Q155" s="178" t="s">
        <v>1535</v>
      </c>
      <c r="R155" s="178" t="s">
        <v>1376</v>
      </c>
      <c r="S155" s="178" t="s">
        <v>1522</v>
      </c>
      <c r="T155" s="198">
        <v>215</v>
      </c>
      <c r="U155" s="198">
        <v>215</v>
      </c>
      <c r="V155" s="198">
        <v>215</v>
      </c>
      <c r="W155" s="198">
        <v>215</v>
      </c>
      <c r="X155" s="198">
        <v>215</v>
      </c>
      <c r="Y155" s="198">
        <v>215</v>
      </c>
      <c r="Z155" s="198">
        <v>215</v>
      </c>
      <c r="AA155" s="198">
        <v>215</v>
      </c>
      <c r="AB155" s="198">
        <v>215</v>
      </c>
      <c r="AC155" s="198" t="s">
        <v>1045</v>
      </c>
      <c r="AD155" s="198" t="s">
        <v>1045</v>
      </c>
      <c r="AE155" s="198" t="s">
        <v>1045</v>
      </c>
      <c r="AF155" s="197">
        <f>SUM(Tabela96[[#This Row],[jan/26]:[dez/26]])</f>
        <v>1935</v>
      </c>
      <c r="AG155" s="198">
        <v>0</v>
      </c>
      <c r="AH155" s="198">
        <v>0</v>
      </c>
      <c r="AI155" s="198">
        <v>0</v>
      </c>
      <c r="AJ155" s="198">
        <v>0</v>
      </c>
      <c r="AK155" s="198">
        <f>SUM(Tabela96[[#This Row],[2026]:[2030]])</f>
        <v>1935</v>
      </c>
      <c r="AL155" s="198">
        <v>0</v>
      </c>
      <c r="AM155" s="198">
        <v>0</v>
      </c>
      <c r="AN155" s="198">
        <v>0</v>
      </c>
      <c r="AO155" s="198">
        <v>0</v>
      </c>
      <c r="AP155" s="198">
        <v>0</v>
      </c>
      <c r="AQ155" s="202">
        <f>SUM(Tabela96[[#This Row],[2026-2030]:[2035]])</f>
        <v>1935</v>
      </c>
      <c r="AS155" s="178" t="s">
        <v>1046</v>
      </c>
      <c r="AT155" s="201">
        <v>2024</v>
      </c>
      <c r="AU155" s="178" t="s">
        <v>1536</v>
      </c>
      <c r="AV155" s="112" t="s">
        <v>1524</v>
      </c>
      <c r="AW155" s="178" t="s">
        <v>517</v>
      </c>
      <c r="AZ155" s="178" t="s">
        <v>1144</v>
      </c>
    </row>
    <row r="156" spans="2:52" ht="24.75" customHeight="1" x14ac:dyDescent="0.35">
      <c r="B156" s="179" t="e" cm="1">
        <f t="array" ref="B156">AND(ISTEXT('Consolidado-Eletronorte'!#REF!),SUM('Consolidado-Eletronorte'!#REF!)&gt;0)</f>
        <v>#REF!</v>
      </c>
      <c r="C156" s="162" t="str">
        <f t="shared" ca="1" si="12"/>
        <v>Capex Orcamentário_PE2026_2030_red_35_porcentoR3_consulta.xlsx</v>
      </c>
      <c r="D156" s="163" t="str">
        <f t="shared" si="13"/>
        <v>COO</v>
      </c>
      <c r="E156" s="163" t="str">
        <f t="shared" si="14"/>
        <v>Lucas Martins</v>
      </c>
      <c r="F156" s="164"/>
      <c r="G156" s="164" t="e">
        <f>_xlfn.CONCAT('Consolidado-Eletronorte'!#REF!,"_",ROW('Consolidado-Eletronorte'!#REF!)-ROW('Consolidado-Eletronorte'!$G$18))</f>
        <v>#REF!</v>
      </c>
      <c r="H156" s="165" t="s">
        <v>506</v>
      </c>
      <c r="I156" s="165" t="s">
        <v>135</v>
      </c>
      <c r="J156" s="165" t="s">
        <v>508</v>
      </c>
      <c r="K156" s="165" t="s">
        <v>1039</v>
      </c>
      <c r="L156" s="165" t="s">
        <v>1040</v>
      </c>
      <c r="M156" s="178" t="s">
        <v>1537</v>
      </c>
      <c r="N156" s="165"/>
      <c r="O156" s="165"/>
      <c r="P156" s="165"/>
      <c r="Q156" s="178" t="s">
        <v>1538</v>
      </c>
      <c r="R156" s="178" t="s">
        <v>1376</v>
      </c>
      <c r="S156" s="178" t="s">
        <v>1522</v>
      </c>
      <c r="T156" s="198">
        <v>215</v>
      </c>
      <c r="U156" s="198">
        <v>215</v>
      </c>
      <c r="V156" s="198">
        <v>215</v>
      </c>
      <c r="W156" s="198">
        <v>215</v>
      </c>
      <c r="X156" s="198">
        <v>215</v>
      </c>
      <c r="Y156" s="198">
        <v>215</v>
      </c>
      <c r="Z156" s="198">
        <v>215</v>
      </c>
      <c r="AA156" s="198">
        <v>215</v>
      </c>
      <c r="AB156" s="198">
        <v>215</v>
      </c>
      <c r="AC156" s="198" t="s">
        <v>1045</v>
      </c>
      <c r="AD156" s="198" t="s">
        <v>1045</v>
      </c>
      <c r="AE156" s="198" t="s">
        <v>1045</v>
      </c>
      <c r="AF156" s="197">
        <f>SUM(Tabela96[[#This Row],[jan/26]:[dez/26]])</f>
        <v>1935</v>
      </c>
      <c r="AG156" s="198">
        <v>0</v>
      </c>
      <c r="AH156" s="198">
        <v>0</v>
      </c>
      <c r="AI156" s="198">
        <v>0</v>
      </c>
      <c r="AJ156" s="198">
        <v>0</v>
      </c>
      <c r="AK156" s="198">
        <f>SUM(Tabela96[[#This Row],[2026]:[2030]])</f>
        <v>1935</v>
      </c>
      <c r="AL156" s="198">
        <v>0</v>
      </c>
      <c r="AM156" s="198">
        <v>0</v>
      </c>
      <c r="AN156" s="198">
        <v>0</v>
      </c>
      <c r="AO156" s="198">
        <v>0</v>
      </c>
      <c r="AP156" s="198">
        <v>0</v>
      </c>
      <c r="AQ156" s="202">
        <f>SUM(Tabela96[[#This Row],[2026-2030]:[2035]])</f>
        <v>1935</v>
      </c>
      <c r="AS156" s="178" t="s">
        <v>1046</v>
      </c>
      <c r="AT156" s="201">
        <v>2024</v>
      </c>
      <c r="AU156" s="178" t="s">
        <v>1539</v>
      </c>
      <c r="AV156" s="112" t="s">
        <v>1524</v>
      </c>
      <c r="AW156" s="178" t="s">
        <v>517</v>
      </c>
      <c r="AZ156" s="178" t="s">
        <v>1144</v>
      </c>
    </row>
    <row r="157" spans="2:52" ht="24.75" customHeight="1" x14ac:dyDescent="0.35">
      <c r="B157" s="179" t="e" cm="1">
        <f t="array" ref="B157">AND(ISTEXT('Consolidado-Eletronorte'!#REF!),SUM('Consolidado-Eletronorte'!#REF!)&gt;0)</f>
        <v>#REF!</v>
      </c>
      <c r="C157" s="162" t="str">
        <f t="shared" ca="1" si="12"/>
        <v>Capex Orcamentário_PE2026_2030_red_35_porcentoR3_consulta.xlsx</v>
      </c>
      <c r="D157" s="163" t="str">
        <f t="shared" si="13"/>
        <v>COO</v>
      </c>
      <c r="E157" s="163" t="str">
        <f t="shared" si="14"/>
        <v>Lucas Martins</v>
      </c>
      <c r="F157" s="164"/>
      <c r="G157" s="164" t="e">
        <f>_xlfn.CONCAT('Consolidado-Eletronorte'!#REF!,"_",ROW('Consolidado-Eletronorte'!#REF!)-ROW('Consolidado-Eletronorte'!$G$18))</f>
        <v>#REF!</v>
      </c>
      <c r="H157" s="165" t="s">
        <v>506</v>
      </c>
      <c r="I157" s="165" t="s">
        <v>135</v>
      </c>
      <c r="J157" s="165" t="s">
        <v>508</v>
      </c>
      <c r="K157" s="165" t="s">
        <v>1039</v>
      </c>
      <c r="L157" s="165" t="s">
        <v>1040</v>
      </c>
      <c r="M157" s="178" t="s">
        <v>1540</v>
      </c>
      <c r="N157" s="165"/>
      <c r="O157" s="165"/>
      <c r="P157" s="165"/>
      <c r="Q157" s="178" t="s">
        <v>1541</v>
      </c>
      <c r="R157" s="178" t="s">
        <v>1376</v>
      </c>
      <c r="S157" s="178" t="s">
        <v>1522</v>
      </c>
      <c r="T157" s="198">
        <v>215</v>
      </c>
      <c r="U157" s="198">
        <v>215</v>
      </c>
      <c r="V157" s="198">
        <v>215</v>
      </c>
      <c r="W157" s="198">
        <v>215</v>
      </c>
      <c r="X157" s="198">
        <v>215</v>
      </c>
      <c r="Y157" s="198">
        <v>215</v>
      </c>
      <c r="Z157" s="198">
        <v>215</v>
      </c>
      <c r="AA157" s="198">
        <v>215</v>
      </c>
      <c r="AB157" s="198">
        <v>215</v>
      </c>
      <c r="AC157" s="198" t="s">
        <v>1045</v>
      </c>
      <c r="AD157" s="198" t="s">
        <v>1045</v>
      </c>
      <c r="AE157" s="198" t="s">
        <v>1045</v>
      </c>
      <c r="AF157" s="197">
        <f>SUM(Tabela96[[#This Row],[jan/26]:[dez/26]])</f>
        <v>1935</v>
      </c>
      <c r="AG157" s="198">
        <v>0</v>
      </c>
      <c r="AH157" s="198">
        <v>0</v>
      </c>
      <c r="AI157" s="198">
        <v>0</v>
      </c>
      <c r="AJ157" s="198">
        <v>0</v>
      </c>
      <c r="AK157" s="198">
        <f>SUM(Tabela96[[#This Row],[2026]:[2030]])</f>
        <v>1935</v>
      </c>
      <c r="AL157" s="198">
        <v>0</v>
      </c>
      <c r="AM157" s="198">
        <v>0</v>
      </c>
      <c r="AN157" s="198">
        <v>0</v>
      </c>
      <c r="AO157" s="198">
        <v>0</v>
      </c>
      <c r="AP157" s="198">
        <v>0</v>
      </c>
      <c r="AQ157" s="202">
        <f>SUM(Tabela96[[#This Row],[2026-2030]:[2035]])</f>
        <v>1935</v>
      </c>
      <c r="AS157" s="178" t="s">
        <v>1046</v>
      </c>
      <c r="AT157" s="201">
        <v>2024</v>
      </c>
      <c r="AU157" s="178" t="s">
        <v>1542</v>
      </c>
      <c r="AV157" s="112" t="s">
        <v>1524</v>
      </c>
      <c r="AW157" s="178" t="s">
        <v>517</v>
      </c>
      <c r="AZ157" s="178" t="s">
        <v>1144</v>
      </c>
    </row>
    <row r="158" spans="2:52" ht="24.75" customHeight="1" x14ac:dyDescent="0.35">
      <c r="B158" s="179" t="e" cm="1">
        <f t="array" ref="B158">AND(ISTEXT('Consolidado-Eletronorte'!#REF!),SUM('Consolidado-Eletronorte'!#REF!)&gt;0)</f>
        <v>#REF!</v>
      </c>
      <c r="C158" s="162" t="str">
        <f t="shared" ca="1" si="12"/>
        <v>Capex Orcamentário_PE2026_2030_red_35_porcentoR3_consulta.xlsx</v>
      </c>
      <c r="D158" s="163" t="str">
        <f t="shared" si="13"/>
        <v>COO</v>
      </c>
      <c r="E158" s="163" t="str">
        <f t="shared" si="14"/>
        <v>Lucas Martins</v>
      </c>
      <c r="F158" s="164"/>
      <c r="G158" s="164" t="e">
        <f>_xlfn.CONCAT('Consolidado-Eletronorte'!#REF!,"_",ROW('Consolidado-Eletronorte'!#REF!)-ROW('Consolidado-Eletronorte'!$G$18))</f>
        <v>#REF!</v>
      </c>
      <c r="H158" s="165" t="s">
        <v>506</v>
      </c>
      <c r="I158" s="165" t="s">
        <v>135</v>
      </c>
      <c r="J158" s="165" t="s">
        <v>508</v>
      </c>
      <c r="K158" s="165" t="s">
        <v>1039</v>
      </c>
      <c r="L158" s="165" t="s">
        <v>1040</v>
      </c>
      <c r="M158" s="178" t="s">
        <v>1543</v>
      </c>
      <c r="N158" s="165"/>
      <c r="O158" s="165"/>
      <c r="P158" s="165"/>
      <c r="Q158" s="178" t="s">
        <v>1544</v>
      </c>
      <c r="R158" s="178" t="s">
        <v>1376</v>
      </c>
      <c r="S158" s="178" t="s">
        <v>1522</v>
      </c>
      <c r="T158" s="198">
        <v>215</v>
      </c>
      <c r="U158" s="198">
        <v>215</v>
      </c>
      <c r="V158" s="198">
        <v>215</v>
      </c>
      <c r="W158" s="198">
        <v>215</v>
      </c>
      <c r="X158" s="198">
        <v>215</v>
      </c>
      <c r="Y158" s="198">
        <v>215</v>
      </c>
      <c r="Z158" s="198">
        <v>215</v>
      </c>
      <c r="AA158" s="198">
        <v>215</v>
      </c>
      <c r="AB158" s="198">
        <v>215</v>
      </c>
      <c r="AC158" s="198" t="s">
        <v>1045</v>
      </c>
      <c r="AD158" s="198" t="s">
        <v>1045</v>
      </c>
      <c r="AE158" s="198" t="s">
        <v>1045</v>
      </c>
      <c r="AF158" s="197">
        <f>SUM(Tabela96[[#This Row],[jan/26]:[dez/26]])</f>
        <v>1935</v>
      </c>
      <c r="AG158" s="198">
        <v>0</v>
      </c>
      <c r="AH158" s="198">
        <v>0</v>
      </c>
      <c r="AI158" s="198">
        <v>0</v>
      </c>
      <c r="AJ158" s="198">
        <v>0</v>
      </c>
      <c r="AK158" s="198">
        <f>SUM(Tabela96[[#This Row],[2026]:[2030]])</f>
        <v>1935</v>
      </c>
      <c r="AL158" s="198">
        <v>0</v>
      </c>
      <c r="AM158" s="198">
        <v>0</v>
      </c>
      <c r="AN158" s="198">
        <v>0</v>
      </c>
      <c r="AO158" s="198">
        <v>0</v>
      </c>
      <c r="AP158" s="198">
        <v>0</v>
      </c>
      <c r="AQ158" s="202">
        <f>SUM(Tabela96[[#This Row],[2026-2030]:[2035]])</f>
        <v>1935</v>
      </c>
      <c r="AS158" s="178" t="s">
        <v>1046</v>
      </c>
      <c r="AT158" s="201">
        <v>2024</v>
      </c>
      <c r="AU158" s="178" t="s">
        <v>1545</v>
      </c>
      <c r="AV158" s="112" t="s">
        <v>1524</v>
      </c>
      <c r="AW158" s="178" t="s">
        <v>517</v>
      </c>
      <c r="AZ158" s="178" t="s">
        <v>1144</v>
      </c>
    </row>
    <row r="159" spans="2:52" ht="24.75" customHeight="1" x14ac:dyDescent="0.35">
      <c r="B159" s="179" t="e" cm="1">
        <f t="array" ref="B159">AND(ISTEXT('Consolidado-Eletronorte'!#REF!),SUM('Consolidado-Eletronorte'!#REF!)&gt;0)</f>
        <v>#REF!</v>
      </c>
      <c r="C159" s="162" t="str">
        <f t="shared" ca="1" si="12"/>
        <v>Capex Orcamentário_PE2026_2030_red_35_porcentoR3_consulta.xlsx</v>
      </c>
      <c r="D159" s="163" t="str">
        <f t="shared" si="13"/>
        <v>COO</v>
      </c>
      <c r="E159" s="163" t="str">
        <f t="shared" si="14"/>
        <v>Lucas Martins</v>
      </c>
      <c r="F159" s="164"/>
      <c r="G159" s="164" t="e">
        <f>_xlfn.CONCAT('Consolidado-Eletronorte'!#REF!,"_",ROW('Consolidado-Eletronorte'!#REF!)-ROW('Consolidado-Eletronorte'!$G$18))</f>
        <v>#REF!</v>
      </c>
      <c r="H159" s="165" t="s">
        <v>506</v>
      </c>
      <c r="I159" s="165" t="s">
        <v>135</v>
      </c>
      <c r="J159" s="165" t="s">
        <v>508</v>
      </c>
      <c r="K159" s="165" t="s">
        <v>1039</v>
      </c>
      <c r="L159" s="165" t="s">
        <v>1040</v>
      </c>
      <c r="M159" s="178" t="s">
        <v>1546</v>
      </c>
      <c r="N159" s="165"/>
      <c r="O159" s="165"/>
      <c r="P159" s="165"/>
      <c r="Q159" s="178" t="s">
        <v>1547</v>
      </c>
      <c r="R159" s="178" t="s">
        <v>1376</v>
      </c>
      <c r="S159" s="178" t="s">
        <v>1522</v>
      </c>
      <c r="T159" s="198">
        <v>215</v>
      </c>
      <c r="U159" s="198">
        <v>215</v>
      </c>
      <c r="V159" s="198">
        <v>215</v>
      </c>
      <c r="W159" s="198">
        <v>215</v>
      </c>
      <c r="X159" s="198">
        <v>215</v>
      </c>
      <c r="Y159" s="198">
        <v>215</v>
      </c>
      <c r="Z159" s="198">
        <v>215</v>
      </c>
      <c r="AA159" s="198">
        <v>215</v>
      </c>
      <c r="AB159" s="198">
        <v>215</v>
      </c>
      <c r="AC159" s="198" t="s">
        <v>1045</v>
      </c>
      <c r="AD159" s="198" t="s">
        <v>1045</v>
      </c>
      <c r="AE159" s="198" t="s">
        <v>1045</v>
      </c>
      <c r="AF159" s="197">
        <f>SUM(Tabela96[[#This Row],[jan/26]:[dez/26]])</f>
        <v>1935</v>
      </c>
      <c r="AG159" s="198">
        <v>0</v>
      </c>
      <c r="AH159" s="198">
        <v>0</v>
      </c>
      <c r="AI159" s="198">
        <v>0</v>
      </c>
      <c r="AJ159" s="198">
        <v>0</v>
      </c>
      <c r="AK159" s="198">
        <f>SUM(Tabela96[[#This Row],[2026]:[2030]])</f>
        <v>1935</v>
      </c>
      <c r="AL159" s="198">
        <v>0</v>
      </c>
      <c r="AM159" s="198">
        <v>0</v>
      </c>
      <c r="AN159" s="198">
        <v>0</v>
      </c>
      <c r="AO159" s="198">
        <v>0</v>
      </c>
      <c r="AP159" s="198">
        <v>0</v>
      </c>
      <c r="AQ159" s="202">
        <f>SUM(Tabela96[[#This Row],[2026-2030]:[2035]])</f>
        <v>1935</v>
      </c>
      <c r="AS159" s="178" t="s">
        <v>1046</v>
      </c>
      <c r="AT159" s="201">
        <v>2024</v>
      </c>
      <c r="AU159" s="178" t="s">
        <v>1548</v>
      </c>
      <c r="AV159" s="112" t="s">
        <v>1524</v>
      </c>
      <c r="AW159" s="178" t="s">
        <v>517</v>
      </c>
      <c r="AZ159" s="178" t="s">
        <v>1144</v>
      </c>
    </row>
    <row r="160" spans="2:52" ht="24.75" customHeight="1" x14ac:dyDescent="0.35">
      <c r="B160" s="179" t="e" cm="1">
        <f t="array" ref="B160">AND(ISTEXT('Consolidado-Eletronorte'!#REF!),SUM('Consolidado-Eletronorte'!#REF!)&gt;0)</f>
        <v>#REF!</v>
      </c>
      <c r="C160" s="162" t="str">
        <f t="shared" ca="1" si="12"/>
        <v>Capex Orcamentário_PE2026_2030_red_35_porcentoR3_consulta.xlsx</v>
      </c>
      <c r="D160" s="163" t="str">
        <f t="shared" si="13"/>
        <v>COO</v>
      </c>
      <c r="E160" s="163" t="str">
        <f t="shared" si="14"/>
        <v>Lucas Martins</v>
      </c>
      <c r="F160" s="164"/>
      <c r="G160" s="164" t="e">
        <f>_xlfn.CONCAT('Consolidado-Eletronorte'!#REF!,"_",ROW('Consolidado-Eletronorte'!#REF!)-ROW('Consolidado-Eletronorte'!$G$18))</f>
        <v>#REF!</v>
      </c>
      <c r="H160" s="165" t="s">
        <v>506</v>
      </c>
      <c r="I160" s="165" t="s">
        <v>135</v>
      </c>
      <c r="J160" s="165" t="s">
        <v>508</v>
      </c>
      <c r="K160" s="165" t="s">
        <v>1039</v>
      </c>
      <c r="L160" s="165" t="s">
        <v>1040</v>
      </c>
      <c r="M160" s="178" t="s">
        <v>1549</v>
      </c>
      <c r="N160" s="165"/>
      <c r="O160" s="165"/>
      <c r="P160" s="165"/>
      <c r="Q160" s="178" t="s">
        <v>1550</v>
      </c>
      <c r="R160" s="178" t="s">
        <v>1376</v>
      </c>
      <c r="S160" s="178" t="s">
        <v>1522</v>
      </c>
      <c r="T160" s="198">
        <v>215</v>
      </c>
      <c r="U160" s="198">
        <v>215</v>
      </c>
      <c r="V160" s="198">
        <v>215</v>
      </c>
      <c r="W160" s="198">
        <v>215</v>
      </c>
      <c r="X160" s="198">
        <v>215</v>
      </c>
      <c r="Y160" s="198">
        <v>215</v>
      </c>
      <c r="Z160" s="198">
        <v>215</v>
      </c>
      <c r="AA160" s="198">
        <v>215</v>
      </c>
      <c r="AB160" s="198">
        <v>215</v>
      </c>
      <c r="AC160" s="198" t="s">
        <v>1045</v>
      </c>
      <c r="AD160" s="198" t="s">
        <v>1045</v>
      </c>
      <c r="AE160" s="198" t="s">
        <v>1045</v>
      </c>
      <c r="AF160" s="197">
        <f>SUM(Tabela96[[#This Row],[jan/26]:[dez/26]])</f>
        <v>1935</v>
      </c>
      <c r="AG160" s="198">
        <v>0</v>
      </c>
      <c r="AH160" s="198">
        <v>0</v>
      </c>
      <c r="AI160" s="198">
        <v>0</v>
      </c>
      <c r="AJ160" s="198">
        <v>0</v>
      </c>
      <c r="AK160" s="198">
        <f>SUM(Tabela96[[#This Row],[2026]:[2030]])</f>
        <v>1935</v>
      </c>
      <c r="AL160" s="198">
        <v>0</v>
      </c>
      <c r="AM160" s="198">
        <v>0</v>
      </c>
      <c r="AN160" s="198">
        <v>0</v>
      </c>
      <c r="AO160" s="198">
        <v>0</v>
      </c>
      <c r="AP160" s="198">
        <v>0</v>
      </c>
      <c r="AQ160" s="202">
        <f>SUM(Tabela96[[#This Row],[2026-2030]:[2035]])</f>
        <v>1935</v>
      </c>
      <c r="AS160" s="178" t="s">
        <v>1046</v>
      </c>
      <c r="AT160" s="201">
        <v>2024</v>
      </c>
      <c r="AU160" s="178" t="s">
        <v>1551</v>
      </c>
      <c r="AV160" s="112" t="s">
        <v>1524</v>
      </c>
      <c r="AW160" s="178" t="s">
        <v>517</v>
      </c>
      <c r="AZ160" s="178" t="s">
        <v>1144</v>
      </c>
    </row>
    <row r="161" spans="2:52" ht="24.75" customHeight="1" x14ac:dyDescent="0.35">
      <c r="B161" s="179" t="e" cm="1">
        <f t="array" ref="B161">AND(ISTEXT('Consolidado-Eletronorte'!#REF!),SUM('Consolidado-Eletronorte'!#REF!)&gt;0)</f>
        <v>#REF!</v>
      </c>
      <c r="C161" s="162" t="str">
        <f t="shared" ca="1" si="12"/>
        <v>Capex Orcamentário_PE2026_2030_red_35_porcentoR3_consulta.xlsx</v>
      </c>
      <c r="D161" s="163" t="str">
        <f t="shared" si="13"/>
        <v>COO</v>
      </c>
      <c r="E161" s="163" t="str">
        <f t="shared" si="14"/>
        <v>Lucas Martins</v>
      </c>
      <c r="F161" s="164"/>
      <c r="G161" s="164" t="e">
        <f>_xlfn.CONCAT('Consolidado-Eletronorte'!#REF!,"_",ROW('Consolidado-Eletronorte'!#REF!)-ROW('Consolidado-Eletronorte'!$G$18))</f>
        <v>#REF!</v>
      </c>
      <c r="H161" s="165" t="s">
        <v>506</v>
      </c>
      <c r="I161" s="165" t="s">
        <v>135</v>
      </c>
      <c r="J161" s="165" t="s">
        <v>508</v>
      </c>
      <c r="K161" s="165" t="s">
        <v>1039</v>
      </c>
      <c r="L161" s="165" t="s">
        <v>1040</v>
      </c>
      <c r="M161" s="178" t="s">
        <v>1552</v>
      </c>
      <c r="N161" s="165"/>
      <c r="O161" s="165"/>
      <c r="P161" s="165"/>
      <c r="Q161" s="178" t="s">
        <v>1553</v>
      </c>
      <c r="R161" s="178" t="s">
        <v>1376</v>
      </c>
      <c r="S161" s="178" t="s">
        <v>1522</v>
      </c>
      <c r="T161" s="198">
        <v>215</v>
      </c>
      <c r="U161" s="198">
        <v>215</v>
      </c>
      <c r="V161" s="198">
        <v>215</v>
      </c>
      <c r="W161" s="198">
        <v>215</v>
      </c>
      <c r="X161" s="198">
        <v>215</v>
      </c>
      <c r="Y161" s="198">
        <v>215</v>
      </c>
      <c r="Z161" s="198">
        <v>215</v>
      </c>
      <c r="AA161" s="198">
        <v>215</v>
      </c>
      <c r="AB161" s="198">
        <v>215</v>
      </c>
      <c r="AC161" s="198" t="s">
        <v>1045</v>
      </c>
      <c r="AD161" s="198" t="s">
        <v>1045</v>
      </c>
      <c r="AE161" s="198" t="s">
        <v>1045</v>
      </c>
      <c r="AF161" s="197">
        <f>SUM(Tabela96[[#This Row],[jan/26]:[dez/26]])</f>
        <v>1935</v>
      </c>
      <c r="AG161" s="198">
        <v>0</v>
      </c>
      <c r="AH161" s="198">
        <v>0</v>
      </c>
      <c r="AI161" s="198">
        <v>0</v>
      </c>
      <c r="AJ161" s="198">
        <v>0</v>
      </c>
      <c r="AK161" s="198">
        <f>SUM(Tabela96[[#This Row],[2026]:[2030]])</f>
        <v>1935</v>
      </c>
      <c r="AL161" s="198">
        <v>0</v>
      </c>
      <c r="AM161" s="198">
        <v>0</v>
      </c>
      <c r="AN161" s="198">
        <v>0</v>
      </c>
      <c r="AO161" s="198">
        <v>0</v>
      </c>
      <c r="AP161" s="198">
        <v>0</v>
      </c>
      <c r="AQ161" s="202">
        <f>SUM(Tabela96[[#This Row],[2026-2030]:[2035]])</f>
        <v>1935</v>
      </c>
      <c r="AS161" s="178" t="s">
        <v>1046</v>
      </c>
      <c r="AT161" s="201">
        <v>2024</v>
      </c>
      <c r="AU161" s="178" t="s">
        <v>1554</v>
      </c>
      <c r="AV161" s="112" t="s">
        <v>1524</v>
      </c>
      <c r="AW161" s="178" t="s">
        <v>517</v>
      </c>
      <c r="AZ161" s="178" t="s">
        <v>1144</v>
      </c>
    </row>
    <row r="162" spans="2:52" ht="24.75" customHeight="1" x14ac:dyDescent="0.35">
      <c r="B162" s="179" t="e" cm="1">
        <f t="array" ref="B162">AND(ISTEXT('Consolidado-Eletronorte'!#REF!),SUM('Consolidado-Eletronorte'!#REF!)&gt;0)</f>
        <v>#REF!</v>
      </c>
      <c r="C162" s="162" t="str">
        <f t="shared" ca="1" si="12"/>
        <v>Capex Orcamentário_PE2026_2030_red_35_porcentoR3_consulta.xlsx</v>
      </c>
      <c r="D162" s="163" t="str">
        <f t="shared" si="13"/>
        <v>COO</v>
      </c>
      <c r="E162" s="163" t="str">
        <f t="shared" si="14"/>
        <v>Lucas Martins</v>
      </c>
      <c r="F162" s="164"/>
      <c r="G162" s="164" t="e">
        <f>_xlfn.CONCAT('Consolidado-Eletronorte'!#REF!,"_",ROW('Consolidado-Eletronorte'!#REF!)-ROW('Consolidado-Eletronorte'!$G$18))</f>
        <v>#REF!</v>
      </c>
      <c r="H162" s="165" t="s">
        <v>506</v>
      </c>
      <c r="I162" s="165" t="s">
        <v>135</v>
      </c>
      <c r="J162" s="165" t="s">
        <v>508</v>
      </c>
      <c r="K162" s="165" t="s">
        <v>1039</v>
      </c>
      <c r="L162" s="165" t="s">
        <v>1040</v>
      </c>
      <c r="M162" s="178" t="s">
        <v>1555</v>
      </c>
      <c r="N162" s="165"/>
      <c r="O162" s="165"/>
      <c r="P162" s="165"/>
      <c r="Q162" s="178" t="s">
        <v>1556</v>
      </c>
      <c r="R162" s="178" t="s">
        <v>1376</v>
      </c>
      <c r="S162" s="178" t="s">
        <v>1522</v>
      </c>
      <c r="T162" s="198">
        <v>215</v>
      </c>
      <c r="U162" s="198">
        <v>215</v>
      </c>
      <c r="V162" s="198">
        <v>215</v>
      </c>
      <c r="W162" s="198">
        <v>215</v>
      </c>
      <c r="X162" s="198">
        <v>215</v>
      </c>
      <c r="Y162" s="198">
        <v>215</v>
      </c>
      <c r="Z162" s="198">
        <v>215</v>
      </c>
      <c r="AA162" s="198">
        <v>215</v>
      </c>
      <c r="AB162" s="198">
        <v>215</v>
      </c>
      <c r="AC162" s="198" t="s">
        <v>1045</v>
      </c>
      <c r="AD162" s="198" t="s">
        <v>1045</v>
      </c>
      <c r="AE162" s="198" t="s">
        <v>1045</v>
      </c>
      <c r="AF162" s="197">
        <f>SUM(Tabela96[[#This Row],[jan/26]:[dez/26]])</f>
        <v>1935</v>
      </c>
      <c r="AG162" s="198">
        <v>0</v>
      </c>
      <c r="AH162" s="198">
        <v>0</v>
      </c>
      <c r="AI162" s="198">
        <v>0</v>
      </c>
      <c r="AJ162" s="198">
        <v>0</v>
      </c>
      <c r="AK162" s="198">
        <f>SUM(Tabela96[[#This Row],[2026]:[2030]])</f>
        <v>1935</v>
      </c>
      <c r="AL162" s="198">
        <v>0</v>
      </c>
      <c r="AM162" s="198">
        <v>0</v>
      </c>
      <c r="AN162" s="198">
        <v>0</v>
      </c>
      <c r="AO162" s="198">
        <v>0</v>
      </c>
      <c r="AP162" s="198">
        <v>0</v>
      </c>
      <c r="AQ162" s="202">
        <f>SUM(Tabela96[[#This Row],[2026-2030]:[2035]])</f>
        <v>1935</v>
      </c>
      <c r="AS162" s="178" t="s">
        <v>1046</v>
      </c>
      <c r="AT162" s="201">
        <v>2024</v>
      </c>
      <c r="AU162" s="178" t="s">
        <v>1557</v>
      </c>
      <c r="AV162" s="112" t="s">
        <v>1524</v>
      </c>
      <c r="AW162" s="178" t="s">
        <v>517</v>
      </c>
      <c r="AZ162" s="178" t="s">
        <v>1144</v>
      </c>
    </row>
    <row r="163" spans="2:52" ht="24.75" customHeight="1" x14ac:dyDescent="0.35">
      <c r="B163" s="179" t="e" cm="1">
        <f t="array" ref="B163">AND(ISTEXT('Consolidado-Eletronorte'!#REF!),SUM('Consolidado-Eletronorte'!#REF!)&gt;0)</f>
        <v>#REF!</v>
      </c>
      <c r="C163" s="162" t="str">
        <f t="shared" ca="1" si="12"/>
        <v>Capex Orcamentário_PE2026_2030_red_35_porcentoR3_consulta.xlsx</v>
      </c>
      <c r="D163" s="163" t="str">
        <f t="shared" si="13"/>
        <v>COO</v>
      </c>
      <c r="E163" s="163" t="str">
        <f t="shared" si="14"/>
        <v>Lucas Martins</v>
      </c>
      <c r="F163" s="164"/>
      <c r="G163" s="164" t="e">
        <f>_xlfn.CONCAT('Consolidado-Eletronorte'!#REF!,"_",ROW('Consolidado-Eletronorte'!#REF!)-ROW('Consolidado-Eletronorte'!$G$18))</f>
        <v>#REF!</v>
      </c>
      <c r="H163" s="165" t="s">
        <v>506</v>
      </c>
      <c r="I163" s="165" t="s">
        <v>135</v>
      </c>
      <c r="J163" s="165" t="s">
        <v>508</v>
      </c>
      <c r="K163" s="165" t="s">
        <v>1039</v>
      </c>
      <c r="L163" s="165" t="s">
        <v>1040</v>
      </c>
      <c r="M163" s="178" t="s">
        <v>1558</v>
      </c>
      <c r="N163" s="165"/>
      <c r="O163" s="165"/>
      <c r="P163" s="165"/>
      <c r="Q163" s="178" t="s">
        <v>1559</v>
      </c>
      <c r="R163" s="178" t="s">
        <v>1376</v>
      </c>
      <c r="S163" s="178" t="s">
        <v>1522</v>
      </c>
      <c r="T163" s="198">
        <v>215</v>
      </c>
      <c r="U163" s="198">
        <v>215</v>
      </c>
      <c r="V163" s="198">
        <v>215</v>
      </c>
      <c r="W163" s="198">
        <v>215</v>
      </c>
      <c r="X163" s="198">
        <v>215</v>
      </c>
      <c r="Y163" s="198">
        <v>215</v>
      </c>
      <c r="Z163" s="198">
        <v>215</v>
      </c>
      <c r="AA163" s="198">
        <v>215</v>
      </c>
      <c r="AB163" s="198">
        <v>215</v>
      </c>
      <c r="AC163" s="198" t="s">
        <v>1045</v>
      </c>
      <c r="AD163" s="198" t="s">
        <v>1045</v>
      </c>
      <c r="AE163" s="198" t="s">
        <v>1045</v>
      </c>
      <c r="AF163" s="197">
        <f>SUM(Tabela96[[#This Row],[jan/26]:[dez/26]])</f>
        <v>1935</v>
      </c>
      <c r="AG163" s="198">
        <v>0</v>
      </c>
      <c r="AH163" s="198">
        <v>0</v>
      </c>
      <c r="AI163" s="198">
        <v>0</v>
      </c>
      <c r="AJ163" s="198">
        <v>0</v>
      </c>
      <c r="AK163" s="198">
        <f>SUM(Tabela96[[#This Row],[2026]:[2030]])</f>
        <v>1935</v>
      </c>
      <c r="AL163" s="198">
        <v>0</v>
      </c>
      <c r="AM163" s="198">
        <v>0</v>
      </c>
      <c r="AN163" s="198">
        <v>0</v>
      </c>
      <c r="AO163" s="198">
        <v>0</v>
      </c>
      <c r="AP163" s="198">
        <v>0</v>
      </c>
      <c r="AQ163" s="202">
        <f>SUM(Tabela96[[#This Row],[2026-2030]:[2035]])</f>
        <v>1935</v>
      </c>
      <c r="AS163" s="178" t="s">
        <v>1046</v>
      </c>
      <c r="AT163" s="201">
        <v>2024</v>
      </c>
      <c r="AU163" s="178" t="s">
        <v>1560</v>
      </c>
      <c r="AV163" s="112" t="s">
        <v>1524</v>
      </c>
      <c r="AW163" s="178" t="s">
        <v>517</v>
      </c>
      <c r="AZ163" s="178" t="s">
        <v>1144</v>
      </c>
    </row>
    <row r="164" spans="2:52" ht="24.75" customHeight="1" x14ac:dyDescent="0.35">
      <c r="B164" s="179" t="e" cm="1">
        <f t="array" ref="B164">AND(ISTEXT('Consolidado-Eletronorte'!#REF!),SUM('Consolidado-Eletronorte'!#REF!)&gt;0)</f>
        <v>#REF!</v>
      </c>
      <c r="C164" s="162" t="str">
        <f t="shared" ca="1" si="12"/>
        <v>Capex Orcamentário_PE2026_2030_red_35_porcentoR3_consulta.xlsx</v>
      </c>
      <c r="D164" s="163" t="str">
        <f t="shared" si="13"/>
        <v>COO</v>
      </c>
      <c r="E164" s="163" t="str">
        <f t="shared" si="14"/>
        <v>Lucas Martins</v>
      </c>
      <c r="F164" s="164"/>
      <c r="G164" s="164" t="e">
        <f>_xlfn.CONCAT('Consolidado-Eletronorte'!#REF!,"_",ROW('Consolidado-Eletronorte'!#REF!)-ROW('Consolidado-Eletronorte'!$G$18))</f>
        <v>#REF!</v>
      </c>
      <c r="H164" s="165" t="s">
        <v>506</v>
      </c>
      <c r="I164" s="165" t="s">
        <v>135</v>
      </c>
      <c r="J164" s="165" t="s">
        <v>508</v>
      </c>
      <c r="K164" s="165" t="s">
        <v>1039</v>
      </c>
      <c r="L164" s="165" t="s">
        <v>1040</v>
      </c>
      <c r="M164" s="178" t="s">
        <v>1561</v>
      </c>
      <c r="N164" s="165"/>
      <c r="O164" s="165"/>
      <c r="P164" s="165"/>
      <c r="Q164" s="178" t="s">
        <v>1562</v>
      </c>
      <c r="R164" s="178" t="s">
        <v>1376</v>
      </c>
      <c r="S164" s="178" t="s">
        <v>1522</v>
      </c>
      <c r="T164" s="198">
        <v>215</v>
      </c>
      <c r="U164" s="198">
        <v>215</v>
      </c>
      <c r="V164" s="198">
        <v>215</v>
      </c>
      <c r="W164" s="198">
        <v>215</v>
      </c>
      <c r="X164" s="198">
        <v>215</v>
      </c>
      <c r="Y164" s="198">
        <v>215</v>
      </c>
      <c r="Z164" s="198">
        <v>215</v>
      </c>
      <c r="AA164" s="198">
        <v>215</v>
      </c>
      <c r="AB164" s="198">
        <v>215</v>
      </c>
      <c r="AC164" s="198" t="s">
        <v>1045</v>
      </c>
      <c r="AD164" s="198" t="s">
        <v>1045</v>
      </c>
      <c r="AE164" s="198" t="s">
        <v>1045</v>
      </c>
      <c r="AF164" s="197">
        <f>SUM(Tabela96[[#This Row],[jan/26]:[dez/26]])</f>
        <v>1935</v>
      </c>
      <c r="AG164" s="198">
        <v>0</v>
      </c>
      <c r="AH164" s="198">
        <v>0</v>
      </c>
      <c r="AI164" s="198">
        <v>0</v>
      </c>
      <c r="AJ164" s="198">
        <v>0</v>
      </c>
      <c r="AK164" s="198">
        <f>SUM(Tabela96[[#This Row],[2026]:[2030]])</f>
        <v>1935</v>
      </c>
      <c r="AL164" s="198">
        <v>0</v>
      </c>
      <c r="AM164" s="198">
        <v>0</v>
      </c>
      <c r="AN164" s="198">
        <v>0</v>
      </c>
      <c r="AO164" s="198">
        <v>0</v>
      </c>
      <c r="AP164" s="198">
        <v>0</v>
      </c>
      <c r="AQ164" s="202">
        <f>SUM(Tabela96[[#This Row],[2026-2030]:[2035]])</f>
        <v>1935</v>
      </c>
      <c r="AS164" s="178" t="s">
        <v>1046</v>
      </c>
      <c r="AT164" s="201">
        <v>2024</v>
      </c>
      <c r="AU164" s="178" t="s">
        <v>1563</v>
      </c>
      <c r="AV164" s="112" t="s">
        <v>1524</v>
      </c>
      <c r="AW164" s="178" t="s">
        <v>517</v>
      </c>
      <c r="AZ164" s="178" t="s">
        <v>1144</v>
      </c>
    </row>
    <row r="165" spans="2:52" ht="24.75" customHeight="1" x14ac:dyDescent="0.35">
      <c r="B165" s="179" t="e" cm="1">
        <f t="array" ref="B165">AND(ISTEXT('Consolidado-Eletronorte'!#REF!),SUM('Consolidado-Eletronorte'!#REF!)&gt;0)</f>
        <v>#REF!</v>
      </c>
      <c r="C165" s="162" t="str">
        <f t="shared" ca="1" si="12"/>
        <v>Capex Orcamentário_PE2026_2030_red_35_porcentoR3_consulta.xlsx</v>
      </c>
      <c r="D165" s="163" t="str">
        <f t="shared" si="13"/>
        <v>COO</v>
      </c>
      <c r="E165" s="163" t="str">
        <f t="shared" si="14"/>
        <v>Lucas Martins</v>
      </c>
      <c r="F165" s="164"/>
      <c r="G165" s="164" t="e">
        <f>_xlfn.CONCAT('Consolidado-Eletronorte'!#REF!,"_",ROW('Consolidado-Eletronorte'!#REF!)-ROW('Consolidado-Eletronorte'!$G$18))</f>
        <v>#REF!</v>
      </c>
      <c r="H165" s="165" t="s">
        <v>506</v>
      </c>
      <c r="I165" s="165" t="s">
        <v>135</v>
      </c>
      <c r="J165" s="165" t="s">
        <v>508</v>
      </c>
      <c r="K165" s="165" t="s">
        <v>1039</v>
      </c>
      <c r="L165" s="165" t="s">
        <v>1040</v>
      </c>
      <c r="M165" s="178" t="s">
        <v>1564</v>
      </c>
      <c r="N165" s="165"/>
      <c r="O165" s="165"/>
      <c r="P165" s="165"/>
      <c r="Q165" s="178" t="s">
        <v>1565</v>
      </c>
      <c r="R165" s="178" t="s">
        <v>1376</v>
      </c>
      <c r="S165" s="178" t="s">
        <v>1522</v>
      </c>
      <c r="T165" s="198">
        <v>215</v>
      </c>
      <c r="U165" s="198">
        <v>215</v>
      </c>
      <c r="V165" s="198">
        <v>215</v>
      </c>
      <c r="W165" s="198">
        <v>215</v>
      </c>
      <c r="X165" s="198">
        <v>215</v>
      </c>
      <c r="Y165" s="198">
        <v>215</v>
      </c>
      <c r="Z165" s="198">
        <v>215</v>
      </c>
      <c r="AA165" s="198">
        <v>215</v>
      </c>
      <c r="AB165" s="198">
        <v>215</v>
      </c>
      <c r="AC165" s="198" t="s">
        <v>1045</v>
      </c>
      <c r="AD165" s="198" t="s">
        <v>1045</v>
      </c>
      <c r="AE165" s="198" t="s">
        <v>1045</v>
      </c>
      <c r="AF165" s="197">
        <f>SUM(Tabela96[[#This Row],[jan/26]:[dez/26]])</f>
        <v>1935</v>
      </c>
      <c r="AG165" s="198">
        <v>0</v>
      </c>
      <c r="AH165" s="198">
        <v>0</v>
      </c>
      <c r="AI165" s="198">
        <v>0</v>
      </c>
      <c r="AJ165" s="198">
        <v>0</v>
      </c>
      <c r="AK165" s="198">
        <f>SUM(Tabela96[[#This Row],[2026]:[2030]])</f>
        <v>1935</v>
      </c>
      <c r="AL165" s="198">
        <v>0</v>
      </c>
      <c r="AM165" s="198">
        <v>0</v>
      </c>
      <c r="AN165" s="198">
        <v>0</v>
      </c>
      <c r="AO165" s="198">
        <v>0</v>
      </c>
      <c r="AP165" s="198">
        <v>0</v>
      </c>
      <c r="AQ165" s="202">
        <f>SUM(Tabela96[[#This Row],[2026-2030]:[2035]])</f>
        <v>1935</v>
      </c>
      <c r="AS165" s="178" t="s">
        <v>1046</v>
      </c>
      <c r="AT165" s="201">
        <v>2024</v>
      </c>
      <c r="AU165" s="178" t="s">
        <v>1566</v>
      </c>
      <c r="AV165" s="112" t="s">
        <v>1524</v>
      </c>
      <c r="AW165" s="178" t="s">
        <v>517</v>
      </c>
      <c r="AZ165" s="178" t="s">
        <v>1144</v>
      </c>
    </row>
    <row r="166" spans="2:52" ht="24.75" customHeight="1" x14ac:dyDescent="0.35">
      <c r="B166" s="179" t="e" cm="1">
        <f t="array" ref="B166">AND(ISTEXT('Consolidado-Eletronorte'!#REF!),SUM('Consolidado-Eletronorte'!#REF!)&gt;0)</f>
        <v>#REF!</v>
      </c>
      <c r="C166" s="162" t="str">
        <f t="shared" ca="1" si="12"/>
        <v>Capex Orcamentário_PE2026_2030_red_35_porcentoR3_consulta.xlsx</v>
      </c>
      <c r="D166" s="163" t="str">
        <f t="shared" si="13"/>
        <v>COO</v>
      </c>
      <c r="E166" s="163" t="str">
        <f t="shared" si="14"/>
        <v>Lucas Martins</v>
      </c>
      <c r="F166" s="164"/>
      <c r="G166" s="164" t="e">
        <f>_xlfn.CONCAT('Consolidado-Eletronorte'!#REF!,"_",ROW('Consolidado-Eletronorte'!#REF!)-ROW('Consolidado-Eletronorte'!$G$18))</f>
        <v>#REF!</v>
      </c>
      <c r="H166" s="165" t="s">
        <v>506</v>
      </c>
      <c r="I166" s="165" t="s">
        <v>135</v>
      </c>
      <c r="J166" s="165" t="s">
        <v>508</v>
      </c>
      <c r="K166" s="165" t="s">
        <v>1039</v>
      </c>
      <c r="L166" s="165" t="s">
        <v>1040</v>
      </c>
      <c r="M166" s="178" t="s">
        <v>1567</v>
      </c>
      <c r="N166" s="165"/>
      <c r="O166" s="165"/>
      <c r="P166" s="165"/>
      <c r="Q166" s="178" t="s">
        <v>1568</v>
      </c>
      <c r="R166" s="178" t="s">
        <v>1376</v>
      </c>
      <c r="S166" s="178" t="s">
        <v>1522</v>
      </c>
      <c r="T166" s="198">
        <v>215</v>
      </c>
      <c r="U166" s="198">
        <v>215</v>
      </c>
      <c r="V166" s="198">
        <v>215</v>
      </c>
      <c r="W166" s="198">
        <v>215</v>
      </c>
      <c r="X166" s="198">
        <v>215</v>
      </c>
      <c r="Y166" s="198">
        <v>215</v>
      </c>
      <c r="Z166" s="198">
        <v>215</v>
      </c>
      <c r="AA166" s="198">
        <v>215</v>
      </c>
      <c r="AB166" s="198">
        <v>215</v>
      </c>
      <c r="AC166" s="198" t="s">
        <v>1045</v>
      </c>
      <c r="AD166" s="198" t="s">
        <v>1045</v>
      </c>
      <c r="AE166" s="198" t="s">
        <v>1045</v>
      </c>
      <c r="AF166" s="197">
        <f>SUM(Tabela96[[#This Row],[jan/26]:[dez/26]])</f>
        <v>1935</v>
      </c>
      <c r="AG166" s="198">
        <v>0</v>
      </c>
      <c r="AH166" s="198">
        <v>0</v>
      </c>
      <c r="AI166" s="198">
        <v>0</v>
      </c>
      <c r="AJ166" s="198">
        <v>0</v>
      </c>
      <c r="AK166" s="198">
        <f>SUM(Tabela96[[#This Row],[2026]:[2030]])</f>
        <v>1935</v>
      </c>
      <c r="AL166" s="198">
        <v>0</v>
      </c>
      <c r="AM166" s="198">
        <v>0</v>
      </c>
      <c r="AN166" s="198">
        <v>0</v>
      </c>
      <c r="AO166" s="198">
        <v>0</v>
      </c>
      <c r="AP166" s="198">
        <v>0</v>
      </c>
      <c r="AQ166" s="202">
        <f>SUM(Tabela96[[#This Row],[2026-2030]:[2035]])</f>
        <v>1935</v>
      </c>
      <c r="AS166" s="178" t="s">
        <v>1046</v>
      </c>
      <c r="AT166" s="201">
        <v>2024</v>
      </c>
      <c r="AU166" s="178" t="s">
        <v>1569</v>
      </c>
      <c r="AV166" s="112" t="s">
        <v>1524</v>
      </c>
      <c r="AW166" s="178" t="s">
        <v>517</v>
      </c>
      <c r="AZ166" s="178" t="s">
        <v>1144</v>
      </c>
    </row>
    <row r="167" spans="2:52" ht="24.75" customHeight="1" x14ac:dyDescent="0.35">
      <c r="B167" s="179" t="e" cm="1">
        <f t="array" ref="B167">AND(ISTEXT('Consolidado-Eletronorte'!#REF!),SUM('Consolidado-Eletronorte'!#REF!)&gt;0)</f>
        <v>#REF!</v>
      </c>
      <c r="C167" s="162" t="str">
        <f t="shared" ca="1" si="12"/>
        <v>Capex Orcamentário_PE2026_2030_red_35_porcentoR3_consulta.xlsx</v>
      </c>
      <c r="D167" s="163" t="str">
        <f t="shared" si="13"/>
        <v>COO</v>
      </c>
      <c r="E167" s="163" t="str">
        <f t="shared" si="14"/>
        <v>Lucas Martins</v>
      </c>
      <c r="F167" s="164"/>
      <c r="G167" s="164" t="e">
        <f>_xlfn.CONCAT('Consolidado-Eletronorte'!#REF!,"_",ROW('Consolidado-Eletronorte'!#REF!)-ROW('Consolidado-Eletronorte'!$G$18))</f>
        <v>#REF!</v>
      </c>
      <c r="H167" s="165" t="s">
        <v>506</v>
      </c>
      <c r="I167" s="165" t="s">
        <v>135</v>
      </c>
      <c r="J167" s="165" t="s">
        <v>508</v>
      </c>
      <c r="K167" s="165" t="s">
        <v>1039</v>
      </c>
      <c r="L167" s="165" t="s">
        <v>1040</v>
      </c>
      <c r="M167" s="178" t="s">
        <v>1570</v>
      </c>
      <c r="N167" s="165"/>
      <c r="O167" s="165"/>
      <c r="P167" s="165"/>
      <c r="Q167" s="178" t="s">
        <v>1571</v>
      </c>
      <c r="R167" s="178" t="s">
        <v>1376</v>
      </c>
      <c r="S167" s="178" t="s">
        <v>1522</v>
      </c>
      <c r="T167" s="198">
        <v>215</v>
      </c>
      <c r="U167" s="198">
        <v>215</v>
      </c>
      <c r="V167" s="198">
        <v>215</v>
      </c>
      <c r="W167" s="198">
        <v>215</v>
      </c>
      <c r="X167" s="198">
        <v>215</v>
      </c>
      <c r="Y167" s="198">
        <v>215</v>
      </c>
      <c r="Z167" s="198">
        <v>215</v>
      </c>
      <c r="AA167" s="198">
        <v>215</v>
      </c>
      <c r="AB167" s="198">
        <v>215</v>
      </c>
      <c r="AC167" s="198" t="s">
        <v>1045</v>
      </c>
      <c r="AD167" s="198" t="s">
        <v>1045</v>
      </c>
      <c r="AE167" s="198" t="s">
        <v>1045</v>
      </c>
      <c r="AF167" s="197">
        <f>SUM(Tabela96[[#This Row],[jan/26]:[dez/26]])</f>
        <v>1935</v>
      </c>
      <c r="AG167" s="198">
        <v>0</v>
      </c>
      <c r="AH167" s="198">
        <v>0</v>
      </c>
      <c r="AI167" s="198">
        <v>0</v>
      </c>
      <c r="AJ167" s="198">
        <v>0</v>
      </c>
      <c r="AK167" s="198">
        <f>SUM(Tabela96[[#This Row],[2026]:[2030]])</f>
        <v>1935</v>
      </c>
      <c r="AL167" s="198">
        <v>0</v>
      </c>
      <c r="AM167" s="198">
        <v>0</v>
      </c>
      <c r="AN167" s="198">
        <v>0</v>
      </c>
      <c r="AO167" s="198">
        <v>0</v>
      </c>
      <c r="AP167" s="198">
        <v>0</v>
      </c>
      <c r="AQ167" s="202">
        <f>SUM(Tabela96[[#This Row],[2026-2030]:[2035]])</f>
        <v>1935</v>
      </c>
      <c r="AS167" s="178" t="s">
        <v>1046</v>
      </c>
      <c r="AT167" s="201">
        <v>2024</v>
      </c>
      <c r="AU167" s="178" t="s">
        <v>1572</v>
      </c>
      <c r="AV167" s="112" t="s">
        <v>1524</v>
      </c>
      <c r="AW167" s="178" t="s">
        <v>517</v>
      </c>
      <c r="AZ167" s="178" t="s">
        <v>1144</v>
      </c>
    </row>
    <row r="168" spans="2:52" ht="24.75" customHeight="1" x14ac:dyDescent="0.35">
      <c r="B168" s="179" t="e" cm="1">
        <f t="array" ref="B168">AND(ISTEXT('Consolidado-Eletronorte'!#REF!),SUM('Consolidado-Eletronorte'!#REF!)&gt;0)</f>
        <v>#REF!</v>
      </c>
      <c r="C168" s="162" t="str">
        <f t="shared" ca="1" si="12"/>
        <v>Capex Orcamentário_PE2026_2030_red_35_porcentoR3_consulta.xlsx</v>
      </c>
      <c r="D168" s="163" t="str">
        <f t="shared" si="13"/>
        <v>COO</v>
      </c>
      <c r="E168" s="163" t="str">
        <f t="shared" si="14"/>
        <v>Lucas Martins</v>
      </c>
      <c r="F168" s="164"/>
      <c r="G168" s="164" t="e">
        <f>_xlfn.CONCAT('Consolidado-Eletronorte'!#REF!,"_",ROW('Consolidado-Eletronorte'!#REF!)-ROW('Consolidado-Eletronorte'!$G$18))</f>
        <v>#REF!</v>
      </c>
      <c r="H168" s="165" t="s">
        <v>506</v>
      </c>
      <c r="I168" s="165" t="s">
        <v>135</v>
      </c>
      <c r="J168" s="165" t="s">
        <v>508</v>
      </c>
      <c r="K168" s="165" t="s">
        <v>1039</v>
      </c>
      <c r="L168" s="165" t="s">
        <v>1040</v>
      </c>
      <c r="M168" s="178" t="s">
        <v>1573</v>
      </c>
      <c r="N168" s="165"/>
      <c r="O168" s="165"/>
      <c r="P168" s="165"/>
      <c r="Q168" s="178" t="s">
        <v>1574</v>
      </c>
      <c r="R168" s="178" t="s">
        <v>1376</v>
      </c>
      <c r="S168" s="178" t="s">
        <v>1522</v>
      </c>
      <c r="T168" s="198">
        <v>215</v>
      </c>
      <c r="U168" s="198">
        <v>215</v>
      </c>
      <c r="V168" s="198">
        <v>215</v>
      </c>
      <c r="W168" s="198">
        <v>215</v>
      </c>
      <c r="X168" s="198">
        <v>215</v>
      </c>
      <c r="Y168" s="198">
        <v>215</v>
      </c>
      <c r="Z168" s="198">
        <v>215</v>
      </c>
      <c r="AA168" s="198">
        <v>215</v>
      </c>
      <c r="AB168" s="198">
        <v>215</v>
      </c>
      <c r="AC168" s="198" t="s">
        <v>1045</v>
      </c>
      <c r="AD168" s="198" t="s">
        <v>1045</v>
      </c>
      <c r="AE168" s="198" t="s">
        <v>1045</v>
      </c>
      <c r="AF168" s="197">
        <f>SUM(Tabela96[[#This Row],[jan/26]:[dez/26]])</f>
        <v>1935</v>
      </c>
      <c r="AG168" s="198">
        <v>0</v>
      </c>
      <c r="AH168" s="198">
        <v>0</v>
      </c>
      <c r="AI168" s="198">
        <v>0</v>
      </c>
      <c r="AJ168" s="198">
        <v>0</v>
      </c>
      <c r="AK168" s="198">
        <f>SUM(Tabela96[[#This Row],[2026]:[2030]])</f>
        <v>1935</v>
      </c>
      <c r="AL168" s="198">
        <v>0</v>
      </c>
      <c r="AM168" s="198">
        <v>0</v>
      </c>
      <c r="AN168" s="198">
        <v>0</v>
      </c>
      <c r="AO168" s="198">
        <v>0</v>
      </c>
      <c r="AP168" s="198">
        <v>0</v>
      </c>
      <c r="AQ168" s="202">
        <f>SUM(Tabela96[[#This Row],[2026-2030]:[2035]])</f>
        <v>1935</v>
      </c>
      <c r="AS168" s="178" t="s">
        <v>1046</v>
      </c>
      <c r="AT168" s="201">
        <v>2024</v>
      </c>
      <c r="AU168" s="178" t="s">
        <v>1575</v>
      </c>
      <c r="AV168" s="112" t="s">
        <v>1524</v>
      </c>
      <c r="AW168" s="178" t="s">
        <v>517</v>
      </c>
      <c r="AZ168" s="178" t="s">
        <v>1144</v>
      </c>
    </row>
    <row r="169" spans="2:52" ht="24.75" customHeight="1" x14ac:dyDescent="0.35">
      <c r="B169" s="179" t="e" cm="1">
        <f t="array" ref="B169">AND(ISTEXT('Consolidado-Eletronorte'!#REF!),SUM('Consolidado-Eletronorte'!#REF!)&gt;0)</f>
        <v>#REF!</v>
      </c>
      <c r="C169" s="162" t="str">
        <f t="shared" ca="1" si="12"/>
        <v>Capex Orcamentário_PE2026_2030_red_35_porcentoR3_consulta.xlsx</v>
      </c>
      <c r="D169" s="163" t="str">
        <f t="shared" si="13"/>
        <v>COO</v>
      </c>
      <c r="E169" s="163" t="str">
        <f t="shared" si="14"/>
        <v>Lucas Martins</v>
      </c>
      <c r="F169" s="164"/>
      <c r="G169" s="164" t="e">
        <f>_xlfn.CONCAT('Consolidado-Eletronorte'!#REF!,"_",ROW('Consolidado-Eletronorte'!#REF!)-ROW('Consolidado-Eletronorte'!$G$18))</f>
        <v>#REF!</v>
      </c>
      <c r="H169" s="165" t="s">
        <v>506</v>
      </c>
      <c r="I169" s="165" t="s">
        <v>135</v>
      </c>
      <c r="J169" s="165" t="s">
        <v>508</v>
      </c>
      <c r="K169" s="165" t="s">
        <v>1039</v>
      </c>
      <c r="L169" s="165" t="s">
        <v>1040</v>
      </c>
      <c r="M169" s="178" t="s">
        <v>1576</v>
      </c>
      <c r="N169" s="165"/>
      <c r="O169" s="165"/>
      <c r="P169" s="165"/>
      <c r="Q169" s="178" t="s">
        <v>1577</v>
      </c>
      <c r="R169" s="178" t="s">
        <v>1376</v>
      </c>
      <c r="S169" s="178" t="s">
        <v>1522</v>
      </c>
      <c r="T169" s="198">
        <v>215</v>
      </c>
      <c r="U169" s="198">
        <v>215</v>
      </c>
      <c r="V169" s="198">
        <v>215</v>
      </c>
      <c r="W169" s="198">
        <v>215</v>
      </c>
      <c r="X169" s="198">
        <v>215</v>
      </c>
      <c r="Y169" s="198">
        <v>215</v>
      </c>
      <c r="Z169" s="198">
        <v>215</v>
      </c>
      <c r="AA169" s="198">
        <v>215</v>
      </c>
      <c r="AB169" s="198">
        <v>215</v>
      </c>
      <c r="AC169" s="198" t="s">
        <v>1045</v>
      </c>
      <c r="AD169" s="198" t="s">
        <v>1045</v>
      </c>
      <c r="AE169" s="198" t="s">
        <v>1045</v>
      </c>
      <c r="AF169" s="197">
        <f>SUM(Tabela96[[#This Row],[jan/26]:[dez/26]])</f>
        <v>1935</v>
      </c>
      <c r="AG169" s="198">
        <v>0</v>
      </c>
      <c r="AH169" s="198">
        <v>0</v>
      </c>
      <c r="AI169" s="198">
        <v>0</v>
      </c>
      <c r="AJ169" s="198">
        <v>0</v>
      </c>
      <c r="AK169" s="198">
        <f>SUM(Tabela96[[#This Row],[2026]:[2030]])</f>
        <v>1935</v>
      </c>
      <c r="AL169" s="198">
        <v>0</v>
      </c>
      <c r="AM169" s="198">
        <v>0</v>
      </c>
      <c r="AN169" s="198">
        <v>0</v>
      </c>
      <c r="AO169" s="198">
        <v>0</v>
      </c>
      <c r="AP169" s="198">
        <v>0</v>
      </c>
      <c r="AQ169" s="202">
        <f>SUM(Tabela96[[#This Row],[2026-2030]:[2035]])</f>
        <v>1935</v>
      </c>
      <c r="AS169" s="178" t="s">
        <v>1046</v>
      </c>
      <c r="AT169" s="201">
        <v>2024</v>
      </c>
      <c r="AU169" s="178" t="s">
        <v>1578</v>
      </c>
      <c r="AV169" s="112" t="s">
        <v>1524</v>
      </c>
      <c r="AW169" s="178" t="s">
        <v>517</v>
      </c>
      <c r="AZ169" s="178" t="s">
        <v>1144</v>
      </c>
    </row>
    <row r="170" spans="2:52" ht="24.75" customHeight="1" x14ac:dyDescent="0.35">
      <c r="B170" s="179" t="e" cm="1">
        <f t="array" ref="B170">AND(ISTEXT('Consolidado-Eletronorte'!#REF!),SUM('Consolidado-Eletronorte'!#REF!)&gt;0)</f>
        <v>#REF!</v>
      </c>
      <c r="C170" s="162" t="str">
        <f t="shared" ca="1" si="12"/>
        <v>Capex Orcamentário_PE2026_2030_red_35_porcentoR3_consulta.xlsx</v>
      </c>
      <c r="D170" s="163" t="str">
        <f t="shared" si="13"/>
        <v>COO</v>
      </c>
      <c r="E170" s="163" t="str">
        <f t="shared" si="14"/>
        <v>Lucas Martins</v>
      </c>
      <c r="F170" s="164"/>
      <c r="G170" s="164" t="e">
        <f>_xlfn.CONCAT('Consolidado-Eletronorte'!#REF!,"_",ROW('Consolidado-Eletronorte'!#REF!)-ROW('Consolidado-Eletronorte'!$G$18))</f>
        <v>#REF!</v>
      </c>
      <c r="H170" s="165" t="s">
        <v>506</v>
      </c>
      <c r="I170" s="165" t="s">
        <v>135</v>
      </c>
      <c r="J170" s="165" t="s">
        <v>508</v>
      </c>
      <c r="K170" s="165" t="s">
        <v>1039</v>
      </c>
      <c r="L170" s="165" t="s">
        <v>1040</v>
      </c>
      <c r="M170" s="178" t="s">
        <v>1579</v>
      </c>
      <c r="N170" s="165"/>
      <c r="O170" s="165"/>
      <c r="P170" s="165"/>
      <c r="Q170" s="178" t="s">
        <v>1580</v>
      </c>
      <c r="R170" s="178" t="s">
        <v>1376</v>
      </c>
      <c r="S170" s="178" t="s">
        <v>1522</v>
      </c>
      <c r="T170" s="198">
        <v>215</v>
      </c>
      <c r="U170" s="198">
        <v>215</v>
      </c>
      <c r="V170" s="198">
        <v>215</v>
      </c>
      <c r="W170" s="198">
        <v>215</v>
      </c>
      <c r="X170" s="198">
        <v>215</v>
      </c>
      <c r="Y170" s="198">
        <v>215</v>
      </c>
      <c r="Z170" s="198">
        <v>215</v>
      </c>
      <c r="AA170" s="198">
        <v>215</v>
      </c>
      <c r="AB170" s="198">
        <v>215</v>
      </c>
      <c r="AC170" s="198" t="s">
        <v>1045</v>
      </c>
      <c r="AD170" s="198" t="s">
        <v>1045</v>
      </c>
      <c r="AE170" s="198" t="s">
        <v>1045</v>
      </c>
      <c r="AF170" s="197">
        <f>SUM(Tabela96[[#This Row],[jan/26]:[dez/26]])</f>
        <v>1935</v>
      </c>
      <c r="AG170" s="198">
        <v>0</v>
      </c>
      <c r="AH170" s="198">
        <v>0</v>
      </c>
      <c r="AI170" s="198">
        <v>0</v>
      </c>
      <c r="AJ170" s="198">
        <v>0</v>
      </c>
      <c r="AK170" s="198">
        <f>SUM(Tabela96[[#This Row],[2026]:[2030]])</f>
        <v>1935</v>
      </c>
      <c r="AL170" s="198">
        <v>0</v>
      </c>
      <c r="AM170" s="198">
        <v>0</v>
      </c>
      <c r="AN170" s="198">
        <v>0</v>
      </c>
      <c r="AO170" s="198">
        <v>0</v>
      </c>
      <c r="AP170" s="198">
        <v>0</v>
      </c>
      <c r="AQ170" s="202">
        <f>SUM(Tabela96[[#This Row],[2026-2030]:[2035]])</f>
        <v>1935</v>
      </c>
      <c r="AS170" s="178" t="s">
        <v>1046</v>
      </c>
      <c r="AT170" s="201">
        <v>2024</v>
      </c>
      <c r="AU170" s="178" t="s">
        <v>1581</v>
      </c>
      <c r="AV170" s="112" t="s">
        <v>1524</v>
      </c>
      <c r="AW170" s="178" t="s">
        <v>517</v>
      </c>
      <c r="AZ170" s="178" t="s">
        <v>1144</v>
      </c>
    </row>
    <row r="171" spans="2:52" ht="24.75" customHeight="1" x14ac:dyDescent="0.35">
      <c r="B171" s="179" t="e" cm="1">
        <f t="array" ref="B171">AND(ISTEXT('Consolidado-Eletronorte'!#REF!),SUM('Consolidado-Eletronorte'!#REF!)&gt;0)</f>
        <v>#REF!</v>
      </c>
      <c r="C171" s="162" t="str">
        <f t="shared" ca="1" si="12"/>
        <v>Capex Orcamentário_PE2026_2030_red_35_porcentoR3_consulta.xlsx</v>
      </c>
      <c r="D171" s="163" t="str">
        <f t="shared" si="13"/>
        <v>COO</v>
      </c>
      <c r="E171" s="163" t="str">
        <f t="shared" si="14"/>
        <v>Lucas Martins</v>
      </c>
      <c r="F171" s="164"/>
      <c r="G171" s="164" t="e">
        <f>_xlfn.CONCAT('Consolidado-Eletronorte'!#REF!,"_",ROW('Consolidado-Eletronorte'!#REF!)-ROW('Consolidado-Eletronorte'!$G$18))</f>
        <v>#REF!</v>
      </c>
      <c r="H171" s="165" t="s">
        <v>506</v>
      </c>
      <c r="I171" s="165" t="s">
        <v>135</v>
      </c>
      <c r="J171" s="165" t="s">
        <v>508</v>
      </c>
      <c r="K171" s="165" t="s">
        <v>1039</v>
      </c>
      <c r="L171" s="165" t="s">
        <v>1040</v>
      </c>
      <c r="M171" s="178" t="s">
        <v>1582</v>
      </c>
      <c r="N171" s="165"/>
      <c r="O171" s="165"/>
      <c r="P171" s="165"/>
      <c r="Q171" s="178" t="s">
        <v>1583</v>
      </c>
      <c r="R171" s="178" t="s">
        <v>1376</v>
      </c>
      <c r="S171" s="178" t="s">
        <v>1522</v>
      </c>
      <c r="T171" s="198">
        <v>215</v>
      </c>
      <c r="U171" s="198">
        <v>215</v>
      </c>
      <c r="V171" s="198">
        <v>215</v>
      </c>
      <c r="W171" s="198">
        <v>215</v>
      </c>
      <c r="X171" s="198">
        <v>215</v>
      </c>
      <c r="Y171" s="198">
        <v>215</v>
      </c>
      <c r="Z171" s="198">
        <v>215</v>
      </c>
      <c r="AA171" s="198">
        <v>215</v>
      </c>
      <c r="AB171" s="198">
        <v>215</v>
      </c>
      <c r="AC171" s="198" t="s">
        <v>1045</v>
      </c>
      <c r="AD171" s="198" t="s">
        <v>1045</v>
      </c>
      <c r="AE171" s="198" t="s">
        <v>1045</v>
      </c>
      <c r="AF171" s="197">
        <f>SUM(Tabela96[[#This Row],[jan/26]:[dez/26]])</f>
        <v>1935</v>
      </c>
      <c r="AG171" s="198">
        <v>0</v>
      </c>
      <c r="AH171" s="198">
        <v>0</v>
      </c>
      <c r="AI171" s="198">
        <v>0</v>
      </c>
      <c r="AJ171" s="198">
        <v>0</v>
      </c>
      <c r="AK171" s="198">
        <f>SUM(Tabela96[[#This Row],[2026]:[2030]])</f>
        <v>1935</v>
      </c>
      <c r="AL171" s="198">
        <v>0</v>
      </c>
      <c r="AM171" s="198">
        <v>0</v>
      </c>
      <c r="AN171" s="198">
        <v>0</v>
      </c>
      <c r="AO171" s="198">
        <v>0</v>
      </c>
      <c r="AP171" s="198">
        <v>0</v>
      </c>
      <c r="AQ171" s="202">
        <f>SUM(Tabela96[[#This Row],[2026-2030]:[2035]])</f>
        <v>1935</v>
      </c>
      <c r="AS171" s="178" t="s">
        <v>1046</v>
      </c>
      <c r="AT171" s="201">
        <v>2024</v>
      </c>
      <c r="AU171" s="178" t="s">
        <v>1584</v>
      </c>
      <c r="AV171" s="112" t="s">
        <v>1524</v>
      </c>
      <c r="AW171" s="178" t="s">
        <v>517</v>
      </c>
      <c r="AZ171" s="178" t="s">
        <v>1144</v>
      </c>
    </row>
    <row r="172" spans="2:52" ht="24.75" customHeight="1" x14ac:dyDescent="0.35">
      <c r="B172" s="179" t="e" cm="1">
        <f t="array" ref="B172">AND(ISTEXT('Consolidado-Eletronorte'!#REF!),SUM('Consolidado-Eletronorte'!#REF!)&gt;0)</f>
        <v>#REF!</v>
      </c>
      <c r="C172" s="162" t="str">
        <f t="shared" ca="1" si="12"/>
        <v>Capex Orcamentário_PE2026_2030_red_35_porcentoR3_consulta.xlsx</v>
      </c>
      <c r="D172" s="163" t="str">
        <f t="shared" si="13"/>
        <v>COO</v>
      </c>
      <c r="E172" s="163" t="str">
        <f t="shared" si="14"/>
        <v>Lucas Martins</v>
      </c>
      <c r="F172" s="164"/>
      <c r="G172" s="164" t="e">
        <f>_xlfn.CONCAT('Consolidado-Eletronorte'!#REF!,"_",ROW('Consolidado-Eletronorte'!#REF!)-ROW('Consolidado-Eletronorte'!$G$18))</f>
        <v>#REF!</v>
      </c>
      <c r="H172" s="165" t="s">
        <v>506</v>
      </c>
      <c r="I172" s="165" t="s">
        <v>135</v>
      </c>
      <c r="J172" s="165" t="s">
        <v>508</v>
      </c>
      <c r="K172" s="165" t="s">
        <v>1039</v>
      </c>
      <c r="L172" s="165" t="s">
        <v>1040</v>
      </c>
      <c r="M172" s="178" t="s">
        <v>1585</v>
      </c>
      <c r="N172" s="165"/>
      <c r="O172" s="165"/>
      <c r="P172" s="165"/>
      <c r="Q172" s="178" t="s">
        <v>1586</v>
      </c>
      <c r="R172" s="178" t="s">
        <v>1376</v>
      </c>
      <c r="S172" s="178" t="s">
        <v>1522</v>
      </c>
      <c r="T172" s="198">
        <v>215</v>
      </c>
      <c r="U172" s="198">
        <v>215</v>
      </c>
      <c r="V172" s="198">
        <v>215</v>
      </c>
      <c r="W172" s="198">
        <v>215</v>
      </c>
      <c r="X172" s="198">
        <v>215</v>
      </c>
      <c r="Y172" s="198">
        <v>215</v>
      </c>
      <c r="Z172" s="198">
        <v>215</v>
      </c>
      <c r="AA172" s="198">
        <v>215</v>
      </c>
      <c r="AB172" s="198">
        <v>215</v>
      </c>
      <c r="AC172" s="198" t="s">
        <v>1045</v>
      </c>
      <c r="AD172" s="198" t="s">
        <v>1045</v>
      </c>
      <c r="AE172" s="198" t="s">
        <v>1045</v>
      </c>
      <c r="AF172" s="197">
        <f>SUM(Tabela96[[#This Row],[jan/26]:[dez/26]])</f>
        <v>1935</v>
      </c>
      <c r="AG172" s="198">
        <v>0</v>
      </c>
      <c r="AH172" s="198">
        <v>0</v>
      </c>
      <c r="AI172" s="198">
        <v>0</v>
      </c>
      <c r="AJ172" s="198">
        <v>0</v>
      </c>
      <c r="AK172" s="198">
        <f>SUM(Tabela96[[#This Row],[2026]:[2030]])</f>
        <v>1935</v>
      </c>
      <c r="AL172" s="198">
        <v>0</v>
      </c>
      <c r="AM172" s="198">
        <v>0</v>
      </c>
      <c r="AN172" s="198">
        <v>0</v>
      </c>
      <c r="AO172" s="198">
        <v>0</v>
      </c>
      <c r="AP172" s="198">
        <v>0</v>
      </c>
      <c r="AQ172" s="202">
        <f>SUM(Tabela96[[#This Row],[2026-2030]:[2035]])</f>
        <v>1935</v>
      </c>
      <c r="AS172" s="178" t="s">
        <v>1046</v>
      </c>
      <c r="AT172" s="201">
        <v>2024</v>
      </c>
      <c r="AU172" s="178" t="s">
        <v>1587</v>
      </c>
      <c r="AV172" s="112" t="s">
        <v>1524</v>
      </c>
      <c r="AW172" s="178" t="s">
        <v>517</v>
      </c>
      <c r="AZ172" s="178" t="s">
        <v>1144</v>
      </c>
    </row>
    <row r="173" spans="2:52" ht="24.75" customHeight="1" x14ac:dyDescent="0.35">
      <c r="B173" s="179" t="e" cm="1">
        <f t="array" ref="B173">AND(ISTEXT('Consolidado-Eletronorte'!#REF!),SUM('Consolidado-Eletronorte'!#REF!)&gt;0)</f>
        <v>#REF!</v>
      </c>
      <c r="C173" s="162" t="str">
        <f t="shared" ca="1" si="12"/>
        <v>Capex Orcamentário_PE2026_2030_red_35_porcentoR3_consulta.xlsx</v>
      </c>
      <c r="D173" s="163" t="str">
        <f t="shared" si="13"/>
        <v>COO</v>
      </c>
      <c r="E173" s="163" t="str">
        <f t="shared" si="14"/>
        <v>Lucas Martins</v>
      </c>
      <c r="F173" s="164"/>
      <c r="G173" s="164" t="e">
        <f>_xlfn.CONCAT('Consolidado-Eletronorte'!#REF!,"_",ROW('Consolidado-Eletronorte'!#REF!)-ROW('Consolidado-Eletronorte'!$G$18))</f>
        <v>#REF!</v>
      </c>
      <c r="H173" s="165" t="s">
        <v>506</v>
      </c>
      <c r="I173" s="165" t="s">
        <v>135</v>
      </c>
      <c r="J173" s="165" t="s">
        <v>508</v>
      </c>
      <c r="K173" s="165" t="s">
        <v>1039</v>
      </c>
      <c r="L173" s="165" t="s">
        <v>1040</v>
      </c>
      <c r="M173" s="178" t="s">
        <v>1588</v>
      </c>
      <c r="N173" s="165"/>
      <c r="O173" s="165"/>
      <c r="P173" s="165"/>
      <c r="Q173" s="178" t="s">
        <v>1589</v>
      </c>
      <c r="R173" s="178" t="s">
        <v>1376</v>
      </c>
      <c r="S173" s="178" t="s">
        <v>1522</v>
      </c>
      <c r="T173" s="198">
        <v>215</v>
      </c>
      <c r="U173" s="198">
        <v>215</v>
      </c>
      <c r="V173" s="198">
        <v>215</v>
      </c>
      <c r="W173" s="198">
        <v>215</v>
      </c>
      <c r="X173" s="198">
        <v>215</v>
      </c>
      <c r="Y173" s="198">
        <v>215</v>
      </c>
      <c r="Z173" s="198">
        <v>215</v>
      </c>
      <c r="AA173" s="198">
        <v>215</v>
      </c>
      <c r="AB173" s="198">
        <v>215</v>
      </c>
      <c r="AC173" s="198" t="s">
        <v>1045</v>
      </c>
      <c r="AD173" s="198" t="s">
        <v>1045</v>
      </c>
      <c r="AE173" s="198" t="s">
        <v>1045</v>
      </c>
      <c r="AF173" s="197">
        <f>SUM(Tabela96[[#This Row],[jan/26]:[dez/26]])</f>
        <v>1935</v>
      </c>
      <c r="AG173" s="198">
        <v>0</v>
      </c>
      <c r="AH173" s="198">
        <v>0</v>
      </c>
      <c r="AI173" s="198">
        <v>0</v>
      </c>
      <c r="AJ173" s="198">
        <v>0</v>
      </c>
      <c r="AK173" s="198">
        <f>SUM(Tabela96[[#This Row],[2026]:[2030]])</f>
        <v>1935</v>
      </c>
      <c r="AL173" s="198">
        <v>0</v>
      </c>
      <c r="AM173" s="198">
        <v>0</v>
      </c>
      <c r="AN173" s="198">
        <v>0</v>
      </c>
      <c r="AO173" s="198">
        <v>0</v>
      </c>
      <c r="AP173" s="198">
        <v>0</v>
      </c>
      <c r="AQ173" s="202">
        <f>SUM(Tabela96[[#This Row],[2026-2030]:[2035]])</f>
        <v>1935</v>
      </c>
      <c r="AS173" s="178" t="s">
        <v>1046</v>
      </c>
      <c r="AT173" s="201">
        <v>2024</v>
      </c>
      <c r="AU173" s="178" t="s">
        <v>1590</v>
      </c>
      <c r="AV173" s="112" t="s">
        <v>1524</v>
      </c>
      <c r="AW173" s="178" t="s">
        <v>517</v>
      </c>
      <c r="AZ173" s="178" t="s">
        <v>1144</v>
      </c>
    </row>
    <row r="174" spans="2:52" ht="24.75" customHeight="1" x14ac:dyDescent="0.35">
      <c r="B174" s="179" t="e" cm="1">
        <f t="array" ref="B174">AND(ISTEXT('Consolidado-Eletronorte'!#REF!),SUM('Consolidado-Eletronorte'!#REF!)&gt;0)</f>
        <v>#REF!</v>
      </c>
      <c r="C174" s="162" t="str">
        <f t="shared" ca="1" si="12"/>
        <v>Capex Orcamentário_PE2026_2030_red_35_porcentoR3_consulta.xlsx</v>
      </c>
      <c r="D174" s="163" t="str">
        <f t="shared" si="13"/>
        <v>COO</v>
      </c>
      <c r="E174" s="163" t="str">
        <f t="shared" si="14"/>
        <v>Lucas Martins</v>
      </c>
      <c r="F174" s="164"/>
      <c r="G174" s="164" t="e">
        <f>_xlfn.CONCAT('Consolidado-Eletronorte'!#REF!,"_",ROW('Consolidado-Eletronorte'!#REF!)-ROW('Consolidado-Eletronorte'!$G$18))</f>
        <v>#REF!</v>
      </c>
      <c r="H174" s="165" t="s">
        <v>506</v>
      </c>
      <c r="I174" s="165" t="s">
        <v>135</v>
      </c>
      <c r="J174" s="165" t="s">
        <v>508</v>
      </c>
      <c r="K174" s="165" t="s">
        <v>1039</v>
      </c>
      <c r="L174" s="165" t="s">
        <v>1040</v>
      </c>
      <c r="M174" s="178" t="s">
        <v>1591</v>
      </c>
      <c r="N174" s="165"/>
      <c r="O174" s="165"/>
      <c r="P174" s="165"/>
      <c r="Q174" s="178" t="s">
        <v>1592</v>
      </c>
      <c r="R174" s="178" t="s">
        <v>1376</v>
      </c>
      <c r="S174" s="178" t="s">
        <v>1522</v>
      </c>
      <c r="T174" s="198">
        <v>215</v>
      </c>
      <c r="U174" s="198">
        <v>215</v>
      </c>
      <c r="V174" s="198">
        <v>215</v>
      </c>
      <c r="W174" s="198">
        <v>215</v>
      </c>
      <c r="X174" s="198">
        <v>215</v>
      </c>
      <c r="Y174" s="198">
        <v>215</v>
      </c>
      <c r="Z174" s="198">
        <v>215</v>
      </c>
      <c r="AA174" s="198">
        <v>215</v>
      </c>
      <c r="AB174" s="198">
        <v>215</v>
      </c>
      <c r="AC174" s="198" t="s">
        <v>1045</v>
      </c>
      <c r="AD174" s="198" t="s">
        <v>1045</v>
      </c>
      <c r="AE174" s="198" t="s">
        <v>1045</v>
      </c>
      <c r="AF174" s="197">
        <f>SUM(Tabela96[[#This Row],[jan/26]:[dez/26]])</f>
        <v>1935</v>
      </c>
      <c r="AG174" s="198">
        <v>0</v>
      </c>
      <c r="AH174" s="198">
        <v>0</v>
      </c>
      <c r="AI174" s="198">
        <v>0</v>
      </c>
      <c r="AJ174" s="198">
        <v>0</v>
      </c>
      <c r="AK174" s="198">
        <f>SUM(Tabela96[[#This Row],[2026]:[2030]])</f>
        <v>1935</v>
      </c>
      <c r="AL174" s="198">
        <v>0</v>
      </c>
      <c r="AM174" s="198">
        <v>0</v>
      </c>
      <c r="AN174" s="198">
        <v>0</v>
      </c>
      <c r="AO174" s="198">
        <v>0</v>
      </c>
      <c r="AP174" s="198">
        <v>0</v>
      </c>
      <c r="AQ174" s="202">
        <f>SUM(Tabela96[[#This Row],[2026-2030]:[2035]])</f>
        <v>1935</v>
      </c>
      <c r="AS174" s="178" t="s">
        <v>1046</v>
      </c>
      <c r="AT174" s="201">
        <v>2024</v>
      </c>
      <c r="AU174" s="178" t="s">
        <v>1593</v>
      </c>
      <c r="AV174" s="112" t="s">
        <v>1524</v>
      </c>
      <c r="AW174" s="178" t="s">
        <v>517</v>
      </c>
      <c r="AZ174" s="178" t="s">
        <v>1144</v>
      </c>
    </row>
    <row r="175" spans="2:52" ht="24.75" customHeight="1" x14ac:dyDescent="0.35">
      <c r="B175" s="179" t="e" cm="1">
        <f t="array" ref="B175">AND(ISTEXT('Consolidado-Eletronorte'!#REF!),SUM('Consolidado-Eletronorte'!#REF!)&gt;0)</f>
        <v>#REF!</v>
      </c>
      <c r="C175" s="162" t="str">
        <f t="shared" ca="1" si="12"/>
        <v>Capex Orcamentário_PE2026_2030_red_35_porcentoR3_consulta.xlsx</v>
      </c>
      <c r="D175" s="163" t="str">
        <f t="shared" si="13"/>
        <v>COO</v>
      </c>
      <c r="E175" s="163" t="str">
        <f t="shared" si="14"/>
        <v>Lucas Martins</v>
      </c>
      <c r="F175" s="164"/>
      <c r="G175" s="164" t="e">
        <f>_xlfn.CONCAT('Consolidado-Eletronorte'!#REF!,"_",ROW('Consolidado-Eletronorte'!#REF!)-ROW('Consolidado-Eletronorte'!$G$18))</f>
        <v>#REF!</v>
      </c>
      <c r="H175" s="165" t="s">
        <v>506</v>
      </c>
      <c r="I175" s="165" t="s">
        <v>135</v>
      </c>
      <c r="J175" s="165" t="s">
        <v>508</v>
      </c>
      <c r="K175" s="165" t="s">
        <v>1039</v>
      </c>
      <c r="L175" s="165" t="s">
        <v>1040</v>
      </c>
      <c r="M175" s="178" t="s">
        <v>1594</v>
      </c>
      <c r="N175" s="165"/>
      <c r="O175" s="165"/>
      <c r="P175" s="165"/>
      <c r="Q175" s="178" t="s">
        <v>1595</v>
      </c>
      <c r="R175" s="178" t="s">
        <v>1376</v>
      </c>
      <c r="S175" s="178" t="s">
        <v>1522</v>
      </c>
      <c r="T175" s="198">
        <v>215</v>
      </c>
      <c r="U175" s="198">
        <v>215</v>
      </c>
      <c r="V175" s="198">
        <v>215</v>
      </c>
      <c r="W175" s="198">
        <v>215</v>
      </c>
      <c r="X175" s="198">
        <v>215</v>
      </c>
      <c r="Y175" s="198">
        <v>215</v>
      </c>
      <c r="Z175" s="198">
        <v>215</v>
      </c>
      <c r="AA175" s="198">
        <v>215</v>
      </c>
      <c r="AB175" s="198">
        <v>215</v>
      </c>
      <c r="AC175" s="198" t="s">
        <v>1045</v>
      </c>
      <c r="AD175" s="198" t="s">
        <v>1045</v>
      </c>
      <c r="AE175" s="198" t="s">
        <v>1045</v>
      </c>
      <c r="AF175" s="197">
        <f>SUM(Tabela96[[#This Row],[jan/26]:[dez/26]])</f>
        <v>1935</v>
      </c>
      <c r="AG175" s="198">
        <v>0</v>
      </c>
      <c r="AH175" s="198">
        <v>0</v>
      </c>
      <c r="AI175" s="198">
        <v>0</v>
      </c>
      <c r="AJ175" s="198">
        <v>0</v>
      </c>
      <c r="AK175" s="198">
        <f>SUM(Tabela96[[#This Row],[2026]:[2030]])</f>
        <v>1935</v>
      </c>
      <c r="AL175" s="198">
        <v>0</v>
      </c>
      <c r="AM175" s="198">
        <v>0</v>
      </c>
      <c r="AN175" s="198">
        <v>0</v>
      </c>
      <c r="AO175" s="198">
        <v>0</v>
      </c>
      <c r="AP175" s="198">
        <v>0</v>
      </c>
      <c r="AQ175" s="202">
        <f>SUM(Tabela96[[#This Row],[2026-2030]:[2035]])</f>
        <v>1935</v>
      </c>
      <c r="AS175" s="178" t="s">
        <v>1046</v>
      </c>
      <c r="AT175" s="201">
        <v>2024</v>
      </c>
      <c r="AU175" s="178" t="s">
        <v>1596</v>
      </c>
      <c r="AV175" s="112" t="s">
        <v>1524</v>
      </c>
      <c r="AW175" s="178" t="s">
        <v>517</v>
      </c>
      <c r="AZ175" s="178" t="s">
        <v>1144</v>
      </c>
    </row>
    <row r="176" spans="2:52" ht="24.75" customHeight="1" x14ac:dyDescent="0.35">
      <c r="B176" s="179" t="e" cm="1">
        <f t="array" ref="B176">AND(ISTEXT('Consolidado-Eletronorte'!#REF!),SUM('Consolidado-Eletronorte'!#REF!)&gt;0)</f>
        <v>#REF!</v>
      </c>
      <c r="C176" s="162" t="str">
        <f t="shared" ca="1" si="12"/>
        <v>Capex Orcamentário_PE2026_2030_red_35_porcentoR3_consulta.xlsx</v>
      </c>
      <c r="D176" s="163" t="str">
        <f t="shared" si="13"/>
        <v>COO</v>
      </c>
      <c r="E176" s="163" t="str">
        <f t="shared" si="14"/>
        <v>Lucas Martins</v>
      </c>
      <c r="F176" s="164"/>
      <c r="G176" s="164" t="e">
        <f>_xlfn.CONCAT('Consolidado-Eletronorte'!#REF!,"_",ROW('Consolidado-Eletronorte'!#REF!)-ROW('Consolidado-Eletronorte'!$G$18))</f>
        <v>#REF!</v>
      </c>
      <c r="H176" s="165" t="s">
        <v>506</v>
      </c>
      <c r="I176" s="165" t="s">
        <v>135</v>
      </c>
      <c r="J176" s="165" t="s">
        <v>508</v>
      </c>
      <c r="K176" s="165" t="s">
        <v>1039</v>
      </c>
      <c r="L176" s="165" t="s">
        <v>1040</v>
      </c>
      <c r="M176" s="178" t="s">
        <v>1597</v>
      </c>
      <c r="N176" s="165"/>
      <c r="O176" s="165"/>
      <c r="P176" s="165"/>
      <c r="Q176" s="178" t="s">
        <v>1598</v>
      </c>
      <c r="R176" s="178" t="s">
        <v>1599</v>
      </c>
      <c r="S176" s="178" t="s">
        <v>1060</v>
      </c>
      <c r="T176" s="198" t="s">
        <v>1045</v>
      </c>
      <c r="U176" s="198" t="s">
        <v>1045</v>
      </c>
      <c r="V176" s="198" t="s">
        <v>1045</v>
      </c>
      <c r="W176" s="198" t="s">
        <v>1045</v>
      </c>
      <c r="X176" s="198" t="s">
        <v>1045</v>
      </c>
      <c r="Y176" s="198" t="s">
        <v>1045</v>
      </c>
      <c r="Z176" s="198" t="s">
        <v>1045</v>
      </c>
      <c r="AA176" s="198"/>
      <c r="AB176" s="198" t="s">
        <v>1045</v>
      </c>
      <c r="AC176" s="198">
        <v>70000</v>
      </c>
      <c r="AD176" s="198"/>
      <c r="AE176" s="198" t="s">
        <v>1045</v>
      </c>
      <c r="AF176" s="197">
        <f>SUM(Tabela96[[#This Row],[jan/26]:[dez/26]])</f>
        <v>70000</v>
      </c>
      <c r="AG176" s="198">
        <v>0</v>
      </c>
      <c r="AH176" s="198">
        <v>0</v>
      </c>
      <c r="AI176" s="198">
        <v>0</v>
      </c>
      <c r="AJ176" s="198">
        <v>0</v>
      </c>
      <c r="AK176" s="198">
        <f>SUM(Tabela96[[#This Row],[2026]:[2030]])</f>
        <v>70000</v>
      </c>
      <c r="AL176" s="198">
        <v>0</v>
      </c>
      <c r="AM176" s="198">
        <v>0</v>
      </c>
      <c r="AN176" s="198">
        <v>0</v>
      </c>
      <c r="AO176" s="198">
        <v>0</v>
      </c>
      <c r="AP176" s="198">
        <v>0</v>
      </c>
      <c r="AQ176" s="202">
        <f>SUM(Tabela96[[#This Row],[2026-2030]:[2035]])</f>
        <v>70000</v>
      </c>
      <c r="AS176" s="178" t="s">
        <v>1600</v>
      </c>
      <c r="AT176" s="201" t="s">
        <v>1601</v>
      </c>
      <c r="AU176" s="178" t="s">
        <v>1602</v>
      </c>
      <c r="AV176" s="112"/>
      <c r="AW176" s="178" t="s">
        <v>1603</v>
      </c>
      <c r="AZ176" s="178" t="s">
        <v>1604</v>
      </c>
    </row>
    <row r="177" spans="2:52" ht="24.75" customHeight="1" x14ac:dyDescent="0.35">
      <c r="B177" s="179" t="e" cm="1">
        <f t="array" ref="B177">AND(ISTEXT('Consolidado-Eletronorte'!#REF!),SUM('Consolidado-Eletronorte'!#REF!)&gt;0)</f>
        <v>#REF!</v>
      </c>
      <c r="C177" s="162" t="str">
        <f t="shared" ref="C177:C208" ca="1" si="15">$J$3</f>
        <v>Capex Orcamentário_PE2026_2030_red_35_porcentoR3_consulta.xlsx</v>
      </c>
      <c r="D177" s="163" t="str">
        <f t="shared" ref="D177:D208" si="16">$H$3</f>
        <v>COO</v>
      </c>
      <c r="E177" s="163" t="str">
        <f t="shared" ref="E177:E208" si="17">$H$4</f>
        <v>Lucas Martins</v>
      </c>
      <c r="F177" s="164"/>
      <c r="G177" s="164" t="e">
        <f>_xlfn.CONCAT('Consolidado-Eletronorte'!#REF!,"_",ROW('Consolidado-Eletronorte'!#REF!)-ROW('Consolidado-Eletronorte'!$G$18))</f>
        <v>#REF!</v>
      </c>
      <c r="H177" s="165" t="s">
        <v>506</v>
      </c>
      <c r="I177" s="165" t="s">
        <v>135</v>
      </c>
      <c r="J177" s="165" t="s">
        <v>508</v>
      </c>
      <c r="K177" s="165" t="s">
        <v>1039</v>
      </c>
      <c r="L177" s="165" t="s">
        <v>1040</v>
      </c>
      <c r="M177" s="165"/>
      <c r="N177" s="165"/>
      <c r="O177" s="165"/>
      <c r="P177" s="165"/>
      <c r="Q177" s="178" t="s">
        <v>1605</v>
      </c>
      <c r="R177" s="178" t="s">
        <v>1606</v>
      </c>
      <c r="S177" s="178" t="s">
        <v>1060</v>
      </c>
      <c r="T177" s="198" t="s">
        <v>1045</v>
      </c>
      <c r="U177" s="198" t="s">
        <v>1045</v>
      </c>
      <c r="V177" s="198" t="s">
        <v>1045</v>
      </c>
      <c r="W177" s="198" t="s">
        <v>1045</v>
      </c>
      <c r="X177" s="198" t="s">
        <v>1045</v>
      </c>
      <c r="Y177" s="198" t="s">
        <v>1045</v>
      </c>
      <c r="Z177" s="198" t="s">
        <v>1045</v>
      </c>
      <c r="AA177" s="198"/>
      <c r="AB177" s="198" t="s">
        <v>1045</v>
      </c>
      <c r="AC177" s="198" t="s">
        <v>1045</v>
      </c>
      <c r="AD177" s="198">
        <v>75000</v>
      </c>
      <c r="AE177" s="198" t="s">
        <v>1045</v>
      </c>
      <c r="AF177" s="197">
        <f>SUM(Tabela96[[#This Row],[jan/26]:[dez/26]])</f>
        <v>75000</v>
      </c>
      <c r="AG177" s="198">
        <v>75000</v>
      </c>
      <c r="AH177" s="198">
        <v>0</v>
      </c>
      <c r="AI177" s="198">
        <v>0</v>
      </c>
      <c r="AJ177" s="198">
        <v>0</v>
      </c>
      <c r="AK177" s="198">
        <f>SUM(Tabela96[[#This Row],[2026]:[2030]])</f>
        <v>150000</v>
      </c>
      <c r="AL177" s="198">
        <v>0</v>
      </c>
      <c r="AM177" s="198">
        <v>0</v>
      </c>
      <c r="AN177" s="198">
        <v>0</v>
      </c>
      <c r="AO177" s="198">
        <v>0</v>
      </c>
      <c r="AP177" s="198">
        <v>0</v>
      </c>
      <c r="AQ177" s="202">
        <f>SUM(Tabela96[[#This Row],[2026-2030]:[2035]])</f>
        <v>150000</v>
      </c>
      <c r="AS177" s="178" t="s">
        <v>1600</v>
      </c>
      <c r="AT177" s="201" t="s">
        <v>1601</v>
      </c>
      <c r="AU177" s="178" t="s">
        <v>1607</v>
      </c>
      <c r="AV177" s="112"/>
      <c r="AW177" s="178" t="s">
        <v>1603</v>
      </c>
      <c r="AZ177" s="178" t="s">
        <v>1604</v>
      </c>
    </row>
    <row r="178" spans="2:52" ht="24.75" customHeight="1" x14ac:dyDescent="0.35">
      <c r="B178" s="179" t="e" cm="1">
        <f t="array" ref="B178">AND(ISTEXT('Consolidado-Eletronorte'!#REF!),SUM('Consolidado-Eletronorte'!#REF!)&gt;0)</f>
        <v>#REF!</v>
      </c>
      <c r="C178" s="162" t="str">
        <f t="shared" ca="1" si="15"/>
        <v>Capex Orcamentário_PE2026_2030_red_35_porcentoR3_consulta.xlsx</v>
      </c>
      <c r="D178" s="163" t="str">
        <f t="shared" si="16"/>
        <v>COO</v>
      </c>
      <c r="E178" s="163" t="str">
        <f t="shared" si="17"/>
        <v>Lucas Martins</v>
      </c>
      <c r="F178" s="164"/>
      <c r="G178" s="164" t="e">
        <f>_xlfn.CONCAT('Consolidado-Eletronorte'!#REF!,"_",ROW('Consolidado-Eletronorte'!#REF!)-ROW('Consolidado-Eletronorte'!$G$18))</f>
        <v>#REF!</v>
      </c>
      <c r="H178" s="165" t="s">
        <v>506</v>
      </c>
      <c r="I178" s="165" t="s">
        <v>135</v>
      </c>
      <c r="J178" s="165" t="s">
        <v>508</v>
      </c>
      <c r="K178" s="165" t="s">
        <v>1039</v>
      </c>
      <c r="L178" s="165" t="s">
        <v>1040</v>
      </c>
      <c r="M178" s="165"/>
      <c r="N178" s="165"/>
      <c r="O178" s="165"/>
      <c r="P178" s="165"/>
      <c r="Q178" s="178" t="s">
        <v>1608</v>
      </c>
      <c r="R178" s="178" t="s">
        <v>1609</v>
      </c>
      <c r="S178" s="178" t="s">
        <v>1034</v>
      </c>
      <c r="T178" s="198" t="s">
        <v>1045</v>
      </c>
      <c r="U178" s="198" t="s">
        <v>1045</v>
      </c>
      <c r="V178" s="198" t="s">
        <v>1045</v>
      </c>
      <c r="W178" s="198" t="s">
        <v>1045</v>
      </c>
      <c r="X178" s="198" t="s">
        <v>1045</v>
      </c>
      <c r="Y178" s="198" t="s">
        <v>1045</v>
      </c>
      <c r="Z178" s="198" t="s">
        <v>1045</v>
      </c>
      <c r="AA178" s="198"/>
      <c r="AB178" s="198" t="s">
        <v>1045</v>
      </c>
      <c r="AC178" s="198">
        <v>70000</v>
      </c>
      <c r="AD178" s="198" t="s">
        <v>1045</v>
      </c>
      <c r="AE178" s="198" t="s">
        <v>1045</v>
      </c>
      <c r="AF178" s="197">
        <f>SUM(Tabela96[[#This Row],[jan/26]:[dez/26]])</f>
        <v>70000</v>
      </c>
      <c r="AG178" s="198">
        <v>0</v>
      </c>
      <c r="AH178" s="198">
        <v>0</v>
      </c>
      <c r="AI178" s="198">
        <v>0</v>
      </c>
      <c r="AJ178" s="198">
        <v>0</v>
      </c>
      <c r="AK178" s="198">
        <f>SUM(Tabela96[[#This Row],[2026]:[2030]])</f>
        <v>70000</v>
      </c>
      <c r="AL178" s="198">
        <v>0</v>
      </c>
      <c r="AM178" s="198">
        <v>0</v>
      </c>
      <c r="AN178" s="198">
        <v>0</v>
      </c>
      <c r="AO178" s="198">
        <v>0</v>
      </c>
      <c r="AP178" s="198">
        <v>0</v>
      </c>
      <c r="AQ178" s="202">
        <f>SUM(Tabela96[[#This Row],[2026-2030]:[2035]])</f>
        <v>70000</v>
      </c>
      <c r="AS178" s="178" t="s">
        <v>1600</v>
      </c>
      <c r="AT178" s="201" t="s">
        <v>1601</v>
      </c>
      <c r="AU178" s="178" t="s">
        <v>1610</v>
      </c>
      <c r="AV178" s="112"/>
      <c r="AW178" s="178" t="s">
        <v>1603</v>
      </c>
      <c r="AZ178" s="178" t="s">
        <v>1604</v>
      </c>
    </row>
    <row r="179" spans="2:52" ht="24.75" customHeight="1" x14ac:dyDescent="0.35">
      <c r="B179" s="179" t="e" cm="1">
        <f t="array" ref="B179">AND(ISTEXT('Consolidado-Eletronorte'!#REF!),SUM('Consolidado-Eletronorte'!#REF!)&gt;0)</f>
        <v>#REF!</v>
      </c>
      <c r="C179" s="162" t="str">
        <f t="shared" ca="1" si="15"/>
        <v>Capex Orcamentário_PE2026_2030_red_35_porcentoR3_consulta.xlsx</v>
      </c>
      <c r="D179" s="163" t="str">
        <f t="shared" si="16"/>
        <v>COO</v>
      </c>
      <c r="E179" s="163" t="str">
        <f t="shared" si="17"/>
        <v>Lucas Martins</v>
      </c>
      <c r="F179" s="164"/>
      <c r="G179" s="164" t="e">
        <f>_xlfn.CONCAT('Consolidado-Eletronorte'!#REF!,"_",ROW('Consolidado-Eletronorte'!#REF!)-ROW('Consolidado-Eletronorte'!$G$18))</f>
        <v>#REF!</v>
      </c>
      <c r="H179" s="165" t="s">
        <v>506</v>
      </c>
      <c r="I179" s="165" t="s">
        <v>135</v>
      </c>
      <c r="J179" s="165" t="s">
        <v>508</v>
      </c>
      <c r="K179" s="165" t="s">
        <v>1039</v>
      </c>
      <c r="L179" s="165" t="s">
        <v>1040</v>
      </c>
      <c r="M179" s="165"/>
      <c r="N179" s="165"/>
      <c r="O179" s="165"/>
      <c r="P179" s="165"/>
      <c r="Q179" s="178" t="s">
        <v>1611</v>
      </c>
      <c r="R179" s="178" t="s">
        <v>1612</v>
      </c>
      <c r="S179" s="178" t="s">
        <v>1034</v>
      </c>
      <c r="T179" s="198" t="s">
        <v>1045</v>
      </c>
      <c r="U179" s="198" t="s">
        <v>1045</v>
      </c>
      <c r="V179" s="198" t="s">
        <v>1045</v>
      </c>
      <c r="W179" s="198" t="s">
        <v>1045</v>
      </c>
      <c r="X179" s="198" t="s">
        <v>1045</v>
      </c>
      <c r="Y179" s="198" t="s">
        <v>1045</v>
      </c>
      <c r="Z179" s="198" t="s">
        <v>1045</v>
      </c>
      <c r="AA179" s="198"/>
      <c r="AB179" s="198" t="s">
        <v>1045</v>
      </c>
      <c r="AC179" s="198" t="s">
        <v>1045</v>
      </c>
      <c r="AD179" s="198">
        <v>90000</v>
      </c>
      <c r="AE179" s="198" t="s">
        <v>1045</v>
      </c>
      <c r="AF179" s="197">
        <f>SUM(Tabela96[[#This Row],[jan/26]:[dez/26]])</f>
        <v>90000</v>
      </c>
      <c r="AG179" s="198">
        <v>90000</v>
      </c>
      <c r="AH179" s="198">
        <v>0</v>
      </c>
      <c r="AI179" s="198">
        <v>0</v>
      </c>
      <c r="AJ179" s="198">
        <v>0</v>
      </c>
      <c r="AK179" s="198">
        <f>SUM(Tabela96[[#This Row],[2026]:[2030]])</f>
        <v>180000</v>
      </c>
      <c r="AL179" s="198">
        <v>0</v>
      </c>
      <c r="AM179" s="198">
        <v>0</v>
      </c>
      <c r="AN179" s="198">
        <v>0</v>
      </c>
      <c r="AO179" s="198">
        <v>0</v>
      </c>
      <c r="AP179" s="198">
        <v>0</v>
      </c>
      <c r="AQ179" s="202">
        <f>SUM(Tabela96[[#This Row],[2026-2030]:[2035]])</f>
        <v>180000</v>
      </c>
      <c r="AS179" s="178" t="s">
        <v>1600</v>
      </c>
      <c r="AT179" s="201" t="s">
        <v>1601</v>
      </c>
      <c r="AU179" s="178" t="s">
        <v>1613</v>
      </c>
      <c r="AV179" s="112"/>
      <c r="AW179" s="178" t="s">
        <v>1603</v>
      </c>
      <c r="AZ179" s="178" t="s">
        <v>1604</v>
      </c>
    </row>
    <row r="180" spans="2:52" ht="24.75" customHeight="1" x14ac:dyDescent="0.35">
      <c r="B180" s="179" t="e" cm="1">
        <f t="array" ref="B180">AND(ISTEXT('Consolidado-Eletronorte'!#REF!),SUM('Consolidado-Eletronorte'!#REF!)&gt;0)</f>
        <v>#REF!</v>
      </c>
      <c r="C180" s="162" t="str">
        <f t="shared" ca="1" si="15"/>
        <v>Capex Orcamentário_PE2026_2030_red_35_porcentoR3_consulta.xlsx</v>
      </c>
      <c r="D180" s="163" t="str">
        <f t="shared" si="16"/>
        <v>COO</v>
      </c>
      <c r="E180" s="163" t="str">
        <f t="shared" si="17"/>
        <v>Lucas Martins</v>
      </c>
      <c r="F180" s="164"/>
      <c r="G180" s="164" t="e">
        <f>_xlfn.CONCAT('Consolidado-Eletronorte'!#REF!,"_",ROW('Consolidado-Eletronorte'!#REF!)-ROW('Consolidado-Eletronorte'!$G$18))</f>
        <v>#REF!</v>
      </c>
      <c r="H180" s="165" t="s">
        <v>506</v>
      </c>
      <c r="I180" s="165" t="s">
        <v>135</v>
      </c>
      <c r="J180" s="165" t="s">
        <v>508</v>
      </c>
      <c r="K180" s="165" t="s">
        <v>1039</v>
      </c>
      <c r="L180" s="165" t="s">
        <v>1040</v>
      </c>
      <c r="M180" s="165"/>
      <c r="N180" s="165"/>
      <c r="O180" s="165"/>
      <c r="P180" s="165"/>
      <c r="Q180" s="178" t="s">
        <v>1614</v>
      </c>
      <c r="R180" s="178" t="s">
        <v>1615</v>
      </c>
      <c r="S180" s="178" t="s">
        <v>1034</v>
      </c>
      <c r="T180" s="198" t="s">
        <v>1045</v>
      </c>
      <c r="U180" s="198" t="s">
        <v>1045</v>
      </c>
      <c r="V180" s="198" t="s">
        <v>1045</v>
      </c>
      <c r="W180" s="198" t="s">
        <v>1045</v>
      </c>
      <c r="X180" s="198" t="s">
        <v>1045</v>
      </c>
      <c r="Y180" s="198" t="s">
        <v>1045</v>
      </c>
      <c r="Z180" s="198">
        <v>60000</v>
      </c>
      <c r="AA180" s="198" t="s">
        <v>1045</v>
      </c>
      <c r="AB180" s="198" t="s">
        <v>1045</v>
      </c>
      <c r="AC180" s="198" t="s">
        <v>1045</v>
      </c>
      <c r="AD180" s="198" t="s">
        <v>1045</v>
      </c>
      <c r="AE180" s="198" t="s">
        <v>1045</v>
      </c>
      <c r="AF180" s="197">
        <f>SUM(Tabela96[[#This Row],[jan/26]:[dez/26]])</f>
        <v>60000</v>
      </c>
      <c r="AG180" s="198">
        <v>0</v>
      </c>
      <c r="AH180" s="198">
        <v>0</v>
      </c>
      <c r="AI180" s="198">
        <v>0</v>
      </c>
      <c r="AJ180" s="198">
        <v>0</v>
      </c>
      <c r="AK180" s="198">
        <f>SUM(Tabela96[[#This Row],[2026]:[2030]])</f>
        <v>60000</v>
      </c>
      <c r="AL180" s="198">
        <v>0</v>
      </c>
      <c r="AM180" s="198">
        <v>0</v>
      </c>
      <c r="AN180" s="198">
        <v>0</v>
      </c>
      <c r="AO180" s="198">
        <v>0</v>
      </c>
      <c r="AP180" s="198">
        <v>0</v>
      </c>
      <c r="AQ180" s="202">
        <f>SUM(Tabela96[[#This Row],[2026-2030]:[2035]])</f>
        <v>60000</v>
      </c>
      <c r="AS180" s="178" t="s">
        <v>1600</v>
      </c>
      <c r="AT180" s="201" t="s">
        <v>1601</v>
      </c>
      <c r="AU180" s="178" t="s">
        <v>1616</v>
      </c>
      <c r="AV180" s="112"/>
      <c r="AW180" s="178" t="s">
        <v>1603</v>
      </c>
      <c r="AZ180" s="178" t="s">
        <v>1604</v>
      </c>
    </row>
    <row r="181" spans="2:52" ht="24.75" customHeight="1" x14ac:dyDescent="0.35">
      <c r="B181" s="179" t="e" cm="1">
        <f t="array" ref="B181">AND(ISTEXT('Consolidado-Eletronorte'!#REF!),SUM('Consolidado-Eletronorte'!#REF!)&gt;0)</f>
        <v>#REF!</v>
      </c>
      <c r="C181" s="162" t="str">
        <f t="shared" ca="1" si="15"/>
        <v>Capex Orcamentário_PE2026_2030_red_35_porcentoR3_consulta.xlsx</v>
      </c>
      <c r="D181" s="163" t="str">
        <f t="shared" si="16"/>
        <v>COO</v>
      </c>
      <c r="E181" s="163" t="str">
        <f t="shared" si="17"/>
        <v>Lucas Martins</v>
      </c>
      <c r="F181" s="164"/>
      <c r="G181" s="164" t="e">
        <f>_xlfn.CONCAT('Consolidado-Eletronorte'!#REF!,"_",ROW('Consolidado-Eletronorte'!#REF!)-ROW('Consolidado-Eletronorte'!$G$18))</f>
        <v>#REF!</v>
      </c>
      <c r="H181" s="165" t="s">
        <v>506</v>
      </c>
      <c r="I181" s="165" t="s">
        <v>135</v>
      </c>
      <c r="J181" s="165" t="s">
        <v>508</v>
      </c>
      <c r="K181" s="165" t="s">
        <v>1039</v>
      </c>
      <c r="L181" s="165" t="s">
        <v>1040</v>
      </c>
      <c r="M181" s="165"/>
      <c r="N181" s="165"/>
      <c r="O181" s="165"/>
      <c r="P181" s="165"/>
      <c r="Q181" s="178" t="s">
        <v>1617</v>
      </c>
      <c r="R181" s="178" t="s">
        <v>1618</v>
      </c>
      <c r="S181" s="178" t="s">
        <v>1034</v>
      </c>
      <c r="T181" s="198" t="s">
        <v>1045</v>
      </c>
      <c r="U181" s="198" t="s">
        <v>1045</v>
      </c>
      <c r="V181" s="198" t="s">
        <v>1045</v>
      </c>
      <c r="W181" s="198" t="s">
        <v>1045</v>
      </c>
      <c r="X181" s="198" t="s">
        <v>1045</v>
      </c>
      <c r="Y181" s="198" t="s">
        <v>1045</v>
      </c>
      <c r="Z181" s="198" t="s">
        <v>1045</v>
      </c>
      <c r="AA181" s="198" t="s">
        <v>1045</v>
      </c>
      <c r="AB181" s="198">
        <v>22000</v>
      </c>
      <c r="AC181" s="198" t="s">
        <v>1045</v>
      </c>
      <c r="AD181" s="198" t="s">
        <v>1045</v>
      </c>
      <c r="AE181" s="198" t="s">
        <v>1045</v>
      </c>
      <c r="AF181" s="197">
        <f>SUM(Tabela96[[#This Row],[jan/26]:[dez/26]])</f>
        <v>22000</v>
      </c>
      <c r="AG181" s="198">
        <v>0</v>
      </c>
      <c r="AH181" s="198">
        <v>0</v>
      </c>
      <c r="AI181" s="198">
        <v>0</v>
      </c>
      <c r="AJ181" s="198">
        <v>0</v>
      </c>
      <c r="AK181" s="198">
        <f>SUM(Tabela96[[#This Row],[2026]:[2030]])</f>
        <v>22000</v>
      </c>
      <c r="AL181" s="198">
        <v>0</v>
      </c>
      <c r="AM181" s="198">
        <v>0</v>
      </c>
      <c r="AN181" s="198">
        <v>0</v>
      </c>
      <c r="AO181" s="198">
        <v>0</v>
      </c>
      <c r="AP181" s="198">
        <v>0</v>
      </c>
      <c r="AQ181" s="202">
        <f>SUM(Tabela96[[#This Row],[2026-2030]:[2035]])</f>
        <v>22000</v>
      </c>
      <c r="AS181" s="178" t="s">
        <v>1600</v>
      </c>
      <c r="AT181" s="201" t="s">
        <v>1601</v>
      </c>
      <c r="AU181" s="178" t="s">
        <v>1619</v>
      </c>
      <c r="AV181" s="112"/>
      <c r="AW181" s="178" t="s">
        <v>1603</v>
      </c>
      <c r="AZ181" s="178" t="s">
        <v>1604</v>
      </c>
    </row>
    <row r="182" spans="2:52" ht="24.75" customHeight="1" x14ac:dyDescent="0.35">
      <c r="B182" s="179" t="e" cm="1">
        <f t="array" ref="B182">AND(ISTEXT('Consolidado-Eletronorte'!#REF!),SUM('Consolidado-Eletronorte'!#REF!)&gt;0)</f>
        <v>#REF!</v>
      </c>
      <c r="C182" s="162" t="str">
        <f t="shared" ca="1" si="15"/>
        <v>Capex Orcamentário_PE2026_2030_red_35_porcentoR3_consulta.xlsx</v>
      </c>
      <c r="D182" s="163" t="str">
        <f t="shared" si="16"/>
        <v>COO</v>
      </c>
      <c r="E182" s="163" t="str">
        <f t="shared" si="17"/>
        <v>Lucas Martins</v>
      </c>
      <c r="F182" s="164"/>
      <c r="G182" s="164" t="e">
        <f>_xlfn.CONCAT('Consolidado-Eletronorte'!#REF!,"_",ROW('Consolidado-Eletronorte'!#REF!)-ROW('Consolidado-Eletronorte'!$G$18))</f>
        <v>#REF!</v>
      </c>
      <c r="H182" s="165" t="s">
        <v>506</v>
      </c>
      <c r="I182" s="165" t="s">
        <v>135</v>
      </c>
      <c r="J182" s="165" t="s">
        <v>508</v>
      </c>
      <c r="K182" s="165" t="s">
        <v>1039</v>
      </c>
      <c r="L182" s="165" t="s">
        <v>1040</v>
      </c>
      <c r="M182" s="165"/>
      <c r="N182" s="165"/>
      <c r="O182" s="165"/>
      <c r="P182" s="165"/>
      <c r="Q182" s="178" t="s">
        <v>1620</v>
      </c>
      <c r="R182" s="178" t="s">
        <v>1615</v>
      </c>
      <c r="S182" s="178" t="s">
        <v>1034</v>
      </c>
      <c r="T182" s="198" t="s">
        <v>1045</v>
      </c>
      <c r="U182" s="198" t="s">
        <v>1045</v>
      </c>
      <c r="V182" s="198" t="s">
        <v>1045</v>
      </c>
      <c r="W182" s="198" t="s">
        <v>1045</v>
      </c>
      <c r="X182" s="198" t="s">
        <v>1045</v>
      </c>
      <c r="Y182" s="198" t="s">
        <v>1045</v>
      </c>
      <c r="Z182" s="198">
        <v>60000</v>
      </c>
      <c r="AA182" s="198" t="s">
        <v>1045</v>
      </c>
      <c r="AB182" s="198" t="s">
        <v>1045</v>
      </c>
      <c r="AC182" s="198" t="s">
        <v>1045</v>
      </c>
      <c r="AD182" s="198" t="s">
        <v>1045</v>
      </c>
      <c r="AE182" s="198" t="s">
        <v>1045</v>
      </c>
      <c r="AF182" s="197">
        <f>SUM(Tabela96[[#This Row],[jan/26]:[dez/26]])</f>
        <v>60000</v>
      </c>
      <c r="AG182" s="198">
        <v>0</v>
      </c>
      <c r="AH182" s="198">
        <v>0</v>
      </c>
      <c r="AI182" s="198">
        <v>0</v>
      </c>
      <c r="AJ182" s="198">
        <v>0</v>
      </c>
      <c r="AK182" s="198">
        <f>SUM(Tabela96[[#This Row],[2026]:[2030]])</f>
        <v>60000</v>
      </c>
      <c r="AL182" s="198">
        <v>0</v>
      </c>
      <c r="AM182" s="198">
        <v>0</v>
      </c>
      <c r="AN182" s="198">
        <v>0</v>
      </c>
      <c r="AO182" s="198">
        <v>0</v>
      </c>
      <c r="AP182" s="198">
        <v>0</v>
      </c>
      <c r="AQ182" s="202">
        <f>SUM(Tabela96[[#This Row],[2026-2030]:[2035]])</f>
        <v>60000</v>
      </c>
      <c r="AS182" s="178" t="s">
        <v>1600</v>
      </c>
      <c r="AT182" s="201" t="s">
        <v>1601</v>
      </c>
      <c r="AU182" s="178" t="s">
        <v>1621</v>
      </c>
      <c r="AV182" s="112"/>
      <c r="AW182" s="178" t="s">
        <v>1603</v>
      </c>
      <c r="AZ182" s="178" t="s">
        <v>1604</v>
      </c>
    </row>
    <row r="183" spans="2:52" ht="24.75" customHeight="1" x14ac:dyDescent="0.35">
      <c r="B183" s="179" t="e" cm="1">
        <f t="array" ref="B183">AND(ISTEXT('Consolidado-Eletronorte'!#REF!),SUM('Consolidado-Eletronorte'!#REF!)&gt;0)</f>
        <v>#REF!</v>
      </c>
      <c r="C183" s="162" t="str">
        <f t="shared" ca="1" si="15"/>
        <v>Capex Orcamentário_PE2026_2030_red_35_porcentoR3_consulta.xlsx</v>
      </c>
      <c r="D183" s="163" t="str">
        <f t="shared" si="16"/>
        <v>COO</v>
      </c>
      <c r="E183" s="163" t="str">
        <f t="shared" si="17"/>
        <v>Lucas Martins</v>
      </c>
      <c r="F183" s="164"/>
      <c r="G183" s="164" t="e">
        <f>_xlfn.CONCAT('Consolidado-Eletronorte'!#REF!,"_",ROW('Consolidado-Eletronorte'!#REF!)-ROW('Consolidado-Eletronorte'!$G$18))</f>
        <v>#REF!</v>
      </c>
      <c r="H183" s="165" t="s">
        <v>506</v>
      </c>
      <c r="I183" s="165" t="s">
        <v>135</v>
      </c>
      <c r="J183" s="165" t="s">
        <v>508</v>
      </c>
      <c r="K183" s="165" t="s">
        <v>1039</v>
      </c>
      <c r="L183" s="165" t="s">
        <v>1040</v>
      </c>
      <c r="M183" s="165"/>
      <c r="N183" s="165"/>
      <c r="O183" s="165"/>
      <c r="P183" s="165"/>
      <c r="Q183" s="178" t="s">
        <v>1622</v>
      </c>
      <c r="R183" s="178" t="s">
        <v>1618</v>
      </c>
      <c r="S183" s="178" t="s">
        <v>1034</v>
      </c>
      <c r="T183" s="198" t="s">
        <v>1045</v>
      </c>
      <c r="U183" s="198" t="s">
        <v>1045</v>
      </c>
      <c r="V183" s="198" t="s">
        <v>1045</v>
      </c>
      <c r="W183" s="198" t="s">
        <v>1045</v>
      </c>
      <c r="X183" s="198" t="s">
        <v>1045</v>
      </c>
      <c r="Y183" s="198" t="s">
        <v>1045</v>
      </c>
      <c r="Z183" s="198" t="s">
        <v>1045</v>
      </c>
      <c r="AA183" s="198" t="s">
        <v>1045</v>
      </c>
      <c r="AB183" s="198">
        <v>22000</v>
      </c>
      <c r="AC183" s="198" t="s">
        <v>1045</v>
      </c>
      <c r="AD183" s="198" t="s">
        <v>1045</v>
      </c>
      <c r="AE183" s="198" t="s">
        <v>1045</v>
      </c>
      <c r="AF183" s="197">
        <f>SUM(Tabela96[[#This Row],[jan/26]:[dez/26]])</f>
        <v>22000</v>
      </c>
      <c r="AG183" s="198">
        <v>0</v>
      </c>
      <c r="AH183" s="198">
        <v>0</v>
      </c>
      <c r="AI183" s="198">
        <v>0</v>
      </c>
      <c r="AJ183" s="198">
        <v>0</v>
      </c>
      <c r="AK183" s="198">
        <f>SUM(Tabela96[[#This Row],[2026]:[2030]])</f>
        <v>22000</v>
      </c>
      <c r="AL183" s="198">
        <v>0</v>
      </c>
      <c r="AM183" s="198">
        <v>0</v>
      </c>
      <c r="AN183" s="198">
        <v>0</v>
      </c>
      <c r="AO183" s="198">
        <v>0</v>
      </c>
      <c r="AP183" s="198">
        <v>0</v>
      </c>
      <c r="AQ183" s="202">
        <f>SUM(Tabela96[[#This Row],[2026-2030]:[2035]])</f>
        <v>22000</v>
      </c>
      <c r="AS183" s="178" t="s">
        <v>1600</v>
      </c>
      <c r="AT183" s="201" t="s">
        <v>1601</v>
      </c>
      <c r="AU183" s="178" t="s">
        <v>1623</v>
      </c>
      <c r="AV183" s="112"/>
      <c r="AW183" s="178" t="s">
        <v>1603</v>
      </c>
      <c r="AZ183" s="178" t="s">
        <v>1604</v>
      </c>
    </row>
    <row r="184" spans="2:52" ht="24.75" customHeight="1" x14ac:dyDescent="0.35">
      <c r="B184" s="179" t="e" cm="1">
        <f t="array" ref="B184">AND(ISTEXT('Consolidado-Eletronorte'!#REF!),SUM('Consolidado-Eletronorte'!#REF!)&gt;0)</f>
        <v>#REF!</v>
      </c>
      <c r="C184" s="162" t="str">
        <f t="shared" ca="1" si="15"/>
        <v>Capex Orcamentário_PE2026_2030_red_35_porcentoR3_consulta.xlsx</v>
      </c>
      <c r="D184" s="163" t="str">
        <f t="shared" si="16"/>
        <v>COO</v>
      </c>
      <c r="E184" s="163" t="str">
        <f t="shared" si="17"/>
        <v>Lucas Martins</v>
      </c>
      <c r="F184" s="164"/>
      <c r="G184" s="164" t="e">
        <f>_xlfn.CONCAT('Consolidado-Eletronorte'!#REF!,"_",ROW('Consolidado-Eletronorte'!#REF!)-ROW('Consolidado-Eletronorte'!$G$18))</f>
        <v>#REF!</v>
      </c>
      <c r="H184" s="165" t="s">
        <v>506</v>
      </c>
      <c r="I184" s="165" t="s">
        <v>135</v>
      </c>
      <c r="J184" s="165" t="s">
        <v>508</v>
      </c>
      <c r="K184" s="165" t="s">
        <v>1039</v>
      </c>
      <c r="L184" s="165" t="s">
        <v>1040</v>
      </c>
      <c r="M184" s="165"/>
      <c r="N184" s="165"/>
      <c r="O184" s="165"/>
      <c r="P184" s="165"/>
      <c r="Q184" s="178" t="s">
        <v>1624</v>
      </c>
      <c r="R184" s="178" t="s">
        <v>1615</v>
      </c>
      <c r="S184" s="178" t="s">
        <v>1034</v>
      </c>
      <c r="T184" s="198" t="s">
        <v>1045</v>
      </c>
      <c r="U184" s="198" t="s">
        <v>1045</v>
      </c>
      <c r="V184" s="198" t="s">
        <v>1045</v>
      </c>
      <c r="W184" s="198" t="s">
        <v>1045</v>
      </c>
      <c r="X184" s="198" t="s">
        <v>1045</v>
      </c>
      <c r="Y184" s="198" t="s">
        <v>1045</v>
      </c>
      <c r="Z184" s="198">
        <v>60000</v>
      </c>
      <c r="AA184" s="198" t="s">
        <v>1045</v>
      </c>
      <c r="AB184" s="198" t="s">
        <v>1045</v>
      </c>
      <c r="AC184" s="198" t="s">
        <v>1045</v>
      </c>
      <c r="AD184" s="198" t="s">
        <v>1045</v>
      </c>
      <c r="AE184" s="198" t="s">
        <v>1045</v>
      </c>
      <c r="AF184" s="197">
        <f>SUM(Tabela96[[#This Row],[jan/26]:[dez/26]])</f>
        <v>60000</v>
      </c>
      <c r="AG184" s="198">
        <v>0</v>
      </c>
      <c r="AH184" s="198">
        <v>0</v>
      </c>
      <c r="AI184" s="198">
        <v>0</v>
      </c>
      <c r="AJ184" s="198">
        <v>0</v>
      </c>
      <c r="AK184" s="198">
        <f>SUM(Tabela96[[#This Row],[2026]:[2030]])</f>
        <v>60000</v>
      </c>
      <c r="AL184" s="198">
        <v>0</v>
      </c>
      <c r="AM184" s="198">
        <v>0</v>
      </c>
      <c r="AN184" s="198">
        <v>0</v>
      </c>
      <c r="AO184" s="198">
        <v>0</v>
      </c>
      <c r="AP184" s="198">
        <v>0</v>
      </c>
      <c r="AQ184" s="202">
        <f>SUM(Tabela96[[#This Row],[2026-2030]:[2035]])</f>
        <v>60000</v>
      </c>
      <c r="AS184" s="178" t="s">
        <v>1600</v>
      </c>
      <c r="AT184" s="201" t="s">
        <v>1601</v>
      </c>
      <c r="AU184" s="178" t="s">
        <v>1625</v>
      </c>
      <c r="AV184" s="112"/>
      <c r="AW184" s="178" t="s">
        <v>1603</v>
      </c>
      <c r="AZ184" s="178" t="s">
        <v>1604</v>
      </c>
    </row>
    <row r="185" spans="2:52" ht="24.75" customHeight="1" x14ac:dyDescent="0.35">
      <c r="B185" s="179" t="e" cm="1">
        <f t="array" ref="B185">AND(ISTEXT('Consolidado-Eletronorte'!#REF!),SUM('Consolidado-Eletronorte'!#REF!)&gt;0)</f>
        <v>#REF!</v>
      </c>
      <c r="C185" s="162" t="str">
        <f t="shared" ca="1" si="15"/>
        <v>Capex Orcamentário_PE2026_2030_red_35_porcentoR3_consulta.xlsx</v>
      </c>
      <c r="D185" s="163" t="str">
        <f t="shared" si="16"/>
        <v>COO</v>
      </c>
      <c r="E185" s="163" t="str">
        <f t="shared" si="17"/>
        <v>Lucas Martins</v>
      </c>
      <c r="F185" s="164"/>
      <c r="G185" s="164" t="e">
        <f>_xlfn.CONCAT('Consolidado-Eletronorte'!#REF!,"_",ROW('Consolidado-Eletronorte'!#REF!)-ROW('Consolidado-Eletronorte'!$G$18))</f>
        <v>#REF!</v>
      </c>
      <c r="H185" s="165" t="s">
        <v>506</v>
      </c>
      <c r="I185" s="165" t="s">
        <v>135</v>
      </c>
      <c r="J185" s="165" t="s">
        <v>508</v>
      </c>
      <c r="K185" s="165" t="s">
        <v>1039</v>
      </c>
      <c r="L185" s="165" t="s">
        <v>1040</v>
      </c>
      <c r="M185" s="165"/>
      <c r="N185" s="165"/>
      <c r="O185" s="165"/>
      <c r="P185" s="165"/>
      <c r="Q185" s="178" t="s">
        <v>1626</v>
      </c>
      <c r="R185" s="178" t="s">
        <v>1618</v>
      </c>
      <c r="S185" s="178" t="s">
        <v>1034</v>
      </c>
      <c r="T185" s="198" t="s">
        <v>1045</v>
      </c>
      <c r="U185" s="198" t="s">
        <v>1045</v>
      </c>
      <c r="V185" s="198" t="s">
        <v>1045</v>
      </c>
      <c r="W185" s="198" t="s">
        <v>1045</v>
      </c>
      <c r="X185" s="198" t="s">
        <v>1045</v>
      </c>
      <c r="Y185" s="198" t="s">
        <v>1045</v>
      </c>
      <c r="Z185" s="198" t="s">
        <v>1045</v>
      </c>
      <c r="AA185" s="198" t="s">
        <v>1045</v>
      </c>
      <c r="AB185" s="198" t="s">
        <v>1045</v>
      </c>
      <c r="AC185" s="198" t="s">
        <v>1045</v>
      </c>
      <c r="AD185" s="198">
        <v>22000</v>
      </c>
      <c r="AE185" s="198" t="s">
        <v>1045</v>
      </c>
      <c r="AF185" s="197">
        <f>SUM(Tabela96[[#This Row],[jan/26]:[dez/26]])</f>
        <v>22000</v>
      </c>
      <c r="AG185" s="198">
        <v>0</v>
      </c>
      <c r="AH185" s="198">
        <v>0</v>
      </c>
      <c r="AI185" s="198">
        <v>0</v>
      </c>
      <c r="AJ185" s="198">
        <v>0</v>
      </c>
      <c r="AK185" s="198">
        <f>SUM(Tabela96[[#This Row],[2026]:[2030]])</f>
        <v>22000</v>
      </c>
      <c r="AL185" s="198">
        <v>0</v>
      </c>
      <c r="AM185" s="198">
        <v>0</v>
      </c>
      <c r="AN185" s="198">
        <v>0</v>
      </c>
      <c r="AO185" s="198">
        <v>0</v>
      </c>
      <c r="AP185" s="198">
        <v>0</v>
      </c>
      <c r="AQ185" s="202">
        <f>SUM(Tabela96[[#This Row],[2026-2030]:[2035]])</f>
        <v>22000</v>
      </c>
      <c r="AS185" s="178" t="s">
        <v>1600</v>
      </c>
      <c r="AT185" s="201" t="s">
        <v>1601</v>
      </c>
      <c r="AU185" s="178" t="s">
        <v>1627</v>
      </c>
      <c r="AV185" s="182"/>
      <c r="AW185" s="178" t="s">
        <v>1603</v>
      </c>
      <c r="AZ185" s="178" t="s">
        <v>1604</v>
      </c>
    </row>
    <row r="186" spans="2:52" ht="24.75" customHeight="1" x14ac:dyDescent="0.35">
      <c r="B186" s="179" t="e" cm="1">
        <f t="array" ref="B186">AND(ISTEXT('Consolidado-Eletronorte'!#REF!),SUM('Consolidado-Eletronorte'!#REF!)&gt;0)</f>
        <v>#REF!</v>
      </c>
      <c r="C186" s="162" t="str">
        <f t="shared" ca="1" si="15"/>
        <v>Capex Orcamentário_PE2026_2030_red_35_porcentoR3_consulta.xlsx</v>
      </c>
      <c r="D186" s="163" t="str">
        <f t="shared" si="16"/>
        <v>COO</v>
      </c>
      <c r="E186" s="163" t="str">
        <f t="shared" si="17"/>
        <v>Lucas Martins</v>
      </c>
      <c r="F186" s="164"/>
      <c r="G186" s="164" t="e">
        <f>_xlfn.CONCAT('Consolidado-Eletronorte'!#REF!,"_",ROW('Consolidado-Eletronorte'!#REF!)-ROW('Consolidado-Eletronorte'!$G$18))</f>
        <v>#REF!</v>
      </c>
      <c r="H186" s="165" t="s">
        <v>506</v>
      </c>
      <c r="I186" s="165" t="s">
        <v>135</v>
      </c>
      <c r="J186" s="165" t="s">
        <v>508</v>
      </c>
      <c r="K186" s="165" t="s">
        <v>1039</v>
      </c>
      <c r="L186" s="165" t="s">
        <v>1040</v>
      </c>
      <c r="M186" s="165"/>
      <c r="N186" s="165"/>
      <c r="O186" s="165"/>
      <c r="P186" s="165"/>
      <c r="Q186" s="178" t="s">
        <v>1628</v>
      </c>
      <c r="R186" s="178" t="s">
        <v>1615</v>
      </c>
      <c r="S186" s="178" t="s">
        <v>1034</v>
      </c>
      <c r="T186" s="198" t="s">
        <v>1045</v>
      </c>
      <c r="U186" s="198" t="s">
        <v>1045</v>
      </c>
      <c r="V186" s="198" t="s">
        <v>1045</v>
      </c>
      <c r="W186" s="198" t="s">
        <v>1045</v>
      </c>
      <c r="X186" s="198" t="s">
        <v>1045</v>
      </c>
      <c r="Y186" s="198" t="s">
        <v>1045</v>
      </c>
      <c r="Z186" s="198">
        <v>60000</v>
      </c>
      <c r="AA186" s="198" t="s">
        <v>1045</v>
      </c>
      <c r="AB186" s="198" t="s">
        <v>1045</v>
      </c>
      <c r="AC186" s="198" t="s">
        <v>1045</v>
      </c>
      <c r="AD186" s="198" t="s">
        <v>1045</v>
      </c>
      <c r="AE186" s="198" t="s">
        <v>1045</v>
      </c>
      <c r="AF186" s="197">
        <f>SUM(Tabela96[[#This Row],[jan/26]:[dez/26]])</f>
        <v>60000</v>
      </c>
      <c r="AG186" s="198">
        <v>0</v>
      </c>
      <c r="AH186" s="198">
        <v>0</v>
      </c>
      <c r="AI186" s="198">
        <v>0</v>
      </c>
      <c r="AJ186" s="198">
        <v>0</v>
      </c>
      <c r="AK186" s="198">
        <f>SUM(Tabela96[[#This Row],[2026]:[2030]])</f>
        <v>60000</v>
      </c>
      <c r="AL186" s="198">
        <v>0</v>
      </c>
      <c r="AM186" s="198">
        <v>0</v>
      </c>
      <c r="AN186" s="198">
        <v>0</v>
      </c>
      <c r="AO186" s="198">
        <v>0</v>
      </c>
      <c r="AP186" s="198">
        <v>0</v>
      </c>
      <c r="AQ186" s="202">
        <f>SUM(Tabela96[[#This Row],[2026-2030]:[2035]])</f>
        <v>60000</v>
      </c>
      <c r="AS186" s="178" t="s">
        <v>1600</v>
      </c>
      <c r="AT186" s="201" t="s">
        <v>1601</v>
      </c>
      <c r="AU186" s="178" t="s">
        <v>1629</v>
      </c>
      <c r="AV186" s="182"/>
      <c r="AW186" s="178" t="s">
        <v>1603</v>
      </c>
      <c r="AZ186" s="178" t="s">
        <v>1604</v>
      </c>
    </row>
    <row r="187" spans="2:52" ht="24.75" customHeight="1" x14ac:dyDescent="0.35">
      <c r="B187" s="179" t="e" cm="1">
        <f t="array" ref="B187">AND(ISTEXT('Consolidado-Eletronorte'!#REF!),SUM('Consolidado-Eletronorte'!#REF!)&gt;0)</f>
        <v>#REF!</v>
      </c>
      <c r="C187" s="162" t="str">
        <f t="shared" ca="1" si="15"/>
        <v>Capex Orcamentário_PE2026_2030_red_35_porcentoR3_consulta.xlsx</v>
      </c>
      <c r="D187" s="163" t="str">
        <f t="shared" si="16"/>
        <v>COO</v>
      </c>
      <c r="E187" s="163" t="str">
        <f t="shared" si="17"/>
        <v>Lucas Martins</v>
      </c>
      <c r="F187" s="164"/>
      <c r="G187" s="164" t="e">
        <f>_xlfn.CONCAT('Consolidado-Eletronorte'!#REF!,"_",ROW('Consolidado-Eletronorte'!#REF!)-ROW('Consolidado-Eletronorte'!$G$18))</f>
        <v>#REF!</v>
      </c>
      <c r="H187" s="165" t="s">
        <v>506</v>
      </c>
      <c r="I187" s="165" t="s">
        <v>135</v>
      </c>
      <c r="J187" s="165" t="s">
        <v>508</v>
      </c>
      <c r="K187" s="165" t="s">
        <v>1039</v>
      </c>
      <c r="L187" s="165" t="s">
        <v>1040</v>
      </c>
      <c r="M187" s="165"/>
      <c r="N187" s="165"/>
      <c r="O187" s="165"/>
      <c r="P187" s="165"/>
      <c r="Q187" s="178" t="s">
        <v>1630</v>
      </c>
      <c r="R187" s="178" t="s">
        <v>1618</v>
      </c>
      <c r="S187" s="178" t="s">
        <v>1034</v>
      </c>
      <c r="T187" s="198" t="s">
        <v>1045</v>
      </c>
      <c r="U187" s="198" t="s">
        <v>1045</v>
      </c>
      <c r="V187" s="198" t="s">
        <v>1045</v>
      </c>
      <c r="W187" s="198" t="s">
        <v>1045</v>
      </c>
      <c r="X187" s="198" t="s">
        <v>1045</v>
      </c>
      <c r="Y187" s="198" t="s">
        <v>1045</v>
      </c>
      <c r="Z187" s="198" t="s">
        <v>1045</v>
      </c>
      <c r="AA187" s="198" t="s">
        <v>1045</v>
      </c>
      <c r="AB187" s="198" t="s">
        <v>1045</v>
      </c>
      <c r="AC187" s="198" t="s">
        <v>1045</v>
      </c>
      <c r="AD187" s="198">
        <v>22000</v>
      </c>
      <c r="AE187" s="198" t="s">
        <v>1045</v>
      </c>
      <c r="AF187" s="197">
        <f>SUM(Tabela96[[#This Row],[jan/26]:[dez/26]])</f>
        <v>22000</v>
      </c>
      <c r="AG187" s="198">
        <v>0</v>
      </c>
      <c r="AH187" s="198">
        <v>0</v>
      </c>
      <c r="AI187" s="198">
        <v>0</v>
      </c>
      <c r="AJ187" s="198">
        <v>0</v>
      </c>
      <c r="AK187" s="198">
        <f>SUM(Tabela96[[#This Row],[2026]:[2030]])</f>
        <v>22000</v>
      </c>
      <c r="AL187" s="198">
        <v>0</v>
      </c>
      <c r="AM187" s="198">
        <v>0</v>
      </c>
      <c r="AN187" s="198">
        <v>0</v>
      </c>
      <c r="AO187" s="198">
        <v>0</v>
      </c>
      <c r="AP187" s="198">
        <v>0</v>
      </c>
      <c r="AQ187" s="202">
        <f>SUM(Tabela96[[#This Row],[2026-2030]:[2035]])</f>
        <v>22000</v>
      </c>
      <c r="AS187" s="178" t="s">
        <v>1600</v>
      </c>
      <c r="AT187" s="201" t="s">
        <v>1601</v>
      </c>
      <c r="AU187" s="178" t="s">
        <v>1631</v>
      </c>
      <c r="AV187" s="182"/>
      <c r="AW187" s="178" t="s">
        <v>1603</v>
      </c>
      <c r="AZ187" s="178" t="s">
        <v>1604</v>
      </c>
    </row>
    <row r="188" spans="2:52" ht="24.75" customHeight="1" x14ac:dyDescent="0.35">
      <c r="B188" s="179" t="e" cm="1">
        <f t="array" ref="B188">AND(ISTEXT('Consolidado-Eletronorte'!#REF!),SUM('Consolidado-Eletronorte'!#REF!)&gt;0)</f>
        <v>#REF!</v>
      </c>
      <c r="C188" s="162" t="str">
        <f t="shared" ca="1" si="15"/>
        <v>Capex Orcamentário_PE2026_2030_red_35_porcentoR3_consulta.xlsx</v>
      </c>
      <c r="D188" s="163" t="str">
        <f t="shared" si="16"/>
        <v>COO</v>
      </c>
      <c r="E188" s="163" t="str">
        <f t="shared" si="17"/>
        <v>Lucas Martins</v>
      </c>
      <c r="F188" s="164"/>
      <c r="G188" s="164" t="e">
        <f>_xlfn.CONCAT('Consolidado-Eletronorte'!#REF!,"_",ROW('Consolidado-Eletronorte'!#REF!)-ROW('Consolidado-Eletronorte'!$G$18))</f>
        <v>#REF!</v>
      </c>
      <c r="H188" s="165" t="s">
        <v>506</v>
      </c>
      <c r="I188" s="165" t="s">
        <v>135</v>
      </c>
      <c r="J188" s="165" t="s">
        <v>508</v>
      </c>
      <c r="K188" s="165" t="s">
        <v>1039</v>
      </c>
      <c r="L188" s="165" t="s">
        <v>1040</v>
      </c>
      <c r="M188" s="165"/>
      <c r="N188" s="165"/>
      <c r="O188" s="165"/>
      <c r="P188" s="165"/>
      <c r="Q188" s="178" t="s">
        <v>1632</v>
      </c>
      <c r="R188" s="178" t="s">
        <v>1633</v>
      </c>
      <c r="S188" s="178" t="s">
        <v>1060</v>
      </c>
      <c r="T188" s="198" t="s">
        <v>1045</v>
      </c>
      <c r="U188" s="198" t="s">
        <v>1045</v>
      </c>
      <c r="V188" s="198" t="s">
        <v>1045</v>
      </c>
      <c r="W188" s="198" t="s">
        <v>1045</v>
      </c>
      <c r="X188" s="198" t="s">
        <v>1045</v>
      </c>
      <c r="Y188" s="198" t="s">
        <v>1045</v>
      </c>
      <c r="Z188" s="198" t="s">
        <v>1045</v>
      </c>
      <c r="AA188" s="198" t="s">
        <v>1045</v>
      </c>
      <c r="AB188" s="198" t="s">
        <v>1045</v>
      </c>
      <c r="AC188" s="198">
        <v>18000</v>
      </c>
      <c r="AD188" s="198" t="s">
        <v>1045</v>
      </c>
      <c r="AE188" s="198" t="s">
        <v>1045</v>
      </c>
      <c r="AF188" s="197">
        <f>SUM(Tabela96[[#This Row],[jan/26]:[dez/26]])</f>
        <v>18000</v>
      </c>
      <c r="AG188" s="198">
        <v>0</v>
      </c>
      <c r="AH188" s="198">
        <v>0</v>
      </c>
      <c r="AI188" s="198">
        <v>0</v>
      </c>
      <c r="AJ188" s="198">
        <v>0</v>
      </c>
      <c r="AK188" s="198">
        <f>SUM(Tabela96[[#This Row],[2026]:[2030]])</f>
        <v>18000</v>
      </c>
      <c r="AL188" s="198">
        <v>0</v>
      </c>
      <c r="AM188" s="198">
        <v>0</v>
      </c>
      <c r="AN188" s="198">
        <v>0</v>
      </c>
      <c r="AO188" s="198">
        <v>0</v>
      </c>
      <c r="AP188" s="198">
        <v>0</v>
      </c>
      <c r="AQ188" s="202">
        <f>SUM(Tabela96[[#This Row],[2026-2030]:[2035]])</f>
        <v>18000</v>
      </c>
      <c r="AS188" s="178" t="s">
        <v>1600</v>
      </c>
      <c r="AT188" s="201" t="s">
        <v>1601</v>
      </c>
      <c r="AU188" s="178" t="s">
        <v>1634</v>
      </c>
      <c r="AV188" s="182"/>
      <c r="AW188" s="178" t="s">
        <v>1603</v>
      </c>
      <c r="AZ188" s="178" t="s">
        <v>1604</v>
      </c>
    </row>
    <row r="189" spans="2:52" ht="24.75" customHeight="1" x14ac:dyDescent="0.35">
      <c r="B189" s="179" t="e" cm="1">
        <f t="array" ref="B189">AND(ISTEXT('Consolidado-Eletronorte'!#REF!),SUM('Consolidado-Eletronorte'!#REF!)&gt;0)</f>
        <v>#REF!</v>
      </c>
      <c r="C189" s="162" t="str">
        <f t="shared" ca="1" si="15"/>
        <v>Capex Orcamentário_PE2026_2030_red_35_porcentoR3_consulta.xlsx</v>
      </c>
      <c r="D189" s="163" t="str">
        <f t="shared" si="16"/>
        <v>COO</v>
      </c>
      <c r="E189" s="163" t="str">
        <f t="shared" si="17"/>
        <v>Lucas Martins</v>
      </c>
      <c r="F189" s="164"/>
      <c r="G189" s="164" t="e">
        <f>_xlfn.CONCAT('Consolidado-Eletronorte'!#REF!,"_",ROW('Consolidado-Eletronorte'!#REF!)-ROW('Consolidado-Eletronorte'!$G$18))</f>
        <v>#REF!</v>
      </c>
      <c r="H189" s="165" t="s">
        <v>506</v>
      </c>
      <c r="I189" s="165" t="s">
        <v>135</v>
      </c>
      <c r="J189" s="165" t="s">
        <v>508</v>
      </c>
      <c r="K189" s="165" t="s">
        <v>1039</v>
      </c>
      <c r="L189" s="165" t="s">
        <v>1040</v>
      </c>
      <c r="M189" s="165"/>
      <c r="N189" s="165"/>
      <c r="O189" s="165"/>
      <c r="P189" s="165"/>
      <c r="Q189" s="178" t="s">
        <v>1635</v>
      </c>
      <c r="R189" s="178" t="s">
        <v>1633</v>
      </c>
      <c r="S189" s="178" t="s">
        <v>1060</v>
      </c>
      <c r="T189" s="198" t="s">
        <v>1045</v>
      </c>
      <c r="U189" s="198" t="s">
        <v>1045</v>
      </c>
      <c r="V189" s="198" t="s">
        <v>1045</v>
      </c>
      <c r="W189" s="198" t="s">
        <v>1045</v>
      </c>
      <c r="X189" s="198" t="s">
        <v>1045</v>
      </c>
      <c r="Y189" s="198" t="s">
        <v>1045</v>
      </c>
      <c r="Z189" s="198" t="s">
        <v>1045</v>
      </c>
      <c r="AA189" s="198" t="s">
        <v>1045</v>
      </c>
      <c r="AB189" s="198" t="s">
        <v>1045</v>
      </c>
      <c r="AC189" s="198">
        <v>27000</v>
      </c>
      <c r="AD189" s="198" t="s">
        <v>1045</v>
      </c>
      <c r="AE189" s="198" t="s">
        <v>1045</v>
      </c>
      <c r="AF189" s="197">
        <f>SUM(Tabela96[[#This Row],[jan/26]:[dez/26]])</f>
        <v>27000</v>
      </c>
      <c r="AG189" s="198">
        <v>0</v>
      </c>
      <c r="AH189" s="198">
        <v>0</v>
      </c>
      <c r="AI189" s="198">
        <v>0</v>
      </c>
      <c r="AJ189" s="198">
        <v>0</v>
      </c>
      <c r="AK189" s="198">
        <f>SUM(Tabela96[[#This Row],[2026]:[2030]])</f>
        <v>27000</v>
      </c>
      <c r="AL189" s="198">
        <v>0</v>
      </c>
      <c r="AM189" s="198">
        <v>0</v>
      </c>
      <c r="AN189" s="198">
        <v>0</v>
      </c>
      <c r="AO189" s="198">
        <v>0</v>
      </c>
      <c r="AP189" s="198">
        <v>0</v>
      </c>
      <c r="AQ189" s="202">
        <f>SUM(Tabela96[[#This Row],[2026-2030]:[2035]])</f>
        <v>27000</v>
      </c>
      <c r="AS189" s="178" t="s">
        <v>1600</v>
      </c>
      <c r="AT189" s="201" t="s">
        <v>1601</v>
      </c>
      <c r="AU189" s="178" t="s">
        <v>1636</v>
      </c>
      <c r="AV189" s="182"/>
      <c r="AW189" s="178" t="s">
        <v>1603</v>
      </c>
      <c r="AZ189" s="178" t="s">
        <v>1604</v>
      </c>
    </row>
    <row r="190" spans="2:52" ht="24.75" customHeight="1" x14ac:dyDescent="0.35">
      <c r="B190" s="179" t="e" cm="1">
        <f t="array" ref="B190">AND(ISTEXT('Consolidado-Eletronorte'!#REF!),SUM('Consolidado-Eletronorte'!#REF!)&gt;0)</f>
        <v>#REF!</v>
      </c>
      <c r="C190" s="162" t="str">
        <f t="shared" ca="1" si="15"/>
        <v>Capex Orcamentário_PE2026_2030_red_35_porcentoR3_consulta.xlsx</v>
      </c>
      <c r="D190" s="163" t="str">
        <f t="shared" si="16"/>
        <v>COO</v>
      </c>
      <c r="E190" s="163" t="str">
        <f t="shared" si="17"/>
        <v>Lucas Martins</v>
      </c>
      <c r="F190" s="164"/>
      <c r="G190" s="164" t="e">
        <f>_xlfn.CONCAT('Consolidado-Eletronorte'!#REF!,"_",ROW('Consolidado-Eletronorte'!#REF!)-ROW('Consolidado-Eletronorte'!$G$18))</f>
        <v>#REF!</v>
      </c>
      <c r="H190" s="165" t="s">
        <v>506</v>
      </c>
      <c r="I190" s="165" t="s">
        <v>135</v>
      </c>
      <c r="J190" s="165" t="s">
        <v>508</v>
      </c>
      <c r="K190" s="165" t="s">
        <v>1039</v>
      </c>
      <c r="L190" s="165" t="s">
        <v>1040</v>
      </c>
      <c r="M190" s="165"/>
      <c r="N190" s="165"/>
      <c r="O190" s="165"/>
      <c r="P190" s="165"/>
      <c r="Q190" s="178" t="s">
        <v>1637</v>
      </c>
      <c r="R190" s="178" t="s">
        <v>1633</v>
      </c>
      <c r="S190" s="178" t="s">
        <v>1060</v>
      </c>
      <c r="T190" s="198" t="s">
        <v>1045</v>
      </c>
      <c r="U190" s="198" t="s">
        <v>1045</v>
      </c>
      <c r="V190" s="198" t="s">
        <v>1045</v>
      </c>
      <c r="W190" s="198" t="s">
        <v>1045</v>
      </c>
      <c r="X190" s="198" t="s">
        <v>1045</v>
      </c>
      <c r="Y190" s="198" t="s">
        <v>1045</v>
      </c>
      <c r="Z190" s="198" t="s">
        <v>1045</v>
      </c>
      <c r="AA190" s="198" t="s">
        <v>1045</v>
      </c>
      <c r="AB190" s="198" t="s">
        <v>1045</v>
      </c>
      <c r="AC190" s="198">
        <v>32000</v>
      </c>
      <c r="AD190" s="198" t="s">
        <v>1045</v>
      </c>
      <c r="AE190" s="198" t="s">
        <v>1045</v>
      </c>
      <c r="AF190" s="197">
        <f>SUM(Tabela96[[#This Row],[jan/26]:[dez/26]])</f>
        <v>32000</v>
      </c>
      <c r="AG190" s="198">
        <v>0</v>
      </c>
      <c r="AH190" s="198">
        <v>0</v>
      </c>
      <c r="AI190" s="198">
        <v>0</v>
      </c>
      <c r="AJ190" s="198">
        <v>0</v>
      </c>
      <c r="AK190" s="198">
        <f>SUM(Tabela96[[#This Row],[2026]:[2030]])</f>
        <v>32000</v>
      </c>
      <c r="AL190" s="198">
        <v>0</v>
      </c>
      <c r="AM190" s="198">
        <v>0</v>
      </c>
      <c r="AN190" s="198">
        <v>0</v>
      </c>
      <c r="AO190" s="198">
        <v>0</v>
      </c>
      <c r="AP190" s="198">
        <v>0</v>
      </c>
      <c r="AQ190" s="202">
        <f>SUM(Tabela96[[#This Row],[2026-2030]:[2035]])</f>
        <v>32000</v>
      </c>
      <c r="AS190" s="178" t="s">
        <v>1600</v>
      </c>
      <c r="AT190" s="201" t="s">
        <v>1601</v>
      </c>
      <c r="AU190" s="178" t="s">
        <v>1638</v>
      </c>
      <c r="AV190" s="182"/>
      <c r="AW190" s="178" t="s">
        <v>1603</v>
      </c>
      <c r="AZ190" s="178" t="s">
        <v>1604</v>
      </c>
    </row>
    <row r="191" spans="2:52" ht="24.75" customHeight="1" x14ac:dyDescent="0.35">
      <c r="B191" s="179" t="e" cm="1">
        <f t="array" ref="B191">AND(ISTEXT('Consolidado-Eletronorte'!#REF!),SUM('Consolidado-Eletronorte'!#REF!)&gt;0)</f>
        <v>#REF!</v>
      </c>
      <c r="C191" s="162" t="str">
        <f t="shared" ca="1" si="15"/>
        <v>Capex Orcamentário_PE2026_2030_red_35_porcentoR3_consulta.xlsx</v>
      </c>
      <c r="D191" s="163" t="str">
        <f t="shared" si="16"/>
        <v>COO</v>
      </c>
      <c r="E191" s="163" t="str">
        <f t="shared" si="17"/>
        <v>Lucas Martins</v>
      </c>
      <c r="F191" s="164"/>
      <c r="G191" s="164" t="e">
        <f>_xlfn.CONCAT('Consolidado-Eletronorte'!#REF!,"_",ROW('Consolidado-Eletronorte'!#REF!)-ROW('Consolidado-Eletronorte'!$G$18))</f>
        <v>#REF!</v>
      </c>
      <c r="H191" s="165" t="s">
        <v>506</v>
      </c>
      <c r="I191" s="165" t="s">
        <v>135</v>
      </c>
      <c r="J191" s="165" t="s">
        <v>508</v>
      </c>
      <c r="K191" s="165" t="s">
        <v>1039</v>
      </c>
      <c r="L191" s="165" t="s">
        <v>1040</v>
      </c>
      <c r="M191" s="165"/>
      <c r="N191" s="165"/>
      <c r="O191" s="165"/>
      <c r="P191" s="165"/>
      <c r="Q191" s="178" t="s">
        <v>1639</v>
      </c>
      <c r="R191" s="178" t="s">
        <v>1633</v>
      </c>
      <c r="S191" s="178" t="s">
        <v>1060</v>
      </c>
      <c r="T191" s="198" t="s">
        <v>1045</v>
      </c>
      <c r="U191" s="198" t="s">
        <v>1045</v>
      </c>
      <c r="V191" s="198" t="s">
        <v>1045</v>
      </c>
      <c r="W191" s="198" t="s">
        <v>1045</v>
      </c>
      <c r="X191" s="198" t="s">
        <v>1045</v>
      </c>
      <c r="Y191" s="198" t="s">
        <v>1045</v>
      </c>
      <c r="Z191" s="198" t="s">
        <v>1045</v>
      </c>
      <c r="AA191" s="198" t="s">
        <v>1045</v>
      </c>
      <c r="AB191" s="198" t="s">
        <v>1045</v>
      </c>
      <c r="AC191" s="198">
        <v>270000</v>
      </c>
      <c r="AD191" s="198" t="s">
        <v>1045</v>
      </c>
      <c r="AE191" s="198" t="s">
        <v>1045</v>
      </c>
      <c r="AF191" s="197">
        <f>SUM(Tabela96[[#This Row],[jan/26]:[dez/26]])</f>
        <v>270000</v>
      </c>
      <c r="AG191" s="198">
        <v>0</v>
      </c>
      <c r="AH191" s="198">
        <v>0</v>
      </c>
      <c r="AI191" s="198">
        <v>0</v>
      </c>
      <c r="AJ191" s="198">
        <v>0</v>
      </c>
      <c r="AK191" s="198">
        <f>SUM(Tabela96[[#This Row],[2026]:[2030]])</f>
        <v>270000</v>
      </c>
      <c r="AL191" s="198">
        <v>0</v>
      </c>
      <c r="AM191" s="198">
        <v>0</v>
      </c>
      <c r="AN191" s="198">
        <v>0</v>
      </c>
      <c r="AO191" s="198">
        <v>0</v>
      </c>
      <c r="AP191" s="198">
        <v>0</v>
      </c>
      <c r="AQ191" s="202">
        <f>SUM(Tabela96[[#This Row],[2026-2030]:[2035]])</f>
        <v>270000</v>
      </c>
      <c r="AS191" s="178" t="s">
        <v>1600</v>
      </c>
      <c r="AT191" s="201" t="s">
        <v>1601</v>
      </c>
      <c r="AU191" s="178" t="s">
        <v>1640</v>
      </c>
      <c r="AV191" s="182"/>
      <c r="AW191" s="178" t="s">
        <v>1603</v>
      </c>
      <c r="AZ191" s="178" t="s">
        <v>1604</v>
      </c>
    </row>
    <row r="192" spans="2:52" ht="24.75" customHeight="1" x14ac:dyDescent="0.35">
      <c r="B192" s="179" t="e" cm="1">
        <f t="array" ref="B192">AND(ISTEXT('Consolidado-Eletronorte'!#REF!),SUM('Consolidado-Eletronorte'!#REF!)&gt;0)</f>
        <v>#REF!</v>
      </c>
      <c r="C192" s="162" t="str">
        <f t="shared" ca="1" si="15"/>
        <v>Capex Orcamentário_PE2026_2030_red_35_porcentoR3_consulta.xlsx</v>
      </c>
      <c r="D192" s="163" t="str">
        <f t="shared" si="16"/>
        <v>COO</v>
      </c>
      <c r="E192" s="163" t="str">
        <f t="shared" si="17"/>
        <v>Lucas Martins</v>
      </c>
      <c r="F192" s="164"/>
      <c r="G192" s="164" t="e">
        <f>_xlfn.CONCAT('Consolidado-Eletronorte'!#REF!,"_",ROW('Consolidado-Eletronorte'!#REF!)-ROW('Consolidado-Eletronorte'!$G$18))</f>
        <v>#REF!</v>
      </c>
      <c r="H192" s="165" t="s">
        <v>506</v>
      </c>
      <c r="I192" s="165" t="s">
        <v>135</v>
      </c>
      <c r="J192" s="165" t="s">
        <v>508</v>
      </c>
      <c r="K192" s="165" t="s">
        <v>1039</v>
      </c>
      <c r="L192" s="165" t="s">
        <v>1040</v>
      </c>
      <c r="M192" s="165"/>
      <c r="N192" s="165"/>
      <c r="O192" s="165"/>
      <c r="P192" s="165"/>
      <c r="Q192" s="178" t="s">
        <v>1641</v>
      </c>
      <c r="R192" s="178" t="s">
        <v>1633</v>
      </c>
      <c r="S192" s="178" t="s">
        <v>1060</v>
      </c>
      <c r="T192" s="198" t="s">
        <v>1045</v>
      </c>
      <c r="U192" s="198" t="s">
        <v>1045</v>
      </c>
      <c r="V192" s="198" t="s">
        <v>1045</v>
      </c>
      <c r="W192" s="198" t="s">
        <v>1045</v>
      </c>
      <c r="X192" s="198" t="s">
        <v>1045</v>
      </c>
      <c r="Y192" s="198" t="s">
        <v>1045</v>
      </c>
      <c r="Z192" s="198" t="s">
        <v>1045</v>
      </c>
      <c r="AA192" s="198" t="s">
        <v>1045</v>
      </c>
      <c r="AB192" s="198" t="s">
        <v>1045</v>
      </c>
      <c r="AC192" s="198">
        <v>8000</v>
      </c>
      <c r="AD192" s="198" t="s">
        <v>1045</v>
      </c>
      <c r="AE192" s="198" t="s">
        <v>1045</v>
      </c>
      <c r="AF192" s="197">
        <f>SUM(Tabela96[[#This Row],[jan/26]:[dez/26]])</f>
        <v>8000</v>
      </c>
      <c r="AG192" s="198">
        <v>0</v>
      </c>
      <c r="AH192" s="198">
        <v>0</v>
      </c>
      <c r="AI192" s="198">
        <v>0</v>
      </c>
      <c r="AJ192" s="198">
        <v>0</v>
      </c>
      <c r="AK192" s="198">
        <f>SUM(Tabela96[[#This Row],[2026]:[2030]])</f>
        <v>8000</v>
      </c>
      <c r="AL192" s="198">
        <v>0</v>
      </c>
      <c r="AM192" s="198">
        <v>0</v>
      </c>
      <c r="AN192" s="198">
        <v>0</v>
      </c>
      <c r="AO192" s="198">
        <v>0</v>
      </c>
      <c r="AP192" s="198">
        <v>0</v>
      </c>
      <c r="AQ192" s="202">
        <f>SUM(Tabela96[[#This Row],[2026-2030]:[2035]])</f>
        <v>8000</v>
      </c>
      <c r="AS192" s="178" t="s">
        <v>1600</v>
      </c>
      <c r="AT192" s="201" t="s">
        <v>1601</v>
      </c>
      <c r="AU192" s="178" t="s">
        <v>1642</v>
      </c>
      <c r="AV192" s="182"/>
      <c r="AW192" s="178" t="s">
        <v>1603</v>
      </c>
      <c r="AZ192" s="178" t="s">
        <v>1604</v>
      </c>
    </row>
    <row r="193" spans="2:52" ht="24.75" customHeight="1" x14ac:dyDescent="0.35">
      <c r="B193" s="179" t="e" cm="1">
        <f t="array" ref="B193">AND(ISTEXT('Consolidado-Eletronorte'!#REF!),SUM('Consolidado-Eletronorte'!#REF!)&gt;0)</f>
        <v>#REF!</v>
      </c>
      <c r="C193" s="162" t="str">
        <f t="shared" ca="1" si="15"/>
        <v>Capex Orcamentário_PE2026_2030_red_35_porcentoR3_consulta.xlsx</v>
      </c>
      <c r="D193" s="163" t="str">
        <f t="shared" si="16"/>
        <v>COO</v>
      </c>
      <c r="E193" s="163" t="str">
        <f t="shared" si="17"/>
        <v>Lucas Martins</v>
      </c>
      <c r="F193" s="164"/>
      <c r="G193" s="164" t="e">
        <f>_xlfn.CONCAT('Consolidado-Eletronorte'!#REF!,"_",ROW('Consolidado-Eletronorte'!#REF!)-ROW('Consolidado-Eletronorte'!$G$18))</f>
        <v>#REF!</v>
      </c>
      <c r="H193" s="165" t="s">
        <v>506</v>
      </c>
      <c r="I193" s="165" t="s">
        <v>135</v>
      </c>
      <c r="J193" s="165" t="s">
        <v>508</v>
      </c>
      <c r="K193" s="165" t="s">
        <v>1039</v>
      </c>
      <c r="L193" s="165" t="s">
        <v>1040</v>
      </c>
      <c r="M193" s="165"/>
      <c r="N193" s="165"/>
      <c r="O193" s="165"/>
      <c r="P193" s="165"/>
      <c r="Q193" s="178" t="s">
        <v>1643</v>
      </c>
      <c r="R193" s="178" t="s">
        <v>1633</v>
      </c>
      <c r="S193" s="178" t="s">
        <v>1060</v>
      </c>
      <c r="T193" s="198" t="s">
        <v>1045</v>
      </c>
      <c r="U193" s="198" t="s">
        <v>1045</v>
      </c>
      <c r="V193" s="198" t="s">
        <v>1045</v>
      </c>
      <c r="W193" s="198" t="s">
        <v>1045</v>
      </c>
      <c r="X193" s="198" t="s">
        <v>1045</v>
      </c>
      <c r="Y193" s="198" t="s">
        <v>1045</v>
      </c>
      <c r="Z193" s="198" t="s">
        <v>1045</v>
      </c>
      <c r="AA193" s="198" t="s">
        <v>1045</v>
      </c>
      <c r="AB193" s="198" t="s">
        <v>1045</v>
      </c>
      <c r="AC193" s="198">
        <v>8000</v>
      </c>
      <c r="AD193" s="198" t="s">
        <v>1045</v>
      </c>
      <c r="AE193" s="198" t="s">
        <v>1045</v>
      </c>
      <c r="AF193" s="197">
        <f>SUM(Tabela96[[#This Row],[jan/26]:[dez/26]])</f>
        <v>8000</v>
      </c>
      <c r="AG193" s="198">
        <v>0</v>
      </c>
      <c r="AH193" s="198">
        <v>0</v>
      </c>
      <c r="AI193" s="198">
        <v>0</v>
      </c>
      <c r="AJ193" s="198">
        <v>0</v>
      </c>
      <c r="AK193" s="198">
        <f>SUM(Tabela96[[#This Row],[2026]:[2030]])</f>
        <v>8000</v>
      </c>
      <c r="AL193" s="198">
        <v>0</v>
      </c>
      <c r="AM193" s="198">
        <v>0</v>
      </c>
      <c r="AN193" s="198">
        <v>0</v>
      </c>
      <c r="AO193" s="198">
        <v>0</v>
      </c>
      <c r="AP193" s="198">
        <v>0</v>
      </c>
      <c r="AQ193" s="202">
        <f>SUM(Tabela96[[#This Row],[2026-2030]:[2035]])</f>
        <v>8000</v>
      </c>
      <c r="AS193" s="178" t="s">
        <v>1600</v>
      </c>
      <c r="AT193" s="201" t="s">
        <v>1601</v>
      </c>
      <c r="AU193" s="178" t="s">
        <v>1644</v>
      </c>
      <c r="AV193" s="182"/>
      <c r="AW193" s="178" t="s">
        <v>1603</v>
      </c>
      <c r="AZ193" s="178" t="s">
        <v>1604</v>
      </c>
    </row>
    <row r="194" spans="2:52" ht="24.75" customHeight="1" x14ac:dyDescent="0.35">
      <c r="B194" s="179" t="e" cm="1">
        <f t="array" ref="B194">AND(ISTEXT('Consolidado-Eletronorte'!#REF!),SUM('Consolidado-Eletronorte'!#REF!)&gt;0)</f>
        <v>#REF!</v>
      </c>
      <c r="C194" s="162" t="str">
        <f t="shared" ca="1" si="15"/>
        <v>Capex Orcamentário_PE2026_2030_red_35_porcentoR3_consulta.xlsx</v>
      </c>
      <c r="D194" s="163" t="str">
        <f t="shared" si="16"/>
        <v>COO</v>
      </c>
      <c r="E194" s="163" t="str">
        <f t="shared" si="17"/>
        <v>Lucas Martins</v>
      </c>
      <c r="F194" s="164"/>
      <c r="G194" s="164" t="e">
        <f>_xlfn.CONCAT('Consolidado-Eletronorte'!#REF!,"_",ROW('Consolidado-Eletronorte'!#REF!)-ROW('Consolidado-Eletronorte'!$G$18))</f>
        <v>#REF!</v>
      </c>
      <c r="H194" s="165" t="s">
        <v>506</v>
      </c>
      <c r="I194" s="165" t="s">
        <v>135</v>
      </c>
      <c r="J194" s="165" t="s">
        <v>508</v>
      </c>
      <c r="K194" s="165" t="s">
        <v>1039</v>
      </c>
      <c r="L194" s="165" t="s">
        <v>1040</v>
      </c>
      <c r="M194" s="165"/>
      <c r="N194" s="165"/>
      <c r="O194" s="165"/>
      <c r="P194" s="165"/>
      <c r="Q194" s="178" t="s">
        <v>1645</v>
      </c>
      <c r="R194" s="178" t="s">
        <v>1633</v>
      </c>
      <c r="S194" s="178" t="s">
        <v>1060</v>
      </c>
      <c r="T194" s="198" t="s">
        <v>1045</v>
      </c>
      <c r="U194" s="198" t="s">
        <v>1045</v>
      </c>
      <c r="V194" s="198" t="s">
        <v>1045</v>
      </c>
      <c r="W194" s="198" t="s">
        <v>1045</v>
      </c>
      <c r="X194" s="198" t="s">
        <v>1045</v>
      </c>
      <c r="Y194" s="198" t="s">
        <v>1045</v>
      </c>
      <c r="Z194" s="198" t="s">
        <v>1045</v>
      </c>
      <c r="AA194" s="198" t="s">
        <v>1045</v>
      </c>
      <c r="AB194" s="198" t="s">
        <v>1045</v>
      </c>
      <c r="AC194" s="198">
        <v>6000</v>
      </c>
      <c r="AD194" s="198" t="s">
        <v>1045</v>
      </c>
      <c r="AE194" s="198" t="s">
        <v>1045</v>
      </c>
      <c r="AF194" s="197">
        <f>SUM(Tabela96[[#This Row],[jan/26]:[dez/26]])</f>
        <v>6000</v>
      </c>
      <c r="AG194" s="198">
        <v>0</v>
      </c>
      <c r="AH194" s="198">
        <v>0</v>
      </c>
      <c r="AI194" s="198">
        <v>0</v>
      </c>
      <c r="AJ194" s="198">
        <v>0</v>
      </c>
      <c r="AK194" s="198">
        <f>SUM(Tabela96[[#This Row],[2026]:[2030]])</f>
        <v>6000</v>
      </c>
      <c r="AL194" s="198">
        <v>0</v>
      </c>
      <c r="AM194" s="198">
        <v>0</v>
      </c>
      <c r="AN194" s="198">
        <v>0</v>
      </c>
      <c r="AO194" s="198">
        <v>0</v>
      </c>
      <c r="AP194" s="198">
        <v>0</v>
      </c>
      <c r="AQ194" s="202">
        <f>SUM(Tabela96[[#This Row],[2026-2030]:[2035]])</f>
        <v>6000</v>
      </c>
      <c r="AS194" s="178" t="s">
        <v>1600</v>
      </c>
      <c r="AT194" s="201" t="s">
        <v>1601</v>
      </c>
      <c r="AU194" s="178" t="s">
        <v>1646</v>
      </c>
      <c r="AV194" s="182"/>
      <c r="AW194" s="178" t="s">
        <v>1603</v>
      </c>
      <c r="AZ194" s="178" t="s">
        <v>1604</v>
      </c>
    </row>
    <row r="195" spans="2:52" ht="24.75" customHeight="1" x14ac:dyDescent="0.35">
      <c r="B195" s="179" t="e" cm="1">
        <f t="array" ref="B195">AND(ISTEXT('Consolidado-Eletronorte'!#REF!),SUM('Consolidado-Eletronorte'!#REF!)&gt;0)</f>
        <v>#REF!</v>
      </c>
      <c r="C195" s="162" t="str">
        <f t="shared" ca="1" si="15"/>
        <v>Capex Orcamentário_PE2026_2030_red_35_porcentoR3_consulta.xlsx</v>
      </c>
      <c r="D195" s="163" t="str">
        <f t="shared" si="16"/>
        <v>COO</v>
      </c>
      <c r="E195" s="163" t="str">
        <f t="shared" si="17"/>
        <v>Lucas Martins</v>
      </c>
      <c r="F195" s="164"/>
      <c r="G195" s="164" t="e">
        <f>_xlfn.CONCAT('Consolidado-Eletronorte'!#REF!,"_",ROW('Consolidado-Eletronorte'!#REF!)-ROW('Consolidado-Eletronorte'!$G$18))</f>
        <v>#REF!</v>
      </c>
      <c r="H195" s="165" t="s">
        <v>506</v>
      </c>
      <c r="I195" s="165" t="s">
        <v>135</v>
      </c>
      <c r="J195" s="165" t="s">
        <v>508</v>
      </c>
      <c r="K195" s="165" t="s">
        <v>1039</v>
      </c>
      <c r="L195" s="165" t="s">
        <v>1040</v>
      </c>
      <c r="M195" s="165"/>
      <c r="N195" s="165"/>
      <c r="O195" s="165"/>
      <c r="P195" s="165"/>
      <c r="Q195" s="178" t="s">
        <v>1647</v>
      </c>
      <c r="R195" s="178" t="s">
        <v>1633</v>
      </c>
      <c r="S195" s="178" t="s">
        <v>1060</v>
      </c>
      <c r="T195" s="198" t="s">
        <v>1045</v>
      </c>
      <c r="U195" s="198" t="s">
        <v>1045</v>
      </c>
      <c r="V195" s="198" t="s">
        <v>1045</v>
      </c>
      <c r="W195" s="198" t="s">
        <v>1045</v>
      </c>
      <c r="X195" s="198" t="s">
        <v>1045</v>
      </c>
      <c r="Y195" s="198" t="s">
        <v>1045</v>
      </c>
      <c r="Z195" s="198" t="s">
        <v>1045</v>
      </c>
      <c r="AA195" s="198" t="s">
        <v>1045</v>
      </c>
      <c r="AB195" s="198" t="s">
        <v>1045</v>
      </c>
      <c r="AC195" s="198">
        <v>30000</v>
      </c>
      <c r="AD195" s="198" t="s">
        <v>1045</v>
      </c>
      <c r="AE195" s="198" t="s">
        <v>1045</v>
      </c>
      <c r="AF195" s="197">
        <f>SUM(Tabela96[[#This Row],[jan/26]:[dez/26]])</f>
        <v>30000</v>
      </c>
      <c r="AG195" s="198">
        <v>0</v>
      </c>
      <c r="AH195" s="198">
        <v>0</v>
      </c>
      <c r="AI195" s="198">
        <v>0</v>
      </c>
      <c r="AJ195" s="198">
        <v>0</v>
      </c>
      <c r="AK195" s="198">
        <f>SUM(Tabela96[[#This Row],[2026]:[2030]])</f>
        <v>30000</v>
      </c>
      <c r="AL195" s="198">
        <v>0</v>
      </c>
      <c r="AM195" s="198">
        <v>0</v>
      </c>
      <c r="AN195" s="198">
        <v>0</v>
      </c>
      <c r="AO195" s="198">
        <v>0</v>
      </c>
      <c r="AP195" s="198">
        <v>0</v>
      </c>
      <c r="AQ195" s="202">
        <f>SUM(Tabela96[[#This Row],[2026-2030]:[2035]])</f>
        <v>30000</v>
      </c>
      <c r="AS195" s="178" t="s">
        <v>1600</v>
      </c>
      <c r="AT195" s="201" t="s">
        <v>1601</v>
      </c>
      <c r="AU195" s="178" t="s">
        <v>1648</v>
      </c>
      <c r="AV195" s="182"/>
      <c r="AW195" s="178" t="s">
        <v>1603</v>
      </c>
      <c r="AZ195" s="178" t="s">
        <v>1604</v>
      </c>
    </row>
    <row r="196" spans="2:52" ht="24.75" customHeight="1" x14ac:dyDescent="0.35">
      <c r="B196" s="179" t="e" cm="1">
        <f t="array" ref="B196">AND(ISTEXT('Consolidado-Eletronorte'!#REF!),SUM('Consolidado-Eletronorte'!#REF!)&gt;0)</f>
        <v>#REF!</v>
      </c>
      <c r="C196" s="162" t="str">
        <f t="shared" ca="1" si="15"/>
        <v>Capex Orcamentário_PE2026_2030_red_35_porcentoR3_consulta.xlsx</v>
      </c>
      <c r="D196" s="163" t="str">
        <f t="shared" si="16"/>
        <v>COO</v>
      </c>
      <c r="E196" s="163" t="str">
        <f t="shared" si="17"/>
        <v>Lucas Martins</v>
      </c>
      <c r="F196" s="164"/>
      <c r="G196" s="164" t="e">
        <f>_xlfn.CONCAT('Consolidado-Eletronorte'!#REF!,"_",ROW('Consolidado-Eletronorte'!#REF!)-ROW('Consolidado-Eletronorte'!$G$18))</f>
        <v>#REF!</v>
      </c>
      <c r="H196" s="165" t="s">
        <v>506</v>
      </c>
      <c r="I196" s="165" t="s">
        <v>135</v>
      </c>
      <c r="J196" s="165" t="s">
        <v>508</v>
      </c>
      <c r="K196" s="165" t="s">
        <v>1039</v>
      </c>
      <c r="L196" s="165" t="s">
        <v>1040</v>
      </c>
      <c r="M196" s="165"/>
      <c r="N196" s="165"/>
      <c r="O196" s="165"/>
      <c r="P196" s="165"/>
      <c r="Q196" s="178" t="s">
        <v>1649</v>
      </c>
      <c r="R196" s="178" t="s">
        <v>1633</v>
      </c>
      <c r="S196" s="178" t="s">
        <v>1060</v>
      </c>
      <c r="T196" s="198" t="s">
        <v>1045</v>
      </c>
      <c r="U196" s="198" t="s">
        <v>1045</v>
      </c>
      <c r="V196" s="198" t="s">
        <v>1045</v>
      </c>
      <c r="W196" s="198" t="s">
        <v>1045</v>
      </c>
      <c r="X196" s="198" t="s">
        <v>1045</v>
      </c>
      <c r="Y196" s="198" t="s">
        <v>1045</v>
      </c>
      <c r="Z196" s="198" t="s">
        <v>1045</v>
      </c>
      <c r="AA196" s="198"/>
      <c r="AB196" s="198" t="s">
        <v>1045</v>
      </c>
      <c r="AC196" s="198">
        <v>70000</v>
      </c>
      <c r="AD196" s="198" t="s">
        <v>1045</v>
      </c>
      <c r="AE196" s="198" t="s">
        <v>1045</v>
      </c>
      <c r="AF196" s="197">
        <f>SUM(Tabela96[[#This Row],[jan/26]:[dez/26]])</f>
        <v>70000</v>
      </c>
      <c r="AG196" s="198">
        <v>0</v>
      </c>
      <c r="AH196" s="198">
        <v>0</v>
      </c>
      <c r="AI196" s="198">
        <v>0</v>
      </c>
      <c r="AJ196" s="198">
        <v>0</v>
      </c>
      <c r="AK196" s="198">
        <f>SUM(Tabela96[[#This Row],[2026]:[2030]])</f>
        <v>70000</v>
      </c>
      <c r="AL196" s="198">
        <v>0</v>
      </c>
      <c r="AM196" s="198">
        <v>0</v>
      </c>
      <c r="AN196" s="198">
        <v>0</v>
      </c>
      <c r="AO196" s="198">
        <v>0</v>
      </c>
      <c r="AP196" s="198">
        <v>0</v>
      </c>
      <c r="AQ196" s="202">
        <f>SUM(Tabela96[[#This Row],[2026-2030]:[2035]])</f>
        <v>70000</v>
      </c>
      <c r="AS196" s="178" t="s">
        <v>1600</v>
      </c>
      <c r="AT196" s="201" t="s">
        <v>1601</v>
      </c>
      <c r="AU196" s="178" t="s">
        <v>1650</v>
      </c>
      <c r="AV196" s="182"/>
      <c r="AW196" s="178" t="s">
        <v>1603</v>
      </c>
      <c r="AZ196" s="178" t="s">
        <v>1604</v>
      </c>
    </row>
    <row r="197" spans="2:52" ht="24.75" customHeight="1" x14ac:dyDescent="0.35">
      <c r="B197" s="179" t="e" cm="1">
        <f t="array" ref="B197">AND(ISTEXT('Consolidado-Eletronorte'!#REF!),SUM('Consolidado-Eletronorte'!#REF!)&gt;0)</f>
        <v>#REF!</v>
      </c>
      <c r="C197" s="162" t="str">
        <f t="shared" ca="1" si="15"/>
        <v>Capex Orcamentário_PE2026_2030_red_35_porcentoR3_consulta.xlsx</v>
      </c>
      <c r="D197" s="163" t="str">
        <f t="shared" si="16"/>
        <v>COO</v>
      </c>
      <c r="E197" s="163" t="str">
        <f t="shared" si="17"/>
        <v>Lucas Martins</v>
      </c>
      <c r="F197" s="164"/>
      <c r="G197" s="164" t="e">
        <f>_xlfn.CONCAT('Consolidado-Eletronorte'!#REF!,"_",ROW('Consolidado-Eletronorte'!#REF!)-ROW('Consolidado-Eletronorte'!$G$18))</f>
        <v>#REF!</v>
      </c>
      <c r="H197" s="165" t="s">
        <v>506</v>
      </c>
      <c r="I197" s="165" t="s">
        <v>135</v>
      </c>
      <c r="J197" s="165" t="s">
        <v>508</v>
      </c>
      <c r="K197" s="165" t="s">
        <v>1039</v>
      </c>
      <c r="L197" s="165" t="s">
        <v>1040</v>
      </c>
      <c r="M197" s="165"/>
      <c r="N197" s="165"/>
      <c r="O197" s="165"/>
      <c r="P197" s="165"/>
      <c r="Q197" s="178" t="s">
        <v>1651</v>
      </c>
      <c r="R197" s="178" t="s">
        <v>1633</v>
      </c>
      <c r="S197" s="178" t="s">
        <v>1652</v>
      </c>
      <c r="T197" s="198" t="s">
        <v>1045</v>
      </c>
      <c r="U197" s="198" t="s">
        <v>1045</v>
      </c>
      <c r="V197" s="198" t="s">
        <v>1045</v>
      </c>
      <c r="W197" s="198" t="s">
        <v>1045</v>
      </c>
      <c r="X197" s="198" t="s">
        <v>1045</v>
      </c>
      <c r="Y197" s="198" t="s">
        <v>1045</v>
      </c>
      <c r="Z197" s="198">
        <v>55000</v>
      </c>
      <c r="AA197" s="198" t="s">
        <v>1045</v>
      </c>
      <c r="AB197" s="198" t="s">
        <v>1045</v>
      </c>
      <c r="AC197" s="198" t="s">
        <v>1045</v>
      </c>
      <c r="AD197" s="198" t="s">
        <v>1045</v>
      </c>
      <c r="AE197" s="198" t="s">
        <v>1045</v>
      </c>
      <c r="AF197" s="197">
        <f>SUM(Tabela96[[#This Row],[jan/26]:[dez/26]])</f>
        <v>55000</v>
      </c>
      <c r="AG197" s="198">
        <v>0</v>
      </c>
      <c r="AH197" s="198">
        <v>0</v>
      </c>
      <c r="AI197" s="198">
        <v>0</v>
      </c>
      <c r="AJ197" s="198">
        <v>0</v>
      </c>
      <c r="AK197" s="198">
        <f>SUM(Tabela96[[#This Row],[2026]:[2030]])</f>
        <v>55000</v>
      </c>
      <c r="AL197" s="198">
        <v>0</v>
      </c>
      <c r="AM197" s="198">
        <v>0</v>
      </c>
      <c r="AN197" s="198">
        <v>0</v>
      </c>
      <c r="AO197" s="198">
        <v>0</v>
      </c>
      <c r="AP197" s="198">
        <v>0</v>
      </c>
      <c r="AQ197" s="202">
        <f>SUM(Tabela96[[#This Row],[2026-2030]:[2035]])</f>
        <v>55000</v>
      </c>
      <c r="AS197" s="178" t="s">
        <v>1600</v>
      </c>
      <c r="AT197" s="201" t="s">
        <v>1601</v>
      </c>
      <c r="AU197" s="178" t="s">
        <v>1653</v>
      </c>
      <c r="AV197" s="182"/>
      <c r="AW197" s="178" t="s">
        <v>1603</v>
      </c>
      <c r="AZ197" s="178" t="s">
        <v>1604</v>
      </c>
    </row>
    <row r="198" spans="2:52" ht="24.75" customHeight="1" x14ac:dyDescent="0.35">
      <c r="B198" s="179" t="e" cm="1">
        <f t="array" ref="B198">AND(ISTEXT('Consolidado-Eletronorte'!#REF!),SUM('Consolidado-Eletronorte'!#REF!)&gt;0)</f>
        <v>#REF!</v>
      </c>
      <c r="C198" s="162" t="str">
        <f t="shared" ca="1" si="15"/>
        <v>Capex Orcamentário_PE2026_2030_red_35_porcentoR3_consulta.xlsx</v>
      </c>
      <c r="D198" s="163" t="str">
        <f t="shared" si="16"/>
        <v>COO</v>
      </c>
      <c r="E198" s="163" t="str">
        <f t="shared" si="17"/>
        <v>Lucas Martins</v>
      </c>
      <c r="F198" s="164"/>
      <c r="G198" s="164" t="e">
        <f>_xlfn.CONCAT('Consolidado-Eletronorte'!#REF!,"_",ROW('Consolidado-Eletronorte'!#REF!)-ROW('Consolidado-Eletronorte'!$G$18))</f>
        <v>#REF!</v>
      </c>
      <c r="H198" s="165" t="s">
        <v>506</v>
      </c>
      <c r="I198" s="165" t="s">
        <v>135</v>
      </c>
      <c r="J198" s="165" t="s">
        <v>508</v>
      </c>
      <c r="K198" s="165" t="s">
        <v>1039</v>
      </c>
      <c r="L198" s="165" t="s">
        <v>1040</v>
      </c>
      <c r="M198" s="165"/>
      <c r="N198" s="165"/>
      <c r="O198" s="165"/>
      <c r="P198" s="165"/>
      <c r="Q198" s="178" t="s">
        <v>1654</v>
      </c>
      <c r="R198" s="178" t="s">
        <v>1633</v>
      </c>
      <c r="S198" s="178" t="s">
        <v>1652</v>
      </c>
      <c r="T198" s="198" t="s">
        <v>1045</v>
      </c>
      <c r="U198" s="198" t="s">
        <v>1045</v>
      </c>
      <c r="V198" s="198" t="s">
        <v>1045</v>
      </c>
      <c r="W198" s="198" t="s">
        <v>1045</v>
      </c>
      <c r="X198" s="198" t="s">
        <v>1045</v>
      </c>
      <c r="Y198" s="198" t="s">
        <v>1045</v>
      </c>
      <c r="Z198" s="198">
        <v>8000</v>
      </c>
      <c r="AA198" s="198" t="s">
        <v>1045</v>
      </c>
      <c r="AB198" s="198" t="s">
        <v>1045</v>
      </c>
      <c r="AC198" s="198" t="s">
        <v>1045</v>
      </c>
      <c r="AD198" s="198" t="s">
        <v>1045</v>
      </c>
      <c r="AE198" s="198" t="s">
        <v>1045</v>
      </c>
      <c r="AF198" s="197">
        <f>SUM(Tabela96[[#This Row],[jan/26]:[dez/26]])</f>
        <v>8000</v>
      </c>
      <c r="AG198" s="198">
        <v>0</v>
      </c>
      <c r="AH198" s="198">
        <v>0</v>
      </c>
      <c r="AI198" s="198">
        <v>0</v>
      </c>
      <c r="AJ198" s="198">
        <v>0</v>
      </c>
      <c r="AK198" s="198">
        <f>SUM(Tabela96[[#This Row],[2026]:[2030]])</f>
        <v>8000</v>
      </c>
      <c r="AL198" s="198">
        <v>0</v>
      </c>
      <c r="AM198" s="198">
        <v>0</v>
      </c>
      <c r="AN198" s="198">
        <v>0</v>
      </c>
      <c r="AO198" s="198">
        <v>0</v>
      </c>
      <c r="AP198" s="198">
        <v>0</v>
      </c>
      <c r="AQ198" s="202">
        <f>SUM(Tabela96[[#This Row],[2026-2030]:[2035]])</f>
        <v>8000</v>
      </c>
      <c r="AS198" s="178" t="s">
        <v>1600</v>
      </c>
      <c r="AT198" s="201" t="s">
        <v>1601</v>
      </c>
      <c r="AU198" s="178" t="s">
        <v>1655</v>
      </c>
      <c r="AV198" s="182"/>
      <c r="AW198" s="178" t="s">
        <v>1603</v>
      </c>
      <c r="AZ198" s="178" t="s">
        <v>1604</v>
      </c>
    </row>
    <row r="199" spans="2:52" ht="24.75" customHeight="1" x14ac:dyDescent="0.35">
      <c r="B199" s="179" t="e" cm="1">
        <f t="array" ref="B199">AND(ISTEXT('Consolidado-Eletronorte'!#REF!),SUM('Consolidado-Eletronorte'!#REF!)&gt;0)</f>
        <v>#REF!</v>
      </c>
      <c r="C199" s="162" t="str">
        <f t="shared" ca="1" si="15"/>
        <v>Capex Orcamentário_PE2026_2030_red_35_porcentoR3_consulta.xlsx</v>
      </c>
      <c r="D199" s="163" t="str">
        <f t="shared" si="16"/>
        <v>COO</v>
      </c>
      <c r="E199" s="163" t="str">
        <f t="shared" si="17"/>
        <v>Lucas Martins</v>
      </c>
      <c r="F199" s="164"/>
      <c r="G199" s="164" t="e">
        <f>_xlfn.CONCAT('Consolidado-Eletronorte'!#REF!,"_",ROW('Consolidado-Eletronorte'!#REF!)-ROW('Consolidado-Eletronorte'!$G$18))</f>
        <v>#REF!</v>
      </c>
      <c r="H199" s="165" t="s">
        <v>506</v>
      </c>
      <c r="I199" s="165" t="s">
        <v>135</v>
      </c>
      <c r="J199" s="165" t="s">
        <v>508</v>
      </c>
      <c r="K199" s="165" t="s">
        <v>1039</v>
      </c>
      <c r="L199" s="165" t="s">
        <v>1040</v>
      </c>
      <c r="M199" s="165"/>
      <c r="N199" s="165"/>
      <c r="O199" s="165"/>
      <c r="P199" s="165"/>
      <c r="Q199" s="178" t="s">
        <v>1656</v>
      </c>
      <c r="R199" s="178" t="s">
        <v>1633</v>
      </c>
      <c r="S199" s="178" t="s">
        <v>1054</v>
      </c>
      <c r="T199" s="198" t="s">
        <v>1045</v>
      </c>
      <c r="U199" s="198" t="s">
        <v>1045</v>
      </c>
      <c r="V199" s="198" t="s">
        <v>1045</v>
      </c>
      <c r="W199" s="198" t="s">
        <v>1045</v>
      </c>
      <c r="X199" s="198" t="s">
        <v>1045</v>
      </c>
      <c r="Y199" s="198" t="s">
        <v>1045</v>
      </c>
      <c r="Z199" s="198" t="s">
        <v>1045</v>
      </c>
      <c r="AA199" s="198" t="s">
        <v>1045</v>
      </c>
      <c r="AB199" s="198">
        <v>40000</v>
      </c>
      <c r="AC199" s="198" t="s">
        <v>1045</v>
      </c>
      <c r="AD199" s="198" t="s">
        <v>1045</v>
      </c>
      <c r="AE199" s="198" t="s">
        <v>1045</v>
      </c>
      <c r="AF199" s="197">
        <f>SUM(Tabela96[[#This Row],[jan/26]:[dez/26]])</f>
        <v>40000</v>
      </c>
      <c r="AG199" s="198">
        <v>0</v>
      </c>
      <c r="AH199" s="198">
        <v>0</v>
      </c>
      <c r="AI199" s="198">
        <v>0</v>
      </c>
      <c r="AJ199" s="198">
        <v>0</v>
      </c>
      <c r="AK199" s="198">
        <f>SUM(Tabela96[[#This Row],[2026]:[2030]])</f>
        <v>40000</v>
      </c>
      <c r="AL199" s="198">
        <v>0</v>
      </c>
      <c r="AM199" s="198">
        <v>0</v>
      </c>
      <c r="AN199" s="198">
        <v>0</v>
      </c>
      <c r="AO199" s="198">
        <v>0</v>
      </c>
      <c r="AP199" s="198">
        <v>0</v>
      </c>
      <c r="AQ199" s="202">
        <f>SUM(Tabela96[[#This Row],[2026-2030]:[2035]])</f>
        <v>40000</v>
      </c>
      <c r="AS199" s="178" t="s">
        <v>1600</v>
      </c>
      <c r="AT199" s="201" t="s">
        <v>1601</v>
      </c>
      <c r="AU199" s="178" t="s">
        <v>1657</v>
      </c>
      <c r="AV199" s="182"/>
      <c r="AW199" s="178" t="s">
        <v>1603</v>
      </c>
      <c r="AZ199" s="178" t="s">
        <v>1604</v>
      </c>
    </row>
    <row r="200" spans="2:52" ht="24.75" customHeight="1" x14ac:dyDescent="0.35">
      <c r="B200" s="179" t="e" cm="1">
        <f t="array" ref="B200">AND(ISTEXT('Consolidado-Eletronorte'!#REF!),SUM('Consolidado-Eletronorte'!#REF!)&gt;0)</f>
        <v>#REF!</v>
      </c>
      <c r="C200" s="162" t="str">
        <f t="shared" ca="1" si="15"/>
        <v>Capex Orcamentário_PE2026_2030_red_35_porcentoR3_consulta.xlsx</v>
      </c>
      <c r="D200" s="163" t="str">
        <f t="shared" si="16"/>
        <v>COO</v>
      </c>
      <c r="E200" s="163" t="str">
        <f t="shared" si="17"/>
        <v>Lucas Martins</v>
      </c>
      <c r="F200" s="164"/>
      <c r="G200" s="164" t="e">
        <f>_xlfn.CONCAT('Consolidado-Eletronorte'!#REF!,"_",ROW('Consolidado-Eletronorte'!#REF!)-ROW('Consolidado-Eletronorte'!$G$18))</f>
        <v>#REF!</v>
      </c>
      <c r="H200" s="165" t="s">
        <v>506</v>
      </c>
      <c r="I200" s="165" t="s">
        <v>135</v>
      </c>
      <c r="J200" s="165" t="s">
        <v>508</v>
      </c>
      <c r="K200" s="165" t="s">
        <v>1039</v>
      </c>
      <c r="L200" s="165" t="s">
        <v>1040</v>
      </c>
      <c r="M200" s="165"/>
      <c r="N200" s="165"/>
      <c r="O200" s="165"/>
      <c r="P200" s="165"/>
      <c r="Q200" s="178" t="s">
        <v>1658</v>
      </c>
      <c r="R200" s="178" t="s">
        <v>1633</v>
      </c>
      <c r="S200" s="178" t="s">
        <v>1054</v>
      </c>
      <c r="T200" s="198" t="s">
        <v>1045</v>
      </c>
      <c r="U200" s="198" t="s">
        <v>1045</v>
      </c>
      <c r="V200" s="198" t="s">
        <v>1045</v>
      </c>
      <c r="W200" s="198" t="s">
        <v>1045</v>
      </c>
      <c r="X200" s="198" t="s">
        <v>1045</v>
      </c>
      <c r="Y200" s="198" t="s">
        <v>1045</v>
      </c>
      <c r="Z200" s="198" t="s">
        <v>1045</v>
      </c>
      <c r="AA200" s="198" t="s">
        <v>1045</v>
      </c>
      <c r="AB200" s="198">
        <v>26000</v>
      </c>
      <c r="AC200" s="198" t="s">
        <v>1045</v>
      </c>
      <c r="AD200" s="198" t="s">
        <v>1045</v>
      </c>
      <c r="AE200" s="198" t="s">
        <v>1045</v>
      </c>
      <c r="AF200" s="197">
        <f>SUM(Tabela96[[#This Row],[jan/26]:[dez/26]])</f>
        <v>26000</v>
      </c>
      <c r="AG200" s="198">
        <v>0</v>
      </c>
      <c r="AH200" s="198">
        <v>0</v>
      </c>
      <c r="AI200" s="198">
        <v>0</v>
      </c>
      <c r="AJ200" s="198">
        <v>0</v>
      </c>
      <c r="AK200" s="198">
        <f>SUM(Tabela96[[#This Row],[2026]:[2030]])</f>
        <v>26000</v>
      </c>
      <c r="AL200" s="198">
        <v>0</v>
      </c>
      <c r="AM200" s="198">
        <v>0</v>
      </c>
      <c r="AN200" s="198">
        <v>0</v>
      </c>
      <c r="AO200" s="198">
        <v>0</v>
      </c>
      <c r="AP200" s="198">
        <v>0</v>
      </c>
      <c r="AQ200" s="202">
        <f>SUM(Tabela96[[#This Row],[2026-2030]:[2035]])</f>
        <v>26000</v>
      </c>
      <c r="AS200" s="178" t="s">
        <v>1600</v>
      </c>
      <c r="AT200" s="201" t="s">
        <v>1601</v>
      </c>
      <c r="AU200" s="178" t="s">
        <v>1659</v>
      </c>
      <c r="AV200" s="182"/>
      <c r="AW200" s="178" t="s">
        <v>1603</v>
      </c>
      <c r="AZ200" s="178" t="s">
        <v>1604</v>
      </c>
    </row>
    <row r="201" spans="2:52" ht="24.75" customHeight="1" x14ac:dyDescent="0.35">
      <c r="B201" s="179" t="e" cm="1">
        <f t="array" ref="B201">AND(ISTEXT('Consolidado-Eletronorte'!#REF!),SUM('Consolidado-Eletronorte'!#REF!)&gt;0)</f>
        <v>#REF!</v>
      </c>
      <c r="C201" s="162" t="str">
        <f t="shared" ca="1" si="15"/>
        <v>Capex Orcamentário_PE2026_2030_red_35_porcentoR3_consulta.xlsx</v>
      </c>
      <c r="D201" s="163" t="str">
        <f t="shared" si="16"/>
        <v>COO</v>
      </c>
      <c r="E201" s="163" t="str">
        <f t="shared" si="17"/>
        <v>Lucas Martins</v>
      </c>
      <c r="F201" s="164"/>
      <c r="G201" s="164" t="e">
        <f>_xlfn.CONCAT('Consolidado-Eletronorte'!#REF!,"_",ROW('Consolidado-Eletronorte'!#REF!)-ROW('Consolidado-Eletronorte'!$G$18))</f>
        <v>#REF!</v>
      </c>
      <c r="H201" s="165" t="s">
        <v>506</v>
      </c>
      <c r="I201" s="165" t="s">
        <v>135</v>
      </c>
      <c r="J201" s="165" t="s">
        <v>508</v>
      </c>
      <c r="K201" s="165" t="s">
        <v>1039</v>
      </c>
      <c r="L201" s="165" t="s">
        <v>1040</v>
      </c>
      <c r="M201" s="165"/>
      <c r="N201" s="165"/>
      <c r="O201" s="165"/>
      <c r="P201" s="165"/>
      <c r="Q201" s="178" t="s">
        <v>1660</v>
      </c>
      <c r="R201" s="178" t="s">
        <v>1633</v>
      </c>
      <c r="S201" s="178" t="s">
        <v>1054</v>
      </c>
      <c r="T201" s="198" t="s">
        <v>1045</v>
      </c>
      <c r="U201" s="198" t="s">
        <v>1045</v>
      </c>
      <c r="V201" s="198" t="s">
        <v>1045</v>
      </c>
      <c r="W201" s="198" t="s">
        <v>1045</v>
      </c>
      <c r="X201" s="198" t="s">
        <v>1045</v>
      </c>
      <c r="Y201" s="198" t="s">
        <v>1045</v>
      </c>
      <c r="Z201" s="198" t="s">
        <v>1045</v>
      </c>
      <c r="AA201" s="198" t="s">
        <v>1045</v>
      </c>
      <c r="AB201" s="198">
        <v>26000</v>
      </c>
      <c r="AC201" s="198" t="s">
        <v>1045</v>
      </c>
      <c r="AD201" s="198" t="s">
        <v>1045</v>
      </c>
      <c r="AE201" s="198" t="s">
        <v>1045</v>
      </c>
      <c r="AF201" s="197">
        <f>SUM(Tabela96[[#This Row],[jan/26]:[dez/26]])</f>
        <v>26000</v>
      </c>
      <c r="AG201" s="198">
        <v>0</v>
      </c>
      <c r="AH201" s="198">
        <v>0</v>
      </c>
      <c r="AI201" s="198">
        <v>0</v>
      </c>
      <c r="AJ201" s="198">
        <v>0</v>
      </c>
      <c r="AK201" s="198">
        <f>SUM(Tabela96[[#This Row],[2026]:[2030]])</f>
        <v>26000</v>
      </c>
      <c r="AL201" s="198">
        <v>0</v>
      </c>
      <c r="AM201" s="198">
        <v>0</v>
      </c>
      <c r="AN201" s="198">
        <v>0</v>
      </c>
      <c r="AO201" s="198">
        <v>0</v>
      </c>
      <c r="AP201" s="198">
        <v>0</v>
      </c>
      <c r="AQ201" s="202">
        <f>SUM(Tabela96[[#This Row],[2026-2030]:[2035]])</f>
        <v>26000</v>
      </c>
      <c r="AS201" s="178" t="s">
        <v>1600</v>
      </c>
      <c r="AT201" s="201" t="s">
        <v>1601</v>
      </c>
      <c r="AU201" s="178" t="s">
        <v>1661</v>
      </c>
      <c r="AV201" s="182"/>
      <c r="AW201" s="178" t="s">
        <v>1603</v>
      </c>
      <c r="AZ201" s="178" t="s">
        <v>1604</v>
      </c>
    </row>
    <row r="202" spans="2:52" ht="24.75" customHeight="1" x14ac:dyDescent="0.35">
      <c r="B202" s="179" t="e" cm="1">
        <f t="array" ref="B202">AND(ISTEXT('Consolidado-Eletronorte'!#REF!),SUM('Consolidado-Eletronorte'!#REF!)&gt;0)</f>
        <v>#REF!</v>
      </c>
      <c r="C202" s="162" t="str">
        <f t="shared" ca="1" si="15"/>
        <v>Capex Orcamentário_PE2026_2030_red_35_porcentoR3_consulta.xlsx</v>
      </c>
      <c r="D202" s="163" t="str">
        <f t="shared" si="16"/>
        <v>COO</v>
      </c>
      <c r="E202" s="163" t="str">
        <f t="shared" si="17"/>
        <v>Lucas Martins</v>
      </c>
      <c r="F202" s="164"/>
      <c r="G202" s="164" t="e">
        <f>_xlfn.CONCAT('Consolidado-Eletronorte'!#REF!,"_",ROW('Consolidado-Eletronorte'!#REF!)-ROW('Consolidado-Eletronorte'!$G$18))</f>
        <v>#REF!</v>
      </c>
      <c r="H202" s="165" t="s">
        <v>506</v>
      </c>
      <c r="I202" s="165" t="s">
        <v>135</v>
      </c>
      <c r="J202" s="165" t="s">
        <v>508</v>
      </c>
      <c r="K202" s="165" t="s">
        <v>1039</v>
      </c>
      <c r="L202" s="165" t="s">
        <v>1040</v>
      </c>
      <c r="M202" s="165"/>
      <c r="N202" s="165"/>
      <c r="O202" s="165"/>
      <c r="P202" s="165"/>
      <c r="Q202" s="178" t="s">
        <v>1662</v>
      </c>
      <c r="R202" s="178" t="s">
        <v>1633</v>
      </c>
      <c r="S202" s="178" t="s">
        <v>1054</v>
      </c>
      <c r="T202" s="198" t="s">
        <v>1045</v>
      </c>
      <c r="U202" s="198" t="s">
        <v>1045</v>
      </c>
      <c r="V202" s="198" t="s">
        <v>1045</v>
      </c>
      <c r="W202" s="198" t="s">
        <v>1045</v>
      </c>
      <c r="X202" s="198" t="s">
        <v>1045</v>
      </c>
      <c r="Y202" s="198" t="s">
        <v>1045</v>
      </c>
      <c r="Z202" s="198" t="s">
        <v>1045</v>
      </c>
      <c r="AA202" s="198">
        <v>6000</v>
      </c>
      <c r="AB202" s="198" t="s">
        <v>1045</v>
      </c>
      <c r="AC202" s="198" t="s">
        <v>1045</v>
      </c>
      <c r="AD202" s="198" t="s">
        <v>1045</v>
      </c>
      <c r="AE202" s="198" t="s">
        <v>1045</v>
      </c>
      <c r="AF202" s="197">
        <f>SUM(Tabela96[[#This Row],[jan/26]:[dez/26]])</f>
        <v>6000</v>
      </c>
      <c r="AG202" s="198">
        <v>0</v>
      </c>
      <c r="AH202" s="198">
        <v>0</v>
      </c>
      <c r="AI202" s="198">
        <v>0</v>
      </c>
      <c r="AJ202" s="198">
        <v>0</v>
      </c>
      <c r="AK202" s="198">
        <f>SUM(Tabela96[[#This Row],[2026]:[2030]])</f>
        <v>6000</v>
      </c>
      <c r="AL202" s="198">
        <v>0</v>
      </c>
      <c r="AM202" s="198">
        <v>0</v>
      </c>
      <c r="AN202" s="198">
        <v>0</v>
      </c>
      <c r="AO202" s="198">
        <v>0</v>
      </c>
      <c r="AP202" s="198">
        <v>0</v>
      </c>
      <c r="AQ202" s="202">
        <f>SUM(Tabela96[[#This Row],[2026-2030]:[2035]])</f>
        <v>6000</v>
      </c>
      <c r="AS202" s="178" t="s">
        <v>1600</v>
      </c>
      <c r="AT202" s="201" t="s">
        <v>1601</v>
      </c>
      <c r="AU202" s="178" t="s">
        <v>1663</v>
      </c>
      <c r="AV202" s="182"/>
      <c r="AW202" s="178" t="s">
        <v>1603</v>
      </c>
      <c r="AZ202" s="178" t="s">
        <v>1604</v>
      </c>
    </row>
    <row r="203" spans="2:52" ht="24.75" customHeight="1" x14ac:dyDescent="0.35">
      <c r="B203" s="179" t="e" cm="1">
        <f t="array" ref="B203">AND(ISTEXT('Consolidado-Eletronorte'!#REF!),SUM('Consolidado-Eletronorte'!#REF!)&gt;0)</f>
        <v>#REF!</v>
      </c>
      <c r="C203" s="162" t="str">
        <f t="shared" ca="1" si="15"/>
        <v>Capex Orcamentário_PE2026_2030_red_35_porcentoR3_consulta.xlsx</v>
      </c>
      <c r="D203" s="163" t="str">
        <f t="shared" si="16"/>
        <v>COO</v>
      </c>
      <c r="E203" s="163" t="str">
        <f t="shared" si="17"/>
        <v>Lucas Martins</v>
      </c>
      <c r="F203" s="164"/>
      <c r="G203" s="164" t="e">
        <f>_xlfn.CONCAT('Consolidado-Eletronorte'!#REF!,"_",ROW('Consolidado-Eletronorte'!#REF!)-ROW('Consolidado-Eletronorte'!$G$18))</f>
        <v>#REF!</v>
      </c>
      <c r="H203" s="165" t="s">
        <v>506</v>
      </c>
      <c r="I203" s="165" t="s">
        <v>135</v>
      </c>
      <c r="J203" s="165" t="s">
        <v>508</v>
      </c>
      <c r="K203" s="165" t="s">
        <v>1039</v>
      </c>
      <c r="L203" s="165" t="s">
        <v>1040</v>
      </c>
      <c r="M203" s="165"/>
      <c r="N203" s="165"/>
      <c r="O203" s="165"/>
      <c r="P203" s="165"/>
      <c r="Q203" s="178" t="s">
        <v>1664</v>
      </c>
      <c r="R203" s="178" t="s">
        <v>1633</v>
      </c>
      <c r="S203" s="178" t="s">
        <v>1054</v>
      </c>
      <c r="T203" s="198" t="s">
        <v>1045</v>
      </c>
      <c r="U203" s="198" t="s">
        <v>1045</v>
      </c>
      <c r="V203" s="198" t="s">
        <v>1045</v>
      </c>
      <c r="W203" s="198" t="s">
        <v>1045</v>
      </c>
      <c r="X203" s="198" t="s">
        <v>1045</v>
      </c>
      <c r="Y203" s="198" t="s">
        <v>1045</v>
      </c>
      <c r="Z203" s="198" t="s">
        <v>1045</v>
      </c>
      <c r="AA203" s="198">
        <v>14000</v>
      </c>
      <c r="AB203" s="198" t="s">
        <v>1045</v>
      </c>
      <c r="AC203" s="198" t="s">
        <v>1045</v>
      </c>
      <c r="AD203" s="198" t="s">
        <v>1045</v>
      </c>
      <c r="AE203" s="198" t="s">
        <v>1045</v>
      </c>
      <c r="AF203" s="197">
        <f>SUM(Tabela96[[#This Row],[jan/26]:[dez/26]])</f>
        <v>14000</v>
      </c>
      <c r="AG203" s="198">
        <v>0</v>
      </c>
      <c r="AH203" s="198">
        <v>0</v>
      </c>
      <c r="AI203" s="198">
        <v>0</v>
      </c>
      <c r="AJ203" s="198">
        <v>0</v>
      </c>
      <c r="AK203" s="198">
        <f>SUM(Tabela96[[#This Row],[2026]:[2030]])</f>
        <v>14000</v>
      </c>
      <c r="AL203" s="198">
        <v>0</v>
      </c>
      <c r="AM203" s="198">
        <v>0</v>
      </c>
      <c r="AN203" s="198">
        <v>0</v>
      </c>
      <c r="AO203" s="198">
        <v>0</v>
      </c>
      <c r="AP203" s="198">
        <v>0</v>
      </c>
      <c r="AQ203" s="202">
        <f>SUM(Tabela96[[#This Row],[2026-2030]:[2035]])</f>
        <v>14000</v>
      </c>
      <c r="AS203" s="178" t="s">
        <v>1600</v>
      </c>
      <c r="AT203" s="201" t="s">
        <v>1601</v>
      </c>
      <c r="AU203" s="178" t="s">
        <v>1665</v>
      </c>
      <c r="AV203" s="182"/>
      <c r="AW203" s="178" t="s">
        <v>1603</v>
      </c>
      <c r="AZ203" s="178" t="s">
        <v>1604</v>
      </c>
    </row>
    <row r="204" spans="2:52" ht="24.75" customHeight="1" x14ac:dyDescent="0.35">
      <c r="B204" s="179" t="e" cm="1">
        <f t="array" ref="B204">AND(ISTEXT('Consolidado-Eletronorte'!#REF!),SUM('Consolidado-Eletronorte'!#REF!)&gt;0)</f>
        <v>#REF!</v>
      </c>
      <c r="C204" s="162" t="str">
        <f t="shared" ca="1" si="15"/>
        <v>Capex Orcamentário_PE2026_2030_red_35_porcentoR3_consulta.xlsx</v>
      </c>
      <c r="D204" s="163" t="str">
        <f t="shared" si="16"/>
        <v>COO</v>
      </c>
      <c r="E204" s="163" t="str">
        <f t="shared" si="17"/>
        <v>Lucas Martins</v>
      </c>
      <c r="F204" s="164"/>
      <c r="G204" s="164" t="e">
        <f>_xlfn.CONCAT('Consolidado-Eletronorte'!#REF!,"_",ROW('Consolidado-Eletronorte'!#REF!)-ROW('Consolidado-Eletronorte'!$G$18))</f>
        <v>#REF!</v>
      </c>
      <c r="H204" s="165" t="s">
        <v>506</v>
      </c>
      <c r="I204" s="165" t="s">
        <v>135</v>
      </c>
      <c r="J204" s="165" t="s">
        <v>508</v>
      </c>
      <c r="K204" s="165" t="s">
        <v>1039</v>
      </c>
      <c r="L204" s="165" t="s">
        <v>1040</v>
      </c>
      <c r="M204" s="165"/>
      <c r="N204" s="165"/>
      <c r="O204" s="165"/>
      <c r="P204" s="165"/>
      <c r="Q204" s="178" t="s">
        <v>1666</v>
      </c>
      <c r="R204" s="178" t="s">
        <v>1633</v>
      </c>
      <c r="S204" s="178" t="s">
        <v>1054</v>
      </c>
      <c r="T204" s="198" t="s">
        <v>1045</v>
      </c>
      <c r="U204" s="198" t="s">
        <v>1045</v>
      </c>
      <c r="V204" s="198" t="s">
        <v>1045</v>
      </c>
      <c r="W204" s="198" t="s">
        <v>1045</v>
      </c>
      <c r="X204" s="198" t="s">
        <v>1045</v>
      </c>
      <c r="Y204" s="198" t="s">
        <v>1045</v>
      </c>
      <c r="Z204" s="198" t="s">
        <v>1045</v>
      </c>
      <c r="AA204" s="198">
        <v>6000</v>
      </c>
      <c r="AB204" s="198" t="s">
        <v>1045</v>
      </c>
      <c r="AC204" s="198" t="s">
        <v>1045</v>
      </c>
      <c r="AD204" s="198" t="s">
        <v>1045</v>
      </c>
      <c r="AE204" s="198" t="s">
        <v>1045</v>
      </c>
      <c r="AF204" s="197">
        <f>SUM(Tabela96[[#This Row],[jan/26]:[dez/26]])</f>
        <v>6000</v>
      </c>
      <c r="AG204" s="198">
        <v>0</v>
      </c>
      <c r="AH204" s="198">
        <v>0</v>
      </c>
      <c r="AI204" s="198">
        <v>0</v>
      </c>
      <c r="AJ204" s="198">
        <v>0</v>
      </c>
      <c r="AK204" s="198">
        <f>SUM(Tabela96[[#This Row],[2026]:[2030]])</f>
        <v>6000</v>
      </c>
      <c r="AL204" s="198">
        <v>0</v>
      </c>
      <c r="AM204" s="198">
        <v>0</v>
      </c>
      <c r="AN204" s="198">
        <v>0</v>
      </c>
      <c r="AO204" s="198">
        <v>0</v>
      </c>
      <c r="AP204" s="198">
        <v>0</v>
      </c>
      <c r="AQ204" s="202">
        <f>SUM(Tabela96[[#This Row],[2026-2030]:[2035]])</f>
        <v>6000</v>
      </c>
      <c r="AS204" s="178" t="s">
        <v>1600</v>
      </c>
      <c r="AT204" s="201" t="s">
        <v>1601</v>
      </c>
      <c r="AU204" s="178" t="s">
        <v>1667</v>
      </c>
      <c r="AV204" s="112"/>
      <c r="AW204" s="178" t="s">
        <v>1603</v>
      </c>
      <c r="AZ204" s="178" t="s">
        <v>1604</v>
      </c>
    </row>
    <row r="205" spans="2:52" ht="24.75" customHeight="1" x14ac:dyDescent="0.35">
      <c r="B205" s="179" t="e" cm="1">
        <f t="array" ref="B205">AND(ISTEXT('Consolidado-Eletronorte'!#REF!),SUM('Consolidado-Eletronorte'!#REF!)&gt;0)</f>
        <v>#REF!</v>
      </c>
      <c r="C205" s="162" t="str">
        <f t="shared" ca="1" si="15"/>
        <v>Capex Orcamentário_PE2026_2030_red_35_porcentoR3_consulta.xlsx</v>
      </c>
      <c r="D205" s="163" t="str">
        <f t="shared" si="16"/>
        <v>COO</v>
      </c>
      <c r="E205" s="163" t="str">
        <f t="shared" si="17"/>
        <v>Lucas Martins</v>
      </c>
      <c r="F205" s="164"/>
      <c r="G205" s="164" t="e">
        <f>_xlfn.CONCAT('Consolidado-Eletronorte'!#REF!,"_",ROW('Consolidado-Eletronorte'!#REF!)-ROW('Consolidado-Eletronorte'!$G$18))</f>
        <v>#REF!</v>
      </c>
      <c r="H205" s="165" t="s">
        <v>506</v>
      </c>
      <c r="I205" s="165" t="s">
        <v>135</v>
      </c>
      <c r="J205" s="165" t="s">
        <v>508</v>
      </c>
      <c r="K205" s="165" t="s">
        <v>1039</v>
      </c>
      <c r="L205" s="165" t="s">
        <v>1040</v>
      </c>
      <c r="M205" s="165"/>
      <c r="N205" s="165"/>
      <c r="O205" s="165"/>
      <c r="P205" s="165"/>
      <c r="Q205" s="178" t="s">
        <v>1668</v>
      </c>
      <c r="R205" s="178" t="s">
        <v>1633</v>
      </c>
      <c r="S205" s="178" t="s">
        <v>1054</v>
      </c>
      <c r="T205" s="198" t="s">
        <v>1045</v>
      </c>
      <c r="U205" s="198" t="s">
        <v>1045</v>
      </c>
      <c r="V205" s="198" t="s">
        <v>1045</v>
      </c>
      <c r="W205" s="198" t="s">
        <v>1045</v>
      </c>
      <c r="X205" s="198" t="s">
        <v>1045</v>
      </c>
      <c r="Y205" s="198" t="s">
        <v>1045</v>
      </c>
      <c r="Z205" s="198" t="s">
        <v>1045</v>
      </c>
      <c r="AA205" s="198">
        <v>12000</v>
      </c>
      <c r="AB205" s="198" t="s">
        <v>1045</v>
      </c>
      <c r="AC205" s="198" t="s">
        <v>1045</v>
      </c>
      <c r="AD205" s="198" t="s">
        <v>1045</v>
      </c>
      <c r="AE205" s="198" t="s">
        <v>1045</v>
      </c>
      <c r="AF205" s="197">
        <f>SUM(Tabela96[[#This Row],[jan/26]:[dez/26]])</f>
        <v>12000</v>
      </c>
      <c r="AG205" s="198">
        <v>0</v>
      </c>
      <c r="AH205" s="198">
        <v>0</v>
      </c>
      <c r="AI205" s="198">
        <v>0</v>
      </c>
      <c r="AJ205" s="198">
        <v>0</v>
      </c>
      <c r="AK205" s="198">
        <f>SUM(Tabela96[[#This Row],[2026]:[2030]])</f>
        <v>12000</v>
      </c>
      <c r="AL205" s="198">
        <v>0</v>
      </c>
      <c r="AM205" s="198">
        <v>0</v>
      </c>
      <c r="AN205" s="198">
        <v>0</v>
      </c>
      <c r="AO205" s="198">
        <v>0</v>
      </c>
      <c r="AP205" s="198">
        <v>0</v>
      </c>
      <c r="AQ205" s="202">
        <f>SUM(Tabela96[[#This Row],[2026-2030]:[2035]])</f>
        <v>12000</v>
      </c>
      <c r="AS205" s="178" t="s">
        <v>1600</v>
      </c>
      <c r="AT205" s="201" t="s">
        <v>1601</v>
      </c>
      <c r="AU205" s="178" t="s">
        <v>1669</v>
      </c>
      <c r="AV205" s="112"/>
      <c r="AW205" s="178" t="s">
        <v>1603</v>
      </c>
      <c r="AZ205" s="178" t="s">
        <v>1604</v>
      </c>
    </row>
    <row r="206" spans="2:52" ht="24.75" customHeight="1" x14ac:dyDescent="0.35">
      <c r="B206" s="179" t="e" cm="1">
        <f t="array" ref="B206">AND(ISTEXT('Consolidado-Eletronorte'!#REF!),SUM('Consolidado-Eletronorte'!#REF!)&gt;0)</f>
        <v>#REF!</v>
      </c>
      <c r="C206" s="162" t="str">
        <f t="shared" ca="1" si="15"/>
        <v>Capex Orcamentário_PE2026_2030_red_35_porcentoR3_consulta.xlsx</v>
      </c>
      <c r="D206" s="163" t="str">
        <f t="shared" si="16"/>
        <v>COO</v>
      </c>
      <c r="E206" s="163" t="str">
        <f t="shared" si="17"/>
        <v>Lucas Martins</v>
      </c>
      <c r="F206" s="164"/>
      <c r="G206" s="164" t="e">
        <f>_xlfn.CONCAT('Consolidado-Eletronorte'!#REF!,"_",ROW('Consolidado-Eletronorte'!#REF!)-ROW('Consolidado-Eletronorte'!$G$18))</f>
        <v>#REF!</v>
      </c>
      <c r="H206" s="165" t="s">
        <v>506</v>
      </c>
      <c r="I206" s="165" t="s">
        <v>135</v>
      </c>
      <c r="J206" s="165" t="s">
        <v>508</v>
      </c>
      <c r="K206" s="165" t="s">
        <v>1039</v>
      </c>
      <c r="L206" s="165" t="s">
        <v>1040</v>
      </c>
      <c r="M206" s="165"/>
      <c r="N206" s="165"/>
      <c r="O206" s="165"/>
      <c r="P206" s="165"/>
      <c r="Q206" s="178" t="s">
        <v>1670</v>
      </c>
      <c r="R206" s="178" t="s">
        <v>1633</v>
      </c>
      <c r="S206" s="178" t="s">
        <v>1044</v>
      </c>
      <c r="T206" s="198" t="s">
        <v>1045</v>
      </c>
      <c r="U206" s="198" t="s">
        <v>1045</v>
      </c>
      <c r="V206" s="198" t="s">
        <v>1045</v>
      </c>
      <c r="W206" s="198" t="s">
        <v>1045</v>
      </c>
      <c r="X206" s="198" t="s">
        <v>1045</v>
      </c>
      <c r="Y206" s="198" t="s">
        <v>1045</v>
      </c>
      <c r="Z206" s="198" t="s">
        <v>1045</v>
      </c>
      <c r="AA206" s="198" t="s">
        <v>1045</v>
      </c>
      <c r="AB206" s="198" t="s">
        <v>1045</v>
      </c>
      <c r="AC206" s="198">
        <v>80000</v>
      </c>
      <c r="AD206" s="198" t="s">
        <v>1045</v>
      </c>
      <c r="AE206" s="198" t="s">
        <v>1045</v>
      </c>
      <c r="AF206" s="197">
        <f>SUM(Tabela96[[#This Row],[jan/26]:[dez/26]])</f>
        <v>80000</v>
      </c>
      <c r="AG206" s="198">
        <v>0</v>
      </c>
      <c r="AH206" s="198">
        <v>0</v>
      </c>
      <c r="AI206" s="198">
        <v>0</v>
      </c>
      <c r="AJ206" s="198">
        <v>0</v>
      </c>
      <c r="AK206" s="198">
        <f>SUM(Tabela96[[#This Row],[2026]:[2030]])</f>
        <v>80000</v>
      </c>
      <c r="AL206" s="198">
        <v>0</v>
      </c>
      <c r="AM206" s="198">
        <v>0</v>
      </c>
      <c r="AN206" s="198">
        <v>0</v>
      </c>
      <c r="AO206" s="198">
        <v>0</v>
      </c>
      <c r="AP206" s="198">
        <v>0</v>
      </c>
      <c r="AQ206" s="202">
        <f>SUM(Tabela96[[#This Row],[2026-2030]:[2035]])</f>
        <v>80000</v>
      </c>
      <c r="AS206" s="178" t="s">
        <v>1600</v>
      </c>
      <c r="AT206" s="201" t="s">
        <v>1601</v>
      </c>
      <c r="AU206" s="178" t="s">
        <v>1671</v>
      </c>
      <c r="AV206" s="112"/>
      <c r="AW206" s="178" t="s">
        <v>1603</v>
      </c>
      <c r="AZ206" s="178" t="s">
        <v>1604</v>
      </c>
    </row>
    <row r="207" spans="2:52" ht="24.75" customHeight="1" x14ac:dyDescent="0.35">
      <c r="B207" s="179" t="e" cm="1">
        <f t="array" ref="B207">AND(ISTEXT('Consolidado-Eletronorte'!#REF!),SUM('Consolidado-Eletronorte'!#REF!)&gt;0)</f>
        <v>#REF!</v>
      </c>
      <c r="C207" s="162" t="str">
        <f t="shared" ca="1" si="15"/>
        <v>Capex Orcamentário_PE2026_2030_red_35_porcentoR3_consulta.xlsx</v>
      </c>
      <c r="D207" s="163" t="str">
        <f t="shared" si="16"/>
        <v>COO</v>
      </c>
      <c r="E207" s="163" t="str">
        <f t="shared" si="17"/>
        <v>Lucas Martins</v>
      </c>
      <c r="F207" s="164"/>
      <c r="G207" s="164" t="e">
        <f>_xlfn.CONCAT('Consolidado-Eletronorte'!#REF!,"_",ROW('Consolidado-Eletronorte'!#REF!)-ROW('Consolidado-Eletronorte'!$G$18))</f>
        <v>#REF!</v>
      </c>
      <c r="H207" s="165" t="s">
        <v>506</v>
      </c>
      <c r="I207" s="165" t="s">
        <v>135</v>
      </c>
      <c r="J207" s="165" t="s">
        <v>508</v>
      </c>
      <c r="K207" s="165" t="s">
        <v>1039</v>
      </c>
      <c r="L207" s="165" t="s">
        <v>1040</v>
      </c>
      <c r="M207" s="165"/>
      <c r="N207" s="165"/>
      <c r="O207" s="165"/>
      <c r="P207" s="165"/>
      <c r="Q207" s="178" t="s">
        <v>1662</v>
      </c>
      <c r="R207" s="178" t="s">
        <v>1633</v>
      </c>
      <c r="S207" s="178" t="s">
        <v>1044</v>
      </c>
      <c r="T207" s="198" t="s">
        <v>1045</v>
      </c>
      <c r="U207" s="198" t="s">
        <v>1045</v>
      </c>
      <c r="V207" s="198" t="s">
        <v>1045</v>
      </c>
      <c r="W207" s="198" t="s">
        <v>1045</v>
      </c>
      <c r="X207" s="198" t="s">
        <v>1045</v>
      </c>
      <c r="Y207" s="198" t="s">
        <v>1045</v>
      </c>
      <c r="Z207" s="198" t="s">
        <v>1045</v>
      </c>
      <c r="AA207" s="198" t="s">
        <v>1045</v>
      </c>
      <c r="AB207" s="198" t="s">
        <v>1045</v>
      </c>
      <c r="AC207" s="198">
        <v>6000</v>
      </c>
      <c r="AD207" s="198" t="s">
        <v>1045</v>
      </c>
      <c r="AE207" s="198" t="s">
        <v>1045</v>
      </c>
      <c r="AF207" s="197">
        <f>SUM(Tabela96[[#This Row],[jan/26]:[dez/26]])</f>
        <v>6000</v>
      </c>
      <c r="AG207" s="198">
        <v>0</v>
      </c>
      <c r="AH207" s="198">
        <v>0</v>
      </c>
      <c r="AI207" s="198">
        <v>0</v>
      </c>
      <c r="AJ207" s="198">
        <v>0</v>
      </c>
      <c r="AK207" s="198">
        <f>SUM(Tabela96[[#This Row],[2026]:[2030]])</f>
        <v>6000</v>
      </c>
      <c r="AL207" s="198">
        <v>0</v>
      </c>
      <c r="AM207" s="198">
        <v>0</v>
      </c>
      <c r="AN207" s="198">
        <v>0</v>
      </c>
      <c r="AO207" s="198">
        <v>0</v>
      </c>
      <c r="AP207" s="198">
        <v>0</v>
      </c>
      <c r="AQ207" s="202">
        <f>SUM(Tabela96[[#This Row],[2026-2030]:[2035]])</f>
        <v>6000</v>
      </c>
      <c r="AS207" s="178" t="s">
        <v>1600</v>
      </c>
      <c r="AT207" s="201" t="s">
        <v>1601</v>
      </c>
      <c r="AU207" s="178" t="s">
        <v>1672</v>
      </c>
      <c r="AV207" s="112"/>
      <c r="AW207" s="178" t="s">
        <v>1603</v>
      </c>
      <c r="AZ207" s="178" t="s">
        <v>1604</v>
      </c>
    </row>
    <row r="208" spans="2:52" ht="24.75" customHeight="1" x14ac:dyDescent="0.35">
      <c r="B208" s="179" t="e" cm="1">
        <f t="array" ref="B208">AND(ISTEXT('Consolidado-Eletronorte'!#REF!),SUM('Consolidado-Eletronorte'!#REF!)&gt;0)</f>
        <v>#REF!</v>
      </c>
      <c r="C208" s="162" t="str">
        <f t="shared" ca="1" si="15"/>
        <v>Capex Orcamentário_PE2026_2030_red_35_porcentoR3_consulta.xlsx</v>
      </c>
      <c r="D208" s="163" t="str">
        <f t="shared" si="16"/>
        <v>COO</v>
      </c>
      <c r="E208" s="163" t="str">
        <f t="shared" si="17"/>
        <v>Lucas Martins</v>
      </c>
      <c r="F208" s="164"/>
      <c r="G208" s="164" t="e">
        <f>_xlfn.CONCAT('Consolidado-Eletronorte'!#REF!,"_",ROW('Consolidado-Eletronorte'!#REF!)-ROW('Consolidado-Eletronorte'!$G$18))</f>
        <v>#REF!</v>
      </c>
      <c r="H208" s="165" t="s">
        <v>506</v>
      </c>
      <c r="I208" s="165" t="s">
        <v>135</v>
      </c>
      <c r="J208" s="165" t="s">
        <v>508</v>
      </c>
      <c r="K208" s="165" t="s">
        <v>1039</v>
      </c>
      <c r="L208" s="165" t="s">
        <v>1040</v>
      </c>
      <c r="M208" s="165"/>
      <c r="N208" s="165"/>
      <c r="O208" s="165"/>
      <c r="P208" s="165"/>
      <c r="Q208" s="178" t="s">
        <v>1664</v>
      </c>
      <c r="R208" s="178" t="s">
        <v>1633</v>
      </c>
      <c r="S208" s="178" t="s">
        <v>1044</v>
      </c>
      <c r="T208" s="198" t="s">
        <v>1045</v>
      </c>
      <c r="U208" s="198" t="s">
        <v>1045</v>
      </c>
      <c r="V208" s="198" t="s">
        <v>1045</v>
      </c>
      <c r="W208" s="198" t="s">
        <v>1045</v>
      </c>
      <c r="X208" s="198" t="s">
        <v>1045</v>
      </c>
      <c r="Y208" s="198" t="s">
        <v>1045</v>
      </c>
      <c r="Z208" s="198" t="s">
        <v>1045</v>
      </c>
      <c r="AA208" s="198" t="s">
        <v>1045</v>
      </c>
      <c r="AB208" s="198" t="s">
        <v>1045</v>
      </c>
      <c r="AC208" s="198">
        <v>14000</v>
      </c>
      <c r="AD208" s="198" t="s">
        <v>1045</v>
      </c>
      <c r="AE208" s="198" t="s">
        <v>1045</v>
      </c>
      <c r="AF208" s="197">
        <f>SUM(Tabela96[[#This Row],[jan/26]:[dez/26]])</f>
        <v>14000</v>
      </c>
      <c r="AG208" s="198">
        <v>0</v>
      </c>
      <c r="AH208" s="198">
        <v>0</v>
      </c>
      <c r="AI208" s="198">
        <v>0</v>
      </c>
      <c r="AJ208" s="198">
        <v>0</v>
      </c>
      <c r="AK208" s="198">
        <f>SUM(Tabela96[[#This Row],[2026]:[2030]])</f>
        <v>14000</v>
      </c>
      <c r="AL208" s="198">
        <v>0</v>
      </c>
      <c r="AM208" s="198">
        <v>0</v>
      </c>
      <c r="AN208" s="198">
        <v>0</v>
      </c>
      <c r="AO208" s="198">
        <v>0</v>
      </c>
      <c r="AP208" s="198">
        <v>0</v>
      </c>
      <c r="AQ208" s="202">
        <f>SUM(Tabela96[[#This Row],[2026-2030]:[2035]])</f>
        <v>14000</v>
      </c>
      <c r="AS208" s="178" t="s">
        <v>1600</v>
      </c>
      <c r="AT208" s="201" t="s">
        <v>1601</v>
      </c>
      <c r="AU208" s="178" t="s">
        <v>1673</v>
      </c>
      <c r="AV208" s="112"/>
      <c r="AW208" s="178" t="s">
        <v>1603</v>
      </c>
      <c r="AZ208" s="178" t="s">
        <v>1604</v>
      </c>
    </row>
    <row r="209" spans="2:52" ht="24.75" customHeight="1" x14ac:dyDescent="0.35">
      <c r="B209" s="179" t="e" cm="1">
        <f t="array" ref="B209">AND(ISTEXT('Consolidado-Eletronorte'!#REF!),SUM('Consolidado-Eletronorte'!#REF!)&gt;0)</f>
        <v>#REF!</v>
      </c>
      <c r="C209" s="162" t="str">
        <f t="shared" ref="C209:C232" ca="1" si="18">$J$3</f>
        <v>Capex Orcamentário_PE2026_2030_red_35_porcentoR3_consulta.xlsx</v>
      </c>
      <c r="D209" s="163" t="str">
        <f t="shared" ref="D209:D232" si="19">$H$3</f>
        <v>COO</v>
      </c>
      <c r="E209" s="163" t="str">
        <f t="shared" ref="E209:E232" si="20">$H$4</f>
        <v>Lucas Martins</v>
      </c>
      <c r="F209" s="164"/>
      <c r="G209" s="164" t="e">
        <f>_xlfn.CONCAT('Consolidado-Eletronorte'!#REF!,"_",ROW('Consolidado-Eletronorte'!#REF!)-ROW('Consolidado-Eletronorte'!$G$18))</f>
        <v>#REF!</v>
      </c>
      <c r="H209" s="165" t="s">
        <v>506</v>
      </c>
      <c r="I209" s="165" t="s">
        <v>135</v>
      </c>
      <c r="J209" s="165" t="s">
        <v>508</v>
      </c>
      <c r="K209" s="165" t="s">
        <v>1039</v>
      </c>
      <c r="L209" s="165" t="s">
        <v>1040</v>
      </c>
      <c r="M209" s="165"/>
      <c r="N209" s="165"/>
      <c r="O209" s="165"/>
      <c r="P209" s="165"/>
      <c r="Q209" s="178" t="s">
        <v>1666</v>
      </c>
      <c r="R209" s="178" t="s">
        <v>1633</v>
      </c>
      <c r="S209" s="178" t="s">
        <v>1044</v>
      </c>
      <c r="T209" s="198" t="s">
        <v>1045</v>
      </c>
      <c r="U209" s="198" t="s">
        <v>1045</v>
      </c>
      <c r="V209" s="198" t="s">
        <v>1045</v>
      </c>
      <c r="W209" s="198" t="s">
        <v>1045</v>
      </c>
      <c r="X209" s="198" t="s">
        <v>1045</v>
      </c>
      <c r="Y209" s="198" t="s">
        <v>1045</v>
      </c>
      <c r="Z209" s="198" t="s">
        <v>1045</v>
      </c>
      <c r="AA209" s="198" t="s">
        <v>1045</v>
      </c>
      <c r="AB209" s="198" t="s">
        <v>1045</v>
      </c>
      <c r="AC209" s="198">
        <v>6000</v>
      </c>
      <c r="AD209" s="198" t="s">
        <v>1045</v>
      </c>
      <c r="AE209" s="198" t="s">
        <v>1045</v>
      </c>
      <c r="AF209" s="197">
        <f>SUM(Tabela96[[#This Row],[jan/26]:[dez/26]])</f>
        <v>6000</v>
      </c>
      <c r="AG209" s="198">
        <v>0</v>
      </c>
      <c r="AH209" s="198">
        <v>0</v>
      </c>
      <c r="AI209" s="198">
        <v>0</v>
      </c>
      <c r="AJ209" s="198">
        <v>0</v>
      </c>
      <c r="AK209" s="198">
        <f>SUM(Tabela96[[#This Row],[2026]:[2030]])</f>
        <v>6000</v>
      </c>
      <c r="AL209" s="198">
        <v>0</v>
      </c>
      <c r="AM209" s="198">
        <v>0</v>
      </c>
      <c r="AN209" s="198">
        <v>0</v>
      </c>
      <c r="AO209" s="198">
        <v>0</v>
      </c>
      <c r="AP209" s="198">
        <v>0</v>
      </c>
      <c r="AQ209" s="202">
        <f>SUM(Tabela96[[#This Row],[2026-2030]:[2035]])</f>
        <v>6000</v>
      </c>
      <c r="AS209" s="178" t="s">
        <v>1600</v>
      </c>
      <c r="AT209" s="201" t="s">
        <v>1601</v>
      </c>
      <c r="AU209" s="178" t="s">
        <v>1674</v>
      </c>
      <c r="AV209" s="112"/>
      <c r="AW209" s="178" t="s">
        <v>1603</v>
      </c>
      <c r="AZ209" s="178" t="s">
        <v>1604</v>
      </c>
    </row>
    <row r="210" spans="2:52" ht="24.75" customHeight="1" x14ac:dyDescent="0.35">
      <c r="B210" s="179" t="e" cm="1">
        <f t="array" ref="B210">AND(ISTEXT('Consolidado-Eletronorte'!#REF!),SUM('Consolidado-Eletronorte'!#REF!)&gt;0)</f>
        <v>#REF!</v>
      </c>
      <c r="C210" s="162" t="str">
        <f t="shared" ca="1" si="18"/>
        <v>Capex Orcamentário_PE2026_2030_red_35_porcentoR3_consulta.xlsx</v>
      </c>
      <c r="D210" s="163" t="str">
        <f t="shared" si="19"/>
        <v>COO</v>
      </c>
      <c r="E210" s="163" t="str">
        <f t="shared" si="20"/>
        <v>Lucas Martins</v>
      </c>
      <c r="F210" s="164"/>
      <c r="G210" s="164" t="e">
        <f>_xlfn.CONCAT('Consolidado-Eletronorte'!#REF!,"_",ROW('Consolidado-Eletronorte'!#REF!)-ROW('Consolidado-Eletronorte'!$G$18))</f>
        <v>#REF!</v>
      </c>
      <c r="H210" s="165" t="s">
        <v>506</v>
      </c>
      <c r="I210" s="165" t="s">
        <v>135</v>
      </c>
      <c r="J210" s="165" t="s">
        <v>508</v>
      </c>
      <c r="K210" s="165" t="s">
        <v>1039</v>
      </c>
      <c r="L210" s="165" t="s">
        <v>1040</v>
      </c>
      <c r="M210" s="165"/>
      <c r="N210" s="165"/>
      <c r="O210" s="165"/>
      <c r="P210" s="165"/>
      <c r="Q210" s="178" t="s">
        <v>1668</v>
      </c>
      <c r="R210" s="178" t="s">
        <v>1633</v>
      </c>
      <c r="S210" s="178" t="s">
        <v>1044</v>
      </c>
      <c r="T210" s="198" t="s">
        <v>1045</v>
      </c>
      <c r="U210" s="198" t="s">
        <v>1045</v>
      </c>
      <c r="V210" s="198" t="s">
        <v>1045</v>
      </c>
      <c r="W210" s="198" t="s">
        <v>1045</v>
      </c>
      <c r="X210" s="198" t="s">
        <v>1045</v>
      </c>
      <c r="Y210" s="198" t="s">
        <v>1045</v>
      </c>
      <c r="Z210" s="198" t="s">
        <v>1045</v>
      </c>
      <c r="AA210" s="198" t="s">
        <v>1045</v>
      </c>
      <c r="AB210" s="198" t="s">
        <v>1045</v>
      </c>
      <c r="AC210" s="198">
        <v>12000</v>
      </c>
      <c r="AD210" s="198" t="s">
        <v>1045</v>
      </c>
      <c r="AE210" s="198" t="s">
        <v>1045</v>
      </c>
      <c r="AF210" s="197">
        <f>SUM(Tabela96[[#This Row],[jan/26]:[dez/26]])</f>
        <v>12000</v>
      </c>
      <c r="AG210" s="198">
        <v>0</v>
      </c>
      <c r="AH210" s="198">
        <v>0</v>
      </c>
      <c r="AI210" s="198">
        <v>0</v>
      </c>
      <c r="AJ210" s="198">
        <v>0</v>
      </c>
      <c r="AK210" s="198">
        <f>SUM(Tabela96[[#This Row],[2026]:[2030]])</f>
        <v>12000</v>
      </c>
      <c r="AL210" s="198">
        <v>0</v>
      </c>
      <c r="AM210" s="198">
        <v>0</v>
      </c>
      <c r="AN210" s="198">
        <v>0</v>
      </c>
      <c r="AO210" s="198">
        <v>0</v>
      </c>
      <c r="AP210" s="198">
        <v>0</v>
      </c>
      <c r="AQ210" s="202">
        <f>SUM(Tabela96[[#This Row],[2026-2030]:[2035]])</f>
        <v>12000</v>
      </c>
      <c r="AS210" s="178" t="s">
        <v>1600</v>
      </c>
      <c r="AT210" s="201" t="s">
        <v>1601</v>
      </c>
      <c r="AU210" s="178" t="s">
        <v>1675</v>
      </c>
      <c r="AV210" s="112"/>
      <c r="AW210" s="178" t="s">
        <v>1603</v>
      </c>
      <c r="AZ210" s="178" t="s">
        <v>1604</v>
      </c>
    </row>
    <row r="211" spans="2:52" ht="24.75" customHeight="1" x14ac:dyDescent="0.35">
      <c r="B211" s="179" t="e" cm="1">
        <f t="array" ref="B211">AND(ISTEXT('Consolidado-Eletronorte'!#REF!),SUM('Consolidado-Eletronorte'!#REF!)&gt;0)</f>
        <v>#REF!</v>
      </c>
      <c r="C211" s="162" t="str">
        <f t="shared" ca="1" si="18"/>
        <v>Capex Orcamentário_PE2026_2030_red_35_porcentoR3_consulta.xlsx</v>
      </c>
      <c r="D211" s="163" t="str">
        <f t="shared" si="19"/>
        <v>COO</v>
      </c>
      <c r="E211" s="163" t="str">
        <f t="shared" si="20"/>
        <v>Lucas Martins</v>
      </c>
      <c r="F211" s="164"/>
      <c r="G211" s="164" t="e">
        <f>_xlfn.CONCAT('Consolidado-Eletronorte'!#REF!,"_",ROW('Consolidado-Eletronorte'!#REF!)-ROW('Consolidado-Eletronorte'!$G$18))</f>
        <v>#REF!</v>
      </c>
      <c r="H211" s="165" t="s">
        <v>506</v>
      </c>
      <c r="I211" s="165" t="s">
        <v>135</v>
      </c>
      <c r="J211" s="165" t="s">
        <v>508</v>
      </c>
      <c r="K211" s="165" t="s">
        <v>1039</v>
      </c>
      <c r="L211" s="165" t="s">
        <v>1040</v>
      </c>
      <c r="M211" s="165"/>
      <c r="N211" s="165"/>
      <c r="O211" s="165"/>
      <c r="P211" s="165"/>
      <c r="Q211" s="178" t="s">
        <v>1676</v>
      </c>
      <c r="R211" s="178" t="s">
        <v>1677</v>
      </c>
      <c r="S211" s="178" t="s">
        <v>1054</v>
      </c>
      <c r="T211" s="198" t="s">
        <v>1045</v>
      </c>
      <c r="U211" s="198" t="s">
        <v>1045</v>
      </c>
      <c r="V211" s="198" t="s">
        <v>1045</v>
      </c>
      <c r="W211" s="198" t="s">
        <v>1045</v>
      </c>
      <c r="X211" s="198" t="s">
        <v>1045</v>
      </c>
      <c r="Y211" s="198" t="s">
        <v>1045</v>
      </c>
      <c r="Z211" s="198" t="s">
        <v>1045</v>
      </c>
      <c r="AA211" s="198">
        <v>90000</v>
      </c>
      <c r="AB211" s="198" t="s">
        <v>1045</v>
      </c>
      <c r="AC211" s="198" t="s">
        <v>1045</v>
      </c>
      <c r="AD211" s="198" t="s">
        <v>1045</v>
      </c>
      <c r="AE211" s="198" t="s">
        <v>1045</v>
      </c>
      <c r="AF211" s="197">
        <f>SUM(Tabela96[[#This Row],[jan/26]:[dez/26]])</f>
        <v>90000</v>
      </c>
      <c r="AG211" s="198">
        <v>0</v>
      </c>
      <c r="AH211" s="198">
        <v>0</v>
      </c>
      <c r="AI211" s="198">
        <v>0</v>
      </c>
      <c r="AJ211" s="198">
        <v>0</v>
      </c>
      <c r="AK211" s="198">
        <f>SUM(Tabela96[[#This Row],[2026]:[2030]])</f>
        <v>90000</v>
      </c>
      <c r="AL211" s="198">
        <v>0</v>
      </c>
      <c r="AM211" s="198">
        <v>0</v>
      </c>
      <c r="AN211" s="198">
        <v>0</v>
      </c>
      <c r="AO211" s="198">
        <v>0</v>
      </c>
      <c r="AP211" s="198">
        <v>0</v>
      </c>
      <c r="AQ211" s="202">
        <f>SUM(Tabela96[[#This Row],[2026-2030]:[2035]])</f>
        <v>90000</v>
      </c>
      <c r="AS211" s="178" t="s">
        <v>1600</v>
      </c>
      <c r="AT211" s="201" t="s">
        <v>1601</v>
      </c>
      <c r="AU211" s="178" t="s">
        <v>1678</v>
      </c>
      <c r="AV211" s="112"/>
      <c r="AW211" s="178" t="s">
        <v>1603</v>
      </c>
      <c r="AZ211" s="178" t="s">
        <v>1604</v>
      </c>
    </row>
    <row r="212" spans="2:52" ht="24.75" customHeight="1" x14ac:dyDescent="0.35">
      <c r="B212" s="179" t="e" cm="1">
        <f t="array" ref="B212">AND(ISTEXT('Consolidado-Eletronorte'!#REF!),SUM('Consolidado-Eletronorte'!#REF!)&gt;0)</f>
        <v>#REF!</v>
      </c>
      <c r="C212" s="162" t="str">
        <f t="shared" ca="1" si="18"/>
        <v>Capex Orcamentário_PE2026_2030_red_35_porcentoR3_consulta.xlsx</v>
      </c>
      <c r="D212" s="163" t="str">
        <f t="shared" si="19"/>
        <v>COO</v>
      </c>
      <c r="E212" s="163" t="str">
        <f t="shared" si="20"/>
        <v>Lucas Martins</v>
      </c>
      <c r="F212" s="164"/>
      <c r="G212" s="164" t="e">
        <f>_xlfn.CONCAT('Consolidado-Eletronorte'!#REF!,"_",ROW('Consolidado-Eletronorte'!#REF!)-ROW('Consolidado-Eletronorte'!$G$18))</f>
        <v>#REF!</v>
      </c>
      <c r="H212" s="165" t="s">
        <v>506</v>
      </c>
      <c r="I212" s="165" t="s">
        <v>135</v>
      </c>
      <c r="J212" s="165" t="s">
        <v>508</v>
      </c>
      <c r="K212" s="165" t="s">
        <v>1039</v>
      </c>
      <c r="L212" s="165" t="s">
        <v>1040</v>
      </c>
      <c r="M212" s="165"/>
      <c r="N212" s="165"/>
      <c r="O212" s="165"/>
      <c r="P212" s="165"/>
      <c r="Q212" s="178" t="s">
        <v>1679</v>
      </c>
      <c r="R212" s="178" t="s">
        <v>1679</v>
      </c>
      <c r="S212" s="178" t="s">
        <v>1054</v>
      </c>
      <c r="T212" s="198" t="s">
        <v>1045</v>
      </c>
      <c r="U212" s="198" t="s">
        <v>1045</v>
      </c>
      <c r="V212" s="198" t="s">
        <v>1045</v>
      </c>
      <c r="W212" s="198" t="s">
        <v>1045</v>
      </c>
      <c r="X212" s="198" t="s">
        <v>1045</v>
      </c>
      <c r="Y212" s="198" t="s">
        <v>1045</v>
      </c>
      <c r="Z212" s="198" t="s">
        <v>1045</v>
      </c>
      <c r="AA212" s="198" t="s">
        <v>1045</v>
      </c>
      <c r="AB212" s="198" t="s">
        <v>1045</v>
      </c>
      <c r="AC212" s="198" t="s">
        <v>1045</v>
      </c>
      <c r="AD212" s="198">
        <v>80000</v>
      </c>
      <c r="AE212" s="198" t="s">
        <v>1045</v>
      </c>
      <c r="AF212" s="197">
        <f>SUM(Tabela96[[#This Row],[jan/26]:[dez/26]])</f>
        <v>80000</v>
      </c>
      <c r="AG212" s="198">
        <v>0</v>
      </c>
      <c r="AH212" s="198">
        <v>0</v>
      </c>
      <c r="AI212" s="198">
        <v>0</v>
      </c>
      <c r="AJ212" s="198">
        <v>0</v>
      </c>
      <c r="AK212" s="198">
        <f>SUM(Tabela96[[#This Row],[2026]:[2030]])</f>
        <v>80000</v>
      </c>
      <c r="AL212" s="198">
        <v>0</v>
      </c>
      <c r="AM212" s="198">
        <v>0</v>
      </c>
      <c r="AN212" s="198">
        <v>0</v>
      </c>
      <c r="AO212" s="198">
        <v>0</v>
      </c>
      <c r="AP212" s="198">
        <v>0</v>
      </c>
      <c r="AQ212" s="202">
        <f>SUM(Tabela96[[#This Row],[2026-2030]:[2035]])</f>
        <v>80000</v>
      </c>
      <c r="AS212" s="178" t="s">
        <v>1600</v>
      </c>
      <c r="AT212" s="201" t="s">
        <v>1601</v>
      </c>
      <c r="AU212" s="178" t="s">
        <v>1680</v>
      </c>
      <c r="AV212" s="112"/>
      <c r="AW212" s="178" t="s">
        <v>1603</v>
      </c>
      <c r="AZ212" s="178" t="s">
        <v>1604</v>
      </c>
    </row>
    <row r="213" spans="2:52" ht="24.75" customHeight="1" x14ac:dyDescent="0.35">
      <c r="B213" s="179" t="e" cm="1">
        <f t="array" ref="B213">AND(ISTEXT('Consolidado-Eletronorte'!#REF!),SUM('Consolidado-Eletronorte'!#REF!)&gt;0)</f>
        <v>#REF!</v>
      </c>
      <c r="C213" s="162" t="str">
        <f t="shared" ca="1" si="18"/>
        <v>Capex Orcamentário_PE2026_2030_red_35_porcentoR3_consulta.xlsx</v>
      </c>
      <c r="D213" s="163" t="str">
        <f t="shared" si="19"/>
        <v>COO</v>
      </c>
      <c r="E213" s="163" t="str">
        <f t="shared" si="20"/>
        <v>Lucas Martins</v>
      </c>
      <c r="F213" s="164"/>
      <c r="G213" s="164" t="e">
        <f>_xlfn.CONCAT('Consolidado-Eletronorte'!#REF!,"_",ROW('Consolidado-Eletronorte'!#REF!)-ROW('Consolidado-Eletronorte'!$G$18))</f>
        <v>#REF!</v>
      </c>
      <c r="H213" s="165" t="s">
        <v>506</v>
      </c>
      <c r="I213" s="165" t="s">
        <v>135</v>
      </c>
      <c r="J213" s="165" t="s">
        <v>508</v>
      </c>
      <c r="K213" s="165" t="s">
        <v>1039</v>
      </c>
      <c r="L213" s="165" t="s">
        <v>1040</v>
      </c>
      <c r="M213" s="165"/>
      <c r="N213" s="165"/>
      <c r="O213" s="165"/>
      <c r="P213" s="165"/>
      <c r="Q213" s="178" t="s">
        <v>1681</v>
      </c>
      <c r="R213" s="178" t="s">
        <v>1633</v>
      </c>
      <c r="S213" s="178" t="s">
        <v>1060</v>
      </c>
      <c r="T213" s="198" t="s">
        <v>1045</v>
      </c>
      <c r="U213" s="198" t="s">
        <v>1045</v>
      </c>
      <c r="V213" s="198" t="s">
        <v>1045</v>
      </c>
      <c r="W213" s="198" t="s">
        <v>1045</v>
      </c>
      <c r="X213" s="198" t="s">
        <v>1045</v>
      </c>
      <c r="Y213" s="198" t="s">
        <v>1045</v>
      </c>
      <c r="Z213" s="198" t="s">
        <v>1045</v>
      </c>
      <c r="AA213" s="198" t="s">
        <v>1045</v>
      </c>
      <c r="AB213" s="198">
        <v>105000</v>
      </c>
      <c r="AC213" s="198" t="s">
        <v>1045</v>
      </c>
      <c r="AD213" s="198" t="s">
        <v>1045</v>
      </c>
      <c r="AE213" s="198" t="s">
        <v>1045</v>
      </c>
      <c r="AF213" s="197">
        <f>SUM(Tabela96[[#This Row],[jan/26]:[dez/26]])</f>
        <v>105000</v>
      </c>
      <c r="AG213" s="198">
        <v>0</v>
      </c>
      <c r="AH213" s="198">
        <v>0</v>
      </c>
      <c r="AI213" s="198">
        <v>0</v>
      </c>
      <c r="AJ213" s="198">
        <v>0</v>
      </c>
      <c r="AK213" s="198">
        <f>SUM(Tabela96[[#This Row],[2026]:[2030]])</f>
        <v>105000</v>
      </c>
      <c r="AL213" s="198">
        <v>0</v>
      </c>
      <c r="AM213" s="198">
        <v>0</v>
      </c>
      <c r="AN213" s="198">
        <v>0</v>
      </c>
      <c r="AO213" s="198">
        <v>0</v>
      </c>
      <c r="AP213" s="198">
        <v>0</v>
      </c>
      <c r="AQ213" s="202">
        <f>SUM(Tabela96[[#This Row],[2026-2030]:[2035]])</f>
        <v>105000</v>
      </c>
      <c r="AS213" s="178" t="s">
        <v>1600</v>
      </c>
      <c r="AT213" s="201" t="s">
        <v>1601</v>
      </c>
      <c r="AU213" s="178" t="s">
        <v>1682</v>
      </c>
      <c r="AV213" s="112"/>
      <c r="AW213" s="178" t="s">
        <v>1603</v>
      </c>
      <c r="AZ213" s="178" t="s">
        <v>1604</v>
      </c>
    </row>
    <row r="214" spans="2:52" ht="24.75" customHeight="1" x14ac:dyDescent="0.35">
      <c r="B214" s="179" t="e" cm="1">
        <f t="array" ref="B214">AND(ISTEXT('Consolidado-Eletronorte'!#REF!),SUM('Consolidado-Eletronorte'!#REF!)&gt;0)</f>
        <v>#REF!</v>
      </c>
      <c r="C214" s="162" t="str">
        <f t="shared" ca="1" si="18"/>
        <v>Capex Orcamentário_PE2026_2030_red_35_porcentoR3_consulta.xlsx</v>
      </c>
      <c r="D214" s="163" t="str">
        <f t="shared" si="19"/>
        <v>COO</v>
      </c>
      <c r="E214" s="163" t="str">
        <f t="shared" si="20"/>
        <v>Lucas Martins</v>
      </c>
      <c r="F214" s="164"/>
      <c r="G214" s="164" t="e">
        <f>_xlfn.CONCAT('Consolidado-Eletronorte'!#REF!,"_",ROW('Consolidado-Eletronorte'!#REF!)-ROW('Consolidado-Eletronorte'!$G$18))</f>
        <v>#REF!</v>
      </c>
      <c r="H214" s="165" t="s">
        <v>506</v>
      </c>
      <c r="I214" s="165" t="s">
        <v>135</v>
      </c>
      <c r="J214" s="165" t="s">
        <v>508</v>
      </c>
      <c r="K214" s="165" t="s">
        <v>1039</v>
      </c>
      <c r="L214" s="165" t="s">
        <v>1040</v>
      </c>
      <c r="M214" s="165"/>
      <c r="N214" s="165"/>
      <c r="O214" s="165"/>
      <c r="P214" s="165"/>
      <c r="Q214" s="178" t="s">
        <v>1683</v>
      </c>
      <c r="R214" s="178" t="s">
        <v>1684</v>
      </c>
      <c r="S214" s="178" t="s">
        <v>1060</v>
      </c>
      <c r="T214" s="198" t="s">
        <v>1045</v>
      </c>
      <c r="U214" s="198" t="s">
        <v>1045</v>
      </c>
      <c r="V214" s="198" t="s">
        <v>1045</v>
      </c>
      <c r="W214" s="198" t="s">
        <v>1045</v>
      </c>
      <c r="X214" s="198" t="s">
        <v>1045</v>
      </c>
      <c r="Y214" s="198" t="s">
        <v>1045</v>
      </c>
      <c r="Z214" s="198" t="s">
        <v>1045</v>
      </c>
      <c r="AA214" s="198" t="s">
        <v>1045</v>
      </c>
      <c r="AB214" s="198" t="s">
        <v>1045</v>
      </c>
      <c r="AC214" s="198">
        <v>46000</v>
      </c>
      <c r="AD214" s="198" t="s">
        <v>1045</v>
      </c>
      <c r="AE214" s="198" t="s">
        <v>1045</v>
      </c>
      <c r="AF214" s="197">
        <f>SUM(Tabela96[[#This Row],[jan/26]:[dez/26]])</f>
        <v>46000</v>
      </c>
      <c r="AG214" s="198">
        <v>0</v>
      </c>
      <c r="AH214" s="198">
        <v>0</v>
      </c>
      <c r="AI214" s="198">
        <v>0</v>
      </c>
      <c r="AJ214" s="198">
        <v>0</v>
      </c>
      <c r="AK214" s="198">
        <f>SUM(Tabela96[[#This Row],[2026]:[2030]])</f>
        <v>46000</v>
      </c>
      <c r="AL214" s="198">
        <v>0</v>
      </c>
      <c r="AM214" s="198">
        <v>0</v>
      </c>
      <c r="AN214" s="198">
        <v>0</v>
      </c>
      <c r="AO214" s="198">
        <v>0</v>
      </c>
      <c r="AP214" s="198">
        <v>0</v>
      </c>
      <c r="AQ214" s="202">
        <f>SUM(Tabela96[[#This Row],[2026-2030]:[2035]])</f>
        <v>46000</v>
      </c>
      <c r="AS214" s="178" t="s">
        <v>1600</v>
      </c>
      <c r="AT214" s="201" t="s">
        <v>1601</v>
      </c>
      <c r="AU214" s="178" t="s">
        <v>1685</v>
      </c>
      <c r="AV214" s="112"/>
      <c r="AW214" s="178" t="s">
        <v>1603</v>
      </c>
      <c r="AZ214" s="178" t="s">
        <v>1604</v>
      </c>
    </row>
    <row r="215" spans="2:52" ht="24.75" customHeight="1" x14ac:dyDescent="0.35">
      <c r="B215" s="179" t="e" cm="1">
        <f t="array" ref="B215">AND(ISTEXT('Consolidado-Eletronorte'!#REF!),SUM('Consolidado-Eletronorte'!#REF!)&gt;0)</f>
        <v>#REF!</v>
      </c>
      <c r="C215" s="162" t="str">
        <f t="shared" ca="1" si="18"/>
        <v>Capex Orcamentário_PE2026_2030_red_35_porcentoR3_consulta.xlsx</v>
      </c>
      <c r="D215" s="163" t="str">
        <f t="shared" si="19"/>
        <v>COO</v>
      </c>
      <c r="E215" s="163" t="str">
        <f t="shared" si="20"/>
        <v>Lucas Martins</v>
      </c>
      <c r="F215" s="164"/>
      <c r="G215" s="164" t="e">
        <f>_xlfn.CONCAT('Consolidado-Eletronorte'!#REF!,"_",ROW('Consolidado-Eletronorte'!#REF!)-ROW('Consolidado-Eletronorte'!$G$18))</f>
        <v>#REF!</v>
      </c>
      <c r="H215" s="165" t="s">
        <v>506</v>
      </c>
      <c r="I215" s="165" t="s">
        <v>135</v>
      </c>
      <c r="J215" s="165" t="s">
        <v>508</v>
      </c>
      <c r="K215" s="165" t="s">
        <v>1039</v>
      </c>
      <c r="L215" s="165" t="s">
        <v>1040</v>
      </c>
      <c r="M215" s="165"/>
      <c r="N215" s="165"/>
      <c r="O215" s="165"/>
      <c r="P215" s="165"/>
      <c r="Q215" s="178" t="s">
        <v>1686</v>
      </c>
      <c r="R215" s="178" t="s">
        <v>1633</v>
      </c>
      <c r="S215" s="178" t="s">
        <v>1034</v>
      </c>
      <c r="T215" s="198" t="s">
        <v>1045</v>
      </c>
      <c r="U215" s="198" t="s">
        <v>1045</v>
      </c>
      <c r="V215" s="198" t="s">
        <v>1045</v>
      </c>
      <c r="W215" s="198" t="s">
        <v>1045</v>
      </c>
      <c r="X215" s="198" t="s">
        <v>1045</v>
      </c>
      <c r="Y215" s="198" t="s">
        <v>1045</v>
      </c>
      <c r="Z215" s="198" t="s">
        <v>1045</v>
      </c>
      <c r="AA215" s="198" t="s">
        <v>1045</v>
      </c>
      <c r="AB215" s="198">
        <v>105000</v>
      </c>
      <c r="AC215" s="198" t="s">
        <v>1045</v>
      </c>
      <c r="AD215" s="198" t="s">
        <v>1045</v>
      </c>
      <c r="AE215" s="198" t="s">
        <v>1045</v>
      </c>
      <c r="AF215" s="197">
        <f>SUM(Tabela96[[#This Row],[jan/26]:[dez/26]])</f>
        <v>105000</v>
      </c>
      <c r="AG215" s="198">
        <v>0</v>
      </c>
      <c r="AH215" s="198">
        <v>0</v>
      </c>
      <c r="AI215" s="198">
        <v>0</v>
      </c>
      <c r="AJ215" s="198">
        <v>0</v>
      </c>
      <c r="AK215" s="198">
        <f>SUM(Tabela96[[#This Row],[2026]:[2030]])</f>
        <v>105000</v>
      </c>
      <c r="AL215" s="198">
        <v>0</v>
      </c>
      <c r="AM215" s="198">
        <v>0</v>
      </c>
      <c r="AN215" s="198">
        <v>0</v>
      </c>
      <c r="AO215" s="198">
        <v>0</v>
      </c>
      <c r="AP215" s="198">
        <v>0</v>
      </c>
      <c r="AQ215" s="202">
        <f>SUM(Tabela96[[#This Row],[2026-2030]:[2035]])</f>
        <v>105000</v>
      </c>
      <c r="AS215" s="178" t="s">
        <v>1600</v>
      </c>
      <c r="AT215" s="201" t="s">
        <v>1601</v>
      </c>
      <c r="AU215" s="178" t="s">
        <v>1687</v>
      </c>
      <c r="AV215" s="112"/>
      <c r="AW215" s="178" t="s">
        <v>1603</v>
      </c>
      <c r="AZ215" s="178" t="s">
        <v>1604</v>
      </c>
    </row>
    <row r="216" spans="2:52" ht="24.75" customHeight="1" x14ac:dyDescent="0.35">
      <c r="B216" s="179" t="e" cm="1">
        <f t="array" ref="B216">AND(ISTEXT('Consolidado-Eletronorte'!#REF!),SUM('Consolidado-Eletronorte'!#REF!)&gt;0)</f>
        <v>#REF!</v>
      </c>
      <c r="C216" s="162" t="str">
        <f t="shared" ca="1" si="18"/>
        <v>Capex Orcamentário_PE2026_2030_red_35_porcentoR3_consulta.xlsx</v>
      </c>
      <c r="D216" s="163" t="str">
        <f t="shared" si="19"/>
        <v>COO</v>
      </c>
      <c r="E216" s="163" t="str">
        <f t="shared" si="20"/>
        <v>Lucas Martins</v>
      </c>
      <c r="F216" s="164"/>
      <c r="G216" s="164" t="e">
        <f>_xlfn.CONCAT('Consolidado-Eletronorte'!#REF!,"_",ROW('Consolidado-Eletronorte'!#REF!)-ROW('Consolidado-Eletronorte'!$G$18))</f>
        <v>#REF!</v>
      </c>
      <c r="H216" s="165" t="s">
        <v>506</v>
      </c>
      <c r="I216" s="165" t="s">
        <v>135</v>
      </c>
      <c r="J216" s="165" t="s">
        <v>508</v>
      </c>
      <c r="K216" s="165" t="s">
        <v>1039</v>
      </c>
      <c r="L216" s="165" t="s">
        <v>1040</v>
      </c>
      <c r="M216" s="165"/>
      <c r="N216" s="165"/>
      <c r="O216" s="165"/>
      <c r="P216" s="165"/>
      <c r="Q216" s="178" t="s">
        <v>1688</v>
      </c>
      <c r="R216" s="178" t="s">
        <v>1684</v>
      </c>
      <c r="S216" s="178" t="s">
        <v>1034</v>
      </c>
      <c r="T216" s="198" t="s">
        <v>1045</v>
      </c>
      <c r="U216" s="198" t="s">
        <v>1045</v>
      </c>
      <c r="V216" s="198" t="s">
        <v>1045</v>
      </c>
      <c r="W216" s="198" t="s">
        <v>1045</v>
      </c>
      <c r="X216" s="198" t="s">
        <v>1045</v>
      </c>
      <c r="Y216" s="198" t="s">
        <v>1045</v>
      </c>
      <c r="Z216" s="198" t="s">
        <v>1045</v>
      </c>
      <c r="AA216" s="198" t="s">
        <v>1045</v>
      </c>
      <c r="AB216" s="198" t="s">
        <v>1045</v>
      </c>
      <c r="AC216" s="198">
        <v>46000</v>
      </c>
      <c r="AD216" s="198" t="s">
        <v>1045</v>
      </c>
      <c r="AE216" s="198" t="s">
        <v>1045</v>
      </c>
      <c r="AF216" s="197">
        <f>SUM(Tabela96[[#This Row],[jan/26]:[dez/26]])</f>
        <v>46000</v>
      </c>
      <c r="AG216" s="198">
        <v>0</v>
      </c>
      <c r="AH216" s="198">
        <v>0</v>
      </c>
      <c r="AI216" s="198">
        <v>0</v>
      </c>
      <c r="AJ216" s="198">
        <v>0</v>
      </c>
      <c r="AK216" s="198">
        <f>SUM(Tabela96[[#This Row],[2026]:[2030]])</f>
        <v>46000</v>
      </c>
      <c r="AL216" s="198">
        <v>0</v>
      </c>
      <c r="AM216" s="198">
        <v>0</v>
      </c>
      <c r="AN216" s="198">
        <v>0</v>
      </c>
      <c r="AO216" s="198">
        <v>0</v>
      </c>
      <c r="AP216" s="198">
        <v>0</v>
      </c>
      <c r="AQ216" s="202">
        <f>SUM(Tabela96[[#This Row],[2026-2030]:[2035]])</f>
        <v>46000</v>
      </c>
      <c r="AS216" s="178" t="s">
        <v>1046</v>
      </c>
      <c r="AT216" s="201" t="s">
        <v>1601</v>
      </c>
      <c r="AU216" s="178" t="s">
        <v>1689</v>
      </c>
      <c r="AV216" s="112"/>
      <c r="AW216" s="178" t="s">
        <v>1603</v>
      </c>
      <c r="AZ216" s="178" t="s">
        <v>1094</v>
      </c>
    </row>
    <row r="217" spans="2:52" ht="24.75" customHeight="1" x14ac:dyDescent="0.35">
      <c r="B217" s="179" t="e" cm="1">
        <f t="array" ref="B217">AND(ISTEXT('Consolidado-Eletronorte'!#REF!),SUM('Consolidado-Eletronorte'!#REF!)&gt;0)</f>
        <v>#REF!</v>
      </c>
      <c r="C217" s="162" t="str">
        <f t="shared" ca="1" si="18"/>
        <v>Capex Orcamentário_PE2026_2030_red_35_porcentoR3_consulta.xlsx</v>
      </c>
      <c r="D217" s="163" t="str">
        <f t="shared" si="19"/>
        <v>COO</v>
      </c>
      <c r="E217" s="163" t="str">
        <f t="shared" si="20"/>
        <v>Lucas Martins</v>
      </c>
      <c r="F217" s="164"/>
      <c r="G217" s="164" t="e">
        <f>_xlfn.CONCAT('Consolidado-Eletronorte'!#REF!,"_",ROW('Consolidado-Eletronorte'!#REF!)-ROW('Consolidado-Eletronorte'!$G$18))</f>
        <v>#REF!</v>
      </c>
      <c r="H217" s="165" t="s">
        <v>506</v>
      </c>
      <c r="I217" s="165" t="s">
        <v>135</v>
      </c>
      <c r="J217" s="165" t="s">
        <v>508</v>
      </c>
      <c r="K217" s="165" t="s">
        <v>1039</v>
      </c>
      <c r="L217" s="165" t="s">
        <v>1040</v>
      </c>
      <c r="M217" s="165"/>
      <c r="N217" s="165"/>
      <c r="O217" s="165"/>
      <c r="P217" s="165"/>
      <c r="Q217" s="178" t="s">
        <v>1690</v>
      </c>
      <c r="R217" s="178" t="s">
        <v>1691</v>
      </c>
      <c r="S217" s="178" t="s">
        <v>1034</v>
      </c>
      <c r="T217" s="198" t="s">
        <v>1045</v>
      </c>
      <c r="U217" s="198" t="s">
        <v>1045</v>
      </c>
      <c r="V217" s="198" t="s">
        <v>1045</v>
      </c>
      <c r="W217" s="198" t="s">
        <v>1045</v>
      </c>
      <c r="X217" s="198" t="s">
        <v>1045</v>
      </c>
      <c r="Y217" s="198" t="s">
        <v>1045</v>
      </c>
      <c r="Z217" s="198" t="s">
        <v>1045</v>
      </c>
      <c r="AA217" s="198" t="s">
        <v>1045</v>
      </c>
      <c r="AB217" s="198" t="s">
        <v>1045</v>
      </c>
      <c r="AC217" s="198" t="s">
        <v>1045</v>
      </c>
      <c r="AD217" s="198" t="s">
        <v>1045</v>
      </c>
      <c r="AE217" s="198" t="s">
        <v>1045</v>
      </c>
      <c r="AF217" s="197">
        <f>SUM(Tabela96[[#This Row],[jan/26]:[dez/26]])</f>
        <v>0</v>
      </c>
      <c r="AG217" s="198">
        <v>1000000</v>
      </c>
      <c r="AH217" s="198">
        <v>0</v>
      </c>
      <c r="AI217" s="198">
        <v>0</v>
      </c>
      <c r="AJ217" s="198">
        <v>0</v>
      </c>
      <c r="AK217" s="198">
        <f>SUM(Tabela96[[#This Row],[2026]:[2030]])</f>
        <v>1000000</v>
      </c>
      <c r="AL217" s="198">
        <v>0</v>
      </c>
      <c r="AM217" s="198">
        <v>0</v>
      </c>
      <c r="AN217" s="198">
        <v>0</v>
      </c>
      <c r="AO217" s="198">
        <v>0</v>
      </c>
      <c r="AP217" s="198">
        <v>0</v>
      </c>
      <c r="AQ217" s="202">
        <f>SUM(Tabela96[[#This Row],[2026-2030]:[2035]])</f>
        <v>1000000</v>
      </c>
      <c r="AS217" s="178" t="s">
        <v>1046</v>
      </c>
      <c r="AT217" s="201" t="s">
        <v>1601</v>
      </c>
      <c r="AU217" s="178" t="s">
        <v>1692</v>
      </c>
      <c r="AV217" s="182"/>
      <c r="AW217" s="178" t="s">
        <v>1603</v>
      </c>
      <c r="AZ217" s="178" t="s">
        <v>1693</v>
      </c>
    </row>
    <row r="218" spans="2:52" ht="24.75" customHeight="1" x14ac:dyDescent="0.35">
      <c r="B218" s="179" t="e" cm="1">
        <f t="array" ref="B218">AND(ISTEXT('Consolidado-Eletronorte'!#REF!),SUM('Consolidado-Eletronorte'!#REF!)&gt;0)</f>
        <v>#REF!</v>
      </c>
      <c r="C218" s="162" t="str">
        <f t="shared" ca="1" si="18"/>
        <v>Capex Orcamentário_PE2026_2030_red_35_porcentoR3_consulta.xlsx</v>
      </c>
      <c r="D218" s="163" t="str">
        <f t="shared" si="19"/>
        <v>COO</v>
      </c>
      <c r="E218" s="163" t="str">
        <f t="shared" si="20"/>
        <v>Lucas Martins</v>
      </c>
      <c r="F218" s="164"/>
      <c r="G218" s="164" t="e">
        <f>_xlfn.CONCAT('Consolidado-Eletronorte'!#REF!,"_",ROW('Consolidado-Eletronorte'!#REF!)-ROW('Consolidado-Eletronorte'!$G$18))</f>
        <v>#REF!</v>
      </c>
      <c r="H218" s="165" t="s">
        <v>506</v>
      </c>
      <c r="I218" s="165" t="s">
        <v>135</v>
      </c>
      <c r="J218" s="165" t="s">
        <v>508</v>
      </c>
      <c r="K218" s="165" t="s">
        <v>1039</v>
      </c>
      <c r="L218" s="165" t="s">
        <v>1040</v>
      </c>
      <c r="M218" s="165"/>
      <c r="N218" s="165"/>
      <c r="O218" s="165"/>
      <c r="P218" s="165"/>
      <c r="Q218" s="178" t="s">
        <v>1694</v>
      </c>
      <c r="R218" s="178" t="s">
        <v>1691</v>
      </c>
      <c r="S218" s="178" t="s">
        <v>1034</v>
      </c>
      <c r="T218" s="198" t="s">
        <v>1045</v>
      </c>
      <c r="U218" s="198" t="s">
        <v>1045</v>
      </c>
      <c r="V218" s="198" t="s">
        <v>1045</v>
      </c>
      <c r="W218" s="198" t="s">
        <v>1045</v>
      </c>
      <c r="X218" s="198" t="s">
        <v>1045</v>
      </c>
      <c r="Y218" s="198" t="s">
        <v>1045</v>
      </c>
      <c r="Z218" s="198" t="s">
        <v>1045</v>
      </c>
      <c r="AA218" s="198" t="s">
        <v>1045</v>
      </c>
      <c r="AB218" s="198" t="s">
        <v>1045</v>
      </c>
      <c r="AC218" s="198" t="s">
        <v>1045</v>
      </c>
      <c r="AD218" s="198" t="s">
        <v>1045</v>
      </c>
      <c r="AE218" s="198" t="s">
        <v>1045</v>
      </c>
      <c r="AF218" s="197">
        <f>SUM(Tabela96[[#This Row],[jan/26]:[dez/26]])</f>
        <v>0</v>
      </c>
      <c r="AG218" s="198">
        <v>1000000</v>
      </c>
      <c r="AH218" s="198">
        <v>0</v>
      </c>
      <c r="AI218" s="198">
        <v>0</v>
      </c>
      <c r="AJ218" s="198">
        <v>0</v>
      </c>
      <c r="AK218" s="198">
        <f>SUM(Tabela96[[#This Row],[2026]:[2030]])</f>
        <v>1000000</v>
      </c>
      <c r="AL218" s="198">
        <v>0</v>
      </c>
      <c r="AM218" s="198">
        <v>0</v>
      </c>
      <c r="AN218" s="198">
        <v>0</v>
      </c>
      <c r="AO218" s="198">
        <v>0</v>
      </c>
      <c r="AP218" s="198">
        <v>0</v>
      </c>
      <c r="AQ218" s="202">
        <f>SUM(Tabela96[[#This Row],[2026-2030]:[2035]])</f>
        <v>1000000</v>
      </c>
      <c r="AS218" s="178" t="s">
        <v>1046</v>
      </c>
      <c r="AT218" s="201" t="s">
        <v>1601</v>
      </c>
      <c r="AU218" s="178" t="s">
        <v>1695</v>
      </c>
      <c r="AV218" s="182"/>
      <c r="AW218" s="178" t="s">
        <v>1603</v>
      </c>
      <c r="AZ218" s="178" t="s">
        <v>1693</v>
      </c>
    </row>
    <row r="219" spans="2:52" ht="24.75" customHeight="1" x14ac:dyDescent="0.35">
      <c r="B219" s="179" t="e" cm="1">
        <f t="array" ref="B219">AND(ISTEXT('Consolidado-Eletronorte'!#REF!),SUM('Consolidado-Eletronorte'!#REF!)&gt;0)</f>
        <v>#REF!</v>
      </c>
      <c r="C219" s="162" t="str">
        <f t="shared" ca="1" si="18"/>
        <v>Capex Orcamentário_PE2026_2030_red_35_porcentoR3_consulta.xlsx</v>
      </c>
      <c r="D219" s="163" t="str">
        <f t="shared" si="19"/>
        <v>COO</v>
      </c>
      <c r="E219" s="163" t="str">
        <f t="shared" si="20"/>
        <v>Lucas Martins</v>
      </c>
      <c r="F219" s="164"/>
      <c r="G219" s="164" t="e">
        <f>_xlfn.CONCAT('Consolidado-Eletronorte'!#REF!,"_",ROW('Consolidado-Eletronorte'!#REF!)-ROW('Consolidado-Eletronorte'!$G$18))</f>
        <v>#REF!</v>
      </c>
      <c r="H219" s="165" t="s">
        <v>506</v>
      </c>
      <c r="I219" s="165" t="s">
        <v>135</v>
      </c>
      <c r="J219" s="165" t="s">
        <v>508</v>
      </c>
      <c r="K219" s="165" t="s">
        <v>1039</v>
      </c>
      <c r="L219" s="165" t="s">
        <v>1040</v>
      </c>
      <c r="M219" s="165"/>
      <c r="N219" s="165"/>
      <c r="O219" s="165"/>
      <c r="P219" s="165"/>
      <c r="Q219" s="178" t="s">
        <v>1696</v>
      </c>
      <c r="R219" s="178" t="s">
        <v>1697</v>
      </c>
      <c r="S219" s="178" t="s">
        <v>1283</v>
      </c>
      <c r="T219" s="198" t="s">
        <v>1045</v>
      </c>
      <c r="U219" s="198" t="s">
        <v>1045</v>
      </c>
      <c r="V219" s="198" t="s">
        <v>1045</v>
      </c>
      <c r="W219" s="198" t="s">
        <v>1045</v>
      </c>
      <c r="X219" s="198" t="s">
        <v>1045</v>
      </c>
      <c r="Y219" s="198" t="s">
        <v>1045</v>
      </c>
      <c r="Z219" s="198">
        <v>180000</v>
      </c>
      <c r="AA219" s="198" t="s">
        <v>1045</v>
      </c>
      <c r="AB219" s="198"/>
      <c r="AC219" s="198" t="s">
        <v>1045</v>
      </c>
      <c r="AD219" s="198" t="s">
        <v>1045</v>
      </c>
      <c r="AE219" s="198" t="s">
        <v>1045</v>
      </c>
      <c r="AF219" s="197">
        <f>SUM(Tabela96[[#This Row],[jan/26]:[dez/26]])</f>
        <v>180000</v>
      </c>
      <c r="AG219" s="198">
        <v>0</v>
      </c>
      <c r="AH219" s="198">
        <v>0</v>
      </c>
      <c r="AI219" s="198">
        <v>0</v>
      </c>
      <c r="AJ219" s="198">
        <v>0</v>
      </c>
      <c r="AK219" s="198">
        <f>SUM(Tabela96[[#This Row],[2026]:[2030]])</f>
        <v>180000</v>
      </c>
      <c r="AL219" s="198">
        <v>0</v>
      </c>
      <c r="AM219" s="198">
        <v>0</v>
      </c>
      <c r="AN219" s="198">
        <v>0</v>
      </c>
      <c r="AO219" s="198">
        <v>0</v>
      </c>
      <c r="AP219" s="198">
        <v>0</v>
      </c>
      <c r="AQ219" s="202">
        <f>SUM(Tabela96[[#This Row],[2026-2030]:[2035]])</f>
        <v>180000</v>
      </c>
      <c r="AS219" s="178" t="s">
        <v>1046</v>
      </c>
      <c r="AT219" s="201" t="s">
        <v>1601</v>
      </c>
      <c r="AU219" s="178" t="s">
        <v>1698</v>
      </c>
      <c r="AV219" s="182"/>
      <c r="AW219" s="178" t="s">
        <v>1603</v>
      </c>
      <c r="AZ219" s="178" t="s">
        <v>1693</v>
      </c>
    </row>
    <row r="220" spans="2:52" ht="24.75" customHeight="1" x14ac:dyDescent="0.35">
      <c r="B220" s="179" t="e" cm="1">
        <f t="array" ref="B220">AND(ISTEXT('Consolidado-Eletronorte'!#REF!),SUM('Consolidado-Eletronorte'!#REF!)&gt;0)</f>
        <v>#REF!</v>
      </c>
      <c r="C220" s="162" t="str">
        <f t="shared" ca="1" si="18"/>
        <v>Capex Orcamentário_PE2026_2030_red_35_porcentoR3_consulta.xlsx</v>
      </c>
      <c r="D220" s="163" t="str">
        <f t="shared" si="19"/>
        <v>COO</v>
      </c>
      <c r="E220" s="163" t="str">
        <f t="shared" si="20"/>
        <v>Lucas Martins</v>
      </c>
      <c r="F220" s="164"/>
      <c r="G220" s="164" t="e">
        <f>_xlfn.CONCAT('Consolidado-Eletronorte'!#REF!,"_",ROW('Consolidado-Eletronorte'!#REF!)-ROW('Consolidado-Eletronorte'!$G$18))</f>
        <v>#REF!</v>
      </c>
      <c r="H220" s="165" t="s">
        <v>506</v>
      </c>
      <c r="I220" s="165" t="s">
        <v>135</v>
      </c>
      <c r="J220" s="165" t="s">
        <v>508</v>
      </c>
      <c r="K220" s="165" t="s">
        <v>1039</v>
      </c>
      <c r="L220" s="165" t="s">
        <v>1040</v>
      </c>
      <c r="M220" s="165"/>
      <c r="N220" s="165"/>
      <c r="O220" s="165"/>
      <c r="P220" s="165"/>
      <c r="Q220" s="178" t="s">
        <v>1696</v>
      </c>
      <c r="R220" s="178" t="s">
        <v>1699</v>
      </c>
      <c r="S220" s="178" t="s">
        <v>1283</v>
      </c>
      <c r="T220" s="198" t="s">
        <v>1045</v>
      </c>
      <c r="U220" s="198" t="s">
        <v>1045</v>
      </c>
      <c r="V220" s="198" t="s">
        <v>1045</v>
      </c>
      <c r="W220" s="198" t="s">
        <v>1045</v>
      </c>
      <c r="X220" s="198" t="s">
        <v>1045</v>
      </c>
      <c r="Y220" s="198" t="s">
        <v>1045</v>
      </c>
      <c r="Z220" s="198">
        <v>180000</v>
      </c>
      <c r="AA220" s="198" t="s">
        <v>1045</v>
      </c>
      <c r="AB220" s="198"/>
      <c r="AC220" s="198" t="s">
        <v>1045</v>
      </c>
      <c r="AD220" s="198" t="s">
        <v>1045</v>
      </c>
      <c r="AE220" s="198" t="s">
        <v>1045</v>
      </c>
      <c r="AF220" s="197">
        <f>SUM(Tabela96[[#This Row],[jan/26]:[dez/26]])</f>
        <v>180000</v>
      </c>
      <c r="AG220" s="198">
        <v>0</v>
      </c>
      <c r="AH220" s="198">
        <v>0</v>
      </c>
      <c r="AI220" s="198">
        <v>0</v>
      </c>
      <c r="AJ220" s="198">
        <v>0</v>
      </c>
      <c r="AK220" s="198">
        <f>SUM(Tabela96[[#This Row],[2026]:[2030]])</f>
        <v>180000</v>
      </c>
      <c r="AL220" s="198">
        <v>0</v>
      </c>
      <c r="AM220" s="198">
        <v>0</v>
      </c>
      <c r="AN220" s="198">
        <v>0</v>
      </c>
      <c r="AO220" s="198">
        <v>0</v>
      </c>
      <c r="AP220" s="198">
        <v>0</v>
      </c>
      <c r="AQ220" s="202">
        <f>SUM(Tabela96[[#This Row],[2026-2030]:[2035]])</f>
        <v>180000</v>
      </c>
      <c r="AS220" s="178" t="s">
        <v>1046</v>
      </c>
      <c r="AT220" s="201" t="s">
        <v>1601</v>
      </c>
      <c r="AU220" s="178" t="s">
        <v>1700</v>
      </c>
      <c r="AV220" s="182"/>
      <c r="AW220" s="178" t="s">
        <v>1603</v>
      </c>
      <c r="AZ220" s="178" t="s">
        <v>1693</v>
      </c>
    </row>
    <row r="221" spans="2:52" ht="24.75" customHeight="1" x14ac:dyDescent="0.35">
      <c r="B221" s="179" t="e" cm="1">
        <f t="array" ref="B221">AND(ISTEXT('Consolidado-Eletronorte'!#REF!),SUM('Consolidado-Eletronorte'!#REF!)&gt;0)</f>
        <v>#REF!</v>
      </c>
      <c r="C221" s="162" t="str">
        <f t="shared" ca="1" si="18"/>
        <v>Capex Orcamentário_PE2026_2030_red_35_porcentoR3_consulta.xlsx</v>
      </c>
      <c r="D221" s="163" t="str">
        <f t="shared" si="19"/>
        <v>COO</v>
      </c>
      <c r="E221" s="163" t="str">
        <f t="shared" si="20"/>
        <v>Lucas Martins</v>
      </c>
      <c r="F221" s="164"/>
      <c r="G221" s="164" t="e">
        <f>_xlfn.CONCAT('Consolidado-Eletronorte'!#REF!,"_",ROW('Consolidado-Eletronorte'!#REF!)-ROW('Consolidado-Eletronorte'!$G$18))</f>
        <v>#REF!</v>
      </c>
      <c r="H221" s="165" t="s">
        <v>506</v>
      </c>
      <c r="I221" s="165" t="s">
        <v>135</v>
      </c>
      <c r="J221" s="165" t="s">
        <v>508</v>
      </c>
      <c r="K221" s="165" t="s">
        <v>1039</v>
      </c>
      <c r="L221" s="165" t="s">
        <v>1040</v>
      </c>
      <c r="M221" s="165"/>
      <c r="N221" s="165"/>
      <c r="O221" s="165"/>
      <c r="P221" s="165"/>
      <c r="Q221" s="178" t="s">
        <v>1696</v>
      </c>
      <c r="R221" s="178" t="s">
        <v>1701</v>
      </c>
      <c r="S221" s="178" t="s">
        <v>1283</v>
      </c>
      <c r="T221" s="198" t="s">
        <v>1045</v>
      </c>
      <c r="U221" s="198" t="s">
        <v>1045</v>
      </c>
      <c r="V221" s="198" t="s">
        <v>1045</v>
      </c>
      <c r="W221" s="198" t="s">
        <v>1045</v>
      </c>
      <c r="X221" s="198" t="s">
        <v>1045</v>
      </c>
      <c r="Y221" s="198" t="s">
        <v>1045</v>
      </c>
      <c r="Z221" s="198">
        <v>180000</v>
      </c>
      <c r="AA221" s="198" t="s">
        <v>1045</v>
      </c>
      <c r="AB221" s="198"/>
      <c r="AC221" s="198" t="s">
        <v>1045</v>
      </c>
      <c r="AD221" s="198" t="s">
        <v>1045</v>
      </c>
      <c r="AE221" s="198" t="s">
        <v>1045</v>
      </c>
      <c r="AF221" s="197">
        <f>SUM(Tabela96[[#This Row],[jan/26]:[dez/26]])</f>
        <v>180000</v>
      </c>
      <c r="AG221" s="198">
        <v>0</v>
      </c>
      <c r="AH221" s="198">
        <v>0</v>
      </c>
      <c r="AI221" s="198">
        <v>0</v>
      </c>
      <c r="AJ221" s="198">
        <v>0</v>
      </c>
      <c r="AK221" s="198">
        <f>SUM(Tabela96[[#This Row],[2026]:[2030]])</f>
        <v>180000</v>
      </c>
      <c r="AL221" s="198">
        <v>0</v>
      </c>
      <c r="AM221" s="198">
        <v>0</v>
      </c>
      <c r="AN221" s="198">
        <v>0</v>
      </c>
      <c r="AO221" s="198">
        <v>0</v>
      </c>
      <c r="AP221" s="198">
        <v>0</v>
      </c>
      <c r="AQ221" s="202">
        <f>SUM(Tabela96[[#This Row],[2026-2030]:[2035]])</f>
        <v>180000</v>
      </c>
      <c r="AS221" s="178" t="s">
        <v>1046</v>
      </c>
      <c r="AT221" s="201" t="s">
        <v>1601</v>
      </c>
      <c r="AU221" s="178" t="s">
        <v>1702</v>
      </c>
      <c r="AV221" s="182"/>
      <c r="AW221" s="178" t="s">
        <v>1603</v>
      </c>
      <c r="AZ221" s="178" t="s">
        <v>1693</v>
      </c>
    </row>
    <row r="222" spans="2:52" ht="24.75" customHeight="1" x14ac:dyDescent="0.35">
      <c r="B222" s="179" t="e" cm="1">
        <f t="array" ref="B222">AND(ISTEXT('Consolidado-Eletronorte'!#REF!),SUM('Consolidado-Eletronorte'!#REF!)&gt;0)</f>
        <v>#REF!</v>
      </c>
      <c r="C222" s="162" t="str">
        <f t="shared" ca="1" si="18"/>
        <v>Capex Orcamentário_PE2026_2030_red_35_porcentoR3_consulta.xlsx</v>
      </c>
      <c r="D222" s="163" t="str">
        <f t="shared" si="19"/>
        <v>COO</v>
      </c>
      <c r="E222" s="163" t="str">
        <f t="shared" si="20"/>
        <v>Lucas Martins</v>
      </c>
      <c r="F222" s="164"/>
      <c r="G222" s="164" t="e">
        <f>_xlfn.CONCAT('Consolidado-Eletronorte'!#REF!,"_",ROW('Consolidado-Eletronorte'!#REF!)-ROW('Consolidado-Eletronorte'!$G$18))</f>
        <v>#REF!</v>
      </c>
      <c r="H222" s="165" t="s">
        <v>506</v>
      </c>
      <c r="I222" s="165" t="s">
        <v>135</v>
      </c>
      <c r="J222" s="165" t="s">
        <v>508</v>
      </c>
      <c r="K222" s="165" t="s">
        <v>1039</v>
      </c>
      <c r="L222" s="165" t="s">
        <v>1040</v>
      </c>
      <c r="M222" s="165"/>
      <c r="N222" s="165"/>
      <c r="O222" s="165"/>
      <c r="P222" s="165"/>
      <c r="Q222" s="178" t="s">
        <v>1696</v>
      </c>
      <c r="R222" s="178" t="s">
        <v>1703</v>
      </c>
      <c r="S222" s="178" t="s">
        <v>1283</v>
      </c>
      <c r="T222" s="198" t="s">
        <v>1045</v>
      </c>
      <c r="U222" s="198" t="s">
        <v>1045</v>
      </c>
      <c r="V222" s="198" t="s">
        <v>1045</v>
      </c>
      <c r="W222" s="198" t="s">
        <v>1045</v>
      </c>
      <c r="X222" s="198" t="s">
        <v>1045</v>
      </c>
      <c r="Y222" s="198" t="s">
        <v>1045</v>
      </c>
      <c r="Z222" s="198">
        <v>180000</v>
      </c>
      <c r="AA222" s="198" t="s">
        <v>1045</v>
      </c>
      <c r="AB222" s="198"/>
      <c r="AC222" s="198" t="s">
        <v>1045</v>
      </c>
      <c r="AD222" s="198" t="s">
        <v>1045</v>
      </c>
      <c r="AE222" s="198" t="s">
        <v>1045</v>
      </c>
      <c r="AF222" s="197">
        <f>SUM(Tabela96[[#This Row],[jan/26]:[dez/26]])</f>
        <v>180000</v>
      </c>
      <c r="AG222" s="198">
        <v>0</v>
      </c>
      <c r="AH222" s="198">
        <v>0</v>
      </c>
      <c r="AI222" s="198">
        <v>0</v>
      </c>
      <c r="AJ222" s="198">
        <v>0</v>
      </c>
      <c r="AK222" s="198">
        <f>SUM(Tabela96[[#This Row],[2026]:[2030]])</f>
        <v>180000</v>
      </c>
      <c r="AL222" s="198">
        <v>0</v>
      </c>
      <c r="AM222" s="198">
        <v>0</v>
      </c>
      <c r="AN222" s="198">
        <v>0</v>
      </c>
      <c r="AO222" s="198">
        <v>0</v>
      </c>
      <c r="AP222" s="198">
        <v>0</v>
      </c>
      <c r="AQ222" s="202">
        <f>SUM(Tabela96[[#This Row],[2026-2030]:[2035]])</f>
        <v>180000</v>
      </c>
      <c r="AS222" s="178" t="s">
        <v>1046</v>
      </c>
      <c r="AT222" s="201" t="s">
        <v>1601</v>
      </c>
      <c r="AU222" s="178" t="s">
        <v>1704</v>
      </c>
      <c r="AV222" s="182"/>
      <c r="AW222" s="178" t="s">
        <v>1603</v>
      </c>
      <c r="AZ222" s="178" t="s">
        <v>1693</v>
      </c>
    </row>
    <row r="223" spans="2:52" ht="24.75" customHeight="1" x14ac:dyDescent="0.35">
      <c r="B223" s="179" t="e" cm="1">
        <f t="array" ref="B223">AND(ISTEXT('Consolidado-Eletronorte'!#REF!),SUM('Consolidado-Eletronorte'!#REF!)&gt;0)</f>
        <v>#REF!</v>
      </c>
      <c r="C223" s="162" t="str">
        <f t="shared" ca="1" si="18"/>
        <v>Capex Orcamentário_PE2026_2030_red_35_porcentoR3_consulta.xlsx</v>
      </c>
      <c r="D223" s="163" t="str">
        <f t="shared" si="19"/>
        <v>COO</v>
      </c>
      <c r="E223" s="163" t="str">
        <f t="shared" si="20"/>
        <v>Lucas Martins</v>
      </c>
      <c r="F223" s="164"/>
      <c r="G223" s="164" t="e">
        <f>_xlfn.CONCAT('Consolidado-Eletronorte'!#REF!,"_",ROW('Consolidado-Eletronorte'!#REF!)-ROW('Consolidado-Eletronorte'!$G$18))</f>
        <v>#REF!</v>
      </c>
      <c r="H223" s="165" t="s">
        <v>506</v>
      </c>
      <c r="I223" s="165" t="s">
        <v>135</v>
      </c>
      <c r="J223" s="165" t="s">
        <v>508</v>
      </c>
      <c r="K223" s="165" t="s">
        <v>1039</v>
      </c>
      <c r="L223" s="165" t="s">
        <v>1040</v>
      </c>
      <c r="M223" s="165"/>
      <c r="N223" s="165"/>
      <c r="O223" s="165"/>
      <c r="P223" s="165"/>
      <c r="Q223" s="178" t="s">
        <v>1696</v>
      </c>
      <c r="R223" s="178" t="s">
        <v>1705</v>
      </c>
      <c r="S223" s="178" t="s">
        <v>1283</v>
      </c>
      <c r="T223" s="198" t="s">
        <v>1045</v>
      </c>
      <c r="U223" s="198" t="s">
        <v>1045</v>
      </c>
      <c r="V223" s="198" t="s">
        <v>1045</v>
      </c>
      <c r="W223" s="198" t="s">
        <v>1045</v>
      </c>
      <c r="X223" s="198" t="s">
        <v>1045</v>
      </c>
      <c r="Y223" s="198" t="s">
        <v>1045</v>
      </c>
      <c r="Z223" s="198">
        <v>180000</v>
      </c>
      <c r="AA223" s="198" t="s">
        <v>1045</v>
      </c>
      <c r="AB223" s="198"/>
      <c r="AC223" s="198" t="s">
        <v>1045</v>
      </c>
      <c r="AD223" s="198" t="s">
        <v>1045</v>
      </c>
      <c r="AE223" s="198" t="s">
        <v>1045</v>
      </c>
      <c r="AF223" s="197">
        <f>SUM(Tabela96[[#This Row],[jan/26]:[dez/26]])</f>
        <v>180000</v>
      </c>
      <c r="AG223" s="198">
        <v>0</v>
      </c>
      <c r="AH223" s="198">
        <v>0</v>
      </c>
      <c r="AI223" s="198">
        <v>0</v>
      </c>
      <c r="AJ223" s="198">
        <v>0</v>
      </c>
      <c r="AK223" s="198">
        <f>SUM(Tabela96[[#This Row],[2026]:[2030]])</f>
        <v>180000</v>
      </c>
      <c r="AL223" s="198">
        <v>0</v>
      </c>
      <c r="AM223" s="198">
        <v>0</v>
      </c>
      <c r="AN223" s="198">
        <v>0</v>
      </c>
      <c r="AO223" s="198">
        <v>0</v>
      </c>
      <c r="AP223" s="198">
        <v>0</v>
      </c>
      <c r="AQ223" s="202">
        <f>SUM(Tabela96[[#This Row],[2026-2030]:[2035]])</f>
        <v>180000</v>
      </c>
      <c r="AS223" s="178" t="s">
        <v>1046</v>
      </c>
      <c r="AT223" s="201" t="s">
        <v>1601</v>
      </c>
      <c r="AU223" s="178" t="s">
        <v>1706</v>
      </c>
      <c r="AV223" s="182"/>
      <c r="AW223" s="178" t="s">
        <v>1603</v>
      </c>
      <c r="AZ223" s="178" t="s">
        <v>1693</v>
      </c>
    </row>
    <row r="224" spans="2:52" ht="24.75" customHeight="1" x14ac:dyDescent="0.35">
      <c r="B224" s="179" t="e" cm="1">
        <f t="array" ref="B224">AND(ISTEXT('Consolidado-Eletronorte'!#REF!),SUM('Consolidado-Eletronorte'!#REF!)&gt;0)</f>
        <v>#REF!</v>
      </c>
      <c r="C224" s="162" t="str">
        <f t="shared" ca="1" si="18"/>
        <v>Capex Orcamentário_PE2026_2030_red_35_porcentoR3_consulta.xlsx</v>
      </c>
      <c r="D224" s="163" t="str">
        <f t="shared" si="19"/>
        <v>COO</v>
      </c>
      <c r="E224" s="163" t="str">
        <f t="shared" si="20"/>
        <v>Lucas Martins</v>
      </c>
      <c r="F224" s="164"/>
      <c r="G224" s="164" t="e">
        <f>_xlfn.CONCAT('Consolidado-Eletronorte'!#REF!,"_",ROW('Consolidado-Eletronorte'!#REF!)-ROW('Consolidado-Eletronorte'!$G$18))</f>
        <v>#REF!</v>
      </c>
      <c r="H224" s="165" t="s">
        <v>506</v>
      </c>
      <c r="I224" s="165" t="s">
        <v>135</v>
      </c>
      <c r="J224" s="165" t="s">
        <v>508</v>
      </c>
      <c r="K224" s="165" t="s">
        <v>1039</v>
      </c>
      <c r="L224" s="165" t="s">
        <v>1040</v>
      </c>
      <c r="M224" s="165"/>
      <c r="N224" s="165"/>
      <c r="O224" s="165"/>
      <c r="P224" s="165"/>
      <c r="Q224" s="178" t="s">
        <v>1696</v>
      </c>
      <c r="R224" s="178" t="s">
        <v>1707</v>
      </c>
      <c r="S224" s="178" t="s">
        <v>1344</v>
      </c>
      <c r="T224" s="198" t="s">
        <v>1045</v>
      </c>
      <c r="U224" s="198" t="s">
        <v>1045</v>
      </c>
      <c r="V224" s="198" t="s">
        <v>1045</v>
      </c>
      <c r="W224" s="198" t="s">
        <v>1045</v>
      </c>
      <c r="X224" s="198" t="s">
        <v>1045</v>
      </c>
      <c r="Y224" s="198" t="s">
        <v>1045</v>
      </c>
      <c r="Z224" s="198">
        <v>180000</v>
      </c>
      <c r="AA224" s="198" t="s">
        <v>1045</v>
      </c>
      <c r="AB224" s="198"/>
      <c r="AC224" s="198" t="s">
        <v>1045</v>
      </c>
      <c r="AD224" s="198" t="s">
        <v>1045</v>
      </c>
      <c r="AE224" s="198" t="s">
        <v>1045</v>
      </c>
      <c r="AF224" s="197">
        <f>SUM(Tabela96[[#This Row],[jan/26]:[dez/26]])</f>
        <v>180000</v>
      </c>
      <c r="AG224" s="198">
        <v>0</v>
      </c>
      <c r="AH224" s="198">
        <v>0</v>
      </c>
      <c r="AI224" s="198">
        <v>0</v>
      </c>
      <c r="AJ224" s="198">
        <v>0</v>
      </c>
      <c r="AK224" s="198">
        <f>SUM(Tabela96[[#This Row],[2026]:[2030]])</f>
        <v>180000</v>
      </c>
      <c r="AL224" s="198">
        <v>0</v>
      </c>
      <c r="AM224" s="198">
        <v>0</v>
      </c>
      <c r="AN224" s="198">
        <v>0</v>
      </c>
      <c r="AO224" s="198">
        <v>0</v>
      </c>
      <c r="AP224" s="198">
        <v>0</v>
      </c>
      <c r="AQ224" s="202">
        <f>SUM(Tabela96[[#This Row],[2026-2030]:[2035]])</f>
        <v>180000</v>
      </c>
      <c r="AS224" s="178" t="s">
        <v>1046</v>
      </c>
      <c r="AT224" s="201" t="s">
        <v>1601</v>
      </c>
      <c r="AU224" s="178" t="s">
        <v>1708</v>
      </c>
      <c r="AV224" s="182"/>
      <c r="AW224" s="178" t="s">
        <v>1603</v>
      </c>
      <c r="AZ224" s="178" t="s">
        <v>1693</v>
      </c>
    </row>
    <row r="225" spans="2:52" ht="24.75" customHeight="1" x14ac:dyDescent="0.35">
      <c r="B225" s="179" t="e" cm="1">
        <f t="array" ref="B225">AND(ISTEXT('Consolidado-Eletronorte'!#REF!),SUM('Consolidado-Eletronorte'!#REF!)&gt;0)</f>
        <v>#REF!</v>
      </c>
      <c r="C225" s="162" t="str">
        <f t="shared" ca="1" si="18"/>
        <v>Capex Orcamentário_PE2026_2030_red_35_porcentoR3_consulta.xlsx</v>
      </c>
      <c r="D225" s="163" t="str">
        <f t="shared" si="19"/>
        <v>COO</v>
      </c>
      <c r="E225" s="163" t="str">
        <f t="shared" si="20"/>
        <v>Lucas Martins</v>
      </c>
      <c r="F225" s="164"/>
      <c r="G225" s="164" t="e">
        <f>_xlfn.CONCAT('Consolidado-Eletronorte'!#REF!,"_",ROW('Consolidado-Eletronorte'!#REF!)-ROW('Consolidado-Eletronorte'!$G$18))</f>
        <v>#REF!</v>
      </c>
      <c r="H225" s="165" t="s">
        <v>506</v>
      </c>
      <c r="I225" s="165" t="s">
        <v>135</v>
      </c>
      <c r="J225" s="165" t="s">
        <v>508</v>
      </c>
      <c r="K225" s="165" t="s">
        <v>1039</v>
      </c>
      <c r="L225" s="165" t="s">
        <v>1040</v>
      </c>
      <c r="M225" s="165"/>
      <c r="N225" s="165"/>
      <c r="O225" s="165"/>
      <c r="P225" s="165"/>
      <c r="Q225" s="178" t="s">
        <v>1709</v>
      </c>
      <c r="R225" s="178" t="s">
        <v>1709</v>
      </c>
      <c r="S225" s="178" t="s">
        <v>1054</v>
      </c>
      <c r="T225" s="198" t="s">
        <v>1045</v>
      </c>
      <c r="U225" s="198" t="s">
        <v>1045</v>
      </c>
      <c r="V225" s="198" t="s">
        <v>1045</v>
      </c>
      <c r="W225" s="198" t="s">
        <v>1045</v>
      </c>
      <c r="X225" s="198" t="s">
        <v>1045</v>
      </c>
      <c r="Y225" s="198" t="s">
        <v>1045</v>
      </c>
      <c r="Z225" s="198" t="s">
        <v>1045</v>
      </c>
      <c r="AA225" s="198">
        <v>86250</v>
      </c>
      <c r="AB225" s="198" t="s">
        <v>1045</v>
      </c>
      <c r="AC225" s="198" t="s">
        <v>1045</v>
      </c>
      <c r="AD225" s="198" t="s">
        <v>1045</v>
      </c>
      <c r="AE225" s="198" t="s">
        <v>1045</v>
      </c>
      <c r="AF225" s="197">
        <f>SUM(Tabela96[[#This Row],[jan/26]:[dez/26]])</f>
        <v>86250</v>
      </c>
      <c r="AG225" s="198">
        <v>0</v>
      </c>
      <c r="AH225" s="198">
        <v>0</v>
      </c>
      <c r="AI225" s="198">
        <v>0</v>
      </c>
      <c r="AJ225" s="198">
        <v>0</v>
      </c>
      <c r="AK225" s="198">
        <f>SUM(Tabela96[[#This Row],[2026]:[2030]])</f>
        <v>86250</v>
      </c>
      <c r="AL225" s="198">
        <v>0</v>
      </c>
      <c r="AM225" s="198">
        <v>0</v>
      </c>
      <c r="AN225" s="198">
        <v>0</v>
      </c>
      <c r="AO225" s="198">
        <v>0</v>
      </c>
      <c r="AP225" s="198">
        <v>0</v>
      </c>
      <c r="AQ225" s="202">
        <f>SUM(Tabela96[[#This Row],[2026-2030]:[2035]])</f>
        <v>86250</v>
      </c>
      <c r="AS225" s="178" t="s">
        <v>1046</v>
      </c>
      <c r="AT225" s="201" t="s">
        <v>1601</v>
      </c>
      <c r="AU225" s="178" t="s">
        <v>1710</v>
      </c>
      <c r="AV225" s="182"/>
      <c r="AW225" s="178" t="s">
        <v>1603</v>
      </c>
      <c r="AZ225" s="178" t="s">
        <v>1711</v>
      </c>
    </row>
    <row r="226" spans="2:52" ht="24.75" customHeight="1" x14ac:dyDescent="0.35">
      <c r="B226" s="179" t="e" cm="1">
        <f t="array" ref="B226">AND(ISTEXT('Consolidado-Eletronorte'!#REF!),SUM('Consolidado-Eletronorte'!#REF!)&gt;0)</f>
        <v>#REF!</v>
      </c>
      <c r="C226" s="162" t="str">
        <f t="shared" ca="1" si="18"/>
        <v>Capex Orcamentário_PE2026_2030_red_35_porcentoR3_consulta.xlsx</v>
      </c>
      <c r="D226" s="163" t="str">
        <f t="shared" si="19"/>
        <v>COO</v>
      </c>
      <c r="E226" s="163" t="str">
        <f t="shared" si="20"/>
        <v>Lucas Martins</v>
      </c>
      <c r="F226" s="164"/>
      <c r="G226" s="164" t="e">
        <f>_xlfn.CONCAT('Consolidado-Eletronorte'!#REF!,"_",ROW('Consolidado-Eletronorte'!#REF!)-ROW('Consolidado-Eletronorte'!$G$18))</f>
        <v>#REF!</v>
      </c>
      <c r="H226" s="165" t="s">
        <v>506</v>
      </c>
      <c r="I226" s="165" t="s">
        <v>135</v>
      </c>
      <c r="J226" s="165" t="s">
        <v>508</v>
      </c>
      <c r="K226" s="165" t="s">
        <v>1039</v>
      </c>
      <c r="L226" s="165" t="s">
        <v>1040</v>
      </c>
      <c r="M226" s="165"/>
      <c r="N226" s="165"/>
      <c r="O226" s="165"/>
      <c r="P226" s="165"/>
      <c r="Q226" s="178" t="s">
        <v>1709</v>
      </c>
      <c r="R226" s="178" t="s">
        <v>1709</v>
      </c>
      <c r="S226" s="178" t="s">
        <v>1054</v>
      </c>
      <c r="T226" s="198" t="s">
        <v>1045</v>
      </c>
      <c r="U226" s="198" t="s">
        <v>1045</v>
      </c>
      <c r="V226" s="198" t="s">
        <v>1045</v>
      </c>
      <c r="W226" s="198" t="s">
        <v>1045</v>
      </c>
      <c r="X226" s="198" t="s">
        <v>1045</v>
      </c>
      <c r="Y226" s="198" t="s">
        <v>1045</v>
      </c>
      <c r="Z226" s="198" t="s">
        <v>1045</v>
      </c>
      <c r="AA226" s="198">
        <v>86250</v>
      </c>
      <c r="AB226" s="198" t="s">
        <v>1045</v>
      </c>
      <c r="AC226" s="198" t="s">
        <v>1045</v>
      </c>
      <c r="AD226" s="198" t="s">
        <v>1045</v>
      </c>
      <c r="AE226" s="198" t="s">
        <v>1045</v>
      </c>
      <c r="AF226" s="197">
        <f>SUM(Tabela96[[#This Row],[jan/26]:[dez/26]])</f>
        <v>86250</v>
      </c>
      <c r="AG226" s="198">
        <v>0</v>
      </c>
      <c r="AH226" s="198">
        <v>0</v>
      </c>
      <c r="AI226" s="198">
        <v>0</v>
      </c>
      <c r="AJ226" s="198">
        <v>0</v>
      </c>
      <c r="AK226" s="198">
        <f>SUM(Tabela96[[#This Row],[2026]:[2030]])</f>
        <v>86250</v>
      </c>
      <c r="AL226" s="198">
        <v>0</v>
      </c>
      <c r="AM226" s="198">
        <v>0</v>
      </c>
      <c r="AN226" s="198">
        <v>0</v>
      </c>
      <c r="AO226" s="198">
        <v>0</v>
      </c>
      <c r="AP226" s="198">
        <v>0</v>
      </c>
      <c r="AQ226" s="202">
        <f>SUM(Tabela96[[#This Row],[2026-2030]:[2035]])</f>
        <v>86250</v>
      </c>
      <c r="AS226" s="178" t="s">
        <v>1046</v>
      </c>
      <c r="AT226" s="201" t="s">
        <v>1601</v>
      </c>
      <c r="AU226" s="178" t="s">
        <v>1712</v>
      </c>
      <c r="AV226" s="182"/>
      <c r="AW226" s="178" t="s">
        <v>1603</v>
      </c>
      <c r="AZ226" s="178" t="s">
        <v>1711</v>
      </c>
    </row>
    <row r="227" spans="2:52" ht="24.75" customHeight="1" x14ac:dyDescent="0.35">
      <c r="B227" s="179" t="e" cm="1">
        <f t="array" ref="B227">AND(ISTEXT('Consolidado-Eletronorte'!#REF!),SUM('Consolidado-Eletronorte'!#REF!)&gt;0)</f>
        <v>#REF!</v>
      </c>
      <c r="C227" s="162" t="str">
        <f t="shared" ca="1" si="18"/>
        <v>Capex Orcamentário_PE2026_2030_red_35_porcentoR3_consulta.xlsx</v>
      </c>
      <c r="D227" s="163" t="str">
        <f t="shared" si="19"/>
        <v>COO</v>
      </c>
      <c r="E227" s="163" t="str">
        <f t="shared" si="20"/>
        <v>Lucas Martins</v>
      </c>
      <c r="F227" s="164"/>
      <c r="G227" s="164" t="e">
        <f>_xlfn.CONCAT('Consolidado-Eletronorte'!#REF!,"_",ROW('Consolidado-Eletronorte'!#REF!)-ROW('Consolidado-Eletronorte'!$G$18))</f>
        <v>#REF!</v>
      </c>
      <c r="H227" s="165" t="s">
        <v>506</v>
      </c>
      <c r="I227" s="165" t="s">
        <v>135</v>
      </c>
      <c r="J227" s="165" t="s">
        <v>508</v>
      </c>
      <c r="K227" s="165" t="s">
        <v>1039</v>
      </c>
      <c r="L227" s="165" t="s">
        <v>1040</v>
      </c>
      <c r="M227" s="165"/>
      <c r="N227" s="165"/>
      <c r="O227" s="165"/>
      <c r="P227" s="165"/>
      <c r="Q227" s="178" t="s">
        <v>1713</v>
      </c>
      <c r="R227" s="178" t="s">
        <v>1714</v>
      </c>
      <c r="S227" s="178" t="s">
        <v>1060</v>
      </c>
      <c r="T227" s="198" t="s">
        <v>1045</v>
      </c>
      <c r="U227" s="198" t="s">
        <v>1045</v>
      </c>
      <c r="V227" s="198" t="s">
        <v>1045</v>
      </c>
      <c r="W227" s="198" t="s">
        <v>1045</v>
      </c>
      <c r="X227" s="198" t="s">
        <v>1045</v>
      </c>
      <c r="Y227" s="198" t="s">
        <v>1045</v>
      </c>
      <c r="Z227" s="198" t="s">
        <v>1045</v>
      </c>
      <c r="AA227" s="198" t="s">
        <v>1045</v>
      </c>
      <c r="AB227" s="198" t="s">
        <v>1045</v>
      </c>
      <c r="AC227" s="198" t="s">
        <v>1045</v>
      </c>
      <c r="AD227" s="198" t="s">
        <v>1045</v>
      </c>
      <c r="AE227" s="198" t="s">
        <v>1045</v>
      </c>
      <c r="AF227" s="197">
        <f>SUM(Tabela96[[#This Row],[jan/26]:[dez/26]])</f>
        <v>0</v>
      </c>
      <c r="AG227" s="198">
        <v>0</v>
      </c>
      <c r="AH227" s="198">
        <v>0</v>
      </c>
      <c r="AI227" s="198">
        <v>0</v>
      </c>
      <c r="AJ227" s="198">
        <v>0</v>
      </c>
      <c r="AK227" s="198">
        <f>SUM(Tabela96[[#This Row],[2026]:[2030]])</f>
        <v>0</v>
      </c>
      <c r="AL227" s="198">
        <v>262500</v>
      </c>
      <c r="AM227" s="198">
        <v>0</v>
      </c>
      <c r="AN227" s="198">
        <v>0</v>
      </c>
      <c r="AO227" s="198">
        <v>0</v>
      </c>
      <c r="AP227" s="198">
        <v>0</v>
      </c>
      <c r="AQ227" s="202">
        <f>SUM(Tabela96[[#This Row],[2026-2030]:[2035]])</f>
        <v>262500</v>
      </c>
      <c r="AS227" s="178" t="s">
        <v>1046</v>
      </c>
      <c r="AT227" s="201" t="s">
        <v>1601</v>
      </c>
      <c r="AU227" s="178" t="s">
        <v>1715</v>
      </c>
      <c r="AV227" s="182"/>
      <c r="AW227" s="178" t="s">
        <v>1603</v>
      </c>
      <c r="AZ227" s="178" t="s">
        <v>1711</v>
      </c>
    </row>
    <row r="228" spans="2:52" ht="24.75" customHeight="1" x14ac:dyDescent="0.35">
      <c r="B228" s="179" t="e" cm="1">
        <f t="array" ref="B228">AND(ISTEXT('Consolidado-Eletronorte'!#REF!),SUM('Consolidado-Eletronorte'!#REF!)&gt;0)</f>
        <v>#REF!</v>
      </c>
      <c r="C228" s="162" t="str">
        <f t="shared" ca="1" si="18"/>
        <v>Capex Orcamentário_PE2026_2030_red_35_porcentoR3_consulta.xlsx</v>
      </c>
      <c r="D228" s="163" t="str">
        <f t="shared" si="19"/>
        <v>COO</v>
      </c>
      <c r="E228" s="163" t="str">
        <f t="shared" si="20"/>
        <v>Lucas Martins</v>
      </c>
      <c r="F228" s="164"/>
      <c r="G228" s="164" t="e">
        <f>_xlfn.CONCAT('Consolidado-Eletronorte'!#REF!,"_",ROW('Consolidado-Eletronorte'!#REF!)-ROW('Consolidado-Eletronorte'!$G$18))</f>
        <v>#REF!</v>
      </c>
      <c r="H228" s="165" t="s">
        <v>506</v>
      </c>
      <c r="I228" s="165" t="s">
        <v>135</v>
      </c>
      <c r="J228" s="165" t="s">
        <v>508</v>
      </c>
      <c r="K228" s="165" t="s">
        <v>1039</v>
      </c>
      <c r="L228" s="165" t="s">
        <v>1040</v>
      </c>
      <c r="M228" s="165"/>
      <c r="N228" s="165"/>
      <c r="O228" s="165"/>
      <c r="P228" s="165"/>
      <c r="Q228" s="178" t="s">
        <v>1713</v>
      </c>
      <c r="R228" s="178" t="s">
        <v>1716</v>
      </c>
      <c r="S228" s="178" t="s">
        <v>1060</v>
      </c>
      <c r="T228" s="198" t="s">
        <v>1045</v>
      </c>
      <c r="U228" s="198" t="s">
        <v>1045</v>
      </c>
      <c r="V228" s="198" t="s">
        <v>1045</v>
      </c>
      <c r="W228" s="198" t="s">
        <v>1045</v>
      </c>
      <c r="X228" s="198" t="s">
        <v>1045</v>
      </c>
      <c r="Y228" s="198" t="s">
        <v>1045</v>
      </c>
      <c r="Z228" s="198" t="s">
        <v>1045</v>
      </c>
      <c r="AA228" s="198" t="s">
        <v>1045</v>
      </c>
      <c r="AB228" s="198" t="s">
        <v>1045</v>
      </c>
      <c r="AC228" s="198" t="s">
        <v>1045</v>
      </c>
      <c r="AD228" s="198" t="s">
        <v>1045</v>
      </c>
      <c r="AE228" s="198" t="s">
        <v>1045</v>
      </c>
      <c r="AF228" s="197">
        <f>SUM(Tabela96[[#This Row],[jan/26]:[dez/26]])</f>
        <v>0</v>
      </c>
      <c r="AG228" s="198">
        <v>0</v>
      </c>
      <c r="AH228" s="198">
        <v>0</v>
      </c>
      <c r="AI228" s="198">
        <v>0</v>
      </c>
      <c r="AJ228" s="198">
        <v>0</v>
      </c>
      <c r="AK228" s="198">
        <f>SUM(Tabela96[[#This Row],[2026]:[2030]])</f>
        <v>0</v>
      </c>
      <c r="AL228" s="198">
        <v>262500</v>
      </c>
      <c r="AM228" s="198">
        <v>0</v>
      </c>
      <c r="AN228" s="198">
        <v>0</v>
      </c>
      <c r="AO228" s="198">
        <v>0</v>
      </c>
      <c r="AP228" s="198">
        <v>0</v>
      </c>
      <c r="AQ228" s="202">
        <f>SUM(Tabela96[[#This Row],[2026-2030]:[2035]])</f>
        <v>262500</v>
      </c>
      <c r="AS228" s="178" t="s">
        <v>1046</v>
      </c>
      <c r="AT228" s="201" t="s">
        <v>1601</v>
      </c>
      <c r="AU228" s="178" t="s">
        <v>1717</v>
      </c>
      <c r="AV228" s="182"/>
      <c r="AW228" s="178" t="s">
        <v>1603</v>
      </c>
      <c r="AZ228" s="178" t="s">
        <v>1711</v>
      </c>
    </row>
    <row r="229" spans="2:52" ht="24.75" customHeight="1" x14ac:dyDescent="0.35">
      <c r="B229" s="179" t="e" cm="1">
        <f t="array" ref="B229">AND(ISTEXT('Consolidado-Eletronorte'!#REF!),SUM('Consolidado-Eletronorte'!#REF!)&gt;0)</f>
        <v>#REF!</v>
      </c>
      <c r="C229" s="162" t="str">
        <f t="shared" ca="1" si="18"/>
        <v>Capex Orcamentário_PE2026_2030_red_35_porcentoR3_consulta.xlsx</v>
      </c>
      <c r="D229" s="163" t="str">
        <f t="shared" si="19"/>
        <v>COO</v>
      </c>
      <c r="E229" s="163" t="str">
        <f t="shared" si="20"/>
        <v>Lucas Martins</v>
      </c>
      <c r="F229" s="164"/>
      <c r="G229" s="164" t="e">
        <f>_xlfn.CONCAT('Consolidado-Eletronorte'!#REF!,"_",ROW('Consolidado-Eletronorte'!#REF!)-ROW('Consolidado-Eletronorte'!$G$18))</f>
        <v>#REF!</v>
      </c>
      <c r="H229" s="165" t="s">
        <v>506</v>
      </c>
      <c r="I229" s="165" t="s">
        <v>135</v>
      </c>
      <c r="J229" s="165" t="s">
        <v>508</v>
      </c>
      <c r="K229" s="165" t="s">
        <v>1039</v>
      </c>
      <c r="L229" s="165" t="s">
        <v>1040</v>
      </c>
      <c r="M229" s="165"/>
      <c r="N229" s="165"/>
      <c r="O229" s="165"/>
      <c r="P229" s="165"/>
      <c r="Q229" s="178" t="s">
        <v>1713</v>
      </c>
      <c r="R229" s="178" t="s">
        <v>1718</v>
      </c>
      <c r="S229" s="178" t="s">
        <v>1060</v>
      </c>
      <c r="T229" s="198" t="s">
        <v>1045</v>
      </c>
      <c r="U229" s="198" t="s">
        <v>1045</v>
      </c>
      <c r="V229" s="198" t="s">
        <v>1045</v>
      </c>
      <c r="W229" s="198" t="s">
        <v>1045</v>
      </c>
      <c r="X229" s="198" t="s">
        <v>1045</v>
      </c>
      <c r="Y229" s="198" t="s">
        <v>1045</v>
      </c>
      <c r="Z229" s="198" t="s">
        <v>1045</v>
      </c>
      <c r="AA229" s="198" t="s">
        <v>1045</v>
      </c>
      <c r="AB229" s="198" t="s">
        <v>1045</v>
      </c>
      <c r="AC229" s="198" t="s">
        <v>1045</v>
      </c>
      <c r="AD229" s="198" t="s">
        <v>1045</v>
      </c>
      <c r="AE229" s="198" t="s">
        <v>1045</v>
      </c>
      <c r="AF229" s="197">
        <f>SUM(Tabela96[[#This Row],[jan/26]:[dez/26]])</f>
        <v>0</v>
      </c>
      <c r="AG229" s="198">
        <v>0</v>
      </c>
      <c r="AH229" s="198">
        <v>0</v>
      </c>
      <c r="AI229" s="198">
        <v>0</v>
      </c>
      <c r="AJ229" s="198">
        <v>0</v>
      </c>
      <c r="AK229" s="198">
        <f>SUM(Tabela96[[#This Row],[2026]:[2030]])</f>
        <v>0</v>
      </c>
      <c r="AL229" s="198">
        <v>105000</v>
      </c>
      <c r="AM229" s="198">
        <v>0</v>
      </c>
      <c r="AN229" s="198">
        <v>0</v>
      </c>
      <c r="AO229" s="198">
        <v>0</v>
      </c>
      <c r="AP229" s="198">
        <v>0</v>
      </c>
      <c r="AQ229" s="202">
        <f>SUM(Tabela96[[#This Row],[2026-2030]:[2035]])</f>
        <v>105000</v>
      </c>
      <c r="AS229" s="178" t="s">
        <v>1046</v>
      </c>
      <c r="AT229" s="201" t="s">
        <v>1601</v>
      </c>
      <c r="AU229" s="178" t="s">
        <v>1719</v>
      </c>
      <c r="AV229" s="182"/>
      <c r="AW229" s="178" t="s">
        <v>1603</v>
      </c>
      <c r="AZ229" s="178" t="s">
        <v>1711</v>
      </c>
    </row>
    <row r="230" spans="2:52" ht="24.75" customHeight="1" x14ac:dyDescent="0.35">
      <c r="B230" s="179" t="e" cm="1">
        <f t="array" ref="B230">AND(ISTEXT('Consolidado-Eletronorte'!#REF!),SUM('Consolidado-Eletronorte'!#REF!)&gt;0)</f>
        <v>#REF!</v>
      </c>
      <c r="C230" s="162" t="str">
        <f t="shared" ca="1" si="18"/>
        <v>Capex Orcamentário_PE2026_2030_red_35_porcentoR3_consulta.xlsx</v>
      </c>
      <c r="D230" s="163" t="str">
        <f t="shared" si="19"/>
        <v>COO</v>
      </c>
      <c r="E230" s="163" t="str">
        <f t="shared" si="20"/>
        <v>Lucas Martins</v>
      </c>
      <c r="F230" s="164"/>
      <c r="G230" s="164" t="e">
        <f>_xlfn.CONCAT('Consolidado-Eletronorte'!#REF!,"_",ROW('Consolidado-Eletronorte'!#REF!)-ROW('Consolidado-Eletronorte'!$G$18))</f>
        <v>#REF!</v>
      </c>
      <c r="H230" s="165" t="s">
        <v>506</v>
      </c>
      <c r="I230" s="165" t="s">
        <v>135</v>
      </c>
      <c r="J230" s="165" t="s">
        <v>508</v>
      </c>
      <c r="K230" s="165" t="s">
        <v>1039</v>
      </c>
      <c r="L230" s="165" t="s">
        <v>1040</v>
      </c>
      <c r="M230" s="165"/>
      <c r="N230" s="165"/>
      <c r="O230" s="165"/>
      <c r="P230" s="165"/>
      <c r="Q230" s="178" t="s">
        <v>1713</v>
      </c>
      <c r="R230" s="178" t="s">
        <v>1720</v>
      </c>
      <c r="S230" s="178" t="s">
        <v>1060</v>
      </c>
      <c r="T230" s="198" t="s">
        <v>1045</v>
      </c>
      <c r="U230" s="198" t="s">
        <v>1045</v>
      </c>
      <c r="V230" s="198" t="s">
        <v>1045</v>
      </c>
      <c r="W230" s="198" t="s">
        <v>1045</v>
      </c>
      <c r="X230" s="198" t="s">
        <v>1045</v>
      </c>
      <c r="Y230" s="198" t="s">
        <v>1045</v>
      </c>
      <c r="Z230" s="198" t="s">
        <v>1045</v>
      </c>
      <c r="AA230" s="198" t="s">
        <v>1045</v>
      </c>
      <c r="AB230" s="198" t="s">
        <v>1045</v>
      </c>
      <c r="AC230" s="198" t="s">
        <v>1045</v>
      </c>
      <c r="AD230" s="198" t="s">
        <v>1045</v>
      </c>
      <c r="AE230" s="198" t="s">
        <v>1045</v>
      </c>
      <c r="AF230" s="197">
        <f>SUM(Tabela96[[#This Row],[jan/26]:[dez/26]])</f>
        <v>0</v>
      </c>
      <c r="AG230" s="198">
        <v>0</v>
      </c>
      <c r="AH230" s="198">
        <v>0</v>
      </c>
      <c r="AI230" s="198">
        <v>0</v>
      </c>
      <c r="AJ230" s="198">
        <v>0</v>
      </c>
      <c r="AK230" s="198">
        <f>SUM(Tabela96[[#This Row],[2026]:[2030]])</f>
        <v>0</v>
      </c>
      <c r="AL230" s="198">
        <v>105000</v>
      </c>
      <c r="AM230" s="198">
        <v>0</v>
      </c>
      <c r="AN230" s="198">
        <v>0</v>
      </c>
      <c r="AO230" s="198">
        <v>0</v>
      </c>
      <c r="AP230" s="198">
        <v>0</v>
      </c>
      <c r="AQ230" s="202">
        <f>SUM(Tabela96[[#This Row],[2026-2030]:[2035]])</f>
        <v>105000</v>
      </c>
      <c r="AS230" s="178" t="s">
        <v>1046</v>
      </c>
      <c r="AT230" s="201" t="s">
        <v>1601</v>
      </c>
      <c r="AU230" s="178" t="s">
        <v>1721</v>
      </c>
      <c r="AV230" s="182"/>
      <c r="AW230" s="178" t="s">
        <v>1603</v>
      </c>
      <c r="AZ230" s="178" t="s">
        <v>1711</v>
      </c>
    </row>
    <row r="231" spans="2:52" ht="24.75" customHeight="1" x14ac:dyDescent="0.35">
      <c r="B231" s="179" t="e" cm="1">
        <f t="array" ref="B231">AND(ISTEXT('Consolidado-Eletronorte'!#REF!),SUM('Consolidado-Eletronorte'!#REF!)&gt;0)</f>
        <v>#REF!</v>
      </c>
      <c r="C231" s="162" t="str">
        <f t="shared" ca="1" si="18"/>
        <v>Capex Orcamentário_PE2026_2030_red_35_porcentoR3_consulta.xlsx</v>
      </c>
      <c r="D231" s="163" t="str">
        <f t="shared" si="19"/>
        <v>COO</v>
      </c>
      <c r="E231" s="163" t="str">
        <f t="shared" si="20"/>
        <v>Lucas Martins</v>
      </c>
      <c r="F231" s="164"/>
      <c r="G231" s="164" t="e">
        <f>_xlfn.CONCAT('Consolidado-Eletronorte'!#REF!,"_",ROW('Consolidado-Eletronorte'!#REF!)-ROW('Consolidado-Eletronorte'!$G$18))</f>
        <v>#REF!</v>
      </c>
      <c r="H231" s="165" t="s">
        <v>506</v>
      </c>
      <c r="I231" s="165" t="s">
        <v>135</v>
      </c>
      <c r="J231" s="165" t="s">
        <v>508</v>
      </c>
      <c r="K231" s="165" t="s">
        <v>1039</v>
      </c>
      <c r="L231" s="165" t="s">
        <v>1040</v>
      </c>
      <c r="M231" s="165"/>
      <c r="N231" s="165"/>
      <c r="O231" s="165"/>
      <c r="P231" s="165"/>
      <c r="Q231" s="178" t="s">
        <v>1713</v>
      </c>
      <c r="R231" s="178" t="s">
        <v>1722</v>
      </c>
      <c r="S231" s="178" t="s">
        <v>1060</v>
      </c>
      <c r="T231" s="198" t="s">
        <v>1045</v>
      </c>
      <c r="U231" s="198" t="s">
        <v>1045</v>
      </c>
      <c r="V231" s="198" t="s">
        <v>1045</v>
      </c>
      <c r="W231" s="198" t="s">
        <v>1045</v>
      </c>
      <c r="X231" s="198" t="s">
        <v>1045</v>
      </c>
      <c r="Y231" s="198" t="s">
        <v>1045</v>
      </c>
      <c r="Z231" s="198" t="s">
        <v>1045</v>
      </c>
      <c r="AA231" s="198" t="s">
        <v>1045</v>
      </c>
      <c r="AB231" s="198" t="s">
        <v>1045</v>
      </c>
      <c r="AC231" s="198" t="s">
        <v>1045</v>
      </c>
      <c r="AD231" s="198" t="s">
        <v>1045</v>
      </c>
      <c r="AE231" s="198" t="s">
        <v>1045</v>
      </c>
      <c r="AF231" s="197">
        <f>SUM(Tabela96[[#This Row],[jan/26]:[dez/26]])</f>
        <v>0</v>
      </c>
      <c r="AG231" s="198">
        <v>0</v>
      </c>
      <c r="AH231" s="198">
        <v>0</v>
      </c>
      <c r="AI231" s="198">
        <v>0</v>
      </c>
      <c r="AJ231" s="198">
        <v>0</v>
      </c>
      <c r="AK231" s="198">
        <f>SUM(Tabela96[[#This Row],[2026]:[2030]])</f>
        <v>0</v>
      </c>
      <c r="AL231" s="198">
        <v>157500</v>
      </c>
      <c r="AM231" s="198">
        <v>0</v>
      </c>
      <c r="AN231" s="198">
        <v>0</v>
      </c>
      <c r="AO231" s="198">
        <v>0</v>
      </c>
      <c r="AP231" s="198">
        <v>0</v>
      </c>
      <c r="AQ231" s="202">
        <f>SUM(Tabela96[[#This Row],[2026-2030]:[2035]])</f>
        <v>157500</v>
      </c>
      <c r="AS231" s="178" t="s">
        <v>1046</v>
      </c>
      <c r="AT231" s="201" t="s">
        <v>1601</v>
      </c>
      <c r="AU231" s="178" t="s">
        <v>1723</v>
      </c>
      <c r="AV231" s="182"/>
      <c r="AW231" s="178" t="s">
        <v>1603</v>
      </c>
      <c r="AZ231" s="178" t="s">
        <v>1711</v>
      </c>
    </row>
    <row r="232" spans="2:52" ht="24.75" customHeight="1" x14ac:dyDescent="0.35">
      <c r="B232" s="179" t="e" cm="1">
        <f t="array" ref="B232">AND(ISTEXT('Consolidado-Eletronorte'!#REF!),SUM('Consolidado-Eletronorte'!#REF!)&gt;0)</f>
        <v>#REF!</v>
      </c>
      <c r="C232" s="162" t="str">
        <f t="shared" ca="1" si="18"/>
        <v>Capex Orcamentário_PE2026_2030_red_35_porcentoR3_consulta.xlsx</v>
      </c>
      <c r="D232" s="163" t="str">
        <f t="shared" si="19"/>
        <v>COO</v>
      </c>
      <c r="E232" s="163" t="str">
        <f t="shared" si="20"/>
        <v>Lucas Martins</v>
      </c>
      <c r="F232" s="164"/>
      <c r="G232" s="164" t="e">
        <f>_xlfn.CONCAT('Consolidado-Eletronorte'!#REF!,"_",ROW('Consolidado-Eletronorte'!#REF!)-ROW('Consolidado-Eletronorte'!$G$18))</f>
        <v>#REF!</v>
      </c>
      <c r="H232" s="165" t="s">
        <v>506</v>
      </c>
      <c r="I232" s="165" t="s">
        <v>135</v>
      </c>
      <c r="J232" s="165" t="s">
        <v>508</v>
      </c>
      <c r="K232" s="165" t="s">
        <v>1039</v>
      </c>
      <c r="L232" s="165" t="s">
        <v>1040</v>
      </c>
      <c r="M232" s="165"/>
      <c r="N232" s="165"/>
      <c r="O232" s="165"/>
      <c r="P232" s="165"/>
      <c r="Q232" s="178" t="s">
        <v>1724</v>
      </c>
      <c r="R232" s="178" t="s">
        <v>1714</v>
      </c>
      <c r="S232" s="178" t="s">
        <v>1034</v>
      </c>
      <c r="T232" s="198" t="s">
        <v>1045</v>
      </c>
      <c r="U232" s="198" t="s">
        <v>1045</v>
      </c>
      <c r="V232" s="198" t="s">
        <v>1045</v>
      </c>
      <c r="W232" s="198" t="s">
        <v>1045</v>
      </c>
      <c r="X232" s="198" t="s">
        <v>1045</v>
      </c>
      <c r="Y232" s="198" t="s">
        <v>1045</v>
      </c>
      <c r="Z232" s="198" t="s">
        <v>1045</v>
      </c>
      <c r="AA232" s="198" t="s">
        <v>1045</v>
      </c>
      <c r="AB232" s="198" t="s">
        <v>1045</v>
      </c>
      <c r="AC232" s="198" t="s">
        <v>1045</v>
      </c>
      <c r="AD232" s="198" t="s">
        <v>1045</v>
      </c>
      <c r="AE232" s="198" t="s">
        <v>1045</v>
      </c>
      <c r="AF232" s="197">
        <f>SUM(Tabela96[[#This Row],[jan/26]:[dez/26]])</f>
        <v>0</v>
      </c>
      <c r="AG232" s="198">
        <v>0</v>
      </c>
      <c r="AH232" s="198">
        <v>0</v>
      </c>
      <c r="AI232" s="198">
        <v>0</v>
      </c>
      <c r="AJ232" s="198">
        <v>0</v>
      </c>
      <c r="AK232" s="198">
        <f>SUM(Tabela96[[#This Row],[2026]:[2030]])</f>
        <v>0</v>
      </c>
      <c r="AL232" s="198">
        <v>262500</v>
      </c>
      <c r="AM232" s="198">
        <v>0</v>
      </c>
      <c r="AN232" s="198">
        <v>0</v>
      </c>
      <c r="AO232" s="198">
        <v>0</v>
      </c>
      <c r="AP232" s="198">
        <v>0</v>
      </c>
      <c r="AQ232" s="202">
        <f>SUM(Tabela96[[#This Row],[2026-2030]:[2035]])</f>
        <v>262500</v>
      </c>
      <c r="AS232" s="178" t="s">
        <v>1046</v>
      </c>
      <c r="AT232" s="201" t="s">
        <v>1601</v>
      </c>
      <c r="AU232" s="178" t="s">
        <v>1725</v>
      </c>
      <c r="AV232" s="182"/>
      <c r="AW232" s="178" t="s">
        <v>1603</v>
      </c>
      <c r="AZ232" s="178" t="s">
        <v>1711</v>
      </c>
    </row>
    <row r="233" spans="2:52" ht="24.75" customHeight="1" x14ac:dyDescent="0.35">
      <c r="B233" s="179" t="e" cm="1">
        <f t="array" ref="B233">AND(ISTEXT('Consolidado-Eletronorte'!#REF!),SUM('Consolidado-Eletronorte'!#REF!)&gt;0)</f>
        <v>#REF!</v>
      </c>
      <c r="C233" s="162" t="str">
        <f t="shared" ref="C233:C261" ca="1" si="21">$J$3</f>
        <v>Capex Orcamentário_PE2026_2030_red_35_porcentoR3_consulta.xlsx</v>
      </c>
      <c r="D233" s="163" t="str">
        <f t="shared" ref="D233:D261" si="22">$H$3</f>
        <v>COO</v>
      </c>
      <c r="E233" s="163" t="str">
        <f t="shared" ref="E233:E261" si="23">$H$4</f>
        <v>Lucas Martins</v>
      </c>
      <c r="F233" s="164"/>
      <c r="G233" s="164" t="e">
        <f>_xlfn.CONCAT('Consolidado-Eletronorte'!#REF!,"_",ROW('Consolidado-Eletronorte'!#REF!)-ROW('Consolidado-Eletronorte'!$G$18))</f>
        <v>#REF!</v>
      </c>
      <c r="H233" s="165" t="s">
        <v>506</v>
      </c>
      <c r="I233" s="165" t="s">
        <v>135</v>
      </c>
      <c r="J233" s="165" t="s">
        <v>508</v>
      </c>
      <c r="K233" s="165" t="s">
        <v>1039</v>
      </c>
      <c r="L233" s="165" t="s">
        <v>1040</v>
      </c>
      <c r="M233" s="165"/>
      <c r="N233" s="165"/>
      <c r="O233" s="165"/>
      <c r="P233" s="165"/>
      <c r="Q233" s="178" t="s">
        <v>1724</v>
      </c>
      <c r="R233" s="178" t="s">
        <v>1716</v>
      </c>
      <c r="S233" s="178" t="s">
        <v>1034</v>
      </c>
      <c r="T233" s="198" t="s">
        <v>1045</v>
      </c>
      <c r="U233" s="198" t="s">
        <v>1045</v>
      </c>
      <c r="V233" s="198" t="s">
        <v>1045</v>
      </c>
      <c r="W233" s="198" t="s">
        <v>1045</v>
      </c>
      <c r="X233" s="198" t="s">
        <v>1045</v>
      </c>
      <c r="Y233" s="198" t="s">
        <v>1045</v>
      </c>
      <c r="Z233" s="198" t="s">
        <v>1045</v>
      </c>
      <c r="AA233" s="198" t="s">
        <v>1045</v>
      </c>
      <c r="AB233" s="198" t="s">
        <v>1045</v>
      </c>
      <c r="AC233" s="198" t="s">
        <v>1045</v>
      </c>
      <c r="AD233" s="198" t="s">
        <v>1045</v>
      </c>
      <c r="AE233" s="198" t="s">
        <v>1045</v>
      </c>
      <c r="AF233" s="197">
        <f>SUM(Tabela96[[#This Row],[jan/26]:[dez/26]])</f>
        <v>0</v>
      </c>
      <c r="AG233" s="198">
        <v>0</v>
      </c>
      <c r="AH233" s="198">
        <v>0</v>
      </c>
      <c r="AI233" s="198">
        <v>0</v>
      </c>
      <c r="AJ233" s="198">
        <v>0</v>
      </c>
      <c r="AK233" s="198">
        <f>SUM(Tabela96[[#This Row],[2026]:[2030]])</f>
        <v>0</v>
      </c>
      <c r="AL233" s="198">
        <v>262500</v>
      </c>
      <c r="AM233" s="198">
        <v>0</v>
      </c>
      <c r="AN233" s="198">
        <v>0</v>
      </c>
      <c r="AO233" s="198">
        <v>0</v>
      </c>
      <c r="AP233" s="198">
        <v>0</v>
      </c>
      <c r="AQ233" s="202">
        <f>SUM(Tabela96[[#This Row],[2026-2030]:[2035]])</f>
        <v>262500</v>
      </c>
      <c r="AS233" s="178" t="s">
        <v>1046</v>
      </c>
      <c r="AT233" s="201" t="s">
        <v>1601</v>
      </c>
      <c r="AU233" s="178" t="s">
        <v>1726</v>
      </c>
      <c r="AV233" s="182"/>
      <c r="AW233" s="178" t="s">
        <v>1603</v>
      </c>
      <c r="AZ233" s="178" t="s">
        <v>1711</v>
      </c>
    </row>
    <row r="234" spans="2:52" ht="24.75" customHeight="1" x14ac:dyDescent="0.35">
      <c r="B234" s="179" t="e" cm="1">
        <f t="array" ref="B234">AND(ISTEXT('Consolidado-Eletronorte'!#REF!),SUM('Consolidado-Eletronorte'!#REF!)&gt;0)</f>
        <v>#REF!</v>
      </c>
      <c r="C234" s="162" t="str">
        <f t="shared" ca="1" si="21"/>
        <v>Capex Orcamentário_PE2026_2030_red_35_porcentoR3_consulta.xlsx</v>
      </c>
      <c r="D234" s="163" t="str">
        <f t="shared" si="22"/>
        <v>COO</v>
      </c>
      <c r="E234" s="163" t="str">
        <f t="shared" si="23"/>
        <v>Lucas Martins</v>
      </c>
      <c r="F234" s="164"/>
      <c r="G234" s="164" t="e">
        <f>_xlfn.CONCAT('Consolidado-Eletronorte'!#REF!,"_",ROW('Consolidado-Eletronorte'!#REF!)-ROW('Consolidado-Eletronorte'!$G$18))</f>
        <v>#REF!</v>
      </c>
      <c r="H234" s="165" t="s">
        <v>506</v>
      </c>
      <c r="I234" s="165" t="s">
        <v>135</v>
      </c>
      <c r="J234" s="165" t="s">
        <v>508</v>
      </c>
      <c r="K234" s="165" t="s">
        <v>1039</v>
      </c>
      <c r="L234" s="165" t="s">
        <v>1040</v>
      </c>
      <c r="M234" s="165"/>
      <c r="N234" s="165"/>
      <c r="O234" s="165"/>
      <c r="P234" s="165"/>
      <c r="Q234" s="178" t="s">
        <v>1724</v>
      </c>
      <c r="R234" s="178" t="s">
        <v>1718</v>
      </c>
      <c r="S234" s="178" t="s">
        <v>1034</v>
      </c>
      <c r="T234" s="198" t="s">
        <v>1045</v>
      </c>
      <c r="U234" s="198" t="s">
        <v>1045</v>
      </c>
      <c r="V234" s="198" t="s">
        <v>1045</v>
      </c>
      <c r="W234" s="198" t="s">
        <v>1045</v>
      </c>
      <c r="X234" s="198" t="s">
        <v>1045</v>
      </c>
      <c r="Y234" s="198" t="s">
        <v>1045</v>
      </c>
      <c r="Z234" s="198" t="s">
        <v>1045</v>
      </c>
      <c r="AA234" s="198" t="s">
        <v>1045</v>
      </c>
      <c r="AB234" s="198" t="s">
        <v>1045</v>
      </c>
      <c r="AC234" s="198" t="s">
        <v>1045</v>
      </c>
      <c r="AD234" s="198" t="s">
        <v>1045</v>
      </c>
      <c r="AE234" s="198" t="s">
        <v>1045</v>
      </c>
      <c r="AF234" s="197">
        <f>SUM(Tabela96[[#This Row],[jan/26]:[dez/26]])</f>
        <v>0</v>
      </c>
      <c r="AG234" s="198">
        <v>0</v>
      </c>
      <c r="AH234" s="198">
        <v>0</v>
      </c>
      <c r="AI234" s="198">
        <v>0</v>
      </c>
      <c r="AJ234" s="198">
        <v>0</v>
      </c>
      <c r="AK234" s="198">
        <f>SUM(Tabela96[[#This Row],[2026]:[2030]])</f>
        <v>0</v>
      </c>
      <c r="AL234" s="198">
        <v>105000</v>
      </c>
      <c r="AM234" s="198">
        <v>0</v>
      </c>
      <c r="AN234" s="198">
        <v>0</v>
      </c>
      <c r="AO234" s="198">
        <v>0</v>
      </c>
      <c r="AP234" s="198">
        <v>0</v>
      </c>
      <c r="AQ234" s="202">
        <f>SUM(Tabela96[[#This Row],[2026-2030]:[2035]])</f>
        <v>105000</v>
      </c>
      <c r="AS234" s="178" t="s">
        <v>1046</v>
      </c>
      <c r="AT234" s="201" t="s">
        <v>1601</v>
      </c>
      <c r="AU234" s="178" t="s">
        <v>1727</v>
      </c>
      <c r="AV234" s="182"/>
      <c r="AW234" s="178" t="s">
        <v>1603</v>
      </c>
      <c r="AZ234" s="178" t="s">
        <v>1711</v>
      </c>
    </row>
    <row r="235" spans="2:52" ht="24.75" customHeight="1" x14ac:dyDescent="0.35">
      <c r="B235" s="179" t="e" cm="1">
        <f t="array" ref="B235">AND(ISTEXT('Consolidado-Eletronorte'!#REF!),SUM('Consolidado-Eletronorte'!#REF!)&gt;0)</f>
        <v>#REF!</v>
      </c>
      <c r="C235" s="162" t="str">
        <f t="shared" ca="1" si="21"/>
        <v>Capex Orcamentário_PE2026_2030_red_35_porcentoR3_consulta.xlsx</v>
      </c>
      <c r="D235" s="163" t="str">
        <f t="shared" si="22"/>
        <v>COO</v>
      </c>
      <c r="E235" s="163" t="str">
        <f t="shared" si="23"/>
        <v>Lucas Martins</v>
      </c>
      <c r="F235" s="164"/>
      <c r="G235" s="164" t="e">
        <f>_xlfn.CONCAT('Consolidado-Eletronorte'!#REF!,"_",ROW('Consolidado-Eletronorte'!#REF!)-ROW('Consolidado-Eletronorte'!$G$18))</f>
        <v>#REF!</v>
      </c>
      <c r="H235" s="165" t="s">
        <v>506</v>
      </c>
      <c r="I235" s="165" t="s">
        <v>135</v>
      </c>
      <c r="J235" s="165" t="s">
        <v>508</v>
      </c>
      <c r="K235" s="165" t="s">
        <v>1039</v>
      </c>
      <c r="L235" s="165" t="s">
        <v>1040</v>
      </c>
      <c r="M235" s="165"/>
      <c r="N235" s="165"/>
      <c r="O235" s="165"/>
      <c r="P235" s="165"/>
      <c r="Q235" s="178" t="s">
        <v>1724</v>
      </c>
      <c r="R235" s="178" t="s">
        <v>1720</v>
      </c>
      <c r="S235" s="178" t="s">
        <v>1034</v>
      </c>
      <c r="T235" s="198" t="s">
        <v>1045</v>
      </c>
      <c r="U235" s="198" t="s">
        <v>1045</v>
      </c>
      <c r="V235" s="198" t="s">
        <v>1045</v>
      </c>
      <c r="W235" s="198" t="s">
        <v>1045</v>
      </c>
      <c r="X235" s="198" t="s">
        <v>1045</v>
      </c>
      <c r="Y235" s="198" t="s">
        <v>1045</v>
      </c>
      <c r="Z235" s="198" t="s">
        <v>1045</v>
      </c>
      <c r="AA235" s="198" t="s">
        <v>1045</v>
      </c>
      <c r="AB235" s="198" t="s">
        <v>1045</v>
      </c>
      <c r="AC235" s="198" t="s">
        <v>1045</v>
      </c>
      <c r="AD235" s="198" t="s">
        <v>1045</v>
      </c>
      <c r="AE235" s="198" t="s">
        <v>1045</v>
      </c>
      <c r="AF235" s="197">
        <f>SUM(Tabela96[[#This Row],[jan/26]:[dez/26]])</f>
        <v>0</v>
      </c>
      <c r="AG235" s="198">
        <v>0</v>
      </c>
      <c r="AH235" s="198">
        <v>0</v>
      </c>
      <c r="AI235" s="198">
        <v>0</v>
      </c>
      <c r="AJ235" s="198">
        <v>0</v>
      </c>
      <c r="AK235" s="198">
        <f>SUM(Tabela96[[#This Row],[2026]:[2030]])</f>
        <v>0</v>
      </c>
      <c r="AL235" s="198">
        <v>105000</v>
      </c>
      <c r="AM235" s="198">
        <v>0</v>
      </c>
      <c r="AN235" s="198">
        <v>0</v>
      </c>
      <c r="AO235" s="198">
        <v>0</v>
      </c>
      <c r="AP235" s="198">
        <v>0</v>
      </c>
      <c r="AQ235" s="202">
        <f>SUM(Tabela96[[#This Row],[2026-2030]:[2035]])</f>
        <v>105000</v>
      </c>
      <c r="AS235" s="178" t="s">
        <v>1046</v>
      </c>
      <c r="AT235" s="201" t="s">
        <v>1601</v>
      </c>
      <c r="AU235" s="178" t="s">
        <v>1728</v>
      </c>
      <c r="AV235" s="182"/>
      <c r="AW235" s="178" t="s">
        <v>1603</v>
      </c>
      <c r="AZ235" s="178" t="s">
        <v>1711</v>
      </c>
    </row>
    <row r="236" spans="2:52" ht="24.75" customHeight="1" x14ac:dyDescent="0.35">
      <c r="B236" s="179" t="e" cm="1">
        <f t="array" ref="B236">AND(ISTEXT('Consolidado-Eletronorte'!#REF!),SUM('Consolidado-Eletronorte'!#REF!)&gt;0)</f>
        <v>#REF!</v>
      </c>
      <c r="C236" s="162" t="str">
        <f t="shared" ca="1" si="21"/>
        <v>Capex Orcamentário_PE2026_2030_red_35_porcentoR3_consulta.xlsx</v>
      </c>
      <c r="D236" s="163" t="str">
        <f t="shared" si="22"/>
        <v>COO</v>
      </c>
      <c r="E236" s="163" t="str">
        <f t="shared" si="23"/>
        <v>Lucas Martins</v>
      </c>
      <c r="F236" s="164"/>
      <c r="G236" s="164" t="e">
        <f>_xlfn.CONCAT('Consolidado-Eletronorte'!#REF!,"_",ROW('Consolidado-Eletronorte'!#REF!)-ROW('Consolidado-Eletronorte'!$G$18))</f>
        <v>#REF!</v>
      </c>
      <c r="H236" s="165" t="s">
        <v>506</v>
      </c>
      <c r="I236" s="165" t="s">
        <v>135</v>
      </c>
      <c r="J236" s="165" t="s">
        <v>508</v>
      </c>
      <c r="K236" s="165" t="s">
        <v>1039</v>
      </c>
      <c r="L236" s="165" t="s">
        <v>1040</v>
      </c>
      <c r="M236" s="165"/>
      <c r="N236" s="165"/>
      <c r="O236" s="165"/>
      <c r="P236" s="165"/>
      <c r="Q236" s="178" t="s">
        <v>1724</v>
      </c>
      <c r="R236" s="178" t="s">
        <v>1722</v>
      </c>
      <c r="S236" s="178" t="s">
        <v>1034</v>
      </c>
      <c r="T236" s="198" t="s">
        <v>1045</v>
      </c>
      <c r="U236" s="198" t="s">
        <v>1045</v>
      </c>
      <c r="V236" s="198" t="s">
        <v>1045</v>
      </c>
      <c r="W236" s="198" t="s">
        <v>1045</v>
      </c>
      <c r="X236" s="198" t="s">
        <v>1045</v>
      </c>
      <c r="Y236" s="198" t="s">
        <v>1045</v>
      </c>
      <c r="Z236" s="198" t="s">
        <v>1045</v>
      </c>
      <c r="AA236" s="198" t="s">
        <v>1045</v>
      </c>
      <c r="AB236" s="198" t="s">
        <v>1045</v>
      </c>
      <c r="AC236" s="198" t="s">
        <v>1045</v>
      </c>
      <c r="AD236" s="198" t="s">
        <v>1045</v>
      </c>
      <c r="AE236" s="198" t="s">
        <v>1045</v>
      </c>
      <c r="AF236" s="197">
        <f>SUM(Tabela96[[#This Row],[jan/26]:[dez/26]])</f>
        <v>0</v>
      </c>
      <c r="AG236" s="198">
        <v>0</v>
      </c>
      <c r="AH236" s="198">
        <v>0</v>
      </c>
      <c r="AI236" s="198">
        <v>0</v>
      </c>
      <c r="AJ236" s="198">
        <v>0</v>
      </c>
      <c r="AK236" s="198">
        <f>SUM(Tabela96[[#This Row],[2026]:[2030]])</f>
        <v>0</v>
      </c>
      <c r="AL236" s="198">
        <v>157500</v>
      </c>
      <c r="AM236" s="198">
        <v>0</v>
      </c>
      <c r="AN236" s="198">
        <v>0</v>
      </c>
      <c r="AO236" s="198">
        <v>0</v>
      </c>
      <c r="AP236" s="198">
        <v>0</v>
      </c>
      <c r="AQ236" s="202">
        <f>SUM(Tabela96[[#This Row],[2026-2030]:[2035]])</f>
        <v>157500</v>
      </c>
      <c r="AS236" s="178" t="s">
        <v>1046</v>
      </c>
      <c r="AT236" s="201" t="s">
        <v>1601</v>
      </c>
      <c r="AU236" s="178" t="s">
        <v>1729</v>
      </c>
      <c r="AV236" s="112"/>
      <c r="AW236" s="178" t="s">
        <v>1603</v>
      </c>
      <c r="AZ236" s="178" t="s">
        <v>1711</v>
      </c>
    </row>
    <row r="237" spans="2:52" ht="24.75" customHeight="1" x14ac:dyDescent="0.35">
      <c r="B237" s="179" t="e" cm="1">
        <f t="array" ref="B237">AND(ISTEXT('Consolidado-Eletronorte'!#REF!),SUM('Consolidado-Eletronorte'!#REF!)&gt;0)</f>
        <v>#REF!</v>
      </c>
      <c r="C237" s="162" t="str">
        <f t="shared" ca="1" si="21"/>
        <v>Capex Orcamentário_PE2026_2030_red_35_porcentoR3_consulta.xlsx</v>
      </c>
      <c r="D237" s="163" t="str">
        <f t="shared" si="22"/>
        <v>COO</v>
      </c>
      <c r="E237" s="163" t="str">
        <f t="shared" si="23"/>
        <v>Lucas Martins</v>
      </c>
      <c r="F237" s="164"/>
      <c r="G237" s="164" t="e">
        <f>_xlfn.CONCAT('Consolidado-Eletronorte'!#REF!,"_",ROW('Consolidado-Eletronorte'!#REF!)-ROW('Consolidado-Eletronorte'!$G$18))</f>
        <v>#REF!</v>
      </c>
      <c r="H237" s="165" t="s">
        <v>506</v>
      </c>
      <c r="I237" s="165" t="s">
        <v>135</v>
      </c>
      <c r="J237" s="165" t="s">
        <v>508</v>
      </c>
      <c r="K237" s="165" t="s">
        <v>1039</v>
      </c>
      <c r="L237" s="165" t="s">
        <v>1040</v>
      </c>
      <c r="M237" s="165"/>
      <c r="N237" s="165"/>
      <c r="O237" s="165"/>
      <c r="P237" s="165"/>
      <c r="Q237" s="178" t="s">
        <v>1730</v>
      </c>
      <c r="R237" s="178" t="s">
        <v>1714</v>
      </c>
      <c r="S237" s="178" t="s">
        <v>1054</v>
      </c>
      <c r="T237" s="198" t="s">
        <v>1045</v>
      </c>
      <c r="U237" s="198" t="s">
        <v>1045</v>
      </c>
      <c r="V237" s="198" t="s">
        <v>1045</v>
      </c>
      <c r="W237" s="198" t="s">
        <v>1045</v>
      </c>
      <c r="X237" s="198" t="s">
        <v>1045</v>
      </c>
      <c r="Y237" s="198" t="s">
        <v>1045</v>
      </c>
      <c r="Z237" s="198" t="s">
        <v>1045</v>
      </c>
      <c r="AA237" s="198" t="s">
        <v>1045</v>
      </c>
      <c r="AB237" s="198" t="s">
        <v>1045</v>
      </c>
      <c r="AC237" s="198" t="s">
        <v>1045</v>
      </c>
      <c r="AD237" s="198" t="s">
        <v>1045</v>
      </c>
      <c r="AE237" s="198" t="s">
        <v>1045</v>
      </c>
      <c r="AF237" s="197">
        <f>SUM(Tabela96[[#This Row],[jan/26]:[dez/26]])</f>
        <v>0</v>
      </c>
      <c r="AG237" s="198">
        <v>0</v>
      </c>
      <c r="AH237" s="198">
        <v>0</v>
      </c>
      <c r="AI237" s="198">
        <v>0</v>
      </c>
      <c r="AJ237" s="198">
        <v>0</v>
      </c>
      <c r="AK237" s="198">
        <f>SUM(Tabela96[[#This Row],[2026]:[2030]])</f>
        <v>0</v>
      </c>
      <c r="AL237" s="198">
        <v>225000</v>
      </c>
      <c r="AM237" s="198">
        <v>0</v>
      </c>
      <c r="AN237" s="198">
        <v>0</v>
      </c>
      <c r="AO237" s="198">
        <v>0</v>
      </c>
      <c r="AP237" s="198">
        <v>0</v>
      </c>
      <c r="AQ237" s="202">
        <f>SUM(Tabela96[[#This Row],[2026-2030]:[2035]])</f>
        <v>225000</v>
      </c>
      <c r="AS237" s="178" t="s">
        <v>1046</v>
      </c>
      <c r="AT237" s="201" t="s">
        <v>1601</v>
      </c>
      <c r="AU237" s="178" t="s">
        <v>1731</v>
      </c>
      <c r="AV237" s="112"/>
      <c r="AW237" s="178" t="s">
        <v>1603</v>
      </c>
      <c r="AZ237" s="178" t="s">
        <v>1711</v>
      </c>
    </row>
    <row r="238" spans="2:52" ht="24.75" customHeight="1" x14ac:dyDescent="0.35">
      <c r="B238" s="179" t="e" cm="1">
        <f t="array" ref="B238">AND(ISTEXT('Consolidado-Eletronorte'!#REF!),SUM('Consolidado-Eletronorte'!#REF!)&gt;0)</f>
        <v>#REF!</v>
      </c>
      <c r="C238" s="162" t="str">
        <f t="shared" ca="1" si="21"/>
        <v>Capex Orcamentário_PE2026_2030_red_35_porcentoR3_consulta.xlsx</v>
      </c>
      <c r="D238" s="163" t="str">
        <f t="shared" si="22"/>
        <v>COO</v>
      </c>
      <c r="E238" s="163" t="str">
        <f t="shared" si="23"/>
        <v>Lucas Martins</v>
      </c>
      <c r="F238" s="164"/>
      <c r="G238" s="164" t="e">
        <f>_xlfn.CONCAT('Consolidado-Eletronorte'!#REF!,"_",ROW('Consolidado-Eletronorte'!#REF!)-ROW('Consolidado-Eletronorte'!$G$18))</f>
        <v>#REF!</v>
      </c>
      <c r="H238" s="165" t="s">
        <v>506</v>
      </c>
      <c r="I238" s="165" t="s">
        <v>135</v>
      </c>
      <c r="J238" s="165" t="s">
        <v>508</v>
      </c>
      <c r="K238" s="165" t="s">
        <v>1039</v>
      </c>
      <c r="L238" s="165" t="s">
        <v>1040</v>
      </c>
      <c r="M238" s="165"/>
      <c r="N238" s="165"/>
      <c r="O238" s="165"/>
      <c r="P238" s="165"/>
      <c r="Q238" s="178" t="s">
        <v>1730</v>
      </c>
      <c r="R238" s="178" t="s">
        <v>1716</v>
      </c>
      <c r="S238" s="178" t="s">
        <v>1054</v>
      </c>
      <c r="T238" s="198" t="s">
        <v>1045</v>
      </c>
      <c r="U238" s="198" t="s">
        <v>1045</v>
      </c>
      <c r="V238" s="198" t="s">
        <v>1045</v>
      </c>
      <c r="W238" s="198" t="s">
        <v>1045</v>
      </c>
      <c r="X238" s="198" t="s">
        <v>1045</v>
      </c>
      <c r="Y238" s="198" t="s">
        <v>1045</v>
      </c>
      <c r="Z238" s="198" t="s">
        <v>1045</v>
      </c>
      <c r="AA238" s="198" t="s">
        <v>1045</v>
      </c>
      <c r="AB238" s="198" t="s">
        <v>1045</v>
      </c>
      <c r="AC238" s="198" t="s">
        <v>1045</v>
      </c>
      <c r="AD238" s="198" t="s">
        <v>1045</v>
      </c>
      <c r="AE238" s="198" t="s">
        <v>1045</v>
      </c>
      <c r="AF238" s="197">
        <f>SUM(Tabela96[[#This Row],[jan/26]:[dez/26]])</f>
        <v>0</v>
      </c>
      <c r="AG238" s="198">
        <v>0</v>
      </c>
      <c r="AH238" s="198">
        <v>0</v>
      </c>
      <c r="AI238" s="198">
        <v>0</v>
      </c>
      <c r="AJ238" s="198">
        <v>0</v>
      </c>
      <c r="AK238" s="198">
        <f>SUM(Tabela96[[#This Row],[2026]:[2030]])</f>
        <v>0</v>
      </c>
      <c r="AL238" s="198">
        <v>225000</v>
      </c>
      <c r="AM238" s="198">
        <v>0</v>
      </c>
      <c r="AN238" s="198">
        <v>0</v>
      </c>
      <c r="AO238" s="198">
        <v>0</v>
      </c>
      <c r="AP238" s="198">
        <v>0</v>
      </c>
      <c r="AQ238" s="202">
        <f>SUM(Tabela96[[#This Row],[2026-2030]:[2035]])</f>
        <v>225000</v>
      </c>
      <c r="AS238" s="178" t="s">
        <v>1046</v>
      </c>
      <c r="AT238" s="201" t="s">
        <v>1601</v>
      </c>
      <c r="AU238" s="178" t="s">
        <v>1732</v>
      </c>
      <c r="AV238" s="112"/>
      <c r="AW238" s="178" t="s">
        <v>1603</v>
      </c>
      <c r="AZ238" s="178" t="s">
        <v>1711</v>
      </c>
    </row>
    <row r="239" spans="2:52" ht="24.75" customHeight="1" x14ac:dyDescent="0.35">
      <c r="B239" s="179" t="e" cm="1">
        <f t="array" ref="B239">AND(ISTEXT('Consolidado-Eletronorte'!#REF!),SUM('Consolidado-Eletronorte'!#REF!)&gt;0)</f>
        <v>#REF!</v>
      </c>
      <c r="C239" s="162" t="str">
        <f t="shared" ca="1" si="21"/>
        <v>Capex Orcamentário_PE2026_2030_red_35_porcentoR3_consulta.xlsx</v>
      </c>
      <c r="D239" s="163" t="str">
        <f t="shared" si="22"/>
        <v>COO</v>
      </c>
      <c r="E239" s="163" t="str">
        <f t="shared" si="23"/>
        <v>Lucas Martins</v>
      </c>
      <c r="F239" s="164"/>
      <c r="G239" s="164" t="e">
        <f>_xlfn.CONCAT('Consolidado-Eletronorte'!#REF!,"_",ROW('Consolidado-Eletronorte'!#REF!)-ROW('Consolidado-Eletronorte'!$G$18))</f>
        <v>#REF!</v>
      </c>
      <c r="H239" s="165" t="s">
        <v>506</v>
      </c>
      <c r="I239" s="165" t="s">
        <v>135</v>
      </c>
      <c r="J239" s="165" t="s">
        <v>508</v>
      </c>
      <c r="K239" s="165" t="s">
        <v>1039</v>
      </c>
      <c r="L239" s="165" t="s">
        <v>1040</v>
      </c>
      <c r="M239" s="165"/>
      <c r="N239" s="165"/>
      <c r="O239" s="165"/>
      <c r="P239" s="165"/>
      <c r="Q239" s="178" t="s">
        <v>1733</v>
      </c>
      <c r="R239" s="178" t="s">
        <v>1714</v>
      </c>
      <c r="S239" s="178" t="s">
        <v>1044</v>
      </c>
      <c r="T239" s="198" t="s">
        <v>1045</v>
      </c>
      <c r="U239" s="198" t="s">
        <v>1045</v>
      </c>
      <c r="V239" s="198" t="s">
        <v>1045</v>
      </c>
      <c r="W239" s="198" t="s">
        <v>1045</v>
      </c>
      <c r="X239" s="198" t="s">
        <v>1045</v>
      </c>
      <c r="Y239" s="198" t="s">
        <v>1045</v>
      </c>
      <c r="Z239" s="198" t="s">
        <v>1045</v>
      </c>
      <c r="AA239" s="198" t="s">
        <v>1045</v>
      </c>
      <c r="AB239" s="198" t="s">
        <v>1045</v>
      </c>
      <c r="AC239" s="198" t="s">
        <v>1045</v>
      </c>
      <c r="AD239" s="198" t="s">
        <v>1045</v>
      </c>
      <c r="AE239" s="198" t="s">
        <v>1045</v>
      </c>
      <c r="AF239" s="197">
        <f>SUM(Tabela96[[#This Row],[jan/26]:[dez/26]])</f>
        <v>0</v>
      </c>
      <c r="AG239" s="198">
        <v>0</v>
      </c>
      <c r="AH239" s="198">
        <v>0</v>
      </c>
      <c r="AI239" s="198">
        <v>0</v>
      </c>
      <c r="AJ239" s="198">
        <v>0</v>
      </c>
      <c r="AK239" s="198">
        <f>SUM(Tabela96[[#This Row],[2026]:[2030]])</f>
        <v>0</v>
      </c>
      <c r="AL239" s="198">
        <v>225000</v>
      </c>
      <c r="AM239" s="198">
        <v>0</v>
      </c>
      <c r="AN239" s="198">
        <v>0</v>
      </c>
      <c r="AO239" s="198">
        <v>0</v>
      </c>
      <c r="AP239" s="198">
        <v>0</v>
      </c>
      <c r="AQ239" s="202">
        <f>SUM(Tabela96[[#This Row],[2026-2030]:[2035]])</f>
        <v>225000</v>
      </c>
      <c r="AS239" s="178" t="s">
        <v>1046</v>
      </c>
      <c r="AT239" s="201" t="s">
        <v>1601</v>
      </c>
      <c r="AU239" s="178" t="s">
        <v>1734</v>
      </c>
      <c r="AV239" s="112"/>
      <c r="AW239" s="178" t="s">
        <v>1603</v>
      </c>
      <c r="AZ239" s="178" t="s">
        <v>1711</v>
      </c>
    </row>
    <row r="240" spans="2:52" ht="24.75" customHeight="1" x14ac:dyDescent="0.35">
      <c r="B240" s="179" t="e" cm="1">
        <f t="array" ref="B240">AND(ISTEXT('Consolidado-Eletronorte'!#REF!),SUM('Consolidado-Eletronorte'!#REF!)&gt;0)</f>
        <v>#REF!</v>
      </c>
      <c r="C240" s="162" t="str">
        <f t="shared" ca="1" si="21"/>
        <v>Capex Orcamentário_PE2026_2030_red_35_porcentoR3_consulta.xlsx</v>
      </c>
      <c r="D240" s="163" t="str">
        <f t="shared" si="22"/>
        <v>COO</v>
      </c>
      <c r="E240" s="163" t="str">
        <f t="shared" si="23"/>
        <v>Lucas Martins</v>
      </c>
      <c r="F240" s="164"/>
      <c r="G240" s="164" t="e">
        <f>_xlfn.CONCAT('Consolidado-Eletronorte'!#REF!,"_",ROW('Consolidado-Eletronorte'!#REF!)-ROW('Consolidado-Eletronorte'!$G$18))</f>
        <v>#REF!</v>
      </c>
      <c r="H240" s="165" t="s">
        <v>506</v>
      </c>
      <c r="I240" s="165" t="s">
        <v>135</v>
      </c>
      <c r="J240" s="165" t="s">
        <v>508</v>
      </c>
      <c r="K240" s="165" t="s">
        <v>1039</v>
      </c>
      <c r="L240" s="165" t="s">
        <v>1040</v>
      </c>
      <c r="M240" s="165"/>
      <c r="N240" s="165"/>
      <c r="O240" s="165"/>
      <c r="P240" s="165"/>
      <c r="Q240" s="178" t="s">
        <v>1733</v>
      </c>
      <c r="R240" s="178" t="s">
        <v>1716</v>
      </c>
      <c r="S240" s="178" t="s">
        <v>1044</v>
      </c>
      <c r="T240" s="198" t="s">
        <v>1045</v>
      </c>
      <c r="U240" s="198" t="s">
        <v>1045</v>
      </c>
      <c r="V240" s="198" t="s">
        <v>1045</v>
      </c>
      <c r="W240" s="198" t="s">
        <v>1045</v>
      </c>
      <c r="X240" s="198" t="s">
        <v>1045</v>
      </c>
      <c r="Y240" s="198" t="s">
        <v>1045</v>
      </c>
      <c r="Z240" s="198" t="s">
        <v>1045</v>
      </c>
      <c r="AA240" s="198" t="s">
        <v>1045</v>
      </c>
      <c r="AB240" s="198" t="s">
        <v>1045</v>
      </c>
      <c r="AC240" s="198" t="s">
        <v>1045</v>
      </c>
      <c r="AD240" s="198" t="s">
        <v>1045</v>
      </c>
      <c r="AE240" s="198" t="s">
        <v>1045</v>
      </c>
      <c r="AF240" s="197">
        <f>SUM(Tabela96[[#This Row],[jan/26]:[dez/26]])</f>
        <v>0</v>
      </c>
      <c r="AG240" s="198">
        <v>0</v>
      </c>
      <c r="AH240" s="198">
        <v>0</v>
      </c>
      <c r="AI240" s="198">
        <v>0</v>
      </c>
      <c r="AJ240" s="198">
        <v>0</v>
      </c>
      <c r="AK240" s="198">
        <f>SUM(Tabela96[[#This Row],[2026]:[2030]])</f>
        <v>0</v>
      </c>
      <c r="AL240" s="198">
        <v>225000</v>
      </c>
      <c r="AM240" s="198">
        <v>0</v>
      </c>
      <c r="AN240" s="198">
        <v>0</v>
      </c>
      <c r="AO240" s="198">
        <v>0</v>
      </c>
      <c r="AP240" s="198">
        <v>0</v>
      </c>
      <c r="AQ240" s="202">
        <f>SUM(Tabela96[[#This Row],[2026-2030]:[2035]])</f>
        <v>225000</v>
      </c>
      <c r="AS240" s="178" t="s">
        <v>1046</v>
      </c>
      <c r="AT240" s="201" t="s">
        <v>1601</v>
      </c>
      <c r="AU240" s="178" t="s">
        <v>1735</v>
      </c>
      <c r="AV240" s="112"/>
      <c r="AW240" s="178" t="s">
        <v>1603</v>
      </c>
      <c r="AZ240" s="178" t="s">
        <v>1711</v>
      </c>
    </row>
    <row r="241" spans="2:52" ht="24.75" customHeight="1" x14ac:dyDescent="0.35">
      <c r="B241" s="179" t="e" cm="1">
        <f t="array" ref="B241">AND(ISTEXT('Consolidado-Eletronorte'!#REF!),SUM('Consolidado-Eletronorte'!#REF!)&gt;0)</f>
        <v>#REF!</v>
      </c>
      <c r="C241" s="162" t="str">
        <f t="shared" ca="1" si="21"/>
        <v>Capex Orcamentário_PE2026_2030_red_35_porcentoR3_consulta.xlsx</v>
      </c>
      <c r="D241" s="163" t="str">
        <f t="shared" si="22"/>
        <v>COO</v>
      </c>
      <c r="E241" s="163" t="str">
        <f t="shared" si="23"/>
        <v>Lucas Martins</v>
      </c>
      <c r="F241" s="164"/>
      <c r="G241" s="164" t="e">
        <f>_xlfn.CONCAT('Consolidado-Eletronorte'!#REF!,"_",ROW('Consolidado-Eletronorte'!#REF!)-ROW('Consolidado-Eletronorte'!$G$18))</f>
        <v>#REF!</v>
      </c>
      <c r="H241" s="165" t="s">
        <v>506</v>
      </c>
      <c r="I241" s="165" t="s">
        <v>135</v>
      </c>
      <c r="J241" s="165" t="s">
        <v>508</v>
      </c>
      <c r="K241" s="165" t="s">
        <v>1039</v>
      </c>
      <c r="L241" s="165" t="s">
        <v>1040</v>
      </c>
      <c r="M241" s="165"/>
      <c r="N241" s="165"/>
      <c r="O241" s="165"/>
      <c r="P241" s="165"/>
      <c r="Q241" s="178" t="s">
        <v>1736</v>
      </c>
      <c r="R241" s="178" t="s">
        <v>1737</v>
      </c>
      <c r="S241" s="178" t="s">
        <v>1738</v>
      </c>
      <c r="T241" s="198" t="s">
        <v>1045</v>
      </c>
      <c r="U241" s="198" t="s">
        <v>1045</v>
      </c>
      <c r="V241" s="198" t="s">
        <v>1045</v>
      </c>
      <c r="W241" s="198" t="s">
        <v>1045</v>
      </c>
      <c r="X241" s="198" t="s">
        <v>1045</v>
      </c>
      <c r="Y241" s="198" t="s">
        <v>1045</v>
      </c>
      <c r="Z241" s="198" t="s">
        <v>1045</v>
      </c>
      <c r="AA241" s="198" t="s">
        <v>1045</v>
      </c>
      <c r="AB241" s="198" t="s">
        <v>1045</v>
      </c>
      <c r="AC241" s="198" t="s">
        <v>1045</v>
      </c>
      <c r="AD241" s="198" t="s">
        <v>1045</v>
      </c>
      <c r="AE241" s="198" t="s">
        <v>1045</v>
      </c>
      <c r="AF241" s="197">
        <f>SUM(Tabela96[[#This Row],[jan/26]:[dez/26]])</f>
        <v>0</v>
      </c>
      <c r="AG241" s="198">
        <v>0</v>
      </c>
      <c r="AH241" s="198">
        <v>0</v>
      </c>
      <c r="AI241" s="198">
        <v>0</v>
      </c>
      <c r="AJ241" s="198">
        <v>0</v>
      </c>
      <c r="AK241" s="198">
        <f>SUM(Tabela96[[#This Row],[2026]:[2030]])</f>
        <v>0</v>
      </c>
      <c r="AL241" s="198">
        <v>0</v>
      </c>
      <c r="AM241" s="198">
        <v>0</v>
      </c>
      <c r="AN241" s="198">
        <v>0</v>
      </c>
      <c r="AO241" s="198">
        <v>0</v>
      </c>
      <c r="AP241" s="198">
        <v>100000</v>
      </c>
      <c r="AQ241" s="202">
        <f>SUM(Tabela96[[#This Row],[2026-2030]:[2035]])</f>
        <v>100000</v>
      </c>
      <c r="AS241" s="178" t="s">
        <v>1046</v>
      </c>
      <c r="AT241" s="201" t="s">
        <v>1601</v>
      </c>
      <c r="AU241" s="178" t="s">
        <v>1739</v>
      </c>
      <c r="AV241" s="112"/>
      <c r="AW241" s="178" t="s">
        <v>1603</v>
      </c>
      <c r="AZ241" s="178" t="s">
        <v>1711</v>
      </c>
    </row>
    <row r="242" spans="2:52" ht="24.75" customHeight="1" x14ac:dyDescent="0.35">
      <c r="B242" s="179" t="e" cm="1">
        <f t="array" ref="B242">AND(ISTEXT('Consolidado-Eletronorte'!#REF!),SUM('Consolidado-Eletronorte'!#REF!)&gt;0)</f>
        <v>#REF!</v>
      </c>
      <c r="C242" s="162" t="str">
        <f t="shared" ca="1" si="21"/>
        <v>Capex Orcamentário_PE2026_2030_red_35_porcentoR3_consulta.xlsx</v>
      </c>
      <c r="D242" s="163" t="str">
        <f t="shared" si="22"/>
        <v>COO</v>
      </c>
      <c r="E242" s="163" t="str">
        <f t="shared" si="23"/>
        <v>Lucas Martins</v>
      </c>
      <c r="F242" s="164"/>
      <c r="G242" s="164" t="e">
        <f>_xlfn.CONCAT('Consolidado-Eletronorte'!#REF!,"_",ROW('Consolidado-Eletronorte'!#REF!)-ROW('Consolidado-Eletronorte'!$G$18))</f>
        <v>#REF!</v>
      </c>
      <c r="H242" s="165" t="s">
        <v>506</v>
      </c>
      <c r="I242" s="165" t="s">
        <v>135</v>
      </c>
      <c r="J242" s="165" t="s">
        <v>508</v>
      </c>
      <c r="K242" s="165" t="s">
        <v>1039</v>
      </c>
      <c r="L242" s="165" t="s">
        <v>1040</v>
      </c>
      <c r="M242" s="165"/>
      <c r="N242" s="165"/>
      <c r="O242" s="165"/>
      <c r="P242" s="165"/>
      <c r="Q242" s="178" t="s">
        <v>1736</v>
      </c>
      <c r="R242" s="178" t="s">
        <v>1737</v>
      </c>
      <c r="S242" s="178" t="s">
        <v>1738</v>
      </c>
      <c r="T242" s="198" t="s">
        <v>1045</v>
      </c>
      <c r="U242" s="198" t="s">
        <v>1045</v>
      </c>
      <c r="V242" s="198" t="s">
        <v>1045</v>
      </c>
      <c r="W242" s="198" t="s">
        <v>1045</v>
      </c>
      <c r="X242" s="198" t="s">
        <v>1045</v>
      </c>
      <c r="Y242" s="198" t="s">
        <v>1045</v>
      </c>
      <c r="Z242" s="198" t="s">
        <v>1045</v>
      </c>
      <c r="AA242" s="198" t="s">
        <v>1045</v>
      </c>
      <c r="AB242" s="198" t="s">
        <v>1045</v>
      </c>
      <c r="AC242" s="198" t="s">
        <v>1045</v>
      </c>
      <c r="AD242" s="198" t="s">
        <v>1045</v>
      </c>
      <c r="AE242" s="198" t="s">
        <v>1045</v>
      </c>
      <c r="AF242" s="197">
        <f>SUM(Tabela96[[#This Row],[jan/26]:[dez/26]])</f>
        <v>0</v>
      </c>
      <c r="AG242" s="198">
        <v>0</v>
      </c>
      <c r="AH242" s="198">
        <v>0</v>
      </c>
      <c r="AI242" s="198">
        <v>0</v>
      </c>
      <c r="AJ242" s="198">
        <v>0</v>
      </c>
      <c r="AK242" s="198">
        <f>SUM(Tabela96[[#This Row],[2026]:[2030]])</f>
        <v>0</v>
      </c>
      <c r="AL242" s="198">
        <v>0</v>
      </c>
      <c r="AM242" s="198">
        <v>0</v>
      </c>
      <c r="AN242" s="198">
        <v>0</v>
      </c>
      <c r="AO242" s="198">
        <v>0</v>
      </c>
      <c r="AP242" s="198">
        <v>100000</v>
      </c>
      <c r="AQ242" s="202">
        <f>SUM(Tabela96[[#This Row],[2026-2030]:[2035]])</f>
        <v>100000</v>
      </c>
      <c r="AS242" s="178" t="s">
        <v>1046</v>
      </c>
      <c r="AT242" s="201" t="s">
        <v>1601</v>
      </c>
      <c r="AU242" s="178" t="s">
        <v>1740</v>
      </c>
      <c r="AV242" s="112"/>
      <c r="AW242" s="178" t="s">
        <v>1603</v>
      </c>
      <c r="AZ242" s="178" t="s">
        <v>1711</v>
      </c>
    </row>
    <row r="243" spans="2:52" ht="24.75" customHeight="1" x14ac:dyDescent="0.35">
      <c r="B243" s="179" t="e" cm="1">
        <f t="array" ref="B243">AND(ISTEXT('Consolidado-Eletronorte'!#REF!),SUM('Consolidado-Eletronorte'!#REF!)&gt;0)</f>
        <v>#REF!</v>
      </c>
      <c r="C243" s="162" t="str">
        <f t="shared" ref="C243:C252" ca="1" si="24">$J$3</f>
        <v>Capex Orcamentário_PE2026_2030_red_35_porcentoR3_consulta.xlsx</v>
      </c>
      <c r="D243" s="163" t="str">
        <f t="shared" ref="D243:D252" si="25">$H$3</f>
        <v>COO</v>
      </c>
      <c r="E243" s="163" t="str">
        <f t="shared" ref="E243:E252" si="26">$H$4</f>
        <v>Lucas Martins</v>
      </c>
      <c r="F243" s="164"/>
      <c r="G243" s="164" t="e">
        <f>_xlfn.CONCAT('Consolidado-Eletronorte'!#REF!,"_",ROW('Consolidado-Eletronorte'!#REF!)-ROW('Consolidado-Eletronorte'!$G$18))</f>
        <v>#REF!</v>
      </c>
      <c r="H243" s="165" t="s">
        <v>506</v>
      </c>
      <c r="I243" s="165" t="s">
        <v>135</v>
      </c>
      <c r="J243" s="165" t="s">
        <v>508</v>
      </c>
      <c r="K243" s="165" t="s">
        <v>1741</v>
      </c>
      <c r="L243" s="165" t="s">
        <v>1741</v>
      </c>
      <c r="M243" s="165"/>
      <c r="N243" s="165"/>
      <c r="O243" s="165"/>
      <c r="P243" s="165"/>
      <c r="Q243" t="s">
        <v>1742</v>
      </c>
      <c r="R243" t="s">
        <v>1743</v>
      </c>
      <c r="S243" s="178" t="s">
        <v>1034</v>
      </c>
      <c r="T243" s="262"/>
      <c r="U243" s="199"/>
      <c r="V243" s="199"/>
      <c r="W243" s="199"/>
      <c r="X243" s="199"/>
      <c r="Y243" s="199">
        <v>200000</v>
      </c>
      <c r="Z243" s="199">
        <v>400000</v>
      </c>
      <c r="AA243" s="199">
        <v>400000</v>
      </c>
      <c r="AB243" s="199">
        <v>200000</v>
      </c>
      <c r="AC243" s="199"/>
      <c r="AD243" s="199"/>
      <c r="AE243" s="199"/>
      <c r="AF243" s="197">
        <f>SUM(Tabela96[[#This Row],[jan/26]:[dez/26]])</f>
        <v>1200000</v>
      </c>
      <c r="AG243" s="199"/>
      <c r="AH243" s="198">
        <v>0</v>
      </c>
      <c r="AI243" s="198">
        <v>0</v>
      </c>
      <c r="AJ243" s="198">
        <v>0</v>
      </c>
      <c r="AK243" s="198">
        <f>SUM(Tabela96[[#This Row],[2026]:[2030]])</f>
        <v>1200000</v>
      </c>
      <c r="AL243" s="198">
        <v>0</v>
      </c>
      <c r="AM243" s="200"/>
      <c r="AN243" s="198">
        <v>0</v>
      </c>
      <c r="AO243" s="198">
        <v>0</v>
      </c>
      <c r="AP243" s="200"/>
      <c r="AQ243" s="202">
        <f>SUM(Tabela96[[#This Row],[2026-2030]:[2035]])</f>
        <v>1200000</v>
      </c>
      <c r="AS243" s="178" t="s">
        <v>1744</v>
      </c>
      <c r="AT243" s="201">
        <v>2025</v>
      </c>
      <c r="AU243" t="s">
        <v>1745</v>
      </c>
      <c r="AV243" s="112"/>
      <c r="AW243" t="s">
        <v>517</v>
      </c>
      <c r="AZ243" t="s">
        <v>1746</v>
      </c>
    </row>
    <row r="244" spans="2:52" ht="24.75" customHeight="1" x14ac:dyDescent="0.35">
      <c r="B244" s="179" t="e" cm="1">
        <f t="array" ref="B244">AND(ISTEXT('Consolidado-Eletronorte'!#REF!),SUM('Consolidado-Eletronorte'!#REF!)&gt;0)</f>
        <v>#REF!</v>
      </c>
      <c r="C244" s="162" t="str">
        <f t="shared" ca="1" si="24"/>
        <v>Capex Orcamentário_PE2026_2030_red_35_porcentoR3_consulta.xlsx</v>
      </c>
      <c r="D244" s="163" t="str">
        <f t="shared" si="25"/>
        <v>COO</v>
      </c>
      <c r="E244" s="163" t="str">
        <f t="shared" si="26"/>
        <v>Lucas Martins</v>
      </c>
      <c r="F244" s="164"/>
      <c r="G244" s="164" t="e">
        <f>_xlfn.CONCAT('Consolidado-Eletronorte'!#REF!,"_",ROW('Consolidado-Eletronorte'!#REF!)-ROW('Consolidado-Eletronorte'!$G$18))</f>
        <v>#REF!</v>
      </c>
      <c r="H244" s="165" t="s">
        <v>506</v>
      </c>
      <c r="I244" s="165" t="s">
        <v>135</v>
      </c>
      <c r="J244" s="165" t="s">
        <v>508</v>
      </c>
      <c r="K244" s="165" t="s">
        <v>1741</v>
      </c>
      <c r="L244" s="165" t="s">
        <v>1741</v>
      </c>
      <c r="M244" s="165"/>
      <c r="N244" s="165"/>
      <c r="O244" s="165"/>
      <c r="P244" s="165"/>
      <c r="Q244" t="s">
        <v>1742</v>
      </c>
      <c r="R244" t="s">
        <v>1747</v>
      </c>
      <c r="S244" s="165" t="s">
        <v>1034</v>
      </c>
      <c r="T244" s="262"/>
      <c r="U244" s="199"/>
      <c r="V244" s="199"/>
      <c r="W244" s="199"/>
      <c r="X244" s="199"/>
      <c r="Y244" s="199"/>
      <c r="Z244" s="199"/>
      <c r="AA244" s="199"/>
      <c r="AB244" s="199">
        <v>100000</v>
      </c>
      <c r="AC244" s="199"/>
      <c r="AD244" s="199"/>
      <c r="AE244" s="199"/>
      <c r="AF244" s="197">
        <f>SUM(Tabela96[[#This Row],[jan/26]:[dez/26]])</f>
        <v>100000</v>
      </c>
      <c r="AG244" s="199"/>
      <c r="AH244" s="198">
        <v>0</v>
      </c>
      <c r="AI244" s="198">
        <v>0</v>
      </c>
      <c r="AJ244" s="198">
        <v>0</v>
      </c>
      <c r="AK244" s="198">
        <f>SUM(Tabela96[[#This Row],[2026]:[2030]])</f>
        <v>100000</v>
      </c>
      <c r="AL244" s="198">
        <v>0</v>
      </c>
      <c r="AM244" s="198">
        <v>0</v>
      </c>
      <c r="AN244" s="198">
        <v>0</v>
      </c>
      <c r="AO244" s="198">
        <v>0</v>
      </c>
      <c r="AP244" s="200"/>
      <c r="AQ244" s="202">
        <f>SUM(Tabela96[[#This Row],[2026-2030]:[2035]])</f>
        <v>100000</v>
      </c>
      <c r="AS244" s="178" t="s">
        <v>1744</v>
      </c>
      <c r="AT244" s="201">
        <v>2025</v>
      </c>
      <c r="AU244" t="s">
        <v>1748</v>
      </c>
      <c r="AV244" s="112"/>
      <c r="AW244" t="s">
        <v>517</v>
      </c>
      <c r="AZ244" t="s">
        <v>1746</v>
      </c>
    </row>
    <row r="245" spans="2:52" ht="24.75" customHeight="1" x14ac:dyDescent="0.35">
      <c r="B245" s="179" t="e" cm="1">
        <f t="array" ref="B245">AND(ISTEXT('Consolidado-Eletronorte'!#REF!),SUM('Consolidado-Eletronorte'!#REF!)&gt;0)</f>
        <v>#REF!</v>
      </c>
      <c r="C245" s="162" t="str">
        <f t="shared" ca="1" si="24"/>
        <v>Capex Orcamentário_PE2026_2030_red_35_porcentoR3_consulta.xlsx</v>
      </c>
      <c r="D245" s="163" t="str">
        <f t="shared" si="25"/>
        <v>COO</v>
      </c>
      <c r="E245" s="163" t="str">
        <f t="shared" si="26"/>
        <v>Lucas Martins</v>
      </c>
      <c r="F245" s="164"/>
      <c r="G245" s="164" t="e">
        <f>_xlfn.CONCAT('Consolidado-Eletronorte'!#REF!,"_",ROW('Consolidado-Eletronorte'!#REF!)-ROW('Consolidado-Eletronorte'!$G$18))</f>
        <v>#REF!</v>
      </c>
      <c r="H245" s="165" t="s">
        <v>506</v>
      </c>
      <c r="I245" s="165" t="s">
        <v>135</v>
      </c>
      <c r="J245" s="165" t="s">
        <v>508</v>
      </c>
      <c r="K245" s="165" t="s">
        <v>1741</v>
      </c>
      <c r="L245" s="165" t="s">
        <v>1741</v>
      </c>
      <c r="M245" s="165"/>
      <c r="N245" s="165"/>
      <c r="O245" s="165"/>
      <c r="P245" s="165"/>
      <c r="Q245" t="s">
        <v>1749</v>
      </c>
      <c r="R245" t="s">
        <v>1750</v>
      </c>
      <c r="S245" t="s">
        <v>1054</v>
      </c>
      <c r="T245" s="262"/>
      <c r="U245" s="199"/>
      <c r="V245" s="199"/>
      <c r="W245" s="199"/>
      <c r="X245" s="199"/>
      <c r="Y245" s="199"/>
      <c r="Z245" s="199"/>
      <c r="AA245" s="199"/>
      <c r="AB245" s="199"/>
      <c r="AC245" s="199">
        <v>200000</v>
      </c>
      <c r="AD245" s="199">
        <v>200000</v>
      </c>
      <c r="AE245" s="199">
        <v>100000</v>
      </c>
      <c r="AF245" s="197">
        <f>SUM(Tabela96[[#This Row],[jan/26]:[dez/26]])</f>
        <v>500000</v>
      </c>
      <c r="AG245" s="199"/>
      <c r="AH245" s="198">
        <v>0</v>
      </c>
      <c r="AI245" s="198">
        <v>0</v>
      </c>
      <c r="AJ245" s="198">
        <v>0</v>
      </c>
      <c r="AK245" s="198">
        <f>SUM(Tabela96[[#This Row],[2026]:[2030]])</f>
        <v>500000</v>
      </c>
      <c r="AL245" s="198">
        <v>0</v>
      </c>
      <c r="AM245" s="198">
        <v>0</v>
      </c>
      <c r="AN245" s="200"/>
      <c r="AO245" s="200"/>
      <c r="AP245" s="200"/>
      <c r="AQ245" s="202">
        <f>SUM(Tabela96[[#This Row],[2026-2030]:[2035]])</f>
        <v>500000</v>
      </c>
      <c r="AS245" s="178" t="s">
        <v>1744</v>
      </c>
      <c r="AT245" s="201" t="s">
        <v>1601</v>
      </c>
      <c r="AU245"/>
      <c r="AV245" s="112"/>
      <c r="AW245" t="s">
        <v>1603</v>
      </c>
      <c r="AZ245" t="s">
        <v>1746</v>
      </c>
    </row>
    <row r="246" spans="2:52" ht="24.75" customHeight="1" x14ac:dyDescent="0.35">
      <c r="B246" s="179" t="e" cm="1">
        <f t="array" ref="B246">AND(ISTEXT('Consolidado-Eletronorte'!#REF!),SUM('Consolidado-Eletronorte'!#REF!)&gt;0)</f>
        <v>#REF!</v>
      </c>
      <c r="C246" s="162" t="str">
        <f ca="1">$J$3</f>
        <v>Capex Orcamentário_PE2026_2030_red_35_porcentoR3_consulta.xlsx</v>
      </c>
      <c r="D246" s="163" t="str">
        <f>$H$3</f>
        <v>COO</v>
      </c>
      <c r="E246" s="163" t="str">
        <f>$H$4</f>
        <v>Lucas Martins</v>
      </c>
      <c r="F246" s="164"/>
      <c r="G246" s="164" t="e">
        <f>_xlfn.CONCAT('Consolidado-Eletronorte'!#REF!,"_",ROW('Consolidado-Eletronorte'!#REF!)-ROW('Consolidado-Eletronorte'!$G$18))</f>
        <v>#REF!</v>
      </c>
      <c r="H246" s="165" t="s">
        <v>506</v>
      </c>
      <c r="I246" s="165" t="s">
        <v>135</v>
      </c>
      <c r="J246" s="165" t="s">
        <v>508</v>
      </c>
      <c r="K246" s="165" t="s">
        <v>1741</v>
      </c>
      <c r="L246" s="165" t="s">
        <v>1741</v>
      </c>
      <c r="M246" s="165"/>
      <c r="N246" s="165"/>
      <c r="O246" s="165"/>
      <c r="P246" s="165"/>
      <c r="Q246" t="s">
        <v>1751</v>
      </c>
      <c r="R246" s="112" t="s">
        <v>1752</v>
      </c>
      <c r="S246" s="165" t="s">
        <v>1034</v>
      </c>
      <c r="T246" s="262"/>
      <c r="U246" s="199"/>
      <c r="V246" s="199"/>
      <c r="W246" s="199"/>
      <c r="X246" s="199"/>
      <c r="Y246" s="199"/>
      <c r="Z246" s="199"/>
      <c r="AA246" s="199"/>
      <c r="AB246" s="199"/>
      <c r="AC246" s="199"/>
      <c r="AD246" s="199"/>
      <c r="AE246" s="199"/>
      <c r="AF246" s="197">
        <f>SUM(Tabela96[[#This Row],[jan/26]:[dez/26]])</f>
        <v>0</v>
      </c>
      <c r="AG246" s="230">
        <v>1600000</v>
      </c>
      <c r="AH246" s="198"/>
      <c r="AI246" s="198"/>
      <c r="AJ246" s="198"/>
      <c r="AK246" s="198">
        <f>SUM(Tabela96[[#This Row],[2026]:[2030]])</f>
        <v>1600000</v>
      </c>
      <c r="AL246" s="198"/>
      <c r="AM246" s="198"/>
      <c r="AN246" s="200"/>
      <c r="AO246" s="200"/>
      <c r="AP246" s="200"/>
      <c r="AQ246" s="202">
        <f>SUM(Tabela96[[#This Row],[2026-2030]:[2035]])</f>
        <v>1600000</v>
      </c>
      <c r="AS246" s="178" t="s">
        <v>1744</v>
      </c>
      <c r="AT246" s="201" t="s">
        <v>1601</v>
      </c>
      <c r="AU246" s="112" t="s">
        <v>1753</v>
      </c>
      <c r="AV246" s="112"/>
      <c r="AW246" t="s">
        <v>1603</v>
      </c>
      <c r="AZ246" t="s">
        <v>1746</v>
      </c>
    </row>
    <row r="247" spans="2:52" ht="24.75" customHeight="1" x14ac:dyDescent="0.35">
      <c r="B247" s="179" t="e" cm="1">
        <f t="array" ref="B247">AND(ISTEXT('Consolidado-Eletronorte'!#REF!),SUM('Consolidado-Eletronorte'!#REF!)&gt;0)</f>
        <v>#REF!</v>
      </c>
      <c r="C247" s="162" t="str">
        <f t="shared" ca="1" si="24"/>
        <v>Capex Orcamentário_PE2026_2030_red_35_porcentoR3_consulta.xlsx</v>
      </c>
      <c r="D247" s="163" t="str">
        <f t="shared" si="25"/>
        <v>COO</v>
      </c>
      <c r="E247" s="163" t="str">
        <f t="shared" si="26"/>
        <v>Lucas Martins</v>
      </c>
      <c r="F247" s="164"/>
      <c r="G247" s="164" t="e">
        <f>_xlfn.CONCAT('Consolidado-Eletronorte'!#REF!,"_",ROW('Consolidado-Eletronorte'!#REF!)-ROW('Consolidado-Eletronorte'!$G$18))</f>
        <v>#REF!</v>
      </c>
      <c r="H247" s="165" t="s">
        <v>506</v>
      </c>
      <c r="I247" s="165" t="s">
        <v>135</v>
      </c>
      <c r="J247" s="165" t="s">
        <v>508</v>
      </c>
      <c r="K247" s="165" t="s">
        <v>1039</v>
      </c>
      <c r="L247" s="165" t="s">
        <v>1040</v>
      </c>
      <c r="M247" s="165"/>
      <c r="N247" s="165"/>
      <c r="O247" s="165"/>
      <c r="P247" s="165"/>
      <c r="Q247" t="s">
        <v>1754</v>
      </c>
      <c r="R247" t="s">
        <v>1755</v>
      </c>
      <c r="S247" t="s">
        <v>1756</v>
      </c>
      <c r="T247" s="262"/>
      <c r="U247" s="199"/>
      <c r="V247" s="199"/>
      <c r="W247" s="199"/>
      <c r="X247" s="199"/>
      <c r="Y247" s="199"/>
      <c r="Z247" s="199"/>
      <c r="AA247" s="199"/>
      <c r="AB247" s="199"/>
      <c r="AC247" s="199">
        <v>50000</v>
      </c>
      <c r="AD247" s="199"/>
      <c r="AE247" s="199"/>
      <c r="AF247" s="197">
        <f>SUM(Tabela96[[#This Row],[jan/26]:[dez/26]])</f>
        <v>50000</v>
      </c>
      <c r="AG247" s="199">
        <v>50000</v>
      </c>
      <c r="AH247" s="198">
        <v>0</v>
      </c>
      <c r="AI247" s="198">
        <v>0</v>
      </c>
      <c r="AJ247" s="198">
        <v>0</v>
      </c>
      <c r="AK247" s="198">
        <f>SUM(Tabela96[[#This Row],[2026]:[2030]])</f>
        <v>100000</v>
      </c>
      <c r="AL247" s="198">
        <v>0</v>
      </c>
      <c r="AM247" s="198">
        <v>0</v>
      </c>
      <c r="AN247" s="198">
        <v>0</v>
      </c>
      <c r="AO247" s="198">
        <v>0</v>
      </c>
      <c r="AP247" s="200"/>
      <c r="AQ247" s="202">
        <f>SUM(Tabela96[[#This Row],[2026-2030]:[2035]])</f>
        <v>100000</v>
      </c>
      <c r="AS247" s="178" t="s">
        <v>1744</v>
      </c>
      <c r="AT247" s="201" t="s">
        <v>1601</v>
      </c>
      <c r="AU247"/>
      <c r="AV247" s="112"/>
      <c r="AW247" t="s">
        <v>1603</v>
      </c>
      <c r="AZ247" t="s">
        <v>1746</v>
      </c>
    </row>
    <row r="248" spans="2:52" ht="24.75" customHeight="1" x14ac:dyDescent="0.35">
      <c r="B248" s="179" t="e" cm="1">
        <f t="array" ref="B248">AND(ISTEXT('Consolidado-Eletronorte'!#REF!),SUM('Consolidado-Eletronorte'!#REF!)&gt;0)</f>
        <v>#REF!</v>
      </c>
      <c r="C248" s="162" t="str">
        <f t="shared" ca="1" si="24"/>
        <v>Capex Orcamentário_PE2026_2030_red_35_porcentoR3_consulta.xlsx</v>
      </c>
      <c r="D248" s="163" t="str">
        <f t="shared" si="25"/>
        <v>COO</v>
      </c>
      <c r="E248" s="163" t="str">
        <f t="shared" si="26"/>
        <v>Lucas Martins</v>
      </c>
      <c r="F248" s="164"/>
      <c r="G248" s="164" t="e">
        <f>_xlfn.CONCAT('Consolidado-Eletronorte'!#REF!,"_",ROW('Consolidado-Eletronorte'!#REF!)-ROW('Consolidado-Eletronorte'!$G$18))</f>
        <v>#REF!</v>
      </c>
      <c r="H248" s="165" t="s">
        <v>506</v>
      </c>
      <c r="I248" s="165" t="s">
        <v>135</v>
      </c>
      <c r="J248" s="165" t="s">
        <v>508</v>
      </c>
      <c r="K248" s="165" t="s">
        <v>1039</v>
      </c>
      <c r="L248" s="165" t="s">
        <v>1040</v>
      </c>
      <c r="M248" s="165"/>
      <c r="N248" s="165"/>
      <c r="O248" s="165"/>
      <c r="P248" s="165"/>
      <c r="Q248" t="s">
        <v>1754</v>
      </c>
      <c r="R248" t="s">
        <v>1755</v>
      </c>
      <c r="S248" t="s">
        <v>1757</v>
      </c>
      <c r="T248" s="262"/>
      <c r="U248" s="199"/>
      <c r="V248" s="199"/>
      <c r="W248" s="199"/>
      <c r="X248" s="199"/>
      <c r="Y248" s="199"/>
      <c r="Z248" s="199"/>
      <c r="AA248" s="199"/>
      <c r="AB248" s="199"/>
      <c r="AC248" s="199">
        <v>50000</v>
      </c>
      <c r="AD248" s="199">
        <v>100000</v>
      </c>
      <c r="AE248" s="199"/>
      <c r="AF248" s="197">
        <f>SUM(Tabela96[[#This Row],[jan/26]:[dez/26]])</f>
        <v>150000</v>
      </c>
      <c r="AG248" s="199">
        <v>150000</v>
      </c>
      <c r="AH248" s="198">
        <v>0</v>
      </c>
      <c r="AI248" s="198">
        <v>0</v>
      </c>
      <c r="AJ248" s="198">
        <v>0</v>
      </c>
      <c r="AK248" s="198">
        <f>SUM(Tabela96[[#This Row],[2026]:[2030]])</f>
        <v>300000</v>
      </c>
      <c r="AL248" s="198">
        <v>0</v>
      </c>
      <c r="AM248" s="198">
        <v>0</v>
      </c>
      <c r="AN248" s="200"/>
      <c r="AO248" s="200"/>
      <c r="AP248" s="200"/>
      <c r="AQ248" s="202">
        <f>SUM(Tabela96[[#This Row],[2026-2030]:[2035]])</f>
        <v>300000</v>
      </c>
      <c r="AS248" s="178" t="s">
        <v>1744</v>
      </c>
      <c r="AT248" s="201" t="s">
        <v>1601</v>
      </c>
      <c r="AU248"/>
      <c r="AV248" s="112"/>
      <c r="AW248" t="s">
        <v>1603</v>
      </c>
      <c r="AZ248" t="s">
        <v>1746</v>
      </c>
    </row>
    <row r="249" spans="2:52" ht="24.75" customHeight="1" x14ac:dyDescent="0.35">
      <c r="B249" s="179" t="e" cm="1">
        <f t="array" ref="B249">AND(ISTEXT('Consolidado-Eletronorte'!#REF!),SUM('Consolidado-Eletronorte'!#REF!)&gt;0)</f>
        <v>#REF!</v>
      </c>
      <c r="C249" s="162" t="str">
        <f t="shared" ca="1" si="24"/>
        <v>Capex Orcamentário_PE2026_2030_red_35_porcentoR3_consulta.xlsx</v>
      </c>
      <c r="D249" s="163" t="str">
        <f t="shared" si="25"/>
        <v>COO</v>
      </c>
      <c r="E249" s="163" t="str">
        <f t="shared" si="26"/>
        <v>Lucas Martins</v>
      </c>
      <c r="F249" s="164"/>
      <c r="G249" s="164" t="e">
        <f>_xlfn.CONCAT('Consolidado-Eletronorte'!#REF!,"_",ROW('Consolidado-Eletronorte'!#REF!)-ROW('Consolidado-Eletronorte'!$G$18))</f>
        <v>#REF!</v>
      </c>
      <c r="H249" s="165" t="s">
        <v>506</v>
      </c>
      <c r="I249" s="165" t="s">
        <v>135</v>
      </c>
      <c r="J249" s="165" t="s">
        <v>508</v>
      </c>
      <c r="K249" s="165" t="s">
        <v>1039</v>
      </c>
      <c r="L249" s="165" t="s">
        <v>1040</v>
      </c>
      <c r="M249" s="165"/>
      <c r="N249" s="165"/>
      <c r="O249" s="165"/>
      <c r="P249" s="165"/>
      <c r="Q249" t="s">
        <v>1754</v>
      </c>
      <c r="R249" t="s">
        <v>1755</v>
      </c>
      <c r="S249" t="s">
        <v>1758</v>
      </c>
      <c r="T249" s="262"/>
      <c r="U249" s="199"/>
      <c r="V249" s="199"/>
      <c r="W249" s="199"/>
      <c r="X249" s="199"/>
      <c r="Y249" s="199"/>
      <c r="Z249" s="199"/>
      <c r="AA249" s="199"/>
      <c r="AB249" s="199"/>
      <c r="AC249" s="199"/>
      <c r="AD249" s="199">
        <v>50000</v>
      </c>
      <c r="AE249" s="199"/>
      <c r="AF249" s="197">
        <f>SUM(Tabela96[[#This Row],[jan/26]:[dez/26]])</f>
        <v>50000</v>
      </c>
      <c r="AG249" s="199">
        <v>50000</v>
      </c>
      <c r="AH249" s="198">
        <v>0</v>
      </c>
      <c r="AI249" s="198">
        <v>0</v>
      </c>
      <c r="AJ249" s="198">
        <v>0</v>
      </c>
      <c r="AK249" s="198">
        <f>SUM(Tabela96[[#This Row],[2026]:[2030]])</f>
        <v>100000</v>
      </c>
      <c r="AL249" s="198">
        <v>0</v>
      </c>
      <c r="AM249" s="200"/>
      <c r="AN249" s="198">
        <v>0</v>
      </c>
      <c r="AO249" s="198">
        <v>0</v>
      </c>
      <c r="AP249" s="200"/>
      <c r="AQ249" s="202">
        <f>SUM(Tabela96[[#This Row],[2026-2030]:[2035]])</f>
        <v>100000</v>
      </c>
      <c r="AS249" s="178" t="s">
        <v>1744</v>
      </c>
      <c r="AT249" s="201" t="s">
        <v>1601</v>
      </c>
      <c r="AU249"/>
      <c r="AV249" s="112"/>
      <c r="AW249" t="s">
        <v>1603</v>
      </c>
      <c r="AZ249" t="s">
        <v>1746</v>
      </c>
    </row>
    <row r="250" spans="2:52" ht="24.75" customHeight="1" x14ac:dyDescent="0.35">
      <c r="B250" s="179" t="e" cm="1">
        <f t="array" ref="B250">AND(ISTEXT('Consolidado-Eletronorte'!#REF!),SUM('Consolidado-Eletronorte'!#REF!)&gt;0)</f>
        <v>#REF!</v>
      </c>
      <c r="C250" s="162" t="str">
        <f t="shared" ca="1" si="24"/>
        <v>Capex Orcamentário_PE2026_2030_red_35_porcentoR3_consulta.xlsx</v>
      </c>
      <c r="D250" s="163" t="str">
        <f t="shared" si="25"/>
        <v>COO</v>
      </c>
      <c r="E250" s="163" t="str">
        <f t="shared" si="26"/>
        <v>Lucas Martins</v>
      </c>
      <c r="F250" s="164"/>
      <c r="G250" s="164" t="e">
        <f>_xlfn.CONCAT('Consolidado-Eletronorte'!#REF!,"_",ROW('Consolidado-Eletronorte'!#REF!)-ROW('Consolidado-Eletronorte'!$G$18))</f>
        <v>#REF!</v>
      </c>
      <c r="H250" s="165" t="s">
        <v>506</v>
      </c>
      <c r="I250" s="165" t="s">
        <v>135</v>
      </c>
      <c r="J250" s="165" t="s">
        <v>508</v>
      </c>
      <c r="K250" s="165" t="s">
        <v>1741</v>
      </c>
      <c r="L250" s="165" t="s">
        <v>1741</v>
      </c>
      <c r="M250" s="165"/>
      <c r="N250" s="165"/>
      <c r="O250" s="165"/>
      <c r="P250" s="165"/>
      <c r="Q250" t="s">
        <v>1759</v>
      </c>
      <c r="R250" t="s">
        <v>1760</v>
      </c>
      <c r="S250" s="178" t="s">
        <v>1060</v>
      </c>
      <c r="T250" s="262"/>
      <c r="U250" s="199"/>
      <c r="V250" s="199"/>
      <c r="W250" s="199">
        <v>36000</v>
      </c>
      <c r="X250" s="199"/>
      <c r="Y250" s="199"/>
      <c r="Z250" s="199"/>
      <c r="AA250" s="199">
        <v>36000</v>
      </c>
      <c r="AB250" s="199"/>
      <c r="AC250" s="199"/>
      <c r="AD250" s="199"/>
      <c r="AE250" s="199"/>
      <c r="AF250" s="197">
        <f>SUM(Tabela96[[#This Row],[jan/26]:[dez/26]])</f>
        <v>72000</v>
      </c>
      <c r="AG250" s="199"/>
      <c r="AH250" s="198">
        <v>0</v>
      </c>
      <c r="AI250" s="198">
        <v>0</v>
      </c>
      <c r="AJ250" s="198">
        <v>0</v>
      </c>
      <c r="AK250" s="198">
        <f>SUM(Tabela96[[#This Row],[2026]:[2030]])</f>
        <v>72000</v>
      </c>
      <c r="AL250" s="198">
        <v>0</v>
      </c>
      <c r="AM250" s="198">
        <v>0</v>
      </c>
      <c r="AN250" s="198">
        <v>0</v>
      </c>
      <c r="AO250" s="198">
        <v>0</v>
      </c>
      <c r="AP250" s="200"/>
      <c r="AQ250" s="202">
        <f>SUM(Tabela96[[#This Row],[2026-2030]:[2035]])</f>
        <v>72000</v>
      </c>
      <c r="AS250" s="178" t="s">
        <v>1744</v>
      </c>
      <c r="AT250" s="201">
        <v>2024</v>
      </c>
      <c r="AU250" t="s">
        <v>1761</v>
      </c>
      <c r="AV250" s="112" t="s">
        <v>1762</v>
      </c>
      <c r="AW250" t="s">
        <v>517</v>
      </c>
      <c r="AZ250" t="s">
        <v>1746</v>
      </c>
    </row>
    <row r="251" spans="2:52" ht="24.75" customHeight="1" x14ac:dyDescent="0.35">
      <c r="B251" s="179" t="e" cm="1">
        <f t="array" ref="B251">AND(ISTEXT('Consolidado-Eletronorte'!#REF!),SUM('Consolidado-Eletronorte'!#REF!)&gt;0)</f>
        <v>#REF!</v>
      </c>
      <c r="C251" s="162" t="str">
        <f t="shared" ca="1" si="24"/>
        <v>Capex Orcamentário_PE2026_2030_red_35_porcentoR3_consulta.xlsx</v>
      </c>
      <c r="D251" s="163" t="str">
        <f t="shared" si="25"/>
        <v>COO</v>
      </c>
      <c r="E251" s="163" t="str">
        <f t="shared" si="26"/>
        <v>Lucas Martins</v>
      </c>
      <c r="F251" s="164"/>
      <c r="G251" s="164" t="e">
        <f>_xlfn.CONCAT('Consolidado-Eletronorte'!#REF!,"_",ROW('Consolidado-Eletronorte'!#REF!)-ROW('Consolidado-Eletronorte'!$G$18))</f>
        <v>#REF!</v>
      </c>
      <c r="H251" s="165" t="s">
        <v>506</v>
      </c>
      <c r="I251" s="165" t="s">
        <v>135</v>
      </c>
      <c r="J251" s="165" t="s">
        <v>508</v>
      </c>
      <c r="K251" s="165" t="s">
        <v>1741</v>
      </c>
      <c r="L251" s="165" t="s">
        <v>1741</v>
      </c>
      <c r="M251" s="165"/>
      <c r="N251" s="165"/>
      <c r="O251" s="165"/>
      <c r="P251" s="165"/>
      <c r="Q251" t="s">
        <v>1763</v>
      </c>
      <c r="R251" t="s">
        <v>1760</v>
      </c>
      <c r="S251" s="178" t="s">
        <v>1044</v>
      </c>
      <c r="T251" s="262"/>
      <c r="U251" s="199"/>
      <c r="V251" s="199"/>
      <c r="W251" s="199">
        <v>31000</v>
      </c>
      <c r="X251" s="199"/>
      <c r="Y251" s="199"/>
      <c r="Z251" s="199"/>
      <c r="AA251" s="199">
        <v>31000</v>
      </c>
      <c r="AB251" s="199"/>
      <c r="AC251" s="199"/>
      <c r="AD251" s="199"/>
      <c r="AE251" s="199"/>
      <c r="AF251" s="197">
        <f>SUM(Tabela96[[#This Row],[jan/26]:[dez/26]])</f>
        <v>62000</v>
      </c>
      <c r="AG251" s="199"/>
      <c r="AH251" s="198">
        <v>0</v>
      </c>
      <c r="AI251" s="198">
        <v>0</v>
      </c>
      <c r="AJ251" s="198">
        <v>0</v>
      </c>
      <c r="AK251" s="198">
        <f>SUM(Tabela96[[#This Row],[2026]:[2030]])</f>
        <v>62000</v>
      </c>
      <c r="AL251" s="198">
        <v>0</v>
      </c>
      <c r="AM251" s="198">
        <v>0</v>
      </c>
      <c r="AN251" s="198">
        <v>0</v>
      </c>
      <c r="AO251" s="198">
        <v>0</v>
      </c>
      <c r="AP251" s="200"/>
      <c r="AQ251" s="202">
        <f>SUM(Tabela96[[#This Row],[2026-2030]:[2035]])</f>
        <v>62000</v>
      </c>
      <c r="AS251" s="178" t="s">
        <v>1744</v>
      </c>
      <c r="AT251" s="201">
        <v>2024</v>
      </c>
      <c r="AU251" t="s">
        <v>1764</v>
      </c>
      <c r="AV251" s="112" t="s">
        <v>1765</v>
      </c>
      <c r="AW251" t="s">
        <v>517</v>
      </c>
      <c r="AZ251" t="s">
        <v>1746</v>
      </c>
    </row>
    <row r="252" spans="2:52" ht="24.75" customHeight="1" x14ac:dyDescent="0.35">
      <c r="B252" s="179" t="e" cm="1">
        <f t="array" ref="B252">AND(ISTEXT('Consolidado-Eletronorte'!#REF!),SUM('Consolidado-Eletronorte'!#REF!)&gt;0)</f>
        <v>#REF!</v>
      </c>
      <c r="C252" s="162" t="str">
        <f t="shared" ca="1" si="24"/>
        <v>Capex Orcamentário_PE2026_2030_red_35_porcentoR3_consulta.xlsx</v>
      </c>
      <c r="D252" s="163" t="str">
        <f t="shared" si="25"/>
        <v>COO</v>
      </c>
      <c r="E252" s="163" t="str">
        <f t="shared" si="26"/>
        <v>Lucas Martins</v>
      </c>
      <c r="F252" s="164"/>
      <c r="G252" s="164" t="e">
        <f>_xlfn.CONCAT('Consolidado-Eletronorte'!#REF!,"_",ROW('Consolidado-Eletronorte'!#REF!)-ROW('Consolidado-Eletronorte'!$G$18))</f>
        <v>#REF!</v>
      </c>
      <c r="H252" s="165" t="s">
        <v>506</v>
      </c>
      <c r="I252" s="165" t="s">
        <v>135</v>
      </c>
      <c r="J252" s="165" t="s">
        <v>508</v>
      </c>
      <c r="K252" s="165" t="s">
        <v>1741</v>
      </c>
      <c r="L252" s="165" t="s">
        <v>1741</v>
      </c>
      <c r="M252" s="165"/>
      <c r="N252" s="165"/>
      <c r="O252" s="165"/>
      <c r="P252" s="165"/>
      <c r="Q252" t="s">
        <v>1766</v>
      </c>
      <c r="R252" t="s">
        <v>1767</v>
      </c>
      <c r="S252" t="s">
        <v>1054</v>
      </c>
      <c r="T252" s="262"/>
      <c r="U252" s="199"/>
      <c r="V252" s="199"/>
      <c r="W252" s="199">
        <v>400000</v>
      </c>
      <c r="X252" s="199">
        <v>400000</v>
      </c>
      <c r="Y252" s="199"/>
      <c r="Z252" s="199"/>
      <c r="AA252" s="199"/>
      <c r="AB252" s="199"/>
      <c r="AC252" s="199"/>
      <c r="AD252" s="199"/>
      <c r="AE252" s="199"/>
      <c r="AF252" s="197">
        <f>SUM(Tabela96[[#This Row],[jan/26]:[dez/26]])</f>
        <v>800000</v>
      </c>
      <c r="AG252" s="199"/>
      <c r="AH252" s="198">
        <v>0</v>
      </c>
      <c r="AI252" s="198">
        <v>0</v>
      </c>
      <c r="AJ252" s="198">
        <v>0</v>
      </c>
      <c r="AK252" s="198">
        <f>SUM(Tabela96[[#This Row],[2026]:[2030]])</f>
        <v>800000</v>
      </c>
      <c r="AL252" s="198">
        <v>0</v>
      </c>
      <c r="AM252" s="200"/>
      <c r="AN252" s="200"/>
      <c r="AO252" s="200"/>
      <c r="AP252" s="200"/>
      <c r="AQ252" s="202">
        <f>SUM(Tabela96[[#This Row],[2026-2030]:[2035]])</f>
        <v>800000</v>
      </c>
      <c r="AS252" s="178" t="s">
        <v>1744</v>
      </c>
      <c r="AT252" s="263">
        <v>2025</v>
      </c>
      <c r="AU252" t="s">
        <v>1768</v>
      </c>
      <c r="AV252" s="2" t="s">
        <v>1769</v>
      </c>
      <c r="AW252" t="s">
        <v>517</v>
      </c>
      <c r="AZ252" t="s">
        <v>1746</v>
      </c>
    </row>
    <row r="253" spans="2:52" ht="24.75" customHeight="1" x14ac:dyDescent="0.35">
      <c r="B253" s="179" t="e" cm="1">
        <f t="array" ref="B253">AND(ISTEXT('Consolidado-Eletronorte'!#REF!),SUM('Consolidado-Eletronorte'!#REF!)&gt;0)</f>
        <v>#REF!</v>
      </c>
      <c r="C253" s="162" t="str">
        <f t="shared" ca="1" si="21"/>
        <v>Capex Orcamentário_PE2026_2030_red_35_porcentoR3_consulta.xlsx</v>
      </c>
      <c r="D253" s="163" t="str">
        <f t="shared" si="22"/>
        <v>COO</v>
      </c>
      <c r="E253" s="163" t="str">
        <f t="shared" si="23"/>
        <v>Lucas Martins</v>
      </c>
      <c r="F253" s="164"/>
      <c r="G253" s="164" t="e">
        <f>_xlfn.CONCAT('Consolidado-Eletronorte'!#REF!,"_",ROW('Consolidado-Eletronorte'!#REF!)-ROW('Consolidado-Eletronorte'!$G$18))</f>
        <v>#REF!</v>
      </c>
      <c r="H253" s="165" t="s">
        <v>506</v>
      </c>
      <c r="I253" s="165" t="s">
        <v>135</v>
      </c>
      <c r="J253" s="165" t="s">
        <v>508</v>
      </c>
      <c r="K253" s="165" t="s">
        <v>1039</v>
      </c>
      <c r="L253" s="165" t="s">
        <v>1040</v>
      </c>
      <c r="M253" s="165"/>
      <c r="N253" s="165"/>
      <c r="O253" s="165"/>
      <c r="P253" s="165"/>
      <c r="Q253" s="178" t="s">
        <v>1770</v>
      </c>
      <c r="R253" s="178" t="s">
        <v>1771</v>
      </c>
      <c r="S253" s="178" t="s">
        <v>1060</v>
      </c>
      <c r="T253" s="167"/>
      <c r="U253" s="167"/>
      <c r="V253" s="166"/>
      <c r="W253" s="166"/>
      <c r="X253" s="97"/>
      <c r="Y253" s="97"/>
      <c r="Z253" s="97"/>
      <c r="AA253" s="97"/>
      <c r="AB253" s="97"/>
      <c r="AC253" s="97"/>
      <c r="AD253" s="97"/>
      <c r="AE253" s="97"/>
      <c r="AF253" s="197">
        <f>SUM(Tabela96[[#This Row],[jan/26]:[dez/26]])</f>
        <v>0</v>
      </c>
      <c r="AG253" s="198">
        <v>400000</v>
      </c>
      <c r="AH253" s="198">
        <v>0</v>
      </c>
      <c r="AI253" s="198">
        <v>0</v>
      </c>
      <c r="AJ253" s="198">
        <v>0</v>
      </c>
      <c r="AK253" s="198">
        <f>SUM(Tabela96[[#This Row],[2026]:[2030]])</f>
        <v>400000</v>
      </c>
      <c r="AL253" s="198">
        <v>0</v>
      </c>
      <c r="AM253" s="198">
        <v>0</v>
      </c>
      <c r="AN253" s="198">
        <v>0</v>
      </c>
      <c r="AO253" s="198">
        <v>0</v>
      </c>
      <c r="AP253" s="198"/>
      <c r="AQ253" s="202">
        <f>SUM(Tabela96[[#This Row],[2026-2030]:[2035]])</f>
        <v>400000</v>
      </c>
      <c r="AS253" s="178" t="s">
        <v>1046</v>
      </c>
      <c r="AT253" s="201" t="s">
        <v>1772</v>
      </c>
      <c r="AU253" s="178" t="s">
        <v>1773</v>
      </c>
      <c r="AV253" s="182"/>
      <c r="AW253" s="178" t="s">
        <v>1603</v>
      </c>
      <c r="AZ253" s="178" t="s">
        <v>1144</v>
      </c>
    </row>
    <row r="254" spans="2:52" ht="24.75" customHeight="1" x14ac:dyDescent="0.35">
      <c r="B254" s="179" t="e" cm="1">
        <f t="array" ref="B254">AND(ISTEXT('Consolidado-Eletronorte'!#REF!),SUM('Consolidado-Eletronorte'!#REF!)&gt;0)</f>
        <v>#REF!</v>
      </c>
      <c r="C254" s="162" t="str">
        <f t="shared" ca="1" si="21"/>
        <v>Capex Orcamentário_PE2026_2030_red_35_porcentoR3_consulta.xlsx</v>
      </c>
      <c r="D254" s="163" t="str">
        <f t="shared" si="22"/>
        <v>COO</v>
      </c>
      <c r="E254" s="163" t="str">
        <f t="shared" si="23"/>
        <v>Lucas Martins</v>
      </c>
      <c r="F254" s="164"/>
      <c r="G254" s="164" t="e">
        <f>_xlfn.CONCAT('Consolidado-Eletronorte'!#REF!,"_",ROW('Consolidado-Eletronorte'!#REF!)-ROW('Consolidado-Eletronorte'!$G$18))</f>
        <v>#REF!</v>
      </c>
      <c r="H254" s="165" t="s">
        <v>506</v>
      </c>
      <c r="I254" s="165" t="s">
        <v>135</v>
      </c>
      <c r="J254" s="165" t="s">
        <v>508</v>
      </c>
      <c r="K254" s="165" t="s">
        <v>1039</v>
      </c>
      <c r="L254" s="165" t="s">
        <v>1040</v>
      </c>
      <c r="M254" s="165"/>
      <c r="N254" s="165"/>
      <c r="O254" s="165"/>
      <c r="P254" s="165"/>
      <c r="Q254" s="178" t="s">
        <v>1774</v>
      </c>
      <c r="R254" s="178" t="s">
        <v>1775</v>
      </c>
      <c r="S254" s="178" t="s">
        <v>1362</v>
      </c>
      <c r="T254" s="198"/>
      <c r="U254" s="198"/>
      <c r="V254" s="198"/>
      <c r="W254" s="198"/>
      <c r="X254" s="198"/>
      <c r="Y254" s="198"/>
      <c r="Z254" s="198"/>
      <c r="AA254" s="198"/>
      <c r="AB254" s="198">
        <v>5706</v>
      </c>
      <c r="AC254" s="198"/>
      <c r="AD254" s="198"/>
      <c r="AE254" s="198"/>
      <c r="AF254" s="197">
        <f>SUM(Tabela96[[#This Row],[jan/26]:[dez/26]])</f>
        <v>5706</v>
      </c>
      <c r="AG254" s="198">
        <v>46653</v>
      </c>
      <c r="AH254" s="198">
        <v>140414</v>
      </c>
      <c r="AI254" s="198">
        <v>94825</v>
      </c>
      <c r="AJ254" s="198">
        <v>18781</v>
      </c>
      <c r="AK254" s="198">
        <f>SUM(Tabela96[[#This Row],[2026]:[2030]])</f>
        <v>306379</v>
      </c>
      <c r="AL254" s="198">
        <v>0</v>
      </c>
      <c r="AM254" s="198">
        <v>0</v>
      </c>
      <c r="AN254" s="198">
        <v>0</v>
      </c>
      <c r="AO254" s="198">
        <v>0</v>
      </c>
      <c r="AP254" s="198">
        <v>0</v>
      </c>
      <c r="AQ254" s="202">
        <f>SUM(Tabela96[[#This Row],[2026-2030]:[2035]])</f>
        <v>306379</v>
      </c>
      <c r="AS254" s="178" t="s">
        <v>1776</v>
      </c>
      <c r="AT254" s="201" t="s">
        <v>1772</v>
      </c>
      <c r="AU254" s="112" t="s">
        <v>1777</v>
      </c>
      <c r="AV254" s="182"/>
      <c r="AW254" s="178" t="s">
        <v>1603</v>
      </c>
      <c r="AZ254" s="178" t="s">
        <v>1778</v>
      </c>
    </row>
    <row r="255" spans="2:52" ht="24.75" customHeight="1" x14ac:dyDescent="0.35">
      <c r="B255" s="179" t="e" cm="1">
        <f t="array" ref="B255">AND(ISTEXT('Consolidado-Eletronorte'!#REF!),SUM('Consolidado-Eletronorte'!#REF!)&gt;0)</f>
        <v>#REF!</v>
      </c>
      <c r="C255" s="162" t="str">
        <f t="shared" ca="1" si="21"/>
        <v>Capex Orcamentário_PE2026_2030_red_35_porcentoR3_consulta.xlsx</v>
      </c>
      <c r="D255" s="163" t="str">
        <f t="shared" si="22"/>
        <v>COO</v>
      </c>
      <c r="E255" s="163" t="str">
        <f t="shared" si="23"/>
        <v>Lucas Martins</v>
      </c>
      <c r="F255" s="164"/>
      <c r="G255" s="164" t="e">
        <f>_xlfn.CONCAT('Consolidado-Eletronorte'!#REF!,"_",ROW('Consolidado-Eletronorte'!#REF!)-ROW('Consolidado-Eletronorte'!$G$18))</f>
        <v>#REF!</v>
      </c>
      <c r="H255" s="165" t="s">
        <v>506</v>
      </c>
      <c r="I255" s="165" t="s">
        <v>135</v>
      </c>
      <c r="J255" s="165" t="s">
        <v>508</v>
      </c>
      <c r="K255" s="165" t="s">
        <v>1039</v>
      </c>
      <c r="L255" s="165" t="s">
        <v>1040</v>
      </c>
      <c r="M255" s="165"/>
      <c r="N255" s="165"/>
      <c r="O255" s="165"/>
      <c r="P255" s="165"/>
      <c r="Q255" s="178" t="s">
        <v>1779</v>
      </c>
      <c r="R255" s="178" t="s">
        <v>1775</v>
      </c>
      <c r="S255" s="178" t="s">
        <v>1362</v>
      </c>
      <c r="T255" s="198"/>
      <c r="U255" s="198"/>
      <c r="V255" s="198"/>
      <c r="W255" s="198"/>
      <c r="X255" s="198"/>
      <c r="Y255" s="198"/>
      <c r="Z255" s="198"/>
      <c r="AA255" s="198"/>
      <c r="AB255" s="198">
        <v>2484</v>
      </c>
      <c r="AC255" s="198"/>
      <c r="AD255" s="198"/>
      <c r="AE255" s="198"/>
      <c r="AF255" s="197">
        <f>SUM(Tabela96[[#This Row],[jan/26]:[dez/26]])</f>
        <v>2484</v>
      </c>
      <c r="AG255" s="198">
        <v>34029</v>
      </c>
      <c r="AH255" s="198">
        <v>98315</v>
      </c>
      <c r="AI255" s="198">
        <v>66322</v>
      </c>
      <c r="AJ255" s="198">
        <v>13136</v>
      </c>
      <c r="AK255" s="198">
        <f>SUM(Tabela96[[#This Row],[2026]:[2030]])</f>
        <v>214286</v>
      </c>
      <c r="AL255" s="198">
        <v>0</v>
      </c>
      <c r="AM255" s="198">
        <v>0</v>
      </c>
      <c r="AN255" s="198">
        <v>0</v>
      </c>
      <c r="AO255" s="198">
        <v>0</v>
      </c>
      <c r="AP255" s="198">
        <v>0</v>
      </c>
      <c r="AQ255" s="202">
        <f>SUM(Tabela96[[#This Row],[2026-2030]:[2035]])</f>
        <v>214286</v>
      </c>
      <c r="AS255" s="178" t="s">
        <v>1776</v>
      </c>
      <c r="AT255" s="201" t="s">
        <v>1772</v>
      </c>
      <c r="AU255" s="112" t="s">
        <v>1780</v>
      </c>
      <c r="AV255" s="182"/>
      <c r="AW255" s="178" t="s">
        <v>1603</v>
      </c>
      <c r="AZ255" s="178" t="s">
        <v>1778</v>
      </c>
    </row>
    <row r="256" spans="2:52" ht="24.75" customHeight="1" x14ac:dyDescent="0.35">
      <c r="B256" s="179" t="e" cm="1">
        <f t="array" ref="B256">AND(ISTEXT('Consolidado-Eletronorte'!#REF!),SUM('Consolidado-Eletronorte'!#REF!)&gt;0)</f>
        <v>#REF!</v>
      </c>
      <c r="C256" s="162" t="str">
        <f t="shared" ca="1" si="21"/>
        <v>Capex Orcamentário_PE2026_2030_red_35_porcentoR3_consulta.xlsx</v>
      </c>
      <c r="D256" s="163" t="str">
        <f t="shared" si="22"/>
        <v>COO</v>
      </c>
      <c r="E256" s="163" t="str">
        <f t="shared" si="23"/>
        <v>Lucas Martins</v>
      </c>
      <c r="F256" s="164"/>
      <c r="G256" s="164" t="e">
        <f>_xlfn.CONCAT('Consolidado-Eletronorte'!#REF!,"_",ROW('Consolidado-Eletronorte'!#REF!)-ROW('Consolidado-Eletronorte'!$G$18))</f>
        <v>#REF!</v>
      </c>
      <c r="H256" s="165" t="s">
        <v>506</v>
      </c>
      <c r="I256" s="165" t="s">
        <v>135</v>
      </c>
      <c r="J256" s="165" t="s">
        <v>508</v>
      </c>
      <c r="K256" s="165" t="s">
        <v>1039</v>
      </c>
      <c r="L256" s="165" t="s">
        <v>1040</v>
      </c>
      <c r="M256" s="165"/>
      <c r="N256" s="165"/>
      <c r="O256" s="165"/>
      <c r="P256" s="165"/>
      <c r="Q256" s="178" t="s">
        <v>1781</v>
      </c>
      <c r="R256" s="178" t="s">
        <v>1775</v>
      </c>
      <c r="S256" s="178" t="s">
        <v>1362</v>
      </c>
      <c r="T256" s="198"/>
      <c r="U256" s="198"/>
      <c r="V256" s="198"/>
      <c r="W256" s="198"/>
      <c r="X256" s="198"/>
      <c r="Y256" s="198"/>
      <c r="Z256" s="198"/>
      <c r="AA256" s="198"/>
      <c r="AB256" s="198">
        <v>2484</v>
      </c>
      <c r="AC256" s="198"/>
      <c r="AD256" s="198"/>
      <c r="AE256" s="198"/>
      <c r="AF256" s="197">
        <f>SUM(Tabela96[[#This Row],[jan/26]:[dez/26]])</f>
        <v>2484</v>
      </c>
      <c r="AG256" s="198">
        <v>34029</v>
      </c>
      <c r="AH256" s="198">
        <v>98315</v>
      </c>
      <c r="AI256" s="198">
        <v>66322</v>
      </c>
      <c r="AJ256" s="198">
        <v>13136</v>
      </c>
      <c r="AK256" s="198">
        <f>SUM(Tabela96[[#This Row],[2026]:[2030]])</f>
        <v>214286</v>
      </c>
      <c r="AL256" s="198">
        <v>0</v>
      </c>
      <c r="AM256" s="198">
        <v>0</v>
      </c>
      <c r="AN256" s="198">
        <v>0</v>
      </c>
      <c r="AO256" s="198">
        <v>0</v>
      </c>
      <c r="AP256" s="198">
        <v>0</v>
      </c>
      <c r="AQ256" s="202">
        <f>SUM(Tabela96[[#This Row],[2026-2030]:[2035]])</f>
        <v>214286</v>
      </c>
      <c r="AS256" s="178" t="s">
        <v>1776</v>
      </c>
      <c r="AT256" s="201" t="s">
        <v>1772</v>
      </c>
      <c r="AU256" s="112" t="s">
        <v>1782</v>
      </c>
      <c r="AV256" s="182"/>
      <c r="AW256" s="178" t="s">
        <v>1603</v>
      </c>
      <c r="AZ256" s="178" t="s">
        <v>1778</v>
      </c>
    </row>
    <row r="257" spans="2:52" ht="24.75" customHeight="1" x14ac:dyDescent="0.35">
      <c r="B257" s="179" t="e" cm="1">
        <f t="array" ref="B257">AND(ISTEXT('Consolidado-Eletronorte'!#REF!),SUM('Consolidado-Eletronorte'!#REF!)&gt;0)</f>
        <v>#REF!</v>
      </c>
      <c r="C257" s="162" t="str">
        <f t="shared" ca="1" si="21"/>
        <v>Capex Orcamentário_PE2026_2030_red_35_porcentoR3_consulta.xlsx</v>
      </c>
      <c r="D257" s="163" t="str">
        <f t="shared" si="22"/>
        <v>COO</v>
      </c>
      <c r="E257" s="163" t="str">
        <f t="shared" si="23"/>
        <v>Lucas Martins</v>
      </c>
      <c r="F257" s="164"/>
      <c r="G257" s="164" t="e">
        <f>_xlfn.CONCAT('Consolidado-Eletronorte'!#REF!,"_",ROW('Consolidado-Eletronorte'!#REF!)-ROW('Consolidado-Eletronorte'!$G$18))</f>
        <v>#REF!</v>
      </c>
      <c r="H257" s="165" t="s">
        <v>506</v>
      </c>
      <c r="I257" s="165" t="s">
        <v>135</v>
      </c>
      <c r="J257" s="165" t="s">
        <v>508</v>
      </c>
      <c r="K257" s="165" t="s">
        <v>1039</v>
      </c>
      <c r="L257" s="165" t="s">
        <v>1040</v>
      </c>
      <c r="M257" s="165"/>
      <c r="N257" s="165"/>
      <c r="O257" s="165"/>
      <c r="P257" s="165"/>
      <c r="Q257" s="178" t="s">
        <v>1779</v>
      </c>
      <c r="R257" s="178" t="s">
        <v>1783</v>
      </c>
      <c r="S257" s="178" t="s">
        <v>1362</v>
      </c>
      <c r="T257" s="198"/>
      <c r="U257" s="198"/>
      <c r="V257" s="198"/>
      <c r="W257" s="198"/>
      <c r="X257" s="198"/>
      <c r="Y257" s="198"/>
      <c r="Z257" s="198"/>
      <c r="AA257" s="198"/>
      <c r="AB257" s="198">
        <v>2484</v>
      </c>
      <c r="AC257" s="198"/>
      <c r="AD257" s="198"/>
      <c r="AE257" s="198"/>
      <c r="AF257" s="197">
        <f>SUM(Tabela96[[#This Row],[jan/26]:[dez/26]])</f>
        <v>2484</v>
      </c>
      <c r="AG257" s="198">
        <v>34029</v>
      </c>
      <c r="AH257" s="198">
        <v>98315</v>
      </c>
      <c r="AI257" s="198">
        <v>66322</v>
      </c>
      <c r="AJ257" s="198">
        <v>13136</v>
      </c>
      <c r="AK257" s="198">
        <f>SUM(Tabela96[[#This Row],[2026]:[2030]])</f>
        <v>214286</v>
      </c>
      <c r="AL257" s="198">
        <v>0</v>
      </c>
      <c r="AM257" s="198">
        <v>0</v>
      </c>
      <c r="AN257" s="198">
        <v>0</v>
      </c>
      <c r="AO257" s="198">
        <v>0</v>
      </c>
      <c r="AP257" s="198">
        <v>0</v>
      </c>
      <c r="AQ257" s="202">
        <f>SUM(Tabela96[[#This Row],[2026-2030]:[2035]])</f>
        <v>214286</v>
      </c>
      <c r="AS257" s="178" t="s">
        <v>1776</v>
      </c>
      <c r="AT257" s="201" t="s">
        <v>1772</v>
      </c>
      <c r="AU257" s="112" t="s">
        <v>1784</v>
      </c>
      <c r="AV257" s="182"/>
      <c r="AW257" s="178" t="s">
        <v>1603</v>
      </c>
      <c r="AZ257" s="178" t="s">
        <v>1778</v>
      </c>
    </row>
    <row r="258" spans="2:52" ht="24.75" customHeight="1" x14ac:dyDescent="0.35">
      <c r="B258" s="179" t="e" cm="1">
        <f t="array" ref="B258">AND(ISTEXT('Consolidado-Eletronorte'!#REF!),SUM('Consolidado-Eletronorte'!#REF!)&gt;0)</f>
        <v>#REF!</v>
      </c>
      <c r="C258" s="162" t="str">
        <f t="shared" ca="1" si="21"/>
        <v>Capex Orcamentário_PE2026_2030_red_35_porcentoR3_consulta.xlsx</v>
      </c>
      <c r="D258" s="163" t="str">
        <f t="shared" si="22"/>
        <v>COO</v>
      </c>
      <c r="E258" s="163" t="str">
        <f t="shared" si="23"/>
        <v>Lucas Martins</v>
      </c>
      <c r="F258" s="164"/>
      <c r="G258" s="164" t="e">
        <f>_xlfn.CONCAT('Consolidado-Eletronorte'!#REF!,"_",ROW('Consolidado-Eletronorte'!#REF!)-ROW('Consolidado-Eletronorte'!$G$18))</f>
        <v>#REF!</v>
      </c>
      <c r="H258" s="165" t="s">
        <v>506</v>
      </c>
      <c r="I258" s="165" t="s">
        <v>135</v>
      </c>
      <c r="J258" s="165" t="s">
        <v>508</v>
      </c>
      <c r="K258" s="165" t="s">
        <v>1039</v>
      </c>
      <c r="L258" s="165" t="s">
        <v>1040</v>
      </c>
      <c r="M258" s="165"/>
      <c r="N258" s="165"/>
      <c r="O258" s="165"/>
      <c r="P258" s="165"/>
      <c r="Q258" s="178" t="s">
        <v>1781</v>
      </c>
      <c r="R258" s="178" t="s">
        <v>1783</v>
      </c>
      <c r="S258" s="178" t="s">
        <v>1362</v>
      </c>
      <c r="T258" s="198"/>
      <c r="U258" s="198"/>
      <c r="V258" s="198"/>
      <c r="W258" s="198"/>
      <c r="X258" s="198"/>
      <c r="Y258" s="198"/>
      <c r="Z258" s="198"/>
      <c r="AA258" s="198"/>
      <c r="AB258" s="198">
        <v>2484</v>
      </c>
      <c r="AC258" s="198"/>
      <c r="AD258" s="198"/>
      <c r="AE258" s="198"/>
      <c r="AF258" s="197">
        <f>SUM(Tabela96[[#This Row],[jan/26]:[dez/26]])</f>
        <v>2484</v>
      </c>
      <c r="AG258" s="198">
        <v>34029</v>
      </c>
      <c r="AH258" s="198">
        <v>98315</v>
      </c>
      <c r="AI258" s="198">
        <v>66322</v>
      </c>
      <c r="AJ258" s="198">
        <v>13136</v>
      </c>
      <c r="AK258" s="198">
        <f>SUM(Tabela96[[#This Row],[2026]:[2030]])</f>
        <v>214286</v>
      </c>
      <c r="AL258" s="198">
        <v>0</v>
      </c>
      <c r="AM258" s="198">
        <v>0</v>
      </c>
      <c r="AN258" s="198">
        <v>0</v>
      </c>
      <c r="AO258" s="198">
        <v>0</v>
      </c>
      <c r="AP258" s="198">
        <v>0</v>
      </c>
      <c r="AQ258" s="202">
        <f>SUM(Tabela96[[#This Row],[2026-2030]:[2035]])</f>
        <v>214286</v>
      </c>
      <c r="AS258" s="178" t="s">
        <v>1776</v>
      </c>
      <c r="AT258" s="201" t="s">
        <v>1772</v>
      </c>
      <c r="AU258" s="112" t="s">
        <v>1785</v>
      </c>
      <c r="AV258" s="182"/>
      <c r="AW258" s="178" t="s">
        <v>1603</v>
      </c>
      <c r="AZ258" s="178" t="s">
        <v>1778</v>
      </c>
    </row>
    <row r="259" spans="2:52" ht="24.75" customHeight="1" x14ac:dyDescent="0.35">
      <c r="B259" s="179" t="e" cm="1">
        <f t="array" ref="B259">AND(ISTEXT('Consolidado-Eletronorte'!#REF!),SUM('Consolidado-Eletronorte'!#REF!)&gt;0)</f>
        <v>#REF!</v>
      </c>
      <c r="C259" s="162" t="str">
        <f t="shared" ca="1" si="21"/>
        <v>Capex Orcamentário_PE2026_2030_red_35_porcentoR3_consulta.xlsx</v>
      </c>
      <c r="D259" s="163" t="str">
        <f t="shared" si="22"/>
        <v>COO</v>
      </c>
      <c r="E259" s="163" t="str">
        <f t="shared" si="23"/>
        <v>Lucas Martins</v>
      </c>
      <c r="F259" s="164"/>
      <c r="G259" s="164" t="e">
        <f>_xlfn.CONCAT('Consolidado-Eletronorte'!#REF!,"_",ROW('Consolidado-Eletronorte'!#REF!)-ROW('Consolidado-Eletronorte'!$G$18))</f>
        <v>#REF!</v>
      </c>
      <c r="H259" s="165" t="s">
        <v>506</v>
      </c>
      <c r="I259" s="165" t="s">
        <v>135</v>
      </c>
      <c r="J259" s="165" t="s">
        <v>508</v>
      </c>
      <c r="K259" s="165" t="s">
        <v>1039</v>
      </c>
      <c r="L259" s="165" t="s">
        <v>1040</v>
      </c>
      <c r="M259" s="165"/>
      <c r="N259" s="165"/>
      <c r="O259" s="165"/>
      <c r="P259" s="165"/>
      <c r="Q259" s="178" t="s">
        <v>1786</v>
      </c>
      <c r="R259" s="178" t="s">
        <v>1787</v>
      </c>
      <c r="S259" s="178" t="s">
        <v>1060</v>
      </c>
      <c r="T259" s="198"/>
      <c r="U259" s="198"/>
      <c r="V259" s="198"/>
      <c r="W259" s="198"/>
      <c r="X259" s="198"/>
      <c r="Y259" s="198"/>
      <c r="Z259" s="198">
        <v>115000</v>
      </c>
      <c r="AA259" s="198"/>
      <c r="AB259" s="198"/>
      <c r="AC259" s="198"/>
      <c r="AD259" s="198"/>
      <c r="AE259" s="198"/>
      <c r="AF259" s="197">
        <f>SUM(Tabela96[[#This Row],[jan/26]:[dez/26]])</f>
        <v>115000</v>
      </c>
      <c r="AG259" s="198">
        <v>0</v>
      </c>
      <c r="AH259" s="198">
        <v>0</v>
      </c>
      <c r="AI259" s="198">
        <v>0</v>
      </c>
      <c r="AJ259" s="198">
        <v>0</v>
      </c>
      <c r="AK259" s="198">
        <f>SUM(Tabela96[[#This Row],[2026]:[2030]])</f>
        <v>115000</v>
      </c>
      <c r="AL259" s="198">
        <v>0</v>
      </c>
      <c r="AM259" s="198">
        <v>0</v>
      </c>
      <c r="AN259" s="198">
        <v>0</v>
      </c>
      <c r="AO259" s="198">
        <v>0</v>
      </c>
      <c r="AP259" s="198">
        <v>0</v>
      </c>
      <c r="AQ259" s="202">
        <f>SUM(Tabela96[[#This Row],[2026-2030]:[2035]])</f>
        <v>115000</v>
      </c>
      <c r="AS259" s="178" t="s">
        <v>1600</v>
      </c>
      <c r="AT259" s="201" t="s">
        <v>1772</v>
      </c>
      <c r="AU259" s="112" t="s">
        <v>1788</v>
      </c>
      <c r="AV259" s="182"/>
      <c r="AW259" s="178" t="s">
        <v>1603</v>
      </c>
      <c r="AZ259" s="178" t="s">
        <v>1604</v>
      </c>
    </row>
    <row r="260" spans="2:52" ht="24.75" customHeight="1" x14ac:dyDescent="0.35">
      <c r="B260" s="179" t="e" cm="1">
        <f t="array" ref="B260">AND(ISTEXT('Consolidado-Eletronorte'!#REF!),SUM('Consolidado-Eletronorte'!#REF!)&gt;0)</f>
        <v>#REF!</v>
      </c>
      <c r="C260" s="162" t="str">
        <f t="shared" ca="1" si="21"/>
        <v>Capex Orcamentário_PE2026_2030_red_35_porcentoR3_consulta.xlsx</v>
      </c>
      <c r="D260" s="163" t="str">
        <f t="shared" si="22"/>
        <v>COO</v>
      </c>
      <c r="E260" s="163" t="str">
        <f t="shared" si="23"/>
        <v>Lucas Martins</v>
      </c>
      <c r="F260" s="164"/>
      <c r="G260" s="164" t="e">
        <f>_xlfn.CONCAT('Consolidado-Eletronorte'!#REF!,"_",ROW('Consolidado-Eletronorte'!#REF!)-ROW('Consolidado-Eletronorte'!$G$18))</f>
        <v>#REF!</v>
      </c>
      <c r="H260" s="165" t="s">
        <v>506</v>
      </c>
      <c r="I260" s="165" t="s">
        <v>135</v>
      </c>
      <c r="J260" s="165" t="s">
        <v>508</v>
      </c>
      <c r="K260" s="165" t="s">
        <v>1039</v>
      </c>
      <c r="L260" s="165" t="s">
        <v>1040</v>
      </c>
      <c r="M260"/>
      <c r="N260" s="165"/>
      <c r="O260" s="165"/>
      <c r="P260" s="165"/>
      <c r="Q260" s="178" t="s">
        <v>1789</v>
      </c>
      <c r="R260" s="178" t="s">
        <v>1790</v>
      </c>
      <c r="S260" s="178" t="s">
        <v>1034</v>
      </c>
      <c r="T260" s="198"/>
      <c r="U260" s="198"/>
      <c r="V260" s="198"/>
      <c r="W260" s="198"/>
      <c r="X260" s="198"/>
      <c r="Y260" s="198"/>
      <c r="Z260" s="198"/>
      <c r="AA260" s="198"/>
      <c r="AB260" s="198">
        <v>70000</v>
      </c>
      <c r="AC260" s="198"/>
      <c r="AD260" s="198"/>
      <c r="AE260" s="198"/>
      <c r="AF260" s="197">
        <f>SUM(Tabela96[[#This Row],[jan/26]:[dez/26]])</f>
        <v>70000</v>
      </c>
      <c r="AG260" s="198">
        <v>0</v>
      </c>
      <c r="AH260" s="198">
        <v>0</v>
      </c>
      <c r="AI260" s="198">
        <v>0</v>
      </c>
      <c r="AJ260" s="198">
        <v>0</v>
      </c>
      <c r="AK260" s="198">
        <f>SUM(Tabela96[[#This Row],[2026]:[2030]])</f>
        <v>70000</v>
      </c>
      <c r="AL260" s="198">
        <v>0</v>
      </c>
      <c r="AM260" s="198">
        <v>0</v>
      </c>
      <c r="AN260" s="198">
        <v>0</v>
      </c>
      <c r="AO260" s="198">
        <v>0</v>
      </c>
      <c r="AP260" s="198">
        <v>0</v>
      </c>
      <c r="AQ260" s="202">
        <f>SUM(Tabela96[[#This Row],[2026-2030]:[2035]])</f>
        <v>70000</v>
      </c>
      <c r="AS260" s="178" t="s">
        <v>1600</v>
      </c>
      <c r="AT260" s="201" t="s">
        <v>1772</v>
      </c>
      <c r="AU260" s="112" t="s">
        <v>1791</v>
      </c>
      <c r="AV260" s="182"/>
      <c r="AW260" s="178" t="s">
        <v>1603</v>
      </c>
      <c r="AZ260" s="178" t="s">
        <v>1604</v>
      </c>
    </row>
    <row r="261" spans="2:52" ht="24.75" customHeight="1" x14ac:dyDescent="0.35">
      <c r="B261" s="179" t="e" cm="1">
        <f t="array" ref="B261">AND(ISTEXT('Consolidado-Eletronorte'!#REF!),SUM('Consolidado-Eletronorte'!#REF!)&gt;0)</f>
        <v>#REF!</v>
      </c>
      <c r="C261" s="162" t="str">
        <f t="shared" ca="1" si="21"/>
        <v>Capex Orcamentário_PE2026_2030_red_35_porcentoR3_consulta.xlsx</v>
      </c>
      <c r="D261" s="163" t="str">
        <f t="shared" si="22"/>
        <v>COO</v>
      </c>
      <c r="E261" s="163" t="str">
        <f t="shared" si="23"/>
        <v>Lucas Martins</v>
      </c>
      <c r="F261" s="164"/>
      <c r="G261" s="164" t="e">
        <f>_xlfn.CONCAT('Consolidado-Eletronorte'!#REF!,"_",ROW('Consolidado-Eletronorte'!#REF!)-ROW('Consolidado-Eletronorte'!$G$18))</f>
        <v>#REF!</v>
      </c>
      <c r="H261" s="165" t="s">
        <v>506</v>
      </c>
      <c r="I261" s="165" t="s">
        <v>135</v>
      </c>
      <c r="J261" s="165" t="s">
        <v>508</v>
      </c>
      <c r="K261" s="165" t="s">
        <v>1039</v>
      </c>
      <c r="L261" s="165" t="s">
        <v>1040</v>
      </c>
      <c r="M261"/>
      <c r="N261" s="165"/>
      <c r="O261" s="165"/>
      <c r="P261" s="165"/>
      <c r="Q261" s="178" t="s">
        <v>1792</v>
      </c>
      <c r="R261" s="178" t="s">
        <v>1793</v>
      </c>
      <c r="S261" s="178" t="s">
        <v>1794</v>
      </c>
      <c r="T261" s="166"/>
      <c r="U261" s="167"/>
      <c r="V261" s="167"/>
      <c r="W261" s="167"/>
      <c r="X261" s="166"/>
      <c r="Y261" s="166"/>
      <c r="Z261" s="97"/>
      <c r="AA261" s="97"/>
      <c r="AB261" s="97"/>
      <c r="AC261" s="97"/>
      <c r="AD261" s="97"/>
      <c r="AE261" s="97"/>
      <c r="AF261" s="197">
        <f>SUM(Tabela96[[#This Row],[jan/26]:[dez/26]])</f>
        <v>0</v>
      </c>
      <c r="AG261" s="180"/>
      <c r="AH261" s="198">
        <v>627000</v>
      </c>
      <c r="AI261" s="180"/>
      <c r="AJ261" s="180"/>
      <c r="AK261" s="198">
        <f>SUM(Tabela96[[#This Row],[2026]:[2030]])</f>
        <v>627000</v>
      </c>
      <c r="AL261" s="180"/>
      <c r="AM261" s="180"/>
      <c r="AN261" s="180"/>
      <c r="AO261" s="180"/>
      <c r="AP261" s="180"/>
      <c r="AQ261" s="202">
        <f>SUM(Tabela96[[#This Row],[2026-2030]:[2035]])</f>
        <v>627000</v>
      </c>
      <c r="AS261" s="178" t="s">
        <v>1776</v>
      </c>
      <c r="AT261" s="201" t="s">
        <v>1772</v>
      </c>
      <c r="AU261" s="112" t="s">
        <v>1795</v>
      </c>
      <c r="AV261" s="182"/>
      <c r="AW261" s="178" t="s">
        <v>1603</v>
      </c>
      <c r="AZ261" s="178" t="s">
        <v>1778</v>
      </c>
    </row>
    <row r="262" spans="2:52" ht="24.75" customHeight="1" x14ac:dyDescent="0.35">
      <c r="B262" s="264"/>
      <c r="C262" s="162"/>
      <c r="D262" s="163"/>
      <c r="E262" s="163"/>
      <c r="F262" s="164"/>
      <c r="G262" s="164"/>
      <c r="H262" s="165"/>
      <c r="I262" s="165"/>
      <c r="J262" s="265"/>
      <c r="K262" s="165"/>
      <c r="L262" s="165"/>
      <c r="M262" s="165"/>
      <c r="N262" s="165"/>
      <c r="Q262" s="165"/>
      <c r="R262" s="166"/>
      <c r="S262" s="167"/>
      <c r="T262" s="167"/>
      <c r="U262" s="167"/>
      <c r="V262" s="166"/>
      <c r="W262" s="166"/>
      <c r="X262" s="97"/>
      <c r="Y262" s="97"/>
      <c r="Z262" s="97"/>
      <c r="AA262" s="97"/>
      <c r="AB262" s="97"/>
      <c r="AC262" s="97"/>
      <c r="AD262" s="97"/>
      <c r="AE262" s="97"/>
      <c r="AF262" s="97"/>
      <c r="AG262" s="97"/>
      <c r="AH262" s="97"/>
      <c r="AI262" s="97"/>
      <c r="AJ262" s="167"/>
      <c r="AK262" s="97"/>
      <c r="AL262" s="97"/>
      <c r="AM262" s="97"/>
      <c r="AN262" s="97"/>
      <c r="AO262" s="167"/>
      <c r="AV262" s="112"/>
    </row>
    <row r="263" spans="2:52" ht="24.75" customHeight="1" x14ac:dyDescent="0.35">
      <c r="B263" s="264"/>
      <c r="C263" s="162"/>
      <c r="D263" s="163"/>
      <c r="E263" s="163"/>
      <c r="F263" s="164"/>
      <c r="G263" s="164"/>
      <c r="H263" s="165"/>
      <c r="I263" s="165"/>
      <c r="J263" s="265" t="s">
        <v>1796</v>
      </c>
      <c r="K263" s="165" t="s">
        <v>1797</v>
      </c>
      <c r="L263" s="165" t="s">
        <v>1797</v>
      </c>
      <c r="M263" s="165"/>
      <c r="N263" s="165"/>
      <c r="Q263" s="165"/>
      <c r="R263" s="166"/>
      <c r="S263" s="167"/>
      <c r="T263" s="167"/>
      <c r="U263" s="167"/>
      <c r="V263" s="166"/>
      <c r="W263" s="166"/>
      <c r="X263" s="97"/>
      <c r="Y263" s="97"/>
      <c r="Z263" s="97"/>
      <c r="AA263" s="97"/>
      <c r="AB263" s="97"/>
      <c r="AC263" s="97"/>
      <c r="AD263" s="97"/>
      <c r="AE263" s="97"/>
      <c r="AF263" s="97"/>
      <c r="AG263" s="97"/>
      <c r="AH263" s="97"/>
      <c r="AI263" s="97"/>
      <c r="AJ263" s="167"/>
      <c r="AK263" s="97"/>
      <c r="AL263" s="97"/>
      <c r="AM263" s="97"/>
      <c r="AN263" s="97"/>
      <c r="AO263" s="167"/>
    </row>
    <row r="264" spans="2:52" ht="24.75" customHeight="1" x14ac:dyDescent="0.35">
      <c r="K264" s="2" t="e" cm="1" vm="2">
        <f t="array" aca="1" ref="K264" ca="1">INDIRECT(SUBSTITUTE($J10&amp;$K10," ",""))</f>
        <v>#VALUE!</v>
      </c>
      <c r="X264" s="97"/>
      <c r="Y264" s="97"/>
      <c r="Z264" s="97"/>
      <c r="AA264" s="97"/>
      <c r="AB264" s="97"/>
      <c r="AC264" s="97"/>
      <c r="AD264" s="97"/>
      <c r="AE264" s="97"/>
      <c r="AF264" s="97"/>
      <c r="AG264" s="97"/>
      <c r="AH264" s="97"/>
      <c r="AI264" s="97"/>
      <c r="AK264" s="97"/>
      <c r="AL264" s="97"/>
      <c r="AM264" s="97"/>
      <c r="AN264" s="97"/>
    </row>
    <row r="265" spans="2:52" ht="24.75" customHeight="1" x14ac:dyDescent="0.35">
      <c r="X265" s="97"/>
      <c r="Y265" s="97"/>
      <c r="Z265" s="97"/>
      <c r="AA265" s="97"/>
      <c r="AB265" s="97"/>
      <c r="AC265" s="97"/>
      <c r="AD265" s="97"/>
      <c r="AE265" s="97"/>
      <c r="AF265" s="97"/>
      <c r="AG265" s="97"/>
      <c r="AH265" s="97"/>
      <c r="AI265" s="97"/>
      <c r="AK265" s="97"/>
      <c r="AL265" s="97"/>
      <c r="AM265" s="97"/>
      <c r="AN265" s="97"/>
    </row>
    <row r="266" spans="2:52" ht="24.75" customHeight="1" x14ac:dyDescent="0.35">
      <c r="J266" s="90" t="s">
        <v>508</v>
      </c>
      <c r="K266" s="2" t="s">
        <v>509</v>
      </c>
      <c r="X266" s="97"/>
      <c r="Y266" s="97"/>
      <c r="Z266" s="97"/>
      <c r="AA266" s="97"/>
      <c r="AB266" s="97"/>
      <c r="AC266" s="97"/>
      <c r="AD266" s="97"/>
      <c r="AE266" s="97"/>
      <c r="AF266" s="97"/>
      <c r="AG266" s="97"/>
      <c r="AH266" s="97"/>
      <c r="AI266" s="97"/>
      <c r="AK266" s="97"/>
      <c r="AL266" s="97"/>
      <c r="AM266" s="97"/>
      <c r="AN266" s="97"/>
    </row>
    <row r="267" spans="2:52" ht="24.75" customHeight="1" x14ac:dyDescent="0.35">
      <c r="J267" s="90" t="str">
        <f>SUBSTITUTE(J263&amp;K263&amp;L263," ","")</f>
        <v>TransmissãoReforçoGrandePorteReforçoGrandePorte</v>
      </c>
      <c r="K267" s="2" t="s">
        <v>1798</v>
      </c>
      <c r="X267" s="97"/>
      <c r="Y267" s="97"/>
      <c r="Z267" s="97"/>
      <c r="AA267" s="97"/>
      <c r="AB267" s="97"/>
      <c r="AC267" s="97"/>
      <c r="AD267" s="97"/>
      <c r="AE267" s="97"/>
      <c r="AF267" s="97"/>
      <c r="AG267" s="97"/>
      <c r="AH267" s="97"/>
      <c r="AI267" s="97"/>
      <c r="AK267" s="97"/>
      <c r="AL267" s="97"/>
      <c r="AM267" s="97"/>
      <c r="AN267" s="97"/>
    </row>
    <row r="268" spans="2:52" ht="24.75" customHeight="1" x14ac:dyDescent="0.35">
      <c r="X268" s="97"/>
      <c r="Y268" s="97"/>
      <c r="Z268" s="97"/>
      <c r="AA268" s="97"/>
      <c r="AB268" s="97"/>
      <c r="AC268" s="97"/>
      <c r="AD268" s="97"/>
      <c r="AE268" s="97"/>
      <c r="AF268" s="97"/>
      <c r="AG268" s="97"/>
      <c r="AH268" s="97"/>
      <c r="AI268" s="97"/>
      <c r="AK268" s="97"/>
      <c r="AL268" s="97"/>
      <c r="AM268" s="97"/>
      <c r="AN268" s="97"/>
    </row>
    <row r="269" spans="2:52" ht="24.75" customHeight="1" x14ac:dyDescent="0.35">
      <c r="X269" s="97"/>
      <c r="Y269" s="97"/>
      <c r="Z269" s="97"/>
      <c r="AA269" s="97"/>
      <c r="AB269" s="97"/>
      <c r="AC269" s="97"/>
      <c r="AD269" s="97"/>
      <c r="AE269" s="97"/>
      <c r="AF269" s="97"/>
      <c r="AG269" s="97"/>
      <c r="AH269" s="97"/>
      <c r="AI269" s="97"/>
      <c r="AK269" s="97"/>
      <c r="AL269" s="97"/>
      <c r="AM269" s="97"/>
      <c r="AN269" s="97"/>
    </row>
    <row r="270" spans="2:52" ht="24.75" customHeight="1" x14ac:dyDescent="0.35">
      <c r="X270" s="97"/>
      <c r="Y270" s="97"/>
      <c r="Z270" s="97"/>
      <c r="AA270" s="97"/>
      <c r="AB270" s="97"/>
      <c r="AC270" s="97"/>
      <c r="AD270" s="97"/>
      <c r="AE270" s="97"/>
      <c r="AF270" s="97"/>
      <c r="AG270" s="97"/>
      <c r="AH270" s="97"/>
      <c r="AI270" s="97"/>
      <c r="AK270" s="97"/>
      <c r="AL270" s="97"/>
      <c r="AM270" s="97"/>
      <c r="AN270" s="97"/>
    </row>
    <row r="271" spans="2:52" ht="24.75" customHeight="1" x14ac:dyDescent="0.35">
      <c r="X271" s="97"/>
      <c r="Y271" s="97"/>
      <c r="Z271" s="97"/>
      <c r="AA271" s="97"/>
      <c r="AB271" s="97"/>
      <c r="AC271" s="97"/>
      <c r="AD271" s="97"/>
      <c r="AE271" s="97"/>
      <c r="AF271" s="97"/>
      <c r="AG271" s="97"/>
      <c r="AH271" s="97"/>
      <c r="AI271" s="97"/>
      <c r="AK271" s="97"/>
      <c r="AL271" s="97"/>
      <c r="AM271" s="97"/>
      <c r="AN271" s="97"/>
    </row>
    <row r="272" spans="2:52" ht="24.75" customHeight="1" x14ac:dyDescent="0.35">
      <c r="X272" s="97"/>
      <c r="Y272" s="97"/>
      <c r="Z272" s="97"/>
      <c r="AA272" s="97"/>
      <c r="AB272" s="97"/>
      <c r="AC272" s="97"/>
      <c r="AD272" s="97"/>
      <c r="AE272" s="97"/>
      <c r="AF272" s="97"/>
      <c r="AG272" s="97"/>
      <c r="AH272" s="97"/>
      <c r="AI272" s="97"/>
      <c r="AK272" s="97"/>
      <c r="AL272" s="97"/>
      <c r="AM272" s="97"/>
      <c r="AN272" s="97"/>
    </row>
    <row r="273" spans="24:40" ht="24.75" customHeight="1" x14ac:dyDescent="0.35">
      <c r="X273" s="97"/>
      <c r="Y273" s="97"/>
      <c r="Z273" s="97"/>
      <c r="AA273" s="97"/>
      <c r="AB273" s="97"/>
      <c r="AC273" s="97"/>
      <c r="AD273" s="97"/>
      <c r="AE273" s="97"/>
      <c r="AF273" s="97"/>
      <c r="AG273" s="97"/>
      <c r="AH273" s="97"/>
      <c r="AI273" s="97"/>
      <c r="AK273" s="97"/>
      <c r="AL273" s="97"/>
      <c r="AM273" s="97"/>
      <c r="AN273" s="97"/>
    </row>
    <row r="274" spans="24:40" ht="24.75" customHeight="1" x14ac:dyDescent="0.35">
      <c r="X274" s="97"/>
      <c r="Y274" s="97"/>
      <c r="Z274" s="97"/>
      <c r="AA274" s="97"/>
      <c r="AB274" s="97"/>
      <c r="AC274" s="97"/>
      <c r="AD274" s="97"/>
      <c r="AE274" s="97"/>
      <c r="AF274" s="97"/>
      <c r="AG274" s="97"/>
      <c r="AH274" s="97"/>
      <c r="AI274" s="97"/>
      <c r="AK274" s="97"/>
      <c r="AL274" s="97"/>
      <c r="AM274" s="97"/>
      <c r="AN274" s="97"/>
    </row>
    <row r="275" spans="24:40" ht="24.75" customHeight="1" x14ac:dyDescent="0.35">
      <c r="X275" s="97"/>
      <c r="Y275" s="97"/>
      <c r="Z275" s="97"/>
      <c r="AA275" s="97"/>
      <c r="AB275" s="97"/>
      <c r="AC275" s="97"/>
      <c r="AD275" s="97"/>
      <c r="AE275" s="97"/>
      <c r="AF275" s="97"/>
      <c r="AG275" s="97"/>
      <c r="AH275" s="97"/>
      <c r="AI275" s="97"/>
      <c r="AK275" s="97"/>
      <c r="AL275" s="97"/>
      <c r="AM275" s="97"/>
      <c r="AN275" s="97"/>
    </row>
    <row r="276" spans="24:40" ht="24.75" customHeight="1" x14ac:dyDescent="0.35">
      <c r="X276" s="97"/>
      <c r="Y276" s="97"/>
      <c r="Z276" s="97"/>
      <c r="AA276" s="97"/>
      <c r="AB276" s="97"/>
      <c r="AC276" s="97"/>
      <c r="AD276" s="97"/>
      <c r="AE276" s="97"/>
      <c r="AF276" s="97"/>
      <c r="AG276" s="97"/>
      <c r="AH276" s="97"/>
      <c r="AI276" s="97"/>
      <c r="AK276" s="97"/>
      <c r="AL276" s="97"/>
      <c r="AM276" s="97"/>
      <c r="AN276" s="97"/>
    </row>
    <row r="277" spans="24:40" ht="24.75" customHeight="1" x14ac:dyDescent="0.35">
      <c r="X277" s="97"/>
      <c r="Y277" s="97"/>
      <c r="Z277" s="97"/>
      <c r="AA277" s="97"/>
      <c r="AB277" s="97"/>
      <c r="AC277" s="97"/>
      <c r="AD277" s="97"/>
      <c r="AE277" s="97"/>
      <c r="AF277" s="97"/>
      <c r="AG277" s="97"/>
      <c r="AH277" s="97"/>
      <c r="AI277" s="97"/>
      <c r="AK277" s="97"/>
      <c r="AL277" s="97"/>
      <c r="AM277" s="97"/>
      <c r="AN277" s="97"/>
    </row>
    <row r="278" spans="24:40" ht="24.75" customHeight="1" x14ac:dyDescent="0.35">
      <c r="X278" s="97"/>
      <c r="Y278" s="97"/>
      <c r="Z278" s="97"/>
      <c r="AA278" s="97"/>
      <c r="AB278" s="97"/>
      <c r="AC278" s="97"/>
      <c r="AD278" s="97"/>
      <c r="AE278" s="97"/>
      <c r="AF278" s="97"/>
      <c r="AG278" s="97"/>
      <c r="AH278" s="97"/>
      <c r="AI278" s="97"/>
      <c r="AK278" s="97"/>
      <c r="AL278" s="97"/>
      <c r="AM278" s="97"/>
      <c r="AN278" s="97"/>
    </row>
    <row r="279" spans="24:40" ht="24.75" customHeight="1" x14ac:dyDescent="0.35">
      <c r="X279" s="97"/>
      <c r="Y279" s="97"/>
      <c r="Z279" s="97"/>
      <c r="AA279" s="97"/>
      <c r="AB279" s="97"/>
      <c r="AC279" s="97"/>
      <c r="AD279" s="97"/>
      <c r="AE279" s="97"/>
      <c r="AF279" s="97"/>
      <c r="AG279" s="97"/>
      <c r="AH279" s="97"/>
      <c r="AI279" s="97"/>
      <c r="AK279" s="97"/>
      <c r="AL279" s="97"/>
      <c r="AM279" s="97"/>
      <c r="AN279" s="97"/>
    </row>
    <row r="280" spans="24:40" ht="24.75" customHeight="1" x14ac:dyDescent="0.35">
      <c r="X280" s="97"/>
      <c r="Y280" s="97"/>
      <c r="Z280" s="97"/>
      <c r="AA280" s="97"/>
      <c r="AB280" s="97"/>
      <c r="AC280" s="97"/>
      <c r="AD280" s="97"/>
      <c r="AE280" s="97"/>
      <c r="AF280" s="97"/>
      <c r="AG280" s="97"/>
      <c r="AH280" s="97"/>
      <c r="AI280" s="97"/>
      <c r="AK280" s="97"/>
      <c r="AL280" s="97"/>
      <c r="AM280" s="97"/>
      <c r="AN280" s="97"/>
    </row>
    <row r="281" spans="24:40" ht="24.75" customHeight="1" x14ac:dyDescent="0.35">
      <c r="X281" s="97"/>
      <c r="Y281" s="97"/>
      <c r="Z281" s="97"/>
      <c r="AA281" s="97"/>
      <c r="AB281" s="97"/>
      <c r="AC281" s="97"/>
      <c r="AD281" s="97"/>
      <c r="AE281" s="97"/>
      <c r="AF281" s="97"/>
      <c r="AG281" s="97"/>
      <c r="AH281" s="97"/>
      <c r="AI281" s="97"/>
      <c r="AK281" s="97"/>
      <c r="AL281" s="97"/>
      <c r="AM281" s="97"/>
      <c r="AN281" s="97"/>
    </row>
    <row r="282" spans="24:40" ht="24.75" customHeight="1" x14ac:dyDescent="0.35">
      <c r="X282" s="97"/>
      <c r="Y282" s="97"/>
      <c r="Z282" s="97"/>
      <c r="AA282" s="97"/>
      <c r="AB282" s="97"/>
      <c r="AC282" s="97"/>
      <c r="AD282" s="97"/>
      <c r="AE282" s="97"/>
      <c r="AF282" s="97"/>
      <c r="AG282" s="97"/>
      <c r="AH282" s="97"/>
      <c r="AI282" s="97"/>
      <c r="AK282" s="97"/>
      <c r="AL282" s="97"/>
      <c r="AM282" s="97"/>
      <c r="AN282" s="97"/>
    </row>
    <row r="283" spans="24:40" ht="24.75" customHeight="1" x14ac:dyDescent="0.35">
      <c r="X283" s="97"/>
      <c r="Y283" s="97"/>
      <c r="Z283" s="97"/>
      <c r="AA283" s="97"/>
      <c r="AB283" s="97"/>
      <c r="AC283" s="97"/>
      <c r="AD283" s="97"/>
      <c r="AE283" s="97"/>
      <c r="AF283" s="97"/>
      <c r="AG283" s="97"/>
      <c r="AH283" s="97"/>
      <c r="AI283" s="97"/>
      <c r="AK283" s="97"/>
      <c r="AL283" s="97"/>
      <c r="AM283" s="97"/>
      <c r="AN283" s="97"/>
    </row>
    <row r="284" spans="24:40" ht="24.75" customHeight="1" x14ac:dyDescent="0.35">
      <c r="X284" s="97"/>
      <c r="Y284" s="97"/>
      <c r="Z284" s="97"/>
      <c r="AA284" s="97"/>
      <c r="AB284" s="97"/>
      <c r="AC284" s="97"/>
      <c r="AD284" s="97"/>
      <c r="AE284" s="97"/>
      <c r="AF284" s="97"/>
      <c r="AG284" s="97"/>
      <c r="AH284" s="97"/>
      <c r="AI284" s="97"/>
      <c r="AK284" s="97"/>
      <c r="AL284" s="97"/>
      <c r="AM284" s="97"/>
      <c r="AN284" s="97"/>
    </row>
    <row r="285" spans="24:40" ht="24.75" customHeight="1" x14ac:dyDescent="0.35">
      <c r="X285" s="97"/>
      <c r="Y285" s="97"/>
      <c r="Z285" s="97"/>
      <c r="AA285" s="97"/>
      <c r="AB285" s="97"/>
      <c r="AC285" s="97"/>
      <c r="AD285" s="97"/>
      <c r="AE285" s="97"/>
      <c r="AF285" s="97"/>
      <c r="AG285" s="97"/>
      <c r="AH285" s="97"/>
      <c r="AI285" s="97"/>
      <c r="AK285" s="97"/>
      <c r="AL285" s="97"/>
      <c r="AM285" s="97"/>
      <c r="AN285" s="97"/>
    </row>
    <row r="286" spans="24:40" ht="24.75" customHeight="1" x14ac:dyDescent="0.35">
      <c r="X286" s="97"/>
      <c r="Y286" s="97"/>
      <c r="Z286" s="97"/>
      <c r="AA286" s="97"/>
      <c r="AB286" s="97"/>
      <c r="AC286" s="97"/>
      <c r="AD286" s="97"/>
      <c r="AE286" s="97"/>
      <c r="AF286" s="97"/>
      <c r="AG286" s="97"/>
      <c r="AH286" s="97"/>
      <c r="AI286" s="97"/>
      <c r="AK286" s="97"/>
      <c r="AL286" s="97"/>
      <c r="AM286" s="97"/>
      <c r="AN286" s="97"/>
    </row>
    <row r="287" spans="24:40" ht="24.75" customHeight="1" x14ac:dyDescent="0.35">
      <c r="X287" s="97"/>
      <c r="Y287" s="97"/>
      <c r="Z287" s="97"/>
      <c r="AA287" s="97"/>
      <c r="AB287" s="97"/>
      <c r="AC287" s="97"/>
      <c r="AD287" s="97"/>
      <c r="AE287" s="97"/>
      <c r="AF287" s="97"/>
      <c r="AG287" s="97"/>
      <c r="AH287" s="97"/>
      <c r="AI287" s="97"/>
      <c r="AK287" s="97"/>
      <c r="AL287" s="97"/>
      <c r="AM287" s="97"/>
      <c r="AN287" s="97"/>
    </row>
    <row r="288" spans="24:40" ht="24.75" customHeight="1" x14ac:dyDescent="0.35">
      <c r="X288" s="97"/>
      <c r="Y288" s="97"/>
      <c r="Z288" s="97"/>
      <c r="AA288" s="97"/>
      <c r="AB288" s="97"/>
      <c r="AC288" s="97"/>
      <c r="AD288" s="97"/>
      <c r="AE288" s="97"/>
      <c r="AF288" s="97"/>
      <c r="AG288" s="97"/>
      <c r="AH288" s="97"/>
      <c r="AI288" s="97"/>
      <c r="AK288" s="97"/>
      <c r="AL288" s="97"/>
      <c r="AM288" s="97"/>
      <c r="AN288" s="97"/>
    </row>
    <row r="289" spans="24:40" ht="24.75" customHeight="1" x14ac:dyDescent="0.35">
      <c r="X289" s="97"/>
      <c r="Y289" s="97"/>
      <c r="Z289" s="97"/>
      <c r="AA289" s="97"/>
      <c r="AB289" s="97"/>
      <c r="AC289" s="97"/>
      <c r="AD289" s="97"/>
      <c r="AE289" s="97"/>
      <c r="AF289" s="97"/>
      <c r="AG289" s="97"/>
      <c r="AH289" s="97"/>
      <c r="AI289" s="97"/>
      <c r="AK289" s="97"/>
      <c r="AL289" s="97"/>
      <c r="AM289" s="97"/>
      <c r="AN289" s="97"/>
    </row>
    <row r="290" spans="24:40" ht="24.75" customHeight="1" x14ac:dyDescent="0.35">
      <c r="X290" s="97"/>
      <c r="Y290" s="97"/>
      <c r="Z290" s="97"/>
      <c r="AA290" s="97"/>
      <c r="AB290" s="97"/>
      <c r="AC290" s="97"/>
      <c r="AD290" s="97"/>
      <c r="AE290" s="97"/>
      <c r="AF290" s="97"/>
      <c r="AG290" s="97"/>
      <c r="AH290" s="97"/>
      <c r="AI290" s="97"/>
      <c r="AK290" s="97"/>
      <c r="AL290" s="97"/>
      <c r="AM290" s="97"/>
      <c r="AN290" s="97"/>
    </row>
    <row r="291" spans="24:40" ht="24.75" customHeight="1" x14ac:dyDescent="0.35">
      <c r="X291" s="97"/>
      <c r="Y291" s="97"/>
      <c r="Z291" s="97"/>
      <c r="AA291" s="97"/>
      <c r="AB291" s="97"/>
      <c r="AC291" s="97"/>
      <c r="AD291" s="97"/>
      <c r="AE291" s="97"/>
      <c r="AF291" s="97"/>
      <c r="AG291" s="97"/>
      <c r="AH291" s="97"/>
      <c r="AI291" s="97"/>
      <c r="AK291" s="97"/>
      <c r="AL291" s="97"/>
      <c r="AM291" s="97"/>
      <c r="AN291" s="97"/>
    </row>
    <row r="292" spans="24:40" ht="24.75" customHeight="1" x14ac:dyDescent="0.35">
      <c r="X292" s="97"/>
      <c r="Y292" s="97"/>
      <c r="Z292" s="97"/>
      <c r="AA292" s="97"/>
      <c r="AB292" s="97"/>
      <c r="AC292" s="97"/>
      <c r="AD292" s="97"/>
      <c r="AE292" s="97"/>
      <c r="AF292" s="97"/>
      <c r="AG292" s="97"/>
      <c r="AH292" s="97"/>
      <c r="AI292" s="97"/>
      <c r="AK292" s="97"/>
      <c r="AL292" s="97"/>
      <c r="AM292" s="97"/>
      <c r="AN292" s="97"/>
    </row>
    <row r="293" spans="24:40" ht="24.75" customHeight="1" x14ac:dyDescent="0.35">
      <c r="X293" s="97"/>
      <c r="Y293" s="97"/>
      <c r="Z293" s="97"/>
      <c r="AA293" s="97"/>
      <c r="AB293" s="97"/>
      <c r="AC293" s="97"/>
      <c r="AD293" s="97"/>
      <c r="AE293" s="97"/>
      <c r="AF293" s="97"/>
      <c r="AG293" s="97"/>
      <c r="AH293" s="97"/>
      <c r="AI293" s="97"/>
      <c r="AK293" s="97"/>
      <c r="AL293" s="97"/>
      <c r="AM293" s="97"/>
      <c r="AN293" s="97"/>
    </row>
    <row r="294" spans="24:40" ht="24.75" customHeight="1" x14ac:dyDescent="0.35">
      <c r="X294" s="97"/>
      <c r="Y294" s="97"/>
      <c r="Z294" s="97"/>
      <c r="AA294" s="97"/>
      <c r="AB294" s="97"/>
      <c r="AC294" s="97"/>
      <c r="AD294" s="97"/>
      <c r="AE294" s="97"/>
      <c r="AF294" s="97"/>
      <c r="AG294" s="97"/>
      <c r="AH294" s="97"/>
      <c r="AI294" s="97"/>
      <c r="AK294" s="97"/>
      <c r="AL294" s="97"/>
      <c r="AM294" s="97"/>
      <c r="AN294" s="97"/>
    </row>
    <row r="295" spans="24:40" ht="24.75" customHeight="1" x14ac:dyDescent="0.35">
      <c r="X295" s="97"/>
      <c r="Y295" s="97"/>
      <c r="Z295" s="97"/>
      <c r="AA295" s="97"/>
      <c r="AB295" s="97"/>
      <c r="AC295" s="97"/>
      <c r="AD295" s="97"/>
      <c r="AE295" s="97"/>
      <c r="AF295" s="97"/>
      <c r="AG295" s="97"/>
      <c r="AH295" s="97"/>
      <c r="AI295" s="97"/>
      <c r="AK295" s="97"/>
      <c r="AL295" s="97"/>
      <c r="AM295" s="97"/>
      <c r="AN295" s="97"/>
    </row>
    <row r="296" spans="24:40" ht="24.75" customHeight="1" x14ac:dyDescent="0.35">
      <c r="X296" s="97"/>
      <c r="Y296" s="97"/>
      <c r="Z296" s="97"/>
      <c r="AA296" s="97"/>
      <c r="AB296" s="97"/>
      <c r="AC296" s="97"/>
      <c r="AD296" s="97"/>
      <c r="AE296" s="97"/>
      <c r="AF296" s="97"/>
      <c r="AG296" s="97"/>
      <c r="AH296" s="97"/>
      <c r="AI296" s="97"/>
      <c r="AK296" s="97"/>
      <c r="AL296" s="97"/>
      <c r="AM296" s="97"/>
      <c r="AN296" s="97"/>
    </row>
    <row r="297" spans="24:40" ht="24.75" customHeight="1" x14ac:dyDescent="0.35">
      <c r="X297" s="97"/>
      <c r="Y297" s="97"/>
      <c r="Z297" s="97"/>
      <c r="AA297" s="97"/>
      <c r="AB297" s="97"/>
      <c r="AC297" s="97"/>
      <c r="AD297" s="97"/>
      <c r="AE297" s="97"/>
      <c r="AF297" s="97"/>
      <c r="AG297" s="97"/>
      <c r="AH297" s="97"/>
      <c r="AI297" s="97"/>
      <c r="AK297" s="97"/>
      <c r="AL297" s="97"/>
      <c r="AM297" s="97"/>
      <c r="AN297" s="97"/>
    </row>
    <row r="298" spans="24:40" ht="24.75" customHeight="1" x14ac:dyDescent="0.35">
      <c r="X298" s="97"/>
      <c r="Y298" s="97"/>
      <c r="Z298" s="97"/>
      <c r="AA298" s="97"/>
      <c r="AB298" s="97"/>
      <c r="AC298" s="97"/>
      <c r="AD298" s="97"/>
      <c r="AE298" s="97"/>
      <c r="AF298" s="97"/>
      <c r="AG298" s="97"/>
      <c r="AH298" s="97"/>
      <c r="AI298" s="97"/>
      <c r="AK298" s="97"/>
      <c r="AL298" s="97"/>
      <c r="AM298" s="97"/>
      <c r="AN298" s="97"/>
    </row>
    <row r="299" spans="24:40" ht="24.75" customHeight="1" x14ac:dyDescent="0.35">
      <c r="X299" s="97"/>
      <c r="Y299" s="97"/>
      <c r="Z299" s="97"/>
      <c r="AA299" s="97"/>
      <c r="AB299" s="97"/>
      <c r="AC299" s="97"/>
      <c r="AD299" s="97"/>
      <c r="AE299" s="97"/>
      <c r="AF299" s="97"/>
      <c r="AG299" s="97"/>
      <c r="AH299" s="97"/>
      <c r="AI299" s="97"/>
      <c r="AK299" s="97"/>
      <c r="AL299" s="97"/>
      <c r="AM299" s="97"/>
      <c r="AN299" s="97"/>
    </row>
    <row r="300" spans="24:40" ht="24.75" customHeight="1" x14ac:dyDescent="0.35">
      <c r="X300" s="97"/>
      <c r="Y300" s="97"/>
      <c r="Z300" s="97"/>
      <c r="AA300" s="97"/>
      <c r="AB300" s="97"/>
      <c r="AC300" s="97"/>
      <c r="AD300" s="97"/>
      <c r="AE300" s="97"/>
      <c r="AF300" s="97"/>
      <c r="AG300" s="97"/>
      <c r="AH300" s="97"/>
      <c r="AI300" s="97"/>
      <c r="AK300" s="97"/>
      <c r="AL300" s="97"/>
      <c r="AM300" s="97"/>
      <c r="AN300" s="97"/>
    </row>
    <row r="301" spans="24:40" ht="24.75" customHeight="1" x14ac:dyDescent="0.35">
      <c r="X301" s="97"/>
      <c r="Y301" s="97"/>
      <c r="Z301" s="97"/>
      <c r="AA301" s="97"/>
      <c r="AB301" s="97"/>
      <c r="AC301" s="97"/>
      <c r="AD301" s="97"/>
      <c r="AE301" s="97"/>
      <c r="AF301" s="97"/>
      <c r="AG301" s="97"/>
      <c r="AH301" s="97"/>
      <c r="AI301" s="97"/>
      <c r="AK301" s="97"/>
      <c r="AL301" s="97"/>
      <c r="AM301" s="97"/>
      <c r="AN301" s="97"/>
    </row>
    <row r="302" spans="24:40" ht="24.75" customHeight="1" x14ac:dyDescent="0.35">
      <c r="X302" s="97"/>
      <c r="Y302" s="97"/>
      <c r="Z302" s="97"/>
      <c r="AA302" s="97"/>
      <c r="AB302" s="97"/>
      <c r="AC302" s="97"/>
      <c r="AD302" s="97"/>
      <c r="AE302" s="97"/>
      <c r="AF302" s="97"/>
      <c r="AG302" s="97"/>
      <c r="AH302" s="97"/>
      <c r="AI302" s="97"/>
      <c r="AK302" s="97"/>
      <c r="AL302" s="97"/>
      <c r="AM302" s="97"/>
      <c r="AN302" s="97"/>
    </row>
    <row r="303" spans="24:40" ht="24.75" customHeight="1" x14ac:dyDescent="0.35">
      <c r="X303" s="97"/>
      <c r="Y303" s="97"/>
      <c r="Z303" s="97"/>
      <c r="AA303" s="97"/>
      <c r="AB303" s="97"/>
      <c r="AC303" s="97"/>
      <c r="AD303" s="97"/>
      <c r="AE303" s="97"/>
      <c r="AF303" s="97"/>
      <c r="AG303" s="97"/>
      <c r="AH303" s="97"/>
      <c r="AI303" s="97"/>
      <c r="AK303" s="97"/>
      <c r="AL303" s="97"/>
      <c r="AM303" s="97"/>
      <c r="AN303" s="97"/>
    </row>
    <row r="304" spans="24:40" ht="24.75" customHeight="1" x14ac:dyDescent="0.35">
      <c r="X304" s="97"/>
      <c r="Y304" s="97"/>
      <c r="Z304" s="97"/>
      <c r="AA304" s="97"/>
      <c r="AB304" s="97"/>
      <c r="AC304" s="97"/>
      <c r="AD304" s="97"/>
      <c r="AE304" s="97"/>
      <c r="AF304" s="97"/>
      <c r="AG304" s="97"/>
      <c r="AH304" s="97"/>
      <c r="AI304" s="97"/>
      <c r="AK304" s="97"/>
      <c r="AL304" s="97"/>
      <c r="AM304" s="97"/>
      <c r="AN304" s="97"/>
    </row>
    <row r="305" spans="24:40" ht="24.75" customHeight="1" x14ac:dyDescent="0.35">
      <c r="X305" s="97"/>
      <c r="Y305" s="97"/>
      <c r="Z305" s="97"/>
      <c r="AA305" s="97"/>
      <c r="AB305" s="97"/>
      <c r="AC305" s="97"/>
      <c r="AD305" s="97"/>
      <c r="AE305" s="97"/>
      <c r="AF305" s="97"/>
      <c r="AG305" s="97"/>
      <c r="AH305" s="97"/>
      <c r="AI305" s="97"/>
      <c r="AK305" s="97"/>
      <c r="AL305" s="97"/>
      <c r="AM305" s="97"/>
      <c r="AN305" s="97"/>
    </row>
    <row r="306" spans="24:40" ht="24.75" customHeight="1" x14ac:dyDescent="0.35">
      <c r="X306" s="97"/>
      <c r="Y306" s="97"/>
      <c r="Z306" s="97"/>
      <c r="AA306" s="97"/>
      <c r="AB306" s="97"/>
      <c r="AC306" s="97"/>
      <c r="AD306" s="97"/>
      <c r="AE306" s="97"/>
      <c r="AF306" s="97"/>
      <c r="AG306" s="97"/>
      <c r="AH306" s="97"/>
      <c r="AI306" s="97"/>
      <c r="AK306" s="97"/>
      <c r="AL306" s="97"/>
      <c r="AM306" s="97"/>
      <c r="AN306" s="97"/>
    </row>
    <row r="307" spans="24:40" ht="24.75" customHeight="1" x14ac:dyDescent="0.35">
      <c r="X307" s="97"/>
      <c r="Y307" s="97"/>
      <c r="Z307" s="97"/>
      <c r="AA307" s="97"/>
      <c r="AB307" s="97"/>
      <c r="AC307" s="97"/>
      <c r="AD307" s="97"/>
      <c r="AE307" s="97"/>
      <c r="AF307" s="97"/>
      <c r="AG307" s="97"/>
      <c r="AH307" s="97"/>
      <c r="AI307" s="97"/>
      <c r="AK307" s="97"/>
      <c r="AL307" s="97"/>
      <c r="AM307" s="97"/>
      <c r="AN307" s="97"/>
    </row>
    <row r="308" spans="24:40" ht="24.75" customHeight="1" x14ac:dyDescent="0.35">
      <c r="X308" s="97"/>
      <c r="Y308" s="97"/>
      <c r="Z308" s="97"/>
      <c r="AA308" s="97"/>
      <c r="AB308" s="97"/>
      <c r="AC308" s="97"/>
      <c r="AD308" s="97"/>
      <c r="AE308" s="97"/>
      <c r="AF308" s="97"/>
      <c r="AG308" s="97"/>
      <c r="AH308" s="97"/>
      <c r="AI308" s="97"/>
      <c r="AK308" s="97"/>
      <c r="AL308" s="97"/>
      <c r="AM308" s="97"/>
      <c r="AN308" s="97"/>
    </row>
    <row r="309" spans="24:40" ht="24.75" customHeight="1" x14ac:dyDescent="0.35">
      <c r="X309" s="97"/>
      <c r="Y309" s="97"/>
      <c r="Z309" s="97"/>
      <c r="AA309" s="97"/>
      <c r="AB309" s="97"/>
      <c r="AC309" s="97"/>
      <c r="AD309" s="97"/>
      <c r="AE309" s="97"/>
      <c r="AF309" s="97"/>
      <c r="AG309" s="97"/>
      <c r="AH309" s="97"/>
      <c r="AI309" s="97"/>
      <c r="AK309" s="97"/>
      <c r="AL309" s="97"/>
      <c r="AM309" s="97"/>
      <c r="AN309" s="97"/>
    </row>
    <row r="310" spans="24:40" ht="24.75" customHeight="1" x14ac:dyDescent="0.35">
      <c r="X310" s="97"/>
      <c r="Y310" s="97"/>
      <c r="Z310" s="97"/>
      <c r="AA310" s="97"/>
      <c r="AB310" s="97"/>
      <c r="AC310" s="97"/>
      <c r="AD310" s="97"/>
      <c r="AE310" s="97"/>
      <c r="AF310" s="97"/>
      <c r="AG310" s="97"/>
      <c r="AH310" s="97"/>
      <c r="AI310" s="97"/>
      <c r="AK310" s="97"/>
      <c r="AL310" s="97"/>
      <c r="AM310" s="97"/>
      <c r="AN310" s="97"/>
    </row>
    <row r="311" spans="24:40" ht="24.75" customHeight="1" x14ac:dyDescent="0.35">
      <c r="X311" s="97"/>
      <c r="Y311" s="97"/>
      <c r="Z311" s="97"/>
      <c r="AA311" s="97"/>
      <c r="AB311" s="97"/>
      <c r="AC311" s="97"/>
      <c r="AD311" s="97"/>
      <c r="AE311" s="97"/>
      <c r="AF311" s="97"/>
      <c r="AG311" s="97"/>
      <c r="AH311" s="97"/>
      <c r="AI311" s="97"/>
      <c r="AK311" s="97"/>
      <c r="AL311" s="97"/>
      <c r="AM311" s="97"/>
      <c r="AN311" s="97"/>
    </row>
    <row r="312" spans="24:40" ht="24.75" customHeight="1" x14ac:dyDescent="0.35">
      <c r="X312" s="97"/>
      <c r="Y312" s="97"/>
      <c r="Z312" s="97"/>
      <c r="AA312" s="97"/>
      <c r="AB312" s="97"/>
      <c r="AC312" s="97"/>
      <c r="AD312" s="97"/>
      <c r="AE312" s="97"/>
      <c r="AF312" s="97"/>
      <c r="AG312" s="97"/>
      <c r="AH312" s="97"/>
      <c r="AI312" s="97"/>
      <c r="AK312" s="97"/>
      <c r="AL312" s="97"/>
      <c r="AM312" s="97"/>
      <c r="AN312" s="97"/>
    </row>
    <row r="313" spans="24:40" ht="24.75" customHeight="1" x14ac:dyDescent="0.35">
      <c r="X313" s="97"/>
      <c r="Y313" s="97"/>
      <c r="Z313" s="97"/>
      <c r="AA313" s="97"/>
      <c r="AB313" s="97"/>
      <c r="AC313" s="97"/>
      <c r="AD313" s="97"/>
      <c r="AE313" s="97"/>
      <c r="AF313" s="97"/>
      <c r="AG313" s="97"/>
      <c r="AH313" s="97"/>
      <c r="AI313" s="97"/>
      <c r="AK313" s="97"/>
      <c r="AL313" s="97"/>
      <c r="AM313" s="97"/>
      <c r="AN313" s="97"/>
    </row>
    <row r="314" spans="24:40" ht="24.75" customHeight="1" x14ac:dyDescent="0.35">
      <c r="X314" s="97"/>
      <c r="Y314" s="97"/>
      <c r="Z314" s="97"/>
      <c r="AA314" s="97"/>
      <c r="AB314" s="97"/>
      <c r="AC314" s="97"/>
      <c r="AD314" s="97"/>
      <c r="AE314" s="97"/>
      <c r="AF314" s="97"/>
      <c r="AG314" s="97"/>
      <c r="AH314" s="97"/>
      <c r="AI314" s="97"/>
      <c r="AK314" s="97"/>
      <c r="AL314" s="97"/>
      <c r="AM314" s="97"/>
      <c r="AN314" s="97"/>
    </row>
    <row r="315" spans="24:40" ht="24.75" customHeight="1" x14ac:dyDescent="0.35">
      <c r="X315" s="97"/>
      <c r="Y315" s="97"/>
      <c r="Z315" s="97"/>
      <c r="AA315" s="97"/>
      <c r="AB315" s="97"/>
      <c r="AC315" s="97"/>
      <c r="AD315" s="97"/>
      <c r="AE315" s="97"/>
      <c r="AF315" s="97"/>
      <c r="AG315" s="97"/>
      <c r="AH315" s="97"/>
      <c r="AI315" s="97"/>
      <c r="AK315" s="97"/>
      <c r="AL315" s="97"/>
      <c r="AM315" s="97"/>
      <c r="AN315" s="97"/>
    </row>
    <row r="316" spans="24:40" ht="24.75" customHeight="1" x14ac:dyDescent="0.35">
      <c r="X316" s="97"/>
      <c r="Y316" s="97"/>
      <c r="Z316" s="97"/>
      <c r="AA316" s="97"/>
      <c r="AB316" s="97"/>
      <c r="AC316" s="97"/>
      <c r="AD316" s="97"/>
      <c r="AE316" s="97"/>
      <c r="AF316" s="97"/>
      <c r="AG316" s="97"/>
      <c r="AH316" s="97"/>
      <c r="AI316" s="97"/>
      <c r="AK316" s="97"/>
      <c r="AL316" s="97"/>
      <c r="AM316" s="97"/>
      <c r="AN316" s="97"/>
    </row>
    <row r="317" spans="24:40" ht="24.75" customHeight="1" x14ac:dyDescent="0.35">
      <c r="X317" s="97"/>
      <c r="Y317" s="97"/>
      <c r="Z317" s="97"/>
      <c r="AA317" s="97"/>
      <c r="AB317" s="97"/>
      <c r="AC317" s="97"/>
      <c r="AD317" s="97"/>
      <c r="AE317" s="97"/>
      <c r="AF317" s="97"/>
      <c r="AG317" s="97"/>
      <c r="AH317" s="97"/>
      <c r="AI317" s="97"/>
      <c r="AK317" s="97"/>
      <c r="AL317" s="97"/>
      <c r="AM317" s="97"/>
      <c r="AN317" s="97"/>
    </row>
    <row r="318" spans="24:40" ht="24.75" customHeight="1" x14ac:dyDescent="0.35">
      <c r="X318" s="97"/>
      <c r="Y318" s="97"/>
      <c r="Z318" s="97"/>
      <c r="AA318" s="97"/>
      <c r="AB318" s="97"/>
      <c r="AC318" s="97"/>
      <c r="AD318" s="97"/>
      <c r="AE318" s="97"/>
      <c r="AF318" s="97"/>
      <c r="AG318" s="97"/>
      <c r="AH318" s="97"/>
      <c r="AI318" s="97"/>
      <c r="AK318" s="97"/>
      <c r="AL318" s="97"/>
      <c r="AM318" s="97"/>
      <c r="AN318" s="97"/>
    </row>
    <row r="319" spans="24:40" ht="24.75" customHeight="1" x14ac:dyDescent="0.35">
      <c r="X319" s="97"/>
      <c r="Y319" s="97"/>
      <c r="Z319" s="97"/>
      <c r="AA319" s="97"/>
      <c r="AB319" s="97"/>
      <c r="AC319" s="97"/>
      <c r="AD319" s="97"/>
      <c r="AE319" s="97"/>
      <c r="AF319" s="97"/>
      <c r="AG319" s="97"/>
      <c r="AH319" s="97"/>
      <c r="AI319" s="97"/>
      <c r="AK319" s="97"/>
      <c r="AL319" s="97"/>
      <c r="AM319" s="97"/>
      <c r="AN319" s="97"/>
    </row>
    <row r="320" spans="24:40" ht="24.75" customHeight="1" x14ac:dyDescent="0.35">
      <c r="X320" s="97"/>
      <c r="Y320" s="97"/>
      <c r="Z320" s="97"/>
      <c r="AA320" s="97"/>
      <c r="AB320" s="97"/>
      <c r="AC320" s="97"/>
      <c r="AD320" s="97"/>
      <c r="AE320" s="97"/>
      <c r="AF320" s="97"/>
      <c r="AG320" s="97"/>
      <c r="AH320" s="97"/>
      <c r="AI320" s="97"/>
      <c r="AK320" s="97"/>
      <c r="AL320" s="97"/>
      <c r="AM320" s="97"/>
      <c r="AN320" s="97"/>
    </row>
    <row r="321" spans="24:40" ht="24.75" customHeight="1" x14ac:dyDescent="0.35">
      <c r="X321" s="97"/>
      <c r="Y321" s="97"/>
      <c r="Z321" s="97"/>
      <c r="AA321" s="97"/>
      <c r="AB321" s="97"/>
      <c r="AC321" s="97"/>
      <c r="AD321" s="97"/>
      <c r="AE321" s="97"/>
      <c r="AF321" s="97"/>
      <c r="AG321" s="97"/>
      <c r="AH321" s="97"/>
      <c r="AI321" s="97"/>
      <c r="AK321" s="97"/>
      <c r="AL321" s="97"/>
      <c r="AM321" s="97"/>
      <c r="AN321" s="97"/>
    </row>
    <row r="322" spans="24:40" ht="24.75" customHeight="1" x14ac:dyDescent="0.35">
      <c r="X322" s="97"/>
      <c r="Y322" s="97"/>
      <c r="Z322" s="97"/>
      <c r="AA322" s="97"/>
      <c r="AB322" s="97"/>
      <c r="AC322" s="97"/>
      <c r="AD322" s="97"/>
      <c r="AE322" s="97"/>
      <c r="AF322" s="97"/>
      <c r="AG322" s="97"/>
      <c r="AH322" s="97"/>
      <c r="AI322" s="97"/>
      <c r="AK322" s="97"/>
      <c r="AL322" s="97"/>
      <c r="AM322" s="97"/>
      <c r="AN322" s="97"/>
    </row>
    <row r="323" spans="24:40" ht="24.75" customHeight="1" x14ac:dyDescent="0.35">
      <c r="X323" s="97"/>
      <c r="Y323" s="97"/>
      <c r="Z323" s="97"/>
      <c r="AA323" s="97"/>
      <c r="AB323" s="97"/>
      <c r="AC323" s="97"/>
      <c r="AD323" s="97"/>
      <c r="AE323" s="97"/>
      <c r="AF323" s="97"/>
      <c r="AG323" s="97"/>
      <c r="AH323" s="97"/>
      <c r="AI323" s="97"/>
      <c r="AK323" s="97"/>
      <c r="AL323" s="97"/>
      <c r="AM323" s="97"/>
      <c r="AN323" s="97"/>
    </row>
    <row r="324" spans="24:40" ht="24.75" customHeight="1" x14ac:dyDescent="0.35">
      <c r="X324" s="97"/>
      <c r="Y324" s="97"/>
      <c r="Z324" s="97"/>
      <c r="AA324" s="97"/>
      <c r="AB324" s="97"/>
      <c r="AC324" s="97"/>
      <c r="AD324" s="97"/>
      <c r="AE324" s="97"/>
      <c r="AF324" s="97"/>
      <c r="AG324" s="97"/>
      <c r="AH324" s="97"/>
      <c r="AI324" s="97"/>
      <c r="AK324" s="97"/>
      <c r="AL324" s="97"/>
      <c r="AM324" s="97"/>
      <c r="AN324" s="97"/>
    </row>
    <row r="325" spans="24:40" ht="24.75" customHeight="1" x14ac:dyDescent="0.35">
      <c r="X325" s="97"/>
      <c r="Y325" s="97"/>
      <c r="Z325" s="97"/>
      <c r="AA325" s="97"/>
      <c r="AB325" s="97"/>
      <c r="AC325" s="97"/>
      <c r="AD325" s="97"/>
      <c r="AE325" s="97"/>
      <c r="AF325" s="97"/>
      <c r="AG325" s="97"/>
      <c r="AH325" s="97"/>
      <c r="AI325" s="97"/>
      <c r="AK325" s="97"/>
      <c r="AL325" s="97"/>
      <c r="AM325" s="97"/>
      <c r="AN325" s="97"/>
    </row>
    <row r="326" spans="24:40" ht="24.75" customHeight="1" x14ac:dyDescent="0.35">
      <c r="X326" s="97"/>
      <c r="Y326" s="97"/>
      <c r="Z326" s="97"/>
      <c r="AA326" s="97"/>
      <c r="AB326" s="97"/>
      <c r="AC326" s="97"/>
      <c r="AD326" s="97"/>
      <c r="AE326" s="97"/>
      <c r="AF326" s="97"/>
      <c r="AG326" s="97"/>
      <c r="AH326" s="97"/>
      <c r="AI326" s="97"/>
      <c r="AK326" s="97"/>
      <c r="AL326" s="97"/>
      <c r="AM326" s="97"/>
      <c r="AN326" s="97"/>
    </row>
    <row r="327" spans="24:40" ht="24.75" customHeight="1" x14ac:dyDescent="0.35">
      <c r="X327" s="97"/>
      <c r="Y327" s="97"/>
      <c r="Z327" s="97"/>
      <c r="AA327" s="97"/>
      <c r="AB327" s="97"/>
      <c r="AC327" s="97"/>
      <c r="AD327" s="97"/>
      <c r="AE327" s="97"/>
      <c r="AF327" s="97"/>
      <c r="AG327" s="97"/>
      <c r="AH327" s="97"/>
      <c r="AI327" s="97"/>
      <c r="AK327" s="97"/>
      <c r="AL327" s="97"/>
      <c r="AM327" s="97"/>
      <c r="AN327" s="97"/>
    </row>
    <row r="328" spans="24:40" ht="24.75" customHeight="1" x14ac:dyDescent="0.35">
      <c r="X328" s="97"/>
      <c r="Y328" s="97"/>
      <c r="Z328" s="97"/>
      <c r="AA328" s="97"/>
      <c r="AB328" s="97"/>
      <c r="AC328" s="97"/>
      <c r="AD328" s="97"/>
      <c r="AE328" s="97"/>
      <c r="AF328" s="97"/>
      <c r="AG328" s="97"/>
      <c r="AH328" s="97"/>
      <c r="AI328" s="97"/>
      <c r="AK328" s="97"/>
      <c r="AL328" s="97"/>
      <c r="AM328" s="97"/>
      <c r="AN328" s="97"/>
    </row>
    <row r="329" spans="24:40" ht="24.75" customHeight="1" x14ac:dyDescent="0.35">
      <c r="X329" s="97"/>
      <c r="Y329" s="97"/>
      <c r="Z329" s="97"/>
      <c r="AA329" s="97"/>
      <c r="AB329" s="97"/>
      <c r="AC329" s="97"/>
      <c r="AD329" s="97"/>
      <c r="AE329" s="97"/>
      <c r="AF329" s="97"/>
      <c r="AG329" s="97"/>
      <c r="AH329" s="97"/>
      <c r="AI329" s="97"/>
      <c r="AK329" s="97"/>
      <c r="AL329" s="97"/>
      <c r="AM329" s="97"/>
      <c r="AN329" s="97"/>
    </row>
    <row r="330" spans="24:40" ht="24.75" customHeight="1" x14ac:dyDescent="0.35">
      <c r="X330" s="97"/>
      <c r="Y330" s="97"/>
      <c r="Z330" s="97"/>
      <c r="AA330" s="97"/>
      <c r="AB330" s="97"/>
      <c r="AC330" s="97"/>
      <c r="AD330" s="97"/>
      <c r="AE330" s="97"/>
      <c r="AF330" s="97"/>
      <c r="AG330" s="97"/>
      <c r="AH330" s="97"/>
      <c r="AI330" s="97"/>
      <c r="AK330" s="97"/>
      <c r="AL330" s="97"/>
      <c r="AM330" s="97"/>
      <c r="AN330" s="97"/>
    </row>
    <row r="331" spans="24:40" ht="24.75" customHeight="1" x14ac:dyDescent="0.35">
      <c r="X331" s="97"/>
      <c r="Y331" s="97"/>
      <c r="Z331" s="97"/>
      <c r="AA331" s="97"/>
      <c r="AB331" s="97"/>
      <c r="AC331" s="97"/>
      <c r="AD331" s="97"/>
      <c r="AE331" s="97"/>
      <c r="AF331" s="97"/>
      <c r="AG331" s="97"/>
      <c r="AH331" s="97"/>
      <c r="AI331" s="97"/>
      <c r="AK331" s="97"/>
      <c r="AL331" s="97"/>
      <c r="AM331" s="97"/>
      <c r="AN331" s="97"/>
    </row>
    <row r="332" spans="24:40" ht="24.75" customHeight="1" x14ac:dyDescent="0.35">
      <c r="X332" s="97"/>
      <c r="Y332" s="97"/>
      <c r="Z332" s="97"/>
      <c r="AA332" s="97"/>
      <c r="AB332" s="97"/>
      <c r="AC332" s="97"/>
      <c r="AD332" s="97"/>
      <c r="AE332" s="97"/>
      <c r="AF332" s="97"/>
      <c r="AG332" s="97"/>
      <c r="AH332" s="97"/>
      <c r="AI332" s="97"/>
      <c r="AK332" s="97"/>
      <c r="AL332" s="97"/>
      <c r="AM332" s="97"/>
      <c r="AN332" s="97"/>
    </row>
    <row r="333" spans="24:40" ht="24.75" customHeight="1" x14ac:dyDescent="0.35">
      <c r="X333" s="97"/>
      <c r="Y333" s="97"/>
      <c r="Z333" s="97"/>
      <c r="AA333" s="97"/>
      <c r="AB333" s="97"/>
      <c r="AC333" s="97"/>
      <c r="AD333" s="97"/>
      <c r="AE333" s="97"/>
      <c r="AF333" s="97"/>
      <c r="AG333" s="97"/>
      <c r="AH333" s="97"/>
      <c r="AI333" s="97"/>
      <c r="AK333" s="97"/>
      <c r="AL333" s="97"/>
      <c r="AM333" s="97"/>
      <c r="AN333" s="97"/>
    </row>
    <row r="334" spans="24:40" ht="24.75" customHeight="1" x14ac:dyDescent="0.35">
      <c r="X334" s="97"/>
      <c r="Y334" s="97"/>
      <c r="Z334" s="97"/>
      <c r="AA334" s="97"/>
      <c r="AB334" s="97"/>
      <c r="AC334" s="97"/>
      <c r="AD334" s="97"/>
      <c r="AE334" s="97"/>
      <c r="AF334" s="97"/>
      <c r="AG334" s="97"/>
      <c r="AH334" s="97"/>
      <c r="AI334" s="97"/>
      <c r="AK334" s="97"/>
      <c r="AL334" s="97"/>
      <c r="AM334" s="97"/>
      <c r="AN334" s="97"/>
    </row>
    <row r="335" spans="24:40" ht="24.75" customHeight="1" x14ac:dyDescent="0.35">
      <c r="X335" s="97"/>
      <c r="Y335" s="97"/>
      <c r="Z335" s="97"/>
      <c r="AA335" s="97"/>
      <c r="AB335" s="97"/>
      <c r="AC335" s="97"/>
      <c r="AD335" s="97"/>
      <c r="AE335" s="97"/>
      <c r="AF335" s="97"/>
      <c r="AG335" s="97"/>
      <c r="AH335" s="97"/>
      <c r="AI335" s="97"/>
      <c r="AK335" s="97"/>
      <c r="AL335" s="97"/>
      <c r="AM335" s="97"/>
      <c r="AN335" s="97"/>
    </row>
    <row r="336" spans="24:40" ht="24.75" customHeight="1" x14ac:dyDescent="0.35">
      <c r="X336" s="97"/>
      <c r="Y336" s="97"/>
      <c r="Z336" s="97"/>
      <c r="AA336" s="97"/>
      <c r="AB336" s="97"/>
      <c r="AC336" s="97"/>
      <c r="AD336" s="97"/>
      <c r="AE336" s="97"/>
      <c r="AF336" s="97"/>
      <c r="AG336" s="97"/>
      <c r="AH336" s="97"/>
      <c r="AI336" s="97"/>
      <c r="AK336" s="97"/>
      <c r="AL336" s="97"/>
      <c r="AM336" s="97"/>
      <c r="AN336" s="97"/>
    </row>
    <row r="337" spans="24:40" ht="24.75" customHeight="1" x14ac:dyDescent="0.35">
      <c r="X337" s="97"/>
      <c r="Y337" s="97"/>
      <c r="Z337" s="97"/>
      <c r="AA337" s="97"/>
      <c r="AB337" s="97"/>
      <c r="AC337" s="97"/>
      <c r="AD337" s="97"/>
      <c r="AE337" s="97"/>
      <c r="AF337" s="97"/>
      <c r="AG337" s="97"/>
      <c r="AH337" s="97"/>
      <c r="AI337" s="97"/>
      <c r="AK337" s="97"/>
      <c r="AL337" s="97"/>
      <c r="AM337" s="97"/>
      <c r="AN337" s="97"/>
    </row>
    <row r="338" spans="24:40" ht="24.75" customHeight="1" x14ac:dyDescent="0.35">
      <c r="X338" s="97"/>
      <c r="Y338" s="97"/>
      <c r="Z338" s="97"/>
      <c r="AA338" s="97"/>
      <c r="AB338" s="97"/>
      <c r="AC338" s="97"/>
      <c r="AD338" s="97"/>
      <c r="AE338" s="97"/>
      <c r="AF338" s="97"/>
      <c r="AG338" s="97"/>
      <c r="AH338" s="97"/>
      <c r="AI338" s="97"/>
      <c r="AK338" s="97"/>
      <c r="AL338" s="97"/>
      <c r="AM338" s="97"/>
      <c r="AN338" s="97"/>
    </row>
    <row r="339" spans="24:40" ht="24.75" customHeight="1" x14ac:dyDescent="0.35">
      <c r="X339" s="97"/>
      <c r="Y339" s="97"/>
      <c r="Z339" s="97"/>
      <c r="AA339" s="97"/>
      <c r="AB339" s="97"/>
      <c r="AC339" s="97"/>
      <c r="AD339" s="97"/>
      <c r="AE339" s="97"/>
      <c r="AF339" s="97"/>
      <c r="AG339" s="97"/>
      <c r="AH339" s="97"/>
      <c r="AI339" s="97"/>
      <c r="AK339" s="97"/>
      <c r="AL339" s="97"/>
      <c r="AM339" s="97"/>
      <c r="AN339" s="97"/>
    </row>
    <row r="340" spans="24:40" ht="24.75" customHeight="1" x14ac:dyDescent="0.35">
      <c r="X340" s="97"/>
      <c r="Y340" s="97"/>
      <c r="Z340" s="97"/>
      <c r="AA340" s="97"/>
      <c r="AB340" s="97"/>
      <c r="AC340" s="97"/>
      <c r="AD340" s="97"/>
      <c r="AE340" s="97"/>
      <c r="AF340" s="97"/>
      <c r="AG340" s="97"/>
      <c r="AH340" s="97"/>
      <c r="AI340" s="97"/>
      <c r="AK340" s="97"/>
      <c r="AL340" s="97"/>
      <c r="AM340" s="97"/>
      <c r="AN340" s="97"/>
    </row>
    <row r="341" spans="24:40" ht="24.75" customHeight="1" x14ac:dyDescent="0.35">
      <c r="X341" s="97"/>
      <c r="Y341" s="97"/>
      <c r="Z341" s="97"/>
      <c r="AA341" s="97"/>
      <c r="AB341" s="97"/>
      <c r="AC341" s="97"/>
      <c r="AD341" s="97"/>
      <c r="AE341" s="97"/>
      <c r="AF341" s="97"/>
      <c r="AG341" s="97"/>
      <c r="AH341" s="97"/>
      <c r="AI341" s="97"/>
      <c r="AK341" s="97"/>
      <c r="AL341" s="97"/>
      <c r="AM341" s="97"/>
      <c r="AN341" s="97"/>
    </row>
    <row r="342" spans="24:40" ht="24.75" customHeight="1" x14ac:dyDescent="0.35">
      <c r="X342" s="97"/>
      <c r="Y342" s="97"/>
      <c r="Z342" s="97"/>
      <c r="AA342" s="97"/>
      <c r="AB342" s="97"/>
      <c r="AC342" s="97"/>
      <c r="AD342" s="97"/>
      <c r="AE342" s="97"/>
      <c r="AF342" s="97"/>
      <c r="AG342" s="97"/>
      <c r="AH342" s="97"/>
      <c r="AI342" s="97"/>
      <c r="AK342" s="97"/>
      <c r="AL342" s="97"/>
      <c r="AM342" s="97"/>
      <c r="AN342" s="97"/>
    </row>
    <row r="343" spans="24:40" ht="24.75" customHeight="1" x14ac:dyDescent="0.35">
      <c r="X343" s="97"/>
      <c r="Y343" s="97"/>
      <c r="Z343" s="97"/>
      <c r="AA343" s="97"/>
      <c r="AB343" s="97"/>
      <c r="AC343" s="97"/>
      <c r="AD343" s="97"/>
      <c r="AE343" s="97"/>
      <c r="AF343" s="97"/>
      <c r="AG343" s="97"/>
      <c r="AH343" s="97"/>
      <c r="AI343" s="97"/>
      <c r="AK343" s="97"/>
      <c r="AL343" s="97"/>
      <c r="AM343" s="97"/>
      <c r="AN343" s="97"/>
    </row>
    <row r="344" spans="24:40" ht="24.75" customHeight="1" x14ac:dyDescent="0.35">
      <c r="X344" s="97"/>
      <c r="Y344" s="97"/>
      <c r="Z344" s="97"/>
      <c r="AA344" s="97"/>
      <c r="AB344" s="97"/>
      <c r="AC344" s="97"/>
      <c r="AD344" s="97"/>
      <c r="AE344" s="97"/>
      <c r="AF344" s="97"/>
      <c r="AG344" s="97"/>
      <c r="AH344" s="97"/>
      <c r="AI344" s="97"/>
      <c r="AK344" s="97"/>
      <c r="AL344" s="97"/>
      <c r="AM344" s="97"/>
      <c r="AN344" s="97"/>
    </row>
    <row r="345" spans="24:40" ht="24.75" customHeight="1" x14ac:dyDescent="0.35">
      <c r="X345" s="97"/>
      <c r="Y345" s="97"/>
      <c r="Z345" s="97"/>
      <c r="AA345" s="97"/>
      <c r="AB345" s="97"/>
      <c r="AC345" s="97"/>
      <c r="AD345" s="97"/>
      <c r="AE345" s="97"/>
      <c r="AF345" s="97"/>
      <c r="AG345" s="97"/>
      <c r="AH345" s="97"/>
      <c r="AI345" s="97"/>
      <c r="AK345" s="97"/>
      <c r="AL345" s="97"/>
      <c r="AM345" s="97"/>
      <c r="AN345" s="97"/>
    </row>
    <row r="346" spans="24:40" ht="24.75" customHeight="1" x14ac:dyDescent="0.35">
      <c r="X346" s="97"/>
      <c r="Y346" s="97"/>
      <c r="Z346" s="97"/>
      <c r="AA346" s="97"/>
      <c r="AB346" s="97"/>
      <c r="AC346" s="97"/>
      <c r="AD346" s="97"/>
      <c r="AE346" s="97"/>
      <c r="AF346" s="97"/>
      <c r="AG346" s="97"/>
      <c r="AH346" s="97"/>
      <c r="AI346" s="97"/>
      <c r="AK346" s="97"/>
      <c r="AL346" s="97"/>
      <c r="AM346" s="97"/>
      <c r="AN346" s="97"/>
    </row>
    <row r="347" spans="24:40" ht="24.75" customHeight="1" x14ac:dyDescent="0.35">
      <c r="X347" s="97"/>
      <c r="Y347" s="97"/>
      <c r="Z347" s="97"/>
      <c r="AA347" s="97"/>
      <c r="AB347" s="97"/>
      <c r="AC347" s="97"/>
      <c r="AD347" s="97"/>
      <c r="AE347" s="97"/>
      <c r="AF347" s="97"/>
      <c r="AG347" s="97"/>
      <c r="AH347" s="97"/>
      <c r="AI347" s="97"/>
      <c r="AK347" s="97"/>
      <c r="AL347" s="97"/>
      <c r="AM347" s="97"/>
      <c r="AN347" s="97"/>
    </row>
    <row r="348" spans="24:40" ht="24.75" customHeight="1" x14ac:dyDescent="0.35">
      <c r="X348" s="97"/>
      <c r="Y348" s="97"/>
      <c r="Z348" s="97"/>
      <c r="AA348" s="97"/>
      <c r="AB348" s="97"/>
      <c r="AC348" s="97"/>
      <c r="AD348" s="97"/>
      <c r="AE348" s="97"/>
      <c r="AF348" s="97"/>
      <c r="AG348" s="97"/>
      <c r="AH348" s="97"/>
      <c r="AI348" s="97"/>
      <c r="AK348" s="97"/>
      <c r="AL348" s="97"/>
      <c r="AM348" s="97"/>
      <c r="AN348" s="97"/>
    </row>
    <row r="349" spans="24:40" ht="24.75" customHeight="1" x14ac:dyDescent="0.35">
      <c r="X349" s="97"/>
      <c r="Y349" s="97"/>
      <c r="Z349" s="97"/>
      <c r="AA349" s="97"/>
      <c r="AB349" s="97"/>
      <c r="AC349" s="97"/>
      <c r="AD349" s="97"/>
      <c r="AE349" s="97"/>
      <c r="AF349" s="97"/>
      <c r="AG349" s="97"/>
      <c r="AH349" s="97"/>
      <c r="AI349" s="97"/>
      <c r="AK349" s="97"/>
      <c r="AL349" s="97"/>
      <c r="AM349" s="97"/>
      <c r="AN349" s="97"/>
    </row>
    <row r="350" spans="24:40" ht="24.75" customHeight="1" x14ac:dyDescent="0.35">
      <c r="X350" s="97"/>
      <c r="Y350" s="97"/>
      <c r="Z350" s="97"/>
      <c r="AA350" s="97"/>
      <c r="AB350" s="97"/>
      <c r="AC350" s="97"/>
      <c r="AD350" s="97"/>
      <c r="AE350" s="97"/>
      <c r="AF350" s="97"/>
      <c r="AG350" s="97"/>
      <c r="AH350" s="97"/>
      <c r="AI350" s="97"/>
      <c r="AK350" s="97"/>
      <c r="AL350" s="97"/>
      <c r="AM350" s="97"/>
      <c r="AN350" s="97"/>
    </row>
    <row r="351" spans="24:40" ht="24.75" customHeight="1" x14ac:dyDescent="0.35">
      <c r="X351" s="97"/>
      <c r="Y351" s="97"/>
      <c r="Z351" s="97"/>
      <c r="AA351" s="97"/>
      <c r="AB351" s="97"/>
      <c r="AC351" s="97"/>
      <c r="AD351" s="97"/>
      <c r="AE351" s="97"/>
      <c r="AF351" s="97"/>
      <c r="AG351" s="97"/>
      <c r="AH351" s="97"/>
      <c r="AI351" s="97"/>
      <c r="AK351" s="97"/>
      <c r="AL351" s="97"/>
      <c r="AM351" s="97"/>
      <c r="AN351" s="97"/>
    </row>
    <row r="352" spans="24:40" ht="24.75" customHeight="1" x14ac:dyDescent="0.35">
      <c r="X352" s="97"/>
      <c r="Y352" s="97"/>
      <c r="Z352" s="97"/>
      <c r="AA352" s="97"/>
      <c r="AB352" s="97"/>
      <c r="AC352" s="97"/>
      <c r="AD352" s="97"/>
      <c r="AE352" s="97"/>
      <c r="AF352" s="97"/>
      <c r="AG352" s="97"/>
      <c r="AH352" s="97"/>
      <c r="AI352" s="97"/>
      <c r="AK352" s="97"/>
      <c r="AL352" s="97"/>
      <c r="AM352" s="97"/>
      <c r="AN352" s="97"/>
    </row>
    <row r="353" spans="24:40" ht="24.75" customHeight="1" x14ac:dyDescent="0.35">
      <c r="X353" s="97"/>
      <c r="Y353" s="97"/>
      <c r="Z353" s="97"/>
      <c r="AA353" s="97"/>
      <c r="AB353" s="97"/>
      <c r="AC353" s="97"/>
      <c r="AD353" s="97"/>
      <c r="AE353" s="97"/>
      <c r="AF353" s="97"/>
      <c r="AG353" s="97"/>
      <c r="AH353" s="97"/>
      <c r="AI353" s="97"/>
      <c r="AK353" s="97"/>
      <c r="AL353" s="97"/>
      <c r="AM353" s="97"/>
      <c r="AN353" s="97"/>
    </row>
    <row r="354" spans="24:40" ht="24.75" customHeight="1" x14ac:dyDescent="0.35">
      <c r="X354" s="97"/>
      <c r="Y354" s="97"/>
      <c r="Z354" s="97"/>
      <c r="AA354" s="97"/>
      <c r="AB354" s="97"/>
      <c r="AC354" s="97"/>
      <c r="AD354" s="97"/>
      <c r="AE354" s="97"/>
      <c r="AF354" s="97"/>
      <c r="AG354" s="97"/>
      <c r="AH354" s="97"/>
      <c r="AI354" s="97"/>
      <c r="AK354" s="97"/>
      <c r="AL354" s="97"/>
      <c r="AM354" s="97"/>
      <c r="AN354" s="97"/>
    </row>
    <row r="355" spans="24:40" ht="24.75" customHeight="1" x14ac:dyDescent="0.35">
      <c r="X355" s="97"/>
      <c r="Y355" s="97"/>
      <c r="Z355" s="97"/>
      <c r="AA355" s="97"/>
      <c r="AB355" s="97"/>
      <c r="AC355" s="97"/>
      <c r="AD355" s="97"/>
      <c r="AE355" s="97"/>
      <c r="AF355" s="97"/>
      <c r="AG355" s="97"/>
      <c r="AH355" s="97"/>
      <c r="AI355" s="97"/>
      <c r="AK355" s="97"/>
      <c r="AL355" s="97"/>
      <c r="AM355" s="97"/>
      <c r="AN355" s="97"/>
    </row>
    <row r="356" spans="24:40" ht="24.75" customHeight="1" x14ac:dyDescent="0.35">
      <c r="X356" s="97"/>
      <c r="Y356" s="97"/>
      <c r="Z356" s="97"/>
      <c r="AA356" s="97"/>
      <c r="AB356" s="97"/>
      <c r="AC356" s="97"/>
      <c r="AD356" s="97"/>
      <c r="AE356" s="97"/>
      <c r="AF356" s="97"/>
      <c r="AG356" s="97"/>
      <c r="AH356" s="97"/>
      <c r="AI356" s="97"/>
      <c r="AK356" s="97"/>
      <c r="AL356" s="97"/>
      <c r="AM356" s="97"/>
      <c r="AN356" s="97"/>
    </row>
    <row r="357" spans="24:40" ht="24.75" customHeight="1" x14ac:dyDescent="0.35">
      <c r="X357" s="97"/>
      <c r="Y357" s="97"/>
      <c r="Z357" s="97"/>
      <c r="AA357" s="97"/>
      <c r="AB357" s="97"/>
      <c r="AC357" s="97"/>
      <c r="AD357" s="97"/>
      <c r="AE357" s="97"/>
      <c r="AF357" s="97"/>
      <c r="AG357" s="97"/>
      <c r="AH357" s="97"/>
      <c r="AI357" s="97"/>
      <c r="AK357" s="97"/>
      <c r="AL357" s="97"/>
      <c r="AM357" s="97"/>
      <c r="AN357" s="97"/>
    </row>
    <row r="358" spans="24:40" ht="24.75" customHeight="1" x14ac:dyDescent="0.35">
      <c r="X358" s="97"/>
      <c r="Y358" s="97"/>
      <c r="Z358" s="97"/>
      <c r="AA358" s="97"/>
      <c r="AB358" s="97"/>
      <c r="AC358" s="97"/>
      <c r="AD358" s="97"/>
      <c r="AE358" s="97"/>
      <c r="AF358" s="97"/>
      <c r="AG358" s="97"/>
      <c r="AH358" s="97"/>
      <c r="AI358" s="97"/>
      <c r="AK358" s="97"/>
      <c r="AL358" s="97"/>
      <c r="AM358" s="97"/>
      <c r="AN358" s="97"/>
    </row>
    <row r="359" spans="24:40" ht="24.75" customHeight="1" x14ac:dyDescent="0.35">
      <c r="X359" s="97"/>
      <c r="Y359" s="97"/>
      <c r="Z359" s="97"/>
      <c r="AA359" s="97"/>
      <c r="AB359" s="97"/>
      <c r="AC359" s="97"/>
      <c r="AD359" s="97"/>
      <c r="AE359" s="97"/>
      <c r="AF359" s="97"/>
      <c r="AG359" s="97"/>
      <c r="AH359" s="97"/>
      <c r="AI359" s="97"/>
      <c r="AK359" s="97"/>
      <c r="AL359" s="97"/>
      <c r="AM359" s="97"/>
      <c r="AN359" s="97"/>
    </row>
    <row r="360" spans="24:40" ht="24.75" customHeight="1" x14ac:dyDescent="0.35">
      <c r="X360" s="97"/>
      <c r="Y360" s="97"/>
      <c r="Z360" s="97"/>
      <c r="AA360" s="97"/>
      <c r="AB360" s="97"/>
      <c r="AC360" s="97"/>
      <c r="AD360" s="97"/>
      <c r="AE360" s="97"/>
      <c r="AF360" s="97"/>
      <c r="AG360" s="97"/>
      <c r="AH360" s="97"/>
      <c r="AI360" s="97"/>
      <c r="AK360" s="97"/>
      <c r="AL360" s="97"/>
      <c r="AM360" s="97"/>
      <c r="AN360" s="97"/>
    </row>
    <row r="361" spans="24:40" ht="24.75" customHeight="1" x14ac:dyDescent="0.35">
      <c r="X361" s="97"/>
      <c r="Y361" s="97"/>
      <c r="Z361" s="97"/>
      <c r="AA361" s="97"/>
      <c r="AB361" s="97"/>
      <c r="AC361" s="97"/>
      <c r="AD361" s="97"/>
      <c r="AE361" s="97"/>
      <c r="AF361" s="97"/>
      <c r="AG361" s="97"/>
      <c r="AH361" s="97"/>
      <c r="AI361" s="97"/>
      <c r="AK361" s="97"/>
      <c r="AL361" s="97"/>
      <c r="AM361" s="97"/>
      <c r="AN361" s="97"/>
    </row>
    <row r="362" spans="24:40" ht="24.75" customHeight="1" x14ac:dyDescent="0.35">
      <c r="X362" s="97"/>
      <c r="Y362" s="97"/>
      <c r="Z362" s="97"/>
      <c r="AA362" s="97"/>
      <c r="AB362" s="97"/>
      <c r="AC362" s="97"/>
      <c r="AD362" s="97"/>
      <c r="AE362" s="97"/>
      <c r="AF362" s="97"/>
      <c r="AG362" s="97"/>
      <c r="AH362" s="97"/>
      <c r="AI362" s="97"/>
      <c r="AK362" s="97"/>
      <c r="AL362" s="97"/>
      <c r="AM362" s="97"/>
      <c r="AN362" s="97"/>
    </row>
    <row r="363" spans="24:40" ht="24.75" customHeight="1" x14ac:dyDescent="0.35">
      <c r="X363" s="97"/>
      <c r="Y363" s="97"/>
      <c r="Z363" s="97"/>
      <c r="AA363" s="97"/>
      <c r="AB363" s="97"/>
      <c r="AC363" s="97"/>
      <c r="AD363" s="97"/>
      <c r="AE363" s="97"/>
      <c r="AF363" s="97"/>
      <c r="AG363" s="97"/>
      <c r="AH363" s="97"/>
      <c r="AI363" s="97"/>
      <c r="AK363" s="97"/>
      <c r="AL363" s="97"/>
      <c r="AM363" s="97"/>
      <c r="AN363" s="97"/>
    </row>
    <row r="364" spans="24:40" ht="24.75" customHeight="1" x14ac:dyDescent="0.35">
      <c r="X364" s="97"/>
      <c r="Y364" s="97"/>
      <c r="Z364" s="97"/>
      <c r="AA364" s="97"/>
      <c r="AB364" s="97"/>
      <c r="AC364" s="97"/>
      <c r="AD364" s="97"/>
      <c r="AE364" s="97"/>
      <c r="AF364" s="97"/>
      <c r="AG364" s="97"/>
      <c r="AH364" s="97"/>
      <c r="AI364" s="97"/>
      <c r="AK364" s="97"/>
      <c r="AL364" s="97"/>
      <c r="AM364" s="97"/>
      <c r="AN364" s="97"/>
    </row>
    <row r="365" spans="24:40" ht="24.75" customHeight="1" x14ac:dyDescent="0.35">
      <c r="X365" s="97"/>
      <c r="Y365" s="97"/>
      <c r="Z365" s="97"/>
      <c r="AA365" s="97"/>
      <c r="AB365" s="97"/>
      <c r="AC365" s="97"/>
      <c r="AD365" s="97"/>
      <c r="AE365" s="97"/>
      <c r="AF365" s="97"/>
      <c r="AG365" s="97"/>
      <c r="AH365" s="97"/>
      <c r="AI365" s="97"/>
      <c r="AK365" s="97"/>
      <c r="AL365" s="97"/>
      <c r="AM365" s="97"/>
      <c r="AN365" s="97"/>
    </row>
    <row r="366" spans="24:40" ht="24.75" customHeight="1" x14ac:dyDescent="0.35">
      <c r="X366" s="97"/>
      <c r="Y366" s="97"/>
      <c r="Z366" s="97"/>
      <c r="AA366" s="97"/>
      <c r="AB366" s="97"/>
      <c r="AC366" s="97"/>
      <c r="AD366" s="97"/>
      <c r="AE366" s="97"/>
      <c r="AF366" s="97"/>
      <c r="AG366" s="97"/>
      <c r="AH366" s="97"/>
      <c r="AI366" s="97"/>
      <c r="AK366" s="97"/>
      <c r="AL366" s="97"/>
      <c r="AM366" s="97"/>
      <c r="AN366" s="97"/>
    </row>
    <row r="367" spans="24:40" ht="24.75" customHeight="1" x14ac:dyDescent="0.35">
      <c r="X367" s="97"/>
      <c r="Y367" s="97"/>
      <c r="Z367" s="97"/>
      <c r="AA367" s="97"/>
      <c r="AB367" s="97"/>
      <c r="AC367" s="97"/>
      <c r="AD367" s="97"/>
      <c r="AE367" s="97"/>
      <c r="AF367" s="97"/>
      <c r="AG367" s="97"/>
      <c r="AH367" s="97"/>
      <c r="AI367" s="97"/>
      <c r="AK367" s="97"/>
      <c r="AL367" s="97"/>
      <c r="AM367" s="97"/>
      <c r="AN367" s="97"/>
    </row>
    <row r="368" spans="24:40" ht="24.75" customHeight="1" x14ac:dyDescent="0.35">
      <c r="X368" s="97"/>
      <c r="Y368" s="97"/>
      <c r="Z368" s="97"/>
      <c r="AA368" s="97"/>
      <c r="AB368" s="97"/>
      <c r="AC368" s="97"/>
      <c r="AD368" s="97"/>
      <c r="AE368" s="97"/>
      <c r="AF368" s="97"/>
      <c r="AG368" s="97"/>
      <c r="AH368" s="97"/>
      <c r="AI368" s="97"/>
      <c r="AK368" s="97"/>
      <c r="AL368" s="97"/>
      <c r="AM368" s="97"/>
      <c r="AN368" s="97"/>
    </row>
    <row r="369" spans="24:40" ht="24.75" customHeight="1" x14ac:dyDescent="0.35">
      <c r="X369" s="97"/>
      <c r="Y369" s="97"/>
      <c r="Z369" s="97"/>
      <c r="AA369" s="97"/>
      <c r="AB369" s="97"/>
      <c r="AC369" s="97"/>
      <c r="AD369" s="97"/>
      <c r="AE369" s="97"/>
      <c r="AF369" s="97"/>
      <c r="AG369" s="97"/>
      <c r="AH369" s="97"/>
      <c r="AI369" s="97"/>
      <c r="AK369" s="97"/>
      <c r="AL369" s="97"/>
      <c r="AM369" s="97"/>
      <c r="AN369" s="97"/>
    </row>
    <row r="370" spans="24:40" ht="24.75" customHeight="1" x14ac:dyDescent="0.35">
      <c r="X370" s="97"/>
      <c r="Y370" s="97"/>
      <c r="Z370" s="97"/>
      <c r="AA370" s="97"/>
      <c r="AB370" s="97"/>
      <c r="AC370" s="97"/>
      <c r="AD370" s="97"/>
      <c r="AE370" s="97"/>
      <c r="AF370" s="97"/>
      <c r="AG370" s="97"/>
      <c r="AH370" s="97"/>
      <c r="AI370" s="97"/>
      <c r="AK370" s="97"/>
      <c r="AL370" s="97"/>
      <c r="AM370" s="97"/>
      <c r="AN370" s="97"/>
    </row>
    <row r="371" spans="24:40" ht="24.75" customHeight="1" x14ac:dyDescent="0.35">
      <c r="X371" s="97"/>
      <c r="Y371" s="97"/>
      <c r="Z371" s="97"/>
      <c r="AA371" s="97"/>
      <c r="AB371" s="97"/>
      <c r="AC371" s="97"/>
      <c r="AD371" s="97"/>
      <c r="AE371" s="97"/>
      <c r="AF371" s="97"/>
      <c r="AG371" s="97"/>
      <c r="AH371" s="97"/>
      <c r="AI371" s="97"/>
      <c r="AK371" s="97"/>
      <c r="AL371" s="97"/>
      <c r="AM371" s="97"/>
      <c r="AN371" s="97"/>
    </row>
    <row r="372" spans="24:40" ht="24.75" customHeight="1" x14ac:dyDescent="0.35">
      <c r="X372" s="97"/>
      <c r="Y372" s="97"/>
      <c r="Z372" s="97"/>
      <c r="AA372" s="97"/>
      <c r="AB372" s="97"/>
      <c r="AC372" s="97"/>
      <c r="AD372" s="97"/>
      <c r="AE372" s="97"/>
      <c r="AF372" s="97"/>
      <c r="AG372" s="97"/>
      <c r="AH372" s="97"/>
      <c r="AI372" s="97"/>
      <c r="AK372" s="97"/>
      <c r="AL372" s="97"/>
      <c r="AM372" s="97"/>
      <c r="AN372" s="97"/>
    </row>
    <row r="373" spans="24:40" ht="24.75" customHeight="1" x14ac:dyDescent="0.35">
      <c r="X373" s="97"/>
      <c r="Y373" s="97"/>
      <c r="Z373" s="97"/>
      <c r="AA373" s="97"/>
      <c r="AB373" s="97"/>
      <c r="AC373" s="97"/>
      <c r="AD373" s="97"/>
      <c r="AE373" s="97"/>
      <c r="AF373" s="97"/>
      <c r="AG373" s="97"/>
      <c r="AH373" s="97"/>
      <c r="AI373" s="97"/>
      <c r="AK373" s="97"/>
      <c r="AL373" s="97"/>
      <c r="AM373" s="97"/>
      <c r="AN373" s="97"/>
    </row>
    <row r="374" spans="24:40" ht="24.75" customHeight="1" x14ac:dyDescent="0.35">
      <c r="X374" s="97"/>
      <c r="Y374" s="97"/>
      <c r="Z374" s="97"/>
      <c r="AA374" s="97"/>
      <c r="AB374" s="97"/>
      <c r="AC374" s="97"/>
      <c r="AD374" s="97"/>
      <c r="AE374" s="97"/>
      <c r="AF374" s="97"/>
      <c r="AG374" s="97"/>
      <c r="AH374" s="97"/>
      <c r="AI374" s="97"/>
      <c r="AK374" s="97"/>
      <c r="AL374" s="97"/>
      <c r="AM374" s="97"/>
      <c r="AN374" s="97"/>
    </row>
    <row r="375" spans="24:40" ht="24.75" customHeight="1" x14ac:dyDescent="0.35">
      <c r="X375" s="97"/>
      <c r="Y375" s="97"/>
      <c r="Z375" s="97"/>
      <c r="AA375" s="97"/>
      <c r="AB375" s="97"/>
      <c r="AC375" s="97"/>
      <c r="AD375" s="97"/>
      <c r="AE375" s="97"/>
      <c r="AF375" s="97"/>
      <c r="AG375" s="97"/>
      <c r="AH375" s="97"/>
      <c r="AI375" s="97"/>
      <c r="AK375" s="97"/>
      <c r="AL375" s="97"/>
      <c r="AM375" s="97"/>
      <c r="AN375" s="97"/>
    </row>
    <row r="376" spans="24:40" ht="24.75" customHeight="1" x14ac:dyDescent="0.35">
      <c r="X376" s="97"/>
      <c r="Y376" s="97"/>
      <c r="Z376" s="97"/>
      <c r="AA376" s="97"/>
      <c r="AB376" s="97"/>
      <c r="AC376" s="97"/>
      <c r="AD376" s="97"/>
      <c r="AE376" s="97"/>
      <c r="AF376" s="97"/>
      <c r="AG376" s="97"/>
      <c r="AH376" s="97"/>
      <c r="AI376" s="97"/>
      <c r="AK376" s="97"/>
      <c r="AL376" s="97"/>
      <c r="AM376" s="97"/>
      <c r="AN376" s="97"/>
    </row>
    <row r="377" spans="24:40" ht="24.75" customHeight="1" x14ac:dyDescent="0.35">
      <c r="X377" s="97"/>
      <c r="Y377" s="97"/>
      <c r="Z377" s="97"/>
      <c r="AA377" s="97"/>
      <c r="AB377" s="97"/>
      <c r="AC377" s="97"/>
      <c r="AD377" s="97"/>
      <c r="AE377" s="97"/>
      <c r="AF377" s="97"/>
      <c r="AG377" s="97"/>
      <c r="AH377" s="97"/>
      <c r="AI377" s="97"/>
      <c r="AK377" s="97"/>
      <c r="AL377" s="97"/>
      <c r="AM377" s="97"/>
      <c r="AN377" s="97"/>
    </row>
    <row r="378" spans="24:40" ht="24.75" customHeight="1" x14ac:dyDescent="0.35">
      <c r="X378" s="97"/>
      <c r="Y378" s="97"/>
      <c r="Z378" s="97"/>
      <c r="AA378" s="97"/>
      <c r="AB378" s="97"/>
      <c r="AC378" s="97"/>
      <c r="AD378" s="97"/>
      <c r="AE378" s="97"/>
      <c r="AF378" s="97"/>
      <c r="AG378" s="97"/>
      <c r="AH378" s="97"/>
      <c r="AI378" s="97"/>
      <c r="AK378" s="97"/>
      <c r="AL378" s="97"/>
      <c r="AM378" s="97"/>
      <c r="AN378" s="97"/>
    </row>
    <row r="379" spans="24:40" ht="24.75" customHeight="1" x14ac:dyDescent="0.35">
      <c r="X379" s="97"/>
      <c r="Y379" s="97"/>
      <c r="Z379" s="97"/>
      <c r="AA379" s="97"/>
      <c r="AB379" s="97"/>
      <c r="AC379" s="97"/>
      <c r="AD379" s="97"/>
      <c r="AE379" s="97"/>
      <c r="AF379" s="97"/>
      <c r="AG379" s="97"/>
      <c r="AH379" s="97"/>
      <c r="AI379" s="97"/>
      <c r="AK379" s="97"/>
      <c r="AL379" s="97"/>
      <c r="AM379" s="97"/>
      <c r="AN379" s="97"/>
    </row>
    <row r="380" spans="24:40" ht="24.75" customHeight="1" x14ac:dyDescent="0.35">
      <c r="X380" s="97"/>
      <c r="Y380" s="97"/>
      <c r="Z380" s="97"/>
      <c r="AA380" s="97"/>
      <c r="AB380" s="97"/>
      <c r="AC380" s="97"/>
      <c r="AD380" s="97"/>
      <c r="AE380" s="97"/>
      <c r="AF380" s="97"/>
      <c r="AG380" s="97"/>
      <c r="AH380" s="97"/>
      <c r="AI380" s="97"/>
      <c r="AK380" s="97"/>
      <c r="AL380" s="97"/>
      <c r="AM380" s="97"/>
      <c r="AN380" s="97"/>
    </row>
    <row r="381" spans="24:40" ht="24.75" customHeight="1" x14ac:dyDescent="0.35">
      <c r="X381" s="97"/>
      <c r="Y381" s="97"/>
      <c r="Z381" s="97"/>
      <c r="AA381" s="97"/>
      <c r="AB381" s="97"/>
      <c r="AC381" s="97"/>
      <c r="AD381" s="97"/>
      <c r="AE381" s="97"/>
      <c r="AF381" s="97"/>
      <c r="AG381" s="97"/>
      <c r="AH381" s="97"/>
      <c r="AI381" s="97"/>
      <c r="AK381" s="97"/>
      <c r="AL381" s="97"/>
      <c r="AM381" s="97"/>
      <c r="AN381" s="97"/>
    </row>
    <row r="382" spans="24:40" ht="24.75" customHeight="1" x14ac:dyDescent="0.35">
      <c r="X382" s="97"/>
      <c r="Y382" s="97"/>
      <c r="Z382" s="97"/>
      <c r="AA382" s="97"/>
      <c r="AB382" s="97"/>
      <c r="AC382" s="97"/>
      <c r="AD382" s="97"/>
      <c r="AE382" s="97"/>
      <c r="AF382" s="97"/>
      <c r="AG382" s="97"/>
      <c r="AH382" s="97"/>
      <c r="AI382" s="97"/>
      <c r="AK382" s="97"/>
      <c r="AL382" s="97"/>
      <c r="AM382" s="97"/>
      <c r="AN382" s="97"/>
    </row>
    <row r="383" spans="24:40" ht="24.75" customHeight="1" x14ac:dyDescent="0.35">
      <c r="X383" s="97"/>
      <c r="Y383" s="97"/>
      <c r="Z383" s="97"/>
      <c r="AA383" s="97"/>
      <c r="AB383" s="97"/>
      <c r="AC383" s="97"/>
      <c r="AD383" s="97"/>
      <c r="AE383" s="97"/>
      <c r="AF383" s="97"/>
      <c r="AG383" s="97"/>
      <c r="AH383" s="97"/>
      <c r="AI383" s="97"/>
      <c r="AK383" s="97"/>
      <c r="AL383" s="97"/>
      <c r="AM383" s="97"/>
      <c r="AN383" s="97"/>
    </row>
    <row r="384" spans="24:40" ht="24.75" customHeight="1" x14ac:dyDescent="0.35">
      <c r="X384" s="97"/>
      <c r="Y384" s="97"/>
      <c r="Z384" s="97"/>
      <c r="AA384" s="97"/>
      <c r="AB384" s="97"/>
      <c r="AC384" s="97"/>
      <c r="AD384" s="97"/>
      <c r="AE384" s="97"/>
      <c r="AF384" s="97"/>
      <c r="AG384" s="97"/>
      <c r="AH384" s="97"/>
      <c r="AI384" s="97"/>
      <c r="AK384" s="97"/>
      <c r="AL384" s="97"/>
      <c r="AM384" s="97"/>
      <c r="AN384" s="97"/>
    </row>
    <row r="385" spans="24:40" ht="24.75" customHeight="1" x14ac:dyDescent="0.35">
      <c r="X385" s="97"/>
      <c r="Y385" s="97"/>
      <c r="Z385" s="97"/>
      <c r="AA385" s="97"/>
      <c r="AB385" s="97"/>
      <c r="AC385" s="97"/>
      <c r="AD385" s="97"/>
      <c r="AE385" s="97"/>
      <c r="AF385" s="97"/>
      <c r="AG385" s="97"/>
      <c r="AH385" s="97"/>
      <c r="AI385" s="97"/>
      <c r="AK385" s="97"/>
      <c r="AL385" s="97"/>
      <c r="AM385" s="97"/>
      <c r="AN385" s="97"/>
    </row>
    <row r="386" spans="24:40" ht="24.75" customHeight="1" x14ac:dyDescent="0.35">
      <c r="X386" s="97"/>
      <c r="Y386" s="97"/>
      <c r="Z386" s="97"/>
      <c r="AA386" s="97"/>
      <c r="AB386" s="97"/>
      <c r="AC386" s="97"/>
      <c r="AD386" s="97"/>
      <c r="AE386" s="97"/>
      <c r="AF386" s="97"/>
      <c r="AG386" s="97"/>
      <c r="AH386" s="97"/>
      <c r="AI386" s="97"/>
      <c r="AK386" s="97"/>
      <c r="AL386" s="97"/>
      <c r="AM386" s="97"/>
      <c r="AN386" s="97"/>
    </row>
    <row r="387" spans="24:40" ht="24.75" customHeight="1" x14ac:dyDescent="0.35">
      <c r="X387" s="97"/>
      <c r="Y387" s="97"/>
      <c r="Z387" s="97"/>
      <c r="AA387" s="97"/>
      <c r="AB387" s="97"/>
      <c r="AC387" s="97"/>
      <c r="AD387" s="97"/>
      <c r="AE387" s="97"/>
      <c r="AF387" s="97"/>
      <c r="AG387" s="97"/>
      <c r="AH387" s="97"/>
      <c r="AI387" s="97"/>
      <c r="AK387" s="97"/>
      <c r="AL387" s="97"/>
      <c r="AM387" s="97"/>
      <c r="AN387" s="97"/>
    </row>
    <row r="388" spans="24:40" ht="24.75" customHeight="1" x14ac:dyDescent="0.35">
      <c r="X388" s="97"/>
      <c r="Y388" s="97"/>
      <c r="Z388" s="97"/>
      <c r="AA388" s="97"/>
      <c r="AB388" s="97"/>
      <c r="AC388" s="97"/>
      <c r="AD388" s="97"/>
      <c r="AE388" s="97"/>
      <c r="AF388" s="97"/>
      <c r="AG388" s="97"/>
      <c r="AH388" s="97"/>
      <c r="AI388" s="97"/>
      <c r="AK388" s="97"/>
      <c r="AL388" s="97"/>
      <c r="AM388" s="97"/>
      <c r="AN388" s="97"/>
    </row>
    <row r="389" spans="24:40" ht="24.75" customHeight="1" x14ac:dyDescent="0.35">
      <c r="X389" s="97"/>
      <c r="Y389" s="97"/>
      <c r="Z389" s="97"/>
      <c r="AA389" s="97"/>
      <c r="AB389" s="97"/>
      <c r="AC389" s="97"/>
      <c r="AD389" s="97"/>
      <c r="AE389" s="97"/>
      <c r="AF389" s="97"/>
      <c r="AG389" s="97"/>
      <c r="AH389" s="97"/>
      <c r="AI389" s="97"/>
      <c r="AK389" s="97"/>
      <c r="AL389" s="97"/>
      <c r="AM389" s="97"/>
      <c r="AN389" s="97"/>
    </row>
    <row r="390" spans="24:40" ht="24.75" customHeight="1" x14ac:dyDescent="0.35">
      <c r="X390" s="97"/>
      <c r="Y390" s="97"/>
      <c r="Z390" s="97"/>
      <c r="AA390" s="97"/>
      <c r="AB390" s="97"/>
      <c r="AC390" s="97"/>
      <c r="AD390" s="97"/>
      <c r="AE390" s="97"/>
      <c r="AF390" s="97"/>
      <c r="AG390" s="97"/>
      <c r="AH390" s="97"/>
      <c r="AI390" s="97"/>
      <c r="AK390" s="97"/>
      <c r="AL390" s="97"/>
      <c r="AM390" s="97"/>
      <c r="AN390" s="97"/>
    </row>
    <row r="391" spans="24:40" ht="24.75" customHeight="1" x14ac:dyDescent="0.35">
      <c r="X391" s="97"/>
      <c r="Y391" s="97"/>
      <c r="Z391" s="97"/>
      <c r="AA391" s="97"/>
      <c r="AB391" s="97"/>
      <c r="AC391" s="97"/>
      <c r="AD391" s="97"/>
      <c r="AE391" s="97"/>
      <c r="AF391" s="97"/>
      <c r="AG391" s="97"/>
      <c r="AH391" s="97"/>
      <c r="AI391" s="97"/>
      <c r="AK391" s="97"/>
      <c r="AL391" s="97"/>
      <c r="AM391" s="97"/>
      <c r="AN391" s="97"/>
    </row>
    <row r="392" spans="24:40" ht="24.75" customHeight="1" x14ac:dyDescent="0.35">
      <c r="X392" s="97"/>
      <c r="Y392" s="97"/>
      <c r="Z392" s="97"/>
      <c r="AA392" s="97"/>
      <c r="AB392" s="97"/>
      <c r="AC392" s="97"/>
      <c r="AD392" s="97"/>
      <c r="AE392" s="97"/>
      <c r="AF392" s="97"/>
      <c r="AG392" s="97"/>
      <c r="AH392" s="97"/>
      <c r="AI392" s="97"/>
      <c r="AK392" s="97"/>
      <c r="AL392" s="97"/>
      <c r="AM392" s="97"/>
      <c r="AN392" s="97"/>
    </row>
    <row r="393" spans="24:40" ht="24.75" customHeight="1" x14ac:dyDescent="0.35">
      <c r="X393" s="97"/>
      <c r="Y393" s="97"/>
      <c r="Z393" s="97"/>
      <c r="AA393" s="97"/>
      <c r="AB393" s="97"/>
      <c r="AC393" s="97"/>
      <c r="AD393" s="97"/>
      <c r="AE393" s="97"/>
      <c r="AF393" s="97"/>
      <c r="AG393" s="97"/>
      <c r="AH393" s="97"/>
      <c r="AI393" s="97"/>
      <c r="AK393" s="97"/>
      <c r="AL393" s="97"/>
      <c r="AM393" s="97"/>
      <c r="AN393" s="97"/>
    </row>
    <row r="394" spans="24:40" ht="24.75" customHeight="1" x14ac:dyDescent="0.35">
      <c r="X394" s="97"/>
      <c r="Y394" s="97"/>
      <c r="Z394" s="97"/>
      <c r="AA394" s="97"/>
      <c r="AB394" s="97"/>
      <c r="AC394" s="97"/>
      <c r="AD394" s="97"/>
      <c r="AE394" s="97"/>
      <c r="AF394" s="97"/>
      <c r="AG394" s="97"/>
      <c r="AH394" s="97"/>
      <c r="AI394" s="97"/>
      <c r="AK394" s="97"/>
      <c r="AL394" s="97"/>
      <c r="AM394" s="97"/>
      <c r="AN394" s="97"/>
    </row>
    <row r="395" spans="24:40" ht="24.75" customHeight="1" x14ac:dyDescent="0.35">
      <c r="X395" s="97"/>
      <c r="Y395" s="97"/>
      <c r="Z395" s="97"/>
      <c r="AA395" s="97"/>
      <c r="AB395" s="97"/>
      <c r="AC395" s="97"/>
      <c r="AD395" s="97"/>
      <c r="AE395" s="97"/>
      <c r="AF395" s="97"/>
      <c r="AG395" s="97"/>
      <c r="AH395" s="97"/>
      <c r="AI395" s="97"/>
      <c r="AK395" s="97"/>
      <c r="AL395" s="97"/>
      <c r="AM395" s="97"/>
      <c r="AN395" s="97"/>
    </row>
    <row r="396" spans="24:40" ht="24.75" customHeight="1" x14ac:dyDescent="0.35">
      <c r="X396" s="97"/>
      <c r="Y396" s="97"/>
      <c r="Z396" s="97"/>
      <c r="AA396" s="97"/>
      <c r="AB396" s="97"/>
      <c r="AC396" s="97"/>
      <c r="AD396" s="97"/>
      <c r="AE396" s="97"/>
      <c r="AF396" s="97"/>
      <c r="AG396" s="97"/>
      <c r="AH396" s="97"/>
      <c r="AI396" s="97"/>
      <c r="AK396" s="97"/>
      <c r="AL396" s="97"/>
      <c r="AM396" s="97"/>
      <c r="AN396" s="97"/>
    </row>
    <row r="397" spans="24:40" ht="24.75" customHeight="1" x14ac:dyDescent="0.35">
      <c r="X397" s="97"/>
      <c r="Y397" s="97"/>
      <c r="Z397" s="97"/>
      <c r="AA397" s="97"/>
      <c r="AB397" s="97"/>
      <c r="AC397" s="97"/>
      <c r="AD397" s="97"/>
      <c r="AE397" s="97"/>
      <c r="AF397" s="97"/>
      <c r="AG397" s="97"/>
      <c r="AH397" s="97"/>
      <c r="AI397" s="97"/>
      <c r="AK397" s="97"/>
      <c r="AL397" s="97"/>
      <c r="AM397" s="97"/>
      <c r="AN397" s="97"/>
    </row>
    <row r="398" spans="24:40" ht="24.75" customHeight="1" x14ac:dyDescent="0.35">
      <c r="X398" s="97"/>
      <c r="Y398" s="97"/>
      <c r="Z398" s="97"/>
      <c r="AA398" s="97"/>
      <c r="AB398" s="97"/>
      <c r="AC398" s="97"/>
      <c r="AD398" s="97"/>
      <c r="AE398" s="97"/>
      <c r="AF398" s="97"/>
      <c r="AG398" s="97"/>
      <c r="AH398" s="97"/>
      <c r="AI398" s="97"/>
      <c r="AK398" s="97"/>
      <c r="AL398" s="97"/>
      <c r="AM398" s="97"/>
      <c r="AN398" s="97"/>
    </row>
    <row r="399" spans="24:40" ht="24.75" customHeight="1" x14ac:dyDescent="0.35">
      <c r="X399" s="97"/>
      <c r="Y399" s="97"/>
      <c r="Z399" s="97"/>
      <c r="AA399" s="97"/>
      <c r="AB399" s="97"/>
      <c r="AC399" s="97"/>
      <c r="AD399" s="97"/>
      <c r="AE399" s="97"/>
      <c r="AF399" s="97"/>
      <c r="AG399" s="97"/>
      <c r="AH399" s="97"/>
      <c r="AI399" s="97"/>
      <c r="AK399" s="97"/>
      <c r="AL399" s="97"/>
      <c r="AM399" s="97"/>
      <c r="AN399" s="97"/>
    </row>
    <row r="400" spans="24:40" ht="24.75" customHeight="1" x14ac:dyDescent="0.35">
      <c r="X400" s="97"/>
      <c r="Y400" s="97"/>
      <c r="Z400" s="97"/>
      <c r="AA400" s="97"/>
      <c r="AB400" s="97"/>
      <c r="AC400" s="97"/>
      <c r="AD400" s="97"/>
      <c r="AE400" s="97"/>
      <c r="AF400" s="97"/>
      <c r="AG400" s="97"/>
      <c r="AH400" s="97"/>
      <c r="AI400" s="97"/>
      <c r="AK400" s="97"/>
      <c r="AL400" s="97"/>
      <c r="AM400" s="97"/>
      <c r="AN400" s="97"/>
    </row>
    <row r="401" spans="24:40" ht="24.75" customHeight="1" x14ac:dyDescent="0.35">
      <c r="X401" s="97"/>
      <c r="Y401" s="97"/>
      <c r="Z401" s="97"/>
      <c r="AA401" s="97"/>
      <c r="AB401" s="97"/>
      <c r="AC401" s="97"/>
      <c r="AD401" s="97"/>
      <c r="AE401" s="97"/>
      <c r="AF401" s="97"/>
      <c r="AG401" s="97"/>
      <c r="AH401" s="97"/>
      <c r="AI401" s="97"/>
      <c r="AK401" s="97"/>
      <c r="AL401" s="97"/>
      <c r="AM401" s="97"/>
      <c r="AN401" s="97"/>
    </row>
    <row r="402" spans="24:40" ht="24.75" customHeight="1" x14ac:dyDescent="0.35">
      <c r="X402" s="97"/>
      <c r="Y402" s="97"/>
      <c r="Z402" s="97"/>
      <c r="AA402" s="97"/>
      <c r="AB402" s="97"/>
      <c r="AC402" s="97"/>
      <c r="AD402" s="97"/>
      <c r="AE402" s="97"/>
      <c r="AF402" s="97"/>
      <c r="AG402" s="97"/>
      <c r="AH402" s="97"/>
      <c r="AI402" s="97"/>
      <c r="AK402" s="97"/>
      <c r="AL402" s="97"/>
      <c r="AM402" s="97"/>
      <c r="AN402" s="97"/>
    </row>
    <row r="403" spans="24:40" ht="24.75" customHeight="1" x14ac:dyDescent="0.35">
      <c r="X403" s="97"/>
      <c r="Y403" s="97"/>
      <c r="Z403" s="97"/>
      <c r="AA403" s="97"/>
      <c r="AB403" s="97"/>
      <c r="AC403" s="97"/>
      <c r="AD403" s="97"/>
      <c r="AE403" s="97"/>
      <c r="AF403" s="97"/>
      <c r="AG403" s="97"/>
      <c r="AH403" s="97"/>
      <c r="AI403" s="97"/>
      <c r="AK403" s="97"/>
      <c r="AL403" s="97"/>
      <c r="AM403" s="97"/>
      <c r="AN403" s="97"/>
    </row>
    <row r="404" spans="24:40" ht="24.75" customHeight="1" x14ac:dyDescent="0.35">
      <c r="X404" s="97"/>
      <c r="Y404" s="97"/>
      <c r="Z404" s="97"/>
      <c r="AA404" s="97"/>
      <c r="AB404" s="97"/>
      <c r="AC404" s="97"/>
      <c r="AD404" s="97"/>
      <c r="AE404" s="97"/>
      <c r="AF404" s="97"/>
      <c r="AG404" s="97"/>
      <c r="AH404" s="97"/>
      <c r="AI404" s="97"/>
      <c r="AK404" s="97"/>
      <c r="AL404" s="97"/>
      <c r="AM404" s="97"/>
      <c r="AN404" s="97"/>
    </row>
    <row r="405" spans="24:40" ht="24.75" customHeight="1" x14ac:dyDescent="0.35">
      <c r="X405" s="97"/>
      <c r="Y405" s="97"/>
      <c r="Z405" s="97"/>
      <c r="AA405" s="97"/>
      <c r="AB405" s="97"/>
      <c r="AC405" s="97"/>
      <c r="AD405" s="97"/>
      <c r="AE405" s="97"/>
      <c r="AF405" s="97"/>
      <c r="AG405" s="97"/>
      <c r="AH405" s="97"/>
      <c r="AI405" s="97"/>
      <c r="AK405" s="97"/>
      <c r="AL405" s="97"/>
      <c r="AM405" s="97"/>
      <c r="AN405" s="97"/>
    </row>
    <row r="406" spans="24:40" ht="24.75" customHeight="1" x14ac:dyDescent="0.35">
      <c r="X406" s="97"/>
      <c r="Y406" s="97"/>
      <c r="Z406" s="97"/>
      <c r="AA406" s="97"/>
      <c r="AB406" s="97"/>
      <c r="AC406" s="97"/>
      <c r="AD406" s="97"/>
      <c r="AE406" s="97"/>
      <c r="AF406" s="97"/>
      <c r="AG406" s="97"/>
      <c r="AH406" s="97"/>
      <c r="AI406" s="97"/>
      <c r="AK406" s="97"/>
      <c r="AL406" s="97"/>
      <c r="AM406" s="97"/>
      <c r="AN406" s="97"/>
    </row>
    <row r="407" spans="24:40" ht="24.75" customHeight="1" x14ac:dyDescent="0.35">
      <c r="X407" s="97"/>
      <c r="Y407" s="97"/>
      <c r="Z407" s="97"/>
      <c r="AA407" s="97"/>
      <c r="AB407" s="97"/>
      <c r="AC407" s="97"/>
      <c r="AD407" s="97"/>
      <c r="AE407" s="97"/>
      <c r="AF407" s="97"/>
      <c r="AG407" s="97"/>
      <c r="AH407" s="97"/>
      <c r="AI407" s="97"/>
      <c r="AK407" s="97"/>
      <c r="AL407" s="97"/>
      <c r="AM407" s="97"/>
      <c r="AN407" s="97"/>
    </row>
    <row r="408" spans="24:40" ht="24.75" customHeight="1" x14ac:dyDescent="0.35">
      <c r="X408" s="97"/>
      <c r="Y408" s="97"/>
      <c r="Z408" s="97"/>
      <c r="AA408" s="97"/>
      <c r="AB408" s="97"/>
      <c r="AC408" s="97"/>
      <c r="AD408" s="97"/>
      <c r="AE408" s="97"/>
      <c r="AF408" s="97"/>
      <c r="AG408" s="97"/>
      <c r="AH408" s="97"/>
      <c r="AI408" s="97"/>
      <c r="AK408" s="97"/>
      <c r="AL408" s="97"/>
      <c r="AM408" s="97"/>
      <c r="AN408" s="97"/>
    </row>
    <row r="409" spans="24:40" ht="24.75" customHeight="1" x14ac:dyDescent="0.35">
      <c r="X409" s="97"/>
      <c r="Y409" s="97"/>
      <c r="Z409" s="97"/>
      <c r="AA409" s="97"/>
      <c r="AB409" s="97"/>
      <c r="AC409" s="97"/>
      <c r="AD409" s="97"/>
      <c r="AE409" s="97"/>
      <c r="AF409" s="97"/>
      <c r="AG409" s="97"/>
      <c r="AH409" s="97"/>
      <c r="AI409" s="97"/>
      <c r="AK409" s="97"/>
      <c r="AL409" s="97"/>
      <c r="AM409" s="97"/>
      <c r="AN409" s="97"/>
    </row>
    <row r="410" spans="24:40" ht="24.75" customHeight="1" x14ac:dyDescent="0.35">
      <c r="X410" s="97"/>
      <c r="Y410" s="97"/>
      <c r="Z410" s="97"/>
      <c r="AA410" s="97"/>
      <c r="AB410" s="97"/>
      <c r="AC410" s="97"/>
      <c r="AD410" s="97"/>
      <c r="AE410" s="97"/>
      <c r="AF410" s="97"/>
      <c r="AG410" s="97"/>
      <c r="AH410" s="97"/>
      <c r="AI410" s="97"/>
      <c r="AK410" s="97"/>
      <c r="AL410" s="97"/>
      <c r="AM410" s="97"/>
      <c r="AN410" s="97"/>
    </row>
    <row r="411" spans="24:40" ht="24.75" customHeight="1" x14ac:dyDescent="0.35">
      <c r="X411" s="97"/>
      <c r="Y411" s="97"/>
      <c r="Z411" s="97"/>
      <c r="AA411" s="97"/>
      <c r="AB411" s="97"/>
      <c r="AC411" s="97"/>
      <c r="AD411" s="97"/>
      <c r="AE411" s="97"/>
      <c r="AF411" s="97"/>
      <c r="AG411" s="97"/>
      <c r="AH411" s="97"/>
      <c r="AI411" s="97"/>
      <c r="AK411" s="97"/>
      <c r="AL411" s="97"/>
      <c r="AM411" s="97"/>
      <c r="AN411" s="97"/>
    </row>
    <row r="412" spans="24:40" ht="24.75" customHeight="1" x14ac:dyDescent="0.35">
      <c r="X412" s="97"/>
      <c r="Y412" s="97"/>
      <c r="Z412" s="97"/>
      <c r="AA412" s="97"/>
      <c r="AB412" s="97"/>
      <c r="AC412" s="97"/>
      <c r="AD412" s="97"/>
      <c r="AE412" s="97"/>
      <c r="AF412" s="97"/>
      <c r="AG412" s="97"/>
      <c r="AH412" s="97"/>
      <c r="AI412" s="97"/>
      <c r="AK412" s="97"/>
      <c r="AL412" s="97"/>
      <c r="AM412" s="97"/>
      <c r="AN412" s="97"/>
    </row>
    <row r="413" spans="24:40" ht="24.75" customHeight="1" x14ac:dyDescent="0.35">
      <c r="X413" s="97"/>
      <c r="Y413" s="97"/>
      <c r="Z413" s="97"/>
      <c r="AA413" s="97"/>
      <c r="AB413" s="97"/>
      <c r="AC413" s="97"/>
      <c r="AD413" s="97"/>
      <c r="AE413" s="97"/>
      <c r="AF413" s="97"/>
      <c r="AG413" s="97"/>
      <c r="AH413" s="97"/>
      <c r="AI413" s="97"/>
      <c r="AK413" s="97"/>
      <c r="AL413" s="97"/>
      <c r="AM413" s="97"/>
      <c r="AN413" s="97"/>
    </row>
    <row r="414" spans="24:40" ht="24.75" customHeight="1" x14ac:dyDescent="0.35">
      <c r="X414" s="97"/>
      <c r="Y414" s="97"/>
      <c r="Z414" s="97"/>
      <c r="AA414" s="97"/>
      <c r="AB414" s="97"/>
      <c r="AC414" s="97"/>
      <c r="AD414" s="97"/>
      <c r="AE414" s="97"/>
      <c r="AF414" s="97"/>
      <c r="AG414" s="97"/>
      <c r="AH414" s="97"/>
      <c r="AI414" s="97"/>
      <c r="AK414" s="97"/>
      <c r="AL414" s="97"/>
      <c r="AM414" s="97"/>
      <c r="AN414" s="97"/>
    </row>
    <row r="415" spans="24:40" ht="24.75" customHeight="1" x14ac:dyDescent="0.35">
      <c r="X415" s="97"/>
      <c r="Y415" s="97"/>
      <c r="Z415" s="97"/>
      <c r="AA415" s="97"/>
      <c r="AB415" s="97"/>
      <c r="AC415" s="97"/>
      <c r="AD415" s="97"/>
      <c r="AE415" s="97"/>
      <c r="AF415" s="97"/>
      <c r="AG415" s="97"/>
      <c r="AH415" s="97"/>
      <c r="AI415" s="97"/>
      <c r="AK415" s="97"/>
      <c r="AL415" s="97"/>
      <c r="AM415" s="97"/>
      <c r="AN415" s="97"/>
    </row>
    <row r="416" spans="24:40" ht="24.75" customHeight="1" x14ac:dyDescent="0.35">
      <c r="X416" s="97"/>
      <c r="Y416" s="97"/>
      <c r="Z416" s="97"/>
      <c r="AA416" s="97"/>
      <c r="AB416" s="97"/>
      <c r="AC416" s="97"/>
      <c r="AD416" s="97"/>
      <c r="AE416" s="97"/>
      <c r="AF416" s="97"/>
      <c r="AG416" s="97"/>
      <c r="AH416" s="97"/>
      <c r="AI416" s="97"/>
      <c r="AK416" s="97"/>
      <c r="AL416" s="97"/>
      <c r="AM416" s="97"/>
      <c r="AN416" s="97"/>
    </row>
    <row r="417" spans="24:40" ht="24.75" customHeight="1" x14ac:dyDescent="0.35">
      <c r="X417" s="97"/>
      <c r="Y417" s="97"/>
      <c r="Z417" s="97"/>
      <c r="AA417" s="97"/>
      <c r="AB417" s="97"/>
      <c r="AC417" s="97"/>
      <c r="AD417" s="97"/>
      <c r="AE417" s="97"/>
      <c r="AF417" s="97"/>
      <c r="AG417" s="97"/>
      <c r="AH417" s="97"/>
      <c r="AI417" s="97"/>
      <c r="AK417" s="97"/>
      <c r="AL417" s="97"/>
      <c r="AM417" s="97"/>
      <c r="AN417" s="97"/>
    </row>
    <row r="418" spans="24:40" ht="24.75" customHeight="1" x14ac:dyDescent="0.35">
      <c r="X418" s="97"/>
      <c r="Y418" s="97"/>
      <c r="Z418" s="97"/>
      <c r="AA418" s="97"/>
      <c r="AB418" s="97"/>
      <c r="AC418" s="97"/>
      <c r="AD418" s="97"/>
      <c r="AE418" s="97"/>
      <c r="AF418" s="97"/>
      <c r="AG418" s="97"/>
      <c r="AH418" s="97"/>
      <c r="AI418" s="97"/>
      <c r="AK418" s="97"/>
      <c r="AL418" s="97"/>
      <c r="AM418" s="97"/>
      <c r="AN418" s="97"/>
    </row>
    <row r="419" spans="24:40" ht="24.75" customHeight="1" x14ac:dyDescent="0.35">
      <c r="X419" s="97"/>
      <c r="Y419" s="97"/>
      <c r="Z419" s="97"/>
      <c r="AA419" s="97"/>
      <c r="AB419" s="97"/>
      <c r="AC419" s="97"/>
      <c r="AD419" s="97"/>
      <c r="AE419" s="97"/>
      <c r="AF419" s="97"/>
      <c r="AG419" s="97"/>
      <c r="AH419" s="97"/>
      <c r="AI419" s="97"/>
      <c r="AK419" s="97"/>
      <c r="AL419" s="97"/>
      <c r="AM419" s="97"/>
      <c r="AN419" s="97"/>
    </row>
    <row r="420" spans="24:40" ht="24.75" customHeight="1" x14ac:dyDescent="0.35">
      <c r="X420" s="97"/>
      <c r="Y420" s="97"/>
      <c r="Z420" s="97"/>
      <c r="AA420" s="97"/>
      <c r="AB420" s="97"/>
      <c r="AC420" s="97"/>
      <c r="AD420" s="97"/>
      <c r="AE420" s="97"/>
      <c r="AF420" s="97"/>
      <c r="AG420" s="97"/>
      <c r="AH420" s="97"/>
      <c r="AI420" s="97"/>
      <c r="AK420" s="97"/>
      <c r="AL420" s="97"/>
      <c r="AM420" s="97"/>
      <c r="AN420" s="97"/>
    </row>
    <row r="421" spans="24:40" ht="24.75" customHeight="1" x14ac:dyDescent="0.35">
      <c r="X421" s="97"/>
      <c r="Y421" s="97"/>
      <c r="Z421" s="97"/>
      <c r="AA421" s="97"/>
      <c r="AB421" s="97"/>
      <c r="AC421" s="97"/>
      <c r="AD421" s="97"/>
      <c r="AE421" s="97"/>
      <c r="AF421" s="97"/>
      <c r="AG421" s="97"/>
      <c r="AH421" s="97"/>
      <c r="AI421" s="97"/>
      <c r="AK421" s="97"/>
      <c r="AL421" s="97"/>
      <c r="AM421" s="97"/>
      <c r="AN421" s="97"/>
    </row>
    <row r="422" spans="24:40" ht="24.75" customHeight="1" x14ac:dyDescent="0.35">
      <c r="X422" s="97"/>
      <c r="Y422" s="97"/>
      <c r="Z422" s="97"/>
      <c r="AA422" s="97"/>
      <c r="AB422" s="97"/>
      <c r="AC422" s="97"/>
      <c r="AD422" s="97"/>
      <c r="AE422" s="97"/>
      <c r="AF422" s="97"/>
      <c r="AG422" s="97"/>
      <c r="AH422" s="97"/>
      <c r="AI422" s="97"/>
      <c r="AK422" s="97"/>
      <c r="AL422" s="97"/>
      <c r="AM422" s="97"/>
      <c r="AN422" s="97"/>
    </row>
    <row r="423" spans="24:40" ht="24.75" customHeight="1" x14ac:dyDescent="0.35">
      <c r="X423" s="97"/>
      <c r="Y423" s="97"/>
      <c r="Z423" s="97"/>
      <c r="AA423" s="97"/>
      <c r="AB423" s="97"/>
      <c r="AC423" s="97"/>
      <c r="AD423" s="97"/>
      <c r="AE423" s="97"/>
      <c r="AF423" s="97"/>
      <c r="AG423" s="97"/>
      <c r="AH423" s="97"/>
      <c r="AI423" s="97"/>
      <c r="AK423" s="97"/>
      <c r="AL423" s="97"/>
      <c r="AM423" s="97"/>
      <c r="AN423" s="97"/>
    </row>
    <row r="424" spans="24:40" ht="24.75" customHeight="1" x14ac:dyDescent="0.35">
      <c r="X424" s="97"/>
      <c r="Y424" s="97"/>
      <c r="Z424" s="97"/>
      <c r="AA424" s="97"/>
      <c r="AB424" s="97"/>
      <c r="AC424" s="97"/>
      <c r="AD424" s="97"/>
      <c r="AE424" s="97"/>
      <c r="AF424" s="97"/>
      <c r="AG424" s="97"/>
      <c r="AH424" s="97"/>
      <c r="AI424" s="97"/>
      <c r="AK424" s="97"/>
      <c r="AL424" s="97"/>
      <c r="AM424" s="97"/>
      <c r="AN424" s="97"/>
    </row>
    <row r="425" spans="24:40" ht="24.75" customHeight="1" x14ac:dyDescent="0.35">
      <c r="X425" s="97"/>
      <c r="Y425" s="97"/>
      <c r="Z425" s="97"/>
      <c r="AA425" s="97"/>
      <c r="AB425" s="97"/>
      <c r="AC425" s="97"/>
      <c r="AD425" s="97"/>
      <c r="AE425" s="97"/>
      <c r="AF425" s="97"/>
      <c r="AG425" s="97"/>
      <c r="AH425" s="97"/>
      <c r="AI425" s="97"/>
      <c r="AK425" s="97"/>
      <c r="AL425" s="97"/>
      <c r="AM425" s="97"/>
      <c r="AN425" s="97"/>
    </row>
    <row r="426" spans="24:40" ht="24.75" customHeight="1" x14ac:dyDescent="0.35">
      <c r="X426" s="97"/>
      <c r="Y426" s="97"/>
      <c r="Z426" s="97"/>
      <c r="AA426" s="97"/>
      <c r="AB426" s="97"/>
      <c r="AC426" s="97"/>
      <c r="AD426" s="97"/>
      <c r="AE426" s="97"/>
      <c r="AF426" s="97"/>
      <c r="AG426" s="97"/>
      <c r="AH426" s="97"/>
      <c r="AI426" s="97"/>
      <c r="AK426" s="97"/>
      <c r="AL426" s="97"/>
      <c r="AM426" s="97"/>
      <c r="AN426" s="97"/>
    </row>
    <row r="427" spans="24:40" ht="24.75" customHeight="1" x14ac:dyDescent="0.35">
      <c r="X427" s="97"/>
      <c r="Y427" s="97"/>
      <c r="Z427" s="97"/>
      <c r="AA427" s="97"/>
      <c r="AB427" s="97"/>
      <c r="AC427" s="97"/>
      <c r="AD427" s="97"/>
      <c r="AE427" s="97"/>
      <c r="AF427" s="97"/>
      <c r="AG427" s="97"/>
      <c r="AH427" s="97"/>
      <c r="AI427" s="97"/>
      <c r="AK427" s="97"/>
      <c r="AL427" s="97"/>
      <c r="AM427" s="97"/>
      <c r="AN427" s="97"/>
    </row>
    <row r="428" spans="24:40" ht="24.75" customHeight="1" x14ac:dyDescent="0.35">
      <c r="X428" s="97"/>
      <c r="Y428" s="97"/>
      <c r="Z428" s="97"/>
      <c r="AA428" s="97"/>
      <c r="AB428" s="97"/>
      <c r="AC428" s="97"/>
      <c r="AD428" s="97"/>
      <c r="AE428" s="97"/>
      <c r="AF428" s="97"/>
      <c r="AG428" s="97"/>
      <c r="AH428" s="97"/>
      <c r="AI428" s="97"/>
      <c r="AK428" s="97"/>
      <c r="AL428" s="97"/>
      <c r="AM428" s="97"/>
      <c r="AN428" s="97"/>
    </row>
    <row r="429" spans="24:40" ht="24.75" customHeight="1" x14ac:dyDescent="0.35">
      <c r="X429" s="97"/>
      <c r="Y429" s="97"/>
      <c r="Z429" s="97"/>
      <c r="AA429" s="97"/>
      <c r="AB429" s="97"/>
      <c r="AC429" s="97"/>
      <c r="AD429" s="97"/>
      <c r="AE429" s="97"/>
      <c r="AF429" s="97"/>
      <c r="AG429" s="97"/>
      <c r="AH429" s="97"/>
      <c r="AI429" s="97"/>
      <c r="AK429" s="97"/>
      <c r="AL429" s="97"/>
      <c r="AM429" s="97"/>
      <c r="AN429" s="97"/>
    </row>
    <row r="430" spans="24:40" ht="24.75" customHeight="1" x14ac:dyDescent="0.35">
      <c r="X430" s="97"/>
      <c r="Y430" s="97"/>
      <c r="Z430" s="97"/>
      <c r="AA430" s="97"/>
      <c r="AB430" s="97"/>
      <c r="AC430" s="97"/>
      <c r="AD430" s="97"/>
      <c r="AE430" s="97"/>
      <c r="AF430" s="97"/>
      <c r="AG430" s="97"/>
      <c r="AH430" s="97"/>
      <c r="AI430" s="97"/>
      <c r="AK430" s="97"/>
      <c r="AL430" s="97"/>
      <c r="AM430" s="97"/>
      <c r="AN430" s="97"/>
    </row>
    <row r="431" spans="24:40" ht="24.75" customHeight="1" x14ac:dyDescent="0.35">
      <c r="X431" s="97"/>
      <c r="Y431" s="97"/>
      <c r="Z431" s="97"/>
      <c r="AA431" s="97"/>
      <c r="AB431" s="97"/>
      <c r="AC431" s="97"/>
      <c r="AD431" s="97"/>
      <c r="AE431" s="97"/>
      <c r="AF431" s="97"/>
      <c r="AG431" s="97"/>
      <c r="AH431" s="97"/>
      <c r="AI431" s="97"/>
      <c r="AK431" s="97"/>
      <c r="AL431" s="97"/>
      <c r="AM431" s="97"/>
      <c r="AN431" s="97"/>
    </row>
    <row r="432" spans="24:40" ht="24.75" customHeight="1" x14ac:dyDescent="0.35">
      <c r="X432" s="97"/>
      <c r="Y432" s="97"/>
      <c r="Z432" s="97"/>
      <c r="AA432" s="97"/>
      <c r="AB432" s="97"/>
      <c r="AC432" s="97"/>
      <c r="AD432" s="97"/>
      <c r="AE432" s="97"/>
      <c r="AF432" s="97"/>
      <c r="AG432" s="97"/>
      <c r="AH432" s="97"/>
      <c r="AI432" s="97"/>
      <c r="AK432" s="97"/>
      <c r="AL432" s="97"/>
      <c r="AM432" s="97"/>
      <c r="AN432" s="97"/>
    </row>
    <row r="433" spans="24:40" ht="24.75" customHeight="1" x14ac:dyDescent="0.35">
      <c r="X433" s="97"/>
      <c r="Y433" s="97"/>
      <c r="Z433" s="97"/>
      <c r="AA433" s="97"/>
      <c r="AB433" s="97"/>
      <c r="AC433" s="97"/>
      <c r="AD433" s="97"/>
      <c r="AE433" s="97"/>
      <c r="AF433" s="97"/>
      <c r="AG433" s="97"/>
      <c r="AH433" s="97"/>
      <c r="AI433" s="97"/>
      <c r="AK433" s="97"/>
      <c r="AL433" s="97"/>
      <c r="AM433" s="97"/>
      <c r="AN433" s="97"/>
    </row>
    <row r="434" spans="24:40" ht="24.75" customHeight="1" x14ac:dyDescent="0.35">
      <c r="X434" s="97"/>
      <c r="Y434" s="97"/>
      <c r="Z434" s="97"/>
      <c r="AA434" s="97"/>
      <c r="AB434" s="97"/>
      <c r="AC434" s="97"/>
      <c r="AD434" s="97"/>
      <c r="AE434" s="97"/>
      <c r="AF434" s="97"/>
      <c r="AG434" s="97"/>
      <c r="AH434" s="97"/>
      <c r="AI434" s="97"/>
      <c r="AK434" s="97"/>
      <c r="AL434" s="97"/>
      <c r="AM434" s="97"/>
      <c r="AN434" s="97"/>
    </row>
    <row r="435" spans="24:40" ht="24.75" customHeight="1" x14ac:dyDescent="0.35">
      <c r="X435" s="97"/>
      <c r="Y435" s="97"/>
      <c r="Z435" s="97"/>
      <c r="AA435" s="97"/>
      <c r="AB435" s="97"/>
      <c r="AC435" s="97"/>
      <c r="AD435" s="97"/>
      <c r="AE435" s="97"/>
      <c r="AF435" s="97"/>
      <c r="AG435" s="97"/>
      <c r="AH435" s="97"/>
      <c r="AI435" s="97"/>
      <c r="AK435" s="97"/>
      <c r="AL435" s="97"/>
      <c r="AM435" s="97"/>
      <c r="AN435" s="97"/>
    </row>
    <row r="436" spans="24:40" ht="24.75" customHeight="1" x14ac:dyDescent="0.35">
      <c r="X436" s="97"/>
      <c r="Y436" s="97"/>
      <c r="Z436" s="97"/>
      <c r="AA436" s="97"/>
      <c r="AB436" s="97"/>
      <c r="AC436" s="97"/>
      <c r="AD436" s="97"/>
      <c r="AE436" s="97"/>
      <c r="AF436" s="97"/>
      <c r="AG436" s="97"/>
      <c r="AH436" s="97"/>
      <c r="AI436" s="97"/>
      <c r="AK436" s="97"/>
      <c r="AL436" s="97"/>
      <c r="AM436" s="97"/>
      <c r="AN436" s="97"/>
    </row>
    <row r="437" spans="24:40" ht="24.75" customHeight="1" x14ac:dyDescent="0.35">
      <c r="X437" s="97"/>
      <c r="Y437" s="97"/>
      <c r="Z437" s="97"/>
      <c r="AA437" s="97"/>
      <c r="AB437" s="97"/>
      <c r="AC437" s="97"/>
      <c r="AD437" s="97"/>
      <c r="AE437" s="97"/>
      <c r="AF437" s="97"/>
      <c r="AG437" s="97"/>
      <c r="AH437" s="97"/>
      <c r="AI437" s="97"/>
      <c r="AK437" s="97"/>
      <c r="AL437" s="97"/>
      <c r="AM437" s="97"/>
      <c r="AN437" s="97"/>
    </row>
    <row r="438" spans="24:40" ht="24.75" customHeight="1" x14ac:dyDescent="0.35">
      <c r="X438" s="97"/>
      <c r="Y438" s="97"/>
      <c r="Z438" s="97"/>
      <c r="AA438" s="97"/>
      <c r="AB438" s="97"/>
      <c r="AC438" s="97"/>
      <c r="AD438" s="97"/>
      <c r="AE438" s="97"/>
      <c r="AF438" s="97"/>
      <c r="AG438" s="97"/>
      <c r="AH438" s="97"/>
      <c r="AI438" s="97"/>
      <c r="AK438" s="97"/>
      <c r="AL438" s="97"/>
      <c r="AM438" s="97"/>
      <c r="AN438" s="97"/>
    </row>
    <row r="439" spans="24:40" ht="24.75" customHeight="1" x14ac:dyDescent="0.35">
      <c r="X439" s="97"/>
      <c r="Y439" s="97"/>
      <c r="Z439" s="97"/>
      <c r="AA439" s="97"/>
      <c r="AB439" s="97"/>
      <c r="AC439" s="97"/>
      <c r="AD439" s="97"/>
      <c r="AE439" s="97"/>
      <c r="AF439" s="97"/>
      <c r="AG439" s="97"/>
      <c r="AH439" s="97"/>
      <c r="AI439" s="97"/>
      <c r="AK439" s="97"/>
      <c r="AL439" s="97"/>
      <c r="AM439" s="97"/>
      <c r="AN439" s="97"/>
    </row>
    <row r="440" spans="24:40" ht="24.75" customHeight="1" x14ac:dyDescent="0.35">
      <c r="X440" s="97"/>
      <c r="Y440" s="97"/>
      <c r="Z440" s="97"/>
      <c r="AA440" s="97"/>
      <c r="AB440" s="97"/>
      <c r="AC440" s="97"/>
      <c r="AD440" s="97"/>
      <c r="AE440" s="97"/>
      <c r="AF440" s="97"/>
      <c r="AG440" s="97"/>
      <c r="AH440" s="97"/>
      <c r="AI440" s="97"/>
      <c r="AK440" s="97"/>
      <c r="AL440" s="97"/>
      <c r="AM440" s="97"/>
      <c r="AN440" s="97"/>
    </row>
    <row r="441" spans="24:40" ht="24.75" customHeight="1" x14ac:dyDescent="0.35">
      <c r="X441" s="97"/>
      <c r="Y441" s="97"/>
      <c r="Z441" s="97"/>
      <c r="AA441" s="97"/>
      <c r="AB441" s="97"/>
      <c r="AC441" s="97"/>
      <c r="AD441" s="97"/>
      <c r="AE441" s="97"/>
      <c r="AF441" s="97"/>
      <c r="AG441" s="97"/>
      <c r="AH441" s="97"/>
      <c r="AI441" s="97"/>
      <c r="AK441" s="97"/>
      <c r="AL441" s="97"/>
      <c r="AM441" s="97"/>
      <c r="AN441" s="97"/>
    </row>
    <row r="442" spans="24:40" ht="24.75" customHeight="1" x14ac:dyDescent="0.35">
      <c r="X442" s="97"/>
      <c r="Y442" s="97"/>
      <c r="Z442" s="97"/>
      <c r="AA442" s="97"/>
      <c r="AB442" s="97"/>
      <c r="AC442" s="97"/>
      <c r="AD442" s="97"/>
      <c r="AE442" s="97"/>
      <c r="AF442" s="97"/>
      <c r="AG442" s="97"/>
      <c r="AH442" s="97"/>
      <c r="AI442" s="97"/>
      <c r="AK442" s="97"/>
      <c r="AL442" s="97"/>
      <c r="AM442" s="97"/>
      <c r="AN442" s="97"/>
    </row>
    <row r="443" spans="24:40" ht="24.75" customHeight="1" x14ac:dyDescent="0.35">
      <c r="X443" s="97"/>
      <c r="Y443" s="97"/>
      <c r="Z443" s="97"/>
      <c r="AA443" s="97"/>
      <c r="AB443" s="97"/>
      <c r="AC443" s="97"/>
      <c r="AD443" s="97"/>
      <c r="AE443" s="97"/>
      <c r="AF443" s="97"/>
      <c r="AG443" s="97"/>
      <c r="AH443" s="97"/>
      <c r="AI443" s="97"/>
      <c r="AK443" s="97"/>
      <c r="AL443" s="97"/>
      <c r="AM443" s="97"/>
      <c r="AN443" s="97"/>
    </row>
    <row r="444" spans="24:40" ht="24.75" customHeight="1" x14ac:dyDescent="0.35">
      <c r="X444" s="97"/>
      <c r="Y444" s="97"/>
      <c r="Z444" s="97"/>
      <c r="AA444" s="97"/>
      <c r="AB444" s="97"/>
      <c r="AC444" s="97"/>
      <c r="AD444" s="97"/>
      <c r="AE444" s="97"/>
      <c r="AF444" s="97"/>
      <c r="AG444" s="97"/>
      <c r="AH444" s="97"/>
      <c r="AI444" s="97"/>
      <c r="AK444" s="97"/>
      <c r="AL444" s="97"/>
      <c r="AM444" s="97"/>
      <c r="AN444" s="97"/>
    </row>
    <row r="445" spans="24:40" ht="24.75" customHeight="1" x14ac:dyDescent="0.35">
      <c r="X445" s="97"/>
      <c r="Y445" s="97"/>
      <c r="Z445" s="97"/>
      <c r="AA445" s="97"/>
      <c r="AB445" s="97"/>
      <c r="AC445" s="97"/>
      <c r="AD445" s="97"/>
      <c r="AE445" s="97"/>
      <c r="AF445" s="97"/>
      <c r="AG445" s="97"/>
      <c r="AH445" s="97"/>
      <c r="AI445" s="97"/>
      <c r="AK445" s="97"/>
      <c r="AL445" s="97"/>
      <c r="AM445" s="97"/>
      <c r="AN445" s="97"/>
    </row>
    <row r="446" spans="24:40" ht="24.75" customHeight="1" x14ac:dyDescent="0.35">
      <c r="X446" s="97"/>
      <c r="Y446" s="97"/>
      <c r="Z446" s="97"/>
      <c r="AA446" s="97"/>
      <c r="AB446" s="97"/>
      <c r="AC446" s="97"/>
      <c r="AD446" s="97"/>
      <c r="AE446" s="97"/>
      <c r="AF446" s="97"/>
      <c r="AG446" s="97"/>
      <c r="AH446" s="97"/>
      <c r="AI446" s="97"/>
      <c r="AK446" s="97"/>
      <c r="AL446" s="97"/>
      <c r="AM446" s="97"/>
      <c r="AN446" s="97"/>
    </row>
    <row r="447" spans="24:40" ht="24.75" customHeight="1" x14ac:dyDescent="0.35">
      <c r="X447" s="97"/>
      <c r="Y447" s="97"/>
      <c r="Z447" s="97"/>
      <c r="AA447" s="97"/>
      <c r="AB447" s="97"/>
      <c r="AC447" s="97"/>
      <c r="AD447" s="97"/>
      <c r="AE447" s="97"/>
      <c r="AF447" s="97"/>
      <c r="AG447" s="97"/>
      <c r="AH447" s="97"/>
      <c r="AI447" s="97"/>
      <c r="AK447" s="97"/>
      <c r="AL447" s="97"/>
      <c r="AM447" s="97"/>
      <c r="AN447" s="97"/>
    </row>
    <row r="448" spans="24:40" ht="24.75" customHeight="1" x14ac:dyDescent="0.35">
      <c r="X448" s="97"/>
      <c r="Y448" s="97"/>
      <c r="Z448" s="97"/>
      <c r="AA448" s="97"/>
      <c r="AB448" s="97"/>
      <c r="AC448" s="97"/>
      <c r="AD448" s="97"/>
      <c r="AE448" s="97"/>
      <c r="AF448" s="97"/>
      <c r="AG448" s="97"/>
      <c r="AH448" s="97"/>
      <c r="AI448" s="97"/>
      <c r="AK448" s="97"/>
      <c r="AL448" s="97"/>
      <c r="AM448" s="97"/>
      <c r="AN448" s="97"/>
    </row>
    <row r="449" spans="24:40" ht="24.75" customHeight="1" x14ac:dyDescent="0.35">
      <c r="X449" s="97"/>
      <c r="Y449" s="97"/>
      <c r="Z449" s="97"/>
      <c r="AA449" s="97"/>
      <c r="AB449" s="97"/>
      <c r="AC449" s="97"/>
      <c r="AD449" s="97"/>
      <c r="AE449" s="97"/>
      <c r="AF449" s="97"/>
      <c r="AG449" s="97"/>
      <c r="AH449" s="97"/>
      <c r="AI449" s="97"/>
      <c r="AK449" s="97"/>
      <c r="AL449" s="97"/>
      <c r="AM449" s="97"/>
      <c r="AN449" s="97"/>
    </row>
    <row r="450" spans="24:40" ht="24.75" customHeight="1" x14ac:dyDescent="0.35">
      <c r="X450" s="97"/>
      <c r="Y450" s="97"/>
      <c r="Z450" s="97"/>
      <c r="AA450" s="97"/>
      <c r="AB450" s="97"/>
      <c r="AC450" s="97"/>
      <c r="AD450" s="97"/>
      <c r="AE450" s="97"/>
      <c r="AF450" s="97"/>
      <c r="AG450" s="97"/>
      <c r="AH450" s="97"/>
      <c r="AI450" s="97"/>
      <c r="AK450" s="97"/>
      <c r="AL450" s="97"/>
      <c r="AM450" s="97"/>
      <c r="AN450" s="97"/>
    </row>
    <row r="451" spans="24:40" ht="24.75" customHeight="1" x14ac:dyDescent="0.35">
      <c r="X451" s="97"/>
      <c r="Y451" s="97"/>
      <c r="Z451" s="97"/>
      <c r="AA451" s="97"/>
      <c r="AB451" s="97"/>
      <c r="AC451" s="97"/>
      <c r="AD451" s="97"/>
      <c r="AE451" s="97"/>
      <c r="AF451" s="97"/>
      <c r="AG451" s="97"/>
      <c r="AH451" s="97"/>
      <c r="AI451" s="97"/>
      <c r="AK451" s="97"/>
      <c r="AL451" s="97"/>
      <c r="AM451" s="97"/>
      <c r="AN451" s="97"/>
    </row>
    <row r="452" spans="24:40" ht="24.75" customHeight="1" x14ac:dyDescent="0.35">
      <c r="X452" s="97"/>
      <c r="Y452" s="97"/>
      <c r="Z452" s="97"/>
      <c r="AA452" s="97"/>
      <c r="AB452" s="97"/>
      <c r="AC452" s="97"/>
      <c r="AD452" s="97"/>
      <c r="AE452" s="97"/>
      <c r="AF452" s="97"/>
      <c r="AG452" s="97"/>
      <c r="AH452" s="97"/>
      <c r="AI452" s="97"/>
      <c r="AK452" s="97"/>
      <c r="AL452" s="97"/>
      <c r="AM452" s="97"/>
      <c r="AN452" s="97"/>
    </row>
    <row r="453" spans="24:40" ht="24.75" customHeight="1" x14ac:dyDescent="0.35">
      <c r="X453" s="97"/>
      <c r="Y453" s="97"/>
      <c r="Z453" s="97"/>
      <c r="AA453" s="97"/>
      <c r="AB453" s="97"/>
      <c r="AC453" s="97"/>
      <c r="AD453" s="97"/>
      <c r="AE453" s="97"/>
      <c r="AF453" s="97"/>
      <c r="AG453" s="97"/>
      <c r="AH453" s="97"/>
      <c r="AI453" s="97"/>
      <c r="AK453" s="97"/>
      <c r="AL453" s="97"/>
      <c r="AM453" s="97"/>
      <c r="AN453" s="97"/>
    </row>
    <row r="454" spans="24:40" ht="24.75" customHeight="1" x14ac:dyDescent="0.35">
      <c r="X454" s="97"/>
      <c r="Y454" s="97"/>
      <c r="Z454" s="97"/>
      <c r="AA454" s="97"/>
      <c r="AB454" s="97"/>
      <c r="AC454" s="97"/>
      <c r="AD454" s="97"/>
      <c r="AE454" s="97"/>
      <c r="AF454" s="97"/>
      <c r="AG454" s="97"/>
      <c r="AH454" s="97"/>
      <c r="AI454" s="97"/>
      <c r="AK454" s="97"/>
      <c r="AL454" s="97"/>
      <c r="AM454" s="97"/>
      <c r="AN454" s="97"/>
    </row>
    <row r="455" spans="24:40" ht="24.75" customHeight="1" x14ac:dyDescent="0.35">
      <c r="X455" s="97"/>
      <c r="Y455" s="97"/>
      <c r="Z455" s="97"/>
      <c r="AA455" s="97"/>
      <c r="AB455" s="97"/>
      <c r="AC455" s="97"/>
      <c r="AD455" s="97"/>
      <c r="AE455" s="97"/>
      <c r="AF455" s="97"/>
      <c r="AG455" s="97"/>
      <c r="AH455" s="97"/>
      <c r="AI455" s="97"/>
      <c r="AK455" s="97"/>
      <c r="AL455" s="97"/>
      <c r="AM455" s="97"/>
      <c r="AN455" s="97"/>
    </row>
    <row r="456" spans="24:40" ht="24.75" customHeight="1" x14ac:dyDescent="0.35">
      <c r="X456" s="97"/>
      <c r="Y456" s="97"/>
      <c r="Z456" s="97"/>
      <c r="AA456" s="97"/>
      <c r="AB456" s="97"/>
      <c r="AC456" s="97"/>
      <c r="AD456" s="97"/>
      <c r="AE456" s="97"/>
      <c r="AF456" s="97"/>
      <c r="AG456" s="97"/>
      <c r="AH456" s="97"/>
      <c r="AI456" s="97"/>
      <c r="AK456" s="97"/>
      <c r="AL456" s="97"/>
      <c r="AM456" s="97"/>
      <c r="AN456" s="97"/>
    </row>
    <row r="457" spans="24:40" ht="24.75" customHeight="1" x14ac:dyDescent="0.35">
      <c r="X457" s="97"/>
      <c r="Y457" s="97"/>
      <c r="Z457" s="97"/>
      <c r="AA457" s="97"/>
      <c r="AB457" s="97"/>
      <c r="AC457" s="97"/>
      <c r="AD457" s="97"/>
      <c r="AE457" s="97"/>
      <c r="AF457" s="97"/>
      <c r="AG457" s="97"/>
      <c r="AH457" s="97"/>
      <c r="AI457" s="97"/>
      <c r="AK457" s="97"/>
      <c r="AL457" s="97"/>
      <c r="AM457" s="97"/>
      <c r="AN457" s="97"/>
    </row>
    <row r="458" spans="24:40" ht="24.75" customHeight="1" x14ac:dyDescent="0.35">
      <c r="X458" s="97"/>
      <c r="Y458" s="97"/>
      <c r="Z458" s="97"/>
      <c r="AA458" s="97"/>
      <c r="AB458" s="97"/>
      <c r="AC458" s="97"/>
      <c r="AD458" s="97"/>
      <c r="AE458" s="97"/>
      <c r="AF458" s="97"/>
      <c r="AG458" s="97"/>
      <c r="AH458" s="97"/>
      <c r="AI458" s="97"/>
      <c r="AK458" s="97"/>
      <c r="AL458" s="97"/>
      <c r="AM458" s="97"/>
      <c r="AN458" s="97"/>
    </row>
    <row r="459" spans="24:40" ht="24.75" customHeight="1" x14ac:dyDescent="0.35">
      <c r="X459" s="97"/>
      <c r="Y459" s="97"/>
      <c r="Z459" s="97"/>
      <c r="AA459" s="97"/>
      <c r="AB459" s="97"/>
      <c r="AC459" s="97"/>
      <c r="AD459" s="97"/>
      <c r="AE459" s="97"/>
      <c r="AF459" s="97"/>
      <c r="AG459" s="97"/>
      <c r="AH459" s="97"/>
      <c r="AI459" s="97"/>
      <c r="AK459" s="97"/>
      <c r="AL459" s="97"/>
      <c r="AM459" s="97"/>
      <c r="AN459" s="97"/>
    </row>
    <row r="460" spans="24:40" ht="24.75" customHeight="1" x14ac:dyDescent="0.35">
      <c r="X460" s="97"/>
      <c r="Y460" s="97"/>
      <c r="Z460" s="97"/>
      <c r="AA460" s="97"/>
      <c r="AB460" s="97"/>
      <c r="AC460" s="97"/>
      <c r="AD460" s="97"/>
      <c r="AE460" s="97"/>
      <c r="AF460" s="97"/>
      <c r="AG460" s="97"/>
      <c r="AH460" s="97"/>
      <c r="AI460" s="97"/>
      <c r="AK460" s="97"/>
      <c r="AL460" s="97"/>
      <c r="AM460" s="97"/>
      <c r="AN460" s="97"/>
    </row>
    <row r="461" spans="24:40" ht="24.75" customHeight="1" x14ac:dyDescent="0.35">
      <c r="X461" s="97"/>
      <c r="Y461" s="97"/>
      <c r="Z461" s="97"/>
      <c r="AA461" s="97"/>
      <c r="AB461" s="97"/>
      <c r="AC461" s="97"/>
      <c r="AD461" s="97"/>
      <c r="AE461" s="97"/>
      <c r="AF461" s="97"/>
      <c r="AG461" s="97"/>
      <c r="AH461" s="97"/>
      <c r="AI461" s="97"/>
      <c r="AK461" s="97"/>
      <c r="AL461" s="97"/>
      <c r="AM461" s="97"/>
      <c r="AN461" s="97"/>
    </row>
    <row r="462" spans="24:40" ht="24.75" customHeight="1" x14ac:dyDescent="0.35">
      <c r="X462" s="97"/>
      <c r="Y462" s="97"/>
      <c r="Z462" s="97"/>
      <c r="AA462" s="97"/>
      <c r="AB462" s="97"/>
      <c r="AC462" s="97"/>
      <c r="AD462" s="97"/>
      <c r="AE462" s="97"/>
      <c r="AF462" s="97"/>
      <c r="AG462" s="97"/>
      <c r="AH462" s="97"/>
      <c r="AI462" s="97"/>
      <c r="AK462" s="97"/>
      <c r="AL462" s="97"/>
      <c r="AM462" s="97"/>
      <c r="AN462" s="97"/>
    </row>
    <row r="463" spans="24:40" ht="24.75" customHeight="1" x14ac:dyDescent="0.35">
      <c r="X463" s="97"/>
      <c r="Y463" s="97"/>
      <c r="Z463" s="97"/>
      <c r="AA463" s="97"/>
      <c r="AB463" s="97"/>
      <c r="AC463" s="97"/>
      <c r="AD463" s="97"/>
      <c r="AE463" s="97"/>
      <c r="AF463" s="97"/>
      <c r="AG463" s="97"/>
      <c r="AH463" s="97"/>
      <c r="AI463" s="97"/>
      <c r="AK463" s="97"/>
      <c r="AL463" s="97"/>
      <c r="AM463" s="97"/>
      <c r="AN463" s="97"/>
    </row>
    <row r="464" spans="24:40" ht="24.75" customHeight="1" x14ac:dyDescent="0.35">
      <c r="X464" s="97"/>
      <c r="Y464" s="97"/>
      <c r="Z464" s="97"/>
      <c r="AA464" s="97"/>
      <c r="AB464" s="97"/>
      <c r="AC464" s="97"/>
      <c r="AD464" s="97"/>
      <c r="AE464" s="97"/>
      <c r="AF464" s="97"/>
      <c r="AG464" s="97"/>
      <c r="AH464" s="97"/>
      <c r="AI464" s="97"/>
      <c r="AK464" s="97"/>
      <c r="AL464" s="97"/>
      <c r="AM464" s="97"/>
      <c r="AN464" s="97"/>
    </row>
    <row r="465" spans="24:40" ht="24.75" customHeight="1" x14ac:dyDescent="0.35">
      <c r="X465" s="97"/>
      <c r="Y465" s="97"/>
      <c r="Z465" s="97"/>
      <c r="AA465" s="97"/>
      <c r="AB465" s="97"/>
      <c r="AC465" s="97"/>
      <c r="AD465" s="97"/>
      <c r="AE465" s="97"/>
      <c r="AF465" s="97"/>
      <c r="AG465" s="97"/>
      <c r="AH465" s="97"/>
      <c r="AI465" s="97"/>
      <c r="AK465" s="97"/>
      <c r="AL465" s="97"/>
      <c r="AM465" s="97"/>
      <c r="AN465" s="97"/>
    </row>
    <row r="466" spans="24:40" ht="24.75" customHeight="1" x14ac:dyDescent="0.35">
      <c r="X466" s="97"/>
      <c r="Y466" s="97"/>
      <c r="Z466" s="97"/>
      <c r="AA466" s="97"/>
      <c r="AB466" s="97"/>
      <c r="AC466" s="97"/>
      <c r="AD466" s="97"/>
      <c r="AE466" s="97"/>
      <c r="AF466" s="97"/>
      <c r="AG466" s="97"/>
      <c r="AH466" s="97"/>
      <c r="AI466" s="97"/>
      <c r="AK466" s="97"/>
      <c r="AL466" s="97"/>
      <c r="AM466" s="97"/>
      <c r="AN466" s="97"/>
    </row>
    <row r="467" spans="24:40" ht="24.75" customHeight="1" x14ac:dyDescent="0.35">
      <c r="X467" s="97"/>
      <c r="Y467" s="97"/>
      <c r="Z467" s="97"/>
      <c r="AA467" s="97"/>
      <c r="AB467" s="97"/>
      <c r="AC467" s="97"/>
      <c r="AD467" s="97"/>
      <c r="AE467" s="97"/>
      <c r="AF467" s="97"/>
      <c r="AG467" s="97"/>
      <c r="AH467" s="97"/>
      <c r="AI467" s="97"/>
      <c r="AK467" s="97"/>
      <c r="AL467" s="97"/>
      <c r="AM467" s="97"/>
      <c r="AN467" s="97"/>
    </row>
    <row r="468" spans="24:40" ht="24.75" customHeight="1" x14ac:dyDescent="0.35">
      <c r="X468" s="97"/>
      <c r="Y468" s="97"/>
      <c r="Z468" s="97"/>
      <c r="AA468" s="97"/>
      <c r="AB468" s="97"/>
      <c r="AC468" s="97"/>
      <c r="AD468" s="97"/>
      <c r="AE468" s="97"/>
      <c r="AF468" s="97"/>
      <c r="AG468" s="97"/>
      <c r="AH468" s="97"/>
      <c r="AI468" s="97"/>
      <c r="AK468" s="97"/>
      <c r="AL468" s="97"/>
      <c r="AM468" s="97"/>
      <c r="AN468" s="97"/>
    </row>
    <row r="469" spans="24:40" ht="24.75" customHeight="1" x14ac:dyDescent="0.35">
      <c r="X469" s="97"/>
      <c r="Y469" s="97"/>
      <c r="Z469" s="97"/>
      <c r="AA469" s="97"/>
      <c r="AB469" s="97"/>
      <c r="AC469" s="97"/>
      <c r="AD469" s="97"/>
      <c r="AE469" s="97"/>
      <c r="AF469" s="97"/>
      <c r="AG469" s="97"/>
      <c r="AH469" s="97"/>
      <c r="AI469" s="97"/>
      <c r="AK469" s="97"/>
      <c r="AL469" s="97"/>
      <c r="AM469" s="97"/>
      <c r="AN469" s="97"/>
    </row>
    <row r="470" spans="24:40" ht="24.75" customHeight="1" x14ac:dyDescent="0.35">
      <c r="X470" s="97"/>
      <c r="Y470" s="97"/>
      <c r="Z470" s="97"/>
      <c r="AA470" s="97"/>
      <c r="AB470" s="97"/>
      <c r="AC470" s="97"/>
      <c r="AD470" s="97"/>
      <c r="AE470" s="97"/>
      <c r="AF470" s="97"/>
      <c r="AG470" s="97"/>
      <c r="AH470" s="97"/>
      <c r="AI470" s="97"/>
      <c r="AK470" s="97"/>
      <c r="AL470" s="97"/>
      <c r="AM470" s="97"/>
      <c r="AN470" s="97"/>
    </row>
    <row r="471" spans="24:40" ht="24.75" customHeight="1" x14ac:dyDescent="0.35">
      <c r="X471" s="97"/>
      <c r="Y471" s="97"/>
      <c r="Z471" s="97"/>
      <c r="AA471" s="97"/>
      <c r="AB471" s="97"/>
      <c r="AC471" s="97"/>
      <c r="AD471" s="97"/>
      <c r="AE471" s="97"/>
      <c r="AF471" s="97"/>
      <c r="AG471" s="97"/>
      <c r="AH471" s="97"/>
      <c r="AI471" s="97"/>
      <c r="AK471" s="97"/>
      <c r="AL471" s="97"/>
      <c r="AM471" s="97"/>
      <c r="AN471" s="97"/>
    </row>
    <row r="472" spans="24:40" ht="24.75" customHeight="1" x14ac:dyDescent="0.35">
      <c r="X472" s="97"/>
      <c r="Y472" s="97"/>
      <c r="Z472" s="97"/>
      <c r="AA472" s="97"/>
      <c r="AB472" s="97"/>
      <c r="AC472" s="97"/>
      <c r="AD472" s="97"/>
      <c r="AE472" s="97"/>
      <c r="AF472" s="97"/>
      <c r="AG472" s="97"/>
      <c r="AH472" s="97"/>
      <c r="AI472" s="97"/>
      <c r="AK472" s="97"/>
      <c r="AL472" s="97"/>
      <c r="AM472" s="97"/>
      <c r="AN472" s="97"/>
    </row>
    <row r="473" spans="24:40" ht="24.75" customHeight="1" x14ac:dyDescent="0.35">
      <c r="X473" s="97"/>
      <c r="Y473" s="97"/>
      <c r="Z473" s="97"/>
      <c r="AA473" s="97"/>
      <c r="AB473" s="97"/>
      <c r="AC473" s="97"/>
      <c r="AD473" s="97"/>
      <c r="AE473" s="97"/>
      <c r="AF473" s="97"/>
      <c r="AG473" s="97"/>
      <c r="AH473" s="97"/>
      <c r="AI473" s="97"/>
      <c r="AK473" s="97"/>
      <c r="AL473" s="97"/>
      <c r="AM473" s="97"/>
      <c r="AN473" s="97"/>
    </row>
    <row r="474" spans="24:40" ht="24.75" customHeight="1" x14ac:dyDescent="0.35">
      <c r="X474" s="97"/>
      <c r="Y474" s="97"/>
      <c r="Z474" s="97"/>
      <c r="AA474" s="97"/>
      <c r="AB474" s="97"/>
      <c r="AC474" s="97"/>
      <c r="AD474" s="97"/>
      <c r="AE474" s="97"/>
      <c r="AF474" s="97"/>
      <c r="AG474" s="97"/>
      <c r="AH474" s="97"/>
      <c r="AI474" s="97"/>
      <c r="AK474" s="97"/>
      <c r="AL474" s="97"/>
      <c r="AM474" s="97"/>
      <c r="AN474" s="97"/>
    </row>
    <row r="475" spans="24:40" ht="24.75" customHeight="1" x14ac:dyDescent="0.35">
      <c r="X475" s="97"/>
      <c r="Y475" s="97"/>
      <c r="Z475" s="97"/>
      <c r="AA475" s="97"/>
      <c r="AB475" s="97"/>
      <c r="AC475" s="97"/>
      <c r="AD475" s="97"/>
      <c r="AE475" s="97"/>
      <c r="AF475" s="97"/>
      <c r="AG475" s="97"/>
      <c r="AH475" s="97"/>
      <c r="AI475" s="97"/>
      <c r="AK475" s="97"/>
      <c r="AL475" s="97"/>
      <c r="AM475" s="97"/>
      <c r="AN475" s="97"/>
    </row>
    <row r="476" spans="24:40" ht="24.75" customHeight="1" x14ac:dyDescent="0.35">
      <c r="X476" s="97"/>
      <c r="Y476" s="97"/>
      <c r="Z476" s="97"/>
      <c r="AA476" s="97"/>
      <c r="AB476" s="97"/>
      <c r="AC476" s="97"/>
      <c r="AD476" s="97"/>
      <c r="AE476" s="97"/>
      <c r="AF476" s="97"/>
      <c r="AG476" s="97"/>
      <c r="AH476" s="97"/>
      <c r="AI476" s="97"/>
      <c r="AK476" s="97"/>
      <c r="AL476" s="97"/>
      <c r="AM476" s="97"/>
      <c r="AN476" s="97"/>
    </row>
    <row r="477" spans="24:40" ht="24.75" customHeight="1" x14ac:dyDescent="0.35">
      <c r="X477" s="97"/>
      <c r="Y477" s="97"/>
      <c r="Z477" s="97"/>
      <c r="AA477" s="97"/>
      <c r="AB477" s="97"/>
      <c r="AC477" s="97"/>
      <c r="AD477" s="97"/>
      <c r="AE477" s="97"/>
      <c r="AF477" s="97"/>
      <c r="AG477" s="97"/>
      <c r="AH477" s="97"/>
      <c r="AI477" s="97"/>
      <c r="AK477" s="97"/>
      <c r="AL477" s="97"/>
      <c r="AM477" s="97"/>
      <c r="AN477" s="97"/>
    </row>
    <row r="478" spans="24:40" ht="24.75" customHeight="1" x14ac:dyDescent="0.35">
      <c r="X478" s="97"/>
      <c r="Y478" s="97"/>
      <c r="Z478" s="97"/>
      <c r="AA478" s="97"/>
      <c r="AB478" s="97"/>
      <c r="AC478" s="97"/>
      <c r="AD478" s="97"/>
      <c r="AE478" s="97"/>
      <c r="AF478" s="97"/>
      <c r="AG478" s="97"/>
      <c r="AH478" s="97"/>
      <c r="AI478" s="97"/>
      <c r="AK478" s="97"/>
      <c r="AL478" s="97"/>
      <c r="AM478" s="97"/>
      <c r="AN478" s="97"/>
    </row>
    <row r="479" spans="24:40" ht="24.75" customHeight="1" x14ac:dyDescent="0.35">
      <c r="X479" s="97"/>
      <c r="Y479" s="97"/>
      <c r="Z479" s="97"/>
      <c r="AA479" s="97"/>
      <c r="AB479" s="97"/>
      <c r="AC479" s="97"/>
      <c r="AD479" s="97"/>
      <c r="AE479" s="97"/>
      <c r="AF479" s="97"/>
      <c r="AG479" s="97"/>
      <c r="AH479" s="97"/>
      <c r="AI479" s="97"/>
      <c r="AK479" s="97"/>
      <c r="AL479" s="97"/>
      <c r="AM479" s="97"/>
      <c r="AN479" s="97"/>
    </row>
    <row r="480" spans="24:40" ht="24.75" customHeight="1" x14ac:dyDescent="0.35">
      <c r="X480" s="97"/>
      <c r="Y480" s="97"/>
      <c r="Z480" s="97"/>
      <c r="AA480" s="97"/>
      <c r="AB480" s="97"/>
      <c r="AC480" s="97"/>
      <c r="AD480" s="97"/>
      <c r="AE480" s="97"/>
      <c r="AF480" s="97"/>
      <c r="AG480" s="97"/>
      <c r="AH480" s="97"/>
      <c r="AI480" s="97"/>
      <c r="AK480" s="97"/>
      <c r="AL480" s="97"/>
      <c r="AM480" s="97"/>
      <c r="AN480" s="97"/>
    </row>
    <row r="481" spans="24:40" ht="24.75" customHeight="1" x14ac:dyDescent="0.35">
      <c r="X481" s="97"/>
      <c r="Y481" s="97"/>
      <c r="Z481" s="97"/>
      <c r="AA481" s="97"/>
      <c r="AB481" s="97"/>
      <c r="AC481" s="97"/>
      <c r="AD481" s="97"/>
      <c r="AE481" s="97"/>
      <c r="AF481" s="97"/>
      <c r="AG481" s="97"/>
      <c r="AH481" s="97"/>
      <c r="AI481" s="97"/>
      <c r="AK481" s="97"/>
      <c r="AL481" s="97"/>
      <c r="AM481" s="97"/>
      <c r="AN481" s="97"/>
    </row>
    <row r="482" spans="24:40" ht="24.75" customHeight="1" x14ac:dyDescent="0.35">
      <c r="X482" s="97"/>
      <c r="Y482" s="97"/>
      <c r="Z482" s="97"/>
      <c r="AA482" s="97"/>
      <c r="AB482" s="97"/>
      <c r="AC482" s="97"/>
      <c r="AD482" s="97"/>
      <c r="AE482" s="97"/>
      <c r="AF482" s="97"/>
      <c r="AG482" s="97"/>
      <c r="AH482" s="97"/>
      <c r="AI482" s="97"/>
      <c r="AK482" s="97"/>
      <c r="AL482" s="97"/>
      <c r="AM482" s="97"/>
      <c r="AN482" s="97"/>
    </row>
    <row r="483" spans="24:40" ht="24.75" customHeight="1" x14ac:dyDescent="0.35">
      <c r="X483" s="97"/>
      <c r="Y483" s="97"/>
      <c r="Z483" s="97"/>
      <c r="AA483" s="97"/>
      <c r="AB483" s="97"/>
      <c r="AC483" s="97"/>
      <c r="AD483" s="97"/>
      <c r="AE483" s="97"/>
      <c r="AF483" s="97"/>
      <c r="AG483" s="97"/>
      <c r="AH483" s="97"/>
      <c r="AI483" s="97"/>
      <c r="AK483" s="97"/>
      <c r="AL483" s="97"/>
      <c r="AM483" s="97"/>
      <c r="AN483" s="97"/>
    </row>
    <row r="484" spans="24:40" ht="24.75" customHeight="1" x14ac:dyDescent="0.35">
      <c r="X484" s="97"/>
      <c r="Y484" s="97"/>
      <c r="Z484" s="97"/>
      <c r="AA484" s="97"/>
      <c r="AB484" s="97"/>
      <c r="AC484" s="97"/>
      <c r="AD484" s="97"/>
      <c r="AE484" s="97"/>
      <c r="AF484" s="97"/>
      <c r="AG484" s="97"/>
      <c r="AH484" s="97"/>
      <c r="AI484" s="97"/>
      <c r="AK484" s="97"/>
      <c r="AL484" s="97"/>
      <c r="AM484" s="97"/>
      <c r="AN484" s="97"/>
    </row>
    <row r="485" spans="24:40" ht="24.75" customHeight="1" x14ac:dyDescent="0.35">
      <c r="X485" s="97"/>
      <c r="Y485" s="97"/>
      <c r="Z485" s="97"/>
      <c r="AA485" s="97"/>
      <c r="AB485" s="97"/>
      <c r="AC485" s="97"/>
      <c r="AD485" s="97"/>
      <c r="AE485" s="97"/>
      <c r="AF485" s="97"/>
      <c r="AG485" s="97"/>
      <c r="AH485" s="97"/>
      <c r="AI485" s="97"/>
      <c r="AK485" s="97"/>
      <c r="AL485" s="97"/>
      <c r="AM485" s="97"/>
      <c r="AN485" s="97"/>
    </row>
    <row r="486" spans="24:40" ht="24.75" customHeight="1" x14ac:dyDescent="0.35">
      <c r="X486" s="97"/>
      <c r="Y486" s="97"/>
      <c r="Z486" s="97"/>
      <c r="AA486" s="97"/>
      <c r="AB486" s="97"/>
      <c r="AC486" s="97"/>
      <c r="AD486" s="97"/>
      <c r="AE486" s="97"/>
      <c r="AF486" s="97"/>
      <c r="AG486" s="97"/>
      <c r="AH486" s="97"/>
      <c r="AI486" s="97"/>
      <c r="AK486" s="97"/>
      <c r="AL486" s="97"/>
      <c r="AM486" s="97"/>
      <c r="AN486" s="97"/>
    </row>
    <row r="487" spans="24:40" ht="24.75" customHeight="1" x14ac:dyDescent="0.35">
      <c r="X487" s="97"/>
      <c r="Y487" s="97"/>
      <c r="Z487" s="97"/>
      <c r="AA487" s="97"/>
      <c r="AB487" s="97"/>
      <c r="AC487" s="97"/>
      <c r="AD487" s="97"/>
      <c r="AE487" s="97"/>
      <c r="AF487" s="97"/>
      <c r="AG487" s="97"/>
      <c r="AH487" s="97"/>
      <c r="AI487" s="97"/>
      <c r="AK487" s="97"/>
      <c r="AL487" s="97"/>
      <c r="AM487" s="97"/>
      <c r="AN487" s="97"/>
    </row>
    <row r="488" spans="24:40" ht="24.75" customHeight="1" x14ac:dyDescent="0.35">
      <c r="X488" s="97"/>
      <c r="Y488" s="97"/>
      <c r="Z488" s="97"/>
      <c r="AA488" s="97"/>
      <c r="AB488" s="97"/>
      <c r="AC488" s="97"/>
      <c r="AD488" s="97"/>
      <c r="AE488" s="97"/>
      <c r="AF488" s="97"/>
      <c r="AG488" s="97"/>
      <c r="AH488" s="97"/>
      <c r="AI488" s="97"/>
      <c r="AK488" s="97"/>
      <c r="AL488" s="97"/>
      <c r="AM488" s="97"/>
      <c r="AN488" s="97"/>
    </row>
    <row r="489" spans="24:40" ht="24.75" customHeight="1" x14ac:dyDescent="0.35">
      <c r="X489" s="97"/>
      <c r="Y489" s="97"/>
      <c r="Z489" s="97"/>
      <c r="AA489" s="97"/>
      <c r="AB489" s="97"/>
      <c r="AC489" s="97"/>
      <c r="AD489" s="97"/>
      <c r="AE489" s="97"/>
      <c r="AF489" s="97"/>
      <c r="AG489" s="97"/>
      <c r="AH489" s="97"/>
      <c r="AI489" s="97"/>
      <c r="AK489" s="97"/>
      <c r="AL489" s="97"/>
      <c r="AM489" s="97"/>
      <c r="AN489" s="97"/>
    </row>
    <row r="490" spans="24:40" ht="24.75" customHeight="1" x14ac:dyDescent="0.35">
      <c r="X490" s="97"/>
      <c r="Y490" s="97"/>
      <c r="Z490" s="97"/>
      <c r="AA490" s="97"/>
      <c r="AB490" s="97"/>
      <c r="AC490" s="97"/>
      <c r="AD490" s="97"/>
      <c r="AE490" s="97"/>
      <c r="AF490" s="97"/>
      <c r="AG490" s="97"/>
      <c r="AH490" s="97"/>
      <c r="AI490" s="97"/>
      <c r="AK490" s="97"/>
      <c r="AL490" s="97"/>
      <c r="AM490" s="97"/>
      <c r="AN490" s="97"/>
    </row>
    <row r="491" spans="24:40" ht="24.75" customHeight="1" x14ac:dyDescent="0.35">
      <c r="X491" s="97"/>
      <c r="Y491" s="97"/>
      <c r="Z491" s="97"/>
      <c r="AA491" s="97"/>
      <c r="AB491" s="97"/>
      <c r="AC491" s="97"/>
      <c r="AD491" s="97"/>
      <c r="AE491" s="97"/>
      <c r="AF491" s="97"/>
      <c r="AG491" s="97"/>
      <c r="AH491" s="97"/>
      <c r="AI491" s="97"/>
      <c r="AK491" s="97"/>
      <c r="AL491" s="97"/>
      <c r="AM491" s="97"/>
      <c r="AN491" s="97"/>
    </row>
    <row r="492" spans="24:40" ht="24.75" customHeight="1" x14ac:dyDescent="0.35">
      <c r="X492" s="97"/>
      <c r="Y492" s="97"/>
      <c r="Z492" s="97"/>
      <c r="AA492" s="97"/>
      <c r="AB492" s="97"/>
      <c r="AC492" s="97"/>
      <c r="AD492" s="97"/>
      <c r="AE492" s="97"/>
      <c r="AF492" s="97"/>
      <c r="AG492" s="97"/>
      <c r="AH492" s="97"/>
      <c r="AI492" s="97"/>
      <c r="AK492" s="97"/>
      <c r="AL492" s="97"/>
      <c r="AM492" s="97"/>
      <c r="AN492" s="97"/>
    </row>
    <row r="493" spans="24:40" ht="24.75" customHeight="1" x14ac:dyDescent="0.35">
      <c r="X493" s="97"/>
      <c r="Y493" s="97"/>
      <c r="Z493" s="97"/>
      <c r="AA493" s="97"/>
      <c r="AB493" s="97"/>
      <c r="AC493" s="97"/>
      <c r="AD493" s="97"/>
      <c r="AE493" s="97"/>
      <c r="AF493" s="97"/>
      <c r="AG493" s="97"/>
      <c r="AH493" s="97"/>
      <c r="AI493" s="97"/>
      <c r="AK493" s="97"/>
      <c r="AL493" s="97"/>
      <c r="AM493" s="97"/>
      <c r="AN493" s="97"/>
    </row>
    <row r="494" spans="24:40" ht="24.75" customHeight="1" x14ac:dyDescent="0.35">
      <c r="X494" s="97"/>
      <c r="Y494" s="97"/>
      <c r="Z494" s="97"/>
      <c r="AA494" s="97"/>
      <c r="AB494" s="97"/>
      <c r="AC494" s="97"/>
      <c r="AD494" s="97"/>
      <c r="AE494" s="97"/>
      <c r="AF494" s="97"/>
      <c r="AG494" s="97"/>
      <c r="AH494" s="97"/>
      <c r="AI494" s="97"/>
      <c r="AK494" s="97"/>
      <c r="AL494" s="97"/>
      <c r="AM494" s="97"/>
      <c r="AN494" s="97"/>
    </row>
    <row r="495" spans="24:40" ht="24.75" customHeight="1" x14ac:dyDescent="0.35">
      <c r="X495" s="97"/>
      <c r="Y495" s="97"/>
      <c r="Z495" s="97"/>
      <c r="AA495" s="97"/>
      <c r="AB495" s="97"/>
      <c r="AC495" s="97"/>
      <c r="AD495" s="97"/>
      <c r="AE495" s="97"/>
      <c r="AF495" s="97"/>
      <c r="AG495" s="97"/>
      <c r="AH495" s="97"/>
      <c r="AI495" s="97"/>
      <c r="AK495" s="97"/>
      <c r="AL495" s="97"/>
      <c r="AM495" s="97"/>
      <c r="AN495" s="97"/>
    </row>
    <row r="496" spans="24:40" ht="24.75" customHeight="1" x14ac:dyDescent="0.35">
      <c r="X496" s="97"/>
      <c r="Y496" s="97"/>
      <c r="Z496" s="97"/>
      <c r="AA496" s="97"/>
      <c r="AB496" s="97"/>
      <c r="AC496" s="97"/>
      <c r="AD496" s="97"/>
      <c r="AE496" s="97"/>
      <c r="AF496" s="97"/>
      <c r="AG496" s="97"/>
      <c r="AH496" s="97"/>
      <c r="AI496" s="97"/>
      <c r="AK496" s="97"/>
      <c r="AL496" s="97"/>
      <c r="AM496" s="97"/>
      <c r="AN496" s="97"/>
    </row>
    <row r="497" spans="24:40" ht="24.75" customHeight="1" x14ac:dyDescent="0.35">
      <c r="X497" s="97"/>
      <c r="Y497" s="97"/>
      <c r="Z497" s="97"/>
      <c r="AA497" s="97"/>
      <c r="AB497" s="97"/>
      <c r="AC497" s="97"/>
      <c r="AD497" s="97"/>
      <c r="AE497" s="97"/>
      <c r="AF497" s="97"/>
      <c r="AG497" s="97"/>
      <c r="AH497" s="97"/>
      <c r="AI497" s="97"/>
      <c r="AK497" s="97"/>
      <c r="AL497" s="97"/>
      <c r="AM497" s="97"/>
      <c r="AN497" s="97"/>
    </row>
    <row r="498" spans="24:40" ht="24.75" customHeight="1" x14ac:dyDescent="0.35">
      <c r="X498" s="97"/>
      <c r="Y498" s="97"/>
      <c r="Z498" s="97"/>
      <c r="AA498" s="97"/>
      <c r="AB498" s="97"/>
      <c r="AC498" s="97"/>
      <c r="AD498" s="97"/>
      <c r="AE498" s="97"/>
      <c r="AF498" s="97"/>
      <c r="AG498" s="97"/>
      <c r="AH498" s="97"/>
      <c r="AI498" s="97"/>
      <c r="AK498" s="97"/>
      <c r="AL498" s="97"/>
      <c r="AM498" s="97"/>
      <c r="AN498" s="97"/>
    </row>
    <row r="499" spans="24:40" ht="24.75" customHeight="1" x14ac:dyDescent="0.35">
      <c r="X499" s="97"/>
      <c r="Y499" s="97"/>
      <c r="Z499" s="97"/>
      <c r="AA499" s="97"/>
      <c r="AB499" s="97"/>
      <c r="AC499" s="97"/>
      <c r="AD499" s="97"/>
      <c r="AE499" s="97"/>
      <c r="AF499" s="97"/>
      <c r="AG499" s="97"/>
      <c r="AH499" s="97"/>
      <c r="AI499" s="97"/>
      <c r="AK499" s="97"/>
      <c r="AL499" s="97"/>
      <c r="AM499" s="97"/>
      <c r="AN499" s="97"/>
    </row>
    <row r="500" spans="24:40" ht="24.75" customHeight="1" x14ac:dyDescent="0.35">
      <c r="X500" s="97"/>
      <c r="Y500" s="97"/>
      <c r="Z500" s="97"/>
      <c r="AA500" s="97"/>
      <c r="AB500" s="97"/>
      <c r="AC500" s="97"/>
      <c r="AD500" s="97"/>
      <c r="AE500" s="97"/>
      <c r="AF500" s="97"/>
      <c r="AG500" s="97"/>
      <c r="AH500" s="97"/>
      <c r="AI500" s="97"/>
      <c r="AK500" s="97"/>
      <c r="AL500" s="97"/>
      <c r="AM500" s="97"/>
      <c r="AN500" s="97"/>
    </row>
    <row r="501" spans="24:40" ht="24.75" customHeight="1" x14ac:dyDescent="0.35">
      <c r="X501" s="97"/>
      <c r="Y501" s="97"/>
      <c r="Z501" s="97"/>
      <c r="AA501" s="97"/>
      <c r="AB501" s="97"/>
      <c r="AC501" s="97"/>
      <c r="AD501" s="97"/>
      <c r="AE501" s="97"/>
      <c r="AF501" s="97"/>
      <c r="AG501" s="97"/>
      <c r="AH501" s="97"/>
      <c r="AI501" s="97"/>
      <c r="AK501" s="97"/>
      <c r="AL501" s="97"/>
      <c r="AM501" s="97"/>
      <c r="AN501" s="97"/>
    </row>
    <row r="502" spans="24:40" ht="24.75" customHeight="1" x14ac:dyDescent="0.35">
      <c r="X502" s="97"/>
      <c r="Y502" s="97"/>
      <c r="Z502" s="97"/>
      <c r="AA502" s="97"/>
      <c r="AB502" s="97"/>
      <c r="AC502" s="97"/>
      <c r="AD502" s="97"/>
      <c r="AE502" s="97"/>
      <c r="AF502" s="97"/>
      <c r="AG502" s="97"/>
      <c r="AH502" s="97"/>
      <c r="AI502" s="97"/>
      <c r="AK502" s="97"/>
      <c r="AL502" s="97"/>
      <c r="AM502" s="97"/>
      <c r="AN502" s="97"/>
    </row>
    <row r="503" spans="24:40" ht="24.75" customHeight="1" x14ac:dyDescent="0.35">
      <c r="X503" s="97"/>
      <c r="Y503" s="97"/>
      <c r="Z503" s="97"/>
      <c r="AA503" s="97"/>
      <c r="AB503" s="97"/>
      <c r="AC503" s="97"/>
      <c r="AD503" s="97"/>
      <c r="AE503" s="97"/>
      <c r="AF503" s="97"/>
      <c r="AG503" s="97"/>
      <c r="AH503" s="97"/>
      <c r="AI503" s="97"/>
      <c r="AK503" s="97"/>
      <c r="AL503" s="97"/>
      <c r="AM503" s="97"/>
      <c r="AN503" s="97"/>
    </row>
    <row r="504" spans="24:40" ht="24.75" customHeight="1" x14ac:dyDescent="0.35">
      <c r="X504" s="97"/>
      <c r="Y504" s="97"/>
      <c r="Z504" s="97"/>
      <c r="AA504" s="97"/>
      <c r="AB504" s="97"/>
      <c r="AC504" s="97"/>
      <c r="AD504" s="97"/>
      <c r="AE504" s="97"/>
      <c r="AF504" s="97"/>
      <c r="AG504" s="97"/>
      <c r="AH504" s="97"/>
      <c r="AI504" s="97"/>
      <c r="AK504" s="97"/>
      <c r="AL504" s="97"/>
      <c r="AM504" s="97"/>
      <c r="AN504" s="97"/>
    </row>
    <row r="505" spans="24:40" ht="24.75" customHeight="1" x14ac:dyDescent="0.35">
      <c r="X505" s="97"/>
      <c r="Y505" s="97"/>
      <c r="Z505" s="97"/>
      <c r="AA505" s="97"/>
      <c r="AB505" s="97"/>
      <c r="AC505" s="97"/>
      <c r="AD505" s="97"/>
      <c r="AE505" s="97"/>
      <c r="AF505" s="97"/>
      <c r="AG505" s="97"/>
      <c r="AH505" s="97"/>
      <c r="AI505" s="97"/>
      <c r="AK505" s="97"/>
      <c r="AL505" s="97"/>
      <c r="AM505" s="97"/>
      <c r="AN505" s="97"/>
    </row>
    <row r="506" spans="24:40" ht="24.75" customHeight="1" x14ac:dyDescent="0.35">
      <c r="X506" s="97"/>
      <c r="Y506" s="97"/>
      <c r="Z506" s="97"/>
      <c r="AA506" s="97"/>
      <c r="AB506" s="97"/>
      <c r="AC506" s="97"/>
      <c r="AD506" s="97"/>
      <c r="AE506" s="97"/>
      <c r="AF506" s="97"/>
      <c r="AG506" s="97"/>
      <c r="AH506" s="97"/>
      <c r="AI506" s="97"/>
      <c r="AK506" s="97"/>
      <c r="AL506" s="97"/>
      <c r="AM506" s="97"/>
      <c r="AN506" s="97"/>
    </row>
    <row r="507" spans="24:40" ht="24.75" customHeight="1" x14ac:dyDescent="0.35">
      <c r="X507" s="97"/>
      <c r="Y507" s="97"/>
      <c r="Z507" s="97"/>
      <c r="AA507" s="97"/>
      <c r="AB507" s="97"/>
      <c r="AC507" s="97"/>
      <c r="AD507" s="97"/>
      <c r="AE507" s="97"/>
      <c r="AF507" s="97"/>
      <c r="AG507" s="97"/>
      <c r="AH507" s="97"/>
      <c r="AI507" s="97"/>
      <c r="AK507" s="97"/>
      <c r="AL507" s="97"/>
      <c r="AM507" s="97"/>
      <c r="AN507" s="97"/>
    </row>
    <row r="508" spans="24:40" ht="24.75" customHeight="1" x14ac:dyDescent="0.35">
      <c r="X508" s="97"/>
      <c r="Y508" s="97"/>
      <c r="Z508" s="97"/>
      <c r="AA508" s="97"/>
      <c r="AB508" s="97"/>
      <c r="AC508" s="97"/>
      <c r="AD508" s="97"/>
      <c r="AE508" s="97"/>
      <c r="AF508" s="97"/>
      <c r="AG508" s="97"/>
      <c r="AH508" s="97"/>
      <c r="AI508" s="97"/>
      <c r="AK508" s="97"/>
      <c r="AL508" s="97"/>
      <c r="AM508" s="97"/>
      <c r="AN508" s="97"/>
    </row>
    <row r="509" spans="24:40" ht="24.75" customHeight="1" x14ac:dyDescent="0.35">
      <c r="X509" s="97"/>
      <c r="Y509" s="97"/>
      <c r="Z509" s="97"/>
      <c r="AA509" s="97"/>
      <c r="AB509" s="97"/>
      <c r="AC509" s="97"/>
      <c r="AD509" s="97"/>
      <c r="AE509" s="97"/>
      <c r="AF509" s="97"/>
      <c r="AG509" s="97"/>
      <c r="AH509" s="97"/>
      <c r="AI509" s="97"/>
      <c r="AK509" s="97"/>
      <c r="AL509" s="97"/>
      <c r="AM509" s="97"/>
      <c r="AN509" s="97"/>
    </row>
    <row r="510" spans="24:40" ht="24.75" customHeight="1" x14ac:dyDescent="0.35">
      <c r="X510" s="97"/>
      <c r="Y510" s="97"/>
      <c r="Z510" s="97"/>
      <c r="AA510" s="97"/>
      <c r="AB510" s="97"/>
      <c r="AC510" s="97"/>
      <c r="AD510" s="97"/>
      <c r="AE510" s="97"/>
      <c r="AF510" s="97"/>
      <c r="AG510" s="97"/>
      <c r="AH510" s="97"/>
      <c r="AI510" s="97"/>
      <c r="AK510" s="97"/>
      <c r="AL510" s="97"/>
      <c r="AM510" s="97"/>
      <c r="AN510" s="97"/>
    </row>
    <row r="511" spans="24:40" ht="24.75" customHeight="1" x14ac:dyDescent="0.35">
      <c r="X511" s="97"/>
      <c r="Y511" s="97"/>
      <c r="Z511" s="97"/>
      <c r="AA511" s="97"/>
      <c r="AB511" s="97"/>
      <c r="AC511" s="97"/>
      <c r="AD511" s="97"/>
      <c r="AE511" s="97"/>
      <c r="AF511" s="97"/>
      <c r="AG511" s="97"/>
      <c r="AH511" s="97"/>
      <c r="AI511" s="97"/>
      <c r="AK511" s="97"/>
      <c r="AL511" s="97"/>
      <c r="AM511" s="97"/>
      <c r="AN511" s="97"/>
    </row>
    <row r="512" spans="24:40" ht="24.75" customHeight="1" x14ac:dyDescent="0.35">
      <c r="X512" s="97"/>
      <c r="Y512" s="97"/>
      <c r="Z512" s="97"/>
      <c r="AA512" s="97"/>
      <c r="AB512" s="97"/>
      <c r="AC512" s="97"/>
      <c r="AD512" s="97"/>
      <c r="AE512" s="97"/>
      <c r="AF512" s="97"/>
      <c r="AG512" s="97"/>
      <c r="AH512" s="97"/>
      <c r="AI512" s="97"/>
      <c r="AK512" s="97"/>
      <c r="AL512" s="97"/>
      <c r="AM512" s="97"/>
      <c r="AN512" s="97"/>
    </row>
    <row r="513" spans="24:40" ht="24.75" customHeight="1" x14ac:dyDescent="0.35">
      <c r="X513" s="97"/>
      <c r="Y513" s="97"/>
      <c r="Z513" s="97"/>
      <c r="AA513" s="97"/>
      <c r="AB513" s="97"/>
      <c r="AC513" s="97"/>
      <c r="AD513" s="97"/>
      <c r="AE513" s="97"/>
      <c r="AF513" s="97"/>
      <c r="AG513" s="97"/>
      <c r="AH513" s="97"/>
      <c r="AI513" s="97"/>
      <c r="AK513" s="97"/>
      <c r="AL513" s="97"/>
      <c r="AM513" s="97"/>
      <c r="AN513" s="97"/>
    </row>
    <row r="514" spans="24:40" ht="24.75" customHeight="1" x14ac:dyDescent="0.35">
      <c r="X514" s="97"/>
      <c r="Y514" s="97"/>
      <c r="Z514" s="97"/>
      <c r="AA514" s="97"/>
      <c r="AB514" s="97"/>
      <c r="AC514" s="97"/>
      <c r="AD514" s="97"/>
      <c r="AE514" s="97"/>
      <c r="AF514" s="97"/>
      <c r="AG514" s="97"/>
      <c r="AH514" s="97"/>
      <c r="AI514" s="97"/>
      <c r="AK514" s="97"/>
      <c r="AL514" s="97"/>
      <c r="AM514" s="97"/>
      <c r="AN514" s="97"/>
    </row>
    <row r="515" spans="24:40" ht="24.75" customHeight="1" x14ac:dyDescent="0.35">
      <c r="X515" s="97"/>
      <c r="Y515" s="97"/>
      <c r="Z515" s="97"/>
      <c r="AA515" s="97"/>
      <c r="AB515" s="97"/>
      <c r="AC515" s="97"/>
      <c r="AD515" s="97"/>
      <c r="AE515" s="97"/>
      <c r="AF515" s="97"/>
      <c r="AG515" s="97"/>
      <c r="AH515" s="97"/>
      <c r="AI515" s="97"/>
      <c r="AK515" s="97"/>
      <c r="AL515" s="97"/>
      <c r="AM515" s="97"/>
      <c r="AN515" s="97"/>
    </row>
    <row r="516" spans="24:40" ht="24.75" customHeight="1" x14ac:dyDescent="0.35">
      <c r="X516" s="97"/>
      <c r="Y516" s="97"/>
      <c r="Z516" s="97"/>
      <c r="AA516" s="97"/>
      <c r="AB516" s="97"/>
      <c r="AC516" s="97"/>
      <c r="AD516" s="97"/>
      <c r="AE516" s="97"/>
      <c r="AF516" s="97"/>
      <c r="AG516" s="97"/>
      <c r="AH516" s="97"/>
      <c r="AI516" s="97"/>
      <c r="AK516" s="97"/>
      <c r="AL516" s="97"/>
      <c r="AM516" s="97"/>
      <c r="AN516" s="97"/>
    </row>
    <row r="517" spans="24:40" ht="24.75" customHeight="1" x14ac:dyDescent="0.35">
      <c r="X517" s="97"/>
      <c r="Y517" s="97"/>
      <c r="Z517" s="97"/>
      <c r="AA517" s="97"/>
      <c r="AB517" s="97"/>
      <c r="AC517" s="97"/>
      <c r="AD517" s="97"/>
      <c r="AE517" s="97"/>
      <c r="AF517" s="97"/>
      <c r="AG517" s="97"/>
      <c r="AH517" s="97"/>
      <c r="AI517" s="97"/>
      <c r="AK517" s="97"/>
      <c r="AL517" s="97"/>
      <c r="AM517" s="97"/>
      <c r="AN517" s="97"/>
    </row>
    <row r="518" spans="24:40" ht="24.75" customHeight="1" x14ac:dyDescent="0.35">
      <c r="X518" s="97"/>
      <c r="Y518" s="97"/>
      <c r="Z518" s="97"/>
      <c r="AA518" s="97"/>
      <c r="AB518" s="97"/>
      <c r="AC518" s="97"/>
      <c r="AD518" s="97"/>
      <c r="AE518" s="97"/>
      <c r="AF518" s="97"/>
      <c r="AG518" s="97"/>
      <c r="AH518" s="97"/>
      <c r="AI518" s="97"/>
      <c r="AK518" s="97"/>
      <c r="AL518" s="97"/>
      <c r="AM518" s="97"/>
      <c r="AN518" s="97"/>
    </row>
    <row r="519" spans="24:40" ht="24.75" customHeight="1" x14ac:dyDescent="0.35">
      <c r="X519" s="97"/>
      <c r="Y519" s="97"/>
      <c r="Z519" s="97"/>
      <c r="AA519" s="97"/>
      <c r="AB519" s="97"/>
      <c r="AC519" s="97"/>
      <c r="AD519" s="97"/>
      <c r="AE519" s="97"/>
      <c r="AF519" s="97"/>
      <c r="AG519" s="97"/>
      <c r="AH519" s="97"/>
      <c r="AI519" s="97"/>
      <c r="AK519" s="97"/>
      <c r="AL519" s="97"/>
      <c r="AM519" s="97"/>
      <c r="AN519" s="97"/>
    </row>
    <row r="520" spans="24:40" ht="24.75" customHeight="1" x14ac:dyDescent="0.35">
      <c r="X520" s="97"/>
      <c r="Y520" s="97"/>
      <c r="Z520" s="97"/>
      <c r="AA520" s="97"/>
      <c r="AB520" s="97"/>
      <c r="AC520" s="97"/>
      <c r="AD520" s="97"/>
      <c r="AE520" s="97"/>
      <c r="AF520" s="97"/>
      <c r="AG520" s="97"/>
      <c r="AH520" s="97"/>
      <c r="AI520" s="97"/>
      <c r="AK520" s="97"/>
      <c r="AL520" s="97"/>
      <c r="AM520" s="97"/>
      <c r="AN520" s="97"/>
    </row>
    <row r="521" spans="24:40" ht="24.75" customHeight="1" x14ac:dyDescent="0.35">
      <c r="X521" s="97"/>
      <c r="Y521" s="97"/>
      <c r="Z521" s="97"/>
      <c r="AA521" s="97"/>
      <c r="AB521" s="97"/>
      <c r="AC521" s="97"/>
      <c r="AD521" s="97"/>
      <c r="AE521" s="97"/>
      <c r="AF521" s="97"/>
      <c r="AG521" s="97"/>
      <c r="AH521" s="97"/>
      <c r="AI521" s="97"/>
      <c r="AK521" s="97"/>
      <c r="AL521" s="97"/>
      <c r="AM521" s="97"/>
      <c r="AN521" s="97"/>
    </row>
    <row r="522" spans="24:40" ht="24.75" customHeight="1" x14ac:dyDescent="0.35">
      <c r="X522" s="97"/>
      <c r="Y522" s="97"/>
      <c r="Z522" s="97"/>
      <c r="AA522" s="97"/>
      <c r="AB522" s="97"/>
      <c r="AC522" s="97"/>
      <c r="AD522" s="97"/>
      <c r="AE522" s="97"/>
      <c r="AF522" s="97"/>
      <c r="AG522" s="97"/>
      <c r="AH522" s="97"/>
      <c r="AI522" s="97"/>
      <c r="AK522" s="97"/>
      <c r="AL522" s="97"/>
      <c r="AM522" s="97"/>
      <c r="AN522" s="97"/>
    </row>
    <row r="523" spans="24:40" ht="24.75" customHeight="1" x14ac:dyDescent="0.35">
      <c r="X523" s="97"/>
      <c r="Y523" s="97"/>
      <c r="Z523" s="97"/>
      <c r="AA523" s="97"/>
      <c r="AB523" s="97"/>
      <c r="AC523" s="97"/>
      <c r="AD523" s="97"/>
      <c r="AE523" s="97"/>
      <c r="AF523" s="97"/>
      <c r="AG523" s="97"/>
      <c r="AH523" s="97"/>
      <c r="AI523" s="97"/>
      <c r="AK523" s="97"/>
      <c r="AL523" s="97"/>
      <c r="AM523" s="97"/>
      <c r="AN523" s="97"/>
    </row>
    <row r="524" spans="24:40" ht="24.75" customHeight="1" x14ac:dyDescent="0.35">
      <c r="X524" s="97"/>
      <c r="Y524" s="97"/>
      <c r="Z524" s="97"/>
      <c r="AA524" s="97"/>
      <c r="AB524" s="97"/>
      <c r="AC524" s="97"/>
      <c r="AD524" s="97"/>
      <c r="AE524" s="97"/>
      <c r="AF524" s="97"/>
      <c r="AG524" s="97"/>
      <c r="AH524" s="97"/>
      <c r="AI524" s="97"/>
      <c r="AK524" s="97"/>
      <c r="AL524" s="97"/>
      <c r="AM524" s="97"/>
      <c r="AN524" s="97"/>
    </row>
    <row r="525" spans="24:40" ht="24.75" customHeight="1" x14ac:dyDescent="0.35">
      <c r="X525" s="97"/>
      <c r="Y525" s="97"/>
      <c r="Z525" s="97"/>
      <c r="AA525" s="97"/>
      <c r="AB525" s="97"/>
      <c r="AC525" s="97"/>
      <c r="AD525" s="97"/>
      <c r="AE525" s="97"/>
      <c r="AF525" s="97"/>
      <c r="AG525" s="97"/>
      <c r="AH525" s="97"/>
      <c r="AI525" s="97"/>
      <c r="AK525" s="97"/>
      <c r="AL525" s="97"/>
      <c r="AM525" s="97"/>
      <c r="AN525" s="97"/>
    </row>
    <row r="526" spans="24:40" ht="24.75" customHeight="1" x14ac:dyDescent="0.35">
      <c r="X526" s="97"/>
      <c r="Y526" s="97"/>
      <c r="Z526" s="97"/>
      <c r="AA526" s="97"/>
      <c r="AB526" s="97"/>
      <c r="AC526" s="97"/>
      <c r="AD526" s="97"/>
      <c r="AE526" s="97"/>
      <c r="AF526" s="97"/>
      <c r="AG526" s="97"/>
      <c r="AH526" s="97"/>
      <c r="AI526" s="97"/>
      <c r="AK526" s="97"/>
      <c r="AL526" s="97"/>
      <c r="AM526" s="97"/>
      <c r="AN526" s="97"/>
    </row>
    <row r="527" spans="24:40" ht="24.75" customHeight="1" x14ac:dyDescent="0.35">
      <c r="X527" s="97"/>
      <c r="Y527" s="97"/>
      <c r="Z527" s="97"/>
      <c r="AA527" s="97"/>
      <c r="AB527" s="97"/>
      <c r="AC527" s="97"/>
      <c r="AD527" s="97"/>
      <c r="AE527" s="97"/>
      <c r="AF527" s="97"/>
      <c r="AG527" s="97"/>
      <c r="AH527" s="97"/>
      <c r="AI527" s="97"/>
      <c r="AK527" s="97"/>
      <c r="AL527" s="97"/>
      <c r="AM527" s="97"/>
      <c r="AN527" s="97"/>
    </row>
    <row r="528" spans="24:40" ht="24.75" customHeight="1" x14ac:dyDescent="0.35">
      <c r="X528" s="97"/>
      <c r="Y528" s="97"/>
      <c r="Z528" s="97"/>
      <c r="AA528" s="97"/>
      <c r="AB528" s="97"/>
      <c r="AC528" s="97"/>
      <c r="AD528" s="97"/>
      <c r="AE528" s="97"/>
      <c r="AF528" s="97"/>
      <c r="AG528" s="97"/>
      <c r="AH528" s="97"/>
      <c r="AI528" s="97"/>
      <c r="AK528" s="97"/>
      <c r="AL528" s="97"/>
      <c r="AM528" s="97"/>
      <c r="AN528" s="97"/>
    </row>
    <row r="529" spans="24:40" ht="24.75" customHeight="1" x14ac:dyDescent="0.35">
      <c r="X529" s="97"/>
      <c r="Y529" s="97"/>
      <c r="Z529" s="97"/>
      <c r="AA529" s="97"/>
      <c r="AB529" s="97"/>
      <c r="AC529" s="97"/>
      <c r="AD529" s="97"/>
      <c r="AE529" s="97"/>
      <c r="AF529" s="97"/>
      <c r="AG529" s="97"/>
      <c r="AH529" s="97"/>
      <c r="AI529" s="97"/>
      <c r="AK529" s="97"/>
      <c r="AL529" s="97"/>
      <c r="AM529" s="97"/>
      <c r="AN529" s="97"/>
    </row>
    <row r="530" spans="24:40" ht="24.75" customHeight="1" x14ac:dyDescent="0.35">
      <c r="X530" s="97"/>
      <c r="Y530" s="97"/>
      <c r="Z530" s="97"/>
      <c r="AA530" s="97"/>
      <c r="AB530" s="97"/>
      <c r="AC530" s="97"/>
      <c r="AD530" s="97"/>
      <c r="AE530" s="97"/>
      <c r="AF530" s="97"/>
      <c r="AG530" s="97"/>
      <c r="AH530" s="97"/>
      <c r="AI530" s="97"/>
      <c r="AK530" s="97"/>
      <c r="AL530" s="97"/>
      <c r="AM530" s="97"/>
      <c r="AN530" s="97"/>
    </row>
    <row r="531" spans="24:40" ht="24.75" customHeight="1" x14ac:dyDescent="0.35">
      <c r="X531" s="97"/>
      <c r="Y531" s="97"/>
      <c r="Z531" s="97"/>
      <c r="AA531" s="97"/>
      <c r="AB531" s="97"/>
      <c r="AC531" s="97"/>
      <c r="AD531" s="97"/>
      <c r="AE531" s="97"/>
      <c r="AF531" s="97"/>
      <c r="AG531" s="97"/>
      <c r="AH531" s="97"/>
      <c r="AI531" s="97"/>
      <c r="AK531" s="97"/>
      <c r="AL531" s="97"/>
      <c r="AM531" s="97"/>
      <c r="AN531" s="97"/>
    </row>
    <row r="532" spans="24:40" ht="24.75" customHeight="1" x14ac:dyDescent="0.35">
      <c r="X532" s="97"/>
      <c r="Y532" s="97"/>
      <c r="Z532" s="97"/>
      <c r="AA532" s="97"/>
      <c r="AB532" s="97"/>
      <c r="AC532" s="97"/>
      <c r="AD532" s="97"/>
      <c r="AE532" s="97"/>
      <c r="AF532" s="97"/>
      <c r="AG532" s="97"/>
      <c r="AH532" s="97"/>
      <c r="AI532" s="97"/>
      <c r="AK532" s="97"/>
      <c r="AL532" s="97"/>
      <c r="AM532" s="97"/>
      <c r="AN532" s="97"/>
    </row>
    <row r="533" spans="24:40" ht="24.75" customHeight="1" x14ac:dyDescent="0.35">
      <c r="X533" s="97"/>
      <c r="Y533" s="97"/>
      <c r="Z533" s="97"/>
      <c r="AA533" s="97"/>
      <c r="AB533" s="97"/>
      <c r="AC533" s="97"/>
      <c r="AD533" s="97"/>
      <c r="AE533" s="97"/>
      <c r="AF533" s="97"/>
      <c r="AG533" s="97"/>
      <c r="AH533" s="97"/>
      <c r="AI533" s="97"/>
      <c r="AK533" s="97"/>
      <c r="AL533" s="97"/>
      <c r="AM533" s="97"/>
      <c r="AN533" s="97"/>
    </row>
    <row r="534" spans="24:40" ht="24.75" customHeight="1" x14ac:dyDescent="0.35">
      <c r="X534" s="97"/>
      <c r="Y534" s="97"/>
      <c r="Z534" s="97"/>
      <c r="AA534" s="97"/>
      <c r="AB534" s="97"/>
      <c r="AC534" s="97"/>
      <c r="AD534" s="97"/>
      <c r="AE534" s="97"/>
      <c r="AF534" s="97"/>
      <c r="AG534" s="97"/>
      <c r="AH534" s="97"/>
      <c r="AI534" s="97"/>
      <c r="AK534" s="97"/>
      <c r="AL534" s="97"/>
      <c r="AM534" s="97"/>
      <c r="AN534" s="97"/>
    </row>
    <row r="535" spans="24:40" ht="24.75" customHeight="1" x14ac:dyDescent="0.35">
      <c r="X535" s="97"/>
      <c r="Y535" s="97"/>
      <c r="Z535" s="97"/>
      <c r="AA535" s="97"/>
      <c r="AB535" s="97"/>
      <c r="AC535" s="97"/>
      <c r="AD535" s="97"/>
      <c r="AE535" s="97"/>
      <c r="AF535" s="97"/>
      <c r="AG535" s="97"/>
      <c r="AH535" s="97"/>
      <c r="AI535" s="97"/>
      <c r="AK535" s="97"/>
      <c r="AL535" s="97"/>
      <c r="AM535" s="97"/>
      <c r="AN535" s="97"/>
    </row>
    <row r="536" spans="24:40" ht="24.75" customHeight="1" x14ac:dyDescent="0.35">
      <c r="X536" s="97"/>
      <c r="Y536" s="97"/>
      <c r="Z536" s="97"/>
      <c r="AA536" s="97"/>
      <c r="AB536" s="97"/>
      <c r="AC536" s="97"/>
      <c r="AD536" s="97"/>
      <c r="AE536" s="97"/>
      <c r="AF536" s="97"/>
      <c r="AG536" s="97"/>
      <c r="AH536" s="97"/>
      <c r="AI536" s="97"/>
      <c r="AK536" s="97"/>
      <c r="AL536" s="97"/>
      <c r="AM536" s="97"/>
      <c r="AN536" s="97"/>
    </row>
    <row r="537" spans="24:40" ht="24.75" customHeight="1" x14ac:dyDescent="0.35">
      <c r="X537" s="97"/>
      <c r="Y537" s="97"/>
      <c r="Z537" s="97"/>
      <c r="AA537" s="97"/>
      <c r="AB537" s="97"/>
      <c r="AC537" s="97"/>
      <c r="AD537" s="97"/>
      <c r="AE537" s="97"/>
      <c r="AF537" s="97"/>
      <c r="AG537" s="97"/>
      <c r="AH537" s="97"/>
      <c r="AI537" s="97"/>
      <c r="AK537" s="97"/>
      <c r="AL537" s="97"/>
      <c r="AM537" s="97"/>
      <c r="AN537" s="97"/>
    </row>
    <row r="538" spans="24:40" ht="24.75" customHeight="1" x14ac:dyDescent="0.35">
      <c r="X538" s="97"/>
      <c r="Y538" s="97"/>
      <c r="Z538" s="97"/>
      <c r="AA538" s="97"/>
      <c r="AB538" s="97"/>
      <c r="AC538" s="97"/>
      <c r="AD538" s="97"/>
      <c r="AE538" s="97"/>
      <c r="AF538" s="97"/>
      <c r="AG538" s="97"/>
      <c r="AH538" s="97"/>
      <c r="AI538" s="97"/>
      <c r="AK538" s="97"/>
      <c r="AL538" s="97"/>
      <c r="AM538" s="97"/>
      <c r="AN538" s="97"/>
    </row>
    <row r="539" spans="24:40" ht="24.75" customHeight="1" x14ac:dyDescent="0.35">
      <c r="X539" s="97"/>
      <c r="Y539" s="97"/>
      <c r="Z539" s="97"/>
      <c r="AA539" s="97"/>
      <c r="AB539" s="97"/>
      <c r="AC539" s="97"/>
      <c r="AD539" s="97"/>
      <c r="AE539" s="97"/>
      <c r="AF539" s="97"/>
      <c r="AG539" s="97"/>
      <c r="AH539" s="97"/>
      <c r="AI539" s="97"/>
      <c r="AK539" s="97"/>
      <c r="AL539" s="97"/>
      <c r="AM539" s="97"/>
      <c r="AN539" s="97"/>
    </row>
    <row r="540" spans="24:40" ht="24.75" customHeight="1" x14ac:dyDescent="0.35">
      <c r="X540" s="97"/>
      <c r="Y540" s="97"/>
      <c r="Z540" s="97"/>
      <c r="AA540" s="97"/>
      <c r="AB540" s="97"/>
      <c r="AC540" s="97"/>
      <c r="AD540" s="97"/>
      <c r="AE540" s="97"/>
      <c r="AF540" s="97"/>
      <c r="AG540" s="97"/>
      <c r="AH540" s="97"/>
      <c r="AI540" s="97"/>
      <c r="AK540" s="97"/>
      <c r="AL540" s="97"/>
      <c r="AM540" s="97"/>
      <c r="AN540" s="97"/>
    </row>
    <row r="541" spans="24:40" ht="24.75" customHeight="1" x14ac:dyDescent="0.35">
      <c r="X541" s="97"/>
      <c r="Y541" s="97"/>
      <c r="Z541" s="97"/>
      <c r="AA541" s="97"/>
      <c r="AB541" s="97"/>
      <c r="AC541" s="97"/>
      <c r="AD541" s="97"/>
      <c r="AE541" s="97"/>
      <c r="AF541" s="97"/>
      <c r="AG541" s="97"/>
      <c r="AH541" s="97"/>
      <c r="AI541" s="97"/>
      <c r="AK541" s="97"/>
      <c r="AL541" s="97"/>
      <c r="AM541" s="97"/>
      <c r="AN541" s="97"/>
    </row>
    <row r="542" spans="24:40" ht="24.75" customHeight="1" x14ac:dyDescent="0.35">
      <c r="X542" s="97"/>
      <c r="Y542" s="97"/>
      <c r="Z542" s="97"/>
      <c r="AA542" s="97"/>
      <c r="AB542" s="97"/>
      <c r="AC542" s="97"/>
      <c r="AD542" s="97"/>
      <c r="AE542" s="97"/>
      <c r="AF542" s="97"/>
      <c r="AG542" s="97"/>
      <c r="AH542" s="97"/>
      <c r="AI542" s="97"/>
      <c r="AK542" s="97"/>
      <c r="AL542" s="97"/>
      <c r="AM542" s="97"/>
      <c r="AN542" s="97"/>
    </row>
    <row r="543" spans="24:40" ht="24.75" customHeight="1" x14ac:dyDescent="0.35">
      <c r="X543" s="97"/>
      <c r="Y543" s="97"/>
      <c r="Z543" s="97"/>
      <c r="AA543" s="97"/>
      <c r="AB543" s="97"/>
      <c r="AC543" s="97"/>
      <c r="AD543" s="97"/>
      <c r="AE543" s="97"/>
      <c r="AF543" s="97"/>
      <c r="AG543" s="97"/>
      <c r="AH543" s="97"/>
      <c r="AI543" s="97"/>
      <c r="AK543" s="97"/>
      <c r="AL543" s="97"/>
      <c r="AM543" s="97"/>
      <c r="AN543" s="97"/>
    </row>
    <row r="544" spans="24:40" ht="24.75" customHeight="1" x14ac:dyDescent="0.35">
      <c r="X544" s="97"/>
      <c r="Y544" s="97"/>
      <c r="Z544" s="97"/>
      <c r="AA544" s="97"/>
      <c r="AB544" s="97"/>
      <c r="AC544" s="97"/>
      <c r="AD544" s="97"/>
      <c r="AE544" s="97"/>
      <c r="AF544" s="97"/>
      <c r="AG544" s="97"/>
      <c r="AH544" s="97"/>
      <c r="AI544" s="97"/>
      <c r="AK544" s="97"/>
      <c r="AL544" s="97"/>
      <c r="AM544" s="97"/>
      <c r="AN544" s="97"/>
    </row>
    <row r="545" spans="24:40" ht="24.75" customHeight="1" x14ac:dyDescent="0.35">
      <c r="X545" s="97"/>
      <c r="Y545" s="97"/>
      <c r="Z545" s="97"/>
      <c r="AA545" s="97"/>
      <c r="AB545" s="97"/>
      <c r="AC545" s="97"/>
      <c r="AD545" s="97"/>
      <c r="AE545" s="97"/>
      <c r="AF545" s="97"/>
      <c r="AG545" s="97"/>
      <c r="AH545" s="97"/>
      <c r="AI545" s="97"/>
      <c r="AK545" s="97"/>
      <c r="AL545" s="97"/>
      <c r="AM545" s="97"/>
      <c r="AN545" s="97"/>
    </row>
    <row r="546" spans="24:40" ht="24.75" customHeight="1" x14ac:dyDescent="0.35">
      <c r="X546" s="97"/>
      <c r="Y546" s="97"/>
      <c r="Z546" s="97"/>
      <c r="AA546" s="97"/>
      <c r="AB546" s="97"/>
      <c r="AC546" s="97"/>
      <c r="AD546" s="97"/>
      <c r="AE546" s="97"/>
      <c r="AF546" s="97"/>
      <c r="AG546" s="97"/>
      <c r="AH546" s="97"/>
      <c r="AI546" s="97"/>
      <c r="AK546" s="97"/>
      <c r="AL546" s="97"/>
      <c r="AM546" s="97"/>
      <c r="AN546" s="97"/>
    </row>
    <row r="547" spans="24:40" ht="24.75" customHeight="1" x14ac:dyDescent="0.35">
      <c r="X547" s="97"/>
      <c r="Y547" s="97"/>
      <c r="Z547" s="97"/>
      <c r="AA547" s="97"/>
      <c r="AB547" s="97"/>
      <c r="AC547" s="97"/>
      <c r="AD547" s="97"/>
      <c r="AE547" s="97"/>
      <c r="AF547" s="97"/>
      <c r="AG547" s="97"/>
      <c r="AH547" s="97"/>
      <c r="AI547" s="97"/>
      <c r="AK547" s="97"/>
      <c r="AL547" s="97"/>
      <c r="AM547" s="97"/>
      <c r="AN547" s="97"/>
    </row>
    <row r="548" spans="24:40" ht="24.75" customHeight="1" x14ac:dyDescent="0.35">
      <c r="X548" s="97"/>
      <c r="Y548" s="97"/>
      <c r="Z548" s="97"/>
      <c r="AA548" s="97"/>
      <c r="AB548" s="97"/>
      <c r="AC548" s="97"/>
      <c r="AD548" s="97"/>
      <c r="AE548" s="97"/>
      <c r="AF548" s="97"/>
      <c r="AG548" s="97"/>
      <c r="AH548" s="97"/>
      <c r="AI548" s="97"/>
      <c r="AK548" s="97"/>
      <c r="AL548" s="97"/>
      <c r="AM548" s="97"/>
      <c r="AN548" s="97"/>
    </row>
    <row r="549" spans="24:40" ht="24.75" customHeight="1" x14ac:dyDescent="0.35">
      <c r="X549" s="97"/>
      <c r="Y549" s="97"/>
      <c r="Z549" s="97"/>
      <c r="AA549" s="97"/>
      <c r="AB549" s="97"/>
      <c r="AC549" s="97"/>
      <c r="AD549" s="97"/>
      <c r="AE549" s="97"/>
      <c r="AF549" s="97"/>
      <c r="AG549" s="97"/>
      <c r="AH549" s="97"/>
      <c r="AI549" s="97"/>
      <c r="AK549" s="97"/>
      <c r="AL549" s="97"/>
      <c r="AM549" s="97"/>
      <c r="AN549" s="97"/>
    </row>
    <row r="550" spans="24:40" ht="24.75" customHeight="1" x14ac:dyDescent="0.35">
      <c r="X550" s="97"/>
      <c r="Y550" s="97"/>
      <c r="Z550" s="97"/>
      <c r="AA550" s="97"/>
      <c r="AB550" s="97"/>
      <c r="AC550" s="97"/>
      <c r="AD550" s="97"/>
      <c r="AE550" s="97"/>
      <c r="AF550" s="97"/>
      <c r="AG550" s="97"/>
      <c r="AH550" s="97"/>
      <c r="AI550" s="97"/>
      <c r="AK550" s="97"/>
      <c r="AL550" s="97"/>
      <c r="AM550" s="97"/>
      <c r="AN550" s="97"/>
    </row>
    <row r="551" spans="24:40" ht="24.75" customHeight="1" x14ac:dyDescent="0.35">
      <c r="X551" s="97"/>
      <c r="Y551" s="97"/>
      <c r="Z551" s="97"/>
      <c r="AA551" s="97"/>
      <c r="AB551" s="97"/>
      <c r="AC551" s="97"/>
      <c r="AD551" s="97"/>
      <c r="AE551" s="97"/>
      <c r="AF551" s="97"/>
      <c r="AG551" s="97"/>
      <c r="AH551" s="97"/>
      <c r="AI551" s="97"/>
      <c r="AK551" s="97"/>
      <c r="AL551" s="97"/>
      <c r="AM551" s="97"/>
      <c r="AN551" s="97"/>
    </row>
    <row r="552" spans="24:40" ht="24.75" customHeight="1" x14ac:dyDescent="0.35">
      <c r="X552" s="97"/>
      <c r="Y552" s="97"/>
      <c r="Z552" s="97"/>
      <c r="AA552" s="97"/>
      <c r="AB552" s="97"/>
      <c r="AC552" s="97"/>
      <c r="AD552" s="97"/>
      <c r="AE552" s="97"/>
      <c r="AF552" s="97"/>
      <c r="AG552" s="97"/>
      <c r="AH552" s="97"/>
      <c r="AI552" s="97"/>
      <c r="AK552" s="97"/>
      <c r="AL552" s="97"/>
      <c r="AM552" s="97"/>
      <c r="AN552" s="97"/>
    </row>
    <row r="553" spans="24:40" ht="24.75" customHeight="1" x14ac:dyDescent="0.35">
      <c r="X553" s="97"/>
      <c r="Y553" s="97"/>
      <c r="Z553" s="97"/>
      <c r="AA553" s="97"/>
      <c r="AB553" s="97"/>
      <c r="AC553" s="97"/>
      <c r="AD553" s="97"/>
      <c r="AE553" s="97"/>
      <c r="AF553" s="97"/>
      <c r="AG553" s="97"/>
      <c r="AH553" s="97"/>
      <c r="AI553" s="97"/>
      <c r="AK553" s="97"/>
      <c r="AL553" s="97"/>
      <c r="AM553" s="97"/>
      <c r="AN553" s="97"/>
    </row>
    <row r="554" spans="24:40" ht="24.75" customHeight="1" x14ac:dyDescent="0.35">
      <c r="X554" s="97"/>
      <c r="Y554" s="97"/>
      <c r="Z554" s="97"/>
      <c r="AA554" s="97"/>
      <c r="AB554" s="97"/>
      <c r="AC554" s="97"/>
      <c r="AD554" s="97"/>
      <c r="AE554" s="97"/>
      <c r="AF554" s="97"/>
      <c r="AG554" s="97"/>
      <c r="AH554" s="97"/>
      <c r="AI554" s="97"/>
      <c r="AK554" s="97"/>
      <c r="AL554" s="97"/>
      <c r="AM554" s="97"/>
      <c r="AN554" s="97"/>
    </row>
    <row r="555" spans="24:40" ht="24.75" customHeight="1" x14ac:dyDescent="0.35">
      <c r="X555" s="97"/>
      <c r="Y555" s="97"/>
      <c r="Z555" s="97"/>
      <c r="AA555" s="97"/>
      <c r="AB555" s="97"/>
      <c r="AC555" s="97"/>
      <c r="AD555" s="97"/>
      <c r="AE555" s="97"/>
      <c r="AF555" s="97"/>
      <c r="AG555" s="97"/>
      <c r="AH555" s="97"/>
      <c r="AI555" s="97"/>
      <c r="AK555" s="97"/>
      <c r="AL555" s="97"/>
      <c r="AM555" s="97"/>
      <c r="AN555" s="97"/>
    </row>
    <row r="556" spans="24:40" ht="24.75" customHeight="1" x14ac:dyDescent="0.35">
      <c r="X556" s="97"/>
      <c r="Y556" s="97"/>
      <c r="Z556" s="97"/>
      <c r="AA556" s="97"/>
      <c r="AB556" s="97"/>
      <c r="AC556" s="97"/>
      <c r="AD556" s="97"/>
      <c r="AE556" s="97"/>
      <c r="AF556" s="97"/>
      <c r="AG556" s="97"/>
      <c r="AH556" s="97"/>
      <c r="AI556" s="97"/>
      <c r="AK556" s="97"/>
      <c r="AL556" s="97"/>
      <c r="AM556" s="97"/>
      <c r="AN556" s="97"/>
    </row>
    <row r="557" spans="24:40" ht="24.75" customHeight="1" x14ac:dyDescent="0.35">
      <c r="X557" s="97"/>
      <c r="Y557" s="97"/>
      <c r="Z557" s="97"/>
      <c r="AA557" s="97"/>
      <c r="AB557" s="97"/>
      <c r="AC557" s="97"/>
      <c r="AD557" s="97"/>
      <c r="AE557" s="97"/>
      <c r="AF557" s="97"/>
      <c r="AG557" s="97"/>
      <c r="AH557" s="97"/>
      <c r="AI557" s="97"/>
      <c r="AK557" s="97"/>
      <c r="AL557" s="97"/>
      <c r="AM557" s="97"/>
      <c r="AN557" s="97"/>
    </row>
    <row r="558" spans="24:40" ht="24.75" customHeight="1" x14ac:dyDescent="0.35">
      <c r="X558" s="97"/>
      <c r="Y558" s="97"/>
      <c r="Z558" s="97"/>
      <c r="AA558" s="97"/>
      <c r="AB558" s="97"/>
      <c r="AC558" s="97"/>
      <c r="AD558" s="97"/>
      <c r="AE558" s="97"/>
      <c r="AF558" s="97"/>
      <c r="AG558" s="97"/>
      <c r="AH558" s="97"/>
      <c r="AI558" s="97"/>
      <c r="AK558" s="97"/>
      <c r="AL558" s="97"/>
      <c r="AM558" s="97"/>
      <c r="AN558" s="97"/>
    </row>
    <row r="559" spans="24:40" ht="24.75" customHeight="1" x14ac:dyDescent="0.35">
      <c r="X559" s="97"/>
      <c r="Y559" s="97"/>
      <c r="Z559" s="97"/>
      <c r="AA559" s="97"/>
      <c r="AB559" s="97"/>
      <c r="AC559" s="97"/>
      <c r="AD559" s="97"/>
      <c r="AE559" s="97"/>
      <c r="AF559" s="97"/>
      <c r="AG559" s="97"/>
      <c r="AH559" s="97"/>
      <c r="AI559" s="97"/>
      <c r="AK559" s="97"/>
      <c r="AL559" s="97"/>
      <c r="AM559" s="97"/>
      <c r="AN559" s="97"/>
    </row>
    <row r="560" spans="24:40" ht="24.75" customHeight="1" x14ac:dyDescent="0.35">
      <c r="X560" s="97"/>
      <c r="Y560" s="97"/>
      <c r="Z560" s="97"/>
      <c r="AA560" s="97"/>
      <c r="AB560" s="97"/>
      <c r="AC560" s="97"/>
      <c r="AD560" s="97"/>
      <c r="AE560" s="97"/>
      <c r="AF560" s="97"/>
      <c r="AG560" s="97"/>
      <c r="AH560" s="97"/>
      <c r="AI560" s="97"/>
      <c r="AK560" s="97"/>
      <c r="AL560" s="97"/>
      <c r="AM560" s="97"/>
      <c r="AN560" s="97"/>
    </row>
    <row r="561" spans="24:40" ht="24.75" customHeight="1" x14ac:dyDescent="0.35">
      <c r="X561" s="97"/>
      <c r="Y561" s="97"/>
      <c r="Z561" s="97"/>
      <c r="AA561" s="97"/>
      <c r="AB561" s="97"/>
      <c r="AC561" s="97"/>
      <c r="AD561" s="97"/>
      <c r="AE561" s="97"/>
      <c r="AF561" s="97"/>
      <c r="AG561" s="97"/>
      <c r="AH561" s="97"/>
      <c r="AI561" s="97"/>
      <c r="AK561" s="97"/>
      <c r="AL561" s="97"/>
      <c r="AM561" s="97"/>
      <c r="AN561" s="97"/>
    </row>
    <row r="562" spans="24:40" ht="24.75" customHeight="1" x14ac:dyDescent="0.35">
      <c r="X562" s="97"/>
      <c r="Y562" s="97"/>
      <c r="Z562" s="97"/>
      <c r="AA562" s="97"/>
      <c r="AB562" s="97"/>
      <c r="AC562" s="97"/>
      <c r="AD562" s="97"/>
      <c r="AE562" s="97"/>
      <c r="AF562" s="97"/>
      <c r="AG562" s="97"/>
      <c r="AH562" s="97"/>
      <c r="AI562" s="97"/>
      <c r="AK562" s="97"/>
      <c r="AL562" s="97"/>
      <c r="AM562" s="97"/>
      <c r="AN562" s="97"/>
    </row>
    <row r="563" spans="24:40" ht="24.75" customHeight="1" x14ac:dyDescent="0.35">
      <c r="X563" s="97"/>
      <c r="Y563" s="97"/>
      <c r="Z563" s="97"/>
      <c r="AA563" s="97"/>
      <c r="AB563" s="97"/>
      <c r="AC563" s="97"/>
      <c r="AD563" s="97"/>
      <c r="AE563" s="97"/>
      <c r="AF563" s="97"/>
      <c r="AG563" s="97"/>
      <c r="AH563" s="97"/>
      <c r="AI563" s="97"/>
      <c r="AK563" s="97"/>
      <c r="AL563" s="97"/>
      <c r="AM563" s="97"/>
      <c r="AN563" s="97"/>
    </row>
    <row r="564" spans="24:40" ht="24.75" customHeight="1" x14ac:dyDescent="0.35">
      <c r="X564" s="97"/>
      <c r="Y564" s="97"/>
      <c r="Z564" s="97"/>
      <c r="AA564" s="97"/>
      <c r="AB564" s="97"/>
      <c r="AC564" s="97"/>
      <c r="AD564" s="97"/>
      <c r="AE564" s="97"/>
      <c r="AF564" s="97"/>
      <c r="AG564" s="97"/>
      <c r="AH564" s="97"/>
      <c r="AI564" s="97"/>
      <c r="AK564" s="97"/>
      <c r="AL564" s="97"/>
      <c r="AM564" s="97"/>
      <c r="AN564" s="97"/>
    </row>
    <row r="565" spans="24:40" ht="24.75" customHeight="1" x14ac:dyDescent="0.35">
      <c r="X565" s="97"/>
      <c r="Y565" s="97"/>
      <c r="Z565" s="97"/>
      <c r="AA565" s="97"/>
      <c r="AB565" s="97"/>
      <c r="AC565" s="97"/>
      <c r="AD565" s="97"/>
      <c r="AE565" s="97"/>
      <c r="AF565" s="97"/>
      <c r="AG565" s="97"/>
      <c r="AH565" s="97"/>
      <c r="AI565" s="97"/>
      <c r="AK565" s="97"/>
      <c r="AL565" s="97"/>
      <c r="AM565" s="97"/>
      <c r="AN565" s="97"/>
    </row>
    <row r="566" spans="24:40" ht="24.75" customHeight="1" x14ac:dyDescent="0.35">
      <c r="X566" s="97"/>
      <c r="Y566" s="97"/>
      <c r="Z566" s="97"/>
      <c r="AA566" s="97"/>
      <c r="AB566" s="97"/>
      <c r="AC566" s="97"/>
      <c r="AD566" s="97"/>
      <c r="AE566" s="97"/>
      <c r="AF566" s="97"/>
      <c r="AG566" s="97"/>
      <c r="AH566" s="97"/>
      <c r="AI566" s="97"/>
      <c r="AK566" s="97"/>
      <c r="AL566" s="97"/>
      <c r="AM566" s="97"/>
      <c r="AN566" s="97"/>
    </row>
    <row r="567" spans="24:40" ht="24.75" customHeight="1" x14ac:dyDescent="0.35">
      <c r="X567" s="97"/>
      <c r="Y567" s="97"/>
      <c r="Z567" s="97"/>
      <c r="AA567" s="97"/>
      <c r="AB567" s="97"/>
      <c r="AC567" s="97"/>
      <c r="AD567" s="97"/>
      <c r="AE567" s="97"/>
      <c r="AF567" s="97"/>
      <c r="AG567" s="97"/>
      <c r="AH567" s="97"/>
      <c r="AI567" s="97"/>
      <c r="AK567" s="97"/>
      <c r="AL567" s="97"/>
      <c r="AM567" s="97"/>
      <c r="AN567" s="97"/>
    </row>
    <row r="568" spans="24:40" ht="24.75" customHeight="1" x14ac:dyDescent="0.35">
      <c r="X568" s="97"/>
      <c r="Y568" s="97"/>
      <c r="Z568" s="97"/>
      <c r="AA568" s="97"/>
      <c r="AB568" s="97"/>
      <c r="AC568" s="97"/>
      <c r="AD568" s="97"/>
      <c r="AE568" s="97"/>
      <c r="AF568" s="97"/>
      <c r="AG568" s="97"/>
      <c r="AH568" s="97"/>
      <c r="AI568" s="97"/>
      <c r="AK568" s="97"/>
      <c r="AL568" s="97"/>
      <c r="AM568" s="97"/>
      <c r="AN568" s="97"/>
    </row>
    <row r="569" spans="24:40" ht="24.75" customHeight="1" x14ac:dyDescent="0.35">
      <c r="X569" s="97"/>
      <c r="Y569" s="97"/>
      <c r="Z569" s="97"/>
      <c r="AA569" s="97"/>
      <c r="AB569" s="97"/>
      <c r="AC569" s="97"/>
      <c r="AD569" s="97"/>
      <c r="AE569" s="97"/>
      <c r="AF569" s="97"/>
      <c r="AG569" s="97"/>
      <c r="AH569" s="97"/>
      <c r="AI569" s="97"/>
      <c r="AK569" s="97"/>
      <c r="AL569" s="97"/>
      <c r="AM569" s="97"/>
      <c r="AN569" s="97"/>
    </row>
    <row r="570" spans="24:40" ht="24.75" customHeight="1" x14ac:dyDescent="0.35">
      <c r="X570" s="97"/>
      <c r="Y570" s="97"/>
      <c r="Z570" s="97"/>
      <c r="AA570" s="97"/>
      <c r="AB570" s="97"/>
      <c r="AC570" s="97"/>
      <c r="AD570" s="97"/>
      <c r="AE570" s="97"/>
      <c r="AF570" s="97"/>
      <c r="AG570" s="97"/>
      <c r="AH570" s="97"/>
      <c r="AI570" s="97"/>
      <c r="AK570" s="97"/>
      <c r="AL570" s="97"/>
      <c r="AM570" s="97"/>
      <c r="AN570" s="97"/>
    </row>
    <row r="571" spans="24:40" ht="24.75" customHeight="1" x14ac:dyDescent="0.35">
      <c r="X571" s="97"/>
      <c r="Y571" s="97"/>
      <c r="Z571" s="97"/>
      <c r="AA571" s="97"/>
      <c r="AB571" s="97"/>
      <c r="AC571" s="97"/>
      <c r="AD571" s="97"/>
      <c r="AE571" s="97"/>
      <c r="AF571" s="97"/>
      <c r="AG571" s="97"/>
      <c r="AH571" s="97"/>
      <c r="AI571" s="97"/>
      <c r="AK571" s="97"/>
      <c r="AL571" s="97"/>
      <c r="AM571" s="97"/>
      <c r="AN571" s="97"/>
    </row>
    <row r="572" spans="24:40" ht="24.75" customHeight="1" x14ac:dyDescent="0.35">
      <c r="X572" s="97"/>
      <c r="Y572" s="97"/>
      <c r="Z572" s="97"/>
      <c r="AA572" s="97"/>
      <c r="AB572" s="97"/>
      <c r="AC572" s="97"/>
      <c r="AD572" s="97"/>
      <c r="AE572" s="97"/>
      <c r="AF572" s="97"/>
      <c r="AG572" s="97"/>
      <c r="AH572" s="97"/>
      <c r="AI572" s="97"/>
      <c r="AK572" s="97"/>
      <c r="AL572" s="97"/>
      <c r="AM572" s="97"/>
      <c r="AN572" s="97"/>
    </row>
    <row r="573" spans="24:40" ht="24.75" customHeight="1" x14ac:dyDescent="0.35">
      <c r="X573" s="97"/>
      <c r="Y573" s="97"/>
      <c r="Z573" s="97"/>
      <c r="AA573" s="97"/>
      <c r="AB573" s="97"/>
      <c r="AC573" s="97"/>
      <c r="AD573" s="97"/>
      <c r="AE573" s="97"/>
      <c r="AF573" s="97"/>
      <c r="AG573" s="97"/>
      <c r="AH573" s="97"/>
      <c r="AI573" s="97"/>
      <c r="AK573" s="97"/>
      <c r="AL573" s="97"/>
      <c r="AM573" s="97"/>
      <c r="AN573" s="97"/>
    </row>
    <row r="574" spans="24:40" ht="24.75" customHeight="1" x14ac:dyDescent="0.35">
      <c r="X574" s="97"/>
      <c r="Y574" s="97"/>
      <c r="Z574" s="97"/>
      <c r="AA574" s="97"/>
      <c r="AB574" s="97"/>
      <c r="AC574" s="97"/>
      <c r="AD574" s="97"/>
      <c r="AE574" s="97"/>
      <c r="AF574" s="97"/>
      <c r="AG574" s="97"/>
      <c r="AH574" s="97"/>
      <c r="AI574" s="97"/>
      <c r="AK574" s="97"/>
      <c r="AL574" s="97"/>
      <c r="AM574" s="97"/>
      <c r="AN574" s="97"/>
    </row>
    <row r="575" spans="24:40" ht="24.75" customHeight="1" x14ac:dyDescent="0.35">
      <c r="X575" s="97"/>
      <c r="Y575" s="97"/>
      <c r="Z575" s="97"/>
      <c r="AA575" s="97"/>
      <c r="AB575" s="97"/>
      <c r="AC575" s="97"/>
      <c r="AD575" s="97"/>
      <c r="AE575" s="97"/>
      <c r="AF575" s="97"/>
      <c r="AG575" s="97"/>
      <c r="AH575" s="97"/>
      <c r="AI575" s="97"/>
      <c r="AK575" s="97"/>
      <c r="AL575" s="97"/>
      <c r="AM575" s="97"/>
      <c r="AN575" s="97"/>
    </row>
    <row r="576" spans="24:40" ht="24.75" customHeight="1" x14ac:dyDescent="0.35">
      <c r="X576" s="97"/>
      <c r="Y576" s="97"/>
      <c r="Z576" s="97"/>
      <c r="AA576" s="97"/>
      <c r="AB576" s="97"/>
      <c r="AC576" s="97"/>
      <c r="AD576" s="97"/>
      <c r="AE576" s="97"/>
      <c r="AF576" s="97"/>
      <c r="AG576" s="97"/>
      <c r="AH576" s="97"/>
      <c r="AI576" s="97"/>
      <c r="AK576" s="97"/>
      <c r="AL576" s="97"/>
      <c r="AM576" s="97"/>
      <c r="AN576" s="97"/>
    </row>
    <row r="577" spans="24:40" ht="24.75" customHeight="1" x14ac:dyDescent="0.35">
      <c r="X577" s="97"/>
      <c r="Y577" s="97"/>
      <c r="Z577" s="97"/>
      <c r="AA577" s="97"/>
      <c r="AB577" s="97"/>
      <c r="AC577" s="97"/>
      <c r="AD577" s="97"/>
      <c r="AE577" s="97"/>
      <c r="AF577" s="97"/>
      <c r="AG577" s="97"/>
      <c r="AH577" s="97"/>
      <c r="AI577" s="97"/>
      <c r="AK577" s="97"/>
      <c r="AL577" s="97"/>
      <c r="AM577" s="97"/>
      <c r="AN577" s="97"/>
    </row>
    <row r="578" spans="24:40" ht="24.75" customHeight="1" x14ac:dyDescent="0.35">
      <c r="X578" s="97"/>
      <c r="Y578" s="97"/>
      <c r="Z578" s="97"/>
      <c r="AA578" s="97"/>
      <c r="AB578" s="97"/>
      <c r="AC578" s="97"/>
      <c r="AD578" s="97"/>
      <c r="AE578" s="97"/>
      <c r="AF578" s="97"/>
      <c r="AG578" s="97"/>
      <c r="AH578" s="97"/>
      <c r="AI578" s="97"/>
      <c r="AK578" s="97"/>
      <c r="AL578" s="97"/>
      <c r="AM578" s="97"/>
      <c r="AN578" s="97"/>
    </row>
    <row r="579" spans="24:40" ht="24.75" customHeight="1" x14ac:dyDescent="0.35">
      <c r="X579" s="97"/>
      <c r="Y579" s="97"/>
      <c r="Z579" s="97"/>
      <c r="AA579" s="97"/>
      <c r="AB579" s="97"/>
      <c r="AC579" s="97"/>
      <c r="AD579" s="97"/>
      <c r="AE579" s="97"/>
      <c r="AF579" s="97"/>
      <c r="AG579" s="97"/>
      <c r="AH579" s="97"/>
      <c r="AI579" s="97"/>
      <c r="AK579" s="97"/>
      <c r="AL579" s="97"/>
      <c r="AM579" s="97"/>
      <c r="AN579" s="97"/>
    </row>
    <row r="580" spans="24:40" ht="24.75" customHeight="1" x14ac:dyDescent="0.35">
      <c r="X580" s="97"/>
      <c r="Y580" s="97"/>
      <c r="Z580" s="97"/>
      <c r="AA580" s="97"/>
      <c r="AB580" s="97"/>
      <c r="AC580" s="97"/>
      <c r="AD580" s="97"/>
      <c r="AE580" s="97"/>
      <c r="AF580" s="97"/>
      <c r="AG580" s="97"/>
      <c r="AH580" s="97"/>
      <c r="AI580" s="97"/>
      <c r="AK580" s="97"/>
      <c r="AL580" s="97"/>
      <c r="AM580" s="97"/>
      <c r="AN580" s="97"/>
    </row>
    <row r="581" spans="24:40" ht="24.75" customHeight="1" x14ac:dyDescent="0.35">
      <c r="X581" s="97"/>
      <c r="Y581" s="97"/>
      <c r="Z581" s="97"/>
      <c r="AA581" s="97"/>
      <c r="AB581" s="97"/>
      <c r="AC581" s="97"/>
      <c r="AD581" s="97"/>
      <c r="AE581" s="97"/>
      <c r="AF581" s="97"/>
      <c r="AG581" s="97"/>
      <c r="AH581" s="97"/>
      <c r="AI581" s="97"/>
      <c r="AK581" s="97"/>
      <c r="AL581" s="97"/>
      <c r="AM581" s="97"/>
      <c r="AN581" s="97"/>
    </row>
    <row r="582" spans="24:40" ht="24.75" customHeight="1" x14ac:dyDescent="0.35">
      <c r="X582" s="97"/>
      <c r="Y582" s="97"/>
      <c r="Z582" s="97"/>
      <c r="AA582" s="97"/>
      <c r="AB582" s="97"/>
      <c r="AC582" s="97"/>
      <c r="AD582" s="97"/>
      <c r="AE582" s="97"/>
      <c r="AF582" s="97"/>
      <c r="AG582" s="97"/>
      <c r="AH582" s="97"/>
      <c r="AI582" s="97"/>
      <c r="AK582" s="97"/>
      <c r="AL582" s="97"/>
      <c r="AM582" s="97"/>
      <c r="AN582" s="97"/>
    </row>
    <row r="583" spans="24:40" ht="24.75" customHeight="1" x14ac:dyDescent="0.35">
      <c r="X583" s="97"/>
      <c r="Y583" s="97"/>
      <c r="Z583" s="97"/>
      <c r="AA583" s="97"/>
      <c r="AB583" s="97"/>
      <c r="AC583" s="97"/>
      <c r="AD583" s="97"/>
      <c r="AE583" s="97"/>
      <c r="AF583" s="97"/>
      <c r="AG583" s="97"/>
      <c r="AH583" s="97"/>
      <c r="AI583" s="97"/>
      <c r="AK583" s="97"/>
      <c r="AL583" s="97"/>
      <c r="AM583" s="97"/>
      <c r="AN583" s="97"/>
    </row>
    <row r="584" spans="24:40" ht="24.75" customHeight="1" x14ac:dyDescent="0.35">
      <c r="X584" s="97"/>
      <c r="Y584" s="97"/>
      <c r="Z584" s="97"/>
      <c r="AA584" s="97"/>
      <c r="AB584" s="97"/>
      <c r="AC584" s="97"/>
      <c r="AD584" s="97"/>
      <c r="AE584" s="97"/>
      <c r="AF584" s="97"/>
      <c r="AG584" s="97"/>
      <c r="AH584" s="97"/>
      <c r="AI584" s="97"/>
      <c r="AK584" s="97"/>
      <c r="AL584" s="97"/>
      <c r="AM584" s="97"/>
      <c r="AN584" s="97"/>
    </row>
    <row r="585" spans="24:40" ht="24.75" customHeight="1" x14ac:dyDescent="0.35">
      <c r="X585" s="97"/>
      <c r="Y585" s="97"/>
      <c r="Z585" s="97"/>
      <c r="AA585" s="97"/>
      <c r="AB585" s="97"/>
      <c r="AC585" s="97"/>
      <c r="AD585" s="97"/>
      <c r="AE585" s="97"/>
      <c r="AF585" s="97"/>
      <c r="AG585" s="97"/>
      <c r="AH585" s="97"/>
      <c r="AI585" s="97"/>
      <c r="AK585" s="97"/>
      <c r="AL585" s="97"/>
      <c r="AM585" s="97"/>
      <c r="AN585" s="97"/>
    </row>
    <row r="586" spans="24:40" ht="24.75" customHeight="1" x14ac:dyDescent="0.35">
      <c r="X586" s="97"/>
      <c r="Y586" s="97"/>
      <c r="Z586" s="97"/>
      <c r="AA586" s="97"/>
      <c r="AB586" s="97"/>
      <c r="AC586" s="97"/>
      <c r="AD586" s="97"/>
      <c r="AE586" s="97"/>
      <c r="AF586" s="97"/>
      <c r="AG586" s="97"/>
      <c r="AH586" s="97"/>
      <c r="AI586" s="97"/>
      <c r="AK586" s="97"/>
      <c r="AL586" s="97"/>
      <c r="AM586" s="97"/>
      <c r="AN586" s="97"/>
    </row>
    <row r="587" spans="24:40" ht="24.75" customHeight="1" x14ac:dyDescent="0.35">
      <c r="X587" s="97"/>
      <c r="Y587" s="97"/>
      <c r="Z587" s="97"/>
      <c r="AA587" s="97"/>
      <c r="AB587" s="97"/>
      <c r="AC587" s="97"/>
      <c r="AD587" s="97"/>
      <c r="AE587" s="97"/>
      <c r="AF587" s="97"/>
      <c r="AG587" s="97"/>
      <c r="AH587" s="97"/>
      <c r="AI587" s="97"/>
      <c r="AK587" s="97"/>
      <c r="AL587" s="97"/>
      <c r="AM587" s="97"/>
      <c r="AN587" s="97"/>
    </row>
    <row r="588" spans="24:40" ht="24.75" customHeight="1" x14ac:dyDescent="0.35">
      <c r="X588" s="97"/>
      <c r="Y588" s="97"/>
      <c r="Z588" s="97"/>
      <c r="AA588" s="97"/>
      <c r="AB588" s="97"/>
      <c r="AC588" s="97"/>
      <c r="AD588" s="97"/>
      <c r="AE588" s="97"/>
      <c r="AF588" s="97"/>
      <c r="AG588" s="97"/>
      <c r="AH588" s="97"/>
      <c r="AI588" s="97"/>
      <c r="AK588" s="97"/>
      <c r="AL588" s="97"/>
      <c r="AM588" s="97"/>
      <c r="AN588" s="97"/>
    </row>
    <row r="589" spans="24:40" ht="24.75" customHeight="1" x14ac:dyDescent="0.35">
      <c r="X589" s="97"/>
      <c r="Y589" s="97"/>
      <c r="Z589" s="97"/>
      <c r="AA589" s="97"/>
      <c r="AB589" s="97"/>
      <c r="AC589" s="97"/>
      <c r="AD589" s="97"/>
      <c r="AE589" s="97"/>
      <c r="AF589" s="97"/>
      <c r="AG589" s="97"/>
      <c r="AH589" s="97"/>
      <c r="AI589" s="97"/>
      <c r="AK589" s="97"/>
      <c r="AL589" s="97"/>
      <c r="AM589" s="97"/>
      <c r="AN589" s="97"/>
    </row>
    <row r="590" spans="24:40" ht="24.75" customHeight="1" x14ac:dyDescent="0.35">
      <c r="X590" s="97"/>
      <c r="Y590" s="97"/>
      <c r="Z590" s="97"/>
      <c r="AA590" s="97"/>
      <c r="AB590" s="97"/>
      <c r="AC590" s="97"/>
      <c r="AD590" s="97"/>
      <c r="AE590" s="97"/>
      <c r="AF590" s="97"/>
      <c r="AG590" s="97"/>
      <c r="AH590" s="97"/>
      <c r="AI590" s="97"/>
      <c r="AK590" s="97"/>
      <c r="AL590" s="97"/>
      <c r="AM590" s="97"/>
      <c r="AN590" s="97"/>
    </row>
    <row r="591" spans="24:40" ht="24.75" customHeight="1" x14ac:dyDescent="0.35">
      <c r="X591" s="97"/>
      <c r="Y591" s="97"/>
      <c r="Z591" s="97"/>
      <c r="AA591" s="97"/>
      <c r="AB591" s="97"/>
      <c r="AC591" s="97"/>
      <c r="AD591" s="97"/>
      <c r="AE591" s="97"/>
      <c r="AF591" s="97"/>
      <c r="AG591" s="97"/>
      <c r="AH591" s="97"/>
      <c r="AI591" s="97"/>
      <c r="AK591" s="97"/>
      <c r="AL591" s="97"/>
      <c r="AM591" s="97"/>
      <c r="AN591" s="97"/>
    </row>
    <row r="592" spans="24:40" ht="24.75" customHeight="1" x14ac:dyDescent="0.35">
      <c r="X592" s="97"/>
      <c r="Y592" s="97"/>
      <c r="Z592" s="97"/>
      <c r="AA592" s="97"/>
      <c r="AB592" s="97"/>
      <c r="AC592" s="97"/>
      <c r="AD592" s="97"/>
      <c r="AE592" s="97"/>
      <c r="AF592" s="97"/>
      <c r="AG592" s="97"/>
      <c r="AH592" s="97"/>
      <c r="AI592" s="97"/>
      <c r="AK592" s="97"/>
      <c r="AL592" s="97"/>
      <c r="AM592" s="97"/>
      <c r="AN592" s="97"/>
    </row>
    <row r="593" spans="24:40" ht="24.75" customHeight="1" x14ac:dyDescent="0.35">
      <c r="X593" s="97"/>
      <c r="Y593" s="97"/>
      <c r="Z593" s="97"/>
      <c r="AA593" s="97"/>
      <c r="AB593" s="97"/>
      <c r="AC593" s="97"/>
      <c r="AD593" s="97"/>
      <c r="AE593" s="97"/>
      <c r="AF593" s="97"/>
      <c r="AG593" s="97"/>
      <c r="AH593" s="97"/>
      <c r="AI593" s="97"/>
      <c r="AK593" s="97"/>
      <c r="AL593" s="97"/>
      <c r="AM593" s="97"/>
      <c r="AN593" s="97"/>
    </row>
    <row r="594" spans="24:40" ht="24.75" customHeight="1" x14ac:dyDescent="0.35">
      <c r="X594" s="97"/>
      <c r="Y594" s="97"/>
      <c r="Z594" s="97"/>
      <c r="AA594" s="97"/>
      <c r="AB594" s="97"/>
      <c r="AC594" s="97"/>
      <c r="AD594" s="97"/>
      <c r="AE594" s="97"/>
      <c r="AF594" s="97"/>
      <c r="AG594" s="97"/>
      <c r="AH594" s="97"/>
      <c r="AI594" s="97"/>
      <c r="AK594" s="97"/>
      <c r="AL594" s="97"/>
      <c r="AM594" s="97"/>
      <c r="AN594" s="97"/>
    </row>
    <row r="595" spans="24:40" ht="24.75" customHeight="1" x14ac:dyDescent="0.35">
      <c r="X595" s="97"/>
      <c r="Y595" s="97"/>
      <c r="Z595" s="97"/>
      <c r="AA595" s="97"/>
      <c r="AB595" s="97"/>
      <c r="AC595" s="97"/>
      <c r="AD595" s="97"/>
      <c r="AE595" s="97"/>
      <c r="AF595" s="97"/>
      <c r="AG595" s="97"/>
      <c r="AH595" s="97"/>
      <c r="AI595" s="97"/>
      <c r="AK595" s="97"/>
      <c r="AL595" s="97"/>
      <c r="AM595" s="97"/>
      <c r="AN595" s="97"/>
    </row>
    <row r="596" spans="24:40" ht="24.75" customHeight="1" x14ac:dyDescent="0.35">
      <c r="X596" s="97"/>
      <c r="Y596" s="97"/>
      <c r="Z596" s="97"/>
      <c r="AA596" s="97"/>
      <c r="AB596" s="97"/>
      <c r="AC596" s="97"/>
      <c r="AD596" s="97"/>
      <c r="AE596" s="97"/>
      <c r="AF596" s="97"/>
      <c r="AG596" s="97"/>
      <c r="AH596" s="97"/>
      <c r="AI596" s="97"/>
      <c r="AK596" s="97"/>
      <c r="AL596" s="97"/>
      <c r="AM596" s="97"/>
      <c r="AN596" s="97"/>
    </row>
    <row r="597" spans="24:40" ht="24.75" customHeight="1" x14ac:dyDescent="0.35">
      <c r="X597" s="97"/>
      <c r="Y597" s="97"/>
      <c r="Z597" s="97"/>
      <c r="AA597" s="97"/>
      <c r="AB597" s="97"/>
      <c r="AC597" s="97"/>
      <c r="AD597" s="97"/>
      <c r="AE597" s="97"/>
      <c r="AF597" s="97"/>
      <c r="AG597" s="97"/>
      <c r="AH597" s="97"/>
      <c r="AI597" s="97"/>
      <c r="AK597" s="97"/>
      <c r="AL597" s="97"/>
      <c r="AM597" s="97"/>
      <c r="AN597" s="97"/>
    </row>
    <row r="598" spans="24:40" ht="24.75" customHeight="1" x14ac:dyDescent="0.35">
      <c r="X598" s="97"/>
      <c r="Y598" s="97"/>
      <c r="Z598" s="97"/>
      <c r="AA598" s="97"/>
      <c r="AB598" s="97"/>
      <c r="AC598" s="97"/>
      <c r="AD598" s="97"/>
      <c r="AE598" s="97"/>
      <c r="AF598" s="97"/>
      <c r="AG598" s="97"/>
      <c r="AH598" s="97"/>
      <c r="AI598" s="97"/>
      <c r="AK598" s="97"/>
      <c r="AL598" s="97"/>
      <c r="AM598" s="97"/>
      <c r="AN598" s="97"/>
    </row>
    <row r="599" spans="24:40" ht="24.75" customHeight="1" x14ac:dyDescent="0.35">
      <c r="X599" s="97"/>
      <c r="Y599" s="97"/>
      <c r="Z599" s="97"/>
      <c r="AA599" s="97"/>
      <c r="AB599" s="97"/>
      <c r="AC599" s="97"/>
      <c r="AD599" s="97"/>
      <c r="AE599" s="97"/>
      <c r="AF599" s="97"/>
      <c r="AG599" s="97"/>
      <c r="AH599" s="97"/>
      <c r="AI599" s="97"/>
      <c r="AK599" s="97"/>
      <c r="AL599" s="97"/>
      <c r="AM599" s="97"/>
      <c r="AN599" s="97"/>
    </row>
    <row r="600" spans="24:40" ht="24.75" customHeight="1" x14ac:dyDescent="0.35">
      <c r="X600" s="97"/>
      <c r="Y600" s="97"/>
      <c r="Z600" s="97"/>
      <c r="AA600" s="97"/>
      <c r="AB600" s="97"/>
      <c r="AC600" s="97"/>
      <c r="AD600" s="97"/>
      <c r="AE600" s="97"/>
      <c r="AF600" s="97"/>
      <c r="AG600" s="97"/>
      <c r="AH600" s="97"/>
      <c r="AI600" s="97"/>
      <c r="AK600" s="97"/>
      <c r="AL600" s="97"/>
      <c r="AM600" s="97"/>
      <c r="AN600" s="97"/>
    </row>
    <row r="601" spans="24:40" ht="24.75" customHeight="1" x14ac:dyDescent="0.35">
      <c r="X601" s="97"/>
      <c r="Y601" s="97"/>
      <c r="Z601" s="97"/>
      <c r="AA601" s="97"/>
      <c r="AB601" s="97"/>
      <c r="AC601" s="97"/>
      <c r="AD601" s="97"/>
      <c r="AE601" s="97"/>
      <c r="AF601" s="97"/>
      <c r="AG601" s="97"/>
      <c r="AH601" s="97"/>
      <c r="AI601" s="97"/>
      <c r="AK601" s="97"/>
      <c r="AL601" s="97"/>
      <c r="AM601" s="97"/>
      <c r="AN601" s="97"/>
    </row>
    <row r="602" spans="24:40" ht="24.75" customHeight="1" x14ac:dyDescent="0.35">
      <c r="X602" s="97"/>
      <c r="Y602" s="97"/>
      <c r="Z602" s="97"/>
      <c r="AA602" s="97"/>
      <c r="AB602" s="97"/>
      <c r="AC602" s="97"/>
      <c r="AD602" s="97"/>
      <c r="AE602" s="97"/>
      <c r="AF602" s="97"/>
      <c r="AG602" s="97"/>
      <c r="AH602" s="97"/>
      <c r="AI602" s="97"/>
      <c r="AK602" s="97"/>
      <c r="AL602" s="97"/>
      <c r="AM602" s="97"/>
      <c r="AN602" s="97"/>
    </row>
    <row r="603" spans="24:40" ht="24.75" customHeight="1" x14ac:dyDescent="0.35">
      <c r="X603" s="97"/>
      <c r="Y603" s="97"/>
      <c r="Z603" s="97"/>
      <c r="AA603" s="97"/>
      <c r="AB603" s="97"/>
      <c r="AC603" s="97"/>
      <c r="AD603" s="97"/>
      <c r="AE603" s="97"/>
      <c r="AF603" s="97"/>
      <c r="AG603" s="97"/>
      <c r="AH603" s="97"/>
      <c r="AI603" s="97"/>
      <c r="AK603" s="97"/>
      <c r="AL603" s="97"/>
      <c r="AM603" s="97"/>
      <c r="AN603" s="97"/>
    </row>
    <row r="604" spans="24:40" ht="24.75" customHeight="1" x14ac:dyDescent="0.35">
      <c r="X604" s="97"/>
      <c r="Y604" s="97"/>
      <c r="Z604" s="97"/>
      <c r="AA604" s="97"/>
      <c r="AB604" s="97"/>
      <c r="AC604" s="97"/>
      <c r="AD604" s="97"/>
      <c r="AE604" s="97"/>
      <c r="AF604" s="97"/>
      <c r="AG604" s="97"/>
      <c r="AH604" s="97"/>
      <c r="AI604" s="97"/>
      <c r="AK604" s="97"/>
      <c r="AL604" s="97"/>
      <c r="AM604" s="97"/>
      <c r="AN604" s="97"/>
    </row>
    <row r="605" spans="24:40" ht="24.75" customHeight="1" x14ac:dyDescent="0.35">
      <c r="X605" s="97"/>
      <c r="Y605" s="97"/>
      <c r="Z605" s="97"/>
      <c r="AA605" s="97"/>
      <c r="AB605" s="97"/>
      <c r="AC605" s="97"/>
      <c r="AD605" s="97"/>
      <c r="AE605" s="97"/>
      <c r="AF605" s="97"/>
      <c r="AG605" s="97"/>
      <c r="AH605" s="97"/>
      <c r="AI605" s="97"/>
      <c r="AK605" s="97"/>
      <c r="AL605" s="97"/>
      <c r="AM605" s="97"/>
      <c r="AN605" s="97"/>
    </row>
    <row r="606" spans="24:40" ht="24.75" customHeight="1" x14ac:dyDescent="0.35">
      <c r="X606" s="97"/>
      <c r="Y606" s="97"/>
      <c r="Z606" s="97"/>
      <c r="AA606" s="97"/>
      <c r="AB606" s="97"/>
      <c r="AC606" s="97"/>
      <c r="AD606" s="97"/>
      <c r="AE606" s="97"/>
      <c r="AF606" s="97"/>
      <c r="AG606" s="97"/>
      <c r="AH606" s="97"/>
      <c r="AI606" s="97"/>
      <c r="AK606" s="97"/>
      <c r="AL606" s="97"/>
      <c r="AM606" s="97"/>
      <c r="AN606" s="97"/>
    </row>
    <row r="607" spans="24:40" ht="24.75" customHeight="1" x14ac:dyDescent="0.35">
      <c r="X607" s="97"/>
      <c r="Y607" s="97"/>
      <c r="Z607" s="97"/>
      <c r="AA607" s="97"/>
      <c r="AB607" s="97"/>
      <c r="AC607" s="97"/>
      <c r="AD607" s="97"/>
      <c r="AE607" s="97"/>
      <c r="AF607" s="97"/>
      <c r="AG607" s="97"/>
      <c r="AH607" s="97"/>
      <c r="AI607" s="97"/>
      <c r="AK607" s="97"/>
      <c r="AL607" s="97"/>
      <c r="AM607" s="97"/>
      <c r="AN607" s="97"/>
    </row>
    <row r="608" spans="24:40" ht="24.75" customHeight="1" x14ac:dyDescent="0.35">
      <c r="X608" s="97"/>
      <c r="Y608" s="97"/>
      <c r="Z608" s="97"/>
      <c r="AA608" s="97"/>
      <c r="AB608" s="97"/>
      <c r="AC608" s="97"/>
      <c r="AD608" s="97"/>
      <c r="AE608" s="97"/>
      <c r="AF608" s="97"/>
      <c r="AG608" s="97"/>
      <c r="AH608" s="97"/>
      <c r="AI608" s="97"/>
      <c r="AK608" s="97"/>
      <c r="AL608" s="97"/>
      <c r="AM608" s="97"/>
      <c r="AN608" s="97"/>
    </row>
    <row r="609" spans="24:40" ht="24.75" customHeight="1" x14ac:dyDescent="0.35">
      <c r="X609" s="97"/>
      <c r="Y609" s="97"/>
      <c r="Z609" s="97"/>
      <c r="AA609" s="97"/>
      <c r="AB609" s="97"/>
      <c r="AC609" s="97"/>
      <c r="AD609" s="97"/>
      <c r="AE609" s="97"/>
      <c r="AF609" s="97"/>
      <c r="AG609" s="97"/>
      <c r="AH609" s="97"/>
      <c r="AI609" s="97"/>
      <c r="AK609" s="97"/>
      <c r="AL609" s="97"/>
      <c r="AM609" s="97"/>
      <c r="AN609" s="97"/>
    </row>
    <row r="610" spans="24:40" ht="24.75" customHeight="1" x14ac:dyDescent="0.35">
      <c r="X610" s="97"/>
      <c r="Y610" s="97"/>
      <c r="Z610" s="97"/>
      <c r="AA610" s="97"/>
      <c r="AB610" s="97"/>
      <c r="AC610" s="97"/>
      <c r="AD610" s="97"/>
      <c r="AE610" s="97"/>
      <c r="AF610" s="97"/>
      <c r="AG610" s="97"/>
      <c r="AH610" s="97"/>
      <c r="AI610" s="97"/>
      <c r="AK610" s="97"/>
      <c r="AL610" s="97"/>
      <c r="AM610" s="97"/>
      <c r="AN610" s="97"/>
    </row>
    <row r="611" spans="24:40" ht="24.75" customHeight="1" x14ac:dyDescent="0.35">
      <c r="X611" s="97"/>
      <c r="Y611" s="97"/>
      <c r="Z611" s="97"/>
      <c r="AA611" s="97"/>
      <c r="AB611" s="97"/>
      <c r="AC611" s="97"/>
      <c r="AD611" s="97"/>
      <c r="AE611" s="97"/>
      <c r="AF611" s="97"/>
      <c r="AG611" s="97"/>
      <c r="AH611" s="97"/>
      <c r="AI611" s="97"/>
      <c r="AK611" s="97"/>
      <c r="AL611" s="97"/>
      <c r="AM611" s="97"/>
      <c r="AN611" s="97"/>
    </row>
    <row r="612" spans="24:40" ht="24.75" customHeight="1" x14ac:dyDescent="0.35">
      <c r="X612" s="97"/>
      <c r="Y612" s="97"/>
      <c r="Z612" s="97"/>
      <c r="AA612" s="97"/>
      <c r="AB612" s="97"/>
      <c r="AC612" s="97"/>
      <c r="AD612" s="97"/>
      <c r="AE612" s="97"/>
      <c r="AF612" s="97"/>
      <c r="AG612" s="97"/>
      <c r="AH612" s="97"/>
      <c r="AI612" s="97"/>
      <c r="AK612" s="97"/>
      <c r="AL612" s="97"/>
      <c r="AM612" s="97"/>
      <c r="AN612" s="97"/>
    </row>
    <row r="613" spans="24:40" ht="24.75" customHeight="1" x14ac:dyDescent="0.35">
      <c r="X613" s="97"/>
      <c r="Y613" s="97"/>
      <c r="Z613" s="97"/>
      <c r="AA613" s="97"/>
      <c r="AB613" s="97"/>
      <c r="AC613" s="97"/>
      <c r="AD613" s="97"/>
      <c r="AE613" s="97"/>
      <c r="AF613" s="97"/>
      <c r="AG613" s="97"/>
      <c r="AH613" s="97"/>
      <c r="AI613" s="97"/>
      <c r="AK613" s="97"/>
      <c r="AL613" s="97"/>
      <c r="AM613" s="97"/>
      <c r="AN613" s="97"/>
    </row>
    <row r="614" spans="24:40" ht="24.75" customHeight="1" x14ac:dyDescent="0.35">
      <c r="X614" s="97"/>
      <c r="Y614" s="97"/>
      <c r="Z614" s="97"/>
      <c r="AA614" s="97"/>
      <c r="AB614" s="97"/>
      <c r="AC614" s="97"/>
      <c r="AD614" s="97"/>
      <c r="AE614" s="97"/>
      <c r="AF614" s="97"/>
      <c r="AG614" s="97"/>
      <c r="AH614" s="97"/>
      <c r="AI614" s="97"/>
      <c r="AK614" s="97"/>
      <c r="AL614" s="97"/>
      <c r="AM614" s="97"/>
      <c r="AN614" s="97"/>
    </row>
    <row r="615" spans="24:40" ht="24.75" customHeight="1" x14ac:dyDescent="0.35">
      <c r="X615" s="97"/>
      <c r="Y615" s="97"/>
      <c r="Z615" s="97"/>
      <c r="AA615" s="97"/>
      <c r="AB615" s="97"/>
      <c r="AC615" s="97"/>
      <c r="AD615" s="97"/>
      <c r="AE615" s="97"/>
      <c r="AF615" s="97"/>
      <c r="AG615" s="97"/>
      <c r="AH615" s="97"/>
      <c r="AI615" s="97"/>
      <c r="AK615" s="97"/>
      <c r="AL615" s="97"/>
      <c r="AM615" s="97"/>
      <c r="AN615" s="97"/>
    </row>
    <row r="616" spans="24:40" ht="24.75" customHeight="1" x14ac:dyDescent="0.35">
      <c r="X616" s="97"/>
      <c r="Y616" s="97"/>
      <c r="Z616" s="97"/>
      <c r="AA616" s="97"/>
      <c r="AB616" s="97"/>
      <c r="AC616" s="97"/>
      <c r="AD616" s="97"/>
      <c r="AE616" s="97"/>
      <c r="AF616" s="97"/>
      <c r="AG616" s="97"/>
      <c r="AH616" s="97"/>
      <c r="AI616" s="97"/>
      <c r="AK616" s="97"/>
      <c r="AL616" s="97"/>
      <c r="AM616" s="97"/>
      <c r="AN616" s="97"/>
    </row>
    <row r="617" spans="24:40" ht="24.75" customHeight="1" x14ac:dyDescent="0.35">
      <c r="X617" s="97"/>
      <c r="Y617" s="97"/>
      <c r="Z617" s="97"/>
      <c r="AA617" s="97"/>
      <c r="AB617" s="97"/>
      <c r="AC617" s="97"/>
      <c r="AD617" s="97"/>
      <c r="AE617" s="97"/>
      <c r="AF617" s="97"/>
      <c r="AG617" s="97"/>
      <c r="AH617" s="97"/>
      <c r="AI617" s="97"/>
      <c r="AK617" s="97"/>
      <c r="AL617" s="97"/>
      <c r="AM617" s="97"/>
      <c r="AN617" s="97"/>
    </row>
    <row r="618" spans="24:40" ht="24.75" customHeight="1" x14ac:dyDescent="0.35">
      <c r="X618" s="97"/>
      <c r="Y618" s="97"/>
      <c r="Z618" s="97"/>
      <c r="AA618" s="97"/>
      <c r="AB618" s="97"/>
      <c r="AC618" s="97"/>
      <c r="AD618" s="97"/>
      <c r="AE618" s="97"/>
      <c r="AF618" s="97"/>
      <c r="AG618" s="97"/>
      <c r="AH618" s="97"/>
      <c r="AI618" s="97"/>
      <c r="AK618" s="97"/>
      <c r="AL618" s="97"/>
      <c r="AM618" s="97"/>
      <c r="AN618" s="97"/>
    </row>
    <row r="619" spans="24:40" ht="24.75" customHeight="1" x14ac:dyDescent="0.35">
      <c r="X619" s="97"/>
      <c r="Y619" s="97"/>
      <c r="Z619" s="97"/>
      <c r="AA619" s="97"/>
      <c r="AB619" s="97"/>
      <c r="AC619" s="97"/>
      <c r="AD619" s="97"/>
      <c r="AE619" s="97"/>
      <c r="AF619" s="97"/>
      <c r="AG619" s="97"/>
      <c r="AH619" s="97"/>
      <c r="AI619" s="97"/>
      <c r="AK619" s="97"/>
      <c r="AL619" s="97"/>
      <c r="AM619" s="97"/>
      <c r="AN619" s="97"/>
    </row>
    <row r="620" spans="24:40" ht="24.75" customHeight="1" x14ac:dyDescent="0.35">
      <c r="X620" s="97"/>
      <c r="Y620" s="97"/>
      <c r="Z620" s="97"/>
      <c r="AA620" s="97"/>
      <c r="AB620" s="97"/>
      <c r="AC620" s="97"/>
      <c r="AD620" s="97"/>
      <c r="AE620" s="97"/>
      <c r="AF620" s="97"/>
      <c r="AG620" s="97"/>
      <c r="AH620" s="97"/>
      <c r="AI620" s="97"/>
      <c r="AK620" s="97"/>
      <c r="AL620" s="97"/>
      <c r="AM620" s="97"/>
      <c r="AN620" s="97"/>
    </row>
    <row r="621" spans="24:40" ht="24.75" customHeight="1" x14ac:dyDescent="0.35">
      <c r="X621" s="97"/>
      <c r="Y621" s="97"/>
      <c r="Z621" s="97"/>
      <c r="AA621" s="97"/>
      <c r="AB621" s="97"/>
      <c r="AC621" s="97"/>
      <c r="AD621" s="97"/>
      <c r="AE621" s="97"/>
      <c r="AF621" s="97"/>
      <c r="AG621" s="97"/>
      <c r="AH621" s="97"/>
      <c r="AI621" s="97"/>
      <c r="AK621" s="97"/>
      <c r="AL621" s="97"/>
      <c r="AM621" s="97"/>
      <c r="AN621" s="97"/>
    </row>
    <row r="622" spans="24:40" ht="24.75" customHeight="1" x14ac:dyDescent="0.35">
      <c r="X622" s="97"/>
      <c r="Y622" s="97"/>
      <c r="Z622" s="97"/>
      <c r="AA622" s="97"/>
      <c r="AB622" s="97"/>
      <c r="AC622" s="97"/>
      <c r="AD622" s="97"/>
      <c r="AE622" s="97"/>
      <c r="AF622" s="97"/>
      <c r="AG622" s="97"/>
      <c r="AH622" s="97"/>
      <c r="AI622" s="97"/>
      <c r="AK622" s="97"/>
      <c r="AL622" s="97"/>
      <c r="AM622" s="97"/>
      <c r="AN622" s="97"/>
    </row>
    <row r="623" spans="24:40" ht="24.75" customHeight="1" x14ac:dyDescent="0.35">
      <c r="X623" s="97"/>
      <c r="Y623" s="97"/>
      <c r="Z623" s="97"/>
      <c r="AA623" s="97"/>
      <c r="AB623" s="97"/>
      <c r="AC623" s="97"/>
      <c r="AD623" s="97"/>
      <c r="AE623" s="97"/>
      <c r="AF623" s="97"/>
      <c r="AG623" s="97"/>
      <c r="AH623" s="97"/>
      <c r="AI623" s="97"/>
      <c r="AK623" s="97"/>
      <c r="AL623" s="97"/>
      <c r="AM623" s="97"/>
      <c r="AN623" s="97"/>
    </row>
    <row r="624" spans="24:40" ht="24.75" customHeight="1" x14ac:dyDescent="0.35">
      <c r="X624" s="97"/>
      <c r="Y624" s="97"/>
      <c r="Z624" s="97"/>
      <c r="AA624" s="97"/>
      <c r="AB624" s="97"/>
      <c r="AC624" s="97"/>
      <c r="AD624" s="97"/>
      <c r="AE624" s="97"/>
      <c r="AF624" s="97"/>
      <c r="AG624" s="97"/>
      <c r="AH624" s="97"/>
      <c r="AI624" s="97"/>
      <c r="AK624" s="97"/>
      <c r="AL624" s="97"/>
      <c r="AM624" s="97"/>
      <c r="AN624" s="97"/>
    </row>
    <row r="625" spans="24:40" ht="24.75" customHeight="1" x14ac:dyDescent="0.35">
      <c r="X625" s="97"/>
      <c r="Y625" s="97"/>
      <c r="Z625" s="97"/>
      <c r="AA625" s="97"/>
      <c r="AB625" s="97"/>
      <c r="AC625" s="97"/>
      <c r="AD625" s="97"/>
      <c r="AE625" s="97"/>
      <c r="AF625" s="97"/>
      <c r="AG625" s="97"/>
      <c r="AH625" s="97"/>
      <c r="AI625" s="97"/>
      <c r="AK625" s="97"/>
      <c r="AL625" s="97"/>
      <c r="AM625" s="97"/>
      <c r="AN625" s="97"/>
    </row>
    <row r="626" spans="24:40" ht="24.75" customHeight="1" x14ac:dyDescent="0.35">
      <c r="X626" s="97"/>
      <c r="Y626" s="97"/>
      <c r="Z626" s="97"/>
      <c r="AA626" s="97"/>
      <c r="AB626" s="97"/>
      <c r="AC626" s="97"/>
      <c r="AD626" s="97"/>
      <c r="AE626" s="97"/>
      <c r="AF626" s="97"/>
      <c r="AG626" s="97"/>
      <c r="AH626" s="97"/>
      <c r="AI626" s="97"/>
      <c r="AK626" s="97"/>
      <c r="AL626" s="97"/>
      <c r="AM626" s="97"/>
      <c r="AN626" s="97"/>
    </row>
    <row r="627" spans="24:40" ht="24.75" customHeight="1" x14ac:dyDescent="0.35">
      <c r="X627" s="97"/>
      <c r="Y627" s="97"/>
      <c r="Z627" s="97"/>
      <c r="AA627" s="97"/>
      <c r="AB627" s="97"/>
      <c r="AC627" s="97"/>
      <c r="AD627" s="97"/>
      <c r="AE627" s="97"/>
      <c r="AF627" s="97"/>
      <c r="AG627" s="97"/>
      <c r="AH627" s="97"/>
      <c r="AI627" s="97"/>
      <c r="AK627" s="97"/>
      <c r="AL627" s="97"/>
      <c r="AM627" s="97"/>
      <c r="AN627" s="97"/>
    </row>
    <row r="628" spans="24:40" ht="24.75" customHeight="1" x14ac:dyDescent="0.35">
      <c r="X628" s="97"/>
      <c r="Y628" s="97"/>
      <c r="Z628" s="97"/>
      <c r="AA628" s="97"/>
      <c r="AB628" s="97"/>
      <c r="AC628" s="97"/>
      <c r="AD628" s="97"/>
      <c r="AE628" s="97"/>
      <c r="AF628" s="97"/>
      <c r="AG628" s="97"/>
      <c r="AH628" s="97"/>
      <c r="AI628" s="97"/>
      <c r="AK628" s="97"/>
      <c r="AL628" s="97"/>
      <c r="AM628" s="97"/>
      <c r="AN628" s="97"/>
    </row>
    <row r="629" spans="24:40" ht="24.75" customHeight="1" x14ac:dyDescent="0.35">
      <c r="X629" s="97"/>
      <c r="Y629" s="97"/>
      <c r="Z629" s="97"/>
      <c r="AA629" s="97"/>
      <c r="AB629" s="97"/>
      <c r="AC629" s="97"/>
      <c r="AD629" s="97"/>
      <c r="AE629" s="97"/>
      <c r="AF629" s="97"/>
      <c r="AG629" s="97"/>
      <c r="AH629" s="97"/>
      <c r="AI629" s="97"/>
      <c r="AK629" s="97"/>
      <c r="AL629" s="97"/>
      <c r="AM629" s="97"/>
      <c r="AN629" s="97"/>
    </row>
    <row r="630" spans="24:40" ht="24.75" customHeight="1" x14ac:dyDescent="0.35">
      <c r="X630" s="97"/>
      <c r="Y630" s="97"/>
      <c r="Z630" s="97"/>
      <c r="AA630" s="97"/>
      <c r="AB630" s="97"/>
      <c r="AC630" s="97"/>
      <c r="AD630" s="97"/>
      <c r="AE630" s="97"/>
      <c r="AF630" s="97"/>
      <c r="AG630" s="97"/>
      <c r="AH630" s="97"/>
      <c r="AI630" s="97"/>
      <c r="AK630" s="97"/>
      <c r="AL630" s="97"/>
      <c r="AM630" s="97"/>
      <c r="AN630" s="97"/>
    </row>
    <row r="631" spans="24:40" ht="24.75" customHeight="1" x14ac:dyDescent="0.35">
      <c r="X631" s="97"/>
      <c r="Y631" s="97"/>
      <c r="Z631" s="97"/>
      <c r="AA631" s="97"/>
      <c r="AB631" s="97"/>
      <c r="AC631" s="97"/>
      <c r="AD631" s="97"/>
      <c r="AE631" s="97"/>
      <c r="AF631" s="97"/>
      <c r="AG631" s="97"/>
      <c r="AH631" s="97"/>
      <c r="AI631" s="97"/>
      <c r="AK631" s="97"/>
      <c r="AL631" s="97"/>
      <c r="AM631" s="97"/>
      <c r="AN631" s="97"/>
    </row>
    <row r="632" spans="24:40" ht="24.75" customHeight="1" x14ac:dyDescent="0.35">
      <c r="X632" s="97"/>
      <c r="Y632" s="97"/>
      <c r="Z632" s="97"/>
      <c r="AA632" s="97"/>
      <c r="AB632" s="97"/>
      <c r="AC632" s="97"/>
      <c r="AD632" s="97"/>
      <c r="AE632" s="97"/>
      <c r="AF632" s="97"/>
      <c r="AG632" s="97"/>
      <c r="AH632" s="97"/>
      <c r="AI632" s="97"/>
      <c r="AK632" s="97"/>
      <c r="AL632" s="97"/>
      <c r="AM632" s="97"/>
      <c r="AN632" s="97"/>
    </row>
    <row r="633" spans="24:40" ht="24.75" customHeight="1" x14ac:dyDescent="0.35">
      <c r="X633" s="97"/>
      <c r="Y633" s="97"/>
      <c r="Z633" s="97"/>
      <c r="AA633" s="97"/>
      <c r="AB633" s="97"/>
      <c r="AC633" s="97"/>
      <c r="AD633" s="97"/>
      <c r="AE633" s="97"/>
      <c r="AF633" s="97"/>
      <c r="AG633" s="97"/>
      <c r="AH633" s="97"/>
      <c r="AI633" s="97"/>
      <c r="AK633" s="97"/>
      <c r="AL633" s="97"/>
      <c r="AM633" s="97"/>
      <c r="AN633" s="97"/>
    </row>
    <row r="634" spans="24:40" ht="24.75" customHeight="1" x14ac:dyDescent="0.35">
      <c r="X634" s="97"/>
      <c r="Y634" s="97"/>
      <c r="Z634" s="97"/>
      <c r="AA634" s="97"/>
      <c r="AB634" s="97"/>
      <c r="AC634" s="97"/>
      <c r="AD634" s="97"/>
      <c r="AE634" s="97"/>
      <c r="AF634" s="97"/>
      <c r="AG634" s="97"/>
      <c r="AH634" s="97"/>
      <c r="AI634" s="97"/>
      <c r="AK634" s="97"/>
      <c r="AL634" s="97"/>
      <c r="AM634" s="97"/>
      <c r="AN634" s="97"/>
    </row>
    <row r="635" spans="24:40" ht="24.75" customHeight="1" x14ac:dyDescent="0.35">
      <c r="X635" s="97"/>
      <c r="Y635" s="97"/>
      <c r="Z635" s="97"/>
      <c r="AA635" s="97"/>
      <c r="AB635" s="97"/>
      <c r="AC635" s="97"/>
      <c r="AD635" s="97"/>
      <c r="AE635" s="97"/>
      <c r="AF635" s="97"/>
      <c r="AG635" s="97"/>
      <c r="AH635" s="97"/>
      <c r="AI635" s="97"/>
      <c r="AK635" s="97"/>
      <c r="AL635" s="97"/>
      <c r="AM635" s="97"/>
      <c r="AN635" s="97"/>
    </row>
    <row r="636" spans="24:40" ht="24.75" customHeight="1" x14ac:dyDescent="0.35">
      <c r="X636" s="97"/>
      <c r="Y636" s="97"/>
      <c r="Z636" s="97"/>
      <c r="AA636" s="97"/>
      <c r="AB636" s="97"/>
      <c r="AC636" s="97"/>
      <c r="AD636" s="97"/>
      <c r="AE636" s="97"/>
      <c r="AF636" s="97"/>
      <c r="AG636" s="97"/>
      <c r="AH636" s="97"/>
      <c r="AI636" s="97"/>
      <c r="AK636" s="97"/>
      <c r="AL636" s="97"/>
      <c r="AM636" s="97"/>
      <c r="AN636" s="97"/>
    </row>
    <row r="637" spans="24:40" ht="24.75" customHeight="1" x14ac:dyDescent="0.35">
      <c r="X637" s="97"/>
      <c r="Y637" s="97"/>
      <c r="Z637" s="97"/>
      <c r="AA637" s="97"/>
      <c r="AB637" s="97"/>
      <c r="AC637" s="97"/>
      <c r="AD637" s="97"/>
      <c r="AE637" s="97"/>
      <c r="AF637" s="97"/>
      <c r="AG637" s="97"/>
      <c r="AH637" s="97"/>
      <c r="AI637" s="97"/>
      <c r="AK637" s="97"/>
      <c r="AL637" s="97"/>
      <c r="AM637" s="97"/>
      <c r="AN637" s="97"/>
    </row>
    <row r="638" spans="24:40" ht="24.75" customHeight="1" x14ac:dyDescent="0.35">
      <c r="X638" s="97"/>
      <c r="Y638" s="97"/>
      <c r="Z638" s="97"/>
      <c r="AA638" s="97"/>
      <c r="AB638" s="97"/>
      <c r="AC638" s="97"/>
      <c r="AD638" s="97"/>
      <c r="AE638" s="97"/>
      <c r="AF638" s="97"/>
      <c r="AG638" s="97"/>
      <c r="AH638" s="97"/>
      <c r="AI638" s="97"/>
      <c r="AK638" s="97"/>
      <c r="AL638" s="97"/>
      <c r="AM638" s="97"/>
      <c r="AN638" s="97"/>
    </row>
    <row r="639" spans="24:40" ht="24.75" customHeight="1" x14ac:dyDescent="0.35">
      <c r="X639" s="97"/>
      <c r="Y639" s="97"/>
      <c r="Z639" s="97"/>
      <c r="AA639" s="97"/>
      <c r="AB639" s="97"/>
      <c r="AC639" s="97"/>
      <c r="AD639" s="97"/>
      <c r="AE639" s="97"/>
      <c r="AF639" s="97"/>
      <c r="AG639" s="97"/>
      <c r="AH639" s="97"/>
      <c r="AI639" s="97"/>
      <c r="AK639" s="97"/>
      <c r="AL639" s="97"/>
      <c r="AM639" s="97"/>
      <c r="AN639" s="97"/>
    </row>
    <row r="640" spans="24:40" ht="24.75" customHeight="1" x14ac:dyDescent="0.35">
      <c r="X640" s="97"/>
      <c r="Y640" s="97"/>
      <c r="Z640" s="97"/>
      <c r="AA640" s="97"/>
      <c r="AB640" s="97"/>
      <c r="AC640" s="97"/>
      <c r="AD640" s="97"/>
      <c r="AE640" s="97"/>
      <c r="AF640" s="97"/>
      <c r="AG640" s="97"/>
      <c r="AH640" s="97"/>
      <c r="AI640" s="97"/>
      <c r="AK640" s="97"/>
      <c r="AL640" s="97"/>
      <c r="AM640" s="97"/>
      <c r="AN640" s="97"/>
    </row>
    <row r="641" spans="24:40" ht="24.75" customHeight="1" x14ac:dyDescent="0.35">
      <c r="X641" s="97"/>
      <c r="Y641" s="97"/>
      <c r="Z641" s="97"/>
      <c r="AA641" s="97"/>
      <c r="AB641" s="97"/>
      <c r="AC641" s="97"/>
      <c r="AD641" s="97"/>
      <c r="AE641" s="97"/>
      <c r="AF641" s="97"/>
      <c r="AG641" s="97"/>
      <c r="AH641" s="97"/>
      <c r="AI641" s="97"/>
      <c r="AK641" s="97"/>
      <c r="AL641" s="97"/>
      <c r="AM641" s="97"/>
      <c r="AN641" s="97"/>
    </row>
    <row r="642" spans="24:40" ht="24.75" customHeight="1" x14ac:dyDescent="0.35">
      <c r="X642" s="97"/>
      <c r="Y642" s="97"/>
      <c r="Z642" s="97"/>
      <c r="AA642" s="97"/>
      <c r="AB642" s="97"/>
      <c r="AC642" s="97"/>
      <c r="AD642" s="97"/>
      <c r="AE642" s="97"/>
      <c r="AF642" s="97"/>
      <c r="AG642" s="97"/>
      <c r="AH642" s="97"/>
      <c r="AI642" s="97"/>
      <c r="AK642" s="97"/>
      <c r="AL642" s="97"/>
      <c r="AM642" s="97"/>
      <c r="AN642" s="97"/>
    </row>
    <row r="643" spans="24:40" ht="24.75" customHeight="1" x14ac:dyDescent="0.35">
      <c r="X643" s="97"/>
      <c r="Y643" s="97"/>
      <c r="Z643" s="97"/>
      <c r="AA643" s="97"/>
      <c r="AB643" s="97"/>
      <c r="AC643" s="97"/>
      <c r="AD643" s="97"/>
      <c r="AE643" s="97"/>
      <c r="AF643" s="97"/>
      <c r="AG643" s="97"/>
      <c r="AH643" s="97"/>
      <c r="AI643" s="97"/>
      <c r="AK643" s="97"/>
      <c r="AL643" s="97"/>
      <c r="AM643" s="97"/>
      <c r="AN643" s="97"/>
    </row>
    <row r="644" spans="24:40" ht="24.75" customHeight="1" x14ac:dyDescent="0.35">
      <c r="X644" s="97"/>
      <c r="Y644" s="97"/>
      <c r="Z644" s="97"/>
      <c r="AA644" s="97"/>
      <c r="AB644" s="97"/>
      <c r="AC644" s="97"/>
      <c r="AD644" s="97"/>
      <c r="AE644" s="97"/>
      <c r="AF644" s="97"/>
      <c r="AG644" s="97"/>
      <c r="AH644" s="97"/>
      <c r="AI644" s="97"/>
      <c r="AK644" s="97"/>
      <c r="AL644" s="97"/>
      <c r="AM644" s="97"/>
      <c r="AN644" s="97"/>
    </row>
    <row r="645" spans="24:40" ht="24.75" customHeight="1" x14ac:dyDescent="0.35">
      <c r="X645" s="97"/>
      <c r="Y645" s="97"/>
      <c r="Z645" s="97"/>
      <c r="AA645" s="97"/>
      <c r="AB645" s="97"/>
      <c r="AC645" s="97"/>
      <c r="AD645" s="97"/>
      <c r="AE645" s="97"/>
      <c r="AF645" s="97"/>
      <c r="AG645" s="97"/>
      <c r="AH645" s="97"/>
      <c r="AI645" s="97"/>
      <c r="AK645" s="97"/>
      <c r="AL645" s="97"/>
      <c r="AM645" s="97"/>
      <c r="AN645" s="97"/>
    </row>
    <row r="646" spans="24:40" ht="24.75" customHeight="1" x14ac:dyDescent="0.35">
      <c r="X646" s="97"/>
      <c r="Y646" s="97"/>
      <c r="Z646" s="97"/>
      <c r="AA646" s="97"/>
      <c r="AB646" s="97"/>
      <c r="AC646" s="97"/>
      <c r="AD646" s="97"/>
      <c r="AE646" s="97"/>
      <c r="AF646" s="97"/>
      <c r="AG646" s="97"/>
      <c r="AH646" s="97"/>
      <c r="AI646" s="97"/>
      <c r="AK646" s="97"/>
      <c r="AL646" s="97"/>
      <c r="AM646" s="97"/>
      <c r="AN646" s="97"/>
    </row>
    <row r="647" spans="24:40" ht="24.75" customHeight="1" x14ac:dyDescent="0.35">
      <c r="X647" s="97"/>
      <c r="Y647" s="97"/>
      <c r="Z647" s="97"/>
      <c r="AA647" s="97"/>
      <c r="AB647" s="97"/>
      <c r="AC647" s="97"/>
      <c r="AD647" s="97"/>
      <c r="AE647" s="97"/>
      <c r="AF647" s="97"/>
      <c r="AG647" s="97"/>
      <c r="AH647" s="97"/>
      <c r="AI647" s="97"/>
      <c r="AK647" s="97"/>
      <c r="AL647" s="97"/>
      <c r="AM647" s="97"/>
      <c r="AN647" s="97"/>
    </row>
    <row r="648" spans="24:40" ht="24.75" customHeight="1" x14ac:dyDescent="0.35">
      <c r="X648" s="97"/>
      <c r="Y648" s="97"/>
      <c r="Z648" s="97"/>
      <c r="AA648" s="97"/>
      <c r="AB648" s="97"/>
      <c r="AC648" s="97"/>
      <c r="AD648" s="97"/>
      <c r="AE648" s="97"/>
      <c r="AF648" s="97"/>
      <c r="AG648" s="97"/>
      <c r="AH648" s="97"/>
      <c r="AI648" s="97"/>
      <c r="AK648" s="97"/>
      <c r="AL648" s="97"/>
      <c r="AM648" s="97"/>
      <c r="AN648" s="97"/>
    </row>
    <row r="649" spans="24:40" ht="24.75" customHeight="1" x14ac:dyDescent="0.35">
      <c r="X649" s="97"/>
      <c r="Y649" s="97"/>
      <c r="Z649" s="97"/>
      <c r="AA649" s="97"/>
      <c r="AB649" s="97"/>
      <c r="AC649" s="97"/>
      <c r="AD649" s="97"/>
      <c r="AE649" s="97"/>
      <c r="AF649" s="97"/>
      <c r="AG649" s="97"/>
      <c r="AH649" s="97"/>
      <c r="AI649" s="97"/>
      <c r="AK649" s="97"/>
      <c r="AL649" s="97"/>
      <c r="AM649" s="97"/>
      <c r="AN649" s="97"/>
    </row>
    <row r="650" spans="24:40" ht="24.75" customHeight="1" x14ac:dyDescent="0.35">
      <c r="X650" s="97"/>
      <c r="Y650" s="97"/>
      <c r="Z650" s="97"/>
      <c r="AA650" s="97"/>
      <c r="AB650" s="97"/>
      <c r="AC650" s="97"/>
      <c r="AD650" s="97"/>
      <c r="AE650" s="97"/>
      <c r="AF650" s="97"/>
      <c r="AG650" s="97"/>
      <c r="AH650" s="97"/>
      <c r="AI650" s="97"/>
      <c r="AK650" s="97"/>
      <c r="AL650" s="97"/>
      <c r="AM650" s="97"/>
      <c r="AN650" s="97"/>
    </row>
    <row r="651" spans="24:40" ht="24.75" customHeight="1" x14ac:dyDescent="0.35">
      <c r="X651" s="97"/>
      <c r="Y651" s="97"/>
      <c r="Z651" s="97"/>
      <c r="AA651" s="97"/>
      <c r="AB651" s="97"/>
      <c r="AC651" s="97"/>
      <c r="AD651" s="97"/>
      <c r="AE651" s="97"/>
      <c r="AF651" s="97"/>
      <c r="AG651" s="97"/>
      <c r="AH651" s="97"/>
      <c r="AI651" s="97"/>
      <c r="AK651" s="97"/>
      <c r="AL651" s="97"/>
      <c r="AM651" s="97"/>
      <c r="AN651" s="97"/>
    </row>
    <row r="652" spans="24:40" ht="24.75" customHeight="1" x14ac:dyDescent="0.35">
      <c r="X652" s="97"/>
      <c r="Y652" s="97"/>
      <c r="Z652" s="97"/>
      <c r="AA652" s="97"/>
      <c r="AB652" s="97"/>
      <c r="AC652" s="97"/>
      <c r="AD652" s="97"/>
      <c r="AE652" s="97"/>
      <c r="AF652" s="97"/>
      <c r="AG652" s="97"/>
      <c r="AH652" s="97"/>
      <c r="AI652" s="97"/>
      <c r="AK652" s="97"/>
      <c r="AL652" s="97"/>
      <c r="AM652" s="97"/>
      <c r="AN652" s="97"/>
    </row>
    <row r="653" spans="24:40" ht="24.75" customHeight="1" x14ac:dyDescent="0.35">
      <c r="X653" s="97"/>
      <c r="Y653" s="97"/>
      <c r="Z653" s="97"/>
      <c r="AA653" s="97"/>
      <c r="AB653" s="97"/>
      <c r="AC653" s="97"/>
      <c r="AD653" s="97"/>
      <c r="AE653" s="97"/>
      <c r="AF653" s="97"/>
      <c r="AG653" s="97"/>
      <c r="AH653" s="97"/>
      <c r="AI653" s="97"/>
      <c r="AK653" s="97"/>
      <c r="AL653" s="97"/>
      <c r="AM653" s="97"/>
      <c r="AN653" s="97"/>
    </row>
    <row r="654" spans="24:40" ht="24.75" customHeight="1" x14ac:dyDescent="0.35">
      <c r="X654" s="97"/>
      <c r="Y654" s="97"/>
      <c r="Z654" s="97"/>
      <c r="AA654" s="97"/>
      <c r="AB654" s="97"/>
      <c r="AC654" s="97"/>
      <c r="AD654" s="97"/>
      <c r="AE654" s="97"/>
      <c r="AF654" s="97"/>
      <c r="AG654" s="97"/>
      <c r="AH654" s="97"/>
      <c r="AI654" s="97"/>
      <c r="AK654" s="97"/>
      <c r="AL654" s="97"/>
      <c r="AM654" s="97"/>
      <c r="AN654" s="97"/>
    </row>
    <row r="655" spans="24:40" ht="24.75" customHeight="1" x14ac:dyDescent="0.35">
      <c r="X655" s="97"/>
      <c r="Y655" s="97"/>
      <c r="Z655" s="97"/>
      <c r="AA655" s="97"/>
      <c r="AB655" s="97"/>
      <c r="AC655" s="97"/>
      <c r="AD655" s="97"/>
      <c r="AE655" s="97"/>
      <c r="AF655" s="97"/>
      <c r="AG655" s="97"/>
      <c r="AH655" s="97"/>
      <c r="AI655" s="97"/>
      <c r="AK655" s="97"/>
      <c r="AL655" s="97"/>
      <c r="AM655" s="97"/>
      <c r="AN655" s="97"/>
    </row>
    <row r="656" spans="24:40" ht="24.75" customHeight="1" x14ac:dyDescent="0.35">
      <c r="X656" s="97"/>
      <c r="Y656" s="97"/>
      <c r="Z656" s="97"/>
      <c r="AA656" s="97"/>
      <c r="AB656" s="97"/>
      <c r="AC656" s="97"/>
      <c r="AD656" s="97"/>
      <c r="AE656" s="97"/>
      <c r="AF656" s="97"/>
      <c r="AG656" s="97"/>
      <c r="AH656" s="97"/>
      <c r="AI656" s="97"/>
      <c r="AK656" s="97"/>
      <c r="AL656" s="97"/>
      <c r="AM656" s="97"/>
      <c r="AN656" s="97"/>
    </row>
    <row r="657" spans="24:40" ht="24.75" customHeight="1" x14ac:dyDescent="0.35">
      <c r="X657" s="97"/>
      <c r="Y657" s="97"/>
      <c r="Z657" s="97"/>
      <c r="AA657" s="97"/>
      <c r="AB657" s="97"/>
      <c r="AC657" s="97"/>
      <c r="AD657" s="97"/>
      <c r="AE657" s="97"/>
      <c r="AF657" s="97"/>
      <c r="AG657" s="97"/>
      <c r="AH657" s="97"/>
      <c r="AI657" s="97"/>
      <c r="AK657" s="97"/>
      <c r="AL657" s="97"/>
      <c r="AM657" s="97"/>
      <c r="AN657" s="97"/>
    </row>
    <row r="658" spans="24:40" ht="24.75" customHeight="1" x14ac:dyDescent="0.35">
      <c r="X658" s="97"/>
      <c r="Y658" s="97"/>
      <c r="Z658" s="97"/>
      <c r="AA658" s="97"/>
      <c r="AB658" s="97"/>
      <c r="AC658" s="97"/>
      <c r="AD658" s="97"/>
      <c r="AE658" s="97"/>
      <c r="AF658" s="97"/>
      <c r="AG658" s="97"/>
      <c r="AH658" s="97"/>
      <c r="AI658" s="97"/>
      <c r="AK658" s="97"/>
      <c r="AL658" s="97"/>
      <c r="AM658" s="97"/>
      <c r="AN658" s="97"/>
    </row>
    <row r="659" spans="24:40" ht="24.75" customHeight="1" x14ac:dyDescent="0.35">
      <c r="X659" s="97"/>
      <c r="Y659" s="97"/>
      <c r="Z659" s="97"/>
      <c r="AA659" s="97"/>
      <c r="AB659" s="97"/>
      <c r="AC659" s="97"/>
      <c r="AD659" s="97"/>
      <c r="AE659" s="97"/>
      <c r="AF659" s="97"/>
      <c r="AG659" s="97"/>
      <c r="AH659" s="97"/>
      <c r="AI659" s="97"/>
      <c r="AK659" s="97"/>
      <c r="AL659" s="97"/>
      <c r="AM659" s="97"/>
      <c r="AN659" s="97"/>
    </row>
    <row r="660" spans="24:40" ht="24.75" customHeight="1" x14ac:dyDescent="0.35">
      <c r="X660" s="97"/>
      <c r="Y660" s="97"/>
      <c r="Z660" s="97"/>
      <c r="AA660" s="97"/>
      <c r="AB660" s="97"/>
      <c r="AC660" s="97"/>
      <c r="AD660" s="97"/>
      <c r="AE660" s="97"/>
      <c r="AF660" s="97"/>
      <c r="AG660" s="97"/>
      <c r="AH660" s="97"/>
      <c r="AI660" s="97"/>
      <c r="AK660" s="97"/>
      <c r="AL660" s="97"/>
      <c r="AM660" s="97"/>
      <c r="AN660" s="97"/>
    </row>
    <row r="661" spans="24:40" ht="24.75" customHeight="1" x14ac:dyDescent="0.35">
      <c r="X661" s="97"/>
      <c r="Y661" s="97"/>
      <c r="Z661" s="97"/>
      <c r="AA661" s="97"/>
      <c r="AB661" s="97"/>
      <c r="AC661" s="97"/>
      <c r="AD661" s="97"/>
      <c r="AE661" s="97"/>
      <c r="AF661" s="97"/>
      <c r="AG661" s="97"/>
      <c r="AH661" s="97"/>
      <c r="AI661" s="97"/>
      <c r="AK661" s="97"/>
      <c r="AL661" s="97"/>
      <c r="AM661" s="97"/>
      <c r="AN661" s="97"/>
    </row>
    <row r="662" spans="24:40" ht="24.75" customHeight="1" x14ac:dyDescent="0.35">
      <c r="X662" s="97"/>
      <c r="Y662" s="97"/>
      <c r="Z662" s="97"/>
      <c r="AA662" s="97"/>
      <c r="AB662" s="97"/>
      <c r="AC662" s="97"/>
      <c r="AD662" s="97"/>
      <c r="AE662" s="97"/>
      <c r="AF662" s="97"/>
      <c r="AG662" s="97"/>
      <c r="AH662" s="97"/>
      <c r="AI662" s="97"/>
      <c r="AK662" s="97"/>
      <c r="AL662" s="97"/>
      <c r="AM662" s="97"/>
      <c r="AN662" s="97"/>
    </row>
    <row r="663" spans="24:40" ht="24.75" customHeight="1" x14ac:dyDescent="0.35">
      <c r="X663" s="97"/>
      <c r="Y663" s="97"/>
      <c r="Z663" s="97"/>
      <c r="AA663" s="97"/>
      <c r="AB663" s="97"/>
      <c r="AC663" s="97"/>
      <c r="AD663" s="97"/>
      <c r="AE663" s="97"/>
      <c r="AF663" s="97"/>
      <c r="AG663" s="97"/>
      <c r="AH663" s="97"/>
      <c r="AI663" s="97"/>
      <c r="AK663" s="97"/>
      <c r="AL663" s="97"/>
      <c r="AM663" s="97"/>
      <c r="AN663" s="97"/>
    </row>
    <row r="664" spans="24:40" ht="24.75" customHeight="1" x14ac:dyDescent="0.35">
      <c r="X664" s="97"/>
      <c r="Y664" s="97"/>
      <c r="Z664" s="97"/>
      <c r="AA664" s="97"/>
      <c r="AB664" s="97"/>
      <c r="AC664" s="97"/>
      <c r="AD664" s="97"/>
      <c r="AE664" s="97"/>
      <c r="AF664" s="97"/>
      <c r="AG664" s="97"/>
      <c r="AH664" s="97"/>
      <c r="AI664" s="97"/>
      <c r="AK664" s="97"/>
      <c r="AL664" s="97"/>
      <c r="AM664" s="97"/>
      <c r="AN664" s="97"/>
    </row>
    <row r="665" spans="24:40" ht="24.75" customHeight="1" x14ac:dyDescent="0.35">
      <c r="X665" s="97"/>
      <c r="Y665" s="97"/>
      <c r="Z665" s="97"/>
      <c r="AA665" s="97"/>
      <c r="AB665" s="97"/>
      <c r="AC665" s="97"/>
      <c r="AD665" s="97"/>
      <c r="AE665" s="97"/>
      <c r="AF665" s="97"/>
      <c r="AG665" s="97"/>
      <c r="AH665" s="97"/>
      <c r="AI665" s="97"/>
      <c r="AK665" s="97"/>
      <c r="AL665" s="97"/>
      <c r="AM665" s="97"/>
      <c r="AN665" s="97"/>
    </row>
    <row r="666" spans="24:40" ht="24.75" customHeight="1" x14ac:dyDescent="0.35">
      <c r="X666" s="97"/>
      <c r="Y666" s="97"/>
      <c r="Z666" s="97"/>
      <c r="AA666" s="97"/>
      <c r="AB666" s="97"/>
      <c r="AC666" s="97"/>
      <c r="AD666" s="97"/>
      <c r="AE666" s="97"/>
      <c r="AF666" s="97"/>
      <c r="AG666" s="97"/>
      <c r="AH666" s="97"/>
      <c r="AI666" s="97"/>
      <c r="AK666" s="97"/>
      <c r="AL666" s="97"/>
      <c r="AM666" s="97"/>
      <c r="AN666" s="97"/>
    </row>
    <row r="667" spans="24:40" ht="24.75" customHeight="1" x14ac:dyDescent="0.35">
      <c r="X667" s="97"/>
      <c r="Y667" s="97"/>
      <c r="Z667" s="97"/>
      <c r="AA667" s="97"/>
      <c r="AB667" s="97"/>
      <c r="AC667" s="97"/>
      <c r="AD667" s="97"/>
      <c r="AE667" s="97"/>
      <c r="AF667" s="97"/>
      <c r="AG667" s="97"/>
      <c r="AH667" s="97"/>
      <c r="AI667" s="97"/>
      <c r="AK667" s="97"/>
      <c r="AL667" s="97"/>
      <c r="AM667" s="97"/>
      <c r="AN667" s="97"/>
    </row>
    <row r="668" spans="24:40" ht="24.75" customHeight="1" x14ac:dyDescent="0.35">
      <c r="X668" s="97"/>
      <c r="Y668" s="97"/>
      <c r="Z668" s="97"/>
      <c r="AA668" s="97"/>
      <c r="AB668" s="97"/>
      <c r="AC668" s="97"/>
      <c r="AD668" s="97"/>
      <c r="AE668" s="97"/>
      <c r="AF668" s="97"/>
      <c r="AG668" s="97"/>
      <c r="AH668" s="97"/>
      <c r="AI668" s="97"/>
      <c r="AK668" s="97"/>
      <c r="AL668" s="97"/>
      <c r="AM668" s="97"/>
      <c r="AN668" s="97"/>
    </row>
    <row r="669" spans="24:40" ht="24.75" customHeight="1" x14ac:dyDescent="0.35">
      <c r="X669" s="97"/>
      <c r="Y669" s="97"/>
      <c r="Z669" s="97"/>
      <c r="AA669" s="97"/>
      <c r="AB669" s="97"/>
      <c r="AC669" s="97"/>
      <c r="AD669" s="97"/>
      <c r="AE669" s="97"/>
      <c r="AF669" s="97"/>
      <c r="AG669" s="97"/>
      <c r="AH669" s="97"/>
      <c r="AI669" s="97"/>
      <c r="AK669" s="97"/>
      <c r="AL669" s="97"/>
      <c r="AM669" s="97"/>
      <c r="AN669" s="97"/>
    </row>
    <row r="670" spans="24:40" ht="24.75" customHeight="1" x14ac:dyDescent="0.35">
      <c r="X670" s="97"/>
      <c r="Y670" s="97"/>
      <c r="Z670" s="97"/>
      <c r="AA670" s="97"/>
      <c r="AB670" s="97"/>
      <c r="AC670" s="97"/>
      <c r="AD670" s="97"/>
      <c r="AE670" s="97"/>
      <c r="AF670" s="97"/>
      <c r="AG670" s="97"/>
      <c r="AH670" s="97"/>
      <c r="AI670" s="97"/>
      <c r="AK670" s="97"/>
      <c r="AL670" s="97"/>
      <c r="AM670" s="97"/>
      <c r="AN670" s="97"/>
    </row>
    <row r="671" spans="24:40" ht="24.75" customHeight="1" x14ac:dyDescent="0.35">
      <c r="X671" s="97"/>
      <c r="Y671" s="97"/>
      <c r="Z671" s="97"/>
      <c r="AA671" s="97"/>
      <c r="AB671" s="97"/>
      <c r="AC671" s="97"/>
      <c r="AD671" s="97"/>
      <c r="AE671" s="97"/>
      <c r="AF671" s="97"/>
      <c r="AG671" s="97"/>
      <c r="AH671" s="97"/>
      <c r="AI671" s="97"/>
      <c r="AK671" s="97"/>
      <c r="AL671" s="97"/>
      <c r="AM671" s="97"/>
      <c r="AN671" s="97"/>
    </row>
    <row r="672" spans="24:40" ht="24.75" customHeight="1" x14ac:dyDescent="0.35">
      <c r="X672" s="97"/>
      <c r="Y672" s="97"/>
      <c r="Z672" s="97"/>
      <c r="AA672" s="97"/>
      <c r="AB672" s="97"/>
      <c r="AC672" s="97"/>
      <c r="AD672" s="97"/>
      <c r="AE672" s="97"/>
      <c r="AF672" s="97"/>
      <c r="AG672" s="97"/>
      <c r="AH672" s="97"/>
      <c r="AI672" s="97"/>
      <c r="AK672" s="97"/>
      <c r="AL672" s="97"/>
      <c r="AM672" s="97"/>
      <c r="AN672" s="97"/>
    </row>
    <row r="673" spans="24:40" ht="24.75" customHeight="1" x14ac:dyDescent="0.35">
      <c r="X673" s="97"/>
      <c r="Y673" s="97"/>
      <c r="Z673" s="97"/>
      <c r="AA673" s="97"/>
      <c r="AB673" s="97"/>
      <c r="AC673" s="97"/>
      <c r="AD673" s="97"/>
      <c r="AE673" s="97"/>
      <c r="AF673" s="97"/>
      <c r="AG673" s="97"/>
      <c r="AH673" s="97"/>
      <c r="AI673" s="97"/>
      <c r="AK673" s="97"/>
      <c r="AL673" s="97"/>
      <c r="AM673" s="97"/>
      <c r="AN673" s="97"/>
    </row>
    <row r="674" spans="24:40" ht="24.75" customHeight="1" x14ac:dyDescent="0.35">
      <c r="X674" s="97"/>
      <c r="Y674" s="97"/>
      <c r="Z674" s="97"/>
      <c r="AA674" s="97"/>
      <c r="AB674" s="97"/>
      <c r="AC674" s="97"/>
      <c r="AD674" s="97"/>
      <c r="AE674" s="97"/>
      <c r="AF674" s="97"/>
      <c r="AG674" s="97"/>
      <c r="AH674" s="97"/>
      <c r="AI674" s="97"/>
      <c r="AK674" s="97"/>
      <c r="AL674" s="97"/>
      <c r="AM674" s="97"/>
      <c r="AN674" s="97"/>
    </row>
    <row r="675" spans="24:40" ht="24.75" customHeight="1" x14ac:dyDescent="0.35">
      <c r="X675" s="97"/>
      <c r="Y675" s="97"/>
      <c r="Z675" s="97"/>
      <c r="AA675" s="97"/>
      <c r="AB675" s="97"/>
      <c r="AC675" s="97"/>
      <c r="AD675" s="97"/>
      <c r="AE675" s="97"/>
      <c r="AF675" s="97"/>
      <c r="AG675" s="97"/>
      <c r="AH675" s="97"/>
      <c r="AI675" s="97"/>
      <c r="AK675" s="97"/>
      <c r="AL675" s="97"/>
      <c r="AM675" s="97"/>
      <c r="AN675" s="97"/>
    </row>
    <row r="676" spans="24:40" ht="24.75" customHeight="1" x14ac:dyDescent="0.35">
      <c r="X676" s="97"/>
      <c r="Y676" s="97"/>
      <c r="Z676" s="97"/>
      <c r="AA676" s="97"/>
      <c r="AB676" s="97"/>
      <c r="AC676" s="97"/>
      <c r="AD676" s="97"/>
      <c r="AE676" s="97"/>
      <c r="AF676" s="97"/>
      <c r="AG676" s="97"/>
      <c r="AH676" s="97"/>
      <c r="AI676" s="97"/>
      <c r="AK676" s="97"/>
      <c r="AL676" s="97"/>
      <c r="AM676" s="97"/>
      <c r="AN676" s="97"/>
    </row>
    <row r="677" spans="24:40" ht="24.75" customHeight="1" x14ac:dyDescent="0.35">
      <c r="X677" s="97"/>
      <c r="Y677" s="97"/>
      <c r="Z677" s="97"/>
      <c r="AA677" s="97"/>
      <c r="AB677" s="97"/>
      <c r="AC677" s="97"/>
      <c r="AD677" s="97"/>
      <c r="AE677" s="97"/>
      <c r="AF677" s="97"/>
      <c r="AG677" s="97"/>
      <c r="AH677" s="97"/>
      <c r="AI677" s="97"/>
      <c r="AK677" s="97"/>
      <c r="AL677" s="97"/>
      <c r="AM677" s="97"/>
      <c r="AN677" s="97"/>
    </row>
    <row r="678" spans="24:40" ht="24.75" customHeight="1" x14ac:dyDescent="0.35">
      <c r="X678" s="97"/>
      <c r="Y678" s="97"/>
      <c r="Z678" s="97"/>
      <c r="AA678" s="97"/>
      <c r="AB678" s="97"/>
      <c r="AC678" s="97"/>
      <c r="AD678" s="97"/>
      <c r="AE678" s="97"/>
      <c r="AF678" s="97"/>
      <c r="AG678" s="97"/>
      <c r="AH678" s="97"/>
      <c r="AI678" s="97"/>
      <c r="AK678" s="97"/>
      <c r="AL678" s="97"/>
      <c r="AM678" s="97"/>
      <c r="AN678" s="97"/>
    </row>
    <row r="679" spans="24:40" ht="24.75" customHeight="1" x14ac:dyDescent="0.35">
      <c r="X679" s="97"/>
      <c r="Y679" s="97"/>
      <c r="Z679" s="97"/>
      <c r="AA679" s="97"/>
      <c r="AB679" s="97"/>
      <c r="AC679" s="97"/>
      <c r="AD679" s="97"/>
      <c r="AE679" s="97"/>
      <c r="AF679" s="97"/>
      <c r="AG679" s="97"/>
      <c r="AH679" s="97"/>
      <c r="AI679" s="97"/>
      <c r="AK679" s="97"/>
      <c r="AL679" s="97"/>
      <c r="AM679" s="97"/>
      <c r="AN679" s="97"/>
    </row>
    <row r="680" spans="24:40" ht="15" customHeight="1" x14ac:dyDescent="0.35">
      <c r="X680" s="97"/>
      <c r="Y680" s="97"/>
      <c r="Z680" s="97"/>
      <c r="AA680" s="97"/>
      <c r="AB680" s="97"/>
      <c r="AC680" s="97"/>
      <c r="AD680" s="97"/>
      <c r="AE680" s="97"/>
      <c r="AF680" s="97"/>
      <c r="AG680" s="97"/>
      <c r="AH680" s="97"/>
      <c r="AI680" s="97"/>
      <c r="AK680" s="97"/>
      <c r="AL680" s="97"/>
      <c r="AM680" s="97"/>
      <c r="AN680" s="97"/>
    </row>
    <row r="681" spans="24:40" ht="15" customHeight="1" x14ac:dyDescent="0.35">
      <c r="X681" s="97"/>
      <c r="Y681" s="97"/>
      <c r="Z681" s="97"/>
      <c r="AA681" s="97"/>
      <c r="AB681" s="97"/>
      <c r="AC681" s="97"/>
      <c r="AD681" s="97"/>
      <c r="AE681" s="97"/>
      <c r="AF681" s="97"/>
      <c r="AG681" s="97"/>
      <c r="AH681" s="97"/>
      <c r="AI681" s="97"/>
      <c r="AK681" s="97"/>
      <c r="AL681" s="97"/>
      <c r="AM681" s="97"/>
      <c r="AN681" s="97"/>
    </row>
    <row r="682" spans="24:40" ht="15" customHeight="1" x14ac:dyDescent="0.35">
      <c r="X682" s="97"/>
      <c r="Y682" s="97"/>
      <c r="Z682" s="97"/>
      <c r="AA682" s="97"/>
      <c r="AB682" s="97"/>
      <c r="AC682" s="97"/>
      <c r="AD682" s="97"/>
      <c r="AE682" s="97"/>
      <c r="AF682" s="97"/>
      <c r="AG682" s="97"/>
      <c r="AH682" s="97"/>
      <c r="AI682" s="97"/>
      <c r="AK682" s="97"/>
      <c r="AL682" s="97"/>
      <c r="AM682" s="97"/>
      <c r="AN682" s="97"/>
    </row>
    <row r="683" spans="24:40" ht="15" customHeight="1" x14ac:dyDescent="0.35">
      <c r="X683" s="97"/>
      <c r="Y683" s="97"/>
      <c r="Z683" s="97"/>
      <c r="AA683" s="97"/>
      <c r="AB683" s="97"/>
      <c r="AC683" s="97"/>
      <c r="AD683" s="97"/>
      <c r="AE683" s="97"/>
      <c r="AF683" s="97"/>
      <c r="AG683" s="97"/>
      <c r="AH683" s="97"/>
      <c r="AI683" s="97"/>
      <c r="AK683" s="97"/>
      <c r="AL683" s="97"/>
      <c r="AM683" s="97"/>
      <c r="AN683" s="97"/>
    </row>
    <row r="684" spans="24:40" ht="15" customHeight="1" x14ac:dyDescent="0.35">
      <c r="X684" s="97"/>
      <c r="Y684" s="97"/>
      <c r="Z684" s="97"/>
      <c r="AA684" s="97"/>
      <c r="AB684" s="97"/>
      <c r="AC684" s="97"/>
      <c r="AD684" s="97"/>
      <c r="AE684" s="97"/>
      <c r="AF684" s="97"/>
      <c r="AG684" s="97"/>
      <c r="AH684" s="97"/>
      <c r="AI684" s="97"/>
      <c r="AK684" s="97"/>
      <c r="AL684" s="97"/>
      <c r="AM684" s="97"/>
      <c r="AN684" s="97"/>
    </row>
    <row r="685" spans="24:40" ht="15" customHeight="1" x14ac:dyDescent="0.35">
      <c r="X685" s="97"/>
      <c r="Y685" s="97"/>
      <c r="Z685" s="97"/>
      <c r="AA685" s="97"/>
      <c r="AB685" s="97"/>
      <c r="AC685" s="97"/>
      <c r="AD685" s="97"/>
      <c r="AE685" s="97"/>
      <c r="AF685" s="97"/>
      <c r="AG685" s="97"/>
      <c r="AH685" s="97"/>
      <c r="AI685" s="97"/>
      <c r="AK685" s="97"/>
      <c r="AL685" s="97"/>
      <c r="AM685" s="97"/>
      <c r="AN685" s="97"/>
    </row>
    <row r="686" spans="24:40" ht="15" customHeight="1" x14ac:dyDescent="0.35">
      <c r="X686" s="97"/>
      <c r="Y686" s="97"/>
      <c r="Z686" s="97"/>
      <c r="AA686" s="97"/>
      <c r="AB686" s="97"/>
      <c r="AC686" s="97"/>
      <c r="AD686" s="97"/>
      <c r="AE686" s="97"/>
      <c r="AF686" s="97"/>
      <c r="AG686" s="97"/>
      <c r="AH686" s="97"/>
      <c r="AI686" s="97"/>
      <c r="AK686" s="97"/>
      <c r="AL686" s="97"/>
      <c r="AM686" s="97"/>
      <c r="AN686" s="97"/>
    </row>
    <row r="687" spans="24:40" ht="15" customHeight="1" x14ac:dyDescent="0.35">
      <c r="X687" s="97"/>
      <c r="Y687" s="97"/>
      <c r="Z687" s="97"/>
      <c r="AA687" s="97"/>
      <c r="AB687" s="97"/>
      <c r="AC687" s="97"/>
      <c r="AD687" s="97"/>
      <c r="AE687" s="97"/>
      <c r="AF687" s="97"/>
      <c r="AG687" s="97"/>
      <c r="AH687" s="97"/>
      <c r="AI687" s="97"/>
      <c r="AK687" s="97"/>
      <c r="AL687" s="97"/>
      <c r="AM687" s="97"/>
      <c r="AN687" s="97"/>
    </row>
    <row r="688" spans="24:40" ht="15" customHeight="1" x14ac:dyDescent="0.35">
      <c r="X688" s="97"/>
      <c r="Y688" s="97"/>
      <c r="Z688" s="97"/>
      <c r="AA688" s="97"/>
      <c r="AB688" s="97"/>
      <c r="AC688" s="97"/>
      <c r="AD688" s="97"/>
      <c r="AE688" s="97"/>
      <c r="AF688" s="97"/>
      <c r="AG688" s="97"/>
      <c r="AH688" s="97"/>
      <c r="AI688" s="97"/>
      <c r="AK688" s="97"/>
      <c r="AL688" s="97"/>
      <c r="AM688" s="97"/>
      <c r="AN688" s="97"/>
    </row>
    <row r="689" spans="24:40" ht="15" customHeight="1" x14ac:dyDescent="0.35">
      <c r="X689" s="97"/>
      <c r="Y689" s="97"/>
      <c r="Z689" s="97"/>
      <c r="AA689" s="97"/>
      <c r="AB689" s="97"/>
      <c r="AC689" s="97"/>
      <c r="AD689" s="97"/>
      <c r="AE689" s="97"/>
      <c r="AF689" s="97"/>
      <c r="AG689" s="97"/>
      <c r="AH689" s="97"/>
      <c r="AI689" s="97"/>
      <c r="AK689" s="97"/>
      <c r="AL689" s="97"/>
      <c r="AM689" s="97"/>
      <c r="AN689" s="97"/>
    </row>
    <row r="690" spans="24:40" ht="15" customHeight="1" x14ac:dyDescent="0.35">
      <c r="X690" s="97"/>
      <c r="Y690" s="97"/>
      <c r="Z690" s="97"/>
      <c r="AA690" s="97"/>
      <c r="AB690" s="97"/>
      <c r="AC690" s="97"/>
      <c r="AD690" s="97"/>
      <c r="AE690" s="97"/>
      <c r="AF690" s="97"/>
      <c r="AG690" s="97"/>
      <c r="AH690" s="97"/>
      <c r="AI690" s="97"/>
      <c r="AK690" s="97"/>
      <c r="AL690" s="97"/>
      <c r="AM690" s="97"/>
      <c r="AN690" s="97"/>
    </row>
    <row r="691" spans="24:40" ht="15" customHeight="1" x14ac:dyDescent="0.35">
      <c r="X691" s="97"/>
      <c r="Y691" s="97"/>
      <c r="Z691" s="97"/>
      <c r="AA691" s="97"/>
      <c r="AB691" s="97"/>
      <c r="AC691" s="97"/>
      <c r="AD691" s="97"/>
      <c r="AE691" s="97"/>
      <c r="AF691" s="97"/>
      <c r="AG691" s="97"/>
      <c r="AH691" s="97"/>
      <c r="AI691" s="97"/>
      <c r="AK691" s="97"/>
      <c r="AL691" s="97"/>
      <c r="AM691" s="97"/>
      <c r="AN691" s="97"/>
    </row>
    <row r="692" spans="24:40" ht="15" customHeight="1" x14ac:dyDescent="0.35">
      <c r="X692" s="97"/>
      <c r="Y692" s="97"/>
      <c r="Z692" s="97"/>
      <c r="AA692" s="97"/>
      <c r="AB692" s="97"/>
      <c r="AC692" s="97"/>
      <c r="AD692" s="97"/>
      <c r="AE692" s="97"/>
      <c r="AF692" s="97"/>
      <c r="AG692" s="97"/>
      <c r="AH692" s="97"/>
      <c r="AI692" s="97"/>
      <c r="AK692" s="97"/>
      <c r="AL692" s="97"/>
      <c r="AM692" s="97"/>
      <c r="AN692" s="97"/>
    </row>
    <row r="693" spans="24:40" ht="15" customHeight="1" x14ac:dyDescent="0.35">
      <c r="X693" s="97"/>
      <c r="Y693" s="97"/>
      <c r="Z693" s="97"/>
      <c r="AA693" s="97"/>
      <c r="AB693" s="97"/>
      <c r="AC693" s="97"/>
      <c r="AD693" s="97"/>
      <c r="AE693" s="97"/>
      <c r="AF693" s="97"/>
      <c r="AG693" s="97"/>
      <c r="AH693" s="97"/>
      <c r="AI693" s="97"/>
      <c r="AK693" s="97"/>
      <c r="AL693" s="97"/>
      <c r="AM693" s="97"/>
      <c r="AN693" s="97"/>
    </row>
    <row r="694" spans="24:40" ht="15" customHeight="1" x14ac:dyDescent="0.35">
      <c r="X694" s="97"/>
      <c r="Y694" s="97"/>
      <c r="Z694" s="97"/>
      <c r="AA694" s="97"/>
      <c r="AB694" s="97"/>
      <c r="AC694" s="97"/>
      <c r="AD694" s="97"/>
      <c r="AE694" s="97"/>
      <c r="AF694" s="97"/>
      <c r="AG694" s="97"/>
      <c r="AH694" s="97"/>
      <c r="AI694" s="97"/>
      <c r="AK694" s="97"/>
      <c r="AL694" s="97"/>
      <c r="AM694" s="97"/>
      <c r="AN694" s="97"/>
    </row>
    <row r="695" spans="24:40" ht="15" customHeight="1" x14ac:dyDescent="0.35">
      <c r="X695" s="97"/>
      <c r="Y695" s="97"/>
      <c r="Z695" s="97"/>
      <c r="AA695" s="97"/>
      <c r="AB695" s="97"/>
      <c r="AC695" s="97"/>
      <c r="AD695" s="97"/>
      <c r="AE695" s="97"/>
      <c r="AF695" s="97"/>
      <c r="AG695" s="97"/>
      <c r="AH695" s="97"/>
      <c r="AI695" s="97"/>
      <c r="AK695" s="97"/>
      <c r="AL695" s="97"/>
      <c r="AM695" s="97"/>
      <c r="AN695" s="97"/>
    </row>
    <row r="696" spans="24:40" ht="15" customHeight="1" x14ac:dyDescent="0.35">
      <c r="X696" s="97"/>
      <c r="Y696" s="97"/>
      <c r="Z696" s="97"/>
      <c r="AA696" s="97"/>
      <c r="AB696" s="97"/>
      <c r="AC696" s="97"/>
      <c r="AD696" s="97"/>
      <c r="AE696" s="97"/>
      <c r="AF696" s="97"/>
      <c r="AG696" s="97"/>
      <c r="AH696" s="97"/>
      <c r="AI696" s="97"/>
      <c r="AK696" s="97"/>
      <c r="AL696" s="97"/>
      <c r="AM696" s="97"/>
      <c r="AN696" s="97"/>
    </row>
    <row r="697" spans="24:40" ht="15" customHeight="1" x14ac:dyDescent="0.35">
      <c r="X697" s="97"/>
      <c r="Y697" s="97"/>
      <c r="Z697" s="97"/>
      <c r="AA697" s="97"/>
      <c r="AB697" s="97"/>
      <c r="AC697" s="97"/>
      <c r="AD697" s="97"/>
      <c r="AE697" s="97"/>
      <c r="AF697" s="97"/>
      <c r="AG697" s="97"/>
      <c r="AH697" s="97"/>
      <c r="AI697" s="97"/>
      <c r="AK697" s="97"/>
      <c r="AL697" s="97"/>
      <c r="AM697" s="97"/>
      <c r="AN697" s="97"/>
    </row>
    <row r="698" spans="24:40" ht="15" customHeight="1" x14ac:dyDescent="0.35">
      <c r="X698" s="97"/>
      <c r="Y698" s="97"/>
      <c r="Z698" s="97"/>
      <c r="AA698" s="97"/>
      <c r="AB698" s="97"/>
      <c r="AC698" s="97"/>
      <c r="AD698" s="97"/>
      <c r="AE698" s="97"/>
      <c r="AF698" s="97"/>
      <c r="AG698" s="97"/>
      <c r="AH698" s="97"/>
      <c r="AI698" s="97"/>
      <c r="AK698" s="97"/>
      <c r="AL698" s="97"/>
      <c r="AM698" s="97"/>
      <c r="AN698" s="97"/>
    </row>
    <row r="699" spans="24:40" ht="15" customHeight="1" x14ac:dyDescent="0.35">
      <c r="X699" s="97"/>
      <c r="Y699" s="97"/>
      <c r="Z699" s="97"/>
      <c r="AA699" s="97"/>
      <c r="AB699" s="97"/>
      <c r="AC699" s="97"/>
      <c r="AD699" s="97"/>
      <c r="AE699" s="97"/>
      <c r="AF699" s="97"/>
      <c r="AG699" s="97"/>
      <c r="AH699" s="97"/>
      <c r="AI699" s="97"/>
      <c r="AK699" s="97"/>
      <c r="AL699" s="97"/>
      <c r="AM699" s="97"/>
      <c r="AN699" s="97"/>
    </row>
    <row r="700" spans="24:40" ht="15" customHeight="1" x14ac:dyDescent="0.35">
      <c r="X700" s="97"/>
      <c r="Y700" s="97"/>
      <c r="Z700" s="97"/>
      <c r="AA700" s="97"/>
      <c r="AB700" s="97"/>
      <c r="AC700" s="97"/>
      <c r="AD700" s="97"/>
      <c r="AE700" s="97"/>
      <c r="AF700" s="97"/>
      <c r="AG700" s="97"/>
      <c r="AH700" s="97"/>
      <c r="AI700" s="97"/>
      <c r="AK700" s="97"/>
      <c r="AL700" s="97"/>
      <c r="AM700" s="97"/>
      <c r="AN700" s="97"/>
    </row>
    <row r="701" spans="24:40" ht="15" customHeight="1" x14ac:dyDescent="0.35">
      <c r="X701" s="97"/>
      <c r="Y701" s="97"/>
      <c r="Z701" s="97"/>
      <c r="AA701" s="97"/>
      <c r="AB701" s="97"/>
      <c r="AC701" s="97"/>
      <c r="AD701" s="97"/>
      <c r="AE701" s="97"/>
      <c r="AF701" s="97"/>
      <c r="AG701" s="97"/>
      <c r="AH701" s="97"/>
      <c r="AI701" s="97"/>
      <c r="AK701" s="97"/>
      <c r="AL701" s="97"/>
      <c r="AM701" s="97"/>
      <c r="AN701" s="97"/>
    </row>
    <row r="702" spans="24:40" ht="15" customHeight="1" x14ac:dyDescent="0.35">
      <c r="X702" s="97"/>
      <c r="Y702" s="97"/>
      <c r="Z702" s="97"/>
      <c r="AA702" s="97"/>
      <c r="AB702" s="97"/>
      <c r="AC702" s="97"/>
      <c r="AD702" s="97"/>
      <c r="AE702" s="97"/>
      <c r="AF702" s="97"/>
      <c r="AG702" s="97"/>
      <c r="AH702" s="97"/>
      <c r="AI702" s="97"/>
      <c r="AK702" s="97"/>
      <c r="AL702" s="97"/>
      <c r="AM702" s="97"/>
      <c r="AN702" s="97"/>
    </row>
    <row r="703" spans="24:40" ht="15" customHeight="1" x14ac:dyDescent="0.35">
      <c r="X703" s="97"/>
      <c r="Y703" s="97"/>
      <c r="Z703" s="97"/>
      <c r="AA703" s="97"/>
      <c r="AB703" s="97"/>
      <c r="AC703" s="97"/>
      <c r="AD703" s="97"/>
      <c r="AE703" s="97"/>
      <c r="AF703" s="97"/>
      <c r="AG703" s="97"/>
      <c r="AH703" s="97"/>
      <c r="AI703" s="97"/>
      <c r="AK703" s="97"/>
      <c r="AL703" s="97"/>
      <c r="AM703" s="97"/>
      <c r="AN703" s="97"/>
    </row>
    <row r="704" spans="24:40" ht="15" customHeight="1" x14ac:dyDescent="0.35">
      <c r="X704" s="97"/>
      <c r="Y704" s="97"/>
      <c r="Z704" s="97"/>
      <c r="AA704" s="97"/>
      <c r="AB704" s="97"/>
      <c r="AC704" s="97"/>
      <c r="AD704" s="97"/>
      <c r="AE704" s="97"/>
      <c r="AF704" s="97"/>
      <c r="AG704" s="97"/>
      <c r="AH704" s="97"/>
      <c r="AI704" s="97"/>
      <c r="AK704" s="97"/>
      <c r="AL704" s="97"/>
      <c r="AM704" s="97"/>
      <c r="AN704" s="97"/>
    </row>
    <row r="705" spans="24:40" ht="15" customHeight="1" x14ac:dyDescent="0.35">
      <c r="X705" s="97"/>
      <c r="Y705" s="97"/>
      <c r="Z705" s="97"/>
      <c r="AA705" s="97"/>
      <c r="AB705" s="97"/>
      <c r="AC705" s="97"/>
      <c r="AD705" s="97"/>
      <c r="AE705" s="97"/>
      <c r="AF705" s="97"/>
      <c r="AG705" s="97"/>
      <c r="AH705" s="97"/>
      <c r="AI705" s="97"/>
      <c r="AK705" s="97"/>
      <c r="AL705" s="97"/>
      <c r="AM705" s="97"/>
      <c r="AN705" s="97"/>
    </row>
    <row r="706" spans="24:40" ht="15" customHeight="1" x14ac:dyDescent="0.35">
      <c r="X706" s="97"/>
      <c r="Y706" s="97"/>
      <c r="Z706" s="97"/>
      <c r="AA706" s="97"/>
      <c r="AB706" s="97"/>
      <c r="AC706" s="97"/>
      <c r="AD706" s="97"/>
      <c r="AE706" s="97"/>
      <c r="AF706" s="97"/>
      <c r="AG706" s="97"/>
      <c r="AH706" s="97"/>
      <c r="AI706" s="97"/>
      <c r="AK706" s="97"/>
      <c r="AL706" s="97"/>
      <c r="AM706" s="97"/>
      <c r="AN706" s="97"/>
    </row>
    <row r="707" spans="24:40" ht="15" customHeight="1" x14ac:dyDescent="0.35">
      <c r="X707" s="97"/>
      <c r="Y707" s="97"/>
      <c r="Z707" s="97"/>
      <c r="AA707" s="97"/>
      <c r="AB707" s="97"/>
      <c r="AC707" s="97"/>
      <c r="AD707" s="97"/>
      <c r="AE707" s="97"/>
      <c r="AF707" s="97"/>
      <c r="AG707" s="97"/>
      <c r="AH707" s="97"/>
      <c r="AI707" s="97"/>
      <c r="AK707" s="97"/>
      <c r="AL707" s="97"/>
      <c r="AM707" s="97"/>
      <c r="AN707" s="97"/>
    </row>
    <row r="708" spans="24:40" ht="15" customHeight="1" x14ac:dyDescent="0.35">
      <c r="X708" s="97"/>
      <c r="Y708" s="97"/>
      <c r="Z708" s="97"/>
      <c r="AA708" s="97"/>
      <c r="AB708" s="97"/>
      <c r="AC708" s="97"/>
      <c r="AD708" s="97"/>
      <c r="AE708" s="97"/>
      <c r="AF708" s="97"/>
      <c r="AG708" s="97"/>
      <c r="AH708" s="97"/>
      <c r="AI708" s="97"/>
      <c r="AK708" s="97"/>
      <c r="AL708" s="97"/>
      <c r="AM708" s="97"/>
      <c r="AN708" s="97"/>
    </row>
    <row r="709" spans="24:40" ht="15" customHeight="1" x14ac:dyDescent="0.35">
      <c r="X709" s="97"/>
      <c r="Y709" s="97"/>
      <c r="Z709" s="97"/>
      <c r="AA709" s="97"/>
      <c r="AB709" s="97"/>
      <c r="AC709" s="97"/>
      <c r="AD709" s="97"/>
      <c r="AE709" s="97"/>
      <c r="AF709" s="97"/>
      <c r="AG709" s="97"/>
      <c r="AH709" s="97"/>
      <c r="AI709" s="97"/>
      <c r="AK709" s="97"/>
      <c r="AL709" s="97"/>
      <c r="AM709" s="97"/>
      <c r="AN709" s="97"/>
    </row>
    <row r="710" spans="24:40" ht="15" customHeight="1" x14ac:dyDescent="0.35">
      <c r="X710" s="97"/>
      <c r="Y710" s="97"/>
      <c r="Z710" s="97"/>
      <c r="AA710" s="97"/>
      <c r="AB710" s="97"/>
      <c r="AC710" s="97"/>
      <c r="AD710" s="97"/>
      <c r="AE710" s="97"/>
      <c r="AF710" s="97"/>
      <c r="AG710" s="97"/>
      <c r="AH710" s="97"/>
      <c r="AI710" s="97"/>
      <c r="AK710" s="97"/>
      <c r="AL710" s="97"/>
      <c r="AM710" s="97"/>
      <c r="AN710" s="97"/>
    </row>
    <row r="711" spans="24:40" x14ac:dyDescent="0.35">
      <c r="X711" s="97"/>
      <c r="Y711" s="97"/>
      <c r="Z711" s="97"/>
      <c r="AA711" s="97"/>
      <c r="AB711" s="97"/>
      <c r="AC711" s="97"/>
      <c r="AD711" s="97"/>
      <c r="AE711" s="97"/>
      <c r="AF711" s="97"/>
      <c r="AG711" s="97"/>
      <c r="AH711" s="97"/>
      <c r="AI711" s="97"/>
      <c r="AK711" s="97"/>
      <c r="AL711" s="97"/>
      <c r="AM711" s="97"/>
      <c r="AN711" s="97"/>
    </row>
    <row r="712" spans="24:40" x14ac:dyDescent="0.35">
      <c r="X712" s="97"/>
      <c r="Y712" s="97"/>
      <c r="Z712" s="97"/>
      <c r="AA712" s="97"/>
      <c r="AB712" s="97"/>
      <c r="AC712" s="97"/>
      <c r="AD712" s="97"/>
      <c r="AE712" s="97"/>
      <c r="AF712" s="97"/>
      <c r="AG712" s="97"/>
      <c r="AH712" s="97"/>
      <c r="AI712" s="97"/>
      <c r="AK712" s="97"/>
      <c r="AL712" s="97"/>
      <c r="AM712" s="97"/>
      <c r="AN712" s="97"/>
    </row>
    <row r="713" spans="24:40" x14ac:dyDescent="0.35">
      <c r="X713" s="97"/>
      <c r="Y713" s="97"/>
      <c r="Z713" s="97"/>
      <c r="AA713" s="97"/>
      <c r="AB713" s="97"/>
      <c r="AC713" s="97"/>
      <c r="AD713" s="97"/>
      <c r="AE713" s="97"/>
      <c r="AF713" s="97"/>
      <c r="AG713" s="97"/>
      <c r="AH713" s="97"/>
      <c r="AI713" s="97"/>
      <c r="AK713" s="97"/>
      <c r="AL713" s="97"/>
      <c r="AM713" s="97"/>
      <c r="AN713" s="97"/>
    </row>
    <row r="714" spans="24:40" x14ac:dyDescent="0.35">
      <c r="X714" s="97"/>
      <c r="Y714" s="97"/>
      <c r="Z714" s="97"/>
      <c r="AA714" s="97"/>
      <c r="AB714" s="97"/>
      <c r="AC714" s="97"/>
      <c r="AD714" s="97"/>
      <c r="AE714" s="97"/>
      <c r="AF714" s="97"/>
      <c r="AG714" s="97"/>
      <c r="AH714" s="97"/>
      <c r="AI714" s="97"/>
      <c r="AK714" s="97"/>
      <c r="AL714" s="97"/>
      <c r="AM714" s="97"/>
      <c r="AN714" s="97"/>
    </row>
    <row r="715" spans="24:40" x14ac:dyDescent="0.35">
      <c r="X715" s="97"/>
      <c r="Y715" s="97"/>
      <c r="Z715" s="97"/>
      <c r="AA715" s="97"/>
      <c r="AB715" s="97"/>
      <c r="AC715" s="97"/>
      <c r="AD715" s="97"/>
      <c r="AE715" s="97"/>
      <c r="AF715" s="97"/>
      <c r="AG715" s="97"/>
      <c r="AH715" s="97"/>
      <c r="AI715" s="97"/>
      <c r="AK715" s="97"/>
      <c r="AL715" s="97"/>
      <c r="AM715" s="97"/>
      <c r="AN715" s="97"/>
    </row>
    <row r="716" spans="24:40" x14ac:dyDescent="0.35">
      <c r="X716" s="97"/>
      <c r="Y716" s="97"/>
      <c r="Z716" s="97"/>
      <c r="AA716" s="97"/>
      <c r="AB716" s="97"/>
      <c r="AC716" s="97"/>
      <c r="AD716" s="97"/>
      <c r="AE716" s="97"/>
      <c r="AF716" s="97"/>
      <c r="AG716" s="97"/>
      <c r="AH716" s="97"/>
      <c r="AI716" s="97"/>
      <c r="AK716" s="97"/>
      <c r="AL716" s="97"/>
      <c r="AM716" s="97"/>
      <c r="AN716" s="97"/>
    </row>
    <row r="717" spans="24:40" x14ac:dyDescent="0.35">
      <c r="X717" s="97"/>
      <c r="Y717" s="97"/>
      <c r="Z717" s="97"/>
      <c r="AA717" s="97"/>
      <c r="AB717" s="97"/>
      <c r="AC717" s="97"/>
      <c r="AD717" s="97"/>
      <c r="AE717" s="97"/>
      <c r="AF717" s="97"/>
      <c r="AG717" s="97"/>
      <c r="AH717" s="97"/>
      <c r="AI717" s="97"/>
      <c r="AK717" s="97"/>
      <c r="AL717" s="97"/>
      <c r="AM717" s="97"/>
      <c r="AN717" s="97"/>
    </row>
    <row r="718" spans="24:40" x14ac:dyDescent="0.35">
      <c r="X718" s="97"/>
      <c r="Y718" s="97"/>
      <c r="Z718" s="97"/>
      <c r="AA718" s="97"/>
      <c r="AB718" s="97"/>
      <c r="AC718" s="97"/>
      <c r="AD718" s="97"/>
      <c r="AE718" s="97"/>
      <c r="AF718" s="97"/>
      <c r="AG718" s="97"/>
      <c r="AH718" s="97"/>
      <c r="AI718" s="97"/>
      <c r="AK718" s="97"/>
      <c r="AL718" s="97"/>
      <c r="AM718" s="97"/>
      <c r="AN718" s="97"/>
    </row>
    <row r="719" spans="24:40" x14ac:dyDescent="0.35">
      <c r="X719" s="97"/>
      <c r="Y719" s="97"/>
      <c r="Z719" s="97"/>
      <c r="AA719" s="97"/>
      <c r="AB719" s="97"/>
      <c r="AC719" s="97"/>
      <c r="AD719" s="97"/>
      <c r="AE719" s="97"/>
      <c r="AF719" s="97"/>
      <c r="AG719" s="97"/>
      <c r="AH719" s="97"/>
      <c r="AI719" s="97"/>
      <c r="AK719" s="97"/>
      <c r="AL719" s="97"/>
      <c r="AM719" s="97"/>
      <c r="AN719" s="97"/>
    </row>
    <row r="720" spans="24:40" x14ac:dyDescent="0.35">
      <c r="X720" s="97"/>
      <c r="Y720" s="97"/>
      <c r="Z720" s="97"/>
      <c r="AA720" s="97"/>
      <c r="AB720" s="97"/>
      <c r="AC720" s="97"/>
      <c r="AD720" s="97"/>
      <c r="AE720" s="97"/>
      <c r="AF720" s="97"/>
      <c r="AG720" s="97"/>
      <c r="AH720" s="97"/>
      <c r="AI720" s="97"/>
      <c r="AK720" s="97"/>
      <c r="AL720" s="97"/>
      <c r="AM720" s="97"/>
      <c r="AN720" s="97"/>
    </row>
    <row r="721" spans="24:40" x14ac:dyDescent="0.35">
      <c r="X721" s="97"/>
      <c r="Y721" s="97"/>
      <c r="Z721" s="97"/>
      <c r="AA721" s="97"/>
      <c r="AB721" s="97"/>
      <c r="AC721" s="97"/>
      <c r="AD721" s="97"/>
      <c r="AE721" s="97"/>
      <c r="AF721" s="97"/>
      <c r="AG721" s="97"/>
      <c r="AH721" s="97"/>
      <c r="AI721" s="97"/>
      <c r="AK721" s="97"/>
      <c r="AL721" s="97"/>
      <c r="AM721" s="97"/>
      <c r="AN721" s="97"/>
    </row>
    <row r="722" spans="24:40" x14ac:dyDescent="0.35">
      <c r="X722" s="97"/>
      <c r="Y722" s="97"/>
      <c r="Z722" s="97"/>
      <c r="AA722" s="97"/>
      <c r="AB722" s="97"/>
      <c r="AC722" s="97"/>
      <c r="AD722" s="97"/>
      <c r="AE722" s="97"/>
      <c r="AF722" s="97"/>
      <c r="AG722" s="97"/>
      <c r="AH722" s="97"/>
      <c r="AI722" s="97"/>
      <c r="AK722" s="97"/>
      <c r="AL722" s="97"/>
      <c r="AM722" s="97"/>
      <c r="AN722" s="97"/>
    </row>
    <row r="723" spans="24:40" x14ac:dyDescent="0.35">
      <c r="X723" s="97"/>
      <c r="Y723" s="97"/>
      <c r="Z723" s="97"/>
      <c r="AA723" s="97"/>
      <c r="AB723" s="97"/>
      <c r="AC723" s="97"/>
      <c r="AD723" s="97"/>
      <c r="AE723" s="97"/>
      <c r="AF723" s="97"/>
      <c r="AG723" s="97"/>
      <c r="AH723" s="97"/>
      <c r="AI723" s="97"/>
      <c r="AK723" s="97"/>
      <c r="AL723" s="97"/>
      <c r="AM723" s="97"/>
      <c r="AN723" s="97"/>
    </row>
    <row r="724" spans="24:40" x14ac:dyDescent="0.35">
      <c r="X724" s="97"/>
      <c r="Y724" s="97"/>
      <c r="Z724" s="97"/>
      <c r="AA724" s="97"/>
      <c r="AB724" s="97"/>
      <c r="AC724" s="97"/>
      <c r="AD724" s="97"/>
      <c r="AE724" s="97"/>
      <c r="AF724" s="97"/>
      <c r="AG724" s="97"/>
      <c r="AH724" s="97"/>
      <c r="AI724" s="97"/>
      <c r="AK724" s="97"/>
      <c r="AL724" s="97"/>
      <c r="AM724" s="97"/>
      <c r="AN724" s="97"/>
    </row>
    <row r="725" spans="24:40" x14ac:dyDescent="0.35">
      <c r="X725" s="97"/>
      <c r="Y725" s="97"/>
      <c r="Z725" s="97"/>
      <c r="AA725" s="97"/>
      <c r="AB725" s="97"/>
      <c r="AC725" s="97"/>
      <c r="AD725" s="97"/>
      <c r="AE725" s="97"/>
      <c r="AF725" s="97"/>
      <c r="AG725" s="97"/>
      <c r="AH725" s="97"/>
      <c r="AI725" s="97"/>
      <c r="AK725" s="97"/>
      <c r="AL725" s="97"/>
      <c r="AM725" s="97"/>
      <c r="AN725" s="97"/>
    </row>
    <row r="726" spans="24:40" x14ac:dyDescent="0.35">
      <c r="X726" s="97"/>
      <c r="Y726" s="97"/>
      <c r="Z726" s="97"/>
      <c r="AA726" s="97"/>
      <c r="AB726" s="97"/>
      <c r="AC726" s="97"/>
      <c r="AD726" s="97"/>
      <c r="AE726" s="97"/>
      <c r="AF726" s="97"/>
      <c r="AG726" s="97"/>
      <c r="AH726" s="97"/>
      <c r="AI726" s="97"/>
      <c r="AK726" s="97"/>
      <c r="AL726" s="97"/>
      <c r="AM726" s="97"/>
      <c r="AN726" s="97"/>
    </row>
    <row r="727" spans="24:40" x14ac:dyDescent="0.35">
      <c r="X727" s="97"/>
      <c r="Y727" s="97"/>
      <c r="Z727" s="97"/>
      <c r="AA727" s="97"/>
      <c r="AB727" s="97"/>
      <c r="AC727" s="97"/>
      <c r="AD727" s="97"/>
      <c r="AE727" s="97"/>
      <c r="AF727" s="97"/>
      <c r="AG727" s="97"/>
      <c r="AH727" s="97"/>
      <c r="AI727" s="97"/>
      <c r="AK727" s="97"/>
      <c r="AL727" s="97"/>
      <c r="AM727" s="97"/>
      <c r="AN727" s="97"/>
    </row>
    <row r="728" spans="24:40" x14ac:dyDescent="0.35">
      <c r="X728" s="97"/>
      <c r="Y728" s="97"/>
      <c r="Z728" s="97"/>
      <c r="AA728" s="97"/>
      <c r="AB728" s="97"/>
      <c r="AC728" s="97"/>
      <c r="AD728" s="97"/>
      <c r="AE728" s="97"/>
      <c r="AF728" s="97"/>
      <c r="AG728" s="97"/>
      <c r="AH728" s="97"/>
      <c r="AI728" s="97"/>
      <c r="AK728" s="97"/>
      <c r="AL728" s="97"/>
      <c r="AM728" s="97"/>
      <c r="AN728" s="97"/>
    </row>
    <row r="729" spans="24:40" x14ac:dyDescent="0.35">
      <c r="X729" s="97"/>
      <c r="Y729" s="97"/>
      <c r="Z729" s="97"/>
      <c r="AA729" s="97"/>
      <c r="AB729" s="97"/>
      <c r="AC729" s="97"/>
      <c r="AD729" s="97"/>
      <c r="AE729" s="97"/>
      <c r="AF729" s="97"/>
      <c r="AG729" s="97"/>
      <c r="AH729" s="97"/>
      <c r="AI729" s="97"/>
      <c r="AK729" s="97"/>
      <c r="AL729" s="97"/>
      <c r="AM729" s="97"/>
      <c r="AN729" s="97"/>
    </row>
    <row r="730" spans="24:40" x14ac:dyDescent="0.35">
      <c r="X730" s="97"/>
      <c r="Y730" s="97"/>
      <c r="Z730" s="97"/>
      <c r="AA730" s="97"/>
      <c r="AB730" s="97"/>
      <c r="AC730" s="97"/>
      <c r="AD730" s="97"/>
      <c r="AE730" s="97"/>
      <c r="AF730" s="97"/>
      <c r="AG730" s="97"/>
      <c r="AH730" s="97"/>
      <c r="AI730" s="97"/>
      <c r="AK730" s="97"/>
      <c r="AL730" s="97"/>
      <c r="AM730" s="97"/>
      <c r="AN730" s="97"/>
    </row>
    <row r="731" spans="24:40" x14ac:dyDescent="0.35">
      <c r="X731" s="97"/>
      <c r="Y731" s="97"/>
      <c r="Z731" s="97"/>
      <c r="AA731" s="97"/>
      <c r="AB731" s="97"/>
      <c r="AC731" s="97"/>
      <c r="AD731" s="97"/>
      <c r="AE731" s="97"/>
      <c r="AF731" s="97"/>
      <c r="AG731" s="97"/>
      <c r="AH731" s="97"/>
      <c r="AI731" s="97"/>
      <c r="AK731" s="97"/>
      <c r="AL731" s="97"/>
      <c r="AM731" s="97"/>
      <c r="AN731" s="97"/>
    </row>
    <row r="732" spans="24:40" x14ac:dyDescent="0.35">
      <c r="X732" s="97"/>
      <c r="Y732" s="97"/>
      <c r="Z732" s="97"/>
      <c r="AA732" s="97"/>
      <c r="AB732" s="97"/>
      <c r="AC732" s="97"/>
      <c r="AD732" s="97"/>
      <c r="AE732" s="97"/>
      <c r="AF732" s="97"/>
      <c r="AG732" s="97"/>
      <c r="AH732" s="97"/>
      <c r="AI732" s="97"/>
      <c r="AK732" s="97"/>
      <c r="AL732" s="97"/>
      <c r="AM732" s="97"/>
      <c r="AN732" s="97"/>
    </row>
    <row r="733" spans="24:40" x14ac:dyDescent="0.35">
      <c r="X733" s="97"/>
      <c r="Y733" s="97"/>
      <c r="Z733" s="97"/>
      <c r="AA733" s="97"/>
      <c r="AB733" s="97"/>
      <c r="AC733" s="97"/>
      <c r="AD733" s="97"/>
      <c r="AE733" s="97"/>
      <c r="AF733" s="97"/>
      <c r="AG733" s="97"/>
      <c r="AH733" s="97"/>
      <c r="AI733" s="97"/>
      <c r="AK733" s="97"/>
      <c r="AL733" s="97"/>
      <c r="AM733" s="97"/>
      <c r="AN733" s="97"/>
    </row>
    <row r="734" spans="24:40" x14ac:dyDescent="0.35">
      <c r="X734" s="97"/>
      <c r="Y734" s="97"/>
      <c r="Z734" s="97"/>
      <c r="AA734" s="97"/>
      <c r="AB734" s="97"/>
      <c r="AC734" s="97"/>
      <c r="AD734" s="97"/>
      <c r="AE734" s="97"/>
      <c r="AF734" s="97"/>
      <c r="AG734" s="97"/>
      <c r="AH734" s="97"/>
      <c r="AI734" s="97"/>
      <c r="AK734" s="97"/>
      <c r="AL734" s="97"/>
      <c r="AM734" s="97"/>
      <c r="AN734" s="97"/>
    </row>
    <row r="735" spans="24:40" x14ac:dyDescent="0.35">
      <c r="X735" s="97"/>
      <c r="Y735" s="97"/>
      <c r="Z735" s="97"/>
      <c r="AA735" s="97"/>
      <c r="AB735" s="97"/>
      <c r="AC735" s="97"/>
      <c r="AD735" s="97"/>
      <c r="AE735" s="97"/>
      <c r="AF735" s="97"/>
      <c r="AG735" s="97"/>
      <c r="AH735" s="97"/>
      <c r="AI735" s="97"/>
      <c r="AK735" s="97"/>
      <c r="AL735" s="97"/>
      <c r="AM735" s="97"/>
      <c r="AN735" s="97"/>
    </row>
    <row r="736" spans="24:40" x14ac:dyDescent="0.35">
      <c r="X736" s="97"/>
      <c r="Y736" s="97"/>
      <c r="Z736" s="97"/>
      <c r="AA736" s="97"/>
      <c r="AB736" s="97"/>
      <c r="AC736" s="97"/>
      <c r="AD736" s="97"/>
      <c r="AE736" s="97"/>
      <c r="AF736" s="97"/>
      <c r="AG736" s="97"/>
      <c r="AH736" s="97"/>
      <c r="AI736" s="97"/>
      <c r="AK736" s="97"/>
      <c r="AL736" s="97"/>
      <c r="AM736" s="97"/>
      <c r="AN736" s="97"/>
    </row>
    <row r="737" spans="24:40" x14ac:dyDescent="0.35">
      <c r="X737" s="97"/>
      <c r="Y737" s="97"/>
      <c r="Z737" s="97"/>
      <c r="AA737" s="97"/>
      <c r="AB737" s="97"/>
      <c r="AC737" s="97"/>
      <c r="AD737" s="97"/>
      <c r="AE737" s="97"/>
      <c r="AF737" s="97"/>
      <c r="AG737" s="97"/>
      <c r="AH737" s="97"/>
      <c r="AI737" s="97"/>
      <c r="AK737" s="97"/>
      <c r="AL737" s="97"/>
      <c r="AM737" s="97"/>
      <c r="AN737" s="97"/>
    </row>
    <row r="738" spans="24:40" x14ac:dyDescent="0.35">
      <c r="X738" s="97"/>
      <c r="Y738" s="97"/>
      <c r="Z738" s="97"/>
      <c r="AA738" s="97"/>
      <c r="AB738" s="97"/>
      <c r="AC738" s="97"/>
      <c r="AD738" s="97"/>
      <c r="AE738" s="97"/>
      <c r="AF738" s="97"/>
      <c r="AG738" s="97"/>
      <c r="AH738" s="97"/>
      <c r="AI738" s="97"/>
      <c r="AK738" s="97"/>
      <c r="AL738" s="97"/>
      <c r="AM738" s="97"/>
      <c r="AN738" s="97"/>
    </row>
    <row r="739" spans="24:40" x14ac:dyDescent="0.35">
      <c r="X739" s="97"/>
      <c r="Y739" s="97"/>
      <c r="Z739" s="97"/>
      <c r="AA739" s="97"/>
      <c r="AB739" s="97"/>
      <c r="AC739" s="97"/>
      <c r="AD739" s="97"/>
      <c r="AE739" s="97"/>
      <c r="AF739" s="97"/>
      <c r="AG739" s="97"/>
      <c r="AH739" s="97"/>
      <c r="AI739" s="97"/>
      <c r="AK739" s="97"/>
      <c r="AL739" s="97"/>
      <c r="AM739" s="97"/>
      <c r="AN739" s="97"/>
    </row>
    <row r="740" spans="24:40" x14ac:dyDescent="0.35">
      <c r="X740" s="97"/>
      <c r="Y740" s="97"/>
      <c r="Z740" s="97"/>
      <c r="AA740" s="97"/>
      <c r="AB740" s="97"/>
      <c r="AC740" s="97"/>
      <c r="AD740" s="97"/>
      <c r="AE740" s="97"/>
      <c r="AF740" s="97"/>
      <c r="AG740" s="97"/>
      <c r="AH740" s="97"/>
      <c r="AI740" s="97"/>
      <c r="AK740" s="97"/>
      <c r="AL740" s="97"/>
      <c r="AM740" s="97"/>
      <c r="AN740" s="97"/>
    </row>
    <row r="741" spans="24:40" x14ac:dyDescent="0.35">
      <c r="X741" s="97"/>
      <c r="Y741" s="97"/>
      <c r="Z741" s="97"/>
      <c r="AA741" s="97"/>
      <c r="AB741" s="97"/>
      <c r="AC741" s="97"/>
      <c r="AD741" s="97"/>
      <c r="AE741" s="97"/>
      <c r="AF741" s="97"/>
      <c r="AG741" s="97"/>
      <c r="AH741" s="97"/>
      <c r="AI741" s="97"/>
      <c r="AK741" s="97"/>
      <c r="AL741" s="97"/>
      <c r="AM741" s="97"/>
      <c r="AN741" s="97"/>
    </row>
    <row r="742" spans="24:40" x14ac:dyDescent="0.35">
      <c r="X742" s="97"/>
      <c r="Y742" s="97"/>
      <c r="Z742" s="97"/>
      <c r="AA742" s="97"/>
      <c r="AB742" s="97"/>
      <c r="AC742" s="97"/>
      <c r="AD742" s="97"/>
      <c r="AE742" s="97"/>
      <c r="AF742" s="97"/>
      <c r="AG742" s="97"/>
      <c r="AH742" s="97"/>
      <c r="AI742" s="97"/>
      <c r="AK742" s="97"/>
      <c r="AL742" s="97"/>
      <c r="AM742" s="97"/>
      <c r="AN742" s="97"/>
    </row>
    <row r="743" spans="24:40" x14ac:dyDescent="0.35">
      <c r="X743" s="97"/>
      <c r="Y743" s="97"/>
      <c r="Z743" s="97"/>
      <c r="AA743" s="97"/>
      <c r="AB743" s="97"/>
      <c r="AC743" s="97"/>
      <c r="AD743" s="97"/>
      <c r="AE743" s="97"/>
      <c r="AF743" s="97"/>
      <c r="AG743" s="97"/>
      <c r="AH743" s="97"/>
      <c r="AI743" s="97"/>
      <c r="AK743" s="97"/>
      <c r="AL743" s="97"/>
      <c r="AM743" s="97"/>
      <c r="AN743" s="97"/>
    </row>
    <row r="744" spans="24:40" x14ac:dyDescent="0.35">
      <c r="X744" s="97"/>
      <c r="Y744" s="97"/>
      <c r="Z744" s="97"/>
      <c r="AA744" s="97"/>
      <c r="AB744" s="97"/>
      <c r="AC744" s="97"/>
      <c r="AD744" s="97"/>
      <c r="AE744" s="97"/>
      <c r="AF744" s="97"/>
      <c r="AG744" s="97"/>
      <c r="AH744" s="97"/>
      <c r="AI744" s="97"/>
      <c r="AK744" s="97"/>
      <c r="AL744" s="97"/>
      <c r="AM744" s="97"/>
      <c r="AN744" s="97"/>
    </row>
    <row r="745" spans="24:40" x14ac:dyDescent="0.35">
      <c r="X745" s="97"/>
      <c r="Y745" s="97"/>
      <c r="Z745" s="97"/>
      <c r="AA745" s="97"/>
      <c r="AB745" s="97"/>
      <c r="AC745" s="97"/>
      <c r="AD745" s="97"/>
      <c r="AE745" s="97"/>
      <c r="AF745" s="97"/>
      <c r="AG745" s="97"/>
      <c r="AH745" s="97"/>
      <c r="AI745" s="97"/>
      <c r="AK745" s="97"/>
      <c r="AL745" s="97"/>
      <c r="AM745" s="97"/>
      <c r="AN745" s="97"/>
    </row>
    <row r="746" spans="24:40" x14ac:dyDescent="0.35">
      <c r="X746" s="97"/>
      <c r="Y746" s="97"/>
      <c r="Z746" s="97"/>
      <c r="AA746" s="97"/>
      <c r="AB746" s="97"/>
      <c r="AC746" s="97"/>
      <c r="AD746" s="97"/>
      <c r="AE746" s="97"/>
      <c r="AF746" s="97"/>
      <c r="AG746" s="97"/>
      <c r="AH746" s="97"/>
      <c r="AI746" s="97"/>
      <c r="AK746" s="97"/>
      <c r="AL746" s="97"/>
      <c r="AM746" s="97"/>
      <c r="AN746" s="97"/>
    </row>
    <row r="747" spans="24:40" x14ac:dyDescent="0.35">
      <c r="X747" s="97"/>
      <c r="Y747" s="97"/>
      <c r="Z747" s="97"/>
      <c r="AA747" s="97"/>
      <c r="AB747" s="97"/>
      <c r="AC747" s="97"/>
      <c r="AD747" s="97"/>
      <c r="AE747" s="97"/>
      <c r="AF747" s="97"/>
      <c r="AG747" s="97"/>
      <c r="AH747" s="97"/>
      <c r="AI747" s="97"/>
      <c r="AK747" s="97"/>
      <c r="AL747" s="97"/>
      <c r="AM747" s="97"/>
      <c r="AN747" s="97"/>
    </row>
    <row r="748" spans="24:40" x14ac:dyDescent="0.35">
      <c r="X748" s="97"/>
      <c r="Y748" s="97"/>
      <c r="Z748" s="97"/>
      <c r="AA748" s="97"/>
      <c r="AB748" s="97"/>
      <c r="AC748" s="97"/>
      <c r="AD748" s="97"/>
      <c r="AE748" s="97"/>
      <c r="AF748" s="97"/>
      <c r="AG748" s="97"/>
      <c r="AH748" s="97"/>
      <c r="AI748" s="97"/>
      <c r="AK748" s="97"/>
      <c r="AL748" s="97"/>
      <c r="AM748" s="97"/>
      <c r="AN748" s="97"/>
    </row>
    <row r="749" spans="24:40" x14ac:dyDescent="0.35">
      <c r="X749" s="97"/>
      <c r="Y749" s="97"/>
      <c r="Z749" s="97"/>
      <c r="AA749" s="97"/>
      <c r="AB749" s="97"/>
      <c r="AC749" s="97"/>
      <c r="AD749" s="97"/>
      <c r="AE749" s="97"/>
      <c r="AF749" s="97"/>
      <c r="AG749" s="97"/>
      <c r="AH749" s="97"/>
      <c r="AI749" s="97"/>
      <c r="AK749" s="97"/>
      <c r="AL749" s="97"/>
      <c r="AM749" s="97"/>
      <c r="AN749" s="97"/>
    </row>
    <row r="750" spans="24:40" x14ac:dyDescent="0.35">
      <c r="X750" s="97"/>
      <c r="Y750" s="97"/>
      <c r="Z750" s="97"/>
      <c r="AA750" s="97"/>
      <c r="AB750" s="97"/>
      <c r="AC750" s="97"/>
      <c r="AD750" s="97"/>
      <c r="AE750" s="97"/>
      <c r="AF750" s="97"/>
      <c r="AG750" s="97"/>
      <c r="AH750" s="97"/>
      <c r="AI750" s="97"/>
      <c r="AK750" s="97"/>
      <c r="AL750" s="97"/>
      <c r="AM750" s="97"/>
      <c r="AN750" s="97"/>
    </row>
    <row r="751" spans="24:40" x14ac:dyDescent="0.35">
      <c r="X751" s="97"/>
      <c r="Y751" s="97"/>
      <c r="Z751" s="97"/>
      <c r="AA751" s="97"/>
      <c r="AB751" s="97"/>
      <c r="AC751" s="97"/>
      <c r="AD751" s="97"/>
      <c r="AE751" s="97"/>
      <c r="AF751" s="97"/>
      <c r="AG751" s="97"/>
      <c r="AH751" s="97"/>
      <c r="AI751" s="97"/>
      <c r="AK751" s="97"/>
      <c r="AL751" s="97"/>
      <c r="AM751" s="97"/>
      <c r="AN751" s="97"/>
    </row>
    <row r="752" spans="24:40" x14ac:dyDescent="0.35">
      <c r="X752" s="97"/>
      <c r="Y752" s="97"/>
      <c r="Z752" s="97"/>
      <c r="AA752" s="97"/>
      <c r="AB752" s="97"/>
      <c r="AC752" s="97"/>
      <c r="AD752" s="97"/>
      <c r="AE752" s="97"/>
      <c r="AF752" s="97"/>
      <c r="AG752" s="97"/>
      <c r="AH752" s="97"/>
      <c r="AI752" s="97"/>
      <c r="AK752" s="97"/>
      <c r="AL752" s="97"/>
      <c r="AM752" s="97"/>
      <c r="AN752" s="97"/>
    </row>
    <row r="753" spans="24:40" x14ac:dyDescent="0.35">
      <c r="X753" s="97"/>
      <c r="Y753" s="97"/>
      <c r="Z753" s="97"/>
      <c r="AA753" s="97"/>
      <c r="AB753" s="97"/>
      <c r="AC753" s="97"/>
      <c r="AD753" s="97"/>
      <c r="AE753" s="97"/>
      <c r="AF753" s="97"/>
      <c r="AG753" s="97"/>
      <c r="AH753" s="97"/>
      <c r="AI753" s="97"/>
      <c r="AK753" s="97"/>
      <c r="AL753" s="97"/>
      <c r="AM753" s="97"/>
      <c r="AN753" s="97"/>
    </row>
    <row r="754" spans="24:40" x14ac:dyDescent="0.35">
      <c r="X754" s="97"/>
      <c r="Y754" s="97"/>
      <c r="Z754" s="97"/>
      <c r="AA754" s="97"/>
      <c r="AB754" s="97"/>
      <c r="AC754" s="97"/>
      <c r="AD754" s="97"/>
      <c r="AE754" s="97"/>
      <c r="AF754" s="97"/>
      <c r="AG754" s="97"/>
      <c r="AH754" s="97"/>
      <c r="AI754" s="97"/>
      <c r="AK754" s="97"/>
      <c r="AL754" s="97"/>
      <c r="AM754" s="97"/>
      <c r="AN754" s="97"/>
    </row>
    <row r="755" spans="24:40" x14ac:dyDescent="0.35">
      <c r="X755" s="97"/>
      <c r="Y755" s="97"/>
      <c r="Z755" s="97"/>
      <c r="AA755" s="97"/>
      <c r="AB755" s="97"/>
      <c r="AC755" s="97"/>
      <c r="AD755" s="97"/>
      <c r="AE755" s="97"/>
      <c r="AF755" s="97"/>
      <c r="AG755" s="97"/>
      <c r="AH755" s="97"/>
      <c r="AI755" s="97"/>
      <c r="AK755" s="97"/>
      <c r="AL755" s="97"/>
      <c r="AM755" s="97"/>
      <c r="AN755" s="97"/>
    </row>
    <row r="756" spans="24:40" x14ac:dyDescent="0.35">
      <c r="X756" s="97"/>
      <c r="Y756" s="97"/>
      <c r="Z756" s="97"/>
      <c r="AA756" s="97"/>
      <c r="AB756" s="97"/>
      <c r="AC756" s="97"/>
      <c r="AD756" s="97"/>
      <c r="AE756" s="97"/>
      <c r="AF756" s="97"/>
      <c r="AG756" s="97"/>
      <c r="AH756" s="97"/>
      <c r="AI756" s="97"/>
      <c r="AK756" s="97"/>
      <c r="AL756" s="97"/>
      <c r="AM756" s="97"/>
      <c r="AN756" s="97"/>
    </row>
    <row r="757" spans="24:40" x14ac:dyDescent="0.35">
      <c r="X757" s="97"/>
      <c r="Y757" s="97"/>
      <c r="Z757" s="97"/>
      <c r="AA757" s="97"/>
      <c r="AB757" s="97"/>
      <c r="AC757" s="97"/>
      <c r="AD757" s="97"/>
      <c r="AE757" s="97"/>
      <c r="AF757" s="97"/>
      <c r="AG757" s="97"/>
      <c r="AH757" s="97"/>
      <c r="AI757" s="97"/>
      <c r="AK757" s="97"/>
      <c r="AL757" s="97"/>
      <c r="AM757" s="97"/>
      <c r="AN757" s="97"/>
    </row>
    <row r="758" spans="24:40" x14ac:dyDescent="0.35">
      <c r="X758" s="97"/>
      <c r="Y758" s="97"/>
      <c r="Z758" s="97"/>
      <c r="AA758" s="97"/>
      <c r="AB758" s="97"/>
      <c r="AC758" s="97"/>
      <c r="AD758" s="97"/>
      <c r="AE758" s="97"/>
      <c r="AF758" s="97"/>
      <c r="AG758" s="97"/>
      <c r="AH758" s="97"/>
      <c r="AI758" s="97"/>
      <c r="AK758" s="97"/>
      <c r="AL758" s="97"/>
      <c r="AM758" s="97"/>
      <c r="AN758" s="97"/>
    </row>
    <row r="759" spans="24:40" x14ac:dyDescent="0.35">
      <c r="X759" s="97"/>
      <c r="Y759" s="97"/>
      <c r="Z759" s="97"/>
      <c r="AA759" s="97"/>
      <c r="AB759" s="97"/>
      <c r="AC759" s="97"/>
      <c r="AD759" s="97"/>
      <c r="AE759" s="97"/>
      <c r="AF759" s="97"/>
      <c r="AG759" s="97"/>
      <c r="AH759" s="97"/>
      <c r="AI759" s="97"/>
      <c r="AK759" s="97"/>
      <c r="AL759" s="97"/>
      <c r="AM759" s="97"/>
      <c r="AN759" s="97"/>
    </row>
    <row r="760" spans="24:40" x14ac:dyDescent="0.35">
      <c r="X760" s="97"/>
      <c r="Y760" s="97"/>
      <c r="Z760" s="97"/>
      <c r="AA760" s="97"/>
      <c r="AB760" s="97"/>
      <c r="AC760" s="97"/>
      <c r="AD760" s="97"/>
      <c r="AE760" s="97"/>
      <c r="AF760" s="97"/>
      <c r="AG760" s="97"/>
      <c r="AH760" s="97"/>
      <c r="AI760" s="97"/>
      <c r="AK760" s="97"/>
      <c r="AL760" s="97"/>
      <c r="AM760" s="97"/>
      <c r="AN760" s="97"/>
    </row>
    <row r="761" spans="24:40" x14ac:dyDescent="0.35">
      <c r="X761" s="97"/>
      <c r="Y761" s="97"/>
      <c r="Z761" s="97"/>
      <c r="AA761" s="97"/>
      <c r="AB761" s="97"/>
      <c r="AC761" s="97"/>
      <c r="AD761" s="97"/>
      <c r="AE761" s="97"/>
      <c r="AF761" s="97"/>
      <c r="AG761" s="97"/>
      <c r="AH761" s="97"/>
      <c r="AI761" s="97"/>
      <c r="AK761" s="97"/>
      <c r="AL761" s="97"/>
      <c r="AM761" s="97"/>
      <c r="AN761" s="97"/>
    </row>
    <row r="762" spans="24:40" x14ac:dyDescent="0.35">
      <c r="X762" s="97"/>
      <c r="Y762" s="97"/>
      <c r="Z762" s="97"/>
      <c r="AA762" s="97"/>
      <c r="AB762" s="97"/>
      <c r="AC762" s="97"/>
      <c r="AD762" s="97"/>
      <c r="AE762" s="97"/>
      <c r="AF762" s="97"/>
      <c r="AG762" s="97"/>
      <c r="AH762" s="97"/>
      <c r="AI762" s="97"/>
      <c r="AK762" s="97"/>
      <c r="AL762" s="97"/>
      <c r="AM762" s="97"/>
      <c r="AN762" s="97"/>
    </row>
    <row r="763" spans="24:40" x14ac:dyDescent="0.35">
      <c r="X763" s="97"/>
      <c r="Y763" s="97"/>
      <c r="Z763" s="97"/>
      <c r="AA763" s="97"/>
      <c r="AB763" s="97"/>
      <c r="AC763" s="97"/>
      <c r="AD763" s="97"/>
      <c r="AE763" s="97"/>
      <c r="AF763" s="97"/>
      <c r="AG763" s="97"/>
      <c r="AH763" s="97"/>
      <c r="AI763" s="97"/>
      <c r="AK763" s="97"/>
      <c r="AL763" s="97"/>
      <c r="AM763" s="97"/>
      <c r="AN763" s="97"/>
    </row>
    <row r="764" spans="24:40" x14ac:dyDescent="0.35">
      <c r="X764" s="97"/>
      <c r="Y764" s="97"/>
      <c r="Z764" s="97"/>
      <c r="AA764" s="97"/>
      <c r="AB764" s="97"/>
      <c r="AC764" s="97"/>
      <c r="AD764" s="97"/>
      <c r="AE764" s="97"/>
      <c r="AF764" s="97"/>
      <c r="AG764" s="97"/>
      <c r="AH764" s="97"/>
      <c r="AI764" s="97"/>
      <c r="AK764" s="97"/>
      <c r="AL764" s="97"/>
      <c r="AM764" s="97"/>
      <c r="AN764" s="97"/>
    </row>
    <row r="765" spans="24:40" x14ac:dyDescent="0.35">
      <c r="X765" s="97"/>
      <c r="Y765" s="97"/>
      <c r="Z765" s="97"/>
      <c r="AA765" s="97"/>
      <c r="AB765" s="97"/>
      <c r="AC765" s="97"/>
      <c r="AD765" s="97"/>
      <c r="AE765" s="97"/>
      <c r="AF765" s="97"/>
      <c r="AG765" s="97"/>
      <c r="AH765" s="97"/>
      <c r="AI765" s="97"/>
      <c r="AK765" s="97"/>
      <c r="AL765" s="97"/>
      <c r="AM765" s="97"/>
      <c r="AN765" s="97"/>
    </row>
    <row r="766" spans="24:40" x14ac:dyDescent="0.35">
      <c r="X766" s="97"/>
      <c r="Y766" s="97"/>
      <c r="Z766" s="97"/>
      <c r="AA766" s="97"/>
      <c r="AB766" s="97"/>
      <c r="AC766" s="97"/>
      <c r="AD766" s="97"/>
      <c r="AE766" s="97"/>
      <c r="AF766" s="97"/>
      <c r="AG766" s="97"/>
      <c r="AH766" s="97"/>
      <c r="AI766" s="97"/>
      <c r="AK766" s="97"/>
      <c r="AL766" s="97"/>
      <c r="AM766" s="97"/>
      <c r="AN766" s="97"/>
    </row>
    <row r="767" spans="24:40" x14ac:dyDescent="0.35">
      <c r="X767" s="97"/>
      <c r="Y767" s="97"/>
      <c r="Z767" s="97"/>
      <c r="AA767" s="97"/>
      <c r="AB767" s="97"/>
      <c r="AC767" s="97"/>
      <c r="AD767" s="97"/>
      <c r="AE767" s="97"/>
      <c r="AF767" s="97"/>
      <c r="AG767" s="97"/>
      <c r="AH767" s="97"/>
      <c r="AI767" s="97"/>
      <c r="AK767" s="97"/>
      <c r="AL767" s="97"/>
      <c r="AM767" s="97"/>
      <c r="AN767" s="97"/>
    </row>
    <row r="768" spans="24:40" x14ac:dyDescent="0.35">
      <c r="X768" s="97"/>
      <c r="Y768" s="97"/>
      <c r="Z768" s="97"/>
      <c r="AA768" s="97"/>
      <c r="AB768" s="97"/>
      <c r="AC768" s="97"/>
      <c r="AD768" s="97"/>
      <c r="AE768" s="97"/>
      <c r="AF768" s="97"/>
      <c r="AG768" s="97"/>
      <c r="AH768" s="97"/>
      <c r="AI768" s="97"/>
      <c r="AK768" s="97"/>
      <c r="AL768" s="97"/>
      <c r="AM768" s="97"/>
      <c r="AN768" s="97"/>
    </row>
    <row r="769" spans="24:40" x14ac:dyDescent="0.35">
      <c r="X769" s="97"/>
      <c r="Y769" s="97"/>
      <c r="Z769" s="97"/>
      <c r="AA769" s="97"/>
      <c r="AB769" s="97"/>
      <c r="AC769" s="97"/>
      <c r="AD769" s="97"/>
      <c r="AE769" s="97"/>
      <c r="AF769" s="97"/>
      <c r="AG769" s="97"/>
      <c r="AH769" s="97"/>
      <c r="AI769" s="97"/>
      <c r="AK769" s="97"/>
      <c r="AL769" s="97"/>
      <c r="AM769" s="97"/>
      <c r="AN769" s="97"/>
    </row>
    <row r="770" spans="24:40" x14ac:dyDescent="0.35">
      <c r="X770" s="97"/>
      <c r="Y770" s="97"/>
      <c r="Z770" s="97"/>
      <c r="AA770" s="97"/>
      <c r="AB770" s="97"/>
      <c r="AC770" s="97"/>
      <c r="AD770" s="97"/>
      <c r="AE770" s="97"/>
      <c r="AF770" s="97"/>
      <c r="AG770" s="97"/>
      <c r="AH770" s="97"/>
      <c r="AI770" s="97"/>
      <c r="AK770" s="97"/>
      <c r="AL770" s="97"/>
      <c r="AM770" s="97"/>
      <c r="AN770" s="97"/>
    </row>
    <row r="771" spans="24:40" x14ac:dyDescent="0.35">
      <c r="X771" s="97"/>
      <c r="Y771" s="97"/>
      <c r="Z771" s="97"/>
      <c r="AA771" s="97"/>
      <c r="AB771" s="97"/>
      <c r="AC771" s="97"/>
      <c r="AD771" s="97"/>
      <c r="AE771" s="97"/>
      <c r="AF771" s="97"/>
      <c r="AG771" s="97"/>
      <c r="AH771" s="97"/>
      <c r="AI771" s="97"/>
      <c r="AK771" s="97"/>
      <c r="AL771" s="97"/>
      <c r="AM771" s="97"/>
      <c r="AN771" s="97"/>
    </row>
    <row r="772" spans="24:40" x14ac:dyDescent="0.35">
      <c r="X772" s="97"/>
      <c r="Y772" s="97"/>
      <c r="Z772" s="97"/>
      <c r="AA772" s="97"/>
      <c r="AB772" s="97"/>
      <c r="AC772" s="97"/>
      <c r="AD772" s="97"/>
      <c r="AE772" s="97"/>
      <c r="AF772" s="97"/>
      <c r="AG772" s="97"/>
      <c r="AH772" s="97"/>
      <c r="AI772" s="97"/>
      <c r="AK772" s="97"/>
      <c r="AL772" s="97"/>
      <c r="AM772" s="97"/>
      <c r="AN772" s="97"/>
    </row>
    <row r="773" spans="24:40" x14ac:dyDescent="0.35">
      <c r="X773" s="97"/>
      <c r="Y773" s="97"/>
      <c r="Z773" s="97"/>
      <c r="AA773" s="97"/>
      <c r="AB773" s="97"/>
      <c r="AC773" s="97"/>
      <c r="AD773" s="97"/>
      <c r="AE773" s="97"/>
      <c r="AF773" s="97"/>
      <c r="AG773" s="97"/>
      <c r="AH773" s="97"/>
      <c r="AI773" s="97"/>
      <c r="AK773" s="97"/>
      <c r="AL773" s="97"/>
      <c r="AM773" s="97"/>
      <c r="AN773" s="97"/>
    </row>
    <row r="774" spans="24:40" x14ac:dyDescent="0.35">
      <c r="X774" s="97"/>
      <c r="Y774" s="97"/>
      <c r="Z774" s="97"/>
      <c r="AA774" s="97"/>
      <c r="AB774" s="97"/>
      <c r="AC774" s="97"/>
      <c r="AD774" s="97"/>
      <c r="AE774" s="97"/>
      <c r="AF774" s="97"/>
      <c r="AG774" s="97"/>
      <c r="AH774" s="97"/>
      <c r="AI774" s="97"/>
      <c r="AK774" s="97"/>
      <c r="AL774" s="97"/>
      <c r="AM774" s="97"/>
      <c r="AN774" s="97"/>
    </row>
    <row r="775" spans="24:40" x14ac:dyDescent="0.35">
      <c r="X775" s="97"/>
      <c r="Y775" s="97"/>
      <c r="Z775" s="97"/>
      <c r="AA775" s="97"/>
      <c r="AB775" s="97"/>
      <c r="AC775" s="97"/>
      <c r="AD775" s="97"/>
      <c r="AE775" s="97"/>
      <c r="AF775" s="97"/>
      <c r="AG775" s="97"/>
      <c r="AH775" s="97"/>
      <c r="AI775" s="97"/>
      <c r="AK775" s="97"/>
      <c r="AL775" s="97"/>
      <c r="AM775" s="97"/>
      <c r="AN775" s="97"/>
    </row>
    <row r="776" spans="24:40" x14ac:dyDescent="0.35">
      <c r="X776" s="97"/>
      <c r="Y776" s="97"/>
      <c r="Z776" s="97"/>
      <c r="AA776" s="97"/>
      <c r="AB776" s="97"/>
      <c r="AC776" s="97"/>
      <c r="AD776" s="97"/>
      <c r="AE776" s="97"/>
      <c r="AF776" s="97"/>
      <c r="AG776" s="97"/>
      <c r="AH776" s="97"/>
      <c r="AI776" s="97"/>
      <c r="AK776" s="97"/>
      <c r="AL776" s="97"/>
      <c r="AM776" s="97"/>
      <c r="AN776" s="97"/>
    </row>
    <row r="777" spans="24:40" x14ac:dyDescent="0.35">
      <c r="X777" s="97"/>
      <c r="Y777" s="97"/>
      <c r="Z777" s="97"/>
      <c r="AA777" s="97"/>
      <c r="AB777" s="97"/>
      <c r="AC777" s="97"/>
      <c r="AD777" s="97"/>
      <c r="AE777" s="97"/>
      <c r="AF777" s="97"/>
      <c r="AG777" s="97"/>
      <c r="AH777" s="97"/>
      <c r="AI777" s="97"/>
      <c r="AK777" s="97"/>
      <c r="AL777" s="97"/>
      <c r="AM777" s="97"/>
      <c r="AN777" s="97"/>
    </row>
    <row r="778" spans="24:40" x14ac:dyDescent="0.35">
      <c r="X778" s="97"/>
      <c r="Y778" s="97"/>
      <c r="Z778" s="97"/>
      <c r="AA778" s="97"/>
      <c r="AB778" s="97"/>
      <c r="AC778" s="97"/>
      <c r="AD778" s="97"/>
      <c r="AE778" s="97"/>
      <c r="AF778" s="97"/>
      <c r="AG778" s="97"/>
      <c r="AH778" s="97"/>
      <c r="AI778" s="97"/>
      <c r="AK778" s="97"/>
      <c r="AL778" s="97"/>
      <c r="AM778" s="97"/>
      <c r="AN778" s="97"/>
    </row>
    <row r="779" spans="24:40" x14ac:dyDescent="0.35">
      <c r="X779" s="97"/>
      <c r="Y779" s="97"/>
      <c r="Z779" s="97"/>
      <c r="AA779" s="97"/>
      <c r="AB779" s="97"/>
      <c r="AC779" s="97"/>
      <c r="AD779" s="97"/>
      <c r="AE779" s="97"/>
      <c r="AF779" s="97"/>
      <c r="AG779" s="97"/>
      <c r="AH779" s="97"/>
      <c r="AI779" s="97"/>
      <c r="AK779" s="97"/>
      <c r="AL779" s="97"/>
      <c r="AM779" s="97"/>
      <c r="AN779" s="97"/>
    </row>
    <row r="780" spans="24:40" x14ac:dyDescent="0.35">
      <c r="X780" s="97"/>
      <c r="Y780" s="97"/>
      <c r="Z780" s="97"/>
      <c r="AA780" s="97"/>
      <c r="AB780" s="97"/>
      <c r="AC780" s="97"/>
      <c r="AD780" s="97"/>
      <c r="AE780" s="97"/>
      <c r="AF780" s="97"/>
      <c r="AG780" s="97"/>
      <c r="AH780" s="97"/>
      <c r="AI780" s="97"/>
      <c r="AK780" s="97"/>
      <c r="AL780" s="97"/>
      <c r="AM780" s="97"/>
      <c r="AN780" s="97"/>
    </row>
    <row r="781" spans="24:40" x14ac:dyDescent="0.35">
      <c r="X781" s="97"/>
      <c r="Y781" s="97"/>
      <c r="Z781" s="97"/>
      <c r="AA781" s="97"/>
      <c r="AB781" s="97"/>
      <c r="AC781" s="97"/>
      <c r="AD781" s="97"/>
      <c r="AE781" s="97"/>
      <c r="AF781" s="97"/>
      <c r="AG781" s="97"/>
      <c r="AH781" s="97"/>
      <c r="AI781" s="97"/>
      <c r="AK781" s="97"/>
      <c r="AL781" s="97"/>
      <c r="AM781" s="97"/>
      <c r="AN781" s="97"/>
    </row>
    <row r="782" spans="24:40" x14ac:dyDescent="0.35">
      <c r="X782" s="97"/>
      <c r="Y782" s="97"/>
      <c r="Z782" s="97"/>
      <c r="AA782" s="97"/>
      <c r="AB782" s="97"/>
      <c r="AC782" s="97"/>
      <c r="AD782" s="97"/>
      <c r="AE782" s="97"/>
      <c r="AF782" s="97"/>
      <c r="AG782" s="97"/>
      <c r="AH782" s="97"/>
      <c r="AI782" s="97"/>
      <c r="AK782" s="97"/>
      <c r="AL782" s="97"/>
      <c r="AM782" s="97"/>
      <c r="AN782" s="97"/>
    </row>
    <row r="783" spans="24:40" x14ac:dyDescent="0.35">
      <c r="X783" s="97"/>
      <c r="Y783" s="97"/>
      <c r="Z783" s="97"/>
      <c r="AA783" s="97"/>
      <c r="AB783" s="97"/>
      <c r="AC783" s="97"/>
      <c r="AD783" s="97"/>
      <c r="AE783" s="97"/>
      <c r="AF783" s="97"/>
      <c r="AG783" s="97"/>
      <c r="AH783" s="97"/>
      <c r="AI783" s="97"/>
      <c r="AK783" s="97"/>
      <c r="AL783" s="97"/>
      <c r="AM783" s="97"/>
      <c r="AN783" s="97"/>
    </row>
    <row r="784" spans="24:40" x14ac:dyDescent="0.35">
      <c r="X784" s="97"/>
      <c r="Y784" s="97"/>
      <c r="Z784" s="97"/>
      <c r="AA784" s="97"/>
      <c r="AB784" s="97"/>
      <c r="AC784" s="97"/>
      <c r="AD784" s="97"/>
      <c r="AE784" s="97"/>
      <c r="AF784" s="97"/>
      <c r="AG784" s="97"/>
      <c r="AH784" s="97"/>
      <c r="AI784" s="97"/>
      <c r="AK784" s="97"/>
      <c r="AL784" s="97"/>
      <c r="AM784" s="97"/>
      <c r="AN784" s="97"/>
    </row>
    <row r="785" spans="24:40" x14ac:dyDescent="0.35">
      <c r="X785" s="97"/>
      <c r="Y785" s="97"/>
      <c r="Z785" s="97"/>
      <c r="AA785" s="97"/>
      <c r="AB785" s="97"/>
      <c r="AC785" s="97"/>
      <c r="AD785" s="97"/>
      <c r="AE785" s="97"/>
      <c r="AF785" s="97"/>
      <c r="AG785" s="97"/>
      <c r="AH785" s="97"/>
      <c r="AI785" s="97"/>
      <c r="AK785" s="97"/>
      <c r="AL785" s="97"/>
      <c r="AM785" s="97"/>
      <c r="AN785" s="97"/>
    </row>
    <row r="786" spans="24:40" x14ac:dyDescent="0.35">
      <c r="X786" s="97"/>
      <c r="Y786" s="97"/>
      <c r="Z786" s="97"/>
      <c r="AA786" s="97"/>
      <c r="AB786" s="97"/>
      <c r="AC786" s="97"/>
      <c r="AD786" s="97"/>
      <c r="AE786" s="97"/>
      <c r="AF786" s="97"/>
      <c r="AG786" s="97"/>
      <c r="AH786" s="97"/>
      <c r="AI786" s="97"/>
      <c r="AK786" s="97"/>
      <c r="AL786" s="97"/>
      <c r="AM786" s="97"/>
      <c r="AN786" s="97"/>
    </row>
    <row r="787" spans="24:40" x14ac:dyDescent="0.35">
      <c r="X787" s="97"/>
      <c r="Y787" s="97"/>
      <c r="Z787" s="97"/>
      <c r="AA787" s="97"/>
      <c r="AB787" s="97"/>
      <c r="AC787" s="97"/>
      <c r="AD787" s="97"/>
      <c r="AE787" s="97"/>
      <c r="AF787" s="97"/>
      <c r="AG787" s="97"/>
      <c r="AH787" s="97"/>
      <c r="AI787" s="97"/>
      <c r="AK787" s="97"/>
      <c r="AL787" s="97"/>
      <c r="AM787" s="97"/>
      <c r="AN787" s="97"/>
    </row>
    <row r="788" spans="24:40" x14ac:dyDescent="0.35">
      <c r="X788" s="97"/>
      <c r="Y788" s="97"/>
      <c r="Z788" s="97"/>
      <c r="AA788" s="97"/>
      <c r="AB788" s="97"/>
      <c r="AC788" s="97"/>
      <c r="AD788" s="97"/>
      <c r="AE788" s="97"/>
      <c r="AF788" s="97"/>
      <c r="AG788" s="97"/>
      <c r="AH788" s="97"/>
      <c r="AI788" s="97"/>
      <c r="AK788" s="97"/>
      <c r="AL788" s="97"/>
      <c r="AM788" s="97"/>
      <c r="AN788" s="97"/>
    </row>
    <row r="789" spans="24:40" x14ac:dyDescent="0.35">
      <c r="X789" s="97"/>
      <c r="Y789" s="97"/>
      <c r="Z789" s="97"/>
      <c r="AA789" s="97"/>
      <c r="AB789" s="97"/>
      <c r="AC789" s="97"/>
      <c r="AD789" s="97"/>
      <c r="AE789" s="97"/>
      <c r="AF789" s="97"/>
      <c r="AG789" s="97"/>
      <c r="AH789" s="97"/>
      <c r="AI789" s="97"/>
      <c r="AK789" s="97"/>
      <c r="AL789" s="97"/>
      <c r="AM789" s="97"/>
      <c r="AN789" s="97"/>
    </row>
    <row r="790" spans="24:40" x14ac:dyDescent="0.35">
      <c r="X790" s="97"/>
      <c r="Y790" s="97"/>
      <c r="Z790" s="97"/>
      <c r="AA790" s="97"/>
      <c r="AB790" s="97"/>
      <c r="AC790" s="97"/>
      <c r="AD790" s="97"/>
      <c r="AE790" s="97"/>
      <c r="AF790" s="97"/>
      <c r="AG790" s="97"/>
      <c r="AH790" s="97"/>
      <c r="AI790" s="97"/>
      <c r="AK790" s="97"/>
      <c r="AL790" s="97"/>
      <c r="AM790" s="97"/>
      <c r="AN790" s="97"/>
    </row>
    <row r="791" spans="24:40" x14ac:dyDescent="0.35">
      <c r="X791" s="97"/>
      <c r="Y791" s="97"/>
      <c r="Z791" s="97"/>
      <c r="AA791" s="97"/>
      <c r="AB791" s="97"/>
      <c r="AC791" s="97"/>
      <c r="AD791" s="97"/>
      <c r="AE791" s="97"/>
      <c r="AF791" s="97"/>
      <c r="AG791" s="97"/>
      <c r="AH791" s="97"/>
      <c r="AI791" s="97"/>
      <c r="AK791" s="97"/>
      <c r="AL791" s="97"/>
      <c r="AM791" s="97"/>
      <c r="AN791" s="97"/>
    </row>
    <row r="792" spans="24:40" x14ac:dyDescent="0.35">
      <c r="X792" s="97"/>
      <c r="Y792" s="97"/>
      <c r="Z792" s="97"/>
      <c r="AA792" s="97"/>
      <c r="AB792" s="97"/>
      <c r="AC792" s="97"/>
      <c r="AD792" s="97"/>
      <c r="AE792" s="97"/>
      <c r="AF792" s="97"/>
      <c r="AG792" s="97"/>
      <c r="AH792" s="97"/>
      <c r="AI792" s="97"/>
      <c r="AK792" s="97"/>
      <c r="AL792" s="97"/>
      <c r="AM792" s="97"/>
      <c r="AN792" s="97"/>
    </row>
    <row r="793" spans="24:40" x14ac:dyDescent="0.35">
      <c r="X793" s="97"/>
      <c r="Y793" s="97"/>
      <c r="Z793" s="97"/>
      <c r="AA793" s="97"/>
      <c r="AB793" s="97"/>
      <c r="AC793" s="97"/>
      <c r="AD793" s="97"/>
      <c r="AE793" s="97"/>
      <c r="AF793" s="97"/>
      <c r="AG793" s="97"/>
      <c r="AH793" s="97"/>
      <c r="AI793" s="97"/>
      <c r="AK793" s="97"/>
      <c r="AL793" s="97"/>
      <c r="AM793" s="97"/>
      <c r="AN793" s="97"/>
    </row>
    <row r="794" spans="24:40" x14ac:dyDescent="0.35">
      <c r="X794" s="97"/>
      <c r="Y794" s="97"/>
      <c r="Z794" s="97"/>
      <c r="AA794" s="97"/>
      <c r="AB794" s="97"/>
      <c r="AC794" s="97"/>
      <c r="AD794" s="97"/>
      <c r="AE794" s="97"/>
      <c r="AF794" s="97"/>
      <c r="AG794" s="97"/>
      <c r="AH794" s="97"/>
      <c r="AI794" s="97"/>
      <c r="AK794" s="97"/>
      <c r="AL794" s="97"/>
      <c r="AM794" s="97"/>
      <c r="AN794" s="97"/>
    </row>
    <row r="795" spans="24:40" x14ac:dyDescent="0.35">
      <c r="X795" s="97"/>
      <c r="Y795" s="97"/>
      <c r="Z795" s="97"/>
      <c r="AA795" s="97"/>
      <c r="AB795" s="97"/>
      <c r="AC795" s="97"/>
      <c r="AD795" s="97"/>
      <c r="AE795" s="97"/>
      <c r="AF795" s="97"/>
      <c r="AG795" s="97"/>
      <c r="AH795" s="97"/>
      <c r="AI795" s="97"/>
      <c r="AK795" s="97"/>
      <c r="AL795" s="97"/>
      <c r="AM795" s="97"/>
      <c r="AN795" s="97"/>
    </row>
    <row r="796" spans="24:40" x14ac:dyDescent="0.35">
      <c r="X796" s="97"/>
      <c r="Y796" s="97"/>
      <c r="Z796" s="97"/>
      <c r="AA796" s="97"/>
      <c r="AB796" s="97"/>
      <c r="AC796" s="97"/>
      <c r="AD796" s="97"/>
      <c r="AE796" s="97"/>
      <c r="AF796" s="97"/>
      <c r="AG796" s="97"/>
      <c r="AH796" s="97"/>
      <c r="AI796" s="97"/>
      <c r="AK796" s="97"/>
      <c r="AL796" s="97"/>
      <c r="AM796" s="97"/>
      <c r="AN796" s="97"/>
    </row>
    <row r="797" spans="24:40" x14ac:dyDescent="0.35">
      <c r="X797" s="97"/>
      <c r="Y797" s="97"/>
      <c r="Z797" s="97"/>
      <c r="AA797" s="97"/>
      <c r="AB797" s="97"/>
      <c r="AC797" s="97"/>
      <c r="AD797" s="97"/>
      <c r="AE797" s="97"/>
      <c r="AF797" s="97"/>
      <c r="AG797" s="97"/>
      <c r="AH797" s="97"/>
      <c r="AI797" s="97"/>
      <c r="AK797" s="97"/>
      <c r="AL797" s="97"/>
      <c r="AM797" s="97"/>
      <c r="AN797" s="97"/>
    </row>
    <row r="798" spans="24:40" x14ac:dyDescent="0.35">
      <c r="X798" s="97"/>
      <c r="Y798" s="97"/>
      <c r="Z798" s="97"/>
      <c r="AA798" s="97"/>
      <c r="AB798" s="97"/>
      <c r="AC798" s="97"/>
      <c r="AD798" s="97"/>
      <c r="AE798" s="97"/>
      <c r="AF798" s="97"/>
      <c r="AG798" s="97"/>
      <c r="AH798" s="97"/>
      <c r="AI798" s="97"/>
      <c r="AK798" s="97"/>
      <c r="AL798" s="97"/>
      <c r="AM798" s="97"/>
      <c r="AN798" s="97"/>
    </row>
    <row r="799" spans="24:40" x14ac:dyDescent="0.35">
      <c r="X799" s="97"/>
      <c r="Y799" s="97"/>
      <c r="Z799" s="97"/>
      <c r="AA799" s="97"/>
      <c r="AB799" s="97"/>
      <c r="AC799" s="97"/>
      <c r="AD799" s="97"/>
      <c r="AE799" s="97"/>
      <c r="AF799" s="97"/>
      <c r="AG799" s="97"/>
      <c r="AH799" s="97"/>
      <c r="AI799" s="97"/>
      <c r="AK799" s="97"/>
      <c r="AL799" s="97"/>
      <c r="AM799" s="97"/>
      <c r="AN799" s="97"/>
    </row>
    <row r="800" spans="24:40" x14ac:dyDescent="0.35">
      <c r="X800" s="97"/>
      <c r="Y800" s="97"/>
      <c r="Z800" s="97"/>
      <c r="AA800" s="97"/>
      <c r="AB800" s="97"/>
      <c r="AC800" s="97"/>
      <c r="AD800" s="97"/>
      <c r="AE800" s="97"/>
      <c r="AF800" s="97"/>
      <c r="AG800" s="97"/>
      <c r="AH800" s="97"/>
      <c r="AI800" s="97"/>
      <c r="AK800" s="97"/>
      <c r="AL800" s="97"/>
      <c r="AM800" s="97"/>
      <c r="AN800" s="97"/>
    </row>
    <row r="801" spans="24:40" x14ac:dyDescent="0.35">
      <c r="X801" s="97"/>
      <c r="Y801" s="97"/>
      <c r="Z801" s="97"/>
      <c r="AA801" s="97"/>
      <c r="AB801" s="97"/>
      <c r="AC801" s="97"/>
      <c r="AD801" s="97"/>
      <c r="AE801" s="97"/>
      <c r="AF801" s="97"/>
      <c r="AG801" s="97"/>
      <c r="AH801" s="97"/>
      <c r="AI801" s="97"/>
      <c r="AK801" s="97"/>
      <c r="AL801" s="97"/>
      <c r="AM801" s="97"/>
      <c r="AN801" s="97"/>
    </row>
    <row r="802" spans="24:40" x14ac:dyDescent="0.35">
      <c r="X802" s="97"/>
      <c r="Y802" s="97"/>
      <c r="Z802" s="97"/>
      <c r="AA802" s="97"/>
      <c r="AB802" s="97"/>
      <c r="AC802" s="97"/>
      <c r="AD802" s="97"/>
      <c r="AE802" s="97"/>
      <c r="AF802" s="97"/>
      <c r="AG802" s="97"/>
      <c r="AH802" s="97"/>
      <c r="AI802" s="97"/>
      <c r="AK802" s="97"/>
      <c r="AL802" s="97"/>
      <c r="AM802" s="97"/>
      <c r="AN802" s="97"/>
    </row>
    <row r="803" spans="24:40" x14ac:dyDescent="0.35">
      <c r="X803" s="97"/>
      <c r="Y803" s="97"/>
      <c r="Z803" s="97"/>
      <c r="AA803" s="97"/>
      <c r="AB803" s="97"/>
      <c r="AC803" s="97"/>
      <c r="AD803" s="97"/>
      <c r="AE803" s="97"/>
      <c r="AF803" s="97"/>
      <c r="AG803" s="97"/>
      <c r="AH803" s="97"/>
      <c r="AI803" s="97"/>
      <c r="AK803" s="97"/>
      <c r="AL803" s="97"/>
      <c r="AM803" s="97"/>
      <c r="AN803" s="97"/>
    </row>
    <row r="804" spans="24:40" x14ac:dyDescent="0.35">
      <c r="X804" s="97"/>
      <c r="Y804" s="97"/>
      <c r="Z804" s="97"/>
      <c r="AA804" s="97"/>
      <c r="AB804" s="97"/>
      <c r="AC804" s="97"/>
      <c r="AD804" s="97"/>
      <c r="AE804" s="97"/>
      <c r="AF804" s="97"/>
      <c r="AG804" s="97"/>
      <c r="AH804" s="97"/>
      <c r="AI804" s="97"/>
      <c r="AK804" s="97"/>
      <c r="AL804" s="97"/>
      <c r="AM804" s="97"/>
      <c r="AN804" s="97"/>
    </row>
    <row r="805" spans="24:40" x14ac:dyDescent="0.35">
      <c r="X805" s="97"/>
      <c r="Y805" s="97"/>
      <c r="Z805" s="97"/>
      <c r="AA805" s="97"/>
      <c r="AB805" s="97"/>
      <c r="AC805" s="97"/>
      <c r="AD805" s="97"/>
      <c r="AE805" s="97"/>
      <c r="AF805" s="97"/>
      <c r="AG805" s="97"/>
      <c r="AH805" s="97"/>
      <c r="AI805" s="97"/>
      <c r="AK805" s="97"/>
      <c r="AL805" s="97"/>
      <c r="AM805" s="97"/>
      <c r="AN805" s="97"/>
    </row>
    <row r="806" spans="24:40" x14ac:dyDescent="0.35">
      <c r="X806" s="97"/>
      <c r="Y806" s="97"/>
      <c r="Z806" s="97"/>
      <c r="AA806" s="97"/>
      <c r="AB806" s="97"/>
      <c r="AC806" s="97"/>
      <c r="AD806" s="97"/>
      <c r="AE806" s="97"/>
      <c r="AF806" s="97"/>
      <c r="AG806" s="97"/>
      <c r="AH806" s="97"/>
      <c r="AI806" s="97"/>
      <c r="AK806" s="97"/>
      <c r="AL806" s="97"/>
      <c r="AM806" s="97"/>
      <c r="AN806" s="97"/>
    </row>
    <row r="807" spans="24:40" x14ac:dyDescent="0.35">
      <c r="X807" s="97"/>
      <c r="Y807" s="97"/>
      <c r="Z807" s="97"/>
      <c r="AA807" s="97"/>
      <c r="AB807" s="97"/>
      <c r="AC807" s="97"/>
      <c r="AD807" s="97"/>
      <c r="AE807" s="97"/>
      <c r="AF807" s="97"/>
      <c r="AG807" s="97"/>
      <c r="AH807" s="97"/>
      <c r="AI807" s="97"/>
      <c r="AK807" s="97"/>
      <c r="AL807" s="97"/>
      <c r="AM807" s="97"/>
      <c r="AN807" s="97"/>
    </row>
    <row r="808" spans="24:40" x14ac:dyDescent="0.35">
      <c r="X808" s="97"/>
      <c r="Y808" s="97"/>
      <c r="Z808" s="97"/>
      <c r="AA808" s="97"/>
      <c r="AB808" s="97"/>
      <c r="AC808" s="97"/>
      <c r="AD808" s="97"/>
      <c r="AE808" s="97"/>
      <c r="AF808" s="97"/>
      <c r="AG808" s="97"/>
      <c r="AH808" s="97"/>
      <c r="AI808" s="97"/>
      <c r="AK808" s="97"/>
      <c r="AL808" s="97"/>
      <c r="AM808" s="97"/>
      <c r="AN808" s="97"/>
    </row>
    <row r="809" spans="24:40" x14ac:dyDescent="0.35">
      <c r="X809" s="97"/>
      <c r="Y809" s="97"/>
      <c r="Z809" s="97"/>
      <c r="AA809" s="97"/>
      <c r="AB809" s="97"/>
      <c r="AC809" s="97"/>
      <c r="AD809" s="97"/>
      <c r="AE809" s="97"/>
      <c r="AF809" s="97"/>
      <c r="AG809" s="97"/>
      <c r="AH809" s="97"/>
      <c r="AI809" s="97"/>
      <c r="AK809" s="97"/>
      <c r="AL809" s="97"/>
      <c r="AM809" s="97"/>
      <c r="AN809" s="97"/>
    </row>
    <row r="810" spans="24:40" x14ac:dyDescent="0.35">
      <c r="X810" s="97"/>
      <c r="Y810" s="97"/>
      <c r="Z810" s="97"/>
      <c r="AA810" s="97"/>
      <c r="AB810" s="97"/>
      <c r="AC810" s="97"/>
      <c r="AD810" s="97"/>
      <c r="AE810" s="97"/>
      <c r="AF810" s="97"/>
      <c r="AG810" s="97"/>
      <c r="AH810" s="97"/>
      <c r="AI810" s="97"/>
      <c r="AK810" s="97"/>
      <c r="AL810" s="97"/>
      <c r="AM810" s="97"/>
      <c r="AN810" s="97"/>
    </row>
    <row r="811" spans="24:40" x14ac:dyDescent="0.35">
      <c r="X811" s="97"/>
      <c r="Y811" s="97"/>
      <c r="Z811" s="97"/>
      <c r="AA811" s="97"/>
      <c r="AB811" s="97"/>
      <c r="AC811" s="97"/>
      <c r="AD811" s="97"/>
      <c r="AE811" s="97"/>
      <c r="AF811" s="97"/>
      <c r="AG811" s="97"/>
      <c r="AH811" s="97"/>
      <c r="AI811" s="97"/>
      <c r="AK811" s="97"/>
      <c r="AL811" s="97"/>
      <c r="AM811" s="97"/>
      <c r="AN811" s="97"/>
    </row>
    <row r="812" spans="24:40" x14ac:dyDescent="0.35">
      <c r="X812" s="97"/>
      <c r="Y812" s="97"/>
      <c r="Z812" s="97"/>
      <c r="AA812" s="97"/>
      <c r="AB812" s="97"/>
      <c r="AC812" s="97"/>
      <c r="AD812" s="97"/>
      <c r="AE812" s="97"/>
      <c r="AF812" s="97"/>
      <c r="AG812" s="97"/>
      <c r="AH812" s="97"/>
      <c r="AI812" s="97"/>
      <c r="AK812" s="97"/>
      <c r="AL812" s="97"/>
      <c r="AM812" s="97"/>
      <c r="AN812" s="97"/>
    </row>
    <row r="813" spans="24:40" x14ac:dyDescent="0.35">
      <c r="X813" s="97"/>
      <c r="Y813" s="97"/>
      <c r="Z813" s="97"/>
      <c r="AA813" s="97"/>
      <c r="AB813" s="97"/>
      <c r="AC813" s="97"/>
      <c r="AD813" s="97"/>
      <c r="AE813" s="97"/>
      <c r="AF813" s="97"/>
      <c r="AG813" s="97"/>
      <c r="AH813" s="97"/>
      <c r="AI813" s="97"/>
      <c r="AK813" s="97"/>
      <c r="AL813" s="97"/>
      <c r="AM813" s="97"/>
      <c r="AN813" s="97"/>
    </row>
    <row r="814" spans="24:40" x14ac:dyDescent="0.35">
      <c r="X814" s="97"/>
      <c r="Y814" s="97"/>
      <c r="Z814" s="97"/>
      <c r="AA814" s="97"/>
      <c r="AB814" s="97"/>
      <c r="AC814" s="97"/>
      <c r="AD814" s="97"/>
      <c r="AE814" s="97"/>
      <c r="AF814" s="97"/>
      <c r="AG814" s="97"/>
      <c r="AH814" s="97"/>
      <c r="AI814" s="97"/>
      <c r="AK814" s="97"/>
      <c r="AL814" s="97"/>
      <c r="AM814" s="97"/>
      <c r="AN814" s="97"/>
    </row>
    <row r="815" spans="24:40" x14ac:dyDescent="0.35">
      <c r="X815" s="97"/>
      <c r="Y815" s="97"/>
      <c r="Z815" s="97"/>
      <c r="AA815" s="97"/>
      <c r="AB815" s="97"/>
      <c r="AC815" s="97"/>
      <c r="AD815" s="97"/>
      <c r="AE815" s="97"/>
      <c r="AF815" s="97"/>
      <c r="AG815" s="97"/>
      <c r="AH815" s="97"/>
      <c r="AI815" s="97"/>
      <c r="AK815" s="97"/>
      <c r="AL815" s="97"/>
      <c r="AM815" s="97"/>
      <c r="AN815" s="97"/>
    </row>
    <row r="816" spans="24:40" x14ac:dyDescent="0.35">
      <c r="X816" s="97"/>
      <c r="Y816" s="97"/>
      <c r="Z816" s="97"/>
      <c r="AA816" s="97"/>
      <c r="AB816" s="97"/>
      <c r="AC816" s="97"/>
      <c r="AD816" s="97"/>
      <c r="AE816" s="97"/>
      <c r="AF816" s="97"/>
      <c r="AG816" s="97"/>
      <c r="AH816" s="97"/>
      <c r="AI816" s="97"/>
      <c r="AK816" s="97"/>
      <c r="AL816" s="97"/>
      <c r="AM816" s="97"/>
      <c r="AN816" s="97"/>
    </row>
    <row r="817" spans="24:40" x14ac:dyDescent="0.35">
      <c r="X817" s="97"/>
      <c r="Y817" s="97"/>
      <c r="Z817" s="97"/>
      <c r="AA817" s="97"/>
      <c r="AB817" s="97"/>
      <c r="AC817" s="97"/>
      <c r="AD817" s="97"/>
      <c r="AE817" s="97"/>
      <c r="AF817" s="97"/>
      <c r="AG817" s="97"/>
      <c r="AH817" s="97"/>
      <c r="AI817" s="97"/>
      <c r="AK817" s="97"/>
      <c r="AL817" s="97"/>
      <c r="AM817" s="97"/>
      <c r="AN817" s="97"/>
    </row>
    <row r="818" spans="24:40" x14ac:dyDescent="0.35">
      <c r="X818" s="97"/>
      <c r="Y818" s="97"/>
      <c r="Z818" s="97"/>
      <c r="AA818" s="97"/>
      <c r="AB818" s="97"/>
      <c r="AC818" s="97"/>
      <c r="AD818" s="97"/>
      <c r="AE818" s="97"/>
      <c r="AF818" s="97"/>
      <c r="AG818" s="97"/>
      <c r="AH818" s="97"/>
      <c r="AI818" s="97"/>
      <c r="AK818" s="97"/>
      <c r="AL818" s="97"/>
      <c r="AM818" s="97"/>
      <c r="AN818" s="97"/>
    </row>
    <row r="819" spans="24:40" x14ac:dyDescent="0.35">
      <c r="X819" s="97"/>
      <c r="Y819" s="97"/>
      <c r="Z819" s="97"/>
      <c r="AA819" s="97"/>
      <c r="AB819" s="97"/>
      <c r="AC819" s="97"/>
      <c r="AD819" s="97"/>
      <c r="AE819" s="97"/>
      <c r="AF819" s="97"/>
      <c r="AG819" s="97"/>
      <c r="AH819" s="97"/>
      <c r="AI819" s="97"/>
      <c r="AK819" s="97"/>
      <c r="AL819" s="97"/>
      <c r="AM819" s="97"/>
      <c r="AN819" s="97"/>
    </row>
    <row r="820" spans="24:40" x14ac:dyDescent="0.35">
      <c r="X820" s="97"/>
      <c r="Y820" s="97"/>
      <c r="Z820" s="97"/>
      <c r="AA820" s="97"/>
      <c r="AB820" s="97"/>
      <c r="AC820" s="97"/>
      <c r="AD820" s="97"/>
      <c r="AE820" s="97"/>
      <c r="AF820" s="97"/>
      <c r="AG820" s="97"/>
      <c r="AH820" s="97"/>
      <c r="AI820" s="97"/>
      <c r="AK820" s="97"/>
      <c r="AL820" s="97"/>
      <c r="AM820" s="97"/>
      <c r="AN820" s="97"/>
    </row>
    <row r="821" spans="24:40" x14ac:dyDescent="0.35">
      <c r="X821" s="97"/>
      <c r="Y821" s="97"/>
      <c r="Z821" s="97"/>
      <c r="AA821" s="97"/>
      <c r="AB821" s="97"/>
      <c r="AC821" s="97"/>
      <c r="AD821" s="97"/>
      <c r="AE821" s="97"/>
      <c r="AF821" s="97"/>
      <c r="AG821" s="97"/>
      <c r="AH821" s="97"/>
      <c r="AI821" s="97"/>
      <c r="AK821" s="97"/>
      <c r="AL821" s="97"/>
      <c r="AM821" s="97"/>
      <c r="AN821" s="97"/>
    </row>
    <row r="822" spans="24:40" x14ac:dyDescent="0.35">
      <c r="X822" s="97"/>
      <c r="Y822" s="97"/>
      <c r="Z822" s="97"/>
      <c r="AA822" s="97"/>
      <c r="AB822" s="97"/>
      <c r="AC822" s="97"/>
      <c r="AD822" s="97"/>
      <c r="AE822" s="97"/>
      <c r="AF822" s="97"/>
      <c r="AG822" s="97"/>
      <c r="AH822" s="97"/>
      <c r="AI822" s="97"/>
      <c r="AK822" s="97"/>
      <c r="AL822" s="97"/>
      <c r="AM822" s="97"/>
      <c r="AN822" s="97"/>
    </row>
    <row r="823" spans="24:40" x14ac:dyDescent="0.35">
      <c r="X823" s="97"/>
      <c r="Y823" s="97"/>
      <c r="Z823" s="97"/>
      <c r="AA823" s="97"/>
      <c r="AB823" s="97"/>
      <c r="AC823" s="97"/>
      <c r="AD823" s="97"/>
      <c r="AE823" s="97"/>
      <c r="AF823" s="97"/>
      <c r="AG823" s="97"/>
      <c r="AH823" s="97"/>
      <c r="AI823" s="97"/>
      <c r="AK823" s="97"/>
      <c r="AL823" s="97"/>
      <c r="AM823" s="97"/>
      <c r="AN823" s="97"/>
    </row>
    <row r="824" spans="24:40" x14ac:dyDescent="0.35">
      <c r="X824" s="97"/>
      <c r="Y824" s="97"/>
      <c r="Z824" s="97"/>
      <c r="AA824" s="97"/>
      <c r="AB824" s="97"/>
      <c r="AC824" s="97"/>
      <c r="AD824" s="97"/>
      <c r="AE824" s="97"/>
      <c r="AF824" s="97"/>
      <c r="AG824" s="97"/>
      <c r="AH824" s="97"/>
      <c r="AI824" s="97"/>
      <c r="AK824" s="97"/>
      <c r="AL824" s="97"/>
      <c r="AM824" s="97"/>
      <c r="AN824" s="97"/>
    </row>
    <row r="825" spans="24:40" x14ac:dyDescent="0.35">
      <c r="X825" s="97"/>
      <c r="Y825" s="97"/>
      <c r="Z825" s="97"/>
      <c r="AA825" s="97"/>
      <c r="AB825" s="97"/>
      <c r="AC825" s="97"/>
      <c r="AD825" s="97"/>
      <c r="AE825" s="97"/>
      <c r="AF825" s="97"/>
      <c r="AG825" s="97"/>
      <c r="AH825" s="97"/>
      <c r="AI825" s="97"/>
      <c r="AK825" s="97"/>
      <c r="AL825" s="97"/>
      <c r="AM825" s="97"/>
      <c r="AN825" s="97"/>
    </row>
    <row r="826" spans="24:40" x14ac:dyDescent="0.35">
      <c r="X826" s="97"/>
      <c r="Y826" s="97"/>
      <c r="Z826" s="97"/>
      <c r="AA826" s="97"/>
      <c r="AB826" s="97"/>
      <c r="AC826" s="97"/>
      <c r="AD826" s="97"/>
      <c r="AE826" s="97"/>
      <c r="AF826" s="97"/>
      <c r="AG826" s="97"/>
      <c r="AH826" s="97"/>
      <c r="AI826" s="97"/>
      <c r="AK826" s="97"/>
      <c r="AL826" s="97"/>
      <c r="AM826" s="97"/>
      <c r="AN826" s="97"/>
    </row>
    <row r="827" spans="24:40" x14ac:dyDescent="0.35">
      <c r="X827" s="97"/>
      <c r="Y827" s="97"/>
      <c r="Z827" s="97"/>
      <c r="AA827" s="97"/>
      <c r="AB827" s="97"/>
      <c r="AC827" s="97"/>
      <c r="AD827" s="97"/>
      <c r="AE827" s="97"/>
      <c r="AF827" s="97"/>
      <c r="AG827" s="97"/>
      <c r="AH827" s="97"/>
      <c r="AI827" s="97"/>
      <c r="AK827" s="97"/>
      <c r="AL827" s="97"/>
      <c r="AM827" s="97"/>
      <c r="AN827" s="97"/>
    </row>
    <row r="828" spans="24:40" x14ac:dyDescent="0.35">
      <c r="X828" s="97"/>
      <c r="Y828" s="97"/>
      <c r="Z828" s="97"/>
      <c r="AA828" s="97"/>
      <c r="AB828" s="97"/>
      <c r="AC828" s="97"/>
      <c r="AD828" s="97"/>
      <c r="AE828" s="97"/>
      <c r="AF828" s="97"/>
      <c r="AG828" s="97"/>
      <c r="AH828" s="97"/>
      <c r="AI828" s="97"/>
      <c r="AK828" s="97"/>
      <c r="AL828" s="97"/>
      <c r="AM828" s="97"/>
      <c r="AN828" s="97"/>
    </row>
    <row r="829" spans="24:40" x14ac:dyDescent="0.35">
      <c r="X829" s="97"/>
      <c r="Y829" s="97"/>
      <c r="Z829" s="97"/>
      <c r="AA829" s="97"/>
      <c r="AB829" s="97"/>
      <c r="AC829" s="97"/>
      <c r="AD829" s="97"/>
      <c r="AE829" s="97"/>
      <c r="AF829" s="97"/>
      <c r="AG829" s="97"/>
      <c r="AH829" s="97"/>
      <c r="AI829" s="97"/>
      <c r="AK829" s="97"/>
      <c r="AL829" s="97"/>
      <c r="AM829" s="97"/>
      <c r="AN829" s="97"/>
    </row>
    <row r="830" spans="24:40" x14ac:dyDescent="0.35">
      <c r="X830" s="97"/>
      <c r="Y830" s="97"/>
      <c r="Z830" s="97"/>
      <c r="AA830" s="97"/>
      <c r="AB830" s="97"/>
      <c r="AC830" s="97"/>
      <c r="AD830" s="97"/>
      <c r="AE830" s="97"/>
      <c r="AF830" s="97"/>
      <c r="AG830" s="97"/>
      <c r="AH830" s="97"/>
      <c r="AI830" s="97"/>
      <c r="AK830" s="97"/>
      <c r="AL830" s="97"/>
      <c r="AM830" s="97"/>
      <c r="AN830" s="97"/>
    </row>
    <row r="831" spans="24:40" x14ac:dyDescent="0.35">
      <c r="X831" s="97"/>
      <c r="Y831" s="97"/>
      <c r="Z831" s="97"/>
      <c r="AA831" s="97"/>
      <c r="AB831" s="97"/>
      <c r="AC831" s="97"/>
      <c r="AD831" s="97"/>
      <c r="AE831" s="97"/>
      <c r="AF831" s="97"/>
      <c r="AG831" s="97"/>
      <c r="AH831" s="97"/>
      <c r="AI831" s="97"/>
      <c r="AK831" s="97"/>
      <c r="AL831" s="97"/>
      <c r="AM831" s="97"/>
      <c r="AN831" s="97"/>
    </row>
    <row r="832" spans="24:40" x14ac:dyDescent="0.35">
      <c r="X832" s="97"/>
      <c r="Y832" s="97"/>
      <c r="Z832" s="97"/>
      <c r="AA832" s="97"/>
      <c r="AB832" s="97"/>
      <c r="AC832" s="97"/>
      <c r="AD832" s="97"/>
      <c r="AE832" s="97"/>
      <c r="AF832" s="97"/>
      <c r="AG832" s="97"/>
      <c r="AH832" s="97"/>
      <c r="AI832" s="97"/>
      <c r="AK832" s="97"/>
      <c r="AL832" s="97"/>
      <c r="AM832" s="97"/>
      <c r="AN832" s="97"/>
    </row>
    <row r="833" spans="24:40" x14ac:dyDescent="0.35">
      <c r="X833" s="97"/>
      <c r="Y833" s="97"/>
      <c r="Z833" s="97"/>
      <c r="AA833" s="97"/>
      <c r="AB833" s="97"/>
      <c r="AC833" s="97"/>
      <c r="AD833" s="97"/>
      <c r="AE833" s="97"/>
      <c r="AF833" s="97"/>
      <c r="AG833" s="97"/>
      <c r="AH833" s="97"/>
      <c r="AI833" s="97"/>
      <c r="AK833" s="97"/>
      <c r="AL833" s="97"/>
      <c r="AM833" s="97"/>
      <c r="AN833" s="97"/>
    </row>
    <row r="834" spans="24:40" x14ac:dyDescent="0.35">
      <c r="X834" s="97"/>
      <c r="Y834" s="97"/>
      <c r="Z834" s="97"/>
      <c r="AA834" s="97"/>
      <c r="AB834" s="97"/>
      <c r="AC834" s="97"/>
      <c r="AD834" s="97"/>
      <c r="AE834" s="97"/>
      <c r="AF834" s="97"/>
      <c r="AG834" s="97"/>
      <c r="AH834" s="97"/>
      <c r="AI834" s="97"/>
      <c r="AK834" s="97"/>
      <c r="AL834" s="97"/>
      <c r="AM834" s="97"/>
      <c r="AN834" s="97"/>
    </row>
    <row r="835" spans="24:40" x14ac:dyDescent="0.35">
      <c r="X835" s="97"/>
      <c r="Y835" s="97"/>
      <c r="Z835" s="97"/>
      <c r="AA835" s="97"/>
      <c r="AB835" s="97"/>
      <c r="AC835" s="97"/>
      <c r="AD835" s="97"/>
      <c r="AE835" s="97"/>
      <c r="AF835" s="97"/>
      <c r="AG835" s="97"/>
      <c r="AH835" s="97"/>
      <c r="AI835" s="97"/>
      <c r="AK835" s="97"/>
      <c r="AL835" s="97"/>
      <c r="AM835" s="97"/>
      <c r="AN835" s="97"/>
    </row>
    <row r="836" spans="24:40" x14ac:dyDescent="0.35">
      <c r="X836" s="97"/>
      <c r="Y836" s="97"/>
      <c r="Z836" s="97"/>
      <c r="AA836" s="97"/>
      <c r="AB836" s="97"/>
      <c r="AC836" s="97"/>
      <c r="AD836" s="97"/>
      <c r="AE836" s="97"/>
      <c r="AF836" s="97"/>
      <c r="AG836" s="97"/>
      <c r="AH836" s="97"/>
      <c r="AI836" s="97"/>
      <c r="AK836" s="97"/>
      <c r="AL836" s="97"/>
      <c r="AM836" s="97"/>
      <c r="AN836" s="97"/>
    </row>
    <row r="837" spans="24:40" x14ac:dyDescent="0.35">
      <c r="X837" s="97"/>
      <c r="Y837" s="97"/>
      <c r="Z837" s="97"/>
      <c r="AA837" s="97"/>
      <c r="AB837" s="97"/>
      <c r="AC837" s="97"/>
      <c r="AD837" s="97"/>
      <c r="AE837" s="97"/>
      <c r="AF837" s="97"/>
      <c r="AG837" s="97"/>
      <c r="AH837" s="97"/>
      <c r="AI837" s="97"/>
      <c r="AK837" s="97"/>
      <c r="AL837" s="97"/>
      <c r="AM837" s="97"/>
      <c r="AN837" s="97"/>
    </row>
    <row r="838" spans="24:40" x14ac:dyDescent="0.35">
      <c r="X838" s="97"/>
      <c r="Y838" s="97"/>
      <c r="Z838" s="97"/>
      <c r="AA838" s="97"/>
      <c r="AB838" s="97"/>
      <c r="AC838" s="97"/>
      <c r="AD838" s="97"/>
      <c r="AE838" s="97"/>
      <c r="AF838" s="97"/>
      <c r="AG838" s="97"/>
      <c r="AH838" s="97"/>
      <c r="AI838" s="97"/>
      <c r="AK838" s="97"/>
      <c r="AL838" s="97"/>
      <c r="AM838" s="97"/>
      <c r="AN838" s="97"/>
    </row>
    <row r="839" spans="24:40" x14ac:dyDescent="0.35">
      <c r="X839" s="97"/>
      <c r="Y839" s="97"/>
      <c r="Z839" s="97"/>
      <c r="AA839" s="97"/>
      <c r="AB839" s="97"/>
      <c r="AC839" s="97"/>
      <c r="AD839" s="97"/>
      <c r="AE839" s="97"/>
      <c r="AF839" s="97"/>
      <c r="AG839" s="97"/>
      <c r="AH839" s="97"/>
      <c r="AI839" s="97"/>
      <c r="AK839" s="97"/>
      <c r="AL839" s="97"/>
      <c r="AM839" s="97"/>
      <c r="AN839" s="97"/>
    </row>
    <row r="840" spans="24:40" x14ac:dyDescent="0.35">
      <c r="X840" s="97"/>
      <c r="Y840" s="97"/>
      <c r="Z840" s="97"/>
      <c r="AA840" s="97"/>
      <c r="AB840" s="97"/>
      <c r="AC840" s="97"/>
      <c r="AD840" s="97"/>
      <c r="AE840" s="97"/>
      <c r="AF840" s="97"/>
      <c r="AG840" s="97"/>
      <c r="AH840" s="97"/>
      <c r="AI840" s="97"/>
      <c r="AK840" s="97"/>
      <c r="AL840" s="97"/>
      <c r="AM840" s="97"/>
      <c r="AN840" s="97"/>
    </row>
    <row r="841" spans="24:40" x14ac:dyDescent="0.35">
      <c r="X841" s="97"/>
      <c r="Y841" s="97"/>
      <c r="Z841" s="97"/>
      <c r="AA841" s="97"/>
      <c r="AB841" s="97"/>
      <c r="AC841" s="97"/>
      <c r="AD841" s="97"/>
      <c r="AE841" s="97"/>
      <c r="AF841" s="97"/>
      <c r="AG841" s="97"/>
      <c r="AH841" s="97"/>
      <c r="AI841" s="97"/>
      <c r="AK841" s="97"/>
      <c r="AL841" s="97"/>
      <c r="AM841" s="97"/>
      <c r="AN841" s="97"/>
    </row>
    <row r="842" spans="24:40" x14ac:dyDescent="0.35">
      <c r="X842" s="97"/>
      <c r="Y842" s="97"/>
      <c r="Z842" s="97"/>
      <c r="AA842" s="97"/>
      <c r="AB842" s="97"/>
      <c r="AC842" s="97"/>
      <c r="AD842" s="97"/>
      <c r="AE842" s="97"/>
      <c r="AF842" s="97"/>
      <c r="AG842" s="97"/>
      <c r="AH842" s="97"/>
      <c r="AI842" s="97"/>
      <c r="AK842" s="97"/>
      <c r="AL842" s="97"/>
      <c r="AM842" s="97"/>
      <c r="AN842" s="97"/>
    </row>
    <row r="843" spans="24:40" x14ac:dyDescent="0.35">
      <c r="X843" s="97"/>
      <c r="Y843" s="97"/>
      <c r="Z843" s="97"/>
      <c r="AA843" s="97"/>
      <c r="AB843" s="97"/>
      <c r="AC843" s="97"/>
      <c r="AD843" s="97"/>
      <c r="AE843" s="97"/>
      <c r="AF843" s="97"/>
      <c r="AG843" s="97"/>
      <c r="AH843" s="97"/>
      <c r="AI843" s="97"/>
      <c r="AK843" s="97"/>
      <c r="AL843" s="97"/>
      <c r="AM843" s="97"/>
      <c r="AN843" s="97"/>
    </row>
    <row r="844" spans="24:40" x14ac:dyDescent="0.35">
      <c r="X844" s="97"/>
      <c r="Y844" s="97"/>
      <c r="Z844" s="97"/>
      <c r="AA844" s="97"/>
      <c r="AB844" s="97"/>
      <c r="AC844" s="97"/>
      <c r="AD844" s="97"/>
      <c r="AE844" s="97"/>
      <c r="AF844" s="97"/>
      <c r="AG844" s="97"/>
      <c r="AH844" s="97"/>
      <c r="AI844" s="97"/>
      <c r="AK844" s="97"/>
      <c r="AL844" s="97"/>
      <c r="AM844" s="97"/>
      <c r="AN844" s="97"/>
    </row>
    <row r="845" spans="24:40" x14ac:dyDescent="0.35">
      <c r="X845" s="97"/>
      <c r="Y845" s="97"/>
      <c r="Z845" s="97"/>
      <c r="AA845" s="97"/>
      <c r="AB845" s="97"/>
      <c r="AC845" s="97"/>
      <c r="AD845" s="97"/>
      <c r="AE845" s="97"/>
      <c r="AF845" s="97"/>
      <c r="AG845" s="97"/>
      <c r="AH845" s="97"/>
      <c r="AI845" s="97"/>
      <c r="AK845" s="97"/>
      <c r="AL845" s="97"/>
      <c r="AM845" s="97"/>
      <c r="AN845" s="97"/>
    </row>
    <row r="846" spans="24:40" x14ac:dyDescent="0.35">
      <c r="X846" s="97"/>
      <c r="Y846" s="97"/>
      <c r="Z846" s="97"/>
      <c r="AA846" s="97"/>
      <c r="AB846" s="97"/>
      <c r="AC846" s="97"/>
      <c r="AD846" s="97"/>
      <c r="AE846" s="97"/>
      <c r="AF846" s="97"/>
      <c r="AG846" s="97"/>
      <c r="AH846" s="97"/>
      <c r="AI846" s="97"/>
      <c r="AK846" s="97"/>
      <c r="AL846" s="97"/>
      <c r="AM846" s="97"/>
      <c r="AN846" s="97"/>
    </row>
    <row r="847" spans="24:40" x14ac:dyDescent="0.35">
      <c r="X847" s="97"/>
      <c r="Y847" s="97"/>
      <c r="Z847" s="97"/>
      <c r="AA847" s="97"/>
      <c r="AB847" s="97"/>
      <c r="AC847" s="97"/>
      <c r="AD847" s="97"/>
      <c r="AE847" s="97"/>
      <c r="AF847" s="97"/>
      <c r="AG847" s="97"/>
      <c r="AH847" s="97"/>
      <c r="AI847" s="97"/>
      <c r="AK847" s="97"/>
      <c r="AL847" s="97"/>
      <c r="AM847" s="97"/>
      <c r="AN847" s="97"/>
    </row>
    <row r="848" spans="24:40" x14ac:dyDescent="0.35">
      <c r="X848" s="97"/>
      <c r="Y848" s="97"/>
      <c r="Z848" s="97"/>
      <c r="AA848" s="97"/>
      <c r="AB848" s="97"/>
      <c r="AC848" s="97"/>
      <c r="AD848" s="97"/>
      <c r="AE848" s="97"/>
      <c r="AF848" s="97"/>
      <c r="AG848" s="97"/>
      <c r="AH848" s="97"/>
      <c r="AI848" s="97"/>
      <c r="AK848" s="97"/>
      <c r="AL848" s="97"/>
      <c r="AM848" s="97"/>
      <c r="AN848" s="97"/>
    </row>
    <row r="849" spans="24:40" x14ac:dyDescent="0.35">
      <c r="X849" s="97"/>
      <c r="Y849" s="97"/>
      <c r="Z849" s="97"/>
      <c r="AA849" s="97"/>
      <c r="AB849" s="97"/>
      <c r="AC849" s="97"/>
      <c r="AD849" s="97"/>
      <c r="AE849" s="97"/>
      <c r="AF849" s="97"/>
      <c r="AG849" s="97"/>
      <c r="AH849" s="97"/>
      <c r="AI849" s="97"/>
      <c r="AK849" s="97"/>
      <c r="AL849" s="97"/>
      <c r="AM849" s="97"/>
      <c r="AN849" s="97"/>
    </row>
    <row r="850" spans="24:40" x14ac:dyDescent="0.35">
      <c r="X850" s="97"/>
      <c r="Y850" s="97"/>
      <c r="Z850" s="97"/>
      <c r="AA850" s="97"/>
      <c r="AB850" s="97"/>
      <c r="AC850" s="97"/>
      <c r="AD850" s="97"/>
      <c r="AE850" s="97"/>
      <c r="AF850" s="97"/>
      <c r="AG850" s="97"/>
      <c r="AH850" s="97"/>
      <c r="AI850" s="97"/>
      <c r="AK850" s="97"/>
      <c r="AL850" s="97"/>
      <c r="AM850" s="97"/>
      <c r="AN850" s="97"/>
    </row>
    <row r="851" spans="24:40" x14ac:dyDescent="0.35">
      <c r="X851" s="97"/>
      <c r="Y851" s="97"/>
      <c r="Z851" s="97"/>
      <c r="AA851" s="97"/>
      <c r="AB851" s="97"/>
      <c r="AC851" s="97"/>
      <c r="AD851" s="97"/>
      <c r="AE851" s="97"/>
      <c r="AF851" s="97"/>
      <c r="AG851" s="97"/>
      <c r="AH851" s="97"/>
      <c r="AI851" s="97"/>
      <c r="AK851" s="97"/>
      <c r="AL851" s="97"/>
      <c r="AM851" s="97"/>
      <c r="AN851" s="97"/>
    </row>
    <row r="852" spans="24:40" x14ac:dyDescent="0.35">
      <c r="X852" s="97"/>
      <c r="Y852" s="97"/>
      <c r="Z852" s="97"/>
      <c r="AA852" s="97"/>
      <c r="AB852" s="97"/>
      <c r="AC852" s="97"/>
      <c r="AD852" s="97"/>
      <c r="AE852" s="97"/>
      <c r="AF852" s="97"/>
      <c r="AG852" s="97"/>
      <c r="AH852" s="97"/>
      <c r="AI852" s="97"/>
      <c r="AK852" s="97"/>
      <c r="AL852" s="97"/>
      <c r="AM852" s="97"/>
      <c r="AN852" s="97"/>
    </row>
    <row r="853" spans="24:40" x14ac:dyDescent="0.35">
      <c r="X853" s="97"/>
      <c r="Y853" s="97"/>
      <c r="Z853" s="97"/>
      <c r="AA853" s="97"/>
      <c r="AB853" s="97"/>
      <c r="AC853" s="97"/>
      <c r="AD853" s="97"/>
      <c r="AE853" s="97"/>
      <c r="AF853" s="97"/>
      <c r="AG853" s="97"/>
      <c r="AH853" s="97"/>
      <c r="AI853" s="97"/>
      <c r="AK853" s="97"/>
      <c r="AL853" s="97"/>
      <c r="AM853" s="97"/>
      <c r="AN853" s="97"/>
    </row>
    <row r="854" spans="24:40" x14ac:dyDescent="0.35">
      <c r="X854" s="97"/>
      <c r="Y854" s="97"/>
      <c r="Z854" s="97"/>
      <c r="AA854" s="97"/>
      <c r="AB854" s="97"/>
      <c r="AC854" s="97"/>
      <c r="AD854" s="97"/>
      <c r="AE854" s="97"/>
      <c r="AF854" s="97"/>
      <c r="AG854" s="97"/>
      <c r="AH854" s="97"/>
      <c r="AI854" s="97"/>
      <c r="AK854" s="97"/>
      <c r="AL854" s="97"/>
      <c r="AM854" s="97"/>
      <c r="AN854" s="97"/>
    </row>
    <row r="855" spans="24:40" x14ac:dyDescent="0.35">
      <c r="X855" s="97"/>
      <c r="Y855" s="97"/>
      <c r="Z855" s="97"/>
      <c r="AA855" s="97"/>
      <c r="AB855" s="97"/>
      <c r="AC855" s="97"/>
      <c r="AD855" s="97"/>
      <c r="AE855" s="97"/>
      <c r="AF855" s="97"/>
      <c r="AG855" s="97"/>
      <c r="AH855" s="97"/>
      <c r="AI855" s="97"/>
      <c r="AK855" s="97"/>
      <c r="AL855" s="97"/>
      <c r="AM855" s="97"/>
      <c r="AN855" s="97"/>
    </row>
    <row r="856" spans="24:40" x14ac:dyDescent="0.35">
      <c r="X856" s="97"/>
      <c r="Y856" s="97"/>
      <c r="Z856" s="97"/>
      <c r="AA856" s="97"/>
      <c r="AB856" s="97"/>
      <c r="AC856" s="97"/>
      <c r="AD856" s="97"/>
      <c r="AE856" s="97"/>
      <c r="AF856" s="97"/>
      <c r="AG856" s="97"/>
      <c r="AH856" s="97"/>
      <c r="AI856" s="97"/>
      <c r="AK856" s="97"/>
      <c r="AL856" s="97"/>
      <c r="AM856" s="97"/>
      <c r="AN856" s="97"/>
    </row>
    <row r="857" spans="24:40" x14ac:dyDescent="0.35">
      <c r="X857" s="97"/>
      <c r="Y857" s="97"/>
      <c r="Z857" s="97"/>
      <c r="AA857" s="97"/>
      <c r="AB857" s="97"/>
      <c r="AC857" s="97"/>
      <c r="AD857" s="97"/>
      <c r="AE857" s="97"/>
      <c r="AF857" s="97"/>
      <c r="AG857" s="97"/>
      <c r="AH857" s="97"/>
      <c r="AI857" s="97"/>
      <c r="AK857" s="97"/>
      <c r="AL857" s="97"/>
      <c r="AM857" s="97"/>
      <c r="AN857" s="97"/>
    </row>
    <row r="858" spans="24:40" x14ac:dyDescent="0.35">
      <c r="X858" s="97"/>
      <c r="Y858" s="97"/>
      <c r="Z858" s="97"/>
      <c r="AA858" s="97"/>
      <c r="AB858" s="97"/>
      <c r="AC858" s="97"/>
      <c r="AD858" s="97"/>
      <c r="AE858" s="97"/>
      <c r="AF858" s="97"/>
      <c r="AG858" s="97"/>
      <c r="AH858" s="97"/>
      <c r="AI858" s="97"/>
      <c r="AK858" s="97"/>
      <c r="AL858" s="97"/>
      <c r="AM858" s="97"/>
      <c r="AN858" s="97"/>
    </row>
    <row r="859" spans="24:40" x14ac:dyDescent="0.35">
      <c r="X859" s="97"/>
      <c r="Y859" s="97"/>
      <c r="Z859" s="97"/>
      <c r="AA859" s="97"/>
      <c r="AB859" s="97"/>
      <c r="AC859" s="97"/>
      <c r="AD859" s="97"/>
      <c r="AE859" s="97"/>
      <c r="AF859" s="97"/>
      <c r="AG859" s="97"/>
      <c r="AH859" s="97"/>
      <c r="AI859" s="97"/>
      <c r="AK859" s="97"/>
      <c r="AL859" s="97"/>
      <c r="AM859" s="97"/>
      <c r="AN859" s="97"/>
    </row>
    <row r="860" spans="24:40" x14ac:dyDescent="0.35">
      <c r="X860" s="97"/>
      <c r="Y860" s="97"/>
      <c r="Z860" s="97"/>
      <c r="AA860" s="97"/>
      <c r="AB860" s="97"/>
      <c r="AC860" s="97"/>
      <c r="AD860" s="97"/>
      <c r="AE860" s="97"/>
      <c r="AF860" s="97"/>
      <c r="AG860" s="97"/>
      <c r="AH860" s="97"/>
      <c r="AI860" s="97"/>
      <c r="AK860" s="97"/>
      <c r="AL860" s="97"/>
      <c r="AM860" s="97"/>
      <c r="AN860" s="97"/>
    </row>
    <row r="861" spans="24:40" x14ac:dyDescent="0.35">
      <c r="X861" s="97"/>
      <c r="Y861" s="97"/>
      <c r="Z861" s="97"/>
      <c r="AA861" s="97"/>
      <c r="AB861" s="97"/>
      <c r="AC861" s="97"/>
      <c r="AD861" s="97"/>
      <c r="AE861" s="97"/>
      <c r="AF861" s="97"/>
      <c r="AG861" s="97"/>
      <c r="AH861" s="97"/>
      <c r="AI861" s="97"/>
      <c r="AK861" s="97"/>
      <c r="AL861" s="97"/>
      <c r="AM861" s="97"/>
      <c r="AN861" s="97"/>
    </row>
    <row r="862" spans="24:40" x14ac:dyDescent="0.35">
      <c r="X862" s="97"/>
      <c r="Y862" s="97"/>
      <c r="Z862" s="97"/>
      <c r="AA862" s="97"/>
      <c r="AB862" s="97"/>
      <c r="AC862" s="97"/>
      <c r="AD862" s="97"/>
      <c r="AE862" s="97"/>
      <c r="AF862" s="97"/>
      <c r="AG862" s="97"/>
      <c r="AH862" s="97"/>
      <c r="AI862" s="97"/>
      <c r="AK862" s="97"/>
      <c r="AL862" s="97"/>
      <c r="AM862" s="97"/>
      <c r="AN862" s="97"/>
    </row>
    <row r="863" spans="24:40" x14ac:dyDescent="0.35">
      <c r="X863" s="97"/>
      <c r="Y863" s="97"/>
      <c r="Z863" s="97"/>
      <c r="AA863" s="97"/>
      <c r="AB863" s="97"/>
      <c r="AC863" s="97"/>
      <c r="AD863" s="97"/>
      <c r="AE863" s="97"/>
      <c r="AF863" s="97"/>
      <c r="AG863" s="97"/>
      <c r="AH863" s="97"/>
      <c r="AI863" s="97"/>
      <c r="AK863" s="97"/>
      <c r="AL863" s="97"/>
      <c r="AM863" s="97"/>
      <c r="AN863" s="97"/>
    </row>
    <row r="864" spans="24:40" x14ac:dyDescent="0.35">
      <c r="X864" s="97"/>
      <c r="Y864" s="97"/>
      <c r="Z864" s="97"/>
      <c r="AA864" s="97"/>
      <c r="AB864" s="97"/>
      <c r="AC864" s="97"/>
      <c r="AD864" s="97"/>
      <c r="AE864" s="97"/>
      <c r="AF864" s="97"/>
      <c r="AG864" s="97"/>
      <c r="AH864" s="97"/>
      <c r="AI864" s="97"/>
      <c r="AK864" s="97"/>
      <c r="AL864" s="97"/>
      <c r="AM864" s="97"/>
      <c r="AN864" s="97"/>
    </row>
    <row r="865" spans="24:40" x14ac:dyDescent="0.35">
      <c r="X865" s="97"/>
      <c r="Y865" s="97"/>
      <c r="Z865" s="97"/>
      <c r="AA865" s="97"/>
      <c r="AB865" s="97"/>
      <c r="AC865" s="97"/>
      <c r="AD865" s="97"/>
      <c r="AE865" s="97"/>
      <c r="AF865" s="97"/>
      <c r="AG865" s="97"/>
      <c r="AH865" s="97"/>
      <c r="AI865" s="97"/>
      <c r="AK865" s="97"/>
      <c r="AL865" s="97"/>
      <c r="AM865" s="97"/>
      <c r="AN865" s="97"/>
    </row>
    <row r="866" spans="24:40" x14ac:dyDescent="0.35">
      <c r="X866" s="97"/>
      <c r="Y866" s="97"/>
      <c r="Z866" s="97"/>
      <c r="AA866" s="97"/>
      <c r="AB866" s="97"/>
      <c r="AC866" s="97"/>
      <c r="AD866" s="97"/>
      <c r="AE866" s="97"/>
      <c r="AF866" s="97"/>
      <c r="AG866" s="97"/>
      <c r="AH866" s="97"/>
      <c r="AI866" s="97"/>
      <c r="AK866" s="97"/>
      <c r="AL866" s="97"/>
      <c r="AM866" s="97"/>
      <c r="AN866" s="97"/>
    </row>
    <row r="867" spans="24:40" x14ac:dyDescent="0.35">
      <c r="X867" s="97"/>
      <c r="Y867" s="97"/>
      <c r="Z867" s="97"/>
      <c r="AA867" s="97"/>
      <c r="AB867" s="97"/>
      <c r="AC867" s="97"/>
      <c r="AD867" s="97"/>
      <c r="AE867" s="97"/>
      <c r="AF867" s="97"/>
      <c r="AG867" s="97"/>
      <c r="AH867" s="97"/>
      <c r="AI867" s="97"/>
      <c r="AK867" s="97"/>
      <c r="AL867" s="97"/>
      <c r="AM867" s="97"/>
      <c r="AN867" s="97"/>
    </row>
    <row r="868" spans="24:40" x14ac:dyDescent="0.35">
      <c r="X868" s="97"/>
      <c r="Y868" s="97"/>
      <c r="Z868" s="97"/>
      <c r="AA868" s="97"/>
      <c r="AB868" s="97"/>
      <c r="AC868" s="97"/>
      <c r="AD868" s="97"/>
      <c r="AE868" s="97"/>
      <c r="AF868" s="97"/>
      <c r="AG868" s="97"/>
      <c r="AH868" s="97"/>
      <c r="AI868" s="97"/>
      <c r="AK868" s="97"/>
      <c r="AL868" s="97"/>
      <c r="AM868" s="97"/>
      <c r="AN868" s="97"/>
    </row>
    <row r="869" spans="24:40" x14ac:dyDescent="0.35">
      <c r="X869" s="97"/>
      <c r="Y869" s="97"/>
      <c r="Z869" s="97"/>
      <c r="AA869" s="97"/>
      <c r="AB869" s="97"/>
      <c r="AC869" s="97"/>
      <c r="AD869" s="97"/>
      <c r="AE869" s="97"/>
      <c r="AF869" s="97"/>
      <c r="AG869" s="97"/>
      <c r="AH869" s="97"/>
      <c r="AI869" s="97"/>
      <c r="AK869" s="97"/>
      <c r="AL869" s="97"/>
      <c r="AM869" s="97"/>
      <c r="AN869" s="97"/>
    </row>
    <row r="870" spans="24:40" x14ac:dyDescent="0.35">
      <c r="X870" s="97"/>
      <c r="Y870" s="97"/>
      <c r="Z870" s="97"/>
      <c r="AA870" s="97"/>
      <c r="AB870" s="97"/>
      <c r="AC870" s="97"/>
      <c r="AD870" s="97"/>
      <c r="AE870" s="97"/>
      <c r="AF870" s="97"/>
      <c r="AG870" s="97"/>
      <c r="AH870" s="97"/>
      <c r="AI870" s="97"/>
      <c r="AK870" s="97"/>
      <c r="AL870" s="97"/>
      <c r="AM870" s="97"/>
      <c r="AN870" s="97"/>
    </row>
    <row r="871" spans="24:40" x14ac:dyDescent="0.35">
      <c r="X871" s="97"/>
      <c r="Y871" s="97"/>
      <c r="Z871" s="97"/>
      <c r="AA871" s="97"/>
      <c r="AB871" s="97"/>
      <c r="AC871" s="97"/>
      <c r="AD871" s="97"/>
      <c r="AE871" s="97"/>
      <c r="AF871" s="97"/>
      <c r="AG871" s="97"/>
      <c r="AH871" s="97"/>
      <c r="AI871" s="97"/>
      <c r="AK871" s="97"/>
      <c r="AL871" s="97"/>
      <c r="AM871" s="97"/>
      <c r="AN871" s="97"/>
    </row>
    <row r="872" spans="24:40" x14ac:dyDescent="0.35">
      <c r="X872" s="97"/>
      <c r="Y872" s="97"/>
      <c r="Z872" s="97"/>
      <c r="AA872" s="97"/>
      <c r="AB872" s="97"/>
      <c r="AC872" s="97"/>
      <c r="AD872" s="97"/>
      <c r="AE872" s="97"/>
      <c r="AF872" s="97"/>
      <c r="AG872" s="97"/>
      <c r="AH872" s="97"/>
      <c r="AI872" s="97"/>
      <c r="AK872" s="97"/>
      <c r="AL872" s="97"/>
      <c r="AM872" s="97"/>
      <c r="AN872" s="97"/>
    </row>
    <row r="873" spans="24:40" x14ac:dyDescent="0.35">
      <c r="X873" s="97"/>
      <c r="Y873" s="97"/>
      <c r="Z873" s="97"/>
      <c r="AA873" s="97"/>
      <c r="AB873" s="97"/>
      <c r="AC873" s="97"/>
      <c r="AD873" s="97"/>
      <c r="AE873" s="97"/>
      <c r="AF873" s="97"/>
      <c r="AG873" s="97"/>
      <c r="AH873" s="97"/>
      <c r="AI873" s="97"/>
      <c r="AK873" s="97"/>
      <c r="AL873" s="97"/>
      <c r="AM873" s="97"/>
      <c r="AN873" s="97"/>
    </row>
    <row r="874" spans="24:40" x14ac:dyDescent="0.35">
      <c r="X874" s="97"/>
      <c r="Y874" s="97"/>
      <c r="Z874" s="97"/>
      <c r="AA874" s="97"/>
      <c r="AB874" s="97"/>
      <c r="AC874" s="97"/>
      <c r="AD874" s="97"/>
      <c r="AE874" s="97"/>
      <c r="AF874" s="97"/>
      <c r="AG874" s="97"/>
      <c r="AH874" s="97"/>
      <c r="AI874" s="97"/>
      <c r="AK874" s="97"/>
      <c r="AL874" s="97"/>
      <c r="AM874" s="97"/>
      <c r="AN874" s="97"/>
    </row>
    <row r="875" spans="24:40" x14ac:dyDescent="0.35">
      <c r="X875" s="97"/>
      <c r="Y875" s="97"/>
      <c r="Z875" s="97"/>
      <c r="AA875" s="97"/>
      <c r="AB875" s="97"/>
      <c r="AC875" s="97"/>
      <c r="AD875" s="97"/>
      <c r="AE875" s="97"/>
      <c r="AF875" s="97"/>
      <c r="AG875" s="97"/>
      <c r="AH875" s="97"/>
      <c r="AI875" s="97"/>
      <c r="AK875" s="97"/>
      <c r="AL875" s="97"/>
      <c r="AM875" s="97"/>
      <c r="AN875" s="97"/>
    </row>
    <row r="876" spans="24:40" x14ac:dyDescent="0.35">
      <c r="X876" s="97"/>
      <c r="Y876" s="97"/>
      <c r="Z876" s="97"/>
      <c r="AA876" s="97"/>
      <c r="AB876" s="97"/>
      <c r="AC876" s="97"/>
      <c r="AD876" s="97"/>
      <c r="AE876" s="97"/>
      <c r="AF876" s="97"/>
      <c r="AG876" s="97"/>
      <c r="AH876" s="97"/>
      <c r="AI876" s="97"/>
      <c r="AK876" s="97"/>
      <c r="AL876" s="97"/>
      <c r="AM876" s="97"/>
      <c r="AN876" s="97"/>
    </row>
    <row r="877" spans="24:40" x14ac:dyDescent="0.35">
      <c r="X877" s="97"/>
      <c r="Y877" s="97"/>
      <c r="Z877" s="97"/>
      <c r="AA877" s="97"/>
      <c r="AB877" s="97"/>
      <c r="AC877" s="97"/>
      <c r="AD877" s="97"/>
      <c r="AE877" s="97"/>
      <c r="AF877" s="97"/>
      <c r="AG877" s="97"/>
      <c r="AH877" s="97"/>
      <c r="AI877" s="97"/>
      <c r="AK877" s="97"/>
      <c r="AL877" s="97"/>
      <c r="AM877" s="97"/>
      <c r="AN877" s="97"/>
    </row>
    <row r="878" spans="24:40" x14ac:dyDescent="0.35">
      <c r="X878" s="97"/>
      <c r="Y878" s="97"/>
      <c r="Z878" s="97"/>
      <c r="AA878" s="97"/>
      <c r="AB878" s="97"/>
      <c r="AC878" s="97"/>
      <c r="AD878" s="97"/>
      <c r="AE878" s="97"/>
      <c r="AF878" s="97"/>
      <c r="AG878" s="97"/>
      <c r="AH878" s="97"/>
      <c r="AI878" s="97"/>
      <c r="AK878" s="97"/>
      <c r="AL878" s="97"/>
      <c r="AM878" s="97"/>
      <c r="AN878" s="97"/>
    </row>
    <row r="879" spans="24:40" x14ac:dyDescent="0.35">
      <c r="X879" s="97"/>
      <c r="Y879" s="97"/>
      <c r="Z879" s="97"/>
      <c r="AA879" s="97"/>
      <c r="AB879" s="97"/>
      <c r="AC879" s="97"/>
      <c r="AD879" s="97"/>
      <c r="AE879" s="97"/>
      <c r="AF879" s="97"/>
      <c r="AG879" s="97"/>
      <c r="AH879" s="97"/>
      <c r="AI879" s="97"/>
      <c r="AK879" s="97"/>
      <c r="AL879" s="97"/>
      <c r="AM879" s="97"/>
      <c r="AN879" s="97"/>
    </row>
    <row r="880" spans="24:40" x14ac:dyDescent="0.35">
      <c r="X880" s="97"/>
      <c r="Y880" s="97"/>
      <c r="Z880" s="97"/>
      <c r="AA880" s="97"/>
      <c r="AB880" s="97"/>
      <c r="AC880" s="97"/>
      <c r="AD880" s="97"/>
      <c r="AE880" s="97"/>
      <c r="AF880" s="97"/>
      <c r="AG880" s="97"/>
      <c r="AH880" s="97"/>
      <c r="AI880" s="97"/>
      <c r="AK880" s="97"/>
      <c r="AL880" s="97"/>
      <c r="AM880" s="97"/>
      <c r="AN880" s="97"/>
    </row>
    <row r="881" spans="24:40" x14ac:dyDescent="0.35">
      <c r="X881" s="97"/>
      <c r="Y881" s="97"/>
      <c r="Z881" s="97"/>
      <c r="AA881" s="97"/>
      <c r="AB881" s="97"/>
      <c r="AC881" s="97"/>
      <c r="AD881" s="97"/>
      <c r="AE881" s="97"/>
      <c r="AF881" s="97"/>
      <c r="AG881" s="97"/>
      <c r="AH881" s="97"/>
      <c r="AI881" s="97"/>
      <c r="AK881" s="97"/>
      <c r="AL881" s="97"/>
      <c r="AM881" s="97"/>
      <c r="AN881" s="97"/>
    </row>
    <row r="882" spans="24:40" x14ac:dyDescent="0.35">
      <c r="X882" s="97"/>
      <c r="Y882" s="97"/>
      <c r="Z882" s="97"/>
      <c r="AA882" s="97"/>
      <c r="AB882" s="97"/>
      <c r="AC882" s="97"/>
      <c r="AD882" s="97"/>
      <c r="AE882" s="97"/>
      <c r="AF882" s="97"/>
      <c r="AG882" s="97"/>
      <c r="AH882" s="97"/>
      <c r="AI882" s="97"/>
      <c r="AK882" s="97"/>
      <c r="AL882" s="97"/>
      <c r="AM882" s="97"/>
      <c r="AN882" s="97"/>
    </row>
    <row r="883" spans="24:40" x14ac:dyDescent="0.35">
      <c r="X883" s="97"/>
      <c r="Y883" s="97"/>
      <c r="Z883" s="97"/>
      <c r="AA883" s="97"/>
      <c r="AB883" s="97"/>
      <c r="AC883" s="97"/>
      <c r="AD883" s="97"/>
      <c r="AE883" s="97"/>
      <c r="AF883" s="97"/>
      <c r="AG883" s="97"/>
      <c r="AH883" s="97"/>
      <c r="AI883" s="97"/>
      <c r="AK883" s="97"/>
      <c r="AL883" s="97"/>
      <c r="AM883" s="97"/>
      <c r="AN883" s="97"/>
    </row>
    <row r="884" spans="24:40" x14ac:dyDescent="0.35">
      <c r="X884" s="97"/>
      <c r="Y884" s="97"/>
      <c r="Z884" s="97"/>
      <c r="AA884" s="97"/>
      <c r="AB884" s="97"/>
      <c r="AC884" s="97"/>
      <c r="AD884" s="97"/>
      <c r="AE884" s="97"/>
      <c r="AF884" s="97"/>
      <c r="AG884" s="97"/>
      <c r="AH884" s="97"/>
      <c r="AI884" s="97"/>
      <c r="AK884" s="97"/>
      <c r="AL884" s="97"/>
      <c r="AM884" s="97"/>
      <c r="AN884" s="97"/>
    </row>
    <row r="885" spans="24:40" x14ac:dyDescent="0.35">
      <c r="X885" s="97"/>
      <c r="Y885" s="97"/>
      <c r="Z885" s="97"/>
      <c r="AA885" s="97"/>
      <c r="AB885" s="97"/>
      <c r="AC885" s="97"/>
      <c r="AD885" s="97"/>
      <c r="AE885" s="97"/>
      <c r="AF885" s="97"/>
      <c r="AG885" s="97"/>
      <c r="AH885" s="97"/>
      <c r="AI885" s="97"/>
      <c r="AK885" s="97"/>
      <c r="AL885" s="97"/>
      <c r="AM885" s="97"/>
      <c r="AN885" s="97"/>
    </row>
    <row r="886" spans="24:40" x14ac:dyDescent="0.35">
      <c r="X886" s="97"/>
      <c r="Y886" s="97"/>
      <c r="Z886" s="97"/>
      <c r="AA886" s="97"/>
      <c r="AB886" s="97"/>
      <c r="AC886" s="97"/>
      <c r="AD886" s="97"/>
      <c r="AE886" s="97"/>
      <c r="AF886" s="97"/>
      <c r="AG886" s="97"/>
      <c r="AH886" s="97"/>
      <c r="AI886" s="97"/>
      <c r="AK886" s="97"/>
      <c r="AL886" s="97"/>
      <c r="AM886" s="97"/>
      <c r="AN886" s="97"/>
    </row>
    <row r="887" spans="24:40" x14ac:dyDescent="0.35">
      <c r="X887" s="97"/>
      <c r="Y887" s="97"/>
      <c r="Z887" s="97"/>
      <c r="AA887" s="97"/>
      <c r="AB887" s="97"/>
      <c r="AC887" s="97"/>
      <c r="AD887" s="97"/>
      <c r="AE887" s="97"/>
      <c r="AF887" s="97"/>
      <c r="AG887" s="97"/>
      <c r="AH887" s="97"/>
      <c r="AI887" s="97"/>
      <c r="AK887" s="97"/>
      <c r="AL887" s="97"/>
      <c r="AM887" s="97"/>
      <c r="AN887" s="97"/>
    </row>
    <row r="888" spans="24:40" x14ac:dyDescent="0.35">
      <c r="X888" s="97"/>
      <c r="Y888" s="97"/>
      <c r="Z888" s="97"/>
      <c r="AA888" s="97"/>
      <c r="AB888" s="97"/>
      <c r="AC888" s="97"/>
      <c r="AD888" s="97"/>
      <c r="AE888" s="97"/>
      <c r="AF888" s="97"/>
      <c r="AG888" s="97"/>
      <c r="AH888" s="97"/>
      <c r="AI888" s="97"/>
      <c r="AK888" s="97"/>
      <c r="AL888" s="97"/>
      <c r="AM888" s="97"/>
      <c r="AN888" s="97"/>
    </row>
    <row r="889" spans="24:40" x14ac:dyDescent="0.35">
      <c r="X889" s="97"/>
      <c r="Y889" s="97"/>
      <c r="Z889" s="97"/>
      <c r="AA889" s="97"/>
      <c r="AB889" s="97"/>
      <c r="AC889" s="97"/>
      <c r="AD889" s="97"/>
      <c r="AE889" s="97"/>
      <c r="AF889" s="97"/>
      <c r="AG889" s="97"/>
      <c r="AH889" s="97"/>
      <c r="AI889" s="97"/>
      <c r="AK889" s="97"/>
      <c r="AL889" s="97"/>
      <c r="AM889" s="97"/>
      <c r="AN889" s="97"/>
    </row>
    <row r="890" spans="24:40" x14ac:dyDescent="0.35">
      <c r="X890" s="97"/>
      <c r="Y890" s="97"/>
      <c r="Z890" s="97"/>
      <c r="AA890" s="97"/>
      <c r="AB890" s="97"/>
      <c r="AC890" s="97"/>
      <c r="AD890" s="97"/>
      <c r="AE890" s="97"/>
      <c r="AF890" s="97"/>
      <c r="AG890" s="97"/>
      <c r="AH890" s="97"/>
      <c r="AI890" s="97"/>
      <c r="AK890" s="97"/>
      <c r="AL890" s="97"/>
      <c r="AM890" s="97"/>
      <c r="AN890" s="97"/>
    </row>
    <row r="891" spans="24:40" x14ac:dyDescent="0.35">
      <c r="X891" s="97"/>
      <c r="Y891" s="97"/>
      <c r="Z891" s="97"/>
      <c r="AA891" s="97"/>
      <c r="AB891" s="97"/>
      <c r="AC891" s="97"/>
      <c r="AD891" s="97"/>
      <c r="AE891" s="97"/>
      <c r="AF891" s="97"/>
      <c r="AG891" s="97"/>
      <c r="AH891" s="97"/>
      <c r="AI891" s="97"/>
      <c r="AK891" s="97"/>
      <c r="AL891" s="97"/>
      <c r="AM891" s="97"/>
      <c r="AN891" s="97"/>
    </row>
    <row r="892" spans="24:40" x14ac:dyDescent="0.35">
      <c r="X892" s="97"/>
      <c r="Y892" s="97"/>
      <c r="Z892" s="97"/>
      <c r="AA892" s="97"/>
      <c r="AB892" s="97"/>
      <c r="AC892" s="97"/>
      <c r="AD892" s="97"/>
      <c r="AE892" s="97"/>
      <c r="AF892" s="97"/>
      <c r="AG892" s="97"/>
      <c r="AH892" s="97"/>
      <c r="AI892" s="97"/>
      <c r="AK892" s="97"/>
      <c r="AL892" s="97"/>
      <c r="AM892" s="97"/>
      <c r="AN892" s="97"/>
    </row>
    <row r="893" spans="24:40" x14ac:dyDescent="0.35">
      <c r="X893" s="97"/>
      <c r="Y893" s="97"/>
      <c r="Z893" s="97"/>
      <c r="AA893" s="97"/>
      <c r="AB893" s="97"/>
      <c r="AC893" s="97"/>
      <c r="AD893" s="97"/>
      <c r="AE893" s="97"/>
      <c r="AF893" s="97"/>
      <c r="AG893" s="97"/>
      <c r="AH893" s="97"/>
      <c r="AI893" s="97"/>
      <c r="AK893" s="97"/>
      <c r="AL893" s="97"/>
      <c r="AM893" s="97"/>
      <c r="AN893" s="97"/>
    </row>
    <row r="894" spans="24:40" x14ac:dyDescent="0.35">
      <c r="X894" s="97"/>
      <c r="Y894" s="97"/>
      <c r="Z894" s="97"/>
      <c r="AA894" s="97"/>
      <c r="AB894" s="97"/>
      <c r="AC894" s="97"/>
      <c r="AD894" s="97"/>
      <c r="AE894" s="97"/>
      <c r="AF894" s="97"/>
      <c r="AG894" s="97"/>
      <c r="AH894" s="97"/>
      <c r="AI894" s="97"/>
      <c r="AK894" s="97"/>
      <c r="AL894" s="97"/>
      <c r="AM894" s="97"/>
      <c r="AN894" s="97"/>
    </row>
    <row r="895" spans="24:40" x14ac:dyDescent="0.35">
      <c r="X895" s="97"/>
      <c r="Y895" s="97"/>
      <c r="Z895" s="97"/>
      <c r="AA895" s="97"/>
      <c r="AB895" s="97"/>
      <c r="AC895" s="97"/>
      <c r="AD895" s="97"/>
      <c r="AE895" s="97"/>
      <c r="AF895" s="97"/>
      <c r="AG895" s="97"/>
      <c r="AH895" s="97"/>
      <c r="AI895" s="97"/>
      <c r="AK895" s="97"/>
      <c r="AL895" s="97"/>
      <c r="AM895" s="97"/>
      <c r="AN895" s="97"/>
    </row>
    <row r="896" spans="24:40" x14ac:dyDescent="0.35">
      <c r="X896" s="97"/>
      <c r="Y896" s="97"/>
      <c r="Z896" s="97"/>
      <c r="AA896" s="97"/>
      <c r="AB896" s="97"/>
      <c r="AC896" s="97"/>
      <c r="AD896" s="97"/>
      <c r="AE896" s="97"/>
      <c r="AF896" s="97"/>
      <c r="AG896" s="97"/>
      <c r="AH896" s="97"/>
      <c r="AI896" s="97"/>
      <c r="AK896" s="97"/>
      <c r="AL896" s="97"/>
      <c r="AM896" s="97"/>
      <c r="AN896" s="97"/>
    </row>
    <row r="897" spans="24:40" x14ac:dyDescent="0.35">
      <c r="X897" s="97"/>
      <c r="Y897" s="97"/>
      <c r="Z897" s="97"/>
      <c r="AA897" s="97"/>
      <c r="AB897" s="97"/>
      <c r="AC897" s="97"/>
      <c r="AD897" s="97"/>
      <c r="AE897" s="97"/>
      <c r="AF897" s="97"/>
      <c r="AG897" s="97"/>
      <c r="AH897" s="97"/>
      <c r="AI897" s="97"/>
      <c r="AK897" s="97"/>
      <c r="AL897" s="97"/>
      <c r="AM897" s="97"/>
      <c r="AN897" s="97"/>
    </row>
    <row r="898" spans="24:40" x14ac:dyDescent="0.35">
      <c r="X898" s="97"/>
      <c r="Y898" s="97"/>
      <c r="Z898" s="97"/>
      <c r="AA898" s="97"/>
      <c r="AB898" s="97"/>
      <c r="AC898" s="97"/>
      <c r="AD898" s="97"/>
      <c r="AE898" s="97"/>
      <c r="AF898" s="97"/>
      <c r="AG898" s="97"/>
      <c r="AH898" s="97"/>
      <c r="AI898" s="97"/>
      <c r="AK898" s="97"/>
      <c r="AL898" s="97"/>
      <c r="AM898" s="97"/>
      <c r="AN898" s="97"/>
    </row>
    <row r="899" spans="24:40" x14ac:dyDescent="0.35">
      <c r="X899" s="97"/>
      <c r="Y899" s="97"/>
      <c r="Z899" s="97"/>
      <c r="AA899" s="97"/>
      <c r="AB899" s="97"/>
      <c r="AC899" s="97"/>
      <c r="AD899" s="97"/>
      <c r="AE899" s="97"/>
      <c r="AF899" s="97"/>
      <c r="AG899" s="97"/>
      <c r="AH899" s="97"/>
      <c r="AI899" s="97"/>
      <c r="AK899" s="97"/>
      <c r="AL899" s="97"/>
      <c r="AM899" s="97"/>
      <c r="AN899" s="97"/>
    </row>
    <row r="900" spans="24:40" x14ac:dyDescent="0.35">
      <c r="X900" s="97"/>
      <c r="Y900" s="97"/>
      <c r="Z900" s="97"/>
      <c r="AA900" s="97"/>
      <c r="AB900" s="97"/>
      <c r="AC900" s="97"/>
      <c r="AD900" s="97"/>
      <c r="AE900" s="97"/>
      <c r="AF900" s="97"/>
      <c r="AG900" s="97"/>
      <c r="AH900" s="97"/>
      <c r="AI900" s="97"/>
      <c r="AK900" s="97"/>
      <c r="AL900" s="97"/>
      <c r="AM900" s="97"/>
      <c r="AN900" s="97"/>
    </row>
    <row r="901" spans="24:40" x14ac:dyDescent="0.35">
      <c r="X901" s="97"/>
      <c r="Y901" s="97"/>
      <c r="Z901" s="97"/>
      <c r="AA901" s="97"/>
      <c r="AB901" s="97"/>
      <c r="AC901" s="97"/>
      <c r="AD901" s="97"/>
      <c r="AE901" s="97"/>
      <c r="AF901" s="97"/>
      <c r="AG901" s="97"/>
      <c r="AH901" s="97"/>
      <c r="AI901" s="97"/>
      <c r="AK901" s="97"/>
      <c r="AL901" s="97"/>
      <c r="AM901" s="97"/>
      <c r="AN901" s="97"/>
    </row>
    <row r="902" spans="24:40" x14ac:dyDescent="0.35">
      <c r="X902" s="97"/>
      <c r="Y902" s="97"/>
      <c r="Z902" s="97"/>
      <c r="AA902" s="97"/>
      <c r="AB902" s="97"/>
      <c r="AC902" s="97"/>
      <c r="AD902" s="97"/>
      <c r="AE902" s="97"/>
      <c r="AF902" s="97"/>
      <c r="AG902" s="97"/>
      <c r="AH902" s="97"/>
      <c r="AI902" s="97"/>
      <c r="AK902" s="97"/>
      <c r="AL902" s="97"/>
      <c r="AM902" s="97"/>
      <c r="AN902" s="97"/>
    </row>
    <row r="903" spans="24:40" x14ac:dyDescent="0.35">
      <c r="X903" s="97"/>
      <c r="Y903" s="97"/>
      <c r="Z903" s="97"/>
      <c r="AA903" s="97"/>
      <c r="AB903" s="97"/>
      <c r="AC903" s="97"/>
      <c r="AD903" s="97"/>
      <c r="AE903" s="97"/>
      <c r="AF903" s="97"/>
      <c r="AG903" s="97"/>
      <c r="AH903" s="97"/>
      <c r="AI903" s="97"/>
      <c r="AK903" s="97"/>
      <c r="AL903" s="97"/>
      <c r="AM903" s="97"/>
      <c r="AN903" s="97"/>
    </row>
    <row r="904" spans="24:40" x14ac:dyDescent="0.35">
      <c r="X904" s="97"/>
      <c r="Y904" s="97"/>
      <c r="Z904" s="97"/>
      <c r="AA904" s="97"/>
      <c r="AB904" s="97"/>
      <c r="AC904" s="97"/>
      <c r="AD904" s="97"/>
      <c r="AE904" s="97"/>
      <c r="AF904" s="97"/>
      <c r="AG904" s="97"/>
      <c r="AH904" s="97"/>
      <c r="AI904" s="97"/>
      <c r="AK904" s="97"/>
      <c r="AL904" s="97"/>
      <c r="AM904" s="97"/>
      <c r="AN904" s="97"/>
    </row>
    <row r="905" spans="24:40" x14ac:dyDescent="0.35">
      <c r="X905" s="97"/>
      <c r="Y905" s="97"/>
      <c r="Z905" s="97"/>
      <c r="AA905" s="97"/>
      <c r="AB905" s="97"/>
      <c r="AC905" s="97"/>
      <c r="AD905" s="97"/>
      <c r="AE905" s="97"/>
      <c r="AF905" s="97"/>
      <c r="AG905" s="97"/>
      <c r="AH905" s="97"/>
      <c r="AI905" s="97"/>
      <c r="AK905" s="97"/>
      <c r="AL905" s="97"/>
      <c r="AM905" s="97"/>
      <c r="AN905" s="97"/>
    </row>
    <row r="906" spans="24:40" x14ac:dyDescent="0.35">
      <c r="X906" s="97"/>
      <c r="Y906" s="97"/>
      <c r="Z906" s="97"/>
      <c r="AA906" s="97"/>
      <c r="AB906" s="97"/>
      <c r="AC906" s="97"/>
      <c r="AD906" s="97"/>
      <c r="AE906" s="97"/>
      <c r="AF906" s="97"/>
      <c r="AG906" s="97"/>
      <c r="AH906" s="97"/>
      <c r="AI906" s="97"/>
      <c r="AK906" s="97"/>
      <c r="AL906" s="97"/>
      <c r="AM906" s="97"/>
      <c r="AN906" s="97"/>
    </row>
    <row r="907" spans="24:40" x14ac:dyDescent="0.35">
      <c r="X907" s="97"/>
      <c r="Y907" s="97"/>
      <c r="Z907" s="97"/>
      <c r="AA907" s="97"/>
      <c r="AB907" s="97"/>
      <c r="AC907" s="97"/>
      <c r="AD907" s="97"/>
      <c r="AE907" s="97"/>
      <c r="AF907" s="97"/>
      <c r="AG907" s="97"/>
      <c r="AH907" s="97"/>
      <c r="AI907" s="97"/>
      <c r="AK907" s="97"/>
      <c r="AL907" s="97"/>
      <c r="AM907" s="97"/>
      <c r="AN907" s="97"/>
    </row>
    <row r="908" spans="24:40" x14ac:dyDescent="0.35">
      <c r="X908" s="97"/>
      <c r="Y908" s="97"/>
      <c r="Z908" s="97"/>
      <c r="AA908" s="97"/>
      <c r="AB908" s="97"/>
      <c r="AC908" s="97"/>
      <c r="AD908" s="97"/>
      <c r="AE908" s="97"/>
      <c r="AF908" s="97"/>
      <c r="AG908" s="97"/>
      <c r="AH908" s="97"/>
      <c r="AI908" s="97"/>
      <c r="AK908" s="97"/>
      <c r="AL908" s="97"/>
      <c r="AM908" s="97"/>
      <c r="AN908" s="97"/>
    </row>
    <row r="909" spans="24:40" x14ac:dyDescent="0.35">
      <c r="X909" s="97"/>
      <c r="Y909" s="97"/>
      <c r="Z909" s="97"/>
      <c r="AA909" s="97"/>
      <c r="AB909" s="97"/>
      <c r="AC909" s="97"/>
      <c r="AD909" s="97"/>
      <c r="AE909" s="97"/>
      <c r="AF909" s="97"/>
      <c r="AG909" s="97"/>
      <c r="AH909" s="97"/>
      <c r="AI909" s="97"/>
      <c r="AK909" s="97"/>
      <c r="AL909" s="97"/>
      <c r="AM909" s="97"/>
      <c r="AN909" s="97"/>
    </row>
    <row r="910" spans="24:40" x14ac:dyDescent="0.35">
      <c r="X910" s="97"/>
      <c r="Y910" s="97"/>
      <c r="Z910" s="97"/>
      <c r="AA910" s="97"/>
      <c r="AB910" s="97"/>
      <c r="AC910" s="97"/>
      <c r="AD910" s="97"/>
      <c r="AE910" s="97"/>
      <c r="AF910" s="97"/>
      <c r="AG910" s="97"/>
      <c r="AH910" s="97"/>
      <c r="AI910" s="97"/>
      <c r="AK910" s="97"/>
      <c r="AL910" s="97"/>
      <c r="AM910" s="97"/>
      <c r="AN910" s="97"/>
    </row>
    <row r="911" spans="24:40" x14ac:dyDescent="0.35">
      <c r="X911" s="97"/>
      <c r="Y911" s="97"/>
      <c r="Z911" s="97"/>
      <c r="AA911" s="97"/>
      <c r="AB911" s="97"/>
      <c r="AC911" s="97"/>
      <c r="AD911" s="97"/>
      <c r="AE911" s="97"/>
      <c r="AF911" s="97"/>
      <c r="AG911" s="97"/>
      <c r="AH911" s="97"/>
      <c r="AI911" s="97"/>
      <c r="AK911" s="97"/>
      <c r="AL911" s="97"/>
      <c r="AM911" s="97"/>
      <c r="AN911" s="97"/>
    </row>
    <row r="912" spans="24:40" x14ac:dyDescent="0.35">
      <c r="X912" s="97"/>
      <c r="Y912" s="97"/>
      <c r="Z912" s="97"/>
      <c r="AA912" s="97"/>
      <c r="AB912" s="97"/>
      <c r="AC912" s="97"/>
      <c r="AD912" s="97"/>
      <c r="AE912" s="97"/>
      <c r="AF912" s="97"/>
      <c r="AG912" s="97"/>
      <c r="AH912" s="97"/>
      <c r="AI912" s="97"/>
      <c r="AK912" s="97"/>
      <c r="AL912" s="97"/>
      <c r="AM912" s="97"/>
      <c r="AN912" s="97"/>
    </row>
    <row r="913" spans="24:40" x14ac:dyDescent="0.35">
      <c r="X913" s="97"/>
      <c r="Y913" s="97"/>
      <c r="Z913" s="97"/>
      <c r="AA913" s="97"/>
      <c r="AB913" s="97"/>
      <c r="AC913" s="97"/>
      <c r="AD913" s="97"/>
      <c r="AE913" s="97"/>
      <c r="AF913" s="97"/>
      <c r="AG913" s="97"/>
      <c r="AH913" s="97"/>
      <c r="AI913" s="97"/>
      <c r="AK913" s="97"/>
      <c r="AL913" s="97"/>
      <c r="AM913" s="97"/>
      <c r="AN913" s="97"/>
    </row>
    <row r="914" spans="24:40" x14ac:dyDescent="0.35">
      <c r="X914" s="97"/>
      <c r="Y914" s="97"/>
      <c r="Z914" s="97"/>
      <c r="AA914" s="97"/>
      <c r="AB914" s="97"/>
      <c r="AC914" s="97"/>
      <c r="AD914" s="97"/>
      <c r="AE914" s="97"/>
      <c r="AF914" s="97"/>
      <c r="AG914" s="97"/>
      <c r="AH914" s="97"/>
      <c r="AI914" s="97"/>
      <c r="AK914" s="97"/>
      <c r="AL914" s="97"/>
      <c r="AM914" s="97"/>
      <c r="AN914" s="97"/>
    </row>
    <row r="915" spans="24:40" x14ac:dyDescent="0.35">
      <c r="X915" s="97"/>
      <c r="Y915" s="97"/>
      <c r="Z915" s="97"/>
      <c r="AA915" s="97"/>
      <c r="AB915" s="97"/>
      <c r="AC915" s="97"/>
      <c r="AD915" s="97"/>
      <c r="AE915" s="97"/>
      <c r="AF915" s="97"/>
      <c r="AG915" s="97"/>
      <c r="AH915" s="97"/>
      <c r="AI915" s="97"/>
      <c r="AK915" s="97"/>
      <c r="AL915" s="97"/>
      <c r="AM915" s="97"/>
      <c r="AN915" s="97"/>
    </row>
    <row r="916" spans="24:40" x14ac:dyDescent="0.35">
      <c r="X916" s="97"/>
      <c r="Y916" s="97"/>
      <c r="Z916" s="97"/>
      <c r="AA916" s="97"/>
      <c r="AB916" s="97"/>
      <c r="AC916" s="97"/>
      <c r="AD916" s="97"/>
      <c r="AE916" s="97"/>
      <c r="AF916" s="97"/>
      <c r="AG916" s="97"/>
      <c r="AH916" s="97"/>
      <c r="AI916" s="97"/>
      <c r="AK916" s="97"/>
      <c r="AL916" s="97"/>
      <c r="AM916" s="97"/>
      <c r="AN916" s="97"/>
    </row>
    <row r="917" spans="24:40" x14ac:dyDescent="0.35">
      <c r="X917" s="97"/>
      <c r="Y917" s="97"/>
      <c r="Z917" s="97"/>
      <c r="AA917" s="97"/>
      <c r="AB917" s="97"/>
      <c r="AC917" s="97"/>
      <c r="AD917" s="97"/>
      <c r="AE917" s="97"/>
      <c r="AF917" s="97"/>
      <c r="AG917" s="97"/>
      <c r="AH917" s="97"/>
      <c r="AI917" s="97"/>
      <c r="AK917" s="97"/>
      <c r="AL917" s="97"/>
      <c r="AM917" s="97"/>
      <c r="AN917" s="97"/>
    </row>
    <row r="918" spans="24:40" x14ac:dyDescent="0.35">
      <c r="X918" s="97"/>
      <c r="Y918" s="97"/>
      <c r="Z918" s="97"/>
      <c r="AA918" s="97"/>
      <c r="AB918" s="97"/>
      <c r="AC918" s="97"/>
      <c r="AD918" s="97"/>
      <c r="AE918" s="97"/>
      <c r="AF918" s="97"/>
      <c r="AG918" s="97"/>
      <c r="AH918" s="97"/>
      <c r="AI918" s="97"/>
      <c r="AK918" s="97"/>
      <c r="AL918" s="97"/>
      <c r="AM918" s="97"/>
      <c r="AN918" s="97"/>
    </row>
    <row r="919" spans="24:40" x14ac:dyDescent="0.35">
      <c r="X919" s="97"/>
      <c r="Y919" s="97"/>
      <c r="Z919" s="97"/>
      <c r="AA919" s="97"/>
      <c r="AB919" s="97"/>
      <c r="AC919" s="97"/>
      <c r="AD919" s="97"/>
      <c r="AE919" s="97"/>
      <c r="AF919" s="97"/>
      <c r="AG919" s="97"/>
      <c r="AH919" s="97"/>
      <c r="AI919" s="97"/>
      <c r="AK919" s="97"/>
      <c r="AL919" s="97"/>
      <c r="AM919" s="97"/>
      <c r="AN919" s="97"/>
    </row>
    <row r="920" spans="24:40" x14ac:dyDescent="0.35">
      <c r="X920" s="97"/>
      <c r="Y920" s="97"/>
      <c r="Z920" s="97"/>
      <c r="AA920" s="97"/>
      <c r="AB920" s="97"/>
      <c r="AC920" s="97"/>
      <c r="AD920" s="97"/>
      <c r="AE920" s="97"/>
      <c r="AF920" s="97"/>
      <c r="AG920" s="97"/>
      <c r="AH920" s="97"/>
      <c r="AI920" s="97"/>
      <c r="AK920" s="97"/>
      <c r="AL920" s="97"/>
      <c r="AM920" s="97"/>
      <c r="AN920" s="97"/>
    </row>
    <row r="921" spans="24:40" x14ac:dyDescent="0.35">
      <c r="X921" s="97"/>
      <c r="Y921" s="97"/>
      <c r="Z921" s="97"/>
      <c r="AA921" s="97"/>
      <c r="AB921" s="97"/>
      <c r="AC921" s="97"/>
      <c r="AD921" s="97"/>
      <c r="AE921" s="97"/>
      <c r="AF921" s="97"/>
      <c r="AG921" s="97"/>
      <c r="AH921" s="97"/>
      <c r="AI921" s="97"/>
      <c r="AK921" s="97"/>
      <c r="AL921" s="97"/>
      <c r="AM921" s="97"/>
      <c r="AN921" s="97"/>
    </row>
    <row r="922" spans="24:40" x14ac:dyDescent="0.35">
      <c r="X922" s="97"/>
      <c r="Y922" s="97"/>
      <c r="Z922" s="97"/>
      <c r="AA922" s="97"/>
      <c r="AB922" s="97"/>
      <c r="AC922" s="97"/>
      <c r="AD922" s="97"/>
      <c r="AE922" s="97"/>
      <c r="AF922" s="97"/>
      <c r="AG922" s="97"/>
      <c r="AH922" s="97"/>
      <c r="AI922" s="97"/>
      <c r="AK922" s="97"/>
      <c r="AL922" s="97"/>
      <c r="AM922" s="97"/>
      <c r="AN922" s="97"/>
    </row>
    <row r="923" spans="24:40" x14ac:dyDescent="0.35">
      <c r="X923" s="97"/>
      <c r="Y923" s="97"/>
      <c r="Z923" s="97"/>
      <c r="AA923" s="97"/>
      <c r="AB923" s="97"/>
      <c r="AC923" s="97"/>
      <c r="AD923" s="97"/>
      <c r="AE923" s="97"/>
      <c r="AF923" s="97"/>
      <c r="AG923" s="97"/>
      <c r="AH923" s="97"/>
      <c r="AI923" s="97"/>
      <c r="AK923" s="97"/>
      <c r="AL923" s="97"/>
      <c r="AM923" s="97"/>
      <c r="AN923" s="97"/>
    </row>
    <row r="924" spans="24:40" x14ac:dyDescent="0.35">
      <c r="X924" s="97"/>
      <c r="Y924" s="97"/>
      <c r="Z924" s="97"/>
      <c r="AA924" s="97"/>
      <c r="AB924" s="97"/>
      <c r="AC924" s="97"/>
      <c r="AD924" s="97"/>
      <c r="AE924" s="97"/>
      <c r="AF924" s="97"/>
      <c r="AG924" s="97"/>
      <c r="AH924" s="97"/>
      <c r="AI924" s="97"/>
      <c r="AK924" s="97"/>
      <c r="AL924" s="97"/>
      <c r="AM924" s="97"/>
      <c r="AN924" s="97"/>
    </row>
    <row r="925" spans="24:40" x14ac:dyDescent="0.35">
      <c r="X925" s="97"/>
      <c r="Y925" s="97"/>
      <c r="Z925" s="97"/>
      <c r="AA925" s="97"/>
      <c r="AB925" s="97"/>
      <c r="AC925" s="97"/>
      <c r="AD925" s="97"/>
      <c r="AE925" s="97"/>
      <c r="AF925" s="97"/>
      <c r="AG925" s="97"/>
      <c r="AH925" s="97"/>
      <c r="AI925" s="97"/>
      <c r="AK925" s="97"/>
      <c r="AL925" s="97"/>
      <c r="AM925" s="97"/>
      <c r="AN925" s="97"/>
    </row>
    <row r="926" spans="24:40" x14ac:dyDescent="0.35">
      <c r="X926" s="97"/>
      <c r="Y926" s="97"/>
      <c r="Z926" s="97"/>
      <c r="AA926" s="97"/>
      <c r="AB926" s="97"/>
      <c r="AC926" s="97"/>
      <c r="AD926" s="97"/>
      <c r="AE926" s="97"/>
      <c r="AF926" s="97"/>
      <c r="AG926" s="97"/>
      <c r="AH926" s="97"/>
      <c r="AI926" s="97"/>
      <c r="AK926" s="97"/>
      <c r="AL926" s="97"/>
      <c r="AM926" s="97"/>
      <c r="AN926" s="97"/>
    </row>
    <row r="927" spans="24:40" x14ac:dyDescent="0.35">
      <c r="X927" s="97"/>
      <c r="Y927" s="97"/>
      <c r="Z927" s="97"/>
      <c r="AA927" s="97"/>
      <c r="AB927" s="97"/>
      <c r="AC927" s="97"/>
      <c r="AD927" s="97"/>
      <c r="AE927" s="97"/>
      <c r="AF927" s="97"/>
      <c r="AG927" s="97"/>
      <c r="AH927" s="97"/>
      <c r="AI927" s="97"/>
      <c r="AK927" s="97"/>
      <c r="AL927" s="97"/>
      <c r="AM927" s="97"/>
      <c r="AN927" s="97"/>
    </row>
    <row r="928" spans="24:40" x14ac:dyDescent="0.35">
      <c r="X928" s="97"/>
      <c r="Y928" s="97"/>
      <c r="Z928" s="97"/>
      <c r="AA928" s="97"/>
      <c r="AB928" s="97"/>
      <c r="AC928" s="97"/>
      <c r="AD928" s="97"/>
      <c r="AE928" s="97"/>
      <c r="AF928" s="97"/>
      <c r="AG928" s="97"/>
      <c r="AH928" s="97"/>
      <c r="AI928" s="97"/>
      <c r="AK928" s="97"/>
      <c r="AL928" s="97"/>
      <c r="AM928" s="97"/>
      <c r="AN928" s="97"/>
    </row>
    <row r="929" spans="24:40" x14ac:dyDescent="0.35">
      <c r="X929" s="97"/>
      <c r="Y929" s="97"/>
      <c r="Z929" s="97"/>
      <c r="AA929" s="97"/>
      <c r="AB929" s="97"/>
      <c r="AC929" s="97"/>
      <c r="AD929" s="97"/>
      <c r="AE929" s="97"/>
      <c r="AF929" s="97"/>
      <c r="AG929" s="97"/>
      <c r="AH929" s="97"/>
      <c r="AI929" s="97"/>
      <c r="AK929" s="97"/>
      <c r="AL929" s="97"/>
      <c r="AM929" s="97"/>
      <c r="AN929" s="97"/>
    </row>
    <row r="930" spans="24:40" x14ac:dyDescent="0.35">
      <c r="X930" s="97"/>
      <c r="Y930" s="97"/>
      <c r="Z930" s="97"/>
      <c r="AA930" s="97"/>
      <c r="AB930" s="97"/>
      <c r="AC930" s="97"/>
      <c r="AD930" s="97"/>
      <c r="AE930" s="97"/>
      <c r="AF930" s="97"/>
      <c r="AG930" s="97"/>
      <c r="AH930" s="97"/>
      <c r="AI930" s="97"/>
      <c r="AK930" s="97"/>
      <c r="AL930" s="97"/>
      <c r="AM930" s="97"/>
      <c r="AN930" s="97"/>
    </row>
    <row r="931" spans="24:40" x14ac:dyDescent="0.35">
      <c r="X931" s="97"/>
      <c r="Y931" s="97"/>
      <c r="Z931" s="97"/>
      <c r="AA931" s="97"/>
      <c r="AB931" s="97"/>
      <c r="AC931" s="97"/>
      <c r="AD931" s="97"/>
      <c r="AE931" s="97"/>
      <c r="AF931" s="97"/>
      <c r="AG931" s="97"/>
      <c r="AH931" s="97"/>
      <c r="AI931" s="97"/>
      <c r="AK931" s="97"/>
      <c r="AL931" s="97"/>
      <c r="AM931" s="97"/>
      <c r="AN931" s="97"/>
    </row>
    <row r="932" spans="24:40" x14ac:dyDescent="0.35">
      <c r="X932" s="97"/>
      <c r="Y932" s="97"/>
      <c r="Z932" s="97"/>
      <c r="AA932" s="97"/>
      <c r="AB932" s="97"/>
      <c r="AC932" s="97"/>
      <c r="AD932" s="97"/>
      <c r="AE932" s="97"/>
      <c r="AF932" s="97"/>
      <c r="AG932" s="97"/>
      <c r="AH932" s="97"/>
      <c r="AI932" s="97"/>
      <c r="AK932" s="97"/>
      <c r="AL932" s="97"/>
      <c r="AM932" s="97"/>
      <c r="AN932" s="97"/>
    </row>
    <row r="933" spans="24:40" x14ac:dyDescent="0.35">
      <c r="X933" s="97"/>
      <c r="Y933" s="97"/>
      <c r="Z933" s="97"/>
      <c r="AA933" s="97"/>
      <c r="AB933" s="97"/>
      <c r="AC933" s="97"/>
      <c r="AD933" s="97"/>
      <c r="AE933" s="97"/>
      <c r="AF933" s="97"/>
      <c r="AG933" s="97"/>
      <c r="AH933" s="97"/>
      <c r="AI933" s="97"/>
      <c r="AK933" s="97"/>
      <c r="AL933" s="97"/>
      <c r="AM933" s="97"/>
      <c r="AN933" s="97"/>
    </row>
    <row r="934" spans="24:40" x14ac:dyDescent="0.35">
      <c r="X934" s="97"/>
      <c r="Y934" s="97"/>
      <c r="Z934" s="97"/>
      <c r="AA934" s="97"/>
      <c r="AB934" s="97"/>
      <c r="AC934" s="97"/>
      <c r="AD934" s="97"/>
      <c r="AE934" s="97"/>
      <c r="AF934" s="97"/>
      <c r="AG934" s="97"/>
      <c r="AH934" s="97"/>
      <c r="AI934" s="97"/>
      <c r="AK934" s="97"/>
      <c r="AL934" s="97"/>
      <c r="AM934" s="97"/>
      <c r="AN934" s="97"/>
    </row>
    <row r="935" spans="24:40" x14ac:dyDescent="0.35">
      <c r="X935" s="97"/>
      <c r="Y935" s="97"/>
      <c r="Z935" s="97"/>
      <c r="AA935" s="97"/>
      <c r="AB935" s="97"/>
      <c r="AC935" s="97"/>
      <c r="AD935" s="97"/>
      <c r="AE935" s="97"/>
      <c r="AF935" s="97"/>
      <c r="AG935" s="97"/>
      <c r="AH935" s="97"/>
      <c r="AI935" s="97"/>
      <c r="AK935" s="97"/>
      <c r="AL935" s="97"/>
      <c r="AM935" s="97"/>
      <c r="AN935" s="97"/>
    </row>
    <row r="936" spans="24:40" x14ac:dyDescent="0.35">
      <c r="X936" s="97"/>
      <c r="Y936" s="97"/>
      <c r="Z936" s="97"/>
      <c r="AA936" s="97"/>
      <c r="AB936" s="97"/>
      <c r="AC936" s="97"/>
      <c r="AD936" s="97"/>
      <c r="AE936" s="97"/>
      <c r="AF936" s="97"/>
      <c r="AG936" s="97"/>
      <c r="AH936" s="97"/>
      <c r="AI936" s="97"/>
      <c r="AK936" s="97"/>
      <c r="AL936" s="97"/>
      <c r="AM936" s="97"/>
      <c r="AN936" s="97"/>
    </row>
    <row r="937" spans="24:40" x14ac:dyDescent="0.35">
      <c r="X937" s="97"/>
      <c r="Y937" s="97"/>
      <c r="Z937" s="97"/>
      <c r="AA937" s="97"/>
      <c r="AB937" s="97"/>
      <c r="AC937" s="97"/>
      <c r="AD937" s="97"/>
      <c r="AE937" s="97"/>
      <c r="AF937" s="97"/>
      <c r="AG937" s="97"/>
      <c r="AH937" s="97"/>
      <c r="AI937" s="97"/>
      <c r="AK937" s="97"/>
      <c r="AL937" s="97"/>
      <c r="AM937" s="97"/>
      <c r="AN937" s="97"/>
    </row>
    <row r="938" spans="24:40" x14ac:dyDescent="0.35">
      <c r="X938" s="97"/>
      <c r="Y938" s="97"/>
      <c r="Z938" s="97"/>
      <c r="AA938" s="97"/>
      <c r="AB938" s="97"/>
      <c r="AC938" s="97"/>
      <c r="AD938" s="97"/>
      <c r="AE938" s="97"/>
      <c r="AF938" s="97"/>
      <c r="AG938" s="97"/>
      <c r="AH938" s="97"/>
      <c r="AI938" s="97"/>
      <c r="AK938" s="97"/>
      <c r="AL938" s="97"/>
      <c r="AM938" s="97"/>
      <c r="AN938" s="97"/>
    </row>
    <row r="939" spans="24:40" x14ac:dyDescent="0.35">
      <c r="X939" s="97"/>
      <c r="Y939" s="97"/>
      <c r="Z939" s="97"/>
      <c r="AA939" s="97"/>
      <c r="AB939" s="97"/>
      <c r="AC939" s="97"/>
      <c r="AD939" s="97"/>
      <c r="AE939" s="97"/>
      <c r="AF939" s="97"/>
      <c r="AG939" s="97"/>
      <c r="AH939" s="97"/>
      <c r="AI939" s="97"/>
      <c r="AK939" s="97"/>
      <c r="AL939" s="97"/>
      <c r="AM939" s="97"/>
      <c r="AN939" s="97"/>
    </row>
    <row r="940" spans="24:40" x14ac:dyDescent="0.35">
      <c r="X940" s="97"/>
      <c r="Y940" s="97"/>
      <c r="Z940" s="97"/>
      <c r="AA940" s="97"/>
      <c r="AB940" s="97"/>
      <c r="AC940" s="97"/>
      <c r="AD940" s="97"/>
      <c r="AE940" s="97"/>
      <c r="AF940" s="97"/>
      <c r="AG940" s="97"/>
      <c r="AH940" s="97"/>
      <c r="AI940" s="97"/>
      <c r="AK940" s="97"/>
      <c r="AL940" s="97"/>
      <c r="AM940" s="97"/>
      <c r="AN940" s="97"/>
    </row>
    <row r="941" spans="24:40" x14ac:dyDescent="0.35">
      <c r="X941" s="97"/>
      <c r="Y941" s="97"/>
      <c r="Z941" s="97"/>
      <c r="AA941" s="97"/>
      <c r="AB941" s="97"/>
      <c r="AC941" s="97"/>
      <c r="AD941" s="97"/>
      <c r="AE941" s="97"/>
      <c r="AF941" s="97"/>
      <c r="AG941" s="97"/>
      <c r="AH941" s="97"/>
      <c r="AI941" s="97"/>
      <c r="AK941" s="97"/>
      <c r="AL941" s="97"/>
      <c r="AM941" s="97"/>
      <c r="AN941" s="97"/>
    </row>
    <row r="942" spans="24:40" x14ac:dyDescent="0.35">
      <c r="X942" s="97"/>
      <c r="Y942" s="97"/>
      <c r="Z942" s="97"/>
      <c r="AA942" s="97"/>
      <c r="AB942" s="97"/>
      <c r="AC942" s="97"/>
      <c r="AD942" s="97"/>
      <c r="AE942" s="97"/>
      <c r="AF942" s="97"/>
      <c r="AG942" s="97"/>
      <c r="AH942" s="97"/>
      <c r="AI942" s="97"/>
      <c r="AK942" s="97"/>
      <c r="AL942" s="97"/>
      <c r="AM942" s="97"/>
      <c r="AN942" s="97"/>
    </row>
    <row r="943" spans="24:40" x14ac:dyDescent="0.35">
      <c r="X943" s="97"/>
      <c r="Y943" s="97"/>
      <c r="Z943" s="97"/>
      <c r="AA943" s="97"/>
      <c r="AB943" s="97"/>
      <c r="AC943" s="97"/>
      <c r="AD943" s="97"/>
      <c r="AE943" s="97"/>
      <c r="AF943" s="97"/>
      <c r="AG943" s="97"/>
      <c r="AH943" s="97"/>
      <c r="AI943" s="97"/>
      <c r="AK943" s="97"/>
      <c r="AL943" s="97"/>
      <c r="AM943" s="97"/>
      <c r="AN943" s="97"/>
    </row>
    <row r="944" spans="24:40" x14ac:dyDescent="0.35">
      <c r="X944" s="97"/>
      <c r="Y944" s="97"/>
      <c r="Z944" s="97"/>
      <c r="AA944" s="97"/>
      <c r="AB944" s="97"/>
      <c r="AC944" s="97"/>
      <c r="AD944" s="97"/>
      <c r="AE944" s="97"/>
      <c r="AF944" s="97"/>
      <c r="AG944" s="97"/>
      <c r="AH944" s="97"/>
      <c r="AI944" s="97"/>
      <c r="AK944" s="97"/>
      <c r="AL944" s="97"/>
      <c r="AM944" s="97"/>
      <c r="AN944" s="97"/>
    </row>
    <row r="945" spans="24:40" x14ac:dyDescent="0.35">
      <c r="X945" s="97"/>
      <c r="Y945" s="97"/>
      <c r="Z945" s="97"/>
      <c r="AA945" s="97"/>
      <c r="AB945" s="97"/>
      <c r="AC945" s="97"/>
      <c r="AD945" s="97"/>
      <c r="AE945" s="97"/>
      <c r="AF945" s="97"/>
      <c r="AG945" s="97"/>
      <c r="AH945" s="97"/>
      <c r="AI945" s="97"/>
      <c r="AK945" s="97"/>
      <c r="AL945" s="97"/>
      <c r="AM945" s="97"/>
      <c r="AN945" s="97"/>
    </row>
    <row r="946" spans="24:40" x14ac:dyDescent="0.35">
      <c r="X946" s="97"/>
      <c r="Y946" s="97"/>
      <c r="Z946" s="97"/>
      <c r="AA946" s="97"/>
      <c r="AB946" s="97"/>
      <c r="AC946" s="97"/>
      <c r="AD946" s="97"/>
      <c r="AE946" s="97"/>
      <c r="AF946" s="97"/>
      <c r="AG946" s="97"/>
      <c r="AH946" s="97"/>
      <c r="AI946" s="97"/>
      <c r="AK946" s="97"/>
      <c r="AL946" s="97"/>
      <c r="AM946" s="97"/>
      <c r="AN946" s="97"/>
    </row>
    <row r="947" spans="24:40" x14ac:dyDescent="0.35">
      <c r="X947" s="97"/>
      <c r="Y947" s="97"/>
      <c r="Z947" s="97"/>
      <c r="AA947" s="97"/>
      <c r="AB947" s="97"/>
      <c r="AC947" s="97"/>
      <c r="AD947" s="97"/>
      <c r="AE947" s="97"/>
      <c r="AF947" s="97"/>
      <c r="AG947" s="97"/>
      <c r="AH947" s="97"/>
      <c r="AI947" s="97"/>
      <c r="AK947" s="97"/>
      <c r="AL947" s="97"/>
      <c r="AM947" s="97"/>
      <c r="AN947" s="97"/>
    </row>
    <row r="948" spans="24:40" x14ac:dyDescent="0.35">
      <c r="X948" s="97"/>
      <c r="Y948" s="97"/>
      <c r="Z948" s="97"/>
      <c r="AA948" s="97"/>
      <c r="AB948" s="97"/>
      <c r="AC948" s="97"/>
      <c r="AD948" s="97"/>
      <c r="AE948" s="97"/>
      <c r="AF948" s="97"/>
      <c r="AG948" s="97"/>
      <c r="AH948" s="97"/>
      <c r="AI948" s="97"/>
      <c r="AK948" s="97"/>
      <c r="AL948" s="97"/>
      <c r="AM948" s="97"/>
      <c r="AN948" s="97"/>
    </row>
    <row r="949" spans="24:40" x14ac:dyDescent="0.35">
      <c r="X949" s="97"/>
      <c r="Y949" s="97"/>
      <c r="Z949" s="97"/>
      <c r="AA949" s="97"/>
      <c r="AB949" s="97"/>
      <c r="AC949" s="97"/>
      <c r="AD949" s="97"/>
      <c r="AE949" s="97"/>
      <c r="AF949" s="97"/>
      <c r="AG949" s="97"/>
      <c r="AH949" s="97"/>
      <c r="AI949" s="97"/>
      <c r="AK949" s="97"/>
      <c r="AL949" s="97"/>
      <c r="AM949" s="97"/>
      <c r="AN949" s="97"/>
    </row>
    <row r="950" spans="24:40" x14ac:dyDescent="0.35">
      <c r="X950" s="97"/>
      <c r="Y950" s="97"/>
      <c r="Z950" s="97"/>
      <c r="AA950" s="97"/>
      <c r="AB950" s="97"/>
      <c r="AC950" s="97"/>
      <c r="AD950" s="97"/>
      <c r="AE950" s="97"/>
      <c r="AF950" s="97"/>
      <c r="AG950" s="97"/>
      <c r="AH950" s="97"/>
      <c r="AI950" s="97"/>
      <c r="AK950" s="97"/>
      <c r="AL950" s="97"/>
      <c r="AM950" s="97"/>
      <c r="AN950" s="97"/>
    </row>
    <row r="951" spans="24:40" x14ac:dyDescent="0.35">
      <c r="X951" s="97"/>
      <c r="Y951" s="97"/>
      <c r="Z951" s="97"/>
      <c r="AA951" s="97"/>
      <c r="AB951" s="97"/>
      <c r="AC951" s="97"/>
      <c r="AD951" s="97"/>
      <c r="AE951" s="97"/>
      <c r="AF951" s="97"/>
      <c r="AG951" s="97"/>
      <c r="AH951" s="97"/>
      <c r="AI951" s="97"/>
      <c r="AK951" s="97"/>
      <c r="AL951" s="97"/>
      <c r="AM951" s="97"/>
      <c r="AN951" s="97"/>
    </row>
    <row r="952" spans="24:40" x14ac:dyDescent="0.35">
      <c r="X952" s="97"/>
      <c r="Y952" s="97"/>
      <c r="Z952" s="97"/>
      <c r="AA952" s="97"/>
      <c r="AB952" s="97"/>
      <c r="AC952" s="97"/>
      <c r="AD952" s="97"/>
      <c r="AE952" s="97"/>
      <c r="AF952" s="97"/>
      <c r="AG952" s="97"/>
      <c r="AH952" s="97"/>
      <c r="AI952" s="97"/>
      <c r="AK952" s="97"/>
      <c r="AL952" s="97"/>
      <c r="AM952" s="97"/>
      <c r="AN952" s="97"/>
    </row>
    <row r="953" spans="24:40" x14ac:dyDescent="0.35">
      <c r="X953" s="97"/>
      <c r="Y953" s="97"/>
      <c r="Z953" s="97"/>
      <c r="AA953" s="97"/>
      <c r="AB953" s="97"/>
      <c r="AC953" s="97"/>
      <c r="AD953" s="97"/>
      <c r="AE953" s="97"/>
      <c r="AF953" s="97"/>
      <c r="AG953" s="97"/>
      <c r="AH953" s="97"/>
      <c r="AI953" s="97"/>
      <c r="AK953" s="97"/>
      <c r="AL953" s="97"/>
      <c r="AM953" s="97"/>
      <c r="AN953" s="97"/>
    </row>
    <row r="954" spans="24:40" x14ac:dyDescent="0.35">
      <c r="X954" s="97"/>
      <c r="Y954" s="97"/>
      <c r="Z954" s="97"/>
      <c r="AA954" s="97"/>
      <c r="AB954" s="97"/>
      <c r="AC954" s="97"/>
      <c r="AD954" s="97"/>
      <c r="AE954" s="97"/>
      <c r="AF954" s="97"/>
      <c r="AG954" s="97"/>
      <c r="AH954" s="97"/>
      <c r="AI954" s="97"/>
      <c r="AK954" s="97"/>
      <c r="AL954" s="97"/>
      <c r="AM954" s="97"/>
      <c r="AN954" s="97"/>
    </row>
    <row r="955" spans="24:40" x14ac:dyDescent="0.35">
      <c r="X955" s="97"/>
      <c r="Y955" s="97"/>
      <c r="Z955" s="97"/>
      <c r="AA955" s="97"/>
      <c r="AB955" s="97"/>
      <c r="AC955" s="97"/>
      <c r="AD955" s="97"/>
      <c r="AE955" s="97"/>
      <c r="AF955" s="97"/>
      <c r="AG955" s="97"/>
      <c r="AH955" s="97"/>
      <c r="AI955" s="97"/>
      <c r="AK955" s="97"/>
      <c r="AL955" s="97"/>
      <c r="AM955" s="97"/>
      <c r="AN955" s="97"/>
    </row>
    <row r="956" spans="24:40" x14ac:dyDescent="0.35">
      <c r="X956" s="97"/>
      <c r="Y956" s="97"/>
      <c r="Z956" s="97"/>
      <c r="AA956" s="97"/>
      <c r="AB956" s="97"/>
      <c r="AC956" s="97"/>
      <c r="AD956" s="97"/>
      <c r="AE956" s="97"/>
      <c r="AF956" s="97"/>
      <c r="AG956" s="97"/>
      <c r="AH956" s="97"/>
      <c r="AI956" s="97"/>
      <c r="AK956" s="97"/>
      <c r="AL956" s="97"/>
      <c r="AM956" s="97"/>
      <c r="AN956" s="97"/>
    </row>
    <row r="957" spans="24:40" x14ac:dyDescent="0.35">
      <c r="X957" s="97"/>
      <c r="Y957" s="97"/>
      <c r="Z957" s="97"/>
      <c r="AA957" s="97"/>
      <c r="AB957" s="97"/>
      <c r="AC957" s="97"/>
      <c r="AD957" s="97"/>
      <c r="AE957" s="97"/>
      <c r="AF957" s="97"/>
      <c r="AG957" s="97"/>
      <c r="AH957" s="97"/>
      <c r="AI957" s="97"/>
      <c r="AK957" s="97"/>
      <c r="AL957" s="97"/>
      <c r="AM957" s="97"/>
      <c r="AN957" s="97"/>
    </row>
    <row r="958" spans="24:40" x14ac:dyDescent="0.35">
      <c r="X958" s="97"/>
      <c r="Y958" s="97"/>
      <c r="Z958" s="97"/>
      <c r="AA958" s="97"/>
      <c r="AB958" s="97"/>
      <c r="AC958" s="97"/>
      <c r="AD958" s="97"/>
      <c r="AE958" s="97"/>
      <c r="AF958" s="97"/>
      <c r="AG958" s="97"/>
      <c r="AH958" s="97"/>
      <c r="AI958" s="97"/>
      <c r="AK958" s="97"/>
      <c r="AL958" s="97"/>
      <c r="AM958" s="97"/>
      <c r="AN958" s="97"/>
    </row>
    <row r="959" spans="24:40" x14ac:dyDescent="0.35">
      <c r="X959" s="97"/>
      <c r="Y959" s="97"/>
      <c r="Z959" s="97"/>
      <c r="AA959" s="97"/>
      <c r="AB959" s="97"/>
      <c r="AC959" s="97"/>
      <c r="AD959" s="97"/>
      <c r="AE959" s="97"/>
      <c r="AF959" s="97"/>
      <c r="AG959" s="97"/>
      <c r="AH959" s="97"/>
      <c r="AI959" s="97"/>
      <c r="AK959" s="97"/>
      <c r="AL959" s="97"/>
      <c r="AM959" s="97"/>
      <c r="AN959" s="97"/>
    </row>
    <row r="960" spans="24:40" x14ac:dyDescent="0.35">
      <c r="X960" s="97"/>
      <c r="Y960" s="97"/>
      <c r="Z960" s="97"/>
      <c r="AA960" s="97"/>
      <c r="AB960" s="97"/>
      <c r="AC960" s="97"/>
      <c r="AD960" s="97"/>
      <c r="AE960" s="97"/>
      <c r="AF960" s="97"/>
      <c r="AG960" s="97"/>
      <c r="AH960" s="97"/>
      <c r="AI960" s="97"/>
      <c r="AK960" s="97"/>
      <c r="AL960" s="97"/>
      <c r="AM960" s="97"/>
      <c r="AN960" s="97"/>
    </row>
    <row r="961" spans="24:40" x14ac:dyDescent="0.35">
      <c r="X961" s="97"/>
      <c r="Y961" s="97"/>
      <c r="Z961" s="97"/>
      <c r="AA961" s="97"/>
      <c r="AB961" s="97"/>
      <c r="AC961" s="97"/>
      <c r="AD961" s="97"/>
      <c r="AE961" s="97"/>
      <c r="AF961" s="97"/>
      <c r="AG961" s="97"/>
      <c r="AH961" s="97"/>
      <c r="AI961" s="97"/>
      <c r="AK961" s="97"/>
      <c r="AL961" s="97"/>
      <c r="AM961" s="97"/>
      <c r="AN961" s="97"/>
    </row>
    <row r="962" spans="24:40" x14ac:dyDescent="0.35">
      <c r="X962" s="97"/>
      <c r="Y962" s="97"/>
      <c r="Z962" s="97"/>
      <c r="AA962" s="97"/>
      <c r="AB962" s="97"/>
      <c r="AC962" s="97"/>
      <c r="AD962" s="97"/>
      <c r="AE962" s="97"/>
      <c r="AF962" s="97"/>
      <c r="AG962" s="97"/>
      <c r="AH962" s="97"/>
      <c r="AI962" s="97"/>
      <c r="AK962" s="97"/>
      <c r="AL962" s="97"/>
      <c r="AM962" s="97"/>
      <c r="AN962" s="97"/>
    </row>
    <row r="963" spans="24:40" x14ac:dyDescent="0.35">
      <c r="X963" s="97"/>
      <c r="Y963" s="97"/>
      <c r="Z963" s="97"/>
      <c r="AA963" s="97"/>
      <c r="AB963" s="97"/>
      <c r="AC963" s="97"/>
      <c r="AD963" s="97"/>
      <c r="AE963" s="97"/>
      <c r="AF963" s="97"/>
      <c r="AG963" s="97"/>
      <c r="AH963" s="97"/>
      <c r="AI963" s="97"/>
      <c r="AK963" s="97"/>
      <c r="AL963" s="97"/>
      <c r="AM963" s="97"/>
      <c r="AN963" s="97"/>
    </row>
    <row r="964" spans="24:40" x14ac:dyDescent="0.35">
      <c r="X964" s="97"/>
      <c r="Y964" s="97"/>
      <c r="Z964" s="97"/>
      <c r="AA964" s="97"/>
      <c r="AB964" s="97"/>
      <c r="AC964" s="97"/>
      <c r="AD964" s="97"/>
      <c r="AE964" s="97"/>
      <c r="AF964" s="97"/>
      <c r="AG964" s="97"/>
      <c r="AH964" s="97"/>
      <c r="AI964" s="97"/>
      <c r="AK964" s="97"/>
      <c r="AL964" s="97"/>
      <c r="AM964" s="97"/>
      <c r="AN964" s="97"/>
    </row>
    <row r="965" spans="24:40" x14ac:dyDescent="0.35">
      <c r="X965" s="97"/>
      <c r="Y965" s="97"/>
      <c r="Z965" s="97"/>
      <c r="AA965" s="97"/>
      <c r="AB965" s="97"/>
      <c r="AC965" s="97"/>
      <c r="AD965" s="97"/>
      <c r="AE965" s="97"/>
      <c r="AF965" s="97"/>
      <c r="AG965" s="97"/>
      <c r="AH965" s="97"/>
      <c r="AI965" s="97"/>
      <c r="AK965" s="97"/>
      <c r="AL965" s="97"/>
      <c r="AM965" s="97"/>
      <c r="AN965" s="97"/>
    </row>
    <row r="966" spans="24:40" x14ac:dyDescent="0.35">
      <c r="X966" s="97"/>
      <c r="Y966" s="97"/>
      <c r="Z966" s="97"/>
      <c r="AA966" s="97"/>
      <c r="AB966" s="97"/>
      <c r="AC966" s="97"/>
      <c r="AD966" s="97"/>
      <c r="AE966" s="97"/>
      <c r="AF966" s="97"/>
      <c r="AG966" s="97"/>
      <c r="AH966" s="97"/>
      <c r="AI966" s="97"/>
      <c r="AK966" s="97"/>
      <c r="AL966" s="97"/>
      <c r="AM966" s="97"/>
      <c r="AN966" s="97"/>
    </row>
    <row r="967" spans="24:40" x14ac:dyDescent="0.35">
      <c r="X967" s="97"/>
      <c r="Y967" s="97"/>
      <c r="Z967" s="97"/>
      <c r="AA967" s="97"/>
      <c r="AB967" s="97"/>
      <c r="AC967" s="97"/>
      <c r="AD967" s="97"/>
      <c r="AE967" s="97"/>
      <c r="AF967" s="97"/>
      <c r="AG967" s="97"/>
      <c r="AH967" s="97"/>
      <c r="AI967" s="97"/>
      <c r="AK967" s="97"/>
      <c r="AL967" s="97"/>
      <c r="AM967" s="97"/>
      <c r="AN967" s="97"/>
    </row>
    <row r="968" spans="24:40" x14ac:dyDescent="0.35">
      <c r="X968" s="97"/>
      <c r="Y968" s="97"/>
      <c r="Z968" s="97"/>
      <c r="AA968" s="97"/>
      <c r="AB968" s="97"/>
      <c r="AC968" s="97"/>
      <c r="AD968" s="97"/>
      <c r="AE968" s="97"/>
      <c r="AF968" s="97"/>
      <c r="AG968" s="97"/>
      <c r="AH968" s="97"/>
      <c r="AI968" s="97"/>
      <c r="AK968" s="97"/>
      <c r="AL968" s="97"/>
      <c r="AM968" s="97"/>
      <c r="AN968" s="97"/>
    </row>
    <row r="969" spans="24:40" x14ac:dyDescent="0.35">
      <c r="X969" s="97"/>
      <c r="Y969" s="97"/>
      <c r="Z969" s="97"/>
      <c r="AA969" s="97"/>
      <c r="AB969" s="97"/>
      <c r="AC969" s="97"/>
      <c r="AD969" s="97"/>
      <c r="AE969" s="97"/>
      <c r="AF969" s="97"/>
      <c r="AG969" s="97"/>
      <c r="AH969" s="97"/>
      <c r="AI969" s="97"/>
      <c r="AK969" s="97"/>
      <c r="AL969" s="97"/>
      <c r="AM969" s="97"/>
      <c r="AN969" s="97"/>
    </row>
    <row r="970" spans="24:40" x14ac:dyDescent="0.35">
      <c r="X970" s="97"/>
      <c r="Y970" s="97"/>
      <c r="Z970" s="97"/>
      <c r="AA970" s="97"/>
      <c r="AB970" s="97"/>
      <c r="AC970" s="97"/>
      <c r="AD970" s="97"/>
      <c r="AE970" s="97"/>
      <c r="AF970" s="97"/>
      <c r="AG970" s="97"/>
      <c r="AH970" s="97"/>
      <c r="AI970" s="97"/>
      <c r="AK970" s="97"/>
      <c r="AL970" s="97"/>
      <c r="AM970" s="97"/>
      <c r="AN970" s="97"/>
    </row>
    <row r="971" spans="24:40" x14ac:dyDescent="0.35">
      <c r="X971" s="97"/>
      <c r="Y971" s="97"/>
      <c r="Z971" s="97"/>
      <c r="AA971" s="97"/>
      <c r="AB971" s="97"/>
      <c r="AC971" s="97"/>
      <c r="AD971" s="97"/>
      <c r="AE971" s="97"/>
      <c r="AF971" s="97"/>
      <c r="AG971" s="97"/>
      <c r="AH971" s="97"/>
      <c r="AI971" s="97"/>
      <c r="AK971" s="97"/>
      <c r="AL971" s="97"/>
      <c r="AM971" s="97"/>
      <c r="AN971" s="97"/>
    </row>
    <row r="972" spans="24:40" x14ac:dyDescent="0.35">
      <c r="X972" s="97"/>
      <c r="Y972" s="97"/>
      <c r="Z972" s="97"/>
      <c r="AA972" s="97"/>
      <c r="AB972" s="97"/>
      <c r="AC972" s="97"/>
      <c r="AD972" s="97"/>
      <c r="AE972" s="97"/>
      <c r="AF972" s="97"/>
      <c r="AG972" s="97"/>
      <c r="AH972" s="97"/>
      <c r="AI972" s="97"/>
      <c r="AK972" s="97"/>
      <c r="AL972" s="97"/>
      <c r="AM972" s="97"/>
      <c r="AN972" s="97"/>
    </row>
    <row r="973" spans="24:40" x14ac:dyDescent="0.35">
      <c r="X973" s="97"/>
      <c r="Y973" s="97"/>
      <c r="Z973" s="97"/>
      <c r="AA973" s="97"/>
      <c r="AB973" s="97"/>
      <c r="AC973" s="97"/>
      <c r="AD973" s="97"/>
      <c r="AE973" s="97"/>
      <c r="AF973" s="97"/>
      <c r="AG973" s="97"/>
      <c r="AH973" s="97"/>
      <c r="AI973" s="97"/>
      <c r="AK973" s="97"/>
      <c r="AL973" s="97"/>
      <c r="AM973" s="97"/>
      <c r="AN973" s="97"/>
    </row>
    <row r="974" spans="24:40" x14ac:dyDescent="0.35">
      <c r="X974" s="97"/>
      <c r="Y974" s="97"/>
      <c r="Z974" s="97"/>
      <c r="AA974" s="97"/>
      <c r="AB974" s="97"/>
      <c r="AC974" s="97"/>
      <c r="AD974" s="97"/>
      <c r="AE974" s="97"/>
      <c r="AF974" s="97"/>
      <c r="AG974" s="97"/>
      <c r="AH974" s="97"/>
      <c r="AI974" s="97"/>
      <c r="AK974" s="97"/>
      <c r="AL974" s="97"/>
      <c r="AM974" s="97"/>
      <c r="AN974" s="97"/>
    </row>
    <row r="975" spans="24:40" x14ac:dyDescent="0.35">
      <c r="X975" s="97"/>
      <c r="Y975" s="97"/>
      <c r="Z975" s="97"/>
      <c r="AA975" s="97"/>
      <c r="AB975" s="97"/>
      <c r="AC975" s="97"/>
      <c r="AD975" s="97"/>
      <c r="AE975" s="97"/>
      <c r="AF975" s="97"/>
      <c r="AG975" s="97"/>
      <c r="AH975" s="97"/>
      <c r="AI975" s="97"/>
      <c r="AK975" s="97"/>
      <c r="AL975" s="97"/>
      <c r="AM975" s="97"/>
      <c r="AN975" s="97"/>
    </row>
    <row r="976" spans="24:40" x14ac:dyDescent="0.35">
      <c r="X976" s="97"/>
      <c r="Y976" s="97"/>
      <c r="Z976" s="97"/>
      <c r="AA976" s="97"/>
      <c r="AB976" s="97"/>
      <c r="AC976" s="97"/>
      <c r="AD976" s="97"/>
      <c r="AE976" s="97"/>
      <c r="AF976" s="97"/>
      <c r="AG976" s="97"/>
      <c r="AH976" s="97"/>
      <c r="AI976" s="97"/>
      <c r="AK976" s="97"/>
      <c r="AL976" s="97"/>
      <c r="AM976" s="97"/>
      <c r="AN976" s="97"/>
    </row>
    <row r="977" spans="24:40" x14ac:dyDescent="0.35">
      <c r="X977" s="97"/>
      <c r="Y977" s="97"/>
      <c r="Z977" s="97"/>
      <c r="AA977" s="97"/>
      <c r="AB977" s="97"/>
      <c r="AC977" s="97"/>
      <c r="AD977" s="97"/>
      <c r="AE977" s="97"/>
      <c r="AF977" s="97"/>
      <c r="AG977" s="97"/>
      <c r="AH977" s="97"/>
      <c r="AI977" s="97"/>
      <c r="AK977" s="97"/>
      <c r="AL977" s="97"/>
      <c r="AM977" s="97"/>
      <c r="AN977" s="97"/>
    </row>
    <row r="978" spans="24:40" x14ac:dyDescent="0.35">
      <c r="X978" s="97"/>
      <c r="Y978" s="97"/>
      <c r="Z978" s="97"/>
      <c r="AA978" s="97"/>
      <c r="AB978" s="97"/>
      <c r="AC978" s="97"/>
      <c r="AD978" s="97"/>
      <c r="AE978" s="97"/>
      <c r="AF978" s="97"/>
      <c r="AG978" s="97"/>
      <c r="AH978" s="97"/>
      <c r="AI978" s="97"/>
      <c r="AK978" s="97"/>
      <c r="AL978" s="97"/>
      <c r="AM978" s="97"/>
      <c r="AN978" s="97"/>
    </row>
    <row r="979" spans="24:40" x14ac:dyDescent="0.35">
      <c r="X979" s="97"/>
      <c r="Y979" s="97"/>
      <c r="Z979" s="97"/>
      <c r="AA979" s="97"/>
      <c r="AB979" s="97"/>
      <c r="AC979" s="97"/>
      <c r="AD979" s="97"/>
      <c r="AE979" s="97"/>
      <c r="AF979" s="97"/>
      <c r="AG979" s="97"/>
      <c r="AH979" s="97"/>
      <c r="AI979" s="97"/>
      <c r="AK979" s="97"/>
      <c r="AL979" s="97"/>
      <c r="AM979" s="97"/>
      <c r="AN979" s="97"/>
    </row>
    <row r="980" spans="24:40" x14ac:dyDescent="0.35">
      <c r="X980" s="97"/>
      <c r="Y980" s="97"/>
      <c r="Z980" s="97"/>
      <c r="AA980" s="97"/>
      <c r="AB980" s="97"/>
      <c r="AC980" s="97"/>
      <c r="AD980" s="97"/>
      <c r="AE980" s="97"/>
      <c r="AF980" s="97"/>
      <c r="AG980" s="97"/>
      <c r="AH980" s="97"/>
      <c r="AI980" s="97"/>
      <c r="AK980" s="97"/>
      <c r="AL980" s="97"/>
      <c r="AM980" s="97"/>
      <c r="AN980" s="97"/>
    </row>
    <row r="981" spans="24:40" x14ac:dyDescent="0.35">
      <c r="X981" s="97"/>
      <c r="Y981" s="97"/>
      <c r="Z981" s="97"/>
      <c r="AA981" s="97"/>
      <c r="AB981" s="97"/>
      <c r="AC981" s="97"/>
      <c r="AD981" s="97"/>
      <c r="AE981" s="97"/>
      <c r="AF981" s="97"/>
      <c r="AG981" s="97"/>
      <c r="AH981" s="97"/>
      <c r="AI981" s="97"/>
      <c r="AK981" s="97"/>
      <c r="AL981" s="97"/>
      <c r="AM981" s="97"/>
      <c r="AN981" s="97"/>
    </row>
    <row r="982" spans="24:40" x14ac:dyDescent="0.35">
      <c r="X982" s="97"/>
      <c r="Y982" s="97"/>
      <c r="Z982" s="97"/>
      <c r="AA982" s="97"/>
      <c r="AB982" s="97"/>
      <c r="AC982" s="97"/>
      <c r="AD982" s="97"/>
      <c r="AE982" s="97"/>
      <c r="AF982" s="97"/>
      <c r="AG982" s="97"/>
      <c r="AH982" s="97"/>
      <c r="AI982" s="97"/>
      <c r="AK982" s="97"/>
      <c r="AL982" s="97"/>
      <c r="AM982" s="97"/>
      <c r="AN982" s="97"/>
    </row>
    <row r="983" spans="24:40" x14ac:dyDescent="0.35">
      <c r="X983" s="97"/>
      <c r="Y983" s="97"/>
      <c r="Z983" s="97"/>
      <c r="AA983" s="97"/>
      <c r="AB983" s="97"/>
      <c r="AC983" s="97"/>
      <c r="AD983" s="97"/>
      <c r="AE983" s="97"/>
      <c r="AF983" s="97"/>
      <c r="AG983" s="97"/>
      <c r="AH983" s="97"/>
      <c r="AI983" s="97"/>
      <c r="AK983" s="97"/>
      <c r="AL983" s="97"/>
      <c r="AM983" s="97"/>
      <c r="AN983" s="97"/>
    </row>
    <row r="984" spans="24:40" x14ac:dyDescent="0.35">
      <c r="X984" s="97"/>
      <c r="Y984" s="97"/>
      <c r="Z984" s="97"/>
      <c r="AA984" s="97"/>
      <c r="AB984" s="97"/>
      <c r="AC984" s="97"/>
      <c r="AD984" s="97"/>
      <c r="AE984" s="97"/>
      <c r="AF984" s="97"/>
      <c r="AG984" s="97"/>
      <c r="AH984" s="97"/>
      <c r="AI984" s="97"/>
      <c r="AK984" s="97"/>
      <c r="AL984" s="97"/>
      <c r="AM984" s="97"/>
      <c r="AN984" s="97"/>
    </row>
    <row r="985" spans="24:40" x14ac:dyDescent="0.35">
      <c r="X985" s="97"/>
      <c r="Y985" s="97"/>
      <c r="Z985" s="97"/>
      <c r="AA985" s="97"/>
      <c r="AB985" s="97"/>
      <c r="AC985" s="97"/>
      <c r="AD985" s="97"/>
      <c r="AE985" s="97"/>
      <c r="AF985" s="97"/>
      <c r="AG985" s="97"/>
      <c r="AH985" s="97"/>
      <c r="AI985" s="97"/>
      <c r="AK985" s="97"/>
      <c r="AL985" s="97"/>
      <c r="AM985" s="97"/>
      <c r="AN985" s="97"/>
    </row>
    <row r="986" spans="24:40" x14ac:dyDescent="0.35">
      <c r="X986" s="97"/>
      <c r="Y986" s="97"/>
      <c r="Z986" s="97"/>
      <c r="AA986" s="97"/>
      <c r="AB986" s="97"/>
      <c r="AC986" s="97"/>
      <c r="AD986" s="97"/>
      <c r="AE986" s="97"/>
      <c r="AF986" s="97"/>
      <c r="AG986" s="97"/>
      <c r="AH986" s="97"/>
      <c r="AI986" s="97"/>
      <c r="AK986" s="97"/>
      <c r="AL986" s="97"/>
      <c r="AM986" s="97"/>
      <c r="AN986" s="97"/>
    </row>
    <row r="987" spans="24:40" x14ac:dyDescent="0.35">
      <c r="X987" s="97"/>
      <c r="Y987" s="97"/>
      <c r="Z987" s="97"/>
      <c r="AA987" s="97"/>
      <c r="AB987" s="97"/>
      <c r="AC987" s="97"/>
      <c r="AD987" s="97"/>
      <c r="AE987" s="97"/>
      <c r="AF987" s="97"/>
      <c r="AG987" s="97"/>
      <c r="AH987" s="97"/>
      <c r="AI987" s="97"/>
      <c r="AK987" s="97"/>
      <c r="AL987" s="97"/>
      <c r="AM987" s="97"/>
      <c r="AN987" s="97"/>
    </row>
    <row r="988" spans="24:40" x14ac:dyDescent="0.35">
      <c r="X988" s="97"/>
      <c r="Y988" s="97"/>
      <c r="Z988" s="97"/>
      <c r="AA988" s="97"/>
      <c r="AB988" s="97"/>
      <c r="AC988" s="97"/>
      <c r="AD988" s="97"/>
      <c r="AE988" s="97"/>
      <c r="AF988" s="97"/>
      <c r="AG988" s="97"/>
      <c r="AH988" s="97"/>
      <c r="AI988" s="97"/>
      <c r="AK988" s="97"/>
      <c r="AL988" s="97"/>
      <c r="AM988" s="97"/>
      <c r="AN988" s="97"/>
    </row>
    <row r="989" spans="24:40" x14ac:dyDescent="0.35">
      <c r="X989" s="97"/>
      <c r="Y989" s="97"/>
      <c r="Z989" s="97"/>
      <c r="AA989" s="97"/>
      <c r="AB989" s="97"/>
      <c r="AC989" s="97"/>
      <c r="AD989" s="97"/>
      <c r="AE989" s="97"/>
      <c r="AF989" s="97"/>
      <c r="AG989" s="97"/>
      <c r="AH989" s="97"/>
      <c r="AI989" s="97"/>
      <c r="AK989" s="97"/>
      <c r="AL989" s="97"/>
      <c r="AM989" s="97"/>
      <c r="AN989" s="97"/>
    </row>
    <row r="990" spans="24:40" x14ac:dyDescent="0.35">
      <c r="X990" s="97"/>
      <c r="Y990" s="97"/>
      <c r="Z990" s="97"/>
      <c r="AA990" s="97"/>
      <c r="AB990" s="97"/>
      <c r="AC990" s="97"/>
      <c r="AD990" s="97"/>
      <c r="AE990" s="97"/>
      <c r="AF990" s="97"/>
      <c r="AG990" s="97"/>
      <c r="AH990" s="97"/>
      <c r="AI990" s="97"/>
      <c r="AK990" s="97"/>
      <c r="AL990" s="97"/>
      <c r="AM990" s="97"/>
      <c r="AN990" s="97"/>
    </row>
    <row r="991" spans="24:40" x14ac:dyDescent="0.35">
      <c r="X991" s="97"/>
      <c r="Y991" s="97"/>
      <c r="Z991" s="97"/>
      <c r="AA991" s="97"/>
      <c r="AB991" s="97"/>
      <c r="AC991" s="97"/>
      <c r="AD991" s="97"/>
      <c r="AE991" s="97"/>
      <c r="AF991" s="97"/>
      <c r="AG991" s="97"/>
      <c r="AH991" s="97"/>
      <c r="AI991" s="97"/>
      <c r="AK991" s="97"/>
      <c r="AL991" s="97"/>
      <c r="AM991" s="97"/>
      <c r="AN991" s="97"/>
    </row>
    <row r="992" spans="24:40" x14ac:dyDescent="0.35">
      <c r="X992" s="97"/>
      <c r="Y992" s="97"/>
      <c r="Z992" s="97"/>
      <c r="AA992" s="97"/>
      <c r="AB992" s="97"/>
      <c r="AC992" s="97"/>
      <c r="AD992" s="97"/>
      <c r="AE992" s="97"/>
      <c r="AF992" s="97"/>
      <c r="AG992" s="97"/>
      <c r="AH992" s="97"/>
      <c r="AI992" s="97"/>
      <c r="AK992" s="97"/>
      <c r="AL992" s="97"/>
      <c r="AM992" s="97"/>
      <c r="AN992" s="97"/>
    </row>
    <row r="993" spans="24:40" x14ac:dyDescent="0.35">
      <c r="X993" s="97"/>
      <c r="Y993" s="97"/>
      <c r="Z993" s="97"/>
      <c r="AA993" s="97"/>
      <c r="AB993" s="97"/>
      <c r="AC993" s="97"/>
      <c r="AD993" s="97"/>
      <c r="AE993" s="97"/>
      <c r="AF993" s="97"/>
      <c r="AG993" s="97"/>
      <c r="AH993" s="97"/>
      <c r="AI993" s="97"/>
      <c r="AK993" s="97"/>
      <c r="AL993" s="97"/>
      <c r="AM993" s="97"/>
      <c r="AN993" s="97"/>
    </row>
    <row r="994" spans="24:40" x14ac:dyDescent="0.35">
      <c r="X994" s="97"/>
      <c r="Y994" s="97"/>
      <c r="Z994" s="97"/>
      <c r="AA994" s="97"/>
      <c r="AB994" s="97"/>
      <c r="AC994" s="97"/>
      <c r="AD994" s="97"/>
      <c r="AE994" s="97"/>
      <c r="AF994" s="97"/>
      <c r="AG994" s="97"/>
      <c r="AH994" s="97"/>
      <c r="AI994" s="97"/>
      <c r="AK994" s="97"/>
      <c r="AL994" s="97"/>
      <c r="AM994" s="97"/>
      <c r="AN994" s="97"/>
    </row>
    <row r="995" spans="24:40" x14ac:dyDescent="0.35">
      <c r="X995" s="97"/>
      <c r="Y995" s="97"/>
      <c r="Z995" s="97"/>
      <c r="AA995" s="97"/>
      <c r="AB995" s="97"/>
      <c r="AC995" s="97"/>
      <c r="AD995" s="97"/>
      <c r="AE995" s="97"/>
      <c r="AF995" s="97"/>
      <c r="AG995" s="97"/>
      <c r="AH995" s="97"/>
      <c r="AI995" s="97"/>
      <c r="AK995" s="97"/>
      <c r="AL995" s="97"/>
      <c r="AM995" s="97"/>
      <c r="AN995" s="97"/>
    </row>
    <row r="996" spans="24:40" x14ac:dyDescent="0.35">
      <c r="X996" s="97"/>
      <c r="Y996" s="97"/>
      <c r="Z996" s="97"/>
      <c r="AA996" s="97"/>
      <c r="AB996" s="97"/>
      <c r="AC996" s="97"/>
      <c r="AD996" s="97"/>
      <c r="AE996" s="97"/>
      <c r="AF996" s="97"/>
      <c r="AG996" s="97"/>
      <c r="AH996" s="97"/>
      <c r="AI996" s="97"/>
      <c r="AK996" s="97"/>
      <c r="AL996" s="97"/>
      <c r="AM996" s="97"/>
      <c r="AN996" s="97"/>
    </row>
    <row r="997" spans="24:40" x14ac:dyDescent="0.35">
      <c r="X997" s="97"/>
      <c r="Y997" s="97"/>
      <c r="Z997" s="97"/>
      <c r="AA997" s="97"/>
      <c r="AB997" s="97"/>
      <c r="AC997" s="97"/>
      <c r="AD997" s="97"/>
      <c r="AE997" s="97"/>
      <c r="AF997" s="97"/>
      <c r="AG997" s="97"/>
      <c r="AH997" s="97"/>
      <c r="AI997" s="97"/>
      <c r="AK997" s="97"/>
      <c r="AL997" s="97"/>
      <c r="AM997" s="97"/>
      <c r="AN997" s="97"/>
    </row>
    <row r="998" spans="24:40" x14ac:dyDescent="0.35">
      <c r="X998" s="97"/>
      <c r="Y998" s="97"/>
      <c r="Z998" s="97"/>
      <c r="AA998" s="97"/>
      <c r="AB998" s="97"/>
      <c r="AC998" s="97"/>
      <c r="AD998" s="97"/>
      <c r="AE998" s="97"/>
      <c r="AF998" s="97"/>
      <c r="AG998" s="97"/>
      <c r="AH998" s="97"/>
      <c r="AI998" s="97"/>
      <c r="AK998" s="97"/>
      <c r="AL998" s="97"/>
      <c r="AM998" s="97"/>
      <c r="AN998" s="97"/>
    </row>
    <row r="999" spans="24:40" x14ac:dyDescent="0.35">
      <c r="X999" s="97"/>
      <c r="Y999" s="97"/>
      <c r="Z999" s="97"/>
      <c r="AA999" s="97"/>
      <c r="AB999" s="97"/>
      <c r="AC999" s="97"/>
      <c r="AD999" s="97"/>
      <c r="AE999" s="97"/>
      <c r="AF999" s="97"/>
      <c r="AG999" s="97"/>
      <c r="AH999" s="97"/>
      <c r="AI999" s="97"/>
      <c r="AK999" s="97"/>
      <c r="AL999" s="97"/>
      <c r="AM999" s="97"/>
      <c r="AN999" s="97"/>
    </row>
    <row r="1000" spans="24:40" x14ac:dyDescent="0.35">
      <c r="X1000" s="97"/>
      <c r="Y1000" s="97"/>
      <c r="Z1000" s="97"/>
      <c r="AA1000" s="97"/>
      <c r="AB1000" s="97"/>
      <c r="AC1000" s="97"/>
      <c r="AD1000" s="97"/>
      <c r="AE1000" s="97"/>
      <c r="AF1000" s="97"/>
      <c r="AG1000" s="97"/>
      <c r="AH1000" s="97"/>
      <c r="AI1000" s="97"/>
      <c r="AK1000" s="97"/>
      <c r="AL1000" s="97"/>
      <c r="AM1000" s="97"/>
      <c r="AN1000" s="97"/>
    </row>
    <row r="1001" spans="24:40" x14ac:dyDescent="0.35">
      <c r="X1001" s="97"/>
      <c r="Y1001" s="97"/>
      <c r="Z1001" s="97"/>
      <c r="AA1001" s="97"/>
      <c r="AB1001" s="97"/>
      <c r="AC1001" s="97"/>
      <c r="AD1001" s="97"/>
      <c r="AE1001" s="97"/>
      <c r="AF1001" s="97"/>
      <c r="AG1001" s="97"/>
      <c r="AH1001" s="97"/>
      <c r="AI1001" s="97"/>
      <c r="AK1001" s="97"/>
      <c r="AL1001" s="97"/>
      <c r="AM1001" s="97"/>
      <c r="AN1001" s="97"/>
    </row>
    <row r="1002" spans="24:40" x14ac:dyDescent="0.35">
      <c r="X1002" s="97"/>
    </row>
  </sheetData>
  <protectedRanges>
    <protectedRange sqref="Q261 Q232:Q259" name="Range2"/>
    <protectedRange sqref="R232:R261" name="Range2_1"/>
    <protectedRange sqref="T9:AE231" name="Range1"/>
    <protectedRange sqref="T232:AE242 T254:AE260" name="Range2_2"/>
    <protectedRange sqref="AP259:AP260 AG9:AJ231 AL9:AQ9 AL10:AP231 AQ10:AQ261" name="Range1_1"/>
    <protectedRange sqref="AL259:AO260 AL261:AP261 AG232:AJ261 AL232:AP258" name="Range2_3"/>
    <protectedRange sqref="AS261 AS232:AS258" name="Range2_4"/>
    <protectedRange sqref="AT176:AT216 AT219:AT261" name="Range2_5"/>
    <protectedRange sqref="AW232:AW261" name="Range2_6"/>
    <protectedRange sqref="AZ261 AZ232:AZ258" name="Range2_7"/>
    <protectedRange sqref="AZ223:AZ231" name="Range3"/>
    <protectedRange sqref="AU232:AU261" name="Range2_8"/>
    <protectedRange sqref="S232:S236" name="Range2_9"/>
    <protectedRange sqref="S237:S238" name="Range2_10"/>
    <protectedRange sqref="S239:S240" name="Range2_11"/>
    <protectedRange sqref="S241:S242" name="Range2_12"/>
    <protectedRange sqref="S253 S250" name="Range2_13"/>
    <protectedRange sqref="S254:S258" name="Range2_14"/>
    <protectedRange sqref="S259 S261" name="Range2_15"/>
  </protectedRanges>
  <mergeCells count="1">
    <mergeCell ref="L2:L6"/>
  </mergeCells>
  <phoneticPr fontId="24" type="noConversion"/>
  <conditionalFormatting sqref="A5">
    <cfRule type="cellIs" dxfId="17" priority="4" operator="equal">
      <formula>TRUE</formula>
    </cfRule>
  </conditionalFormatting>
  <conditionalFormatting sqref="B9:B263">
    <cfRule type="cellIs" dxfId="16" priority="2" operator="equal">
      <formula>TRUE</formula>
    </cfRule>
  </conditionalFormatting>
  <conditionalFormatting sqref="H2">
    <cfRule type="cellIs" dxfId="15" priority="3" operator="equal">
      <formula>TRUE</formula>
    </cfRule>
  </conditionalFormatting>
  <conditionalFormatting sqref="M2:N2">
    <cfRule type="duplicateValues" dxfId="14" priority="1"/>
  </conditionalFormatting>
  <dataValidations disablePrompts="1" count="10">
    <dataValidation type="list" allowBlank="1" showInputMessage="1" showErrorMessage="1" sqref="H3" xr:uid="{CBBE2EAF-02C6-4697-AB85-FE669190F088}">
      <formula1>_VP</formula1>
    </dataValidation>
    <dataValidation type="list" allowBlank="1" showInputMessage="1" showErrorMessage="1" sqref="AT261" xr:uid="{C401BA26-AB6F-4466-9632-D0493FF4B148}">
      <formula1>"Eletrobras,Eletronorte,Chesf,CGT Eletrosul"</formula1>
    </dataValidation>
    <dataValidation type="list" allowBlank="1" showInputMessage="1" showErrorMessage="1" sqref="AT261" xr:uid="{CDD1AE34-5EC3-43B9-B6DB-7C9C8D1509BB}">
      <formula1>"2024,2025,2026 (novo)"</formula1>
    </dataValidation>
    <dataValidation type="list" allowBlank="1" showInputMessage="1" showErrorMessage="1" sqref="AV241" xr:uid="{742FBFAA-FD66-4BA8-8EDF-9A0D68530298}">
      <formula1>"2023,2024,2025,2026 (Nova Demanda)"</formula1>
    </dataValidation>
    <dataValidation type="list" allowBlank="1" showInputMessage="1" showErrorMessage="1" sqref="H9:H263" xr:uid="{1D95E5F3-9635-4097-A363-C4157C6F8179}">
      <formula1>_Corporativo_SPE</formula1>
    </dataValidation>
    <dataValidation type="list" allowBlank="1" showInputMessage="1" showErrorMessage="1" sqref="J9:J263" xr:uid="{0D0E2C21-C848-4E3F-B6FE-07F94736045A}">
      <formula1>_Segmento</formula1>
    </dataValidation>
    <dataValidation type="list" allowBlank="1" showInputMessage="1" showErrorMessage="1" sqref="K9:K263" xr:uid="{88C4EB62-07A6-43EF-95A8-CF0C5C89B0DC}">
      <formula1>INDIRECT($J9)</formula1>
    </dataValidation>
    <dataValidation type="list" allowBlank="1" showInputMessage="1" showErrorMessage="1" sqref="I9:I263" xr:uid="{4437EEAD-E84A-4C32-9576-58D874AE1FF4}">
      <formula1>INDIRECT($H9)</formula1>
    </dataValidation>
    <dataValidation type="list" allowBlank="1" showInputMessage="1" showErrorMessage="1" sqref="L9:L263" xr:uid="{BFF027B5-F64B-4F2F-9D81-39336619A382}">
      <formula1>INDIRECT(SUBSTITUTE($J9&amp;$K9," ",""))</formula1>
    </dataValidation>
    <dataValidation type="list" allowBlank="1" showInputMessage="1" showErrorMessage="1" sqref="AW243:AW252" xr:uid="{81AFED66-B181-4157-B0A2-8D2FAF88C07E}">
      <formula1>"Contratado,Em contratação,TR/Projeto básico,Nova demanda"</formula1>
    </dataValidation>
  </dataValidations>
  <pageMargins left="0.511811024" right="0.511811024" top="0.78740157499999996" bottom="0.78740157499999996" header="0.31496062000000002" footer="0.31496062000000002"/>
  <pageSetup paperSize="9" orientation="portrait" r:id="rId1"/>
  <headerFooter>
    <oddFooter>&amp;C_x000D_&amp;1#&amp;"Calibri"&amp;10&amp;K0000FF Classificação: Interna</oddFooter>
  </headerFooter>
  <legacyDrawing r:id="rId2"/>
  <tableParts count="1">
    <tablePart r:id="rId3"/>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12971-7C1D-44B6-AA53-6D9DF7C9F5D7}">
  <sheetPr>
    <tabColor rgb="FF0070C0"/>
  </sheetPr>
  <dimension ref="A1:AZ873"/>
  <sheetViews>
    <sheetView showGridLines="0" topLeftCell="V1" zoomScale="85" zoomScaleNormal="100" workbookViewId="0">
      <pane ySplit="8" topLeftCell="A9" activePane="bottomLeft" state="frozenSplit"/>
      <selection activeCell="V1" sqref="V1"/>
      <selection pane="bottomLeft" activeCell="L12" sqref="L12"/>
    </sheetView>
  </sheetViews>
  <sheetFormatPr defaultColWidth="8.69921875" defaultRowHeight="14.5" x14ac:dyDescent="0.35"/>
  <cols>
    <col min="1" max="1" width="20.3984375" style="1" customWidth="1"/>
    <col min="2" max="2" width="14.3984375" style="2" customWidth="1"/>
    <col min="3" max="3" width="17.09765625" style="3" customWidth="1"/>
    <col min="4" max="4" width="15.09765625" style="2" customWidth="1"/>
    <col min="5" max="5" width="17" style="2" customWidth="1"/>
    <col min="6" max="7" width="14.296875" style="2" customWidth="1"/>
    <col min="8" max="8" width="25.09765625" style="90" customWidth="1"/>
    <col min="9" max="9" width="22" style="90" customWidth="1"/>
    <col min="10" max="10" width="28.59765625" style="90" customWidth="1"/>
    <col min="11" max="11" width="30.59765625" style="2" customWidth="1"/>
    <col min="12" max="12" width="27.59765625" style="2" customWidth="1"/>
    <col min="13" max="14" width="26.3984375" style="2" customWidth="1"/>
    <col min="15" max="15" width="25.69921875" style="90" customWidth="1"/>
    <col min="16" max="16" width="21.69921875" style="90" customWidth="1"/>
    <col min="17" max="17" width="24.296875" style="2" customWidth="1"/>
    <col min="18" max="18" width="19.8984375" style="90" customWidth="1"/>
    <col min="19" max="19" width="19.59765625" style="2" customWidth="1"/>
    <col min="20" max="21" width="19.59765625" style="213" customWidth="1"/>
    <col min="22" max="23" width="19.59765625" style="214" customWidth="1"/>
    <col min="24" max="24" width="16.3984375" style="212" customWidth="1"/>
    <col min="25" max="25" width="15.296875" style="212" customWidth="1"/>
    <col min="26" max="26" width="15.3984375" style="212" customWidth="1"/>
    <col min="27" max="28" width="14.69921875" style="213" customWidth="1"/>
    <col min="29" max="31" width="12.59765625" style="213" customWidth="1"/>
    <col min="32" max="32" width="19.09765625" style="213" customWidth="1"/>
    <col min="33" max="33" width="22.69921875" style="213" customWidth="1"/>
    <col min="34" max="34" width="19.8984375" style="213" customWidth="1"/>
    <col min="35" max="35" width="19.296875" style="213" customWidth="1"/>
    <col min="36" max="36" width="15.69921875" style="213" customWidth="1"/>
    <col min="37" max="37" width="18.09765625" style="213" customWidth="1"/>
    <col min="38" max="39" width="13.8984375" style="213" customWidth="1"/>
    <col min="40" max="40" width="13.09765625" style="213" customWidth="1"/>
    <col min="41" max="41" width="14.8984375" style="213" customWidth="1"/>
    <col min="42" max="42" width="16" style="213" customWidth="1"/>
    <col min="43" max="43" width="19.09765625" style="213" customWidth="1"/>
    <col min="44" max="44" width="13.69921875" style="2" customWidth="1"/>
    <col min="45" max="45" width="19.09765625" style="2" customWidth="1"/>
    <col min="46" max="46" width="14.296875" style="2" customWidth="1"/>
    <col min="47" max="47" width="24.69921875" style="2" customWidth="1"/>
    <col min="48" max="49" width="19.09765625" style="2" customWidth="1"/>
    <col min="50" max="50" width="29.69921875" style="2" customWidth="1"/>
    <col min="51" max="51" width="13.69921875" style="2" customWidth="1"/>
    <col min="52" max="52" width="37" style="2" bestFit="1" customWidth="1"/>
    <col min="53" max="16384" width="8.69921875" style="2"/>
  </cols>
  <sheetData>
    <row r="1" spans="1:52" ht="9" customHeight="1" thickBot="1" x14ac:dyDescent="0.4">
      <c r="O1" s="68"/>
      <c r="R1" s="2"/>
      <c r="T1" s="214"/>
      <c r="V1" s="213"/>
      <c r="W1" s="213"/>
      <c r="X1" s="214"/>
      <c r="Y1" s="214"/>
      <c r="Z1" s="213"/>
    </row>
    <row r="2" spans="1:52" ht="24" customHeight="1" thickBot="1" x14ac:dyDescent="0.65">
      <c r="A2" s="2"/>
      <c r="B2" s="4" t="s">
        <v>433</v>
      </c>
      <c r="C2" s="4"/>
      <c r="G2" s="64" t="s">
        <v>434</v>
      </c>
      <c r="H2" s="92" t="b">
        <f>AND($H$3&lt;&gt;"",$H$4&lt;&gt;"")</f>
        <v>1</v>
      </c>
      <c r="J2" s="76" t="s">
        <v>435</v>
      </c>
      <c r="L2" s="430" t="s">
        <v>436</v>
      </c>
      <c r="M2" s="430" t="s">
        <v>437</v>
      </c>
      <c r="N2" s="430"/>
      <c r="O2" s="430"/>
      <c r="R2" s="2"/>
      <c r="T2" s="214"/>
      <c r="V2" s="213"/>
      <c r="W2" s="213"/>
      <c r="X2" s="214"/>
      <c r="Y2" s="214"/>
      <c r="Z2" s="213"/>
    </row>
    <row r="3" spans="1:52" ht="17.149999999999999" customHeight="1" x14ac:dyDescent="0.5">
      <c r="A3" s="2"/>
      <c r="B3" s="7" t="s">
        <v>438</v>
      </c>
      <c r="C3" s="8"/>
      <c r="G3" s="63" t="s">
        <v>13</v>
      </c>
      <c r="H3" s="93" t="s">
        <v>439</v>
      </c>
      <c r="I3" s="231" t="s">
        <v>11</v>
      </c>
      <c r="J3" s="96" t="str" cm="1">
        <f t="array" aca="1" ref="J3" ca="1">MID(CELL("filename"),SEARCH("[",CELL("filename"))+1,SEARCH("]",CELL("filename"))-SEARCH("[",CELL("filename"))-1)</f>
        <v>Capex Orcamentário_PE2026_2030_red_35_porcentoR3_consulta.xlsx</v>
      </c>
      <c r="L3" s="430"/>
      <c r="M3" s="430"/>
      <c r="N3" s="430"/>
      <c r="O3" s="430"/>
      <c r="R3" s="2"/>
      <c r="T3" s="210">
        <f>SUBTOTAL(9,Tabela98[jan/26])</f>
        <v>19915533.796723962</v>
      </c>
      <c r="U3" s="210">
        <f>SUBTOTAL(9,Tabela98[fev/26])</f>
        <v>16164952.026723959</v>
      </c>
      <c r="V3" s="210">
        <f>SUBTOTAL(9,Tabela98[mar/26])</f>
        <v>36304647.80672396</v>
      </c>
      <c r="W3" s="210">
        <f>SUBTOTAL(9,Tabela98[abr/26])</f>
        <v>34108608.313390628</v>
      </c>
      <c r="X3" s="210">
        <f>SUBTOTAL(9,Tabela98[mai/26])</f>
        <v>36328420.69672396</v>
      </c>
      <c r="Y3" s="210">
        <f>SUBTOTAL(9,Tabela98[jun/26])</f>
        <v>35436296.836723961</v>
      </c>
      <c r="Z3" s="210">
        <f>SUBTOTAL(9,Tabela98[jul/26])</f>
        <v>34857141.386723965</v>
      </c>
      <c r="AA3" s="210">
        <f>SUBTOTAL(9,Tabela98[ago/26])</f>
        <v>58571932.623390622</v>
      </c>
      <c r="AB3" s="210">
        <f>SUBTOTAL(9,Tabela98[set/26])</f>
        <v>15121612.096723957</v>
      </c>
      <c r="AC3" s="210">
        <f>SUBTOTAL(9,Tabela98[out/26])</f>
        <v>36478846.246723965</v>
      </c>
      <c r="AD3" s="210">
        <f>SUBTOTAL(9,Tabela98[nov/26])</f>
        <v>80369497.816666663</v>
      </c>
      <c r="AE3" s="210">
        <f>SUBTOTAL(9,Tabela98[dez/26])</f>
        <v>38456795.178333335</v>
      </c>
      <c r="AF3" s="210">
        <f>SUBTOTAL(9,Tabela98[2026])</f>
        <v>456154284.82557291</v>
      </c>
      <c r="AG3" s="210">
        <f>SUBTOTAL(9,Tabela98[2027])</f>
        <v>398100977.75658339</v>
      </c>
      <c r="AH3" s="210">
        <f>SUBTOTAL(9,Tabela98[2028])</f>
        <v>233733826.84250009</v>
      </c>
      <c r="AI3" s="210">
        <f>SUBTOTAL(9,Tabela98[2029])</f>
        <v>82473259.820000008</v>
      </c>
      <c r="AJ3" s="210">
        <f>SUBTOTAL(9,Tabela98[2030])</f>
        <v>1000000</v>
      </c>
      <c r="AK3" s="210">
        <f>SUBTOTAL(9,Tabela98[2026-2030])</f>
        <v>1171462349.2446566</v>
      </c>
      <c r="AL3" s="210">
        <f>SUBTOTAL(9,Tabela98[2031])</f>
        <v>0</v>
      </c>
      <c r="AM3" s="210">
        <f>SUBTOTAL(9,Tabela98[2032])</f>
        <v>0</v>
      </c>
      <c r="AN3" s="210">
        <f>SUBTOTAL(9,Tabela98[2033])</f>
        <v>0</v>
      </c>
      <c r="AO3" s="210">
        <f>SUBTOTAL(9,Tabela98[2034])</f>
        <v>0</v>
      </c>
      <c r="AP3" s="210">
        <f>SUBTOTAL(9,Tabela98[2035])</f>
        <v>0</v>
      </c>
      <c r="AQ3" s="210">
        <f>SUBTOTAL(9,Tabela98[2026-2035])</f>
        <v>1228392744.9000003</v>
      </c>
    </row>
    <row r="4" spans="1:52" ht="12.75" customHeight="1" thickBot="1" x14ac:dyDescent="0.4">
      <c r="A4" s="2"/>
      <c r="C4" s="2"/>
      <c r="D4" s="89"/>
      <c r="G4" s="63" t="s">
        <v>441</v>
      </c>
      <c r="H4" s="94" t="s">
        <v>442</v>
      </c>
      <c r="J4" s="232"/>
      <c r="L4" s="430"/>
      <c r="M4" s="430"/>
      <c r="N4" s="430"/>
      <c r="O4" s="430"/>
      <c r="R4" s="2"/>
      <c r="T4" s="211">
        <f>SUM(Tabela98[jan/26])</f>
        <v>19915533.796723962</v>
      </c>
      <c r="U4" s="211">
        <f>SUM(Tabela98[fev/26])</f>
        <v>16402452.026723959</v>
      </c>
      <c r="V4" s="211">
        <f>SUM(Tabela98[mar/26])</f>
        <v>41870147.80672396</v>
      </c>
      <c r="W4" s="211">
        <f>SUM(Tabela98[abr/26])</f>
        <v>39108608.31339062</v>
      </c>
      <c r="X4" s="211">
        <f>SUM(Tabela98[mai/26])</f>
        <v>41618920.69672396</v>
      </c>
      <c r="Y4" s="211">
        <f>SUM(Tabela98[jun/26])</f>
        <v>41010796.836723961</v>
      </c>
      <c r="Z4" s="211">
        <f>SUM(Tabela98[jul/26])</f>
        <v>40921915.49072396</v>
      </c>
      <c r="AA4" s="211">
        <f>SUM(Tabela98[ago/26])</f>
        <v>64874206.727390625</v>
      </c>
      <c r="AB4" s="211">
        <f>SUM(Tabela98[set/26])</f>
        <v>21751886.200723957</v>
      </c>
      <c r="AC4" s="211">
        <f>SUM(Tabela98[out/26])</f>
        <v>42543620.350723952</v>
      </c>
      <c r="AD4" s="211">
        <f>SUM(Tabela98[nov/26])</f>
        <v>86671771.920666665</v>
      </c>
      <c r="AE4" s="211">
        <f>SUM(Tabela98[dez/26])</f>
        <v>39022295.178333335</v>
      </c>
      <c r="AF4" s="211">
        <f>SUM(Tabela98[2026])</f>
        <v>509752155.34557295</v>
      </c>
      <c r="AG4" s="211">
        <f>SUM(Tabela98[2027])</f>
        <v>410454552.89737332</v>
      </c>
      <c r="AH4" s="211">
        <f>SUM(Tabela98[2028])</f>
        <v>242587680.50978091</v>
      </c>
      <c r="AI4" s="211">
        <f>SUM(Tabela98[2029])</f>
        <v>97767989.755190015</v>
      </c>
      <c r="AJ4" s="211">
        <f>SUM(Tabela98[2030])</f>
        <v>9373837.0683330633</v>
      </c>
      <c r="AK4" s="211">
        <f>SUM(Tabela98[2026-2030])</f>
        <v>1269936215.5762503</v>
      </c>
      <c r="AL4" s="211">
        <f>SUM(Tabela98[2031])</f>
        <v>0</v>
      </c>
      <c r="AM4" s="211">
        <f>SUM(Tabela98[2032])</f>
        <v>0</v>
      </c>
      <c r="AN4" s="211">
        <f>SUM(Tabela98[2033])</f>
        <v>0</v>
      </c>
      <c r="AO4" s="211">
        <f>SUM(Tabela98[2034])</f>
        <v>0</v>
      </c>
      <c r="AP4" s="211">
        <f>SUM(Tabela98[2035])</f>
        <v>0</v>
      </c>
      <c r="AQ4" s="211">
        <f>SUM(Tabela98[2026-2035])</f>
        <v>1326866611.2315943</v>
      </c>
    </row>
    <row r="5" spans="1:52" ht="31.5" customHeight="1" thickBot="1" x14ac:dyDescent="0.4">
      <c r="A5" s="203" t="e">
        <f>AND($H$2,'Consolidado-Eletronorte'!$B$19:$B$19)</f>
        <v>#REF!</v>
      </c>
      <c r="B5" s="12" t="str">
        <f>_xlfn.CONCAT(D9)</f>
        <v>COO</v>
      </c>
      <c r="C5" s="13"/>
      <c r="J5" s="232"/>
      <c r="L5" s="430"/>
      <c r="M5" s="430"/>
      <c r="N5" s="430"/>
      <c r="O5" s="430"/>
      <c r="P5" s="91"/>
      <c r="R5" s="2"/>
      <c r="T5" s="214"/>
      <c r="U5" s="266"/>
      <c r="V5" s="266"/>
      <c r="W5" s="266"/>
      <c r="X5" s="267"/>
      <c r="Y5" s="267"/>
      <c r="Z5" s="229"/>
      <c r="AA5" s="229"/>
      <c r="AB5" s="229"/>
      <c r="AC5" s="229"/>
      <c r="AD5" s="229"/>
      <c r="AE5" s="229"/>
      <c r="AF5" s="229"/>
      <c r="AG5" s="229"/>
      <c r="AH5" s="229"/>
      <c r="AI5" s="229"/>
      <c r="AJ5" s="229"/>
      <c r="AK5" s="229"/>
      <c r="AL5" s="229"/>
      <c r="AM5" s="229"/>
      <c r="AN5" s="229"/>
      <c r="AO5" s="229"/>
    </row>
    <row r="6" spans="1:52" ht="25.5" customHeight="1" x14ac:dyDescent="0.35">
      <c r="C6" s="2"/>
      <c r="H6" s="95"/>
      <c r="I6" s="67"/>
      <c r="J6" s="233" t="s">
        <v>444</v>
      </c>
      <c r="K6" s="206">
        <f>COUNTIF('Consolidado-Eletronorte'!$B$19:$B$19,TRUE)</f>
        <v>0</v>
      </c>
      <c r="L6" s="432"/>
      <c r="M6" s="432"/>
      <c r="N6" s="432"/>
      <c r="O6" s="432"/>
      <c r="R6" s="2"/>
      <c r="T6" s="214"/>
      <c r="V6" s="213"/>
      <c r="W6" s="213"/>
      <c r="X6" s="214"/>
      <c r="Y6" s="214"/>
      <c r="Z6" s="213"/>
    </row>
    <row r="7" spans="1:52" s="74" customFormat="1" ht="40.15" customHeight="1" x14ac:dyDescent="0.45">
      <c r="A7" s="69" t="s">
        <v>445</v>
      </c>
      <c r="B7" s="70"/>
      <c r="C7" s="71"/>
      <c r="D7" s="71"/>
      <c r="E7" s="71"/>
      <c r="F7" s="71"/>
      <c r="G7" s="72"/>
      <c r="H7" s="98" t="s">
        <v>23</v>
      </c>
      <c r="I7" s="99"/>
      <c r="J7" s="99"/>
      <c r="K7" s="99"/>
      <c r="L7" s="100"/>
      <c r="M7" s="78" t="s">
        <v>446</v>
      </c>
      <c r="N7" s="101" t="s">
        <v>447</v>
      </c>
      <c r="O7" s="101"/>
      <c r="P7" s="102"/>
      <c r="Q7" s="102"/>
      <c r="R7" s="102"/>
      <c r="S7" s="102"/>
      <c r="T7" s="268" t="s">
        <v>448</v>
      </c>
      <c r="U7" s="268"/>
      <c r="V7" s="268"/>
      <c r="W7" s="268"/>
      <c r="X7" s="268"/>
      <c r="Y7" s="268"/>
      <c r="Z7" s="268"/>
      <c r="AA7" s="268"/>
      <c r="AB7" s="268"/>
      <c r="AC7" s="268"/>
      <c r="AD7" s="268"/>
      <c r="AE7" s="268"/>
      <c r="AF7" s="268"/>
      <c r="AG7" s="268"/>
      <c r="AH7" s="268"/>
      <c r="AI7" s="268"/>
      <c r="AJ7" s="268"/>
      <c r="AK7" s="268"/>
      <c r="AL7" s="268"/>
      <c r="AM7" s="268"/>
      <c r="AN7" s="268"/>
      <c r="AO7" s="268"/>
      <c r="AP7" s="268"/>
      <c r="AQ7" s="268"/>
      <c r="AR7" s="66"/>
      <c r="AS7" s="73"/>
    </row>
    <row r="8" spans="1:52" s="18" customFormat="1" x14ac:dyDescent="0.35">
      <c r="A8" s="249" t="s">
        <v>8</v>
      </c>
      <c r="B8" s="249" t="s">
        <v>10</v>
      </c>
      <c r="C8" s="249" t="s">
        <v>11</v>
      </c>
      <c r="D8" s="249" t="s">
        <v>13</v>
      </c>
      <c r="E8" s="249" t="s">
        <v>15</v>
      </c>
      <c r="F8" s="249" t="s">
        <v>16</v>
      </c>
      <c r="G8" s="249" t="s">
        <v>449</v>
      </c>
      <c r="H8" s="250" t="s">
        <v>20</v>
      </c>
      <c r="I8" s="250" t="s">
        <v>19</v>
      </c>
      <c r="J8" s="250" t="s">
        <v>21</v>
      </c>
      <c r="K8" s="250" t="s">
        <v>450</v>
      </c>
      <c r="L8" s="250" t="s">
        <v>451</v>
      </c>
      <c r="M8" s="251" t="s">
        <v>452</v>
      </c>
      <c r="N8" s="252" t="s">
        <v>453</v>
      </c>
      <c r="O8" s="149" t="s">
        <v>454</v>
      </c>
      <c r="P8" s="149" t="s">
        <v>455</v>
      </c>
      <c r="Q8" s="149" t="s">
        <v>457</v>
      </c>
      <c r="R8" s="149" t="s">
        <v>472</v>
      </c>
      <c r="S8" s="149" t="s">
        <v>473</v>
      </c>
      <c r="T8" s="269" t="s">
        <v>474</v>
      </c>
      <c r="U8" s="269" t="s">
        <v>475</v>
      </c>
      <c r="V8" s="269" t="s">
        <v>476</v>
      </c>
      <c r="W8" s="269" t="s">
        <v>477</v>
      </c>
      <c r="X8" s="269" t="s">
        <v>478</v>
      </c>
      <c r="Y8" s="269" t="s">
        <v>479</v>
      </c>
      <c r="Z8" s="269" t="s">
        <v>480</v>
      </c>
      <c r="AA8" s="269" t="s">
        <v>481</v>
      </c>
      <c r="AB8" s="269" t="s">
        <v>482</v>
      </c>
      <c r="AC8" s="269" t="s">
        <v>483</v>
      </c>
      <c r="AD8" s="269" t="s">
        <v>484</v>
      </c>
      <c r="AE8" s="269" t="s">
        <v>485</v>
      </c>
      <c r="AF8" s="269" t="s">
        <v>60</v>
      </c>
      <c r="AG8" s="269" t="s">
        <v>61</v>
      </c>
      <c r="AH8" s="269" t="s">
        <v>62</v>
      </c>
      <c r="AI8" s="269" t="s">
        <v>64</v>
      </c>
      <c r="AJ8" s="269" t="s">
        <v>66</v>
      </c>
      <c r="AK8" s="269" t="s">
        <v>486</v>
      </c>
      <c r="AL8" s="269" t="s">
        <v>67</v>
      </c>
      <c r="AM8" s="269" t="s">
        <v>68</v>
      </c>
      <c r="AN8" s="269" t="s">
        <v>69</v>
      </c>
      <c r="AO8" s="269" t="s">
        <v>487</v>
      </c>
      <c r="AP8" s="269" t="s">
        <v>488</v>
      </c>
      <c r="AQ8" s="270" t="s">
        <v>489</v>
      </c>
      <c r="AR8" s="271" t="s">
        <v>1037</v>
      </c>
      <c r="AS8" s="235" t="s">
        <v>493</v>
      </c>
      <c r="AT8" s="110" t="s">
        <v>494</v>
      </c>
      <c r="AU8" s="256" t="s">
        <v>495</v>
      </c>
      <c r="AV8" s="235" t="s">
        <v>496</v>
      </c>
      <c r="AW8" s="235" t="s">
        <v>498</v>
      </c>
      <c r="AX8" s="235" t="s">
        <v>1038</v>
      </c>
      <c r="AY8" s="235" t="s">
        <v>502</v>
      </c>
      <c r="AZ8" s="235" t="s">
        <v>504</v>
      </c>
    </row>
    <row r="9" spans="1:52" ht="24.75" customHeight="1" x14ac:dyDescent="0.35">
      <c r="A9" s="152"/>
      <c r="B9" s="151" t="b" cm="1">
        <f t="array" ref="B9">AND(ISTEXT('Consolidado-Eletronorte'!$H19:$M19),SUM('Consolidado-Eletronorte'!$AI19:$BF19)&gt;0)</f>
        <v>1</v>
      </c>
      <c r="C9" s="152" t="str">
        <f t="shared" ref="C9:C40" ca="1" si="0">$J$3</f>
        <v>Capex Orcamentário_PE2026_2030_red_35_porcentoR3_consulta.xlsx</v>
      </c>
      <c r="D9" s="152" t="str">
        <f t="shared" ref="D9:D40" si="1">$H$3</f>
        <v>COO</v>
      </c>
      <c r="E9" s="152" t="str">
        <f t="shared" ref="E9:E40" si="2">$H$4</f>
        <v>Lucas Martins</v>
      </c>
      <c r="F9" s="152"/>
      <c r="G9" s="152" t="str">
        <f>_xlfn.CONCAT('Consolidado-Eletronorte'!$D19,"_",ROW('Consolidado-Eletronorte'!$G19)-ROW('Consolidado-Eletronorte'!$G$18))</f>
        <v>COO_1</v>
      </c>
      <c r="H9" s="155" t="s">
        <v>506</v>
      </c>
      <c r="I9" s="155" t="s">
        <v>507</v>
      </c>
      <c r="J9" s="155" t="s">
        <v>508</v>
      </c>
      <c r="K9" s="155" t="s">
        <v>1039</v>
      </c>
      <c r="L9" s="155" t="s">
        <v>1799</v>
      </c>
      <c r="M9" s="155" t="s">
        <v>510</v>
      </c>
      <c r="N9" s="155"/>
      <c r="O9" s="155"/>
      <c r="P9" s="155" t="s">
        <v>511</v>
      </c>
      <c r="Q9" s="292" t="s">
        <v>318</v>
      </c>
      <c r="R9" s="293" t="s">
        <v>514</v>
      </c>
      <c r="S9" s="155" t="s">
        <v>319</v>
      </c>
      <c r="T9" s="229">
        <v>18493850.130057294</v>
      </c>
      <c r="U9" s="229">
        <v>4269069.6500572916</v>
      </c>
      <c r="V9" s="229">
        <v>2872964.1400572918</v>
      </c>
      <c r="W9" s="229">
        <v>12239298.760057291</v>
      </c>
      <c r="X9" s="229">
        <v>30196737.030057292</v>
      </c>
      <c r="Y9" s="229">
        <v>19040024.060057294</v>
      </c>
      <c r="Z9" s="229">
        <v>26395457.720057294</v>
      </c>
      <c r="AA9" s="229">
        <v>9106623.0700572897</v>
      </c>
      <c r="AB9" s="229">
        <v>2419928.4300572919</v>
      </c>
      <c r="AC9" s="229">
        <v>11381576.555057291</v>
      </c>
      <c r="AD9" s="229">
        <v>34794464.219999991</v>
      </c>
      <c r="AE9" s="229">
        <v>5453241.6000000006</v>
      </c>
      <c r="AF9" s="229">
        <v>176663235.3655729</v>
      </c>
      <c r="AG9" s="229">
        <v>186404977.93658334</v>
      </c>
      <c r="AH9" s="229">
        <v>138328625.18250006</v>
      </c>
      <c r="AI9" s="229">
        <v>70056375.790000007</v>
      </c>
      <c r="AJ9" s="229">
        <v>0</v>
      </c>
      <c r="AK9" s="229">
        <v>571453214.2746563</v>
      </c>
      <c r="AL9" s="229">
        <v>0</v>
      </c>
      <c r="AM9" s="229">
        <v>0</v>
      </c>
      <c r="AN9" s="229">
        <v>0</v>
      </c>
      <c r="AO9" s="229">
        <v>0</v>
      </c>
      <c r="AP9" s="229">
        <v>0</v>
      </c>
      <c r="AQ9" s="229">
        <v>607383609.93000007</v>
      </c>
      <c r="AR9" s="2">
        <v>1</v>
      </c>
      <c r="AS9" s="2" t="s">
        <v>1800</v>
      </c>
      <c r="AT9" s="2">
        <v>2024</v>
      </c>
      <c r="AU9" s="2" t="s">
        <v>515</v>
      </c>
      <c r="AV9" s="2" t="s">
        <v>516</v>
      </c>
      <c r="AW9" s="2" t="s">
        <v>1801</v>
      </c>
      <c r="AZ9" s="2" t="e">
        <f>_xlfn.XLOOKUP(Tabela98[[#This Row],[Descrição do projeto]],[3]Geração!$G:$G,[3]Geração!$F:$F,,0,1)</f>
        <v>#N/A</v>
      </c>
    </row>
    <row r="10" spans="1:52" ht="24.75" customHeight="1" x14ac:dyDescent="0.35">
      <c r="A10" s="272"/>
      <c r="B10" s="151" t="e" cm="1">
        <f t="array" ref="B10">AND(ISTEXT('Consolidado-Eletronorte'!#REF!),SUM('Consolidado-Eletronorte'!#REF!)&gt;0)</f>
        <v>#REF!</v>
      </c>
      <c r="C10" s="273" t="str">
        <f t="shared" ca="1" si="0"/>
        <v>Capex Orcamentário_PE2026_2030_red_35_porcentoR3_consulta.xlsx</v>
      </c>
      <c r="D10" s="274" t="str">
        <f t="shared" si="1"/>
        <v>COO</v>
      </c>
      <c r="E10" s="274" t="str">
        <f t="shared" si="2"/>
        <v>Lucas Martins</v>
      </c>
      <c r="F10" s="275"/>
      <c r="G10" s="275" t="e">
        <f>_xlfn.CONCAT('Consolidado-Eletronorte'!#REF!,"_",ROW('Consolidado-Eletronorte'!#REF!)-ROW('Consolidado-Eletronorte'!$G$18))</f>
        <v>#REF!</v>
      </c>
      <c r="H10" s="276" t="s">
        <v>506</v>
      </c>
      <c r="I10" s="276" t="s">
        <v>507</v>
      </c>
      <c r="J10" s="277" t="s">
        <v>508</v>
      </c>
      <c r="K10" s="276" t="s">
        <v>1039</v>
      </c>
      <c r="L10" s="276" t="s">
        <v>1040</v>
      </c>
      <c r="M10" s="276" t="s">
        <v>526</v>
      </c>
      <c r="N10" s="276"/>
      <c r="O10" s="276"/>
      <c r="P10" s="276" t="s">
        <v>511</v>
      </c>
      <c r="Q10" s="278" t="s">
        <v>1027</v>
      </c>
      <c r="R10" s="278" t="s">
        <v>529</v>
      </c>
      <c r="S10" s="276" t="s">
        <v>319</v>
      </c>
      <c r="T10" s="229">
        <v>0</v>
      </c>
      <c r="U10" s="229"/>
      <c r="V10" s="229">
        <v>24960000</v>
      </c>
      <c r="W10" s="229">
        <v>0</v>
      </c>
      <c r="X10" s="229">
        <v>0</v>
      </c>
      <c r="Y10" s="229"/>
      <c r="Z10" s="229">
        <v>0</v>
      </c>
      <c r="AA10" s="229">
        <v>23400000</v>
      </c>
      <c r="AB10" s="229">
        <v>0</v>
      </c>
      <c r="AC10" s="229"/>
      <c r="AD10" s="229">
        <v>23400000</v>
      </c>
      <c r="AE10" s="229">
        <v>0</v>
      </c>
      <c r="AF10" s="229">
        <v>85800000</v>
      </c>
      <c r="AG10" s="229">
        <v>42000000</v>
      </c>
      <c r="AH10" s="229">
        <v>33200000</v>
      </c>
      <c r="AI10" s="229">
        <v>0</v>
      </c>
      <c r="AJ10" s="229">
        <v>0</v>
      </c>
      <c r="AK10" s="229">
        <v>161000000</v>
      </c>
      <c r="AL10" s="229">
        <v>0</v>
      </c>
      <c r="AM10" s="229">
        <v>0</v>
      </c>
      <c r="AN10" s="229">
        <v>0</v>
      </c>
      <c r="AO10" s="229">
        <v>0</v>
      </c>
      <c r="AP10" s="229">
        <v>0</v>
      </c>
      <c r="AQ10" s="229">
        <v>182000000.00000012</v>
      </c>
      <c r="AR10" s="2">
        <v>14</v>
      </c>
      <c r="AS10" s="112" t="s">
        <v>1802</v>
      </c>
      <c r="AT10" s="2">
        <v>2024</v>
      </c>
      <c r="AU10" s="112" t="s">
        <v>530</v>
      </c>
      <c r="AV10" s="112" t="s">
        <v>531</v>
      </c>
      <c r="AW10" s="2" t="s">
        <v>1803</v>
      </c>
      <c r="AZ10" s="2" t="str">
        <f>_xlfn.XLOOKUP(Tabela98[[#This Row],[Descrição do projeto]],[3]Geração!$G:$G,[3]Geração!$F:$F,,0,1)</f>
        <v>Fernanda Baracho Dourado Madureira</v>
      </c>
    </row>
    <row r="11" spans="1:52" ht="24.75" hidden="1" customHeight="1" x14ac:dyDescent="0.35">
      <c r="A11" s="150"/>
      <c r="B11" s="151" t="e" cm="1">
        <f t="array" ref="B11">AND(ISTEXT('Consolidado-Eletronorte'!#REF!),SUM('Consolidado-Eletronorte'!#REF!)&gt;0)</f>
        <v>#REF!</v>
      </c>
      <c r="C11" s="152" t="str">
        <f t="shared" ca="1" si="0"/>
        <v>Capex Orcamentário_PE2026_2030_red_35_porcentoR3_consulta.xlsx</v>
      </c>
      <c r="D11" s="113" t="str">
        <f t="shared" si="1"/>
        <v>COO</v>
      </c>
      <c r="E11" s="113" t="str">
        <f t="shared" si="2"/>
        <v>Lucas Martins</v>
      </c>
      <c r="F11" s="153"/>
      <c r="G11" s="153" t="e">
        <f>_xlfn.CONCAT('Consolidado-Eletronorte'!#REF!,"_",ROW('Consolidado-Eletronorte'!#REF!)-ROW('Consolidado-Eletronorte'!$G$18))</f>
        <v>#REF!</v>
      </c>
      <c r="H11" s="154" t="s">
        <v>506</v>
      </c>
      <c r="I11" s="155" t="s">
        <v>507</v>
      </c>
      <c r="J11" s="154" t="s">
        <v>508</v>
      </c>
      <c r="K11" s="155" t="s">
        <v>1741</v>
      </c>
      <c r="L11" s="155" t="s">
        <v>1741</v>
      </c>
      <c r="M11" s="155" t="s">
        <v>1804</v>
      </c>
      <c r="N11" s="155"/>
      <c r="O11" s="155"/>
      <c r="P11" s="155" t="e">
        <v>#N/A</v>
      </c>
      <c r="Q11" s="156" t="s">
        <v>1805</v>
      </c>
      <c r="R11" s="156" t="s">
        <v>1806</v>
      </c>
      <c r="S11" s="155" t="s">
        <v>1807</v>
      </c>
      <c r="T11" s="229">
        <v>0</v>
      </c>
      <c r="U11" s="229">
        <v>0</v>
      </c>
      <c r="V11" s="229">
        <v>5000000</v>
      </c>
      <c r="W11" s="229">
        <v>5000000</v>
      </c>
      <c r="X11" s="229">
        <v>5000000</v>
      </c>
      <c r="Y11" s="229">
        <v>5000000</v>
      </c>
      <c r="Z11" s="229">
        <v>6064774.1039999994</v>
      </c>
      <c r="AA11" s="229">
        <v>6064774.1039999994</v>
      </c>
      <c r="AB11" s="229">
        <v>6064774.1039999994</v>
      </c>
      <c r="AC11" s="229">
        <v>6064774.1039999994</v>
      </c>
      <c r="AD11" s="229">
        <v>6064774.1039999994</v>
      </c>
      <c r="AE11" s="229">
        <v>0</v>
      </c>
      <c r="AF11" s="229">
        <v>50323870.519999988</v>
      </c>
      <c r="AG11" s="229">
        <v>8563575.1407900006</v>
      </c>
      <c r="AH11" s="229">
        <v>8075853.66728081</v>
      </c>
      <c r="AI11" s="229">
        <v>15294729.93519</v>
      </c>
      <c r="AJ11" s="229">
        <v>8373837.0683330633</v>
      </c>
      <c r="AK11" s="229">
        <v>90631866.331593856</v>
      </c>
      <c r="AL11" s="229">
        <v>0</v>
      </c>
      <c r="AM11" s="229">
        <v>0</v>
      </c>
      <c r="AN11" s="229">
        <v>0</v>
      </c>
      <c r="AO11" s="229">
        <v>0</v>
      </c>
      <c r="AP11" s="229">
        <v>0</v>
      </c>
      <c r="AQ11" s="229">
        <v>90631866.331593856</v>
      </c>
      <c r="AR11" s="2">
        <v>117</v>
      </c>
      <c r="AS11" s="2" t="s">
        <v>1808</v>
      </c>
      <c r="AT11" s="2">
        <v>2025</v>
      </c>
      <c r="AU11" s="2" t="s">
        <v>1809</v>
      </c>
      <c r="AV11" s="2">
        <v>0</v>
      </c>
      <c r="AW11" s="2" t="s">
        <v>1810</v>
      </c>
      <c r="AZ11" s="2" t="str">
        <f>_xlfn.XLOOKUP(Tabela98[[#This Row],[Descrição do projeto]],[3]Geração!$G:$G,[3]Geração!$F:$F,,0,1)</f>
        <v xml:space="preserve">André Alessandro Nogueira </v>
      </c>
    </row>
    <row r="12" spans="1:52" ht="24.75" customHeight="1" x14ac:dyDescent="0.35">
      <c r="A12" s="150"/>
      <c r="B12" s="151" t="e" cm="1">
        <f t="array" ref="B12">AND(ISTEXT('Consolidado-Eletronorte'!#REF!),SUM('Consolidado-Eletronorte'!#REF!)&gt;0)</f>
        <v>#REF!</v>
      </c>
      <c r="C12" s="152" t="str">
        <f t="shared" ca="1" si="0"/>
        <v>Capex Orcamentário_PE2026_2030_red_35_porcentoR3_consulta.xlsx</v>
      </c>
      <c r="D12" s="113" t="str">
        <f t="shared" si="1"/>
        <v>COO</v>
      </c>
      <c r="E12" s="113" t="str">
        <f t="shared" si="2"/>
        <v>Lucas Martins</v>
      </c>
      <c r="F12" s="153"/>
      <c r="G12" s="153" t="e">
        <f>_xlfn.CONCAT('Consolidado-Eletronorte'!#REF!,"_",ROW('Consolidado-Eletronorte'!#REF!)-ROW('Consolidado-Eletronorte'!$G$18))</f>
        <v>#REF!</v>
      </c>
      <c r="H12" s="155" t="s">
        <v>506</v>
      </c>
      <c r="I12" s="155" t="s">
        <v>507</v>
      </c>
      <c r="J12" s="154" t="s">
        <v>508</v>
      </c>
      <c r="K12" s="155" t="s">
        <v>1039</v>
      </c>
      <c r="L12" s="155" t="s">
        <v>1040</v>
      </c>
      <c r="M12" s="155" t="s">
        <v>555</v>
      </c>
      <c r="N12" s="155"/>
      <c r="O12" s="155"/>
      <c r="P12" s="155" t="s">
        <v>511</v>
      </c>
      <c r="Q12" s="156" t="s">
        <v>431</v>
      </c>
      <c r="R12" s="156" t="s">
        <v>558</v>
      </c>
      <c r="S12" s="155" t="s">
        <v>319</v>
      </c>
      <c r="T12" s="229">
        <v>0</v>
      </c>
      <c r="U12" s="229">
        <v>0</v>
      </c>
      <c r="V12" s="229">
        <v>0</v>
      </c>
      <c r="W12" s="229">
        <v>0</v>
      </c>
      <c r="X12" s="229">
        <v>0</v>
      </c>
      <c r="Y12" s="229">
        <v>0</v>
      </c>
      <c r="Z12" s="229">
        <v>0</v>
      </c>
      <c r="AA12" s="229">
        <v>0</v>
      </c>
      <c r="AB12" s="229">
        <v>0</v>
      </c>
      <c r="AC12" s="229">
        <v>6416884.0250000004</v>
      </c>
      <c r="AD12" s="229">
        <v>0</v>
      </c>
      <c r="AE12" s="229">
        <v>6416884.0250000004</v>
      </c>
      <c r="AF12" s="229">
        <v>12833768.050000001</v>
      </c>
      <c r="AG12" s="229">
        <v>12833768.050000001</v>
      </c>
      <c r="AH12" s="229">
        <v>12833768.050000001</v>
      </c>
      <c r="AI12" s="229">
        <v>6416884.0300000003</v>
      </c>
      <c r="AJ12" s="229">
        <v>0</v>
      </c>
      <c r="AK12" s="229">
        <v>44918188.180000007</v>
      </c>
      <c r="AL12" s="229">
        <v>0</v>
      </c>
      <c r="AM12" s="229">
        <v>0</v>
      </c>
      <c r="AN12" s="229">
        <v>0</v>
      </c>
      <c r="AO12" s="229">
        <v>0</v>
      </c>
      <c r="AP12" s="229">
        <v>0</v>
      </c>
      <c r="AQ12" s="229">
        <v>44918188.180000007</v>
      </c>
      <c r="AR12" s="2">
        <v>19</v>
      </c>
      <c r="AS12" s="2" t="s">
        <v>382</v>
      </c>
      <c r="AT12" s="2">
        <v>2025</v>
      </c>
      <c r="AU12" s="2" t="s">
        <v>559</v>
      </c>
      <c r="AV12" t="s">
        <v>560</v>
      </c>
      <c r="AW12" s="2" t="s">
        <v>1803</v>
      </c>
      <c r="AZ12" s="2" t="str">
        <f>_xlfn.XLOOKUP(Tabela98[[#This Row],[Descrição do projeto]],[3]Geração!$G:$G,[3]Geração!$F:$F,,0,1)</f>
        <v>Albert Ferraz Botelho Da Silva</v>
      </c>
    </row>
    <row r="13" spans="1:52" ht="24.75" customHeight="1" x14ac:dyDescent="0.35">
      <c r="A13" s="150"/>
      <c r="B13" s="151" t="e" cm="1">
        <f t="array" ref="B13">AND(ISTEXT('Consolidado-Eletronorte'!#REF!),SUM('Consolidado-Eletronorte'!#REF!)&gt;0)</f>
        <v>#REF!</v>
      </c>
      <c r="C13" s="152" t="str">
        <f t="shared" ca="1" si="0"/>
        <v>Capex Orcamentário_PE2026_2030_red_35_porcentoR3_consulta.xlsx</v>
      </c>
      <c r="D13" s="113" t="str">
        <f t="shared" si="1"/>
        <v>COO</v>
      </c>
      <c r="E13" s="113" t="str">
        <f t="shared" si="2"/>
        <v>Lucas Martins</v>
      </c>
      <c r="F13" s="153"/>
      <c r="G13" s="153" t="e">
        <f>_xlfn.CONCAT('Consolidado-Eletronorte'!#REF!,"_",ROW('Consolidado-Eletronorte'!#REF!)-ROW('Consolidado-Eletronorte'!$G$18))</f>
        <v>#REF!</v>
      </c>
      <c r="H13" s="155" t="s">
        <v>506</v>
      </c>
      <c r="I13" s="155" t="s">
        <v>507</v>
      </c>
      <c r="J13" s="154" t="s">
        <v>508</v>
      </c>
      <c r="K13" s="155" t="s">
        <v>1039</v>
      </c>
      <c r="L13" s="155" t="s">
        <v>1040</v>
      </c>
      <c r="M13" s="155" t="s">
        <v>535</v>
      </c>
      <c r="N13" s="155"/>
      <c r="O13" s="155"/>
      <c r="P13" s="155" t="s">
        <v>511</v>
      </c>
      <c r="Q13" s="156" t="s">
        <v>326</v>
      </c>
      <c r="R13" s="156" t="s">
        <v>529</v>
      </c>
      <c r="S13" s="155" t="s">
        <v>319</v>
      </c>
      <c r="T13" s="229">
        <v>0</v>
      </c>
      <c r="U13" s="229">
        <v>0</v>
      </c>
      <c r="V13" s="229">
        <v>0</v>
      </c>
      <c r="W13" s="229">
        <v>11054985.886666667</v>
      </c>
      <c r="X13" s="229">
        <v>0</v>
      </c>
      <c r="Y13" s="229">
        <v>0</v>
      </c>
      <c r="Z13" s="229">
        <v>0</v>
      </c>
      <c r="AA13" s="229">
        <v>11054985.886666667</v>
      </c>
      <c r="AB13" s="229">
        <v>0</v>
      </c>
      <c r="AC13" s="229">
        <v>0</v>
      </c>
      <c r="AD13" s="229">
        <v>0</v>
      </c>
      <c r="AE13" s="229">
        <v>11054985.886666667</v>
      </c>
      <c r="AF13" s="229">
        <v>33164957.66</v>
      </c>
      <c r="AG13" s="229">
        <v>10144019.02</v>
      </c>
      <c r="AH13" s="229">
        <v>221433.61</v>
      </c>
      <c r="AI13" s="229">
        <v>0</v>
      </c>
      <c r="AJ13" s="229">
        <v>0</v>
      </c>
      <c r="AK13" s="229">
        <v>43530410.289999999</v>
      </c>
      <c r="AL13" s="229">
        <v>0</v>
      </c>
      <c r="AM13" s="229">
        <v>0</v>
      </c>
      <c r="AN13" s="229">
        <v>0</v>
      </c>
      <c r="AO13" s="229">
        <v>0</v>
      </c>
      <c r="AP13" s="229">
        <v>0</v>
      </c>
      <c r="AQ13" s="229">
        <v>43530410.289999999</v>
      </c>
      <c r="AR13" s="2">
        <v>13</v>
      </c>
      <c r="AS13" s="112" t="s">
        <v>1802</v>
      </c>
      <c r="AT13" s="2">
        <v>2024</v>
      </c>
      <c r="AU13" s="112" t="s">
        <v>538</v>
      </c>
      <c r="AV13" s="112" t="s">
        <v>539</v>
      </c>
      <c r="AW13" s="2" t="s">
        <v>1801</v>
      </c>
      <c r="AZ13" s="2" t="str">
        <f>_xlfn.XLOOKUP(Tabela98[[#This Row],[Descrição do projeto]],[3]Geração!$G:$G,[3]Geração!$F:$F,,0,1)</f>
        <v>Daniel Branquinho Ferreira</v>
      </c>
    </row>
    <row r="14" spans="1:52" ht="24.75" customHeight="1" x14ac:dyDescent="0.35">
      <c r="A14" s="273"/>
      <c r="B14" s="151" t="e" cm="1">
        <f t="array" ref="B14">AND(ISTEXT('Consolidado-Eletronorte'!#REF!),SUM('Consolidado-Eletronorte'!#REF!)&gt;0)</f>
        <v>#REF!</v>
      </c>
      <c r="C14" s="273" t="str">
        <f t="shared" ca="1" si="0"/>
        <v>Capex Orcamentário_PE2026_2030_red_35_porcentoR3_consulta.xlsx</v>
      </c>
      <c r="D14" s="273" t="str">
        <f t="shared" si="1"/>
        <v>COO</v>
      </c>
      <c r="E14" s="273" t="str">
        <f t="shared" si="2"/>
        <v>Lucas Martins</v>
      </c>
      <c r="F14" s="273"/>
      <c r="G14" s="273" t="e">
        <f>_xlfn.CONCAT('Consolidado-Eletronorte'!#REF!,"_",ROW('Consolidado-Eletronorte'!#REF!)-ROW('Consolidado-Eletronorte'!$G$18))</f>
        <v>#REF!</v>
      </c>
      <c r="H14" s="276" t="s">
        <v>506</v>
      </c>
      <c r="I14" s="276" t="s">
        <v>507</v>
      </c>
      <c r="J14" s="276" t="s">
        <v>508</v>
      </c>
      <c r="K14" s="276" t="s">
        <v>1039</v>
      </c>
      <c r="L14" s="276" t="s">
        <v>1799</v>
      </c>
      <c r="M14" s="276" t="s">
        <v>546</v>
      </c>
      <c r="N14" s="276"/>
      <c r="O14" s="276"/>
      <c r="P14" s="276">
        <v>157189</v>
      </c>
      <c r="Q14" s="294" t="s">
        <v>275</v>
      </c>
      <c r="R14" s="295" t="s">
        <v>547</v>
      </c>
      <c r="S14" s="276" t="s">
        <v>276</v>
      </c>
      <c r="T14" s="229">
        <v>0</v>
      </c>
      <c r="U14" s="229">
        <v>2791031.91</v>
      </c>
      <c r="V14" s="229">
        <v>0</v>
      </c>
      <c r="W14" s="229">
        <v>0</v>
      </c>
      <c r="X14" s="229">
        <v>0</v>
      </c>
      <c r="Y14" s="229">
        <v>2791031.91</v>
      </c>
      <c r="Z14" s="229">
        <v>0</v>
      </c>
      <c r="AA14" s="229">
        <v>0</v>
      </c>
      <c r="AB14" s="229">
        <v>0</v>
      </c>
      <c r="AC14" s="229">
        <v>0</v>
      </c>
      <c r="AD14" s="229">
        <v>8373095.7300000004</v>
      </c>
      <c r="AE14" s="229">
        <v>0</v>
      </c>
      <c r="AF14" s="229">
        <v>13955159.550000001</v>
      </c>
      <c r="AG14" s="229">
        <v>13955159.550000001</v>
      </c>
      <c r="AH14" s="229">
        <v>0</v>
      </c>
      <c r="AI14" s="229">
        <v>0</v>
      </c>
      <c r="AJ14" s="229">
        <v>0</v>
      </c>
      <c r="AK14" s="229">
        <v>27910319.100000001</v>
      </c>
      <c r="AL14" s="229">
        <v>0</v>
      </c>
      <c r="AM14" s="229">
        <v>0</v>
      </c>
      <c r="AN14" s="229">
        <v>0</v>
      </c>
      <c r="AO14" s="229">
        <v>0</v>
      </c>
      <c r="AP14" s="229">
        <v>0</v>
      </c>
      <c r="AQ14" s="229">
        <v>27910319.100000001</v>
      </c>
      <c r="AR14" s="2">
        <v>2</v>
      </c>
      <c r="AS14" s="2" t="s">
        <v>279</v>
      </c>
      <c r="AT14" s="2">
        <v>2025</v>
      </c>
      <c r="AU14" s="2" t="s">
        <v>548</v>
      </c>
      <c r="AV14" s="2" t="s">
        <v>549</v>
      </c>
      <c r="AW14" s="2" t="s">
        <v>1803</v>
      </c>
      <c r="AZ14" s="2" t="str">
        <f>_xlfn.XLOOKUP(Tabela98[[#This Row],[Descrição do projeto]],[3]Geração!$G:$G,[3]Geração!$F:$F,,0,1)</f>
        <v>Klenio Dias Timoteo</v>
      </c>
    </row>
    <row r="15" spans="1:52" ht="24.75" customHeight="1" x14ac:dyDescent="0.35">
      <c r="A15" s="150"/>
      <c r="B15" s="151" t="e" cm="1">
        <f t="array" ref="B15">AND(ISTEXT('Consolidado-Eletronorte'!#REF!),SUM('Consolidado-Eletronorte'!#REF!)&gt;0)</f>
        <v>#REF!</v>
      </c>
      <c r="C15" s="152" t="str">
        <f t="shared" ca="1" si="0"/>
        <v>Capex Orcamentário_PE2026_2030_red_35_porcentoR3_consulta.xlsx</v>
      </c>
      <c r="D15" s="113" t="str">
        <f t="shared" si="1"/>
        <v>COO</v>
      </c>
      <c r="E15" s="113" t="str">
        <f t="shared" si="2"/>
        <v>Lucas Martins</v>
      </c>
      <c r="F15" s="153"/>
      <c r="G15" s="153" t="e">
        <f>_xlfn.CONCAT('Consolidado-Eletronorte'!#REF!,"_",ROW('Consolidado-Eletronorte'!#REF!)-ROW('Consolidado-Eletronorte'!$G$18))</f>
        <v>#REF!</v>
      </c>
      <c r="H15" s="155" t="s">
        <v>506</v>
      </c>
      <c r="I15" s="155" t="s">
        <v>507</v>
      </c>
      <c r="J15" s="154" t="s">
        <v>508</v>
      </c>
      <c r="K15" s="155" t="s">
        <v>1039</v>
      </c>
      <c r="L15" s="155" t="s">
        <v>1040</v>
      </c>
      <c r="M15" s="155" t="s">
        <v>577</v>
      </c>
      <c r="N15" s="155"/>
      <c r="O15" s="155"/>
      <c r="P15" s="155" t="s">
        <v>587</v>
      </c>
      <c r="Q15" s="156" t="s">
        <v>164</v>
      </c>
      <c r="R15" s="156" t="s">
        <v>843</v>
      </c>
      <c r="S15" s="155" t="s">
        <v>154</v>
      </c>
      <c r="T15" s="229">
        <v>0</v>
      </c>
      <c r="U15" s="229">
        <v>0</v>
      </c>
      <c r="V15" s="229">
        <v>0</v>
      </c>
      <c r="W15" s="229">
        <v>0</v>
      </c>
      <c r="X15" s="229">
        <v>0</v>
      </c>
      <c r="Y15" s="229">
        <v>0</v>
      </c>
      <c r="Z15" s="229">
        <v>0</v>
      </c>
      <c r="AA15" s="229">
        <v>0</v>
      </c>
      <c r="AB15" s="229">
        <v>0</v>
      </c>
      <c r="AC15" s="229">
        <v>0</v>
      </c>
      <c r="AD15" s="229">
        <v>0</v>
      </c>
      <c r="AE15" s="229">
        <v>0</v>
      </c>
      <c r="AF15" s="229">
        <v>0</v>
      </c>
      <c r="AG15" s="229">
        <v>20910319</v>
      </c>
      <c r="AH15" s="229">
        <v>6533333.3300000001</v>
      </c>
      <c r="AI15" s="229">
        <v>0</v>
      </c>
      <c r="AJ15" s="229">
        <v>0</v>
      </c>
      <c r="AK15" s="229">
        <v>27443652.329999998</v>
      </c>
      <c r="AL15" s="229">
        <v>0</v>
      </c>
      <c r="AM15" s="229">
        <v>0</v>
      </c>
      <c r="AN15" s="229">
        <v>0</v>
      </c>
      <c r="AO15" s="229">
        <v>0</v>
      </c>
      <c r="AP15" s="229">
        <v>0</v>
      </c>
      <c r="AQ15" s="229">
        <v>27443652.330000002</v>
      </c>
      <c r="AR15" s="2">
        <v>25</v>
      </c>
      <c r="AS15" s="2" t="s">
        <v>159</v>
      </c>
      <c r="AT15" s="2">
        <v>2025</v>
      </c>
      <c r="AU15" s="2" t="s">
        <v>844</v>
      </c>
      <c r="AV15" s="2">
        <v>0</v>
      </c>
      <c r="AW15" s="2" t="s">
        <v>1810</v>
      </c>
      <c r="AZ15" s="2" t="str">
        <f>_xlfn.XLOOKUP(Tabela98[[#This Row],[Descrição do projeto]],[3]Geração!$G:$G,[3]Geração!$F:$F,,0,1)</f>
        <v>Frederico Rodolfo Parente Doerner</v>
      </c>
    </row>
    <row r="16" spans="1:52" ht="24.75" customHeight="1" x14ac:dyDescent="0.35">
      <c r="A16" s="150"/>
      <c r="B16" s="151" t="e" cm="1">
        <f t="array" ref="B16">AND(ISTEXT('Consolidado-Eletronorte'!#REF!),SUM('Consolidado-Eletronorte'!#REF!)&gt;0)</f>
        <v>#REF!</v>
      </c>
      <c r="C16" s="152" t="str">
        <f t="shared" ca="1" si="0"/>
        <v>Capex Orcamentário_PE2026_2030_red_35_porcentoR3_consulta.xlsx</v>
      </c>
      <c r="D16" s="113" t="str">
        <f t="shared" si="1"/>
        <v>COO</v>
      </c>
      <c r="E16" s="113" t="str">
        <f t="shared" si="2"/>
        <v>Lucas Martins</v>
      </c>
      <c r="F16" s="153"/>
      <c r="G16" s="153" t="e">
        <f>_xlfn.CONCAT('Consolidado-Eletronorte'!#REF!,"_",ROW('Consolidado-Eletronorte'!#REF!)-ROW('Consolidado-Eletronorte'!$G$18))</f>
        <v>#REF!</v>
      </c>
      <c r="H16" s="154" t="s">
        <v>506</v>
      </c>
      <c r="I16" s="155" t="s">
        <v>507</v>
      </c>
      <c r="J16" s="154" t="s">
        <v>508</v>
      </c>
      <c r="K16" s="155" t="s">
        <v>1039</v>
      </c>
      <c r="L16" s="155" t="s">
        <v>1040</v>
      </c>
      <c r="M16" s="155" t="s">
        <v>555</v>
      </c>
      <c r="N16" s="155"/>
      <c r="O16" s="155"/>
      <c r="P16" s="155" t="s">
        <v>511</v>
      </c>
      <c r="Q16" s="156" t="s">
        <v>351</v>
      </c>
      <c r="R16" s="156" t="s">
        <v>573</v>
      </c>
      <c r="S16" s="155" t="s">
        <v>319</v>
      </c>
      <c r="T16" s="229">
        <v>0</v>
      </c>
      <c r="U16" s="229">
        <v>0</v>
      </c>
      <c r="V16" s="229">
        <v>0</v>
      </c>
      <c r="W16" s="229">
        <v>0</v>
      </c>
      <c r="X16" s="229">
        <v>0</v>
      </c>
      <c r="Y16" s="229">
        <v>0</v>
      </c>
      <c r="Z16" s="229">
        <v>0</v>
      </c>
      <c r="AA16" s="229">
        <v>0</v>
      </c>
      <c r="AB16" s="229">
        <v>2000000</v>
      </c>
      <c r="AC16" s="229">
        <v>0</v>
      </c>
      <c r="AD16" s="229">
        <v>2000000</v>
      </c>
      <c r="AE16" s="229">
        <v>2000000</v>
      </c>
      <c r="AF16" s="229">
        <v>6000000</v>
      </c>
      <c r="AG16" s="229">
        <v>7000000</v>
      </c>
      <c r="AH16" s="229">
        <v>4000000</v>
      </c>
      <c r="AI16" s="229">
        <v>4000000</v>
      </c>
      <c r="AJ16" s="229">
        <v>0</v>
      </c>
      <c r="AK16" s="229">
        <v>21000000</v>
      </c>
      <c r="AL16" s="229">
        <v>0</v>
      </c>
      <c r="AM16" s="229">
        <v>0</v>
      </c>
      <c r="AN16" s="229">
        <v>0</v>
      </c>
      <c r="AO16" s="229">
        <v>0</v>
      </c>
      <c r="AP16" s="229">
        <v>0</v>
      </c>
      <c r="AQ16" s="229">
        <v>21000000</v>
      </c>
      <c r="AR16" s="2">
        <v>113</v>
      </c>
      <c r="AS16" s="208" t="s">
        <v>341</v>
      </c>
      <c r="AT16" s="2">
        <v>2025</v>
      </c>
      <c r="AU16" s="2" t="str">
        <f>_xlfn.XLOOKUP(Tabela98[[#This Row],[Descrição do projeto]],[3]Geração!$G:$G,[3]Geração!$L:$L,,0,1)</f>
        <v>ENOR.00124</v>
      </c>
      <c r="AV16" s="208" t="s">
        <v>575</v>
      </c>
      <c r="AW16" s="2" t="s">
        <v>1801</v>
      </c>
      <c r="AZ16" s="2" t="str">
        <f>_xlfn.XLOOKUP(Tabela98[[#This Row],[Descrição do projeto]],[3]Geração!$G:$G,[3]Geração!$F:$F,,0,1)</f>
        <v>Gilton Carlos De Andrade Furtado</v>
      </c>
    </row>
    <row r="17" spans="1:52" ht="24.75" customHeight="1" x14ac:dyDescent="0.35">
      <c r="A17" s="150"/>
      <c r="B17" s="151" t="e" cm="1">
        <f t="array" ref="B17">AND(ISTEXT('Consolidado-Eletronorte'!#REF!),SUM('Consolidado-Eletronorte'!#REF!)&gt;0)</f>
        <v>#REF!</v>
      </c>
      <c r="C17" s="152" t="str">
        <f t="shared" ca="1" si="0"/>
        <v>Capex Orcamentário_PE2026_2030_red_35_porcentoR3_consulta.xlsx</v>
      </c>
      <c r="D17" s="113" t="str">
        <f t="shared" si="1"/>
        <v>COO</v>
      </c>
      <c r="E17" s="113" t="str">
        <f t="shared" si="2"/>
        <v>Lucas Martins</v>
      </c>
      <c r="F17" s="153"/>
      <c r="G17" s="153" t="e">
        <f>_xlfn.CONCAT('Consolidado-Eletronorte'!#REF!,"_",ROW('Consolidado-Eletronorte'!#REF!)-ROW('Consolidado-Eletronorte'!$G$18))</f>
        <v>#REF!</v>
      </c>
      <c r="H17" s="154" t="s">
        <v>506</v>
      </c>
      <c r="I17" s="155" t="s">
        <v>507</v>
      </c>
      <c r="J17" s="154" t="s">
        <v>508</v>
      </c>
      <c r="K17" s="155" t="s">
        <v>1039</v>
      </c>
      <c r="L17" s="155" t="s">
        <v>1040</v>
      </c>
      <c r="M17" s="155" t="s">
        <v>555</v>
      </c>
      <c r="N17" s="155"/>
      <c r="O17" s="155"/>
      <c r="P17" s="155" t="s">
        <v>511</v>
      </c>
      <c r="Q17" s="156" t="s">
        <v>392</v>
      </c>
      <c r="R17" s="156" t="s">
        <v>565</v>
      </c>
      <c r="S17" s="155" t="s">
        <v>319</v>
      </c>
      <c r="T17" s="229">
        <v>0</v>
      </c>
      <c r="U17" s="229">
        <v>0</v>
      </c>
      <c r="V17" s="229">
        <v>0</v>
      </c>
      <c r="W17" s="229">
        <v>0</v>
      </c>
      <c r="X17" s="229">
        <v>0</v>
      </c>
      <c r="Y17" s="229">
        <v>0</v>
      </c>
      <c r="Z17" s="229">
        <v>0</v>
      </c>
      <c r="AA17" s="229">
        <v>0</v>
      </c>
      <c r="AB17" s="229">
        <v>0</v>
      </c>
      <c r="AC17" s="229">
        <v>1000000</v>
      </c>
      <c r="AD17" s="229">
        <v>0</v>
      </c>
      <c r="AE17" s="229">
        <v>1000000</v>
      </c>
      <c r="AF17" s="229">
        <v>2000000</v>
      </c>
      <c r="AG17" s="229">
        <v>8000000</v>
      </c>
      <c r="AH17" s="229">
        <v>10000000</v>
      </c>
      <c r="AI17" s="229">
        <v>0</v>
      </c>
      <c r="AJ17" s="229">
        <v>0</v>
      </c>
      <c r="AK17" s="229">
        <v>20000000</v>
      </c>
      <c r="AL17" s="229">
        <v>0</v>
      </c>
      <c r="AM17" s="229">
        <v>0</v>
      </c>
      <c r="AN17" s="229">
        <v>0</v>
      </c>
      <c r="AO17" s="229">
        <v>0</v>
      </c>
      <c r="AP17" s="229">
        <v>0</v>
      </c>
      <c r="AQ17" s="229">
        <v>20000000</v>
      </c>
      <c r="AR17" s="2">
        <v>107</v>
      </c>
      <c r="AS17" s="208" t="s">
        <v>341</v>
      </c>
      <c r="AT17" s="2">
        <v>2025</v>
      </c>
      <c r="AU17" s="112" t="s">
        <v>566</v>
      </c>
      <c r="AV17" s="208" t="s">
        <v>567</v>
      </c>
      <c r="AW17" s="2" t="s">
        <v>1801</v>
      </c>
      <c r="AZ17" s="2" t="str">
        <f>_xlfn.XLOOKUP(Tabela98[[#This Row],[Descrição do projeto]],[3]Geração!$G:$G,[3]Geração!$F:$F,,0,1)</f>
        <v>Gilton Carlos De Andrade Furtado</v>
      </c>
    </row>
    <row r="18" spans="1:52" ht="24.75" customHeight="1" x14ac:dyDescent="0.35">
      <c r="A18" s="150"/>
      <c r="B18" s="151" t="e" cm="1">
        <f t="array" ref="B18">AND(ISTEXT('Consolidado-Eletronorte'!#REF!),SUM('Consolidado-Eletronorte'!#REF!)&gt;0)</f>
        <v>#REF!</v>
      </c>
      <c r="C18" s="152" t="str">
        <f t="shared" ca="1" si="0"/>
        <v>Capex Orcamentário_PE2026_2030_red_35_porcentoR3_consulta.xlsx</v>
      </c>
      <c r="D18" s="113" t="str">
        <f t="shared" si="1"/>
        <v>COO</v>
      </c>
      <c r="E18" s="113" t="str">
        <f t="shared" si="2"/>
        <v>Lucas Martins</v>
      </c>
      <c r="F18" s="153"/>
      <c r="G18" s="153" t="e">
        <f>_xlfn.CONCAT('Consolidado-Eletronorte'!#REF!,"_",ROW('Consolidado-Eletronorte'!#REF!)-ROW('Consolidado-Eletronorte'!$G$18))</f>
        <v>#REF!</v>
      </c>
      <c r="H18" s="154" t="s">
        <v>506</v>
      </c>
      <c r="I18" s="155" t="s">
        <v>507</v>
      </c>
      <c r="J18" s="154" t="s">
        <v>508</v>
      </c>
      <c r="K18" s="155" t="s">
        <v>1039</v>
      </c>
      <c r="L18" s="155" t="s">
        <v>1040</v>
      </c>
      <c r="M18" s="155" t="s">
        <v>526</v>
      </c>
      <c r="N18" s="155"/>
      <c r="O18" s="155"/>
      <c r="P18" s="155" t="s">
        <v>511</v>
      </c>
      <c r="Q18" s="156" t="s">
        <v>335</v>
      </c>
      <c r="R18" s="156" t="s">
        <v>594</v>
      </c>
      <c r="S18" s="155" t="s">
        <v>319</v>
      </c>
      <c r="T18" s="229">
        <v>0</v>
      </c>
      <c r="U18" s="229">
        <v>1000000</v>
      </c>
      <c r="V18" s="229">
        <v>0</v>
      </c>
      <c r="W18" s="229">
        <v>1000000</v>
      </c>
      <c r="X18" s="229">
        <v>0</v>
      </c>
      <c r="Y18" s="229">
        <v>1000000</v>
      </c>
      <c r="Z18" s="229">
        <v>0</v>
      </c>
      <c r="AA18" s="229">
        <v>1000000</v>
      </c>
      <c r="AB18" s="229">
        <v>0</v>
      </c>
      <c r="AC18" s="229">
        <v>1000000</v>
      </c>
      <c r="AD18" s="229">
        <v>0</v>
      </c>
      <c r="AE18" s="229">
        <v>0</v>
      </c>
      <c r="AF18" s="229">
        <v>5000000</v>
      </c>
      <c r="AG18" s="229">
        <v>5000000</v>
      </c>
      <c r="AH18" s="229">
        <v>5000000</v>
      </c>
      <c r="AI18" s="229">
        <v>0</v>
      </c>
      <c r="AJ18" s="229">
        <v>0</v>
      </c>
      <c r="AK18" s="229">
        <v>15000000</v>
      </c>
      <c r="AL18" s="229">
        <v>0</v>
      </c>
      <c r="AM18" s="229">
        <v>0</v>
      </c>
      <c r="AN18" s="229">
        <v>0</v>
      </c>
      <c r="AO18" s="229">
        <v>0</v>
      </c>
      <c r="AP18" s="229">
        <v>0</v>
      </c>
      <c r="AQ18" s="229">
        <v>15000000</v>
      </c>
      <c r="AR18" s="2">
        <v>95</v>
      </c>
      <c r="AS18" s="208" t="s">
        <v>1811</v>
      </c>
      <c r="AT18" s="2">
        <v>2025</v>
      </c>
      <c r="AU18" s="209" t="s">
        <v>595</v>
      </c>
      <c r="AV18" t="s">
        <v>596</v>
      </c>
      <c r="AW18" s="2" t="s">
        <v>1801</v>
      </c>
      <c r="AZ18" s="2" t="e">
        <f>_xlfn.XLOOKUP(Tabela98[[#This Row],[Descrição do projeto]],[3]Geração!$G:$G,[3]Geração!$F:$F,,0,1)</f>
        <v>#N/A</v>
      </c>
    </row>
    <row r="19" spans="1:52" ht="24.75" customHeight="1" x14ac:dyDescent="0.35">
      <c r="A19" s="150"/>
      <c r="B19" s="151" t="e" cm="1">
        <f t="array" ref="B19">AND(ISTEXT('Consolidado-Eletronorte'!#REF!),SUM('Consolidado-Eletronorte'!#REF!)&gt;0)</f>
        <v>#REF!</v>
      </c>
      <c r="C19" s="152" t="str">
        <f t="shared" ca="1" si="0"/>
        <v>Capex Orcamentário_PE2026_2030_red_35_porcentoR3_consulta.xlsx</v>
      </c>
      <c r="D19" s="113" t="str">
        <f t="shared" si="1"/>
        <v>COO</v>
      </c>
      <c r="E19" s="113" t="str">
        <f t="shared" si="2"/>
        <v>Lucas Martins</v>
      </c>
      <c r="F19" s="153"/>
      <c r="G19" s="153" t="e">
        <f>_xlfn.CONCAT('Consolidado-Eletronorte'!#REF!,"_",ROW('Consolidado-Eletronorte'!#REF!)-ROW('Consolidado-Eletronorte'!$G$18))</f>
        <v>#REF!</v>
      </c>
      <c r="H19" s="154" t="s">
        <v>506</v>
      </c>
      <c r="I19" s="155" t="s">
        <v>507</v>
      </c>
      <c r="J19" s="154" t="s">
        <v>508</v>
      </c>
      <c r="K19" s="155" t="s">
        <v>1039</v>
      </c>
      <c r="L19" s="155" t="s">
        <v>1040</v>
      </c>
      <c r="M19" s="155" t="s">
        <v>555</v>
      </c>
      <c r="N19" s="155"/>
      <c r="O19" s="155"/>
      <c r="P19" s="155" t="s">
        <v>612</v>
      </c>
      <c r="Q19" s="156" t="s">
        <v>226</v>
      </c>
      <c r="R19" s="156" t="s">
        <v>613</v>
      </c>
      <c r="S19" s="155" t="s">
        <v>210</v>
      </c>
      <c r="T19" s="229">
        <v>0</v>
      </c>
      <c r="U19" s="229">
        <v>0</v>
      </c>
      <c r="V19" s="229">
        <v>0</v>
      </c>
      <c r="W19" s="229">
        <v>0</v>
      </c>
      <c r="X19" s="229">
        <v>0</v>
      </c>
      <c r="Y19" s="229">
        <v>0</v>
      </c>
      <c r="Z19" s="229">
        <v>1000000</v>
      </c>
      <c r="AA19" s="229">
        <v>0</v>
      </c>
      <c r="AB19" s="229">
        <v>1000000</v>
      </c>
      <c r="AC19" s="229">
        <v>0</v>
      </c>
      <c r="AD19" s="229">
        <v>0</v>
      </c>
      <c r="AE19" s="229">
        <v>1000000</v>
      </c>
      <c r="AF19" s="229">
        <v>3000000</v>
      </c>
      <c r="AG19" s="229">
        <v>7500000</v>
      </c>
      <c r="AH19" s="229">
        <v>4500000</v>
      </c>
      <c r="AI19" s="229">
        <v>0</v>
      </c>
      <c r="AJ19" s="229">
        <v>0</v>
      </c>
      <c r="AK19" s="229">
        <v>15000000</v>
      </c>
      <c r="AL19" s="229">
        <v>0</v>
      </c>
      <c r="AM19" s="229">
        <v>0</v>
      </c>
      <c r="AN19" s="229">
        <v>0</v>
      </c>
      <c r="AO19" s="229">
        <v>0</v>
      </c>
      <c r="AP19" s="229">
        <v>0</v>
      </c>
      <c r="AQ19" s="229">
        <v>15000000</v>
      </c>
      <c r="AR19" s="2">
        <v>90</v>
      </c>
      <c r="AS19" s="208" t="s">
        <v>1811</v>
      </c>
      <c r="AT19" s="208" t="s">
        <v>1601</v>
      </c>
      <c r="AU19" s="2" t="s">
        <v>614</v>
      </c>
      <c r="AV19" s="2">
        <v>0</v>
      </c>
      <c r="AW19" s="2" t="s">
        <v>1810</v>
      </c>
      <c r="AZ19" s="2" t="str">
        <f>_xlfn.XLOOKUP(Tabela98[[#This Row],[Descrição do projeto]],[3]Geração!$G:$G,[3]Geração!$F:$F,,0,1)</f>
        <v>Naim Damasceno Campos</v>
      </c>
    </row>
    <row r="20" spans="1:52" ht="24.75" customHeight="1" x14ac:dyDescent="0.35">
      <c r="A20" s="150"/>
      <c r="B20" s="151" t="e" cm="1">
        <f t="array" ref="B20">AND(ISTEXT('Consolidado-Eletronorte'!#REF!),SUM('Consolidado-Eletronorte'!#REF!)&gt;0)</f>
        <v>#REF!</v>
      </c>
      <c r="C20" s="152" t="str">
        <f t="shared" ca="1" si="0"/>
        <v>Capex Orcamentário_PE2026_2030_red_35_porcentoR3_consulta.xlsx</v>
      </c>
      <c r="D20" s="113" t="str">
        <f t="shared" si="1"/>
        <v>COO</v>
      </c>
      <c r="E20" s="113" t="str">
        <f t="shared" si="2"/>
        <v>Lucas Martins</v>
      </c>
      <c r="F20" s="153"/>
      <c r="G20" s="153" t="e">
        <f>_xlfn.CONCAT('Consolidado-Eletronorte'!#REF!,"_",ROW('Consolidado-Eletronorte'!#REF!)-ROW('Consolidado-Eletronorte'!$G$18))</f>
        <v>#REF!</v>
      </c>
      <c r="H20" s="155" t="s">
        <v>506</v>
      </c>
      <c r="I20" s="155" t="s">
        <v>507</v>
      </c>
      <c r="J20" s="154" t="s">
        <v>508</v>
      </c>
      <c r="K20" s="155" t="s">
        <v>1039</v>
      </c>
      <c r="L20" s="155" t="s">
        <v>1040</v>
      </c>
      <c r="M20" s="155" t="s">
        <v>577</v>
      </c>
      <c r="N20" s="155"/>
      <c r="O20" s="155"/>
      <c r="P20" s="155" t="s">
        <v>511</v>
      </c>
      <c r="Q20" s="156" t="s">
        <v>377</v>
      </c>
      <c r="R20" s="156" t="s">
        <v>578</v>
      </c>
      <c r="S20" s="155" t="s">
        <v>319</v>
      </c>
      <c r="T20" s="229">
        <v>0</v>
      </c>
      <c r="U20" s="229">
        <v>0</v>
      </c>
      <c r="V20" s="229">
        <v>1400000</v>
      </c>
      <c r="W20" s="229">
        <v>0</v>
      </c>
      <c r="X20" s="229">
        <v>0</v>
      </c>
      <c r="Y20" s="229">
        <v>0</v>
      </c>
      <c r="Z20" s="229">
        <v>1400000</v>
      </c>
      <c r="AA20" s="229">
        <v>0</v>
      </c>
      <c r="AB20" s="229">
        <v>0</v>
      </c>
      <c r="AC20" s="229">
        <v>0</v>
      </c>
      <c r="AD20" s="229">
        <v>0</v>
      </c>
      <c r="AE20" s="229">
        <v>4200000</v>
      </c>
      <c r="AF20" s="229">
        <v>7000000</v>
      </c>
      <c r="AG20" s="229">
        <v>7000000</v>
      </c>
      <c r="AH20" s="229">
        <v>0</v>
      </c>
      <c r="AI20" s="229">
        <v>0</v>
      </c>
      <c r="AJ20" s="229">
        <v>0</v>
      </c>
      <c r="AK20" s="229">
        <v>14000000</v>
      </c>
      <c r="AL20" s="229">
        <v>0</v>
      </c>
      <c r="AM20" s="229">
        <v>0</v>
      </c>
      <c r="AN20" s="229">
        <v>0</v>
      </c>
      <c r="AO20" s="229">
        <v>0</v>
      </c>
      <c r="AP20" s="229">
        <v>0</v>
      </c>
      <c r="AQ20" s="229">
        <v>14000000</v>
      </c>
      <c r="AR20" s="2">
        <v>11</v>
      </c>
      <c r="AS20" s="2" t="s">
        <v>1811</v>
      </c>
      <c r="AT20" s="2">
        <v>2025</v>
      </c>
      <c r="AU20" s="2" t="s">
        <v>579</v>
      </c>
      <c r="AV20" s="2" t="s">
        <v>580</v>
      </c>
      <c r="AW20" s="2" t="s">
        <v>1803</v>
      </c>
      <c r="AZ20" s="2" t="str">
        <f>_xlfn.XLOOKUP(Tabela98[[#This Row],[Descrição do projeto]],[3]Geração!$G:$G,[3]Geração!$F:$F,,0,1)</f>
        <v>Frederico Rodolfo Parente Doerner</v>
      </c>
    </row>
    <row r="21" spans="1:52" ht="24.75" customHeight="1" x14ac:dyDescent="0.35">
      <c r="A21" s="150"/>
      <c r="B21" s="151" t="e" cm="1">
        <f t="array" ref="B21">AND(ISTEXT('Consolidado-Eletronorte'!#REF!),SUM('Consolidado-Eletronorte'!#REF!)&gt;0)</f>
        <v>#REF!</v>
      </c>
      <c r="C21" s="152" t="str">
        <f t="shared" ca="1" si="0"/>
        <v>Capex Orcamentário_PE2026_2030_red_35_porcentoR3_consulta.xlsx</v>
      </c>
      <c r="D21" s="113" t="str">
        <f t="shared" si="1"/>
        <v>COO</v>
      </c>
      <c r="E21" s="113" t="str">
        <f t="shared" si="2"/>
        <v>Lucas Martins</v>
      </c>
      <c r="F21" s="153"/>
      <c r="G21" s="153" t="e">
        <f>_xlfn.CONCAT('Consolidado-Eletronorte'!#REF!,"_",ROW('Consolidado-Eletronorte'!#REF!)-ROW('Consolidado-Eletronorte'!$G$18))</f>
        <v>#REF!</v>
      </c>
      <c r="H21" s="154" t="s">
        <v>506</v>
      </c>
      <c r="I21" s="155" t="s">
        <v>507</v>
      </c>
      <c r="J21" s="154" t="s">
        <v>508</v>
      </c>
      <c r="K21" s="155" t="s">
        <v>1039</v>
      </c>
      <c r="L21" s="155" t="s">
        <v>1040</v>
      </c>
      <c r="M21" s="155" t="s">
        <v>526</v>
      </c>
      <c r="N21" s="155"/>
      <c r="O21" s="155"/>
      <c r="P21" s="155" t="s">
        <v>511</v>
      </c>
      <c r="Q21" s="156" t="s">
        <v>353</v>
      </c>
      <c r="R21" s="156" t="s">
        <v>584</v>
      </c>
      <c r="S21" s="155" t="s">
        <v>319</v>
      </c>
      <c r="T21" s="229">
        <v>0</v>
      </c>
      <c r="U21" s="229">
        <v>0</v>
      </c>
      <c r="V21" s="229">
        <v>3000000</v>
      </c>
      <c r="W21" s="229">
        <v>0</v>
      </c>
      <c r="X21" s="229">
        <v>0</v>
      </c>
      <c r="Y21" s="229">
        <v>3000000</v>
      </c>
      <c r="Z21" s="229">
        <v>0</v>
      </c>
      <c r="AA21" s="229">
        <v>0</v>
      </c>
      <c r="AB21" s="229">
        <v>0</v>
      </c>
      <c r="AC21" s="229">
        <v>0</v>
      </c>
      <c r="AD21" s="229">
        <v>4000000</v>
      </c>
      <c r="AE21" s="229">
        <v>0</v>
      </c>
      <c r="AF21" s="229">
        <v>10000000</v>
      </c>
      <c r="AG21" s="229">
        <v>3500000</v>
      </c>
      <c r="AH21" s="229">
        <v>0</v>
      </c>
      <c r="AI21" s="229">
        <v>0</v>
      </c>
      <c r="AJ21" s="229">
        <v>0</v>
      </c>
      <c r="AK21" s="229">
        <v>13500000</v>
      </c>
      <c r="AL21" s="229">
        <v>0</v>
      </c>
      <c r="AM21" s="229">
        <v>0</v>
      </c>
      <c r="AN21" s="229">
        <v>0</v>
      </c>
      <c r="AO21" s="229">
        <v>0</v>
      </c>
      <c r="AP21" s="229">
        <v>0</v>
      </c>
      <c r="AQ21" s="229">
        <v>13500000</v>
      </c>
      <c r="AR21" s="2">
        <v>97</v>
      </c>
      <c r="AS21" s="208" t="s">
        <v>1811</v>
      </c>
      <c r="AT21" s="2">
        <v>2025</v>
      </c>
      <c r="AU21" s="209" t="s">
        <v>585</v>
      </c>
      <c r="AV21" t="s">
        <v>586</v>
      </c>
      <c r="AW21" s="2" t="s">
        <v>1803</v>
      </c>
      <c r="AZ21" s="2" t="e">
        <f>_xlfn.XLOOKUP(Tabela98[[#This Row],[Descrição do projeto]],[3]Geração!$G:$G,[3]Geração!$F:$F,,0,1)</f>
        <v>#N/A</v>
      </c>
    </row>
    <row r="22" spans="1:52" ht="24.75" customHeight="1" x14ac:dyDescent="0.35">
      <c r="A22" s="150"/>
      <c r="B22" s="151" t="e" cm="1">
        <f t="array" ref="B22">AND(ISTEXT('Consolidado-Eletronorte'!#REF!),SUM('Consolidado-Eletronorte'!#REF!)&gt;0)</f>
        <v>#REF!</v>
      </c>
      <c r="C22" s="152" t="str">
        <f t="shared" ca="1" si="0"/>
        <v>Capex Orcamentário_PE2026_2030_red_35_porcentoR3_consulta.xlsx</v>
      </c>
      <c r="D22" s="113" t="str">
        <f t="shared" si="1"/>
        <v>COO</v>
      </c>
      <c r="E22" s="113" t="str">
        <f t="shared" si="2"/>
        <v>Lucas Martins</v>
      </c>
      <c r="F22" s="153"/>
      <c r="G22" s="153" t="e">
        <f>_xlfn.CONCAT('Consolidado-Eletronorte'!#REF!,"_",ROW('Consolidado-Eletronorte'!#REF!)-ROW('Consolidado-Eletronorte'!$G$18))</f>
        <v>#REF!</v>
      </c>
      <c r="H22" s="154" t="s">
        <v>506</v>
      </c>
      <c r="I22" s="155" t="s">
        <v>507</v>
      </c>
      <c r="J22" s="154" t="s">
        <v>508</v>
      </c>
      <c r="K22" s="155" t="s">
        <v>1039</v>
      </c>
      <c r="L22" s="155" t="s">
        <v>1040</v>
      </c>
      <c r="M22" s="155" t="s">
        <v>636</v>
      </c>
      <c r="N22" s="155"/>
      <c r="O22" s="155"/>
      <c r="P22" s="155" t="s">
        <v>511</v>
      </c>
      <c r="Q22" s="156" t="s">
        <v>1812</v>
      </c>
      <c r="R22" s="156" t="s">
        <v>638</v>
      </c>
      <c r="S22" s="155" t="s">
        <v>319</v>
      </c>
      <c r="T22" s="229">
        <v>0</v>
      </c>
      <c r="U22" s="229">
        <v>2000000</v>
      </c>
      <c r="V22" s="229">
        <v>0</v>
      </c>
      <c r="W22" s="229">
        <v>2000000</v>
      </c>
      <c r="X22" s="229">
        <v>0</v>
      </c>
      <c r="Y22" s="229">
        <v>2000000</v>
      </c>
      <c r="Z22" s="229">
        <v>0</v>
      </c>
      <c r="AA22" s="229">
        <v>2000000</v>
      </c>
      <c r="AB22" s="229">
        <v>0</v>
      </c>
      <c r="AC22" s="229">
        <v>0</v>
      </c>
      <c r="AD22" s="229">
        <v>0</v>
      </c>
      <c r="AE22" s="229">
        <v>0</v>
      </c>
      <c r="AF22" s="229">
        <v>8000000</v>
      </c>
      <c r="AG22" s="229">
        <v>0</v>
      </c>
      <c r="AH22" s="229">
        <v>0</v>
      </c>
      <c r="AI22" s="229">
        <v>0</v>
      </c>
      <c r="AJ22" s="229">
        <v>0</v>
      </c>
      <c r="AK22" s="229">
        <v>8000000</v>
      </c>
      <c r="AL22" s="229">
        <v>0</v>
      </c>
      <c r="AM22" s="229">
        <v>0</v>
      </c>
      <c r="AN22" s="229">
        <v>0</v>
      </c>
      <c r="AO22" s="229">
        <v>0</v>
      </c>
      <c r="AP22" s="229">
        <v>0</v>
      </c>
      <c r="AQ22" s="229">
        <v>8000000</v>
      </c>
      <c r="AR22" s="2">
        <v>122</v>
      </c>
      <c r="AS22" s="112" t="s">
        <v>1813</v>
      </c>
      <c r="AT22" s="2">
        <v>2025</v>
      </c>
      <c r="AU22" s="112" t="s">
        <v>639</v>
      </c>
      <c r="AV22" s="112" t="s">
        <v>575</v>
      </c>
      <c r="AW22" s="2" t="s">
        <v>1803</v>
      </c>
      <c r="AZ22" s="2" t="e">
        <f>_xlfn.XLOOKUP(Tabela98[[#This Row],[Descrição do projeto]],[3]Geração!$G:$G,[3]Geração!$F:$F,,0,1)</f>
        <v>#N/A</v>
      </c>
    </row>
    <row r="23" spans="1:52" ht="24.75" customHeight="1" x14ac:dyDescent="0.35">
      <c r="A23" s="150"/>
      <c r="B23" s="151" t="e" cm="1">
        <f t="array" ref="B23">AND(ISTEXT('Consolidado-Eletronorte'!#REF!),SUM('Consolidado-Eletronorte'!#REF!)&gt;0)</f>
        <v>#REF!</v>
      </c>
      <c r="C23" s="152" t="str">
        <f t="shared" ca="1" si="0"/>
        <v>Capex Orcamentário_PE2026_2030_red_35_porcentoR3_consulta.xlsx</v>
      </c>
      <c r="D23" s="113" t="str">
        <f t="shared" si="1"/>
        <v>COO</v>
      </c>
      <c r="E23" s="113" t="str">
        <f t="shared" si="2"/>
        <v>Lucas Martins</v>
      </c>
      <c r="F23" s="153"/>
      <c r="G23" s="153" t="e">
        <f>_xlfn.CONCAT('Consolidado-Eletronorte'!#REF!,"_",ROW('Consolidado-Eletronorte'!#REF!)-ROW('Consolidado-Eletronorte'!$G$18))</f>
        <v>#REF!</v>
      </c>
      <c r="H23" s="154" t="s">
        <v>506</v>
      </c>
      <c r="I23" s="155" t="s">
        <v>507</v>
      </c>
      <c r="J23" s="154" t="s">
        <v>508</v>
      </c>
      <c r="K23" s="155" t="s">
        <v>1039</v>
      </c>
      <c r="L23" s="155" t="s">
        <v>1040</v>
      </c>
      <c r="M23" s="155" t="s">
        <v>598</v>
      </c>
      <c r="N23" s="155"/>
      <c r="O23" s="155"/>
      <c r="P23" s="155" t="s">
        <v>511</v>
      </c>
      <c r="Q23" s="156" t="s">
        <v>329</v>
      </c>
      <c r="R23" s="156" t="s">
        <v>601</v>
      </c>
      <c r="S23" s="155" t="s">
        <v>319</v>
      </c>
      <c r="T23" s="229">
        <v>0</v>
      </c>
      <c r="U23" s="229">
        <v>0</v>
      </c>
      <c r="V23" s="229">
        <v>0</v>
      </c>
      <c r="W23" s="229">
        <v>3782500</v>
      </c>
      <c r="X23" s="229">
        <v>0</v>
      </c>
      <c r="Y23" s="229">
        <v>0</v>
      </c>
      <c r="Z23" s="229">
        <v>0</v>
      </c>
      <c r="AA23" s="229">
        <v>3782500</v>
      </c>
      <c r="AB23" s="229">
        <v>0</v>
      </c>
      <c r="AC23" s="229">
        <v>0</v>
      </c>
      <c r="AD23" s="229">
        <v>0</v>
      </c>
      <c r="AE23" s="229">
        <v>0</v>
      </c>
      <c r="AF23" s="229">
        <v>7565000</v>
      </c>
      <c r="AG23" s="229">
        <v>0</v>
      </c>
      <c r="AH23" s="229">
        <v>0</v>
      </c>
      <c r="AI23" s="229">
        <v>0</v>
      </c>
      <c r="AJ23" s="229">
        <v>0</v>
      </c>
      <c r="AK23" s="229">
        <v>7565000</v>
      </c>
      <c r="AL23" s="229">
        <v>0</v>
      </c>
      <c r="AM23" s="229">
        <v>0</v>
      </c>
      <c r="AN23" s="229">
        <v>0</v>
      </c>
      <c r="AO23" s="229">
        <v>0</v>
      </c>
      <c r="AP23" s="229">
        <v>0</v>
      </c>
      <c r="AQ23" s="229">
        <v>7565000</v>
      </c>
      <c r="AR23" s="2">
        <v>104</v>
      </c>
      <c r="AS23" s="2" t="s">
        <v>1811</v>
      </c>
      <c r="AT23" s="2">
        <v>2025</v>
      </c>
      <c r="AU23" s="2" t="s">
        <v>602</v>
      </c>
      <c r="AV23" s="2" t="s">
        <v>603</v>
      </c>
      <c r="AW23" s="2" t="s">
        <v>1810</v>
      </c>
      <c r="AZ23" s="2" t="str">
        <f>_xlfn.XLOOKUP(Tabela98[[#This Row],[Descrição do projeto]],[3]Geração!$G:$G,[3]Geração!$F:$F,,0,1)</f>
        <v>Frederico Rodolfo Parente Doerner</v>
      </c>
    </row>
    <row r="24" spans="1:52" ht="24.75" customHeight="1" x14ac:dyDescent="0.35">
      <c r="A24" s="150"/>
      <c r="B24" s="151" t="e" cm="1">
        <f t="array" ref="B24">AND(ISTEXT('Consolidado-Eletronorte'!#REF!),SUM('Consolidado-Eletronorte'!#REF!)&gt;0)</f>
        <v>#REF!</v>
      </c>
      <c r="C24" s="152" t="str">
        <f t="shared" ca="1" si="0"/>
        <v>Capex Orcamentário_PE2026_2030_red_35_porcentoR3_consulta.xlsx</v>
      </c>
      <c r="D24" s="113" t="str">
        <f t="shared" si="1"/>
        <v>COO</v>
      </c>
      <c r="E24" s="113" t="str">
        <f t="shared" si="2"/>
        <v>Lucas Martins</v>
      </c>
      <c r="F24" s="153"/>
      <c r="G24" s="153" t="e">
        <f>_xlfn.CONCAT('Consolidado-Eletronorte'!#REF!,"_",ROW('Consolidado-Eletronorte'!#REF!)-ROW('Consolidado-Eletronorte'!$G$18))</f>
        <v>#REF!</v>
      </c>
      <c r="H24" s="154" t="s">
        <v>506</v>
      </c>
      <c r="I24" s="155" t="s">
        <v>507</v>
      </c>
      <c r="J24" s="154" t="s">
        <v>508</v>
      </c>
      <c r="K24" s="155" t="s">
        <v>1039</v>
      </c>
      <c r="L24" s="155" t="s">
        <v>1040</v>
      </c>
      <c r="M24" s="155" t="s">
        <v>577</v>
      </c>
      <c r="N24" s="155"/>
      <c r="O24" s="155"/>
      <c r="P24" s="155" t="s">
        <v>511</v>
      </c>
      <c r="Q24" s="156" t="s">
        <v>355</v>
      </c>
      <c r="R24" s="156" t="s">
        <v>643</v>
      </c>
      <c r="S24" s="155" t="s">
        <v>319</v>
      </c>
      <c r="T24" s="229">
        <v>0</v>
      </c>
      <c r="U24" s="229">
        <v>0</v>
      </c>
      <c r="V24" s="229">
        <v>0</v>
      </c>
      <c r="W24" s="229">
        <v>0</v>
      </c>
      <c r="X24" s="229">
        <v>2500000</v>
      </c>
      <c r="Y24" s="229">
        <v>0</v>
      </c>
      <c r="Z24" s="229">
        <v>0</v>
      </c>
      <c r="AA24" s="229">
        <v>0</v>
      </c>
      <c r="AB24" s="229">
        <v>0</v>
      </c>
      <c r="AC24" s="229">
        <v>2500000</v>
      </c>
      <c r="AD24" s="229">
        <v>0</v>
      </c>
      <c r="AE24" s="229">
        <v>0</v>
      </c>
      <c r="AF24" s="229">
        <v>5000000</v>
      </c>
      <c r="AG24" s="229">
        <v>2500000</v>
      </c>
      <c r="AH24" s="229">
        <v>0</v>
      </c>
      <c r="AI24" s="229">
        <v>0</v>
      </c>
      <c r="AJ24" s="229">
        <v>0</v>
      </c>
      <c r="AK24" s="229">
        <v>7500000</v>
      </c>
      <c r="AL24" s="229">
        <v>0</v>
      </c>
      <c r="AM24" s="229">
        <v>0</v>
      </c>
      <c r="AN24" s="229">
        <v>0</v>
      </c>
      <c r="AO24" s="229">
        <v>0</v>
      </c>
      <c r="AP24" s="229">
        <v>0</v>
      </c>
      <c r="AQ24" s="229">
        <v>7500000</v>
      </c>
      <c r="AR24" s="2">
        <v>93</v>
      </c>
      <c r="AS24" s="2" t="s">
        <v>1811</v>
      </c>
      <c r="AT24" s="2">
        <v>2025</v>
      </c>
      <c r="AU24" s="2" t="s">
        <v>644</v>
      </c>
      <c r="AV24" s="2">
        <v>0</v>
      </c>
      <c r="AW24" s="2" t="s">
        <v>1810</v>
      </c>
      <c r="AZ24" s="2" t="str">
        <f>_xlfn.XLOOKUP(Tabela98[[#This Row],[Descrição do projeto]],[3]Geração!$G:$G,[3]Geração!$F:$F,,0,1)</f>
        <v>Frederico Rodolfo Parente Doerner</v>
      </c>
    </row>
    <row r="25" spans="1:52" ht="24.75" customHeight="1" x14ac:dyDescent="0.35">
      <c r="A25" s="150"/>
      <c r="B25" s="151" t="e" cm="1">
        <f t="array" ref="B25">AND(ISTEXT('Consolidado-Eletronorte'!#REF!),SUM('Consolidado-Eletronorte'!#REF!)&gt;0)</f>
        <v>#REF!</v>
      </c>
      <c r="C25" s="152" t="str">
        <f t="shared" ca="1" si="0"/>
        <v>Capex Orcamentário_PE2026_2030_red_35_porcentoR3_consulta.xlsx</v>
      </c>
      <c r="D25" s="113" t="str">
        <f t="shared" si="1"/>
        <v>COO</v>
      </c>
      <c r="E25" s="113" t="str">
        <f t="shared" si="2"/>
        <v>Lucas Martins</v>
      </c>
      <c r="F25" s="153"/>
      <c r="G25" s="153" t="e">
        <f>_xlfn.CONCAT('Consolidado-Eletronorte'!#REF!,"_",ROW('Consolidado-Eletronorte'!#REF!)-ROW('Consolidado-Eletronorte'!$G$18))</f>
        <v>#REF!</v>
      </c>
      <c r="H25" s="155" t="s">
        <v>506</v>
      </c>
      <c r="I25" s="155" t="s">
        <v>507</v>
      </c>
      <c r="J25" s="154" t="s">
        <v>508</v>
      </c>
      <c r="K25" s="155" t="s">
        <v>1039</v>
      </c>
      <c r="L25" s="155" t="s">
        <v>1040</v>
      </c>
      <c r="M25" s="155" t="s">
        <v>577</v>
      </c>
      <c r="N25" s="155"/>
      <c r="O25" s="155"/>
      <c r="P25" s="155" t="s">
        <v>587</v>
      </c>
      <c r="Q25" s="156" t="s">
        <v>167</v>
      </c>
      <c r="R25" s="156" t="s">
        <v>845</v>
      </c>
      <c r="S25" s="155" t="s">
        <v>154</v>
      </c>
      <c r="T25" s="229">
        <v>0</v>
      </c>
      <c r="U25" s="229">
        <v>0</v>
      </c>
      <c r="V25" s="229">
        <v>0</v>
      </c>
      <c r="W25" s="229">
        <v>0</v>
      </c>
      <c r="X25" s="229">
        <v>0</v>
      </c>
      <c r="Y25" s="229">
        <v>0</v>
      </c>
      <c r="Z25" s="229">
        <v>0</v>
      </c>
      <c r="AA25" s="229">
        <v>0</v>
      </c>
      <c r="AB25" s="229">
        <v>0</v>
      </c>
      <c r="AC25" s="229">
        <v>0</v>
      </c>
      <c r="AD25" s="229">
        <v>0</v>
      </c>
      <c r="AE25" s="229">
        <v>0</v>
      </c>
      <c r="AF25" s="229">
        <v>0</v>
      </c>
      <c r="AG25" s="229">
        <v>7200000</v>
      </c>
      <c r="AH25" s="229">
        <v>0</v>
      </c>
      <c r="AI25" s="229">
        <v>0</v>
      </c>
      <c r="AJ25" s="229">
        <v>0</v>
      </c>
      <c r="AK25" s="229">
        <v>7200000</v>
      </c>
      <c r="AL25" s="229">
        <v>0</v>
      </c>
      <c r="AM25" s="229">
        <v>0</v>
      </c>
      <c r="AN25" s="229">
        <v>0</v>
      </c>
      <c r="AO25" s="229">
        <v>0</v>
      </c>
      <c r="AP25" s="229">
        <v>0</v>
      </c>
      <c r="AQ25" s="229">
        <v>7200000</v>
      </c>
      <c r="AR25" s="2">
        <v>27</v>
      </c>
      <c r="AS25" s="2" t="s">
        <v>159</v>
      </c>
      <c r="AT25" s="2" t="s">
        <v>1601</v>
      </c>
      <c r="AU25" s="2" t="s">
        <v>846</v>
      </c>
      <c r="AV25" s="2">
        <v>0</v>
      </c>
      <c r="AW25" s="2" t="s">
        <v>1810</v>
      </c>
      <c r="AZ25" s="2" t="str">
        <f>_xlfn.XLOOKUP(Tabela98[[#This Row],[Descrição do projeto]],[3]Geração!$G:$G,[3]Geração!$F:$F,,0,1)</f>
        <v>Frederico Rodolfo Parente Doerner</v>
      </c>
    </row>
    <row r="26" spans="1:52" ht="24.75" customHeight="1" x14ac:dyDescent="0.35">
      <c r="A26" s="150"/>
      <c r="B26" s="151" t="e" cm="1">
        <f t="array" ref="B26">AND(ISTEXT('Consolidado-Eletronorte'!#REF!),SUM('Consolidado-Eletronorte'!#REF!)&gt;0)</f>
        <v>#REF!</v>
      </c>
      <c r="C26" s="152" t="str">
        <f t="shared" ca="1" si="0"/>
        <v>Capex Orcamentário_PE2026_2030_red_35_porcentoR3_consulta.xlsx</v>
      </c>
      <c r="D26" s="113" t="str">
        <f t="shared" si="1"/>
        <v>COO</v>
      </c>
      <c r="E26" s="113" t="str">
        <f t="shared" si="2"/>
        <v>Lucas Martins</v>
      </c>
      <c r="F26" s="153"/>
      <c r="G26" s="153" t="e">
        <f>_xlfn.CONCAT('Consolidado-Eletronorte'!#REF!,"_",ROW('Consolidado-Eletronorte'!#REF!)-ROW('Consolidado-Eletronorte'!$G$18))</f>
        <v>#REF!</v>
      </c>
      <c r="H26" s="154" t="s">
        <v>506</v>
      </c>
      <c r="I26" s="155" t="s">
        <v>507</v>
      </c>
      <c r="J26" s="154" t="s">
        <v>508</v>
      </c>
      <c r="K26" s="155" t="s">
        <v>1039</v>
      </c>
      <c r="L26" s="155" t="s">
        <v>1040</v>
      </c>
      <c r="M26" s="155" t="s">
        <v>577</v>
      </c>
      <c r="N26" s="155"/>
      <c r="O26" s="155"/>
      <c r="P26" s="155" t="s">
        <v>617</v>
      </c>
      <c r="Q26" s="156" t="s">
        <v>233</v>
      </c>
      <c r="R26" s="156" t="s">
        <v>618</v>
      </c>
      <c r="S26" s="155" t="s">
        <v>229</v>
      </c>
      <c r="T26" s="229">
        <v>0</v>
      </c>
      <c r="U26" s="229">
        <v>500000</v>
      </c>
      <c r="V26" s="229">
        <v>0</v>
      </c>
      <c r="W26" s="229">
        <v>0</v>
      </c>
      <c r="X26" s="229">
        <v>0</v>
      </c>
      <c r="Y26" s="229">
        <v>1500000</v>
      </c>
      <c r="Z26" s="229">
        <v>0</v>
      </c>
      <c r="AA26" s="229">
        <v>1000000</v>
      </c>
      <c r="AB26" s="229">
        <v>0</v>
      </c>
      <c r="AC26" s="229">
        <v>500000</v>
      </c>
      <c r="AD26" s="229">
        <v>0</v>
      </c>
      <c r="AE26" s="229">
        <v>0</v>
      </c>
      <c r="AF26" s="229">
        <v>3500000</v>
      </c>
      <c r="AG26" s="229">
        <v>1500000</v>
      </c>
      <c r="AH26" s="229">
        <v>2000000</v>
      </c>
      <c r="AI26" s="229">
        <v>0</v>
      </c>
      <c r="AJ26" s="229">
        <v>0</v>
      </c>
      <c r="AK26" s="229">
        <v>7000000</v>
      </c>
      <c r="AL26" s="229">
        <v>0</v>
      </c>
      <c r="AM26" s="229">
        <v>0</v>
      </c>
      <c r="AN26" s="229">
        <v>0</v>
      </c>
      <c r="AO26" s="229">
        <v>0</v>
      </c>
      <c r="AP26" s="229">
        <v>0</v>
      </c>
      <c r="AQ26" s="229">
        <v>7000000</v>
      </c>
      <c r="AR26" s="2">
        <v>51</v>
      </c>
      <c r="AS26" s="208" t="s">
        <v>1811</v>
      </c>
      <c r="AT26" s="2">
        <v>2025</v>
      </c>
      <c r="AU26" s="2" t="s">
        <v>619</v>
      </c>
      <c r="AV26" t="s">
        <v>620</v>
      </c>
      <c r="AW26" s="2" t="s">
        <v>1803</v>
      </c>
      <c r="AZ26" s="2" t="str">
        <f>_xlfn.XLOOKUP(Tabela98[[#This Row],[Descrição do projeto]],[3]Geração!$G:$G,[3]Geração!$F:$F,,0,1)</f>
        <v>Frederico Rodolfo Parente Doerner</v>
      </c>
    </row>
    <row r="27" spans="1:52" ht="24.75" customHeight="1" x14ac:dyDescent="0.35">
      <c r="A27" s="150"/>
      <c r="B27" s="151" t="e" cm="1">
        <f t="array" ref="B27">AND(ISTEXT('Consolidado-Eletronorte'!#REF!),SUM('Consolidado-Eletronorte'!#REF!)&gt;0)</f>
        <v>#REF!</v>
      </c>
      <c r="C27" s="152" t="str">
        <f t="shared" ca="1" si="0"/>
        <v>Capex Orcamentário_PE2026_2030_red_35_porcentoR3_consulta.xlsx</v>
      </c>
      <c r="D27" s="113" t="str">
        <f t="shared" si="1"/>
        <v>COO</v>
      </c>
      <c r="E27" s="113" t="str">
        <f t="shared" si="2"/>
        <v>Lucas Martins</v>
      </c>
      <c r="F27" s="153"/>
      <c r="G27" s="153" t="e">
        <f>_xlfn.CONCAT('Consolidado-Eletronorte'!#REF!,"_",ROW('Consolidado-Eletronorte'!#REF!)-ROW('Consolidado-Eletronorte'!$G$18))</f>
        <v>#REF!</v>
      </c>
      <c r="H27" s="154" t="s">
        <v>506</v>
      </c>
      <c r="I27" s="155" t="s">
        <v>507</v>
      </c>
      <c r="J27" s="154" t="s">
        <v>508</v>
      </c>
      <c r="K27" s="155" t="s">
        <v>1039</v>
      </c>
      <c r="L27" s="155" t="s">
        <v>1040</v>
      </c>
      <c r="M27" s="155" t="s">
        <v>555</v>
      </c>
      <c r="N27" s="155"/>
      <c r="O27" s="155"/>
      <c r="P27" s="155" t="s">
        <v>511</v>
      </c>
      <c r="Q27" s="156" t="s">
        <v>358</v>
      </c>
      <c r="R27" s="156" t="s">
        <v>609</v>
      </c>
      <c r="S27" s="155" t="s">
        <v>319</v>
      </c>
      <c r="T27" s="229">
        <v>415017</v>
      </c>
      <c r="U27" s="229">
        <v>415017</v>
      </c>
      <c r="V27" s="229">
        <v>415017</v>
      </c>
      <c r="W27" s="229">
        <v>415017</v>
      </c>
      <c r="X27" s="229">
        <v>415017</v>
      </c>
      <c r="Y27" s="229">
        <v>415017</v>
      </c>
      <c r="Z27" s="229">
        <v>415017</v>
      </c>
      <c r="AA27" s="229">
        <v>415017</v>
      </c>
      <c r="AB27" s="229">
        <v>415017</v>
      </c>
      <c r="AC27" s="229">
        <v>415017</v>
      </c>
      <c r="AD27" s="229">
        <v>415017</v>
      </c>
      <c r="AE27" s="229">
        <v>415017</v>
      </c>
      <c r="AF27" s="229">
        <v>4980203.9999999991</v>
      </c>
      <c r="AG27" s="229">
        <v>2000000</v>
      </c>
      <c r="AH27" s="229">
        <v>0</v>
      </c>
      <c r="AI27" s="229">
        <v>0</v>
      </c>
      <c r="AJ27" s="229">
        <v>0</v>
      </c>
      <c r="AK27" s="229">
        <v>6980203.9999999991</v>
      </c>
      <c r="AL27" s="229">
        <v>0</v>
      </c>
      <c r="AM27" s="229">
        <v>0</v>
      </c>
      <c r="AN27" s="229">
        <v>0</v>
      </c>
      <c r="AO27" s="229">
        <v>0</v>
      </c>
      <c r="AP27" s="229">
        <v>0</v>
      </c>
      <c r="AQ27" s="229">
        <v>6980203.9999999991</v>
      </c>
      <c r="AR27" s="2">
        <v>35</v>
      </c>
      <c r="AS27" s="2" t="s">
        <v>341</v>
      </c>
      <c r="AT27" s="2">
        <v>2025</v>
      </c>
      <c r="AU27" s="2" t="s">
        <v>610</v>
      </c>
      <c r="AV27" s="2" t="s">
        <v>567</v>
      </c>
      <c r="AW27" s="2" t="s">
        <v>1810</v>
      </c>
      <c r="AZ27" s="2" t="str">
        <f>_xlfn.XLOOKUP(Tabela98[[#This Row],[Descrição do projeto]],[3]Geração!$G:$G,[3]Geração!$F:$F,,0,1)</f>
        <v>Gilton Carlos De Andrade Furtado</v>
      </c>
    </row>
    <row r="28" spans="1:52" ht="24.75" customHeight="1" x14ac:dyDescent="0.35">
      <c r="A28" s="150"/>
      <c r="B28" s="151" t="e" cm="1">
        <f t="array" ref="B28">AND(ISTEXT('Consolidado-Eletronorte'!#REF!),SUM('Consolidado-Eletronorte'!#REF!)&gt;0)</f>
        <v>#REF!</v>
      </c>
      <c r="C28" s="152" t="str">
        <f t="shared" ca="1" si="0"/>
        <v>Capex Orcamentário_PE2026_2030_red_35_porcentoR3_consulta.xlsx</v>
      </c>
      <c r="D28" s="113" t="str">
        <f t="shared" si="1"/>
        <v>COO</v>
      </c>
      <c r="E28" s="113" t="str">
        <f t="shared" si="2"/>
        <v>Lucas Martins</v>
      </c>
      <c r="F28" s="153"/>
      <c r="G28" s="153" t="e">
        <f>_xlfn.CONCAT('Consolidado-Eletronorte'!#REF!,"_",ROW('Consolidado-Eletronorte'!#REF!)-ROW('Consolidado-Eletronorte'!$G$18))</f>
        <v>#REF!</v>
      </c>
      <c r="H28" s="154" t="s">
        <v>506</v>
      </c>
      <c r="I28" s="155" t="s">
        <v>507</v>
      </c>
      <c r="J28" s="154" t="s">
        <v>508</v>
      </c>
      <c r="K28" s="155" t="s">
        <v>1039</v>
      </c>
      <c r="L28" s="155" t="s">
        <v>1040</v>
      </c>
      <c r="M28" s="155" t="s">
        <v>555</v>
      </c>
      <c r="N28" s="155"/>
      <c r="O28" s="155"/>
      <c r="P28" s="155" t="s">
        <v>587</v>
      </c>
      <c r="Q28" s="156" t="s">
        <v>157</v>
      </c>
      <c r="R28" s="156" t="s">
        <v>589</v>
      </c>
      <c r="S28" s="155" t="s">
        <v>158</v>
      </c>
      <c r="T28" s="229">
        <v>0</v>
      </c>
      <c r="U28" s="229">
        <v>0</v>
      </c>
      <c r="V28" s="229">
        <v>0</v>
      </c>
      <c r="W28" s="229">
        <v>0</v>
      </c>
      <c r="X28" s="229">
        <v>0</v>
      </c>
      <c r="Y28" s="229">
        <v>0</v>
      </c>
      <c r="Z28" s="229">
        <v>0</v>
      </c>
      <c r="AA28" s="229">
        <v>0</v>
      </c>
      <c r="AB28" s="229">
        <v>3000000</v>
      </c>
      <c r="AC28" s="229">
        <v>0</v>
      </c>
      <c r="AD28" s="229">
        <v>0</v>
      </c>
      <c r="AE28" s="229">
        <v>3000000</v>
      </c>
      <c r="AF28" s="229">
        <v>6000000</v>
      </c>
      <c r="AG28" s="229">
        <v>0</v>
      </c>
      <c r="AH28" s="229">
        <v>0</v>
      </c>
      <c r="AI28" s="229">
        <v>0</v>
      </c>
      <c r="AJ28" s="229">
        <v>0</v>
      </c>
      <c r="AK28" s="229">
        <v>6000000</v>
      </c>
      <c r="AL28" s="229">
        <v>0</v>
      </c>
      <c r="AM28" s="229">
        <v>0</v>
      </c>
      <c r="AN28" s="229">
        <v>0</v>
      </c>
      <c r="AO28" s="229">
        <v>0</v>
      </c>
      <c r="AP28" s="229">
        <v>0</v>
      </c>
      <c r="AQ28" s="229">
        <v>6000000</v>
      </c>
      <c r="AR28" s="2">
        <v>116</v>
      </c>
      <c r="AS28" s="2" t="s">
        <v>159</v>
      </c>
      <c r="AT28" s="2" t="s">
        <v>1601</v>
      </c>
      <c r="AU28" s="2" t="s">
        <v>590</v>
      </c>
      <c r="AV28" s="2">
        <v>0</v>
      </c>
      <c r="AW28" s="2" t="s">
        <v>1810</v>
      </c>
      <c r="AZ28" s="2" t="str">
        <f>_xlfn.XLOOKUP(Tabela98[[#This Row],[Descrição do projeto]],[3]Geração!$G:$G,[3]Geração!$F:$F,,0,1)</f>
        <v>Milton Pereira Menezes</v>
      </c>
    </row>
    <row r="29" spans="1:52" ht="24.75" customHeight="1" x14ac:dyDescent="0.35">
      <c r="A29" s="150"/>
      <c r="B29" s="151" t="e" cm="1">
        <f t="array" ref="B29">AND(ISTEXT('Consolidado-Eletronorte'!#REF!),SUM('Consolidado-Eletronorte'!#REF!)&gt;0)</f>
        <v>#REF!</v>
      </c>
      <c r="C29" s="152" t="str">
        <f t="shared" ca="1" si="0"/>
        <v>Capex Orcamentário_PE2026_2030_red_35_porcentoR3_consulta.xlsx</v>
      </c>
      <c r="D29" s="113" t="str">
        <f t="shared" si="1"/>
        <v>COO</v>
      </c>
      <c r="E29" s="113" t="str">
        <f t="shared" si="2"/>
        <v>Lucas Martins</v>
      </c>
      <c r="F29" s="153"/>
      <c r="G29" s="153" t="e">
        <f>_xlfn.CONCAT('Consolidado-Eletronorte'!#REF!,"_",ROW('Consolidado-Eletronorte'!#REF!)-ROW('Consolidado-Eletronorte'!$G$18))</f>
        <v>#REF!</v>
      </c>
      <c r="H29" s="154" t="s">
        <v>506</v>
      </c>
      <c r="I29" s="155" t="s">
        <v>507</v>
      </c>
      <c r="J29" s="154" t="s">
        <v>508</v>
      </c>
      <c r="K29" s="155" t="s">
        <v>1039</v>
      </c>
      <c r="L29" s="155" t="s">
        <v>1040</v>
      </c>
      <c r="M29" s="155" t="s">
        <v>577</v>
      </c>
      <c r="N29" s="155"/>
      <c r="O29" s="155"/>
      <c r="P29" s="155" t="s">
        <v>587</v>
      </c>
      <c r="Q29" s="156" t="s">
        <v>169</v>
      </c>
      <c r="R29" s="156" t="s">
        <v>847</v>
      </c>
      <c r="S29" s="155" t="s">
        <v>158</v>
      </c>
      <c r="T29" s="229">
        <v>0</v>
      </c>
      <c r="U29" s="229">
        <v>0</v>
      </c>
      <c r="V29" s="229">
        <v>0</v>
      </c>
      <c r="W29" s="229">
        <v>0</v>
      </c>
      <c r="X29" s="229">
        <v>0</v>
      </c>
      <c r="Y29" s="229">
        <v>0</v>
      </c>
      <c r="Z29" s="229">
        <v>0</v>
      </c>
      <c r="AA29" s="229">
        <v>0</v>
      </c>
      <c r="AB29" s="229">
        <v>0</v>
      </c>
      <c r="AC29" s="229">
        <v>0</v>
      </c>
      <c r="AD29" s="229">
        <v>0</v>
      </c>
      <c r="AE29" s="229">
        <v>0</v>
      </c>
      <c r="AF29" s="229">
        <v>0</v>
      </c>
      <c r="AG29" s="229">
        <v>3000000</v>
      </c>
      <c r="AH29" s="229">
        <v>3000000</v>
      </c>
      <c r="AI29" s="229">
        <v>0</v>
      </c>
      <c r="AJ29" s="229">
        <v>0</v>
      </c>
      <c r="AK29" s="229">
        <v>6000000</v>
      </c>
      <c r="AL29" s="229">
        <v>0</v>
      </c>
      <c r="AM29" s="229">
        <v>0</v>
      </c>
      <c r="AN29" s="229">
        <v>0</v>
      </c>
      <c r="AO29" s="229">
        <v>0</v>
      </c>
      <c r="AP29" s="229">
        <v>0</v>
      </c>
      <c r="AQ29" s="229">
        <v>6000000</v>
      </c>
      <c r="AR29" s="2">
        <v>73</v>
      </c>
      <c r="AS29" s="2" t="s">
        <v>159</v>
      </c>
      <c r="AT29" s="2" t="s">
        <v>1601</v>
      </c>
      <c r="AU29" s="2" t="s">
        <v>848</v>
      </c>
      <c r="AV29" s="2">
        <v>0</v>
      </c>
      <c r="AW29" s="2" t="s">
        <v>1810</v>
      </c>
      <c r="AZ29" s="2" t="str">
        <f>_xlfn.XLOOKUP(Tabela98[[#This Row],[Descrição do projeto]],[3]Geração!$G:$G,[3]Geração!$F:$F,,0,1)</f>
        <v>Milton Pereira Menezes</v>
      </c>
    </row>
    <row r="30" spans="1:52" ht="24.75" customHeight="1" x14ac:dyDescent="0.35">
      <c r="A30" s="150"/>
      <c r="B30" s="151" t="e" cm="1">
        <f t="array" ref="B30">AND(ISTEXT('Consolidado-Eletronorte'!#REF!),SUM('Consolidado-Eletronorte'!#REF!)&gt;0)</f>
        <v>#REF!</v>
      </c>
      <c r="C30" s="152" t="str">
        <f t="shared" ca="1" si="0"/>
        <v>Capex Orcamentário_PE2026_2030_red_35_porcentoR3_consulta.xlsx</v>
      </c>
      <c r="D30" s="113" t="str">
        <f t="shared" si="1"/>
        <v>COO</v>
      </c>
      <c r="E30" s="113" t="str">
        <f t="shared" si="2"/>
        <v>Lucas Martins</v>
      </c>
      <c r="F30" s="153"/>
      <c r="G30" s="153" t="e">
        <f>_xlfn.CONCAT('Consolidado-Eletronorte'!#REF!,"_",ROW('Consolidado-Eletronorte'!#REF!)-ROW('Consolidado-Eletronorte'!$G$18))</f>
        <v>#REF!</v>
      </c>
      <c r="H30" s="154" t="s">
        <v>506</v>
      </c>
      <c r="I30" s="155" t="s">
        <v>507</v>
      </c>
      <c r="J30" s="154" t="s">
        <v>508</v>
      </c>
      <c r="K30" s="155" t="s">
        <v>1039</v>
      </c>
      <c r="L30" s="155" t="s">
        <v>1040</v>
      </c>
      <c r="M30" s="155" t="s">
        <v>555</v>
      </c>
      <c r="N30" s="155"/>
      <c r="O30" s="155"/>
      <c r="P30" s="155" t="s">
        <v>612</v>
      </c>
      <c r="Q30" s="156" t="s">
        <v>223</v>
      </c>
      <c r="R30" s="156" t="s">
        <v>647</v>
      </c>
      <c r="S30" s="155" t="s">
        <v>210</v>
      </c>
      <c r="T30" s="229">
        <v>0</v>
      </c>
      <c r="U30" s="229">
        <v>0</v>
      </c>
      <c r="V30" s="229">
        <v>0</v>
      </c>
      <c r="W30" s="229">
        <v>0</v>
      </c>
      <c r="X30" s="229">
        <v>300000</v>
      </c>
      <c r="Y30" s="229">
        <v>0</v>
      </c>
      <c r="Z30" s="229">
        <v>0</v>
      </c>
      <c r="AA30" s="229">
        <v>500000</v>
      </c>
      <c r="AB30" s="229">
        <v>0</v>
      </c>
      <c r="AC30" s="229">
        <v>0</v>
      </c>
      <c r="AD30" s="229">
        <v>1500000</v>
      </c>
      <c r="AE30" s="229">
        <v>0</v>
      </c>
      <c r="AF30" s="229">
        <v>2300000</v>
      </c>
      <c r="AG30" s="229">
        <v>3200000</v>
      </c>
      <c r="AH30" s="229">
        <v>0</v>
      </c>
      <c r="AI30" s="229">
        <v>0</v>
      </c>
      <c r="AJ30" s="229">
        <v>0</v>
      </c>
      <c r="AK30" s="229">
        <v>5500000</v>
      </c>
      <c r="AL30" s="229">
        <v>0</v>
      </c>
      <c r="AM30" s="229">
        <v>0</v>
      </c>
      <c r="AN30" s="229">
        <v>0</v>
      </c>
      <c r="AO30" s="229">
        <v>0</v>
      </c>
      <c r="AP30" s="229">
        <v>0</v>
      </c>
      <c r="AQ30" s="229">
        <v>5500000</v>
      </c>
      <c r="AR30" s="2">
        <v>89</v>
      </c>
      <c r="AS30" s="2" t="s">
        <v>224</v>
      </c>
      <c r="AT30" s="2" t="s">
        <v>1601</v>
      </c>
      <c r="AU30" s="2" t="s">
        <v>648</v>
      </c>
      <c r="AV30" s="2">
        <v>0</v>
      </c>
      <c r="AW30" s="2" t="s">
        <v>1810</v>
      </c>
      <c r="AZ30" s="2" t="str">
        <f>_xlfn.XLOOKUP(Tabela98[[#This Row],[Descrição do projeto]],[3]Geração!$G:$G,[3]Geração!$F:$F,,0,1)</f>
        <v>Naim Damasceno Campos</v>
      </c>
    </row>
    <row r="31" spans="1:52" ht="24.75" hidden="1" customHeight="1" x14ac:dyDescent="0.35">
      <c r="A31" s="150"/>
      <c r="B31" s="151" t="e" cm="1">
        <f t="array" ref="B31">AND(ISTEXT('Consolidado-Eletronorte'!#REF!),SUM('Consolidado-Eletronorte'!#REF!)&gt;0)</f>
        <v>#REF!</v>
      </c>
      <c r="C31" s="152" t="str">
        <f t="shared" ca="1" si="0"/>
        <v>Capex Orcamentário_PE2026_2030_red_35_porcentoR3_consulta.xlsx</v>
      </c>
      <c r="D31" s="113" t="str">
        <f t="shared" si="1"/>
        <v>COO</v>
      </c>
      <c r="E31" s="113" t="str">
        <f t="shared" si="2"/>
        <v>Lucas Martins</v>
      </c>
      <c r="F31" s="153"/>
      <c r="G31" s="153" t="e">
        <f>_xlfn.CONCAT('Consolidado-Eletronorte'!#REF!,"_",ROW('Consolidado-Eletronorte'!#REF!)-ROW('Consolidado-Eletronorte'!$G$18))</f>
        <v>#REF!</v>
      </c>
      <c r="H31" s="154" t="s">
        <v>506</v>
      </c>
      <c r="I31" s="155" t="s">
        <v>507</v>
      </c>
      <c r="J31" s="154" t="s">
        <v>508</v>
      </c>
      <c r="K31" s="155" t="s">
        <v>1039</v>
      </c>
      <c r="L31" s="155" t="s">
        <v>622</v>
      </c>
      <c r="M31" s="155" t="s">
        <v>623</v>
      </c>
      <c r="N31" s="155"/>
      <c r="O31" s="155"/>
      <c r="P31" s="155" t="s">
        <v>617</v>
      </c>
      <c r="Q31" s="156" t="s">
        <v>260</v>
      </c>
      <c r="R31" s="156" t="s">
        <v>625</v>
      </c>
      <c r="S31" s="155" t="s">
        <v>229</v>
      </c>
      <c r="T31" s="229">
        <v>0</v>
      </c>
      <c r="U31" s="229">
        <v>0</v>
      </c>
      <c r="V31" s="229">
        <v>565500</v>
      </c>
      <c r="W31" s="229">
        <v>0</v>
      </c>
      <c r="X31" s="229">
        <v>0</v>
      </c>
      <c r="Y31" s="229">
        <v>565500</v>
      </c>
      <c r="Z31" s="229">
        <v>0</v>
      </c>
      <c r="AA31" s="229">
        <v>0</v>
      </c>
      <c r="AB31" s="229">
        <v>565500</v>
      </c>
      <c r="AC31" s="229">
        <v>0</v>
      </c>
      <c r="AD31" s="229">
        <v>0</v>
      </c>
      <c r="AE31" s="229">
        <v>565500</v>
      </c>
      <c r="AF31" s="229">
        <v>2262000</v>
      </c>
      <c r="AG31" s="229">
        <v>2790000</v>
      </c>
      <c r="AH31" s="229">
        <v>678000</v>
      </c>
      <c r="AI31" s="229">
        <v>0</v>
      </c>
      <c r="AJ31" s="229">
        <v>0</v>
      </c>
      <c r="AK31" s="229">
        <v>5730000</v>
      </c>
      <c r="AL31" s="229">
        <v>0</v>
      </c>
      <c r="AM31" s="229">
        <v>0</v>
      </c>
      <c r="AN31" s="229">
        <v>0</v>
      </c>
      <c r="AO31" s="229">
        <v>0</v>
      </c>
      <c r="AP31" s="229">
        <v>0</v>
      </c>
      <c r="AQ31" s="229">
        <v>5730000</v>
      </c>
      <c r="AR31" s="2">
        <v>119</v>
      </c>
      <c r="AS31" s="2" t="s">
        <v>261</v>
      </c>
      <c r="AT31" s="2">
        <v>2025</v>
      </c>
      <c r="AU31" s="2" t="s">
        <v>626</v>
      </c>
      <c r="AV31" s="2" t="s">
        <v>627</v>
      </c>
      <c r="AW31" s="2" t="s">
        <v>1810</v>
      </c>
      <c r="AZ31" s="2" t="e">
        <f>_xlfn.XLOOKUP(Tabela98[[#This Row],[Descrição do projeto]],[3]Geração!$G:$G,[3]Geração!$F:$F,,0,1)</f>
        <v>#N/A</v>
      </c>
    </row>
    <row r="32" spans="1:52" ht="24.75" customHeight="1" x14ac:dyDescent="0.35">
      <c r="A32" s="150"/>
      <c r="B32" s="151" t="e" cm="1">
        <f t="array" ref="B32">AND(ISTEXT('Consolidado-Eletronorte'!#REF!),SUM('Consolidado-Eletronorte'!#REF!)&gt;0)</f>
        <v>#REF!</v>
      </c>
      <c r="C32" s="152" t="str">
        <f t="shared" ca="1" si="0"/>
        <v>Capex Orcamentário_PE2026_2030_red_35_porcentoR3_consulta.xlsx</v>
      </c>
      <c r="D32" s="113" t="str">
        <f t="shared" si="1"/>
        <v>COO</v>
      </c>
      <c r="E32" s="113" t="str">
        <f t="shared" si="2"/>
        <v>Lucas Martins</v>
      </c>
      <c r="F32" s="153"/>
      <c r="G32" s="153" t="e">
        <f>_xlfn.CONCAT('Consolidado-Eletronorte'!#REF!,"_",ROW('Consolidado-Eletronorte'!#REF!)-ROW('Consolidado-Eletronorte'!$G$18))</f>
        <v>#REF!</v>
      </c>
      <c r="H32" s="154" t="s">
        <v>506</v>
      </c>
      <c r="I32" s="155" t="s">
        <v>507</v>
      </c>
      <c r="J32" s="154" t="s">
        <v>508</v>
      </c>
      <c r="K32" s="155" t="s">
        <v>1039</v>
      </c>
      <c r="L32" s="155" t="s">
        <v>1040</v>
      </c>
      <c r="M32" s="155" t="s">
        <v>555</v>
      </c>
      <c r="N32" s="155"/>
      <c r="O32" s="155"/>
      <c r="P32" s="155" t="s">
        <v>511</v>
      </c>
      <c r="Q32" s="156" t="s">
        <v>394</v>
      </c>
      <c r="R32" s="156" t="s">
        <v>676</v>
      </c>
      <c r="S32" s="155" t="s">
        <v>319</v>
      </c>
      <c r="T32" s="229">
        <v>0</v>
      </c>
      <c r="U32" s="229">
        <v>0</v>
      </c>
      <c r="V32" s="229">
        <v>0</v>
      </c>
      <c r="W32" s="229">
        <v>0</v>
      </c>
      <c r="X32" s="229">
        <v>0</v>
      </c>
      <c r="Y32" s="229">
        <v>0</v>
      </c>
      <c r="Z32" s="229">
        <v>0</v>
      </c>
      <c r="AA32" s="229">
        <v>0</v>
      </c>
      <c r="AB32" s="229">
        <v>0</v>
      </c>
      <c r="AC32" s="229">
        <v>0</v>
      </c>
      <c r="AD32" s="229">
        <v>0</v>
      </c>
      <c r="AE32" s="229">
        <v>0</v>
      </c>
      <c r="AF32" s="229">
        <v>0</v>
      </c>
      <c r="AG32" s="229">
        <v>3000000</v>
      </c>
      <c r="AH32" s="229">
        <v>2500000</v>
      </c>
      <c r="AI32" s="229">
        <v>0</v>
      </c>
      <c r="AJ32" s="229">
        <v>0</v>
      </c>
      <c r="AK32" s="229">
        <v>5500000</v>
      </c>
      <c r="AL32" s="229">
        <v>0</v>
      </c>
      <c r="AM32" s="229">
        <v>0</v>
      </c>
      <c r="AN32" s="229">
        <v>0</v>
      </c>
      <c r="AO32" s="229">
        <v>0</v>
      </c>
      <c r="AP32" s="229">
        <v>0</v>
      </c>
      <c r="AQ32" s="229">
        <v>5500000</v>
      </c>
      <c r="AR32" s="2">
        <v>115</v>
      </c>
      <c r="AS32" s="2" t="s">
        <v>341</v>
      </c>
      <c r="AT32" s="2">
        <v>2025</v>
      </c>
      <c r="AU32" s="2" t="s">
        <v>677</v>
      </c>
      <c r="AV32" s="2" t="s">
        <v>678</v>
      </c>
      <c r="AW32" s="2" t="s">
        <v>1810</v>
      </c>
      <c r="AZ32" s="2" t="str">
        <f>_xlfn.XLOOKUP(Tabela98[[#This Row],[Descrição do projeto]],[3]Geração!$G:$G,[3]Geração!$F:$F,,0,1)</f>
        <v>Gilton Carlos De Andrade Furtado</v>
      </c>
    </row>
    <row r="33" spans="1:52" ht="24.75" customHeight="1" x14ac:dyDescent="0.35">
      <c r="A33" s="150"/>
      <c r="B33" s="151" t="e" cm="1">
        <f t="array" ref="B33">AND(ISTEXT('Consolidado-Eletronorte'!#REF!),SUM('Consolidado-Eletronorte'!#REF!)&gt;0)</f>
        <v>#REF!</v>
      </c>
      <c r="C33" s="152" t="str">
        <f t="shared" ca="1" si="0"/>
        <v>Capex Orcamentário_PE2026_2030_red_35_porcentoR3_consulta.xlsx</v>
      </c>
      <c r="D33" s="113" t="str">
        <f t="shared" si="1"/>
        <v>COO</v>
      </c>
      <c r="E33" s="113" t="str">
        <f t="shared" si="2"/>
        <v>Lucas Martins</v>
      </c>
      <c r="F33" s="153"/>
      <c r="G33" s="153" t="e">
        <f>_xlfn.CONCAT('Consolidado-Eletronorte'!#REF!,"_",ROW('Consolidado-Eletronorte'!#REF!)-ROW('Consolidado-Eletronorte'!$G$18))</f>
        <v>#REF!</v>
      </c>
      <c r="H33" s="155" t="s">
        <v>506</v>
      </c>
      <c r="I33" s="155" t="s">
        <v>507</v>
      </c>
      <c r="J33" s="154" t="s">
        <v>508</v>
      </c>
      <c r="K33" s="155" t="s">
        <v>1039</v>
      </c>
      <c r="L33" s="155" t="s">
        <v>1040</v>
      </c>
      <c r="M33" s="155" t="s">
        <v>685</v>
      </c>
      <c r="N33" s="155"/>
      <c r="O33" s="155"/>
      <c r="P33" s="155" t="s">
        <v>511</v>
      </c>
      <c r="Q33" s="156" t="s">
        <v>348</v>
      </c>
      <c r="R33" s="156" t="s">
        <v>686</v>
      </c>
      <c r="S33" s="155" t="s">
        <v>319</v>
      </c>
      <c r="T33" s="229">
        <v>0</v>
      </c>
      <c r="U33" s="229">
        <v>0</v>
      </c>
      <c r="V33" s="229">
        <v>300000</v>
      </c>
      <c r="W33" s="229">
        <v>0</v>
      </c>
      <c r="X33" s="229">
        <v>0</v>
      </c>
      <c r="Y33" s="229">
        <v>300000</v>
      </c>
      <c r="Z33" s="229">
        <v>0</v>
      </c>
      <c r="AA33" s="229">
        <v>400000</v>
      </c>
      <c r="AB33" s="229">
        <v>0</v>
      </c>
      <c r="AC33" s="229">
        <v>0</v>
      </c>
      <c r="AD33" s="229">
        <v>300000</v>
      </c>
      <c r="AE33" s="229">
        <v>0</v>
      </c>
      <c r="AF33" s="229">
        <v>1300000</v>
      </c>
      <c r="AG33" s="229">
        <v>1300000</v>
      </c>
      <c r="AH33" s="229">
        <v>1950000</v>
      </c>
      <c r="AI33" s="229">
        <v>0</v>
      </c>
      <c r="AJ33" s="229">
        <v>0</v>
      </c>
      <c r="AK33" s="229">
        <v>4550000</v>
      </c>
      <c r="AL33" s="229">
        <v>0</v>
      </c>
      <c r="AM33" s="229">
        <v>0</v>
      </c>
      <c r="AN33" s="229">
        <v>0</v>
      </c>
      <c r="AO33" s="229">
        <v>0</v>
      </c>
      <c r="AP33" s="229">
        <v>0</v>
      </c>
      <c r="AQ33" s="229">
        <v>4550000</v>
      </c>
      <c r="AR33" s="2">
        <v>17</v>
      </c>
      <c r="AS33" s="208" t="s">
        <v>1811</v>
      </c>
      <c r="AT33" s="2">
        <v>2025</v>
      </c>
      <c r="AU33" s="208" t="s">
        <v>688</v>
      </c>
      <c r="AV33" t="s">
        <v>689</v>
      </c>
      <c r="AW33" s="2" t="s">
        <v>1803</v>
      </c>
      <c r="AZ33" s="2" t="str">
        <f>_xlfn.XLOOKUP(Tabela98[[#This Row],[Descrição do projeto]],[3]Geração!$G:$G,[3]Geração!$F:$F,,0,1)</f>
        <v>Frederico Rodolfo Parente Doerner</v>
      </c>
    </row>
    <row r="34" spans="1:52" ht="24.75" customHeight="1" x14ac:dyDescent="0.35">
      <c r="A34" s="150"/>
      <c r="B34" s="151" t="e" cm="1">
        <f t="array" ref="B34">AND(ISTEXT('Consolidado-Eletronorte'!#REF!),SUM('Consolidado-Eletronorte'!#REF!)&gt;0)</f>
        <v>#REF!</v>
      </c>
      <c r="C34" s="152" t="str">
        <f t="shared" ca="1" si="0"/>
        <v>Capex Orcamentário_PE2026_2030_red_35_porcentoR3_consulta.xlsx</v>
      </c>
      <c r="D34" s="113" t="str">
        <f t="shared" si="1"/>
        <v>COO</v>
      </c>
      <c r="E34" s="113" t="str">
        <f t="shared" si="2"/>
        <v>Lucas Martins</v>
      </c>
      <c r="F34" s="153"/>
      <c r="G34" s="153" t="e">
        <f>_xlfn.CONCAT('Consolidado-Eletronorte'!#REF!,"_",ROW('Consolidado-Eletronorte'!#REF!)-ROW('Consolidado-Eletronorte'!$G$18))</f>
        <v>#REF!</v>
      </c>
      <c r="H34" s="154" t="s">
        <v>506</v>
      </c>
      <c r="I34" s="155" t="s">
        <v>507</v>
      </c>
      <c r="J34" s="154" t="s">
        <v>508</v>
      </c>
      <c r="K34" s="155" t="s">
        <v>1039</v>
      </c>
      <c r="L34" s="155" t="s">
        <v>1040</v>
      </c>
      <c r="M34" s="155" t="s">
        <v>577</v>
      </c>
      <c r="N34" s="155"/>
      <c r="O34" s="155"/>
      <c r="P34" s="155" t="s">
        <v>511</v>
      </c>
      <c r="Q34" s="156" t="s">
        <v>361</v>
      </c>
      <c r="R34" s="156" t="s">
        <v>659</v>
      </c>
      <c r="S34" s="155" t="s">
        <v>319</v>
      </c>
      <c r="T34" s="229">
        <v>0</v>
      </c>
      <c r="U34" s="229">
        <v>0</v>
      </c>
      <c r="V34" s="229">
        <v>0</v>
      </c>
      <c r="W34" s="229">
        <v>0</v>
      </c>
      <c r="X34" s="229">
        <v>0</v>
      </c>
      <c r="Y34" s="229">
        <v>500000</v>
      </c>
      <c r="Z34" s="229">
        <v>0</v>
      </c>
      <c r="AA34" s="229">
        <v>0</v>
      </c>
      <c r="AB34" s="229">
        <v>0</v>
      </c>
      <c r="AC34" s="229">
        <v>1500000</v>
      </c>
      <c r="AD34" s="229">
        <v>0</v>
      </c>
      <c r="AE34" s="229">
        <v>0</v>
      </c>
      <c r="AF34" s="229">
        <v>2000000</v>
      </c>
      <c r="AG34" s="229">
        <v>2500000</v>
      </c>
      <c r="AH34" s="229">
        <v>0</v>
      </c>
      <c r="AI34" s="229">
        <v>0</v>
      </c>
      <c r="AJ34" s="229">
        <v>0</v>
      </c>
      <c r="AK34" s="229">
        <v>4500000</v>
      </c>
      <c r="AL34" s="229">
        <v>0</v>
      </c>
      <c r="AM34" s="229">
        <v>0</v>
      </c>
      <c r="AN34" s="229">
        <v>0</v>
      </c>
      <c r="AO34" s="229">
        <v>0</v>
      </c>
      <c r="AP34" s="229">
        <v>0</v>
      </c>
      <c r="AQ34" s="229">
        <v>4500000</v>
      </c>
      <c r="AR34" s="2">
        <v>101</v>
      </c>
      <c r="AS34" s="2" t="s">
        <v>1811</v>
      </c>
      <c r="AT34" s="2" t="s">
        <v>1601</v>
      </c>
      <c r="AU34" s="2" t="s">
        <v>660</v>
      </c>
      <c r="AV34" s="2">
        <v>0</v>
      </c>
      <c r="AW34" s="2" t="s">
        <v>1810</v>
      </c>
      <c r="AZ34" s="2" t="str">
        <f>_xlfn.XLOOKUP(Tabela98[[#This Row],[Descrição do projeto]],[3]Geração!$G:$G,[3]Geração!$F:$F,,0,1)</f>
        <v>Frederico Rodolfo Parente Doerner</v>
      </c>
    </row>
    <row r="35" spans="1:52" ht="24.75" customHeight="1" x14ac:dyDescent="0.35">
      <c r="A35" s="150"/>
      <c r="B35" s="151" t="e" cm="1">
        <f t="array" ref="B35">AND(ISTEXT('Consolidado-Eletronorte'!#REF!),SUM('Consolidado-Eletronorte'!#REF!)&gt;0)</f>
        <v>#REF!</v>
      </c>
      <c r="C35" s="152" t="str">
        <f t="shared" ca="1" si="0"/>
        <v>Capex Orcamentário_PE2026_2030_red_35_porcentoR3_consulta.xlsx</v>
      </c>
      <c r="D35" s="113" t="str">
        <f t="shared" si="1"/>
        <v>COO</v>
      </c>
      <c r="E35" s="113" t="str">
        <f t="shared" si="2"/>
        <v>Lucas Martins</v>
      </c>
      <c r="F35" s="153"/>
      <c r="G35" s="153" t="e">
        <f>_xlfn.CONCAT('Consolidado-Eletronorte'!#REF!,"_",ROW('Consolidado-Eletronorte'!#REF!)-ROW('Consolidado-Eletronorte'!$G$18))</f>
        <v>#REF!</v>
      </c>
      <c r="H35" s="154" t="s">
        <v>506</v>
      </c>
      <c r="I35" s="155" t="s">
        <v>507</v>
      </c>
      <c r="J35" s="154" t="s">
        <v>508</v>
      </c>
      <c r="K35" s="155" t="s">
        <v>1039</v>
      </c>
      <c r="L35" s="155" t="s">
        <v>1040</v>
      </c>
      <c r="M35" s="155" t="s">
        <v>555</v>
      </c>
      <c r="N35" s="155"/>
      <c r="O35" s="155"/>
      <c r="P35" s="155" t="s">
        <v>511</v>
      </c>
      <c r="Q35" s="156" t="s">
        <v>375</v>
      </c>
      <c r="R35" s="156" t="s">
        <v>663</v>
      </c>
      <c r="S35" s="155" t="s">
        <v>319</v>
      </c>
      <c r="T35" s="229">
        <v>0</v>
      </c>
      <c r="U35" s="229">
        <v>0</v>
      </c>
      <c r="V35" s="229">
        <v>0</v>
      </c>
      <c r="W35" s="229">
        <v>0</v>
      </c>
      <c r="X35" s="229">
        <v>0</v>
      </c>
      <c r="Y35" s="229">
        <v>0</v>
      </c>
      <c r="Z35" s="229">
        <v>0</v>
      </c>
      <c r="AA35" s="229">
        <v>500000</v>
      </c>
      <c r="AB35" s="229">
        <v>0</v>
      </c>
      <c r="AC35" s="229">
        <v>1500000</v>
      </c>
      <c r="AD35" s="229">
        <v>0</v>
      </c>
      <c r="AE35" s="229">
        <v>0</v>
      </c>
      <c r="AF35" s="229">
        <v>2000000</v>
      </c>
      <c r="AG35" s="229">
        <v>2500000</v>
      </c>
      <c r="AH35" s="229">
        <v>0</v>
      </c>
      <c r="AI35" s="229">
        <v>0</v>
      </c>
      <c r="AJ35" s="229">
        <v>0</v>
      </c>
      <c r="AK35" s="229">
        <v>4500000</v>
      </c>
      <c r="AL35" s="229">
        <v>0</v>
      </c>
      <c r="AM35" s="229">
        <v>0</v>
      </c>
      <c r="AN35" s="229">
        <v>0</v>
      </c>
      <c r="AO35" s="229">
        <v>0</v>
      </c>
      <c r="AP35" s="229">
        <v>0</v>
      </c>
      <c r="AQ35" s="229">
        <v>4500000</v>
      </c>
      <c r="AR35" s="2">
        <v>114</v>
      </c>
      <c r="AS35" s="2" t="s">
        <v>1811</v>
      </c>
      <c r="AT35" s="2">
        <v>2025</v>
      </c>
      <c r="AU35" s="2" t="s">
        <v>664</v>
      </c>
      <c r="AV35" s="2" t="s">
        <v>665</v>
      </c>
      <c r="AW35" s="2" t="s">
        <v>1810</v>
      </c>
      <c r="AZ35" s="2" t="str">
        <f>_xlfn.XLOOKUP(Tabela98[[#This Row],[Descrição do projeto]],[3]Geração!$G:$G,[3]Geração!$F:$F,,0,1)</f>
        <v>Gilton Carlos De Andrade Furtado</v>
      </c>
    </row>
    <row r="36" spans="1:52" ht="24.75" customHeight="1" x14ac:dyDescent="0.35">
      <c r="A36" s="272"/>
      <c r="B36" s="151" t="e" cm="1">
        <f t="array" ref="B36">AND(ISTEXT('Consolidado-Eletronorte'!#REF!),SUM('Consolidado-Eletronorte'!#REF!)&gt;0)</f>
        <v>#REF!</v>
      </c>
      <c r="C36" s="273" t="str">
        <f t="shared" ca="1" si="0"/>
        <v>Capex Orcamentário_PE2026_2030_red_35_porcentoR3_consulta.xlsx</v>
      </c>
      <c r="D36" s="274" t="str">
        <f t="shared" si="1"/>
        <v>COO</v>
      </c>
      <c r="E36" s="274" t="str">
        <f t="shared" si="2"/>
        <v>Lucas Martins</v>
      </c>
      <c r="F36" s="275"/>
      <c r="G36" s="275" t="e">
        <f>_xlfn.CONCAT('Consolidado-Eletronorte'!#REF!,"_",ROW('Consolidado-Eletronorte'!#REF!)-ROW('Consolidado-Eletronorte'!$G$18))</f>
        <v>#REF!</v>
      </c>
      <c r="H36" s="276" t="s">
        <v>506</v>
      </c>
      <c r="I36" s="276" t="s">
        <v>507</v>
      </c>
      <c r="J36" s="277" t="s">
        <v>508</v>
      </c>
      <c r="K36" s="276" t="s">
        <v>1039</v>
      </c>
      <c r="L36" s="276" t="s">
        <v>1040</v>
      </c>
      <c r="M36" s="276" t="s">
        <v>555</v>
      </c>
      <c r="N36" s="276"/>
      <c r="O36" s="276"/>
      <c r="P36" s="276" t="s">
        <v>511</v>
      </c>
      <c r="Q36" s="278" t="s">
        <v>346</v>
      </c>
      <c r="R36" s="278" t="s">
        <v>682</v>
      </c>
      <c r="S36" s="276" t="s">
        <v>319</v>
      </c>
      <c r="T36" s="229">
        <v>166666.66666666666</v>
      </c>
      <c r="U36" s="229">
        <v>166666.66666666666</v>
      </c>
      <c r="V36" s="229">
        <v>166666.66666666666</v>
      </c>
      <c r="W36" s="229">
        <v>166666.66666666666</v>
      </c>
      <c r="X36" s="229">
        <v>166666.66666666666</v>
      </c>
      <c r="Y36" s="229">
        <v>166666.66666666666</v>
      </c>
      <c r="Z36" s="229">
        <v>166666.66666666666</v>
      </c>
      <c r="AA36" s="229">
        <v>166666.66666666666</v>
      </c>
      <c r="AB36" s="229">
        <v>166666.66666666666</v>
      </c>
      <c r="AC36" s="229">
        <v>166666.66666666666</v>
      </c>
      <c r="AD36" s="229">
        <v>166666.66666666666</v>
      </c>
      <c r="AE36" s="229">
        <v>166666.66666666666</v>
      </c>
      <c r="AF36" s="229">
        <v>2000000.0000000002</v>
      </c>
      <c r="AG36" s="229">
        <v>2000000</v>
      </c>
      <c r="AH36" s="229">
        <v>0</v>
      </c>
      <c r="AI36" s="229">
        <v>0</v>
      </c>
      <c r="AJ36" s="229">
        <v>0</v>
      </c>
      <c r="AK36" s="229">
        <v>4000000</v>
      </c>
      <c r="AL36" s="229">
        <v>0</v>
      </c>
      <c r="AM36" s="229">
        <v>0</v>
      </c>
      <c r="AN36" s="229">
        <v>0</v>
      </c>
      <c r="AO36" s="229">
        <v>0</v>
      </c>
      <c r="AP36" s="229">
        <v>0</v>
      </c>
      <c r="AQ36" s="229">
        <v>4000000</v>
      </c>
      <c r="AR36" s="2">
        <v>34</v>
      </c>
      <c r="AS36" s="2" t="s">
        <v>341</v>
      </c>
      <c r="AT36" s="2">
        <v>2025</v>
      </c>
      <c r="AU36" s="2" t="s">
        <v>683</v>
      </c>
      <c r="AV36" s="2" t="s">
        <v>684</v>
      </c>
      <c r="AW36" s="2" t="s">
        <v>1810</v>
      </c>
      <c r="AZ36" s="2" t="str">
        <f>_xlfn.XLOOKUP(Tabela98[[#This Row],[Descrição do projeto]],[3]Geração!$G:$G,[3]Geração!$F:$F,,0,1)</f>
        <v>Gilton Carlos De Andrade Furtado</v>
      </c>
    </row>
    <row r="37" spans="1:52" ht="24.75" customHeight="1" x14ac:dyDescent="0.35">
      <c r="A37" s="272"/>
      <c r="B37" s="151" t="e" cm="1">
        <f t="array" ref="B37">AND(ISTEXT('Consolidado-Eletronorte'!#REF!),SUM('Consolidado-Eletronorte'!#REF!)&gt;0)</f>
        <v>#REF!</v>
      </c>
      <c r="C37" s="273" t="str">
        <f t="shared" ca="1" si="0"/>
        <v>Capex Orcamentário_PE2026_2030_red_35_porcentoR3_consulta.xlsx</v>
      </c>
      <c r="D37" s="274" t="str">
        <f t="shared" si="1"/>
        <v>COO</v>
      </c>
      <c r="E37" s="274" t="str">
        <f t="shared" si="2"/>
        <v>Lucas Martins</v>
      </c>
      <c r="F37" s="275"/>
      <c r="G37" s="275" t="e">
        <f>_xlfn.CONCAT('Consolidado-Eletronorte'!#REF!,"_",ROW('Consolidado-Eletronorte'!#REF!)-ROW('Consolidado-Eletronorte'!$G$18))</f>
        <v>#REF!</v>
      </c>
      <c r="H37" s="276" t="s">
        <v>506</v>
      </c>
      <c r="I37" s="276" t="s">
        <v>507</v>
      </c>
      <c r="J37" s="277" t="s">
        <v>508</v>
      </c>
      <c r="K37" s="276" t="s">
        <v>1039</v>
      </c>
      <c r="L37" s="276" t="s">
        <v>1799</v>
      </c>
      <c r="M37" s="276" t="s">
        <v>577</v>
      </c>
      <c r="N37" s="276"/>
      <c r="O37" s="276"/>
      <c r="P37" s="276" t="s">
        <v>612</v>
      </c>
      <c r="Q37" s="278" t="s">
        <v>213</v>
      </c>
      <c r="R37" s="278" t="s">
        <v>769</v>
      </c>
      <c r="S37" s="276" t="s">
        <v>210</v>
      </c>
      <c r="T37" s="229">
        <v>0</v>
      </c>
      <c r="U37" s="229">
        <v>0</v>
      </c>
      <c r="V37" s="229">
        <v>0</v>
      </c>
      <c r="W37" s="229">
        <v>0</v>
      </c>
      <c r="X37" s="229">
        <v>0</v>
      </c>
      <c r="Y37" s="229">
        <v>0</v>
      </c>
      <c r="Z37" s="229">
        <v>0</v>
      </c>
      <c r="AA37" s="229">
        <v>500000</v>
      </c>
      <c r="AB37" s="229">
        <v>0</v>
      </c>
      <c r="AC37" s="229">
        <v>0</v>
      </c>
      <c r="AD37" s="229">
        <v>500000</v>
      </c>
      <c r="AE37" s="229">
        <v>0</v>
      </c>
      <c r="AF37" s="229">
        <v>1000000</v>
      </c>
      <c r="AG37" s="229">
        <v>3000000</v>
      </c>
      <c r="AH37" s="229">
        <v>0</v>
      </c>
      <c r="AI37" s="229">
        <v>0</v>
      </c>
      <c r="AJ37" s="229">
        <v>0</v>
      </c>
      <c r="AK37" s="229">
        <v>4000000</v>
      </c>
      <c r="AL37" s="229">
        <v>0</v>
      </c>
      <c r="AM37" s="229">
        <v>0</v>
      </c>
      <c r="AN37" s="229">
        <v>0</v>
      </c>
      <c r="AO37" s="229">
        <v>0</v>
      </c>
      <c r="AP37" s="229">
        <v>0</v>
      </c>
      <c r="AQ37" s="229">
        <v>4000000</v>
      </c>
      <c r="AR37" s="2">
        <v>8</v>
      </c>
      <c r="AS37" s="208" t="s">
        <v>165</v>
      </c>
      <c r="AT37" s="2" t="s">
        <v>1601</v>
      </c>
      <c r="AU37" s="209" t="s">
        <v>770</v>
      </c>
      <c r="AV37" s="2">
        <v>0</v>
      </c>
      <c r="AW37" s="2" t="s">
        <v>1810</v>
      </c>
      <c r="AZ37" s="2" t="str">
        <f>_xlfn.XLOOKUP(Tabela98[[#This Row],[Descrição do projeto]],[3]Geração!$G:$G,[3]Geração!$F:$F,,0,1)</f>
        <v>Klenio Dias Timoteo</v>
      </c>
    </row>
    <row r="38" spans="1:52" ht="24.75" customHeight="1" x14ac:dyDescent="0.35">
      <c r="A38" s="150"/>
      <c r="B38" s="151" t="e" cm="1">
        <f t="array" ref="B38">AND(ISTEXT('Consolidado-Eletronorte'!#REF!),SUM('Consolidado-Eletronorte'!#REF!)&gt;0)</f>
        <v>#REF!</v>
      </c>
      <c r="C38" s="152" t="str">
        <f t="shared" ca="1" si="0"/>
        <v>Capex Orcamentário_PE2026_2030_red_35_porcentoR3_consulta.xlsx</v>
      </c>
      <c r="D38" s="113" t="str">
        <f t="shared" si="1"/>
        <v>COO</v>
      </c>
      <c r="E38" s="113" t="str">
        <f t="shared" si="2"/>
        <v>Lucas Martins</v>
      </c>
      <c r="F38" s="153"/>
      <c r="G38" s="153" t="e">
        <f>_xlfn.CONCAT('Consolidado-Eletronorte'!#REF!,"_",ROW('Consolidado-Eletronorte'!#REF!)-ROW('Consolidado-Eletronorte'!$G$18))</f>
        <v>#REF!</v>
      </c>
      <c r="H38" s="154" t="s">
        <v>506</v>
      </c>
      <c r="I38" s="155" t="s">
        <v>507</v>
      </c>
      <c r="J38" s="154" t="s">
        <v>508</v>
      </c>
      <c r="K38" s="155" t="s">
        <v>1039</v>
      </c>
      <c r="L38" s="155" t="s">
        <v>1040</v>
      </c>
      <c r="M38" s="155" t="s">
        <v>577</v>
      </c>
      <c r="N38" s="155"/>
      <c r="O38" s="155"/>
      <c r="P38" s="155" t="s">
        <v>612</v>
      </c>
      <c r="Q38" s="156" t="s">
        <v>215</v>
      </c>
      <c r="R38" s="156" t="s">
        <v>884</v>
      </c>
      <c r="S38" s="155" t="s">
        <v>210</v>
      </c>
      <c r="T38" s="229">
        <v>0</v>
      </c>
      <c r="U38" s="229">
        <v>0</v>
      </c>
      <c r="V38" s="229">
        <v>0</v>
      </c>
      <c r="W38" s="229">
        <v>0</v>
      </c>
      <c r="X38" s="229">
        <v>0</v>
      </c>
      <c r="Y38" s="229">
        <v>0</v>
      </c>
      <c r="Z38" s="229">
        <v>0</v>
      </c>
      <c r="AA38" s="229">
        <v>0</v>
      </c>
      <c r="AB38" s="229">
        <v>0</v>
      </c>
      <c r="AC38" s="229">
        <v>0</v>
      </c>
      <c r="AD38" s="229">
        <v>0</v>
      </c>
      <c r="AE38" s="229">
        <v>0</v>
      </c>
      <c r="AF38" s="229">
        <v>0</v>
      </c>
      <c r="AG38" s="229">
        <v>0</v>
      </c>
      <c r="AH38" s="229">
        <v>1000000</v>
      </c>
      <c r="AI38" s="229">
        <v>2000000</v>
      </c>
      <c r="AJ38" s="229">
        <v>1000000</v>
      </c>
      <c r="AK38" s="229">
        <v>4000000</v>
      </c>
      <c r="AL38" s="229">
        <v>0</v>
      </c>
      <c r="AM38" s="229">
        <v>0</v>
      </c>
      <c r="AN38" s="229">
        <v>0</v>
      </c>
      <c r="AO38" s="229">
        <v>0</v>
      </c>
      <c r="AP38" s="229">
        <v>0</v>
      </c>
      <c r="AQ38" s="229">
        <v>4000000</v>
      </c>
      <c r="AR38" s="2">
        <v>87</v>
      </c>
      <c r="AS38" s="2" t="s">
        <v>224</v>
      </c>
      <c r="AT38" s="2" t="s">
        <v>1601</v>
      </c>
      <c r="AU38" s="2" t="s">
        <v>885</v>
      </c>
      <c r="AV38" s="2">
        <v>0</v>
      </c>
      <c r="AW38" s="2" t="s">
        <v>1810</v>
      </c>
      <c r="AZ38" s="2" t="str">
        <f>_xlfn.XLOOKUP(Tabela98[[#This Row],[Descrição do projeto]],[3]Geração!$G:$G,[3]Geração!$F:$F,,0,1)</f>
        <v>Frederico Rodolfo Parente Doerner</v>
      </c>
    </row>
    <row r="39" spans="1:52" ht="24.75" customHeight="1" x14ac:dyDescent="0.35">
      <c r="A39" s="150"/>
      <c r="B39" s="151" t="e" cm="1">
        <f t="array" ref="B39">AND(ISTEXT('Consolidado-Eletronorte'!#REF!),SUM('Consolidado-Eletronorte'!#REF!)&gt;0)</f>
        <v>#REF!</v>
      </c>
      <c r="C39" s="152" t="str">
        <f t="shared" ca="1" si="0"/>
        <v>Capex Orcamentário_PE2026_2030_red_35_porcentoR3_consulta.xlsx</v>
      </c>
      <c r="D39" s="113" t="str">
        <f t="shared" si="1"/>
        <v>COO</v>
      </c>
      <c r="E39" s="113" t="str">
        <f t="shared" si="2"/>
        <v>Lucas Martins</v>
      </c>
      <c r="F39" s="153"/>
      <c r="G39" s="153" t="e">
        <f>_xlfn.CONCAT('Consolidado-Eletronorte'!#REF!,"_",ROW('Consolidado-Eletronorte'!#REF!)-ROW('Consolidado-Eletronorte'!$G$18))</f>
        <v>#REF!</v>
      </c>
      <c r="H39" s="154" t="s">
        <v>506</v>
      </c>
      <c r="I39" s="155" t="s">
        <v>507</v>
      </c>
      <c r="J39" s="154" t="s">
        <v>508</v>
      </c>
      <c r="K39" s="155" t="s">
        <v>1039</v>
      </c>
      <c r="L39" s="155" t="s">
        <v>1040</v>
      </c>
      <c r="M39" s="155" t="s">
        <v>577</v>
      </c>
      <c r="N39" s="155"/>
      <c r="O39" s="155"/>
      <c r="P39" s="155" t="s">
        <v>511</v>
      </c>
      <c r="Q39" s="156" t="s">
        <v>363</v>
      </c>
      <c r="R39" s="156" t="s">
        <v>697</v>
      </c>
      <c r="S39" s="155" t="s">
        <v>319</v>
      </c>
      <c r="T39" s="229">
        <v>0</v>
      </c>
      <c r="U39" s="229">
        <v>0</v>
      </c>
      <c r="V39" s="229">
        <v>0</v>
      </c>
      <c r="W39" s="229">
        <v>0</v>
      </c>
      <c r="X39" s="229">
        <v>0</v>
      </c>
      <c r="Y39" s="229">
        <v>0</v>
      </c>
      <c r="Z39" s="229">
        <v>0</v>
      </c>
      <c r="AA39" s="229">
        <v>0</v>
      </c>
      <c r="AB39" s="229">
        <v>0</v>
      </c>
      <c r="AC39" s="229">
        <v>0</v>
      </c>
      <c r="AD39" s="229">
        <v>0</v>
      </c>
      <c r="AE39" s="229">
        <v>0</v>
      </c>
      <c r="AF39" s="229">
        <v>0</v>
      </c>
      <c r="AG39" s="229">
        <v>4000000</v>
      </c>
      <c r="AH39" s="229">
        <v>0</v>
      </c>
      <c r="AI39" s="229">
        <v>0</v>
      </c>
      <c r="AJ39" s="229">
        <v>0</v>
      </c>
      <c r="AK39" s="229">
        <v>4000000</v>
      </c>
      <c r="AL39" s="229">
        <v>0</v>
      </c>
      <c r="AM39" s="229">
        <v>0</v>
      </c>
      <c r="AN39" s="229">
        <v>0</v>
      </c>
      <c r="AO39" s="229">
        <v>0</v>
      </c>
      <c r="AP39" s="229">
        <v>0</v>
      </c>
      <c r="AQ39" s="229">
        <v>4000000</v>
      </c>
      <c r="AR39" s="2">
        <v>100</v>
      </c>
      <c r="AS39" s="2" t="s">
        <v>1811</v>
      </c>
      <c r="AT39" s="2" t="s">
        <v>1601</v>
      </c>
      <c r="AU39" s="2" t="s">
        <v>698</v>
      </c>
      <c r="AV39" s="2">
        <v>0</v>
      </c>
      <c r="AW39" s="2" t="s">
        <v>1810</v>
      </c>
      <c r="AZ39" s="2" t="str">
        <f>_xlfn.XLOOKUP(Tabela98[[#This Row],[Descrição do projeto]],[3]Geração!$G:$G,[3]Geração!$F:$F,,0,1)</f>
        <v>Frederico Rodolfo Parente Doerner</v>
      </c>
    </row>
    <row r="40" spans="1:52" ht="24.75" customHeight="1" x14ac:dyDescent="0.35">
      <c r="A40" s="150"/>
      <c r="B40" s="151" t="e" cm="1">
        <f t="array" ref="B40">AND(ISTEXT('Consolidado-Eletronorte'!#REF!),SUM('Consolidado-Eletronorte'!#REF!)&gt;0)</f>
        <v>#REF!</v>
      </c>
      <c r="C40" s="152" t="str">
        <f t="shared" ca="1" si="0"/>
        <v>Capex Orcamentário_PE2026_2030_red_35_porcentoR3_consulta.xlsx</v>
      </c>
      <c r="D40" s="113" t="str">
        <f t="shared" si="1"/>
        <v>COO</v>
      </c>
      <c r="E40" s="113" t="str">
        <f t="shared" si="2"/>
        <v>Lucas Martins</v>
      </c>
      <c r="F40" s="153"/>
      <c r="G40" s="153" t="e">
        <f>_xlfn.CONCAT('Consolidado-Eletronorte'!#REF!,"_",ROW('Consolidado-Eletronorte'!#REF!)-ROW('Consolidado-Eletronorte'!$G$18))</f>
        <v>#REF!</v>
      </c>
      <c r="H40" s="155" t="s">
        <v>506</v>
      </c>
      <c r="I40" s="155" t="s">
        <v>507</v>
      </c>
      <c r="J40" s="154" t="s">
        <v>508</v>
      </c>
      <c r="K40" s="155" t="s">
        <v>1039</v>
      </c>
      <c r="L40" s="155" t="s">
        <v>1799</v>
      </c>
      <c r="M40" s="155" t="s">
        <v>577</v>
      </c>
      <c r="N40" s="155"/>
      <c r="O40" s="155"/>
      <c r="P40" s="155" t="s">
        <v>617</v>
      </c>
      <c r="Q40" s="156" t="s">
        <v>236</v>
      </c>
      <c r="R40" s="156" t="s">
        <v>655</v>
      </c>
      <c r="S40" s="155" t="s">
        <v>229</v>
      </c>
      <c r="T40" s="229">
        <v>0</v>
      </c>
      <c r="U40" s="229">
        <v>799480.8</v>
      </c>
      <c r="V40" s="229">
        <v>0</v>
      </c>
      <c r="W40" s="229">
        <v>0</v>
      </c>
      <c r="X40" s="229">
        <v>0</v>
      </c>
      <c r="Y40" s="229">
        <v>1199221.2</v>
      </c>
      <c r="Z40" s="229">
        <v>0</v>
      </c>
      <c r="AA40" s="229">
        <v>0</v>
      </c>
      <c r="AB40" s="229">
        <v>0</v>
      </c>
      <c r="AC40" s="229">
        <v>1998702</v>
      </c>
      <c r="AD40" s="229">
        <v>0</v>
      </c>
      <c r="AE40" s="229">
        <v>0</v>
      </c>
      <c r="AF40" s="229">
        <v>3997404</v>
      </c>
      <c r="AG40" s="229">
        <v>0</v>
      </c>
      <c r="AH40" s="229">
        <v>0</v>
      </c>
      <c r="AI40" s="229">
        <v>0</v>
      </c>
      <c r="AJ40" s="229">
        <v>0</v>
      </c>
      <c r="AK40" s="229">
        <v>3997404</v>
      </c>
      <c r="AL40" s="229">
        <v>0</v>
      </c>
      <c r="AM40" s="229">
        <v>0</v>
      </c>
      <c r="AN40" s="229">
        <v>0</v>
      </c>
      <c r="AO40" s="229">
        <v>0</v>
      </c>
      <c r="AP40" s="229">
        <v>0</v>
      </c>
      <c r="AQ40" s="229">
        <v>3997404</v>
      </c>
      <c r="AR40" s="2">
        <v>3</v>
      </c>
      <c r="AS40" s="208" t="s">
        <v>247</v>
      </c>
      <c r="AT40" s="2">
        <v>2025</v>
      </c>
      <c r="AU40" s="2" t="s">
        <v>656</v>
      </c>
      <c r="AV40" s="207" t="s">
        <v>657</v>
      </c>
      <c r="AW40" s="2" t="s">
        <v>1801</v>
      </c>
      <c r="AZ40" s="2" t="str">
        <f>_xlfn.XLOOKUP(Tabela98[[#This Row],[Descrição do projeto]],[3]Geração!$G:$G,[3]Geração!$F:$F,,0,1)</f>
        <v>Klenio Dias Timoteo</v>
      </c>
    </row>
    <row r="41" spans="1:52" ht="24.75" customHeight="1" x14ac:dyDescent="0.35">
      <c r="A41" s="150"/>
      <c r="B41" s="151" t="e" cm="1">
        <f t="array" ref="B41">AND(ISTEXT('Consolidado-Eletronorte'!#REF!),SUM('Consolidado-Eletronorte'!#REF!)&gt;0)</f>
        <v>#REF!</v>
      </c>
      <c r="C41" s="152" t="str">
        <f t="shared" ref="C41:C72" ca="1" si="3">$J$3</f>
        <v>Capex Orcamentário_PE2026_2030_red_35_porcentoR3_consulta.xlsx</v>
      </c>
      <c r="D41" s="113" t="str">
        <f t="shared" ref="D41:D72" si="4">$H$3</f>
        <v>COO</v>
      </c>
      <c r="E41" s="113" t="str">
        <f t="shared" ref="E41:E72" si="5">$H$4</f>
        <v>Lucas Martins</v>
      </c>
      <c r="F41" s="153"/>
      <c r="G41" s="153" t="e">
        <f>_xlfn.CONCAT('Consolidado-Eletronorte'!#REF!,"_",ROW('Consolidado-Eletronorte'!#REF!)-ROW('Consolidado-Eletronorte'!$G$18))</f>
        <v>#REF!</v>
      </c>
      <c r="H41" s="154" t="s">
        <v>506</v>
      </c>
      <c r="I41" s="155" t="s">
        <v>507</v>
      </c>
      <c r="J41" s="154" t="s">
        <v>508</v>
      </c>
      <c r="K41" s="155" t="s">
        <v>1039</v>
      </c>
      <c r="L41" s="155" t="s">
        <v>1040</v>
      </c>
      <c r="M41" s="155" t="s">
        <v>577</v>
      </c>
      <c r="N41" s="155"/>
      <c r="O41" s="155"/>
      <c r="P41" s="155" t="s">
        <v>617</v>
      </c>
      <c r="Q41" s="156" t="s">
        <v>238</v>
      </c>
      <c r="R41" s="156" t="s">
        <v>630</v>
      </c>
      <c r="S41" s="155" t="s">
        <v>229</v>
      </c>
      <c r="T41" s="229">
        <v>0</v>
      </c>
      <c r="U41" s="229">
        <v>0</v>
      </c>
      <c r="V41" s="229">
        <v>0</v>
      </c>
      <c r="W41" s="229">
        <v>0</v>
      </c>
      <c r="X41" s="229">
        <v>0</v>
      </c>
      <c r="Y41" s="229">
        <v>0</v>
      </c>
      <c r="Z41" s="229">
        <v>0</v>
      </c>
      <c r="AA41" s="229">
        <v>0</v>
      </c>
      <c r="AB41" s="229">
        <v>0</v>
      </c>
      <c r="AC41" s="229">
        <v>0</v>
      </c>
      <c r="AD41" s="229">
        <v>0</v>
      </c>
      <c r="AE41" s="229">
        <v>0</v>
      </c>
      <c r="AF41" s="229">
        <v>0</v>
      </c>
      <c r="AG41" s="229">
        <v>3600000</v>
      </c>
      <c r="AH41" s="229">
        <v>0</v>
      </c>
      <c r="AI41" s="229">
        <v>0</v>
      </c>
      <c r="AJ41" s="229">
        <v>0</v>
      </c>
      <c r="AK41" s="229">
        <v>3600000</v>
      </c>
      <c r="AL41" s="229">
        <v>0</v>
      </c>
      <c r="AM41" s="229">
        <v>0</v>
      </c>
      <c r="AN41" s="229">
        <v>0</v>
      </c>
      <c r="AO41" s="229">
        <v>0</v>
      </c>
      <c r="AP41" s="229">
        <v>0</v>
      </c>
      <c r="AQ41" s="229">
        <v>3600000</v>
      </c>
      <c r="AR41" s="2">
        <v>49</v>
      </c>
      <c r="AS41" s="208" t="s">
        <v>247</v>
      </c>
      <c r="AT41" s="208" t="s">
        <v>1601</v>
      </c>
      <c r="AU41" s="2" t="s">
        <v>631</v>
      </c>
      <c r="AV41" s="2">
        <v>0</v>
      </c>
      <c r="AW41" s="2" t="s">
        <v>1810</v>
      </c>
      <c r="AZ41" s="2" t="str">
        <f>_xlfn.XLOOKUP(Tabela98[[#This Row],[Descrição do projeto]],[3]Geração!$G:$G,[3]Geração!$F:$F,,0,1)</f>
        <v>Frederico Rodolfo Parente Doerner</v>
      </c>
    </row>
    <row r="42" spans="1:52" ht="24.75" customHeight="1" x14ac:dyDescent="0.35">
      <c r="A42" s="150"/>
      <c r="B42" s="151" t="e" cm="1">
        <f t="array" ref="B42">AND(ISTEXT('Consolidado-Eletronorte'!#REF!),SUM('Consolidado-Eletronorte'!#REF!)&gt;0)</f>
        <v>#REF!</v>
      </c>
      <c r="C42" s="152" t="str">
        <f t="shared" ca="1" si="3"/>
        <v>Capex Orcamentário_PE2026_2030_red_35_porcentoR3_consulta.xlsx</v>
      </c>
      <c r="D42" s="113" t="str">
        <f t="shared" si="4"/>
        <v>COO</v>
      </c>
      <c r="E42" s="113" t="str">
        <f t="shared" si="5"/>
        <v>Lucas Martins</v>
      </c>
      <c r="F42" s="153"/>
      <c r="G42" s="153" t="e">
        <f>_xlfn.CONCAT('Consolidado-Eletronorte'!#REF!,"_",ROW('Consolidado-Eletronorte'!#REF!)-ROW('Consolidado-Eletronorte'!$G$18))</f>
        <v>#REF!</v>
      </c>
      <c r="H42" s="154" t="s">
        <v>506</v>
      </c>
      <c r="I42" s="155" t="s">
        <v>507</v>
      </c>
      <c r="J42" s="154" t="s">
        <v>508</v>
      </c>
      <c r="K42" s="155" t="s">
        <v>1039</v>
      </c>
      <c r="L42" s="155" t="s">
        <v>1040</v>
      </c>
      <c r="M42" s="155" t="s">
        <v>577</v>
      </c>
      <c r="N42" s="155"/>
      <c r="O42" s="155"/>
      <c r="P42" s="155" t="s">
        <v>587</v>
      </c>
      <c r="Q42" s="156" t="s">
        <v>172</v>
      </c>
      <c r="R42" s="156" t="s">
        <v>849</v>
      </c>
      <c r="S42" s="155" t="s">
        <v>158</v>
      </c>
      <c r="T42" s="229">
        <v>0</v>
      </c>
      <c r="U42" s="229">
        <v>0</v>
      </c>
      <c r="V42" s="229">
        <v>0</v>
      </c>
      <c r="W42" s="229">
        <v>0</v>
      </c>
      <c r="X42" s="229">
        <v>0</v>
      </c>
      <c r="Y42" s="229">
        <v>0</v>
      </c>
      <c r="Z42" s="229">
        <v>0</v>
      </c>
      <c r="AA42" s="229">
        <v>0</v>
      </c>
      <c r="AB42" s="229">
        <v>0</v>
      </c>
      <c r="AC42" s="229">
        <v>0</v>
      </c>
      <c r="AD42" s="229">
        <v>0</v>
      </c>
      <c r="AE42" s="229">
        <v>0</v>
      </c>
      <c r="AF42" s="229">
        <v>0</v>
      </c>
      <c r="AG42" s="229">
        <v>3000000</v>
      </c>
      <c r="AH42" s="229">
        <v>500000</v>
      </c>
      <c r="AI42" s="229">
        <v>0</v>
      </c>
      <c r="AJ42" s="229">
        <v>0</v>
      </c>
      <c r="AK42" s="229">
        <v>3500000</v>
      </c>
      <c r="AL42" s="229">
        <v>0</v>
      </c>
      <c r="AM42" s="229">
        <v>0</v>
      </c>
      <c r="AN42" s="229">
        <v>0</v>
      </c>
      <c r="AO42" s="229">
        <v>0</v>
      </c>
      <c r="AP42" s="229">
        <v>0</v>
      </c>
      <c r="AQ42" s="229">
        <v>3500000</v>
      </c>
      <c r="AR42" s="2">
        <v>74</v>
      </c>
      <c r="AS42" s="208" t="s">
        <v>159</v>
      </c>
      <c r="AT42" s="208" t="s">
        <v>1601</v>
      </c>
      <c r="AU42" s="2" t="s">
        <v>850</v>
      </c>
      <c r="AV42" s="2">
        <v>0</v>
      </c>
      <c r="AW42" s="2" t="s">
        <v>1810</v>
      </c>
      <c r="AZ42" s="2" t="str">
        <f>_xlfn.XLOOKUP(Tabela98[[#This Row],[Descrição do projeto]],[3]Geração!$G:$G,[3]Geração!$F:$F,,0,1)</f>
        <v>Milton Pereira Menezes</v>
      </c>
    </row>
    <row r="43" spans="1:52" ht="24.75" customHeight="1" x14ac:dyDescent="0.35">
      <c r="A43" s="215"/>
      <c r="B43" s="216" t="e" cm="1">
        <f t="array" ref="B43">AND(ISTEXT('Consolidado-Eletronorte'!#REF!),SUM('Consolidado-Eletronorte'!#REF!)&gt;0)</f>
        <v>#REF!</v>
      </c>
      <c r="C43" s="217" t="str">
        <f t="shared" ca="1" si="3"/>
        <v>Capex Orcamentário_PE2026_2030_red_35_porcentoR3_consulta.xlsx</v>
      </c>
      <c r="D43" s="218" t="str">
        <f t="shared" si="4"/>
        <v>COO</v>
      </c>
      <c r="E43" s="218" t="str">
        <f t="shared" si="5"/>
        <v>Lucas Martins</v>
      </c>
      <c r="F43" s="219"/>
      <c r="G43" s="219" t="e">
        <f>_xlfn.CONCAT('Consolidado-Eletronorte'!#REF!,"_",ROW('Consolidado-Eletronorte'!#REF!)-ROW('Consolidado-Eletronorte'!$G$18))</f>
        <v>#REF!</v>
      </c>
      <c r="H43" s="221" t="s">
        <v>506</v>
      </c>
      <c r="I43" s="220" t="s">
        <v>507</v>
      </c>
      <c r="J43" s="221" t="s">
        <v>508</v>
      </c>
      <c r="K43" s="220" t="s">
        <v>1039</v>
      </c>
      <c r="L43" s="220" t="s">
        <v>1040</v>
      </c>
      <c r="M43" s="220" t="s">
        <v>555</v>
      </c>
      <c r="N43" s="220"/>
      <c r="O43" s="220"/>
      <c r="P43" s="155" t="s">
        <v>617</v>
      </c>
      <c r="Q43" s="222" t="s">
        <v>251</v>
      </c>
      <c r="R43" s="222" t="s">
        <v>667</v>
      </c>
      <c r="S43" s="220" t="s">
        <v>229</v>
      </c>
      <c r="T43" s="229">
        <v>0</v>
      </c>
      <c r="U43" s="229">
        <v>0</v>
      </c>
      <c r="V43" s="229">
        <v>0</v>
      </c>
      <c r="W43" s="229">
        <v>0</v>
      </c>
      <c r="X43" s="229">
        <v>1000000</v>
      </c>
      <c r="Y43" s="229">
        <v>0</v>
      </c>
      <c r="Z43" s="229">
        <v>0</v>
      </c>
      <c r="AA43" s="229">
        <v>0</v>
      </c>
      <c r="AB43" s="229">
        <v>1000000</v>
      </c>
      <c r="AC43" s="229">
        <v>0</v>
      </c>
      <c r="AD43" s="229">
        <v>0</v>
      </c>
      <c r="AE43" s="229">
        <v>1000000</v>
      </c>
      <c r="AF43" s="229">
        <v>3000000</v>
      </c>
      <c r="AG43" s="229">
        <v>0</v>
      </c>
      <c r="AH43" s="229">
        <v>0</v>
      </c>
      <c r="AI43" s="229">
        <v>0</v>
      </c>
      <c r="AJ43" s="229">
        <v>0</v>
      </c>
      <c r="AK43" s="229">
        <v>3000000</v>
      </c>
      <c r="AL43" s="229">
        <v>0</v>
      </c>
      <c r="AM43" s="229">
        <v>0</v>
      </c>
      <c r="AN43" s="229">
        <v>0</v>
      </c>
      <c r="AO43" s="229">
        <v>0</v>
      </c>
      <c r="AP43" s="229">
        <v>0</v>
      </c>
      <c r="AQ43" s="229">
        <v>3000000</v>
      </c>
      <c r="AR43" s="2">
        <v>41</v>
      </c>
      <c r="AS43" s="2" t="s">
        <v>247</v>
      </c>
      <c r="AT43" s="2" t="s">
        <v>1601</v>
      </c>
      <c r="AU43" s="2" t="s">
        <v>668</v>
      </c>
      <c r="AV43" s="2">
        <v>0</v>
      </c>
      <c r="AW43" s="2" t="s">
        <v>1810</v>
      </c>
      <c r="AZ43" s="2" t="str">
        <f>_xlfn.XLOOKUP(Tabela98[[#This Row],[Descrição do projeto]],[3]Geração!$G:$G,[3]Geração!$F:$F,,0,1)</f>
        <v>Airton Rego Bentes</v>
      </c>
    </row>
    <row r="44" spans="1:52" ht="24.75" customHeight="1" x14ac:dyDescent="0.35">
      <c r="A44" s="150"/>
      <c r="B44" s="151" t="e" cm="1">
        <f t="array" ref="B44">AND(ISTEXT('Consolidado-Eletronorte'!#REF!),SUM('Consolidado-Eletronorte'!#REF!)&gt;0)</f>
        <v>#REF!</v>
      </c>
      <c r="C44" s="152" t="str">
        <f t="shared" ca="1" si="3"/>
        <v>Capex Orcamentário_PE2026_2030_red_35_porcentoR3_consulta.xlsx</v>
      </c>
      <c r="D44" s="113" t="str">
        <f t="shared" si="4"/>
        <v>COO</v>
      </c>
      <c r="E44" s="113" t="str">
        <f t="shared" si="5"/>
        <v>Lucas Martins</v>
      </c>
      <c r="F44" s="153"/>
      <c r="G44" s="153" t="e">
        <f>_xlfn.CONCAT('Consolidado-Eletronorte'!#REF!,"_",ROW('Consolidado-Eletronorte'!#REF!)-ROW('Consolidado-Eletronorte'!$G$18))</f>
        <v>#REF!</v>
      </c>
      <c r="H44" s="279" t="s">
        <v>506</v>
      </c>
      <c r="I44" s="155" t="s">
        <v>507</v>
      </c>
      <c r="J44" s="154" t="s">
        <v>508</v>
      </c>
      <c r="K44" s="155" t="s">
        <v>1039</v>
      </c>
      <c r="L44" s="155" t="s">
        <v>1040</v>
      </c>
      <c r="M44" s="155" t="s">
        <v>555</v>
      </c>
      <c r="N44" s="155"/>
      <c r="O44" s="155"/>
      <c r="P44" s="155" t="s">
        <v>617</v>
      </c>
      <c r="Q44" s="156" t="s">
        <v>253</v>
      </c>
      <c r="R44" s="156" t="s">
        <v>706</v>
      </c>
      <c r="S44" s="155" t="s">
        <v>229</v>
      </c>
      <c r="T44" s="229">
        <v>0</v>
      </c>
      <c r="U44" s="229">
        <v>0</v>
      </c>
      <c r="V44" s="229">
        <v>0</v>
      </c>
      <c r="W44" s="229">
        <v>0</v>
      </c>
      <c r="X44" s="229">
        <v>0</v>
      </c>
      <c r="Y44" s="229">
        <v>1000000</v>
      </c>
      <c r="Z44" s="229">
        <v>0</v>
      </c>
      <c r="AA44" s="229">
        <v>0</v>
      </c>
      <c r="AB44" s="229">
        <v>0</v>
      </c>
      <c r="AC44" s="229">
        <v>2000000</v>
      </c>
      <c r="AD44" s="229">
        <v>0</v>
      </c>
      <c r="AE44" s="229">
        <v>0</v>
      </c>
      <c r="AF44" s="229">
        <v>3000000</v>
      </c>
      <c r="AG44" s="229">
        <v>0</v>
      </c>
      <c r="AH44" s="229">
        <v>0</v>
      </c>
      <c r="AI44" s="229">
        <v>0</v>
      </c>
      <c r="AJ44" s="229">
        <v>0</v>
      </c>
      <c r="AK44" s="229">
        <v>3000000</v>
      </c>
      <c r="AL44" s="229">
        <v>0</v>
      </c>
      <c r="AM44" s="229">
        <v>0</v>
      </c>
      <c r="AN44" s="229">
        <v>0</v>
      </c>
      <c r="AO44" s="229">
        <v>0</v>
      </c>
      <c r="AP44" s="229">
        <v>0</v>
      </c>
      <c r="AQ44" s="229">
        <v>3000000</v>
      </c>
      <c r="AR44" s="2">
        <v>42</v>
      </c>
      <c r="AS44" s="2" t="s">
        <v>247</v>
      </c>
      <c r="AT44" s="2" t="s">
        <v>1601</v>
      </c>
      <c r="AU44" s="2" t="s">
        <v>707</v>
      </c>
      <c r="AV44" s="2">
        <v>0</v>
      </c>
      <c r="AW44" s="2" t="s">
        <v>1810</v>
      </c>
      <c r="AZ44" s="2" t="str">
        <f>_xlfn.XLOOKUP(Tabela98[[#This Row],[Descrição do projeto]],[3]Geração!$G:$G,[3]Geração!$F:$F,,0,1)</f>
        <v>Airton Rego Bentes</v>
      </c>
    </row>
    <row r="45" spans="1:52" ht="24.75" customHeight="1" x14ac:dyDescent="0.35">
      <c r="A45" s="184"/>
      <c r="B45" s="185" t="e" cm="1">
        <f t="array" ref="B45">AND(ISTEXT('Consolidado-Eletronorte'!#REF!),SUM('Consolidado-Eletronorte'!#REF!)&gt;0)</f>
        <v>#REF!</v>
      </c>
      <c r="C45" s="186" t="str">
        <f t="shared" ca="1" si="3"/>
        <v>Capex Orcamentário_PE2026_2030_red_35_porcentoR3_consulta.xlsx</v>
      </c>
      <c r="D45" s="187" t="str">
        <f t="shared" si="4"/>
        <v>COO</v>
      </c>
      <c r="E45" s="187" t="str">
        <f t="shared" si="5"/>
        <v>Lucas Martins</v>
      </c>
      <c r="F45" s="188"/>
      <c r="G45" s="188" t="e">
        <f>_xlfn.CONCAT('Consolidado-Eletronorte'!#REF!,"_",ROW('Consolidado-Eletronorte'!#REF!)-ROW('Consolidado-Eletronorte'!$G$18))</f>
        <v>#REF!</v>
      </c>
      <c r="H45" s="279" t="s">
        <v>506</v>
      </c>
      <c r="I45" s="189" t="s">
        <v>507</v>
      </c>
      <c r="J45" s="190" t="s">
        <v>508</v>
      </c>
      <c r="K45" s="189" t="s">
        <v>1039</v>
      </c>
      <c r="L45" s="189" t="s">
        <v>1040</v>
      </c>
      <c r="M45" s="189" t="s">
        <v>944</v>
      </c>
      <c r="N45" s="189"/>
      <c r="O45" s="189"/>
      <c r="P45" s="189" t="s">
        <v>511</v>
      </c>
      <c r="Q45" s="191" t="s">
        <v>425</v>
      </c>
      <c r="R45" s="191" t="s">
        <v>947</v>
      </c>
      <c r="S45" s="189" t="s">
        <v>319</v>
      </c>
      <c r="T45" s="229">
        <v>0</v>
      </c>
      <c r="U45" s="229">
        <v>0</v>
      </c>
      <c r="V45" s="229">
        <v>500000</v>
      </c>
      <c r="W45" s="229">
        <v>500000</v>
      </c>
      <c r="X45" s="229">
        <v>500000</v>
      </c>
      <c r="Y45" s="229">
        <v>500000</v>
      </c>
      <c r="Z45" s="229">
        <v>500000</v>
      </c>
      <c r="AA45" s="229">
        <v>500000</v>
      </c>
      <c r="AB45" s="229">
        <v>0</v>
      </c>
      <c r="AC45" s="229">
        <v>0</v>
      </c>
      <c r="AD45" s="229">
        <v>0</v>
      </c>
      <c r="AE45" s="229">
        <v>0</v>
      </c>
      <c r="AF45" s="229">
        <v>3000000</v>
      </c>
      <c r="AG45" s="229">
        <v>0</v>
      </c>
      <c r="AH45" s="229">
        <v>0</v>
      </c>
      <c r="AI45" s="229">
        <v>0</v>
      </c>
      <c r="AJ45" s="229">
        <v>0</v>
      </c>
      <c r="AK45" s="229">
        <v>3000000</v>
      </c>
      <c r="AL45" s="229">
        <v>0</v>
      </c>
      <c r="AM45" s="229">
        <v>0</v>
      </c>
      <c r="AN45" s="229">
        <v>0</v>
      </c>
      <c r="AO45" s="229">
        <v>0</v>
      </c>
      <c r="AP45" s="229">
        <v>0</v>
      </c>
      <c r="AQ45" s="229">
        <v>3000000</v>
      </c>
      <c r="AR45" s="2">
        <v>106</v>
      </c>
      <c r="AS45" s="2" t="s">
        <v>1811</v>
      </c>
      <c r="AT45" s="2">
        <v>2025</v>
      </c>
      <c r="AU45" s="2" t="s">
        <v>948</v>
      </c>
      <c r="AV45" s="2" t="s">
        <v>949</v>
      </c>
      <c r="AW45" s="2" t="s">
        <v>1810</v>
      </c>
      <c r="AZ45" s="2" t="str">
        <f>_xlfn.XLOOKUP(Tabela98[[#This Row],[Descrição do projeto]],[3]Geração!$G:$G,[3]Geração!$F:$F,,0,1)</f>
        <v>Frederico Rodolfo Parente Doerner</v>
      </c>
    </row>
    <row r="46" spans="1:52" ht="24.75" customHeight="1" x14ac:dyDescent="0.35">
      <c r="A46" s="184"/>
      <c r="B46" s="185" t="e" cm="1">
        <f t="array" ref="B46">AND(ISTEXT('Consolidado-Eletronorte'!#REF!),SUM('Consolidado-Eletronorte'!#REF!)&gt;0)</f>
        <v>#REF!</v>
      </c>
      <c r="C46" s="186" t="str">
        <f t="shared" ca="1" si="3"/>
        <v>Capex Orcamentário_PE2026_2030_red_35_porcentoR3_consulta.xlsx</v>
      </c>
      <c r="D46" s="187" t="str">
        <f t="shared" si="4"/>
        <v>COO</v>
      </c>
      <c r="E46" s="187" t="str">
        <f t="shared" si="5"/>
        <v>Lucas Martins</v>
      </c>
      <c r="F46" s="188"/>
      <c r="G46" s="188" t="e">
        <f>_xlfn.CONCAT('Consolidado-Eletronorte'!#REF!,"_",ROW('Consolidado-Eletronorte'!#REF!)-ROW('Consolidado-Eletronorte'!$G$18))</f>
        <v>#REF!</v>
      </c>
      <c r="H46" s="279" t="s">
        <v>506</v>
      </c>
      <c r="I46" s="189" t="s">
        <v>507</v>
      </c>
      <c r="J46" s="190" t="s">
        <v>508</v>
      </c>
      <c r="K46" s="189" t="s">
        <v>1039</v>
      </c>
      <c r="L46" s="189" t="s">
        <v>1040</v>
      </c>
      <c r="M46" s="189" t="s">
        <v>727</v>
      </c>
      <c r="N46" s="189"/>
      <c r="O46" s="189"/>
      <c r="P46" s="189" t="s">
        <v>511</v>
      </c>
      <c r="Q46" s="191" t="s">
        <v>384</v>
      </c>
      <c r="R46" s="191" t="s">
        <v>730</v>
      </c>
      <c r="S46" s="189" t="s">
        <v>319</v>
      </c>
      <c r="T46" s="229">
        <v>0</v>
      </c>
      <c r="U46" s="229">
        <v>0</v>
      </c>
      <c r="V46" s="229">
        <v>0</v>
      </c>
      <c r="W46" s="229">
        <v>900000</v>
      </c>
      <c r="X46" s="229">
        <v>0</v>
      </c>
      <c r="Y46" s="229">
        <v>0</v>
      </c>
      <c r="Z46" s="229">
        <v>0</v>
      </c>
      <c r="AA46" s="229">
        <v>0</v>
      </c>
      <c r="AB46" s="229">
        <v>900000</v>
      </c>
      <c r="AC46" s="229">
        <v>0</v>
      </c>
      <c r="AD46" s="229">
        <v>0</v>
      </c>
      <c r="AE46" s="229">
        <v>0</v>
      </c>
      <c r="AF46" s="229">
        <v>1800000</v>
      </c>
      <c r="AG46" s="229">
        <v>557200</v>
      </c>
      <c r="AH46" s="229">
        <v>0</v>
      </c>
      <c r="AI46" s="229">
        <v>0</v>
      </c>
      <c r="AJ46" s="229">
        <v>0</v>
      </c>
      <c r="AK46" s="229">
        <v>2357200</v>
      </c>
      <c r="AL46" s="229">
        <v>0</v>
      </c>
      <c r="AM46" s="229">
        <v>0</v>
      </c>
      <c r="AN46" s="229">
        <v>0</v>
      </c>
      <c r="AO46" s="229">
        <v>0</v>
      </c>
      <c r="AP46" s="229">
        <v>0</v>
      </c>
      <c r="AQ46" s="229">
        <v>2357200</v>
      </c>
      <c r="AR46" s="2">
        <v>92</v>
      </c>
      <c r="AS46" s="2" t="s">
        <v>1811</v>
      </c>
      <c r="AT46" s="2">
        <v>2025</v>
      </c>
      <c r="AU46" s="2" t="s">
        <v>731</v>
      </c>
      <c r="AV46" s="2">
        <v>0</v>
      </c>
      <c r="AW46" s="2" t="s">
        <v>1810</v>
      </c>
      <c r="AZ46" s="2" t="str">
        <f>_xlfn.XLOOKUP(Tabela98[[#This Row],[Descrição do projeto]],[3]Geração!$G:$G,[3]Geração!$F:$F,,0,1)</f>
        <v>Frederico Rodolfo Parente Doerner</v>
      </c>
    </row>
    <row r="47" spans="1:52" ht="24.75" customHeight="1" x14ac:dyDescent="0.35">
      <c r="A47" s="184"/>
      <c r="B47" s="185" t="e" cm="1">
        <f t="array" ref="B47">AND(ISTEXT('Consolidado-Eletronorte'!#REF!),SUM('Consolidado-Eletronorte'!#REF!)&gt;0)</f>
        <v>#REF!</v>
      </c>
      <c r="C47" s="186" t="str">
        <f t="shared" ca="1" si="3"/>
        <v>Capex Orcamentário_PE2026_2030_red_35_porcentoR3_consulta.xlsx</v>
      </c>
      <c r="D47" s="187" t="str">
        <f t="shared" si="4"/>
        <v>COO</v>
      </c>
      <c r="E47" s="187" t="str">
        <f t="shared" si="5"/>
        <v>Lucas Martins</v>
      </c>
      <c r="F47" s="188"/>
      <c r="G47" s="188" t="e">
        <f>_xlfn.CONCAT('Consolidado-Eletronorte'!#REF!,"_",ROW('Consolidado-Eletronorte'!#REF!)-ROW('Consolidado-Eletronorte'!$G$18))</f>
        <v>#REF!</v>
      </c>
      <c r="H47" s="279" t="s">
        <v>506</v>
      </c>
      <c r="I47" s="189" t="s">
        <v>507</v>
      </c>
      <c r="J47" s="190" t="s">
        <v>508</v>
      </c>
      <c r="K47" s="189" t="s">
        <v>1039</v>
      </c>
      <c r="L47" s="189" t="s">
        <v>1040</v>
      </c>
      <c r="M47" s="189" t="s">
        <v>577</v>
      </c>
      <c r="N47" s="189"/>
      <c r="O47" s="189"/>
      <c r="P47" s="189" t="s">
        <v>617</v>
      </c>
      <c r="Q47" s="191" t="s">
        <v>265</v>
      </c>
      <c r="R47" s="191" t="s">
        <v>709</v>
      </c>
      <c r="S47" s="189" t="s">
        <v>229</v>
      </c>
      <c r="T47" s="229">
        <v>0</v>
      </c>
      <c r="U47" s="229">
        <v>0</v>
      </c>
      <c r="V47" s="229">
        <v>0</v>
      </c>
      <c r="W47" s="229">
        <v>0</v>
      </c>
      <c r="X47" s="229">
        <v>0</v>
      </c>
      <c r="Y47" s="229">
        <v>0</v>
      </c>
      <c r="Z47" s="229">
        <v>0</v>
      </c>
      <c r="AA47" s="229">
        <v>0</v>
      </c>
      <c r="AB47" s="229">
        <v>500000</v>
      </c>
      <c r="AC47" s="229">
        <v>0</v>
      </c>
      <c r="AD47" s="229">
        <v>0</v>
      </c>
      <c r="AE47" s="229">
        <v>500000</v>
      </c>
      <c r="AF47" s="229">
        <v>1000000</v>
      </c>
      <c r="AG47" s="229">
        <v>1000000</v>
      </c>
      <c r="AH47" s="229">
        <v>200000</v>
      </c>
      <c r="AI47" s="229">
        <v>0</v>
      </c>
      <c r="AJ47" s="229">
        <v>0</v>
      </c>
      <c r="AK47" s="229">
        <v>2200000</v>
      </c>
      <c r="AL47" s="229">
        <v>0</v>
      </c>
      <c r="AM47" s="229">
        <v>0</v>
      </c>
      <c r="AN47" s="229">
        <v>0</v>
      </c>
      <c r="AO47" s="229">
        <v>0</v>
      </c>
      <c r="AP47" s="229">
        <v>0</v>
      </c>
      <c r="AQ47" s="229">
        <v>2200000</v>
      </c>
      <c r="AR47" s="2">
        <v>44</v>
      </c>
      <c r="AS47" s="208" t="s">
        <v>1811</v>
      </c>
      <c r="AT47" s="2">
        <v>2025</v>
      </c>
      <c r="AU47" s="2" t="s">
        <v>710</v>
      </c>
      <c r="AV47" t="s">
        <v>711</v>
      </c>
      <c r="AW47" s="2" t="s">
        <v>1803</v>
      </c>
      <c r="AZ47" s="2" t="str">
        <f>_xlfn.XLOOKUP(Tabela98[[#This Row],[Descrição do projeto]],[3]Geração!$G:$G,[3]Geração!$F:$F,,0,1)</f>
        <v>Frederico Rodolfo Parente Doerner</v>
      </c>
    </row>
    <row r="48" spans="1:52" ht="24.75" customHeight="1" x14ac:dyDescent="0.35">
      <c r="A48" s="184"/>
      <c r="B48" s="185" t="e" cm="1">
        <f t="array" ref="B48">AND(ISTEXT('Consolidado-Eletronorte'!#REF!),SUM('Consolidado-Eletronorte'!#REF!)&gt;0)</f>
        <v>#REF!</v>
      </c>
      <c r="C48" s="186" t="str">
        <f t="shared" ca="1" si="3"/>
        <v>Capex Orcamentário_PE2026_2030_red_35_porcentoR3_consulta.xlsx</v>
      </c>
      <c r="D48" s="187" t="str">
        <f t="shared" si="4"/>
        <v>COO</v>
      </c>
      <c r="E48" s="187" t="str">
        <f t="shared" si="5"/>
        <v>Lucas Martins</v>
      </c>
      <c r="F48" s="188"/>
      <c r="G48" s="188" t="e">
        <f>_xlfn.CONCAT('Consolidado-Eletronorte'!#REF!,"_",ROW('Consolidado-Eletronorte'!#REF!)-ROW('Consolidado-Eletronorte'!$G$18))</f>
        <v>#REF!</v>
      </c>
      <c r="H48" s="279" t="s">
        <v>506</v>
      </c>
      <c r="I48" s="189" t="s">
        <v>507</v>
      </c>
      <c r="J48" s="190" t="s">
        <v>508</v>
      </c>
      <c r="K48" s="189" t="s">
        <v>1039</v>
      </c>
      <c r="L48" s="189" t="s">
        <v>1040</v>
      </c>
      <c r="M48" s="189" t="s">
        <v>577</v>
      </c>
      <c r="N48" s="189"/>
      <c r="O48" s="189"/>
      <c r="P48" s="189" t="s">
        <v>617</v>
      </c>
      <c r="Q48" s="191" t="s">
        <v>228</v>
      </c>
      <c r="R48" s="191" t="s">
        <v>650</v>
      </c>
      <c r="S48" s="189" t="s">
        <v>229</v>
      </c>
      <c r="T48" s="229">
        <v>0</v>
      </c>
      <c r="U48" s="229">
        <v>0</v>
      </c>
      <c r="V48" s="229">
        <v>500000</v>
      </c>
      <c r="W48" s="229">
        <v>0</v>
      </c>
      <c r="X48" s="229">
        <v>0</v>
      </c>
      <c r="Y48" s="229">
        <v>0</v>
      </c>
      <c r="Z48" s="229">
        <v>500000</v>
      </c>
      <c r="AA48" s="229">
        <v>0</v>
      </c>
      <c r="AB48" s="229">
        <v>0</v>
      </c>
      <c r="AC48" s="229">
        <v>1100000</v>
      </c>
      <c r="AD48" s="229">
        <v>0</v>
      </c>
      <c r="AE48" s="229">
        <v>0</v>
      </c>
      <c r="AF48" s="229">
        <v>2100000</v>
      </c>
      <c r="AG48" s="229">
        <v>0</v>
      </c>
      <c r="AH48" s="229">
        <v>0</v>
      </c>
      <c r="AI48" s="229">
        <v>0</v>
      </c>
      <c r="AJ48" s="229">
        <v>0</v>
      </c>
      <c r="AK48" s="229">
        <v>2100000</v>
      </c>
      <c r="AL48" s="229">
        <v>0</v>
      </c>
      <c r="AM48" s="229">
        <v>0</v>
      </c>
      <c r="AN48" s="229">
        <v>0</v>
      </c>
      <c r="AO48" s="229">
        <v>0</v>
      </c>
      <c r="AP48" s="229">
        <v>0</v>
      </c>
      <c r="AQ48" s="229">
        <v>2100000</v>
      </c>
      <c r="AR48" s="2">
        <v>45</v>
      </c>
      <c r="AS48" s="208" t="s">
        <v>1811</v>
      </c>
      <c r="AT48" s="2">
        <v>2025</v>
      </c>
      <c r="AU48" s="2" t="s">
        <v>651</v>
      </c>
      <c r="AV48" t="s">
        <v>652</v>
      </c>
      <c r="AW48" s="2" t="s">
        <v>1803</v>
      </c>
      <c r="AZ48" s="2" t="str">
        <f>_xlfn.XLOOKUP(Tabela98[[#This Row],[Descrição do projeto]],[3]Geração!$G:$G,[3]Geração!$F:$F,,0,1)</f>
        <v>Frederico Rodolfo Parente Doerner</v>
      </c>
    </row>
    <row r="49" spans="1:52" ht="24.75" customHeight="1" x14ac:dyDescent="0.35">
      <c r="A49" s="184"/>
      <c r="B49" s="185" t="e" cm="1">
        <f t="array" ref="B49">AND(ISTEXT('Consolidado-Eletronorte'!#REF!),SUM('Consolidado-Eletronorte'!#REF!)&gt;0)</f>
        <v>#REF!</v>
      </c>
      <c r="C49" s="186" t="str">
        <f t="shared" ca="1" si="3"/>
        <v>Capex Orcamentário_PE2026_2030_red_35_porcentoR3_consulta.xlsx</v>
      </c>
      <c r="D49" s="187" t="str">
        <f t="shared" si="4"/>
        <v>COO</v>
      </c>
      <c r="E49" s="187" t="str">
        <f t="shared" si="5"/>
        <v>Lucas Martins</v>
      </c>
      <c r="F49" s="188"/>
      <c r="G49" s="188" t="e">
        <f>_xlfn.CONCAT('Consolidado-Eletronorte'!#REF!,"_",ROW('Consolidado-Eletronorte'!#REF!)-ROW('Consolidado-Eletronorte'!$G$18))</f>
        <v>#REF!</v>
      </c>
      <c r="H49" s="279" t="s">
        <v>506</v>
      </c>
      <c r="I49" s="189" t="s">
        <v>507</v>
      </c>
      <c r="J49" s="190" t="s">
        <v>508</v>
      </c>
      <c r="K49" s="189" t="s">
        <v>1039</v>
      </c>
      <c r="L49" s="189" t="s">
        <v>1040</v>
      </c>
      <c r="M49" s="189" t="s">
        <v>577</v>
      </c>
      <c r="N49" s="189"/>
      <c r="O49" s="189"/>
      <c r="P49" s="189" t="s">
        <v>617</v>
      </c>
      <c r="Q49" s="191" t="s">
        <v>240</v>
      </c>
      <c r="R49" s="191" t="s">
        <v>633</v>
      </c>
      <c r="S49" s="189" t="s">
        <v>229</v>
      </c>
      <c r="T49" s="229">
        <v>0</v>
      </c>
      <c r="U49" s="229">
        <v>0</v>
      </c>
      <c r="V49" s="229">
        <v>0</v>
      </c>
      <c r="W49" s="229">
        <v>0</v>
      </c>
      <c r="X49" s="229">
        <v>0</v>
      </c>
      <c r="Y49" s="229">
        <v>0</v>
      </c>
      <c r="Z49" s="229">
        <v>0</v>
      </c>
      <c r="AA49" s="229">
        <v>0</v>
      </c>
      <c r="AB49" s="229">
        <v>0</v>
      </c>
      <c r="AC49" s="229">
        <v>0</v>
      </c>
      <c r="AD49" s="229">
        <v>2000000</v>
      </c>
      <c r="AE49" s="229">
        <v>0</v>
      </c>
      <c r="AF49" s="229">
        <v>2000000</v>
      </c>
      <c r="AG49" s="229">
        <v>0</v>
      </c>
      <c r="AH49" s="229">
        <v>0</v>
      </c>
      <c r="AI49" s="229">
        <v>0</v>
      </c>
      <c r="AJ49" s="229">
        <v>0</v>
      </c>
      <c r="AK49" s="229">
        <v>2000000</v>
      </c>
      <c r="AL49" s="229">
        <v>0</v>
      </c>
      <c r="AM49" s="229">
        <v>0</v>
      </c>
      <c r="AN49" s="229">
        <v>0</v>
      </c>
      <c r="AO49" s="229">
        <v>0</v>
      </c>
      <c r="AP49" s="229">
        <v>0</v>
      </c>
      <c r="AQ49" s="229">
        <v>2000000</v>
      </c>
      <c r="AR49" s="2">
        <v>39</v>
      </c>
      <c r="AS49" s="2" t="s">
        <v>247</v>
      </c>
      <c r="AT49" s="2" t="s">
        <v>1601</v>
      </c>
      <c r="AU49" s="2" t="s">
        <v>634</v>
      </c>
      <c r="AV49" s="2">
        <v>0</v>
      </c>
      <c r="AW49" s="2" t="s">
        <v>1810</v>
      </c>
      <c r="AZ49" s="2" t="str">
        <f>_xlfn.XLOOKUP(Tabela98[[#This Row],[Descrição do projeto]],[3]Geração!$G:$G,[3]Geração!$F:$F,,0,1)</f>
        <v>Frederico Rodolfo Parente Doerner</v>
      </c>
    </row>
    <row r="50" spans="1:52" ht="24.75" customHeight="1" x14ac:dyDescent="0.35">
      <c r="A50" s="184"/>
      <c r="B50" s="185" t="e" cm="1">
        <f t="array" ref="B50">AND(ISTEXT('Consolidado-Eletronorte'!#REF!),SUM('Consolidado-Eletronorte'!#REF!)&gt;0)</f>
        <v>#REF!</v>
      </c>
      <c r="C50" s="186" t="str">
        <f t="shared" ca="1" si="3"/>
        <v>Capex Orcamentário_PE2026_2030_red_35_porcentoR3_consulta.xlsx</v>
      </c>
      <c r="D50" s="187" t="str">
        <f t="shared" si="4"/>
        <v>COO</v>
      </c>
      <c r="E50" s="187" t="str">
        <f t="shared" si="5"/>
        <v>Lucas Martins</v>
      </c>
      <c r="F50" s="188"/>
      <c r="G50" s="188" t="e">
        <f>_xlfn.CONCAT('Consolidado-Eletronorte'!#REF!,"_",ROW('Consolidado-Eletronorte'!#REF!)-ROW('Consolidado-Eletronorte'!$G$18))</f>
        <v>#REF!</v>
      </c>
      <c r="H50" s="279" t="s">
        <v>506</v>
      </c>
      <c r="I50" s="189" t="s">
        <v>507</v>
      </c>
      <c r="J50" s="190" t="s">
        <v>508</v>
      </c>
      <c r="K50" s="189" t="s">
        <v>1039</v>
      </c>
      <c r="L50" s="189" t="s">
        <v>1040</v>
      </c>
      <c r="M50" s="189" t="s">
        <v>555</v>
      </c>
      <c r="N50" s="189"/>
      <c r="O50" s="189"/>
      <c r="P50" s="189" t="s">
        <v>617</v>
      </c>
      <c r="Q50" s="191" t="s">
        <v>273</v>
      </c>
      <c r="R50" s="191" t="s">
        <v>888</v>
      </c>
      <c r="S50" s="189" t="s">
        <v>229</v>
      </c>
      <c r="T50" s="229">
        <v>0</v>
      </c>
      <c r="U50" s="229">
        <v>0</v>
      </c>
      <c r="V50" s="229">
        <v>0</v>
      </c>
      <c r="W50" s="229">
        <v>0</v>
      </c>
      <c r="X50" s="229">
        <v>0</v>
      </c>
      <c r="Y50" s="229">
        <v>0</v>
      </c>
      <c r="Z50" s="229">
        <v>2000000</v>
      </c>
      <c r="AA50" s="229">
        <v>0</v>
      </c>
      <c r="AB50" s="229">
        <v>0</v>
      </c>
      <c r="AC50" s="229">
        <v>0</v>
      </c>
      <c r="AD50" s="229">
        <v>0</v>
      </c>
      <c r="AE50" s="229">
        <v>0</v>
      </c>
      <c r="AF50" s="229">
        <v>2000000</v>
      </c>
      <c r="AG50" s="229">
        <v>0</v>
      </c>
      <c r="AH50" s="229">
        <v>0</v>
      </c>
      <c r="AI50" s="229">
        <v>0</v>
      </c>
      <c r="AJ50" s="229">
        <v>0</v>
      </c>
      <c r="AK50" s="229">
        <v>2000000</v>
      </c>
      <c r="AL50" s="229">
        <v>0</v>
      </c>
      <c r="AM50" s="229">
        <v>0</v>
      </c>
      <c r="AN50" s="229">
        <v>0</v>
      </c>
      <c r="AO50" s="229">
        <v>0</v>
      </c>
      <c r="AP50" s="229">
        <v>0</v>
      </c>
      <c r="AQ50" s="229">
        <v>2000000</v>
      </c>
      <c r="AR50" s="2">
        <v>47</v>
      </c>
      <c r="AS50" s="2" t="s">
        <v>247</v>
      </c>
      <c r="AT50" s="2">
        <v>2025</v>
      </c>
      <c r="AU50" s="2" t="s">
        <v>889</v>
      </c>
      <c r="AV50" s="2">
        <v>0</v>
      </c>
      <c r="AW50" s="2" t="s">
        <v>1810</v>
      </c>
      <c r="AZ50" s="2" t="str">
        <f>_xlfn.XLOOKUP(Tabela98[[#This Row],[Descrição do projeto]],[3]Geração!$G:$G,[3]Geração!$F:$F,,0,1)</f>
        <v>Airton Rego Bentes</v>
      </c>
    </row>
    <row r="51" spans="1:52" ht="24.75" customHeight="1" x14ac:dyDescent="0.35">
      <c r="A51" s="184"/>
      <c r="B51" s="185" t="e" cm="1">
        <f t="array" ref="B51">AND(ISTEXT('Consolidado-Eletronorte'!#REF!),SUM('Consolidado-Eletronorte'!#REF!)&gt;0)</f>
        <v>#REF!</v>
      </c>
      <c r="C51" s="186" t="str">
        <f t="shared" ca="1" si="3"/>
        <v>Capex Orcamentário_PE2026_2030_red_35_porcentoR3_consulta.xlsx</v>
      </c>
      <c r="D51" s="187" t="str">
        <f t="shared" si="4"/>
        <v>COO</v>
      </c>
      <c r="E51" s="187" t="str">
        <f t="shared" si="5"/>
        <v>Lucas Martins</v>
      </c>
      <c r="F51" s="188"/>
      <c r="G51" s="188" t="e">
        <f>_xlfn.CONCAT('Consolidado-Eletronorte'!#REF!,"_",ROW('Consolidado-Eletronorte'!#REF!)-ROW('Consolidado-Eletronorte'!$G$18))</f>
        <v>#REF!</v>
      </c>
      <c r="H51" s="279" t="s">
        <v>506</v>
      </c>
      <c r="I51" s="189" t="s">
        <v>507</v>
      </c>
      <c r="J51" s="190" t="s">
        <v>508</v>
      </c>
      <c r="K51" s="189" t="s">
        <v>1039</v>
      </c>
      <c r="L51" s="189" t="s">
        <v>1040</v>
      </c>
      <c r="M51" s="189" t="s">
        <v>636</v>
      </c>
      <c r="N51" s="189"/>
      <c r="O51" s="189"/>
      <c r="P51" s="189">
        <v>157189</v>
      </c>
      <c r="Q51" s="191" t="s">
        <v>1814</v>
      </c>
      <c r="R51" s="191" t="s">
        <v>638</v>
      </c>
      <c r="S51" s="189" t="s">
        <v>276</v>
      </c>
      <c r="T51" s="229">
        <v>0</v>
      </c>
      <c r="U51" s="229">
        <v>500000</v>
      </c>
      <c r="V51" s="229">
        <v>0</v>
      </c>
      <c r="W51" s="229">
        <v>500000</v>
      </c>
      <c r="X51" s="229">
        <v>0</v>
      </c>
      <c r="Y51" s="229">
        <v>500000</v>
      </c>
      <c r="Z51" s="229">
        <v>0</v>
      </c>
      <c r="AA51" s="229">
        <v>500000</v>
      </c>
      <c r="AB51" s="229">
        <v>0</v>
      </c>
      <c r="AC51" s="229">
        <v>0</v>
      </c>
      <c r="AD51" s="229">
        <v>0</v>
      </c>
      <c r="AE51" s="229">
        <v>0</v>
      </c>
      <c r="AF51" s="229">
        <v>2000000</v>
      </c>
      <c r="AG51" s="229">
        <v>0</v>
      </c>
      <c r="AH51" s="229">
        <v>0</v>
      </c>
      <c r="AI51" s="229">
        <v>0</v>
      </c>
      <c r="AJ51" s="229">
        <v>0</v>
      </c>
      <c r="AK51" s="229">
        <v>2000000</v>
      </c>
      <c r="AL51" s="229">
        <v>0</v>
      </c>
      <c r="AM51" s="229">
        <v>0</v>
      </c>
      <c r="AN51" s="229">
        <v>0</v>
      </c>
      <c r="AO51" s="229">
        <v>0</v>
      </c>
      <c r="AP51" s="229">
        <v>0</v>
      </c>
      <c r="AQ51" s="229">
        <v>2000000</v>
      </c>
      <c r="AR51" s="2">
        <v>123</v>
      </c>
      <c r="AS51" s="112" t="s">
        <v>1813</v>
      </c>
      <c r="AT51" s="2">
        <v>2025</v>
      </c>
      <c r="AU51" s="112" t="s">
        <v>639</v>
      </c>
      <c r="AV51" s="112" t="s">
        <v>575</v>
      </c>
      <c r="AW51" s="2" t="s">
        <v>1803</v>
      </c>
      <c r="AZ51" s="2" t="e">
        <f>_xlfn.XLOOKUP(Tabela98[[#This Row],[Descrição do projeto]],[3]Geração!$G:$G,[3]Geração!$F:$F,,0,1)</f>
        <v>#N/A</v>
      </c>
    </row>
    <row r="52" spans="1:52" ht="24.75" customHeight="1" x14ac:dyDescent="0.35">
      <c r="A52" s="280"/>
      <c r="B52" s="185" t="e" cm="1">
        <f t="array" ref="B52">AND(ISTEXT('Consolidado-Eletronorte'!#REF!),SUM('Consolidado-Eletronorte'!#REF!)&gt;0)</f>
        <v>#REF!</v>
      </c>
      <c r="C52" s="281" t="str">
        <f t="shared" ca="1" si="3"/>
        <v>Capex Orcamentário_PE2026_2030_red_35_porcentoR3_consulta.xlsx</v>
      </c>
      <c r="D52" s="282" t="str">
        <f t="shared" si="4"/>
        <v>COO</v>
      </c>
      <c r="E52" s="282" t="str">
        <f t="shared" si="5"/>
        <v>Lucas Martins</v>
      </c>
      <c r="F52" s="283"/>
      <c r="G52" s="283" t="e">
        <f>_xlfn.CONCAT('Consolidado-Eletronorte'!#REF!,"_",ROW('Consolidado-Eletronorte'!#REF!)-ROW('Consolidado-Eletronorte'!$G$18))</f>
        <v>#REF!</v>
      </c>
      <c r="H52" s="284" t="s">
        <v>506</v>
      </c>
      <c r="I52" s="285" t="s">
        <v>507</v>
      </c>
      <c r="J52" s="286" t="s">
        <v>508</v>
      </c>
      <c r="K52" s="285" t="s">
        <v>1039</v>
      </c>
      <c r="L52" s="285" t="s">
        <v>1799</v>
      </c>
      <c r="M52" s="285" t="s">
        <v>577</v>
      </c>
      <c r="N52" s="285"/>
      <c r="O52" s="285"/>
      <c r="P52" s="285" t="s">
        <v>612</v>
      </c>
      <c r="Q52" s="287" t="s">
        <v>217</v>
      </c>
      <c r="R52" s="287" t="s">
        <v>775</v>
      </c>
      <c r="S52" s="285" t="s">
        <v>210</v>
      </c>
      <c r="T52" s="229">
        <v>0</v>
      </c>
      <c r="U52" s="229">
        <v>0</v>
      </c>
      <c r="V52" s="229">
        <v>0</v>
      </c>
      <c r="W52" s="229">
        <v>0</v>
      </c>
      <c r="X52" s="229">
        <v>0</v>
      </c>
      <c r="Y52" s="229">
        <v>0</v>
      </c>
      <c r="Z52" s="229">
        <v>230000</v>
      </c>
      <c r="AA52" s="229">
        <v>0</v>
      </c>
      <c r="AB52" s="229">
        <v>470000</v>
      </c>
      <c r="AC52" s="229">
        <v>0</v>
      </c>
      <c r="AD52" s="229">
        <v>0</v>
      </c>
      <c r="AE52" s="229">
        <v>300000</v>
      </c>
      <c r="AF52" s="229">
        <v>1000000</v>
      </c>
      <c r="AG52" s="229">
        <v>1000000</v>
      </c>
      <c r="AH52" s="229">
        <v>0</v>
      </c>
      <c r="AI52" s="229">
        <v>0</v>
      </c>
      <c r="AJ52" s="229">
        <v>0</v>
      </c>
      <c r="AK52" s="229">
        <v>2000000</v>
      </c>
      <c r="AL52" s="229">
        <v>0</v>
      </c>
      <c r="AM52" s="229">
        <v>0</v>
      </c>
      <c r="AN52" s="229">
        <v>0</v>
      </c>
      <c r="AO52" s="229">
        <v>0</v>
      </c>
      <c r="AP52" s="229">
        <v>0</v>
      </c>
      <c r="AQ52" s="229">
        <v>2000000</v>
      </c>
      <c r="AR52" s="2">
        <v>10</v>
      </c>
      <c r="AS52" s="2" t="s">
        <v>224</v>
      </c>
      <c r="AT52" s="2" t="s">
        <v>1601</v>
      </c>
      <c r="AU52" s="2" t="s">
        <v>776</v>
      </c>
      <c r="AV52" s="2">
        <v>0</v>
      </c>
      <c r="AW52" s="2" t="s">
        <v>1810</v>
      </c>
      <c r="AZ52" s="2" t="str">
        <f>_xlfn.XLOOKUP(Tabela98[[#This Row],[Descrição do projeto]],[3]Geração!$G:$G,[3]Geração!$F:$F,,0,1)</f>
        <v>Frederico Rodolfo Parente Doerner</v>
      </c>
    </row>
    <row r="53" spans="1:52" ht="24.75" customHeight="1" x14ac:dyDescent="0.35">
      <c r="A53" s="184"/>
      <c r="B53" s="185" t="e" cm="1">
        <f t="array" ref="B53">AND(ISTEXT('Consolidado-Eletronorte'!#REF!),SUM('Consolidado-Eletronorte'!#REF!)&gt;0)</f>
        <v>#REF!</v>
      </c>
      <c r="C53" s="186" t="str">
        <f t="shared" ca="1" si="3"/>
        <v>Capex Orcamentário_PE2026_2030_red_35_porcentoR3_consulta.xlsx</v>
      </c>
      <c r="D53" s="187" t="str">
        <f t="shared" si="4"/>
        <v>COO</v>
      </c>
      <c r="E53" s="187" t="str">
        <f t="shared" si="5"/>
        <v>Lucas Martins</v>
      </c>
      <c r="F53" s="188"/>
      <c r="G53" s="188" t="e">
        <f>_xlfn.CONCAT('Consolidado-Eletronorte'!#REF!,"_",ROW('Consolidado-Eletronorte'!#REF!)-ROW('Consolidado-Eletronorte'!$G$18))</f>
        <v>#REF!</v>
      </c>
      <c r="H53" s="279" t="s">
        <v>506</v>
      </c>
      <c r="I53" s="189" t="s">
        <v>507</v>
      </c>
      <c r="J53" s="190" t="s">
        <v>508</v>
      </c>
      <c r="K53" s="189" t="s">
        <v>1039</v>
      </c>
      <c r="L53" s="189" t="s">
        <v>1040</v>
      </c>
      <c r="M53" s="189" t="s">
        <v>577</v>
      </c>
      <c r="N53" s="189"/>
      <c r="O53" s="189"/>
      <c r="P53" s="189" t="s">
        <v>511</v>
      </c>
      <c r="Q53" s="191" t="s">
        <v>1815</v>
      </c>
      <c r="R53" s="191" t="s">
        <v>812</v>
      </c>
      <c r="S53" s="189" t="s">
        <v>319</v>
      </c>
      <c r="T53" s="229">
        <v>0</v>
      </c>
      <c r="U53" s="229">
        <v>0</v>
      </c>
      <c r="V53" s="229">
        <v>0</v>
      </c>
      <c r="W53" s="229">
        <v>0</v>
      </c>
      <c r="X53" s="229">
        <v>0</v>
      </c>
      <c r="Y53" s="229">
        <v>500000</v>
      </c>
      <c r="Z53" s="229">
        <v>500000</v>
      </c>
      <c r="AA53" s="229">
        <v>0</v>
      </c>
      <c r="AB53" s="229">
        <v>0</v>
      </c>
      <c r="AC53" s="229">
        <v>0</v>
      </c>
      <c r="AD53" s="229">
        <v>0</v>
      </c>
      <c r="AE53" s="229">
        <v>0</v>
      </c>
      <c r="AF53" s="229">
        <v>1000000</v>
      </c>
      <c r="AG53" s="229">
        <v>1000000</v>
      </c>
      <c r="AH53" s="229">
        <v>0</v>
      </c>
      <c r="AI53" s="229">
        <v>0</v>
      </c>
      <c r="AJ53" s="229">
        <v>0</v>
      </c>
      <c r="AK53" s="229">
        <v>2000000</v>
      </c>
      <c r="AL53" s="229">
        <v>0</v>
      </c>
      <c r="AM53" s="229">
        <v>0</v>
      </c>
      <c r="AN53" s="229">
        <v>0</v>
      </c>
      <c r="AO53" s="229">
        <v>0</v>
      </c>
      <c r="AP53" s="229">
        <v>0</v>
      </c>
      <c r="AQ53" s="229">
        <v>2000000</v>
      </c>
      <c r="AR53" s="2">
        <v>108</v>
      </c>
      <c r="AS53" s="2" t="s">
        <v>1811</v>
      </c>
      <c r="AT53" s="2">
        <v>2025</v>
      </c>
      <c r="AU53" s="2" t="s">
        <v>813</v>
      </c>
      <c r="AV53" s="2" t="s">
        <v>746</v>
      </c>
      <c r="AW53" s="2" t="s">
        <v>1810</v>
      </c>
      <c r="AZ53" s="2" t="str">
        <f>_xlfn.XLOOKUP(Tabela98[[#This Row],[Descrição do projeto]],[3]Geração!$G:$G,[3]Geração!$F:$F,,0,1)</f>
        <v>Frederico Rodolfo Parente Doerner</v>
      </c>
    </row>
    <row r="54" spans="1:52" ht="24.75" customHeight="1" x14ac:dyDescent="0.35">
      <c r="A54" s="184"/>
      <c r="B54" s="185" t="e" cm="1">
        <f t="array" ref="B54">AND(ISTEXT('Consolidado-Eletronorte'!#REF!),SUM('Consolidado-Eletronorte'!#REF!)&gt;0)</f>
        <v>#REF!</v>
      </c>
      <c r="C54" s="186" t="str">
        <f t="shared" ca="1" si="3"/>
        <v>Capex Orcamentário_PE2026_2030_red_35_porcentoR3_consulta.xlsx</v>
      </c>
      <c r="D54" s="187" t="str">
        <f t="shared" si="4"/>
        <v>COO</v>
      </c>
      <c r="E54" s="187" t="str">
        <f t="shared" si="5"/>
        <v>Lucas Martins</v>
      </c>
      <c r="F54" s="188"/>
      <c r="G54" s="188" t="e">
        <f>_xlfn.CONCAT('Consolidado-Eletronorte'!#REF!,"_",ROW('Consolidado-Eletronorte'!#REF!)-ROW('Consolidado-Eletronorte'!$G$18))</f>
        <v>#REF!</v>
      </c>
      <c r="H54" s="279" t="s">
        <v>506</v>
      </c>
      <c r="I54" s="189" t="s">
        <v>507</v>
      </c>
      <c r="J54" s="190" t="s">
        <v>508</v>
      </c>
      <c r="K54" s="189" t="s">
        <v>1039</v>
      </c>
      <c r="L54" s="189" t="s">
        <v>1040</v>
      </c>
      <c r="M54" s="189" t="s">
        <v>555</v>
      </c>
      <c r="N54" s="189"/>
      <c r="O54" s="189"/>
      <c r="P54" s="189" t="s">
        <v>511</v>
      </c>
      <c r="Q54" s="191" t="s">
        <v>338</v>
      </c>
      <c r="R54" s="191" t="s">
        <v>703</v>
      </c>
      <c r="S54" s="189" t="s">
        <v>319</v>
      </c>
      <c r="T54" s="229">
        <v>0</v>
      </c>
      <c r="U54" s="229">
        <v>500000</v>
      </c>
      <c r="V54" s="229">
        <v>0</v>
      </c>
      <c r="W54" s="229">
        <v>0</v>
      </c>
      <c r="X54" s="229">
        <v>0</v>
      </c>
      <c r="Y54" s="229">
        <v>0</v>
      </c>
      <c r="Z54" s="229">
        <v>0</v>
      </c>
      <c r="AA54" s="229">
        <v>500000</v>
      </c>
      <c r="AB54" s="229">
        <v>0</v>
      </c>
      <c r="AC54" s="229">
        <v>0</v>
      </c>
      <c r="AD54" s="229">
        <v>0</v>
      </c>
      <c r="AE54" s="229">
        <v>0</v>
      </c>
      <c r="AF54" s="229">
        <v>1000000</v>
      </c>
      <c r="AG54" s="229">
        <v>1000000</v>
      </c>
      <c r="AH54" s="229">
        <v>0</v>
      </c>
      <c r="AI54" s="229">
        <v>0</v>
      </c>
      <c r="AJ54" s="229">
        <v>0</v>
      </c>
      <c r="AK54" s="229">
        <v>2000000</v>
      </c>
      <c r="AL54" s="229">
        <v>0</v>
      </c>
      <c r="AM54" s="229">
        <v>0</v>
      </c>
      <c r="AN54" s="229">
        <v>0</v>
      </c>
      <c r="AO54" s="229">
        <v>0</v>
      </c>
      <c r="AP54" s="229">
        <v>0</v>
      </c>
      <c r="AQ54" s="229">
        <v>2000000</v>
      </c>
      <c r="AR54" s="2">
        <v>112</v>
      </c>
      <c r="AS54" s="2" t="s">
        <v>1811</v>
      </c>
      <c r="AT54" s="2">
        <v>2025</v>
      </c>
      <c r="AU54" s="2" t="s">
        <v>704</v>
      </c>
      <c r="AV54" s="2" t="s">
        <v>705</v>
      </c>
      <c r="AW54" s="2" t="s">
        <v>1810</v>
      </c>
      <c r="AZ54" s="2" t="str">
        <f>_xlfn.XLOOKUP(Tabela98[[#This Row],[Descrição do projeto]],[3]Geração!$G:$G,[3]Geração!$F:$F,,0,1)</f>
        <v>Frederico Rodolfo Parente Doerner</v>
      </c>
    </row>
    <row r="55" spans="1:52" ht="24.75" customHeight="1" x14ac:dyDescent="0.35">
      <c r="A55" s="280"/>
      <c r="B55" s="185" t="e" cm="1">
        <f t="array" ref="B55">AND(ISTEXT('Consolidado-Eletronorte'!#REF!),SUM('Consolidado-Eletronorte'!#REF!)&gt;0)</f>
        <v>#REF!</v>
      </c>
      <c r="C55" s="281" t="str">
        <f t="shared" ca="1" si="3"/>
        <v>Capex Orcamentário_PE2026_2030_red_35_porcentoR3_consulta.xlsx</v>
      </c>
      <c r="D55" s="282" t="str">
        <f t="shared" si="4"/>
        <v>COO</v>
      </c>
      <c r="E55" s="282" t="str">
        <f t="shared" si="5"/>
        <v>Lucas Martins</v>
      </c>
      <c r="F55" s="283"/>
      <c r="G55" s="283" t="e">
        <f>_xlfn.CONCAT('Consolidado-Eletronorte'!#REF!,"_",ROW('Consolidado-Eletronorte'!#REF!)-ROW('Consolidado-Eletronorte'!$G$18))</f>
        <v>#REF!</v>
      </c>
      <c r="H55" s="284" t="s">
        <v>506</v>
      </c>
      <c r="I55" s="285" t="s">
        <v>507</v>
      </c>
      <c r="J55" s="286" t="s">
        <v>508</v>
      </c>
      <c r="K55" s="285" t="s">
        <v>1039</v>
      </c>
      <c r="L55" s="285" t="s">
        <v>1040</v>
      </c>
      <c r="M55" s="285" t="s">
        <v>555</v>
      </c>
      <c r="N55" s="285"/>
      <c r="O55" s="285"/>
      <c r="P55" s="285" t="s">
        <v>511</v>
      </c>
      <c r="Q55" s="287" t="s">
        <v>340</v>
      </c>
      <c r="R55" s="287" t="s">
        <v>762</v>
      </c>
      <c r="S55" s="285" t="s">
        <v>319</v>
      </c>
      <c r="T55" s="229">
        <v>0</v>
      </c>
      <c r="U55" s="229">
        <v>0</v>
      </c>
      <c r="V55" s="229">
        <v>300000</v>
      </c>
      <c r="W55" s="229">
        <v>0</v>
      </c>
      <c r="X55" s="229">
        <v>0</v>
      </c>
      <c r="Y55" s="229">
        <v>424336</v>
      </c>
      <c r="Z55" s="229">
        <v>0</v>
      </c>
      <c r="AA55" s="229">
        <v>400000</v>
      </c>
      <c r="AB55" s="229">
        <v>0</v>
      </c>
      <c r="AC55" s="229">
        <v>0</v>
      </c>
      <c r="AD55" s="229">
        <v>0</v>
      </c>
      <c r="AE55" s="229">
        <v>700000</v>
      </c>
      <c r="AF55" s="229">
        <v>1824336</v>
      </c>
      <c r="AG55" s="229">
        <v>0</v>
      </c>
      <c r="AH55" s="229">
        <v>0</v>
      </c>
      <c r="AI55" s="229">
        <v>0</v>
      </c>
      <c r="AJ55" s="229">
        <v>0</v>
      </c>
      <c r="AK55" s="229">
        <v>1824336</v>
      </c>
      <c r="AL55" s="229">
        <v>0</v>
      </c>
      <c r="AM55" s="229">
        <v>0</v>
      </c>
      <c r="AN55" s="229">
        <v>0</v>
      </c>
      <c r="AO55" s="229">
        <v>0</v>
      </c>
      <c r="AP55" s="229">
        <v>0</v>
      </c>
      <c r="AQ55" s="229">
        <v>1824336</v>
      </c>
      <c r="AR55" s="2">
        <v>20</v>
      </c>
      <c r="AS55" s="2" t="s">
        <v>341</v>
      </c>
      <c r="AT55" s="2">
        <v>2025</v>
      </c>
      <c r="AU55" s="2" t="s">
        <v>763</v>
      </c>
      <c r="AV55" s="2" t="s">
        <v>764</v>
      </c>
      <c r="AW55" s="2" t="s">
        <v>1803</v>
      </c>
      <c r="AZ55" s="2" t="str">
        <f>_xlfn.XLOOKUP(Tabela98[[#This Row],[Descrição do projeto]],[3]Geração!$G:$G,[3]Geração!$F:$F,,0,1)</f>
        <v>Gilton Carlos De Andrade Furtado</v>
      </c>
    </row>
    <row r="56" spans="1:52" ht="24.75" customHeight="1" x14ac:dyDescent="0.35">
      <c r="A56" s="184"/>
      <c r="B56" s="185" t="e" cm="1">
        <f t="array" ref="B56">AND(ISTEXT('Consolidado-Eletronorte'!#REF!),SUM('Consolidado-Eletronorte'!#REF!)&gt;0)</f>
        <v>#REF!</v>
      </c>
      <c r="C56" s="186" t="str">
        <f t="shared" ca="1" si="3"/>
        <v>Capex Orcamentário_PE2026_2030_red_35_porcentoR3_consulta.xlsx</v>
      </c>
      <c r="D56" s="187" t="str">
        <f t="shared" si="4"/>
        <v>COO</v>
      </c>
      <c r="E56" s="187" t="str">
        <f t="shared" si="5"/>
        <v>Lucas Martins</v>
      </c>
      <c r="F56" s="188"/>
      <c r="G56" s="188" t="e">
        <f>_xlfn.CONCAT('Consolidado-Eletronorte'!#REF!,"_",ROW('Consolidado-Eletronorte'!#REF!)-ROW('Consolidado-Eletronorte'!$G$18))</f>
        <v>#REF!</v>
      </c>
      <c r="H56" s="279" t="s">
        <v>506</v>
      </c>
      <c r="I56" s="189" t="s">
        <v>507</v>
      </c>
      <c r="J56" s="190" t="s">
        <v>508</v>
      </c>
      <c r="K56" s="189" t="s">
        <v>1039</v>
      </c>
      <c r="L56" s="189" t="s">
        <v>1040</v>
      </c>
      <c r="M56" s="189" t="s">
        <v>577</v>
      </c>
      <c r="N56" s="189"/>
      <c r="O56" s="189"/>
      <c r="P56" s="189" t="s">
        <v>617</v>
      </c>
      <c r="Q56" s="191" t="s">
        <v>267</v>
      </c>
      <c r="R56" s="191" t="s">
        <v>717</v>
      </c>
      <c r="S56" s="189" t="s">
        <v>229</v>
      </c>
      <c r="T56" s="229">
        <v>0</v>
      </c>
      <c r="U56" s="229">
        <v>0</v>
      </c>
      <c r="V56" s="229">
        <v>0</v>
      </c>
      <c r="W56" s="229">
        <v>0</v>
      </c>
      <c r="X56" s="229">
        <v>0</v>
      </c>
      <c r="Y56" s="229">
        <v>0</v>
      </c>
      <c r="Z56" s="229">
        <v>0</v>
      </c>
      <c r="AA56" s="229">
        <v>0</v>
      </c>
      <c r="AB56" s="229">
        <v>0</v>
      </c>
      <c r="AC56" s="229">
        <v>1200000</v>
      </c>
      <c r="AD56" s="229">
        <v>0</v>
      </c>
      <c r="AE56" s="229">
        <v>0</v>
      </c>
      <c r="AF56" s="229">
        <v>1200000</v>
      </c>
      <c r="AG56" s="229">
        <v>600000</v>
      </c>
      <c r="AH56" s="229">
        <v>0</v>
      </c>
      <c r="AI56" s="229">
        <v>0</v>
      </c>
      <c r="AJ56" s="229">
        <v>0</v>
      </c>
      <c r="AK56" s="229">
        <v>1800000</v>
      </c>
      <c r="AL56" s="229">
        <v>0</v>
      </c>
      <c r="AM56" s="229">
        <v>0</v>
      </c>
      <c r="AN56" s="229">
        <v>0</v>
      </c>
      <c r="AO56" s="229">
        <v>0</v>
      </c>
      <c r="AP56" s="229">
        <v>0</v>
      </c>
      <c r="AQ56" s="229">
        <v>1800000</v>
      </c>
      <c r="AR56" s="2">
        <v>38</v>
      </c>
      <c r="AS56" s="208" t="s">
        <v>1811</v>
      </c>
      <c r="AT56" s="2">
        <v>2025</v>
      </c>
      <c r="AU56" s="2" t="s">
        <v>718</v>
      </c>
      <c r="AV56" t="s">
        <v>719</v>
      </c>
      <c r="AW56" s="2" t="s">
        <v>1803</v>
      </c>
      <c r="AZ56" s="2" t="str">
        <f>_xlfn.XLOOKUP(Tabela98[[#This Row],[Descrição do projeto]],[3]Geração!$G:$G,[3]Geração!$F:$F,,0,1)</f>
        <v>Frederico Rodolfo Parente Doerner</v>
      </c>
    </row>
    <row r="57" spans="1:52" ht="24.75" customHeight="1" x14ac:dyDescent="0.35">
      <c r="A57" s="184"/>
      <c r="B57" s="185" t="e" cm="1">
        <f t="array" ref="B57">AND(ISTEXT('Consolidado-Eletronorte'!#REF!),SUM('Consolidado-Eletronorte'!#REF!)&gt;0)</f>
        <v>#REF!</v>
      </c>
      <c r="C57" s="186" t="str">
        <f t="shared" ca="1" si="3"/>
        <v>Capex Orcamentário_PE2026_2030_red_35_porcentoR3_consulta.xlsx</v>
      </c>
      <c r="D57" s="187" t="str">
        <f t="shared" si="4"/>
        <v>COO</v>
      </c>
      <c r="E57" s="187" t="str">
        <f t="shared" si="5"/>
        <v>Lucas Martins</v>
      </c>
      <c r="F57" s="188"/>
      <c r="G57" s="188" t="e">
        <f>_xlfn.CONCAT('Consolidado-Eletronorte'!#REF!,"_",ROW('Consolidado-Eletronorte'!#REF!)-ROW('Consolidado-Eletronorte'!$G$18))</f>
        <v>#REF!</v>
      </c>
      <c r="H57" s="279" t="s">
        <v>506</v>
      </c>
      <c r="I57" s="189" t="s">
        <v>507</v>
      </c>
      <c r="J57" s="190" t="s">
        <v>508</v>
      </c>
      <c r="K57" s="189" t="s">
        <v>1039</v>
      </c>
      <c r="L57" s="189" t="s">
        <v>1040</v>
      </c>
      <c r="M57" s="189" t="s">
        <v>577</v>
      </c>
      <c r="N57" s="189"/>
      <c r="O57" s="189"/>
      <c r="P57" s="189" t="s">
        <v>617</v>
      </c>
      <c r="Q57" s="191" t="s">
        <v>242</v>
      </c>
      <c r="R57" s="191" t="s">
        <v>720</v>
      </c>
      <c r="S57" s="189" t="s">
        <v>229</v>
      </c>
      <c r="T57" s="229">
        <v>0</v>
      </c>
      <c r="U57" s="229">
        <v>0</v>
      </c>
      <c r="V57" s="229">
        <v>0</v>
      </c>
      <c r="W57" s="229">
        <v>0</v>
      </c>
      <c r="X57" s="229">
        <v>0</v>
      </c>
      <c r="Y57" s="229">
        <v>0</v>
      </c>
      <c r="Z57" s="229">
        <v>0</v>
      </c>
      <c r="AA57" s="229">
        <v>0</v>
      </c>
      <c r="AB57" s="229">
        <v>0</v>
      </c>
      <c r="AC57" s="229">
        <v>0</v>
      </c>
      <c r="AD57" s="229">
        <v>0</v>
      </c>
      <c r="AE57" s="229">
        <v>0</v>
      </c>
      <c r="AF57" s="229">
        <v>0</v>
      </c>
      <c r="AG57" s="229">
        <v>1800000</v>
      </c>
      <c r="AH57" s="229">
        <v>0</v>
      </c>
      <c r="AI57" s="229">
        <v>0</v>
      </c>
      <c r="AJ57" s="229">
        <v>0</v>
      </c>
      <c r="AK57" s="229">
        <v>1800000</v>
      </c>
      <c r="AL57" s="229">
        <v>0</v>
      </c>
      <c r="AM57" s="229">
        <v>0</v>
      </c>
      <c r="AN57" s="229">
        <v>0</v>
      </c>
      <c r="AO57" s="229">
        <v>0</v>
      </c>
      <c r="AP57" s="229">
        <v>0</v>
      </c>
      <c r="AQ57" s="229">
        <v>1800000</v>
      </c>
      <c r="AR57" s="2">
        <v>50</v>
      </c>
      <c r="AS57" s="208" t="s">
        <v>247</v>
      </c>
      <c r="AT57" s="208" t="s">
        <v>1601</v>
      </c>
      <c r="AU57" s="2" t="s">
        <v>721</v>
      </c>
      <c r="AV57" s="2">
        <v>0</v>
      </c>
      <c r="AW57" s="2" t="s">
        <v>1810</v>
      </c>
      <c r="AZ57" s="2" t="str">
        <f>_xlfn.XLOOKUP(Tabela98[[#This Row],[Descrição do projeto]],[3]Geração!$G:$G,[3]Geração!$F:$F,,0,1)</f>
        <v>Frederico Rodolfo Parente Doerner</v>
      </c>
    </row>
    <row r="58" spans="1:52" ht="24.75" customHeight="1" x14ac:dyDescent="0.35">
      <c r="A58" s="184"/>
      <c r="B58" s="185" t="e" cm="1">
        <f t="array" ref="B58">AND(ISTEXT('Consolidado-Eletronorte'!#REF!),SUM('Consolidado-Eletronorte'!#REF!)&gt;0)</f>
        <v>#REF!</v>
      </c>
      <c r="C58" s="186" t="str">
        <f t="shared" ca="1" si="3"/>
        <v>Capex Orcamentário_PE2026_2030_red_35_porcentoR3_consulta.xlsx</v>
      </c>
      <c r="D58" s="187" t="str">
        <f t="shared" si="4"/>
        <v>COO</v>
      </c>
      <c r="E58" s="187" t="str">
        <f t="shared" si="5"/>
        <v>Lucas Martins</v>
      </c>
      <c r="F58" s="188"/>
      <c r="G58" s="188" t="e">
        <f>_xlfn.CONCAT('Consolidado-Eletronorte'!#REF!,"_",ROW('Consolidado-Eletronorte'!#REF!)-ROW('Consolidado-Eletronorte'!$G$18))</f>
        <v>#REF!</v>
      </c>
      <c r="H58" s="279" t="s">
        <v>506</v>
      </c>
      <c r="I58" s="189" t="s">
        <v>507</v>
      </c>
      <c r="J58" s="190" t="s">
        <v>508</v>
      </c>
      <c r="K58" s="189" t="s">
        <v>1039</v>
      </c>
      <c r="L58" s="189" t="s">
        <v>1040</v>
      </c>
      <c r="M58" s="189" t="s">
        <v>577</v>
      </c>
      <c r="N58" s="189"/>
      <c r="O58" s="189"/>
      <c r="P58" s="189">
        <v>157189</v>
      </c>
      <c r="Q58" s="191" t="s">
        <v>281</v>
      </c>
      <c r="R58" s="191" t="s">
        <v>671</v>
      </c>
      <c r="S58" s="189" t="s">
        <v>276</v>
      </c>
      <c r="T58" s="229">
        <v>0</v>
      </c>
      <c r="U58" s="229">
        <v>0</v>
      </c>
      <c r="V58" s="229">
        <v>0</v>
      </c>
      <c r="W58" s="229">
        <v>0</v>
      </c>
      <c r="X58" s="229">
        <v>0</v>
      </c>
      <c r="Y58" s="229">
        <v>0</v>
      </c>
      <c r="Z58" s="229">
        <v>0</v>
      </c>
      <c r="AA58" s="229">
        <v>0</v>
      </c>
      <c r="AB58" s="229">
        <v>1500000</v>
      </c>
      <c r="AC58" s="229">
        <v>0</v>
      </c>
      <c r="AD58" s="229">
        <v>0</v>
      </c>
      <c r="AE58" s="229">
        <v>0</v>
      </c>
      <c r="AF58" s="229">
        <v>1500000</v>
      </c>
      <c r="AG58" s="229">
        <v>250000</v>
      </c>
      <c r="AH58" s="229">
        <v>0</v>
      </c>
      <c r="AI58" s="229">
        <v>0</v>
      </c>
      <c r="AJ58" s="229">
        <v>0</v>
      </c>
      <c r="AK58" s="229">
        <v>1750000</v>
      </c>
      <c r="AL58" s="229">
        <v>0</v>
      </c>
      <c r="AM58" s="229">
        <v>0</v>
      </c>
      <c r="AN58" s="229">
        <v>0</v>
      </c>
      <c r="AO58" s="229">
        <v>0</v>
      </c>
      <c r="AP58" s="229">
        <v>0</v>
      </c>
      <c r="AQ58" s="229">
        <v>1750000</v>
      </c>
      <c r="AR58" s="2">
        <v>65</v>
      </c>
      <c r="AS58" s="2" t="s">
        <v>279</v>
      </c>
      <c r="AT58" s="2" t="s">
        <v>1601</v>
      </c>
      <c r="AU58" s="2" t="s">
        <v>672</v>
      </c>
      <c r="AV58" s="2">
        <v>0</v>
      </c>
      <c r="AW58" s="2" t="s">
        <v>1810</v>
      </c>
      <c r="AZ58" s="2" t="str">
        <f>_xlfn.XLOOKUP(Tabela98[[#This Row],[Descrição do projeto]],[3]Geração!$G:$G,[3]Geração!$F:$F,,0,1)</f>
        <v>Frederico Rodolfo Parente Doerner</v>
      </c>
    </row>
    <row r="59" spans="1:52" ht="24.75" customHeight="1" x14ac:dyDescent="0.35">
      <c r="A59" s="184"/>
      <c r="B59" s="185" t="e" cm="1">
        <f t="array" ref="B59">AND(ISTEXT('Consolidado-Eletronorte'!#REF!),SUM('Consolidado-Eletronorte'!#REF!)&gt;0)</f>
        <v>#REF!</v>
      </c>
      <c r="C59" s="186" t="str">
        <f t="shared" ca="1" si="3"/>
        <v>Capex Orcamentário_PE2026_2030_red_35_porcentoR3_consulta.xlsx</v>
      </c>
      <c r="D59" s="187" t="str">
        <f t="shared" si="4"/>
        <v>COO</v>
      </c>
      <c r="E59" s="187" t="str">
        <f t="shared" si="5"/>
        <v>Lucas Martins</v>
      </c>
      <c r="F59" s="188"/>
      <c r="G59" s="188" t="e">
        <f>_xlfn.CONCAT('Consolidado-Eletronorte'!#REF!,"_",ROW('Consolidado-Eletronorte'!#REF!)-ROW('Consolidado-Eletronorte'!$G$18))</f>
        <v>#REF!</v>
      </c>
      <c r="H59" s="279" t="s">
        <v>506</v>
      </c>
      <c r="I59" s="189" t="s">
        <v>507</v>
      </c>
      <c r="J59" s="190" t="s">
        <v>508</v>
      </c>
      <c r="K59" s="189" t="s">
        <v>1039</v>
      </c>
      <c r="L59" s="189" t="s">
        <v>1040</v>
      </c>
      <c r="M59" s="189" t="s">
        <v>577</v>
      </c>
      <c r="N59" s="189"/>
      <c r="O59" s="189"/>
      <c r="P59" s="189">
        <v>157189</v>
      </c>
      <c r="Q59" s="191" t="s">
        <v>283</v>
      </c>
      <c r="R59" s="191" t="s">
        <v>674</v>
      </c>
      <c r="S59" s="189" t="s">
        <v>276</v>
      </c>
      <c r="T59" s="229">
        <v>0</v>
      </c>
      <c r="U59" s="229">
        <v>0</v>
      </c>
      <c r="V59" s="229">
        <v>0</v>
      </c>
      <c r="W59" s="229">
        <v>0</v>
      </c>
      <c r="X59" s="229">
        <v>0</v>
      </c>
      <c r="Y59" s="229">
        <v>0</v>
      </c>
      <c r="Z59" s="229">
        <v>0</v>
      </c>
      <c r="AA59" s="229">
        <v>0</v>
      </c>
      <c r="AB59" s="229">
        <v>0</v>
      </c>
      <c r="AC59" s="229">
        <v>1500000</v>
      </c>
      <c r="AD59" s="229">
        <v>0</v>
      </c>
      <c r="AE59" s="229">
        <v>0</v>
      </c>
      <c r="AF59" s="229">
        <v>1500000</v>
      </c>
      <c r="AG59" s="229">
        <v>250000</v>
      </c>
      <c r="AH59" s="229">
        <v>0</v>
      </c>
      <c r="AI59" s="229">
        <v>0</v>
      </c>
      <c r="AJ59" s="229">
        <v>0</v>
      </c>
      <c r="AK59" s="229">
        <v>1750000</v>
      </c>
      <c r="AL59" s="229">
        <v>0</v>
      </c>
      <c r="AM59" s="229">
        <v>0</v>
      </c>
      <c r="AN59" s="229">
        <v>0</v>
      </c>
      <c r="AO59" s="229">
        <v>0</v>
      </c>
      <c r="AP59" s="229">
        <v>0</v>
      </c>
      <c r="AQ59" s="229">
        <v>1750000</v>
      </c>
      <c r="AR59" s="2">
        <v>67</v>
      </c>
      <c r="AS59" s="2" t="s">
        <v>279</v>
      </c>
      <c r="AT59" s="2" t="s">
        <v>1601</v>
      </c>
      <c r="AU59" s="2" t="s">
        <v>675</v>
      </c>
      <c r="AV59" s="2">
        <v>0</v>
      </c>
      <c r="AW59" s="2" t="s">
        <v>1810</v>
      </c>
      <c r="AZ59" s="2" t="str">
        <f>_xlfn.XLOOKUP(Tabela98[[#This Row],[Descrição do projeto]],[3]Geração!$G:$G,[3]Geração!$F:$F,,0,1)</f>
        <v>Alcides de Araujo Romao Neto</v>
      </c>
    </row>
    <row r="60" spans="1:52" ht="24.75" customHeight="1" x14ac:dyDescent="0.35">
      <c r="A60" s="184"/>
      <c r="B60" s="185" t="e" cm="1">
        <f t="array" ref="B60">AND(ISTEXT('Consolidado-Eletronorte'!#REF!),SUM('Consolidado-Eletronorte'!#REF!)&gt;0)</f>
        <v>#REF!</v>
      </c>
      <c r="C60" s="186" t="str">
        <f t="shared" ca="1" si="3"/>
        <v>Capex Orcamentário_PE2026_2030_red_35_porcentoR3_consulta.xlsx</v>
      </c>
      <c r="D60" s="187" t="str">
        <f t="shared" si="4"/>
        <v>COO</v>
      </c>
      <c r="E60" s="187" t="str">
        <f t="shared" si="5"/>
        <v>Lucas Martins</v>
      </c>
      <c r="F60" s="188"/>
      <c r="G60" s="188" t="e">
        <f>_xlfn.CONCAT('Consolidado-Eletronorte'!#REF!,"_",ROW('Consolidado-Eletronorte'!#REF!)-ROW('Consolidado-Eletronorte'!$G$18))</f>
        <v>#REF!</v>
      </c>
      <c r="H60" s="288" t="s">
        <v>506</v>
      </c>
      <c r="I60" s="189" t="s">
        <v>507</v>
      </c>
      <c r="J60" s="190" t="s">
        <v>508</v>
      </c>
      <c r="K60" s="189" t="s">
        <v>1039</v>
      </c>
      <c r="L60" s="189" t="s">
        <v>1040</v>
      </c>
      <c r="M60" s="189" t="s">
        <v>555</v>
      </c>
      <c r="N60" s="189"/>
      <c r="O60" s="189"/>
      <c r="P60" s="189" t="s">
        <v>511</v>
      </c>
      <c r="Q60" s="191" t="s">
        <v>390</v>
      </c>
      <c r="R60" s="191" t="s">
        <v>767</v>
      </c>
      <c r="S60" s="189" t="s">
        <v>319</v>
      </c>
      <c r="T60" s="229">
        <v>840000</v>
      </c>
      <c r="U60" s="229">
        <v>0</v>
      </c>
      <c r="V60" s="229">
        <v>840000</v>
      </c>
      <c r="W60" s="229">
        <v>0</v>
      </c>
      <c r="X60" s="229">
        <v>0</v>
      </c>
      <c r="Y60" s="229">
        <v>0</v>
      </c>
      <c r="Z60" s="229">
        <v>0</v>
      </c>
      <c r="AA60" s="229">
        <v>0</v>
      </c>
      <c r="AB60" s="229">
        <v>0</v>
      </c>
      <c r="AC60" s="229">
        <v>0</v>
      </c>
      <c r="AD60" s="229">
        <v>0</v>
      </c>
      <c r="AE60" s="229">
        <v>0</v>
      </c>
      <c r="AF60" s="229">
        <v>1680000</v>
      </c>
      <c r="AG60" s="229">
        <v>0</v>
      </c>
      <c r="AH60" s="229">
        <v>0</v>
      </c>
      <c r="AI60" s="229">
        <v>0</v>
      </c>
      <c r="AJ60" s="229">
        <v>0</v>
      </c>
      <c r="AK60" s="229">
        <v>1680000</v>
      </c>
      <c r="AL60" s="229">
        <v>0</v>
      </c>
      <c r="AM60" s="229">
        <v>0</v>
      </c>
      <c r="AN60" s="229">
        <v>0</v>
      </c>
      <c r="AO60" s="229">
        <v>0</v>
      </c>
      <c r="AP60" s="229">
        <v>0</v>
      </c>
      <c r="AQ60" s="229">
        <v>1680000</v>
      </c>
      <c r="AR60" s="2">
        <v>21</v>
      </c>
      <c r="AS60" s="208" t="s">
        <v>341</v>
      </c>
      <c r="AT60" s="2">
        <v>2025</v>
      </c>
      <c r="AU60" s="208" t="s">
        <v>768</v>
      </c>
      <c r="AV60" s="208" t="s">
        <v>764</v>
      </c>
      <c r="AW60" s="2" t="s">
        <v>1803</v>
      </c>
      <c r="AZ60" s="2" t="str">
        <f>_xlfn.XLOOKUP(Tabela98[[#This Row],[Descrição do projeto]],[3]Geração!$G:$G,[3]Geração!$F:$F,,0,1)</f>
        <v>Gilton Carlos De Andrade Furtado</v>
      </c>
    </row>
    <row r="61" spans="1:52" ht="24.75" customHeight="1" x14ac:dyDescent="0.35">
      <c r="A61" s="280"/>
      <c r="B61" s="185" t="e" cm="1">
        <f t="array" ref="B61">AND(ISTEXT('Consolidado-Eletronorte'!#REF!),SUM('Consolidado-Eletronorte'!#REF!)&gt;0)</f>
        <v>#REF!</v>
      </c>
      <c r="C61" s="281" t="str">
        <f t="shared" ca="1" si="3"/>
        <v>Capex Orcamentário_PE2026_2030_red_35_porcentoR3_consulta.xlsx</v>
      </c>
      <c r="D61" s="282" t="str">
        <f t="shared" si="4"/>
        <v>COO</v>
      </c>
      <c r="E61" s="282" t="str">
        <f t="shared" si="5"/>
        <v>Lucas Martins</v>
      </c>
      <c r="F61" s="283"/>
      <c r="G61" s="283" t="e">
        <f>_xlfn.CONCAT('Consolidado-Eletronorte'!#REF!,"_",ROW('Consolidado-Eletronorte'!#REF!)-ROW('Consolidado-Eletronorte'!$G$18))</f>
        <v>#REF!</v>
      </c>
      <c r="H61" s="284" t="s">
        <v>506</v>
      </c>
      <c r="I61" s="285" t="s">
        <v>507</v>
      </c>
      <c r="J61" s="286" t="s">
        <v>508</v>
      </c>
      <c r="K61" s="285" t="s">
        <v>1039</v>
      </c>
      <c r="L61" s="285" t="s">
        <v>1040</v>
      </c>
      <c r="M61" s="285" t="s">
        <v>577</v>
      </c>
      <c r="N61" s="285"/>
      <c r="O61" s="285"/>
      <c r="P61" s="285" t="s">
        <v>511</v>
      </c>
      <c r="Q61" s="287" t="s">
        <v>365</v>
      </c>
      <c r="R61" s="287" t="s">
        <v>714</v>
      </c>
      <c r="S61" s="285" t="s">
        <v>319</v>
      </c>
      <c r="T61" s="229">
        <v>0</v>
      </c>
      <c r="U61" s="229">
        <v>300000</v>
      </c>
      <c r="V61" s="229">
        <v>0</v>
      </c>
      <c r="W61" s="229">
        <v>700000</v>
      </c>
      <c r="X61" s="229">
        <v>0</v>
      </c>
      <c r="Y61" s="229">
        <v>0</v>
      </c>
      <c r="Z61" s="229">
        <v>0</v>
      </c>
      <c r="AA61" s="229">
        <v>0</v>
      </c>
      <c r="AB61" s="229">
        <v>0</v>
      </c>
      <c r="AC61" s="229">
        <v>0</v>
      </c>
      <c r="AD61" s="229">
        <v>0</v>
      </c>
      <c r="AE61" s="229">
        <v>0</v>
      </c>
      <c r="AF61" s="229">
        <v>1000000</v>
      </c>
      <c r="AG61" s="229">
        <v>500000</v>
      </c>
      <c r="AH61" s="229">
        <v>0</v>
      </c>
      <c r="AI61" s="229">
        <v>0</v>
      </c>
      <c r="AJ61" s="229">
        <v>0</v>
      </c>
      <c r="AK61" s="229">
        <v>1500000</v>
      </c>
      <c r="AL61" s="229">
        <v>0</v>
      </c>
      <c r="AM61" s="229">
        <v>0</v>
      </c>
      <c r="AN61" s="229">
        <v>0</v>
      </c>
      <c r="AO61" s="229">
        <v>0</v>
      </c>
      <c r="AP61" s="229">
        <v>0</v>
      </c>
      <c r="AQ61" s="229">
        <v>1500000</v>
      </c>
      <c r="AR61" s="2">
        <v>18</v>
      </c>
      <c r="AS61" s="2" t="s">
        <v>341</v>
      </c>
      <c r="AT61" s="2" t="s">
        <v>1601</v>
      </c>
      <c r="AU61" s="2" t="s">
        <v>715</v>
      </c>
      <c r="AV61" s="2">
        <v>0</v>
      </c>
      <c r="AW61" s="2" t="s">
        <v>1810</v>
      </c>
      <c r="AZ61" s="2" t="str">
        <f>_xlfn.XLOOKUP(Tabela98[[#This Row],[Descrição do projeto]],[3]Geração!$G:$G,[3]Geração!$F:$F,,0,1)</f>
        <v>Gilton Carlos De Andrade Furtado</v>
      </c>
    </row>
    <row r="62" spans="1:52" ht="24.75" customHeight="1" x14ac:dyDescent="0.35">
      <c r="A62" s="184"/>
      <c r="B62" s="185" t="e" cm="1">
        <f t="array" ref="B62">AND(ISTEXT('Consolidado-Eletronorte'!#REF!),SUM('Consolidado-Eletronorte'!#REF!)&gt;0)</f>
        <v>#REF!</v>
      </c>
      <c r="C62" s="186" t="str">
        <f t="shared" ca="1" si="3"/>
        <v>Capex Orcamentário_PE2026_2030_red_35_porcentoR3_consulta.xlsx</v>
      </c>
      <c r="D62" s="187" t="str">
        <f t="shared" si="4"/>
        <v>COO</v>
      </c>
      <c r="E62" s="187" t="str">
        <f t="shared" si="5"/>
        <v>Lucas Martins</v>
      </c>
      <c r="F62" s="188"/>
      <c r="G62" s="188" t="e">
        <f>_xlfn.CONCAT('Consolidado-Eletronorte'!#REF!,"_",ROW('Consolidado-Eletronorte'!#REF!)-ROW('Consolidado-Eletronorte'!$G$18))</f>
        <v>#REF!</v>
      </c>
      <c r="H62" s="279" t="s">
        <v>506</v>
      </c>
      <c r="I62" s="189" t="s">
        <v>507</v>
      </c>
      <c r="J62" s="190" t="s">
        <v>508</v>
      </c>
      <c r="K62" s="189" t="s">
        <v>1039</v>
      </c>
      <c r="L62" s="189" t="s">
        <v>1040</v>
      </c>
      <c r="M62" s="189" t="s">
        <v>555</v>
      </c>
      <c r="N62" s="189"/>
      <c r="O62" s="189"/>
      <c r="P62" s="189" t="s">
        <v>511</v>
      </c>
      <c r="Q62" s="191" t="s">
        <v>397</v>
      </c>
      <c r="R62" s="191" t="s">
        <v>397</v>
      </c>
      <c r="S62" s="189" t="s">
        <v>319</v>
      </c>
      <c r="T62" s="229">
        <v>0</v>
      </c>
      <c r="U62" s="229">
        <v>0</v>
      </c>
      <c r="V62" s="229">
        <v>0</v>
      </c>
      <c r="W62" s="229">
        <v>0</v>
      </c>
      <c r="X62" s="229">
        <v>0</v>
      </c>
      <c r="Y62" s="229">
        <v>0</v>
      </c>
      <c r="Z62" s="229">
        <v>0</v>
      </c>
      <c r="AA62" s="229">
        <v>200000</v>
      </c>
      <c r="AB62" s="229">
        <v>300000</v>
      </c>
      <c r="AC62" s="229">
        <v>0</v>
      </c>
      <c r="AD62" s="229">
        <v>500000</v>
      </c>
      <c r="AE62" s="229">
        <v>0</v>
      </c>
      <c r="AF62" s="229">
        <v>1000000</v>
      </c>
      <c r="AG62" s="229">
        <v>500000</v>
      </c>
      <c r="AH62" s="229">
        <v>0</v>
      </c>
      <c r="AI62" s="229">
        <v>0</v>
      </c>
      <c r="AJ62" s="229">
        <v>0</v>
      </c>
      <c r="AK62" s="229">
        <v>1500000</v>
      </c>
      <c r="AL62" s="229">
        <v>0</v>
      </c>
      <c r="AM62" s="229">
        <v>0</v>
      </c>
      <c r="AN62" s="229">
        <v>0</v>
      </c>
      <c r="AO62" s="229">
        <v>0</v>
      </c>
      <c r="AP62" s="229">
        <v>0</v>
      </c>
      <c r="AQ62" s="229">
        <v>1500000</v>
      </c>
      <c r="AR62" s="2">
        <v>103</v>
      </c>
      <c r="AS62" s="2" t="s">
        <v>382</v>
      </c>
      <c r="AT62" s="2">
        <v>2025</v>
      </c>
      <c r="AU62" s="2" t="s">
        <v>725</v>
      </c>
      <c r="AV62" s="2" t="s">
        <v>726</v>
      </c>
      <c r="AW62" s="2" t="s">
        <v>1810</v>
      </c>
      <c r="AZ62" s="2" t="str">
        <f>_xlfn.XLOOKUP(Tabela98[[#This Row],[Descrição do projeto]],[3]Geração!$G:$G,[3]Geração!$F:$F,,0,1)</f>
        <v>Albert Ferraz Botelho Da Silva</v>
      </c>
    </row>
    <row r="63" spans="1:52" ht="24.75" hidden="1" customHeight="1" x14ac:dyDescent="0.35">
      <c r="A63" s="184"/>
      <c r="B63" s="185" t="e" cm="1">
        <f t="array" ref="B63">AND(ISTEXT('Consolidado-Eletronorte'!#REF!),SUM('Consolidado-Eletronorte'!#REF!)&gt;0)</f>
        <v>#REF!</v>
      </c>
      <c r="C63" s="186" t="str">
        <f t="shared" ca="1" si="3"/>
        <v>Capex Orcamentário_PE2026_2030_red_35_porcentoR3_consulta.xlsx</v>
      </c>
      <c r="D63" s="187" t="str">
        <f t="shared" si="4"/>
        <v>COO</v>
      </c>
      <c r="E63" s="187" t="str">
        <f t="shared" si="5"/>
        <v>Lucas Martins</v>
      </c>
      <c r="F63" s="188"/>
      <c r="G63" s="188" t="e">
        <f>_xlfn.CONCAT('Consolidado-Eletronorte'!#REF!,"_",ROW('Consolidado-Eletronorte'!#REF!)-ROW('Consolidado-Eletronorte'!$G$18))</f>
        <v>#REF!</v>
      </c>
      <c r="H63" s="279" t="s">
        <v>506</v>
      </c>
      <c r="I63" s="189" t="s">
        <v>507</v>
      </c>
      <c r="J63" s="190" t="s">
        <v>508</v>
      </c>
      <c r="K63" s="189" t="s">
        <v>1039</v>
      </c>
      <c r="L63" s="189" t="s">
        <v>622</v>
      </c>
      <c r="M63" s="189" t="s">
        <v>733</v>
      </c>
      <c r="N63" s="189"/>
      <c r="O63" s="189"/>
      <c r="P63" s="189" t="s">
        <v>511</v>
      </c>
      <c r="Q63" s="191" t="s">
        <v>343</v>
      </c>
      <c r="R63" s="191" t="s">
        <v>735</v>
      </c>
      <c r="S63" s="189" t="s">
        <v>344</v>
      </c>
      <c r="T63" s="229">
        <v>0</v>
      </c>
      <c r="U63" s="229">
        <v>237500</v>
      </c>
      <c r="V63" s="229">
        <v>0</v>
      </c>
      <c r="W63" s="229">
        <v>0</v>
      </c>
      <c r="X63" s="229">
        <v>237500</v>
      </c>
      <c r="Y63" s="229">
        <v>0</v>
      </c>
      <c r="Z63" s="229">
        <v>0</v>
      </c>
      <c r="AA63" s="229">
        <v>237500</v>
      </c>
      <c r="AB63" s="229">
        <v>0</v>
      </c>
      <c r="AC63" s="229">
        <v>0</v>
      </c>
      <c r="AD63" s="229">
        <v>237500</v>
      </c>
      <c r="AE63" s="229">
        <v>0</v>
      </c>
      <c r="AF63" s="229">
        <v>950000</v>
      </c>
      <c r="AG63" s="229">
        <v>1000000</v>
      </c>
      <c r="AH63" s="229">
        <v>100000</v>
      </c>
      <c r="AI63" s="229">
        <v>0</v>
      </c>
      <c r="AJ63" s="229">
        <v>0</v>
      </c>
      <c r="AK63" s="229">
        <v>2050000</v>
      </c>
      <c r="AL63" s="229">
        <v>0</v>
      </c>
      <c r="AM63" s="229">
        <v>0</v>
      </c>
      <c r="AN63" s="229">
        <v>0</v>
      </c>
      <c r="AO63" s="229">
        <v>0</v>
      </c>
      <c r="AP63" s="229">
        <v>0</v>
      </c>
      <c r="AQ63" s="229">
        <v>2050000</v>
      </c>
      <c r="AR63" s="2">
        <v>120</v>
      </c>
      <c r="AS63" s="2" t="s">
        <v>261</v>
      </c>
      <c r="AT63" s="2">
        <v>2025</v>
      </c>
      <c r="AU63" s="2" t="s">
        <v>736</v>
      </c>
      <c r="AV63" s="2" t="s">
        <v>737</v>
      </c>
      <c r="AW63" s="2" t="s">
        <v>1810</v>
      </c>
      <c r="AZ63" s="2" t="e">
        <f>_xlfn.XLOOKUP(Tabela98[[#This Row],[Descrição do projeto]],[3]Geração!$G:$G,[3]Geração!$F:$F,,0,1)</f>
        <v>#N/A</v>
      </c>
    </row>
    <row r="64" spans="1:52" ht="24.75" customHeight="1" x14ac:dyDescent="0.35">
      <c r="A64" s="184"/>
      <c r="B64" s="185" t="e" cm="1">
        <f t="array" ref="B64">AND(ISTEXT('Consolidado-Eletronorte'!#REF!),SUM('Consolidado-Eletronorte'!#REF!)&gt;0)</f>
        <v>#REF!</v>
      </c>
      <c r="C64" s="186" t="str">
        <f t="shared" ca="1" si="3"/>
        <v>Capex Orcamentário_PE2026_2030_red_35_porcentoR3_consulta.xlsx</v>
      </c>
      <c r="D64" s="187" t="str">
        <f t="shared" si="4"/>
        <v>COO</v>
      </c>
      <c r="E64" s="187" t="str">
        <f t="shared" si="5"/>
        <v>Lucas Martins</v>
      </c>
      <c r="F64" s="188"/>
      <c r="G64" s="188" t="e">
        <f>_xlfn.CONCAT('Consolidado-Eletronorte'!#REF!,"_",ROW('Consolidado-Eletronorte'!#REF!)-ROW('Consolidado-Eletronorte'!$G$18))</f>
        <v>#REF!</v>
      </c>
      <c r="H64" s="279" t="s">
        <v>506</v>
      </c>
      <c r="I64" s="189" t="s">
        <v>507</v>
      </c>
      <c r="J64" s="190" t="s">
        <v>508</v>
      </c>
      <c r="K64" s="189" t="s">
        <v>1039</v>
      </c>
      <c r="L64" s="189" t="s">
        <v>1040</v>
      </c>
      <c r="M64" s="189" t="s">
        <v>526</v>
      </c>
      <c r="N64" s="189"/>
      <c r="O64" s="189"/>
      <c r="P64" s="189" t="s">
        <v>511</v>
      </c>
      <c r="Q64" s="191" t="s">
        <v>415</v>
      </c>
      <c r="R64" s="191" t="s">
        <v>700</v>
      </c>
      <c r="S64" s="189" t="s">
        <v>319</v>
      </c>
      <c r="T64" s="229">
        <v>0</v>
      </c>
      <c r="U64" s="229">
        <v>0</v>
      </c>
      <c r="V64" s="229">
        <v>0</v>
      </c>
      <c r="W64" s="229">
        <v>0</v>
      </c>
      <c r="X64" s="229">
        <v>0</v>
      </c>
      <c r="Y64" s="229">
        <v>0</v>
      </c>
      <c r="Z64" s="229">
        <v>0</v>
      </c>
      <c r="AA64" s="229">
        <v>1000000</v>
      </c>
      <c r="AB64" s="229">
        <v>0</v>
      </c>
      <c r="AC64" s="229">
        <v>0</v>
      </c>
      <c r="AD64" s="229">
        <v>0</v>
      </c>
      <c r="AE64" s="229">
        <v>0</v>
      </c>
      <c r="AF64" s="229">
        <v>1000000</v>
      </c>
      <c r="AG64" s="229">
        <v>500000</v>
      </c>
      <c r="AH64" s="229">
        <v>0</v>
      </c>
      <c r="AI64" s="229">
        <v>0</v>
      </c>
      <c r="AJ64" s="229">
        <v>0</v>
      </c>
      <c r="AK64" s="229">
        <v>1500000</v>
      </c>
      <c r="AL64" s="229">
        <v>0</v>
      </c>
      <c r="AM64" s="229">
        <v>0</v>
      </c>
      <c r="AN64" s="229">
        <v>0</v>
      </c>
      <c r="AO64" s="229">
        <v>0</v>
      </c>
      <c r="AP64" s="229">
        <v>0</v>
      </c>
      <c r="AQ64" s="229">
        <v>1500000</v>
      </c>
      <c r="AR64" s="2">
        <v>99</v>
      </c>
      <c r="AS64" s="208" t="s">
        <v>1811</v>
      </c>
      <c r="AT64" s="2">
        <v>2025</v>
      </c>
      <c r="AU64" s="209" t="s">
        <v>701</v>
      </c>
      <c r="AV64" t="s">
        <v>1816</v>
      </c>
      <c r="AW64" s="2" t="s">
        <v>1810</v>
      </c>
      <c r="AZ64" s="2" t="e">
        <f>_xlfn.XLOOKUP(Tabela98[[#This Row],[Descrição do projeto]],[3]Geração!$G:$G,[3]Geração!$F:$F,,0,1)</f>
        <v>#N/A</v>
      </c>
    </row>
    <row r="65" spans="1:52" ht="24.75" customHeight="1" x14ac:dyDescent="0.35">
      <c r="A65" s="184"/>
      <c r="B65" s="185" t="e" cm="1">
        <f t="array" ref="B65">AND(ISTEXT('Consolidado-Eletronorte'!#REF!),SUM('Consolidado-Eletronorte'!#REF!)&gt;0)</f>
        <v>#REF!</v>
      </c>
      <c r="C65" s="186" t="str">
        <f t="shared" ca="1" si="3"/>
        <v>Capex Orcamentário_PE2026_2030_red_35_porcentoR3_consulta.xlsx</v>
      </c>
      <c r="D65" s="187" t="str">
        <f t="shared" si="4"/>
        <v>COO</v>
      </c>
      <c r="E65" s="187" t="str">
        <f t="shared" si="5"/>
        <v>Lucas Martins</v>
      </c>
      <c r="F65" s="188"/>
      <c r="G65" s="188" t="e">
        <f>_xlfn.CONCAT('Consolidado-Eletronorte'!#REF!,"_",ROW('Consolidado-Eletronorte'!#REF!)-ROW('Consolidado-Eletronorte'!$G$18))</f>
        <v>#REF!</v>
      </c>
      <c r="H65" s="279" t="s">
        <v>506</v>
      </c>
      <c r="I65" s="189" t="s">
        <v>507</v>
      </c>
      <c r="J65" s="190" t="s">
        <v>508</v>
      </c>
      <c r="K65" s="189" t="s">
        <v>1039</v>
      </c>
      <c r="L65" s="189" t="s">
        <v>1040</v>
      </c>
      <c r="M65" s="189" t="s">
        <v>577</v>
      </c>
      <c r="N65" s="189"/>
      <c r="O65" s="189"/>
      <c r="P65" s="189" t="s">
        <v>587</v>
      </c>
      <c r="Q65" s="191" t="s">
        <v>176</v>
      </c>
      <c r="R65" s="191" t="s">
        <v>851</v>
      </c>
      <c r="S65" s="189" t="s">
        <v>158</v>
      </c>
      <c r="T65" s="229">
        <v>0</v>
      </c>
      <c r="U65" s="229">
        <v>0</v>
      </c>
      <c r="V65" s="229">
        <v>0</v>
      </c>
      <c r="W65" s="229">
        <v>0</v>
      </c>
      <c r="X65" s="229">
        <v>0</v>
      </c>
      <c r="Y65" s="229">
        <v>0</v>
      </c>
      <c r="Z65" s="229">
        <v>0</v>
      </c>
      <c r="AA65" s="229">
        <v>0</v>
      </c>
      <c r="AB65" s="229">
        <v>0</v>
      </c>
      <c r="AC65" s="229">
        <v>0</v>
      </c>
      <c r="AD65" s="229">
        <v>0</v>
      </c>
      <c r="AE65" s="229">
        <v>0</v>
      </c>
      <c r="AF65" s="229">
        <v>0</v>
      </c>
      <c r="AG65" s="229">
        <v>500000</v>
      </c>
      <c r="AH65" s="229">
        <v>1000000</v>
      </c>
      <c r="AI65" s="229">
        <v>0</v>
      </c>
      <c r="AJ65" s="229">
        <v>0</v>
      </c>
      <c r="AK65" s="229">
        <v>1500000</v>
      </c>
      <c r="AL65" s="229">
        <v>0</v>
      </c>
      <c r="AM65" s="229">
        <v>0</v>
      </c>
      <c r="AN65" s="229">
        <v>0</v>
      </c>
      <c r="AO65" s="229">
        <v>0</v>
      </c>
      <c r="AP65" s="229">
        <v>0</v>
      </c>
      <c r="AQ65" s="229">
        <v>1500000</v>
      </c>
      <c r="AR65" s="2">
        <v>72</v>
      </c>
      <c r="AS65" s="2" t="s">
        <v>159</v>
      </c>
      <c r="AT65" s="2" t="s">
        <v>1601</v>
      </c>
      <c r="AU65" s="2" t="s">
        <v>852</v>
      </c>
      <c r="AV65" s="2">
        <v>0</v>
      </c>
      <c r="AW65" s="2" t="s">
        <v>1810</v>
      </c>
      <c r="AZ65" s="2" t="str">
        <f>_xlfn.XLOOKUP(Tabela98[[#This Row],[Descrição do projeto]],[3]Geração!$G:$G,[3]Geração!$F:$F,,0,1)</f>
        <v>Milton Pereira Menezes</v>
      </c>
    </row>
    <row r="66" spans="1:52" ht="24.75" customHeight="1" x14ac:dyDescent="0.35">
      <c r="A66" s="184"/>
      <c r="B66" s="185" t="e" cm="1">
        <f t="array" ref="B66">AND(ISTEXT('Consolidado-Eletronorte'!#REF!),SUM('Consolidado-Eletronorte'!#REF!)&gt;0)</f>
        <v>#REF!</v>
      </c>
      <c r="C66" s="186" t="str">
        <f t="shared" ca="1" si="3"/>
        <v>Capex Orcamentário_PE2026_2030_red_35_porcentoR3_consulta.xlsx</v>
      </c>
      <c r="D66" s="187" t="str">
        <f t="shared" si="4"/>
        <v>COO</v>
      </c>
      <c r="E66" s="187" t="str">
        <f t="shared" si="5"/>
        <v>Lucas Martins</v>
      </c>
      <c r="F66" s="188"/>
      <c r="G66" s="188" t="e">
        <f>_xlfn.CONCAT('Consolidado-Eletronorte'!#REF!,"_",ROW('Consolidado-Eletronorte'!#REF!)-ROW('Consolidado-Eletronorte'!$G$18))</f>
        <v>#REF!</v>
      </c>
      <c r="H66" s="279" t="s">
        <v>506</v>
      </c>
      <c r="I66" s="189" t="s">
        <v>507</v>
      </c>
      <c r="J66" s="190" t="s">
        <v>508</v>
      </c>
      <c r="K66" s="189" t="s">
        <v>1039</v>
      </c>
      <c r="L66" s="189" t="s">
        <v>1040</v>
      </c>
      <c r="M66" s="189" t="s">
        <v>577</v>
      </c>
      <c r="N66" s="189"/>
      <c r="O66" s="189"/>
      <c r="P66" s="189" t="s">
        <v>587</v>
      </c>
      <c r="Q66" s="191" t="s">
        <v>174</v>
      </c>
      <c r="R66" s="191" t="s">
        <v>853</v>
      </c>
      <c r="S66" s="189" t="s">
        <v>158</v>
      </c>
      <c r="T66" s="229">
        <v>0</v>
      </c>
      <c r="U66" s="229">
        <v>0</v>
      </c>
      <c r="V66" s="229">
        <v>0</v>
      </c>
      <c r="W66" s="229">
        <v>0</v>
      </c>
      <c r="X66" s="229">
        <v>0</v>
      </c>
      <c r="Y66" s="229">
        <v>0</v>
      </c>
      <c r="Z66" s="229">
        <v>0</v>
      </c>
      <c r="AA66" s="229">
        <v>0</v>
      </c>
      <c r="AB66" s="229">
        <v>0</v>
      </c>
      <c r="AC66" s="229">
        <v>0</v>
      </c>
      <c r="AD66" s="229">
        <v>0</v>
      </c>
      <c r="AE66" s="229">
        <v>0</v>
      </c>
      <c r="AF66" s="229">
        <v>0</v>
      </c>
      <c r="AG66" s="229">
        <v>1200000</v>
      </c>
      <c r="AH66" s="229">
        <v>300000</v>
      </c>
      <c r="AI66" s="229">
        <v>0</v>
      </c>
      <c r="AJ66" s="229">
        <v>0</v>
      </c>
      <c r="AK66" s="229">
        <v>1500000</v>
      </c>
      <c r="AL66" s="229">
        <v>0</v>
      </c>
      <c r="AM66" s="229">
        <v>0</v>
      </c>
      <c r="AN66" s="229">
        <v>0</v>
      </c>
      <c r="AO66" s="229">
        <v>0</v>
      </c>
      <c r="AP66" s="229">
        <v>0</v>
      </c>
      <c r="AQ66" s="229">
        <v>1500000</v>
      </c>
      <c r="AR66" s="2">
        <v>76</v>
      </c>
      <c r="AS66" s="208" t="s">
        <v>159</v>
      </c>
      <c r="AT66" s="208" t="s">
        <v>1601</v>
      </c>
      <c r="AU66" s="2" t="s">
        <v>854</v>
      </c>
      <c r="AV66" s="2">
        <v>0</v>
      </c>
      <c r="AW66" s="2" t="s">
        <v>1810</v>
      </c>
      <c r="AZ66" s="2" t="str">
        <f>_xlfn.XLOOKUP(Tabela98[[#This Row],[Descrição do projeto]],[3]Geração!$G:$G,[3]Geração!$F:$F,,0,1)</f>
        <v>Milton Pereira Menezes</v>
      </c>
    </row>
    <row r="67" spans="1:52" ht="24.75" customHeight="1" x14ac:dyDescent="0.35">
      <c r="A67" s="184"/>
      <c r="B67" s="185" t="e" cm="1">
        <f t="array" ref="B67">AND(ISTEXT('Consolidado-Eletronorte'!#REF!),SUM('Consolidado-Eletronorte'!#REF!)&gt;0)</f>
        <v>#REF!</v>
      </c>
      <c r="C67" s="186" t="str">
        <f t="shared" ca="1" si="3"/>
        <v>Capex Orcamentário_PE2026_2030_red_35_porcentoR3_consulta.xlsx</v>
      </c>
      <c r="D67" s="187" t="str">
        <f t="shared" si="4"/>
        <v>COO</v>
      </c>
      <c r="E67" s="187" t="str">
        <f t="shared" si="5"/>
        <v>Lucas Martins</v>
      </c>
      <c r="F67" s="188"/>
      <c r="G67" s="188" t="e">
        <f>_xlfn.CONCAT('Consolidado-Eletronorte'!#REF!,"_",ROW('Consolidado-Eletronorte'!#REF!)-ROW('Consolidado-Eletronorte'!$G$18))</f>
        <v>#REF!</v>
      </c>
      <c r="H67" s="279" t="s">
        <v>506</v>
      </c>
      <c r="I67" s="189" t="s">
        <v>507</v>
      </c>
      <c r="J67" s="190" t="s">
        <v>508</v>
      </c>
      <c r="K67" s="189" t="s">
        <v>1039</v>
      </c>
      <c r="L67" s="189" t="s">
        <v>1040</v>
      </c>
      <c r="M67" s="189" t="s">
        <v>555</v>
      </c>
      <c r="N67" s="189"/>
      <c r="O67" s="189"/>
      <c r="P67" s="189" t="s">
        <v>511</v>
      </c>
      <c r="Q67" s="191" t="s">
        <v>399</v>
      </c>
      <c r="R67" s="191" t="s">
        <v>778</v>
      </c>
      <c r="S67" s="189" t="s">
        <v>319</v>
      </c>
      <c r="T67" s="229">
        <v>0</v>
      </c>
      <c r="U67" s="229">
        <v>0</v>
      </c>
      <c r="V67" s="229">
        <v>0</v>
      </c>
      <c r="W67" s="229">
        <v>0</v>
      </c>
      <c r="X67" s="229">
        <v>0</v>
      </c>
      <c r="Y67" s="229">
        <v>0</v>
      </c>
      <c r="Z67" s="229">
        <v>0</v>
      </c>
      <c r="AA67" s="229">
        <v>0</v>
      </c>
      <c r="AB67" s="229">
        <v>0</v>
      </c>
      <c r="AC67" s="229">
        <v>300000</v>
      </c>
      <c r="AD67" s="229">
        <v>0</v>
      </c>
      <c r="AE67" s="229">
        <v>350000</v>
      </c>
      <c r="AF67" s="229">
        <v>650000</v>
      </c>
      <c r="AG67" s="229">
        <v>750000</v>
      </c>
      <c r="AH67" s="229">
        <v>0</v>
      </c>
      <c r="AI67" s="229">
        <v>0</v>
      </c>
      <c r="AJ67" s="229">
        <v>0</v>
      </c>
      <c r="AK67" s="229">
        <v>1400000</v>
      </c>
      <c r="AL67" s="229">
        <v>0</v>
      </c>
      <c r="AM67" s="229">
        <v>0</v>
      </c>
      <c r="AN67" s="229">
        <v>0</v>
      </c>
      <c r="AO67" s="229">
        <v>0</v>
      </c>
      <c r="AP67" s="229">
        <v>0</v>
      </c>
      <c r="AQ67" s="229">
        <v>1400000</v>
      </c>
      <c r="AR67" s="2">
        <v>102</v>
      </c>
      <c r="AS67" s="2" t="s">
        <v>341</v>
      </c>
      <c r="AT67" s="2">
        <v>2025</v>
      </c>
      <c r="AU67" s="2" t="s">
        <v>779</v>
      </c>
      <c r="AV67" s="2" t="s">
        <v>780</v>
      </c>
      <c r="AW67" s="2" t="s">
        <v>1810</v>
      </c>
      <c r="AZ67" s="2" t="str">
        <f>_xlfn.XLOOKUP(Tabela98[[#This Row],[Descrição do projeto]],[3]Geração!$G:$G,[3]Geração!$F:$F,,0,1)</f>
        <v>Gilton Carlos De Andrade Furtado</v>
      </c>
    </row>
    <row r="68" spans="1:52" ht="24.75" customHeight="1" x14ac:dyDescent="0.35">
      <c r="A68" s="280"/>
      <c r="B68" s="185" t="e" cm="1">
        <f t="array" ref="B68">AND(ISTEXT('Consolidado-Eletronorte'!#REF!),SUM('Consolidado-Eletronorte'!#REF!)&gt;0)</f>
        <v>#REF!</v>
      </c>
      <c r="C68" s="281" t="str">
        <f t="shared" ca="1" si="3"/>
        <v>Capex Orcamentário_PE2026_2030_red_35_porcentoR3_consulta.xlsx</v>
      </c>
      <c r="D68" s="282" t="str">
        <f t="shared" si="4"/>
        <v>COO</v>
      </c>
      <c r="E68" s="282" t="str">
        <f t="shared" si="5"/>
        <v>Lucas Martins</v>
      </c>
      <c r="F68" s="283"/>
      <c r="G68" s="283" t="e">
        <f>_xlfn.CONCAT('Consolidado-Eletronorte'!#REF!,"_",ROW('Consolidado-Eletronorte'!#REF!)-ROW('Consolidado-Eletronorte'!$G$18))</f>
        <v>#REF!</v>
      </c>
      <c r="H68" s="284" t="s">
        <v>506</v>
      </c>
      <c r="I68" s="285" t="s">
        <v>507</v>
      </c>
      <c r="J68" s="286" t="s">
        <v>508</v>
      </c>
      <c r="K68" s="285" t="s">
        <v>1039</v>
      </c>
      <c r="L68" s="285" t="s">
        <v>1040</v>
      </c>
      <c r="M68" s="285" t="s">
        <v>555</v>
      </c>
      <c r="N68" s="285"/>
      <c r="O68" s="285"/>
      <c r="P68" s="285" t="s">
        <v>511</v>
      </c>
      <c r="Q68" s="287" t="s">
        <v>401</v>
      </c>
      <c r="R68" s="287" t="s">
        <v>781</v>
      </c>
      <c r="S68" s="285" t="s">
        <v>319</v>
      </c>
      <c r="T68" s="229">
        <v>0</v>
      </c>
      <c r="U68" s="229">
        <v>0</v>
      </c>
      <c r="V68" s="229">
        <v>0</v>
      </c>
      <c r="W68" s="229">
        <v>0</v>
      </c>
      <c r="X68" s="229">
        <v>0</v>
      </c>
      <c r="Y68" s="229">
        <v>0</v>
      </c>
      <c r="Z68" s="229">
        <v>0</v>
      </c>
      <c r="AA68" s="229">
        <v>395000</v>
      </c>
      <c r="AB68" s="229">
        <v>0</v>
      </c>
      <c r="AC68" s="229">
        <v>0</v>
      </c>
      <c r="AD68" s="229">
        <v>300254.2</v>
      </c>
      <c r="AE68" s="229">
        <v>0</v>
      </c>
      <c r="AF68" s="229">
        <v>695254.20000000007</v>
      </c>
      <c r="AG68" s="229">
        <v>695254.2</v>
      </c>
      <c r="AH68" s="229">
        <v>0</v>
      </c>
      <c r="AI68" s="229">
        <v>0</v>
      </c>
      <c r="AJ68" s="229">
        <v>0</v>
      </c>
      <c r="AK68" s="229">
        <v>1390508.4000000001</v>
      </c>
      <c r="AL68" s="229">
        <v>0</v>
      </c>
      <c r="AM68" s="229">
        <v>0</v>
      </c>
      <c r="AN68" s="229">
        <v>0</v>
      </c>
      <c r="AO68" s="229">
        <v>0</v>
      </c>
      <c r="AP68" s="229">
        <v>0</v>
      </c>
      <c r="AQ68" s="229">
        <v>1390508.4000000001</v>
      </c>
      <c r="AR68" s="2">
        <v>22</v>
      </c>
      <c r="AS68" s="2" t="s">
        <v>341</v>
      </c>
      <c r="AT68" s="2" t="s">
        <v>1601</v>
      </c>
      <c r="AU68" s="2" t="s">
        <v>782</v>
      </c>
      <c r="AV68" s="2">
        <v>0</v>
      </c>
      <c r="AW68" s="2" t="s">
        <v>1810</v>
      </c>
      <c r="AZ68" s="2" t="str">
        <f>_xlfn.XLOOKUP(Tabela98[[#This Row],[Descrição do projeto]],[3]Geração!$G:$G,[3]Geração!$F:$F,,0,1)</f>
        <v>Gilton Carlos De Andrade Furtado</v>
      </c>
    </row>
    <row r="69" spans="1:52" ht="24.75" customHeight="1" x14ac:dyDescent="0.35">
      <c r="A69" s="280"/>
      <c r="B69" s="185" t="e" cm="1">
        <f t="array" ref="B69">AND(ISTEXT('Consolidado-Eletronorte'!#REF!),SUM('Consolidado-Eletronorte'!#REF!)&gt;0)</f>
        <v>#REF!</v>
      </c>
      <c r="C69" s="281" t="str">
        <f t="shared" ca="1" si="3"/>
        <v>Capex Orcamentário_PE2026_2030_red_35_porcentoR3_consulta.xlsx</v>
      </c>
      <c r="D69" s="282" t="str">
        <f t="shared" si="4"/>
        <v>COO</v>
      </c>
      <c r="E69" s="282" t="str">
        <f t="shared" si="5"/>
        <v>Lucas Martins</v>
      </c>
      <c r="F69" s="283"/>
      <c r="G69" s="283" t="e">
        <f>_xlfn.CONCAT('Consolidado-Eletronorte'!#REF!,"_",ROW('Consolidado-Eletronorte'!#REF!)-ROW('Consolidado-Eletronorte'!$G$18))</f>
        <v>#REF!</v>
      </c>
      <c r="H69" s="284" t="s">
        <v>506</v>
      </c>
      <c r="I69" s="285" t="s">
        <v>507</v>
      </c>
      <c r="J69" s="286" t="s">
        <v>508</v>
      </c>
      <c r="K69" s="285" t="s">
        <v>1039</v>
      </c>
      <c r="L69" s="285" t="s">
        <v>1040</v>
      </c>
      <c r="M69" s="285" t="s">
        <v>577</v>
      </c>
      <c r="N69" s="285"/>
      <c r="O69" s="285"/>
      <c r="P69" s="285" t="s">
        <v>587</v>
      </c>
      <c r="Q69" s="287" t="s">
        <v>153</v>
      </c>
      <c r="R69" s="287" t="s">
        <v>783</v>
      </c>
      <c r="S69" s="285" t="s">
        <v>154</v>
      </c>
      <c r="T69" s="229">
        <v>0</v>
      </c>
      <c r="U69" s="229">
        <v>0</v>
      </c>
      <c r="V69" s="229">
        <v>0</v>
      </c>
      <c r="W69" s="229">
        <v>0</v>
      </c>
      <c r="X69" s="229">
        <v>100000</v>
      </c>
      <c r="Y69" s="229">
        <v>0</v>
      </c>
      <c r="Z69" s="229">
        <v>0</v>
      </c>
      <c r="AA69" s="229">
        <v>0</v>
      </c>
      <c r="AB69" s="229">
        <v>100000</v>
      </c>
      <c r="AC69" s="229">
        <v>0</v>
      </c>
      <c r="AD69" s="229">
        <v>0</v>
      </c>
      <c r="AE69" s="229">
        <v>0</v>
      </c>
      <c r="AF69" s="229">
        <v>200000</v>
      </c>
      <c r="AG69" s="229">
        <v>650000</v>
      </c>
      <c r="AH69" s="229">
        <v>466666.67</v>
      </c>
      <c r="AI69" s="229">
        <v>0</v>
      </c>
      <c r="AJ69" s="229">
        <v>0</v>
      </c>
      <c r="AK69" s="229">
        <v>1316666.6700000002</v>
      </c>
      <c r="AL69" s="229">
        <v>0</v>
      </c>
      <c r="AM69" s="229">
        <v>0</v>
      </c>
      <c r="AN69" s="229">
        <v>0</v>
      </c>
      <c r="AO69" s="229">
        <v>0</v>
      </c>
      <c r="AP69" s="229">
        <v>0</v>
      </c>
      <c r="AQ69" s="229">
        <v>1316666.6700000002</v>
      </c>
      <c r="AR69" s="2">
        <v>26</v>
      </c>
      <c r="AS69" s="2" t="s">
        <v>159</v>
      </c>
      <c r="AT69" s="2" t="s">
        <v>1601</v>
      </c>
      <c r="AU69" s="2" t="s">
        <v>784</v>
      </c>
      <c r="AV69" s="2">
        <v>0</v>
      </c>
      <c r="AW69" s="2" t="s">
        <v>1810</v>
      </c>
      <c r="AZ69" s="2" t="str">
        <f>_xlfn.XLOOKUP(Tabela98[[#This Row],[Descrição do projeto]],[3]Geração!$G:$G,[3]Geração!$F:$F,,0,1)</f>
        <v>Frederico Rodolfo Parente Doerner</v>
      </c>
    </row>
    <row r="70" spans="1:52" ht="24.75" customHeight="1" x14ac:dyDescent="0.35">
      <c r="A70" s="184"/>
      <c r="B70" s="185" t="e" cm="1">
        <f t="array" ref="B70">AND(ISTEXT('Consolidado-Eletronorte'!#REF!),SUM('Consolidado-Eletronorte'!#REF!)&gt;0)</f>
        <v>#REF!</v>
      </c>
      <c r="C70" s="186" t="str">
        <f t="shared" ca="1" si="3"/>
        <v>Capex Orcamentário_PE2026_2030_red_35_porcentoR3_consulta.xlsx</v>
      </c>
      <c r="D70" s="187" t="str">
        <f t="shared" si="4"/>
        <v>COO</v>
      </c>
      <c r="E70" s="187" t="str">
        <f t="shared" si="5"/>
        <v>Lucas Martins</v>
      </c>
      <c r="F70" s="188"/>
      <c r="G70" s="188" t="e">
        <f>_xlfn.CONCAT('Consolidado-Eletronorte'!#REF!,"_",ROW('Consolidado-Eletronorte'!#REF!)-ROW('Consolidado-Eletronorte'!$G$18))</f>
        <v>#REF!</v>
      </c>
      <c r="H70" s="279" t="s">
        <v>506</v>
      </c>
      <c r="I70" s="189" t="s">
        <v>507</v>
      </c>
      <c r="J70" s="190" t="s">
        <v>508</v>
      </c>
      <c r="K70" s="189" t="s">
        <v>1039</v>
      </c>
      <c r="L70" s="189" t="s">
        <v>1040</v>
      </c>
      <c r="M70" s="189" t="s">
        <v>555</v>
      </c>
      <c r="N70" s="189"/>
      <c r="O70" s="189"/>
      <c r="P70" s="189" t="s">
        <v>617</v>
      </c>
      <c r="Q70" s="191" t="s">
        <v>271</v>
      </c>
      <c r="R70" s="191" t="s">
        <v>893</v>
      </c>
      <c r="S70" s="189" t="s">
        <v>229</v>
      </c>
      <c r="T70" s="229">
        <v>0</v>
      </c>
      <c r="U70" s="229">
        <v>1200000</v>
      </c>
      <c r="V70" s="229">
        <v>0</v>
      </c>
      <c r="W70" s="229">
        <v>0</v>
      </c>
      <c r="X70" s="229">
        <v>0</v>
      </c>
      <c r="Y70" s="229">
        <v>0</v>
      </c>
      <c r="Z70" s="229">
        <v>0</v>
      </c>
      <c r="AA70" s="229">
        <v>0</v>
      </c>
      <c r="AB70" s="229">
        <v>0</v>
      </c>
      <c r="AC70" s="229">
        <v>0</v>
      </c>
      <c r="AD70" s="229">
        <v>0</v>
      </c>
      <c r="AE70" s="229">
        <v>0</v>
      </c>
      <c r="AF70" s="229">
        <v>1200000</v>
      </c>
      <c r="AG70" s="229">
        <v>0</v>
      </c>
      <c r="AH70" s="229">
        <v>0</v>
      </c>
      <c r="AI70" s="229">
        <v>0</v>
      </c>
      <c r="AJ70" s="229">
        <v>0</v>
      </c>
      <c r="AK70" s="229">
        <v>1200000</v>
      </c>
      <c r="AL70" s="229">
        <v>0</v>
      </c>
      <c r="AM70" s="229">
        <v>0</v>
      </c>
      <c r="AN70" s="229">
        <v>0</v>
      </c>
      <c r="AO70" s="229">
        <v>0</v>
      </c>
      <c r="AP70" s="229">
        <v>0</v>
      </c>
      <c r="AQ70" s="229">
        <v>1200000</v>
      </c>
      <c r="AR70" s="2">
        <v>46</v>
      </c>
      <c r="AS70" s="208" t="s">
        <v>247</v>
      </c>
      <c r="AT70" s="2">
        <v>2025</v>
      </c>
      <c r="AU70" s="2" t="s">
        <v>894</v>
      </c>
      <c r="AV70" t="s">
        <v>895</v>
      </c>
      <c r="AW70" s="2" t="s">
        <v>1803</v>
      </c>
      <c r="AZ70" s="2" t="str">
        <f>_xlfn.XLOOKUP(Tabela98[[#This Row],[Descrição do projeto]],[3]Geração!$G:$G,[3]Geração!$F:$F,,0,1)</f>
        <v>Airton Rego Bentes</v>
      </c>
    </row>
    <row r="71" spans="1:52" ht="24.75" customHeight="1" x14ac:dyDescent="0.35">
      <c r="A71" s="184"/>
      <c r="B71" s="185" t="e" cm="1">
        <f t="array" ref="B71">AND(ISTEXT('Consolidado-Eletronorte'!#REF!),SUM('Consolidado-Eletronorte'!#REF!)&gt;0)</f>
        <v>#REF!</v>
      </c>
      <c r="C71" s="186" t="str">
        <f t="shared" ca="1" si="3"/>
        <v>Capex Orcamentário_PE2026_2030_red_35_porcentoR3_consulta.xlsx</v>
      </c>
      <c r="D71" s="187" t="str">
        <f t="shared" si="4"/>
        <v>COO</v>
      </c>
      <c r="E71" s="187" t="str">
        <f t="shared" si="5"/>
        <v>Lucas Martins</v>
      </c>
      <c r="F71" s="188"/>
      <c r="G71" s="188" t="e">
        <f>_xlfn.CONCAT('Consolidado-Eletronorte'!#REF!,"_",ROW('Consolidado-Eletronorte'!#REF!)-ROW('Consolidado-Eletronorte'!$G$18))</f>
        <v>#REF!</v>
      </c>
      <c r="H71" s="279" t="s">
        <v>506</v>
      </c>
      <c r="I71" s="189" t="s">
        <v>507</v>
      </c>
      <c r="J71" s="190" t="s">
        <v>508</v>
      </c>
      <c r="K71" s="189" t="s">
        <v>1039</v>
      </c>
      <c r="L71" s="189" t="s">
        <v>1040</v>
      </c>
      <c r="M71" s="189" t="s">
        <v>555</v>
      </c>
      <c r="N71" s="189"/>
      <c r="O71" s="189"/>
      <c r="P71" s="189" t="s">
        <v>617</v>
      </c>
      <c r="Q71" s="191" t="s">
        <v>269</v>
      </c>
      <c r="R71" s="191" t="s">
        <v>650</v>
      </c>
      <c r="S71" s="189" t="s">
        <v>229</v>
      </c>
      <c r="T71" s="229">
        <v>0</v>
      </c>
      <c r="U71" s="229">
        <v>0</v>
      </c>
      <c r="V71" s="229">
        <v>0</v>
      </c>
      <c r="W71" s="229">
        <v>0</v>
      </c>
      <c r="X71" s="229">
        <v>0</v>
      </c>
      <c r="Y71" s="229">
        <v>0</v>
      </c>
      <c r="Z71" s="229">
        <v>0</v>
      </c>
      <c r="AA71" s="229">
        <v>0</v>
      </c>
      <c r="AB71" s="229">
        <v>300000</v>
      </c>
      <c r="AC71" s="229">
        <v>0</v>
      </c>
      <c r="AD71" s="229">
        <v>300000</v>
      </c>
      <c r="AE71" s="229">
        <v>0</v>
      </c>
      <c r="AF71" s="229">
        <v>600000</v>
      </c>
      <c r="AG71" s="229">
        <v>600000</v>
      </c>
      <c r="AH71" s="229">
        <v>0</v>
      </c>
      <c r="AI71" s="229">
        <v>0</v>
      </c>
      <c r="AJ71" s="229">
        <v>0</v>
      </c>
      <c r="AK71" s="229">
        <v>1200000</v>
      </c>
      <c r="AL71" s="229">
        <v>0</v>
      </c>
      <c r="AM71" s="229">
        <v>0</v>
      </c>
      <c r="AN71" s="229">
        <v>0</v>
      </c>
      <c r="AO71" s="229">
        <v>0</v>
      </c>
      <c r="AP71" s="229">
        <v>0</v>
      </c>
      <c r="AQ71" s="229">
        <v>1200000</v>
      </c>
      <c r="AR71" s="2">
        <v>48</v>
      </c>
      <c r="AS71" s="208" t="s">
        <v>247</v>
      </c>
      <c r="AT71" s="2">
        <v>2025</v>
      </c>
      <c r="AU71" s="224" t="s">
        <v>787</v>
      </c>
      <c r="AV71" t="s">
        <v>788</v>
      </c>
      <c r="AW71" s="2" t="s">
        <v>1803</v>
      </c>
      <c r="AZ71" s="2" t="e">
        <f>_xlfn.XLOOKUP(Tabela98[[#This Row],[Descrição do projeto]],[3]Geração!$G:$G,[3]Geração!$F:$F,,0,1)</f>
        <v>#N/A</v>
      </c>
    </row>
    <row r="72" spans="1:52" ht="24.75" customHeight="1" x14ac:dyDescent="0.35">
      <c r="A72" s="184"/>
      <c r="B72" s="185" t="e" cm="1">
        <f t="array" ref="B72">AND(ISTEXT('Consolidado-Eletronorte'!#REF!),SUM('Consolidado-Eletronorte'!#REF!)&gt;0)</f>
        <v>#REF!</v>
      </c>
      <c r="C72" s="186" t="str">
        <f t="shared" ca="1" si="3"/>
        <v>Capex Orcamentário_PE2026_2030_red_35_porcentoR3_consulta.xlsx</v>
      </c>
      <c r="D72" s="187" t="str">
        <f t="shared" si="4"/>
        <v>COO</v>
      </c>
      <c r="E72" s="187" t="str">
        <f t="shared" si="5"/>
        <v>Lucas Martins</v>
      </c>
      <c r="F72" s="188"/>
      <c r="G72" s="188" t="e">
        <f>_xlfn.CONCAT('Consolidado-Eletronorte'!#REF!,"_",ROW('Consolidado-Eletronorte'!#REF!)-ROW('Consolidado-Eletronorte'!$G$18))</f>
        <v>#REF!</v>
      </c>
      <c r="H72" s="279" t="s">
        <v>506</v>
      </c>
      <c r="I72" s="189" t="s">
        <v>507</v>
      </c>
      <c r="J72" s="190" t="s">
        <v>508</v>
      </c>
      <c r="K72" s="189" t="s">
        <v>1039</v>
      </c>
      <c r="L72" s="189" t="s">
        <v>1040</v>
      </c>
      <c r="M72" s="189" t="s">
        <v>555</v>
      </c>
      <c r="N72" s="189"/>
      <c r="O72" s="189"/>
      <c r="P72" s="189" t="s">
        <v>617</v>
      </c>
      <c r="Q72" s="191" t="s">
        <v>256</v>
      </c>
      <c r="R72" s="191" t="s">
        <v>827</v>
      </c>
      <c r="S72" s="189" t="s">
        <v>229</v>
      </c>
      <c r="T72" s="229">
        <v>0</v>
      </c>
      <c r="U72" s="229">
        <v>0</v>
      </c>
      <c r="V72" s="229">
        <v>0</v>
      </c>
      <c r="W72" s="229">
        <v>0</v>
      </c>
      <c r="X72" s="229">
        <v>0</v>
      </c>
      <c r="Y72" s="229">
        <v>0</v>
      </c>
      <c r="Z72" s="229">
        <v>0</v>
      </c>
      <c r="AA72" s="229">
        <v>0</v>
      </c>
      <c r="AB72" s="229">
        <v>100000</v>
      </c>
      <c r="AC72" s="229">
        <v>0</v>
      </c>
      <c r="AD72" s="229">
        <v>0</v>
      </c>
      <c r="AE72" s="229">
        <v>0</v>
      </c>
      <c r="AF72" s="229">
        <v>100000</v>
      </c>
      <c r="AG72" s="229">
        <v>1000000</v>
      </c>
      <c r="AH72" s="229">
        <v>0</v>
      </c>
      <c r="AI72" s="229">
        <v>0</v>
      </c>
      <c r="AJ72" s="229">
        <v>0</v>
      </c>
      <c r="AK72" s="229">
        <v>1100000</v>
      </c>
      <c r="AL72" s="229">
        <v>0</v>
      </c>
      <c r="AM72" s="229">
        <v>0</v>
      </c>
      <c r="AN72" s="229">
        <v>0</v>
      </c>
      <c r="AO72" s="229">
        <v>0</v>
      </c>
      <c r="AP72" s="229">
        <v>0</v>
      </c>
      <c r="AQ72" s="229">
        <v>1100000</v>
      </c>
      <c r="AR72" s="2">
        <v>53</v>
      </c>
      <c r="AS72" s="2" t="s">
        <v>247</v>
      </c>
      <c r="AT72" s="2">
        <v>2025</v>
      </c>
      <c r="AU72" s="2" t="s">
        <v>828</v>
      </c>
      <c r="AV72" s="2">
        <v>0</v>
      </c>
      <c r="AW72" s="2" t="s">
        <v>1810</v>
      </c>
      <c r="AZ72" s="2" t="str">
        <f>_xlfn.XLOOKUP(Tabela98[[#This Row],[Descrição do projeto]],[3]Geração!$G:$G,[3]Geração!$F:$F,,0,1)</f>
        <v>Airton Rego Bentes</v>
      </c>
    </row>
    <row r="73" spans="1:52" ht="24.75" customHeight="1" x14ac:dyDescent="0.35">
      <c r="A73" s="184"/>
      <c r="B73" s="185" t="e" cm="1">
        <f t="array" ref="B73">AND(ISTEXT('Consolidado-Eletronorte'!#REF!),SUM('Consolidado-Eletronorte'!#REF!)&gt;0)</f>
        <v>#REF!</v>
      </c>
      <c r="C73" s="186" t="str">
        <f t="shared" ref="C73:C104" ca="1" si="6">$J$3</f>
        <v>Capex Orcamentário_PE2026_2030_red_35_porcentoR3_consulta.xlsx</v>
      </c>
      <c r="D73" s="187" t="str">
        <f t="shared" ref="D73:D104" si="7">$H$3</f>
        <v>COO</v>
      </c>
      <c r="E73" s="187" t="str">
        <f t="shared" ref="E73:E104" si="8">$H$4</f>
        <v>Lucas Martins</v>
      </c>
      <c r="F73" s="188"/>
      <c r="G73" s="188" t="e">
        <f>_xlfn.CONCAT('Consolidado-Eletronorte'!#REF!,"_",ROW('Consolidado-Eletronorte'!#REF!)-ROW('Consolidado-Eletronorte'!$G$18))</f>
        <v>#REF!</v>
      </c>
      <c r="H73" s="288" t="s">
        <v>506</v>
      </c>
      <c r="I73" s="189" t="s">
        <v>507</v>
      </c>
      <c r="J73" s="190" t="s">
        <v>508</v>
      </c>
      <c r="K73" s="189" t="s">
        <v>1039</v>
      </c>
      <c r="L73" s="189" t="s">
        <v>1040</v>
      </c>
      <c r="M73" s="189" t="s">
        <v>789</v>
      </c>
      <c r="N73" s="189"/>
      <c r="O73" s="189"/>
      <c r="P73" s="189" t="s">
        <v>511</v>
      </c>
      <c r="Q73" s="191" t="s">
        <v>411</v>
      </c>
      <c r="R73" s="191" t="s">
        <v>791</v>
      </c>
      <c r="S73" s="189" t="s">
        <v>319</v>
      </c>
      <c r="T73" s="229">
        <v>0</v>
      </c>
      <c r="U73" s="229">
        <v>1000000</v>
      </c>
      <c r="V73" s="229">
        <v>0</v>
      </c>
      <c r="W73" s="229">
        <v>0</v>
      </c>
      <c r="X73" s="229">
        <v>0</v>
      </c>
      <c r="Y73" s="229">
        <v>0</v>
      </c>
      <c r="Z73" s="229">
        <v>0</v>
      </c>
      <c r="AA73" s="229">
        <v>0</v>
      </c>
      <c r="AB73" s="229">
        <v>0</v>
      </c>
      <c r="AC73" s="229">
        <v>0</v>
      </c>
      <c r="AD73" s="229">
        <v>0</v>
      </c>
      <c r="AE73" s="229">
        <v>0</v>
      </c>
      <c r="AF73" s="229">
        <v>1000000</v>
      </c>
      <c r="AG73" s="229">
        <v>0</v>
      </c>
      <c r="AH73" s="229">
        <v>0</v>
      </c>
      <c r="AI73" s="229">
        <v>0</v>
      </c>
      <c r="AJ73" s="229">
        <v>0</v>
      </c>
      <c r="AK73" s="229">
        <v>1000000</v>
      </c>
      <c r="AL73" s="229">
        <v>0</v>
      </c>
      <c r="AM73" s="229">
        <v>0</v>
      </c>
      <c r="AN73" s="229">
        <v>0</v>
      </c>
      <c r="AO73" s="229">
        <v>0</v>
      </c>
      <c r="AP73" s="229">
        <v>0</v>
      </c>
      <c r="AQ73" s="229">
        <v>1000000</v>
      </c>
      <c r="AR73" s="2">
        <v>33</v>
      </c>
      <c r="AS73" s="208" t="s">
        <v>341</v>
      </c>
      <c r="AT73" s="2">
        <v>2025</v>
      </c>
      <c r="AU73" s="2" t="s">
        <v>792</v>
      </c>
      <c r="AV73" s="208" t="s">
        <v>793</v>
      </c>
      <c r="AW73" s="2" t="s">
        <v>1801</v>
      </c>
      <c r="AZ73" s="2" t="str">
        <f>_xlfn.XLOOKUP(Tabela98[[#This Row],[Descrição do projeto]],[3]Geração!$G:$G,[3]Geração!$F:$F,,0,1)</f>
        <v>Gilton Carlos De Andrade Furtado</v>
      </c>
    </row>
    <row r="74" spans="1:52" ht="24.75" customHeight="1" x14ac:dyDescent="0.35">
      <c r="A74" s="184"/>
      <c r="B74" s="185" t="e" cm="1">
        <f t="array" ref="B74">AND(ISTEXT('Consolidado-Eletronorte'!#REF!),SUM('Consolidado-Eletronorte'!#REF!)&gt;0)</f>
        <v>#REF!</v>
      </c>
      <c r="C74" s="186" t="str">
        <f t="shared" ca="1" si="6"/>
        <v>Capex Orcamentário_PE2026_2030_red_35_porcentoR3_consulta.xlsx</v>
      </c>
      <c r="D74" s="187" t="str">
        <f t="shared" si="7"/>
        <v>COO</v>
      </c>
      <c r="E74" s="187" t="str">
        <f t="shared" si="8"/>
        <v>Lucas Martins</v>
      </c>
      <c r="F74" s="188"/>
      <c r="G74" s="188" t="e">
        <f>_xlfn.CONCAT('Consolidado-Eletronorte'!#REF!,"_",ROW('Consolidado-Eletronorte'!#REF!)-ROW('Consolidado-Eletronorte'!$G$18))</f>
        <v>#REF!</v>
      </c>
      <c r="H74" s="288" t="s">
        <v>506</v>
      </c>
      <c r="I74" s="189" t="s">
        <v>507</v>
      </c>
      <c r="J74" s="190" t="s">
        <v>508</v>
      </c>
      <c r="K74" s="189" t="s">
        <v>1039</v>
      </c>
      <c r="L74" s="189" t="s">
        <v>1040</v>
      </c>
      <c r="M74" s="189" t="s">
        <v>577</v>
      </c>
      <c r="N74" s="189"/>
      <c r="O74" s="189"/>
      <c r="P74" s="189" t="s">
        <v>511</v>
      </c>
      <c r="Q74" s="191" t="s">
        <v>413</v>
      </c>
      <c r="R74" s="191" t="s">
        <v>694</v>
      </c>
      <c r="S74" s="189" t="s">
        <v>319</v>
      </c>
      <c r="T74" s="229">
        <v>0</v>
      </c>
      <c r="U74" s="229">
        <v>0</v>
      </c>
      <c r="V74" s="229">
        <v>450000</v>
      </c>
      <c r="W74" s="229">
        <v>0</v>
      </c>
      <c r="X74" s="229">
        <v>550000</v>
      </c>
      <c r="Y74" s="229">
        <v>0</v>
      </c>
      <c r="Z74" s="229">
        <v>0</v>
      </c>
      <c r="AA74" s="229">
        <v>0</v>
      </c>
      <c r="AB74" s="229">
        <v>0</v>
      </c>
      <c r="AC74" s="229">
        <v>0</v>
      </c>
      <c r="AD74" s="229">
        <v>0</v>
      </c>
      <c r="AE74" s="229">
        <v>0</v>
      </c>
      <c r="AF74" s="229">
        <v>1000000</v>
      </c>
      <c r="AG74" s="229">
        <v>0</v>
      </c>
      <c r="AH74" s="229">
        <v>0</v>
      </c>
      <c r="AI74" s="229">
        <v>0</v>
      </c>
      <c r="AJ74" s="229">
        <v>0</v>
      </c>
      <c r="AK74" s="229">
        <v>1000000</v>
      </c>
      <c r="AL74" s="229">
        <v>0</v>
      </c>
      <c r="AM74" s="229">
        <v>0</v>
      </c>
      <c r="AN74" s="229">
        <v>0</v>
      </c>
      <c r="AO74" s="229">
        <v>0</v>
      </c>
      <c r="AP74" s="229">
        <v>0</v>
      </c>
      <c r="AQ74" s="229">
        <v>1000000</v>
      </c>
      <c r="AR74" s="2">
        <v>23</v>
      </c>
      <c r="AS74" s="208" t="s">
        <v>341</v>
      </c>
      <c r="AT74" s="2" t="s">
        <v>1601</v>
      </c>
      <c r="AU74" s="2" t="s">
        <v>695</v>
      </c>
      <c r="AV74" s="2">
        <v>0</v>
      </c>
      <c r="AW74" s="2" t="s">
        <v>1803</v>
      </c>
      <c r="AZ74" s="2" t="str">
        <f>_xlfn.XLOOKUP(Tabela98[[#This Row],[Descrição do projeto]],[3]Geração!$G:$G,[3]Geração!$F:$F,,0,1)</f>
        <v>Gilton Carlos De Andrade Furtado</v>
      </c>
    </row>
    <row r="75" spans="1:52" ht="24.75" customHeight="1" x14ac:dyDescent="0.35">
      <c r="A75" s="184"/>
      <c r="B75" s="185" t="e" cm="1">
        <f t="array" ref="B75">AND(ISTEXT('Consolidado-Eletronorte'!#REF!),SUM('Consolidado-Eletronorte'!#REF!)&gt;0)</f>
        <v>#REF!</v>
      </c>
      <c r="C75" s="186" t="str">
        <f t="shared" ca="1" si="6"/>
        <v>Capex Orcamentário_PE2026_2030_red_35_porcentoR3_consulta.xlsx</v>
      </c>
      <c r="D75" s="187" t="str">
        <f t="shared" si="7"/>
        <v>COO</v>
      </c>
      <c r="E75" s="187" t="str">
        <f t="shared" si="8"/>
        <v>Lucas Martins</v>
      </c>
      <c r="F75" s="188"/>
      <c r="G75" s="188" t="e">
        <f>_xlfn.CONCAT('Consolidado-Eletronorte'!#REF!,"_",ROW('Consolidado-Eletronorte'!#REF!)-ROW('Consolidado-Eletronorte'!$G$18))</f>
        <v>#REF!</v>
      </c>
      <c r="H75" s="279" t="s">
        <v>506</v>
      </c>
      <c r="I75" s="189" t="s">
        <v>507</v>
      </c>
      <c r="J75" s="190" t="s">
        <v>508</v>
      </c>
      <c r="K75" s="189" t="s">
        <v>1039</v>
      </c>
      <c r="L75" s="189" t="s">
        <v>1040</v>
      </c>
      <c r="M75" s="189" t="s">
        <v>577</v>
      </c>
      <c r="N75" s="189"/>
      <c r="O75" s="189"/>
      <c r="P75" s="189">
        <v>157189</v>
      </c>
      <c r="Q75" s="191" t="s">
        <v>313</v>
      </c>
      <c r="R75" s="191" t="s">
        <v>723</v>
      </c>
      <c r="S75" s="189" t="s">
        <v>276</v>
      </c>
      <c r="T75" s="229">
        <v>0</v>
      </c>
      <c r="U75" s="229">
        <v>0</v>
      </c>
      <c r="V75" s="229">
        <v>0</v>
      </c>
      <c r="W75" s="229">
        <v>0</v>
      </c>
      <c r="X75" s="229">
        <v>0</v>
      </c>
      <c r="Y75" s="229">
        <v>0</v>
      </c>
      <c r="Z75" s="229">
        <v>0</v>
      </c>
      <c r="AA75" s="229">
        <v>0</v>
      </c>
      <c r="AB75" s="229">
        <v>0</v>
      </c>
      <c r="AC75" s="229">
        <v>500000</v>
      </c>
      <c r="AD75" s="229">
        <v>500000</v>
      </c>
      <c r="AE75" s="229">
        <v>0</v>
      </c>
      <c r="AF75" s="229">
        <v>1000000</v>
      </c>
      <c r="AG75" s="229">
        <v>0</v>
      </c>
      <c r="AH75" s="229">
        <v>0</v>
      </c>
      <c r="AI75" s="229">
        <v>0</v>
      </c>
      <c r="AJ75" s="229">
        <v>0</v>
      </c>
      <c r="AK75" s="229">
        <v>1000000</v>
      </c>
      <c r="AL75" s="229">
        <v>0</v>
      </c>
      <c r="AM75" s="229">
        <v>0</v>
      </c>
      <c r="AN75" s="229">
        <v>0</v>
      </c>
      <c r="AO75" s="229">
        <v>0</v>
      </c>
      <c r="AP75" s="229">
        <v>0</v>
      </c>
      <c r="AQ75" s="229">
        <v>1000000</v>
      </c>
      <c r="AR75" s="2">
        <v>66</v>
      </c>
      <c r="AS75" s="2" t="s">
        <v>279</v>
      </c>
      <c r="AT75" s="2" t="s">
        <v>1601</v>
      </c>
      <c r="AU75" s="2" t="s">
        <v>724</v>
      </c>
      <c r="AV75" s="2">
        <v>0</v>
      </c>
      <c r="AW75" s="2" t="s">
        <v>1810</v>
      </c>
      <c r="AZ75" s="2" t="str">
        <f>_xlfn.XLOOKUP(Tabela98[[#This Row],[Descrição do projeto]],[3]Geração!$G:$G,[3]Geração!$F:$F,,0,1)</f>
        <v>Alcides de Araujo Romao Neto</v>
      </c>
    </row>
    <row r="76" spans="1:52" ht="24.75" customHeight="1" x14ac:dyDescent="0.35">
      <c r="A76" s="184"/>
      <c r="B76" s="185" t="e" cm="1">
        <f t="array" ref="B76">AND(ISTEXT('Consolidado-Eletronorte'!#REF!),SUM('Consolidado-Eletronorte'!#REF!)&gt;0)</f>
        <v>#REF!</v>
      </c>
      <c r="C76" s="186" t="str">
        <f t="shared" ca="1" si="6"/>
        <v>Capex Orcamentário_PE2026_2030_red_35_porcentoR3_consulta.xlsx</v>
      </c>
      <c r="D76" s="187" t="str">
        <f t="shared" si="7"/>
        <v>COO</v>
      </c>
      <c r="E76" s="187" t="str">
        <f t="shared" si="8"/>
        <v>Lucas Martins</v>
      </c>
      <c r="F76" s="188"/>
      <c r="G76" s="188" t="e">
        <f>_xlfn.CONCAT('Consolidado-Eletronorte'!#REF!,"_",ROW('Consolidado-Eletronorte'!#REF!)-ROW('Consolidado-Eletronorte'!$G$18))</f>
        <v>#REF!</v>
      </c>
      <c r="H76" s="279" t="s">
        <v>506</v>
      </c>
      <c r="I76" s="189" t="s">
        <v>507</v>
      </c>
      <c r="J76" s="190" t="s">
        <v>508</v>
      </c>
      <c r="K76" s="189" t="s">
        <v>1039</v>
      </c>
      <c r="L76" s="189" t="s">
        <v>1040</v>
      </c>
      <c r="M76" s="189" t="s">
        <v>555</v>
      </c>
      <c r="N76" s="189"/>
      <c r="O76" s="189"/>
      <c r="P76" s="189" t="s">
        <v>511</v>
      </c>
      <c r="Q76" s="191" t="s">
        <v>954</v>
      </c>
      <c r="R76" s="191" t="s">
        <v>750</v>
      </c>
      <c r="S76" s="189" t="s">
        <v>319</v>
      </c>
      <c r="T76" s="229">
        <v>0</v>
      </c>
      <c r="U76" s="229">
        <v>0</v>
      </c>
      <c r="V76" s="229">
        <v>0</v>
      </c>
      <c r="W76" s="229">
        <v>0</v>
      </c>
      <c r="X76" s="229">
        <v>250000</v>
      </c>
      <c r="Y76" s="229">
        <v>0</v>
      </c>
      <c r="Z76" s="229">
        <v>350000</v>
      </c>
      <c r="AA76" s="229">
        <v>0</v>
      </c>
      <c r="AB76" s="229">
        <v>150000</v>
      </c>
      <c r="AC76" s="229">
        <v>0</v>
      </c>
      <c r="AD76" s="229">
        <v>0</v>
      </c>
      <c r="AE76" s="229">
        <v>250000</v>
      </c>
      <c r="AF76" s="229">
        <v>1000000</v>
      </c>
      <c r="AG76" s="229">
        <v>0</v>
      </c>
      <c r="AH76" s="229">
        <v>0</v>
      </c>
      <c r="AI76" s="229">
        <v>0</v>
      </c>
      <c r="AJ76" s="229">
        <v>0</v>
      </c>
      <c r="AK76" s="229">
        <v>1000000</v>
      </c>
      <c r="AL76" s="229">
        <v>0</v>
      </c>
      <c r="AM76" s="229">
        <v>0</v>
      </c>
      <c r="AN76" s="229">
        <v>0</v>
      </c>
      <c r="AO76" s="229">
        <v>0</v>
      </c>
      <c r="AP76" s="229">
        <v>0</v>
      </c>
      <c r="AQ76" s="229">
        <v>1000000</v>
      </c>
      <c r="AR76" s="2">
        <v>109</v>
      </c>
      <c r="AS76" s="2" t="s">
        <v>382</v>
      </c>
      <c r="AT76" s="2">
        <v>2025</v>
      </c>
      <c r="AU76" s="2" t="s">
        <v>751</v>
      </c>
      <c r="AV76" s="2" t="s">
        <v>752</v>
      </c>
      <c r="AW76" s="2" t="s">
        <v>1810</v>
      </c>
      <c r="AZ76" s="2" t="str">
        <f>_xlfn.XLOOKUP(Tabela98[[#This Row],[Descrição do projeto]],[3]Geração!$G:$G,[3]Geração!$F:$F,,0,1)</f>
        <v>Albert Ferraz Botelho Da Silva</v>
      </c>
    </row>
    <row r="77" spans="1:52" ht="24.75" customHeight="1" x14ac:dyDescent="0.35">
      <c r="A77" s="184"/>
      <c r="B77" s="185" t="e" cm="1">
        <f t="array" ref="B77">AND(ISTEXT('Consolidado-Eletronorte'!#REF!),SUM('Consolidado-Eletronorte'!#REF!)&gt;0)</f>
        <v>#REF!</v>
      </c>
      <c r="C77" s="186" t="str">
        <f t="shared" ca="1" si="6"/>
        <v>Capex Orcamentário_PE2026_2030_red_35_porcentoR3_consulta.xlsx</v>
      </c>
      <c r="D77" s="187" t="str">
        <f t="shared" si="7"/>
        <v>COO</v>
      </c>
      <c r="E77" s="187" t="str">
        <f t="shared" si="8"/>
        <v>Lucas Martins</v>
      </c>
      <c r="F77" s="188"/>
      <c r="G77" s="188" t="e">
        <f>_xlfn.CONCAT('Consolidado-Eletronorte'!#REF!,"_",ROW('Consolidado-Eletronorte'!#REF!)-ROW('Consolidado-Eletronorte'!$G$18))</f>
        <v>#REF!</v>
      </c>
      <c r="H77" s="279" t="s">
        <v>506</v>
      </c>
      <c r="I77" s="189" t="s">
        <v>507</v>
      </c>
      <c r="J77" s="190" t="s">
        <v>508</v>
      </c>
      <c r="K77" s="189" t="s">
        <v>1039</v>
      </c>
      <c r="L77" s="189" t="s">
        <v>1040</v>
      </c>
      <c r="M77" s="189" t="s">
        <v>555</v>
      </c>
      <c r="N77" s="189"/>
      <c r="O77" s="189"/>
      <c r="P77" s="189" t="s">
        <v>511</v>
      </c>
      <c r="Q77" s="191" t="s">
        <v>954</v>
      </c>
      <c r="R77" s="191" t="s">
        <v>754</v>
      </c>
      <c r="S77" s="189" t="s">
        <v>319</v>
      </c>
      <c r="T77" s="229">
        <v>0</v>
      </c>
      <c r="U77" s="229">
        <v>0</v>
      </c>
      <c r="V77" s="229">
        <v>0</v>
      </c>
      <c r="W77" s="229">
        <v>0</v>
      </c>
      <c r="X77" s="229">
        <v>0</v>
      </c>
      <c r="Y77" s="229">
        <v>300000</v>
      </c>
      <c r="Z77" s="229">
        <v>0</v>
      </c>
      <c r="AA77" s="229">
        <v>300000</v>
      </c>
      <c r="AB77" s="229">
        <v>0</v>
      </c>
      <c r="AC77" s="229">
        <v>250000</v>
      </c>
      <c r="AD77" s="229">
        <v>0</v>
      </c>
      <c r="AE77" s="229">
        <v>150000</v>
      </c>
      <c r="AF77" s="229">
        <v>1000000</v>
      </c>
      <c r="AG77" s="229">
        <v>0</v>
      </c>
      <c r="AH77" s="229">
        <v>0</v>
      </c>
      <c r="AI77" s="229">
        <v>0</v>
      </c>
      <c r="AJ77" s="229">
        <v>0</v>
      </c>
      <c r="AK77" s="229">
        <v>1000000</v>
      </c>
      <c r="AL77" s="229">
        <v>0</v>
      </c>
      <c r="AM77" s="229">
        <v>0</v>
      </c>
      <c r="AN77" s="229">
        <v>0</v>
      </c>
      <c r="AO77" s="229">
        <v>0</v>
      </c>
      <c r="AP77" s="229">
        <v>0</v>
      </c>
      <c r="AQ77" s="229">
        <v>1000000</v>
      </c>
      <c r="AR77" s="2">
        <v>110</v>
      </c>
      <c r="AS77" s="2" t="s">
        <v>382</v>
      </c>
      <c r="AT77" s="2">
        <v>2025</v>
      </c>
      <c r="AU77" s="2" t="s">
        <v>751</v>
      </c>
      <c r="AV77" s="2" t="s">
        <v>752</v>
      </c>
      <c r="AW77" s="2" t="s">
        <v>1810</v>
      </c>
      <c r="AZ77" s="2" t="str">
        <f>_xlfn.XLOOKUP(Tabela98[[#This Row],[Descrição do projeto]],[3]Geração!$G:$G,[3]Geração!$F:$F,,0,1)</f>
        <v>Albert Ferraz Botelho Da Silva</v>
      </c>
    </row>
    <row r="78" spans="1:52" ht="24.75" customHeight="1" x14ac:dyDescent="0.35">
      <c r="A78" s="184"/>
      <c r="B78" s="185" t="e" cm="1">
        <f t="array" ref="B78">AND(ISTEXT('Consolidado-Eletronorte'!#REF!),SUM('Consolidado-Eletronorte'!#REF!)&gt;0)</f>
        <v>#REF!</v>
      </c>
      <c r="C78" s="186" t="str">
        <f t="shared" ca="1" si="6"/>
        <v>Capex Orcamentário_PE2026_2030_red_35_porcentoR3_consulta.xlsx</v>
      </c>
      <c r="D78" s="187" t="str">
        <f t="shared" si="7"/>
        <v>COO</v>
      </c>
      <c r="E78" s="187" t="str">
        <f t="shared" si="8"/>
        <v>Lucas Martins</v>
      </c>
      <c r="F78" s="188"/>
      <c r="G78" s="188" t="e">
        <f>_xlfn.CONCAT('Consolidado-Eletronorte'!#REF!,"_",ROW('Consolidado-Eletronorte'!#REF!)-ROW('Consolidado-Eletronorte'!$G$18))</f>
        <v>#REF!</v>
      </c>
      <c r="H78" s="279" t="s">
        <v>506</v>
      </c>
      <c r="I78" s="189" t="s">
        <v>507</v>
      </c>
      <c r="J78" s="190" t="s">
        <v>508</v>
      </c>
      <c r="K78" s="189" t="s">
        <v>1039</v>
      </c>
      <c r="L78" s="189" t="s">
        <v>1040</v>
      </c>
      <c r="M78" s="189" t="s">
        <v>555</v>
      </c>
      <c r="N78" s="189"/>
      <c r="O78" s="189"/>
      <c r="P78" s="189" t="s">
        <v>511</v>
      </c>
      <c r="Q78" s="191" t="s">
        <v>954</v>
      </c>
      <c r="R78" s="191" t="s">
        <v>758</v>
      </c>
      <c r="S78" s="189" t="s">
        <v>319</v>
      </c>
      <c r="T78" s="229">
        <v>0</v>
      </c>
      <c r="U78" s="229">
        <v>0</v>
      </c>
      <c r="V78" s="229">
        <v>0</v>
      </c>
      <c r="W78" s="229">
        <v>0</v>
      </c>
      <c r="X78" s="229">
        <v>200000</v>
      </c>
      <c r="Y78" s="229">
        <v>0</v>
      </c>
      <c r="Z78" s="229">
        <v>250000</v>
      </c>
      <c r="AA78" s="229">
        <v>0</v>
      </c>
      <c r="AB78" s="229">
        <v>350000</v>
      </c>
      <c r="AC78" s="229">
        <v>0</v>
      </c>
      <c r="AD78" s="229">
        <v>0</v>
      </c>
      <c r="AE78" s="229">
        <v>200000</v>
      </c>
      <c r="AF78" s="229">
        <v>1000000</v>
      </c>
      <c r="AG78" s="229">
        <v>0</v>
      </c>
      <c r="AH78" s="229">
        <v>0</v>
      </c>
      <c r="AI78" s="229">
        <v>0</v>
      </c>
      <c r="AJ78" s="229">
        <v>0</v>
      </c>
      <c r="AK78" s="229">
        <v>1000000</v>
      </c>
      <c r="AL78" s="229">
        <v>0</v>
      </c>
      <c r="AM78" s="229">
        <v>0</v>
      </c>
      <c r="AN78" s="229">
        <v>0</v>
      </c>
      <c r="AO78" s="229">
        <v>0</v>
      </c>
      <c r="AP78" s="229">
        <v>0</v>
      </c>
      <c r="AQ78" s="229">
        <v>1000000</v>
      </c>
      <c r="AR78" s="2">
        <v>111</v>
      </c>
      <c r="AS78" s="2" t="s">
        <v>382</v>
      </c>
      <c r="AT78" s="2">
        <v>2025</v>
      </c>
      <c r="AU78" s="2" t="s">
        <v>751</v>
      </c>
      <c r="AV78" s="2" t="s">
        <v>752</v>
      </c>
      <c r="AW78" s="2" t="s">
        <v>1810</v>
      </c>
      <c r="AZ78" s="2" t="str">
        <f>_xlfn.XLOOKUP(Tabela98[[#This Row],[Descrição do projeto]],[3]Geração!$G:$G,[3]Geração!$F:$F,,0,1)</f>
        <v>Albert Ferraz Botelho Da Silva</v>
      </c>
    </row>
    <row r="79" spans="1:52" ht="24.75" customHeight="1" x14ac:dyDescent="0.35">
      <c r="A79" s="184"/>
      <c r="B79" s="185" t="e" cm="1">
        <f t="array" ref="B79">AND(ISTEXT('Consolidado-Eletronorte'!#REF!),SUM('Consolidado-Eletronorte'!#REF!)&gt;0)</f>
        <v>#REF!</v>
      </c>
      <c r="C79" s="186" t="str">
        <f t="shared" ca="1" si="6"/>
        <v>Capex Orcamentário_PE2026_2030_red_35_porcentoR3_consulta.xlsx</v>
      </c>
      <c r="D79" s="187" t="str">
        <f t="shared" si="7"/>
        <v>COO</v>
      </c>
      <c r="E79" s="187" t="str">
        <f t="shared" si="8"/>
        <v>Lucas Martins</v>
      </c>
      <c r="F79" s="188"/>
      <c r="G79" s="188" t="e">
        <f>_xlfn.CONCAT('Consolidado-Eletronorte'!#REF!,"_",ROW('Consolidado-Eletronorte'!#REF!)-ROW('Consolidado-Eletronorte'!$G$18))</f>
        <v>#REF!</v>
      </c>
      <c r="H79" s="279" t="s">
        <v>506</v>
      </c>
      <c r="I79" s="189" t="s">
        <v>507</v>
      </c>
      <c r="J79" s="190" t="s">
        <v>508</v>
      </c>
      <c r="K79" s="189" t="s">
        <v>1039</v>
      </c>
      <c r="L79" s="189" t="s">
        <v>1040</v>
      </c>
      <c r="M79" s="189" t="s">
        <v>738</v>
      </c>
      <c r="N79" s="189"/>
      <c r="O79" s="189"/>
      <c r="P79" s="189" t="s">
        <v>511</v>
      </c>
      <c r="Q79" s="191" t="s">
        <v>407</v>
      </c>
      <c r="R79" s="191" t="s">
        <v>741</v>
      </c>
      <c r="S79" s="189" t="s">
        <v>319</v>
      </c>
      <c r="T79" s="229">
        <v>0</v>
      </c>
      <c r="U79" s="229">
        <v>0</v>
      </c>
      <c r="V79" s="229">
        <v>0</v>
      </c>
      <c r="W79" s="229">
        <v>0</v>
      </c>
      <c r="X79" s="229">
        <v>0</v>
      </c>
      <c r="Y79" s="229">
        <v>0</v>
      </c>
      <c r="Z79" s="229">
        <v>0</v>
      </c>
      <c r="AA79" s="229">
        <v>0</v>
      </c>
      <c r="AB79" s="229">
        <v>0</v>
      </c>
      <c r="AC79" s="229">
        <v>500000</v>
      </c>
      <c r="AD79" s="229">
        <v>0</v>
      </c>
      <c r="AE79" s="229">
        <v>0</v>
      </c>
      <c r="AF79" s="229">
        <v>500000</v>
      </c>
      <c r="AG79" s="229">
        <v>500000</v>
      </c>
      <c r="AH79" s="229">
        <v>0</v>
      </c>
      <c r="AI79" s="229">
        <v>0</v>
      </c>
      <c r="AJ79" s="229">
        <v>0</v>
      </c>
      <c r="AK79" s="229">
        <v>1000000</v>
      </c>
      <c r="AL79" s="229">
        <v>0</v>
      </c>
      <c r="AM79" s="229">
        <v>0</v>
      </c>
      <c r="AN79" s="229">
        <v>0</v>
      </c>
      <c r="AO79" s="229">
        <v>0</v>
      </c>
      <c r="AP79" s="229">
        <v>0</v>
      </c>
      <c r="AQ79" s="229">
        <v>1000000</v>
      </c>
      <c r="AR79" s="2">
        <v>91</v>
      </c>
      <c r="AS79" s="2" t="s">
        <v>1811</v>
      </c>
      <c r="AT79" s="2">
        <v>2025</v>
      </c>
      <c r="AU79" s="2" t="s">
        <v>742</v>
      </c>
      <c r="AV79" s="2">
        <v>0</v>
      </c>
      <c r="AW79" s="2" t="s">
        <v>1810</v>
      </c>
      <c r="AZ79" s="2" t="str">
        <f>_xlfn.XLOOKUP(Tabela98[[#This Row],[Descrição do projeto]],[3]Geração!$G:$G,[3]Geração!$F:$F,,0,1)</f>
        <v>Frederico Rodolfo Parente Doerner</v>
      </c>
    </row>
    <row r="80" spans="1:52" ht="24.75" customHeight="1" x14ac:dyDescent="0.35">
      <c r="A80" s="184"/>
      <c r="B80" s="185" t="e" cm="1">
        <f t="array" ref="B80">AND(ISTEXT('Consolidado-Eletronorte'!#REF!),SUM('Consolidado-Eletronorte'!#REF!)&gt;0)</f>
        <v>#REF!</v>
      </c>
      <c r="C80" s="186" t="str">
        <f t="shared" ca="1" si="6"/>
        <v>Capex Orcamentário_PE2026_2030_red_35_porcentoR3_consulta.xlsx</v>
      </c>
      <c r="D80" s="187" t="str">
        <f t="shared" si="7"/>
        <v>COO</v>
      </c>
      <c r="E80" s="187" t="str">
        <f t="shared" si="8"/>
        <v>Lucas Martins</v>
      </c>
      <c r="F80" s="188"/>
      <c r="G80" s="188" t="e">
        <f>_xlfn.CONCAT('Consolidado-Eletronorte'!#REF!,"_",ROW('Consolidado-Eletronorte'!#REF!)-ROW('Consolidado-Eletronorte'!$G$18))</f>
        <v>#REF!</v>
      </c>
      <c r="H80" s="279" t="s">
        <v>506</v>
      </c>
      <c r="I80" s="189" t="s">
        <v>507</v>
      </c>
      <c r="J80" s="190" t="s">
        <v>508</v>
      </c>
      <c r="K80" s="189" t="s">
        <v>1039</v>
      </c>
      <c r="L80" s="189" t="s">
        <v>1040</v>
      </c>
      <c r="M80" s="189" t="s">
        <v>577</v>
      </c>
      <c r="N80" s="189"/>
      <c r="O80" s="189"/>
      <c r="P80" s="189" t="s">
        <v>511</v>
      </c>
      <c r="Q80" s="191" t="s">
        <v>369</v>
      </c>
      <c r="R80" s="191" t="s">
        <v>794</v>
      </c>
      <c r="S80" s="189" t="s">
        <v>319</v>
      </c>
      <c r="T80" s="229">
        <v>0</v>
      </c>
      <c r="U80" s="229">
        <v>0</v>
      </c>
      <c r="V80" s="229">
        <v>0</v>
      </c>
      <c r="W80" s="229">
        <v>0</v>
      </c>
      <c r="X80" s="229">
        <v>0</v>
      </c>
      <c r="Y80" s="229">
        <v>0</v>
      </c>
      <c r="Z80" s="229">
        <v>0</v>
      </c>
      <c r="AA80" s="229">
        <v>0</v>
      </c>
      <c r="AB80" s="229">
        <v>0</v>
      </c>
      <c r="AC80" s="229">
        <v>0</v>
      </c>
      <c r="AD80" s="229">
        <v>0</v>
      </c>
      <c r="AE80" s="229">
        <v>0</v>
      </c>
      <c r="AF80" s="229">
        <v>0</v>
      </c>
      <c r="AG80" s="229">
        <v>1000000</v>
      </c>
      <c r="AH80" s="229">
        <v>0</v>
      </c>
      <c r="AI80" s="229">
        <v>0</v>
      </c>
      <c r="AJ80" s="229">
        <v>0</v>
      </c>
      <c r="AK80" s="229">
        <v>1000000</v>
      </c>
      <c r="AL80" s="229">
        <v>0</v>
      </c>
      <c r="AM80" s="229">
        <v>0</v>
      </c>
      <c r="AN80" s="229">
        <v>0</v>
      </c>
      <c r="AO80" s="229">
        <v>0</v>
      </c>
      <c r="AP80" s="229">
        <v>0</v>
      </c>
      <c r="AQ80" s="229">
        <v>1000000</v>
      </c>
      <c r="AR80" s="2">
        <v>69</v>
      </c>
      <c r="AS80" s="2" t="s">
        <v>279</v>
      </c>
      <c r="AT80" s="2" t="s">
        <v>1601</v>
      </c>
      <c r="AU80" s="2" t="s">
        <v>795</v>
      </c>
      <c r="AV80" s="2">
        <v>0</v>
      </c>
      <c r="AW80" s="2" t="s">
        <v>1810</v>
      </c>
      <c r="AZ80" s="2" t="str">
        <f>_xlfn.XLOOKUP(Tabela98[[#This Row],[Descrição do projeto]],[3]Geração!$G:$G,[3]Geração!$F:$F,,0,1)</f>
        <v>Frederico Rodolfo Parente Doerner</v>
      </c>
    </row>
    <row r="81" spans="1:52" ht="24.75" customHeight="1" x14ac:dyDescent="0.35">
      <c r="A81" s="184"/>
      <c r="B81" s="185" t="e" cm="1">
        <f t="array" ref="B81">AND(ISTEXT('Consolidado-Eletronorte'!#REF!),SUM('Consolidado-Eletronorte'!#REF!)&gt;0)</f>
        <v>#REF!</v>
      </c>
      <c r="C81" s="186" t="str">
        <f t="shared" ca="1" si="6"/>
        <v>Capex Orcamentário_PE2026_2030_red_35_porcentoR3_consulta.xlsx</v>
      </c>
      <c r="D81" s="187" t="str">
        <f t="shared" si="7"/>
        <v>COO</v>
      </c>
      <c r="E81" s="187" t="str">
        <f t="shared" si="8"/>
        <v>Lucas Martins</v>
      </c>
      <c r="F81" s="188"/>
      <c r="G81" s="188" t="e">
        <f>_xlfn.CONCAT('Consolidado-Eletronorte'!#REF!,"_",ROW('Consolidado-Eletronorte'!#REF!)-ROW('Consolidado-Eletronorte'!$G$18))</f>
        <v>#REF!</v>
      </c>
      <c r="H81" s="279" t="s">
        <v>506</v>
      </c>
      <c r="I81" s="189" t="s">
        <v>507</v>
      </c>
      <c r="J81" s="190" t="s">
        <v>508</v>
      </c>
      <c r="K81" s="189" t="s">
        <v>1039</v>
      </c>
      <c r="L81" s="189" t="s">
        <v>1040</v>
      </c>
      <c r="M81" s="189" t="s">
        <v>577</v>
      </c>
      <c r="N81" s="189"/>
      <c r="O81" s="189"/>
      <c r="P81" s="189" t="s">
        <v>511</v>
      </c>
      <c r="Q81" s="191" t="s">
        <v>367</v>
      </c>
      <c r="R81" s="191" t="s">
        <v>367</v>
      </c>
      <c r="S81" s="189" t="s">
        <v>319</v>
      </c>
      <c r="T81" s="229">
        <v>0</v>
      </c>
      <c r="U81" s="229">
        <v>0</v>
      </c>
      <c r="V81" s="229">
        <v>0</v>
      </c>
      <c r="W81" s="229">
        <v>0</v>
      </c>
      <c r="X81" s="229">
        <v>0</v>
      </c>
      <c r="Y81" s="229">
        <v>0</v>
      </c>
      <c r="Z81" s="229">
        <v>0</v>
      </c>
      <c r="AA81" s="229">
        <v>0</v>
      </c>
      <c r="AB81" s="229">
        <v>0</v>
      </c>
      <c r="AC81" s="229">
        <v>0</v>
      </c>
      <c r="AD81" s="229">
        <v>0</v>
      </c>
      <c r="AE81" s="229">
        <v>0</v>
      </c>
      <c r="AF81" s="229">
        <v>0</v>
      </c>
      <c r="AG81" s="229">
        <v>1000000</v>
      </c>
      <c r="AH81" s="229">
        <v>0</v>
      </c>
      <c r="AI81" s="229">
        <v>0</v>
      </c>
      <c r="AJ81" s="229">
        <v>0</v>
      </c>
      <c r="AK81" s="229">
        <v>1000000</v>
      </c>
      <c r="AL81" s="229">
        <v>0</v>
      </c>
      <c r="AM81" s="229">
        <v>0</v>
      </c>
      <c r="AN81" s="229">
        <v>0</v>
      </c>
      <c r="AO81" s="229">
        <v>0</v>
      </c>
      <c r="AP81" s="229">
        <v>0</v>
      </c>
      <c r="AQ81" s="229">
        <v>1000000</v>
      </c>
      <c r="AR81" s="2">
        <v>70</v>
      </c>
      <c r="AS81" s="2" t="s">
        <v>279</v>
      </c>
      <c r="AT81" s="2" t="s">
        <v>1601</v>
      </c>
      <c r="AU81" s="2" t="s">
        <v>796</v>
      </c>
      <c r="AV81" s="2">
        <v>0</v>
      </c>
      <c r="AW81" s="2" t="s">
        <v>1810</v>
      </c>
      <c r="AZ81" s="2" t="str">
        <f>_xlfn.XLOOKUP(Tabela98[[#This Row],[Descrição do projeto]],[3]Geração!$G:$G,[3]Geração!$F:$F,,0,1)</f>
        <v>Frederico Rodolfo Parente Doerner</v>
      </c>
    </row>
    <row r="82" spans="1:52" ht="24.75" customHeight="1" x14ac:dyDescent="0.35">
      <c r="A82" s="184"/>
      <c r="B82" s="185" t="e" cm="1">
        <f t="array" ref="B82">AND(ISTEXT('Consolidado-Eletronorte'!#REF!),SUM('Consolidado-Eletronorte'!#REF!)&gt;0)</f>
        <v>#REF!</v>
      </c>
      <c r="C82" s="186" t="str">
        <f t="shared" ca="1" si="6"/>
        <v>Capex Orcamentário_PE2026_2030_red_35_porcentoR3_consulta.xlsx</v>
      </c>
      <c r="D82" s="187" t="str">
        <f t="shared" si="7"/>
        <v>COO</v>
      </c>
      <c r="E82" s="187" t="str">
        <f t="shared" si="8"/>
        <v>Lucas Martins</v>
      </c>
      <c r="F82" s="188"/>
      <c r="G82" s="188" t="e">
        <f>_xlfn.CONCAT('Consolidado-Eletronorte'!#REF!,"_",ROW('Consolidado-Eletronorte'!#REF!)-ROW('Consolidado-Eletronorte'!$G$18))</f>
        <v>#REF!</v>
      </c>
      <c r="H82" s="279" t="s">
        <v>506</v>
      </c>
      <c r="I82" s="189" t="s">
        <v>507</v>
      </c>
      <c r="J82" s="190" t="s">
        <v>508</v>
      </c>
      <c r="K82" s="189" t="s">
        <v>1039</v>
      </c>
      <c r="L82" s="189" t="s">
        <v>1040</v>
      </c>
      <c r="M82" s="189" t="s">
        <v>577</v>
      </c>
      <c r="N82" s="189"/>
      <c r="O82" s="189"/>
      <c r="P82" s="189" t="s">
        <v>587</v>
      </c>
      <c r="Q82" s="191" t="s">
        <v>180</v>
      </c>
      <c r="R82" s="191" t="s">
        <v>855</v>
      </c>
      <c r="S82" s="189" t="s">
        <v>158</v>
      </c>
      <c r="T82" s="229">
        <v>0</v>
      </c>
      <c r="U82" s="229">
        <v>0</v>
      </c>
      <c r="V82" s="229">
        <v>0</v>
      </c>
      <c r="W82" s="229">
        <v>0</v>
      </c>
      <c r="X82" s="229">
        <v>0</v>
      </c>
      <c r="Y82" s="229">
        <v>0</v>
      </c>
      <c r="Z82" s="229">
        <v>0</v>
      </c>
      <c r="AA82" s="229">
        <v>0</v>
      </c>
      <c r="AB82" s="229">
        <v>0</v>
      </c>
      <c r="AC82" s="229">
        <v>0</v>
      </c>
      <c r="AD82" s="229">
        <v>0</v>
      </c>
      <c r="AE82" s="229">
        <v>0</v>
      </c>
      <c r="AF82" s="229">
        <v>0</v>
      </c>
      <c r="AG82" s="229">
        <v>1000000</v>
      </c>
      <c r="AH82" s="229">
        <v>0</v>
      </c>
      <c r="AI82" s="229">
        <v>0</v>
      </c>
      <c r="AJ82" s="229">
        <v>0</v>
      </c>
      <c r="AK82" s="229">
        <v>1000000</v>
      </c>
      <c r="AL82" s="229">
        <v>0</v>
      </c>
      <c r="AM82" s="229">
        <v>0</v>
      </c>
      <c r="AN82" s="229">
        <v>0</v>
      </c>
      <c r="AO82" s="229">
        <v>0</v>
      </c>
      <c r="AP82" s="229">
        <v>0</v>
      </c>
      <c r="AQ82" s="229">
        <v>1000000</v>
      </c>
      <c r="AR82" s="2">
        <v>75</v>
      </c>
      <c r="AS82" s="208" t="s">
        <v>159</v>
      </c>
      <c r="AT82" s="208" t="s">
        <v>1601</v>
      </c>
      <c r="AU82" s="2" t="s">
        <v>856</v>
      </c>
      <c r="AV82" s="2">
        <v>0</v>
      </c>
      <c r="AW82" s="2" t="s">
        <v>1810</v>
      </c>
      <c r="AZ82" s="2" t="str">
        <f>_xlfn.XLOOKUP(Tabela98[[#This Row],[Descrição do projeto]],[3]Geração!$G:$G,[3]Geração!$F:$F,,0,1)</f>
        <v>Milton Pereira Menezes</v>
      </c>
    </row>
    <row r="83" spans="1:52" ht="24.75" customHeight="1" x14ac:dyDescent="0.35">
      <c r="A83" s="184"/>
      <c r="B83" s="185" t="e" cm="1">
        <f t="array" ref="B83">AND(ISTEXT('Consolidado-Eletronorte'!#REF!),SUM('Consolidado-Eletronorte'!#REF!)&gt;0)</f>
        <v>#REF!</v>
      </c>
      <c r="C83" s="186" t="str">
        <f t="shared" ca="1" si="6"/>
        <v>Capex Orcamentário_PE2026_2030_red_35_porcentoR3_consulta.xlsx</v>
      </c>
      <c r="D83" s="187" t="str">
        <f t="shared" si="7"/>
        <v>COO</v>
      </c>
      <c r="E83" s="187" t="str">
        <f t="shared" si="8"/>
        <v>Lucas Martins</v>
      </c>
      <c r="F83" s="188"/>
      <c r="G83" s="188" t="e">
        <f>_xlfn.CONCAT('Consolidado-Eletronorte'!#REF!,"_",ROW('Consolidado-Eletronorte'!#REF!)-ROW('Consolidado-Eletronorte'!$G$18))</f>
        <v>#REF!</v>
      </c>
      <c r="H83" s="279" t="s">
        <v>506</v>
      </c>
      <c r="I83" s="189" t="s">
        <v>507</v>
      </c>
      <c r="J83" s="190" t="s">
        <v>508</v>
      </c>
      <c r="K83" s="189" t="s">
        <v>1039</v>
      </c>
      <c r="L83" s="189" t="s">
        <v>1040</v>
      </c>
      <c r="M83" s="189" t="s">
        <v>577</v>
      </c>
      <c r="N83" s="189"/>
      <c r="O83" s="189"/>
      <c r="P83" s="189" t="s">
        <v>587</v>
      </c>
      <c r="Q83" s="191" t="s">
        <v>178</v>
      </c>
      <c r="R83" s="191" t="s">
        <v>857</v>
      </c>
      <c r="S83" s="189" t="s">
        <v>158</v>
      </c>
      <c r="T83" s="229">
        <v>0</v>
      </c>
      <c r="U83" s="229">
        <v>0</v>
      </c>
      <c r="V83" s="229">
        <v>0</v>
      </c>
      <c r="W83" s="229">
        <v>0</v>
      </c>
      <c r="X83" s="229">
        <v>0</v>
      </c>
      <c r="Y83" s="229">
        <v>0</v>
      </c>
      <c r="Z83" s="229">
        <v>0</v>
      </c>
      <c r="AA83" s="229">
        <v>0</v>
      </c>
      <c r="AB83" s="229">
        <v>0</v>
      </c>
      <c r="AC83" s="229">
        <v>0</v>
      </c>
      <c r="AD83" s="229">
        <v>0</v>
      </c>
      <c r="AE83" s="229">
        <v>0</v>
      </c>
      <c r="AF83" s="229">
        <v>0</v>
      </c>
      <c r="AG83" s="229">
        <v>600000</v>
      </c>
      <c r="AH83" s="229">
        <v>400000</v>
      </c>
      <c r="AI83" s="229">
        <v>0</v>
      </c>
      <c r="AJ83" s="229">
        <v>0</v>
      </c>
      <c r="AK83" s="229">
        <v>1000000</v>
      </c>
      <c r="AL83" s="229">
        <v>0</v>
      </c>
      <c r="AM83" s="229">
        <v>0</v>
      </c>
      <c r="AN83" s="229">
        <v>0</v>
      </c>
      <c r="AO83" s="229">
        <v>0</v>
      </c>
      <c r="AP83" s="229">
        <v>0</v>
      </c>
      <c r="AQ83" s="229">
        <v>1000000</v>
      </c>
      <c r="AR83" s="2">
        <v>77</v>
      </c>
      <c r="AS83" s="208" t="s">
        <v>159</v>
      </c>
      <c r="AT83" s="208" t="s">
        <v>1601</v>
      </c>
      <c r="AU83" s="2" t="s">
        <v>858</v>
      </c>
      <c r="AV83" s="2">
        <v>0</v>
      </c>
      <c r="AW83" s="2" t="s">
        <v>1810</v>
      </c>
      <c r="AZ83" s="2" t="str">
        <f>_xlfn.XLOOKUP(Tabela98[[#This Row],[Descrição do projeto]],[3]Geração!$G:$G,[3]Geração!$F:$F,,0,1)</f>
        <v>Milton Pereira Menezes</v>
      </c>
    </row>
    <row r="84" spans="1:52" ht="24.75" customHeight="1" x14ac:dyDescent="0.35">
      <c r="A84" s="280"/>
      <c r="B84" s="185" t="e" cm="1">
        <f t="array" ref="B84">AND(ISTEXT('Consolidado-Eletronorte'!#REF!),SUM('Consolidado-Eletronorte'!#REF!)&gt;0)</f>
        <v>#REF!</v>
      </c>
      <c r="C84" s="281" t="str">
        <f t="shared" ca="1" si="6"/>
        <v>Capex Orcamentário_PE2026_2030_red_35_porcentoR3_consulta.xlsx</v>
      </c>
      <c r="D84" s="282" t="str">
        <f t="shared" si="7"/>
        <v>COO</v>
      </c>
      <c r="E84" s="282" t="str">
        <f t="shared" si="8"/>
        <v>Lucas Martins</v>
      </c>
      <c r="F84" s="283"/>
      <c r="G84" s="283" t="e">
        <f>_xlfn.CONCAT('Consolidado-Eletronorte'!#REF!,"_",ROW('Consolidado-Eletronorte'!#REF!)-ROW('Consolidado-Eletronorte'!$G$18))</f>
        <v>#REF!</v>
      </c>
      <c r="H84" s="284" t="s">
        <v>506</v>
      </c>
      <c r="I84" s="285" t="s">
        <v>507</v>
      </c>
      <c r="J84" s="286" t="s">
        <v>508</v>
      </c>
      <c r="K84" s="285" t="s">
        <v>1039</v>
      </c>
      <c r="L84" s="285" t="s">
        <v>1040</v>
      </c>
      <c r="M84" s="285" t="s">
        <v>577</v>
      </c>
      <c r="N84" s="285"/>
      <c r="O84" s="285"/>
      <c r="P84" s="285" t="s">
        <v>511</v>
      </c>
      <c r="Q84" s="287" t="s">
        <v>403</v>
      </c>
      <c r="R84" s="287" t="s">
        <v>797</v>
      </c>
      <c r="S84" s="285" t="s">
        <v>319</v>
      </c>
      <c r="T84" s="229">
        <v>0</v>
      </c>
      <c r="U84" s="229">
        <v>0</v>
      </c>
      <c r="V84" s="229">
        <v>0</v>
      </c>
      <c r="W84" s="229">
        <v>325000</v>
      </c>
      <c r="X84" s="229">
        <v>0</v>
      </c>
      <c r="Y84" s="229">
        <v>0</v>
      </c>
      <c r="Z84" s="229">
        <v>0</v>
      </c>
      <c r="AA84" s="229">
        <v>326000</v>
      </c>
      <c r="AB84" s="229">
        <v>0</v>
      </c>
      <c r="AC84" s="229">
        <v>0</v>
      </c>
      <c r="AD84" s="229">
        <v>300000</v>
      </c>
      <c r="AE84" s="229">
        <v>0</v>
      </c>
      <c r="AF84" s="229">
        <v>951000</v>
      </c>
      <c r="AG84" s="229">
        <v>0</v>
      </c>
      <c r="AH84" s="229">
        <v>0</v>
      </c>
      <c r="AI84" s="229">
        <v>0</v>
      </c>
      <c r="AJ84" s="229">
        <v>0</v>
      </c>
      <c r="AK84" s="229">
        <v>951000</v>
      </c>
      <c r="AL84" s="229">
        <v>0</v>
      </c>
      <c r="AM84" s="229">
        <v>0</v>
      </c>
      <c r="AN84" s="229">
        <v>0</v>
      </c>
      <c r="AO84" s="229">
        <v>0</v>
      </c>
      <c r="AP84" s="229">
        <v>0</v>
      </c>
      <c r="AQ84" s="229">
        <v>951000</v>
      </c>
      <c r="AR84" s="2">
        <v>32</v>
      </c>
      <c r="AS84" s="208" t="s">
        <v>1811</v>
      </c>
      <c r="AT84" s="208" t="s">
        <v>1601</v>
      </c>
      <c r="AU84" s="2" t="s">
        <v>798</v>
      </c>
      <c r="AV84" s="2">
        <v>0</v>
      </c>
      <c r="AW84" s="2" t="s">
        <v>1810</v>
      </c>
      <c r="AZ84" s="2" t="str">
        <f>_xlfn.XLOOKUP(Tabela98[[#This Row],[Descrição do projeto]],[3]Geração!$G:$G,[3]Geração!$F:$F,,0,1)</f>
        <v>Frederico Rodolfo Parente Doerner</v>
      </c>
    </row>
    <row r="85" spans="1:52" ht="24.75" hidden="1" customHeight="1" x14ac:dyDescent="0.35">
      <c r="A85" s="184"/>
      <c r="B85" s="185" t="e" cm="1">
        <f t="array" ref="B85">AND(ISTEXT('Consolidado-Eletronorte'!#REF!),SUM('Consolidado-Eletronorte'!#REF!)&gt;0)</f>
        <v>#REF!</v>
      </c>
      <c r="C85" s="186" t="str">
        <f t="shared" ca="1" si="6"/>
        <v>Capex Orcamentário_PE2026_2030_red_35_porcentoR3_consulta.xlsx</v>
      </c>
      <c r="D85" s="187" t="str">
        <f t="shared" si="7"/>
        <v>COO</v>
      </c>
      <c r="E85" s="187" t="str">
        <f t="shared" si="8"/>
        <v>Lucas Martins</v>
      </c>
      <c r="F85" s="188"/>
      <c r="G85" s="188" t="e">
        <f>_xlfn.CONCAT('Consolidado-Eletronorte'!#REF!,"_",ROW('Consolidado-Eletronorte'!#REF!)-ROW('Consolidado-Eletronorte'!$G$18))</f>
        <v>#REF!</v>
      </c>
      <c r="H85" s="279" t="s">
        <v>506</v>
      </c>
      <c r="I85" s="189" t="s">
        <v>507</v>
      </c>
      <c r="J85" s="190" t="s">
        <v>508</v>
      </c>
      <c r="K85" s="189" t="s">
        <v>1039</v>
      </c>
      <c r="L85" s="189" t="s">
        <v>622</v>
      </c>
      <c r="M85" s="189" t="s">
        <v>940</v>
      </c>
      <c r="N85" s="189"/>
      <c r="O85" s="189"/>
      <c r="P85" s="189" t="s">
        <v>511</v>
      </c>
      <c r="Q85" s="191" t="s">
        <v>423</v>
      </c>
      <c r="R85" s="191" t="s">
        <v>941</v>
      </c>
      <c r="S85" s="189" t="s">
        <v>344</v>
      </c>
      <c r="T85" s="229">
        <v>0</v>
      </c>
      <c r="U85" s="229">
        <v>0</v>
      </c>
      <c r="V85" s="229">
        <v>0</v>
      </c>
      <c r="W85" s="229">
        <v>0</v>
      </c>
      <c r="X85" s="229">
        <v>53000</v>
      </c>
      <c r="Y85" s="229">
        <v>0</v>
      </c>
      <c r="Z85" s="229">
        <v>0</v>
      </c>
      <c r="AA85" s="229">
        <v>0</v>
      </c>
      <c r="AB85" s="229">
        <v>0</v>
      </c>
      <c r="AC85" s="229">
        <v>0</v>
      </c>
      <c r="AD85" s="229">
        <v>0</v>
      </c>
      <c r="AE85" s="229">
        <v>0</v>
      </c>
      <c r="AF85" s="229">
        <v>53000</v>
      </c>
      <c r="AG85" s="229">
        <v>0</v>
      </c>
      <c r="AH85" s="229">
        <v>0</v>
      </c>
      <c r="AI85" s="229">
        <v>0</v>
      </c>
      <c r="AJ85" s="229">
        <v>0</v>
      </c>
      <c r="AK85" s="229">
        <v>53000</v>
      </c>
      <c r="AL85" s="229">
        <v>0</v>
      </c>
      <c r="AM85" s="229">
        <v>0</v>
      </c>
      <c r="AN85" s="229">
        <v>0</v>
      </c>
      <c r="AO85" s="229">
        <v>0</v>
      </c>
      <c r="AP85" s="229">
        <v>0</v>
      </c>
      <c r="AQ85" s="229">
        <v>53000</v>
      </c>
      <c r="AR85" s="2">
        <v>121</v>
      </c>
      <c r="AS85" s="2" t="s">
        <v>261</v>
      </c>
      <c r="AT85" s="2">
        <v>2025</v>
      </c>
      <c r="AU85" s="2" t="s">
        <v>942</v>
      </c>
      <c r="AV85" s="2" t="s">
        <v>943</v>
      </c>
      <c r="AW85" s="2" t="s">
        <v>1810</v>
      </c>
      <c r="AZ85" s="2" t="e">
        <f>_xlfn.XLOOKUP(Tabela98[[#This Row],[Descrição do projeto]],[3]Geração!$G:$G,[3]Geração!$F:$F,,0,1)</f>
        <v>#N/A</v>
      </c>
    </row>
    <row r="86" spans="1:52" ht="24.75" hidden="1" customHeight="1" x14ac:dyDescent="0.35">
      <c r="A86" s="184"/>
      <c r="B86" s="185" t="e" cm="1">
        <f t="array" ref="B86">AND(ISTEXT('Consolidado-Eletronorte'!#REF!),SUM('Consolidado-Eletronorte'!#REF!)&gt;0)</f>
        <v>#REF!</v>
      </c>
      <c r="C86" s="186" t="str">
        <f t="shared" ca="1" si="6"/>
        <v>Capex Orcamentário_PE2026_2030_red_35_porcentoR3_consulta.xlsx</v>
      </c>
      <c r="D86" s="187" t="str">
        <f t="shared" si="7"/>
        <v>COO</v>
      </c>
      <c r="E86" s="187" t="str">
        <f t="shared" si="8"/>
        <v>Lucas Martins</v>
      </c>
      <c r="F86" s="188"/>
      <c r="G86" s="188" t="e">
        <f>_xlfn.CONCAT('Consolidado-Eletronorte'!#REF!,"_",ROW('Consolidado-Eletronorte'!#REF!)-ROW('Consolidado-Eletronorte'!$G$18))</f>
        <v>#REF!</v>
      </c>
      <c r="H86" s="279" t="s">
        <v>506</v>
      </c>
      <c r="I86" s="189" t="s">
        <v>507</v>
      </c>
      <c r="J86" s="190" t="s">
        <v>508</v>
      </c>
      <c r="K86" s="189" t="s">
        <v>1039</v>
      </c>
      <c r="L86" s="189" t="s">
        <v>622</v>
      </c>
      <c r="M86" s="189" t="s">
        <v>836</v>
      </c>
      <c r="N86" s="189"/>
      <c r="O86" s="189"/>
      <c r="P86" s="189" t="s">
        <v>617</v>
      </c>
      <c r="Q86" s="191" t="s">
        <v>263</v>
      </c>
      <c r="R86" s="191" t="s">
        <v>837</v>
      </c>
      <c r="S86" s="189" t="s">
        <v>229</v>
      </c>
      <c r="T86" s="229">
        <v>0</v>
      </c>
      <c r="U86" s="229">
        <v>0</v>
      </c>
      <c r="V86" s="229">
        <v>0</v>
      </c>
      <c r="W86" s="229">
        <v>0</v>
      </c>
      <c r="X86" s="229">
        <v>0</v>
      </c>
      <c r="Y86" s="229">
        <v>9000</v>
      </c>
      <c r="Z86" s="229">
        <v>0</v>
      </c>
      <c r="AA86" s="229">
        <v>0</v>
      </c>
      <c r="AB86" s="229">
        <v>0</v>
      </c>
      <c r="AC86" s="229">
        <v>0</v>
      </c>
      <c r="AD86" s="229">
        <v>0</v>
      </c>
      <c r="AE86" s="229">
        <v>0</v>
      </c>
      <c r="AF86" s="229">
        <v>9000</v>
      </c>
      <c r="AG86" s="229">
        <v>0</v>
      </c>
      <c r="AH86" s="229">
        <v>0</v>
      </c>
      <c r="AI86" s="229">
        <v>0</v>
      </c>
      <c r="AJ86" s="229">
        <v>0</v>
      </c>
      <c r="AK86" s="229">
        <v>9000</v>
      </c>
      <c r="AL86" s="229">
        <v>0</v>
      </c>
      <c r="AM86" s="229">
        <v>0</v>
      </c>
      <c r="AN86" s="229">
        <v>0</v>
      </c>
      <c r="AO86" s="229">
        <v>0</v>
      </c>
      <c r="AP86" s="229">
        <v>0</v>
      </c>
      <c r="AQ86" s="229">
        <v>9000</v>
      </c>
      <c r="AR86" s="2">
        <v>118</v>
      </c>
      <c r="AS86" s="2" t="s">
        <v>261</v>
      </c>
      <c r="AT86" s="2">
        <v>2025</v>
      </c>
      <c r="AU86" s="2" t="s">
        <v>838</v>
      </c>
      <c r="AV86" s="2" t="s">
        <v>839</v>
      </c>
      <c r="AW86" s="2" t="s">
        <v>1810</v>
      </c>
      <c r="AZ86" s="2" t="e">
        <f>_xlfn.XLOOKUP(Tabela98[[#This Row],[Descrição do projeto]],[3]Geração!$G:$G,[3]Geração!$F:$F,,0,1)</f>
        <v>#N/A</v>
      </c>
    </row>
    <row r="87" spans="1:52" ht="24.75" customHeight="1" x14ac:dyDescent="0.35">
      <c r="A87" s="280"/>
      <c r="B87" s="185" t="e" cm="1">
        <f t="array" ref="B87">AND(ISTEXT('Consolidado-Eletronorte'!#REF!),SUM('Consolidado-Eletronorte'!#REF!)&gt;0)</f>
        <v>#REF!</v>
      </c>
      <c r="C87" s="281" t="str">
        <f t="shared" ca="1" si="6"/>
        <v>Capex Orcamentário_PE2026_2030_red_35_porcentoR3_consulta.xlsx</v>
      </c>
      <c r="D87" s="282" t="str">
        <f t="shared" si="7"/>
        <v>COO</v>
      </c>
      <c r="E87" s="282" t="str">
        <f t="shared" si="8"/>
        <v>Lucas Martins</v>
      </c>
      <c r="F87" s="283"/>
      <c r="G87" s="283" t="e">
        <f>_xlfn.CONCAT('Consolidado-Eletronorte'!#REF!,"_",ROW('Consolidado-Eletronorte'!#REF!)-ROW('Consolidado-Eletronorte'!$G$18))</f>
        <v>#REF!</v>
      </c>
      <c r="H87" s="284" t="s">
        <v>506</v>
      </c>
      <c r="I87" s="285" t="s">
        <v>507</v>
      </c>
      <c r="J87" s="286" t="s">
        <v>508</v>
      </c>
      <c r="K87" s="285" t="s">
        <v>1039</v>
      </c>
      <c r="L87" s="285" t="s">
        <v>1040</v>
      </c>
      <c r="M87" s="285" t="s">
        <v>555</v>
      </c>
      <c r="N87" s="285"/>
      <c r="O87" s="285"/>
      <c r="P87" s="285" t="s">
        <v>511</v>
      </c>
      <c r="Q87" s="287" t="s">
        <v>405</v>
      </c>
      <c r="R87" s="287" t="s">
        <v>781</v>
      </c>
      <c r="S87" s="285" t="s">
        <v>319</v>
      </c>
      <c r="T87" s="229">
        <v>0</v>
      </c>
      <c r="U87" s="229">
        <v>0</v>
      </c>
      <c r="V87" s="229">
        <v>0</v>
      </c>
      <c r="W87" s="229">
        <v>225140</v>
      </c>
      <c r="X87" s="229">
        <v>0</v>
      </c>
      <c r="Y87" s="229">
        <v>0</v>
      </c>
      <c r="Z87" s="229">
        <v>0</v>
      </c>
      <c r="AA87" s="229">
        <v>225140</v>
      </c>
      <c r="AB87" s="229">
        <v>0</v>
      </c>
      <c r="AC87" s="229">
        <v>0</v>
      </c>
      <c r="AD87" s="229">
        <v>0</v>
      </c>
      <c r="AE87" s="229">
        <v>0</v>
      </c>
      <c r="AF87" s="229">
        <v>450280</v>
      </c>
      <c r="AG87" s="229">
        <v>450280</v>
      </c>
      <c r="AH87" s="229">
        <v>0</v>
      </c>
      <c r="AI87" s="229">
        <v>0</v>
      </c>
      <c r="AJ87" s="229">
        <v>0</v>
      </c>
      <c r="AK87" s="229">
        <v>900560</v>
      </c>
      <c r="AL87" s="229">
        <v>0</v>
      </c>
      <c r="AM87" s="229">
        <v>0</v>
      </c>
      <c r="AN87" s="229">
        <v>0</v>
      </c>
      <c r="AO87" s="229">
        <v>0</v>
      </c>
      <c r="AP87" s="229">
        <v>0</v>
      </c>
      <c r="AQ87" s="229">
        <v>900560</v>
      </c>
      <c r="AR87" s="2">
        <v>24</v>
      </c>
      <c r="AS87" s="2" t="s">
        <v>341</v>
      </c>
      <c r="AT87" s="2">
        <v>2025</v>
      </c>
      <c r="AU87" s="2" t="s">
        <v>799</v>
      </c>
      <c r="AV87" s="2" t="s">
        <v>580</v>
      </c>
      <c r="AW87" s="2" t="s">
        <v>1810</v>
      </c>
      <c r="AZ87" s="2" t="str">
        <f>_xlfn.XLOOKUP(Tabela98[[#This Row],[Descrição do projeto]],[3]Geração!$G:$G,[3]Geração!$F:$F,,0,1)</f>
        <v>Gilton Carlos De Andrade Furtado</v>
      </c>
    </row>
    <row r="88" spans="1:52" ht="24.75" customHeight="1" x14ac:dyDescent="0.35">
      <c r="A88" s="280"/>
      <c r="B88" s="185" t="e" cm="1">
        <f t="array" ref="B88">AND(ISTEXT('Consolidado-Eletronorte'!#REF!),SUM('Consolidado-Eletronorte'!#REF!)&gt;0)</f>
        <v>#REF!</v>
      </c>
      <c r="C88" s="281" t="str">
        <f t="shared" ca="1" si="6"/>
        <v>Capex Orcamentário_PE2026_2030_red_35_porcentoR3_consulta.xlsx</v>
      </c>
      <c r="D88" s="282" t="str">
        <f t="shared" si="7"/>
        <v>COO</v>
      </c>
      <c r="E88" s="282" t="str">
        <f t="shared" si="8"/>
        <v>Lucas Martins</v>
      </c>
      <c r="F88" s="283"/>
      <c r="G88" s="283" t="e">
        <f>_xlfn.CONCAT('Consolidado-Eletronorte'!#REF!,"_",ROW('Consolidado-Eletronorte'!#REF!)-ROW('Consolidado-Eletronorte'!$G$18))</f>
        <v>#REF!</v>
      </c>
      <c r="H88" s="284" t="s">
        <v>506</v>
      </c>
      <c r="I88" s="285" t="s">
        <v>507</v>
      </c>
      <c r="J88" s="286" t="s">
        <v>508</v>
      </c>
      <c r="K88" s="285" t="s">
        <v>1039</v>
      </c>
      <c r="L88" s="285" t="s">
        <v>1040</v>
      </c>
      <c r="M88" s="285" t="s">
        <v>577</v>
      </c>
      <c r="N88" s="285"/>
      <c r="O88" s="285"/>
      <c r="P88" s="285" t="s">
        <v>511</v>
      </c>
      <c r="Q88" s="287" t="s">
        <v>371</v>
      </c>
      <c r="R88" s="287" t="s">
        <v>371</v>
      </c>
      <c r="S88" s="285" t="s">
        <v>319</v>
      </c>
      <c r="T88" s="229">
        <v>0</v>
      </c>
      <c r="U88" s="229">
        <v>0</v>
      </c>
      <c r="V88" s="229">
        <v>0</v>
      </c>
      <c r="W88" s="229">
        <v>300000</v>
      </c>
      <c r="X88" s="229">
        <v>0</v>
      </c>
      <c r="Y88" s="229">
        <v>0</v>
      </c>
      <c r="Z88" s="229">
        <v>0</v>
      </c>
      <c r="AA88" s="229">
        <v>300000</v>
      </c>
      <c r="AB88" s="229">
        <v>0</v>
      </c>
      <c r="AC88" s="229">
        <v>0</v>
      </c>
      <c r="AD88" s="229">
        <v>300000</v>
      </c>
      <c r="AE88" s="229">
        <v>0</v>
      </c>
      <c r="AF88" s="229">
        <v>900000</v>
      </c>
      <c r="AG88" s="229">
        <v>0</v>
      </c>
      <c r="AH88" s="229">
        <v>0</v>
      </c>
      <c r="AI88" s="229">
        <v>0</v>
      </c>
      <c r="AJ88" s="229">
        <v>0</v>
      </c>
      <c r="AK88" s="229">
        <v>900000</v>
      </c>
      <c r="AL88" s="229">
        <v>0</v>
      </c>
      <c r="AM88" s="229">
        <v>0</v>
      </c>
      <c r="AN88" s="229">
        <v>0</v>
      </c>
      <c r="AO88" s="229">
        <v>0</v>
      </c>
      <c r="AP88" s="229">
        <v>0</v>
      </c>
      <c r="AQ88" s="229">
        <v>900000</v>
      </c>
      <c r="AR88" s="2">
        <v>30</v>
      </c>
      <c r="AS88" s="208" t="s">
        <v>1811</v>
      </c>
      <c r="AT88" s="208" t="s">
        <v>1601</v>
      </c>
      <c r="AU88" s="2" t="s">
        <v>807</v>
      </c>
      <c r="AV88" s="2">
        <v>0</v>
      </c>
      <c r="AW88" s="2" t="s">
        <v>1810</v>
      </c>
      <c r="AZ88" s="2" t="str">
        <f>_xlfn.XLOOKUP(Tabela98[[#This Row],[Descrição do projeto]],[3]Geração!$G:$G,[3]Geração!$F:$F,,0,1)</f>
        <v>Frederico Rodolfo Parente Doerner</v>
      </c>
    </row>
    <row r="89" spans="1:52" ht="24.75" customHeight="1" x14ac:dyDescent="0.35">
      <c r="A89" s="184"/>
      <c r="B89" s="185" t="e" cm="1">
        <f t="array" ref="B89">AND(ISTEXT('Consolidado-Eletronorte'!#REF!),SUM('Consolidado-Eletronorte'!#REF!)&gt;0)</f>
        <v>#REF!</v>
      </c>
      <c r="C89" s="186" t="str">
        <f t="shared" ca="1" si="6"/>
        <v>Capex Orcamentário_PE2026_2030_red_35_porcentoR3_consulta.xlsx</v>
      </c>
      <c r="D89" s="187" t="str">
        <f t="shared" si="7"/>
        <v>COO</v>
      </c>
      <c r="E89" s="187" t="str">
        <f t="shared" si="8"/>
        <v>Lucas Martins</v>
      </c>
      <c r="F89" s="188"/>
      <c r="G89" s="188" t="e">
        <f>_xlfn.CONCAT('Consolidado-Eletronorte'!#REF!,"_",ROW('Consolidado-Eletronorte'!#REF!)-ROW('Consolidado-Eletronorte'!$G$18))</f>
        <v>#REF!</v>
      </c>
      <c r="H89" s="279" t="s">
        <v>506</v>
      </c>
      <c r="I89" s="189" t="s">
        <v>507</v>
      </c>
      <c r="J89" s="190" t="s">
        <v>508</v>
      </c>
      <c r="K89" s="189" t="s">
        <v>1039</v>
      </c>
      <c r="L89" s="189" t="s">
        <v>1040</v>
      </c>
      <c r="M89" s="189" t="s">
        <v>577</v>
      </c>
      <c r="N89" s="189"/>
      <c r="O89" s="189"/>
      <c r="P89" s="189" t="s">
        <v>617</v>
      </c>
      <c r="Q89" s="191" t="s">
        <v>244</v>
      </c>
      <c r="R89" s="191" t="s">
        <v>810</v>
      </c>
      <c r="S89" s="189" t="s">
        <v>229</v>
      </c>
      <c r="T89" s="229">
        <v>0</v>
      </c>
      <c r="U89" s="229">
        <v>0</v>
      </c>
      <c r="V89" s="229">
        <v>0</v>
      </c>
      <c r="W89" s="229">
        <v>0</v>
      </c>
      <c r="X89" s="229">
        <v>0</v>
      </c>
      <c r="Y89" s="229">
        <v>0</v>
      </c>
      <c r="Z89" s="229">
        <v>0</v>
      </c>
      <c r="AA89" s="229">
        <v>0</v>
      </c>
      <c r="AB89" s="229">
        <v>0</v>
      </c>
      <c r="AC89" s="229">
        <v>0</v>
      </c>
      <c r="AD89" s="229">
        <v>0</v>
      </c>
      <c r="AE89" s="229">
        <v>300000</v>
      </c>
      <c r="AF89" s="229">
        <v>300000</v>
      </c>
      <c r="AG89" s="229">
        <v>300000</v>
      </c>
      <c r="AH89" s="229">
        <v>300000</v>
      </c>
      <c r="AI89" s="229">
        <v>0</v>
      </c>
      <c r="AJ89" s="229">
        <v>0</v>
      </c>
      <c r="AK89" s="229">
        <v>900000</v>
      </c>
      <c r="AL89" s="229">
        <v>0</v>
      </c>
      <c r="AM89" s="229">
        <v>0</v>
      </c>
      <c r="AN89" s="229">
        <v>0</v>
      </c>
      <c r="AO89" s="229">
        <v>0</v>
      </c>
      <c r="AP89" s="229">
        <v>0</v>
      </c>
      <c r="AQ89" s="229">
        <v>900000</v>
      </c>
      <c r="AR89" s="2">
        <v>43</v>
      </c>
      <c r="AS89" s="2" t="s">
        <v>247</v>
      </c>
      <c r="AT89" s="2" t="s">
        <v>1601</v>
      </c>
      <c r="AU89" s="2" t="s">
        <v>811</v>
      </c>
      <c r="AV89" s="2">
        <v>0</v>
      </c>
      <c r="AW89" s="2" t="s">
        <v>1810</v>
      </c>
      <c r="AZ89" s="2" t="str">
        <f>_xlfn.XLOOKUP(Tabela98[[#This Row],[Descrição do projeto]],[3]Geração!$G:$G,[3]Geração!$F:$F,,0,1)</f>
        <v>Frederico Rodolfo Parente Doerner</v>
      </c>
    </row>
    <row r="90" spans="1:52" ht="24.75" customHeight="1" x14ac:dyDescent="0.35">
      <c r="A90" s="184"/>
      <c r="B90" s="185" t="e" cm="1">
        <f t="array" ref="B90">AND(ISTEXT('Consolidado-Eletronorte'!#REF!),SUM('Consolidado-Eletronorte'!#REF!)&gt;0)</f>
        <v>#REF!</v>
      </c>
      <c r="C90" s="186" t="str">
        <f t="shared" ca="1" si="6"/>
        <v>Capex Orcamentário_PE2026_2030_red_35_porcentoR3_consulta.xlsx</v>
      </c>
      <c r="D90" s="187" t="str">
        <f t="shared" si="7"/>
        <v>COO</v>
      </c>
      <c r="E90" s="187" t="str">
        <f t="shared" si="8"/>
        <v>Lucas Martins</v>
      </c>
      <c r="F90" s="188"/>
      <c r="G90" s="188" t="e">
        <f>_xlfn.CONCAT('Consolidado-Eletronorte'!#REF!,"_",ROW('Consolidado-Eletronorte'!#REF!)-ROW('Consolidado-Eletronorte'!$G$18))</f>
        <v>#REF!</v>
      </c>
      <c r="H90" s="279" t="s">
        <v>506</v>
      </c>
      <c r="I90" s="189" t="s">
        <v>507</v>
      </c>
      <c r="J90" s="190" t="s">
        <v>508</v>
      </c>
      <c r="K90" s="189" t="s">
        <v>1039</v>
      </c>
      <c r="L90" s="189" t="s">
        <v>1040</v>
      </c>
      <c r="M90" s="189" t="s">
        <v>577</v>
      </c>
      <c r="N90" s="189"/>
      <c r="O90" s="189"/>
      <c r="P90" s="189" t="s">
        <v>617</v>
      </c>
      <c r="Q90" s="191" t="s">
        <v>231</v>
      </c>
      <c r="R90" s="191" t="s">
        <v>231</v>
      </c>
      <c r="S90" s="189" t="s">
        <v>229</v>
      </c>
      <c r="T90" s="229">
        <v>0</v>
      </c>
      <c r="U90" s="229">
        <v>0</v>
      </c>
      <c r="V90" s="229">
        <v>0</v>
      </c>
      <c r="W90" s="229">
        <v>0</v>
      </c>
      <c r="X90" s="229">
        <v>0</v>
      </c>
      <c r="Y90" s="229">
        <v>0</v>
      </c>
      <c r="Z90" s="229">
        <v>0</v>
      </c>
      <c r="AA90" s="229">
        <v>0</v>
      </c>
      <c r="AB90" s="229">
        <v>0</v>
      </c>
      <c r="AC90" s="229">
        <v>0</v>
      </c>
      <c r="AD90" s="229">
        <v>0</v>
      </c>
      <c r="AE90" s="229">
        <v>0</v>
      </c>
      <c r="AF90" s="229">
        <v>0</v>
      </c>
      <c r="AG90" s="229">
        <v>900000</v>
      </c>
      <c r="AH90" s="229">
        <v>0</v>
      </c>
      <c r="AI90" s="229">
        <v>0</v>
      </c>
      <c r="AJ90" s="229">
        <v>0</v>
      </c>
      <c r="AK90" s="229">
        <v>900000</v>
      </c>
      <c r="AL90" s="229">
        <v>0</v>
      </c>
      <c r="AM90" s="229">
        <v>0</v>
      </c>
      <c r="AN90" s="229">
        <v>0</v>
      </c>
      <c r="AO90" s="229">
        <v>0</v>
      </c>
      <c r="AP90" s="229">
        <v>0</v>
      </c>
      <c r="AQ90" s="229">
        <v>900000</v>
      </c>
      <c r="AR90" s="2">
        <v>52</v>
      </c>
      <c r="AS90" s="2" t="s">
        <v>247</v>
      </c>
      <c r="AT90" s="2">
        <v>2025</v>
      </c>
      <c r="AU90" s="2" t="s">
        <v>1817</v>
      </c>
      <c r="AV90" s="2">
        <v>0</v>
      </c>
      <c r="AW90" s="2" t="s">
        <v>1810</v>
      </c>
      <c r="AZ90" s="2" t="str">
        <f>_xlfn.XLOOKUP(Tabela98[[#This Row],[Descrição do projeto]],[3]Geração!$G:$G,[3]Geração!$F:$F,,0,1)</f>
        <v>Airton Rego Bentes</v>
      </c>
    </row>
    <row r="91" spans="1:52" ht="24.75" customHeight="1" x14ac:dyDescent="0.35">
      <c r="A91" s="184"/>
      <c r="B91" s="185" t="e" cm="1">
        <f t="array" ref="B91">AND(ISTEXT('Consolidado-Eletronorte'!#REF!),SUM('Consolidado-Eletronorte'!#REF!)&gt;0)</f>
        <v>#REF!</v>
      </c>
      <c r="C91" s="186" t="str">
        <f t="shared" ca="1" si="6"/>
        <v>Capex Orcamentário_PE2026_2030_red_35_porcentoR3_consulta.xlsx</v>
      </c>
      <c r="D91" s="187" t="str">
        <f t="shared" si="7"/>
        <v>COO</v>
      </c>
      <c r="E91" s="187" t="str">
        <f t="shared" si="8"/>
        <v>Lucas Martins</v>
      </c>
      <c r="F91" s="188"/>
      <c r="G91" s="188" t="e">
        <f>_xlfn.CONCAT('Consolidado-Eletronorte'!#REF!,"_",ROW('Consolidado-Eletronorte'!#REF!)-ROW('Consolidado-Eletronorte'!$G$18))</f>
        <v>#REF!</v>
      </c>
      <c r="H91" s="279" t="s">
        <v>506</v>
      </c>
      <c r="I91" s="189" t="s">
        <v>507</v>
      </c>
      <c r="J91" s="190" t="s">
        <v>508</v>
      </c>
      <c r="K91" s="189" t="s">
        <v>1039</v>
      </c>
      <c r="L91" s="189" t="s">
        <v>1040</v>
      </c>
      <c r="M91" s="189" t="s">
        <v>577</v>
      </c>
      <c r="N91" s="189"/>
      <c r="O91" s="189"/>
      <c r="P91" s="189" t="s">
        <v>587</v>
      </c>
      <c r="Q91" s="191" t="s">
        <v>182</v>
      </c>
      <c r="R91" s="191" t="s">
        <v>859</v>
      </c>
      <c r="S91" s="189" t="s">
        <v>154</v>
      </c>
      <c r="T91" s="229">
        <v>0</v>
      </c>
      <c r="U91" s="229">
        <v>0</v>
      </c>
      <c r="V91" s="229">
        <v>0</v>
      </c>
      <c r="W91" s="229">
        <v>0</v>
      </c>
      <c r="X91" s="229">
        <v>0</v>
      </c>
      <c r="Y91" s="229">
        <v>0</v>
      </c>
      <c r="Z91" s="229">
        <v>0</v>
      </c>
      <c r="AA91" s="229">
        <v>0</v>
      </c>
      <c r="AB91" s="229">
        <v>0</v>
      </c>
      <c r="AC91" s="229">
        <v>0</v>
      </c>
      <c r="AD91" s="229">
        <v>0</v>
      </c>
      <c r="AE91" s="229">
        <v>0</v>
      </c>
      <c r="AF91" s="229">
        <v>0</v>
      </c>
      <c r="AG91" s="229">
        <v>800000</v>
      </c>
      <c r="AH91" s="229">
        <v>0</v>
      </c>
      <c r="AI91" s="229">
        <v>0</v>
      </c>
      <c r="AJ91" s="229">
        <v>0</v>
      </c>
      <c r="AK91" s="229">
        <v>800000</v>
      </c>
      <c r="AL91" s="229">
        <v>0</v>
      </c>
      <c r="AM91" s="229">
        <v>0</v>
      </c>
      <c r="AN91" s="229">
        <v>0</v>
      </c>
      <c r="AO91" s="229">
        <v>0</v>
      </c>
      <c r="AP91" s="229">
        <v>0</v>
      </c>
      <c r="AQ91" s="229">
        <v>800000</v>
      </c>
      <c r="AR91" s="2">
        <v>37</v>
      </c>
      <c r="AS91" s="2" t="s">
        <v>159</v>
      </c>
      <c r="AT91" s="2">
        <v>2025</v>
      </c>
      <c r="AU91" s="2" t="s">
        <v>860</v>
      </c>
      <c r="AV91" s="2" t="s">
        <v>861</v>
      </c>
      <c r="AW91" s="2" t="s">
        <v>1810</v>
      </c>
      <c r="AZ91" s="2" t="str">
        <f>_xlfn.XLOOKUP(Tabela98[[#This Row],[Descrição do projeto]],[3]Geração!$G:$G,[3]Geração!$F:$F,,0,1)</f>
        <v>Klenio Dias Timoteo</v>
      </c>
    </row>
    <row r="92" spans="1:52" ht="24.75" customHeight="1" x14ac:dyDescent="0.35">
      <c r="A92" s="184"/>
      <c r="B92" s="185" t="e" cm="1">
        <f t="array" ref="B92">AND(ISTEXT('Consolidado-Eletronorte'!#REF!),SUM('Consolidado-Eletronorte'!#REF!)&gt;0)</f>
        <v>#REF!</v>
      </c>
      <c r="C92" s="186" t="str">
        <f t="shared" ca="1" si="6"/>
        <v>Capex Orcamentário_PE2026_2030_red_35_porcentoR3_consulta.xlsx</v>
      </c>
      <c r="D92" s="187" t="str">
        <f t="shared" si="7"/>
        <v>COO</v>
      </c>
      <c r="E92" s="187" t="str">
        <f t="shared" si="8"/>
        <v>Lucas Martins</v>
      </c>
      <c r="F92" s="188"/>
      <c r="G92" s="188" t="e">
        <f>_xlfn.CONCAT('Consolidado-Eletronorte'!#REF!,"_",ROW('Consolidado-Eletronorte'!#REF!)-ROW('Consolidado-Eletronorte'!$G$18))</f>
        <v>#REF!</v>
      </c>
      <c r="H92" s="288" t="s">
        <v>506</v>
      </c>
      <c r="I92" s="189" t="s">
        <v>507</v>
      </c>
      <c r="J92" s="190" t="s">
        <v>508</v>
      </c>
      <c r="K92" s="189" t="s">
        <v>1039</v>
      </c>
      <c r="L92" s="189" t="s">
        <v>1040</v>
      </c>
      <c r="M92" s="189" t="s">
        <v>577</v>
      </c>
      <c r="N92" s="189"/>
      <c r="O92" s="189"/>
      <c r="P92" s="189" t="s">
        <v>511</v>
      </c>
      <c r="Q92" s="191" t="s">
        <v>373</v>
      </c>
      <c r="R92" s="191" t="s">
        <v>814</v>
      </c>
      <c r="S92" s="189" t="s">
        <v>319</v>
      </c>
      <c r="T92" s="229">
        <v>0</v>
      </c>
      <c r="U92" s="229">
        <v>0</v>
      </c>
      <c r="V92" s="229">
        <v>100000</v>
      </c>
      <c r="W92" s="229">
        <v>0</v>
      </c>
      <c r="X92" s="229">
        <v>0</v>
      </c>
      <c r="Y92" s="229">
        <v>300000</v>
      </c>
      <c r="Z92" s="229">
        <v>0</v>
      </c>
      <c r="AA92" s="229">
        <v>100000</v>
      </c>
      <c r="AB92" s="229">
        <v>100000</v>
      </c>
      <c r="AC92" s="229">
        <v>100000</v>
      </c>
      <c r="AD92" s="229">
        <v>20000</v>
      </c>
      <c r="AE92" s="229">
        <v>0</v>
      </c>
      <c r="AF92" s="229">
        <v>720000</v>
      </c>
      <c r="AG92" s="229">
        <v>0</v>
      </c>
      <c r="AH92" s="229">
        <v>0</v>
      </c>
      <c r="AI92" s="229">
        <v>0</v>
      </c>
      <c r="AJ92" s="229">
        <v>0</v>
      </c>
      <c r="AK92" s="229">
        <v>720000</v>
      </c>
      <c r="AL92" s="229">
        <v>0</v>
      </c>
      <c r="AM92" s="229">
        <v>0</v>
      </c>
      <c r="AN92" s="229">
        <v>0</v>
      </c>
      <c r="AO92" s="229">
        <v>0</v>
      </c>
      <c r="AP92" s="229">
        <v>0</v>
      </c>
      <c r="AQ92" s="229">
        <v>720000</v>
      </c>
      <c r="AR92" s="2">
        <v>29</v>
      </c>
      <c r="AS92" s="208" t="s">
        <v>1811</v>
      </c>
      <c r="AT92" s="208" t="s">
        <v>1601</v>
      </c>
      <c r="AU92" s="2" t="s">
        <v>815</v>
      </c>
      <c r="AV92" s="2">
        <v>0</v>
      </c>
      <c r="AW92" s="2" t="s">
        <v>1810</v>
      </c>
      <c r="AZ92" s="2" t="str">
        <f>_xlfn.XLOOKUP(Tabela98[[#This Row],[Descrição do projeto]],[3]Geração!$G:$G,[3]Geração!$F:$F,,0,1)</f>
        <v>Frederico Rodolfo Parente Doerner</v>
      </c>
    </row>
    <row r="93" spans="1:52" ht="24.75" customHeight="1" x14ac:dyDescent="0.35">
      <c r="A93" s="280"/>
      <c r="B93" s="185" t="e" cm="1">
        <f t="array" ref="B93">AND(ISTEXT('Consolidado-Eletronorte'!#REF!),SUM('Consolidado-Eletronorte'!#REF!)&gt;0)</f>
        <v>#REF!</v>
      </c>
      <c r="C93" s="281" t="str">
        <f t="shared" ca="1" si="6"/>
        <v>Capex Orcamentário_PE2026_2030_red_35_porcentoR3_consulta.xlsx</v>
      </c>
      <c r="D93" s="282" t="str">
        <f t="shared" si="7"/>
        <v>COO</v>
      </c>
      <c r="E93" s="282" t="str">
        <f t="shared" si="8"/>
        <v>Lucas Martins</v>
      </c>
      <c r="F93" s="283"/>
      <c r="G93" s="283" t="e">
        <f>_xlfn.CONCAT('Consolidado-Eletronorte'!#REF!,"_",ROW('Consolidado-Eletronorte'!#REF!)-ROW('Consolidado-Eletronorte'!$G$18))</f>
        <v>#REF!</v>
      </c>
      <c r="H93" s="284" t="s">
        <v>506</v>
      </c>
      <c r="I93" s="285" t="s">
        <v>507</v>
      </c>
      <c r="J93" s="286" t="s">
        <v>508</v>
      </c>
      <c r="K93" s="285" t="s">
        <v>1039</v>
      </c>
      <c r="L93" s="285" t="s">
        <v>1040</v>
      </c>
      <c r="M93" s="285" t="s">
        <v>555</v>
      </c>
      <c r="N93" s="285"/>
      <c r="O93" s="285"/>
      <c r="P93" s="285" t="s">
        <v>511</v>
      </c>
      <c r="Q93" s="287" t="s">
        <v>379</v>
      </c>
      <c r="R93" s="287" t="s">
        <v>817</v>
      </c>
      <c r="S93" s="285" t="s">
        <v>319</v>
      </c>
      <c r="T93" s="229">
        <v>0</v>
      </c>
      <c r="U93" s="229">
        <v>0</v>
      </c>
      <c r="V93" s="229">
        <v>0</v>
      </c>
      <c r="W93" s="229">
        <v>0</v>
      </c>
      <c r="X93" s="229">
        <v>0</v>
      </c>
      <c r="Y93" s="229">
        <v>0</v>
      </c>
      <c r="Z93" s="229">
        <v>0</v>
      </c>
      <c r="AA93" s="229">
        <v>0</v>
      </c>
      <c r="AB93" s="229">
        <v>0</v>
      </c>
      <c r="AC93" s="229">
        <v>350000</v>
      </c>
      <c r="AD93" s="229">
        <v>0</v>
      </c>
      <c r="AE93" s="229">
        <v>0</v>
      </c>
      <c r="AF93" s="229">
        <v>350000</v>
      </c>
      <c r="AG93" s="229">
        <v>350000</v>
      </c>
      <c r="AH93" s="229">
        <v>0</v>
      </c>
      <c r="AI93" s="229">
        <v>0</v>
      </c>
      <c r="AJ93" s="229">
        <v>0</v>
      </c>
      <c r="AK93" s="229">
        <v>700000</v>
      </c>
      <c r="AL93" s="229">
        <v>0</v>
      </c>
      <c r="AM93" s="229">
        <v>0</v>
      </c>
      <c r="AN93" s="229">
        <v>0</v>
      </c>
      <c r="AO93" s="229">
        <v>0</v>
      </c>
      <c r="AP93" s="229">
        <v>0</v>
      </c>
      <c r="AQ93" s="229">
        <v>700000</v>
      </c>
      <c r="AR93" s="2">
        <v>28</v>
      </c>
      <c r="AS93" s="2" t="s">
        <v>341</v>
      </c>
      <c r="AT93" s="2">
        <v>2025</v>
      </c>
      <c r="AU93" s="2" t="s">
        <v>818</v>
      </c>
      <c r="AV93" s="2" t="s">
        <v>580</v>
      </c>
      <c r="AW93" s="2" t="s">
        <v>1810</v>
      </c>
      <c r="AZ93" s="2" t="str">
        <f>_xlfn.XLOOKUP(Tabela98[[#This Row],[Descrição do projeto]],[3]Geração!$G:$G,[3]Geração!$F:$F,,0,1)</f>
        <v>Gilton Carlos De Andrade Furtado</v>
      </c>
    </row>
    <row r="94" spans="1:52" ht="24.75" customHeight="1" x14ac:dyDescent="0.35">
      <c r="A94" s="184"/>
      <c r="B94" s="185" t="e" cm="1">
        <f t="array" ref="B94">AND(ISTEXT('Consolidado-Eletronorte'!#REF!),SUM('Consolidado-Eletronorte'!#REF!)&gt;0)</f>
        <v>#REF!</v>
      </c>
      <c r="C94" s="186" t="str">
        <f t="shared" ca="1" si="6"/>
        <v>Capex Orcamentário_PE2026_2030_red_35_porcentoR3_consulta.xlsx</v>
      </c>
      <c r="D94" s="187" t="str">
        <f t="shared" si="7"/>
        <v>COO</v>
      </c>
      <c r="E94" s="187" t="str">
        <f t="shared" si="8"/>
        <v>Lucas Martins</v>
      </c>
      <c r="F94" s="188"/>
      <c r="G94" s="188" t="e">
        <f>_xlfn.CONCAT('Consolidado-Eletronorte'!#REF!,"_",ROW('Consolidado-Eletronorte'!#REF!)-ROW('Consolidado-Eletronorte'!$G$18))</f>
        <v>#REF!</v>
      </c>
      <c r="H94" s="288" t="s">
        <v>506</v>
      </c>
      <c r="I94" s="189" t="s">
        <v>507</v>
      </c>
      <c r="J94" s="190" t="s">
        <v>508</v>
      </c>
      <c r="K94" s="189" t="s">
        <v>1039</v>
      </c>
      <c r="L94" s="189" t="s">
        <v>1040</v>
      </c>
      <c r="M94" s="189" t="s">
        <v>555</v>
      </c>
      <c r="N94" s="189"/>
      <c r="O94" s="189"/>
      <c r="P94" s="189" t="s">
        <v>587</v>
      </c>
      <c r="Q94" s="191" t="s">
        <v>207</v>
      </c>
      <c r="R94" s="191" t="s">
        <v>819</v>
      </c>
      <c r="S94" s="189" t="s">
        <v>158</v>
      </c>
      <c r="T94" s="229">
        <v>0</v>
      </c>
      <c r="U94" s="229">
        <v>0</v>
      </c>
      <c r="V94" s="229">
        <v>0</v>
      </c>
      <c r="W94" s="229">
        <v>0</v>
      </c>
      <c r="X94" s="229">
        <v>150000</v>
      </c>
      <c r="Y94" s="229">
        <v>0</v>
      </c>
      <c r="Z94" s="229">
        <v>200000</v>
      </c>
      <c r="AA94" s="229">
        <v>0</v>
      </c>
      <c r="AB94" s="229">
        <v>150000</v>
      </c>
      <c r="AC94" s="229">
        <v>0</v>
      </c>
      <c r="AD94" s="229">
        <v>100000</v>
      </c>
      <c r="AE94" s="229">
        <v>0</v>
      </c>
      <c r="AF94" s="229">
        <v>600000</v>
      </c>
      <c r="AG94" s="229">
        <v>0</v>
      </c>
      <c r="AH94" s="229">
        <v>0</v>
      </c>
      <c r="AI94" s="229">
        <v>0</v>
      </c>
      <c r="AJ94" s="229">
        <v>0</v>
      </c>
      <c r="AK94" s="229">
        <v>600000</v>
      </c>
      <c r="AL94" s="229">
        <v>0</v>
      </c>
      <c r="AM94" s="229">
        <v>0</v>
      </c>
      <c r="AN94" s="229">
        <v>0</v>
      </c>
      <c r="AO94" s="229">
        <v>0</v>
      </c>
      <c r="AP94" s="229">
        <v>0</v>
      </c>
      <c r="AQ94" s="229">
        <v>600000</v>
      </c>
      <c r="AR94" s="2">
        <v>31</v>
      </c>
      <c r="AS94" s="208" t="s">
        <v>165</v>
      </c>
      <c r="AT94" s="208" t="s">
        <v>1601</v>
      </c>
      <c r="AU94" s="224" t="s">
        <v>820</v>
      </c>
      <c r="AV94" s="2">
        <v>0</v>
      </c>
      <c r="AW94" s="2" t="s">
        <v>1810</v>
      </c>
      <c r="AZ94" s="2" t="str">
        <f>_xlfn.XLOOKUP(Tabela98[[#This Row],[Descrição do projeto]],[3]Geração!$G:$G,[3]Geração!$F:$F,,0,1)</f>
        <v>Milton Pereira Menezes</v>
      </c>
    </row>
    <row r="95" spans="1:52" ht="24.75" customHeight="1" x14ac:dyDescent="0.35">
      <c r="A95" s="184"/>
      <c r="B95" s="185" t="e" cm="1">
        <f t="array" ref="B95">AND(ISTEXT('Consolidado-Eletronorte'!#REF!),SUM('Consolidado-Eletronorte'!#REF!)&gt;0)</f>
        <v>#REF!</v>
      </c>
      <c r="C95" s="186" t="str">
        <f t="shared" ca="1" si="6"/>
        <v>Capex Orcamentário_PE2026_2030_red_35_porcentoR3_consulta.xlsx</v>
      </c>
      <c r="D95" s="187" t="str">
        <f t="shared" si="7"/>
        <v>COO</v>
      </c>
      <c r="E95" s="187" t="str">
        <f t="shared" si="8"/>
        <v>Lucas Martins</v>
      </c>
      <c r="F95" s="188"/>
      <c r="G95" s="188" t="e">
        <f>_xlfn.CONCAT('Consolidado-Eletronorte'!#REF!,"_",ROW('Consolidado-Eletronorte'!#REF!)-ROW('Consolidado-Eletronorte'!$G$18))</f>
        <v>#REF!</v>
      </c>
      <c r="H95" s="279" t="s">
        <v>506</v>
      </c>
      <c r="I95" s="189" t="s">
        <v>507</v>
      </c>
      <c r="J95" s="190" t="s">
        <v>508</v>
      </c>
      <c r="K95" s="189" t="s">
        <v>1039</v>
      </c>
      <c r="L95" s="189" t="s">
        <v>1040</v>
      </c>
      <c r="M95" s="189" t="s">
        <v>577</v>
      </c>
      <c r="N95" s="189"/>
      <c r="O95" s="189"/>
      <c r="P95" s="189" t="s">
        <v>612</v>
      </c>
      <c r="Q95" s="191" t="s">
        <v>219</v>
      </c>
      <c r="R95" s="191" t="s">
        <v>808</v>
      </c>
      <c r="S95" s="189" t="s">
        <v>210</v>
      </c>
      <c r="T95" s="229">
        <v>0</v>
      </c>
      <c r="U95" s="229">
        <v>0</v>
      </c>
      <c r="V95" s="229">
        <v>0</v>
      </c>
      <c r="W95" s="229">
        <v>0</v>
      </c>
      <c r="X95" s="229">
        <v>0</v>
      </c>
      <c r="Y95" s="229">
        <v>0</v>
      </c>
      <c r="Z95" s="229">
        <v>0</v>
      </c>
      <c r="AA95" s="229">
        <v>0</v>
      </c>
      <c r="AB95" s="229">
        <v>0</v>
      </c>
      <c r="AC95" s="229">
        <v>300000</v>
      </c>
      <c r="AD95" s="229">
        <v>0</v>
      </c>
      <c r="AE95" s="229">
        <v>0</v>
      </c>
      <c r="AF95" s="229">
        <v>300000</v>
      </c>
      <c r="AG95" s="229">
        <v>300000</v>
      </c>
      <c r="AH95" s="229">
        <v>0</v>
      </c>
      <c r="AI95" s="229">
        <v>0</v>
      </c>
      <c r="AJ95" s="229">
        <v>0</v>
      </c>
      <c r="AK95" s="229">
        <v>600000</v>
      </c>
      <c r="AL95" s="229">
        <v>0</v>
      </c>
      <c r="AM95" s="229">
        <v>0</v>
      </c>
      <c r="AN95" s="229">
        <v>0</v>
      </c>
      <c r="AO95" s="229">
        <v>0</v>
      </c>
      <c r="AP95" s="229">
        <v>0</v>
      </c>
      <c r="AQ95" s="229">
        <v>600000</v>
      </c>
      <c r="AR95" s="2">
        <v>88</v>
      </c>
      <c r="AS95" s="2" t="s">
        <v>224</v>
      </c>
      <c r="AT95" s="2" t="s">
        <v>1601</v>
      </c>
      <c r="AU95" s="2" t="s">
        <v>809</v>
      </c>
      <c r="AV95" s="2">
        <v>0</v>
      </c>
      <c r="AW95" s="2" t="s">
        <v>1810</v>
      </c>
      <c r="AZ95" s="2" t="str">
        <f>_xlfn.XLOOKUP(Tabela98[[#This Row],[Descrição do projeto]],[3]Geração!$G:$G,[3]Geração!$F:$F,,0,1)</f>
        <v>Frederico Rodolfo Parente Doerner</v>
      </c>
    </row>
    <row r="96" spans="1:52" ht="24.75" customHeight="1" x14ac:dyDescent="0.35">
      <c r="A96" s="280"/>
      <c r="B96" s="185" t="e" cm="1">
        <f t="array" ref="B96">AND(ISTEXT('Consolidado-Eletronorte'!#REF!),SUM('Consolidado-Eletronorte'!#REF!)&gt;0)</f>
        <v>#REF!</v>
      </c>
      <c r="C96" s="281" t="str">
        <f t="shared" ca="1" si="6"/>
        <v>Capex Orcamentário_PE2026_2030_red_35_porcentoR3_consulta.xlsx</v>
      </c>
      <c r="D96" s="282" t="str">
        <f t="shared" si="7"/>
        <v>COO</v>
      </c>
      <c r="E96" s="282" t="str">
        <f t="shared" si="8"/>
        <v>Lucas Martins</v>
      </c>
      <c r="F96" s="283"/>
      <c r="G96" s="283" t="e">
        <f>_xlfn.CONCAT('Consolidado-Eletronorte'!#REF!,"_",ROW('Consolidado-Eletronorte'!#REF!)-ROW('Consolidado-Eletronorte'!$G$18))</f>
        <v>#REF!</v>
      </c>
      <c r="H96" s="284" t="s">
        <v>506</v>
      </c>
      <c r="I96" s="285" t="s">
        <v>507</v>
      </c>
      <c r="J96" s="286" t="s">
        <v>508</v>
      </c>
      <c r="K96" s="285" t="s">
        <v>1039</v>
      </c>
      <c r="L96" s="285" t="s">
        <v>1040</v>
      </c>
      <c r="M96" s="285" t="s">
        <v>577</v>
      </c>
      <c r="N96" s="285"/>
      <c r="O96" s="285"/>
      <c r="P96" s="285" t="s">
        <v>511</v>
      </c>
      <c r="Q96" s="287" t="s">
        <v>1818</v>
      </c>
      <c r="R96" s="287" t="s">
        <v>744</v>
      </c>
      <c r="S96" s="285" t="s">
        <v>319</v>
      </c>
      <c r="T96" s="229">
        <v>0</v>
      </c>
      <c r="U96" s="229">
        <v>0</v>
      </c>
      <c r="V96" s="229">
        <v>0</v>
      </c>
      <c r="W96" s="229">
        <v>0</v>
      </c>
      <c r="X96" s="229">
        <v>0</v>
      </c>
      <c r="Y96" s="229">
        <v>0</v>
      </c>
      <c r="Z96" s="229">
        <v>0</v>
      </c>
      <c r="AA96" s="229">
        <v>0</v>
      </c>
      <c r="AB96" s="229">
        <v>0</v>
      </c>
      <c r="AC96" s="229">
        <v>0</v>
      </c>
      <c r="AD96" s="229">
        <v>300000</v>
      </c>
      <c r="AE96" s="229">
        <v>0</v>
      </c>
      <c r="AF96" s="229">
        <v>300000</v>
      </c>
      <c r="AG96" s="229">
        <v>300000</v>
      </c>
      <c r="AH96" s="229">
        <v>0</v>
      </c>
      <c r="AI96" s="229">
        <v>0</v>
      </c>
      <c r="AJ96" s="229">
        <v>0</v>
      </c>
      <c r="AK96" s="229">
        <v>600000</v>
      </c>
      <c r="AL96" s="229">
        <v>0</v>
      </c>
      <c r="AM96" s="229">
        <v>0</v>
      </c>
      <c r="AN96" s="229">
        <v>0</v>
      </c>
      <c r="AO96" s="229">
        <v>0</v>
      </c>
      <c r="AP96" s="229">
        <v>0</v>
      </c>
      <c r="AQ96" s="229">
        <v>600000</v>
      </c>
      <c r="AR96" s="2">
        <v>12</v>
      </c>
      <c r="AS96" s="2" t="s">
        <v>1811</v>
      </c>
      <c r="AT96" s="2">
        <v>2025</v>
      </c>
      <c r="AU96" s="2" t="s">
        <v>745</v>
      </c>
      <c r="AV96" s="2" t="s">
        <v>746</v>
      </c>
      <c r="AW96" s="2" t="s">
        <v>1810</v>
      </c>
      <c r="AZ96" s="2" t="str">
        <f>_xlfn.XLOOKUP(Tabela98[[#This Row],[Descrição do projeto]],[3]Geração!$G:$G,[3]Geração!$F:$F,,0,1)</f>
        <v>Frederico Rodolfo Parente Doerner</v>
      </c>
    </row>
    <row r="97" spans="1:52" ht="24.75" customHeight="1" x14ac:dyDescent="0.35">
      <c r="A97" s="184"/>
      <c r="B97" s="185" t="e" cm="1">
        <f t="array" ref="B97">AND(ISTEXT('Consolidado-Eletronorte'!#REF!),SUM('Consolidado-Eletronorte'!#REF!)&gt;0)</f>
        <v>#REF!</v>
      </c>
      <c r="C97" s="186" t="str">
        <f t="shared" ca="1" si="6"/>
        <v>Capex Orcamentário_PE2026_2030_red_35_porcentoR3_consulta.xlsx</v>
      </c>
      <c r="D97" s="187" t="str">
        <f t="shared" si="7"/>
        <v>COO</v>
      </c>
      <c r="E97" s="187" t="str">
        <f t="shared" si="8"/>
        <v>Lucas Martins</v>
      </c>
      <c r="F97" s="188"/>
      <c r="G97" s="188" t="e">
        <f>_xlfn.CONCAT('Consolidado-Eletronorte'!#REF!,"_",ROW('Consolidado-Eletronorte'!#REF!)-ROW('Consolidado-Eletronorte'!$G$18))</f>
        <v>#REF!</v>
      </c>
      <c r="H97" s="279" t="s">
        <v>506</v>
      </c>
      <c r="I97" s="189" t="s">
        <v>507</v>
      </c>
      <c r="J97" s="190" t="s">
        <v>508</v>
      </c>
      <c r="K97" s="189" t="s">
        <v>1039</v>
      </c>
      <c r="L97" s="189" t="s">
        <v>1040</v>
      </c>
      <c r="M97" s="189" t="s">
        <v>577</v>
      </c>
      <c r="N97" s="189"/>
      <c r="O97" s="189"/>
      <c r="P97" s="189" t="s">
        <v>587</v>
      </c>
      <c r="Q97" s="191" t="s">
        <v>184</v>
      </c>
      <c r="R97" s="191" t="s">
        <v>862</v>
      </c>
      <c r="S97" s="189" t="s">
        <v>154</v>
      </c>
      <c r="T97" s="229">
        <v>0</v>
      </c>
      <c r="U97" s="229">
        <v>0</v>
      </c>
      <c r="V97" s="229">
        <v>0</v>
      </c>
      <c r="W97" s="229">
        <v>0</v>
      </c>
      <c r="X97" s="229">
        <v>0</v>
      </c>
      <c r="Y97" s="229">
        <v>0</v>
      </c>
      <c r="Z97" s="229">
        <v>0</v>
      </c>
      <c r="AA97" s="229">
        <v>0</v>
      </c>
      <c r="AB97" s="229">
        <v>0</v>
      </c>
      <c r="AC97" s="229">
        <v>0</v>
      </c>
      <c r="AD97" s="229">
        <v>0</v>
      </c>
      <c r="AE97" s="229">
        <v>0</v>
      </c>
      <c r="AF97" s="229">
        <v>0</v>
      </c>
      <c r="AG97" s="229">
        <v>600000</v>
      </c>
      <c r="AH97" s="229">
        <v>0</v>
      </c>
      <c r="AI97" s="229">
        <v>0</v>
      </c>
      <c r="AJ97" s="229">
        <v>0</v>
      </c>
      <c r="AK97" s="229">
        <v>600000</v>
      </c>
      <c r="AL97" s="229">
        <v>0</v>
      </c>
      <c r="AM97" s="229">
        <v>0</v>
      </c>
      <c r="AN97" s="229">
        <v>0</v>
      </c>
      <c r="AO97" s="229">
        <v>0</v>
      </c>
      <c r="AP97" s="229">
        <v>0</v>
      </c>
      <c r="AQ97" s="229">
        <v>600000</v>
      </c>
      <c r="AR97" s="2">
        <v>36</v>
      </c>
      <c r="AS97" s="2" t="s">
        <v>159</v>
      </c>
      <c r="AT97" s="2">
        <v>2025</v>
      </c>
      <c r="AU97" s="2" t="s">
        <v>863</v>
      </c>
      <c r="AV97" s="2" t="s">
        <v>864</v>
      </c>
      <c r="AW97" s="2" t="s">
        <v>1810</v>
      </c>
      <c r="AZ97" s="2" t="str">
        <f>_xlfn.XLOOKUP(Tabela98[[#This Row],[Descrição do projeto]],[3]Geração!$G:$G,[3]Geração!$F:$F,,0,1)</f>
        <v>Klenio Dias Timoteo</v>
      </c>
    </row>
    <row r="98" spans="1:52" ht="24.75" customHeight="1" x14ac:dyDescent="0.35">
      <c r="A98" s="184"/>
      <c r="B98" s="185" t="e" cm="1">
        <f t="array" ref="B98">AND(ISTEXT('Consolidado-Eletronorte'!#REF!),SUM('Consolidado-Eletronorte'!#REF!)&gt;0)</f>
        <v>#REF!</v>
      </c>
      <c r="C98" s="186" t="str">
        <f t="shared" ca="1" si="6"/>
        <v>Capex Orcamentário_PE2026_2030_red_35_porcentoR3_consulta.xlsx</v>
      </c>
      <c r="D98" s="187" t="str">
        <f t="shared" si="7"/>
        <v>COO</v>
      </c>
      <c r="E98" s="187" t="str">
        <f t="shared" si="8"/>
        <v>Lucas Martins</v>
      </c>
      <c r="F98" s="188"/>
      <c r="G98" s="188" t="e">
        <f>_xlfn.CONCAT('Consolidado-Eletronorte'!#REF!,"_",ROW('Consolidado-Eletronorte'!#REF!)-ROW('Consolidado-Eletronorte'!$G$18))</f>
        <v>#REF!</v>
      </c>
      <c r="H98" s="279" t="s">
        <v>506</v>
      </c>
      <c r="I98" s="189" t="s">
        <v>507</v>
      </c>
      <c r="J98" s="190" t="s">
        <v>508</v>
      </c>
      <c r="K98" s="189" t="s">
        <v>1039</v>
      </c>
      <c r="L98" s="189" t="s">
        <v>1040</v>
      </c>
      <c r="M98" s="189" t="s">
        <v>577</v>
      </c>
      <c r="N98" s="189"/>
      <c r="O98" s="189"/>
      <c r="P98" s="189" t="s">
        <v>511</v>
      </c>
      <c r="Q98" s="191" t="s">
        <v>409</v>
      </c>
      <c r="R98" s="191"/>
      <c r="S98" s="189" t="s">
        <v>319</v>
      </c>
      <c r="T98" s="229">
        <v>0</v>
      </c>
      <c r="U98" s="229">
        <v>0</v>
      </c>
      <c r="V98" s="229">
        <v>0</v>
      </c>
      <c r="W98" s="229">
        <v>0</v>
      </c>
      <c r="X98" s="229">
        <v>0</v>
      </c>
      <c r="Y98" s="229">
        <v>0</v>
      </c>
      <c r="Z98" s="229">
        <v>500000</v>
      </c>
      <c r="AA98" s="229">
        <v>0</v>
      </c>
      <c r="AB98" s="229">
        <v>0</v>
      </c>
      <c r="AC98" s="229">
        <v>0</v>
      </c>
      <c r="AD98" s="229">
        <v>0</v>
      </c>
      <c r="AE98" s="229">
        <v>0</v>
      </c>
      <c r="AF98" s="229">
        <v>500000</v>
      </c>
      <c r="AG98" s="229">
        <v>0</v>
      </c>
      <c r="AH98" s="229">
        <v>0</v>
      </c>
      <c r="AI98" s="229">
        <v>0</v>
      </c>
      <c r="AJ98" s="229">
        <v>0</v>
      </c>
      <c r="AK98" s="229">
        <v>500000</v>
      </c>
      <c r="AL98" s="229">
        <v>0</v>
      </c>
      <c r="AM98" s="229">
        <v>0</v>
      </c>
      <c r="AN98" s="229">
        <v>0</v>
      </c>
      <c r="AO98" s="229">
        <v>0</v>
      </c>
      <c r="AP98" s="229">
        <v>0</v>
      </c>
      <c r="AQ98" s="229">
        <v>500000</v>
      </c>
      <c r="AR98" s="2">
        <v>94</v>
      </c>
      <c r="AS98" s="2" t="s">
        <v>1811</v>
      </c>
      <c r="AT98" s="2" t="s">
        <v>1601</v>
      </c>
      <c r="AU98" s="2" t="s">
        <v>773</v>
      </c>
      <c r="AV98" s="2">
        <v>0</v>
      </c>
      <c r="AW98" s="2" t="s">
        <v>1810</v>
      </c>
      <c r="AZ98" s="2" t="str">
        <f>_xlfn.XLOOKUP(Tabela98[[#This Row],[Descrição do projeto]],[3]Geração!$G:$G,[3]Geração!$F:$F,,0,1)</f>
        <v>Frederico Rodolfo Parente Doerner</v>
      </c>
    </row>
    <row r="99" spans="1:52" ht="24.75" customHeight="1" x14ac:dyDescent="0.35">
      <c r="A99" s="184"/>
      <c r="B99" s="185" t="e" cm="1">
        <f t="array" ref="B99">AND(ISTEXT('Consolidado-Eletronorte'!#REF!),SUM('Consolidado-Eletronorte'!#REF!)&gt;0)</f>
        <v>#REF!</v>
      </c>
      <c r="C99" s="186" t="str">
        <f t="shared" ca="1" si="6"/>
        <v>Capex Orcamentário_PE2026_2030_red_35_porcentoR3_consulta.xlsx</v>
      </c>
      <c r="D99" s="187" t="str">
        <f t="shared" si="7"/>
        <v>COO</v>
      </c>
      <c r="E99" s="187" t="str">
        <f t="shared" si="8"/>
        <v>Lucas Martins</v>
      </c>
      <c r="F99" s="188"/>
      <c r="G99" s="188" t="e">
        <f>_xlfn.CONCAT('Consolidado-Eletronorte'!#REF!,"_",ROW('Consolidado-Eletronorte'!#REF!)-ROW('Consolidado-Eletronorte'!$G$18))</f>
        <v>#REF!</v>
      </c>
      <c r="H99" s="279" t="s">
        <v>506</v>
      </c>
      <c r="I99" s="189" t="s">
        <v>507</v>
      </c>
      <c r="J99" s="190" t="s">
        <v>508</v>
      </c>
      <c r="K99" s="189" t="s">
        <v>1039</v>
      </c>
      <c r="L99" s="189" t="s">
        <v>1040</v>
      </c>
      <c r="M99" s="189" t="s">
        <v>830</v>
      </c>
      <c r="N99" s="189"/>
      <c r="O99" s="189"/>
      <c r="P99" s="189" t="s">
        <v>511</v>
      </c>
      <c r="Q99" s="191" t="s">
        <v>419</v>
      </c>
      <c r="R99" s="191" t="s">
        <v>833</v>
      </c>
      <c r="S99" s="189" t="s">
        <v>319</v>
      </c>
      <c r="T99" s="229">
        <v>0</v>
      </c>
      <c r="U99" s="229">
        <v>500000</v>
      </c>
      <c r="V99" s="229">
        <v>0</v>
      </c>
      <c r="W99" s="229">
        <v>0</v>
      </c>
      <c r="X99" s="229">
        <v>0</v>
      </c>
      <c r="Y99" s="229">
        <v>0</v>
      </c>
      <c r="Z99" s="229">
        <v>0</v>
      </c>
      <c r="AA99" s="229">
        <v>0</v>
      </c>
      <c r="AB99" s="229">
        <v>0</v>
      </c>
      <c r="AC99" s="229">
        <v>0</v>
      </c>
      <c r="AD99" s="229">
        <v>0</v>
      </c>
      <c r="AE99" s="229">
        <v>0</v>
      </c>
      <c r="AF99" s="229">
        <v>500000</v>
      </c>
      <c r="AG99" s="229">
        <v>0</v>
      </c>
      <c r="AH99" s="229">
        <v>0</v>
      </c>
      <c r="AI99" s="229">
        <v>0</v>
      </c>
      <c r="AJ99" s="229">
        <v>0</v>
      </c>
      <c r="AK99" s="229">
        <v>500000</v>
      </c>
      <c r="AL99" s="229">
        <v>0</v>
      </c>
      <c r="AM99" s="229">
        <v>0</v>
      </c>
      <c r="AN99" s="229">
        <v>0</v>
      </c>
      <c r="AO99" s="229">
        <v>0</v>
      </c>
      <c r="AP99" s="229">
        <v>0</v>
      </c>
      <c r="AQ99" s="229">
        <v>500000</v>
      </c>
      <c r="AR99" s="2">
        <v>96</v>
      </c>
      <c r="AS99" s="2" t="s">
        <v>1811</v>
      </c>
      <c r="AT99" s="2">
        <v>2025</v>
      </c>
      <c r="AU99" s="2" t="s">
        <v>834</v>
      </c>
      <c r="AV99" s="2">
        <v>0</v>
      </c>
      <c r="AW99" s="2" t="s">
        <v>1810</v>
      </c>
      <c r="AZ99" s="2" t="str">
        <f>_xlfn.XLOOKUP(Tabela98[[#This Row],[Descrição do projeto]],[3]Geração!$G:$G,[3]Geração!$F:$F,,0,1)</f>
        <v>Frederico Rodolfo Parente Doerner</v>
      </c>
    </row>
    <row r="100" spans="1:52" ht="24.75" customHeight="1" x14ac:dyDescent="0.35">
      <c r="A100" s="184"/>
      <c r="B100" s="185" t="e" cm="1">
        <f t="array" ref="B100">AND(ISTEXT('Consolidado-Eletronorte'!#REF!),SUM('Consolidado-Eletronorte'!#REF!)&gt;0)</f>
        <v>#REF!</v>
      </c>
      <c r="C100" s="186" t="str">
        <f t="shared" ca="1" si="6"/>
        <v>Capex Orcamentário_PE2026_2030_red_35_porcentoR3_consulta.xlsx</v>
      </c>
      <c r="D100" s="187" t="str">
        <f t="shared" si="7"/>
        <v>COO</v>
      </c>
      <c r="E100" s="187" t="str">
        <f t="shared" si="8"/>
        <v>Lucas Martins</v>
      </c>
      <c r="F100" s="188"/>
      <c r="G100" s="188" t="e">
        <f>_xlfn.CONCAT('Consolidado-Eletronorte'!#REF!,"_",ROW('Consolidado-Eletronorte'!#REF!)-ROW('Consolidado-Eletronorte'!$G$18))</f>
        <v>#REF!</v>
      </c>
      <c r="H100" s="279" t="s">
        <v>506</v>
      </c>
      <c r="I100" s="189" t="s">
        <v>507</v>
      </c>
      <c r="J100" s="190" t="s">
        <v>508</v>
      </c>
      <c r="K100" s="189" t="s">
        <v>1039</v>
      </c>
      <c r="L100" s="189" t="s">
        <v>1040</v>
      </c>
      <c r="M100" s="189" t="s">
        <v>931</v>
      </c>
      <c r="N100" s="189"/>
      <c r="O100" s="189"/>
      <c r="P100" s="189" t="s">
        <v>511</v>
      </c>
      <c r="Q100" s="191" t="s">
        <v>417</v>
      </c>
      <c r="R100" s="191" t="s">
        <v>934</v>
      </c>
      <c r="S100" s="189" t="s">
        <v>319</v>
      </c>
      <c r="T100" s="229">
        <v>0</v>
      </c>
      <c r="U100" s="229">
        <v>0</v>
      </c>
      <c r="V100" s="229">
        <v>500000</v>
      </c>
      <c r="W100" s="229">
        <v>0</v>
      </c>
      <c r="X100" s="229">
        <v>0</v>
      </c>
      <c r="Y100" s="229">
        <v>0</v>
      </c>
      <c r="Z100" s="229">
        <v>0</v>
      </c>
      <c r="AA100" s="229">
        <v>0</v>
      </c>
      <c r="AB100" s="229">
        <v>0</v>
      </c>
      <c r="AC100" s="229">
        <v>0</v>
      </c>
      <c r="AD100" s="229">
        <v>0</v>
      </c>
      <c r="AE100" s="229">
        <v>0</v>
      </c>
      <c r="AF100" s="229">
        <v>500000</v>
      </c>
      <c r="AG100" s="229">
        <v>0</v>
      </c>
      <c r="AH100" s="229">
        <v>0</v>
      </c>
      <c r="AI100" s="229">
        <v>0</v>
      </c>
      <c r="AJ100" s="229">
        <v>0</v>
      </c>
      <c r="AK100" s="229">
        <v>500000</v>
      </c>
      <c r="AL100" s="229">
        <v>0</v>
      </c>
      <c r="AM100" s="229">
        <v>0</v>
      </c>
      <c r="AN100" s="229">
        <v>0</v>
      </c>
      <c r="AO100" s="229">
        <v>0</v>
      </c>
      <c r="AP100" s="229">
        <v>0</v>
      </c>
      <c r="AQ100" s="229">
        <v>500000</v>
      </c>
      <c r="AR100" s="2">
        <v>98</v>
      </c>
      <c r="AS100" s="2" t="s">
        <v>1811</v>
      </c>
      <c r="AT100" s="2">
        <v>2025</v>
      </c>
      <c r="AU100" s="2" t="s">
        <v>935</v>
      </c>
      <c r="AV100" s="2">
        <v>0</v>
      </c>
      <c r="AW100" s="2" t="s">
        <v>1810</v>
      </c>
      <c r="AZ100" s="2" t="str">
        <f>_xlfn.XLOOKUP(Tabela98[[#This Row],[Descrição do projeto]],[3]Geração!$G:$G,[3]Geração!$F:$F,,0,1)</f>
        <v>Frederico Rodolfo Parente Doerner</v>
      </c>
    </row>
    <row r="101" spans="1:52" ht="24.75" customHeight="1" x14ac:dyDescent="0.35">
      <c r="A101" s="280"/>
      <c r="B101" s="185" t="e" cm="1">
        <f t="array" ref="B101">AND(ISTEXT('Consolidado-Eletronorte'!#REF!),SUM('Consolidado-Eletronorte'!#REF!)&gt;0)</f>
        <v>#REF!</v>
      </c>
      <c r="C101" s="281" t="str">
        <f t="shared" ca="1" si="6"/>
        <v>Capex Orcamentário_PE2026_2030_red_35_porcentoR3_consulta.xlsx</v>
      </c>
      <c r="D101" s="282" t="str">
        <f t="shared" si="7"/>
        <v>COO</v>
      </c>
      <c r="E101" s="282" t="str">
        <f t="shared" si="8"/>
        <v>Lucas Martins</v>
      </c>
      <c r="F101" s="283"/>
      <c r="G101" s="283" t="e">
        <f>_xlfn.CONCAT('Consolidado-Eletronorte'!#REF!,"_",ROW('Consolidado-Eletronorte'!#REF!)-ROW('Consolidado-Eletronorte'!$G$18))</f>
        <v>#REF!</v>
      </c>
      <c r="H101" s="284" t="s">
        <v>506</v>
      </c>
      <c r="I101" s="285" t="s">
        <v>507</v>
      </c>
      <c r="J101" s="286" t="s">
        <v>508</v>
      </c>
      <c r="K101" s="285" t="s">
        <v>1039</v>
      </c>
      <c r="L101" s="285" t="s">
        <v>1799</v>
      </c>
      <c r="M101" s="285" t="s">
        <v>577</v>
      </c>
      <c r="N101" s="285"/>
      <c r="O101" s="285"/>
      <c r="P101" s="285">
        <v>157189</v>
      </c>
      <c r="Q101" s="287" t="s">
        <v>301</v>
      </c>
      <c r="R101" s="287" t="s">
        <v>924</v>
      </c>
      <c r="S101" s="285" t="s">
        <v>276</v>
      </c>
      <c r="T101" s="229">
        <v>0</v>
      </c>
      <c r="U101" s="229">
        <v>0</v>
      </c>
      <c r="V101" s="229">
        <v>0</v>
      </c>
      <c r="W101" s="229">
        <v>0</v>
      </c>
      <c r="X101" s="229">
        <v>0</v>
      </c>
      <c r="Y101" s="229">
        <v>0</v>
      </c>
      <c r="Z101" s="229">
        <v>0</v>
      </c>
      <c r="AA101" s="229">
        <v>0</v>
      </c>
      <c r="AB101" s="229">
        <v>0</v>
      </c>
      <c r="AC101" s="229">
        <v>0</v>
      </c>
      <c r="AD101" s="229">
        <v>0</v>
      </c>
      <c r="AE101" s="229">
        <v>0</v>
      </c>
      <c r="AF101" s="229">
        <v>0</v>
      </c>
      <c r="AG101" s="229">
        <v>250000</v>
      </c>
      <c r="AH101" s="229">
        <v>250000</v>
      </c>
      <c r="AI101" s="229">
        <v>0</v>
      </c>
      <c r="AJ101" s="229">
        <v>0</v>
      </c>
      <c r="AK101" s="229">
        <v>500000</v>
      </c>
      <c r="AL101" s="229">
        <v>0</v>
      </c>
      <c r="AM101" s="229">
        <v>0</v>
      </c>
      <c r="AN101" s="229">
        <v>0</v>
      </c>
      <c r="AO101" s="229">
        <v>0</v>
      </c>
      <c r="AP101" s="229">
        <v>0</v>
      </c>
      <c r="AQ101" s="229">
        <v>500000</v>
      </c>
      <c r="AR101" s="2">
        <v>4</v>
      </c>
      <c r="AS101" s="2" t="s">
        <v>279</v>
      </c>
      <c r="AT101" s="2">
        <v>2025</v>
      </c>
      <c r="AU101" s="2" t="s">
        <v>925</v>
      </c>
      <c r="AV101" t="s">
        <v>926</v>
      </c>
      <c r="AW101" s="2" t="s">
        <v>1810</v>
      </c>
      <c r="AZ101" s="2" t="str">
        <f>_xlfn.XLOOKUP(Tabela98[[#This Row],[Descrição do projeto]],[3]Geração!$G:$G,[3]Geração!$F:$F,,0,1)</f>
        <v>Klenio Dias Timoteo</v>
      </c>
    </row>
    <row r="102" spans="1:52" ht="24.75" customHeight="1" x14ac:dyDescent="0.35">
      <c r="A102" s="184"/>
      <c r="B102" s="185" t="e" cm="1">
        <f t="array" ref="B102">AND(ISTEXT('Consolidado-Eletronorte'!#REF!),SUM('Consolidado-Eletronorte'!#REF!)&gt;0)</f>
        <v>#REF!</v>
      </c>
      <c r="C102" s="186" t="str">
        <f t="shared" ca="1" si="6"/>
        <v>Capex Orcamentário_PE2026_2030_red_35_porcentoR3_consulta.xlsx</v>
      </c>
      <c r="D102" s="187" t="str">
        <f t="shared" si="7"/>
        <v>COO</v>
      </c>
      <c r="E102" s="187" t="str">
        <f t="shared" si="8"/>
        <v>Lucas Martins</v>
      </c>
      <c r="F102" s="188"/>
      <c r="G102" s="188" t="e">
        <f>_xlfn.CONCAT('Consolidado-Eletronorte'!#REF!,"_",ROW('Consolidado-Eletronorte'!#REF!)-ROW('Consolidado-Eletronorte'!$G$18))</f>
        <v>#REF!</v>
      </c>
      <c r="H102" s="279" t="s">
        <v>506</v>
      </c>
      <c r="I102" s="189" t="s">
        <v>507</v>
      </c>
      <c r="J102" s="190" t="s">
        <v>508</v>
      </c>
      <c r="K102" s="189" t="s">
        <v>1039</v>
      </c>
      <c r="L102" s="189" t="s">
        <v>1040</v>
      </c>
      <c r="M102" s="189" t="s">
        <v>555</v>
      </c>
      <c r="N102" s="189"/>
      <c r="O102" s="189"/>
      <c r="P102" s="189" t="s">
        <v>617</v>
      </c>
      <c r="Q102" s="191" t="s">
        <v>258</v>
      </c>
      <c r="R102" s="191" t="s">
        <v>896</v>
      </c>
      <c r="S102" s="189" t="s">
        <v>229</v>
      </c>
      <c r="T102" s="229">
        <v>0</v>
      </c>
      <c r="U102" s="229">
        <v>0</v>
      </c>
      <c r="V102" s="229">
        <v>0</v>
      </c>
      <c r="W102" s="229">
        <v>0</v>
      </c>
      <c r="X102" s="229">
        <v>0</v>
      </c>
      <c r="Y102" s="229">
        <v>0</v>
      </c>
      <c r="Z102" s="229">
        <v>0</v>
      </c>
      <c r="AA102" s="229">
        <v>0</v>
      </c>
      <c r="AB102" s="229">
        <v>0</v>
      </c>
      <c r="AC102" s="229">
        <v>0</v>
      </c>
      <c r="AD102" s="229">
        <v>0</v>
      </c>
      <c r="AE102" s="229">
        <v>0</v>
      </c>
      <c r="AF102" s="229">
        <v>0</v>
      </c>
      <c r="AG102" s="229">
        <v>500000</v>
      </c>
      <c r="AH102" s="229">
        <v>0</v>
      </c>
      <c r="AI102" s="229">
        <v>0</v>
      </c>
      <c r="AJ102" s="229">
        <v>0</v>
      </c>
      <c r="AK102" s="229">
        <v>500000</v>
      </c>
      <c r="AL102" s="229">
        <v>0</v>
      </c>
      <c r="AM102" s="229">
        <v>0</v>
      </c>
      <c r="AN102" s="229">
        <v>0</v>
      </c>
      <c r="AO102" s="229">
        <v>0</v>
      </c>
      <c r="AP102" s="229">
        <v>0</v>
      </c>
      <c r="AQ102" s="229">
        <v>500000</v>
      </c>
      <c r="AR102" s="2">
        <v>54</v>
      </c>
      <c r="AS102" s="2" t="s">
        <v>247</v>
      </c>
      <c r="AT102" s="2">
        <v>2025</v>
      </c>
      <c r="AU102" s="2" t="s">
        <v>897</v>
      </c>
      <c r="AV102" s="2">
        <v>0</v>
      </c>
      <c r="AW102" s="2" t="s">
        <v>1810</v>
      </c>
      <c r="AZ102" s="2" t="str">
        <f>_xlfn.XLOOKUP(Tabela98[[#This Row],[Descrição do projeto]],[3]Geração!$G:$G,[3]Geração!$F:$F,,0,1)</f>
        <v>Airton Rego Bentes</v>
      </c>
    </row>
    <row r="103" spans="1:52" ht="24.75" customHeight="1" x14ac:dyDescent="0.35">
      <c r="A103" s="184"/>
      <c r="B103" s="185" t="e" cm="1">
        <f t="array" ref="B103">AND(ISTEXT('Consolidado-Eletronorte'!#REF!),SUM('Consolidado-Eletronorte'!#REF!)&gt;0)</f>
        <v>#REF!</v>
      </c>
      <c r="C103" s="186" t="str">
        <f t="shared" ca="1" si="6"/>
        <v>Capex Orcamentário_PE2026_2030_red_35_porcentoR3_consulta.xlsx</v>
      </c>
      <c r="D103" s="187" t="str">
        <f t="shared" si="7"/>
        <v>COO</v>
      </c>
      <c r="E103" s="187" t="str">
        <f t="shared" si="8"/>
        <v>Lucas Martins</v>
      </c>
      <c r="F103" s="188"/>
      <c r="G103" s="188" t="e">
        <f>_xlfn.CONCAT('Consolidado-Eletronorte'!#REF!,"_",ROW('Consolidado-Eletronorte'!#REF!)-ROW('Consolidado-Eletronorte'!$G$18))</f>
        <v>#REF!</v>
      </c>
      <c r="H103" s="279" t="s">
        <v>506</v>
      </c>
      <c r="I103" s="189" t="s">
        <v>507</v>
      </c>
      <c r="J103" s="190" t="s">
        <v>508</v>
      </c>
      <c r="K103" s="189" t="s">
        <v>1039</v>
      </c>
      <c r="L103" s="189" t="s">
        <v>1040</v>
      </c>
      <c r="M103" s="189" t="s">
        <v>577</v>
      </c>
      <c r="N103" s="189"/>
      <c r="O103" s="189"/>
      <c r="P103" s="189">
        <v>157189</v>
      </c>
      <c r="Q103" s="191" t="s">
        <v>295</v>
      </c>
      <c r="R103" s="191" t="s">
        <v>904</v>
      </c>
      <c r="S103" s="189" t="s">
        <v>276</v>
      </c>
      <c r="T103" s="229">
        <v>0</v>
      </c>
      <c r="U103" s="229">
        <v>0</v>
      </c>
      <c r="V103" s="229">
        <v>0</v>
      </c>
      <c r="W103" s="229">
        <v>0</v>
      </c>
      <c r="X103" s="229">
        <v>0</v>
      </c>
      <c r="Y103" s="229">
        <v>0</v>
      </c>
      <c r="Z103" s="229">
        <v>0</v>
      </c>
      <c r="AA103" s="229">
        <v>0</v>
      </c>
      <c r="AB103" s="229">
        <v>0</v>
      </c>
      <c r="AC103" s="229">
        <v>0</v>
      </c>
      <c r="AD103" s="229">
        <v>0</v>
      </c>
      <c r="AE103" s="229">
        <v>0</v>
      </c>
      <c r="AF103" s="229">
        <v>0</v>
      </c>
      <c r="AG103" s="229">
        <v>250000</v>
      </c>
      <c r="AH103" s="229">
        <v>250000</v>
      </c>
      <c r="AI103" s="229">
        <v>0</v>
      </c>
      <c r="AJ103" s="229">
        <v>0</v>
      </c>
      <c r="AK103" s="229">
        <v>500000</v>
      </c>
      <c r="AL103" s="229">
        <v>0</v>
      </c>
      <c r="AM103" s="229">
        <v>0</v>
      </c>
      <c r="AN103" s="229">
        <v>0</v>
      </c>
      <c r="AO103" s="229">
        <v>0</v>
      </c>
      <c r="AP103" s="229">
        <v>0</v>
      </c>
      <c r="AQ103" s="229">
        <v>500000</v>
      </c>
      <c r="AR103" s="2">
        <v>55</v>
      </c>
      <c r="AS103" s="2" t="s">
        <v>279</v>
      </c>
      <c r="AT103" s="2" t="s">
        <v>1601</v>
      </c>
      <c r="AU103" s="2" t="s">
        <v>905</v>
      </c>
      <c r="AV103" s="2">
        <v>0</v>
      </c>
      <c r="AW103" s="2" t="s">
        <v>1810</v>
      </c>
      <c r="AZ103" s="2" t="str">
        <f>_xlfn.XLOOKUP(Tabela98[[#This Row],[Descrição do projeto]],[3]Geração!$G:$G,[3]Geração!$F:$F,,0,1)</f>
        <v>Klenio Dias Timoteo</v>
      </c>
    </row>
    <row r="104" spans="1:52" ht="24.75" customHeight="1" x14ac:dyDescent="0.35">
      <c r="A104" s="184"/>
      <c r="B104" s="185" t="e" cm="1">
        <f t="array" ref="B104">AND(ISTEXT('Consolidado-Eletronorte'!#REF!),SUM('Consolidado-Eletronorte'!#REF!)&gt;0)</f>
        <v>#REF!</v>
      </c>
      <c r="C104" s="186" t="str">
        <f t="shared" ca="1" si="6"/>
        <v>Capex Orcamentário_PE2026_2030_red_35_porcentoR3_consulta.xlsx</v>
      </c>
      <c r="D104" s="187" t="str">
        <f t="shared" si="7"/>
        <v>COO</v>
      </c>
      <c r="E104" s="187" t="str">
        <f t="shared" si="8"/>
        <v>Lucas Martins</v>
      </c>
      <c r="F104" s="188"/>
      <c r="G104" s="188" t="e">
        <f>_xlfn.CONCAT('Consolidado-Eletronorte'!#REF!,"_",ROW('Consolidado-Eletronorte'!#REF!)-ROW('Consolidado-Eletronorte'!$G$18))</f>
        <v>#REF!</v>
      </c>
      <c r="H104" s="279" t="s">
        <v>506</v>
      </c>
      <c r="I104" s="189" t="s">
        <v>507</v>
      </c>
      <c r="J104" s="190" t="s">
        <v>508</v>
      </c>
      <c r="K104" s="189" t="s">
        <v>1039</v>
      </c>
      <c r="L104" s="189" t="s">
        <v>1040</v>
      </c>
      <c r="M104" s="189" t="s">
        <v>577</v>
      </c>
      <c r="N104" s="189"/>
      <c r="O104" s="189"/>
      <c r="P104" s="189">
        <v>157189</v>
      </c>
      <c r="Q104" s="191" t="s">
        <v>293</v>
      </c>
      <c r="R104" s="191" t="s">
        <v>906</v>
      </c>
      <c r="S104" s="189" t="s">
        <v>276</v>
      </c>
      <c r="T104" s="229">
        <v>0</v>
      </c>
      <c r="U104" s="229">
        <v>0</v>
      </c>
      <c r="V104" s="229">
        <v>0</v>
      </c>
      <c r="W104" s="229">
        <v>0</v>
      </c>
      <c r="X104" s="229">
        <v>0</v>
      </c>
      <c r="Y104" s="229">
        <v>0</v>
      </c>
      <c r="Z104" s="229">
        <v>0</v>
      </c>
      <c r="AA104" s="229">
        <v>0</v>
      </c>
      <c r="AB104" s="229">
        <v>0</v>
      </c>
      <c r="AC104" s="229">
        <v>0</v>
      </c>
      <c r="AD104" s="229">
        <v>0</v>
      </c>
      <c r="AE104" s="229">
        <v>0</v>
      </c>
      <c r="AF104" s="229">
        <v>0</v>
      </c>
      <c r="AG104" s="229">
        <v>250000</v>
      </c>
      <c r="AH104" s="229">
        <v>250000</v>
      </c>
      <c r="AI104" s="229">
        <v>0</v>
      </c>
      <c r="AJ104" s="229">
        <v>0</v>
      </c>
      <c r="AK104" s="229">
        <v>500000</v>
      </c>
      <c r="AL104" s="229">
        <v>0</v>
      </c>
      <c r="AM104" s="229">
        <v>0</v>
      </c>
      <c r="AN104" s="229">
        <v>0</v>
      </c>
      <c r="AO104" s="229">
        <v>0</v>
      </c>
      <c r="AP104" s="229">
        <v>0</v>
      </c>
      <c r="AQ104" s="229">
        <v>500000</v>
      </c>
      <c r="AR104" s="2">
        <v>56</v>
      </c>
      <c r="AS104" s="2" t="s">
        <v>279</v>
      </c>
      <c r="AT104" s="2" t="s">
        <v>1601</v>
      </c>
      <c r="AU104" s="2" t="s">
        <v>907</v>
      </c>
      <c r="AV104" s="2">
        <v>0</v>
      </c>
      <c r="AW104" s="2" t="s">
        <v>1810</v>
      </c>
      <c r="AZ104" s="2" t="str">
        <f>_xlfn.XLOOKUP(Tabela98[[#This Row],[Descrição do projeto]],[3]Geração!$G:$G,[3]Geração!$F:$F,,0,1)</f>
        <v>Klenio Dias Timoteo</v>
      </c>
    </row>
    <row r="105" spans="1:52" ht="24.75" customHeight="1" x14ac:dyDescent="0.35">
      <c r="A105" s="184"/>
      <c r="B105" s="185" t="e" cm="1">
        <f t="array" ref="B105">AND(ISTEXT('Consolidado-Eletronorte'!#REF!),SUM('Consolidado-Eletronorte'!#REF!)&gt;0)</f>
        <v>#REF!</v>
      </c>
      <c r="C105" s="186" t="str">
        <f t="shared" ref="C105:C131" ca="1" si="9">$J$3</f>
        <v>Capex Orcamentário_PE2026_2030_red_35_porcentoR3_consulta.xlsx</v>
      </c>
      <c r="D105" s="187" t="str">
        <f t="shared" ref="D105:D131" si="10">$H$3</f>
        <v>COO</v>
      </c>
      <c r="E105" s="187" t="str">
        <f t="shared" ref="E105:E131" si="11">$H$4</f>
        <v>Lucas Martins</v>
      </c>
      <c r="F105" s="188"/>
      <c r="G105" s="188" t="e">
        <f>_xlfn.CONCAT('Consolidado-Eletronorte'!#REF!,"_",ROW('Consolidado-Eletronorte'!#REF!)-ROW('Consolidado-Eletronorte'!$G$18))</f>
        <v>#REF!</v>
      </c>
      <c r="H105" s="279" t="s">
        <v>506</v>
      </c>
      <c r="I105" s="189" t="s">
        <v>507</v>
      </c>
      <c r="J105" s="190" t="s">
        <v>508</v>
      </c>
      <c r="K105" s="189" t="s">
        <v>1039</v>
      </c>
      <c r="L105" s="189" t="s">
        <v>1040</v>
      </c>
      <c r="M105" s="189" t="s">
        <v>577</v>
      </c>
      <c r="N105" s="189"/>
      <c r="O105" s="189"/>
      <c r="P105" s="189">
        <v>157189</v>
      </c>
      <c r="Q105" s="191" t="s">
        <v>307</v>
      </c>
      <c r="R105" s="191" t="s">
        <v>908</v>
      </c>
      <c r="S105" s="189" t="s">
        <v>276</v>
      </c>
      <c r="T105" s="229">
        <v>0</v>
      </c>
      <c r="U105" s="229">
        <v>0</v>
      </c>
      <c r="V105" s="229">
        <v>0</v>
      </c>
      <c r="W105" s="229">
        <v>0</v>
      </c>
      <c r="X105" s="229">
        <v>0</v>
      </c>
      <c r="Y105" s="229">
        <v>0</v>
      </c>
      <c r="Z105" s="229">
        <v>0</v>
      </c>
      <c r="AA105" s="229">
        <v>0</v>
      </c>
      <c r="AB105" s="229">
        <v>0</v>
      </c>
      <c r="AC105" s="229">
        <v>0</v>
      </c>
      <c r="AD105" s="229">
        <v>0</v>
      </c>
      <c r="AE105" s="229">
        <v>0</v>
      </c>
      <c r="AF105" s="229">
        <v>0</v>
      </c>
      <c r="AG105" s="229">
        <v>250000</v>
      </c>
      <c r="AH105" s="229">
        <v>250000</v>
      </c>
      <c r="AI105" s="229">
        <v>0</v>
      </c>
      <c r="AJ105" s="229">
        <v>0</v>
      </c>
      <c r="AK105" s="229">
        <v>500000</v>
      </c>
      <c r="AL105" s="229">
        <v>0</v>
      </c>
      <c r="AM105" s="229">
        <v>0</v>
      </c>
      <c r="AN105" s="229">
        <v>0</v>
      </c>
      <c r="AO105" s="229">
        <v>0</v>
      </c>
      <c r="AP105" s="229">
        <v>0</v>
      </c>
      <c r="AQ105" s="229">
        <v>500000</v>
      </c>
      <c r="AR105" s="2">
        <v>57</v>
      </c>
      <c r="AS105" s="2" t="s">
        <v>279</v>
      </c>
      <c r="AT105" s="2" t="s">
        <v>1601</v>
      </c>
      <c r="AU105" s="2" t="s">
        <v>909</v>
      </c>
      <c r="AV105" s="2">
        <v>0</v>
      </c>
      <c r="AW105" s="2" t="s">
        <v>1810</v>
      </c>
      <c r="AZ105" s="2" t="str">
        <f>_xlfn.XLOOKUP(Tabela98[[#This Row],[Descrição do projeto]],[3]Geração!$G:$G,[3]Geração!$F:$F,,0,1)</f>
        <v>Klenio Dias Timoteo</v>
      </c>
    </row>
    <row r="106" spans="1:52" ht="24.75" customHeight="1" x14ac:dyDescent="0.35">
      <c r="A106" s="184"/>
      <c r="B106" s="185" t="e" cm="1">
        <f t="array" ref="B106">AND(ISTEXT('Consolidado-Eletronorte'!#REF!),SUM('Consolidado-Eletronorte'!#REF!)&gt;0)</f>
        <v>#REF!</v>
      </c>
      <c r="C106" s="186" t="str">
        <f t="shared" ca="1" si="9"/>
        <v>Capex Orcamentário_PE2026_2030_red_35_porcentoR3_consulta.xlsx</v>
      </c>
      <c r="D106" s="187" t="str">
        <f t="shared" si="10"/>
        <v>COO</v>
      </c>
      <c r="E106" s="187" t="str">
        <f t="shared" si="11"/>
        <v>Lucas Martins</v>
      </c>
      <c r="F106" s="188"/>
      <c r="G106" s="188" t="e">
        <f>_xlfn.CONCAT('Consolidado-Eletronorte'!#REF!,"_",ROW('Consolidado-Eletronorte'!#REF!)-ROW('Consolidado-Eletronorte'!$G$18))</f>
        <v>#REF!</v>
      </c>
      <c r="H106" s="279" t="s">
        <v>506</v>
      </c>
      <c r="I106" s="189" t="s">
        <v>507</v>
      </c>
      <c r="J106" s="190" t="s">
        <v>508</v>
      </c>
      <c r="K106" s="189" t="s">
        <v>1039</v>
      </c>
      <c r="L106" s="189" t="s">
        <v>1040</v>
      </c>
      <c r="M106" s="189" t="s">
        <v>577</v>
      </c>
      <c r="N106" s="189"/>
      <c r="O106" s="189"/>
      <c r="P106" s="189">
        <v>157189</v>
      </c>
      <c r="Q106" s="191" t="s">
        <v>309</v>
      </c>
      <c r="R106" s="191" t="s">
        <v>910</v>
      </c>
      <c r="S106" s="189" t="s">
        <v>276</v>
      </c>
      <c r="T106" s="229">
        <v>0</v>
      </c>
      <c r="U106" s="229">
        <v>0</v>
      </c>
      <c r="V106" s="229">
        <v>0</v>
      </c>
      <c r="W106" s="229">
        <v>0</v>
      </c>
      <c r="X106" s="229">
        <v>0</v>
      </c>
      <c r="Y106" s="229">
        <v>0</v>
      </c>
      <c r="Z106" s="229">
        <v>0</v>
      </c>
      <c r="AA106" s="229">
        <v>0</v>
      </c>
      <c r="AB106" s="229">
        <v>0</v>
      </c>
      <c r="AC106" s="229">
        <v>0</v>
      </c>
      <c r="AD106" s="229">
        <v>0</v>
      </c>
      <c r="AE106" s="229">
        <v>0</v>
      </c>
      <c r="AF106" s="229">
        <v>0</v>
      </c>
      <c r="AG106" s="229">
        <v>250000</v>
      </c>
      <c r="AH106" s="229">
        <v>250000</v>
      </c>
      <c r="AI106" s="229">
        <v>0</v>
      </c>
      <c r="AJ106" s="229">
        <v>0</v>
      </c>
      <c r="AK106" s="229">
        <v>500000</v>
      </c>
      <c r="AL106" s="229">
        <v>0</v>
      </c>
      <c r="AM106" s="229">
        <v>0</v>
      </c>
      <c r="AN106" s="229">
        <v>0</v>
      </c>
      <c r="AO106" s="229">
        <v>0</v>
      </c>
      <c r="AP106" s="229">
        <v>0</v>
      </c>
      <c r="AQ106" s="229">
        <v>500000</v>
      </c>
      <c r="AR106" s="2">
        <v>58</v>
      </c>
      <c r="AS106" s="2" t="s">
        <v>279</v>
      </c>
      <c r="AT106" s="2" t="s">
        <v>1601</v>
      </c>
      <c r="AU106" s="2" t="s">
        <v>911</v>
      </c>
      <c r="AV106" s="2">
        <v>0</v>
      </c>
      <c r="AW106" s="2" t="s">
        <v>1810</v>
      </c>
      <c r="AZ106" s="2" t="str">
        <f>_xlfn.XLOOKUP(Tabela98[[#This Row],[Descrição do projeto]],[3]Geração!$G:$G,[3]Geração!$F:$F,,0,1)</f>
        <v>Klenio Dias Timoteo</v>
      </c>
    </row>
    <row r="107" spans="1:52" ht="24.75" customHeight="1" x14ac:dyDescent="0.35">
      <c r="A107" s="184"/>
      <c r="B107" s="185" t="e" cm="1">
        <f t="array" ref="B107">AND(ISTEXT('Consolidado-Eletronorte'!#REF!),SUM('Consolidado-Eletronorte'!#REF!)&gt;0)</f>
        <v>#REF!</v>
      </c>
      <c r="C107" s="186" t="str">
        <f t="shared" ca="1" si="9"/>
        <v>Capex Orcamentário_PE2026_2030_red_35_porcentoR3_consulta.xlsx</v>
      </c>
      <c r="D107" s="187" t="str">
        <f t="shared" si="10"/>
        <v>COO</v>
      </c>
      <c r="E107" s="187" t="str">
        <f t="shared" si="11"/>
        <v>Lucas Martins</v>
      </c>
      <c r="F107" s="188"/>
      <c r="G107" s="188" t="e">
        <f>_xlfn.CONCAT('Consolidado-Eletronorte'!#REF!,"_",ROW('Consolidado-Eletronorte'!#REF!)-ROW('Consolidado-Eletronorte'!$G$18))</f>
        <v>#REF!</v>
      </c>
      <c r="H107" s="279" t="s">
        <v>506</v>
      </c>
      <c r="I107" s="189" t="s">
        <v>507</v>
      </c>
      <c r="J107" s="190" t="s">
        <v>508</v>
      </c>
      <c r="K107" s="189" t="s">
        <v>1039</v>
      </c>
      <c r="L107" s="189" t="s">
        <v>1040</v>
      </c>
      <c r="M107" s="189" t="s">
        <v>577</v>
      </c>
      <c r="N107" s="189"/>
      <c r="O107" s="189"/>
      <c r="P107" s="189">
        <v>157189</v>
      </c>
      <c r="Q107" s="191" t="s">
        <v>291</v>
      </c>
      <c r="R107" s="191" t="s">
        <v>912</v>
      </c>
      <c r="S107" s="189" t="s">
        <v>276</v>
      </c>
      <c r="T107" s="229">
        <v>0</v>
      </c>
      <c r="U107" s="229">
        <v>0</v>
      </c>
      <c r="V107" s="229">
        <v>0</v>
      </c>
      <c r="W107" s="229">
        <v>0</v>
      </c>
      <c r="X107" s="229">
        <v>0</v>
      </c>
      <c r="Y107" s="229">
        <v>0</v>
      </c>
      <c r="Z107" s="229">
        <v>0</v>
      </c>
      <c r="AA107" s="229">
        <v>0</v>
      </c>
      <c r="AB107" s="229">
        <v>0</v>
      </c>
      <c r="AC107" s="229">
        <v>0</v>
      </c>
      <c r="AD107" s="229">
        <v>0</v>
      </c>
      <c r="AE107" s="229">
        <v>0</v>
      </c>
      <c r="AF107" s="229">
        <v>0</v>
      </c>
      <c r="AG107" s="229">
        <v>250000</v>
      </c>
      <c r="AH107" s="229">
        <v>250000</v>
      </c>
      <c r="AI107" s="229">
        <v>0</v>
      </c>
      <c r="AJ107" s="229">
        <v>0</v>
      </c>
      <c r="AK107" s="229">
        <v>500000</v>
      </c>
      <c r="AL107" s="229">
        <v>0</v>
      </c>
      <c r="AM107" s="229">
        <v>0</v>
      </c>
      <c r="AN107" s="229">
        <v>0</v>
      </c>
      <c r="AO107" s="229">
        <v>0</v>
      </c>
      <c r="AP107" s="229">
        <v>0</v>
      </c>
      <c r="AQ107" s="229">
        <v>500000</v>
      </c>
      <c r="AR107" s="2">
        <v>59</v>
      </c>
      <c r="AS107" s="2" t="s">
        <v>279</v>
      </c>
      <c r="AT107" s="2" t="s">
        <v>1601</v>
      </c>
      <c r="AU107" s="2" t="s">
        <v>913</v>
      </c>
      <c r="AV107" s="2">
        <v>0</v>
      </c>
      <c r="AW107" s="2" t="s">
        <v>1810</v>
      </c>
      <c r="AZ107" s="2" t="str">
        <f>_xlfn.XLOOKUP(Tabela98[[#This Row],[Descrição do projeto]],[3]Geração!$G:$G,[3]Geração!$F:$F,,0,1)</f>
        <v>Klenio Dias Timoteo</v>
      </c>
    </row>
    <row r="108" spans="1:52" ht="24.75" customHeight="1" x14ac:dyDescent="0.35">
      <c r="A108" s="184"/>
      <c r="B108" s="185" t="e" cm="1">
        <f t="array" ref="B108">AND(ISTEXT('Consolidado-Eletronorte'!#REF!),SUM('Consolidado-Eletronorte'!#REF!)&gt;0)</f>
        <v>#REF!</v>
      </c>
      <c r="C108" s="186" t="str">
        <f t="shared" ca="1" si="9"/>
        <v>Capex Orcamentário_PE2026_2030_red_35_porcentoR3_consulta.xlsx</v>
      </c>
      <c r="D108" s="187" t="str">
        <f t="shared" si="10"/>
        <v>COO</v>
      </c>
      <c r="E108" s="187" t="str">
        <f t="shared" si="11"/>
        <v>Lucas Martins</v>
      </c>
      <c r="F108" s="188"/>
      <c r="G108" s="188" t="e">
        <f>_xlfn.CONCAT('Consolidado-Eletronorte'!#REF!,"_",ROW('Consolidado-Eletronorte'!#REF!)-ROW('Consolidado-Eletronorte'!$G$18))</f>
        <v>#REF!</v>
      </c>
      <c r="H108" s="279" t="s">
        <v>506</v>
      </c>
      <c r="I108" s="189" t="s">
        <v>507</v>
      </c>
      <c r="J108" s="190" t="s">
        <v>508</v>
      </c>
      <c r="K108" s="189" t="s">
        <v>1039</v>
      </c>
      <c r="L108" s="189" t="s">
        <v>1040</v>
      </c>
      <c r="M108" s="189" t="s">
        <v>577</v>
      </c>
      <c r="N108" s="189"/>
      <c r="O108" s="189"/>
      <c r="P108" s="189">
        <v>157189</v>
      </c>
      <c r="Q108" s="191" t="s">
        <v>287</v>
      </c>
      <c r="R108" s="191" t="s">
        <v>914</v>
      </c>
      <c r="S108" s="189" t="s">
        <v>276</v>
      </c>
      <c r="T108" s="229">
        <v>0</v>
      </c>
      <c r="U108" s="229">
        <v>0</v>
      </c>
      <c r="V108" s="229">
        <v>0</v>
      </c>
      <c r="W108" s="229">
        <v>0</v>
      </c>
      <c r="X108" s="229">
        <v>0</v>
      </c>
      <c r="Y108" s="229">
        <v>0</v>
      </c>
      <c r="Z108" s="229">
        <v>0</v>
      </c>
      <c r="AA108" s="229">
        <v>0</v>
      </c>
      <c r="AB108" s="229">
        <v>0</v>
      </c>
      <c r="AC108" s="229">
        <v>0</v>
      </c>
      <c r="AD108" s="229">
        <v>0</v>
      </c>
      <c r="AE108" s="229">
        <v>0</v>
      </c>
      <c r="AF108" s="229">
        <v>0</v>
      </c>
      <c r="AG108" s="229">
        <v>250000</v>
      </c>
      <c r="AH108" s="229">
        <v>250000</v>
      </c>
      <c r="AI108" s="229">
        <v>0</v>
      </c>
      <c r="AJ108" s="229">
        <v>0</v>
      </c>
      <c r="AK108" s="229">
        <v>500000</v>
      </c>
      <c r="AL108" s="229">
        <v>0</v>
      </c>
      <c r="AM108" s="229">
        <v>0</v>
      </c>
      <c r="AN108" s="229">
        <v>0</v>
      </c>
      <c r="AO108" s="229">
        <v>0</v>
      </c>
      <c r="AP108" s="229">
        <v>0</v>
      </c>
      <c r="AQ108" s="229">
        <v>500000</v>
      </c>
      <c r="AR108" s="2">
        <v>60</v>
      </c>
      <c r="AS108" s="2" t="s">
        <v>279</v>
      </c>
      <c r="AT108" s="2" t="s">
        <v>1601</v>
      </c>
      <c r="AU108" s="2" t="s">
        <v>915</v>
      </c>
      <c r="AV108" s="2">
        <v>0</v>
      </c>
      <c r="AW108" s="2" t="s">
        <v>1810</v>
      </c>
      <c r="AZ108" s="2" t="str">
        <f>_xlfn.XLOOKUP(Tabela98[[#This Row],[Descrição do projeto]],[3]Geração!$G:$G,[3]Geração!$F:$F,,0,1)</f>
        <v>Klenio Dias Timoteo</v>
      </c>
    </row>
    <row r="109" spans="1:52" ht="24.75" customHeight="1" x14ac:dyDescent="0.35">
      <c r="A109" s="184"/>
      <c r="B109" s="185" t="e" cm="1">
        <f t="array" ref="B109">AND(ISTEXT('Consolidado-Eletronorte'!#REF!),SUM('Consolidado-Eletronorte'!#REF!)&gt;0)</f>
        <v>#REF!</v>
      </c>
      <c r="C109" s="186" t="str">
        <f t="shared" ca="1" si="9"/>
        <v>Capex Orcamentário_PE2026_2030_red_35_porcentoR3_consulta.xlsx</v>
      </c>
      <c r="D109" s="187" t="str">
        <f t="shared" si="10"/>
        <v>COO</v>
      </c>
      <c r="E109" s="187" t="str">
        <f t="shared" si="11"/>
        <v>Lucas Martins</v>
      </c>
      <c r="F109" s="188"/>
      <c r="G109" s="188" t="e">
        <f>_xlfn.CONCAT('Consolidado-Eletronorte'!#REF!,"_",ROW('Consolidado-Eletronorte'!#REF!)-ROW('Consolidado-Eletronorte'!$G$18))</f>
        <v>#REF!</v>
      </c>
      <c r="H109" s="279" t="s">
        <v>506</v>
      </c>
      <c r="I109" s="189" t="s">
        <v>507</v>
      </c>
      <c r="J109" s="190" t="s">
        <v>508</v>
      </c>
      <c r="K109" s="189" t="s">
        <v>1039</v>
      </c>
      <c r="L109" s="189" t="s">
        <v>1040</v>
      </c>
      <c r="M109" s="189" t="s">
        <v>577</v>
      </c>
      <c r="N109" s="189"/>
      <c r="O109" s="189"/>
      <c r="P109" s="189">
        <v>157189</v>
      </c>
      <c r="Q109" s="191" t="s">
        <v>289</v>
      </c>
      <c r="R109" s="191" t="s">
        <v>916</v>
      </c>
      <c r="S109" s="189" t="s">
        <v>276</v>
      </c>
      <c r="T109" s="229">
        <v>0</v>
      </c>
      <c r="U109" s="229">
        <v>0</v>
      </c>
      <c r="V109" s="229">
        <v>0</v>
      </c>
      <c r="W109" s="229">
        <v>0</v>
      </c>
      <c r="X109" s="229">
        <v>0</v>
      </c>
      <c r="Y109" s="229">
        <v>0</v>
      </c>
      <c r="Z109" s="229">
        <v>0</v>
      </c>
      <c r="AA109" s="229">
        <v>0</v>
      </c>
      <c r="AB109" s="229">
        <v>0</v>
      </c>
      <c r="AC109" s="229">
        <v>0</v>
      </c>
      <c r="AD109" s="229">
        <v>0</v>
      </c>
      <c r="AE109" s="229">
        <v>0</v>
      </c>
      <c r="AF109" s="229">
        <v>0</v>
      </c>
      <c r="AG109" s="229">
        <v>250000</v>
      </c>
      <c r="AH109" s="229">
        <v>250000</v>
      </c>
      <c r="AI109" s="229">
        <v>0</v>
      </c>
      <c r="AJ109" s="229">
        <v>0</v>
      </c>
      <c r="AK109" s="229">
        <v>500000</v>
      </c>
      <c r="AL109" s="229">
        <v>0</v>
      </c>
      <c r="AM109" s="229">
        <v>0</v>
      </c>
      <c r="AN109" s="229">
        <v>0</v>
      </c>
      <c r="AO109" s="229">
        <v>0</v>
      </c>
      <c r="AP109" s="229">
        <v>0</v>
      </c>
      <c r="AQ109" s="229">
        <v>500000</v>
      </c>
      <c r="AR109" s="2">
        <v>61</v>
      </c>
      <c r="AS109" s="2" t="s">
        <v>279</v>
      </c>
      <c r="AT109" s="2" t="s">
        <v>1601</v>
      </c>
      <c r="AU109" s="2" t="s">
        <v>917</v>
      </c>
      <c r="AV109" s="2">
        <v>0</v>
      </c>
      <c r="AW109" s="2" t="s">
        <v>1810</v>
      </c>
      <c r="AZ109" s="2" t="str">
        <f>_xlfn.XLOOKUP(Tabela98[[#This Row],[Descrição do projeto]],[3]Geração!$G:$G,[3]Geração!$F:$F,,0,1)</f>
        <v>Klenio Dias Timoteo</v>
      </c>
    </row>
    <row r="110" spans="1:52" ht="24.75" customHeight="1" x14ac:dyDescent="0.35">
      <c r="A110" s="184"/>
      <c r="B110" s="185" t="e" cm="1">
        <f t="array" ref="B110">AND(ISTEXT('Consolidado-Eletronorte'!#REF!),SUM('Consolidado-Eletronorte'!#REF!)&gt;0)</f>
        <v>#REF!</v>
      </c>
      <c r="C110" s="186" t="str">
        <f t="shared" ca="1" si="9"/>
        <v>Capex Orcamentário_PE2026_2030_red_35_porcentoR3_consulta.xlsx</v>
      </c>
      <c r="D110" s="187" t="str">
        <f t="shared" si="10"/>
        <v>COO</v>
      </c>
      <c r="E110" s="187" t="str">
        <f t="shared" si="11"/>
        <v>Lucas Martins</v>
      </c>
      <c r="F110" s="188"/>
      <c r="G110" s="188" t="e">
        <f>_xlfn.CONCAT('Consolidado-Eletronorte'!#REF!,"_",ROW('Consolidado-Eletronorte'!#REF!)-ROW('Consolidado-Eletronorte'!$G$18))</f>
        <v>#REF!</v>
      </c>
      <c r="H110" s="279" t="s">
        <v>506</v>
      </c>
      <c r="I110" s="189" t="s">
        <v>507</v>
      </c>
      <c r="J110" s="190" t="s">
        <v>508</v>
      </c>
      <c r="K110" s="189" t="s">
        <v>1039</v>
      </c>
      <c r="L110" s="189" t="s">
        <v>1040</v>
      </c>
      <c r="M110" s="189" t="s">
        <v>577</v>
      </c>
      <c r="N110" s="189"/>
      <c r="O110" s="189"/>
      <c r="P110" s="189">
        <v>157189</v>
      </c>
      <c r="Q110" s="191" t="s">
        <v>299</v>
      </c>
      <c r="R110" s="191" t="s">
        <v>918</v>
      </c>
      <c r="S110" s="189" t="s">
        <v>276</v>
      </c>
      <c r="T110" s="229">
        <v>0</v>
      </c>
      <c r="U110" s="229">
        <v>0</v>
      </c>
      <c r="V110" s="229">
        <v>0</v>
      </c>
      <c r="W110" s="229">
        <v>0</v>
      </c>
      <c r="X110" s="229">
        <v>0</v>
      </c>
      <c r="Y110" s="229">
        <v>0</v>
      </c>
      <c r="Z110" s="229">
        <v>0</v>
      </c>
      <c r="AA110" s="229">
        <v>0</v>
      </c>
      <c r="AB110" s="229">
        <v>0</v>
      </c>
      <c r="AC110" s="229">
        <v>0</v>
      </c>
      <c r="AD110" s="229">
        <v>0</v>
      </c>
      <c r="AE110" s="229">
        <v>0</v>
      </c>
      <c r="AF110" s="229">
        <v>0</v>
      </c>
      <c r="AG110" s="229">
        <v>250000</v>
      </c>
      <c r="AH110" s="229">
        <v>250000</v>
      </c>
      <c r="AI110" s="229">
        <v>0</v>
      </c>
      <c r="AJ110" s="229">
        <v>0</v>
      </c>
      <c r="AK110" s="229">
        <v>500000</v>
      </c>
      <c r="AL110" s="229">
        <v>0</v>
      </c>
      <c r="AM110" s="229">
        <v>0</v>
      </c>
      <c r="AN110" s="229">
        <v>0</v>
      </c>
      <c r="AO110" s="229">
        <v>0</v>
      </c>
      <c r="AP110" s="229">
        <v>0</v>
      </c>
      <c r="AQ110" s="229">
        <v>500000</v>
      </c>
      <c r="AR110" s="2">
        <v>62</v>
      </c>
      <c r="AS110" s="2" t="s">
        <v>279</v>
      </c>
      <c r="AT110" s="2" t="s">
        <v>1601</v>
      </c>
      <c r="AU110" s="2" t="s">
        <v>919</v>
      </c>
      <c r="AV110" s="2">
        <v>0</v>
      </c>
      <c r="AW110" s="2" t="s">
        <v>1810</v>
      </c>
      <c r="AZ110" s="2" t="str">
        <f>_xlfn.XLOOKUP(Tabela98[[#This Row],[Descrição do projeto]],[3]Geração!$G:$G,[3]Geração!$F:$F,,0,1)</f>
        <v>Klenio Dias Timoteo</v>
      </c>
    </row>
    <row r="111" spans="1:52" ht="24.75" customHeight="1" x14ac:dyDescent="0.35">
      <c r="A111" s="184"/>
      <c r="B111" s="185" t="e" cm="1">
        <f t="array" ref="B111">AND(ISTEXT('Consolidado-Eletronorte'!#REF!),SUM('Consolidado-Eletronorte'!#REF!)&gt;0)</f>
        <v>#REF!</v>
      </c>
      <c r="C111" s="186" t="str">
        <f t="shared" ca="1" si="9"/>
        <v>Capex Orcamentário_PE2026_2030_red_35_porcentoR3_consulta.xlsx</v>
      </c>
      <c r="D111" s="187" t="str">
        <f t="shared" si="10"/>
        <v>COO</v>
      </c>
      <c r="E111" s="187" t="str">
        <f t="shared" si="11"/>
        <v>Lucas Martins</v>
      </c>
      <c r="F111" s="188"/>
      <c r="G111" s="188" t="e">
        <f>_xlfn.CONCAT('Consolidado-Eletronorte'!#REF!,"_",ROW('Consolidado-Eletronorte'!#REF!)-ROW('Consolidado-Eletronorte'!$G$18))</f>
        <v>#REF!</v>
      </c>
      <c r="H111" s="279" t="s">
        <v>506</v>
      </c>
      <c r="I111" s="189" t="s">
        <v>507</v>
      </c>
      <c r="J111" s="190" t="s">
        <v>508</v>
      </c>
      <c r="K111" s="189" t="s">
        <v>1039</v>
      </c>
      <c r="L111" s="189" t="s">
        <v>1040</v>
      </c>
      <c r="M111" s="189" t="s">
        <v>577</v>
      </c>
      <c r="N111" s="189"/>
      <c r="O111" s="189"/>
      <c r="P111" s="189">
        <v>157189</v>
      </c>
      <c r="Q111" s="191" t="s">
        <v>297</v>
      </c>
      <c r="R111" s="191" t="s">
        <v>920</v>
      </c>
      <c r="S111" s="189" t="s">
        <v>276</v>
      </c>
      <c r="T111" s="229">
        <v>0</v>
      </c>
      <c r="U111" s="229">
        <v>0</v>
      </c>
      <c r="V111" s="229">
        <v>0</v>
      </c>
      <c r="W111" s="229">
        <v>0</v>
      </c>
      <c r="X111" s="229">
        <v>0</v>
      </c>
      <c r="Y111" s="229">
        <v>0</v>
      </c>
      <c r="Z111" s="229">
        <v>0</v>
      </c>
      <c r="AA111" s="229">
        <v>0</v>
      </c>
      <c r="AB111" s="229">
        <v>0</v>
      </c>
      <c r="AC111" s="229">
        <v>0</v>
      </c>
      <c r="AD111" s="229">
        <v>0</v>
      </c>
      <c r="AE111" s="229">
        <v>0</v>
      </c>
      <c r="AF111" s="229">
        <v>0</v>
      </c>
      <c r="AG111" s="229">
        <v>250000</v>
      </c>
      <c r="AH111" s="229">
        <v>250000</v>
      </c>
      <c r="AI111" s="229">
        <v>0</v>
      </c>
      <c r="AJ111" s="229">
        <v>0</v>
      </c>
      <c r="AK111" s="229">
        <v>500000</v>
      </c>
      <c r="AL111" s="229">
        <v>0</v>
      </c>
      <c r="AM111" s="229">
        <v>0</v>
      </c>
      <c r="AN111" s="229">
        <v>0</v>
      </c>
      <c r="AO111" s="229">
        <v>0</v>
      </c>
      <c r="AP111" s="229">
        <v>0</v>
      </c>
      <c r="AQ111" s="229">
        <v>500000</v>
      </c>
      <c r="AR111" s="2">
        <v>63</v>
      </c>
      <c r="AS111" s="2" t="s">
        <v>279</v>
      </c>
      <c r="AT111" s="2" t="s">
        <v>1601</v>
      </c>
      <c r="AU111" s="2" t="s">
        <v>921</v>
      </c>
      <c r="AV111" s="2">
        <v>0</v>
      </c>
      <c r="AW111" s="2" t="s">
        <v>1810</v>
      </c>
      <c r="AZ111" s="2" t="str">
        <f>_xlfn.XLOOKUP(Tabela98[[#This Row],[Descrição do projeto]],[3]Geração!$G:$G,[3]Geração!$F:$F,,0,1)</f>
        <v>Klenio Dias Timoteo</v>
      </c>
    </row>
    <row r="112" spans="1:52" ht="24.75" customHeight="1" x14ac:dyDescent="0.35">
      <c r="A112" s="184"/>
      <c r="B112" s="185" t="e" cm="1">
        <f t="array" ref="B112">AND(ISTEXT('Consolidado-Eletronorte'!#REF!),SUM('Consolidado-Eletronorte'!#REF!)&gt;0)</f>
        <v>#REF!</v>
      </c>
      <c r="C112" s="186" t="str">
        <f t="shared" ca="1" si="9"/>
        <v>Capex Orcamentário_PE2026_2030_red_35_porcentoR3_consulta.xlsx</v>
      </c>
      <c r="D112" s="187" t="str">
        <f t="shared" si="10"/>
        <v>COO</v>
      </c>
      <c r="E112" s="187" t="str">
        <f t="shared" si="11"/>
        <v>Lucas Martins</v>
      </c>
      <c r="F112" s="188"/>
      <c r="G112" s="188" t="e">
        <f>_xlfn.CONCAT('Consolidado-Eletronorte'!#REF!,"_",ROW('Consolidado-Eletronorte'!#REF!)-ROW('Consolidado-Eletronorte'!$G$18))</f>
        <v>#REF!</v>
      </c>
      <c r="H112" s="279" t="s">
        <v>506</v>
      </c>
      <c r="I112" s="189" t="s">
        <v>507</v>
      </c>
      <c r="J112" s="190" t="s">
        <v>508</v>
      </c>
      <c r="K112" s="189" t="s">
        <v>1039</v>
      </c>
      <c r="L112" s="189" t="s">
        <v>1040</v>
      </c>
      <c r="M112" s="189" t="s">
        <v>577</v>
      </c>
      <c r="N112" s="189"/>
      <c r="O112" s="189"/>
      <c r="P112" s="189" t="s">
        <v>617</v>
      </c>
      <c r="Q112" s="191" t="s">
        <v>246</v>
      </c>
      <c r="R112" s="191" t="s">
        <v>899</v>
      </c>
      <c r="S112" s="189" t="s">
        <v>229</v>
      </c>
      <c r="T112" s="229">
        <v>0</v>
      </c>
      <c r="U112" s="229">
        <v>0</v>
      </c>
      <c r="V112" s="229">
        <v>0</v>
      </c>
      <c r="W112" s="229">
        <v>0</v>
      </c>
      <c r="X112" s="229">
        <v>0</v>
      </c>
      <c r="Y112" s="229">
        <v>0</v>
      </c>
      <c r="Z112" s="229">
        <v>0</v>
      </c>
      <c r="AA112" s="229">
        <v>0</v>
      </c>
      <c r="AB112" s="229">
        <v>0</v>
      </c>
      <c r="AC112" s="229">
        <v>0</v>
      </c>
      <c r="AD112" s="229">
        <v>0</v>
      </c>
      <c r="AE112" s="229">
        <v>0</v>
      </c>
      <c r="AF112" s="229">
        <v>0</v>
      </c>
      <c r="AG112" s="229">
        <v>500000</v>
      </c>
      <c r="AH112" s="229">
        <v>0</v>
      </c>
      <c r="AI112" s="229">
        <v>0</v>
      </c>
      <c r="AJ112" s="229">
        <v>0</v>
      </c>
      <c r="AK112" s="229">
        <v>500000</v>
      </c>
      <c r="AL112" s="229">
        <v>0</v>
      </c>
      <c r="AM112" s="229">
        <v>0</v>
      </c>
      <c r="AN112" s="229">
        <v>0</v>
      </c>
      <c r="AO112" s="229">
        <v>0</v>
      </c>
      <c r="AP112" s="229">
        <v>0</v>
      </c>
      <c r="AQ112" s="229">
        <v>500000</v>
      </c>
      <c r="AR112" s="2">
        <v>71</v>
      </c>
      <c r="AS112" s="2" t="s">
        <v>247</v>
      </c>
      <c r="AT112" s="2">
        <v>2025</v>
      </c>
      <c r="AU112" s="2" t="s">
        <v>900</v>
      </c>
      <c r="AV112" s="2">
        <v>0</v>
      </c>
      <c r="AW112" s="2" t="s">
        <v>1810</v>
      </c>
      <c r="AZ112" s="2" t="str">
        <f>_xlfn.XLOOKUP(Tabela98[[#This Row],[Descrição do projeto]],[3]Geração!$G:$G,[3]Geração!$F:$F,,0,1)</f>
        <v>Airton Rego Bentes</v>
      </c>
    </row>
    <row r="113" spans="1:52" ht="24.75" customHeight="1" x14ac:dyDescent="0.35">
      <c r="A113" s="184"/>
      <c r="B113" s="185" t="e" cm="1">
        <f t="array" ref="B113">AND(ISTEXT('Consolidado-Eletronorte'!#REF!),SUM('Consolidado-Eletronorte'!#REF!)&gt;0)</f>
        <v>#REF!</v>
      </c>
      <c r="C113" s="186" t="str">
        <f t="shared" ca="1" si="9"/>
        <v>Capex Orcamentário_PE2026_2030_red_35_porcentoR3_consulta.xlsx</v>
      </c>
      <c r="D113" s="187" t="str">
        <f t="shared" si="10"/>
        <v>COO</v>
      </c>
      <c r="E113" s="187" t="str">
        <f t="shared" si="11"/>
        <v>Lucas Martins</v>
      </c>
      <c r="F113" s="188"/>
      <c r="G113" s="188" t="e">
        <f>_xlfn.CONCAT('Consolidado-Eletronorte'!#REF!,"_",ROW('Consolidado-Eletronorte'!#REF!)-ROW('Consolidado-Eletronorte'!$G$18))</f>
        <v>#REF!</v>
      </c>
      <c r="H113" s="279" t="s">
        <v>506</v>
      </c>
      <c r="I113" s="189" t="s">
        <v>507</v>
      </c>
      <c r="J113" s="190" t="s">
        <v>508</v>
      </c>
      <c r="K113" s="189" t="s">
        <v>1039</v>
      </c>
      <c r="L113" s="189" t="s">
        <v>1040</v>
      </c>
      <c r="M113" s="189" t="s">
        <v>577</v>
      </c>
      <c r="N113" s="189"/>
      <c r="O113" s="189"/>
      <c r="P113" s="189">
        <v>157189</v>
      </c>
      <c r="Q113" s="191" t="s">
        <v>303</v>
      </c>
      <c r="R113" s="191" t="s">
        <v>922</v>
      </c>
      <c r="S113" s="189" t="s">
        <v>276</v>
      </c>
      <c r="T113" s="229">
        <v>0</v>
      </c>
      <c r="U113" s="229">
        <v>0</v>
      </c>
      <c r="V113" s="229">
        <v>0</v>
      </c>
      <c r="W113" s="229">
        <v>0</v>
      </c>
      <c r="X113" s="229">
        <v>0</v>
      </c>
      <c r="Y113" s="229">
        <v>0</v>
      </c>
      <c r="Z113" s="229">
        <v>0</v>
      </c>
      <c r="AA113" s="229">
        <v>0</v>
      </c>
      <c r="AB113" s="229">
        <v>0</v>
      </c>
      <c r="AC113" s="229">
        <v>0</v>
      </c>
      <c r="AD113" s="229">
        <v>0</v>
      </c>
      <c r="AE113" s="229">
        <v>0</v>
      </c>
      <c r="AF113" s="229">
        <v>0</v>
      </c>
      <c r="AG113" s="229">
        <v>250000</v>
      </c>
      <c r="AH113" s="229">
        <v>250000</v>
      </c>
      <c r="AI113" s="229">
        <v>0</v>
      </c>
      <c r="AJ113" s="229">
        <v>0</v>
      </c>
      <c r="AK113" s="229">
        <v>500000</v>
      </c>
      <c r="AL113" s="229">
        <v>0</v>
      </c>
      <c r="AM113" s="229">
        <v>0</v>
      </c>
      <c r="AN113" s="229">
        <v>0</v>
      </c>
      <c r="AO113" s="229">
        <v>0</v>
      </c>
      <c r="AP113" s="229">
        <v>0</v>
      </c>
      <c r="AQ113" s="229">
        <v>500000</v>
      </c>
      <c r="AR113" s="2">
        <v>64</v>
      </c>
      <c r="AS113" s="2" t="s">
        <v>279</v>
      </c>
      <c r="AT113" s="2" t="s">
        <v>1601</v>
      </c>
      <c r="AU113" s="2" t="s">
        <v>923</v>
      </c>
      <c r="AV113" s="2">
        <v>0</v>
      </c>
      <c r="AW113" s="2" t="s">
        <v>1810</v>
      </c>
      <c r="AZ113" s="2" t="str">
        <f>_xlfn.XLOOKUP(Tabela98[[#This Row],[Descrição do projeto]],[3]Geração!$G:$G,[3]Geração!$F:$F,,0,1)</f>
        <v>Klenio Dias Timoteo</v>
      </c>
    </row>
    <row r="114" spans="1:52" ht="24.75" customHeight="1" x14ac:dyDescent="0.35">
      <c r="A114" s="184"/>
      <c r="B114" s="185" t="e" cm="1">
        <f t="array" ref="B114">AND(ISTEXT('Consolidado-Eletronorte'!#REF!),SUM('Consolidado-Eletronorte'!#REF!)&gt;0)</f>
        <v>#REF!</v>
      </c>
      <c r="C114" s="186" t="str">
        <f t="shared" ca="1" si="9"/>
        <v>Capex Orcamentário_PE2026_2030_red_35_porcentoR3_consulta.xlsx</v>
      </c>
      <c r="D114" s="187" t="str">
        <f t="shared" si="10"/>
        <v>COO</v>
      </c>
      <c r="E114" s="187" t="str">
        <f t="shared" si="11"/>
        <v>Lucas Martins</v>
      </c>
      <c r="F114" s="188"/>
      <c r="G114" s="188" t="e">
        <f>_xlfn.CONCAT('Consolidado-Eletronorte'!#REF!,"_",ROW('Consolidado-Eletronorte'!#REF!)-ROW('Consolidado-Eletronorte'!$G$18))</f>
        <v>#REF!</v>
      </c>
      <c r="H114" s="288" t="s">
        <v>506</v>
      </c>
      <c r="I114" s="189" t="s">
        <v>507</v>
      </c>
      <c r="J114" s="190" t="s">
        <v>508</v>
      </c>
      <c r="K114" s="189" t="s">
        <v>1039</v>
      </c>
      <c r="L114" s="189" t="s">
        <v>1799</v>
      </c>
      <c r="M114" s="189" t="s">
        <v>577</v>
      </c>
      <c r="N114" s="189"/>
      <c r="O114" s="189"/>
      <c r="P114" s="189">
        <v>157189</v>
      </c>
      <c r="Q114" s="191" t="s">
        <v>305</v>
      </c>
      <c r="R114" s="191" t="s">
        <v>927</v>
      </c>
      <c r="S114" s="189" t="s">
        <v>276</v>
      </c>
      <c r="T114" s="229">
        <v>0</v>
      </c>
      <c r="U114" s="229">
        <v>0</v>
      </c>
      <c r="V114" s="229">
        <v>0</v>
      </c>
      <c r="W114" s="229">
        <v>0</v>
      </c>
      <c r="X114" s="229">
        <v>0</v>
      </c>
      <c r="Y114" s="229">
        <v>0</v>
      </c>
      <c r="Z114" s="229">
        <v>0</v>
      </c>
      <c r="AA114" s="229">
        <v>0</v>
      </c>
      <c r="AB114" s="229">
        <v>0</v>
      </c>
      <c r="AC114" s="229">
        <v>0</v>
      </c>
      <c r="AD114" s="229">
        <v>0</v>
      </c>
      <c r="AE114" s="229">
        <v>0</v>
      </c>
      <c r="AF114" s="229">
        <v>0</v>
      </c>
      <c r="AG114" s="229">
        <v>250000</v>
      </c>
      <c r="AH114" s="229">
        <v>250000</v>
      </c>
      <c r="AI114" s="229">
        <v>0</v>
      </c>
      <c r="AJ114" s="229">
        <v>0</v>
      </c>
      <c r="AK114" s="229">
        <v>500000</v>
      </c>
      <c r="AL114" s="229">
        <v>0</v>
      </c>
      <c r="AM114" s="229">
        <v>0</v>
      </c>
      <c r="AN114" s="229">
        <v>0</v>
      </c>
      <c r="AO114" s="229">
        <v>0</v>
      </c>
      <c r="AP114" s="229">
        <v>0</v>
      </c>
      <c r="AQ114" s="229">
        <v>500000</v>
      </c>
      <c r="AR114" s="2">
        <v>5</v>
      </c>
      <c r="AS114" s="2" t="s">
        <v>279</v>
      </c>
      <c r="AT114" s="2" t="s">
        <v>1601</v>
      </c>
      <c r="AU114" s="2" t="s">
        <v>928</v>
      </c>
      <c r="AV114" s="2">
        <v>0</v>
      </c>
      <c r="AW114" s="2" t="s">
        <v>1810</v>
      </c>
      <c r="AZ114" s="2" t="str">
        <f>_xlfn.XLOOKUP(Tabela98[[#This Row],[Descrição do projeto]],[3]Geração!$G:$G,[3]Geração!$F:$F,,0,1)</f>
        <v>Klenio Dias Timoteo</v>
      </c>
    </row>
    <row r="115" spans="1:52" ht="24.75" customHeight="1" x14ac:dyDescent="0.35">
      <c r="A115" s="280"/>
      <c r="B115" s="185" t="e" cm="1">
        <f t="array" ref="B115">AND(ISTEXT('Consolidado-Eletronorte'!#REF!),SUM('Consolidado-Eletronorte'!#REF!)&gt;0)</f>
        <v>#REF!</v>
      </c>
      <c r="C115" s="281" t="str">
        <f t="shared" ca="1" si="9"/>
        <v>Capex Orcamentário_PE2026_2030_red_35_porcentoR3_consulta.xlsx</v>
      </c>
      <c r="D115" s="282" t="str">
        <f t="shared" si="10"/>
        <v>COO</v>
      </c>
      <c r="E115" s="282" t="str">
        <f t="shared" si="11"/>
        <v>Lucas Martins</v>
      </c>
      <c r="F115" s="283"/>
      <c r="G115" s="283" t="e">
        <f>_xlfn.CONCAT('Consolidado-Eletronorte'!#REF!,"_",ROW('Consolidado-Eletronorte'!#REF!)-ROW('Consolidado-Eletronorte'!$G$18))</f>
        <v>#REF!</v>
      </c>
      <c r="H115" s="284" t="s">
        <v>506</v>
      </c>
      <c r="I115" s="285" t="s">
        <v>507</v>
      </c>
      <c r="J115" s="286" t="s">
        <v>508</v>
      </c>
      <c r="K115" s="285" t="s">
        <v>1039</v>
      </c>
      <c r="L115" s="285" t="s">
        <v>1799</v>
      </c>
      <c r="M115" s="285" t="s">
        <v>577</v>
      </c>
      <c r="N115" s="285"/>
      <c r="O115" s="285"/>
      <c r="P115" s="285">
        <v>157189</v>
      </c>
      <c r="Q115" s="287" t="s">
        <v>285</v>
      </c>
      <c r="R115" s="287" t="s">
        <v>929</v>
      </c>
      <c r="S115" s="285" t="s">
        <v>276</v>
      </c>
      <c r="T115" s="229">
        <v>0</v>
      </c>
      <c r="U115" s="229">
        <v>0</v>
      </c>
      <c r="V115" s="229">
        <v>0</v>
      </c>
      <c r="W115" s="229">
        <v>0</v>
      </c>
      <c r="X115" s="229">
        <v>0</v>
      </c>
      <c r="Y115" s="229">
        <v>0</v>
      </c>
      <c r="Z115" s="229">
        <v>0</v>
      </c>
      <c r="AA115" s="229">
        <v>0</v>
      </c>
      <c r="AB115" s="229">
        <v>0</v>
      </c>
      <c r="AC115" s="229">
        <v>0</v>
      </c>
      <c r="AD115" s="229">
        <v>0</v>
      </c>
      <c r="AE115" s="229">
        <v>0</v>
      </c>
      <c r="AF115" s="229">
        <v>0</v>
      </c>
      <c r="AG115" s="229">
        <v>250000</v>
      </c>
      <c r="AH115" s="229">
        <v>250000</v>
      </c>
      <c r="AI115" s="229">
        <v>0</v>
      </c>
      <c r="AJ115" s="229">
        <v>0</v>
      </c>
      <c r="AK115" s="229">
        <v>500000</v>
      </c>
      <c r="AL115" s="229">
        <v>0</v>
      </c>
      <c r="AM115" s="229">
        <v>0</v>
      </c>
      <c r="AN115" s="229">
        <v>0</v>
      </c>
      <c r="AO115" s="229">
        <v>0</v>
      </c>
      <c r="AP115" s="229">
        <v>0</v>
      </c>
      <c r="AQ115" s="229">
        <v>500000</v>
      </c>
      <c r="AR115" s="2">
        <v>6</v>
      </c>
      <c r="AS115" s="2" t="s">
        <v>279</v>
      </c>
      <c r="AT115" s="2" t="s">
        <v>1601</v>
      </c>
      <c r="AU115" s="2" t="s">
        <v>930</v>
      </c>
      <c r="AV115" s="2">
        <v>0</v>
      </c>
      <c r="AW115" s="2" t="s">
        <v>1810</v>
      </c>
      <c r="AZ115" s="2" t="str">
        <f>_xlfn.XLOOKUP(Tabela98[[#This Row],[Descrição do projeto]],[3]Geração!$G:$G,[3]Geração!$F:$F,,0,1)</f>
        <v>Klenio Dias Timoteo</v>
      </c>
    </row>
    <row r="116" spans="1:52" ht="24.75" customHeight="1" x14ac:dyDescent="0.35">
      <c r="A116" s="184"/>
      <c r="B116" s="185" t="e" cm="1">
        <f t="array" ref="B116">AND(ISTEXT('Consolidado-Eletronorte'!#REF!),SUM('Consolidado-Eletronorte'!#REF!)&gt;0)</f>
        <v>#REF!</v>
      </c>
      <c r="C116" s="186" t="str">
        <f t="shared" ca="1" si="9"/>
        <v>Capex Orcamentário_PE2026_2030_red_35_porcentoR3_consulta.xlsx</v>
      </c>
      <c r="D116" s="187" t="str">
        <f t="shared" si="10"/>
        <v>COO</v>
      </c>
      <c r="E116" s="187" t="str">
        <f t="shared" si="11"/>
        <v>Lucas Martins</v>
      </c>
      <c r="F116" s="188"/>
      <c r="G116" s="188" t="e">
        <f>_xlfn.CONCAT('Consolidado-Eletronorte'!#REF!,"_",ROW('Consolidado-Eletronorte'!#REF!)-ROW('Consolidado-Eletronorte'!$G$18))</f>
        <v>#REF!</v>
      </c>
      <c r="H116" s="279" t="s">
        <v>506</v>
      </c>
      <c r="I116" s="189" t="s">
        <v>507</v>
      </c>
      <c r="J116" s="190" t="s">
        <v>508</v>
      </c>
      <c r="K116" s="189" t="s">
        <v>1039</v>
      </c>
      <c r="L116" s="189" t="s">
        <v>1040</v>
      </c>
      <c r="M116" s="189" t="s">
        <v>577</v>
      </c>
      <c r="N116" s="189"/>
      <c r="O116" s="189"/>
      <c r="P116" s="189" t="s">
        <v>587</v>
      </c>
      <c r="Q116" s="191" t="s">
        <v>201</v>
      </c>
      <c r="R116" s="191" t="s">
        <v>865</v>
      </c>
      <c r="S116" s="189" t="s">
        <v>154</v>
      </c>
      <c r="T116" s="229">
        <v>0</v>
      </c>
      <c r="U116" s="229">
        <v>0</v>
      </c>
      <c r="V116" s="229">
        <v>0</v>
      </c>
      <c r="W116" s="229">
        <v>0</v>
      </c>
      <c r="X116" s="229">
        <v>0</v>
      </c>
      <c r="Y116" s="229">
        <v>0</v>
      </c>
      <c r="Z116" s="229">
        <v>0</v>
      </c>
      <c r="AA116" s="229">
        <v>0</v>
      </c>
      <c r="AB116" s="229">
        <v>0</v>
      </c>
      <c r="AC116" s="229">
        <v>0</v>
      </c>
      <c r="AD116" s="229">
        <v>0</v>
      </c>
      <c r="AE116" s="229">
        <v>0</v>
      </c>
      <c r="AF116" s="229">
        <v>0</v>
      </c>
      <c r="AG116" s="229">
        <v>250000</v>
      </c>
      <c r="AH116" s="229">
        <v>250000</v>
      </c>
      <c r="AI116" s="229">
        <v>0</v>
      </c>
      <c r="AJ116" s="229">
        <v>0</v>
      </c>
      <c r="AK116" s="229">
        <v>500000</v>
      </c>
      <c r="AL116" s="229">
        <v>0</v>
      </c>
      <c r="AM116" s="229">
        <v>0</v>
      </c>
      <c r="AN116" s="229">
        <v>0</v>
      </c>
      <c r="AO116" s="229">
        <v>0</v>
      </c>
      <c r="AP116" s="229">
        <v>0</v>
      </c>
      <c r="AQ116" s="229">
        <v>500000</v>
      </c>
      <c r="AR116" s="2">
        <v>78</v>
      </c>
      <c r="AS116" s="2" t="s">
        <v>159</v>
      </c>
      <c r="AT116" s="2" t="s">
        <v>1601</v>
      </c>
      <c r="AU116" s="2" t="s">
        <v>866</v>
      </c>
      <c r="AV116" s="2">
        <v>0</v>
      </c>
      <c r="AW116" s="2" t="s">
        <v>1810</v>
      </c>
      <c r="AZ116" s="2" t="str">
        <f>_xlfn.XLOOKUP(Tabela98[[#This Row],[Descrição do projeto]],[3]Geração!$G:$G,[3]Geração!$F:$F,,0,1)</f>
        <v>Frederico Rodolfo Parente Doerner</v>
      </c>
    </row>
    <row r="117" spans="1:52" ht="24.75" customHeight="1" x14ac:dyDescent="0.35">
      <c r="A117" s="184"/>
      <c r="B117" s="185" t="e" cm="1">
        <f t="array" ref="B117">AND(ISTEXT('Consolidado-Eletronorte'!#REF!),SUM('Consolidado-Eletronorte'!#REF!)&gt;0)</f>
        <v>#REF!</v>
      </c>
      <c r="C117" s="186" t="str">
        <f t="shared" ca="1" si="9"/>
        <v>Capex Orcamentário_PE2026_2030_red_35_porcentoR3_consulta.xlsx</v>
      </c>
      <c r="D117" s="187" t="str">
        <f t="shared" si="10"/>
        <v>COO</v>
      </c>
      <c r="E117" s="187" t="str">
        <f t="shared" si="11"/>
        <v>Lucas Martins</v>
      </c>
      <c r="F117" s="188"/>
      <c r="G117" s="188" t="e">
        <f>_xlfn.CONCAT('Consolidado-Eletronorte'!#REF!,"_",ROW('Consolidado-Eletronorte'!#REF!)-ROW('Consolidado-Eletronorte'!$G$18))</f>
        <v>#REF!</v>
      </c>
      <c r="H117" s="279" t="s">
        <v>506</v>
      </c>
      <c r="I117" s="189" t="s">
        <v>507</v>
      </c>
      <c r="J117" s="190" t="s">
        <v>508</v>
      </c>
      <c r="K117" s="189" t="s">
        <v>1039</v>
      </c>
      <c r="L117" s="189" t="s">
        <v>1040</v>
      </c>
      <c r="M117" s="189" t="s">
        <v>577</v>
      </c>
      <c r="N117" s="189"/>
      <c r="O117" s="189"/>
      <c r="P117" s="189" t="s">
        <v>587</v>
      </c>
      <c r="Q117" s="191" t="s">
        <v>189</v>
      </c>
      <c r="R117" s="191" t="s">
        <v>867</v>
      </c>
      <c r="S117" s="189" t="s">
        <v>154</v>
      </c>
      <c r="T117" s="229">
        <v>0</v>
      </c>
      <c r="U117" s="229">
        <v>0</v>
      </c>
      <c r="V117" s="229">
        <v>0</v>
      </c>
      <c r="W117" s="229">
        <v>0</v>
      </c>
      <c r="X117" s="229">
        <v>0</v>
      </c>
      <c r="Y117" s="229">
        <v>0</v>
      </c>
      <c r="Z117" s="229">
        <v>0</v>
      </c>
      <c r="AA117" s="229">
        <v>0</v>
      </c>
      <c r="AB117" s="229">
        <v>0</v>
      </c>
      <c r="AC117" s="229">
        <v>0</v>
      </c>
      <c r="AD117" s="229">
        <v>0</v>
      </c>
      <c r="AE117" s="229">
        <v>0</v>
      </c>
      <c r="AF117" s="229">
        <v>0</v>
      </c>
      <c r="AG117" s="229">
        <v>250000</v>
      </c>
      <c r="AH117" s="229">
        <v>250000</v>
      </c>
      <c r="AI117" s="229">
        <v>0</v>
      </c>
      <c r="AJ117" s="229">
        <v>0</v>
      </c>
      <c r="AK117" s="229">
        <v>500000</v>
      </c>
      <c r="AL117" s="229">
        <v>0</v>
      </c>
      <c r="AM117" s="229">
        <v>0</v>
      </c>
      <c r="AN117" s="229">
        <v>0</v>
      </c>
      <c r="AO117" s="229">
        <v>0</v>
      </c>
      <c r="AP117" s="229">
        <v>0</v>
      </c>
      <c r="AQ117" s="229">
        <v>500000</v>
      </c>
      <c r="AR117" s="2">
        <v>80</v>
      </c>
      <c r="AS117" s="2" t="s">
        <v>159</v>
      </c>
      <c r="AT117" s="2" t="s">
        <v>1601</v>
      </c>
      <c r="AU117" s="2" t="s">
        <v>868</v>
      </c>
      <c r="AV117" s="2">
        <v>0</v>
      </c>
      <c r="AW117" s="2" t="s">
        <v>1810</v>
      </c>
      <c r="AZ117" s="2" t="str">
        <f>_xlfn.XLOOKUP(Tabela98[[#This Row],[Descrição do projeto]],[3]Geração!$G:$G,[3]Geração!$F:$F,,0,1)</f>
        <v>Frederico Rodolfo Parente Doerner</v>
      </c>
    </row>
    <row r="118" spans="1:52" ht="24.75" customHeight="1" x14ac:dyDescent="0.35">
      <c r="A118" s="184"/>
      <c r="B118" s="185" t="e" cm="1">
        <f t="array" ref="B118">AND(ISTEXT('Consolidado-Eletronorte'!#REF!),SUM('Consolidado-Eletronorte'!#REF!)&gt;0)</f>
        <v>#REF!</v>
      </c>
      <c r="C118" s="186" t="str">
        <f t="shared" ca="1" si="9"/>
        <v>Capex Orcamentário_PE2026_2030_red_35_porcentoR3_consulta.xlsx</v>
      </c>
      <c r="D118" s="187" t="str">
        <f t="shared" si="10"/>
        <v>COO</v>
      </c>
      <c r="E118" s="187" t="str">
        <f t="shared" si="11"/>
        <v>Lucas Martins</v>
      </c>
      <c r="F118" s="188"/>
      <c r="G118" s="188" t="e">
        <f>_xlfn.CONCAT('Consolidado-Eletronorte'!#REF!,"_",ROW('Consolidado-Eletronorte'!#REF!)-ROW('Consolidado-Eletronorte'!$G$18))</f>
        <v>#REF!</v>
      </c>
      <c r="H118" s="279" t="s">
        <v>506</v>
      </c>
      <c r="I118" s="189" t="s">
        <v>507</v>
      </c>
      <c r="J118" s="190" t="s">
        <v>508</v>
      </c>
      <c r="K118" s="189" t="s">
        <v>1039</v>
      </c>
      <c r="L118" s="189" t="s">
        <v>1040</v>
      </c>
      <c r="M118" s="189" t="s">
        <v>577</v>
      </c>
      <c r="N118" s="189"/>
      <c r="O118" s="189"/>
      <c r="P118" s="189" t="s">
        <v>587</v>
      </c>
      <c r="Q118" s="191" t="s">
        <v>187</v>
      </c>
      <c r="R118" s="191" t="s">
        <v>869</v>
      </c>
      <c r="S118" s="189" t="s">
        <v>154</v>
      </c>
      <c r="T118" s="229">
        <v>0</v>
      </c>
      <c r="U118" s="229">
        <v>0</v>
      </c>
      <c r="V118" s="229">
        <v>0</v>
      </c>
      <c r="W118" s="229">
        <v>0</v>
      </c>
      <c r="X118" s="229">
        <v>0</v>
      </c>
      <c r="Y118" s="229">
        <v>0</v>
      </c>
      <c r="Z118" s="229">
        <v>0</v>
      </c>
      <c r="AA118" s="229">
        <v>0</v>
      </c>
      <c r="AB118" s="229">
        <v>0</v>
      </c>
      <c r="AC118" s="229">
        <v>0</v>
      </c>
      <c r="AD118" s="229">
        <v>0</v>
      </c>
      <c r="AE118" s="229">
        <v>0</v>
      </c>
      <c r="AF118" s="229">
        <v>0</v>
      </c>
      <c r="AG118" s="229">
        <v>250000</v>
      </c>
      <c r="AH118" s="229">
        <v>250000</v>
      </c>
      <c r="AI118" s="229">
        <v>0</v>
      </c>
      <c r="AJ118" s="229">
        <v>0</v>
      </c>
      <c r="AK118" s="229">
        <v>500000</v>
      </c>
      <c r="AL118" s="229">
        <v>0</v>
      </c>
      <c r="AM118" s="229">
        <v>0</v>
      </c>
      <c r="AN118" s="229">
        <v>0</v>
      </c>
      <c r="AO118" s="229">
        <v>0</v>
      </c>
      <c r="AP118" s="229">
        <v>0</v>
      </c>
      <c r="AQ118" s="229">
        <v>500000</v>
      </c>
      <c r="AR118" s="2">
        <v>81</v>
      </c>
      <c r="AS118" s="2" t="s">
        <v>159</v>
      </c>
      <c r="AT118" s="2" t="s">
        <v>1601</v>
      </c>
      <c r="AU118" s="2" t="s">
        <v>870</v>
      </c>
      <c r="AV118" s="2">
        <v>0</v>
      </c>
      <c r="AW118" s="2" t="s">
        <v>1810</v>
      </c>
      <c r="AZ118" s="2" t="str">
        <f>_xlfn.XLOOKUP(Tabela98[[#This Row],[Descrição do projeto]],[3]Geração!$G:$G,[3]Geração!$F:$F,,0,1)</f>
        <v>Frederico Rodolfo Parente Doerner</v>
      </c>
    </row>
    <row r="119" spans="1:52" ht="24.75" customHeight="1" x14ac:dyDescent="0.35">
      <c r="A119" s="184"/>
      <c r="B119" s="185" t="e" cm="1">
        <f t="array" ref="B119">AND(ISTEXT('Consolidado-Eletronorte'!#REF!),SUM('Consolidado-Eletronorte'!#REF!)&gt;0)</f>
        <v>#REF!</v>
      </c>
      <c r="C119" s="186" t="str">
        <f t="shared" ca="1" si="9"/>
        <v>Capex Orcamentário_PE2026_2030_red_35_porcentoR3_consulta.xlsx</v>
      </c>
      <c r="D119" s="187" t="str">
        <f t="shared" si="10"/>
        <v>COO</v>
      </c>
      <c r="E119" s="187" t="str">
        <f t="shared" si="11"/>
        <v>Lucas Martins</v>
      </c>
      <c r="F119" s="188"/>
      <c r="G119" s="188" t="e">
        <f>_xlfn.CONCAT('Consolidado-Eletronorte'!#REF!,"_",ROW('Consolidado-Eletronorte'!#REF!)-ROW('Consolidado-Eletronorte'!$G$18))</f>
        <v>#REF!</v>
      </c>
      <c r="H119" s="279" t="s">
        <v>506</v>
      </c>
      <c r="I119" s="189" t="s">
        <v>507</v>
      </c>
      <c r="J119" s="190" t="s">
        <v>508</v>
      </c>
      <c r="K119" s="189" t="s">
        <v>1039</v>
      </c>
      <c r="L119" s="189" t="s">
        <v>1040</v>
      </c>
      <c r="M119" s="189" t="s">
        <v>577</v>
      </c>
      <c r="N119" s="189"/>
      <c r="O119" s="189"/>
      <c r="P119" s="189" t="s">
        <v>587</v>
      </c>
      <c r="Q119" s="191" t="s">
        <v>199</v>
      </c>
      <c r="R119" s="191" t="s">
        <v>871</v>
      </c>
      <c r="S119" s="189" t="s">
        <v>154</v>
      </c>
      <c r="T119" s="229">
        <v>0</v>
      </c>
      <c r="U119" s="229">
        <v>0</v>
      </c>
      <c r="V119" s="229">
        <v>0</v>
      </c>
      <c r="W119" s="229">
        <v>0</v>
      </c>
      <c r="X119" s="229">
        <v>0</v>
      </c>
      <c r="Y119" s="229">
        <v>0</v>
      </c>
      <c r="Z119" s="229">
        <v>0</v>
      </c>
      <c r="AA119" s="229">
        <v>0</v>
      </c>
      <c r="AB119" s="229">
        <v>0</v>
      </c>
      <c r="AC119" s="229">
        <v>0</v>
      </c>
      <c r="AD119" s="229">
        <v>0</v>
      </c>
      <c r="AE119" s="229">
        <v>0</v>
      </c>
      <c r="AF119" s="229">
        <v>0</v>
      </c>
      <c r="AG119" s="229">
        <v>250000</v>
      </c>
      <c r="AH119" s="229">
        <v>250000</v>
      </c>
      <c r="AI119" s="229">
        <v>0</v>
      </c>
      <c r="AJ119" s="229">
        <v>0</v>
      </c>
      <c r="AK119" s="229">
        <v>500000</v>
      </c>
      <c r="AL119" s="229">
        <v>0</v>
      </c>
      <c r="AM119" s="229">
        <v>0</v>
      </c>
      <c r="AN119" s="229">
        <v>0</v>
      </c>
      <c r="AO119" s="229">
        <v>0</v>
      </c>
      <c r="AP119" s="229">
        <v>0</v>
      </c>
      <c r="AQ119" s="229">
        <v>500000</v>
      </c>
      <c r="AR119" s="2">
        <v>82</v>
      </c>
      <c r="AS119" s="2" t="s">
        <v>159</v>
      </c>
      <c r="AT119" s="2" t="s">
        <v>1601</v>
      </c>
      <c r="AU119" s="2" t="s">
        <v>872</v>
      </c>
      <c r="AV119" s="2">
        <v>0</v>
      </c>
      <c r="AW119" s="2" t="s">
        <v>1810</v>
      </c>
      <c r="AZ119" s="2" t="str">
        <f>_xlfn.XLOOKUP(Tabela98[[#This Row],[Descrição do projeto]],[3]Geração!$G:$G,[3]Geração!$F:$F,,0,1)</f>
        <v>Frederico Rodolfo Parente Doerner</v>
      </c>
    </row>
    <row r="120" spans="1:52" ht="24.75" customHeight="1" x14ac:dyDescent="0.35">
      <c r="A120" s="184"/>
      <c r="B120" s="185" t="e" cm="1">
        <f t="array" ref="B120">AND(ISTEXT('Consolidado-Eletronorte'!#REF!),SUM('Consolidado-Eletronorte'!#REF!)&gt;0)</f>
        <v>#REF!</v>
      </c>
      <c r="C120" s="186" t="str">
        <f t="shared" ca="1" si="9"/>
        <v>Capex Orcamentário_PE2026_2030_red_35_porcentoR3_consulta.xlsx</v>
      </c>
      <c r="D120" s="187" t="str">
        <f t="shared" si="10"/>
        <v>COO</v>
      </c>
      <c r="E120" s="187" t="str">
        <f t="shared" si="11"/>
        <v>Lucas Martins</v>
      </c>
      <c r="F120" s="188"/>
      <c r="G120" s="188" t="e">
        <f>_xlfn.CONCAT('Consolidado-Eletronorte'!#REF!,"_",ROW('Consolidado-Eletronorte'!#REF!)-ROW('Consolidado-Eletronorte'!$G$18))</f>
        <v>#REF!</v>
      </c>
      <c r="H120" s="279" t="s">
        <v>506</v>
      </c>
      <c r="I120" s="189" t="s">
        <v>507</v>
      </c>
      <c r="J120" s="190" t="s">
        <v>508</v>
      </c>
      <c r="K120" s="189" t="s">
        <v>1039</v>
      </c>
      <c r="L120" s="189" t="s">
        <v>1040</v>
      </c>
      <c r="M120" s="189" t="s">
        <v>577</v>
      </c>
      <c r="N120" s="189"/>
      <c r="O120" s="189"/>
      <c r="P120" s="189" t="s">
        <v>587</v>
      </c>
      <c r="Q120" s="191" t="s">
        <v>197</v>
      </c>
      <c r="R120" s="191" t="s">
        <v>873</v>
      </c>
      <c r="S120" s="189" t="s">
        <v>154</v>
      </c>
      <c r="T120" s="229">
        <v>0</v>
      </c>
      <c r="U120" s="229">
        <v>0</v>
      </c>
      <c r="V120" s="229">
        <v>0</v>
      </c>
      <c r="W120" s="229">
        <v>0</v>
      </c>
      <c r="X120" s="229">
        <v>0</v>
      </c>
      <c r="Y120" s="229">
        <v>0</v>
      </c>
      <c r="Z120" s="229">
        <v>0</v>
      </c>
      <c r="AA120" s="229">
        <v>0</v>
      </c>
      <c r="AB120" s="229">
        <v>0</v>
      </c>
      <c r="AC120" s="229">
        <v>0</v>
      </c>
      <c r="AD120" s="229">
        <v>0</v>
      </c>
      <c r="AE120" s="229">
        <v>0</v>
      </c>
      <c r="AF120" s="229">
        <v>0</v>
      </c>
      <c r="AG120" s="229">
        <v>250000</v>
      </c>
      <c r="AH120" s="229">
        <v>250000</v>
      </c>
      <c r="AI120" s="229">
        <v>0</v>
      </c>
      <c r="AJ120" s="229">
        <v>0</v>
      </c>
      <c r="AK120" s="229">
        <v>500000</v>
      </c>
      <c r="AL120" s="229">
        <v>0</v>
      </c>
      <c r="AM120" s="229">
        <v>0</v>
      </c>
      <c r="AN120" s="229">
        <v>0</v>
      </c>
      <c r="AO120" s="229">
        <v>0</v>
      </c>
      <c r="AP120" s="229">
        <v>0</v>
      </c>
      <c r="AQ120" s="229">
        <v>500000</v>
      </c>
      <c r="AR120" s="2">
        <v>83</v>
      </c>
      <c r="AS120" s="2" t="s">
        <v>159</v>
      </c>
      <c r="AT120" s="2" t="s">
        <v>1601</v>
      </c>
      <c r="AU120" s="2" t="s">
        <v>874</v>
      </c>
      <c r="AV120" s="2">
        <v>0</v>
      </c>
      <c r="AW120" s="2" t="s">
        <v>1810</v>
      </c>
      <c r="AZ120" s="2" t="str">
        <f>_xlfn.XLOOKUP(Tabela98[[#This Row],[Descrição do projeto]],[3]Geração!$G:$G,[3]Geração!$F:$F,,0,1)</f>
        <v>Frederico Rodolfo Parente Doerner</v>
      </c>
    </row>
    <row r="121" spans="1:52" ht="24.75" customHeight="1" x14ac:dyDescent="0.35">
      <c r="A121" s="184"/>
      <c r="B121" s="185" t="e" cm="1">
        <f t="array" ref="B121">AND(ISTEXT('Consolidado-Eletronorte'!#REF!),SUM('Consolidado-Eletronorte'!#REF!)&gt;0)</f>
        <v>#REF!</v>
      </c>
      <c r="C121" s="186" t="str">
        <f t="shared" ca="1" si="9"/>
        <v>Capex Orcamentário_PE2026_2030_red_35_porcentoR3_consulta.xlsx</v>
      </c>
      <c r="D121" s="187" t="str">
        <f t="shared" si="10"/>
        <v>COO</v>
      </c>
      <c r="E121" s="187" t="str">
        <f t="shared" si="11"/>
        <v>Lucas Martins</v>
      </c>
      <c r="F121" s="188"/>
      <c r="G121" s="188" t="e">
        <f>_xlfn.CONCAT('Consolidado-Eletronorte'!#REF!,"_",ROW('Consolidado-Eletronorte'!#REF!)-ROW('Consolidado-Eletronorte'!$G$18))</f>
        <v>#REF!</v>
      </c>
      <c r="H121" s="279" t="s">
        <v>506</v>
      </c>
      <c r="I121" s="189" t="s">
        <v>507</v>
      </c>
      <c r="J121" s="190" t="s">
        <v>508</v>
      </c>
      <c r="K121" s="189" t="s">
        <v>1039</v>
      </c>
      <c r="L121" s="189" t="s">
        <v>1040</v>
      </c>
      <c r="M121" s="189" t="s">
        <v>577</v>
      </c>
      <c r="N121" s="189"/>
      <c r="O121" s="189"/>
      <c r="P121" s="189" t="s">
        <v>587</v>
      </c>
      <c r="Q121" s="191" t="s">
        <v>195</v>
      </c>
      <c r="R121" s="191" t="s">
        <v>875</v>
      </c>
      <c r="S121" s="189" t="s">
        <v>154</v>
      </c>
      <c r="T121" s="229">
        <v>0</v>
      </c>
      <c r="U121" s="229">
        <v>0</v>
      </c>
      <c r="V121" s="229">
        <v>0</v>
      </c>
      <c r="W121" s="229">
        <v>0</v>
      </c>
      <c r="X121" s="229">
        <v>0</v>
      </c>
      <c r="Y121" s="229">
        <v>0</v>
      </c>
      <c r="Z121" s="229">
        <v>0</v>
      </c>
      <c r="AA121" s="229">
        <v>0</v>
      </c>
      <c r="AB121" s="229">
        <v>0</v>
      </c>
      <c r="AC121" s="229">
        <v>0</v>
      </c>
      <c r="AD121" s="229">
        <v>0</v>
      </c>
      <c r="AE121" s="229">
        <v>0</v>
      </c>
      <c r="AF121" s="229">
        <v>0</v>
      </c>
      <c r="AG121" s="229">
        <v>250000</v>
      </c>
      <c r="AH121" s="229">
        <v>250000</v>
      </c>
      <c r="AI121" s="229">
        <v>0</v>
      </c>
      <c r="AJ121" s="229">
        <v>0</v>
      </c>
      <c r="AK121" s="229">
        <v>500000</v>
      </c>
      <c r="AL121" s="229">
        <v>0</v>
      </c>
      <c r="AM121" s="229">
        <v>0</v>
      </c>
      <c r="AN121" s="229">
        <v>0</v>
      </c>
      <c r="AO121" s="229">
        <v>0</v>
      </c>
      <c r="AP121" s="229">
        <v>0</v>
      </c>
      <c r="AQ121" s="229">
        <v>500000</v>
      </c>
      <c r="AR121" s="2">
        <v>84</v>
      </c>
      <c r="AS121" s="2" t="s">
        <v>159</v>
      </c>
      <c r="AT121" s="2" t="s">
        <v>1601</v>
      </c>
      <c r="AU121" s="2" t="s">
        <v>876</v>
      </c>
      <c r="AV121" s="2">
        <v>0</v>
      </c>
      <c r="AW121" s="2" t="s">
        <v>1810</v>
      </c>
      <c r="AZ121" s="2" t="str">
        <f>_xlfn.XLOOKUP(Tabela98[[#This Row],[Descrição do projeto]],[3]Geração!$G:$G,[3]Geração!$F:$F,,0,1)</f>
        <v>Frederico Rodolfo Parente Doerner</v>
      </c>
    </row>
    <row r="122" spans="1:52" ht="24.75" customHeight="1" x14ac:dyDescent="0.35">
      <c r="A122" s="184"/>
      <c r="B122" s="185" t="e" cm="1">
        <f t="array" ref="B122">AND(ISTEXT('Consolidado-Eletronorte'!#REF!),SUM('Consolidado-Eletronorte'!#REF!)&gt;0)</f>
        <v>#REF!</v>
      </c>
      <c r="C122" s="186" t="str">
        <f t="shared" ca="1" si="9"/>
        <v>Capex Orcamentário_PE2026_2030_red_35_porcentoR3_consulta.xlsx</v>
      </c>
      <c r="D122" s="187" t="str">
        <f t="shared" si="10"/>
        <v>COO</v>
      </c>
      <c r="E122" s="187" t="str">
        <f t="shared" si="11"/>
        <v>Lucas Martins</v>
      </c>
      <c r="F122" s="188"/>
      <c r="G122" s="188" t="e">
        <f>_xlfn.CONCAT('Consolidado-Eletronorte'!#REF!,"_",ROW('Consolidado-Eletronorte'!#REF!)-ROW('Consolidado-Eletronorte'!$G$18))</f>
        <v>#REF!</v>
      </c>
      <c r="H122" s="279" t="s">
        <v>506</v>
      </c>
      <c r="I122" s="189" t="s">
        <v>507</v>
      </c>
      <c r="J122" s="190" t="s">
        <v>508</v>
      </c>
      <c r="K122" s="189" t="s">
        <v>1039</v>
      </c>
      <c r="L122" s="189" t="s">
        <v>1040</v>
      </c>
      <c r="M122" s="189" t="s">
        <v>577</v>
      </c>
      <c r="N122" s="189"/>
      <c r="O122" s="189"/>
      <c r="P122" s="189" t="s">
        <v>587</v>
      </c>
      <c r="Q122" s="191" t="s">
        <v>193</v>
      </c>
      <c r="R122" s="191" t="s">
        <v>877</v>
      </c>
      <c r="S122" s="189" t="s">
        <v>154</v>
      </c>
      <c r="T122" s="229">
        <v>0</v>
      </c>
      <c r="U122" s="229">
        <v>0</v>
      </c>
      <c r="V122" s="229">
        <v>0</v>
      </c>
      <c r="W122" s="229">
        <v>0</v>
      </c>
      <c r="X122" s="229">
        <v>0</v>
      </c>
      <c r="Y122" s="229">
        <v>0</v>
      </c>
      <c r="Z122" s="229">
        <v>0</v>
      </c>
      <c r="AA122" s="229">
        <v>0</v>
      </c>
      <c r="AB122" s="229">
        <v>0</v>
      </c>
      <c r="AC122" s="229">
        <v>0</v>
      </c>
      <c r="AD122" s="229">
        <v>0</v>
      </c>
      <c r="AE122" s="229">
        <v>0</v>
      </c>
      <c r="AF122" s="229">
        <v>0</v>
      </c>
      <c r="AG122" s="229">
        <v>250000</v>
      </c>
      <c r="AH122" s="229">
        <v>250000</v>
      </c>
      <c r="AI122" s="229">
        <v>0</v>
      </c>
      <c r="AJ122" s="229">
        <v>0</v>
      </c>
      <c r="AK122" s="229">
        <v>500000</v>
      </c>
      <c r="AL122" s="229">
        <v>0</v>
      </c>
      <c r="AM122" s="229">
        <v>0</v>
      </c>
      <c r="AN122" s="229">
        <v>0</v>
      </c>
      <c r="AO122" s="229">
        <v>0</v>
      </c>
      <c r="AP122" s="229">
        <v>0</v>
      </c>
      <c r="AQ122" s="229">
        <v>500000</v>
      </c>
      <c r="AR122" s="2">
        <v>85</v>
      </c>
      <c r="AS122" s="2" t="s">
        <v>159</v>
      </c>
      <c r="AT122" s="2" t="s">
        <v>1601</v>
      </c>
      <c r="AU122" s="2" t="s">
        <v>878</v>
      </c>
      <c r="AV122" s="2">
        <v>0</v>
      </c>
      <c r="AW122" s="2" t="s">
        <v>1810</v>
      </c>
      <c r="AZ122" s="2" t="str">
        <f>_xlfn.XLOOKUP(Tabela98[[#This Row],[Descrição do projeto]],[3]Geração!$G:$G,[3]Geração!$F:$F,,0,1)</f>
        <v>Frederico Rodolfo Parente Doerner</v>
      </c>
    </row>
    <row r="123" spans="1:52" ht="24.75" customHeight="1" x14ac:dyDescent="0.35">
      <c r="A123" s="184"/>
      <c r="B123" s="185" t="e" cm="1">
        <f t="array" ref="B123">AND(ISTEXT('Consolidado-Eletronorte'!#REF!),SUM('Consolidado-Eletronorte'!#REF!)&gt;0)</f>
        <v>#REF!</v>
      </c>
      <c r="C123" s="186" t="str">
        <f t="shared" ca="1" si="9"/>
        <v>Capex Orcamentário_PE2026_2030_red_35_porcentoR3_consulta.xlsx</v>
      </c>
      <c r="D123" s="187" t="str">
        <f t="shared" si="10"/>
        <v>COO</v>
      </c>
      <c r="E123" s="187" t="str">
        <f t="shared" si="11"/>
        <v>Lucas Martins</v>
      </c>
      <c r="F123" s="188"/>
      <c r="G123" s="188" t="e">
        <f>_xlfn.CONCAT('Consolidado-Eletronorte'!#REF!,"_",ROW('Consolidado-Eletronorte'!#REF!)-ROW('Consolidado-Eletronorte'!$G$18))</f>
        <v>#REF!</v>
      </c>
      <c r="H123" s="279" t="s">
        <v>506</v>
      </c>
      <c r="I123" s="189" t="s">
        <v>507</v>
      </c>
      <c r="J123" s="190" t="s">
        <v>508</v>
      </c>
      <c r="K123" s="189" t="s">
        <v>1039</v>
      </c>
      <c r="L123" s="189" t="s">
        <v>1040</v>
      </c>
      <c r="M123" s="189" t="s">
        <v>577</v>
      </c>
      <c r="N123" s="189"/>
      <c r="O123" s="189"/>
      <c r="P123" s="189" t="s">
        <v>587</v>
      </c>
      <c r="Q123" s="191" t="s">
        <v>191</v>
      </c>
      <c r="R123" s="191" t="s">
        <v>879</v>
      </c>
      <c r="S123" s="189" t="s">
        <v>154</v>
      </c>
      <c r="T123" s="229">
        <v>0</v>
      </c>
      <c r="U123" s="229">
        <v>0</v>
      </c>
      <c r="V123" s="229">
        <v>0</v>
      </c>
      <c r="W123" s="229">
        <v>0</v>
      </c>
      <c r="X123" s="229">
        <v>0</v>
      </c>
      <c r="Y123" s="229">
        <v>0</v>
      </c>
      <c r="Z123" s="229">
        <v>0</v>
      </c>
      <c r="AA123" s="229">
        <v>0</v>
      </c>
      <c r="AB123" s="229">
        <v>0</v>
      </c>
      <c r="AC123" s="229">
        <v>0</v>
      </c>
      <c r="AD123" s="229">
        <v>0</v>
      </c>
      <c r="AE123" s="229">
        <v>0</v>
      </c>
      <c r="AF123" s="229">
        <v>0</v>
      </c>
      <c r="AG123" s="229">
        <v>250000</v>
      </c>
      <c r="AH123" s="229">
        <v>250000</v>
      </c>
      <c r="AI123" s="229">
        <v>0</v>
      </c>
      <c r="AJ123" s="229">
        <v>0</v>
      </c>
      <c r="AK123" s="229">
        <v>500000</v>
      </c>
      <c r="AL123" s="229">
        <v>0</v>
      </c>
      <c r="AM123" s="229">
        <v>0</v>
      </c>
      <c r="AN123" s="229">
        <v>0</v>
      </c>
      <c r="AO123" s="229">
        <v>0</v>
      </c>
      <c r="AP123" s="229">
        <v>0</v>
      </c>
      <c r="AQ123" s="229">
        <v>500000</v>
      </c>
      <c r="AR123" s="2">
        <v>86</v>
      </c>
      <c r="AS123" s="2" t="s">
        <v>159</v>
      </c>
      <c r="AT123" s="2" t="s">
        <v>1601</v>
      </c>
      <c r="AU123" s="2" t="s">
        <v>880</v>
      </c>
      <c r="AV123" s="2">
        <v>0</v>
      </c>
      <c r="AW123" s="2" t="s">
        <v>1810</v>
      </c>
      <c r="AZ123" s="2" t="str">
        <f>_xlfn.XLOOKUP(Tabela98[[#This Row],[Descrição do projeto]],[3]Geração!$G:$G,[3]Geração!$F:$F,,0,1)</f>
        <v>Frederico Rodolfo Parente Doerner</v>
      </c>
    </row>
    <row r="124" spans="1:52" ht="24.75" customHeight="1" x14ac:dyDescent="0.35">
      <c r="A124" s="184"/>
      <c r="B124" s="185" t="e" cm="1">
        <f t="array" ref="B124">AND(ISTEXT('Consolidado-Eletronorte'!#REF!),SUM('Consolidado-Eletronorte'!#REF!)&gt;0)</f>
        <v>#REF!</v>
      </c>
      <c r="C124" s="186" t="str">
        <f t="shared" ca="1" si="9"/>
        <v>Capex Orcamentário_PE2026_2030_red_35_porcentoR3_consulta.xlsx</v>
      </c>
      <c r="D124" s="187" t="str">
        <f t="shared" si="10"/>
        <v>COO</v>
      </c>
      <c r="E124" s="187" t="str">
        <f t="shared" si="11"/>
        <v>Lucas Martins</v>
      </c>
      <c r="F124" s="188"/>
      <c r="G124" s="188" t="e">
        <f>_xlfn.CONCAT('Consolidado-Eletronorte'!#REF!,"_",ROW('Consolidado-Eletronorte'!#REF!)-ROW('Consolidado-Eletronorte'!$G$18))</f>
        <v>#REF!</v>
      </c>
      <c r="H124" s="288" t="s">
        <v>506</v>
      </c>
      <c r="I124" s="189" t="s">
        <v>507</v>
      </c>
      <c r="J124" s="190" t="s">
        <v>508</v>
      </c>
      <c r="K124" s="189" t="s">
        <v>1039</v>
      </c>
      <c r="L124" s="189" t="s">
        <v>1799</v>
      </c>
      <c r="M124" s="189" t="s">
        <v>577</v>
      </c>
      <c r="N124" s="189"/>
      <c r="O124" s="189"/>
      <c r="P124" s="189" t="s">
        <v>612</v>
      </c>
      <c r="Q124" s="191" t="s">
        <v>221</v>
      </c>
      <c r="R124" s="191" t="s">
        <v>886</v>
      </c>
      <c r="S124" s="189" t="s">
        <v>210</v>
      </c>
      <c r="T124" s="229">
        <v>0</v>
      </c>
      <c r="U124" s="229">
        <v>0</v>
      </c>
      <c r="V124" s="229">
        <v>0</v>
      </c>
      <c r="W124" s="229">
        <v>0</v>
      </c>
      <c r="X124" s="229">
        <v>0</v>
      </c>
      <c r="Y124" s="229">
        <v>0</v>
      </c>
      <c r="Z124" s="229">
        <v>0</v>
      </c>
      <c r="AA124" s="229">
        <v>0</v>
      </c>
      <c r="AB124" s="229">
        <v>0</v>
      </c>
      <c r="AC124" s="229">
        <v>0</v>
      </c>
      <c r="AD124" s="229">
        <v>0</v>
      </c>
      <c r="AE124" s="229">
        <v>0</v>
      </c>
      <c r="AF124" s="229">
        <v>0</v>
      </c>
      <c r="AG124" s="229">
        <v>250000</v>
      </c>
      <c r="AH124" s="229">
        <v>250000</v>
      </c>
      <c r="AI124" s="229">
        <v>0</v>
      </c>
      <c r="AJ124" s="229">
        <v>0</v>
      </c>
      <c r="AK124" s="229">
        <v>500000</v>
      </c>
      <c r="AL124" s="229">
        <v>0</v>
      </c>
      <c r="AM124" s="229">
        <v>0</v>
      </c>
      <c r="AN124" s="229">
        <v>0</v>
      </c>
      <c r="AO124" s="229">
        <v>0</v>
      </c>
      <c r="AP124" s="229">
        <v>0</v>
      </c>
      <c r="AQ124" s="229">
        <v>500000</v>
      </c>
      <c r="AR124" s="2">
        <v>9</v>
      </c>
      <c r="AS124" s="2" t="s">
        <v>224</v>
      </c>
      <c r="AT124" s="2" t="s">
        <v>1601</v>
      </c>
      <c r="AU124" s="2" t="s">
        <v>887</v>
      </c>
      <c r="AV124" s="2">
        <v>0</v>
      </c>
      <c r="AW124" s="2" t="s">
        <v>1810</v>
      </c>
      <c r="AZ124" s="2" t="str">
        <f>_xlfn.XLOOKUP(Tabela98[[#This Row],[Descrição do projeto]],[3]Geração!$G:$G,[3]Geração!$F:$F,,0,1)</f>
        <v>Klenio Dias Timoteo</v>
      </c>
    </row>
    <row r="125" spans="1:52" ht="24.75" customHeight="1" x14ac:dyDescent="0.35">
      <c r="A125" s="184"/>
      <c r="B125" s="185" t="e" cm="1">
        <f t="array" ref="B125">AND(ISTEXT('Consolidado-Eletronorte'!#REF!),SUM('Consolidado-Eletronorte'!#REF!)&gt;0)</f>
        <v>#REF!</v>
      </c>
      <c r="C125" s="186" t="str">
        <f t="shared" ca="1" si="9"/>
        <v>Capex Orcamentário_PE2026_2030_red_35_porcentoR3_consulta.xlsx</v>
      </c>
      <c r="D125" s="187" t="str">
        <f t="shared" si="10"/>
        <v>COO</v>
      </c>
      <c r="E125" s="187" t="str">
        <f t="shared" si="11"/>
        <v>Lucas Martins</v>
      </c>
      <c r="F125" s="188"/>
      <c r="G125" s="188" t="e">
        <f>_xlfn.CONCAT('Consolidado-Eletronorte'!#REF!,"_",ROW('Consolidado-Eletronorte'!#REF!)-ROW('Consolidado-Eletronorte'!$G$18))</f>
        <v>#REF!</v>
      </c>
      <c r="H125" s="288" t="s">
        <v>506</v>
      </c>
      <c r="I125" s="189" t="s">
        <v>507</v>
      </c>
      <c r="J125" s="190" t="s">
        <v>508</v>
      </c>
      <c r="K125" s="189" t="s">
        <v>1039</v>
      </c>
      <c r="L125" s="189" t="s">
        <v>1040</v>
      </c>
      <c r="M125" s="189" t="s">
        <v>800</v>
      </c>
      <c r="N125" s="189"/>
      <c r="O125" s="189"/>
      <c r="P125" s="189">
        <v>157189</v>
      </c>
      <c r="Q125" s="191" t="s">
        <v>315</v>
      </c>
      <c r="R125" s="191" t="s">
        <v>803</v>
      </c>
      <c r="S125" s="189" t="s">
        <v>276</v>
      </c>
      <c r="T125" s="229">
        <v>0</v>
      </c>
      <c r="U125" s="229">
        <v>0</v>
      </c>
      <c r="V125" s="229">
        <v>0</v>
      </c>
      <c r="W125" s="229">
        <v>0</v>
      </c>
      <c r="X125" s="229">
        <v>0</v>
      </c>
      <c r="Y125" s="229">
        <v>0</v>
      </c>
      <c r="Z125" s="229">
        <v>450000</v>
      </c>
      <c r="AA125" s="229">
        <v>0</v>
      </c>
      <c r="AB125" s="229">
        <v>0</v>
      </c>
      <c r="AC125" s="229">
        <v>0</v>
      </c>
      <c r="AD125" s="229">
        <v>0</v>
      </c>
      <c r="AE125" s="229">
        <v>0</v>
      </c>
      <c r="AF125" s="229">
        <v>450000</v>
      </c>
      <c r="AG125" s="229">
        <v>0</v>
      </c>
      <c r="AH125" s="229">
        <v>0</v>
      </c>
      <c r="AI125" s="229">
        <v>0</v>
      </c>
      <c r="AJ125" s="229">
        <v>0</v>
      </c>
      <c r="AK125" s="229">
        <v>450000</v>
      </c>
      <c r="AL125" s="229">
        <v>0</v>
      </c>
      <c r="AM125" s="229">
        <v>0</v>
      </c>
      <c r="AN125" s="229">
        <v>0</v>
      </c>
      <c r="AO125" s="229">
        <v>0</v>
      </c>
      <c r="AP125" s="229">
        <v>0</v>
      </c>
      <c r="AQ125" s="229">
        <v>450000</v>
      </c>
      <c r="AR125" s="2">
        <v>15</v>
      </c>
      <c r="AS125" s="112" t="s">
        <v>1819</v>
      </c>
      <c r="AT125" s="2">
        <v>2024</v>
      </c>
      <c r="AU125" s="112" t="s">
        <v>804</v>
      </c>
      <c r="AV125" t="s">
        <v>805</v>
      </c>
      <c r="AW125" s="2" t="s">
        <v>1801</v>
      </c>
      <c r="AZ125" s="2" t="str">
        <f>_xlfn.XLOOKUP(Tabela98[[#This Row],[Descrição do projeto]],[3]Geração!$G:$G,[3]Geração!$F:$F,,0,1)</f>
        <v>Francisco Figueiredo Silva Neto</v>
      </c>
    </row>
    <row r="126" spans="1:52" ht="24.75" customHeight="1" x14ac:dyDescent="0.35">
      <c r="A126" s="184"/>
      <c r="B126" s="185" t="e" cm="1">
        <f t="array" ref="B126">AND(ISTEXT('Consolidado-Eletronorte'!#REF!),SUM('Consolidado-Eletronorte'!#REF!)&gt;0)</f>
        <v>#REF!</v>
      </c>
      <c r="C126" s="186" t="str">
        <f t="shared" ca="1" si="9"/>
        <v>Capex Orcamentário_PE2026_2030_red_35_porcentoR3_consulta.xlsx</v>
      </c>
      <c r="D126" s="187" t="str">
        <f t="shared" si="10"/>
        <v>COO</v>
      </c>
      <c r="E126" s="187" t="str">
        <f t="shared" si="11"/>
        <v>Lucas Martins</v>
      </c>
      <c r="F126" s="188"/>
      <c r="G126" s="188" t="e">
        <f>_xlfn.CONCAT('Consolidado-Eletronorte'!#REF!,"_",ROW('Consolidado-Eletronorte'!#REF!)-ROW('Consolidado-Eletronorte'!$G$18))</f>
        <v>#REF!</v>
      </c>
      <c r="H126" s="279" t="s">
        <v>506</v>
      </c>
      <c r="I126" s="189" t="s">
        <v>507</v>
      </c>
      <c r="J126" s="190" t="s">
        <v>508</v>
      </c>
      <c r="K126" s="189" t="s">
        <v>1039</v>
      </c>
      <c r="L126" s="189" t="s">
        <v>1040</v>
      </c>
      <c r="M126" s="189" t="s">
        <v>555</v>
      </c>
      <c r="N126" s="189"/>
      <c r="O126" s="189"/>
      <c r="P126" s="189">
        <v>157189</v>
      </c>
      <c r="Q126" s="191" t="s">
        <v>311</v>
      </c>
      <c r="R126" s="191" t="s">
        <v>822</v>
      </c>
      <c r="S126" s="189" t="s">
        <v>276</v>
      </c>
      <c r="T126" s="229">
        <v>0</v>
      </c>
      <c r="U126" s="229">
        <v>0</v>
      </c>
      <c r="V126" s="229">
        <v>0</v>
      </c>
      <c r="W126" s="229">
        <v>0</v>
      </c>
      <c r="X126" s="229">
        <v>0</v>
      </c>
      <c r="Y126" s="229">
        <v>0</v>
      </c>
      <c r="Z126" s="229">
        <v>0</v>
      </c>
      <c r="AA126" s="229">
        <v>0</v>
      </c>
      <c r="AB126" s="229">
        <v>0</v>
      </c>
      <c r="AC126" s="229">
        <v>0</v>
      </c>
      <c r="AD126" s="229">
        <v>300000</v>
      </c>
      <c r="AE126" s="229">
        <v>0</v>
      </c>
      <c r="AF126" s="229">
        <v>300000</v>
      </c>
      <c r="AG126" s="229">
        <v>0</v>
      </c>
      <c r="AH126" s="229">
        <v>0</v>
      </c>
      <c r="AI126" s="229">
        <v>0</v>
      </c>
      <c r="AJ126" s="229">
        <v>0</v>
      </c>
      <c r="AK126" s="229">
        <v>300000</v>
      </c>
      <c r="AL126" s="229">
        <v>0</v>
      </c>
      <c r="AM126" s="229">
        <v>0</v>
      </c>
      <c r="AN126" s="229">
        <v>0</v>
      </c>
      <c r="AO126" s="229">
        <v>0</v>
      </c>
      <c r="AP126" s="229">
        <v>0</v>
      </c>
      <c r="AQ126" s="229">
        <v>300000</v>
      </c>
      <c r="AR126" s="2">
        <v>68</v>
      </c>
      <c r="AS126" s="2" t="s">
        <v>279</v>
      </c>
      <c r="AT126" s="2" t="s">
        <v>1601</v>
      </c>
      <c r="AU126" s="2" t="s">
        <v>823</v>
      </c>
      <c r="AV126" s="2">
        <v>0</v>
      </c>
      <c r="AW126" s="2" t="s">
        <v>1810</v>
      </c>
      <c r="AZ126" s="2" t="str">
        <f>_xlfn.XLOOKUP(Tabela98[[#This Row],[Descrição do projeto]],[3]Geração!$G:$G,[3]Geração!$F:$F,,0,1)</f>
        <v>Robinson Percy Holder</v>
      </c>
    </row>
    <row r="127" spans="1:52" ht="24.75" customHeight="1" x14ac:dyDescent="0.35">
      <c r="A127" s="184"/>
      <c r="B127" s="185" t="e" cm="1">
        <f t="array" ref="B127">AND(ISTEXT('Consolidado-Eletronorte'!#REF!),SUM('Consolidado-Eletronorte'!#REF!)&gt;0)</f>
        <v>#REF!</v>
      </c>
      <c r="C127" s="186" t="str">
        <f t="shared" ca="1" si="9"/>
        <v>Capex Orcamentário_PE2026_2030_red_35_porcentoR3_consulta.xlsx</v>
      </c>
      <c r="D127" s="187" t="str">
        <f t="shared" si="10"/>
        <v>COO</v>
      </c>
      <c r="E127" s="187" t="str">
        <f t="shared" si="11"/>
        <v>Lucas Martins</v>
      </c>
      <c r="F127" s="188"/>
      <c r="G127" s="188" t="e">
        <f>_xlfn.CONCAT('Consolidado-Eletronorte'!#REF!,"_",ROW('Consolidado-Eletronorte'!#REF!)-ROW('Consolidado-Eletronorte'!$G$18))</f>
        <v>#REF!</v>
      </c>
      <c r="H127" s="279" t="s">
        <v>506</v>
      </c>
      <c r="I127" s="189" t="s">
        <v>507</v>
      </c>
      <c r="J127" s="190" t="s">
        <v>508</v>
      </c>
      <c r="K127" s="189" t="s">
        <v>1039</v>
      </c>
      <c r="L127" s="189" t="s">
        <v>1040</v>
      </c>
      <c r="M127" s="189" t="s">
        <v>577</v>
      </c>
      <c r="N127" s="189"/>
      <c r="O127" s="189"/>
      <c r="P127" s="189" t="s">
        <v>617</v>
      </c>
      <c r="Q127" s="191" t="s">
        <v>249</v>
      </c>
      <c r="R127" s="191" t="s">
        <v>902</v>
      </c>
      <c r="S127" s="189" t="s">
        <v>229</v>
      </c>
      <c r="T127" s="229">
        <v>0</v>
      </c>
      <c r="U127" s="229">
        <v>0</v>
      </c>
      <c r="V127" s="229">
        <v>0</v>
      </c>
      <c r="W127" s="229">
        <v>0</v>
      </c>
      <c r="X127" s="229">
        <v>0</v>
      </c>
      <c r="Y127" s="229">
        <v>0</v>
      </c>
      <c r="Z127" s="229">
        <v>0</v>
      </c>
      <c r="AA127" s="229">
        <v>0</v>
      </c>
      <c r="AB127" s="229">
        <v>0</v>
      </c>
      <c r="AC127" s="229">
        <v>0</v>
      </c>
      <c r="AD127" s="229">
        <v>0</v>
      </c>
      <c r="AE127" s="229">
        <v>0</v>
      </c>
      <c r="AF127" s="229">
        <v>0</v>
      </c>
      <c r="AG127" s="229">
        <v>250000</v>
      </c>
      <c r="AH127" s="229">
        <v>0</v>
      </c>
      <c r="AI127" s="229">
        <v>0</v>
      </c>
      <c r="AJ127" s="229">
        <v>0</v>
      </c>
      <c r="AK127" s="229">
        <v>250000</v>
      </c>
      <c r="AL127" s="229">
        <v>0</v>
      </c>
      <c r="AM127" s="229">
        <v>0</v>
      </c>
      <c r="AN127" s="229">
        <v>0</v>
      </c>
      <c r="AO127" s="229">
        <v>0</v>
      </c>
      <c r="AP127" s="229">
        <v>0</v>
      </c>
      <c r="AQ127" s="229">
        <v>250000</v>
      </c>
      <c r="AR127" s="2">
        <v>40</v>
      </c>
      <c r="AS127" s="2" t="s">
        <v>247</v>
      </c>
      <c r="AT127" s="2" t="s">
        <v>1601</v>
      </c>
      <c r="AU127" s="2" t="s">
        <v>903</v>
      </c>
      <c r="AV127" s="2">
        <v>0</v>
      </c>
      <c r="AW127" s="2" t="s">
        <v>1810</v>
      </c>
      <c r="AZ127" s="2" t="str">
        <f>_xlfn.XLOOKUP(Tabela98[[#This Row],[Descrição do projeto]],[3]Geração!$G:$G,[3]Geração!$F:$F,,0,1)</f>
        <v>Frederico Rodolfo Parente Doerner</v>
      </c>
    </row>
    <row r="128" spans="1:52" ht="24.75" customHeight="1" x14ac:dyDescent="0.35">
      <c r="A128" s="184"/>
      <c r="B128" s="185" t="e" cm="1">
        <f t="array" ref="B128">AND(ISTEXT('Consolidado-Eletronorte'!#REF!),SUM('Consolidado-Eletronorte'!#REF!)&gt;0)</f>
        <v>#REF!</v>
      </c>
      <c r="C128" s="186" t="str">
        <f t="shared" ca="1" si="9"/>
        <v>Capex Orcamentário_PE2026_2030_red_35_porcentoR3_consulta.xlsx</v>
      </c>
      <c r="D128" s="187" t="str">
        <f t="shared" si="10"/>
        <v>COO</v>
      </c>
      <c r="E128" s="187" t="str">
        <f t="shared" si="11"/>
        <v>Lucas Martins</v>
      </c>
      <c r="F128" s="188"/>
      <c r="G128" s="188" t="e">
        <f>_xlfn.CONCAT('Consolidado-Eletronorte'!#REF!,"_",ROW('Consolidado-Eletronorte'!#REF!)-ROW('Consolidado-Eletronorte'!$G$18))</f>
        <v>#REF!</v>
      </c>
      <c r="H128" s="288" t="s">
        <v>506</v>
      </c>
      <c r="I128" s="189" t="s">
        <v>507</v>
      </c>
      <c r="J128" s="190" t="s">
        <v>508</v>
      </c>
      <c r="K128" s="189" t="s">
        <v>1039</v>
      </c>
      <c r="L128" s="189" t="s">
        <v>1799</v>
      </c>
      <c r="M128" s="189" t="s">
        <v>577</v>
      </c>
      <c r="N128" s="189"/>
      <c r="O128" s="189"/>
      <c r="P128" s="189" t="s">
        <v>587</v>
      </c>
      <c r="Q128" s="191" t="s">
        <v>203</v>
      </c>
      <c r="R128" s="191" t="s">
        <v>203</v>
      </c>
      <c r="S128" s="189" t="s">
        <v>154</v>
      </c>
      <c r="T128" s="229">
        <v>0</v>
      </c>
      <c r="U128" s="229">
        <v>0</v>
      </c>
      <c r="V128" s="229">
        <v>0</v>
      </c>
      <c r="W128" s="229">
        <v>0</v>
      </c>
      <c r="X128" s="229">
        <v>0</v>
      </c>
      <c r="Y128" s="229">
        <v>0</v>
      </c>
      <c r="Z128" s="229">
        <v>0</v>
      </c>
      <c r="AA128" s="229">
        <v>0</v>
      </c>
      <c r="AB128" s="229">
        <v>0</v>
      </c>
      <c r="AC128" s="229">
        <v>0</v>
      </c>
      <c r="AD128" s="229">
        <v>0</v>
      </c>
      <c r="AE128" s="229">
        <v>0</v>
      </c>
      <c r="AF128" s="229">
        <v>0</v>
      </c>
      <c r="AG128" s="229">
        <v>250000</v>
      </c>
      <c r="AH128" s="229">
        <v>0</v>
      </c>
      <c r="AI128" s="229">
        <v>0</v>
      </c>
      <c r="AJ128" s="229">
        <v>0</v>
      </c>
      <c r="AK128" s="229">
        <v>250000</v>
      </c>
      <c r="AL128" s="229">
        <v>0</v>
      </c>
      <c r="AM128" s="229">
        <v>0</v>
      </c>
      <c r="AN128" s="229">
        <v>0</v>
      </c>
      <c r="AO128" s="229">
        <v>0</v>
      </c>
      <c r="AP128" s="229">
        <v>0</v>
      </c>
      <c r="AQ128" s="229">
        <v>250000</v>
      </c>
      <c r="AR128" s="2">
        <v>7</v>
      </c>
      <c r="AS128" s="2" t="s">
        <v>279</v>
      </c>
      <c r="AT128" s="2" t="s">
        <v>1601</v>
      </c>
      <c r="AU128" s="2" t="s">
        <v>881</v>
      </c>
      <c r="AV128" s="2">
        <v>0</v>
      </c>
      <c r="AW128" s="2" t="s">
        <v>1810</v>
      </c>
      <c r="AZ128" s="2" t="str">
        <f>_xlfn.XLOOKUP(Tabela98[[#This Row],[Descrição do projeto]],[3]Geração!$G:$G,[3]Geração!$F:$F,,0,1)</f>
        <v>Klenio Dias Timoteo</v>
      </c>
    </row>
    <row r="129" spans="1:52" ht="24.75" customHeight="1" x14ac:dyDescent="0.35">
      <c r="A129" s="184"/>
      <c r="B129" s="185" t="e" cm="1">
        <f t="array" ref="B129">AND(ISTEXT('Consolidado-Eletronorte'!#REF!),SUM('Consolidado-Eletronorte'!#REF!)&gt;0)</f>
        <v>#REF!</v>
      </c>
      <c r="C129" s="186" t="str">
        <f t="shared" ca="1" si="9"/>
        <v>Capex Orcamentário_PE2026_2030_red_35_porcentoR3_consulta.xlsx</v>
      </c>
      <c r="D129" s="187" t="str">
        <f t="shared" si="10"/>
        <v>COO</v>
      </c>
      <c r="E129" s="187" t="str">
        <f t="shared" si="11"/>
        <v>Lucas Martins</v>
      </c>
      <c r="F129" s="188"/>
      <c r="G129" s="188" t="e">
        <f>_xlfn.CONCAT('Consolidado-Eletronorte'!#REF!,"_",ROW('Consolidado-Eletronorte'!#REF!)-ROW('Consolidado-Eletronorte'!$G$18))</f>
        <v>#REF!</v>
      </c>
      <c r="H129" s="279" t="s">
        <v>506</v>
      </c>
      <c r="I129" s="189" t="s">
        <v>507</v>
      </c>
      <c r="J129" s="190" t="s">
        <v>508</v>
      </c>
      <c r="K129" s="189" t="s">
        <v>1039</v>
      </c>
      <c r="L129" s="189" t="s">
        <v>1040</v>
      </c>
      <c r="M129" s="189" t="s">
        <v>555</v>
      </c>
      <c r="N129" s="189"/>
      <c r="O129" s="189"/>
      <c r="P129" s="189" t="s">
        <v>511</v>
      </c>
      <c r="Q129" s="191" t="s">
        <v>421</v>
      </c>
      <c r="R129" s="191" t="s">
        <v>937</v>
      </c>
      <c r="S129" s="189" t="s">
        <v>319</v>
      </c>
      <c r="T129" s="229">
        <v>0</v>
      </c>
      <c r="U129" s="229">
        <v>223686</v>
      </c>
      <c r="V129" s="229">
        <v>0</v>
      </c>
      <c r="W129" s="229">
        <v>0</v>
      </c>
      <c r="X129" s="229">
        <v>0</v>
      </c>
      <c r="Y129" s="229">
        <v>0</v>
      </c>
      <c r="Z129" s="229">
        <v>0</v>
      </c>
      <c r="AA129" s="229">
        <v>0</v>
      </c>
      <c r="AB129" s="229">
        <v>0</v>
      </c>
      <c r="AC129" s="229">
        <v>0</v>
      </c>
      <c r="AD129" s="229">
        <v>0</v>
      </c>
      <c r="AE129" s="229">
        <v>0</v>
      </c>
      <c r="AF129" s="229">
        <v>223686</v>
      </c>
      <c r="AG129" s="229">
        <v>0</v>
      </c>
      <c r="AH129" s="229">
        <v>0</v>
      </c>
      <c r="AI129" s="229">
        <v>0</v>
      </c>
      <c r="AJ129" s="229">
        <v>0</v>
      </c>
      <c r="AK129" s="229">
        <v>223686</v>
      </c>
      <c r="AL129" s="229">
        <v>0</v>
      </c>
      <c r="AM129" s="229">
        <v>0</v>
      </c>
      <c r="AN129" s="229">
        <v>0</v>
      </c>
      <c r="AO129" s="229">
        <v>0</v>
      </c>
      <c r="AP129" s="229">
        <v>0</v>
      </c>
      <c r="AQ129" s="229">
        <v>223686</v>
      </c>
      <c r="AR129" s="2">
        <v>105</v>
      </c>
      <c r="AS129" s="2" t="s">
        <v>1811</v>
      </c>
      <c r="AT129" s="2">
        <v>2025</v>
      </c>
      <c r="AU129" s="2" t="s">
        <v>938</v>
      </c>
      <c r="AV129" s="2" t="s">
        <v>939</v>
      </c>
      <c r="AW129" s="2" t="s">
        <v>1810</v>
      </c>
      <c r="AZ129" s="2" t="str">
        <f>_xlfn.XLOOKUP(Tabela98[[#This Row],[Descrição do projeto]],[3]Geração!$G:$G,[3]Geração!$F:$F,,0,1)</f>
        <v>Frederico Rodolfo Parente Doerner</v>
      </c>
    </row>
    <row r="130" spans="1:52" ht="24.75" customHeight="1" x14ac:dyDescent="0.35">
      <c r="A130" s="280"/>
      <c r="B130" s="185" t="e" cm="1">
        <f t="array" ref="B130">AND(ISTEXT('Consolidado-Eletronorte'!#REF!),SUM('Consolidado-Eletronorte'!#REF!)&gt;0)</f>
        <v>#REF!</v>
      </c>
      <c r="C130" s="281" t="str">
        <f t="shared" ca="1" si="9"/>
        <v>Capex Orcamentário_PE2026_2030_red_35_porcentoR3_consulta.xlsx</v>
      </c>
      <c r="D130" s="282" t="str">
        <f t="shared" si="10"/>
        <v>COO</v>
      </c>
      <c r="E130" s="282" t="str">
        <f t="shared" si="11"/>
        <v>Lucas Martins</v>
      </c>
      <c r="F130" s="283"/>
      <c r="G130" s="283" t="e">
        <f>_xlfn.CONCAT('Consolidado-Eletronorte'!#REF!,"_",ROW('Consolidado-Eletronorte'!#REF!)-ROW('Consolidado-Eletronorte'!$G$18))</f>
        <v>#REF!</v>
      </c>
      <c r="H130" s="284" t="s">
        <v>506</v>
      </c>
      <c r="I130" s="285" t="s">
        <v>507</v>
      </c>
      <c r="J130" s="286" t="s">
        <v>508</v>
      </c>
      <c r="K130" s="285" t="s">
        <v>1039</v>
      </c>
      <c r="L130" s="285" t="s">
        <v>1040</v>
      </c>
      <c r="M130" s="285" t="s">
        <v>577</v>
      </c>
      <c r="N130" s="285"/>
      <c r="O130" s="285"/>
      <c r="P130" s="285" t="s">
        <v>612</v>
      </c>
      <c r="Q130" s="287" t="s">
        <v>209</v>
      </c>
      <c r="R130" s="287" t="s">
        <v>785</v>
      </c>
      <c r="S130" s="285" t="s">
        <v>210</v>
      </c>
      <c r="T130" s="229">
        <v>0</v>
      </c>
      <c r="U130" s="229">
        <v>0</v>
      </c>
      <c r="V130" s="229">
        <v>0</v>
      </c>
      <c r="W130" s="229">
        <v>0</v>
      </c>
      <c r="X130" s="229">
        <v>0</v>
      </c>
      <c r="Y130" s="229">
        <v>0</v>
      </c>
      <c r="Z130" s="229">
        <v>0</v>
      </c>
      <c r="AA130" s="229">
        <v>0</v>
      </c>
      <c r="AB130" s="229">
        <v>200000</v>
      </c>
      <c r="AC130" s="229">
        <v>0</v>
      </c>
      <c r="AD130" s="229">
        <v>0</v>
      </c>
      <c r="AE130" s="229">
        <v>0</v>
      </c>
      <c r="AF130" s="229">
        <v>200000</v>
      </c>
      <c r="AG130" s="229">
        <v>0</v>
      </c>
      <c r="AH130" s="229">
        <v>0</v>
      </c>
      <c r="AI130" s="229">
        <v>0</v>
      </c>
      <c r="AJ130" s="229">
        <v>0</v>
      </c>
      <c r="AK130" s="229">
        <v>200000</v>
      </c>
      <c r="AL130" s="229">
        <v>0</v>
      </c>
      <c r="AM130" s="229">
        <v>0</v>
      </c>
      <c r="AN130" s="229">
        <v>0</v>
      </c>
      <c r="AO130" s="229">
        <v>0</v>
      </c>
      <c r="AP130" s="229">
        <v>0</v>
      </c>
      <c r="AQ130" s="229">
        <v>200000</v>
      </c>
      <c r="AR130" s="2">
        <v>16</v>
      </c>
      <c r="AS130" s="2" t="s">
        <v>1811</v>
      </c>
      <c r="AT130" s="2" t="s">
        <v>1601</v>
      </c>
      <c r="AU130" s="2" t="s">
        <v>786</v>
      </c>
      <c r="AV130" s="2">
        <v>0</v>
      </c>
      <c r="AW130" s="2" t="s">
        <v>1810</v>
      </c>
      <c r="AY130" s="2" t="s">
        <v>1820</v>
      </c>
      <c r="AZ130" s="2" t="str">
        <f>_xlfn.XLOOKUP(Tabela98[[#This Row],[Descrição do projeto]],[3]Geração!$G:$G,[3]Geração!$F:$F,,0,1)</f>
        <v>Frederico Rodolfo Parente Doerner</v>
      </c>
    </row>
    <row r="131" spans="1:52" ht="15" customHeight="1" x14ac:dyDescent="0.35">
      <c r="A131" s="184"/>
      <c r="B131" s="185" t="e" cm="1">
        <f t="array" ref="B131">AND(ISTEXT('Consolidado-Eletronorte'!#REF!),SUM('Consolidado-Eletronorte'!#REF!)&gt;0)</f>
        <v>#REF!</v>
      </c>
      <c r="C131" s="186" t="str">
        <f t="shared" ca="1" si="9"/>
        <v>Capex Orcamentário_PE2026_2030_red_35_porcentoR3_consulta.xlsx</v>
      </c>
      <c r="D131" s="187" t="str">
        <f t="shared" si="10"/>
        <v>COO</v>
      </c>
      <c r="E131" s="187" t="str">
        <f t="shared" si="11"/>
        <v>Lucas Martins</v>
      </c>
      <c r="F131" s="188"/>
      <c r="G131" s="188" t="e">
        <f>_xlfn.CONCAT('Consolidado-Eletronorte'!#REF!,"_",ROW('Consolidado-Eletronorte'!#REF!)-ROW('Consolidado-Eletronorte'!$G$18))</f>
        <v>#REF!</v>
      </c>
      <c r="H131" s="279" t="s">
        <v>506</v>
      </c>
      <c r="I131" s="189" t="s">
        <v>507</v>
      </c>
      <c r="J131" s="190" t="s">
        <v>508</v>
      </c>
      <c r="K131" s="189" t="s">
        <v>1039</v>
      </c>
      <c r="L131" s="189" t="s">
        <v>1040</v>
      </c>
      <c r="M131" s="189" t="s">
        <v>577</v>
      </c>
      <c r="N131" s="189"/>
      <c r="O131" s="189"/>
      <c r="P131" s="189" t="s">
        <v>587</v>
      </c>
      <c r="Q131" s="191" t="s">
        <v>205</v>
      </c>
      <c r="R131" s="191" t="s">
        <v>882</v>
      </c>
      <c r="S131" s="189" t="s">
        <v>154</v>
      </c>
      <c r="T131" s="229">
        <v>0</v>
      </c>
      <c r="U131" s="229">
        <v>0</v>
      </c>
      <c r="V131" s="229">
        <v>0</v>
      </c>
      <c r="W131" s="229">
        <v>0</v>
      </c>
      <c r="X131" s="229">
        <v>0</v>
      </c>
      <c r="Y131" s="229">
        <v>0</v>
      </c>
      <c r="Z131" s="229">
        <v>0</v>
      </c>
      <c r="AA131" s="229">
        <v>0</v>
      </c>
      <c r="AB131" s="229">
        <v>0</v>
      </c>
      <c r="AC131" s="229">
        <v>0</v>
      </c>
      <c r="AD131" s="229">
        <v>0</v>
      </c>
      <c r="AE131" s="229">
        <v>0</v>
      </c>
      <c r="AF131" s="229">
        <v>0</v>
      </c>
      <c r="AG131" s="229">
        <v>100000</v>
      </c>
      <c r="AH131" s="229">
        <v>0</v>
      </c>
      <c r="AI131" s="229">
        <v>0</v>
      </c>
      <c r="AJ131" s="229">
        <v>0</v>
      </c>
      <c r="AK131" s="229">
        <v>100000</v>
      </c>
      <c r="AL131" s="229">
        <v>0</v>
      </c>
      <c r="AM131" s="229">
        <v>0</v>
      </c>
      <c r="AN131" s="229">
        <v>0</v>
      </c>
      <c r="AO131" s="229">
        <v>0</v>
      </c>
      <c r="AP131" s="229">
        <v>0</v>
      </c>
      <c r="AQ131" s="229">
        <v>100000</v>
      </c>
      <c r="AR131" s="2">
        <v>79</v>
      </c>
      <c r="AS131" s="2" t="s">
        <v>159</v>
      </c>
      <c r="AT131" s="2" t="s">
        <v>1601</v>
      </c>
      <c r="AU131" s="2" t="s">
        <v>883</v>
      </c>
      <c r="AV131" s="2">
        <v>0</v>
      </c>
      <c r="AW131" s="2" t="s">
        <v>1810</v>
      </c>
      <c r="AZ131" s="2" t="str">
        <f>_xlfn.XLOOKUP(Tabela98[[#This Row],[Descrição do projeto]],[3]Geração!$G:$G,[3]Geração!$F:$F,,0,1)</f>
        <v>Frederico Rodolfo Parente Doerner</v>
      </c>
    </row>
    <row r="132" spans="1:52" ht="15" customHeight="1" x14ac:dyDescent="0.35">
      <c r="B132" s="264"/>
      <c r="C132" s="162"/>
      <c r="D132" s="163"/>
      <c r="E132" s="163"/>
      <c r="F132" s="164"/>
      <c r="G132" s="164"/>
      <c r="H132" s="165"/>
      <c r="I132" s="165"/>
      <c r="J132" s="265"/>
      <c r="K132" s="165"/>
      <c r="L132" s="165"/>
      <c r="M132" s="165"/>
      <c r="N132" s="165"/>
      <c r="Q132" s="165"/>
      <c r="R132" s="166"/>
      <c r="S132" s="167"/>
      <c r="AA132" s="212"/>
      <c r="AB132" s="212"/>
      <c r="AC132" s="212"/>
      <c r="AD132" s="212"/>
      <c r="AE132" s="212"/>
      <c r="AF132" s="212"/>
      <c r="AG132" s="212"/>
      <c r="AH132" s="212"/>
      <c r="AI132" s="212"/>
      <c r="AK132" s="212"/>
      <c r="AL132" s="212"/>
      <c r="AM132" s="212"/>
      <c r="AN132" s="212"/>
    </row>
    <row r="133" spans="1:52" ht="15" customHeight="1" x14ac:dyDescent="0.35">
      <c r="B133" s="264"/>
      <c r="C133" s="162"/>
      <c r="D133" s="163"/>
      <c r="E133" s="163"/>
      <c r="F133" s="164"/>
      <c r="G133" s="164"/>
      <c r="H133" s="165"/>
      <c r="I133" s="165"/>
      <c r="J133" s="265"/>
      <c r="K133" s="165"/>
      <c r="L133" s="165"/>
      <c r="M133" s="165"/>
      <c r="N133" s="165"/>
      <c r="Q133" s="165"/>
      <c r="R133" s="166"/>
      <c r="S133" s="167"/>
      <c r="AA133" s="212"/>
      <c r="AB133" s="212"/>
      <c r="AC133" s="212"/>
      <c r="AD133" s="212"/>
      <c r="AE133" s="212"/>
      <c r="AF133" s="212"/>
      <c r="AG133" s="212"/>
      <c r="AH133" s="212"/>
      <c r="AI133" s="212"/>
      <c r="AK133" s="212"/>
      <c r="AL133" s="212"/>
      <c r="AM133" s="212"/>
      <c r="AN133" s="212"/>
    </row>
    <row r="134" spans="1:52" ht="15" customHeight="1" x14ac:dyDescent="0.35">
      <c r="B134" s="264"/>
      <c r="C134" s="162"/>
      <c r="D134" s="163"/>
      <c r="E134" s="163"/>
      <c r="F134" s="164"/>
      <c r="G134" s="164"/>
      <c r="H134" s="165"/>
      <c r="I134" s="165"/>
      <c r="J134" s="265"/>
      <c r="K134" s="165"/>
      <c r="L134" s="165"/>
      <c r="M134" s="165"/>
      <c r="N134" s="165"/>
      <c r="Q134" s="165"/>
      <c r="R134" s="166"/>
      <c r="S134" s="167"/>
      <c r="AA134" s="212"/>
      <c r="AB134" s="212"/>
      <c r="AC134" s="212"/>
      <c r="AD134" s="212"/>
      <c r="AE134" s="212"/>
      <c r="AF134" s="212"/>
      <c r="AG134" s="212"/>
      <c r="AH134" s="212"/>
      <c r="AI134" s="212"/>
      <c r="AK134" s="212"/>
      <c r="AL134" s="212"/>
      <c r="AM134" s="212"/>
      <c r="AN134" s="212"/>
    </row>
    <row r="135" spans="1:52" ht="15" customHeight="1" x14ac:dyDescent="0.35">
      <c r="B135" s="264"/>
      <c r="C135" s="162"/>
      <c r="D135" s="163"/>
      <c r="E135" s="163"/>
      <c r="F135" s="164"/>
      <c r="G135" s="164"/>
      <c r="H135" s="165"/>
      <c r="I135" s="165"/>
      <c r="J135" s="265" t="s">
        <v>1796</v>
      </c>
      <c r="K135" s="165" t="s">
        <v>1797</v>
      </c>
      <c r="L135" s="165" t="s">
        <v>1797</v>
      </c>
      <c r="M135" s="165"/>
      <c r="N135" s="165"/>
      <c r="Q135" s="165"/>
      <c r="R135" s="166"/>
      <c r="S135" s="167"/>
      <c r="AA135" s="212"/>
      <c r="AB135" s="212"/>
      <c r="AC135" s="212"/>
      <c r="AD135" s="212"/>
      <c r="AE135" s="212"/>
      <c r="AF135" s="212"/>
      <c r="AG135" s="212"/>
      <c r="AH135" s="212"/>
      <c r="AI135" s="212"/>
      <c r="AK135" s="212"/>
      <c r="AL135" s="212"/>
      <c r="AM135" s="212"/>
      <c r="AN135" s="212"/>
    </row>
    <row r="136" spans="1:52" ht="15" customHeight="1" x14ac:dyDescent="0.35">
      <c r="K136" s="2" t="e" cm="1" vm="2">
        <f t="array" aca="1" ref="K136" ca="1">INDIRECT(SUBSTITUTE($J10&amp;$K10," ",""))</f>
        <v>#VALUE!</v>
      </c>
      <c r="AA136" s="212"/>
      <c r="AB136" s="212"/>
      <c r="AC136" s="212"/>
      <c r="AD136" s="212"/>
      <c r="AE136" s="212"/>
      <c r="AF136" s="212"/>
      <c r="AG136" s="212"/>
      <c r="AH136" s="212"/>
      <c r="AI136" s="212"/>
      <c r="AK136" s="212"/>
      <c r="AL136" s="212"/>
      <c r="AM136" s="212"/>
      <c r="AN136" s="212"/>
    </row>
    <row r="137" spans="1:52" ht="15" customHeight="1" x14ac:dyDescent="0.35">
      <c r="AA137" s="212"/>
      <c r="AB137" s="212"/>
      <c r="AC137" s="212"/>
      <c r="AD137" s="212"/>
      <c r="AE137" s="212"/>
      <c r="AF137" s="212"/>
      <c r="AG137" s="212"/>
      <c r="AH137" s="212"/>
      <c r="AI137" s="212"/>
      <c r="AK137" s="212"/>
      <c r="AL137" s="212"/>
      <c r="AM137" s="212"/>
      <c r="AN137" s="212"/>
    </row>
    <row r="138" spans="1:52" ht="15" customHeight="1" x14ac:dyDescent="0.35">
      <c r="J138" s="90" t="s">
        <v>508</v>
      </c>
      <c r="K138" s="2" t="s">
        <v>509</v>
      </c>
      <c r="AA138" s="212"/>
      <c r="AB138" s="212"/>
      <c r="AC138" s="212"/>
      <c r="AD138" s="212"/>
      <c r="AE138" s="212"/>
      <c r="AF138" s="212"/>
      <c r="AG138" s="212"/>
      <c r="AH138" s="212"/>
      <c r="AI138" s="212"/>
      <c r="AK138" s="212"/>
      <c r="AL138" s="212"/>
      <c r="AM138" s="212"/>
      <c r="AN138" s="212"/>
    </row>
    <row r="139" spans="1:52" ht="15" customHeight="1" x14ac:dyDescent="0.35">
      <c r="J139" s="90" t="str">
        <f>SUBSTITUTE(J135&amp;K135&amp;L135," ","")</f>
        <v>TransmissãoReforçoGrandePorteReforçoGrandePorte</v>
      </c>
      <c r="K139" s="2" t="s">
        <v>1798</v>
      </c>
      <c r="AA139" s="212"/>
      <c r="AB139" s="212"/>
      <c r="AC139" s="212"/>
      <c r="AD139" s="212"/>
      <c r="AE139" s="212"/>
      <c r="AF139" s="212"/>
      <c r="AG139" s="212"/>
      <c r="AH139" s="212"/>
      <c r="AI139" s="212"/>
      <c r="AK139" s="212"/>
      <c r="AL139" s="212"/>
      <c r="AM139" s="212"/>
      <c r="AN139" s="212"/>
    </row>
    <row r="140" spans="1:52" ht="15" customHeight="1" x14ac:dyDescent="0.35">
      <c r="AA140" s="212"/>
      <c r="AB140" s="212"/>
      <c r="AC140" s="212"/>
      <c r="AD140" s="212"/>
      <c r="AE140" s="212"/>
      <c r="AF140" s="212"/>
      <c r="AG140" s="212"/>
      <c r="AH140" s="212"/>
      <c r="AI140" s="212"/>
      <c r="AK140" s="212"/>
      <c r="AL140" s="212"/>
      <c r="AM140" s="212"/>
      <c r="AN140" s="212"/>
    </row>
    <row r="141" spans="1:52" ht="15" customHeight="1" x14ac:dyDescent="0.35">
      <c r="AA141" s="212"/>
      <c r="AB141" s="212"/>
      <c r="AC141" s="212"/>
      <c r="AD141" s="212"/>
      <c r="AE141" s="212"/>
      <c r="AF141" s="212"/>
      <c r="AG141" s="212"/>
      <c r="AH141" s="212"/>
      <c r="AI141" s="212"/>
      <c r="AK141" s="212"/>
      <c r="AL141" s="212"/>
      <c r="AM141" s="212"/>
      <c r="AN141" s="212"/>
    </row>
    <row r="142" spans="1:52" ht="15" customHeight="1" x14ac:dyDescent="0.35">
      <c r="AA142" s="212"/>
      <c r="AB142" s="212"/>
      <c r="AC142" s="212"/>
      <c r="AD142" s="212"/>
      <c r="AE142" s="212"/>
      <c r="AF142" s="212"/>
      <c r="AG142" s="212"/>
      <c r="AH142" s="212"/>
      <c r="AI142" s="212"/>
      <c r="AK142" s="212"/>
      <c r="AL142" s="212"/>
      <c r="AM142" s="212"/>
      <c r="AN142" s="212"/>
    </row>
    <row r="143" spans="1:52" ht="15" customHeight="1" x14ac:dyDescent="0.35">
      <c r="AA143" s="212"/>
      <c r="AB143" s="212"/>
      <c r="AC143" s="212"/>
      <c r="AD143" s="212"/>
      <c r="AE143" s="212"/>
      <c r="AF143" s="212"/>
      <c r="AG143" s="212"/>
      <c r="AH143" s="212"/>
      <c r="AI143" s="212"/>
      <c r="AK143" s="212"/>
      <c r="AL143" s="212"/>
      <c r="AM143" s="212"/>
      <c r="AN143" s="212"/>
    </row>
    <row r="144" spans="1:52" ht="15" customHeight="1" x14ac:dyDescent="0.35">
      <c r="AA144" s="212"/>
      <c r="AB144" s="212"/>
      <c r="AC144" s="212"/>
      <c r="AD144" s="212"/>
      <c r="AE144" s="212"/>
      <c r="AF144" s="212"/>
      <c r="AG144" s="212"/>
      <c r="AH144" s="212"/>
      <c r="AI144" s="212"/>
      <c r="AK144" s="212"/>
      <c r="AL144" s="212"/>
      <c r="AM144" s="212"/>
      <c r="AN144" s="212"/>
    </row>
    <row r="145" spans="27:40" ht="15" customHeight="1" x14ac:dyDescent="0.35">
      <c r="AA145" s="212"/>
      <c r="AB145" s="212"/>
      <c r="AC145" s="212"/>
      <c r="AD145" s="212"/>
      <c r="AE145" s="212"/>
      <c r="AF145" s="212"/>
      <c r="AG145" s="212"/>
      <c r="AH145" s="212"/>
      <c r="AI145" s="212"/>
      <c r="AK145" s="212"/>
      <c r="AL145" s="212"/>
      <c r="AM145" s="212"/>
      <c r="AN145" s="212"/>
    </row>
    <row r="146" spans="27:40" ht="15" customHeight="1" x14ac:dyDescent="0.35">
      <c r="AA146" s="212"/>
      <c r="AB146" s="212"/>
      <c r="AC146" s="212"/>
      <c r="AD146" s="212"/>
      <c r="AE146" s="212"/>
      <c r="AF146" s="212"/>
      <c r="AG146" s="212"/>
      <c r="AH146" s="212"/>
      <c r="AI146" s="212"/>
      <c r="AK146" s="212"/>
      <c r="AL146" s="212"/>
      <c r="AM146" s="212"/>
      <c r="AN146" s="212"/>
    </row>
    <row r="147" spans="27:40" ht="15" customHeight="1" x14ac:dyDescent="0.35">
      <c r="AA147" s="212"/>
      <c r="AB147" s="212"/>
      <c r="AC147" s="212"/>
      <c r="AD147" s="212"/>
      <c r="AE147" s="212"/>
      <c r="AF147" s="212"/>
      <c r="AG147" s="212"/>
      <c r="AH147" s="212"/>
      <c r="AI147" s="212"/>
      <c r="AK147" s="212"/>
      <c r="AL147" s="212"/>
      <c r="AM147" s="212"/>
      <c r="AN147" s="212"/>
    </row>
    <row r="148" spans="27:40" ht="15" customHeight="1" x14ac:dyDescent="0.35">
      <c r="AA148" s="212"/>
      <c r="AB148" s="212"/>
      <c r="AC148" s="212"/>
      <c r="AD148" s="212"/>
      <c r="AE148" s="212"/>
      <c r="AF148" s="212"/>
      <c r="AG148" s="212"/>
      <c r="AH148" s="212"/>
      <c r="AI148" s="212"/>
      <c r="AK148" s="212"/>
      <c r="AL148" s="212"/>
      <c r="AM148" s="212"/>
      <c r="AN148" s="212"/>
    </row>
    <row r="149" spans="27:40" ht="15" customHeight="1" x14ac:dyDescent="0.35">
      <c r="AA149" s="212"/>
      <c r="AB149" s="212"/>
      <c r="AC149" s="212"/>
      <c r="AD149" s="212"/>
      <c r="AE149" s="212"/>
      <c r="AF149" s="212"/>
      <c r="AG149" s="212"/>
      <c r="AH149" s="212"/>
      <c r="AI149" s="212"/>
      <c r="AK149" s="212"/>
      <c r="AL149" s="212"/>
      <c r="AM149" s="212"/>
      <c r="AN149" s="212"/>
    </row>
    <row r="150" spans="27:40" ht="15" customHeight="1" x14ac:dyDescent="0.35">
      <c r="AA150" s="212"/>
      <c r="AB150" s="212"/>
      <c r="AC150" s="212"/>
      <c r="AD150" s="212"/>
      <c r="AE150" s="212"/>
      <c r="AF150" s="212"/>
      <c r="AG150" s="212"/>
      <c r="AH150" s="212"/>
      <c r="AI150" s="212"/>
      <c r="AK150" s="212"/>
      <c r="AL150" s="212"/>
      <c r="AM150" s="212"/>
      <c r="AN150" s="212"/>
    </row>
    <row r="151" spans="27:40" ht="15" customHeight="1" x14ac:dyDescent="0.35">
      <c r="AA151" s="212"/>
      <c r="AB151" s="212"/>
      <c r="AC151" s="212"/>
      <c r="AD151" s="212"/>
      <c r="AE151" s="212"/>
      <c r="AF151" s="212"/>
      <c r="AG151" s="212"/>
      <c r="AH151" s="212"/>
      <c r="AI151" s="212"/>
      <c r="AK151" s="212"/>
      <c r="AL151" s="212"/>
      <c r="AM151" s="212"/>
      <c r="AN151" s="212"/>
    </row>
    <row r="152" spans="27:40" ht="15" customHeight="1" x14ac:dyDescent="0.35">
      <c r="AA152" s="212"/>
      <c r="AB152" s="212"/>
      <c r="AC152" s="212"/>
      <c r="AD152" s="212"/>
      <c r="AE152" s="212"/>
      <c r="AF152" s="212"/>
      <c r="AG152" s="212"/>
      <c r="AH152" s="212"/>
      <c r="AI152" s="212"/>
      <c r="AK152" s="212"/>
      <c r="AL152" s="212"/>
      <c r="AM152" s="212"/>
      <c r="AN152" s="212"/>
    </row>
    <row r="153" spans="27:40" ht="15" customHeight="1" x14ac:dyDescent="0.35">
      <c r="AA153" s="212"/>
      <c r="AB153" s="212"/>
      <c r="AC153" s="212"/>
      <c r="AD153" s="212"/>
      <c r="AE153" s="212"/>
      <c r="AF153" s="212"/>
      <c r="AG153" s="212"/>
      <c r="AH153" s="212"/>
      <c r="AI153" s="212"/>
      <c r="AK153" s="212"/>
      <c r="AL153" s="212"/>
      <c r="AM153" s="212"/>
      <c r="AN153" s="212"/>
    </row>
    <row r="154" spans="27:40" ht="15" customHeight="1" x14ac:dyDescent="0.35">
      <c r="AA154" s="212"/>
      <c r="AB154" s="212"/>
      <c r="AC154" s="212"/>
      <c r="AD154" s="212"/>
      <c r="AE154" s="212"/>
      <c r="AF154" s="212"/>
      <c r="AG154" s="212"/>
      <c r="AH154" s="212"/>
      <c r="AI154" s="212"/>
      <c r="AK154" s="212"/>
      <c r="AL154" s="212"/>
      <c r="AM154" s="212"/>
      <c r="AN154" s="212"/>
    </row>
    <row r="155" spans="27:40" ht="15" customHeight="1" x14ac:dyDescent="0.35">
      <c r="AA155" s="212"/>
      <c r="AB155" s="212"/>
      <c r="AC155" s="212"/>
      <c r="AD155" s="212"/>
      <c r="AE155" s="212"/>
      <c r="AF155" s="212"/>
      <c r="AG155" s="212"/>
      <c r="AH155" s="212"/>
      <c r="AI155" s="212"/>
      <c r="AK155" s="212"/>
      <c r="AL155" s="212"/>
      <c r="AM155" s="212"/>
      <c r="AN155" s="212"/>
    </row>
    <row r="156" spans="27:40" ht="15" customHeight="1" x14ac:dyDescent="0.35">
      <c r="AA156" s="212"/>
      <c r="AB156" s="212"/>
      <c r="AC156" s="212"/>
      <c r="AD156" s="212"/>
      <c r="AE156" s="212"/>
      <c r="AF156" s="212"/>
      <c r="AG156" s="212"/>
      <c r="AH156" s="212"/>
      <c r="AI156" s="212"/>
      <c r="AK156" s="212"/>
      <c r="AL156" s="212"/>
      <c r="AM156" s="212"/>
      <c r="AN156" s="212"/>
    </row>
    <row r="157" spans="27:40" ht="15" customHeight="1" x14ac:dyDescent="0.35">
      <c r="AA157" s="212"/>
      <c r="AB157" s="212"/>
      <c r="AC157" s="212"/>
      <c r="AD157" s="212"/>
      <c r="AE157" s="212"/>
      <c r="AF157" s="212"/>
      <c r="AG157" s="212"/>
      <c r="AH157" s="212"/>
      <c r="AI157" s="212"/>
      <c r="AK157" s="212"/>
      <c r="AL157" s="212"/>
      <c r="AM157" s="212"/>
      <c r="AN157" s="212"/>
    </row>
    <row r="158" spans="27:40" ht="15" customHeight="1" x14ac:dyDescent="0.35">
      <c r="AA158" s="212"/>
      <c r="AB158" s="212"/>
      <c r="AC158" s="212"/>
      <c r="AD158" s="212"/>
      <c r="AE158" s="212"/>
      <c r="AF158" s="212"/>
      <c r="AG158" s="212"/>
      <c r="AH158" s="212"/>
      <c r="AI158" s="212"/>
      <c r="AK158" s="212"/>
      <c r="AL158" s="212"/>
      <c r="AM158" s="212"/>
      <c r="AN158" s="212"/>
    </row>
    <row r="159" spans="27:40" ht="15" customHeight="1" x14ac:dyDescent="0.35">
      <c r="AA159" s="212"/>
      <c r="AB159" s="212"/>
      <c r="AC159" s="212"/>
      <c r="AD159" s="212"/>
      <c r="AE159" s="212"/>
      <c r="AF159" s="212"/>
      <c r="AG159" s="212"/>
      <c r="AH159" s="212"/>
      <c r="AI159" s="212"/>
      <c r="AK159" s="212"/>
      <c r="AL159" s="212"/>
      <c r="AM159" s="212"/>
      <c r="AN159" s="212"/>
    </row>
    <row r="160" spans="27:40" ht="15" customHeight="1" x14ac:dyDescent="0.35">
      <c r="AA160" s="212"/>
      <c r="AB160" s="212"/>
      <c r="AC160" s="212"/>
      <c r="AD160" s="212"/>
      <c r="AE160" s="212"/>
      <c r="AF160" s="212"/>
      <c r="AG160" s="212"/>
      <c r="AH160" s="212"/>
      <c r="AI160" s="212"/>
      <c r="AK160" s="212"/>
      <c r="AL160" s="212"/>
      <c r="AM160" s="212"/>
      <c r="AN160" s="212"/>
    </row>
    <row r="161" spans="27:40" ht="15" customHeight="1" x14ac:dyDescent="0.35">
      <c r="AA161" s="212"/>
      <c r="AB161" s="212"/>
      <c r="AC161" s="212"/>
      <c r="AD161" s="212"/>
      <c r="AE161" s="212"/>
      <c r="AF161" s="212"/>
      <c r="AG161" s="212"/>
      <c r="AH161" s="212"/>
      <c r="AI161" s="212"/>
      <c r="AK161" s="212"/>
      <c r="AL161" s="212"/>
      <c r="AM161" s="212"/>
      <c r="AN161" s="212"/>
    </row>
    <row r="162" spans="27:40" ht="15" customHeight="1" x14ac:dyDescent="0.35">
      <c r="AA162" s="212"/>
      <c r="AB162" s="212"/>
      <c r="AC162" s="212"/>
      <c r="AD162" s="212"/>
      <c r="AE162" s="212"/>
      <c r="AF162" s="212"/>
      <c r="AG162" s="212"/>
      <c r="AH162" s="212"/>
      <c r="AI162" s="212"/>
      <c r="AK162" s="212"/>
      <c r="AL162" s="212"/>
      <c r="AM162" s="212"/>
      <c r="AN162" s="212"/>
    </row>
    <row r="163" spans="27:40" ht="15" customHeight="1" x14ac:dyDescent="0.35">
      <c r="AA163" s="212"/>
      <c r="AB163" s="212"/>
      <c r="AC163" s="212"/>
      <c r="AD163" s="212"/>
      <c r="AE163" s="212"/>
      <c r="AF163" s="212"/>
      <c r="AG163" s="212"/>
      <c r="AH163" s="212"/>
      <c r="AI163" s="212"/>
      <c r="AK163" s="212"/>
      <c r="AL163" s="212"/>
      <c r="AM163" s="212"/>
      <c r="AN163" s="212"/>
    </row>
    <row r="164" spans="27:40" ht="15" customHeight="1" x14ac:dyDescent="0.35">
      <c r="AA164" s="212"/>
      <c r="AB164" s="212"/>
      <c r="AC164" s="212"/>
      <c r="AD164" s="212"/>
      <c r="AE164" s="212"/>
      <c r="AF164" s="212"/>
      <c r="AG164" s="212"/>
      <c r="AH164" s="212"/>
      <c r="AI164" s="212"/>
      <c r="AK164" s="212"/>
      <c r="AL164" s="212"/>
      <c r="AM164" s="212"/>
      <c r="AN164" s="212"/>
    </row>
    <row r="165" spans="27:40" ht="15" customHeight="1" x14ac:dyDescent="0.35">
      <c r="AA165" s="212"/>
      <c r="AB165" s="212"/>
      <c r="AC165" s="212"/>
      <c r="AD165" s="212"/>
      <c r="AE165" s="212"/>
      <c r="AF165" s="212"/>
      <c r="AG165" s="212"/>
      <c r="AH165" s="212"/>
      <c r="AI165" s="212"/>
      <c r="AK165" s="212"/>
      <c r="AL165" s="212"/>
      <c r="AM165" s="212"/>
      <c r="AN165" s="212"/>
    </row>
    <row r="166" spans="27:40" ht="15" customHeight="1" x14ac:dyDescent="0.35">
      <c r="AA166" s="212"/>
      <c r="AB166" s="212"/>
      <c r="AC166" s="212"/>
      <c r="AD166" s="212"/>
      <c r="AE166" s="212"/>
      <c r="AF166" s="212"/>
      <c r="AG166" s="212"/>
      <c r="AH166" s="212"/>
      <c r="AI166" s="212"/>
      <c r="AK166" s="212"/>
      <c r="AL166" s="212"/>
      <c r="AM166" s="212"/>
      <c r="AN166" s="212"/>
    </row>
    <row r="167" spans="27:40" ht="15" customHeight="1" x14ac:dyDescent="0.35">
      <c r="AA167" s="212"/>
      <c r="AB167" s="212"/>
      <c r="AC167" s="212"/>
      <c r="AD167" s="212"/>
      <c r="AE167" s="212"/>
      <c r="AF167" s="212"/>
      <c r="AG167" s="212"/>
      <c r="AH167" s="212"/>
      <c r="AI167" s="212"/>
      <c r="AK167" s="212"/>
      <c r="AL167" s="212"/>
      <c r="AM167" s="212"/>
      <c r="AN167" s="212"/>
    </row>
    <row r="168" spans="27:40" ht="15" customHeight="1" x14ac:dyDescent="0.35">
      <c r="AA168" s="212"/>
      <c r="AB168" s="212"/>
      <c r="AC168" s="212"/>
      <c r="AD168" s="212"/>
      <c r="AE168" s="212"/>
      <c r="AF168" s="212"/>
      <c r="AG168" s="212"/>
      <c r="AH168" s="212"/>
      <c r="AI168" s="212"/>
      <c r="AK168" s="212"/>
      <c r="AL168" s="212"/>
      <c r="AM168" s="212"/>
      <c r="AN168" s="212"/>
    </row>
    <row r="169" spans="27:40" ht="15" customHeight="1" x14ac:dyDescent="0.35">
      <c r="AA169" s="212"/>
      <c r="AB169" s="212"/>
      <c r="AC169" s="212"/>
      <c r="AD169" s="212"/>
      <c r="AE169" s="212"/>
      <c r="AF169" s="212"/>
      <c r="AG169" s="212"/>
      <c r="AH169" s="212"/>
      <c r="AI169" s="212"/>
      <c r="AK169" s="212"/>
      <c r="AL169" s="212"/>
      <c r="AM169" s="212"/>
      <c r="AN169" s="212"/>
    </row>
    <row r="170" spans="27:40" ht="15" customHeight="1" x14ac:dyDescent="0.35">
      <c r="AA170" s="212"/>
      <c r="AB170" s="212"/>
      <c r="AC170" s="212"/>
      <c r="AD170" s="212"/>
      <c r="AE170" s="212"/>
      <c r="AF170" s="212"/>
      <c r="AG170" s="212"/>
      <c r="AH170" s="212"/>
      <c r="AI170" s="212"/>
      <c r="AK170" s="212"/>
      <c r="AL170" s="212"/>
      <c r="AM170" s="212"/>
      <c r="AN170" s="212"/>
    </row>
    <row r="171" spans="27:40" ht="15" customHeight="1" x14ac:dyDescent="0.35">
      <c r="AA171" s="212"/>
      <c r="AB171" s="212"/>
      <c r="AC171" s="212"/>
      <c r="AD171" s="212"/>
      <c r="AE171" s="212"/>
      <c r="AF171" s="212"/>
      <c r="AG171" s="212"/>
      <c r="AH171" s="212"/>
      <c r="AI171" s="212"/>
      <c r="AK171" s="212"/>
      <c r="AL171" s="212"/>
      <c r="AM171" s="212"/>
      <c r="AN171" s="212"/>
    </row>
    <row r="172" spans="27:40" ht="15" customHeight="1" x14ac:dyDescent="0.35">
      <c r="AA172" s="212"/>
      <c r="AB172" s="212"/>
      <c r="AC172" s="212"/>
      <c r="AD172" s="212"/>
      <c r="AE172" s="212"/>
      <c r="AF172" s="212"/>
      <c r="AG172" s="212"/>
      <c r="AH172" s="212"/>
      <c r="AI172" s="212"/>
      <c r="AK172" s="212"/>
      <c r="AL172" s="212"/>
      <c r="AM172" s="212"/>
      <c r="AN172" s="212"/>
    </row>
    <row r="173" spans="27:40" ht="15" customHeight="1" x14ac:dyDescent="0.35">
      <c r="AA173" s="212"/>
      <c r="AB173" s="212"/>
      <c r="AC173" s="212"/>
      <c r="AD173" s="212"/>
      <c r="AE173" s="212"/>
      <c r="AF173" s="212"/>
      <c r="AG173" s="212"/>
      <c r="AH173" s="212"/>
      <c r="AI173" s="212"/>
      <c r="AK173" s="212"/>
      <c r="AL173" s="212"/>
      <c r="AM173" s="212"/>
      <c r="AN173" s="212"/>
    </row>
    <row r="174" spans="27:40" ht="15" customHeight="1" x14ac:dyDescent="0.35">
      <c r="AA174" s="212"/>
      <c r="AB174" s="212"/>
      <c r="AC174" s="212"/>
      <c r="AD174" s="212"/>
      <c r="AE174" s="212"/>
      <c r="AF174" s="212"/>
      <c r="AG174" s="212"/>
      <c r="AH174" s="212"/>
      <c r="AI174" s="212"/>
      <c r="AK174" s="212"/>
      <c r="AL174" s="212"/>
      <c r="AM174" s="212"/>
      <c r="AN174" s="212"/>
    </row>
    <row r="175" spans="27:40" ht="15" customHeight="1" x14ac:dyDescent="0.35">
      <c r="AA175" s="212"/>
      <c r="AB175" s="212"/>
      <c r="AC175" s="212"/>
      <c r="AD175" s="212"/>
      <c r="AE175" s="212"/>
      <c r="AF175" s="212"/>
      <c r="AG175" s="212"/>
      <c r="AH175" s="212"/>
      <c r="AI175" s="212"/>
      <c r="AK175" s="212"/>
      <c r="AL175" s="212"/>
      <c r="AM175" s="212"/>
      <c r="AN175" s="212"/>
    </row>
    <row r="176" spans="27:40" ht="15" customHeight="1" x14ac:dyDescent="0.35">
      <c r="AA176" s="212"/>
      <c r="AB176" s="212"/>
      <c r="AC176" s="212"/>
      <c r="AD176" s="212"/>
      <c r="AE176" s="212"/>
      <c r="AF176" s="212"/>
      <c r="AG176" s="212"/>
      <c r="AH176" s="212"/>
      <c r="AI176" s="212"/>
      <c r="AK176" s="212"/>
      <c r="AL176" s="212"/>
      <c r="AM176" s="212"/>
      <c r="AN176" s="212"/>
    </row>
    <row r="177" spans="27:40" ht="15" customHeight="1" x14ac:dyDescent="0.35">
      <c r="AA177" s="212"/>
      <c r="AB177" s="212"/>
      <c r="AC177" s="212"/>
      <c r="AD177" s="212"/>
      <c r="AE177" s="212"/>
      <c r="AF177" s="212"/>
      <c r="AG177" s="212"/>
      <c r="AH177" s="212"/>
      <c r="AI177" s="212"/>
      <c r="AK177" s="212"/>
      <c r="AL177" s="212"/>
      <c r="AM177" s="212"/>
      <c r="AN177" s="212"/>
    </row>
    <row r="178" spans="27:40" ht="15" customHeight="1" x14ac:dyDescent="0.35">
      <c r="AA178" s="212"/>
      <c r="AB178" s="212"/>
      <c r="AC178" s="212"/>
      <c r="AD178" s="212"/>
      <c r="AE178" s="212"/>
      <c r="AF178" s="212"/>
      <c r="AG178" s="212"/>
      <c r="AH178" s="212"/>
      <c r="AI178" s="212"/>
      <c r="AK178" s="212"/>
      <c r="AL178" s="212"/>
      <c r="AM178" s="212"/>
      <c r="AN178" s="212"/>
    </row>
    <row r="179" spans="27:40" ht="15" customHeight="1" x14ac:dyDescent="0.35">
      <c r="AA179" s="212"/>
      <c r="AB179" s="212"/>
      <c r="AC179" s="212"/>
      <c r="AD179" s="212"/>
      <c r="AE179" s="212"/>
      <c r="AF179" s="212"/>
      <c r="AG179" s="212"/>
      <c r="AH179" s="212"/>
      <c r="AI179" s="212"/>
      <c r="AK179" s="212"/>
      <c r="AL179" s="212"/>
      <c r="AM179" s="212"/>
      <c r="AN179" s="212"/>
    </row>
    <row r="180" spans="27:40" ht="15" customHeight="1" x14ac:dyDescent="0.35">
      <c r="AA180" s="212"/>
      <c r="AB180" s="212"/>
      <c r="AC180" s="212"/>
      <c r="AD180" s="212"/>
      <c r="AE180" s="212"/>
      <c r="AF180" s="212"/>
      <c r="AG180" s="212"/>
      <c r="AH180" s="212"/>
      <c r="AI180" s="212"/>
      <c r="AK180" s="212"/>
      <c r="AL180" s="212"/>
      <c r="AM180" s="212"/>
      <c r="AN180" s="212"/>
    </row>
    <row r="181" spans="27:40" ht="15" customHeight="1" x14ac:dyDescent="0.35">
      <c r="AA181" s="212"/>
      <c r="AB181" s="212"/>
      <c r="AC181" s="212"/>
      <c r="AD181" s="212"/>
      <c r="AE181" s="212"/>
      <c r="AF181" s="212"/>
      <c r="AG181" s="212"/>
      <c r="AH181" s="212"/>
      <c r="AI181" s="212"/>
      <c r="AK181" s="212"/>
      <c r="AL181" s="212"/>
      <c r="AM181" s="212"/>
      <c r="AN181" s="212"/>
    </row>
    <row r="182" spans="27:40" ht="15" customHeight="1" x14ac:dyDescent="0.35">
      <c r="AA182" s="212"/>
      <c r="AB182" s="212"/>
      <c r="AC182" s="212"/>
      <c r="AD182" s="212"/>
      <c r="AE182" s="212"/>
      <c r="AF182" s="212"/>
      <c r="AG182" s="212"/>
      <c r="AH182" s="212"/>
      <c r="AI182" s="212"/>
      <c r="AK182" s="212"/>
      <c r="AL182" s="212"/>
      <c r="AM182" s="212"/>
      <c r="AN182" s="212"/>
    </row>
    <row r="183" spans="27:40" ht="15" customHeight="1" x14ac:dyDescent="0.35">
      <c r="AA183" s="212"/>
      <c r="AB183" s="212"/>
      <c r="AC183" s="212"/>
      <c r="AD183" s="212"/>
      <c r="AE183" s="212"/>
      <c r="AF183" s="212"/>
      <c r="AG183" s="212"/>
      <c r="AH183" s="212"/>
      <c r="AI183" s="212"/>
      <c r="AK183" s="212"/>
      <c r="AL183" s="212"/>
      <c r="AM183" s="212"/>
      <c r="AN183" s="212"/>
    </row>
    <row r="184" spans="27:40" ht="15" customHeight="1" x14ac:dyDescent="0.35">
      <c r="AA184" s="212"/>
      <c r="AB184" s="212"/>
      <c r="AC184" s="212"/>
      <c r="AD184" s="212"/>
      <c r="AE184" s="212"/>
      <c r="AF184" s="212"/>
      <c r="AG184" s="212"/>
      <c r="AH184" s="212"/>
      <c r="AI184" s="212"/>
      <c r="AK184" s="212"/>
      <c r="AL184" s="212"/>
      <c r="AM184" s="212"/>
      <c r="AN184" s="212"/>
    </row>
    <row r="185" spans="27:40" ht="15" customHeight="1" x14ac:dyDescent="0.35">
      <c r="AA185" s="212"/>
      <c r="AB185" s="212"/>
      <c r="AC185" s="212"/>
      <c r="AD185" s="212"/>
      <c r="AE185" s="212"/>
      <c r="AF185" s="212"/>
      <c r="AG185" s="212"/>
      <c r="AH185" s="212"/>
      <c r="AI185" s="212"/>
      <c r="AK185" s="212"/>
      <c r="AL185" s="212"/>
      <c r="AM185" s="212"/>
      <c r="AN185" s="212"/>
    </row>
    <row r="186" spans="27:40" ht="15" customHeight="1" x14ac:dyDescent="0.35">
      <c r="AA186" s="212"/>
      <c r="AB186" s="212"/>
      <c r="AC186" s="212"/>
      <c r="AD186" s="212"/>
      <c r="AE186" s="212"/>
      <c r="AF186" s="212"/>
      <c r="AG186" s="212"/>
      <c r="AH186" s="212"/>
      <c r="AI186" s="212"/>
      <c r="AK186" s="212"/>
      <c r="AL186" s="212"/>
      <c r="AM186" s="212"/>
      <c r="AN186" s="212"/>
    </row>
    <row r="187" spans="27:40" ht="15" customHeight="1" x14ac:dyDescent="0.35">
      <c r="AA187" s="212"/>
      <c r="AB187" s="212"/>
      <c r="AC187" s="212"/>
      <c r="AD187" s="212"/>
      <c r="AE187" s="212"/>
      <c r="AF187" s="212"/>
      <c r="AG187" s="212"/>
      <c r="AH187" s="212"/>
      <c r="AI187" s="212"/>
      <c r="AK187" s="212"/>
      <c r="AL187" s="212"/>
      <c r="AM187" s="212"/>
      <c r="AN187" s="212"/>
    </row>
    <row r="188" spans="27:40" ht="15" customHeight="1" x14ac:dyDescent="0.35">
      <c r="AA188" s="212"/>
      <c r="AB188" s="212"/>
      <c r="AC188" s="212"/>
      <c r="AD188" s="212"/>
      <c r="AE188" s="212"/>
      <c r="AF188" s="212"/>
      <c r="AG188" s="212"/>
      <c r="AH188" s="212"/>
      <c r="AI188" s="212"/>
      <c r="AK188" s="212"/>
      <c r="AL188" s="212"/>
      <c r="AM188" s="212"/>
      <c r="AN188" s="212"/>
    </row>
    <row r="189" spans="27:40" ht="15" customHeight="1" x14ac:dyDescent="0.35">
      <c r="AA189" s="212"/>
      <c r="AB189" s="212"/>
      <c r="AC189" s="212"/>
      <c r="AD189" s="212"/>
      <c r="AE189" s="212"/>
      <c r="AF189" s="212"/>
      <c r="AG189" s="212"/>
      <c r="AH189" s="212"/>
      <c r="AI189" s="212"/>
      <c r="AK189" s="212"/>
      <c r="AL189" s="212"/>
      <c r="AM189" s="212"/>
      <c r="AN189" s="212"/>
    </row>
    <row r="190" spans="27:40" ht="15" customHeight="1" x14ac:dyDescent="0.35">
      <c r="AA190" s="212"/>
      <c r="AB190" s="212"/>
      <c r="AC190" s="212"/>
      <c r="AD190" s="212"/>
      <c r="AE190" s="212"/>
      <c r="AF190" s="212"/>
      <c r="AG190" s="212"/>
      <c r="AH190" s="212"/>
      <c r="AI190" s="212"/>
      <c r="AK190" s="212"/>
      <c r="AL190" s="212"/>
      <c r="AM190" s="212"/>
      <c r="AN190" s="212"/>
    </row>
    <row r="191" spans="27:40" ht="15" customHeight="1" x14ac:dyDescent="0.35">
      <c r="AA191" s="212"/>
      <c r="AB191" s="212"/>
      <c r="AC191" s="212"/>
      <c r="AD191" s="212"/>
      <c r="AE191" s="212"/>
      <c r="AF191" s="212"/>
      <c r="AG191" s="212"/>
      <c r="AH191" s="212"/>
      <c r="AI191" s="212"/>
      <c r="AK191" s="212"/>
      <c r="AL191" s="212"/>
      <c r="AM191" s="212"/>
      <c r="AN191" s="212"/>
    </row>
    <row r="192" spans="27:40" ht="15" customHeight="1" x14ac:dyDescent="0.35">
      <c r="AA192" s="212"/>
      <c r="AB192" s="212"/>
      <c r="AC192" s="212"/>
      <c r="AD192" s="212"/>
      <c r="AE192" s="212"/>
      <c r="AF192" s="212"/>
      <c r="AG192" s="212"/>
      <c r="AH192" s="212"/>
      <c r="AI192" s="212"/>
      <c r="AK192" s="212"/>
      <c r="AL192" s="212"/>
      <c r="AM192" s="212"/>
      <c r="AN192" s="212"/>
    </row>
    <row r="193" spans="27:40" ht="15" customHeight="1" x14ac:dyDescent="0.35">
      <c r="AA193" s="212"/>
      <c r="AB193" s="212"/>
      <c r="AC193" s="212"/>
      <c r="AD193" s="212"/>
      <c r="AE193" s="212"/>
      <c r="AF193" s="212"/>
      <c r="AG193" s="212"/>
      <c r="AH193" s="212"/>
      <c r="AI193" s="212"/>
      <c r="AK193" s="212"/>
      <c r="AL193" s="212"/>
      <c r="AM193" s="212"/>
      <c r="AN193" s="212"/>
    </row>
    <row r="194" spans="27:40" ht="15" customHeight="1" x14ac:dyDescent="0.35">
      <c r="AA194" s="212"/>
      <c r="AB194" s="212"/>
      <c r="AC194" s="212"/>
      <c r="AD194" s="212"/>
      <c r="AE194" s="212"/>
      <c r="AF194" s="212"/>
      <c r="AG194" s="212"/>
      <c r="AH194" s="212"/>
      <c r="AI194" s="212"/>
      <c r="AK194" s="212"/>
      <c r="AL194" s="212"/>
      <c r="AM194" s="212"/>
      <c r="AN194" s="212"/>
    </row>
    <row r="195" spans="27:40" ht="15" customHeight="1" x14ac:dyDescent="0.35">
      <c r="AA195" s="212"/>
      <c r="AB195" s="212"/>
      <c r="AC195" s="212"/>
      <c r="AD195" s="212"/>
      <c r="AE195" s="212"/>
      <c r="AF195" s="212"/>
      <c r="AG195" s="212"/>
      <c r="AH195" s="212"/>
      <c r="AI195" s="212"/>
      <c r="AK195" s="212"/>
      <c r="AL195" s="212"/>
      <c r="AM195" s="212"/>
      <c r="AN195" s="212"/>
    </row>
    <row r="196" spans="27:40" ht="15" customHeight="1" x14ac:dyDescent="0.35">
      <c r="AA196" s="212"/>
      <c r="AB196" s="212"/>
      <c r="AC196" s="212"/>
      <c r="AD196" s="212"/>
      <c r="AE196" s="212"/>
      <c r="AF196" s="212"/>
      <c r="AG196" s="212"/>
      <c r="AH196" s="212"/>
      <c r="AI196" s="212"/>
      <c r="AK196" s="212"/>
      <c r="AL196" s="212"/>
      <c r="AM196" s="212"/>
      <c r="AN196" s="212"/>
    </row>
    <row r="197" spans="27:40" ht="15" customHeight="1" x14ac:dyDescent="0.35">
      <c r="AA197" s="212"/>
      <c r="AB197" s="212"/>
      <c r="AC197" s="212"/>
      <c r="AD197" s="212"/>
      <c r="AE197" s="212"/>
      <c r="AF197" s="212"/>
      <c r="AG197" s="212"/>
      <c r="AH197" s="212"/>
      <c r="AI197" s="212"/>
      <c r="AK197" s="212"/>
      <c r="AL197" s="212"/>
      <c r="AM197" s="212"/>
      <c r="AN197" s="212"/>
    </row>
    <row r="198" spans="27:40" ht="15" customHeight="1" x14ac:dyDescent="0.35">
      <c r="AA198" s="212"/>
      <c r="AB198" s="212"/>
      <c r="AC198" s="212"/>
      <c r="AD198" s="212"/>
      <c r="AE198" s="212"/>
      <c r="AF198" s="212"/>
      <c r="AG198" s="212"/>
      <c r="AH198" s="212"/>
      <c r="AI198" s="212"/>
      <c r="AK198" s="212"/>
      <c r="AL198" s="212"/>
      <c r="AM198" s="212"/>
      <c r="AN198" s="212"/>
    </row>
    <row r="199" spans="27:40" ht="15" customHeight="1" x14ac:dyDescent="0.35">
      <c r="AA199" s="212"/>
      <c r="AB199" s="212"/>
      <c r="AC199" s="212"/>
      <c r="AD199" s="212"/>
      <c r="AE199" s="212"/>
      <c r="AF199" s="212"/>
      <c r="AG199" s="212"/>
      <c r="AH199" s="212"/>
      <c r="AI199" s="212"/>
      <c r="AK199" s="212"/>
      <c r="AL199" s="212"/>
      <c r="AM199" s="212"/>
      <c r="AN199" s="212"/>
    </row>
    <row r="200" spans="27:40" ht="15" customHeight="1" x14ac:dyDescent="0.35">
      <c r="AA200" s="212"/>
      <c r="AB200" s="212"/>
      <c r="AC200" s="212"/>
      <c r="AD200" s="212"/>
      <c r="AE200" s="212"/>
      <c r="AF200" s="212"/>
      <c r="AG200" s="212"/>
      <c r="AH200" s="212"/>
      <c r="AI200" s="212"/>
      <c r="AK200" s="212"/>
      <c r="AL200" s="212"/>
      <c r="AM200" s="212"/>
      <c r="AN200" s="212"/>
    </row>
    <row r="201" spans="27:40" ht="15" customHeight="1" x14ac:dyDescent="0.35">
      <c r="AA201" s="212"/>
      <c r="AB201" s="212"/>
      <c r="AC201" s="212"/>
      <c r="AD201" s="212"/>
      <c r="AE201" s="212"/>
      <c r="AF201" s="212"/>
      <c r="AG201" s="212"/>
      <c r="AH201" s="212"/>
      <c r="AI201" s="212"/>
      <c r="AK201" s="212"/>
      <c r="AL201" s="212"/>
      <c r="AM201" s="212"/>
      <c r="AN201" s="212"/>
    </row>
    <row r="202" spans="27:40" ht="15" customHeight="1" x14ac:dyDescent="0.35">
      <c r="AA202" s="212"/>
      <c r="AB202" s="212"/>
      <c r="AC202" s="212"/>
      <c r="AD202" s="212"/>
      <c r="AE202" s="212"/>
      <c r="AF202" s="212"/>
      <c r="AG202" s="212"/>
      <c r="AH202" s="212"/>
      <c r="AI202" s="212"/>
      <c r="AK202" s="212"/>
      <c r="AL202" s="212"/>
      <c r="AM202" s="212"/>
      <c r="AN202" s="212"/>
    </row>
    <row r="203" spans="27:40" ht="15" customHeight="1" x14ac:dyDescent="0.35">
      <c r="AA203" s="212"/>
      <c r="AB203" s="212"/>
      <c r="AC203" s="212"/>
      <c r="AD203" s="212"/>
      <c r="AE203" s="212"/>
      <c r="AF203" s="212"/>
      <c r="AG203" s="212"/>
      <c r="AH203" s="212"/>
      <c r="AI203" s="212"/>
      <c r="AK203" s="212"/>
      <c r="AL203" s="212"/>
      <c r="AM203" s="212"/>
      <c r="AN203" s="212"/>
    </row>
    <row r="204" spans="27:40" ht="15" customHeight="1" x14ac:dyDescent="0.35">
      <c r="AA204" s="212"/>
      <c r="AB204" s="212"/>
      <c r="AC204" s="212"/>
      <c r="AD204" s="212"/>
      <c r="AE204" s="212"/>
      <c r="AF204" s="212"/>
      <c r="AG204" s="212"/>
      <c r="AH204" s="212"/>
      <c r="AI204" s="212"/>
      <c r="AK204" s="212"/>
      <c r="AL204" s="212"/>
      <c r="AM204" s="212"/>
      <c r="AN204" s="212"/>
    </row>
    <row r="205" spans="27:40" ht="15" customHeight="1" x14ac:dyDescent="0.35">
      <c r="AA205" s="212"/>
      <c r="AB205" s="212"/>
      <c r="AC205" s="212"/>
      <c r="AD205" s="212"/>
      <c r="AE205" s="212"/>
      <c r="AF205" s="212"/>
      <c r="AG205" s="212"/>
      <c r="AH205" s="212"/>
      <c r="AI205" s="212"/>
      <c r="AK205" s="212"/>
      <c r="AL205" s="212"/>
      <c r="AM205" s="212"/>
      <c r="AN205" s="212"/>
    </row>
    <row r="206" spans="27:40" ht="15" customHeight="1" x14ac:dyDescent="0.35">
      <c r="AA206" s="212"/>
      <c r="AB206" s="212"/>
      <c r="AC206" s="212"/>
      <c r="AD206" s="212"/>
      <c r="AE206" s="212"/>
      <c r="AF206" s="212"/>
      <c r="AG206" s="212"/>
      <c r="AH206" s="212"/>
      <c r="AI206" s="212"/>
      <c r="AK206" s="212"/>
      <c r="AL206" s="212"/>
      <c r="AM206" s="212"/>
      <c r="AN206" s="212"/>
    </row>
    <row r="207" spans="27:40" ht="15" customHeight="1" x14ac:dyDescent="0.35">
      <c r="AA207" s="212"/>
      <c r="AB207" s="212"/>
      <c r="AC207" s="212"/>
      <c r="AD207" s="212"/>
      <c r="AE207" s="212"/>
      <c r="AF207" s="212"/>
      <c r="AG207" s="212"/>
      <c r="AH207" s="212"/>
      <c r="AI207" s="212"/>
      <c r="AK207" s="212"/>
      <c r="AL207" s="212"/>
      <c r="AM207" s="212"/>
      <c r="AN207" s="212"/>
    </row>
    <row r="208" spans="27:40" ht="15" customHeight="1" x14ac:dyDescent="0.35">
      <c r="AA208" s="212"/>
      <c r="AB208" s="212"/>
      <c r="AC208" s="212"/>
      <c r="AD208" s="212"/>
      <c r="AE208" s="212"/>
      <c r="AF208" s="212"/>
      <c r="AG208" s="212"/>
      <c r="AH208" s="212"/>
      <c r="AI208" s="212"/>
      <c r="AK208" s="212"/>
      <c r="AL208" s="212"/>
      <c r="AM208" s="212"/>
      <c r="AN208" s="212"/>
    </row>
    <row r="209" spans="27:40" ht="15" customHeight="1" x14ac:dyDescent="0.35">
      <c r="AA209" s="212"/>
      <c r="AB209" s="212"/>
      <c r="AC209" s="212"/>
      <c r="AD209" s="212"/>
      <c r="AE209" s="212"/>
      <c r="AF209" s="212"/>
      <c r="AG209" s="212"/>
      <c r="AH209" s="212"/>
      <c r="AI209" s="212"/>
      <c r="AK209" s="212"/>
      <c r="AL209" s="212"/>
      <c r="AM209" s="212"/>
      <c r="AN209" s="212"/>
    </row>
    <row r="210" spans="27:40" ht="15" customHeight="1" x14ac:dyDescent="0.35">
      <c r="AA210" s="212"/>
      <c r="AB210" s="212"/>
      <c r="AC210" s="212"/>
      <c r="AD210" s="212"/>
      <c r="AE210" s="212"/>
      <c r="AF210" s="212"/>
      <c r="AG210" s="212"/>
      <c r="AH210" s="212"/>
      <c r="AI210" s="212"/>
      <c r="AK210" s="212"/>
      <c r="AL210" s="212"/>
      <c r="AM210" s="212"/>
      <c r="AN210" s="212"/>
    </row>
    <row r="211" spans="27:40" ht="15" customHeight="1" x14ac:dyDescent="0.35">
      <c r="AA211" s="212"/>
      <c r="AB211" s="212"/>
      <c r="AC211" s="212"/>
      <c r="AD211" s="212"/>
      <c r="AE211" s="212"/>
      <c r="AF211" s="212"/>
      <c r="AG211" s="212"/>
      <c r="AH211" s="212"/>
      <c r="AI211" s="212"/>
      <c r="AK211" s="212"/>
      <c r="AL211" s="212"/>
      <c r="AM211" s="212"/>
      <c r="AN211" s="212"/>
    </row>
    <row r="212" spans="27:40" ht="15" customHeight="1" x14ac:dyDescent="0.35">
      <c r="AA212" s="212"/>
      <c r="AB212" s="212"/>
      <c r="AC212" s="212"/>
      <c r="AD212" s="212"/>
      <c r="AE212" s="212"/>
      <c r="AF212" s="212"/>
      <c r="AG212" s="212"/>
      <c r="AH212" s="212"/>
      <c r="AI212" s="212"/>
      <c r="AK212" s="212"/>
      <c r="AL212" s="212"/>
      <c r="AM212" s="212"/>
      <c r="AN212" s="212"/>
    </row>
    <row r="213" spans="27:40" ht="15" customHeight="1" x14ac:dyDescent="0.35">
      <c r="AA213" s="212"/>
      <c r="AB213" s="212"/>
      <c r="AC213" s="212"/>
      <c r="AD213" s="212"/>
      <c r="AE213" s="212"/>
      <c r="AF213" s="212"/>
      <c r="AG213" s="212"/>
      <c r="AH213" s="212"/>
      <c r="AI213" s="212"/>
      <c r="AK213" s="212"/>
      <c r="AL213" s="212"/>
      <c r="AM213" s="212"/>
      <c r="AN213" s="212"/>
    </row>
    <row r="214" spans="27:40" ht="15" customHeight="1" x14ac:dyDescent="0.35">
      <c r="AA214" s="212"/>
      <c r="AB214" s="212"/>
      <c r="AC214" s="212"/>
      <c r="AD214" s="212"/>
      <c r="AE214" s="212"/>
      <c r="AF214" s="212"/>
      <c r="AG214" s="212"/>
      <c r="AH214" s="212"/>
      <c r="AI214" s="212"/>
      <c r="AK214" s="212"/>
      <c r="AL214" s="212"/>
      <c r="AM214" s="212"/>
      <c r="AN214" s="212"/>
    </row>
    <row r="215" spans="27:40" ht="15" customHeight="1" x14ac:dyDescent="0.35">
      <c r="AA215" s="212"/>
      <c r="AB215" s="212"/>
      <c r="AC215" s="212"/>
      <c r="AD215" s="212"/>
      <c r="AE215" s="212"/>
      <c r="AF215" s="212"/>
      <c r="AG215" s="212"/>
      <c r="AH215" s="212"/>
      <c r="AI215" s="212"/>
      <c r="AK215" s="212"/>
      <c r="AL215" s="212"/>
      <c r="AM215" s="212"/>
      <c r="AN215" s="212"/>
    </row>
    <row r="216" spans="27:40" ht="15" customHeight="1" x14ac:dyDescent="0.35">
      <c r="AA216" s="212"/>
      <c r="AB216" s="212"/>
      <c r="AC216" s="212"/>
      <c r="AD216" s="212"/>
      <c r="AE216" s="212"/>
      <c r="AF216" s="212"/>
      <c r="AG216" s="212"/>
      <c r="AH216" s="212"/>
      <c r="AI216" s="212"/>
      <c r="AK216" s="212"/>
      <c r="AL216" s="212"/>
      <c r="AM216" s="212"/>
      <c r="AN216" s="212"/>
    </row>
    <row r="217" spans="27:40" ht="15" customHeight="1" x14ac:dyDescent="0.35">
      <c r="AA217" s="212"/>
      <c r="AB217" s="212"/>
      <c r="AC217" s="212"/>
      <c r="AD217" s="212"/>
      <c r="AE217" s="212"/>
      <c r="AF217" s="212"/>
      <c r="AG217" s="212"/>
      <c r="AH217" s="212"/>
      <c r="AI217" s="212"/>
      <c r="AK217" s="212"/>
      <c r="AL217" s="212"/>
      <c r="AM217" s="212"/>
      <c r="AN217" s="212"/>
    </row>
    <row r="218" spans="27:40" ht="15" customHeight="1" x14ac:dyDescent="0.35">
      <c r="AA218" s="212"/>
      <c r="AB218" s="212"/>
      <c r="AC218" s="212"/>
      <c r="AD218" s="212"/>
      <c r="AE218" s="212"/>
      <c r="AF218" s="212"/>
      <c r="AG218" s="212"/>
      <c r="AH218" s="212"/>
      <c r="AI218" s="212"/>
      <c r="AK218" s="212"/>
      <c r="AL218" s="212"/>
      <c r="AM218" s="212"/>
      <c r="AN218" s="212"/>
    </row>
    <row r="219" spans="27:40" ht="15" customHeight="1" x14ac:dyDescent="0.35">
      <c r="AA219" s="212"/>
      <c r="AB219" s="212"/>
      <c r="AC219" s="212"/>
      <c r="AD219" s="212"/>
      <c r="AE219" s="212"/>
      <c r="AF219" s="212"/>
      <c r="AG219" s="212"/>
      <c r="AH219" s="212"/>
      <c r="AI219" s="212"/>
      <c r="AK219" s="212"/>
      <c r="AL219" s="212"/>
      <c r="AM219" s="212"/>
      <c r="AN219" s="212"/>
    </row>
    <row r="220" spans="27:40" ht="15" customHeight="1" x14ac:dyDescent="0.35">
      <c r="AA220" s="212"/>
      <c r="AB220" s="212"/>
      <c r="AC220" s="212"/>
      <c r="AD220" s="212"/>
      <c r="AE220" s="212"/>
      <c r="AF220" s="212"/>
      <c r="AG220" s="212"/>
      <c r="AH220" s="212"/>
      <c r="AI220" s="212"/>
      <c r="AK220" s="212"/>
      <c r="AL220" s="212"/>
      <c r="AM220" s="212"/>
      <c r="AN220" s="212"/>
    </row>
    <row r="221" spans="27:40" ht="15" customHeight="1" x14ac:dyDescent="0.35">
      <c r="AA221" s="212"/>
      <c r="AB221" s="212"/>
      <c r="AC221" s="212"/>
      <c r="AD221" s="212"/>
      <c r="AE221" s="212"/>
      <c r="AF221" s="212"/>
      <c r="AG221" s="212"/>
      <c r="AH221" s="212"/>
      <c r="AI221" s="212"/>
      <c r="AK221" s="212"/>
      <c r="AL221" s="212"/>
      <c r="AM221" s="212"/>
      <c r="AN221" s="212"/>
    </row>
    <row r="222" spans="27:40" ht="15" customHeight="1" x14ac:dyDescent="0.35">
      <c r="AA222" s="212"/>
      <c r="AB222" s="212"/>
      <c r="AC222" s="212"/>
      <c r="AD222" s="212"/>
      <c r="AE222" s="212"/>
      <c r="AF222" s="212"/>
      <c r="AG222" s="212"/>
      <c r="AH222" s="212"/>
      <c r="AI222" s="212"/>
      <c r="AK222" s="212"/>
      <c r="AL222" s="212"/>
      <c r="AM222" s="212"/>
      <c r="AN222" s="212"/>
    </row>
    <row r="223" spans="27:40" ht="15" customHeight="1" x14ac:dyDescent="0.35">
      <c r="AA223" s="212"/>
      <c r="AB223" s="212"/>
      <c r="AC223" s="212"/>
      <c r="AD223" s="212"/>
      <c r="AE223" s="212"/>
      <c r="AF223" s="212"/>
      <c r="AG223" s="212"/>
      <c r="AH223" s="212"/>
      <c r="AI223" s="212"/>
      <c r="AK223" s="212"/>
      <c r="AL223" s="212"/>
      <c r="AM223" s="212"/>
      <c r="AN223" s="212"/>
    </row>
    <row r="224" spans="27:40" ht="15" customHeight="1" x14ac:dyDescent="0.35">
      <c r="AA224" s="212"/>
      <c r="AB224" s="212"/>
      <c r="AC224" s="212"/>
      <c r="AD224" s="212"/>
      <c r="AE224" s="212"/>
      <c r="AF224" s="212"/>
      <c r="AG224" s="212"/>
      <c r="AH224" s="212"/>
      <c r="AI224" s="212"/>
      <c r="AK224" s="212"/>
      <c r="AL224" s="212"/>
      <c r="AM224" s="212"/>
      <c r="AN224" s="212"/>
    </row>
    <row r="225" spans="27:40" ht="15" customHeight="1" x14ac:dyDescent="0.35">
      <c r="AA225" s="212"/>
      <c r="AB225" s="212"/>
      <c r="AC225" s="212"/>
      <c r="AD225" s="212"/>
      <c r="AE225" s="212"/>
      <c r="AF225" s="212"/>
      <c r="AG225" s="212"/>
      <c r="AH225" s="212"/>
      <c r="AI225" s="212"/>
      <c r="AK225" s="212"/>
      <c r="AL225" s="212"/>
      <c r="AM225" s="212"/>
      <c r="AN225" s="212"/>
    </row>
    <row r="226" spans="27:40" ht="15" customHeight="1" x14ac:dyDescent="0.35">
      <c r="AA226" s="212"/>
      <c r="AB226" s="212"/>
      <c r="AC226" s="212"/>
      <c r="AD226" s="212"/>
      <c r="AE226" s="212"/>
      <c r="AF226" s="212"/>
      <c r="AG226" s="212"/>
      <c r="AH226" s="212"/>
      <c r="AI226" s="212"/>
      <c r="AK226" s="212"/>
      <c r="AL226" s="212"/>
      <c r="AM226" s="212"/>
      <c r="AN226" s="212"/>
    </row>
    <row r="227" spans="27:40" ht="15" customHeight="1" x14ac:dyDescent="0.35">
      <c r="AA227" s="212"/>
      <c r="AB227" s="212"/>
      <c r="AC227" s="212"/>
      <c r="AD227" s="212"/>
      <c r="AE227" s="212"/>
      <c r="AF227" s="212"/>
      <c r="AG227" s="212"/>
      <c r="AH227" s="212"/>
      <c r="AI227" s="212"/>
      <c r="AK227" s="212"/>
      <c r="AL227" s="212"/>
      <c r="AM227" s="212"/>
      <c r="AN227" s="212"/>
    </row>
    <row r="228" spans="27:40" ht="15" customHeight="1" x14ac:dyDescent="0.35">
      <c r="AA228" s="212"/>
      <c r="AB228" s="212"/>
      <c r="AC228" s="212"/>
      <c r="AD228" s="212"/>
      <c r="AE228" s="212"/>
      <c r="AF228" s="212"/>
      <c r="AG228" s="212"/>
      <c r="AH228" s="212"/>
      <c r="AI228" s="212"/>
      <c r="AK228" s="212"/>
      <c r="AL228" s="212"/>
      <c r="AM228" s="212"/>
      <c r="AN228" s="212"/>
    </row>
    <row r="229" spans="27:40" ht="15" customHeight="1" x14ac:dyDescent="0.35">
      <c r="AA229" s="212"/>
      <c r="AB229" s="212"/>
      <c r="AC229" s="212"/>
      <c r="AD229" s="212"/>
      <c r="AE229" s="212"/>
      <c r="AF229" s="212"/>
      <c r="AG229" s="212"/>
      <c r="AH229" s="212"/>
      <c r="AI229" s="212"/>
      <c r="AK229" s="212"/>
      <c r="AL229" s="212"/>
      <c r="AM229" s="212"/>
      <c r="AN229" s="212"/>
    </row>
    <row r="230" spans="27:40" ht="15" customHeight="1" x14ac:dyDescent="0.35">
      <c r="AA230" s="212"/>
      <c r="AB230" s="212"/>
      <c r="AC230" s="212"/>
      <c r="AD230" s="212"/>
      <c r="AE230" s="212"/>
      <c r="AF230" s="212"/>
      <c r="AG230" s="212"/>
      <c r="AH230" s="212"/>
      <c r="AI230" s="212"/>
      <c r="AK230" s="212"/>
      <c r="AL230" s="212"/>
      <c r="AM230" s="212"/>
      <c r="AN230" s="212"/>
    </row>
    <row r="231" spans="27:40" ht="15" customHeight="1" x14ac:dyDescent="0.35">
      <c r="AA231" s="212"/>
      <c r="AB231" s="212"/>
      <c r="AC231" s="212"/>
      <c r="AD231" s="212"/>
      <c r="AE231" s="212"/>
      <c r="AF231" s="212"/>
      <c r="AG231" s="212"/>
      <c r="AH231" s="212"/>
      <c r="AI231" s="212"/>
      <c r="AK231" s="212"/>
      <c r="AL231" s="212"/>
      <c r="AM231" s="212"/>
      <c r="AN231" s="212"/>
    </row>
    <row r="232" spans="27:40" ht="15" customHeight="1" x14ac:dyDescent="0.35">
      <c r="AA232" s="212"/>
      <c r="AB232" s="212"/>
      <c r="AC232" s="212"/>
      <c r="AD232" s="212"/>
      <c r="AE232" s="212"/>
      <c r="AF232" s="212"/>
      <c r="AG232" s="212"/>
      <c r="AH232" s="212"/>
      <c r="AI232" s="212"/>
      <c r="AK232" s="212"/>
      <c r="AL232" s="212"/>
      <c r="AM232" s="212"/>
      <c r="AN232" s="212"/>
    </row>
    <row r="233" spans="27:40" ht="15" customHeight="1" x14ac:dyDescent="0.35">
      <c r="AA233" s="212"/>
      <c r="AB233" s="212"/>
      <c r="AC233" s="212"/>
      <c r="AD233" s="212"/>
      <c r="AE233" s="212"/>
      <c r="AF233" s="212"/>
      <c r="AG233" s="212"/>
      <c r="AH233" s="212"/>
      <c r="AI233" s="212"/>
      <c r="AK233" s="212"/>
      <c r="AL233" s="212"/>
      <c r="AM233" s="212"/>
      <c r="AN233" s="212"/>
    </row>
    <row r="234" spans="27:40" ht="15" customHeight="1" x14ac:dyDescent="0.35">
      <c r="AA234" s="212"/>
      <c r="AB234" s="212"/>
      <c r="AC234" s="212"/>
      <c r="AD234" s="212"/>
      <c r="AE234" s="212"/>
      <c r="AF234" s="212"/>
      <c r="AG234" s="212"/>
      <c r="AH234" s="212"/>
      <c r="AI234" s="212"/>
      <c r="AK234" s="212"/>
      <c r="AL234" s="212"/>
      <c r="AM234" s="212"/>
      <c r="AN234" s="212"/>
    </row>
    <row r="235" spans="27:40" ht="15" customHeight="1" x14ac:dyDescent="0.35">
      <c r="AA235" s="212"/>
      <c r="AB235" s="212"/>
      <c r="AC235" s="212"/>
      <c r="AD235" s="212"/>
      <c r="AE235" s="212"/>
      <c r="AF235" s="212"/>
      <c r="AG235" s="212"/>
      <c r="AH235" s="212"/>
      <c r="AI235" s="212"/>
      <c r="AK235" s="212"/>
      <c r="AL235" s="212"/>
      <c r="AM235" s="212"/>
      <c r="AN235" s="212"/>
    </row>
    <row r="236" spans="27:40" ht="15" customHeight="1" x14ac:dyDescent="0.35">
      <c r="AA236" s="212"/>
      <c r="AB236" s="212"/>
      <c r="AC236" s="212"/>
      <c r="AD236" s="212"/>
      <c r="AE236" s="212"/>
      <c r="AF236" s="212"/>
      <c r="AG236" s="212"/>
      <c r="AH236" s="212"/>
      <c r="AI236" s="212"/>
      <c r="AK236" s="212"/>
      <c r="AL236" s="212"/>
      <c r="AM236" s="212"/>
      <c r="AN236" s="212"/>
    </row>
    <row r="237" spans="27:40" ht="15" customHeight="1" x14ac:dyDescent="0.35">
      <c r="AA237" s="212"/>
      <c r="AB237" s="212"/>
      <c r="AC237" s="212"/>
      <c r="AD237" s="212"/>
      <c r="AE237" s="212"/>
      <c r="AF237" s="212"/>
      <c r="AG237" s="212"/>
      <c r="AH237" s="212"/>
      <c r="AI237" s="212"/>
      <c r="AK237" s="212"/>
      <c r="AL237" s="212"/>
      <c r="AM237" s="212"/>
      <c r="AN237" s="212"/>
    </row>
    <row r="238" spans="27:40" ht="15" customHeight="1" x14ac:dyDescent="0.35">
      <c r="AA238" s="212"/>
      <c r="AB238" s="212"/>
      <c r="AC238" s="212"/>
      <c r="AD238" s="212"/>
      <c r="AE238" s="212"/>
      <c r="AF238" s="212"/>
      <c r="AG238" s="212"/>
      <c r="AH238" s="212"/>
      <c r="AI238" s="212"/>
      <c r="AK238" s="212"/>
      <c r="AL238" s="212"/>
      <c r="AM238" s="212"/>
      <c r="AN238" s="212"/>
    </row>
    <row r="239" spans="27:40" ht="15" customHeight="1" x14ac:dyDescent="0.35">
      <c r="AA239" s="212"/>
      <c r="AB239" s="212"/>
      <c r="AC239" s="212"/>
      <c r="AD239" s="212"/>
      <c r="AE239" s="212"/>
      <c r="AF239" s="212"/>
      <c r="AG239" s="212"/>
      <c r="AH239" s="212"/>
      <c r="AI239" s="212"/>
      <c r="AK239" s="212"/>
      <c r="AL239" s="212"/>
      <c r="AM239" s="212"/>
      <c r="AN239" s="212"/>
    </row>
    <row r="240" spans="27:40" ht="15" customHeight="1" x14ac:dyDescent="0.35">
      <c r="AA240" s="212"/>
      <c r="AB240" s="212"/>
      <c r="AC240" s="212"/>
      <c r="AD240" s="212"/>
      <c r="AE240" s="212"/>
      <c r="AF240" s="212"/>
      <c r="AG240" s="212"/>
      <c r="AH240" s="212"/>
      <c r="AI240" s="212"/>
      <c r="AK240" s="212"/>
      <c r="AL240" s="212"/>
      <c r="AM240" s="212"/>
      <c r="AN240" s="212"/>
    </row>
    <row r="241" spans="27:40" ht="15" customHeight="1" x14ac:dyDescent="0.35">
      <c r="AA241" s="212"/>
      <c r="AB241" s="212"/>
      <c r="AC241" s="212"/>
      <c r="AD241" s="212"/>
      <c r="AE241" s="212"/>
      <c r="AF241" s="212"/>
      <c r="AG241" s="212"/>
      <c r="AH241" s="212"/>
      <c r="AI241" s="212"/>
      <c r="AK241" s="212"/>
      <c r="AL241" s="212"/>
      <c r="AM241" s="212"/>
      <c r="AN241" s="212"/>
    </row>
    <row r="242" spans="27:40" ht="15" customHeight="1" x14ac:dyDescent="0.35">
      <c r="AA242" s="212"/>
      <c r="AB242" s="212"/>
      <c r="AC242" s="212"/>
      <c r="AD242" s="212"/>
      <c r="AE242" s="212"/>
      <c r="AF242" s="212"/>
      <c r="AG242" s="212"/>
      <c r="AH242" s="212"/>
      <c r="AI242" s="212"/>
      <c r="AK242" s="212"/>
      <c r="AL242" s="212"/>
      <c r="AM242" s="212"/>
      <c r="AN242" s="212"/>
    </row>
    <row r="243" spans="27:40" ht="15" customHeight="1" x14ac:dyDescent="0.35">
      <c r="AA243" s="212"/>
      <c r="AB243" s="212"/>
      <c r="AC243" s="212"/>
      <c r="AD243" s="212"/>
      <c r="AE243" s="212"/>
      <c r="AF243" s="212"/>
      <c r="AG243" s="212"/>
      <c r="AH243" s="212"/>
      <c r="AI243" s="212"/>
      <c r="AK243" s="212"/>
      <c r="AL243" s="212"/>
      <c r="AM243" s="212"/>
      <c r="AN243" s="212"/>
    </row>
    <row r="244" spans="27:40" ht="15" customHeight="1" x14ac:dyDescent="0.35">
      <c r="AA244" s="212"/>
      <c r="AB244" s="212"/>
      <c r="AC244" s="212"/>
      <c r="AD244" s="212"/>
      <c r="AE244" s="212"/>
      <c r="AF244" s="212"/>
      <c r="AG244" s="212"/>
      <c r="AH244" s="212"/>
      <c r="AI244" s="212"/>
      <c r="AK244" s="212"/>
      <c r="AL244" s="212"/>
      <c r="AM244" s="212"/>
      <c r="AN244" s="212"/>
    </row>
    <row r="245" spans="27:40" ht="15" customHeight="1" x14ac:dyDescent="0.35">
      <c r="AA245" s="212"/>
      <c r="AB245" s="212"/>
      <c r="AC245" s="212"/>
      <c r="AD245" s="212"/>
      <c r="AE245" s="212"/>
      <c r="AF245" s="212"/>
      <c r="AG245" s="212"/>
      <c r="AH245" s="212"/>
      <c r="AI245" s="212"/>
      <c r="AK245" s="212"/>
      <c r="AL245" s="212"/>
      <c r="AM245" s="212"/>
      <c r="AN245" s="212"/>
    </row>
    <row r="246" spans="27:40" ht="15" customHeight="1" x14ac:dyDescent="0.35">
      <c r="AA246" s="212"/>
      <c r="AB246" s="212"/>
      <c r="AC246" s="212"/>
      <c r="AD246" s="212"/>
      <c r="AE246" s="212"/>
      <c r="AF246" s="212"/>
      <c r="AG246" s="212"/>
      <c r="AH246" s="212"/>
      <c r="AI246" s="212"/>
      <c r="AK246" s="212"/>
      <c r="AL246" s="212"/>
      <c r="AM246" s="212"/>
      <c r="AN246" s="212"/>
    </row>
    <row r="247" spans="27:40" ht="15" customHeight="1" x14ac:dyDescent="0.35">
      <c r="AA247" s="212"/>
      <c r="AB247" s="212"/>
      <c r="AC247" s="212"/>
      <c r="AD247" s="212"/>
      <c r="AE247" s="212"/>
      <c r="AF247" s="212"/>
      <c r="AG247" s="212"/>
      <c r="AH247" s="212"/>
      <c r="AI247" s="212"/>
      <c r="AK247" s="212"/>
      <c r="AL247" s="212"/>
      <c r="AM247" s="212"/>
      <c r="AN247" s="212"/>
    </row>
    <row r="248" spans="27:40" ht="15" customHeight="1" x14ac:dyDescent="0.35">
      <c r="AA248" s="212"/>
      <c r="AB248" s="212"/>
      <c r="AC248" s="212"/>
      <c r="AD248" s="212"/>
      <c r="AE248" s="212"/>
      <c r="AF248" s="212"/>
      <c r="AG248" s="212"/>
      <c r="AH248" s="212"/>
      <c r="AI248" s="212"/>
      <c r="AK248" s="212"/>
      <c r="AL248" s="212"/>
      <c r="AM248" s="212"/>
      <c r="AN248" s="212"/>
    </row>
    <row r="249" spans="27:40" ht="15" customHeight="1" x14ac:dyDescent="0.35">
      <c r="AA249" s="212"/>
      <c r="AB249" s="212"/>
      <c r="AC249" s="212"/>
      <c r="AD249" s="212"/>
      <c r="AE249" s="212"/>
      <c r="AF249" s="212"/>
      <c r="AG249" s="212"/>
      <c r="AH249" s="212"/>
      <c r="AI249" s="212"/>
      <c r="AK249" s="212"/>
      <c r="AL249" s="212"/>
      <c r="AM249" s="212"/>
      <c r="AN249" s="212"/>
    </row>
    <row r="250" spans="27:40" ht="15" customHeight="1" x14ac:dyDescent="0.35">
      <c r="AA250" s="212"/>
      <c r="AB250" s="212"/>
      <c r="AC250" s="212"/>
      <c r="AD250" s="212"/>
      <c r="AE250" s="212"/>
      <c r="AF250" s="212"/>
      <c r="AG250" s="212"/>
      <c r="AH250" s="212"/>
      <c r="AI250" s="212"/>
      <c r="AK250" s="212"/>
      <c r="AL250" s="212"/>
      <c r="AM250" s="212"/>
      <c r="AN250" s="212"/>
    </row>
    <row r="251" spans="27:40" ht="15" customHeight="1" x14ac:dyDescent="0.35">
      <c r="AA251" s="212"/>
      <c r="AB251" s="212"/>
      <c r="AC251" s="212"/>
      <c r="AD251" s="212"/>
      <c r="AE251" s="212"/>
      <c r="AF251" s="212"/>
      <c r="AG251" s="212"/>
      <c r="AH251" s="212"/>
      <c r="AI251" s="212"/>
      <c r="AK251" s="212"/>
      <c r="AL251" s="212"/>
      <c r="AM251" s="212"/>
      <c r="AN251" s="212"/>
    </row>
    <row r="252" spans="27:40" ht="15" customHeight="1" x14ac:dyDescent="0.35">
      <c r="AA252" s="212"/>
      <c r="AB252" s="212"/>
      <c r="AC252" s="212"/>
      <c r="AD252" s="212"/>
      <c r="AE252" s="212"/>
      <c r="AF252" s="212"/>
      <c r="AG252" s="212"/>
      <c r="AH252" s="212"/>
      <c r="AI252" s="212"/>
      <c r="AK252" s="212"/>
      <c r="AL252" s="212"/>
      <c r="AM252" s="212"/>
      <c r="AN252" s="212"/>
    </row>
    <row r="253" spans="27:40" ht="15" customHeight="1" x14ac:dyDescent="0.35">
      <c r="AA253" s="212"/>
      <c r="AB253" s="212"/>
      <c r="AC253" s="212"/>
      <c r="AD253" s="212"/>
      <c r="AE253" s="212"/>
      <c r="AF253" s="212"/>
      <c r="AG253" s="212"/>
      <c r="AH253" s="212"/>
      <c r="AI253" s="212"/>
      <c r="AK253" s="212"/>
      <c r="AL253" s="212"/>
      <c r="AM253" s="212"/>
      <c r="AN253" s="212"/>
    </row>
    <row r="254" spans="27:40" ht="15" customHeight="1" x14ac:dyDescent="0.35">
      <c r="AA254" s="212"/>
      <c r="AB254" s="212"/>
      <c r="AC254" s="212"/>
      <c r="AD254" s="212"/>
      <c r="AE254" s="212"/>
      <c r="AF254" s="212"/>
      <c r="AG254" s="212"/>
      <c r="AH254" s="212"/>
      <c r="AI254" s="212"/>
      <c r="AK254" s="212"/>
      <c r="AL254" s="212"/>
      <c r="AM254" s="212"/>
      <c r="AN254" s="212"/>
    </row>
    <row r="255" spans="27:40" ht="15" customHeight="1" x14ac:dyDescent="0.35">
      <c r="AA255" s="212"/>
      <c r="AB255" s="212"/>
      <c r="AC255" s="212"/>
      <c r="AD255" s="212"/>
      <c r="AE255" s="212"/>
      <c r="AF255" s="212"/>
      <c r="AG255" s="212"/>
      <c r="AH255" s="212"/>
      <c r="AI255" s="212"/>
      <c r="AK255" s="212"/>
      <c r="AL255" s="212"/>
      <c r="AM255" s="212"/>
      <c r="AN255" s="212"/>
    </row>
    <row r="256" spans="27:40" ht="15" customHeight="1" x14ac:dyDescent="0.35">
      <c r="AA256" s="212"/>
      <c r="AB256" s="212"/>
      <c r="AC256" s="212"/>
      <c r="AD256" s="212"/>
      <c r="AE256" s="212"/>
      <c r="AF256" s="212"/>
      <c r="AG256" s="212"/>
      <c r="AH256" s="212"/>
      <c r="AI256" s="212"/>
      <c r="AK256" s="212"/>
      <c r="AL256" s="212"/>
      <c r="AM256" s="212"/>
      <c r="AN256" s="212"/>
    </row>
    <row r="257" spans="27:40" ht="15" customHeight="1" x14ac:dyDescent="0.35">
      <c r="AA257" s="212"/>
      <c r="AB257" s="212"/>
      <c r="AC257" s="212"/>
      <c r="AD257" s="212"/>
      <c r="AE257" s="212"/>
      <c r="AF257" s="212"/>
      <c r="AG257" s="212"/>
      <c r="AH257" s="212"/>
      <c r="AI257" s="212"/>
      <c r="AK257" s="212"/>
      <c r="AL257" s="212"/>
      <c r="AM257" s="212"/>
      <c r="AN257" s="212"/>
    </row>
    <row r="258" spans="27:40" ht="15" customHeight="1" x14ac:dyDescent="0.35">
      <c r="AA258" s="212"/>
      <c r="AB258" s="212"/>
      <c r="AC258" s="212"/>
      <c r="AD258" s="212"/>
      <c r="AE258" s="212"/>
      <c r="AF258" s="212"/>
      <c r="AG258" s="212"/>
      <c r="AH258" s="212"/>
      <c r="AI258" s="212"/>
      <c r="AK258" s="212"/>
      <c r="AL258" s="212"/>
      <c r="AM258" s="212"/>
      <c r="AN258" s="212"/>
    </row>
    <row r="259" spans="27:40" ht="15" customHeight="1" x14ac:dyDescent="0.35">
      <c r="AA259" s="212"/>
      <c r="AB259" s="212"/>
      <c r="AC259" s="212"/>
      <c r="AD259" s="212"/>
      <c r="AE259" s="212"/>
      <c r="AF259" s="212"/>
      <c r="AG259" s="212"/>
      <c r="AH259" s="212"/>
      <c r="AI259" s="212"/>
      <c r="AK259" s="212"/>
      <c r="AL259" s="212"/>
      <c r="AM259" s="212"/>
      <c r="AN259" s="212"/>
    </row>
    <row r="260" spans="27:40" ht="15" customHeight="1" x14ac:dyDescent="0.35">
      <c r="AA260" s="212"/>
      <c r="AB260" s="212"/>
      <c r="AC260" s="212"/>
      <c r="AD260" s="212"/>
      <c r="AE260" s="212"/>
      <c r="AF260" s="212"/>
      <c r="AG260" s="212"/>
      <c r="AH260" s="212"/>
      <c r="AI260" s="212"/>
      <c r="AK260" s="212"/>
      <c r="AL260" s="212"/>
      <c r="AM260" s="212"/>
      <c r="AN260" s="212"/>
    </row>
    <row r="261" spans="27:40" ht="15" customHeight="1" x14ac:dyDescent="0.35">
      <c r="AA261" s="212"/>
      <c r="AB261" s="212"/>
      <c r="AC261" s="212"/>
      <c r="AD261" s="212"/>
      <c r="AE261" s="212"/>
      <c r="AF261" s="212"/>
      <c r="AG261" s="212"/>
      <c r="AH261" s="212"/>
      <c r="AI261" s="212"/>
      <c r="AK261" s="212"/>
      <c r="AL261" s="212"/>
      <c r="AM261" s="212"/>
      <c r="AN261" s="212"/>
    </row>
    <row r="262" spans="27:40" ht="15" customHeight="1" x14ac:dyDescent="0.35">
      <c r="AA262" s="212"/>
      <c r="AB262" s="212"/>
      <c r="AC262" s="212"/>
      <c r="AD262" s="212"/>
      <c r="AE262" s="212"/>
      <c r="AF262" s="212"/>
      <c r="AG262" s="212"/>
      <c r="AH262" s="212"/>
      <c r="AI262" s="212"/>
      <c r="AK262" s="212"/>
      <c r="AL262" s="212"/>
      <c r="AM262" s="212"/>
      <c r="AN262" s="212"/>
    </row>
    <row r="263" spans="27:40" ht="15" customHeight="1" x14ac:dyDescent="0.35">
      <c r="AA263" s="212"/>
      <c r="AB263" s="212"/>
      <c r="AC263" s="212"/>
      <c r="AD263" s="212"/>
      <c r="AE263" s="212"/>
      <c r="AF263" s="212"/>
      <c r="AG263" s="212"/>
      <c r="AH263" s="212"/>
      <c r="AI263" s="212"/>
      <c r="AK263" s="212"/>
      <c r="AL263" s="212"/>
      <c r="AM263" s="212"/>
      <c r="AN263" s="212"/>
    </row>
    <row r="264" spans="27:40" ht="15" customHeight="1" x14ac:dyDescent="0.35">
      <c r="AA264" s="212"/>
      <c r="AB264" s="212"/>
      <c r="AC264" s="212"/>
      <c r="AD264" s="212"/>
      <c r="AE264" s="212"/>
      <c r="AF264" s="212"/>
      <c r="AG264" s="212"/>
      <c r="AH264" s="212"/>
      <c r="AI264" s="212"/>
      <c r="AK264" s="212"/>
      <c r="AL264" s="212"/>
      <c r="AM264" s="212"/>
      <c r="AN264" s="212"/>
    </row>
    <row r="265" spans="27:40" ht="15" customHeight="1" x14ac:dyDescent="0.35">
      <c r="AA265" s="212"/>
      <c r="AB265" s="212"/>
      <c r="AC265" s="212"/>
      <c r="AD265" s="212"/>
      <c r="AE265" s="212"/>
      <c r="AF265" s="212"/>
      <c r="AG265" s="212"/>
      <c r="AH265" s="212"/>
      <c r="AI265" s="212"/>
      <c r="AK265" s="212"/>
      <c r="AL265" s="212"/>
      <c r="AM265" s="212"/>
      <c r="AN265" s="212"/>
    </row>
    <row r="266" spans="27:40" ht="15" customHeight="1" x14ac:dyDescent="0.35">
      <c r="AA266" s="212"/>
      <c r="AB266" s="212"/>
      <c r="AC266" s="212"/>
      <c r="AD266" s="212"/>
      <c r="AE266" s="212"/>
      <c r="AF266" s="212"/>
      <c r="AG266" s="212"/>
      <c r="AH266" s="212"/>
      <c r="AI266" s="212"/>
      <c r="AK266" s="212"/>
      <c r="AL266" s="212"/>
      <c r="AM266" s="212"/>
      <c r="AN266" s="212"/>
    </row>
    <row r="267" spans="27:40" ht="15" customHeight="1" x14ac:dyDescent="0.35">
      <c r="AA267" s="212"/>
      <c r="AB267" s="212"/>
      <c r="AC267" s="212"/>
      <c r="AD267" s="212"/>
      <c r="AE267" s="212"/>
      <c r="AF267" s="212"/>
      <c r="AG267" s="212"/>
      <c r="AH267" s="212"/>
      <c r="AI267" s="212"/>
      <c r="AK267" s="212"/>
      <c r="AL267" s="212"/>
      <c r="AM267" s="212"/>
      <c r="AN267" s="212"/>
    </row>
    <row r="268" spans="27:40" ht="15" customHeight="1" x14ac:dyDescent="0.35">
      <c r="AA268" s="212"/>
      <c r="AB268" s="212"/>
      <c r="AC268" s="212"/>
      <c r="AD268" s="212"/>
      <c r="AE268" s="212"/>
      <c r="AF268" s="212"/>
      <c r="AG268" s="212"/>
      <c r="AH268" s="212"/>
      <c r="AI268" s="212"/>
      <c r="AK268" s="212"/>
      <c r="AL268" s="212"/>
      <c r="AM268" s="212"/>
      <c r="AN268" s="212"/>
    </row>
    <row r="269" spans="27:40" ht="15" customHeight="1" x14ac:dyDescent="0.35">
      <c r="AA269" s="212"/>
      <c r="AB269" s="212"/>
      <c r="AC269" s="212"/>
      <c r="AD269" s="212"/>
      <c r="AE269" s="212"/>
      <c r="AF269" s="212"/>
      <c r="AG269" s="212"/>
      <c r="AH269" s="212"/>
      <c r="AI269" s="212"/>
      <c r="AK269" s="212"/>
      <c r="AL269" s="212"/>
      <c r="AM269" s="212"/>
      <c r="AN269" s="212"/>
    </row>
    <row r="270" spans="27:40" ht="15" customHeight="1" x14ac:dyDescent="0.35">
      <c r="AA270" s="212"/>
      <c r="AB270" s="212"/>
      <c r="AC270" s="212"/>
      <c r="AD270" s="212"/>
      <c r="AE270" s="212"/>
      <c r="AF270" s="212"/>
      <c r="AG270" s="212"/>
      <c r="AH270" s="212"/>
      <c r="AI270" s="212"/>
      <c r="AK270" s="212"/>
      <c r="AL270" s="212"/>
      <c r="AM270" s="212"/>
      <c r="AN270" s="212"/>
    </row>
    <row r="271" spans="27:40" ht="15" customHeight="1" x14ac:dyDescent="0.35">
      <c r="AA271" s="212"/>
      <c r="AB271" s="212"/>
      <c r="AC271" s="212"/>
      <c r="AD271" s="212"/>
      <c r="AE271" s="212"/>
      <c r="AF271" s="212"/>
      <c r="AG271" s="212"/>
      <c r="AH271" s="212"/>
      <c r="AI271" s="212"/>
      <c r="AK271" s="212"/>
      <c r="AL271" s="212"/>
      <c r="AM271" s="212"/>
      <c r="AN271" s="212"/>
    </row>
    <row r="272" spans="27:40" ht="15" customHeight="1" x14ac:dyDescent="0.35">
      <c r="AA272" s="212"/>
      <c r="AB272" s="212"/>
      <c r="AC272" s="212"/>
      <c r="AD272" s="212"/>
      <c r="AE272" s="212"/>
      <c r="AF272" s="212"/>
      <c r="AG272" s="212"/>
      <c r="AH272" s="212"/>
      <c r="AI272" s="212"/>
      <c r="AK272" s="212"/>
      <c r="AL272" s="212"/>
      <c r="AM272" s="212"/>
      <c r="AN272" s="212"/>
    </row>
    <row r="273" spans="27:40" ht="15" customHeight="1" x14ac:dyDescent="0.35">
      <c r="AA273" s="212"/>
      <c r="AB273" s="212"/>
      <c r="AC273" s="212"/>
      <c r="AD273" s="212"/>
      <c r="AE273" s="212"/>
      <c r="AF273" s="212"/>
      <c r="AG273" s="212"/>
      <c r="AH273" s="212"/>
      <c r="AI273" s="212"/>
      <c r="AK273" s="212"/>
      <c r="AL273" s="212"/>
      <c r="AM273" s="212"/>
      <c r="AN273" s="212"/>
    </row>
    <row r="274" spans="27:40" ht="15" customHeight="1" x14ac:dyDescent="0.35">
      <c r="AA274" s="212"/>
      <c r="AB274" s="212"/>
      <c r="AC274" s="212"/>
      <c r="AD274" s="212"/>
      <c r="AE274" s="212"/>
      <c r="AF274" s="212"/>
      <c r="AG274" s="212"/>
      <c r="AH274" s="212"/>
      <c r="AI274" s="212"/>
      <c r="AK274" s="212"/>
      <c r="AL274" s="212"/>
      <c r="AM274" s="212"/>
      <c r="AN274" s="212"/>
    </row>
    <row r="275" spans="27:40" ht="15" customHeight="1" x14ac:dyDescent="0.35">
      <c r="AA275" s="212"/>
      <c r="AB275" s="212"/>
      <c r="AC275" s="212"/>
      <c r="AD275" s="212"/>
      <c r="AE275" s="212"/>
      <c r="AF275" s="212"/>
      <c r="AG275" s="212"/>
      <c r="AH275" s="212"/>
      <c r="AI275" s="212"/>
      <c r="AK275" s="212"/>
      <c r="AL275" s="212"/>
      <c r="AM275" s="212"/>
      <c r="AN275" s="212"/>
    </row>
    <row r="276" spans="27:40" ht="15" customHeight="1" x14ac:dyDescent="0.35">
      <c r="AA276" s="212"/>
      <c r="AB276" s="212"/>
      <c r="AC276" s="212"/>
      <c r="AD276" s="212"/>
      <c r="AE276" s="212"/>
      <c r="AF276" s="212"/>
      <c r="AG276" s="212"/>
      <c r="AH276" s="212"/>
      <c r="AI276" s="212"/>
      <c r="AK276" s="212"/>
      <c r="AL276" s="212"/>
      <c r="AM276" s="212"/>
      <c r="AN276" s="212"/>
    </row>
    <row r="277" spans="27:40" ht="15" customHeight="1" x14ac:dyDescent="0.35">
      <c r="AA277" s="212"/>
      <c r="AB277" s="212"/>
      <c r="AC277" s="212"/>
      <c r="AD277" s="212"/>
      <c r="AE277" s="212"/>
      <c r="AF277" s="212"/>
      <c r="AG277" s="212"/>
      <c r="AH277" s="212"/>
      <c r="AI277" s="212"/>
      <c r="AK277" s="212"/>
      <c r="AL277" s="212"/>
      <c r="AM277" s="212"/>
      <c r="AN277" s="212"/>
    </row>
    <row r="278" spans="27:40" ht="15" customHeight="1" x14ac:dyDescent="0.35">
      <c r="AA278" s="212"/>
      <c r="AB278" s="212"/>
      <c r="AC278" s="212"/>
      <c r="AD278" s="212"/>
      <c r="AE278" s="212"/>
      <c r="AF278" s="212"/>
      <c r="AG278" s="212"/>
      <c r="AH278" s="212"/>
      <c r="AI278" s="212"/>
      <c r="AK278" s="212"/>
      <c r="AL278" s="212"/>
      <c r="AM278" s="212"/>
      <c r="AN278" s="212"/>
    </row>
    <row r="279" spans="27:40" ht="15" customHeight="1" x14ac:dyDescent="0.35">
      <c r="AA279" s="212"/>
      <c r="AB279" s="212"/>
      <c r="AC279" s="212"/>
      <c r="AD279" s="212"/>
      <c r="AE279" s="212"/>
      <c r="AF279" s="212"/>
      <c r="AG279" s="212"/>
      <c r="AH279" s="212"/>
      <c r="AI279" s="212"/>
      <c r="AK279" s="212"/>
      <c r="AL279" s="212"/>
      <c r="AM279" s="212"/>
      <c r="AN279" s="212"/>
    </row>
    <row r="280" spans="27:40" ht="15" customHeight="1" x14ac:dyDescent="0.35">
      <c r="AA280" s="212"/>
      <c r="AB280" s="212"/>
      <c r="AC280" s="212"/>
      <c r="AD280" s="212"/>
      <c r="AE280" s="212"/>
      <c r="AF280" s="212"/>
      <c r="AG280" s="212"/>
      <c r="AH280" s="212"/>
      <c r="AI280" s="212"/>
      <c r="AK280" s="212"/>
      <c r="AL280" s="212"/>
      <c r="AM280" s="212"/>
      <c r="AN280" s="212"/>
    </row>
    <row r="281" spans="27:40" ht="15" customHeight="1" x14ac:dyDescent="0.35">
      <c r="AA281" s="212"/>
      <c r="AB281" s="212"/>
      <c r="AC281" s="212"/>
      <c r="AD281" s="212"/>
      <c r="AE281" s="212"/>
      <c r="AF281" s="212"/>
      <c r="AG281" s="212"/>
      <c r="AH281" s="212"/>
      <c r="AI281" s="212"/>
      <c r="AK281" s="212"/>
      <c r="AL281" s="212"/>
      <c r="AM281" s="212"/>
      <c r="AN281" s="212"/>
    </row>
    <row r="282" spans="27:40" ht="15" customHeight="1" x14ac:dyDescent="0.35">
      <c r="AA282" s="212"/>
      <c r="AB282" s="212"/>
      <c r="AC282" s="212"/>
      <c r="AD282" s="212"/>
      <c r="AE282" s="212"/>
      <c r="AF282" s="212"/>
      <c r="AG282" s="212"/>
      <c r="AH282" s="212"/>
      <c r="AI282" s="212"/>
      <c r="AK282" s="212"/>
      <c r="AL282" s="212"/>
      <c r="AM282" s="212"/>
      <c r="AN282" s="212"/>
    </row>
    <row r="283" spans="27:40" ht="15" customHeight="1" x14ac:dyDescent="0.35">
      <c r="AA283" s="212"/>
      <c r="AB283" s="212"/>
      <c r="AC283" s="212"/>
      <c r="AD283" s="212"/>
      <c r="AE283" s="212"/>
      <c r="AF283" s="212"/>
      <c r="AG283" s="212"/>
      <c r="AH283" s="212"/>
      <c r="AI283" s="212"/>
      <c r="AK283" s="212"/>
      <c r="AL283" s="212"/>
      <c r="AM283" s="212"/>
      <c r="AN283" s="212"/>
    </row>
    <row r="284" spans="27:40" ht="15" customHeight="1" x14ac:dyDescent="0.35">
      <c r="AA284" s="212"/>
      <c r="AB284" s="212"/>
      <c r="AC284" s="212"/>
      <c r="AD284" s="212"/>
      <c r="AE284" s="212"/>
      <c r="AF284" s="212"/>
      <c r="AG284" s="212"/>
      <c r="AH284" s="212"/>
      <c r="AI284" s="212"/>
      <c r="AK284" s="212"/>
      <c r="AL284" s="212"/>
      <c r="AM284" s="212"/>
      <c r="AN284" s="212"/>
    </row>
    <row r="285" spans="27:40" ht="15" customHeight="1" x14ac:dyDescent="0.35">
      <c r="AA285" s="212"/>
      <c r="AB285" s="212"/>
      <c r="AC285" s="212"/>
      <c r="AD285" s="212"/>
      <c r="AE285" s="212"/>
      <c r="AF285" s="212"/>
      <c r="AG285" s="212"/>
      <c r="AH285" s="212"/>
      <c r="AI285" s="212"/>
      <c r="AK285" s="212"/>
      <c r="AL285" s="212"/>
      <c r="AM285" s="212"/>
      <c r="AN285" s="212"/>
    </row>
    <row r="286" spans="27:40" ht="15" customHeight="1" x14ac:dyDescent="0.35">
      <c r="AA286" s="212"/>
      <c r="AB286" s="212"/>
      <c r="AC286" s="212"/>
      <c r="AD286" s="212"/>
      <c r="AE286" s="212"/>
      <c r="AF286" s="212"/>
      <c r="AG286" s="212"/>
      <c r="AH286" s="212"/>
      <c r="AI286" s="212"/>
      <c r="AK286" s="212"/>
      <c r="AL286" s="212"/>
      <c r="AM286" s="212"/>
      <c r="AN286" s="212"/>
    </row>
    <row r="287" spans="27:40" ht="15" customHeight="1" x14ac:dyDescent="0.35">
      <c r="AA287" s="212"/>
      <c r="AB287" s="212"/>
      <c r="AC287" s="212"/>
      <c r="AD287" s="212"/>
      <c r="AE287" s="212"/>
      <c r="AF287" s="212"/>
      <c r="AG287" s="212"/>
      <c r="AH287" s="212"/>
      <c r="AI287" s="212"/>
      <c r="AK287" s="212"/>
      <c r="AL287" s="212"/>
      <c r="AM287" s="212"/>
      <c r="AN287" s="212"/>
    </row>
    <row r="288" spans="27:40" ht="15" customHeight="1" x14ac:dyDescent="0.35">
      <c r="AA288" s="212"/>
      <c r="AB288" s="212"/>
      <c r="AC288" s="212"/>
      <c r="AD288" s="212"/>
      <c r="AE288" s="212"/>
      <c r="AF288" s="212"/>
      <c r="AG288" s="212"/>
      <c r="AH288" s="212"/>
      <c r="AI288" s="212"/>
      <c r="AK288" s="212"/>
      <c r="AL288" s="212"/>
      <c r="AM288" s="212"/>
      <c r="AN288" s="212"/>
    </row>
    <row r="289" spans="27:40" ht="15" customHeight="1" x14ac:dyDescent="0.35">
      <c r="AA289" s="212"/>
      <c r="AB289" s="212"/>
      <c r="AC289" s="212"/>
      <c r="AD289" s="212"/>
      <c r="AE289" s="212"/>
      <c r="AF289" s="212"/>
      <c r="AG289" s="212"/>
      <c r="AH289" s="212"/>
      <c r="AI289" s="212"/>
      <c r="AK289" s="212"/>
      <c r="AL289" s="212"/>
      <c r="AM289" s="212"/>
      <c r="AN289" s="212"/>
    </row>
    <row r="290" spans="27:40" ht="15" customHeight="1" x14ac:dyDescent="0.35">
      <c r="AA290" s="212"/>
      <c r="AB290" s="212"/>
      <c r="AC290" s="212"/>
      <c r="AD290" s="212"/>
      <c r="AE290" s="212"/>
      <c r="AF290" s="212"/>
      <c r="AG290" s="212"/>
      <c r="AH290" s="212"/>
      <c r="AI290" s="212"/>
      <c r="AK290" s="212"/>
      <c r="AL290" s="212"/>
      <c r="AM290" s="212"/>
      <c r="AN290" s="212"/>
    </row>
    <row r="291" spans="27:40" ht="15" customHeight="1" x14ac:dyDescent="0.35">
      <c r="AA291" s="212"/>
      <c r="AB291" s="212"/>
      <c r="AC291" s="212"/>
      <c r="AD291" s="212"/>
      <c r="AE291" s="212"/>
      <c r="AF291" s="212"/>
      <c r="AG291" s="212"/>
      <c r="AH291" s="212"/>
      <c r="AI291" s="212"/>
      <c r="AK291" s="212"/>
      <c r="AL291" s="212"/>
      <c r="AM291" s="212"/>
      <c r="AN291" s="212"/>
    </row>
    <row r="292" spans="27:40" ht="15" customHeight="1" x14ac:dyDescent="0.35">
      <c r="AA292" s="212"/>
      <c r="AB292" s="212"/>
      <c r="AC292" s="212"/>
      <c r="AD292" s="212"/>
      <c r="AE292" s="212"/>
      <c r="AF292" s="212"/>
      <c r="AG292" s="212"/>
      <c r="AH292" s="212"/>
      <c r="AI292" s="212"/>
      <c r="AK292" s="212"/>
      <c r="AL292" s="212"/>
      <c r="AM292" s="212"/>
      <c r="AN292" s="212"/>
    </row>
    <row r="293" spans="27:40" ht="15" customHeight="1" x14ac:dyDescent="0.35">
      <c r="AA293" s="212"/>
      <c r="AB293" s="212"/>
      <c r="AC293" s="212"/>
      <c r="AD293" s="212"/>
      <c r="AE293" s="212"/>
      <c r="AF293" s="212"/>
      <c r="AG293" s="212"/>
      <c r="AH293" s="212"/>
      <c r="AI293" s="212"/>
      <c r="AK293" s="212"/>
      <c r="AL293" s="212"/>
      <c r="AM293" s="212"/>
      <c r="AN293" s="212"/>
    </row>
    <row r="294" spans="27:40" ht="15" customHeight="1" x14ac:dyDescent="0.35">
      <c r="AA294" s="212"/>
      <c r="AB294" s="212"/>
      <c r="AC294" s="212"/>
      <c r="AD294" s="212"/>
      <c r="AE294" s="212"/>
      <c r="AF294" s="212"/>
      <c r="AG294" s="212"/>
      <c r="AH294" s="212"/>
      <c r="AI294" s="212"/>
      <c r="AK294" s="212"/>
      <c r="AL294" s="212"/>
      <c r="AM294" s="212"/>
      <c r="AN294" s="212"/>
    </row>
    <row r="295" spans="27:40" ht="15" customHeight="1" x14ac:dyDescent="0.35">
      <c r="AA295" s="212"/>
      <c r="AB295" s="212"/>
      <c r="AC295" s="212"/>
      <c r="AD295" s="212"/>
      <c r="AE295" s="212"/>
      <c r="AF295" s="212"/>
      <c r="AG295" s="212"/>
      <c r="AH295" s="212"/>
      <c r="AI295" s="212"/>
      <c r="AK295" s="212"/>
      <c r="AL295" s="212"/>
      <c r="AM295" s="212"/>
      <c r="AN295" s="212"/>
    </row>
    <row r="296" spans="27:40" ht="15" customHeight="1" x14ac:dyDescent="0.35">
      <c r="AA296" s="212"/>
      <c r="AB296" s="212"/>
      <c r="AC296" s="212"/>
      <c r="AD296" s="212"/>
      <c r="AE296" s="212"/>
      <c r="AF296" s="212"/>
      <c r="AG296" s="212"/>
      <c r="AH296" s="212"/>
      <c r="AI296" s="212"/>
      <c r="AK296" s="212"/>
      <c r="AL296" s="212"/>
      <c r="AM296" s="212"/>
      <c r="AN296" s="212"/>
    </row>
    <row r="297" spans="27:40" ht="15" customHeight="1" x14ac:dyDescent="0.35">
      <c r="AA297" s="212"/>
      <c r="AB297" s="212"/>
      <c r="AC297" s="212"/>
      <c r="AD297" s="212"/>
      <c r="AE297" s="212"/>
      <c r="AF297" s="212"/>
      <c r="AG297" s="212"/>
      <c r="AH297" s="212"/>
      <c r="AI297" s="212"/>
      <c r="AK297" s="212"/>
      <c r="AL297" s="212"/>
      <c r="AM297" s="212"/>
      <c r="AN297" s="212"/>
    </row>
    <row r="298" spans="27:40" ht="15" customHeight="1" x14ac:dyDescent="0.35">
      <c r="AA298" s="212"/>
      <c r="AB298" s="212"/>
      <c r="AC298" s="212"/>
      <c r="AD298" s="212"/>
      <c r="AE298" s="212"/>
      <c r="AF298" s="212"/>
      <c r="AG298" s="212"/>
      <c r="AH298" s="212"/>
      <c r="AI298" s="212"/>
      <c r="AK298" s="212"/>
      <c r="AL298" s="212"/>
      <c r="AM298" s="212"/>
      <c r="AN298" s="212"/>
    </row>
    <row r="299" spans="27:40" ht="15" customHeight="1" x14ac:dyDescent="0.35">
      <c r="AA299" s="212"/>
      <c r="AB299" s="212"/>
      <c r="AC299" s="212"/>
      <c r="AD299" s="212"/>
      <c r="AE299" s="212"/>
      <c r="AF299" s="212"/>
      <c r="AG299" s="212"/>
      <c r="AH299" s="212"/>
      <c r="AI299" s="212"/>
      <c r="AK299" s="212"/>
      <c r="AL299" s="212"/>
      <c r="AM299" s="212"/>
      <c r="AN299" s="212"/>
    </row>
    <row r="300" spans="27:40" ht="15" customHeight="1" x14ac:dyDescent="0.35">
      <c r="AA300" s="212"/>
      <c r="AB300" s="212"/>
      <c r="AC300" s="212"/>
      <c r="AD300" s="212"/>
      <c r="AE300" s="212"/>
      <c r="AF300" s="212"/>
      <c r="AG300" s="212"/>
      <c r="AH300" s="212"/>
      <c r="AI300" s="212"/>
      <c r="AK300" s="212"/>
      <c r="AL300" s="212"/>
      <c r="AM300" s="212"/>
      <c r="AN300" s="212"/>
    </row>
    <row r="301" spans="27:40" ht="15" customHeight="1" x14ac:dyDescent="0.35">
      <c r="AA301" s="212"/>
      <c r="AB301" s="212"/>
      <c r="AC301" s="212"/>
      <c r="AD301" s="212"/>
      <c r="AE301" s="212"/>
      <c r="AF301" s="212"/>
      <c r="AG301" s="212"/>
      <c r="AH301" s="212"/>
      <c r="AI301" s="212"/>
      <c r="AK301" s="212"/>
      <c r="AL301" s="212"/>
      <c r="AM301" s="212"/>
      <c r="AN301" s="212"/>
    </row>
    <row r="302" spans="27:40" ht="15" customHeight="1" x14ac:dyDescent="0.35">
      <c r="AA302" s="212"/>
      <c r="AB302" s="212"/>
      <c r="AC302" s="212"/>
      <c r="AD302" s="212"/>
      <c r="AE302" s="212"/>
      <c r="AF302" s="212"/>
      <c r="AG302" s="212"/>
      <c r="AH302" s="212"/>
      <c r="AI302" s="212"/>
      <c r="AK302" s="212"/>
      <c r="AL302" s="212"/>
      <c r="AM302" s="212"/>
      <c r="AN302" s="212"/>
    </row>
    <row r="303" spans="27:40" ht="15" customHeight="1" x14ac:dyDescent="0.35">
      <c r="AA303" s="212"/>
      <c r="AB303" s="212"/>
      <c r="AC303" s="212"/>
      <c r="AD303" s="212"/>
      <c r="AE303" s="212"/>
      <c r="AF303" s="212"/>
      <c r="AG303" s="212"/>
      <c r="AH303" s="212"/>
      <c r="AI303" s="212"/>
      <c r="AK303" s="212"/>
      <c r="AL303" s="212"/>
      <c r="AM303" s="212"/>
      <c r="AN303" s="212"/>
    </row>
    <row r="304" spans="27:40" ht="15" customHeight="1" x14ac:dyDescent="0.35">
      <c r="AA304" s="212"/>
      <c r="AB304" s="212"/>
      <c r="AC304" s="212"/>
      <c r="AD304" s="212"/>
      <c r="AE304" s="212"/>
      <c r="AF304" s="212"/>
      <c r="AG304" s="212"/>
      <c r="AH304" s="212"/>
      <c r="AI304" s="212"/>
      <c r="AK304" s="212"/>
      <c r="AL304" s="212"/>
      <c r="AM304" s="212"/>
      <c r="AN304" s="212"/>
    </row>
    <row r="305" spans="27:40" ht="15" customHeight="1" x14ac:dyDescent="0.35">
      <c r="AA305" s="212"/>
      <c r="AB305" s="212"/>
      <c r="AC305" s="212"/>
      <c r="AD305" s="212"/>
      <c r="AE305" s="212"/>
      <c r="AF305" s="212"/>
      <c r="AG305" s="212"/>
      <c r="AH305" s="212"/>
      <c r="AI305" s="212"/>
      <c r="AK305" s="212"/>
      <c r="AL305" s="212"/>
      <c r="AM305" s="212"/>
      <c r="AN305" s="212"/>
    </row>
    <row r="306" spans="27:40" ht="15" customHeight="1" x14ac:dyDescent="0.35">
      <c r="AA306" s="212"/>
      <c r="AB306" s="212"/>
      <c r="AC306" s="212"/>
      <c r="AD306" s="212"/>
      <c r="AE306" s="212"/>
      <c r="AF306" s="212"/>
      <c r="AG306" s="212"/>
      <c r="AH306" s="212"/>
      <c r="AI306" s="212"/>
      <c r="AK306" s="212"/>
      <c r="AL306" s="212"/>
      <c r="AM306" s="212"/>
      <c r="AN306" s="212"/>
    </row>
    <row r="307" spans="27:40" ht="15" customHeight="1" x14ac:dyDescent="0.35">
      <c r="AA307" s="212"/>
      <c r="AB307" s="212"/>
      <c r="AC307" s="212"/>
      <c r="AD307" s="212"/>
      <c r="AE307" s="212"/>
      <c r="AF307" s="212"/>
      <c r="AG307" s="212"/>
      <c r="AH307" s="212"/>
      <c r="AI307" s="212"/>
      <c r="AK307" s="212"/>
      <c r="AL307" s="212"/>
      <c r="AM307" s="212"/>
      <c r="AN307" s="212"/>
    </row>
    <row r="308" spans="27:40" ht="15" customHeight="1" x14ac:dyDescent="0.35">
      <c r="AA308" s="212"/>
      <c r="AB308" s="212"/>
      <c r="AC308" s="212"/>
      <c r="AD308" s="212"/>
      <c r="AE308" s="212"/>
      <c r="AF308" s="212"/>
      <c r="AG308" s="212"/>
      <c r="AH308" s="212"/>
      <c r="AI308" s="212"/>
      <c r="AK308" s="212"/>
      <c r="AL308" s="212"/>
      <c r="AM308" s="212"/>
      <c r="AN308" s="212"/>
    </row>
    <row r="309" spans="27:40" ht="15" customHeight="1" x14ac:dyDescent="0.35">
      <c r="AA309" s="212"/>
      <c r="AB309" s="212"/>
      <c r="AC309" s="212"/>
      <c r="AD309" s="212"/>
      <c r="AE309" s="212"/>
      <c r="AF309" s="212"/>
      <c r="AG309" s="212"/>
      <c r="AH309" s="212"/>
      <c r="AI309" s="212"/>
      <c r="AK309" s="212"/>
      <c r="AL309" s="212"/>
      <c r="AM309" s="212"/>
      <c r="AN309" s="212"/>
    </row>
    <row r="310" spans="27:40" ht="15" customHeight="1" x14ac:dyDescent="0.35">
      <c r="AA310" s="212"/>
      <c r="AB310" s="212"/>
      <c r="AC310" s="212"/>
      <c r="AD310" s="212"/>
      <c r="AE310" s="212"/>
      <c r="AF310" s="212"/>
      <c r="AG310" s="212"/>
      <c r="AH310" s="212"/>
      <c r="AI310" s="212"/>
      <c r="AK310" s="212"/>
      <c r="AL310" s="212"/>
      <c r="AM310" s="212"/>
      <c r="AN310" s="212"/>
    </row>
    <row r="311" spans="27:40" ht="15" customHeight="1" x14ac:dyDescent="0.35">
      <c r="AA311" s="212"/>
      <c r="AB311" s="212"/>
      <c r="AC311" s="212"/>
      <c r="AD311" s="212"/>
      <c r="AE311" s="212"/>
      <c r="AF311" s="212"/>
      <c r="AG311" s="212"/>
      <c r="AH311" s="212"/>
      <c r="AI311" s="212"/>
      <c r="AK311" s="212"/>
      <c r="AL311" s="212"/>
      <c r="AM311" s="212"/>
      <c r="AN311" s="212"/>
    </row>
    <row r="312" spans="27:40" ht="15" customHeight="1" x14ac:dyDescent="0.35">
      <c r="AA312" s="212"/>
      <c r="AB312" s="212"/>
      <c r="AC312" s="212"/>
      <c r="AD312" s="212"/>
      <c r="AE312" s="212"/>
      <c r="AF312" s="212"/>
      <c r="AG312" s="212"/>
      <c r="AH312" s="212"/>
      <c r="AI312" s="212"/>
      <c r="AK312" s="212"/>
      <c r="AL312" s="212"/>
      <c r="AM312" s="212"/>
      <c r="AN312" s="212"/>
    </row>
    <row r="313" spans="27:40" ht="15" customHeight="1" x14ac:dyDescent="0.35">
      <c r="AA313" s="212"/>
      <c r="AB313" s="212"/>
      <c r="AC313" s="212"/>
      <c r="AD313" s="212"/>
      <c r="AE313" s="212"/>
      <c r="AF313" s="212"/>
      <c r="AG313" s="212"/>
      <c r="AH313" s="212"/>
      <c r="AI313" s="212"/>
      <c r="AK313" s="212"/>
      <c r="AL313" s="212"/>
      <c r="AM313" s="212"/>
      <c r="AN313" s="212"/>
    </row>
    <row r="314" spans="27:40" ht="15" customHeight="1" x14ac:dyDescent="0.35">
      <c r="AA314" s="212"/>
      <c r="AB314" s="212"/>
      <c r="AC314" s="212"/>
      <c r="AD314" s="212"/>
      <c r="AE314" s="212"/>
      <c r="AF314" s="212"/>
      <c r="AG314" s="212"/>
      <c r="AH314" s="212"/>
      <c r="AI314" s="212"/>
      <c r="AK314" s="212"/>
      <c r="AL314" s="212"/>
      <c r="AM314" s="212"/>
      <c r="AN314" s="212"/>
    </row>
    <row r="315" spans="27:40" ht="15" customHeight="1" x14ac:dyDescent="0.35">
      <c r="AA315" s="212"/>
      <c r="AB315" s="212"/>
      <c r="AC315" s="212"/>
      <c r="AD315" s="212"/>
      <c r="AE315" s="212"/>
      <c r="AF315" s="212"/>
      <c r="AG315" s="212"/>
      <c r="AH315" s="212"/>
      <c r="AI315" s="212"/>
      <c r="AK315" s="212"/>
      <c r="AL315" s="212"/>
      <c r="AM315" s="212"/>
      <c r="AN315" s="212"/>
    </row>
    <row r="316" spans="27:40" ht="15" customHeight="1" x14ac:dyDescent="0.35">
      <c r="AA316" s="212"/>
      <c r="AB316" s="212"/>
      <c r="AC316" s="212"/>
      <c r="AD316" s="212"/>
      <c r="AE316" s="212"/>
      <c r="AF316" s="212"/>
      <c r="AG316" s="212"/>
      <c r="AH316" s="212"/>
      <c r="AI316" s="212"/>
      <c r="AK316" s="212"/>
      <c r="AL316" s="212"/>
      <c r="AM316" s="212"/>
      <c r="AN316" s="212"/>
    </row>
    <row r="317" spans="27:40" ht="15" customHeight="1" x14ac:dyDescent="0.35">
      <c r="AA317" s="212"/>
      <c r="AB317" s="212"/>
      <c r="AC317" s="212"/>
      <c r="AD317" s="212"/>
      <c r="AE317" s="212"/>
      <c r="AF317" s="212"/>
      <c r="AG317" s="212"/>
      <c r="AH317" s="212"/>
      <c r="AI317" s="212"/>
      <c r="AK317" s="212"/>
      <c r="AL317" s="212"/>
      <c r="AM317" s="212"/>
      <c r="AN317" s="212"/>
    </row>
    <row r="318" spans="27:40" ht="15" customHeight="1" x14ac:dyDescent="0.35">
      <c r="AA318" s="212"/>
      <c r="AB318" s="212"/>
      <c r="AC318" s="212"/>
      <c r="AD318" s="212"/>
      <c r="AE318" s="212"/>
      <c r="AF318" s="212"/>
      <c r="AG318" s="212"/>
      <c r="AH318" s="212"/>
      <c r="AI318" s="212"/>
      <c r="AK318" s="212"/>
      <c r="AL318" s="212"/>
      <c r="AM318" s="212"/>
      <c r="AN318" s="212"/>
    </row>
    <row r="319" spans="27:40" ht="15" customHeight="1" x14ac:dyDescent="0.35">
      <c r="AA319" s="212"/>
      <c r="AB319" s="212"/>
      <c r="AC319" s="212"/>
      <c r="AD319" s="212"/>
      <c r="AE319" s="212"/>
      <c r="AF319" s="212"/>
      <c r="AG319" s="212"/>
      <c r="AH319" s="212"/>
      <c r="AI319" s="212"/>
      <c r="AK319" s="212"/>
      <c r="AL319" s="212"/>
      <c r="AM319" s="212"/>
      <c r="AN319" s="212"/>
    </row>
    <row r="320" spans="27:40" ht="15" customHeight="1" x14ac:dyDescent="0.35">
      <c r="AA320" s="212"/>
      <c r="AB320" s="212"/>
      <c r="AC320" s="212"/>
      <c r="AD320" s="212"/>
      <c r="AE320" s="212"/>
      <c r="AF320" s="212"/>
      <c r="AG320" s="212"/>
      <c r="AH320" s="212"/>
      <c r="AI320" s="212"/>
      <c r="AK320" s="212"/>
      <c r="AL320" s="212"/>
      <c r="AM320" s="212"/>
      <c r="AN320" s="212"/>
    </row>
    <row r="321" spans="27:40" ht="15" customHeight="1" x14ac:dyDescent="0.35">
      <c r="AA321" s="212"/>
      <c r="AB321" s="212"/>
      <c r="AC321" s="212"/>
      <c r="AD321" s="212"/>
      <c r="AE321" s="212"/>
      <c r="AF321" s="212"/>
      <c r="AG321" s="212"/>
      <c r="AH321" s="212"/>
      <c r="AI321" s="212"/>
      <c r="AK321" s="212"/>
      <c r="AL321" s="212"/>
      <c r="AM321" s="212"/>
      <c r="AN321" s="212"/>
    </row>
    <row r="322" spans="27:40" ht="15" customHeight="1" x14ac:dyDescent="0.35">
      <c r="AA322" s="212"/>
      <c r="AB322" s="212"/>
      <c r="AC322" s="212"/>
      <c r="AD322" s="212"/>
      <c r="AE322" s="212"/>
      <c r="AF322" s="212"/>
      <c r="AG322" s="212"/>
      <c r="AH322" s="212"/>
      <c r="AI322" s="212"/>
      <c r="AK322" s="212"/>
      <c r="AL322" s="212"/>
      <c r="AM322" s="212"/>
      <c r="AN322" s="212"/>
    </row>
    <row r="323" spans="27:40" ht="15" customHeight="1" x14ac:dyDescent="0.35">
      <c r="AA323" s="212"/>
      <c r="AB323" s="212"/>
      <c r="AC323" s="212"/>
      <c r="AD323" s="212"/>
      <c r="AE323" s="212"/>
      <c r="AF323" s="212"/>
      <c r="AG323" s="212"/>
      <c r="AH323" s="212"/>
      <c r="AI323" s="212"/>
      <c r="AK323" s="212"/>
      <c r="AL323" s="212"/>
      <c r="AM323" s="212"/>
      <c r="AN323" s="212"/>
    </row>
    <row r="324" spans="27:40" ht="15" customHeight="1" x14ac:dyDescent="0.35">
      <c r="AA324" s="212"/>
      <c r="AB324" s="212"/>
      <c r="AC324" s="212"/>
      <c r="AD324" s="212"/>
      <c r="AE324" s="212"/>
      <c r="AF324" s="212"/>
      <c r="AG324" s="212"/>
      <c r="AH324" s="212"/>
      <c r="AI324" s="212"/>
      <c r="AK324" s="212"/>
      <c r="AL324" s="212"/>
      <c r="AM324" s="212"/>
      <c r="AN324" s="212"/>
    </row>
    <row r="325" spans="27:40" ht="15" customHeight="1" x14ac:dyDescent="0.35">
      <c r="AA325" s="212"/>
      <c r="AB325" s="212"/>
      <c r="AC325" s="212"/>
      <c r="AD325" s="212"/>
      <c r="AE325" s="212"/>
      <c r="AF325" s="212"/>
      <c r="AG325" s="212"/>
      <c r="AH325" s="212"/>
      <c r="AI325" s="212"/>
      <c r="AK325" s="212"/>
      <c r="AL325" s="212"/>
      <c r="AM325" s="212"/>
      <c r="AN325" s="212"/>
    </row>
    <row r="326" spans="27:40" ht="15" customHeight="1" x14ac:dyDescent="0.35">
      <c r="AA326" s="212"/>
      <c r="AB326" s="212"/>
      <c r="AC326" s="212"/>
      <c r="AD326" s="212"/>
      <c r="AE326" s="212"/>
      <c r="AF326" s="212"/>
      <c r="AG326" s="212"/>
      <c r="AH326" s="212"/>
      <c r="AI326" s="212"/>
      <c r="AK326" s="212"/>
      <c r="AL326" s="212"/>
      <c r="AM326" s="212"/>
      <c r="AN326" s="212"/>
    </row>
    <row r="327" spans="27:40" ht="15" customHeight="1" x14ac:dyDescent="0.35">
      <c r="AA327" s="212"/>
      <c r="AB327" s="212"/>
      <c r="AC327" s="212"/>
      <c r="AD327" s="212"/>
      <c r="AE327" s="212"/>
      <c r="AF327" s="212"/>
      <c r="AG327" s="212"/>
      <c r="AH327" s="212"/>
      <c r="AI327" s="212"/>
      <c r="AK327" s="212"/>
      <c r="AL327" s="212"/>
      <c r="AM327" s="212"/>
      <c r="AN327" s="212"/>
    </row>
    <row r="328" spans="27:40" ht="15" customHeight="1" x14ac:dyDescent="0.35">
      <c r="AA328" s="212"/>
      <c r="AB328" s="212"/>
      <c r="AC328" s="212"/>
      <c r="AD328" s="212"/>
      <c r="AE328" s="212"/>
      <c r="AF328" s="212"/>
      <c r="AG328" s="212"/>
      <c r="AH328" s="212"/>
      <c r="AI328" s="212"/>
      <c r="AK328" s="212"/>
      <c r="AL328" s="212"/>
      <c r="AM328" s="212"/>
      <c r="AN328" s="212"/>
    </row>
    <row r="329" spans="27:40" ht="15" customHeight="1" x14ac:dyDescent="0.35">
      <c r="AA329" s="212"/>
      <c r="AB329" s="212"/>
      <c r="AC329" s="212"/>
      <c r="AD329" s="212"/>
      <c r="AE329" s="212"/>
      <c r="AF329" s="212"/>
      <c r="AG329" s="212"/>
      <c r="AH329" s="212"/>
      <c r="AI329" s="212"/>
      <c r="AK329" s="212"/>
      <c r="AL329" s="212"/>
      <c r="AM329" s="212"/>
      <c r="AN329" s="212"/>
    </row>
    <row r="330" spans="27:40" ht="15" customHeight="1" x14ac:dyDescent="0.35">
      <c r="AA330" s="212"/>
      <c r="AB330" s="212"/>
      <c r="AC330" s="212"/>
      <c r="AD330" s="212"/>
      <c r="AE330" s="212"/>
      <c r="AF330" s="212"/>
      <c r="AG330" s="212"/>
      <c r="AH330" s="212"/>
      <c r="AI330" s="212"/>
      <c r="AK330" s="212"/>
      <c r="AL330" s="212"/>
      <c r="AM330" s="212"/>
      <c r="AN330" s="212"/>
    </row>
    <row r="331" spans="27:40" ht="15" customHeight="1" x14ac:dyDescent="0.35">
      <c r="AA331" s="212"/>
      <c r="AB331" s="212"/>
      <c r="AC331" s="212"/>
      <c r="AD331" s="212"/>
      <c r="AE331" s="212"/>
      <c r="AF331" s="212"/>
      <c r="AG331" s="212"/>
      <c r="AH331" s="212"/>
      <c r="AI331" s="212"/>
      <c r="AK331" s="212"/>
      <c r="AL331" s="212"/>
      <c r="AM331" s="212"/>
      <c r="AN331" s="212"/>
    </row>
    <row r="332" spans="27:40" ht="15" customHeight="1" x14ac:dyDescent="0.35">
      <c r="AA332" s="212"/>
      <c r="AB332" s="212"/>
      <c r="AC332" s="212"/>
      <c r="AD332" s="212"/>
      <c r="AE332" s="212"/>
      <c r="AF332" s="212"/>
      <c r="AG332" s="212"/>
      <c r="AH332" s="212"/>
      <c r="AI332" s="212"/>
      <c r="AK332" s="212"/>
      <c r="AL332" s="212"/>
      <c r="AM332" s="212"/>
      <c r="AN332" s="212"/>
    </row>
    <row r="333" spans="27:40" ht="15" customHeight="1" x14ac:dyDescent="0.35">
      <c r="AA333" s="212"/>
      <c r="AB333" s="212"/>
      <c r="AC333" s="212"/>
      <c r="AD333" s="212"/>
      <c r="AE333" s="212"/>
      <c r="AF333" s="212"/>
      <c r="AG333" s="212"/>
      <c r="AH333" s="212"/>
      <c r="AI333" s="212"/>
      <c r="AK333" s="212"/>
      <c r="AL333" s="212"/>
      <c r="AM333" s="212"/>
      <c r="AN333" s="212"/>
    </row>
    <row r="334" spans="27:40" ht="15" customHeight="1" x14ac:dyDescent="0.35">
      <c r="AA334" s="212"/>
      <c r="AB334" s="212"/>
      <c r="AC334" s="212"/>
      <c r="AD334" s="212"/>
      <c r="AE334" s="212"/>
      <c r="AF334" s="212"/>
      <c r="AG334" s="212"/>
      <c r="AH334" s="212"/>
      <c r="AI334" s="212"/>
      <c r="AK334" s="212"/>
      <c r="AL334" s="212"/>
      <c r="AM334" s="212"/>
      <c r="AN334" s="212"/>
    </row>
    <row r="335" spans="27:40" ht="15" customHeight="1" x14ac:dyDescent="0.35">
      <c r="AA335" s="212"/>
      <c r="AB335" s="212"/>
      <c r="AC335" s="212"/>
      <c r="AD335" s="212"/>
      <c r="AE335" s="212"/>
      <c r="AF335" s="212"/>
      <c r="AG335" s="212"/>
      <c r="AH335" s="212"/>
      <c r="AI335" s="212"/>
      <c r="AK335" s="212"/>
      <c r="AL335" s="212"/>
      <c r="AM335" s="212"/>
      <c r="AN335" s="212"/>
    </row>
    <row r="336" spans="27:40" ht="15" customHeight="1" x14ac:dyDescent="0.35">
      <c r="AA336" s="212"/>
      <c r="AB336" s="212"/>
      <c r="AC336" s="212"/>
      <c r="AD336" s="212"/>
      <c r="AE336" s="212"/>
      <c r="AF336" s="212"/>
      <c r="AG336" s="212"/>
      <c r="AH336" s="212"/>
      <c r="AI336" s="212"/>
      <c r="AK336" s="212"/>
      <c r="AL336" s="212"/>
      <c r="AM336" s="212"/>
      <c r="AN336" s="212"/>
    </row>
    <row r="337" spans="27:40" ht="15" customHeight="1" x14ac:dyDescent="0.35">
      <c r="AA337" s="212"/>
      <c r="AB337" s="212"/>
      <c r="AC337" s="212"/>
      <c r="AD337" s="212"/>
      <c r="AE337" s="212"/>
      <c r="AF337" s="212"/>
      <c r="AG337" s="212"/>
      <c r="AH337" s="212"/>
      <c r="AI337" s="212"/>
      <c r="AK337" s="212"/>
      <c r="AL337" s="212"/>
      <c r="AM337" s="212"/>
      <c r="AN337" s="212"/>
    </row>
    <row r="338" spans="27:40" ht="15" customHeight="1" x14ac:dyDescent="0.35">
      <c r="AA338" s="212"/>
      <c r="AB338" s="212"/>
      <c r="AC338" s="212"/>
      <c r="AD338" s="212"/>
      <c r="AE338" s="212"/>
      <c r="AF338" s="212"/>
      <c r="AG338" s="212"/>
      <c r="AH338" s="212"/>
      <c r="AI338" s="212"/>
      <c r="AK338" s="212"/>
      <c r="AL338" s="212"/>
      <c r="AM338" s="212"/>
      <c r="AN338" s="212"/>
    </row>
    <row r="339" spans="27:40" ht="15" customHeight="1" x14ac:dyDescent="0.35">
      <c r="AA339" s="212"/>
      <c r="AB339" s="212"/>
      <c r="AC339" s="212"/>
      <c r="AD339" s="212"/>
      <c r="AE339" s="212"/>
      <c r="AF339" s="212"/>
      <c r="AG339" s="212"/>
      <c r="AH339" s="212"/>
      <c r="AI339" s="212"/>
      <c r="AK339" s="212"/>
      <c r="AL339" s="212"/>
      <c r="AM339" s="212"/>
      <c r="AN339" s="212"/>
    </row>
    <row r="340" spans="27:40" ht="15" customHeight="1" x14ac:dyDescent="0.35">
      <c r="AA340" s="212"/>
      <c r="AB340" s="212"/>
      <c r="AC340" s="212"/>
      <c r="AD340" s="212"/>
      <c r="AE340" s="212"/>
      <c r="AF340" s="212"/>
      <c r="AG340" s="212"/>
      <c r="AH340" s="212"/>
      <c r="AI340" s="212"/>
      <c r="AK340" s="212"/>
      <c r="AL340" s="212"/>
      <c r="AM340" s="212"/>
      <c r="AN340" s="212"/>
    </row>
    <row r="341" spans="27:40" ht="15" customHeight="1" x14ac:dyDescent="0.35">
      <c r="AA341" s="212"/>
      <c r="AB341" s="212"/>
      <c r="AC341" s="212"/>
      <c r="AD341" s="212"/>
      <c r="AE341" s="212"/>
      <c r="AF341" s="212"/>
      <c r="AG341" s="212"/>
      <c r="AH341" s="212"/>
      <c r="AI341" s="212"/>
      <c r="AK341" s="212"/>
      <c r="AL341" s="212"/>
      <c r="AM341" s="212"/>
      <c r="AN341" s="212"/>
    </row>
    <row r="342" spans="27:40" ht="15" customHeight="1" x14ac:dyDescent="0.35">
      <c r="AA342" s="212"/>
      <c r="AB342" s="212"/>
      <c r="AC342" s="212"/>
      <c r="AD342" s="212"/>
      <c r="AE342" s="212"/>
      <c r="AF342" s="212"/>
      <c r="AG342" s="212"/>
      <c r="AH342" s="212"/>
      <c r="AI342" s="212"/>
      <c r="AK342" s="212"/>
      <c r="AL342" s="212"/>
      <c r="AM342" s="212"/>
      <c r="AN342" s="212"/>
    </row>
    <row r="343" spans="27:40" ht="15" customHeight="1" x14ac:dyDescent="0.35">
      <c r="AA343" s="212"/>
      <c r="AB343" s="212"/>
      <c r="AC343" s="212"/>
      <c r="AD343" s="212"/>
      <c r="AE343" s="212"/>
      <c r="AF343" s="212"/>
      <c r="AG343" s="212"/>
      <c r="AH343" s="212"/>
      <c r="AI343" s="212"/>
      <c r="AK343" s="212"/>
      <c r="AL343" s="212"/>
      <c r="AM343" s="212"/>
      <c r="AN343" s="212"/>
    </row>
    <row r="344" spans="27:40" ht="15" customHeight="1" x14ac:dyDescent="0.35">
      <c r="AA344" s="212"/>
      <c r="AB344" s="212"/>
      <c r="AC344" s="212"/>
      <c r="AD344" s="212"/>
      <c r="AE344" s="212"/>
      <c r="AF344" s="212"/>
      <c r="AG344" s="212"/>
      <c r="AH344" s="212"/>
      <c r="AI344" s="212"/>
      <c r="AK344" s="212"/>
      <c r="AL344" s="212"/>
      <c r="AM344" s="212"/>
      <c r="AN344" s="212"/>
    </row>
    <row r="345" spans="27:40" ht="15" customHeight="1" x14ac:dyDescent="0.35">
      <c r="AA345" s="212"/>
      <c r="AB345" s="212"/>
      <c r="AC345" s="212"/>
      <c r="AD345" s="212"/>
      <c r="AE345" s="212"/>
      <c r="AF345" s="212"/>
      <c r="AG345" s="212"/>
      <c r="AH345" s="212"/>
      <c r="AI345" s="212"/>
      <c r="AK345" s="212"/>
      <c r="AL345" s="212"/>
      <c r="AM345" s="212"/>
      <c r="AN345" s="212"/>
    </row>
    <row r="346" spans="27:40" ht="15" customHeight="1" x14ac:dyDescent="0.35">
      <c r="AA346" s="212"/>
      <c r="AB346" s="212"/>
      <c r="AC346" s="212"/>
      <c r="AD346" s="212"/>
      <c r="AE346" s="212"/>
      <c r="AF346" s="212"/>
      <c r="AG346" s="212"/>
      <c r="AH346" s="212"/>
      <c r="AI346" s="212"/>
      <c r="AK346" s="212"/>
      <c r="AL346" s="212"/>
      <c r="AM346" s="212"/>
      <c r="AN346" s="212"/>
    </row>
    <row r="347" spans="27:40" ht="15" customHeight="1" x14ac:dyDescent="0.35">
      <c r="AA347" s="212"/>
      <c r="AB347" s="212"/>
      <c r="AC347" s="212"/>
      <c r="AD347" s="212"/>
      <c r="AE347" s="212"/>
      <c r="AF347" s="212"/>
      <c r="AG347" s="212"/>
      <c r="AH347" s="212"/>
      <c r="AI347" s="212"/>
      <c r="AK347" s="212"/>
      <c r="AL347" s="212"/>
      <c r="AM347" s="212"/>
      <c r="AN347" s="212"/>
    </row>
    <row r="348" spans="27:40" ht="15" customHeight="1" x14ac:dyDescent="0.35">
      <c r="AA348" s="212"/>
      <c r="AB348" s="212"/>
      <c r="AC348" s="212"/>
      <c r="AD348" s="212"/>
      <c r="AE348" s="212"/>
      <c r="AF348" s="212"/>
      <c r="AG348" s="212"/>
      <c r="AH348" s="212"/>
      <c r="AI348" s="212"/>
      <c r="AK348" s="212"/>
      <c r="AL348" s="212"/>
      <c r="AM348" s="212"/>
      <c r="AN348" s="212"/>
    </row>
    <row r="349" spans="27:40" ht="15" customHeight="1" x14ac:dyDescent="0.35">
      <c r="AA349" s="212"/>
      <c r="AB349" s="212"/>
      <c r="AC349" s="212"/>
      <c r="AD349" s="212"/>
      <c r="AE349" s="212"/>
      <c r="AF349" s="212"/>
      <c r="AG349" s="212"/>
      <c r="AH349" s="212"/>
      <c r="AI349" s="212"/>
      <c r="AK349" s="212"/>
      <c r="AL349" s="212"/>
      <c r="AM349" s="212"/>
      <c r="AN349" s="212"/>
    </row>
    <row r="350" spans="27:40" ht="15" customHeight="1" x14ac:dyDescent="0.35">
      <c r="AA350" s="212"/>
      <c r="AB350" s="212"/>
      <c r="AC350" s="212"/>
      <c r="AD350" s="212"/>
      <c r="AE350" s="212"/>
      <c r="AF350" s="212"/>
      <c r="AG350" s="212"/>
      <c r="AH350" s="212"/>
      <c r="AI350" s="212"/>
      <c r="AK350" s="212"/>
      <c r="AL350" s="212"/>
      <c r="AM350" s="212"/>
      <c r="AN350" s="212"/>
    </row>
    <row r="351" spans="27:40" ht="15" customHeight="1" x14ac:dyDescent="0.35">
      <c r="AA351" s="212"/>
      <c r="AB351" s="212"/>
      <c r="AC351" s="212"/>
      <c r="AD351" s="212"/>
      <c r="AE351" s="212"/>
      <c r="AF351" s="212"/>
      <c r="AG351" s="212"/>
      <c r="AH351" s="212"/>
      <c r="AI351" s="212"/>
      <c r="AK351" s="212"/>
      <c r="AL351" s="212"/>
      <c r="AM351" s="212"/>
      <c r="AN351" s="212"/>
    </row>
    <row r="352" spans="27:40" ht="15" customHeight="1" x14ac:dyDescent="0.35">
      <c r="AA352" s="212"/>
      <c r="AB352" s="212"/>
      <c r="AC352" s="212"/>
      <c r="AD352" s="212"/>
      <c r="AE352" s="212"/>
      <c r="AF352" s="212"/>
      <c r="AG352" s="212"/>
      <c r="AH352" s="212"/>
      <c r="AI352" s="212"/>
      <c r="AK352" s="212"/>
      <c r="AL352" s="212"/>
      <c r="AM352" s="212"/>
      <c r="AN352" s="212"/>
    </row>
    <row r="353" spans="27:40" ht="15" customHeight="1" x14ac:dyDescent="0.35">
      <c r="AA353" s="212"/>
      <c r="AB353" s="212"/>
      <c r="AC353" s="212"/>
      <c r="AD353" s="212"/>
      <c r="AE353" s="212"/>
      <c r="AF353" s="212"/>
      <c r="AG353" s="212"/>
      <c r="AH353" s="212"/>
      <c r="AI353" s="212"/>
      <c r="AK353" s="212"/>
      <c r="AL353" s="212"/>
      <c r="AM353" s="212"/>
      <c r="AN353" s="212"/>
    </row>
    <row r="354" spans="27:40" ht="15" customHeight="1" x14ac:dyDescent="0.35">
      <c r="AA354" s="212"/>
      <c r="AB354" s="212"/>
      <c r="AC354" s="212"/>
      <c r="AD354" s="212"/>
      <c r="AE354" s="212"/>
      <c r="AF354" s="212"/>
      <c r="AG354" s="212"/>
      <c r="AH354" s="212"/>
      <c r="AI354" s="212"/>
      <c r="AK354" s="212"/>
      <c r="AL354" s="212"/>
      <c r="AM354" s="212"/>
      <c r="AN354" s="212"/>
    </row>
    <row r="355" spans="27:40" ht="15" customHeight="1" x14ac:dyDescent="0.35">
      <c r="AA355" s="212"/>
      <c r="AB355" s="212"/>
      <c r="AC355" s="212"/>
      <c r="AD355" s="212"/>
      <c r="AE355" s="212"/>
      <c r="AF355" s="212"/>
      <c r="AG355" s="212"/>
      <c r="AH355" s="212"/>
      <c r="AI355" s="212"/>
      <c r="AK355" s="212"/>
      <c r="AL355" s="212"/>
      <c r="AM355" s="212"/>
      <c r="AN355" s="212"/>
    </row>
    <row r="356" spans="27:40" ht="15" customHeight="1" x14ac:dyDescent="0.35">
      <c r="AA356" s="212"/>
      <c r="AB356" s="212"/>
      <c r="AC356" s="212"/>
      <c r="AD356" s="212"/>
      <c r="AE356" s="212"/>
      <c r="AF356" s="212"/>
      <c r="AG356" s="212"/>
      <c r="AH356" s="212"/>
      <c r="AI356" s="212"/>
      <c r="AK356" s="212"/>
      <c r="AL356" s="212"/>
      <c r="AM356" s="212"/>
      <c r="AN356" s="212"/>
    </row>
    <row r="357" spans="27:40" ht="15" customHeight="1" x14ac:dyDescent="0.35">
      <c r="AA357" s="212"/>
      <c r="AB357" s="212"/>
      <c r="AC357" s="212"/>
      <c r="AD357" s="212"/>
      <c r="AE357" s="212"/>
      <c r="AF357" s="212"/>
      <c r="AG357" s="212"/>
      <c r="AH357" s="212"/>
      <c r="AI357" s="212"/>
      <c r="AK357" s="212"/>
      <c r="AL357" s="212"/>
      <c r="AM357" s="212"/>
      <c r="AN357" s="212"/>
    </row>
    <row r="358" spans="27:40" ht="15" customHeight="1" x14ac:dyDescent="0.35">
      <c r="AA358" s="212"/>
      <c r="AB358" s="212"/>
      <c r="AC358" s="212"/>
      <c r="AD358" s="212"/>
      <c r="AE358" s="212"/>
      <c r="AF358" s="212"/>
      <c r="AG358" s="212"/>
      <c r="AH358" s="212"/>
      <c r="AI358" s="212"/>
      <c r="AK358" s="212"/>
      <c r="AL358" s="212"/>
      <c r="AM358" s="212"/>
      <c r="AN358" s="212"/>
    </row>
    <row r="359" spans="27:40" ht="15" customHeight="1" x14ac:dyDescent="0.35">
      <c r="AA359" s="212"/>
      <c r="AB359" s="212"/>
      <c r="AC359" s="212"/>
      <c r="AD359" s="212"/>
      <c r="AE359" s="212"/>
      <c r="AF359" s="212"/>
      <c r="AG359" s="212"/>
      <c r="AH359" s="212"/>
      <c r="AI359" s="212"/>
      <c r="AK359" s="212"/>
      <c r="AL359" s="212"/>
      <c r="AM359" s="212"/>
      <c r="AN359" s="212"/>
    </row>
    <row r="360" spans="27:40" ht="15" customHeight="1" x14ac:dyDescent="0.35">
      <c r="AA360" s="212"/>
      <c r="AB360" s="212"/>
      <c r="AC360" s="212"/>
      <c r="AD360" s="212"/>
      <c r="AE360" s="212"/>
      <c r="AF360" s="212"/>
      <c r="AG360" s="212"/>
      <c r="AH360" s="212"/>
      <c r="AI360" s="212"/>
      <c r="AK360" s="212"/>
      <c r="AL360" s="212"/>
      <c r="AM360" s="212"/>
      <c r="AN360" s="212"/>
    </row>
    <row r="361" spans="27:40" ht="15" customHeight="1" x14ac:dyDescent="0.35">
      <c r="AA361" s="212"/>
      <c r="AB361" s="212"/>
      <c r="AC361" s="212"/>
      <c r="AD361" s="212"/>
      <c r="AE361" s="212"/>
      <c r="AF361" s="212"/>
      <c r="AG361" s="212"/>
      <c r="AH361" s="212"/>
      <c r="AI361" s="212"/>
      <c r="AK361" s="212"/>
      <c r="AL361" s="212"/>
      <c r="AM361" s="212"/>
      <c r="AN361" s="212"/>
    </row>
    <row r="362" spans="27:40" ht="15" customHeight="1" x14ac:dyDescent="0.35">
      <c r="AA362" s="212"/>
      <c r="AB362" s="212"/>
      <c r="AC362" s="212"/>
      <c r="AD362" s="212"/>
      <c r="AE362" s="212"/>
      <c r="AF362" s="212"/>
      <c r="AG362" s="212"/>
      <c r="AH362" s="212"/>
      <c r="AI362" s="212"/>
      <c r="AK362" s="212"/>
      <c r="AL362" s="212"/>
      <c r="AM362" s="212"/>
      <c r="AN362" s="212"/>
    </row>
    <row r="363" spans="27:40" ht="15" customHeight="1" x14ac:dyDescent="0.35">
      <c r="AA363" s="212"/>
      <c r="AB363" s="212"/>
      <c r="AC363" s="212"/>
      <c r="AD363" s="212"/>
      <c r="AE363" s="212"/>
      <c r="AF363" s="212"/>
      <c r="AG363" s="212"/>
      <c r="AH363" s="212"/>
      <c r="AI363" s="212"/>
      <c r="AK363" s="212"/>
      <c r="AL363" s="212"/>
      <c r="AM363" s="212"/>
      <c r="AN363" s="212"/>
    </row>
    <row r="364" spans="27:40" ht="15" customHeight="1" x14ac:dyDescent="0.35">
      <c r="AA364" s="212"/>
      <c r="AB364" s="212"/>
      <c r="AC364" s="212"/>
      <c r="AD364" s="212"/>
      <c r="AE364" s="212"/>
      <c r="AF364" s="212"/>
      <c r="AG364" s="212"/>
      <c r="AH364" s="212"/>
      <c r="AI364" s="212"/>
      <c r="AK364" s="212"/>
      <c r="AL364" s="212"/>
      <c r="AM364" s="212"/>
      <c r="AN364" s="212"/>
    </row>
    <row r="365" spans="27:40" ht="15" customHeight="1" x14ac:dyDescent="0.35">
      <c r="AA365" s="212"/>
      <c r="AB365" s="212"/>
      <c r="AC365" s="212"/>
      <c r="AD365" s="212"/>
      <c r="AE365" s="212"/>
      <c r="AF365" s="212"/>
      <c r="AG365" s="212"/>
      <c r="AH365" s="212"/>
      <c r="AI365" s="212"/>
      <c r="AK365" s="212"/>
      <c r="AL365" s="212"/>
      <c r="AM365" s="212"/>
      <c r="AN365" s="212"/>
    </row>
    <row r="366" spans="27:40" ht="15" customHeight="1" x14ac:dyDescent="0.35">
      <c r="AA366" s="212"/>
      <c r="AB366" s="212"/>
      <c r="AC366" s="212"/>
      <c r="AD366" s="212"/>
      <c r="AE366" s="212"/>
      <c r="AF366" s="212"/>
      <c r="AG366" s="212"/>
      <c r="AH366" s="212"/>
      <c r="AI366" s="212"/>
      <c r="AK366" s="212"/>
      <c r="AL366" s="212"/>
      <c r="AM366" s="212"/>
      <c r="AN366" s="212"/>
    </row>
    <row r="367" spans="27:40" ht="15" customHeight="1" x14ac:dyDescent="0.35">
      <c r="AA367" s="212"/>
      <c r="AB367" s="212"/>
      <c r="AC367" s="212"/>
      <c r="AD367" s="212"/>
      <c r="AE367" s="212"/>
      <c r="AF367" s="212"/>
      <c r="AG367" s="212"/>
      <c r="AH367" s="212"/>
      <c r="AI367" s="212"/>
      <c r="AK367" s="212"/>
      <c r="AL367" s="212"/>
      <c r="AM367" s="212"/>
      <c r="AN367" s="212"/>
    </row>
    <row r="368" spans="27:40" ht="15" customHeight="1" x14ac:dyDescent="0.35">
      <c r="AA368" s="212"/>
      <c r="AB368" s="212"/>
      <c r="AC368" s="212"/>
      <c r="AD368" s="212"/>
      <c r="AE368" s="212"/>
      <c r="AF368" s="212"/>
      <c r="AG368" s="212"/>
      <c r="AH368" s="212"/>
      <c r="AI368" s="212"/>
      <c r="AK368" s="212"/>
      <c r="AL368" s="212"/>
      <c r="AM368" s="212"/>
      <c r="AN368" s="212"/>
    </row>
    <row r="369" spans="27:40" ht="15" customHeight="1" x14ac:dyDescent="0.35">
      <c r="AA369" s="212"/>
      <c r="AB369" s="212"/>
      <c r="AC369" s="212"/>
      <c r="AD369" s="212"/>
      <c r="AE369" s="212"/>
      <c r="AF369" s="212"/>
      <c r="AG369" s="212"/>
      <c r="AH369" s="212"/>
      <c r="AI369" s="212"/>
      <c r="AK369" s="212"/>
      <c r="AL369" s="212"/>
      <c r="AM369" s="212"/>
      <c r="AN369" s="212"/>
    </row>
    <row r="370" spans="27:40" ht="15" customHeight="1" x14ac:dyDescent="0.35">
      <c r="AA370" s="212"/>
      <c r="AB370" s="212"/>
      <c r="AC370" s="212"/>
      <c r="AD370" s="212"/>
      <c r="AE370" s="212"/>
      <c r="AF370" s="212"/>
      <c r="AG370" s="212"/>
      <c r="AH370" s="212"/>
      <c r="AI370" s="212"/>
      <c r="AK370" s="212"/>
      <c r="AL370" s="212"/>
      <c r="AM370" s="212"/>
      <c r="AN370" s="212"/>
    </row>
    <row r="371" spans="27:40" ht="15" customHeight="1" x14ac:dyDescent="0.35">
      <c r="AA371" s="212"/>
      <c r="AB371" s="212"/>
      <c r="AC371" s="212"/>
      <c r="AD371" s="212"/>
      <c r="AE371" s="212"/>
      <c r="AF371" s="212"/>
      <c r="AG371" s="212"/>
      <c r="AH371" s="212"/>
      <c r="AI371" s="212"/>
      <c r="AK371" s="212"/>
      <c r="AL371" s="212"/>
      <c r="AM371" s="212"/>
      <c r="AN371" s="212"/>
    </row>
    <row r="372" spans="27:40" ht="15" customHeight="1" x14ac:dyDescent="0.35">
      <c r="AA372" s="212"/>
      <c r="AB372" s="212"/>
      <c r="AC372" s="212"/>
      <c r="AD372" s="212"/>
      <c r="AE372" s="212"/>
      <c r="AF372" s="212"/>
      <c r="AG372" s="212"/>
      <c r="AH372" s="212"/>
      <c r="AI372" s="212"/>
      <c r="AK372" s="212"/>
      <c r="AL372" s="212"/>
      <c r="AM372" s="212"/>
      <c r="AN372" s="212"/>
    </row>
    <row r="373" spans="27:40" ht="15" customHeight="1" x14ac:dyDescent="0.35">
      <c r="AA373" s="212"/>
      <c r="AB373" s="212"/>
      <c r="AC373" s="212"/>
      <c r="AD373" s="212"/>
      <c r="AE373" s="212"/>
      <c r="AF373" s="212"/>
      <c r="AG373" s="212"/>
      <c r="AH373" s="212"/>
      <c r="AI373" s="212"/>
      <c r="AK373" s="212"/>
      <c r="AL373" s="212"/>
      <c r="AM373" s="212"/>
      <c r="AN373" s="212"/>
    </row>
    <row r="374" spans="27:40" ht="15" customHeight="1" x14ac:dyDescent="0.35">
      <c r="AA374" s="212"/>
      <c r="AB374" s="212"/>
      <c r="AC374" s="212"/>
      <c r="AD374" s="212"/>
      <c r="AE374" s="212"/>
      <c r="AF374" s="212"/>
      <c r="AG374" s="212"/>
      <c r="AH374" s="212"/>
      <c r="AI374" s="212"/>
      <c r="AK374" s="212"/>
      <c r="AL374" s="212"/>
      <c r="AM374" s="212"/>
      <c r="AN374" s="212"/>
    </row>
    <row r="375" spans="27:40" ht="15" customHeight="1" x14ac:dyDescent="0.35">
      <c r="AA375" s="212"/>
      <c r="AB375" s="212"/>
      <c r="AC375" s="212"/>
      <c r="AD375" s="212"/>
      <c r="AE375" s="212"/>
      <c r="AF375" s="212"/>
      <c r="AG375" s="212"/>
      <c r="AH375" s="212"/>
      <c r="AI375" s="212"/>
      <c r="AK375" s="212"/>
      <c r="AL375" s="212"/>
      <c r="AM375" s="212"/>
      <c r="AN375" s="212"/>
    </row>
    <row r="376" spans="27:40" ht="15" customHeight="1" x14ac:dyDescent="0.35">
      <c r="AA376" s="212"/>
      <c r="AB376" s="212"/>
      <c r="AC376" s="212"/>
      <c r="AD376" s="212"/>
      <c r="AE376" s="212"/>
      <c r="AF376" s="212"/>
      <c r="AG376" s="212"/>
      <c r="AH376" s="212"/>
      <c r="AI376" s="212"/>
      <c r="AK376" s="212"/>
      <c r="AL376" s="212"/>
      <c r="AM376" s="212"/>
      <c r="AN376" s="212"/>
    </row>
    <row r="377" spans="27:40" ht="15" customHeight="1" x14ac:dyDescent="0.35">
      <c r="AA377" s="212"/>
      <c r="AB377" s="212"/>
      <c r="AC377" s="212"/>
      <c r="AD377" s="212"/>
      <c r="AE377" s="212"/>
      <c r="AF377" s="212"/>
      <c r="AG377" s="212"/>
      <c r="AH377" s="212"/>
      <c r="AI377" s="212"/>
      <c r="AK377" s="212"/>
      <c r="AL377" s="212"/>
      <c r="AM377" s="212"/>
      <c r="AN377" s="212"/>
    </row>
    <row r="378" spans="27:40" ht="15" customHeight="1" x14ac:dyDescent="0.35">
      <c r="AA378" s="212"/>
      <c r="AB378" s="212"/>
      <c r="AC378" s="212"/>
      <c r="AD378" s="212"/>
      <c r="AE378" s="212"/>
      <c r="AF378" s="212"/>
      <c r="AG378" s="212"/>
      <c r="AH378" s="212"/>
      <c r="AI378" s="212"/>
      <c r="AK378" s="212"/>
      <c r="AL378" s="212"/>
      <c r="AM378" s="212"/>
      <c r="AN378" s="212"/>
    </row>
    <row r="379" spans="27:40" ht="15" customHeight="1" x14ac:dyDescent="0.35">
      <c r="AA379" s="212"/>
      <c r="AB379" s="212"/>
      <c r="AC379" s="212"/>
      <c r="AD379" s="212"/>
      <c r="AE379" s="212"/>
      <c r="AF379" s="212"/>
      <c r="AG379" s="212"/>
      <c r="AH379" s="212"/>
      <c r="AI379" s="212"/>
      <c r="AK379" s="212"/>
      <c r="AL379" s="212"/>
      <c r="AM379" s="212"/>
      <c r="AN379" s="212"/>
    </row>
    <row r="380" spans="27:40" ht="15" customHeight="1" x14ac:dyDescent="0.35">
      <c r="AA380" s="212"/>
      <c r="AB380" s="212"/>
      <c r="AC380" s="212"/>
      <c r="AD380" s="212"/>
      <c r="AE380" s="212"/>
      <c r="AF380" s="212"/>
      <c r="AG380" s="212"/>
      <c r="AH380" s="212"/>
      <c r="AI380" s="212"/>
      <c r="AK380" s="212"/>
      <c r="AL380" s="212"/>
      <c r="AM380" s="212"/>
      <c r="AN380" s="212"/>
    </row>
    <row r="381" spans="27:40" ht="15" customHeight="1" x14ac:dyDescent="0.35">
      <c r="AA381" s="212"/>
      <c r="AB381" s="212"/>
      <c r="AC381" s="212"/>
      <c r="AD381" s="212"/>
      <c r="AE381" s="212"/>
      <c r="AF381" s="212"/>
      <c r="AG381" s="212"/>
      <c r="AH381" s="212"/>
      <c r="AI381" s="212"/>
      <c r="AK381" s="212"/>
      <c r="AL381" s="212"/>
      <c r="AM381" s="212"/>
      <c r="AN381" s="212"/>
    </row>
    <row r="382" spans="27:40" ht="15" customHeight="1" x14ac:dyDescent="0.35">
      <c r="AA382" s="212"/>
      <c r="AB382" s="212"/>
      <c r="AC382" s="212"/>
      <c r="AD382" s="212"/>
      <c r="AE382" s="212"/>
      <c r="AF382" s="212"/>
      <c r="AG382" s="212"/>
      <c r="AH382" s="212"/>
      <c r="AI382" s="212"/>
      <c r="AK382" s="212"/>
      <c r="AL382" s="212"/>
      <c r="AM382" s="212"/>
      <c r="AN382" s="212"/>
    </row>
    <row r="383" spans="27:40" ht="15" customHeight="1" x14ac:dyDescent="0.35">
      <c r="AA383" s="212"/>
      <c r="AB383" s="212"/>
      <c r="AC383" s="212"/>
      <c r="AD383" s="212"/>
      <c r="AE383" s="212"/>
      <c r="AF383" s="212"/>
      <c r="AG383" s="212"/>
      <c r="AH383" s="212"/>
      <c r="AI383" s="212"/>
      <c r="AK383" s="212"/>
      <c r="AL383" s="212"/>
      <c r="AM383" s="212"/>
      <c r="AN383" s="212"/>
    </row>
    <row r="384" spans="27:40" ht="15" customHeight="1" x14ac:dyDescent="0.35">
      <c r="AA384" s="212"/>
      <c r="AB384" s="212"/>
      <c r="AC384" s="212"/>
      <c r="AD384" s="212"/>
      <c r="AE384" s="212"/>
      <c r="AF384" s="212"/>
      <c r="AG384" s="212"/>
      <c r="AH384" s="212"/>
      <c r="AI384" s="212"/>
      <c r="AK384" s="212"/>
      <c r="AL384" s="212"/>
      <c r="AM384" s="212"/>
      <c r="AN384" s="212"/>
    </row>
    <row r="385" spans="27:40" ht="15" customHeight="1" x14ac:dyDescent="0.35">
      <c r="AA385" s="212"/>
      <c r="AB385" s="212"/>
      <c r="AC385" s="212"/>
      <c r="AD385" s="212"/>
      <c r="AE385" s="212"/>
      <c r="AF385" s="212"/>
      <c r="AG385" s="212"/>
      <c r="AH385" s="212"/>
      <c r="AI385" s="212"/>
      <c r="AK385" s="212"/>
      <c r="AL385" s="212"/>
      <c r="AM385" s="212"/>
      <c r="AN385" s="212"/>
    </row>
    <row r="386" spans="27:40" ht="15" customHeight="1" x14ac:dyDescent="0.35">
      <c r="AA386" s="212"/>
      <c r="AB386" s="212"/>
      <c r="AC386" s="212"/>
      <c r="AD386" s="212"/>
      <c r="AE386" s="212"/>
      <c r="AF386" s="212"/>
      <c r="AG386" s="212"/>
      <c r="AH386" s="212"/>
      <c r="AI386" s="212"/>
      <c r="AK386" s="212"/>
      <c r="AL386" s="212"/>
      <c r="AM386" s="212"/>
      <c r="AN386" s="212"/>
    </row>
    <row r="387" spans="27:40" ht="15" customHeight="1" x14ac:dyDescent="0.35">
      <c r="AA387" s="212"/>
      <c r="AB387" s="212"/>
      <c r="AC387" s="212"/>
      <c r="AD387" s="212"/>
      <c r="AE387" s="212"/>
      <c r="AF387" s="212"/>
      <c r="AG387" s="212"/>
      <c r="AH387" s="212"/>
      <c r="AI387" s="212"/>
      <c r="AK387" s="212"/>
      <c r="AL387" s="212"/>
      <c r="AM387" s="212"/>
      <c r="AN387" s="212"/>
    </row>
    <row r="388" spans="27:40" ht="15" customHeight="1" x14ac:dyDescent="0.35">
      <c r="AA388" s="212"/>
      <c r="AB388" s="212"/>
      <c r="AC388" s="212"/>
      <c r="AD388" s="212"/>
      <c r="AE388" s="212"/>
      <c r="AF388" s="212"/>
      <c r="AG388" s="212"/>
      <c r="AH388" s="212"/>
      <c r="AI388" s="212"/>
      <c r="AK388" s="212"/>
      <c r="AL388" s="212"/>
      <c r="AM388" s="212"/>
      <c r="AN388" s="212"/>
    </row>
    <row r="389" spans="27:40" ht="15" customHeight="1" x14ac:dyDescent="0.35">
      <c r="AA389" s="212"/>
      <c r="AB389" s="212"/>
      <c r="AC389" s="212"/>
      <c r="AD389" s="212"/>
      <c r="AE389" s="212"/>
      <c r="AF389" s="212"/>
      <c r="AG389" s="212"/>
      <c r="AH389" s="212"/>
      <c r="AI389" s="212"/>
      <c r="AK389" s="212"/>
      <c r="AL389" s="212"/>
      <c r="AM389" s="212"/>
      <c r="AN389" s="212"/>
    </row>
    <row r="390" spans="27:40" ht="15" customHeight="1" x14ac:dyDescent="0.35">
      <c r="AA390" s="212"/>
      <c r="AB390" s="212"/>
      <c r="AC390" s="212"/>
      <c r="AD390" s="212"/>
      <c r="AE390" s="212"/>
      <c r="AF390" s="212"/>
      <c r="AG390" s="212"/>
      <c r="AH390" s="212"/>
      <c r="AI390" s="212"/>
      <c r="AK390" s="212"/>
      <c r="AL390" s="212"/>
      <c r="AM390" s="212"/>
      <c r="AN390" s="212"/>
    </row>
    <row r="391" spans="27:40" ht="15" customHeight="1" x14ac:dyDescent="0.35">
      <c r="AA391" s="212"/>
      <c r="AB391" s="212"/>
      <c r="AC391" s="212"/>
      <c r="AD391" s="212"/>
      <c r="AE391" s="212"/>
      <c r="AF391" s="212"/>
      <c r="AG391" s="212"/>
      <c r="AH391" s="212"/>
      <c r="AI391" s="212"/>
      <c r="AK391" s="212"/>
      <c r="AL391" s="212"/>
      <c r="AM391" s="212"/>
      <c r="AN391" s="212"/>
    </row>
    <row r="392" spans="27:40" ht="15" customHeight="1" x14ac:dyDescent="0.35">
      <c r="AA392" s="212"/>
      <c r="AB392" s="212"/>
      <c r="AC392" s="212"/>
      <c r="AD392" s="212"/>
      <c r="AE392" s="212"/>
      <c r="AF392" s="212"/>
      <c r="AG392" s="212"/>
      <c r="AH392" s="212"/>
      <c r="AI392" s="212"/>
      <c r="AK392" s="212"/>
      <c r="AL392" s="212"/>
      <c r="AM392" s="212"/>
      <c r="AN392" s="212"/>
    </row>
    <row r="393" spans="27:40" ht="15" customHeight="1" x14ac:dyDescent="0.35">
      <c r="AA393" s="212"/>
      <c r="AB393" s="212"/>
      <c r="AC393" s="212"/>
      <c r="AD393" s="212"/>
      <c r="AE393" s="212"/>
      <c r="AF393" s="212"/>
      <c r="AG393" s="212"/>
      <c r="AH393" s="212"/>
      <c r="AI393" s="212"/>
      <c r="AK393" s="212"/>
      <c r="AL393" s="212"/>
      <c r="AM393" s="212"/>
      <c r="AN393" s="212"/>
    </row>
    <row r="394" spans="27:40" ht="15" customHeight="1" x14ac:dyDescent="0.35">
      <c r="AA394" s="212"/>
      <c r="AB394" s="212"/>
      <c r="AC394" s="212"/>
      <c r="AD394" s="212"/>
      <c r="AE394" s="212"/>
      <c r="AF394" s="212"/>
      <c r="AG394" s="212"/>
      <c r="AH394" s="212"/>
      <c r="AI394" s="212"/>
      <c r="AK394" s="212"/>
      <c r="AL394" s="212"/>
      <c r="AM394" s="212"/>
      <c r="AN394" s="212"/>
    </row>
    <row r="395" spans="27:40" ht="15" customHeight="1" x14ac:dyDescent="0.35">
      <c r="AA395" s="212"/>
      <c r="AB395" s="212"/>
      <c r="AC395" s="212"/>
      <c r="AD395" s="212"/>
      <c r="AE395" s="212"/>
      <c r="AF395" s="212"/>
      <c r="AG395" s="212"/>
      <c r="AH395" s="212"/>
      <c r="AI395" s="212"/>
      <c r="AK395" s="212"/>
      <c r="AL395" s="212"/>
      <c r="AM395" s="212"/>
      <c r="AN395" s="212"/>
    </row>
    <row r="396" spans="27:40" ht="15" customHeight="1" x14ac:dyDescent="0.35">
      <c r="AA396" s="212"/>
      <c r="AB396" s="212"/>
      <c r="AC396" s="212"/>
      <c r="AD396" s="212"/>
      <c r="AE396" s="212"/>
      <c r="AF396" s="212"/>
      <c r="AG396" s="212"/>
      <c r="AH396" s="212"/>
      <c r="AI396" s="212"/>
      <c r="AK396" s="212"/>
      <c r="AL396" s="212"/>
      <c r="AM396" s="212"/>
      <c r="AN396" s="212"/>
    </row>
    <row r="397" spans="27:40" ht="15" customHeight="1" x14ac:dyDescent="0.35">
      <c r="AA397" s="212"/>
      <c r="AB397" s="212"/>
      <c r="AC397" s="212"/>
      <c r="AD397" s="212"/>
      <c r="AE397" s="212"/>
      <c r="AF397" s="212"/>
      <c r="AG397" s="212"/>
      <c r="AH397" s="212"/>
      <c r="AI397" s="212"/>
      <c r="AK397" s="212"/>
      <c r="AL397" s="212"/>
      <c r="AM397" s="212"/>
      <c r="AN397" s="212"/>
    </row>
    <row r="398" spans="27:40" ht="15" customHeight="1" x14ac:dyDescent="0.35">
      <c r="AA398" s="212"/>
      <c r="AB398" s="212"/>
      <c r="AC398" s="212"/>
      <c r="AD398" s="212"/>
      <c r="AE398" s="212"/>
      <c r="AF398" s="212"/>
      <c r="AG398" s="212"/>
      <c r="AH398" s="212"/>
      <c r="AI398" s="212"/>
      <c r="AK398" s="212"/>
      <c r="AL398" s="212"/>
      <c r="AM398" s="212"/>
      <c r="AN398" s="212"/>
    </row>
    <row r="399" spans="27:40" ht="15" customHeight="1" x14ac:dyDescent="0.35">
      <c r="AA399" s="212"/>
      <c r="AB399" s="212"/>
      <c r="AC399" s="212"/>
      <c r="AD399" s="212"/>
      <c r="AE399" s="212"/>
      <c r="AF399" s="212"/>
      <c r="AG399" s="212"/>
      <c r="AH399" s="212"/>
      <c r="AI399" s="212"/>
      <c r="AK399" s="212"/>
      <c r="AL399" s="212"/>
      <c r="AM399" s="212"/>
      <c r="AN399" s="212"/>
    </row>
    <row r="400" spans="27:40" ht="15" customHeight="1" x14ac:dyDescent="0.35">
      <c r="AA400" s="212"/>
      <c r="AB400" s="212"/>
      <c r="AC400" s="212"/>
      <c r="AD400" s="212"/>
      <c r="AE400" s="212"/>
      <c r="AF400" s="212"/>
      <c r="AG400" s="212"/>
      <c r="AH400" s="212"/>
      <c r="AI400" s="212"/>
      <c r="AK400" s="212"/>
      <c r="AL400" s="212"/>
      <c r="AM400" s="212"/>
      <c r="AN400" s="212"/>
    </row>
    <row r="401" spans="27:40" ht="15" customHeight="1" x14ac:dyDescent="0.35">
      <c r="AA401" s="212"/>
      <c r="AB401" s="212"/>
      <c r="AC401" s="212"/>
      <c r="AD401" s="212"/>
      <c r="AE401" s="212"/>
      <c r="AF401" s="212"/>
      <c r="AG401" s="212"/>
      <c r="AH401" s="212"/>
      <c r="AI401" s="212"/>
      <c r="AK401" s="212"/>
      <c r="AL401" s="212"/>
      <c r="AM401" s="212"/>
      <c r="AN401" s="212"/>
    </row>
    <row r="402" spans="27:40" ht="15" customHeight="1" x14ac:dyDescent="0.35">
      <c r="AA402" s="212"/>
      <c r="AB402" s="212"/>
      <c r="AC402" s="212"/>
      <c r="AD402" s="212"/>
      <c r="AE402" s="212"/>
      <c r="AF402" s="212"/>
      <c r="AG402" s="212"/>
      <c r="AH402" s="212"/>
      <c r="AI402" s="212"/>
      <c r="AK402" s="212"/>
      <c r="AL402" s="212"/>
      <c r="AM402" s="212"/>
      <c r="AN402" s="212"/>
    </row>
    <row r="403" spans="27:40" ht="15" customHeight="1" x14ac:dyDescent="0.35">
      <c r="AA403" s="212"/>
      <c r="AB403" s="212"/>
      <c r="AC403" s="212"/>
      <c r="AD403" s="212"/>
      <c r="AE403" s="212"/>
      <c r="AF403" s="212"/>
      <c r="AG403" s="212"/>
      <c r="AH403" s="212"/>
      <c r="AI403" s="212"/>
      <c r="AK403" s="212"/>
      <c r="AL403" s="212"/>
      <c r="AM403" s="212"/>
      <c r="AN403" s="212"/>
    </row>
    <row r="404" spans="27:40" ht="15" customHeight="1" x14ac:dyDescent="0.35">
      <c r="AA404" s="212"/>
      <c r="AB404" s="212"/>
      <c r="AC404" s="212"/>
      <c r="AD404" s="212"/>
      <c r="AE404" s="212"/>
      <c r="AF404" s="212"/>
      <c r="AG404" s="212"/>
      <c r="AH404" s="212"/>
      <c r="AI404" s="212"/>
      <c r="AK404" s="212"/>
      <c r="AL404" s="212"/>
      <c r="AM404" s="212"/>
      <c r="AN404" s="212"/>
    </row>
    <row r="405" spans="27:40" ht="15" customHeight="1" x14ac:dyDescent="0.35">
      <c r="AA405" s="212"/>
      <c r="AB405" s="212"/>
      <c r="AC405" s="212"/>
      <c r="AD405" s="212"/>
      <c r="AE405" s="212"/>
      <c r="AF405" s="212"/>
      <c r="AG405" s="212"/>
      <c r="AH405" s="212"/>
      <c r="AI405" s="212"/>
      <c r="AK405" s="212"/>
      <c r="AL405" s="212"/>
      <c r="AM405" s="212"/>
      <c r="AN405" s="212"/>
    </row>
    <row r="406" spans="27:40" ht="15" customHeight="1" x14ac:dyDescent="0.35">
      <c r="AA406" s="212"/>
      <c r="AB406" s="212"/>
      <c r="AC406" s="212"/>
      <c r="AD406" s="212"/>
      <c r="AE406" s="212"/>
      <c r="AF406" s="212"/>
      <c r="AG406" s="212"/>
      <c r="AH406" s="212"/>
      <c r="AI406" s="212"/>
      <c r="AK406" s="212"/>
      <c r="AL406" s="212"/>
      <c r="AM406" s="212"/>
      <c r="AN406" s="212"/>
    </row>
    <row r="407" spans="27:40" ht="15" customHeight="1" x14ac:dyDescent="0.35">
      <c r="AA407" s="212"/>
      <c r="AB407" s="212"/>
      <c r="AC407" s="212"/>
      <c r="AD407" s="212"/>
      <c r="AE407" s="212"/>
      <c r="AF407" s="212"/>
      <c r="AG407" s="212"/>
      <c r="AH407" s="212"/>
      <c r="AI407" s="212"/>
      <c r="AK407" s="212"/>
      <c r="AL407" s="212"/>
      <c r="AM407" s="212"/>
      <c r="AN407" s="212"/>
    </row>
    <row r="408" spans="27:40" ht="15" customHeight="1" x14ac:dyDescent="0.35">
      <c r="AA408" s="212"/>
      <c r="AB408" s="212"/>
      <c r="AC408" s="212"/>
      <c r="AD408" s="212"/>
      <c r="AE408" s="212"/>
      <c r="AF408" s="212"/>
      <c r="AG408" s="212"/>
      <c r="AH408" s="212"/>
      <c r="AI408" s="212"/>
      <c r="AK408" s="212"/>
      <c r="AL408" s="212"/>
      <c r="AM408" s="212"/>
      <c r="AN408" s="212"/>
    </row>
    <row r="409" spans="27:40" ht="15" customHeight="1" x14ac:dyDescent="0.35">
      <c r="AA409" s="212"/>
      <c r="AB409" s="212"/>
      <c r="AC409" s="212"/>
      <c r="AD409" s="212"/>
      <c r="AE409" s="212"/>
      <c r="AF409" s="212"/>
      <c r="AG409" s="212"/>
      <c r="AH409" s="212"/>
      <c r="AI409" s="212"/>
      <c r="AK409" s="212"/>
      <c r="AL409" s="212"/>
      <c r="AM409" s="212"/>
      <c r="AN409" s="212"/>
    </row>
    <row r="410" spans="27:40" ht="15" customHeight="1" x14ac:dyDescent="0.35">
      <c r="AA410" s="212"/>
      <c r="AB410" s="212"/>
      <c r="AC410" s="212"/>
      <c r="AD410" s="212"/>
      <c r="AE410" s="212"/>
      <c r="AF410" s="212"/>
      <c r="AG410" s="212"/>
      <c r="AH410" s="212"/>
      <c r="AI410" s="212"/>
      <c r="AK410" s="212"/>
      <c r="AL410" s="212"/>
      <c r="AM410" s="212"/>
      <c r="AN410" s="212"/>
    </row>
    <row r="411" spans="27:40" ht="15" customHeight="1" x14ac:dyDescent="0.35">
      <c r="AA411" s="212"/>
      <c r="AB411" s="212"/>
      <c r="AC411" s="212"/>
      <c r="AD411" s="212"/>
      <c r="AE411" s="212"/>
      <c r="AF411" s="212"/>
      <c r="AG411" s="212"/>
      <c r="AH411" s="212"/>
      <c r="AI411" s="212"/>
      <c r="AK411" s="212"/>
      <c r="AL411" s="212"/>
      <c r="AM411" s="212"/>
      <c r="AN411" s="212"/>
    </row>
    <row r="412" spans="27:40" ht="15" customHeight="1" x14ac:dyDescent="0.35">
      <c r="AA412" s="212"/>
      <c r="AB412" s="212"/>
      <c r="AC412" s="212"/>
      <c r="AD412" s="212"/>
      <c r="AE412" s="212"/>
      <c r="AF412" s="212"/>
      <c r="AG412" s="212"/>
      <c r="AH412" s="212"/>
      <c r="AI412" s="212"/>
      <c r="AK412" s="212"/>
      <c r="AL412" s="212"/>
      <c r="AM412" s="212"/>
      <c r="AN412" s="212"/>
    </row>
    <row r="413" spans="27:40" ht="15" customHeight="1" x14ac:dyDescent="0.35">
      <c r="AA413" s="212"/>
      <c r="AB413" s="212"/>
      <c r="AC413" s="212"/>
      <c r="AD413" s="212"/>
      <c r="AE413" s="212"/>
      <c r="AF413" s="212"/>
      <c r="AG413" s="212"/>
      <c r="AH413" s="212"/>
      <c r="AI413" s="212"/>
      <c r="AK413" s="212"/>
      <c r="AL413" s="212"/>
      <c r="AM413" s="212"/>
      <c r="AN413" s="212"/>
    </row>
    <row r="414" spans="27:40" ht="15" customHeight="1" x14ac:dyDescent="0.35">
      <c r="AA414" s="212"/>
      <c r="AB414" s="212"/>
      <c r="AC414" s="212"/>
      <c r="AD414" s="212"/>
      <c r="AE414" s="212"/>
      <c r="AF414" s="212"/>
      <c r="AG414" s="212"/>
      <c r="AH414" s="212"/>
      <c r="AI414" s="212"/>
      <c r="AK414" s="212"/>
      <c r="AL414" s="212"/>
      <c r="AM414" s="212"/>
      <c r="AN414" s="212"/>
    </row>
    <row r="415" spans="27:40" ht="15" customHeight="1" x14ac:dyDescent="0.35">
      <c r="AA415" s="212"/>
      <c r="AB415" s="212"/>
      <c r="AC415" s="212"/>
      <c r="AD415" s="212"/>
      <c r="AE415" s="212"/>
      <c r="AF415" s="212"/>
      <c r="AG415" s="212"/>
      <c r="AH415" s="212"/>
      <c r="AI415" s="212"/>
      <c r="AK415" s="212"/>
      <c r="AL415" s="212"/>
      <c r="AM415" s="212"/>
      <c r="AN415" s="212"/>
    </row>
    <row r="416" spans="27:40" ht="15" customHeight="1" x14ac:dyDescent="0.35">
      <c r="AA416" s="212"/>
      <c r="AB416" s="212"/>
      <c r="AC416" s="212"/>
      <c r="AD416" s="212"/>
      <c r="AE416" s="212"/>
      <c r="AF416" s="212"/>
      <c r="AG416" s="212"/>
      <c r="AH416" s="212"/>
      <c r="AI416" s="212"/>
      <c r="AK416" s="212"/>
      <c r="AL416" s="212"/>
      <c r="AM416" s="212"/>
      <c r="AN416" s="212"/>
    </row>
    <row r="417" spans="27:40" ht="15" customHeight="1" x14ac:dyDescent="0.35">
      <c r="AA417" s="212"/>
      <c r="AB417" s="212"/>
      <c r="AC417" s="212"/>
      <c r="AD417" s="212"/>
      <c r="AE417" s="212"/>
      <c r="AF417" s="212"/>
      <c r="AG417" s="212"/>
      <c r="AH417" s="212"/>
      <c r="AI417" s="212"/>
      <c r="AK417" s="212"/>
      <c r="AL417" s="212"/>
      <c r="AM417" s="212"/>
      <c r="AN417" s="212"/>
    </row>
    <row r="418" spans="27:40" ht="15" customHeight="1" x14ac:dyDescent="0.35">
      <c r="AA418" s="212"/>
      <c r="AB418" s="212"/>
      <c r="AC418" s="212"/>
      <c r="AD418" s="212"/>
      <c r="AE418" s="212"/>
      <c r="AF418" s="212"/>
      <c r="AG418" s="212"/>
      <c r="AH418" s="212"/>
      <c r="AI418" s="212"/>
      <c r="AK418" s="212"/>
      <c r="AL418" s="212"/>
      <c r="AM418" s="212"/>
      <c r="AN418" s="212"/>
    </row>
    <row r="419" spans="27:40" ht="15" customHeight="1" x14ac:dyDescent="0.35">
      <c r="AA419" s="212"/>
      <c r="AB419" s="212"/>
      <c r="AC419" s="212"/>
      <c r="AD419" s="212"/>
      <c r="AE419" s="212"/>
      <c r="AF419" s="212"/>
      <c r="AG419" s="212"/>
      <c r="AH419" s="212"/>
      <c r="AI419" s="212"/>
      <c r="AK419" s="212"/>
      <c r="AL419" s="212"/>
      <c r="AM419" s="212"/>
      <c r="AN419" s="212"/>
    </row>
    <row r="420" spans="27:40" ht="15" customHeight="1" x14ac:dyDescent="0.35">
      <c r="AA420" s="212"/>
      <c r="AB420" s="212"/>
      <c r="AC420" s="212"/>
      <c r="AD420" s="212"/>
      <c r="AE420" s="212"/>
      <c r="AF420" s="212"/>
      <c r="AG420" s="212"/>
      <c r="AH420" s="212"/>
      <c r="AI420" s="212"/>
      <c r="AK420" s="212"/>
      <c r="AL420" s="212"/>
      <c r="AM420" s="212"/>
      <c r="AN420" s="212"/>
    </row>
    <row r="421" spans="27:40" ht="15" customHeight="1" x14ac:dyDescent="0.35">
      <c r="AA421" s="212"/>
      <c r="AB421" s="212"/>
      <c r="AC421" s="212"/>
      <c r="AD421" s="212"/>
      <c r="AE421" s="212"/>
      <c r="AF421" s="212"/>
      <c r="AG421" s="212"/>
      <c r="AH421" s="212"/>
      <c r="AI421" s="212"/>
      <c r="AK421" s="212"/>
      <c r="AL421" s="212"/>
      <c r="AM421" s="212"/>
      <c r="AN421" s="212"/>
    </row>
    <row r="422" spans="27:40" ht="15" customHeight="1" x14ac:dyDescent="0.35">
      <c r="AA422" s="212"/>
      <c r="AB422" s="212"/>
      <c r="AC422" s="212"/>
      <c r="AD422" s="212"/>
      <c r="AE422" s="212"/>
      <c r="AF422" s="212"/>
      <c r="AG422" s="212"/>
      <c r="AH422" s="212"/>
      <c r="AI422" s="212"/>
      <c r="AK422" s="212"/>
      <c r="AL422" s="212"/>
      <c r="AM422" s="212"/>
      <c r="AN422" s="212"/>
    </row>
    <row r="423" spans="27:40" ht="15" customHeight="1" x14ac:dyDescent="0.35">
      <c r="AA423" s="212"/>
      <c r="AB423" s="212"/>
      <c r="AC423" s="212"/>
      <c r="AD423" s="212"/>
      <c r="AE423" s="212"/>
      <c r="AF423" s="212"/>
      <c r="AG423" s="212"/>
      <c r="AH423" s="212"/>
      <c r="AI423" s="212"/>
      <c r="AK423" s="212"/>
      <c r="AL423" s="212"/>
      <c r="AM423" s="212"/>
      <c r="AN423" s="212"/>
    </row>
    <row r="424" spans="27:40" ht="15" customHeight="1" x14ac:dyDescent="0.35">
      <c r="AA424" s="212"/>
      <c r="AB424" s="212"/>
      <c r="AC424" s="212"/>
      <c r="AD424" s="212"/>
      <c r="AE424" s="212"/>
      <c r="AF424" s="212"/>
      <c r="AG424" s="212"/>
      <c r="AH424" s="212"/>
      <c r="AI424" s="212"/>
      <c r="AK424" s="212"/>
      <c r="AL424" s="212"/>
      <c r="AM424" s="212"/>
      <c r="AN424" s="212"/>
    </row>
    <row r="425" spans="27:40" ht="15" customHeight="1" x14ac:dyDescent="0.35">
      <c r="AA425" s="212"/>
      <c r="AB425" s="212"/>
      <c r="AC425" s="212"/>
      <c r="AD425" s="212"/>
      <c r="AE425" s="212"/>
      <c r="AF425" s="212"/>
      <c r="AG425" s="212"/>
      <c r="AH425" s="212"/>
      <c r="AI425" s="212"/>
      <c r="AK425" s="212"/>
      <c r="AL425" s="212"/>
      <c r="AM425" s="212"/>
      <c r="AN425" s="212"/>
    </row>
    <row r="426" spans="27:40" ht="15" customHeight="1" x14ac:dyDescent="0.35">
      <c r="AA426" s="212"/>
      <c r="AB426" s="212"/>
      <c r="AC426" s="212"/>
      <c r="AD426" s="212"/>
      <c r="AE426" s="212"/>
      <c r="AF426" s="212"/>
      <c r="AG426" s="212"/>
      <c r="AH426" s="212"/>
      <c r="AI426" s="212"/>
      <c r="AK426" s="212"/>
      <c r="AL426" s="212"/>
      <c r="AM426" s="212"/>
      <c r="AN426" s="212"/>
    </row>
    <row r="427" spans="27:40" ht="15" customHeight="1" x14ac:dyDescent="0.35">
      <c r="AA427" s="212"/>
      <c r="AB427" s="212"/>
      <c r="AC427" s="212"/>
      <c r="AD427" s="212"/>
      <c r="AE427" s="212"/>
      <c r="AF427" s="212"/>
      <c r="AG427" s="212"/>
      <c r="AH427" s="212"/>
      <c r="AI427" s="212"/>
      <c r="AK427" s="212"/>
      <c r="AL427" s="212"/>
      <c r="AM427" s="212"/>
      <c r="AN427" s="212"/>
    </row>
    <row r="428" spans="27:40" ht="15" customHeight="1" x14ac:dyDescent="0.35">
      <c r="AA428" s="212"/>
      <c r="AB428" s="212"/>
      <c r="AC428" s="212"/>
      <c r="AD428" s="212"/>
      <c r="AE428" s="212"/>
      <c r="AF428" s="212"/>
      <c r="AG428" s="212"/>
      <c r="AH428" s="212"/>
      <c r="AI428" s="212"/>
      <c r="AK428" s="212"/>
      <c r="AL428" s="212"/>
      <c r="AM428" s="212"/>
      <c r="AN428" s="212"/>
    </row>
    <row r="429" spans="27:40" ht="15" customHeight="1" x14ac:dyDescent="0.35">
      <c r="AA429" s="212"/>
      <c r="AB429" s="212"/>
      <c r="AC429" s="212"/>
      <c r="AD429" s="212"/>
      <c r="AE429" s="212"/>
      <c r="AF429" s="212"/>
      <c r="AG429" s="212"/>
      <c r="AH429" s="212"/>
      <c r="AI429" s="212"/>
      <c r="AK429" s="212"/>
      <c r="AL429" s="212"/>
      <c r="AM429" s="212"/>
      <c r="AN429" s="212"/>
    </row>
    <row r="430" spans="27:40" ht="15" customHeight="1" x14ac:dyDescent="0.35">
      <c r="AA430" s="212"/>
      <c r="AB430" s="212"/>
      <c r="AC430" s="212"/>
      <c r="AD430" s="212"/>
      <c r="AE430" s="212"/>
      <c r="AF430" s="212"/>
      <c r="AG430" s="212"/>
      <c r="AH430" s="212"/>
      <c r="AI430" s="212"/>
      <c r="AK430" s="212"/>
      <c r="AL430" s="212"/>
      <c r="AM430" s="212"/>
      <c r="AN430" s="212"/>
    </row>
    <row r="431" spans="27:40" ht="15" customHeight="1" x14ac:dyDescent="0.35">
      <c r="AA431" s="212"/>
      <c r="AB431" s="212"/>
      <c r="AC431" s="212"/>
      <c r="AD431" s="212"/>
      <c r="AE431" s="212"/>
      <c r="AF431" s="212"/>
      <c r="AG431" s="212"/>
      <c r="AH431" s="212"/>
      <c r="AI431" s="212"/>
      <c r="AK431" s="212"/>
      <c r="AL431" s="212"/>
      <c r="AM431" s="212"/>
      <c r="AN431" s="212"/>
    </row>
    <row r="432" spans="27:40" ht="15" customHeight="1" x14ac:dyDescent="0.35">
      <c r="AA432" s="212"/>
      <c r="AB432" s="212"/>
      <c r="AC432" s="212"/>
      <c r="AD432" s="212"/>
      <c r="AE432" s="212"/>
      <c r="AF432" s="212"/>
      <c r="AG432" s="212"/>
      <c r="AH432" s="212"/>
      <c r="AI432" s="212"/>
      <c r="AK432" s="212"/>
      <c r="AL432" s="212"/>
      <c r="AM432" s="212"/>
      <c r="AN432" s="212"/>
    </row>
    <row r="433" spans="27:40" ht="15" customHeight="1" x14ac:dyDescent="0.35">
      <c r="AA433" s="212"/>
      <c r="AB433" s="212"/>
      <c r="AC433" s="212"/>
      <c r="AD433" s="212"/>
      <c r="AE433" s="212"/>
      <c r="AF433" s="212"/>
      <c r="AG433" s="212"/>
      <c r="AH433" s="212"/>
      <c r="AI433" s="212"/>
      <c r="AK433" s="212"/>
      <c r="AL433" s="212"/>
      <c r="AM433" s="212"/>
      <c r="AN433" s="212"/>
    </row>
    <row r="434" spans="27:40" ht="15" customHeight="1" x14ac:dyDescent="0.35">
      <c r="AA434" s="212"/>
      <c r="AB434" s="212"/>
      <c r="AC434" s="212"/>
      <c r="AD434" s="212"/>
      <c r="AE434" s="212"/>
      <c r="AF434" s="212"/>
      <c r="AG434" s="212"/>
      <c r="AH434" s="212"/>
      <c r="AI434" s="212"/>
      <c r="AK434" s="212"/>
      <c r="AL434" s="212"/>
      <c r="AM434" s="212"/>
      <c r="AN434" s="212"/>
    </row>
    <row r="435" spans="27:40" ht="15" customHeight="1" x14ac:dyDescent="0.35">
      <c r="AA435" s="212"/>
      <c r="AB435" s="212"/>
      <c r="AC435" s="212"/>
      <c r="AD435" s="212"/>
      <c r="AE435" s="212"/>
      <c r="AF435" s="212"/>
      <c r="AG435" s="212"/>
      <c r="AH435" s="212"/>
      <c r="AI435" s="212"/>
      <c r="AK435" s="212"/>
      <c r="AL435" s="212"/>
      <c r="AM435" s="212"/>
      <c r="AN435" s="212"/>
    </row>
    <row r="436" spans="27:40" ht="15" customHeight="1" x14ac:dyDescent="0.35">
      <c r="AA436" s="212"/>
      <c r="AB436" s="212"/>
      <c r="AC436" s="212"/>
      <c r="AD436" s="212"/>
      <c r="AE436" s="212"/>
      <c r="AF436" s="212"/>
      <c r="AG436" s="212"/>
      <c r="AH436" s="212"/>
      <c r="AI436" s="212"/>
      <c r="AK436" s="212"/>
      <c r="AL436" s="212"/>
      <c r="AM436" s="212"/>
      <c r="AN436" s="212"/>
    </row>
    <row r="437" spans="27:40" ht="15" customHeight="1" x14ac:dyDescent="0.35">
      <c r="AA437" s="212"/>
      <c r="AB437" s="212"/>
      <c r="AC437" s="212"/>
      <c r="AD437" s="212"/>
      <c r="AE437" s="212"/>
      <c r="AF437" s="212"/>
      <c r="AG437" s="212"/>
      <c r="AH437" s="212"/>
      <c r="AI437" s="212"/>
      <c r="AK437" s="212"/>
      <c r="AL437" s="212"/>
      <c r="AM437" s="212"/>
      <c r="AN437" s="212"/>
    </row>
    <row r="438" spans="27:40" ht="15" customHeight="1" x14ac:dyDescent="0.35">
      <c r="AA438" s="212"/>
      <c r="AB438" s="212"/>
      <c r="AC438" s="212"/>
      <c r="AD438" s="212"/>
      <c r="AE438" s="212"/>
      <c r="AF438" s="212"/>
      <c r="AG438" s="212"/>
      <c r="AH438" s="212"/>
      <c r="AI438" s="212"/>
      <c r="AK438" s="212"/>
      <c r="AL438" s="212"/>
      <c r="AM438" s="212"/>
      <c r="AN438" s="212"/>
    </row>
    <row r="439" spans="27:40" ht="15" customHeight="1" x14ac:dyDescent="0.35">
      <c r="AA439" s="212"/>
      <c r="AB439" s="212"/>
      <c r="AC439" s="212"/>
      <c r="AD439" s="212"/>
      <c r="AE439" s="212"/>
      <c r="AF439" s="212"/>
      <c r="AG439" s="212"/>
      <c r="AH439" s="212"/>
      <c r="AI439" s="212"/>
      <c r="AK439" s="212"/>
      <c r="AL439" s="212"/>
      <c r="AM439" s="212"/>
      <c r="AN439" s="212"/>
    </row>
    <row r="440" spans="27:40" ht="15" customHeight="1" x14ac:dyDescent="0.35">
      <c r="AA440" s="212"/>
      <c r="AB440" s="212"/>
      <c r="AC440" s="212"/>
      <c r="AD440" s="212"/>
      <c r="AE440" s="212"/>
      <c r="AF440" s="212"/>
      <c r="AG440" s="212"/>
      <c r="AH440" s="212"/>
      <c r="AI440" s="212"/>
      <c r="AK440" s="212"/>
      <c r="AL440" s="212"/>
      <c r="AM440" s="212"/>
      <c r="AN440" s="212"/>
    </row>
    <row r="441" spans="27:40" ht="15" customHeight="1" x14ac:dyDescent="0.35">
      <c r="AA441" s="212"/>
      <c r="AB441" s="212"/>
      <c r="AC441" s="212"/>
      <c r="AD441" s="212"/>
      <c r="AE441" s="212"/>
      <c r="AF441" s="212"/>
      <c r="AG441" s="212"/>
      <c r="AH441" s="212"/>
      <c r="AI441" s="212"/>
      <c r="AK441" s="212"/>
      <c r="AL441" s="212"/>
      <c r="AM441" s="212"/>
      <c r="AN441" s="212"/>
    </row>
    <row r="442" spans="27:40" ht="15" customHeight="1" x14ac:dyDescent="0.35">
      <c r="AA442" s="212"/>
      <c r="AB442" s="212"/>
      <c r="AC442" s="212"/>
      <c r="AD442" s="212"/>
      <c r="AE442" s="212"/>
      <c r="AF442" s="212"/>
      <c r="AG442" s="212"/>
      <c r="AH442" s="212"/>
      <c r="AI442" s="212"/>
      <c r="AK442" s="212"/>
      <c r="AL442" s="212"/>
      <c r="AM442" s="212"/>
      <c r="AN442" s="212"/>
    </row>
    <row r="443" spans="27:40" ht="15" customHeight="1" x14ac:dyDescent="0.35">
      <c r="AA443" s="212"/>
      <c r="AB443" s="212"/>
      <c r="AC443" s="212"/>
      <c r="AD443" s="212"/>
      <c r="AE443" s="212"/>
      <c r="AF443" s="212"/>
      <c r="AG443" s="212"/>
      <c r="AH443" s="212"/>
      <c r="AI443" s="212"/>
      <c r="AK443" s="212"/>
      <c r="AL443" s="212"/>
      <c r="AM443" s="212"/>
      <c r="AN443" s="212"/>
    </row>
    <row r="444" spans="27:40" ht="15" customHeight="1" x14ac:dyDescent="0.35">
      <c r="AA444" s="212"/>
      <c r="AB444" s="212"/>
      <c r="AC444" s="212"/>
      <c r="AD444" s="212"/>
      <c r="AE444" s="212"/>
      <c r="AF444" s="212"/>
      <c r="AG444" s="212"/>
      <c r="AH444" s="212"/>
      <c r="AI444" s="212"/>
      <c r="AK444" s="212"/>
      <c r="AL444" s="212"/>
      <c r="AM444" s="212"/>
      <c r="AN444" s="212"/>
    </row>
    <row r="445" spans="27:40" ht="15" customHeight="1" x14ac:dyDescent="0.35">
      <c r="AA445" s="212"/>
      <c r="AB445" s="212"/>
      <c r="AC445" s="212"/>
      <c r="AD445" s="212"/>
      <c r="AE445" s="212"/>
      <c r="AF445" s="212"/>
      <c r="AG445" s="212"/>
      <c r="AH445" s="212"/>
      <c r="AI445" s="212"/>
      <c r="AK445" s="212"/>
      <c r="AL445" s="212"/>
      <c r="AM445" s="212"/>
      <c r="AN445" s="212"/>
    </row>
    <row r="446" spans="27:40" ht="15" customHeight="1" x14ac:dyDescent="0.35">
      <c r="AA446" s="212"/>
      <c r="AB446" s="212"/>
      <c r="AC446" s="212"/>
      <c r="AD446" s="212"/>
      <c r="AE446" s="212"/>
      <c r="AF446" s="212"/>
      <c r="AG446" s="212"/>
      <c r="AH446" s="212"/>
      <c r="AI446" s="212"/>
      <c r="AK446" s="212"/>
      <c r="AL446" s="212"/>
      <c r="AM446" s="212"/>
      <c r="AN446" s="212"/>
    </row>
    <row r="447" spans="27:40" ht="15" customHeight="1" x14ac:dyDescent="0.35">
      <c r="AA447" s="212"/>
      <c r="AB447" s="212"/>
      <c r="AC447" s="212"/>
      <c r="AD447" s="212"/>
      <c r="AE447" s="212"/>
      <c r="AF447" s="212"/>
      <c r="AG447" s="212"/>
      <c r="AH447" s="212"/>
      <c r="AI447" s="212"/>
      <c r="AK447" s="212"/>
      <c r="AL447" s="212"/>
      <c r="AM447" s="212"/>
      <c r="AN447" s="212"/>
    </row>
    <row r="448" spans="27:40" ht="15" customHeight="1" x14ac:dyDescent="0.35">
      <c r="AA448" s="212"/>
      <c r="AB448" s="212"/>
      <c r="AC448" s="212"/>
      <c r="AD448" s="212"/>
      <c r="AE448" s="212"/>
      <c r="AF448" s="212"/>
      <c r="AG448" s="212"/>
      <c r="AH448" s="212"/>
      <c r="AI448" s="212"/>
      <c r="AK448" s="212"/>
      <c r="AL448" s="212"/>
      <c r="AM448" s="212"/>
      <c r="AN448" s="212"/>
    </row>
    <row r="449" spans="27:40" ht="15" customHeight="1" x14ac:dyDescent="0.35">
      <c r="AA449" s="212"/>
      <c r="AB449" s="212"/>
      <c r="AC449" s="212"/>
      <c r="AD449" s="212"/>
      <c r="AE449" s="212"/>
      <c r="AF449" s="212"/>
      <c r="AG449" s="212"/>
      <c r="AH449" s="212"/>
      <c r="AI449" s="212"/>
      <c r="AK449" s="212"/>
      <c r="AL449" s="212"/>
      <c r="AM449" s="212"/>
      <c r="AN449" s="212"/>
    </row>
    <row r="450" spans="27:40" ht="15" customHeight="1" x14ac:dyDescent="0.35">
      <c r="AA450" s="212"/>
      <c r="AB450" s="212"/>
      <c r="AC450" s="212"/>
      <c r="AD450" s="212"/>
      <c r="AE450" s="212"/>
      <c r="AF450" s="212"/>
      <c r="AG450" s="212"/>
      <c r="AH450" s="212"/>
      <c r="AI450" s="212"/>
      <c r="AK450" s="212"/>
      <c r="AL450" s="212"/>
      <c r="AM450" s="212"/>
      <c r="AN450" s="212"/>
    </row>
    <row r="451" spans="27:40" ht="15" customHeight="1" x14ac:dyDescent="0.35">
      <c r="AA451" s="212"/>
      <c r="AB451" s="212"/>
      <c r="AC451" s="212"/>
      <c r="AD451" s="212"/>
      <c r="AE451" s="212"/>
      <c r="AF451" s="212"/>
      <c r="AG451" s="212"/>
      <c r="AH451" s="212"/>
      <c r="AI451" s="212"/>
      <c r="AK451" s="212"/>
      <c r="AL451" s="212"/>
      <c r="AM451" s="212"/>
      <c r="AN451" s="212"/>
    </row>
    <row r="452" spans="27:40" ht="15" customHeight="1" x14ac:dyDescent="0.35">
      <c r="AA452" s="212"/>
      <c r="AB452" s="212"/>
      <c r="AC452" s="212"/>
      <c r="AD452" s="212"/>
      <c r="AE452" s="212"/>
      <c r="AF452" s="212"/>
      <c r="AG452" s="212"/>
      <c r="AH452" s="212"/>
      <c r="AI452" s="212"/>
      <c r="AK452" s="212"/>
      <c r="AL452" s="212"/>
      <c r="AM452" s="212"/>
      <c r="AN452" s="212"/>
    </row>
    <row r="453" spans="27:40" ht="15" customHeight="1" x14ac:dyDescent="0.35">
      <c r="AA453" s="212"/>
      <c r="AB453" s="212"/>
      <c r="AC453" s="212"/>
      <c r="AD453" s="212"/>
      <c r="AE453" s="212"/>
      <c r="AF453" s="212"/>
      <c r="AG453" s="212"/>
      <c r="AH453" s="212"/>
      <c r="AI453" s="212"/>
      <c r="AK453" s="212"/>
      <c r="AL453" s="212"/>
      <c r="AM453" s="212"/>
      <c r="AN453" s="212"/>
    </row>
    <row r="454" spans="27:40" ht="15" customHeight="1" x14ac:dyDescent="0.35">
      <c r="AA454" s="212"/>
      <c r="AB454" s="212"/>
      <c r="AC454" s="212"/>
      <c r="AD454" s="212"/>
      <c r="AE454" s="212"/>
      <c r="AF454" s="212"/>
      <c r="AG454" s="212"/>
      <c r="AH454" s="212"/>
      <c r="AI454" s="212"/>
      <c r="AK454" s="212"/>
      <c r="AL454" s="212"/>
      <c r="AM454" s="212"/>
      <c r="AN454" s="212"/>
    </row>
    <row r="455" spans="27:40" ht="15" customHeight="1" x14ac:dyDescent="0.35">
      <c r="AA455" s="212"/>
      <c r="AB455" s="212"/>
      <c r="AC455" s="212"/>
      <c r="AD455" s="212"/>
      <c r="AE455" s="212"/>
      <c r="AF455" s="212"/>
      <c r="AG455" s="212"/>
      <c r="AH455" s="212"/>
      <c r="AI455" s="212"/>
      <c r="AK455" s="212"/>
      <c r="AL455" s="212"/>
      <c r="AM455" s="212"/>
      <c r="AN455" s="212"/>
    </row>
    <row r="456" spans="27:40" ht="15" customHeight="1" x14ac:dyDescent="0.35">
      <c r="AA456" s="212"/>
      <c r="AB456" s="212"/>
      <c r="AC456" s="212"/>
      <c r="AD456" s="212"/>
      <c r="AE456" s="212"/>
      <c r="AF456" s="212"/>
      <c r="AG456" s="212"/>
      <c r="AH456" s="212"/>
      <c r="AI456" s="212"/>
      <c r="AK456" s="212"/>
      <c r="AL456" s="212"/>
      <c r="AM456" s="212"/>
      <c r="AN456" s="212"/>
    </row>
    <row r="457" spans="27:40" ht="15" customHeight="1" x14ac:dyDescent="0.35">
      <c r="AA457" s="212"/>
      <c r="AB457" s="212"/>
      <c r="AC457" s="212"/>
      <c r="AD457" s="212"/>
      <c r="AE457" s="212"/>
      <c r="AF457" s="212"/>
      <c r="AG457" s="212"/>
      <c r="AH457" s="212"/>
      <c r="AI457" s="212"/>
      <c r="AK457" s="212"/>
      <c r="AL457" s="212"/>
      <c r="AM457" s="212"/>
      <c r="AN457" s="212"/>
    </row>
    <row r="458" spans="27:40" ht="15" customHeight="1" x14ac:dyDescent="0.35">
      <c r="AA458" s="212"/>
      <c r="AB458" s="212"/>
      <c r="AC458" s="212"/>
      <c r="AD458" s="212"/>
      <c r="AE458" s="212"/>
      <c r="AF458" s="212"/>
      <c r="AG458" s="212"/>
      <c r="AH458" s="212"/>
      <c r="AI458" s="212"/>
      <c r="AK458" s="212"/>
      <c r="AL458" s="212"/>
      <c r="AM458" s="212"/>
      <c r="AN458" s="212"/>
    </row>
    <row r="459" spans="27:40" ht="15" customHeight="1" x14ac:dyDescent="0.35">
      <c r="AA459" s="212"/>
      <c r="AB459" s="212"/>
      <c r="AC459" s="212"/>
      <c r="AD459" s="212"/>
      <c r="AE459" s="212"/>
      <c r="AF459" s="212"/>
      <c r="AG459" s="212"/>
      <c r="AH459" s="212"/>
      <c r="AI459" s="212"/>
      <c r="AK459" s="212"/>
      <c r="AL459" s="212"/>
      <c r="AM459" s="212"/>
      <c r="AN459" s="212"/>
    </row>
    <row r="460" spans="27:40" ht="15" customHeight="1" x14ac:dyDescent="0.35">
      <c r="AA460" s="212"/>
      <c r="AB460" s="212"/>
      <c r="AC460" s="212"/>
      <c r="AD460" s="212"/>
      <c r="AE460" s="212"/>
      <c r="AF460" s="212"/>
      <c r="AG460" s="212"/>
      <c r="AH460" s="212"/>
      <c r="AI460" s="212"/>
      <c r="AK460" s="212"/>
      <c r="AL460" s="212"/>
      <c r="AM460" s="212"/>
      <c r="AN460" s="212"/>
    </row>
    <row r="461" spans="27:40" ht="15" customHeight="1" x14ac:dyDescent="0.35">
      <c r="AA461" s="212"/>
      <c r="AB461" s="212"/>
      <c r="AC461" s="212"/>
      <c r="AD461" s="212"/>
      <c r="AE461" s="212"/>
      <c r="AF461" s="212"/>
      <c r="AG461" s="212"/>
      <c r="AH461" s="212"/>
      <c r="AI461" s="212"/>
      <c r="AK461" s="212"/>
      <c r="AL461" s="212"/>
      <c r="AM461" s="212"/>
      <c r="AN461" s="212"/>
    </row>
    <row r="462" spans="27:40" ht="15" customHeight="1" x14ac:dyDescent="0.35">
      <c r="AA462" s="212"/>
      <c r="AB462" s="212"/>
      <c r="AC462" s="212"/>
      <c r="AD462" s="212"/>
      <c r="AE462" s="212"/>
      <c r="AF462" s="212"/>
      <c r="AG462" s="212"/>
      <c r="AH462" s="212"/>
      <c r="AI462" s="212"/>
      <c r="AK462" s="212"/>
      <c r="AL462" s="212"/>
      <c r="AM462" s="212"/>
      <c r="AN462" s="212"/>
    </row>
    <row r="463" spans="27:40" ht="15" customHeight="1" x14ac:dyDescent="0.35">
      <c r="AA463" s="212"/>
      <c r="AB463" s="212"/>
      <c r="AC463" s="212"/>
      <c r="AD463" s="212"/>
      <c r="AE463" s="212"/>
      <c r="AF463" s="212"/>
      <c r="AG463" s="212"/>
      <c r="AH463" s="212"/>
      <c r="AI463" s="212"/>
      <c r="AK463" s="212"/>
      <c r="AL463" s="212"/>
      <c r="AM463" s="212"/>
      <c r="AN463" s="212"/>
    </row>
    <row r="464" spans="27:40" ht="15" customHeight="1" x14ac:dyDescent="0.35">
      <c r="AA464" s="212"/>
      <c r="AB464" s="212"/>
      <c r="AC464" s="212"/>
      <c r="AD464" s="212"/>
      <c r="AE464" s="212"/>
      <c r="AF464" s="212"/>
      <c r="AG464" s="212"/>
      <c r="AH464" s="212"/>
      <c r="AI464" s="212"/>
      <c r="AK464" s="212"/>
      <c r="AL464" s="212"/>
      <c r="AM464" s="212"/>
      <c r="AN464" s="212"/>
    </row>
    <row r="465" spans="27:40" ht="15" customHeight="1" x14ac:dyDescent="0.35">
      <c r="AA465" s="212"/>
      <c r="AB465" s="212"/>
      <c r="AC465" s="212"/>
      <c r="AD465" s="212"/>
      <c r="AE465" s="212"/>
      <c r="AF465" s="212"/>
      <c r="AG465" s="212"/>
      <c r="AH465" s="212"/>
      <c r="AI465" s="212"/>
      <c r="AK465" s="212"/>
      <c r="AL465" s="212"/>
      <c r="AM465" s="212"/>
      <c r="AN465" s="212"/>
    </row>
    <row r="466" spans="27:40" ht="15" customHeight="1" x14ac:dyDescent="0.35">
      <c r="AA466" s="212"/>
      <c r="AB466" s="212"/>
      <c r="AC466" s="212"/>
      <c r="AD466" s="212"/>
      <c r="AE466" s="212"/>
      <c r="AF466" s="212"/>
      <c r="AG466" s="212"/>
      <c r="AH466" s="212"/>
      <c r="AI466" s="212"/>
      <c r="AK466" s="212"/>
      <c r="AL466" s="212"/>
      <c r="AM466" s="212"/>
      <c r="AN466" s="212"/>
    </row>
    <row r="467" spans="27:40" ht="15" customHeight="1" x14ac:dyDescent="0.35">
      <c r="AA467" s="212"/>
      <c r="AB467" s="212"/>
      <c r="AC467" s="212"/>
      <c r="AD467" s="212"/>
      <c r="AE467" s="212"/>
      <c r="AF467" s="212"/>
      <c r="AG467" s="212"/>
      <c r="AH467" s="212"/>
      <c r="AI467" s="212"/>
      <c r="AK467" s="212"/>
      <c r="AL467" s="212"/>
      <c r="AM467" s="212"/>
      <c r="AN467" s="212"/>
    </row>
    <row r="468" spans="27:40" ht="15" customHeight="1" x14ac:dyDescent="0.35">
      <c r="AA468" s="212"/>
      <c r="AB468" s="212"/>
      <c r="AC468" s="212"/>
      <c r="AD468" s="212"/>
      <c r="AE468" s="212"/>
      <c r="AF468" s="212"/>
      <c r="AG468" s="212"/>
      <c r="AH468" s="212"/>
      <c r="AI468" s="212"/>
      <c r="AK468" s="212"/>
      <c r="AL468" s="212"/>
      <c r="AM468" s="212"/>
      <c r="AN468" s="212"/>
    </row>
    <row r="469" spans="27:40" ht="15" customHeight="1" x14ac:dyDescent="0.35">
      <c r="AA469" s="212"/>
      <c r="AB469" s="212"/>
      <c r="AC469" s="212"/>
      <c r="AD469" s="212"/>
      <c r="AE469" s="212"/>
      <c r="AF469" s="212"/>
      <c r="AG469" s="212"/>
      <c r="AH469" s="212"/>
      <c r="AI469" s="212"/>
      <c r="AK469" s="212"/>
      <c r="AL469" s="212"/>
      <c r="AM469" s="212"/>
      <c r="AN469" s="212"/>
    </row>
    <row r="470" spans="27:40" ht="15" customHeight="1" x14ac:dyDescent="0.35">
      <c r="AA470" s="212"/>
      <c r="AB470" s="212"/>
      <c r="AC470" s="212"/>
      <c r="AD470" s="212"/>
      <c r="AE470" s="212"/>
      <c r="AF470" s="212"/>
      <c r="AG470" s="212"/>
      <c r="AH470" s="212"/>
      <c r="AI470" s="212"/>
      <c r="AK470" s="212"/>
      <c r="AL470" s="212"/>
      <c r="AM470" s="212"/>
      <c r="AN470" s="212"/>
    </row>
    <row r="471" spans="27:40" ht="15" customHeight="1" x14ac:dyDescent="0.35">
      <c r="AA471" s="212"/>
      <c r="AB471" s="212"/>
      <c r="AC471" s="212"/>
      <c r="AD471" s="212"/>
      <c r="AE471" s="212"/>
      <c r="AF471" s="212"/>
      <c r="AG471" s="212"/>
      <c r="AH471" s="212"/>
      <c r="AI471" s="212"/>
      <c r="AK471" s="212"/>
      <c r="AL471" s="212"/>
      <c r="AM471" s="212"/>
      <c r="AN471" s="212"/>
    </row>
    <row r="472" spans="27:40" ht="15" customHeight="1" x14ac:dyDescent="0.35">
      <c r="AA472" s="212"/>
      <c r="AB472" s="212"/>
      <c r="AC472" s="212"/>
      <c r="AD472" s="212"/>
      <c r="AE472" s="212"/>
      <c r="AF472" s="212"/>
      <c r="AG472" s="212"/>
      <c r="AH472" s="212"/>
      <c r="AI472" s="212"/>
      <c r="AK472" s="212"/>
      <c r="AL472" s="212"/>
      <c r="AM472" s="212"/>
      <c r="AN472" s="212"/>
    </row>
    <row r="473" spans="27:40" ht="15" customHeight="1" x14ac:dyDescent="0.35">
      <c r="AA473" s="212"/>
      <c r="AB473" s="212"/>
      <c r="AC473" s="212"/>
      <c r="AD473" s="212"/>
      <c r="AE473" s="212"/>
      <c r="AF473" s="212"/>
      <c r="AG473" s="212"/>
      <c r="AH473" s="212"/>
      <c r="AI473" s="212"/>
      <c r="AK473" s="212"/>
      <c r="AL473" s="212"/>
      <c r="AM473" s="212"/>
      <c r="AN473" s="212"/>
    </row>
    <row r="474" spans="27:40" ht="15" customHeight="1" x14ac:dyDescent="0.35">
      <c r="AA474" s="212"/>
      <c r="AB474" s="212"/>
      <c r="AC474" s="212"/>
      <c r="AD474" s="212"/>
      <c r="AE474" s="212"/>
      <c r="AF474" s="212"/>
      <c r="AG474" s="212"/>
      <c r="AH474" s="212"/>
      <c r="AI474" s="212"/>
      <c r="AK474" s="212"/>
      <c r="AL474" s="212"/>
      <c r="AM474" s="212"/>
      <c r="AN474" s="212"/>
    </row>
    <row r="475" spans="27:40" ht="15" customHeight="1" x14ac:dyDescent="0.35">
      <c r="AA475" s="212"/>
      <c r="AB475" s="212"/>
      <c r="AC475" s="212"/>
      <c r="AD475" s="212"/>
      <c r="AE475" s="212"/>
      <c r="AF475" s="212"/>
      <c r="AG475" s="212"/>
      <c r="AH475" s="212"/>
      <c r="AI475" s="212"/>
      <c r="AK475" s="212"/>
      <c r="AL475" s="212"/>
      <c r="AM475" s="212"/>
      <c r="AN475" s="212"/>
    </row>
    <row r="476" spans="27:40" ht="15" customHeight="1" x14ac:dyDescent="0.35">
      <c r="AA476" s="212"/>
      <c r="AB476" s="212"/>
      <c r="AC476" s="212"/>
      <c r="AD476" s="212"/>
      <c r="AE476" s="212"/>
      <c r="AF476" s="212"/>
      <c r="AG476" s="212"/>
      <c r="AH476" s="212"/>
      <c r="AI476" s="212"/>
      <c r="AK476" s="212"/>
      <c r="AL476" s="212"/>
      <c r="AM476" s="212"/>
      <c r="AN476" s="212"/>
    </row>
    <row r="477" spans="27:40" ht="15" customHeight="1" x14ac:dyDescent="0.35">
      <c r="AA477" s="212"/>
      <c r="AB477" s="212"/>
      <c r="AC477" s="212"/>
      <c r="AD477" s="212"/>
      <c r="AE477" s="212"/>
      <c r="AF477" s="212"/>
      <c r="AG477" s="212"/>
      <c r="AH477" s="212"/>
      <c r="AI477" s="212"/>
      <c r="AK477" s="212"/>
      <c r="AL477" s="212"/>
      <c r="AM477" s="212"/>
      <c r="AN477" s="212"/>
    </row>
    <row r="478" spans="27:40" ht="15" customHeight="1" x14ac:dyDescent="0.35">
      <c r="AA478" s="212"/>
      <c r="AB478" s="212"/>
      <c r="AC478" s="212"/>
      <c r="AD478" s="212"/>
      <c r="AE478" s="212"/>
      <c r="AF478" s="212"/>
      <c r="AG478" s="212"/>
      <c r="AH478" s="212"/>
      <c r="AI478" s="212"/>
      <c r="AK478" s="212"/>
      <c r="AL478" s="212"/>
      <c r="AM478" s="212"/>
      <c r="AN478" s="212"/>
    </row>
    <row r="479" spans="27:40" ht="15" customHeight="1" x14ac:dyDescent="0.35">
      <c r="AA479" s="212"/>
      <c r="AB479" s="212"/>
      <c r="AC479" s="212"/>
      <c r="AD479" s="212"/>
      <c r="AE479" s="212"/>
      <c r="AF479" s="212"/>
      <c r="AG479" s="212"/>
      <c r="AH479" s="212"/>
      <c r="AI479" s="212"/>
      <c r="AK479" s="212"/>
      <c r="AL479" s="212"/>
      <c r="AM479" s="212"/>
      <c r="AN479" s="212"/>
    </row>
    <row r="480" spans="27:40" ht="15" customHeight="1" x14ac:dyDescent="0.35">
      <c r="AA480" s="212"/>
      <c r="AB480" s="212"/>
      <c r="AC480" s="212"/>
      <c r="AD480" s="212"/>
      <c r="AE480" s="212"/>
      <c r="AF480" s="212"/>
      <c r="AG480" s="212"/>
      <c r="AH480" s="212"/>
      <c r="AI480" s="212"/>
      <c r="AK480" s="212"/>
      <c r="AL480" s="212"/>
      <c r="AM480" s="212"/>
      <c r="AN480" s="212"/>
    </row>
    <row r="481" spans="27:40" ht="15" customHeight="1" x14ac:dyDescent="0.35">
      <c r="AA481" s="212"/>
      <c r="AB481" s="212"/>
      <c r="AC481" s="212"/>
      <c r="AD481" s="212"/>
      <c r="AE481" s="212"/>
      <c r="AF481" s="212"/>
      <c r="AG481" s="212"/>
      <c r="AH481" s="212"/>
      <c r="AI481" s="212"/>
      <c r="AK481" s="212"/>
      <c r="AL481" s="212"/>
      <c r="AM481" s="212"/>
      <c r="AN481" s="212"/>
    </row>
    <row r="482" spans="27:40" ht="15" customHeight="1" x14ac:dyDescent="0.35">
      <c r="AA482" s="212"/>
      <c r="AB482" s="212"/>
      <c r="AC482" s="212"/>
      <c r="AD482" s="212"/>
      <c r="AE482" s="212"/>
      <c r="AF482" s="212"/>
      <c r="AG482" s="212"/>
      <c r="AH482" s="212"/>
      <c r="AI482" s="212"/>
      <c r="AK482" s="212"/>
      <c r="AL482" s="212"/>
      <c r="AM482" s="212"/>
      <c r="AN482" s="212"/>
    </row>
    <row r="483" spans="27:40" ht="15" customHeight="1" x14ac:dyDescent="0.35">
      <c r="AA483" s="212"/>
      <c r="AB483" s="212"/>
      <c r="AC483" s="212"/>
      <c r="AD483" s="212"/>
      <c r="AE483" s="212"/>
      <c r="AF483" s="212"/>
      <c r="AG483" s="212"/>
      <c r="AH483" s="212"/>
      <c r="AI483" s="212"/>
      <c r="AK483" s="212"/>
      <c r="AL483" s="212"/>
      <c r="AM483" s="212"/>
      <c r="AN483" s="212"/>
    </row>
    <row r="484" spans="27:40" ht="15" customHeight="1" x14ac:dyDescent="0.35">
      <c r="AA484" s="212"/>
      <c r="AB484" s="212"/>
      <c r="AC484" s="212"/>
      <c r="AD484" s="212"/>
      <c r="AE484" s="212"/>
      <c r="AF484" s="212"/>
      <c r="AG484" s="212"/>
      <c r="AH484" s="212"/>
      <c r="AI484" s="212"/>
      <c r="AK484" s="212"/>
      <c r="AL484" s="212"/>
      <c r="AM484" s="212"/>
      <c r="AN484" s="212"/>
    </row>
    <row r="485" spans="27:40" ht="15" customHeight="1" x14ac:dyDescent="0.35">
      <c r="AA485" s="212"/>
      <c r="AB485" s="212"/>
      <c r="AC485" s="212"/>
      <c r="AD485" s="212"/>
      <c r="AE485" s="212"/>
      <c r="AF485" s="212"/>
      <c r="AG485" s="212"/>
      <c r="AH485" s="212"/>
      <c r="AI485" s="212"/>
      <c r="AK485" s="212"/>
      <c r="AL485" s="212"/>
      <c r="AM485" s="212"/>
      <c r="AN485" s="212"/>
    </row>
    <row r="486" spans="27:40" ht="15" customHeight="1" x14ac:dyDescent="0.35">
      <c r="AA486" s="212"/>
      <c r="AB486" s="212"/>
      <c r="AC486" s="212"/>
      <c r="AD486" s="212"/>
      <c r="AE486" s="212"/>
      <c r="AF486" s="212"/>
      <c r="AG486" s="212"/>
      <c r="AH486" s="212"/>
      <c r="AI486" s="212"/>
      <c r="AK486" s="212"/>
      <c r="AL486" s="212"/>
      <c r="AM486" s="212"/>
      <c r="AN486" s="212"/>
    </row>
    <row r="487" spans="27:40" ht="15" customHeight="1" x14ac:dyDescent="0.35">
      <c r="AA487" s="212"/>
      <c r="AB487" s="212"/>
      <c r="AC487" s="212"/>
      <c r="AD487" s="212"/>
      <c r="AE487" s="212"/>
      <c r="AF487" s="212"/>
      <c r="AG487" s="212"/>
      <c r="AH487" s="212"/>
      <c r="AI487" s="212"/>
      <c r="AK487" s="212"/>
      <c r="AL487" s="212"/>
      <c r="AM487" s="212"/>
      <c r="AN487" s="212"/>
    </row>
    <row r="488" spans="27:40" ht="15" customHeight="1" x14ac:dyDescent="0.35">
      <c r="AA488" s="212"/>
      <c r="AB488" s="212"/>
      <c r="AC488" s="212"/>
      <c r="AD488" s="212"/>
      <c r="AE488" s="212"/>
      <c r="AF488" s="212"/>
      <c r="AG488" s="212"/>
      <c r="AH488" s="212"/>
      <c r="AI488" s="212"/>
      <c r="AK488" s="212"/>
      <c r="AL488" s="212"/>
      <c r="AM488" s="212"/>
      <c r="AN488" s="212"/>
    </row>
    <row r="489" spans="27:40" ht="15" customHeight="1" x14ac:dyDescent="0.35">
      <c r="AA489" s="212"/>
      <c r="AB489" s="212"/>
      <c r="AC489" s="212"/>
      <c r="AD489" s="212"/>
      <c r="AE489" s="212"/>
      <c r="AF489" s="212"/>
      <c r="AG489" s="212"/>
      <c r="AH489" s="212"/>
      <c r="AI489" s="212"/>
      <c r="AK489" s="212"/>
      <c r="AL489" s="212"/>
      <c r="AM489" s="212"/>
      <c r="AN489" s="212"/>
    </row>
    <row r="490" spans="27:40" ht="15" customHeight="1" x14ac:dyDescent="0.35">
      <c r="AA490" s="212"/>
      <c r="AB490" s="212"/>
      <c r="AC490" s="212"/>
      <c r="AD490" s="212"/>
      <c r="AE490" s="212"/>
      <c r="AF490" s="212"/>
      <c r="AG490" s="212"/>
      <c r="AH490" s="212"/>
      <c r="AI490" s="212"/>
      <c r="AK490" s="212"/>
      <c r="AL490" s="212"/>
      <c r="AM490" s="212"/>
      <c r="AN490" s="212"/>
    </row>
    <row r="491" spans="27:40" ht="15" customHeight="1" x14ac:dyDescent="0.35">
      <c r="AA491" s="212"/>
      <c r="AB491" s="212"/>
      <c r="AC491" s="212"/>
      <c r="AD491" s="212"/>
      <c r="AE491" s="212"/>
      <c r="AF491" s="212"/>
      <c r="AG491" s="212"/>
      <c r="AH491" s="212"/>
      <c r="AI491" s="212"/>
      <c r="AK491" s="212"/>
      <c r="AL491" s="212"/>
      <c r="AM491" s="212"/>
      <c r="AN491" s="212"/>
    </row>
    <row r="492" spans="27:40" ht="15" customHeight="1" x14ac:dyDescent="0.35">
      <c r="AA492" s="212"/>
      <c r="AB492" s="212"/>
      <c r="AC492" s="212"/>
      <c r="AD492" s="212"/>
      <c r="AE492" s="212"/>
      <c r="AF492" s="212"/>
      <c r="AG492" s="212"/>
      <c r="AH492" s="212"/>
      <c r="AI492" s="212"/>
      <c r="AK492" s="212"/>
      <c r="AL492" s="212"/>
      <c r="AM492" s="212"/>
      <c r="AN492" s="212"/>
    </row>
    <row r="493" spans="27:40" ht="15" customHeight="1" x14ac:dyDescent="0.35">
      <c r="AA493" s="212"/>
      <c r="AB493" s="212"/>
      <c r="AC493" s="212"/>
      <c r="AD493" s="212"/>
      <c r="AE493" s="212"/>
      <c r="AF493" s="212"/>
      <c r="AG493" s="212"/>
      <c r="AH493" s="212"/>
      <c r="AI493" s="212"/>
      <c r="AK493" s="212"/>
      <c r="AL493" s="212"/>
      <c r="AM493" s="212"/>
      <c r="AN493" s="212"/>
    </row>
    <row r="494" spans="27:40" ht="15" customHeight="1" x14ac:dyDescent="0.35">
      <c r="AA494" s="212"/>
      <c r="AB494" s="212"/>
      <c r="AC494" s="212"/>
      <c r="AD494" s="212"/>
      <c r="AE494" s="212"/>
      <c r="AF494" s="212"/>
      <c r="AG494" s="212"/>
      <c r="AH494" s="212"/>
      <c r="AI494" s="212"/>
      <c r="AK494" s="212"/>
      <c r="AL494" s="212"/>
      <c r="AM494" s="212"/>
      <c r="AN494" s="212"/>
    </row>
    <row r="495" spans="27:40" ht="15" customHeight="1" x14ac:dyDescent="0.35">
      <c r="AA495" s="212"/>
      <c r="AB495" s="212"/>
      <c r="AC495" s="212"/>
      <c r="AD495" s="212"/>
      <c r="AE495" s="212"/>
      <c r="AF495" s="212"/>
      <c r="AG495" s="212"/>
      <c r="AH495" s="212"/>
      <c r="AI495" s="212"/>
      <c r="AK495" s="212"/>
      <c r="AL495" s="212"/>
      <c r="AM495" s="212"/>
      <c r="AN495" s="212"/>
    </row>
    <row r="496" spans="27:40" ht="15" customHeight="1" x14ac:dyDescent="0.35">
      <c r="AA496" s="212"/>
      <c r="AB496" s="212"/>
      <c r="AC496" s="212"/>
      <c r="AD496" s="212"/>
      <c r="AE496" s="212"/>
      <c r="AF496" s="212"/>
      <c r="AG496" s="212"/>
      <c r="AH496" s="212"/>
      <c r="AI496" s="212"/>
      <c r="AK496" s="212"/>
      <c r="AL496" s="212"/>
      <c r="AM496" s="212"/>
      <c r="AN496" s="212"/>
    </row>
    <row r="497" spans="27:40" ht="15" customHeight="1" x14ac:dyDescent="0.35">
      <c r="AA497" s="212"/>
      <c r="AB497" s="212"/>
      <c r="AC497" s="212"/>
      <c r="AD497" s="212"/>
      <c r="AE497" s="212"/>
      <c r="AF497" s="212"/>
      <c r="AG497" s="212"/>
      <c r="AH497" s="212"/>
      <c r="AI497" s="212"/>
      <c r="AK497" s="212"/>
      <c r="AL497" s="212"/>
      <c r="AM497" s="212"/>
      <c r="AN497" s="212"/>
    </row>
    <row r="498" spans="27:40" ht="15" customHeight="1" x14ac:dyDescent="0.35">
      <c r="AA498" s="212"/>
      <c r="AB498" s="212"/>
      <c r="AC498" s="212"/>
      <c r="AD498" s="212"/>
      <c r="AE498" s="212"/>
      <c r="AF498" s="212"/>
      <c r="AG498" s="212"/>
      <c r="AH498" s="212"/>
      <c r="AI498" s="212"/>
      <c r="AK498" s="212"/>
      <c r="AL498" s="212"/>
      <c r="AM498" s="212"/>
      <c r="AN498" s="212"/>
    </row>
    <row r="499" spans="27:40" ht="15" customHeight="1" x14ac:dyDescent="0.35">
      <c r="AA499" s="212"/>
      <c r="AB499" s="212"/>
      <c r="AC499" s="212"/>
      <c r="AD499" s="212"/>
      <c r="AE499" s="212"/>
      <c r="AF499" s="212"/>
      <c r="AG499" s="212"/>
      <c r="AH499" s="212"/>
      <c r="AI499" s="212"/>
      <c r="AK499" s="212"/>
      <c r="AL499" s="212"/>
      <c r="AM499" s="212"/>
      <c r="AN499" s="212"/>
    </row>
    <row r="500" spans="27:40" ht="15" customHeight="1" x14ac:dyDescent="0.35">
      <c r="AA500" s="212"/>
      <c r="AB500" s="212"/>
      <c r="AC500" s="212"/>
      <c r="AD500" s="212"/>
      <c r="AE500" s="212"/>
      <c r="AF500" s="212"/>
      <c r="AG500" s="212"/>
      <c r="AH500" s="212"/>
      <c r="AI500" s="212"/>
      <c r="AK500" s="212"/>
      <c r="AL500" s="212"/>
      <c r="AM500" s="212"/>
      <c r="AN500" s="212"/>
    </row>
    <row r="501" spans="27:40" ht="15" customHeight="1" x14ac:dyDescent="0.35">
      <c r="AA501" s="212"/>
      <c r="AB501" s="212"/>
      <c r="AC501" s="212"/>
      <c r="AD501" s="212"/>
      <c r="AE501" s="212"/>
      <c r="AF501" s="212"/>
      <c r="AG501" s="212"/>
      <c r="AH501" s="212"/>
      <c r="AI501" s="212"/>
      <c r="AK501" s="212"/>
      <c r="AL501" s="212"/>
      <c r="AM501" s="212"/>
      <c r="AN501" s="212"/>
    </row>
    <row r="502" spans="27:40" ht="15" customHeight="1" x14ac:dyDescent="0.35">
      <c r="AA502" s="212"/>
      <c r="AB502" s="212"/>
      <c r="AC502" s="212"/>
      <c r="AD502" s="212"/>
      <c r="AE502" s="212"/>
      <c r="AF502" s="212"/>
      <c r="AG502" s="212"/>
      <c r="AH502" s="212"/>
      <c r="AI502" s="212"/>
      <c r="AK502" s="212"/>
      <c r="AL502" s="212"/>
      <c r="AM502" s="212"/>
      <c r="AN502" s="212"/>
    </row>
    <row r="503" spans="27:40" ht="15" customHeight="1" x14ac:dyDescent="0.35">
      <c r="AA503" s="212"/>
      <c r="AB503" s="212"/>
      <c r="AC503" s="212"/>
      <c r="AD503" s="212"/>
      <c r="AE503" s="212"/>
      <c r="AF503" s="212"/>
      <c r="AG503" s="212"/>
      <c r="AH503" s="212"/>
      <c r="AI503" s="212"/>
      <c r="AK503" s="212"/>
      <c r="AL503" s="212"/>
      <c r="AM503" s="212"/>
      <c r="AN503" s="212"/>
    </row>
    <row r="504" spans="27:40" ht="15" customHeight="1" x14ac:dyDescent="0.35">
      <c r="AA504" s="212"/>
      <c r="AB504" s="212"/>
      <c r="AC504" s="212"/>
      <c r="AD504" s="212"/>
      <c r="AE504" s="212"/>
      <c r="AF504" s="212"/>
      <c r="AG504" s="212"/>
      <c r="AH504" s="212"/>
      <c r="AI504" s="212"/>
      <c r="AK504" s="212"/>
      <c r="AL504" s="212"/>
      <c r="AM504" s="212"/>
      <c r="AN504" s="212"/>
    </row>
    <row r="505" spans="27:40" ht="15" customHeight="1" x14ac:dyDescent="0.35">
      <c r="AA505" s="212"/>
      <c r="AB505" s="212"/>
      <c r="AC505" s="212"/>
      <c r="AD505" s="212"/>
      <c r="AE505" s="212"/>
      <c r="AF505" s="212"/>
      <c r="AG505" s="212"/>
      <c r="AH505" s="212"/>
      <c r="AI505" s="212"/>
      <c r="AK505" s="212"/>
      <c r="AL505" s="212"/>
      <c r="AM505" s="212"/>
      <c r="AN505" s="212"/>
    </row>
    <row r="506" spans="27:40" ht="15" customHeight="1" x14ac:dyDescent="0.35">
      <c r="AA506" s="212"/>
      <c r="AB506" s="212"/>
      <c r="AC506" s="212"/>
      <c r="AD506" s="212"/>
      <c r="AE506" s="212"/>
      <c r="AF506" s="212"/>
      <c r="AG506" s="212"/>
      <c r="AH506" s="212"/>
      <c r="AI506" s="212"/>
      <c r="AK506" s="212"/>
      <c r="AL506" s="212"/>
      <c r="AM506" s="212"/>
      <c r="AN506" s="212"/>
    </row>
    <row r="507" spans="27:40" ht="15" customHeight="1" x14ac:dyDescent="0.35">
      <c r="AA507" s="212"/>
      <c r="AB507" s="212"/>
      <c r="AC507" s="212"/>
      <c r="AD507" s="212"/>
      <c r="AE507" s="212"/>
      <c r="AF507" s="212"/>
      <c r="AG507" s="212"/>
      <c r="AH507" s="212"/>
      <c r="AI507" s="212"/>
      <c r="AK507" s="212"/>
      <c r="AL507" s="212"/>
      <c r="AM507" s="212"/>
      <c r="AN507" s="212"/>
    </row>
    <row r="508" spans="27:40" ht="15" customHeight="1" x14ac:dyDescent="0.35">
      <c r="AA508" s="212"/>
      <c r="AB508" s="212"/>
      <c r="AC508" s="212"/>
      <c r="AD508" s="212"/>
      <c r="AE508" s="212"/>
      <c r="AF508" s="212"/>
      <c r="AG508" s="212"/>
      <c r="AH508" s="212"/>
      <c r="AI508" s="212"/>
      <c r="AK508" s="212"/>
      <c r="AL508" s="212"/>
      <c r="AM508" s="212"/>
      <c r="AN508" s="212"/>
    </row>
    <row r="509" spans="27:40" ht="15" customHeight="1" x14ac:dyDescent="0.35">
      <c r="AA509" s="212"/>
      <c r="AB509" s="212"/>
      <c r="AC509" s="212"/>
      <c r="AD509" s="212"/>
      <c r="AE509" s="212"/>
      <c r="AF509" s="212"/>
      <c r="AG509" s="212"/>
      <c r="AH509" s="212"/>
      <c r="AI509" s="212"/>
      <c r="AK509" s="212"/>
      <c r="AL509" s="212"/>
      <c r="AM509" s="212"/>
      <c r="AN509" s="212"/>
    </row>
    <row r="510" spans="27:40" ht="15" customHeight="1" x14ac:dyDescent="0.35">
      <c r="AA510" s="212"/>
      <c r="AB510" s="212"/>
      <c r="AC510" s="212"/>
      <c r="AD510" s="212"/>
      <c r="AE510" s="212"/>
      <c r="AF510" s="212"/>
      <c r="AG510" s="212"/>
      <c r="AH510" s="212"/>
      <c r="AI510" s="212"/>
      <c r="AK510" s="212"/>
      <c r="AL510" s="212"/>
      <c r="AM510" s="212"/>
      <c r="AN510" s="212"/>
    </row>
    <row r="511" spans="27:40" ht="15" customHeight="1" x14ac:dyDescent="0.35">
      <c r="AA511" s="212"/>
      <c r="AB511" s="212"/>
      <c r="AC511" s="212"/>
      <c r="AD511" s="212"/>
      <c r="AE511" s="212"/>
      <c r="AF511" s="212"/>
      <c r="AG511" s="212"/>
      <c r="AH511" s="212"/>
      <c r="AI511" s="212"/>
      <c r="AK511" s="212"/>
      <c r="AL511" s="212"/>
      <c r="AM511" s="212"/>
      <c r="AN511" s="212"/>
    </row>
    <row r="512" spans="27:40" ht="15" customHeight="1" x14ac:dyDescent="0.35">
      <c r="AA512" s="212"/>
      <c r="AB512" s="212"/>
      <c r="AC512" s="212"/>
      <c r="AD512" s="212"/>
      <c r="AE512" s="212"/>
      <c r="AF512" s="212"/>
      <c r="AG512" s="212"/>
      <c r="AH512" s="212"/>
      <c r="AI512" s="212"/>
      <c r="AK512" s="212"/>
      <c r="AL512" s="212"/>
      <c r="AM512" s="212"/>
      <c r="AN512" s="212"/>
    </row>
    <row r="513" spans="27:40" ht="15" customHeight="1" x14ac:dyDescent="0.35">
      <c r="AA513" s="212"/>
      <c r="AB513" s="212"/>
      <c r="AC513" s="212"/>
      <c r="AD513" s="212"/>
      <c r="AE513" s="212"/>
      <c r="AF513" s="212"/>
      <c r="AG513" s="212"/>
      <c r="AH513" s="212"/>
      <c r="AI513" s="212"/>
      <c r="AK513" s="212"/>
      <c r="AL513" s="212"/>
      <c r="AM513" s="212"/>
      <c r="AN513" s="212"/>
    </row>
    <row r="514" spans="27:40" ht="15" customHeight="1" x14ac:dyDescent="0.35">
      <c r="AA514" s="212"/>
      <c r="AB514" s="212"/>
      <c r="AC514" s="212"/>
      <c r="AD514" s="212"/>
      <c r="AE514" s="212"/>
      <c r="AF514" s="212"/>
      <c r="AG514" s="212"/>
      <c r="AH514" s="212"/>
      <c r="AI514" s="212"/>
      <c r="AK514" s="212"/>
      <c r="AL514" s="212"/>
      <c r="AM514" s="212"/>
      <c r="AN514" s="212"/>
    </row>
    <row r="515" spans="27:40" ht="15" customHeight="1" x14ac:dyDescent="0.35">
      <c r="AA515" s="212"/>
      <c r="AB515" s="212"/>
      <c r="AC515" s="212"/>
      <c r="AD515" s="212"/>
      <c r="AE515" s="212"/>
      <c r="AF515" s="212"/>
      <c r="AG515" s="212"/>
      <c r="AH515" s="212"/>
      <c r="AI515" s="212"/>
      <c r="AK515" s="212"/>
      <c r="AL515" s="212"/>
      <c r="AM515" s="212"/>
      <c r="AN515" s="212"/>
    </row>
    <row r="516" spans="27:40" ht="15" customHeight="1" x14ac:dyDescent="0.35">
      <c r="AA516" s="212"/>
      <c r="AB516" s="212"/>
      <c r="AC516" s="212"/>
      <c r="AD516" s="212"/>
      <c r="AE516" s="212"/>
      <c r="AF516" s="212"/>
      <c r="AG516" s="212"/>
      <c r="AH516" s="212"/>
      <c r="AI516" s="212"/>
      <c r="AK516" s="212"/>
      <c r="AL516" s="212"/>
      <c r="AM516" s="212"/>
      <c r="AN516" s="212"/>
    </row>
    <row r="517" spans="27:40" ht="15" customHeight="1" x14ac:dyDescent="0.35">
      <c r="AA517" s="212"/>
      <c r="AB517" s="212"/>
      <c r="AC517" s="212"/>
      <c r="AD517" s="212"/>
      <c r="AE517" s="212"/>
      <c r="AF517" s="212"/>
      <c r="AG517" s="212"/>
      <c r="AH517" s="212"/>
      <c r="AI517" s="212"/>
      <c r="AK517" s="212"/>
      <c r="AL517" s="212"/>
      <c r="AM517" s="212"/>
      <c r="AN517" s="212"/>
    </row>
    <row r="518" spans="27:40" ht="15" customHeight="1" x14ac:dyDescent="0.35">
      <c r="AA518" s="212"/>
      <c r="AB518" s="212"/>
      <c r="AC518" s="212"/>
      <c r="AD518" s="212"/>
      <c r="AE518" s="212"/>
      <c r="AF518" s="212"/>
      <c r="AG518" s="212"/>
      <c r="AH518" s="212"/>
      <c r="AI518" s="212"/>
      <c r="AK518" s="212"/>
      <c r="AL518" s="212"/>
      <c r="AM518" s="212"/>
      <c r="AN518" s="212"/>
    </row>
    <row r="519" spans="27:40" ht="15" customHeight="1" x14ac:dyDescent="0.35">
      <c r="AA519" s="212"/>
      <c r="AB519" s="212"/>
      <c r="AC519" s="212"/>
      <c r="AD519" s="212"/>
      <c r="AE519" s="212"/>
      <c r="AF519" s="212"/>
      <c r="AG519" s="212"/>
      <c r="AH519" s="212"/>
      <c r="AI519" s="212"/>
      <c r="AK519" s="212"/>
      <c r="AL519" s="212"/>
      <c r="AM519" s="212"/>
      <c r="AN519" s="212"/>
    </row>
    <row r="520" spans="27:40" ht="15" customHeight="1" x14ac:dyDescent="0.35">
      <c r="AA520" s="212"/>
      <c r="AB520" s="212"/>
      <c r="AC520" s="212"/>
      <c r="AD520" s="212"/>
      <c r="AE520" s="212"/>
      <c r="AF520" s="212"/>
      <c r="AG520" s="212"/>
      <c r="AH520" s="212"/>
      <c r="AI520" s="212"/>
      <c r="AK520" s="212"/>
      <c r="AL520" s="212"/>
      <c r="AM520" s="212"/>
      <c r="AN520" s="212"/>
    </row>
    <row r="521" spans="27:40" ht="15" customHeight="1" x14ac:dyDescent="0.35">
      <c r="AA521" s="212"/>
      <c r="AB521" s="212"/>
      <c r="AC521" s="212"/>
      <c r="AD521" s="212"/>
      <c r="AE521" s="212"/>
      <c r="AF521" s="212"/>
      <c r="AG521" s="212"/>
      <c r="AH521" s="212"/>
      <c r="AI521" s="212"/>
      <c r="AK521" s="212"/>
      <c r="AL521" s="212"/>
      <c r="AM521" s="212"/>
      <c r="AN521" s="212"/>
    </row>
    <row r="522" spans="27:40" ht="15" customHeight="1" x14ac:dyDescent="0.35">
      <c r="AA522" s="212"/>
      <c r="AB522" s="212"/>
      <c r="AC522" s="212"/>
      <c r="AD522" s="212"/>
      <c r="AE522" s="212"/>
      <c r="AF522" s="212"/>
      <c r="AG522" s="212"/>
      <c r="AH522" s="212"/>
      <c r="AI522" s="212"/>
      <c r="AK522" s="212"/>
      <c r="AL522" s="212"/>
      <c r="AM522" s="212"/>
      <c r="AN522" s="212"/>
    </row>
    <row r="523" spans="27:40" ht="15" customHeight="1" x14ac:dyDescent="0.35">
      <c r="AA523" s="212"/>
      <c r="AB523" s="212"/>
      <c r="AC523" s="212"/>
      <c r="AD523" s="212"/>
      <c r="AE523" s="212"/>
      <c r="AF523" s="212"/>
      <c r="AG523" s="212"/>
      <c r="AH523" s="212"/>
      <c r="AI523" s="212"/>
      <c r="AK523" s="212"/>
      <c r="AL523" s="212"/>
      <c r="AM523" s="212"/>
      <c r="AN523" s="212"/>
    </row>
    <row r="524" spans="27:40" ht="15" customHeight="1" x14ac:dyDescent="0.35">
      <c r="AA524" s="212"/>
      <c r="AB524" s="212"/>
      <c r="AC524" s="212"/>
      <c r="AD524" s="212"/>
      <c r="AE524" s="212"/>
      <c r="AF524" s="212"/>
      <c r="AG524" s="212"/>
      <c r="AH524" s="212"/>
      <c r="AI524" s="212"/>
      <c r="AK524" s="212"/>
      <c r="AL524" s="212"/>
      <c r="AM524" s="212"/>
      <c r="AN524" s="212"/>
    </row>
    <row r="525" spans="27:40" ht="15" customHeight="1" x14ac:dyDescent="0.35">
      <c r="AA525" s="212"/>
      <c r="AB525" s="212"/>
      <c r="AC525" s="212"/>
      <c r="AD525" s="212"/>
      <c r="AE525" s="212"/>
      <c r="AF525" s="212"/>
      <c r="AG525" s="212"/>
      <c r="AH525" s="212"/>
      <c r="AI525" s="212"/>
      <c r="AK525" s="212"/>
      <c r="AL525" s="212"/>
      <c r="AM525" s="212"/>
      <c r="AN525" s="212"/>
    </row>
    <row r="526" spans="27:40" ht="15" customHeight="1" x14ac:dyDescent="0.35">
      <c r="AA526" s="212"/>
      <c r="AB526" s="212"/>
      <c r="AC526" s="212"/>
      <c r="AD526" s="212"/>
      <c r="AE526" s="212"/>
      <c r="AF526" s="212"/>
      <c r="AG526" s="212"/>
      <c r="AH526" s="212"/>
      <c r="AI526" s="212"/>
      <c r="AK526" s="212"/>
      <c r="AL526" s="212"/>
      <c r="AM526" s="212"/>
      <c r="AN526" s="212"/>
    </row>
    <row r="527" spans="27:40" ht="15" customHeight="1" x14ac:dyDescent="0.35">
      <c r="AA527" s="212"/>
      <c r="AB527" s="212"/>
      <c r="AC527" s="212"/>
      <c r="AD527" s="212"/>
      <c r="AE527" s="212"/>
      <c r="AF527" s="212"/>
      <c r="AG527" s="212"/>
      <c r="AH527" s="212"/>
      <c r="AI527" s="212"/>
      <c r="AK527" s="212"/>
      <c r="AL527" s="212"/>
      <c r="AM527" s="212"/>
      <c r="AN527" s="212"/>
    </row>
    <row r="528" spans="27:40" ht="15" customHeight="1" x14ac:dyDescent="0.35">
      <c r="AA528" s="212"/>
      <c r="AB528" s="212"/>
      <c r="AC528" s="212"/>
      <c r="AD528" s="212"/>
      <c r="AE528" s="212"/>
      <c r="AF528" s="212"/>
      <c r="AG528" s="212"/>
      <c r="AH528" s="212"/>
      <c r="AI528" s="212"/>
      <c r="AK528" s="212"/>
      <c r="AL528" s="212"/>
      <c r="AM528" s="212"/>
      <c r="AN528" s="212"/>
    </row>
    <row r="529" spans="27:40" ht="15" customHeight="1" x14ac:dyDescent="0.35">
      <c r="AA529" s="212"/>
      <c r="AB529" s="212"/>
      <c r="AC529" s="212"/>
      <c r="AD529" s="212"/>
      <c r="AE529" s="212"/>
      <c r="AF529" s="212"/>
      <c r="AG529" s="212"/>
      <c r="AH529" s="212"/>
      <c r="AI529" s="212"/>
      <c r="AK529" s="212"/>
      <c r="AL529" s="212"/>
      <c r="AM529" s="212"/>
      <c r="AN529" s="212"/>
    </row>
    <row r="530" spans="27:40" ht="15" customHeight="1" x14ac:dyDescent="0.35">
      <c r="AA530" s="212"/>
      <c r="AB530" s="212"/>
      <c r="AC530" s="212"/>
      <c r="AD530" s="212"/>
      <c r="AE530" s="212"/>
      <c r="AF530" s="212"/>
      <c r="AG530" s="212"/>
      <c r="AH530" s="212"/>
      <c r="AI530" s="212"/>
      <c r="AK530" s="212"/>
      <c r="AL530" s="212"/>
      <c r="AM530" s="212"/>
      <c r="AN530" s="212"/>
    </row>
    <row r="531" spans="27:40" ht="15" customHeight="1" x14ac:dyDescent="0.35">
      <c r="AA531" s="212"/>
      <c r="AB531" s="212"/>
      <c r="AC531" s="212"/>
      <c r="AD531" s="212"/>
      <c r="AE531" s="212"/>
      <c r="AF531" s="212"/>
      <c r="AG531" s="212"/>
      <c r="AH531" s="212"/>
      <c r="AI531" s="212"/>
      <c r="AK531" s="212"/>
      <c r="AL531" s="212"/>
      <c r="AM531" s="212"/>
      <c r="AN531" s="212"/>
    </row>
    <row r="532" spans="27:40" ht="15" customHeight="1" x14ac:dyDescent="0.35">
      <c r="AA532" s="212"/>
      <c r="AB532" s="212"/>
      <c r="AC532" s="212"/>
      <c r="AD532" s="212"/>
      <c r="AE532" s="212"/>
      <c r="AF532" s="212"/>
      <c r="AG532" s="212"/>
      <c r="AH532" s="212"/>
      <c r="AI532" s="212"/>
      <c r="AK532" s="212"/>
      <c r="AL532" s="212"/>
      <c r="AM532" s="212"/>
      <c r="AN532" s="212"/>
    </row>
    <row r="533" spans="27:40" ht="15" customHeight="1" x14ac:dyDescent="0.35">
      <c r="AA533" s="212"/>
      <c r="AB533" s="212"/>
      <c r="AC533" s="212"/>
      <c r="AD533" s="212"/>
      <c r="AE533" s="212"/>
      <c r="AF533" s="212"/>
      <c r="AG533" s="212"/>
      <c r="AH533" s="212"/>
      <c r="AI533" s="212"/>
      <c r="AK533" s="212"/>
      <c r="AL533" s="212"/>
      <c r="AM533" s="212"/>
      <c r="AN533" s="212"/>
    </row>
    <row r="534" spans="27:40" ht="15" customHeight="1" x14ac:dyDescent="0.35">
      <c r="AA534" s="212"/>
      <c r="AB534" s="212"/>
      <c r="AC534" s="212"/>
      <c r="AD534" s="212"/>
      <c r="AE534" s="212"/>
      <c r="AF534" s="212"/>
      <c r="AG534" s="212"/>
      <c r="AH534" s="212"/>
      <c r="AI534" s="212"/>
      <c r="AK534" s="212"/>
      <c r="AL534" s="212"/>
      <c r="AM534" s="212"/>
      <c r="AN534" s="212"/>
    </row>
    <row r="535" spans="27:40" ht="15" customHeight="1" x14ac:dyDescent="0.35">
      <c r="AA535" s="212"/>
      <c r="AB535" s="212"/>
      <c r="AC535" s="212"/>
      <c r="AD535" s="212"/>
      <c r="AE535" s="212"/>
      <c r="AF535" s="212"/>
      <c r="AG535" s="212"/>
      <c r="AH535" s="212"/>
      <c r="AI535" s="212"/>
      <c r="AK535" s="212"/>
      <c r="AL535" s="212"/>
      <c r="AM535" s="212"/>
      <c r="AN535" s="212"/>
    </row>
    <row r="536" spans="27:40" ht="15" customHeight="1" x14ac:dyDescent="0.35">
      <c r="AA536" s="212"/>
      <c r="AB536" s="212"/>
      <c r="AC536" s="212"/>
      <c r="AD536" s="212"/>
      <c r="AE536" s="212"/>
      <c r="AF536" s="212"/>
      <c r="AG536" s="212"/>
      <c r="AH536" s="212"/>
      <c r="AI536" s="212"/>
      <c r="AK536" s="212"/>
      <c r="AL536" s="212"/>
      <c r="AM536" s="212"/>
      <c r="AN536" s="212"/>
    </row>
    <row r="537" spans="27:40" ht="15" customHeight="1" x14ac:dyDescent="0.35">
      <c r="AA537" s="212"/>
      <c r="AB537" s="212"/>
      <c r="AC537" s="212"/>
      <c r="AD537" s="212"/>
      <c r="AE537" s="212"/>
      <c r="AF537" s="212"/>
      <c r="AG537" s="212"/>
      <c r="AH537" s="212"/>
      <c r="AI537" s="212"/>
      <c r="AK537" s="212"/>
      <c r="AL537" s="212"/>
      <c r="AM537" s="212"/>
      <c r="AN537" s="212"/>
    </row>
    <row r="538" spans="27:40" ht="15" customHeight="1" x14ac:dyDescent="0.35">
      <c r="AA538" s="212"/>
      <c r="AB538" s="212"/>
      <c r="AC538" s="212"/>
      <c r="AD538" s="212"/>
      <c r="AE538" s="212"/>
      <c r="AF538" s="212"/>
      <c r="AG538" s="212"/>
      <c r="AH538" s="212"/>
      <c r="AI538" s="212"/>
      <c r="AK538" s="212"/>
      <c r="AL538" s="212"/>
      <c r="AM538" s="212"/>
      <c r="AN538" s="212"/>
    </row>
    <row r="539" spans="27:40" ht="15" customHeight="1" x14ac:dyDescent="0.35">
      <c r="AA539" s="212"/>
      <c r="AB539" s="212"/>
      <c r="AC539" s="212"/>
      <c r="AD539" s="212"/>
      <c r="AE539" s="212"/>
      <c r="AF539" s="212"/>
      <c r="AG539" s="212"/>
      <c r="AH539" s="212"/>
      <c r="AI539" s="212"/>
      <c r="AK539" s="212"/>
      <c r="AL539" s="212"/>
      <c r="AM539" s="212"/>
      <c r="AN539" s="212"/>
    </row>
    <row r="540" spans="27:40" ht="15" customHeight="1" x14ac:dyDescent="0.35">
      <c r="AA540" s="212"/>
      <c r="AB540" s="212"/>
      <c r="AC540" s="212"/>
      <c r="AD540" s="212"/>
      <c r="AE540" s="212"/>
      <c r="AF540" s="212"/>
      <c r="AG540" s="212"/>
      <c r="AH540" s="212"/>
      <c r="AI540" s="212"/>
      <c r="AK540" s="212"/>
      <c r="AL540" s="212"/>
      <c r="AM540" s="212"/>
      <c r="AN540" s="212"/>
    </row>
    <row r="541" spans="27:40" ht="15" customHeight="1" x14ac:dyDescent="0.35">
      <c r="AA541" s="212"/>
      <c r="AB541" s="212"/>
      <c r="AC541" s="212"/>
      <c r="AD541" s="212"/>
      <c r="AE541" s="212"/>
      <c r="AF541" s="212"/>
      <c r="AG541" s="212"/>
      <c r="AH541" s="212"/>
      <c r="AI541" s="212"/>
      <c r="AK541" s="212"/>
      <c r="AL541" s="212"/>
      <c r="AM541" s="212"/>
      <c r="AN541" s="212"/>
    </row>
    <row r="542" spans="27:40" ht="15" customHeight="1" x14ac:dyDescent="0.35">
      <c r="AA542" s="212"/>
      <c r="AB542" s="212"/>
      <c r="AC542" s="212"/>
      <c r="AD542" s="212"/>
      <c r="AE542" s="212"/>
      <c r="AF542" s="212"/>
      <c r="AG542" s="212"/>
      <c r="AH542" s="212"/>
      <c r="AI542" s="212"/>
      <c r="AK542" s="212"/>
      <c r="AL542" s="212"/>
      <c r="AM542" s="212"/>
      <c r="AN542" s="212"/>
    </row>
    <row r="543" spans="27:40" ht="15" customHeight="1" x14ac:dyDescent="0.35">
      <c r="AA543" s="212"/>
      <c r="AB543" s="212"/>
      <c r="AC543" s="212"/>
      <c r="AD543" s="212"/>
      <c r="AE543" s="212"/>
      <c r="AF543" s="212"/>
      <c r="AG543" s="212"/>
      <c r="AH543" s="212"/>
      <c r="AI543" s="212"/>
      <c r="AK543" s="212"/>
      <c r="AL543" s="212"/>
      <c r="AM543" s="212"/>
      <c r="AN543" s="212"/>
    </row>
    <row r="544" spans="27:40" ht="15" customHeight="1" x14ac:dyDescent="0.35">
      <c r="AA544" s="212"/>
      <c r="AB544" s="212"/>
      <c r="AC544" s="212"/>
      <c r="AD544" s="212"/>
      <c r="AE544" s="212"/>
      <c r="AF544" s="212"/>
      <c r="AG544" s="212"/>
      <c r="AH544" s="212"/>
      <c r="AI544" s="212"/>
      <c r="AK544" s="212"/>
      <c r="AL544" s="212"/>
      <c r="AM544" s="212"/>
      <c r="AN544" s="212"/>
    </row>
    <row r="545" spans="27:40" ht="15" customHeight="1" x14ac:dyDescent="0.35">
      <c r="AA545" s="212"/>
      <c r="AB545" s="212"/>
      <c r="AC545" s="212"/>
      <c r="AD545" s="212"/>
      <c r="AE545" s="212"/>
      <c r="AF545" s="212"/>
      <c r="AG545" s="212"/>
      <c r="AH545" s="212"/>
      <c r="AI545" s="212"/>
      <c r="AK545" s="212"/>
      <c r="AL545" s="212"/>
      <c r="AM545" s="212"/>
      <c r="AN545" s="212"/>
    </row>
    <row r="546" spans="27:40" ht="15" customHeight="1" x14ac:dyDescent="0.35">
      <c r="AA546" s="212"/>
      <c r="AB546" s="212"/>
      <c r="AC546" s="212"/>
      <c r="AD546" s="212"/>
      <c r="AE546" s="212"/>
      <c r="AF546" s="212"/>
      <c r="AG546" s="212"/>
      <c r="AH546" s="212"/>
      <c r="AI546" s="212"/>
      <c r="AK546" s="212"/>
      <c r="AL546" s="212"/>
      <c r="AM546" s="212"/>
      <c r="AN546" s="212"/>
    </row>
    <row r="547" spans="27:40" ht="15" customHeight="1" x14ac:dyDescent="0.35">
      <c r="AA547" s="212"/>
      <c r="AB547" s="212"/>
      <c r="AC547" s="212"/>
      <c r="AD547" s="212"/>
      <c r="AE547" s="212"/>
      <c r="AF547" s="212"/>
      <c r="AG547" s="212"/>
      <c r="AH547" s="212"/>
      <c r="AI547" s="212"/>
      <c r="AK547" s="212"/>
      <c r="AL547" s="212"/>
      <c r="AM547" s="212"/>
      <c r="AN547" s="212"/>
    </row>
    <row r="548" spans="27:40" ht="15" customHeight="1" x14ac:dyDescent="0.35">
      <c r="AA548" s="212"/>
      <c r="AB548" s="212"/>
      <c r="AC548" s="212"/>
      <c r="AD548" s="212"/>
      <c r="AE548" s="212"/>
      <c r="AF548" s="212"/>
      <c r="AG548" s="212"/>
      <c r="AH548" s="212"/>
      <c r="AI548" s="212"/>
      <c r="AK548" s="212"/>
      <c r="AL548" s="212"/>
      <c r="AM548" s="212"/>
      <c r="AN548" s="212"/>
    </row>
    <row r="549" spans="27:40" ht="15" customHeight="1" x14ac:dyDescent="0.35">
      <c r="AA549" s="212"/>
      <c r="AB549" s="212"/>
      <c r="AC549" s="212"/>
      <c r="AD549" s="212"/>
      <c r="AE549" s="212"/>
      <c r="AF549" s="212"/>
      <c r="AG549" s="212"/>
      <c r="AH549" s="212"/>
      <c r="AI549" s="212"/>
      <c r="AK549" s="212"/>
      <c r="AL549" s="212"/>
      <c r="AM549" s="212"/>
      <c r="AN549" s="212"/>
    </row>
    <row r="550" spans="27:40" ht="15" customHeight="1" x14ac:dyDescent="0.35">
      <c r="AA550" s="212"/>
      <c r="AB550" s="212"/>
      <c r="AC550" s="212"/>
      <c r="AD550" s="212"/>
      <c r="AE550" s="212"/>
      <c r="AF550" s="212"/>
      <c r="AG550" s="212"/>
      <c r="AH550" s="212"/>
      <c r="AI550" s="212"/>
      <c r="AK550" s="212"/>
      <c r="AL550" s="212"/>
      <c r="AM550" s="212"/>
      <c r="AN550" s="212"/>
    </row>
    <row r="551" spans="27:40" ht="15" customHeight="1" x14ac:dyDescent="0.35">
      <c r="AA551" s="212"/>
      <c r="AB551" s="212"/>
      <c r="AC551" s="212"/>
      <c r="AD551" s="212"/>
      <c r="AE551" s="212"/>
      <c r="AF551" s="212"/>
      <c r="AG551" s="212"/>
      <c r="AH551" s="212"/>
      <c r="AI551" s="212"/>
      <c r="AK551" s="212"/>
      <c r="AL551" s="212"/>
      <c r="AM551" s="212"/>
      <c r="AN551" s="212"/>
    </row>
    <row r="552" spans="27:40" ht="15" customHeight="1" x14ac:dyDescent="0.35">
      <c r="AA552" s="212"/>
      <c r="AB552" s="212"/>
      <c r="AC552" s="212"/>
      <c r="AD552" s="212"/>
      <c r="AE552" s="212"/>
      <c r="AF552" s="212"/>
      <c r="AG552" s="212"/>
      <c r="AH552" s="212"/>
      <c r="AI552" s="212"/>
      <c r="AK552" s="212"/>
      <c r="AL552" s="212"/>
      <c r="AM552" s="212"/>
      <c r="AN552" s="212"/>
    </row>
    <row r="553" spans="27:40" ht="15" customHeight="1" x14ac:dyDescent="0.35">
      <c r="AA553" s="212"/>
      <c r="AB553" s="212"/>
      <c r="AC553" s="212"/>
      <c r="AD553" s="212"/>
      <c r="AE553" s="212"/>
      <c r="AF553" s="212"/>
      <c r="AG553" s="212"/>
      <c r="AH553" s="212"/>
      <c r="AI553" s="212"/>
      <c r="AK553" s="212"/>
      <c r="AL553" s="212"/>
      <c r="AM553" s="212"/>
      <c r="AN553" s="212"/>
    </row>
    <row r="554" spans="27:40" ht="15" customHeight="1" x14ac:dyDescent="0.35">
      <c r="AA554" s="212"/>
      <c r="AB554" s="212"/>
      <c r="AC554" s="212"/>
      <c r="AD554" s="212"/>
      <c r="AE554" s="212"/>
      <c r="AF554" s="212"/>
      <c r="AG554" s="212"/>
      <c r="AH554" s="212"/>
      <c r="AI554" s="212"/>
      <c r="AK554" s="212"/>
      <c r="AL554" s="212"/>
      <c r="AM554" s="212"/>
      <c r="AN554" s="212"/>
    </row>
    <row r="555" spans="27:40" ht="15" customHeight="1" x14ac:dyDescent="0.35">
      <c r="AA555" s="212"/>
      <c r="AB555" s="212"/>
      <c r="AC555" s="212"/>
      <c r="AD555" s="212"/>
      <c r="AE555" s="212"/>
      <c r="AF555" s="212"/>
      <c r="AG555" s="212"/>
      <c r="AH555" s="212"/>
      <c r="AI555" s="212"/>
      <c r="AK555" s="212"/>
      <c r="AL555" s="212"/>
      <c r="AM555" s="212"/>
      <c r="AN555" s="212"/>
    </row>
    <row r="556" spans="27:40" ht="15" customHeight="1" x14ac:dyDescent="0.35">
      <c r="AA556" s="212"/>
      <c r="AB556" s="212"/>
      <c r="AC556" s="212"/>
      <c r="AD556" s="212"/>
      <c r="AE556" s="212"/>
      <c r="AF556" s="212"/>
      <c r="AG556" s="212"/>
      <c r="AH556" s="212"/>
      <c r="AI556" s="212"/>
      <c r="AK556" s="212"/>
      <c r="AL556" s="212"/>
      <c r="AM556" s="212"/>
      <c r="AN556" s="212"/>
    </row>
    <row r="557" spans="27:40" ht="15" customHeight="1" x14ac:dyDescent="0.35">
      <c r="AA557" s="212"/>
      <c r="AB557" s="212"/>
      <c r="AC557" s="212"/>
      <c r="AD557" s="212"/>
      <c r="AE557" s="212"/>
      <c r="AF557" s="212"/>
      <c r="AG557" s="212"/>
      <c r="AH557" s="212"/>
      <c r="AI557" s="212"/>
      <c r="AK557" s="212"/>
      <c r="AL557" s="212"/>
      <c r="AM557" s="212"/>
      <c r="AN557" s="212"/>
    </row>
    <row r="558" spans="27:40" ht="15" customHeight="1" x14ac:dyDescent="0.35">
      <c r="AA558" s="212"/>
      <c r="AB558" s="212"/>
      <c r="AC558" s="212"/>
      <c r="AD558" s="212"/>
      <c r="AE558" s="212"/>
      <c r="AF558" s="212"/>
      <c r="AG558" s="212"/>
      <c r="AH558" s="212"/>
      <c r="AI558" s="212"/>
      <c r="AK558" s="212"/>
      <c r="AL558" s="212"/>
      <c r="AM558" s="212"/>
      <c r="AN558" s="212"/>
    </row>
    <row r="559" spans="27:40" ht="15" customHeight="1" x14ac:dyDescent="0.35">
      <c r="AA559" s="212"/>
      <c r="AB559" s="212"/>
      <c r="AC559" s="212"/>
      <c r="AD559" s="212"/>
      <c r="AE559" s="212"/>
      <c r="AF559" s="212"/>
      <c r="AG559" s="212"/>
      <c r="AH559" s="212"/>
      <c r="AI559" s="212"/>
      <c r="AK559" s="212"/>
      <c r="AL559" s="212"/>
      <c r="AM559" s="212"/>
      <c r="AN559" s="212"/>
    </row>
    <row r="560" spans="27:40" ht="15" customHeight="1" x14ac:dyDescent="0.35">
      <c r="AA560" s="212"/>
      <c r="AB560" s="212"/>
      <c r="AC560" s="212"/>
      <c r="AD560" s="212"/>
      <c r="AE560" s="212"/>
      <c r="AF560" s="212"/>
      <c r="AG560" s="212"/>
      <c r="AH560" s="212"/>
      <c r="AI560" s="212"/>
      <c r="AK560" s="212"/>
      <c r="AL560" s="212"/>
      <c r="AM560" s="212"/>
      <c r="AN560" s="212"/>
    </row>
    <row r="561" spans="27:40" ht="15" customHeight="1" x14ac:dyDescent="0.35">
      <c r="AA561" s="212"/>
      <c r="AB561" s="212"/>
      <c r="AC561" s="212"/>
      <c r="AD561" s="212"/>
      <c r="AE561" s="212"/>
      <c r="AF561" s="212"/>
      <c r="AG561" s="212"/>
      <c r="AH561" s="212"/>
      <c r="AI561" s="212"/>
      <c r="AK561" s="212"/>
      <c r="AL561" s="212"/>
      <c r="AM561" s="212"/>
      <c r="AN561" s="212"/>
    </row>
    <row r="562" spans="27:40" ht="15" customHeight="1" x14ac:dyDescent="0.35">
      <c r="AA562" s="212"/>
      <c r="AB562" s="212"/>
      <c r="AC562" s="212"/>
      <c r="AD562" s="212"/>
      <c r="AE562" s="212"/>
      <c r="AF562" s="212"/>
      <c r="AG562" s="212"/>
      <c r="AH562" s="212"/>
      <c r="AI562" s="212"/>
      <c r="AK562" s="212"/>
      <c r="AL562" s="212"/>
      <c r="AM562" s="212"/>
      <c r="AN562" s="212"/>
    </row>
    <row r="563" spans="27:40" ht="15" customHeight="1" x14ac:dyDescent="0.35">
      <c r="AA563" s="212"/>
      <c r="AB563" s="212"/>
      <c r="AC563" s="212"/>
      <c r="AD563" s="212"/>
      <c r="AE563" s="212"/>
      <c r="AF563" s="212"/>
      <c r="AG563" s="212"/>
      <c r="AH563" s="212"/>
      <c r="AI563" s="212"/>
      <c r="AK563" s="212"/>
      <c r="AL563" s="212"/>
      <c r="AM563" s="212"/>
      <c r="AN563" s="212"/>
    </row>
    <row r="564" spans="27:40" ht="15" customHeight="1" x14ac:dyDescent="0.35">
      <c r="AA564" s="212"/>
      <c r="AB564" s="212"/>
      <c r="AC564" s="212"/>
      <c r="AD564" s="212"/>
      <c r="AE564" s="212"/>
      <c r="AF564" s="212"/>
      <c r="AG564" s="212"/>
      <c r="AH564" s="212"/>
      <c r="AI564" s="212"/>
      <c r="AK564" s="212"/>
      <c r="AL564" s="212"/>
      <c r="AM564" s="212"/>
      <c r="AN564" s="212"/>
    </row>
    <row r="565" spans="27:40" ht="15" customHeight="1" x14ac:dyDescent="0.35">
      <c r="AA565" s="212"/>
      <c r="AB565" s="212"/>
      <c r="AC565" s="212"/>
      <c r="AD565" s="212"/>
      <c r="AE565" s="212"/>
      <c r="AF565" s="212"/>
      <c r="AG565" s="212"/>
      <c r="AH565" s="212"/>
      <c r="AI565" s="212"/>
      <c r="AK565" s="212"/>
      <c r="AL565" s="212"/>
      <c r="AM565" s="212"/>
      <c r="AN565" s="212"/>
    </row>
    <row r="566" spans="27:40" ht="15" customHeight="1" x14ac:dyDescent="0.35">
      <c r="AA566" s="212"/>
      <c r="AB566" s="212"/>
      <c r="AC566" s="212"/>
      <c r="AD566" s="212"/>
      <c r="AE566" s="212"/>
      <c r="AF566" s="212"/>
      <c r="AG566" s="212"/>
      <c r="AH566" s="212"/>
      <c r="AI566" s="212"/>
      <c r="AK566" s="212"/>
      <c r="AL566" s="212"/>
      <c r="AM566" s="212"/>
      <c r="AN566" s="212"/>
    </row>
    <row r="567" spans="27:40" ht="15" customHeight="1" x14ac:dyDescent="0.35">
      <c r="AA567" s="212"/>
      <c r="AB567" s="212"/>
      <c r="AC567" s="212"/>
      <c r="AD567" s="212"/>
      <c r="AE567" s="212"/>
      <c r="AF567" s="212"/>
      <c r="AG567" s="212"/>
      <c r="AH567" s="212"/>
      <c r="AI567" s="212"/>
      <c r="AK567" s="212"/>
      <c r="AL567" s="212"/>
      <c r="AM567" s="212"/>
      <c r="AN567" s="212"/>
    </row>
    <row r="568" spans="27:40" ht="15" customHeight="1" x14ac:dyDescent="0.35">
      <c r="AA568" s="212"/>
      <c r="AB568" s="212"/>
      <c r="AC568" s="212"/>
      <c r="AD568" s="212"/>
      <c r="AE568" s="212"/>
      <c r="AF568" s="212"/>
      <c r="AG568" s="212"/>
      <c r="AH568" s="212"/>
      <c r="AI568" s="212"/>
      <c r="AK568" s="212"/>
      <c r="AL568" s="212"/>
      <c r="AM568" s="212"/>
      <c r="AN568" s="212"/>
    </row>
    <row r="569" spans="27:40" ht="15" customHeight="1" x14ac:dyDescent="0.35">
      <c r="AA569" s="212"/>
      <c r="AB569" s="212"/>
      <c r="AC569" s="212"/>
      <c r="AD569" s="212"/>
      <c r="AE569" s="212"/>
      <c r="AF569" s="212"/>
      <c r="AG569" s="212"/>
      <c r="AH569" s="212"/>
      <c r="AI569" s="212"/>
      <c r="AK569" s="212"/>
      <c r="AL569" s="212"/>
      <c r="AM569" s="212"/>
      <c r="AN569" s="212"/>
    </row>
    <row r="570" spans="27:40" ht="15" customHeight="1" x14ac:dyDescent="0.35">
      <c r="AA570" s="212"/>
      <c r="AB570" s="212"/>
      <c r="AC570" s="212"/>
      <c r="AD570" s="212"/>
      <c r="AE570" s="212"/>
      <c r="AF570" s="212"/>
      <c r="AG570" s="212"/>
      <c r="AH570" s="212"/>
      <c r="AI570" s="212"/>
      <c r="AK570" s="212"/>
      <c r="AL570" s="212"/>
      <c r="AM570" s="212"/>
      <c r="AN570" s="212"/>
    </row>
    <row r="571" spans="27:40" ht="15" customHeight="1" x14ac:dyDescent="0.35">
      <c r="AA571" s="212"/>
      <c r="AB571" s="212"/>
      <c r="AC571" s="212"/>
      <c r="AD571" s="212"/>
      <c r="AE571" s="212"/>
      <c r="AF571" s="212"/>
      <c r="AG571" s="212"/>
      <c r="AH571" s="212"/>
      <c r="AI571" s="212"/>
      <c r="AK571" s="212"/>
      <c r="AL571" s="212"/>
      <c r="AM571" s="212"/>
      <c r="AN571" s="212"/>
    </row>
    <row r="572" spans="27:40" ht="15" customHeight="1" x14ac:dyDescent="0.35">
      <c r="AA572" s="212"/>
      <c r="AB572" s="212"/>
      <c r="AC572" s="212"/>
      <c r="AD572" s="212"/>
      <c r="AE572" s="212"/>
      <c r="AF572" s="212"/>
      <c r="AG572" s="212"/>
      <c r="AH572" s="212"/>
      <c r="AI572" s="212"/>
      <c r="AK572" s="212"/>
      <c r="AL572" s="212"/>
      <c r="AM572" s="212"/>
      <c r="AN572" s="212"/>
    </row>
    <row r="573" spans="27:40" ht="15" customHeight="1" x14ac:dyDescent="0.35">
      <c r="AA573" s="212"/>
      <c r="AB573" s="212"/>
      <c r="AC573" s="212"/>
      <c r="AD573" s="212"/>
      <c r="AE573" s="212"/>
      <c r="AF573" s="212"/>
      <c r="AG573" s="212"/>
      <c r="AH573" s="212"/>
      <c r="AI573" s="212"/>
      <c r="AK573" s="212"/>
      <c r="AL573" s="212"/>
      <c r="AM573" s="212"/>
      <c r="AN573" s="212"/>
    </row>
    <row r="574" spans="27:40" ht="15" customHeight="1" x14ac:dyDescent="0.35">
      <c r="AA574" s="212"/>
      <c r="AB574" s="212"/>
      <c r="AC574" s="212"/>
      <c r="AD574" s="212"/>
      <c r="AE574" s="212"/>
      <c r="AF574" s="212"/>
      <c r="AG574" s="212"/>
      <c r="AH574" s="212"/>
      <c r="AI574" s="212"/>
      <c r="AK574" s="212"/>
      <c r="AL574" s="212"/>
      <c r="AM574" s="212"/>
      <c r="AN574" s="212"/>
    </row>
    <row r="575" spans="27:40" ht="15" customHeight="1" x14ac:dyDescent="0.35">
      <c r="AA575" s="212"/>
      <c r="AB575" s="212"/>
      <c r="AC575" s="212"/>
      <c r="AD575" s="212"/>
      <c r="AE575" s="212"/>
      <c r="AF575" s="212"/>
      <c r="AG575" s="212"/>
      <c r="AH575" s="212"/>
      <c r="AI575" s="212"/>
      <c r="AK575" s="212"/>
      <c r="AL575" s="212"/>
      <c r="AM575" s="212"/>
      <c r="AN575" s="212"/>
    </row>
    <row r="576" spans="27:40" ht="15" customHeight="1" x14ac:dyDescent="0.35">
      <c r="AA576" s="212"/>
      <c r="AB576" s="212"/>
      <c r="AC576" s="212"/>
      <c r="AD576" s="212"/>
      <c r="AE576" s="212"/>
      <c r="AF576" s="212"/>
      <c r="AG576" s="212"/>
      <c r="AH576" s="212"/>
      <c r="AI576" s="212"/>
      <c r="AK576" s="212"/>
      <c r="AL576" s="212"/>
      <c r="AM576" s="212"/>
      <c r="AN576" s="212"/>
    </row>
    <row r="577" spans="27:40" ht="15" customHeight="1" x14ac:dyDescent="0.35">
      <c r="AA577" s="212"/>
      <c r="AB577" s="212"/>
      <c r="AC577" s="212"/>
      <c r="AD577" s="212"/>
      <c r="AE577" s="212"/>
      <c r="AF577" s="212"/>
      <c r="AG577" s="212"/>
      <c r="AH577" s="212"/>
      <c r="AI577" s="212"/>
      <c r="AK577" s="212"/>
      <c r="AL577" s="212"/>
      <c r="AM577" s="212"/>
      <c r="AN577" s="212"/>
    </row>
    <row r="578" spans="27:40" ht="15" customHeight="1" x14ac:dyDescent="0.35">
      <c r="AA578" s="212"/>
      <c r="AB578" s="212"/>
      <c r="AC578" s="212"/>
      <c r="AD578" s="212"/>
      <c r="AE578" s="212"/>
      <c r="AF578" s="212"/>
      <c r="AG578" s="212"/>
      <c r="AH578" s="212"/>
      <c r="AI578" s="212"/>
      <c r="AK578" s="212"/>
      <c r="AL578" s="212"/>
      <c r="AM578" s="212"/>
      <c r="AN578" s="212"/>
    </row>
    <row r="579" spans="27:40" ht="15" customHeight="1" x14ac:dyDescent="0.35">
      <c r="AA579" s="212"/>
      <c r="AB579" s="212"/>
      <c r="AC579" s="212"/>
      <c r="AD579" s="212"/>
      <c r="AE579" s="212"/>
      <c r="AF579" s="212"/>
      <c r="AG579" s="212"/>
      <c r="AH579" s="212"/>
      <c r="AI579" s="212"/>
      <c r="AK579" s="212"/>
      <c r="AL579" s="212"/>
      <c r="AM579" s="212"/>
      <c r="AN579" s="212"/>
    </row>
    <row r="580" spans="27:40" ht="15" customHeight="1" x14ac:dyDescent="0.35">
      <c r="AA580" s="212"/>
      <c r="AB580" s="212"/>
      <c r="AC580" s="212"/>
      <c r="AD580" s="212"/>
      <c r="AE580" s="212"/>
      <c r="AF580" s="212"/>
      <c r="AG580" s="212"/>
      <c r="AH580" s="212"/>
      <c r="AI580" s="212"/>
      <c r="AK580" s="212"/>
      <c r="AL580" s="212"/>
      <c r="AM580" s="212"/>
      <c r="AN580" s="212"/>
    </row>
    <row r="581" spans="27:40" ht="15" customHeight="1" x14ac:dyDescent="0.35">
      <c r="AA581" s="212"/>
      <c r="AB581" s="212"/>
      <c r="AC581" s="212"/>
      <c r="AD581" s="212"/>
      <c r="AE581" s="212"/>
      <c r="AF581" s="212"/>
      <c r="AG581" s="212"/>
      <c r="AH581" s="212"/>
      <c r="AI581" s="212"/>
      <c r="AK581" s="212"/>
      <c r="AL581" s="212"/>
      <c r="AM581" s="212"/>
      <c r="AN581" s="212"/>
    </row>
    <row r="582" spans="27:40" ht="15" customHeight="1" x14ac:dyDescent="0.35">
      <c r="AA582" s="212"/>
      <c r="AB582" s="212"/>
      <c r="AC582" s="212"/>
      <c r="AD582" s="212"/>
      <c r="AE582" s="212"/>
      <c r="AF582" s="212"/>
      <c r="AG582" s="212"/>
      <c r="AH582" s="212"/>
      <c r="AI582" s="212"/>
      <c r="AK582" s="212"/>
      <c r="AL582" s="212"/>
      <c r="AM582" s="212"/>
      <c r="AN582" s="212"/>
    </row>
    <row r="583" spans="27:40" ht="15" customHeight="1" x14ac:dyDescent="0.35">
      <c r="AA583" s="212"/>
      <c r="AB583" s="212"/>
      <c r="AC583" s="212"/>
      <c r="AD583" s="212"/>
      <c r="AE583" s="212"/>
      <c r="AF583" s="212"/>
      <c r="AG583" s="212"/>
      <c r="AH583" s="212"/>
      <c r="AI583" s="212"/>
      <c r="AK583" s="212"/>
      <c r="AL583" s="212"/>
      <c r="AM583" s="212"/>
      <c r="AN583" s="212"/>
    </row>
    <row r="584" spans="27:40" ht="15" customHeight="1" x14ac:dyDescent="0.35">
      <c r="AA584" s="212"/>
      <c r="AB584" s="212"/>
      <c r="AC584" s="212"/>
      <c r="AD584" s="212"/>
      <c r="AE584" s="212"/>
      <c r="AF584" s="212"/>
      <c r="AG584" s="212"/>
      <c r="AH584" s="212"/>
      <c r="AI584" s="212"/>
      <c r="AK584" s="212"/>
      <c r="AL584" s="212"/>
      <c r="AM584" s="212"/>
      <c r="AN584" s="212"/>
    </row>
    <row r="585" spans="27:40" ht="15" customHeight="1" x14ac:dyDescent="0.35">
      <c r="AA585" s="212"/>
      <c r="AB585" s="212"/>
      <c r="AC585" s="212"/>
      <c r="AD585" s="212"/>
      <c r="AE585" s="212"/>
      <c r="AF585" s="212"/>
      <c r="AG585" s="212"/>
      <c r="AH585" s="212"/>
      <c r="AI585" s="212"/>
      <c r="AK585" s="212"/>
      <c r="AL585" s="212"/>
      <c r="AM585" s="212"/>
      <c r="AN585" s="212"/>
    </row>
    <row r="586" spans="27:40" ht="15" customHeight="1" x14ac:dyDescent="0.35">
      <c r="AA586" s="212"/>
      <c r="AB586" s="212"/>
      <c r="AC586" s="212"/>
      <c r="AD586" s="212"/>
      <c r="AE586" s="212"/>
      <c r="AF586" s="212"/>
      <c r="AG586" s="212"/>
      <c r="AH586" s="212"/>
      <c r="AI586" s="212"/>
      <c r="AK586" s="212"/>
      <c r="AL586" s="212"/>
      <c r="AM586" s="212"/>
      <c r="AN586" s="212"/>
    </row>
    <row r="587" spans="27:40" ht="15" customHeight="1" x14ac:dyDescent="0.35">
      <c r="AA587" s="212"/>
      <c r="AB587" s="212"/>
      <c r="AC587" s="212"/>
      <c r="AD587" s="212"/>
      <c r="AE587" s="212"/>
      <c r="AF587" s="212"/>
      <c r="AG587" s="212"/>
      <c r="AH587" s="212"/>
      <c r="AI587" s="212"/>
      <c r="AK587" s="212"/>
      <c r="AL587" s="212"/>
      <c r="AM587" s="212"/>
      <c r="AN587" s="212"/>
    </row>
    <row r="588" spans="27:40" ht="15" customHeight="1" x14ac:dyDescent="0.35">
      <c r="AA588" s="212"/>
      <c r="AB588" s="212"/>
      <c r="AC588" s="212"/>
      <c r="AD588" s="212"/>
      <c r="AE588" s="212"/>
      <c r="AF588" s="212"/>
      <c r="AG588" s="212"/>
      <c r="AH588" s="212"/>
      <c r="AI588" s="212"/>
      <c r="AK588" s="212"/>
      <c r="AL588" s="212"/>
      <c r="AM588" s="212"/>
      <c r="AN588" s="212"/>
    </row>
    <row r="589" spans="27:40" ht="15" customHeight="1" x14ac:dyDescent="0.35">
      <c r="AA589" s="212"/>
      <c r="AB589" s="212"/>
      <c r="AC589" s="212"/>
      <c r="AD589" s="212"/>
      <c r="AE589" s="212"/>
      <c r="AF589" s="212"/>
      <c r="AG589" s="212"/>
      <c r="AH589" s="212"/>
      <c r="AI589" s="212"/>
      <c r="AK589" s="212"/>
      <c r="AL589" s="212"/>
      <c r="AM589" s="212"/>
      <c r="AN589" s="212"/>
    </row>
    <row r="590" spans="27:40" ht="15" customHeight="1" x14ac:dyDescent="0.35">
      <c r="AA590" s="212"/>
      <c r="AB590" s="212"/>
      <c r="AC590" s="212"/>
      <c r="AD590" s="212"/>
      <c r="AE590" s="212"/>
      <c r="AF590" s="212"/>
      <c r="AG590" s="212"/>
      <c r="AH590" s="212"/>
      <c r="AI590" s="212"/>
      <c r="AK590" s="212"/>
      <c r="AL590" s="212"/>
      <c r="AM590" s="212"/>
      <c r="AN590" s="212"/>
    </row>
    <row r="591" spans="27:40" ht="15" customHeight="1" x14ac:dyDescent="0.35">
      <c r="AA591" s="212"/>
      <c r="AB591" s="212"/>
      <c r="AC591" s="212"/>
      <c r="AD591" s="212"/>
      <c r="AE591" s="212"/>
      <c r="AF591" s="212"/>
      <c r="AG591" s="212"/>
      <c r="AH591" s="212"/>
      <c r="AI591" s="212"/>
      <c r="AK591" s="212"/>
      <c r="AL591" s="212"/>
      <c r="AM591" s="212"/>
      <c r="AN591" s="212"/>
    </row>
    <row r="592" spans="27:40" ht="15" customHeight="1" x14ac:dyDescent="0.35">
      <c r="AA592" s="212"/>
      <c r="AB592" s="212"/>
      <c r="AC592" s="212"/>
      <c r="AD592" s="212"/>
      <c r="AE592" s="212"/>
      <c r="AF592" s="212"/>
      <c r="AG592" s="212"/>
      <c r="AH592" s="212"/>
      <c r="AI592" s="212"/>
      <c r="AK592" s="212"/>
      <c r="AL592" s="212"/>
      <c r="AM592" s="212"/>
      <c r="AN592" s="212"/>
    </row>
    <row r="593" spans="27:40" ht="15" customHeight="1" x14ac:dyDescent="0.35">
      <c r="AA593" s="212"/>
      <c r="AB593" s="212"/>
      <c r="AC593" s="212"/>
      <c r="AD593" s="212"/>
      <c r="AE593" s="212"/>
      <c r="AF593" s="212"/>
      <c r="AG593" s="212"/>
      <c r="AH593" s="212"/>
      <c r="AI593" s="212"/>
      <c r="AK593" s="212"/>
      <c r="AL593" s="212"/>
      <c r="AM593" s="212"/>
      <c r="AN593" s="212"/>
    </row>
    <row r="594" spans="27:40" ht="15" customHeight="1" x14ac:dyDescent="0.35">
      <c r="AA594" s="212"/>
      <c r="AB594" s="212"/>
      <c r="AC594" s="212"/>
      <c r="AD594" s="212"/>
      <c r="AE594" s="212"/>
      <c r="AF594" s="212"/>
      <c r="AG594" s="212"/>
      <c r="AH594" s="212"/>
      <c r="AI594" s="212"/>
      <c r="AK594" s="212"/>
      <c r="AL594" s="212"/>
      <c r="AM594" s="212"/>
      <c r="AN594" s="212"/>
    </row>
    <row r="595" spans="27:40" ht="15" customHeight="1" x14ac:dyDescent="0.35">
      <c r="AA595" s="212"/>
      <c r="AB595" s="212"/>
      <c r="AC595" s="212"/>
      <c r="AD595" s="212"/>
      <c r="AE595" s="212"/>
      <c r="AF595" s="212"/>
      <c r="AG595" s="212"/>
      <c r="AH595" s="212"/>
      <c r="AI595" s="212"/>
      <c r="AK595" s="212"/>
      <c r="AL595" s="212"/>
      <c r="AM595" s="212"/>
      <c r="AN595" s="212"/>
    </row>
    <row r="596" spans="27:40" ht="15" customHeight="1" x14ac:dyDescent="0.35">
      <c r="AA596" s="212"/>
      <c r="AB596" s="212"/>
      <c r="AC596" s="212"/>
      <c r="AD596" s="212"/>
      <c r="AE596" s="212"/>
      <c r="AF596" s="212"/>
      <c r="AG596" s="212"/>
      <c r="AH596" s="212"/>
      <c r="AI596" s="212"/>
      <c r="AK596" s="212"/>
      <c r="AL596" s="212"/>
      <c r="AM596" s="212"/>
      <c r="AN596" s="212"/>
    </row>
    <row r="597" spans="27:40" ht="15" customHeight="1" x14ac:dyDescent="0.35">
      <c r="AA597" s="212"/>
      <c r="AB597" s="212"/>
      <c r="AC597" s="212"/>
      <c r="AD597" s="212"/>
      <c r="AE597" s="212"/>
      <c r="AF597" s="212"/>
      <c r="AG597" s="212"/>
      <c r="AH597" s="212"/>
      <c r="AI597" s="212"/>
      <c r="AK597" s="212"/>
      <c r="AL597" s="212"/>
      <c r="AM597" s="212"/>
      <c r="AN597" s="212"/>
    </row>
    <row r="598" spans="27:40" ht="15" customHeight="1" x14ac:dyDescent="0.35">
      <c r="AA598" s="212"/>
      <c r="AB598" s="212"/>
      <c r="AC598" s="212"/>
      <c r="AD598" s="212"/>
      <c r="AE598" s="212"/>
      <c r="AF598" s="212"/>
      <c r="AG598" s="212"/>
      <c r="AH598" s="212"/>
      <c r="AI598" s="212"/>
      <c r="AK598" s="212"/>
      <c r="AL598" s="212"/>
      <c r="AM598" s="212"/>
      <c r="AN598" s="212"/>
    </row>
    <row r="599" spans="27:40" ht="15" customHeight="1" x14ac:dyDescent="0.35">
      <c r="AA599" s="212"/>
      <c r="AB599" s="212"/>
      <c r="AC599" s="212"/>
      <c r="AD599" s="212"/>
      <c r="AE599" s="212"/>
      <c r="AF599" s="212"/>
      <c r="AG599" s="212"/>
      <c r="AH599" s="212"/>
      <c r="AI599" s="212"/>
      <c r="AK599" s="212"/>
      <c r="AL599" s="212"/>
      <c r="AM599" s="212"/>
      <c r="AN599" s="212"/>
    </row>
    <row r="600" spans="27:40" ht="15" customHeight="1" x14ac:dyDescent="0.35">
      <c r="AA600" s="212"/>
      <c r="AB600" s="212"/>
      <c r="AC600" s="212"/>
      <c r="AD600" s="212"/>
      <c r="AE600" s="212"/>
      <c r="AF600" s="212"/>
      <c r="AG600" s="212"/>
      <c r="AH600" s="212"/>
      <c r="AI600" s="212"/>
      <c r="AK600" s="212"/>
      <c r="AL600" s="212"/>
      <c r="AM600" s="212"/>
      <c r="AN600" s="212"/>
    </row>
    <row r="601" spans="27:40" ht="15" customHeight="1" x14ac:dyDescent="0.35">
      <c r="AA601" s="212"/>
      <c r="AB601" s="212"/>
      <c r="AC601" s="212"/>
      <c r="AD601" s="212"/>
      <c r="AE601" s="212"/>
      <c r="AF601" s="212"/>
      <c r="AG601" s="212"/>
      <c r="AH601" s="212"/>
      <c r="AI601" s="212"/>
      <c r="AK601" s="212"/>
      <c r="AL601" s="212"/>
      <c r="AM601" s="212"/>
      <c r="AN601" s="212"/>
    </row>
    <row r="602" spans="27:40" ht="15" customHeight="1" x14ac:dyDescent="0.35">
      <c r="AA602" s="212"/>
      <c r="AB602" s="212"/>
      <c r="AC602" s="212"/>
      <c r="AD602" s="212"/>
      <c r="AE602" s="212"/>
      <c r="AF602" s="212"/>
      <c r="AG602" s="212"/>
      <c r="AH602" s="212"/>
      <c r="AI602" s="212"/>
      <c r="AK602" s="212"/>
      <c r="AL602" s="212"/>
      <c r="AM602" s="212"/>
      <c r="AN602" s="212"/>
    </row>
    <row r="603" spans="27:40" ht="15" customHeight="1" x14ac:dyDescent="0.35">
      <c r="AA603" s="212"/>
      <c r="AB603" s="212"/>
      <c r="AC603" s="212"/>
      <c r="AD603" s="212"/>
      <c r="AE603" s="212"/>
      <c r="AF603" s="212"/>
      <c r="AG603" s="212"/>
      <c r="AH603" s="212"/>
      <c r="AI603" s="212"/>
      <c r="AK603" s="212"/>
      <c r="AL603" s="212"/>
      <c r="AM603" s="212"/>
      <c r="AN603" s="212"/>
    </row>
    <row r="604" spans="27:40" ht="15" customHeight="1" x14ac:dyDescent="0.35">
      <c r="AA604" s="212"/>
      <c r="AB604" s="212"/>
      <c r="AC604" s="212"/>
      <c r="AD604" s="212"/>
      <c r="AE604" s="212"/>
      <c r="AF604" s="212"/>
      <c r="AG604" s="212"/>
      <c r="AH604" s="212"/>
      <c r="AI604" s="212"/>
      <c r="AK604" s="212"/>
      <c r="AL604" s="212"/>
      <c r="AM604" s="212"/>
      <c r="AN604" s="212"/>
    </row>
    <row r="605" spans="27:40" ht="15" customHeight="1" x14ac:dyDescent="0.35">
      <c r="AA605" s="212"/>
      <c r="AB605" s="212"/>
      <c r="AC605" s="212"/>
      <c r="AD605" s="212"/>
      <c r="AE605" s="212"/>
      <c r="AF605" s="212"/>
      <c r="AG605" s="212"/>
      <c r="AH605" s="212"/>
      <c r="AI605" s="212"/>
      <c r="AK605" s="212"/>
      <c r="AL605" s="212"/>
      <c r="AM605" s="212"/>
      <c r="AN605" s="212"/>
    </row>
    <row r="606" spans="27:40" ht="15" customHeight="1" x14ac:dyDescent="0.35">
      <c r="AA606" s="212"/>
      <c r="AB606" s="212"/>
      <c r="AC606" s="212"/>
      <c r="AD606" s="212"/>
      <c r="AE606" s="212"/>
      <c r="AF606" s="212"/>
      <c r="AG606" s="212"/>
      <c r="AH606" s="212"/>
      <c r="AI606" s="212"/>
      <c r="AK606" s="212"/>
      <c r="AL606" s="212"/>
      <c r="AM606" s="212"/>
      <c r="AN606" s="212"/>
    </row>
    <row r="607" spans="27:40" ht="15" customHeight="1" x14ac:dyDescent="0.35">
      <c r="AA607" s="212"/>
      <c r="AB607" s="212"/>
      <c r="AC607" s="212"/>
      <c r="AD607" s="212"/>
      <c r="AE607" s="212"/>
      <c r="AF607" s="212"/>
      <c r="AG607" s="212"/>
      <c r="AH607" s="212"/>
      <c r="AI607" s="212"/>
      <c r="AK607" s="212"/>
      <c r="AL607" s="212"/>
      <c r="AM607" s="212"/>
      <c r="AN607" s="212"/>
    </row>
    <row r="608" spans="27:40" ht="15" customHeight="1" x14ac:dyDescent="0.35">
      <c r="AA608" s="212"/>
      <c r="AB608" s="212"/>
      <c r="AC608" s="212"/>
      <c r="AD608" s="212"/>
      <c r="AE608" s="212"/>
      <c r="AF608" s="212"/>
      <c r="AG608" s="212"/>
      <c r="AH608" s="212"/>
      <c r="AI608" s="212"/>
      <c r="AK608" s="212"/>
      <c r="AL608" s="212"/>
      <c r="AM608" s="212"/>
      <c r="AN608" s="212"/>
    </row>
    <row r="609" spans="27:40" ht="15" customHeight="1" x14ac:dyDescent="0.35">
      <c r="AA609" s="212"/>
      <c r="AB609" s="212"/>
      <c r="AC609" s="212"/>
      <c r="AD609" s="212"/>
      <c r="AE609" s="212"/>
      <c r="AF609" s="212"/>
      <c r="AG609" s="212"/>
      <c r="AH609" s="212"/>
      <c r="AI609" s="212"/>
      <c r="AK609" s="212"/>
      <c r="AL609" s="212"/>
      <c r="AM609" s="212"/>
      <c r="AN609" s="212"/>
    </row>
    <row r="610" spans="27:40" ht="15" customHeight="1" x14ac:dyDescent="0.35">
      <c r="AA610" s="212"/>
      <c r="AB610" s="212"/>
      <c r="AC610" s="212"/>
      <c r="AD610" s="212"/>
      <c r="AE610" s="212"/>
      <c r="AF610" s="212"/>
      <c r="AG610" s="212"/>
      <c r="AH610" s="212"/>
      <c r="AI610" s="212"/>
      <c r="AK610" s="212"/>
      <c r="AL610" s="212"/>
      <c r="AM610" s="212"/>
      <c r="AN610" s="212"/>
    </row>
    <row r="611" spans="27:40" ht="15" customHeight="1" x14ac:dyDescent="0.35">
      <c r="AA611" s="212"/>
      <c r="AB611" s="212"/>
      <c r="AC611" s="212"/>
      <c r="AD611" s="212"/>
      <c r="AE611" s="212"/>
      <c r="AF611" s="212"/>
      <c r="AG611" s="212"/>
      <c r="AH611" s="212"/>
      <c r="AI611" s="212"/>
      <c r="AK611" s="212"/>
      <c r="AL611" s="212"/>
      <c r="AM611" s="212"/>
      <c r="AN611" s="212"/>
    </row>
    <row r="612" spans="27:40" ht="15" customHeight="1" x14ac:dyDescent="0.35">
      <c r="AA612" s="212"/>
      <c r="AB612" s="212"/>
      <c r="AC612" s="212"/>
      <c r="AD612" s="212"/>
      <c r="AE612" s="212"/>
      <c r="AF612" s="212"/>
      <c r="AG612" s="212"/>
      <c r="AH612" s="212"/>
      <c r="AI612" s="212"/>
      <c r="AK612" s="212"/>
      <c r="AL612" s="212"/>
      <c r="AM612" s="212"/>
      <c r="AN612" s="212"/>
    </row>
    <row r="613" spans="27:40" ht="15" customHeight="1" x14ac:dyDescent="0.35">
      <c r="AA613" s="212"/>
      <c r="AB613" s="212"/>
      <c r="AC613" s="212"/>
      <c r="AD613" s="212"/>
      <c r="AE613" s="212"/>
      <c r="AF613" s="212"/>
      <c r="AG613" s="212"/>
      <c r="AH613" s="212"/>
      <c r="AI613" s="212"/>
      <c r="AK613" s="212"/>
      <c r="AL613" s="212"/>
      <c r="AM613" s="212"/>
      <c r="AN613" s="212"/>
    </row>
    <row r="614" spans="27:40" ht="15" customHeight="1" x14ac:dyDescent="0.35">
      <c r="AA614" s="212"/>
      <c r="AB614" s="212"/>
      <c r="AC614" s="212"/>
      <c r="AD614" s="212"/>
      <c r="AE614" s="212"/>
      <c r="AF614" s="212"/>
      <c r="AG614" s="212"/>
      <c r="AH614" s="212"/>
      <c r="AI614" s="212"/>
      <c r="AK614" s="212"/>
      <c r="AL614" s="212"/>
      <c r="AM614" s="212"/>
      <c r="AN614" s="212"/>
    </row>
    <row r="615" spans="27:40" ht="15" customHeight="1" x14ac:dyDescent="0.35">
      <c r="AA615" s="212"/>
      <c r="AB615" s="212"/>
      <c r="AC615" s="212"/>
      <c r="AD615" s="212"/>
      <c r="AE615" s="212"/>
      <c r="AF615" s="212"/>
      <c r="AG615" s="212"/>
      <c r="AH615" s="212"/>
      <c r="AI615" s="212"/>
      <c r="AK615" s="212"/>
      <c r="AL615" s="212"/>
      <c r="AM615" s="212"/>
      <c r="AN615" s="212"/>
    </row>
    <row r="616" spans="27:40" ht="15" customHeight="1" x14ac:dyDescent="0.35">
      <c r="AA616" s="212"/>
      <c r="AB616" s="212"/>
      <c r="AC616" s="212"/>
      <c r="AD616" s="212"/>
      <c r="AE616" s="212"/>
      <c r="AF616" s="212"/>
      <c r="AG616" s="212"/>
      <c r="AH616" s="212"/>
      <c r="AI616" s="212"/>
      <c r="AK616" s="212"/>
      <c r="AL616" s="212"/>
      <c r="AM616" s="212"/>
      <c r="AN616" s="212"/>
    </row>
    <row r="617" spans="27:40" ht="15" customHeight="1" x14ac:dyDescent="0.35">
      <c r="AA617" s="212"/>
      <c r="AB617" s="212"/>
      <c r="AC617" s="212"/>
      <c r="AD617" s="212"/>
      <c r="AE617" s="212"/>
      <c r="AF617" s="212"/>
      <c r="AG617" s="212"/>
      <c r="AH617" s="212"/>
      <c r="AI617" s="212"/>
      <c r="AK617" s="212"/>
      <c r="AL617" s="212"/>
      <c r="AM617" s="212"/>
      <c r="AN617" s="212"/>
    </row>
    <row r="618" spans="27:40" ht="15" customHeight="1" x14ac:dyDescent="0.35">
      <c r="AA618" s="212"/>
      <c r="AB618" s="212"/>
      <c r="AC618" s="212"/>
      <c r="AD618" s="212"/>
      <c r="AE618" s="212"/>
      <c r="AF618" s="212"/>
      <c r="AG618" s="212"/>
      <c r="AH618" s="212"/>
      <c r="AI618" s="212"/>
      <c r="AK618" s="212"/>
      <c r="AL618" s="212"/>
      <c r="AM618" s="212"/>
      <c r="AN618" s="212"/>
    </row>
    <row r="619" spans="27:40" ht="15" customHeight="1" x14ac:dyDescent="0.35">
      <c r="AA619" s="212"/>
      <c r="AB619" s="212"/>
      <c r="AC619" s="212"/>
      <c r="AD619" s="212"/>
      <c r="AE619" s="212"/>
      <c r="AF619" s="212"/>
      <c r="AG619" s="212"/>
      <c r="AH619" s="212"/>
      <c r="AI619" s="212"/>
      <c r="AK619" s="212"/>
      <c r="AL619" s="212"/>
      <c r="AM619" s="212"/>
      <c r="AN619" s="212"/>
    </row>
    <row r="620" spans="27:40" ht="15" customHeight="1" x14ac:dyDescent="0.35">
      <c r="AA620" s="212"/>
      <c r="AB620" s="212"/>
      <c r="AC620" s="212"/>
      <c r="AD620" s="212"/>
      <c r="AE620" s="212"/>
      <c r="AF620" s="212"/>
      <c r="AG620" s="212"/>
      <c r="AH620" s="212"/>
      <c r="AI620" s="212"/>
      <c r="AK620" s="212"/>
      <c r="AL620" s="212"/>
      <c r="AM620" s="212"/>
      <c r="AN620" s="212"/>
    </row>
    <row r="621" spans="27:40" ht="15" customHeight="1" x14ac:dyDescent="0.35">
      <c r="AA621" s="212"/>
      <c r="AB621" s="212"/>
      <c r="AC621" s="212"/>
      <c r="AD621" s="212"/>
      <c r="AE621" s="212"/>
      <c r="AF621" s="212"/>
      <c r="AG621" s="212"/>
      <c r="AH621" s="212"/>
      <c r="AI621" s="212"/>
      <c r="AK621" s="212"/>
      <c r="AL621" s="212"/>
      <c r="AM621" s="212"/>
      <c r="AN621" s="212"/>
    </row>
    <row r="622" spans="27:40" ht="15" customHeight="1" x14ac:dyDescent="0.35">
      <c r="AA622" s="212"/>
      <c r="AB622" s="212"/>
      <c r="AC622" s="212"/>
      <c r="AD622" s="212"/>
      <c r="AE622" s="212"/>
      <c r="AF622" s="212"/>
      <c r="AG622" s="212"/>
      <c r="AH622" s="212"/>
      <c r="AI622" s="212"/>
      <c r="AK622" s="212"/>
      <c r="AL622" s="212"/>
      <c r="AM622" s="212"/>
      <c r="AN622" s="212"/>
    </row>
    <row r="623" spans="27:40" ht="15" customHeight="1" x14ac:dyDescent="0.35">
      <c r="AA623" s="212"/>
      <c r="AB623" s="212"/>
      <c r="AC623" s="212"/>
      <c r="AD623" s="212"/>
      <c r="AE623" s="212"/>
      <c r="AF623" s="212"/>
      <c r="AG623" s="212"/>
      <c r="AH623" s="212"/>
      <c r="AI623" s="212"/>
      <c r="AK623" s="212"/>
      <c r="AL623" s="212"/>
      <c r="AM623" s="212"/>
      <c r="AN623" s="212"/>
    </row>
    <row r="624" spans="27:40" ht="15" customHeight="1" x14ac:dyDescent="0.35">
      <c r="AA624" s="212"/>
      <c r="AB624" s="212"/>
      <c r="AC624" s="212"/>
      <c r="AD624" s="212"/>
      <c r="AE624" s="212"/>
      <c r="AF624" s="212"/>
      <c r="AG624" s="212"/>
      <c r="AH624" s="212"/>
      <c r="AI624" s="212"/>
      <c r="AK624" s="212"/>
      <c r="AL624" s="212"/>
      <c r="AM624" s="212"/>
      <c r="AN624" s="212"/>
    </row>
    <row r="625" spans="27:40" ht="15" customHeight="1" x14ac:dyDescent="0.35">
      <c r="AA625" s="212"/>
      <c r="AB625" s="212"/>
      <c r="AC625" s="212"/>
      <c r="AD625" s="212"/>
      <c r="AE625" s="212"/>
      <c r="AF625" s="212"/>
      <c r="AG625" s="212"/>
      <c r="AH625" s="212"/>
      <c r="AI625" s="212"/>
      <c r="AK625" s="212"/>
      <c r="AL625" s="212"/>
      <c r="AM625" s="212"/>
      <c r="AN625" s="212"/>
    </row>
    <row r="626" spans="27:40" ht="15" customHeight="1" x14ac:dyDescent="0.35">
      <c r="AA626" s="212"/>
      <c r="AB626" s="212"/>
      <c r="AC626" s="212"/>
      <c r="AD626" s="212"/>
      <c r="AE626" s="212"/>
      <c r="AF626" s="212"/>
      <c r="AG626" s="212"/>
      <c r="AH626" s="212"/>
      <c r="AI626" s="212"/>
      <c r="AK626" s="212"/>
      <c r="AL626" s="212"/>
      <c r="AM626" s="212"/>
      <c r="AN626" s="212"/>
    </row>
    <row r="627" spans="27:40" ht="15" customHeight="1" x14ac:dyDescent="0.35">
      <c r="AA627" s="212"/>
      <c r="AB627" s="212"/>
      <c r="AC627" s="212"/>
      <c r="AD627" s="212"/>
      <c r="AE627" s="212"/>
      <c r="AF627" s="212"/>
      <c r="AG627" s="212"/>
      <c r="AH627" s="212"/>
      <c r="AI627" s="212"/>
      <c r="AK627" s="212"/>
      <c r="AL627" s="212"/>
      <c r="AM627" s="212"/>
      <c r="AN627" s="212"/>
    </row>
    <row r="628" spans="27:40" ht="15" customHeight="1" x14ac:dyDescent="0.35">
      <c r="AA628" s="212"/>
      <c r="AB628" s="212"/>
      <c r="AC628" s="212"/>
      <c r="AD628" s="212"/>
      <c r="AE628" s="212"/>
      <c r="AF628" s="212"/>
      <c r="AG628" s="212"/>
      <c r="AH628" s="212"/>
      <c r="AI628" s="212"/>
      <c r="AK628" s="212"/>
      <c r="AL628" s="212"/>
      <c r="AM628" s="212"/>
      <c r="AN628" s="212"/>
    </row>
    <row r="629" spans="27:40" ht="15" customHeight="1" x14ac:dyDescent="0.35">
      <c r="AA629" s="212"/>
      <c r="AB629" s="212"/>
      <c r="AC629" s="212"/>
      <c r="AD629" s="212"/>
      <c r="AE629" s="212"/>
      <c r="AF629" s="212"/>
      <c r="AG629" s="212"/>
      <c r="AH629" s="212"/>
      <c r="AI629" s="212"/>
      <c r="AK629" s="212"/>
      <c r="AL629" s="212"/>
      <c r="AM629" s="212"/>
      <c r="AN629" s="212"/>
    </row>
    <row r="630" spans="27:40" ht="15" customHeight="1" x14ac:dyDescent="0.35">
      <c r="AA630" s="212"/>
      <c r="AB630" s="212"/>
      <c r="AC630" s="212"/>
      <c r="AD630" s="212"/>
      <c r="AE630" s="212"/>
      <c r="AF630" s="212"/>
      <c r="AG630" s="212"/>
      <c r="AH630" s="212"/>
      <c r="AI630" s="212"/>
      <c r="AK630" s="212"/>
      <c r="AL630" s="212"/>
      <c r="AM630" s="212"/>
      <c r="AN630" s="212"/>
    </row>
    <row r="631" spans="27:40" ht="15" customHeight="1" x14ac:dyDescent="0.35">
      <c r="AA631" s="212"/>
      <c r="AB631" s="212"/>
      <c r="AC631" s="212"/>
      <c r="AD631" s="212"/>
      <c r="AE631" s="212"/>
      <c r="AF631" s="212"/>
      <c r="AG631" s="212"/>
      <c r="AH631" s="212"/>
      <c r="AI631" s="212"/>
      <c r="AK631" s="212"/>
      <c r="AL631" s="212"/>
      <c r="AM631" s="212"/>
      <c r="AN631" s="212"/>
    </row>
    <row r="632" spans="27:40" ht="15" customHeight="1" x14ac:dyDescent="0.35">
      <c r="AA632" s="212"/>
      <c r="AB632" s="212"/>
      <c r="AC632" s="212"/>
      <c r="AD632" s="212"/>
      <c r="AE632" s="212"/>
      <c r="AF632" s="212"/>
      <c r="AG632" s="212"/>
      <c r="AH632" s="212"/>
      <c r="AI632" s="212"/>
      <c r="AK632" s="212"/>
      <c r="AL632" s="212"/>
      <c r="AM632" s="212"/>
      <c r="AN632" s="212"/>
    </row>
    <row r="633" spans="27:40" ht="15" customHeight="1" x14ac:dyDescent="0.35">
      <c r="AA633" s="212"/>
      <c r="AB633" s="212"/>
      <c r="AC633" s="212"/>
      <c r="AD633" s="212"/>
      <c r="AE633" s="212"/>
      <c r="AF633" s="212"/>
      <c r="AG633" s="212"/>
      <c r="AH633" s="212"/>
      <c r="AI633" s="212"/>
      <c r="AK633" s="212"/>
      <c r="AL633" s="212"/>
      <c r="AM633" s="212"/>
      <c r="AN633" s="212"/>
    </row>
    <row r="634" spans="27:40" ht="15" customHeight="1" x14ac:dyDescent="0.35">
      <c r="AA634" s="212"/>
      <c r="AB634" s="212"/>
      <c r="AC634" s="212"/>
      <c r="AD634" s="212"/>
      <c r="AE634" s="212"/>
      <c r="AF634" s="212"/>
      <c r="AG634" s="212"/>
      <c r="AH634" s="212"/>
      <c r="AI634" s="212"/>
      <c r="AK634" s="212"/>
      <c r="AL634" s="212"/>
      <c r="AM634" s="212"/>
      <c r="AN634" s="212"/>
    </row>
    <row r="635" spans="27:40" ht="15" customHeight="1" x14ac:dyDescent="0.35">
      <c r="AA635" s="212"/>
      <c r="AB635" s="212"/>
      <c r="AC635" s="212"/>
      <c r="AD635" s="212"/>
      <c r="AE635" s="212"/>
      <c r="AF635" s="212"/>
      <c r="AG635" s="212"/>
      <c r="AH635" s="212"/>
      <c r="AI635" s="212"/>
      <c r="AK635" s="212"/>
      <c r="AL635" s="212"/>
      <c r="AM635" s="212"/>
      <c r="AN635" s="212"/>
    </row>
    <row r="636" spans="27:40" ht="15" customHeight="1" x14ac:dyDescent="0.35">
      <c r="AA636" s="212"/>
      <c r="AB636" s="212"/>
      <c r="AC636" s="212"/>
      <c r="AD636" s="212"/>
      <c r="AE636" s="212"/>
      <c r="AF636" s="212"/>
      <c r="AG636" s="212"/>
      <c r="AH636" s="212"/>
      <c r="AI636" s="212"/>
      <c r="AK636" s="212"/>
      <c r="AL636" s="212"/>
      <c r="AM636" s="212"/>
      <c r="AN636" s="212"/>
    </row>
    <row r="637" spans="27:40" ht="15" customHeight="1" x14ac:dyDescent="0.35">
      <c r="AA637" s="212"/>
      <c r="AB637" s="212"/>
      <c r="AC637" s="212"/>
      <c r="AD637" s="212"/>
      <c r="AE637" s="212"/>
      <c r="AF637" s="212"/>
      <c r="AG637" s="212"/>
      <c r="AH637" s="212"/>
      <c r="AI637" s="212"/>
      <c r="AK637" s="212"/>
      <c r="AL637" s="212"/>
      <c r="AM637" s="212"/>
      <c r="AN637" s="212"/>
    </row>
    <row r="638" spans="27:40" ht="15" customHeight="1" x14ac:dyDescent="0.35">
      <c r="AA638" s="212"/>
      <c r="AB638" s="212"/>
      <c r="AC638" s="212"/>
      <c r="AD638" s="212"/>
      <c r="AE638" s="212"/>
      <c r="AF638" s="212"/>
      <c r="AG638" s="212"/>
      <c r="AH638" s="212"/>
      <c r="AI638" s="212"/>
      <c r="AK638" s="212"/>
      <c r="AL638" s="212"/>
      <c r="AM638" s="212"/>
      <c r="AN638" s="212"/>
    </row>
    <row r="639" spans="27:40" ht="15" customHeight="1" x14ac:dyDescent="0.35">
      <c r="AA639" s="212"/>
      <c r="AB639" s="212"/>
      <c r="AC639" s="212"/>
      <c r="AD639" s="212"/>
      <c r="AE639" s="212"/>
      <c r="AF639" s="212"/>
      <c r="AG639" s="212"/>
      <c r="AH639" s="212"/>
      <c r="AI639" s="212"/>
      <c r="AK639" s="212"/>
      <c r="AL639" s="212"/>
      <c r="AM639" s="212"/>
      <c r="AN639" s="212"/>
    </row>
    <row r="640" spans="27:40" ht="15" customHeight="1" x14ac:dyDescent="0.35">
      <c r="AA640" s="212"/>
      <c r="AB640" s="212"/>
      <c r="AC640" s="212"/>
      <c r="AD640" s="212"/>
      <c r="AE640" s="212"/>
      <c r="AF640" s="212"/>
      <c r="AG640" s="212"/>
      <c r="AH640" s="212"/>
      <c r="AI640" s="212"/>
      <c r="AK640" s="212"/>
      <c r="AL640" s="212"/>
      <c r="AM640" s="212"/>
      <c r="AN640" s="212"/>
    </row>
    <row r="641" spans="27:40" ht="15" customHeight="1" x14ac:dyDescent="0.35">
      <c r="AA641" s="212"/>
      <c r="AB641" s="212"/>
      <c r="AC641" s="212"/>
      <c r="AD641" s="212"/>
      <c r="AE641" s="212"/>
      <c r="AF641" s="212"/>
      <c r="AG641" s="212"/>
      <c r="AH641" s="212"/>
      <c r="AI641" s="212"/>
      <c r="AK641" s="212"/>
      <c r="AL641" s="212"/>
      <c r="AM641" s="212"/>
      <c r="AN641" s="212"/>
    </row>
    <row r="642" spans="27:40" ht="15" customHeight="1" x14ac:dyDescent="0.35">
      <c r="AA642" s="212"/>
      <c r="AB642" s="212"/>
      <c r="AC642" s="212"/>
      <c r="AD642" s="212"/>
      <c r="AE642" s="212"/>
      <c r="AF642" s="212"/>
      <c r="AG642" s="212"/>
      <c r="AH642" s="212"/>
      <c r="AI642" s="212"/>
      <c r="AK642" s="212"/>
      <c r="AL642" s="212"/>
      <c r="AM642" s="212"/>
      <c r="AN642" s="212"/>
    </row>
    <row r="643" spans="27:40" ht="15" customHeight="1" x14ac:dyDescent="0.35">
      <c r="AA643" s="212"/>
      <c r="AB643" s="212"/>
      <c r="AC643" s="212"/>
      <c r="AD643" s="212"/>
      <c r="AE643" s="212"/>
      <c r="AF643" s="212"/>
      <c r="AG643" s="212"/>
      <c r="AH643" s="212"/>
      <c r="AI643" s="212"/>
      <c r="AK643" s="212"/>
      <c r="AL643" s="212"/>
      <c r="AM643" s="212"/>
      <c r="AN643" s="212"/>
    </row>
    <row r="644" spans="27:40" ht="15" customHeight="1" x14ac:dyDescent="0.35">
      <c r="AA644" s="212"/>
      <c r="AB644" s="212"/>
      <c r="AC644" s="212"/>
      <c r="AD644" s="212"/>
      <c r="AE644" s="212"/>
      <c r="AF644" s="212"/>
      <c r="AG644" s="212"/>
      <c r="AH644" s="212"/>
      <c r="AI644" s="212"/>
      <c r="AK644" s="212"/>
      <c r="AL644" s="212"/>
      <c r="AM644" s="212"/>
      <c r="AN644" s="212"/>
    </row>
    <row r="645" spans="27:40" ht="15" customHeight="1" x14ac:dyDescent="0.35">
      <c r="AA645" s="212"/>
      <c r="AB645" s="212"/>
      <c r="AC645" s="212"/>
      <c r="AD645" s="212"/>
      <c r="AE645" s="212"/>
      <c r="AF645" s="212"/>
      <c r="AG645" s="212"/>
      <c r="AH645" s="212"/>
      <c r="AI645" s="212"/>
      <c r="AK645" s="212"/>
      <c r="AL645" s="212"/>
      <c r="AM645" s="212"/>
      <c r="AN645" s="212"/>
    </row>
    <row r="646" spans="27:40" ht="15" customHeight="1" x14ac:dyDescent="0.35">
      <c r="AA646" s="212"/>
      <c r="AB646" s="212"/>
      <c r="AC646" s="212"/>
      <c r="AD646" s="212"/>
      <c r="AE646" s="212"/>
      <c r="AF646" s="212"/>
      <c r="AG646" s="212"/>
      <c r="AH646" s="212"/>
      <c r="AI646" s="212"/>
      <c r="AK646" s="212"/>
      <c r="AL646" s="212"/>
      <c r="AM646" s="212"/>
      <c r="AN646" s="212"/>
    </row>
    <row r="647" spans="27:40" ht="15" customHeight="1" x14ac:dyDescent="0.35">
      <c r="AA647" s="212"/>
      <c r="AB647" s="212"/>
      <c r="AC647" s="212"/>
      <c r="AD647" s="212"/>
      <c r="AE647" s="212"/>
      <c r="AF647" s="212"/>
      <c r="AG647" s="212"/>
      <c r="AH647" s="212"/>
      <c r="AI647" s="212"/>
      <c r="AK647" s="212"/>
      <c r="AL647" s="212"/>
      <c r="AM647" s="212"/>
      <c r="AN647" s="212"/>
    </row>
    <row r="648" spans="27:40" ht="15" customHeight="1" x14ac:dyDescent="0.35">
      <c r="AA648" s="212"/>
      <c r="AB648" s="212"/>
      <c r="AC648" s="212"/>
      <c r="AD648" s="212"/>
      <c r="AE648" s="212"/>
      <c r="AF648" s="212"/>
      <c r="AG648" s="212"/>
      <c r="AH648" s="212"/>
      <c r="AI648" s="212"/>
      <c r="AK648" s="212"/>
      <c r="AL648" s="212"/>
      <c r="AM648" s="212"/>
      <c r="AN648" s="212"/>
    </row>
    <row r="649" spans="27:40" ht="15" customHeight="1" x14ac:dyDescent="0.35">
      <c r="AA649" s="212"/>
      <c r="AB649" s="212"/>
      <c r="AC649" s="212"/>
      <c r="AD649" s="212"/>
      <c r="AE649" s="212"/>
      <c r="AF649" s="212"/>
      <c r="AG649" s="212"/>
      <c r="AH649" s="212"/>
      <c r="AI649" s="212"/>
      <c r="AK649" s="212"/>
      <c r="AL649" s="212"/>
      <c r="AM649" s="212"/>
      <c r="AN649" s="212"/>
    </row>
    <row r="650" spans="27:40" ht="15" customHeight="1" x14ac:dyDescent="0.35">
      <c r="AA650" s="212"/>
      <c r="AB650" s="212"/>
      <c r="AC650" s="212"/>
      <c r="AD650" s="212"/>
      <c r="AE650" s="212"/>
      <c r="AF650" s="212"/>
      <c r="AG650" s="212"/>
      <c r="AH650" s="212"/>
      <c r="AI650" s="212"/>
      <c r="AK650" s="212"/>
      <c r="AL650" s="212"/>
      <c r="AM650" s="212"/>
      <c r="AN650" s="212"/>
    </row>
    <row r="651" spans="27:40" ht="15" customHeight="1" x14ac:dyDescent="0.35">
      <c r="AA651" s="212"/>
      <c r="AB651" s="212"/>
      <c r="AC651" s="212"/>
      <c r="AD651" s="212"/>
      <c r="AE651" s="212"/>
      <c r="AF651" s="212"/>
      <c r="AG651" s="212"/>
      <c r="AH651" s="212"/>
      <c r="AI651" s="212"/>
      <c r="AK651" s="212"/>
      <c r="AL651" s="212"/>
      <c r="AM651" s="212"/>
      <c r="AN651" s="212"/>
    </row>
    <row r="652" spans="27:40" ht="15" customHeight="1" x14ac:dyDescent="0.35">
      <c r="AA652" s="212"/>
      <c r="AB652" s="212"/>
      <c r="AC652" s="212"/>
      <c r="AD652" s="212"/>
      <c r="AE652" s="212"/>
      <c r="AF652" s="212"/>
      <c r="AG652" s="212"/>
      <c r="AH652" s="212"/>
      <c r="AI652" s="212"/>
      <c r="AK652" s="212"/>
      <c r="AL652" s="212"/>
      <c r="AM652" s="212"/>
      <c r="AN652" s="212"/>
    </row>
    <row r="653" spans="27:40" ht="15" customHeight="1" x14ac:dyDescent="0.35">
      <c r="AA653" s="212"/>
      <c r="AB653" s="212"/>
      <c r="AC653" s="212"/>
      <c r="AD653" s="212"/>
      <c r="AE653" s="212"/>
      <c r="AF653" s="212"/>
      <c r="AG653" s="212"/>
      <c r="AH653" s="212"/>
      <c r="AI653" s="212"/>
      <c r="AK653" s="212"/>
      <c r="AL653" s="212"/>
      <c r="AM653" s="212"/>
      <c r="AN653" s="212"/>
    </row>
    <row r="654" spans="27:40" ht="15" customHeight="1" x14ac:dyDescent="0.35">
      <c r="AA654" s="212"/>
      <c r="AB654" s="212"/>
      <c r="AC654" s="212"/>
      <c r="AD654" s="212"/>
      <c r="AE654" s="212"/>
      <c r="AF654" s="212"/>
      <c r="AG654" s="212"/>
      <c r="AH654" s="212"/>
      <c r="AI654" s="212"/>
      <c r="AK654" s="212"/>
      <c r="AL654" s="212"/>
      <c r="AM654" s="212"/>
      <c r="AN654" s="212"/>
    </row>
    <row r="655" spans="27:40" ht="15" customHeight="1" x14ac:dyDescent="0.35">
      <c r="AA655" s="212"/>
      <c r="AB655" s="212"/>
      <c r="AC655" s="212"/>
      <c r="AD655" s="212"/>
      <c r="AE655" s="212"/>
      <c r="AF655" s="212"/>
      <c r="AG655" s="212"/>
      <c r="AH655" s="212"/>
      <c r="AI655" s="212"/>
      <c r="AK655" s="212"/>
      <c r="AL655" s="212"/>
      <c r="AM655" s="212"/>
      <c r="AN655" s="212"/>
    </row>
    <row r="656" spans="27:40" ht="15" customHeight="1" x14ac:dyDescent="0.35">
      <c r="AA656" s="212"/>
      <c r="AB656" s="212"/>
      <c r="AC656" s="212"/>
      <c r="AD656" s="212"/>
      <c r="AE656" s="212"/>
      <c r="AF656" s="212"/>
      <c r="AG656" s="212"/>
      <c r="AH656" s="212"/>
      <c r="AI656" s="212"/>
      <c r="AK656" s="212"/>
      <c r="AL656" s="212"/>
      <c r="AM656" s="212"/>
      <c r="AN656" s="212"/>
    </row>
    <row r="657" spans="27:40" ht="15" customHeight="1" x14ac:dyDescent="0.35">
      <c r="AA657" s="212"/>
      <c r="AB657" s="212"/>
      <c r="AC657" s="212"/>
      <c r="AD657" s="212"/>
      <c r="AE657" s="212"/>
      <c r="AF657" s="212"/>
      <c r="AG657" s="212"/>
      <c r="AH657" s="212"/>
      <c r="AI657" s="212"/>
      <c r="AK657" s="212"/>
      <c r="AL657" s="212"/>
      <c r="AM657" s="212"/>
      <c r="AN657" s="212"/>
    </row>
    <row r="658" spans="27:40" ht="15" customHeight="1" x14ac:dyDescent="0.35">
      <c r="AA658" s="212"/>
      <c r="AB658" s="212"/>
      <c r="AC658" s="212"/>
      <c r="AD658" s="212"/>
      <c r="AE658" s="212"/>
      <c r="AF658" s="212"/>
      <c r="AG658" s="212"/>
      <c r="AH658" s="212"/>
      <c r="AI658" s="212"/>
      <c r="AK658" s="212"/>
      <c r="AL658" s="212"/>
      <c r="AM658" s="212"/>
      <c r="AN658" s="212"/>
    </row>
    <row r="659" spans="27:40" ht="15" customHeight="1" x14ac:dyDescent="0.35">
      <c r="AA659" s="212"/>
      <c r="AB659" s="212"/>
      <c r="AC659" s="212"/>
      <c r="AD659" s="212"/>
      <c r="AE659" s="212"/>
      <c r="AF659" s="212"/>
      <c r="AG659" s="212"/>
      <c r="AH659" s="212"/>
      <c r="AI659" s="212"/>
      <c r="AK659" s="212"/>
      <c r="AL659" s="212"/>
      <c r="AM659" s="212"/>
      <c r="AN659" s="212"/>
    </row>
    <row r="660" spans="27:40" ht="15" customHeight="1" x14ac:dyDescent="0.35">
      <c r="AA660" s="212"/>
      <c r="AB660" s="212"/>
      <c r="AC660" s="212"/>
      <c r="AD660" s="212"/>
      <c r="AE660" s="212"/>
      <c r="AF660" s="212"/>
      <c r="AG660" s="212"/>
      <c r="AH660" s="212"/>
      <c r="AI660" s="212"/>
      <c r="AK660" s="212"/>
      <c r="AL660" s="212"/>
      <c r="AM660" s="212"/>
      <c r="AN660" s="212"/>
    </row>
    <row r="661" spans="27:40" ht="15" customHeight="1" x14ac:dyDescent="0.35">
      <c r="AA661" s="212"/>
      <c r="AB661" s="212"/>
      <c r="AC661" s="212"/>
      <c r="AD661" s="212"/>
      <c r="AE661" s="212"/>
      <c r="AF661" s="212"/>
      <c r="AG661" s="212"/>
      <c r="AH661" s="212"/>
      <c r="AI661" s="212"/>
      <c r="AK661" s="212"/>
      <c r="AL661" s="212"/>
      <c r="AM661" s="212"/>
      <c r="AN661" s="212"/>
    </row>
    <row r="662" spans="27:40" ht="15" customHeight="1" x14ac:dyDescent="0.35">
      <c r="AA662" s="212"/>
      <c r="AB662" s="212"/>
      <c r="AC662" s="212"/>
      <c r="AD662" s="212"/>
      <c r="AE662" s="212"/>
      <c r="AF662" s="212"/>
      <c r="AG662" s="212"/>
      <c r="AH662" s="212"/>
      <c r="AI662" s="212"/>
      <c r="AK662" s="212"/>
      <c r="AL662" s="212"/>
      <c r="AM662" s="212"/>
      <c r="AN662" s="212"/>
    </row>
    <row r="663" spans="27:40" ht="15" customHeight="1" x14ac:dyDescent="0.35">
      <c r="AA663" s="212"/>
      <c r="AB663" s="212"/>
      <c r="AC663" s="212"/>
      <c r="AD663" s="212"/>
      <c r="AE663" s="212"/>
      <c r="AF663" s="212"/>
      <c r="AG663" s="212"/>
      <c r="AH663" s="212"/>
      <c r="AI663" s="212"/>
      <c r="AK663" s="212"/>
      <c r="AL663" s="212"/>
      <c r="AM663" s="212"/>
      <c r="AN663" s="212"/>
    </row>
    <row r="664" spans="27:40" ht="15" customHeight="1" x14ac:dyDescent="0.35">
      <c r="AA664" s="212"/>
      <c r="AB664" s="212"/>
      <c r="AC664" s="212"/>
      <c r="AD664" s="212"/>
      <c r="AE664" s="212"/>
      <c r="AF664" s="212"/>
      <c r="AG664" s="212"/>
      <c r="AH664" s="212"/>
      <c r="AI664" s="212"/>
      <c r="AK664" s="212"/>
      <c r="AL664" s="212"/>
      <c r="AM664" s="212"/>
      <c r="AN664" s="212"/>
    </row>
    <row r="665" spans="27:40" ht="15" customHeight="1" x14ac:dyDescent="0.35">
      <c r="AA665" s="212"/>
      <c r="AB665" s="212"/>
      <c r="AC665" s="212"/>
      <c r="AD665" s="212"/>
      <c r="AE665" s="212"/>
      <c r="AF665" s="212"/>
      <c r="AG665" s="212"/>
      <c r="AH665" s="212"/>
      <c r="AI665" s="212"/>
      <c r="AK665" s="212"/>
      <c r="AL665" s="212"/>
      <c r="AM665" s="212"/>
      <c r="AN665" s="212"/>
    </row>
    <row r="666" spans="27:40" ht="15" customHeight="1" x14ac:dyDescent="0.35">
      <c r="AA666" s="212"/>
      <c r="AB666" s="212"/>
      <c r="AC666" s="212"/>
      <c r="AD666" s="212"/>
      <c r="AE666" s="212"/>
      <c r="AF666" s="212"/>
      <c r="AG666" s="212"/>
      <c r="AH666" s="212"/>
      <c r="AI666" s="212"/>
      <c r="AK666" s="212"/>
      <c r="AL666" s="212"/>
      <c r="AM666" s="212"/>
      <c r="AN666" s="212"/>
    </row>
    <row r="667" spans="27:40" ht="15" customHeight="1" x14ac:dyDescent="0.35">
      <c r="AA667" s="212"/>
      <c r="AB667" s="212"/>
      <c r="AC667" s="212"/>
      <c r="AD667" s="212"/>
      <c r="AE667" s="212"/>
      <c r="AF667" s="212"/>
      <c r="AG667" s="212"/>
      <c r="AH667" s="212"/>
      <c r="AI667" s="212"/>
      <c r="AK667" s="212"/>
      <c r="AL667" s="212"/>
      <c r="AM667" s="212"/>
      <c r="AN667" s="212"/>
    </row>
    <row r="668" spans="27:40" ht="15" customHeight="1" x14ac:dyDescent="0.35">
      <c r="AA668" s="212"/>
      <c r="AB668" s="212"/>
      <c r="AC668" s="212"/>
      <c r="AD668" s="212"/>
      <c r="AE668" s="212"/>
      <c r="AF668" s="212"/>
      <c r="AG668" s="212"/>
      <c r="AH668" s="212"/>
      <c r="AI668" s="212"/>
      <c r="AK668" s="212"/>
      <c r="AL668" s="212"/>
      <c r="AM668" s="212"/>
      <c r="AN668" s="212"/>
    </row>
    <row r="669" spans="27:40" ht="15" customHeight="1" x14ac:dyDescent="0.35">
      <c r="AA669" s="212"/>
      <c r="AB669" s="212"/>
      <c r="AC669" s="212"/>
      <c r="AD669" s="212"/>
      <c r="AE669" s="212"/>
      <c r="AF669" s="212"/>
      <c r="AG669" s="212"/>
      <c r="AH669" s="212"/>
      <c r="AI669" s="212"/>
      <c r="AK669" s="212"/>
      <c r="AL669" s="212"/>
      <c r="AM669" s="212"/>
      <c r="AN669" s="212"/>
    </row>
    <row r="670" spans="27:40" ht="15" customHeight="1" x14ac:dyDescent="0.35">
      <c r="AA670" s="212"/>
      <c r="AB670" s="212"/>
      <c r="AC670" s="212"/>
      <c r="AD670" s="212"/>
      <c r="AE670" s="212"/>
      <c r="AF670" s="212"/>
      <c r="AG670" s="212"/>
      <c r="AH670" s="212"/>
      <c r="AI670" s="212"/>
      <c r="AK670" s="212"/>
      <c r="AL670" s="212"/>
      <c r="AM670" s="212"/>
      <c r="AN670" s="212"/>
    </row>
    <row r="671" spans="27:40" ht="15" customHeight="1" x14ac:dyDescent="0.35">
      <c r="AA671" s="212"/>
      <c r="AB671" s="212"/>
      <c r="AC671" s="212"/>
      <c r="AD671" s="212"/>
      <c r="AE671" s="212"/>
      <c r="AF671" s="212"/>
      <c r="AG671" s="212"/>
      <c r="AH671" s="212"/>
      <c r="AI671" s="212"/>
      <c r="AK671" s="212"/>
      <c r="AL671" s="212"/>
      <c r="AM671" s="212"/>
      <c r="AN671" s="212"/>
    </row>
    <row r="672" spans="27:40" ht="15" customHeight="1" x14ac:dyDescent="0.35">
      <c r="AA672" s="212"/>
      <c r="AB672" s="212"/>
      <c r="AC672" s="212"/>
      <c r="AD672" s="212"/>
      <c r="AE672" s="212"/>
      <c r="AF672" s="212"/>
      <c r="AG672" s="212"/>
      <c r="AH672" s="212"/>
      <c r="AI672" s="212"/>
      <c r="AK672" s="212"/>
      <c r="AL672" s="212"/>
      <c r="AM672" s="212"/>
      <c r="AN672" s="212"/>
    </row>
    <row r="673" spans="27:40" ht="15" customHeight="1" x14ac:dyDescent="0.35">
      <c r="AA673" s="212"/>
      <c r="AB673" s="212"/>
      <c r="AC673" s="212"/>
      <c r="AD673" s="212"/>
      <c r="AE673" s="212"/>
      <c r="AF673" s="212"/>
      <c r="AG673" s="212"/>
      <c r="AH673" s="212"/>
      <c r="AI673" s="212"/>
      <c r="AK673" s="212"/>
      <c r="AL673" s="212"/>
      <c r="AM673" s="212"/>
      <c r="AN673" s="212"/>
    </row>
    <row r="674" spans="27:40" ht="15" customHeight="1" x14ac:dyDescent="0.35">
      <c r="AA674" s="212"/>
      <c r="AB674" s="212"/>
      <c r="AC674" s="212"/>
      <c r="AD674" s="212"/>
      <c r="AE674" s="212"/>
      <c r="AF674" s="212"/>
      <c r="AG674" s="212"/>
      <c r="AH674" s="212"/>
      <c r="AI674" s="212"/>
      <c r="AK674" s="212"/>
      <c r="AL674" s="212"/>
      <c r="AM674" s="212"/>
      <c r="AN674" s="212"/>
    </row>
    <row r="675" spans="27:40" ht="15" customHeight="1" x14ac:dyDescent="0.35">
      <c r="AA675" s="212"/>
      <c r="AB675" s="212"/>
      <c r="AC675" s="212"/>
      <c r="AD675" s="212"/>
      <c r="AE675" s="212"/>
      <c r="AF675" s="212"/>
      <c r="AG675" s="212"/>
      <c r="AH675" s="212"/>
      <c r="AI675" s="212"/>
      <c r="AK675" s="212"/>
      <c r="AL675" s="212"/>
      <c r="AM675" s="212"/>
      <c r="AN675" s="212"/>
    </row>
    <row r="676" spans="27:40" ht="15" customHeight="1" x14ac:dyDescent="0.35">
      <c r="AA676" s="212"/>
      <c r="AB676" s="212"/>
      <c r="AC676" s="212"/>
      <c r="AD676" s="212"/>
      <c r="AE676" s="212"/>
      <c r="AF676" s="212"/>
      <c r="AG676" s="212"/>
      <c r="AH676" s="212"/>
      <c r="AI676" s="212"/>
      <c r="AK676" s="212"/>
      <c r="AL676" s="212"/>
      <c r="AM676" s="212"/>
      <c r="AN676" s="212"/>
    </row>
    <row r="677" spans="27:40" ht="15" customHeight="1" x14ac:dyDescent="0.35">
      <c r="AA677" s="212"/>
      <c r="AB677" s="212"/>
      <c r="AC677" s="212"/>
      <c r="AD677" s="212"/>
      <c r="AE677" s="212"/>
      <c r="AF677" s="212"/>
      <c r="AG677" s="212"/>
      <c r="AH677" s="212"/>
      <c r="AI677" s="212"/>
      <c r="AK677" s="212"/>
      <c r="AL677" s="212"/>
      <c r="AM677" s="212"/>
      <c r="AN677" s="212"/>
    </row>
    <row r="678" spans="27:40" ht="15" customHeight="1" x14ac:dyDescent="0.35">
      <c r="AA678" s="212"/>
      <c r="AB678" s="212"/>
      <c r="AC678" s="212"/>
      <c r="AD678" s="212"/>
      <c r="AE678" s="212"/>
      <c r="AF678" s="212"/>
      <c r="AG678" s="212"/>
      <c r="AH678" s="212"/>
      <c r="AI678" s="212"/>
      <c r="AK678" s="212"/>
      <c r="AL678" s="212"/>
      <c r="AM678" s="212"/>
      <c r="AN678" s="212"/>
    </row>
    <row r="679" spans="27:40" ht="15" customHeight="1" x14ac:dyDescent="0.35">
      <c r="AA679" s="212"/>
      <c r="AB679" s="212"/>
      <c r="AC679" s="212"/>
      <c r="AD679" s="212"/>
      <c r="AE679" s="212"/>
      <c r="AF679" s="212"/>
      <c r="AG679" s="212"/>
      <c r="AH679" s="212"/>
      <c r="AI679" s="212"/>
      <c r="AK679" s="212"/>
      <c r="AL679" s="212"/>
      <c r="AM679" s="212"/>
      <c r="AN679" s="212"/>
    </row>
    <row r="680" spans="27:40" ht="15" customHeight="1" x14ac:dyDescent="0.35">
      <c r="AA680" s="212"/>
      <c r="AB680" s="212"/>
      <c r="AC680" s="212"/>
      <c r="AD680" s="212"/>
      <c r="AE680" s="212"/>
      <c r="AF680" s="212"/>
      <c r="AG680" s="212"/>
      <c r="AH680" s="212"/>
      <c r="AI680" s="212"/>
      <c r="AK680" s="212"/>
      <c r="AL680" s="212"/>
      <c r="AM680" s="212"/>
      <c r="AN680" s="212"/>
    </row>
    <row r="681" spans="27:40" ht="15" customHeight="1" x14ac:dyDescent="0.35">
      <c r="AA681" s="212"/>
      <c r="AB681" s="212"/>
      <c r="AC681" s="212"/>
      <c r="AD681" s="212"/>
      <c r="AE681" s="212"/>
      <c r="AF681" s="212"/>
      <c r="AG681" s="212"/>
      <c r="AH681" s="212"/>
      <c r="AI681" s="212"/>
      <c r="AK681" s="212"/>
      <c r="AL681" s="212"/>
      <c r="AM681" s="212"/>
      <c r="AN681" s="212"/>
    </row>
    <row r="682" spans="27:40" ht="15" customHeight="1" x14ac:dyDescent="0.35">
      <c r="AA682" s="212"/>
      <c r="AB682" s="212"/>
      <c r="AC682" s="212"/>
      <c r="AD682" s="212"/>
      <c r="AE682" s="212"/>
      <c r="AF682" s="212"/>
      <c r="AG682" s="212"/>
      <c r="AH682" s="212"/>
      <c r="AI682" s="212"/>
      <c r="AK682" s="212"/>
      <c r="AL682" s="212"/>
      <c r="AM682" s="212"/>
      <c r="AN682" s="212"/>
    </row>
    <row r="683" spans="27:40" ht="15" customHeight="1" x14ac:dyDescent="0.35">
      <c r="AA683" s="212"/>
      <c r="AB683" s="212"/>
      <c r="AC683" s="212"/>
      <c r="AD683" s="212"/>
      <c r="AE683" s="212"/>
      <c r="AF683" s="212"/>
      <c r="AG683" s="212"/>
      <c r="AH683" s="212"/>
      <c r="AI683" s="212"/>
      <c r="AK683" s="212"/>
      <c r="AL683" s="212"/>
      <c r="AM683" s="212"/>
      <c r="AN683" s="212"/>
    </row>
    <row r="684" spans="27:40" ht="15" customHeight="1" x14ac:dyDescent="0.35">
      <c r="AA684" s="212"/>
      <c r="AB684" s="212"/>
      <c r="AC684" s="212"/>
      <c r="AD684" s="212"/>
      <c r="AE684" s="212"/>
      <c r="AF684" s="212"/>
      <c r="AG684" s="212"/>
      <c r="AH684" s="212"/>
      <c r="AI684" s="212"/>
      <c r="AK684" s="212"/>
      <c r="AL684" s="212"/>
      <c r="AM684" s="212"/>
      <c r="AN684" s="212"/>
    </row>
    <row r="685" spans="27:40" ht="15" customHeight="1" x14ac:dyDescent="0.35">
      <c r="AA685" s="212"/>
      <c r="AB685" s="212"/>
      <c r="AC685" s="212"/>
      <c r="AD685" s="212"/>
      <c r="AE685" s="212"/>
      <c r="AF685" s="212"/>
      <c r="AG685" s="212"/>
      <c r="AH685" s="212"/>
      <c r="AI685" s="212"/>
      <c r="AK685" s="212"/>
      <c r="AL685" s="212"/>
      <c r="AM685" s="212"/>
      <c r="AN685" s="212"/>
    </row>
    <row r="686" spans="27:40" ht="15" customHeight="1" x14ac:dyDescent="0.35">
      <c r="AA686" s="212"/>
      <c r="AB686" s="212"/>
      <c r="AC686" s="212"/>
      <c r="AD686" s="212"/>
      <c r="AE686" s="212"/>
      <c r="AF686" s="212"/>
      <c r="AG686" s="212"/>
      <c r="AH686" s="212"/>
      <c r="AI686" s="212"/>
      <c r="AK686" s="212"/>
      <c r="AL686" s="212"/>
      <c r="AM686" s="212"/>
      <c r="AN686" s="212"/>
    </row>
    <row r="687" spans="27:40" ht="15" customHeight="1" x14ac:dyDescent="0.35">
      <c r="AA687" s="212"/>
      <c r="AB687" s="212"/>
      <c r="AC687" s="212"/>
      <c r="AD687" s="212"/>
      <c r="AE687" s="212"/>
      <c r="AF687" s="212"/>
      <c r="AG687" s="212"/>
      <c r="AH687" s="212"/>
      <c r="AI687" s="212"/>
      <c r="AK687" s="212"/>
      <c r="AL687" s="212"/>
      <c r="AM687" s="212"/>
      <c r="AN687" s="212"/>
    </row>
    <row r="688" spans="27:40" ht="15" customHeight="1" x14ac:dyDescent="0.35">
      <c r="AA688" s="212"/>
      <c r="AB688" s="212"/>
      <c r="AC688" s="212"/>
      <c r="AD688" s="212"/>
      <c r="AE688" s="212"/>
      <c r="AF688" s="212"/>
      <c r="AG688" s="212"/>
      <c r="AH688" s="212"/>
      <c r="AI688" s="212"/>
      <c r="AK688" s="212"/>
      <c r="AL688" s="212"/>
      <c r="AM688" s="212"/>
      <c r="AN688" s="212"/>
    </row>
    <row r="689" spans="27:40" ht="15" customHeight="1" x14ac:dyDescent="0.35">
      <c r="AA689" s="212"/>
      <c r="AB689" s="212"/>
      <c r="AC689" s="212"/>
      <c r="AD689" s="212"/>
      <c r="AE689" s="212"/>
      <c r="AF689" s="212"/>
      <c r="AG689" s="212"/>
      <c r="AH689" s="212"/>
      <c r="AI689" s="212"/>
      <c r="AK689" s="212"/>
      <c r="AL689" s="212"/>
      <c r="AM689" s="212"/>
      <c r="AN689" s="212"/>
    </row>
    <row r="690" spans="27:40" ht="15" customHeight="1" x14ac:dyDescent="0.35">
      <c r="AA690" s="212"/>
      <c r="AB690" s="212"/>
      <c r="AC690" s="212"/>
      <c r="AD690" s="212"/>
      <c r="AE690" s="212"/>
      <c r="AF690" s="212"/>
      <c r="AG690" s="212"/>
      <c r="AH690" s="212"/>
      <c r="AI690" s="212"/>
      <c r="AK690" s="212"/>
      <c r="AL690" s="212"/>
      <c r="AM690" s="212"/>
      <c r="AN690" s="212"/>
    </row>
    <row r="691" spans="27:40" ht="15" customHeight="1" x14ac:dyDescent="0.35">
      <c r="AA691" s="212"/>
      <c r="AB691" s="212"/>
      <c r="AC691" s="212"/>
      <c r="AD691" s="212"/>
      <c r="AE691" s="212"/>
      <c r="AF691" s="212"/>
      <c r="AG691" s="212"/>
      <c r="AH691" s="212"/>
      <c r="AI691" s="212"/>
      <c r="AK691" s="212"/>
      <c r="AL691" s="212"/>
      <c r="AM691" s="212"/>
      <c r="AN691" s="212"/>
    </row>
    <row r="692" spans="27:40" ht="15" customHeight="1" x14ac:dyDescent="0.35">
      <c r="AA692" s="212"/>
      <c r="AB692" s="212"/>
      <c r="AC692" s="212"/>
      <c r="AD692" s="212"/>
      <c r="AE692" s="212"/>
      <c r="AF692" s="212"/>
      <c r="AG692" s="212"/>
      <c r="AH692" s="212"/>
      <c r="AI692" s="212"/>
      <c r="AK692" s="212"/>
      <c r="AL692" s="212"/>
      <c r="AM692" s="212"/>
      <c r="AN692" s="212"/>
    </row>
    <row r="693" spans="27:40" ht="15" customHeight="1" x14ac:dyDescent="0.35">
      <c r="AA693" s="212"/>
      <c r="AB693" s="212"/>
      <c r="AC693" s="212"/>
      <c r="AD693" s="212"/>
      <c r="AE693" s="212"/>
      <c r="AF693" s="212"/>
      <c r="AG693" s="212"/>
      <c r="AH693" s="212"/>
      <c r="AI693" s="212"/>
      <c r="AK693" s="212"/>
      <c r="AL693" s="212"/>
      <c r="AM693" s="212"/>
      <c r="AN693" s="212"/>
    </row>
    <row r="694" spans="27:40" ht="15" customHeight="1" x14ac:dyDescent="0.35">
      <c r="AA694" s="212"/>
      <c r="AB694" s="212"/>
      <c r="AC694" s="212"/>
      <c r="AD694" s="212"/>
      <c r="AE694" s="212"/>
      <c r="AF694" s="212"/>
      <c r="AG694" s="212"/>
      <c r="AH694" s="212"/>
      <c r="AI694" s="212"/>
      <c r="AK694" s="212"/>
      <c r="AL694" s="212"/>
      <c r="AM694" s="212"/>
      <c r="AN694" s="212"/>
    </row>
    <row r="695" spans="27:40" ht="15" customHeight="1" x14ac:dyDescent="0.35">
      <c r="AA695" s="212"/>
      <c r="AB695" s="212"/>
      <c r="AC695" s="212"/>
      <c r="AD695" s="212"/>
      <c r="AE695" s="212"/>
      <c r="AF695" s="212"/>
      <c r="AG695" s="212"/>
      <c r="AH695" s="212"/>
      <c r="AI695" s="212"/>
      <c r="AK695" s="212"/>
      <c r="AL695" s="212"/>
      <c r="AM695" s="212"/>
      <c r="AN695" s="212"/>
    </row>
    <row r="696" spans="27:40" ht="15" customHeight="1" x14ac:dyDescent="0.35">
      <c r="AA696" s="212"/>
      <c r="AB696" s="212"/>
      <c r="AC696" s="212"/>
      <c r="AD696" s="212"/>
      <c r="AE696" s="212"/>
      <c r="AF696" s="212"/>
      <c r="AG696" s="212"/>
      <c r="AH696" s="212"/>
      <c r="AI696" s="212"/>
      <c r="AK696" s="212"/>
      <c r="AL696" s="212"/>
      <c r="AM696" s="212"/>
      <c r="AN696" s="212"/>
    </row>
    <row r="697" spans="27:40" ht="15" customHeight="1" x14ac:dyDescent="0.35">
      <c r="AA697" s="212"/>
      <c r="AB697" s="212"/>
      <c r="AC697" s="212"/>
      <c r="AD697" s="212"/>
      <c r="AE697" s="212"/>
      <c r="AF697" s="212"/>
      <c r="AG697" s="212"/>
      <c r="AH697" s="212"/>
      <c r="AI697" s="212"/>
      <c r="AK697" s="212"/>
      <c r="AL697" s="212"/>
      <c r="AM697" s="212"/>
      <c r="AN697" s="212"/>
    </row>
    <row r="698" spans="27:40" ht="15" customHeight="1" x14ac:dyDescent="0.35">
      <c r="AA698" s="212"/>
      <c r="AB698" s="212"/>
      <c r="AC698" s="212"/>
      <c r="AD698" s="212"/>
      <c r="AE698" s="212"/>
      <c r="AF698" s="212"/>
      <c r="AG698" s="212"/>
      <c r="AH698" s="212"/>
      <c r="AI698" s="212"/>
      <c r="AK698" s="212"/>
      <c r="AL698" s="212"/>
      <c r="AM698" s="212"/>
      <c r="AN698" s="212"/>
    </row>
    <row r="699" spans="27:40" ht="15" customHeight="1" x14ac:dyDescent="0.35">
      <c r="AA699" s="212"/>
      <c r="AB699" s="212"/>
      <c r="AC699" s="212"/>
      <c r="AD699" s="212"/>
      <c r="AE699" s="212"/>
      <c r="AF699" s="212"/>
      <c r="AG699" s="212"/>
      <c r="AH699" s="212"/>
      <c r="AI699" s="212"/>
      <c r="AK699" s="212"/>
      <c r="AL699" s="212"/>
      <c r="AM699" s="212"/>
      <c r="AN699" s="212"/>
    </row>
    <row r="700" spans="27:40" ht="15" customHeight="1" x14ac:dyDescent="0.35">
      <c r="AA700" s="212"/>
      <c r="AB700" s="212"/>
      <c r="AC700" s="212"/>
      <c r="AD700" s="212"/>
      <c r="AE700" s="212"/>
      <c r="AF700" s="212"/>
      <c r="AG700" s="212"/>
      <c r="AH700" s="212"/>
      <c r="AI700" s="212"/>
      <c r="AK700" s="212"/>
      <c r="AL700" s="212"/>
      <c r="AM700" s="212"/>
      <c r="AN700" s="212"/>
    </row>
    <row r="701" spans="27:40" ht="15" customHeight="1" x14ac:dyDescent="0.35">
      <c r="AA701" s="212"/>
      <c r="AB701" s="212"/>
      <c r="AC701" s="212"/>
      <c r="AD701" s="212"/>
      <c r="AE701" s="212"/>
      <c r="AF701" s="212"/>
      <c r="AG701" s="212"/>
      <c r="AH701" s="212"/>
      <c r="AI701" s="212"/>
      <c r="AK701" s="212"/>
      <c r="AL701" s="212"/>
      <c r="AM701" s="212"/>
      <c r="AN701" s="212"/>
    </row>
    <row r="702" spans="27:40" ht="15" customHeight="1" x14ac:dyDescent="0.35">
      <c r="AA702" s="212"/>
      <c r="AB702" s="212"/>
      <c r="AC702" s="212"/>
      <c r="AD702" s="212"/>
      <c r="AE702" s="212"/>
      <c r="AF702" s="212"/>
      <c r="AG702" s="212"/>
      <c r="AH702" s="212"/>
      <c r="AI702" s="212"/>
      <c r="AK702" s="212"/>
      <c r="AL702" s="212"/>
      <c r="AM702" s="212"/>
      <c r="AN702" s="212"/>
    </row>
    <row r="703" spans="27:40" ht="15" customHeight="1" x14ac:dyDescent="0.35">
      <c r="AA703" s="212"/>
      <c r="AB703" s="212"/>
      <c r="AC703" s="212"/>
      <c r="AD703" s="212"/>
      <c r="AE703" s="212"/>
      <c r="AF703" s="212"/>
      <c r="AG703" s="212"/>
      <c r="AH703" s="212"/>
      <c r="AI703" s="212"/>
      <c r="AK703" s="212"/>
      <c r="AL703" s="212"/>
      <c r="AM703" s="212"/>
      <c r="AN703" s="212"/>
    </row>
    <row r="704" spans="27:40" ht="15" customHeight="1" x14ac:dyDescent="0.35">
      <c r="AA704" s="212"/>
      <c r="AB704" s="212"/>
      <c r="AC704" s="212"/>
      <c r="AD704" s="212"/>
      <c r="AE704" s="212"/>
      <c r="AF704" s="212"/>
      <c r="AG704" s="212"/>
      <c r="AH704" s="212"/>
      <c r="AI704" s="212"/>
      <c r="AK704" s="212"/>
      <c r="AL704" s="212"/>
      <c r="AM704" s="212"/>
      <c r="AN704" s="212"/>
    </row>
    <row r="705" spans="27:40" ht="15" customHeight="1" x14ac:dyDescent="0.35">
      <c r="AA705" s="212"/>
      <c r="AB705" s="212"/>
      <c r="AC705" s="212"/>
      <c r="AD705" s="212"/>
      <c r="AE705" s="212"/>
      <c r="AF705" s="212"/>
      <c r="AG705" s="212"/>
      <c r="AH705" s="212"/>
      <c r="AI705" s="212"/>
      <c r="AK705" s="212"/>
      <c r="AL705" s="212"/>
      <c r="AM705" s="212"/>
      <c r="AN705" s="212"/>
    </row>
    <row r="706" spans="27:40" ht="15" customHeight="1" x14ac:dyDescent="0.35">
      <c r="AA706" s="212"/>
      <c r="AB706" s="212"/>
      <c r="AC706" s="212"/>
      <c r="AD706" s="212"/>
      <c r="AE706" s="212"/>
      <c r="AF706" s="212"/>
      <c r="AG706" s="212"/>
      <c r="AH706" s="212"/>
      <c r="AI706" s="212"/>
      <c r="AK706" s="212"/>
      <c r="AL706" s="212"/>
      <c r="AM706" s="212"/>
      <c r="AN706" s="212"/>
    </row>
    <row r="707" spans="27:40" ht="15" customHeight="1" x14ac:dyDescent="0.35">
      <c r="AA707" s="212"/>
      <c r="AB707" s="212"/>
      <c r="AC707" s="212"/>
      <c r="AD707" s="212"/>
      <c r="AE707" s="212"/>
      <c r="AF707" s="212"/>
      <c r="AG707" s="212"/>
      <c r="AH707" s="212"/>
      <c r="AI707" s="212"/>
      <c r="AK707" s="212"/>
      <c r="AL707" s="212"/>
      <c r="AM707" s="212"/>
      <c r="AN707" s="212"/>
    </row>
    <row r="708" spans="27:40" ht="15" customHeight="1" x14ac:dyDescent="0.35">
      <c r="AA708" s="212"/>
      <c r="AB708" s="212"/>
      <c r="AC708" s="212"/>
      <c r="AD708" s="212"/>
      <c r="AE708" s="212"/>
      <c r="AF708" s="212"/>
      <c r="AG708" s="212"/>
      <c r="AH708" s="212"/>
      <c r="AI708" s="212"/>
      <c r="AK708" s="212"/>
      <c r="AL708" s="212"/>
      <c r="AM708" s="212"/>
      <c r="AN708" s="212"/>
    </row>
    <row r="709" spans="27:40" ht="15" customHeight="1" x14ac:dyDescent="0.35">
      <c r="AA709" s="212"/>
      <c r="AB709" s="212"/>
      <c r="AC709" s="212"/>
      <c r="AD709" s="212"/>
      <c r="AE709" s="212"/>
      <c r="AF709" s="212"/>
      <c r="AG709" s="212"/>
      <c r="AH709" s="212"/>
      <c r="AI709" s="212"/>
      <c r="AK709" s="212"/>
      <c r="AL709" s="212"/>
      <c r="AM709" s="212"/>
      <c r="AN709" s="212"/>
    </row>
    <row r="710" spans="27:40" ht="15" customHeight="1" x14ac:dyDescent="0.35">
      <c r="AA710" s="212"/>
      <c r="AB710" s="212"/>
      <c r="AC710" s="212"/>
      <c r="AD710" s="212"/>
      <c r="AE710" s="212"/>
      <c r="AF710" s="212"/>
      <c r="AG710" s="212"/>
      <c r="AH710" s="212"/>
      <c r="AI710" s="212"/>
      <c r="AK710" s="212"/>
      <c r="AL710" s="212"/>
      <c r="AM710" s="212"/>
      <c r="AN710" s="212"/>
    </row>
    <row r="711" spans="27:40" ht="15" customHeight="1" x14ac:dyDescent="0.35">
      <c r="AA711" s="212"/>
      <c r="AB711" s="212"/>
      <c r="AC711" s="212"/>
      <c r="AD711" s="212"/>
      <c r="AE711" s="212"/>
      <c r="AF711" s="212"/>
      <c r="AG711" s="212"/>
      <c r="AH711" s="212"/>
      <c r="AI711" s="212"/>
      <c r="AK711" s="212"/>
      <c r="AL711" s="212"/>
      <c r="AM711" s="212"/>
      <c r="AN711" s="212"/>
    </row>
    <row r="712" spans="27:40" ht="15" customHeight="1" x14ac:dyDescent="0.35">
      <c r="AA712" s="212"/>
      <c r="AB712" s="212"/>
      <c r="AC712" s="212"/>
      <c r="AD712" s="212"/>
      <c r="AE712" s="212"/>
      <c r="AF712" s="212"/>
      <c r="AG712" s="212"/>
      <c r="AH712" s="212"/>
      <c r="AI712" s="212"/>
      <c r="AK712" s="212"/>
      <c r="AL712" s="212"/>
      <c r="AM712" s="212"/>
      <c r="AN712" s="212"/>
    </row>
    <row r="713" spans="27:40" ht="15" customHeight="1" x14ac:dyDescent="0.35">
      <c r="AA713" s="212"/>
      <c r="AB713" s="212"/>
      <c r="AC713" s="212"/>
      <c r="AD713" s="212"/>
      <c r="AE713" s="212"/>
      <c r="AF713" s="212"/>
      <c r="AG713" s="212"/>
      <c r="AH713" s="212"/>
      <c r="AI713" s="212"/>
      <c r="AK713" s="212"/>
      <c r="AL713" s="212"/>
      <c r="AM713" s="212"/>
      <c r="AN713" s="212"/>
    </row>
    <row r="714" spans="27:40" ht="15" customHeight="1" x14ac:dyDescent="0.35">
      <c r="AA714" s="212"/>
      <c r="AB714" s="212"/>
      <c r="AC714" s="212"/>
      <c r="AD714" s="212"/>
      <c r="AE714" s="212"/>
      <c r="AF714" s="212"/>
      <c r="AG714" s="212"/>
      <c r="AH714" s="212"/>
      <c r="AI714" s="212"/>
      <c r="AK714" s="212"/>
      <c r="AL714" s="212"/>
      <c r="AM714" s="212"/>
      <c r="AN714" s="212"/>
    </row>
    <row r="715" spans="27:40" ht="15" customHeight="1" x14ac:dyDescent="0.35">
      <c r="AA715" s="212"/>
      <c r="AB715" s="212"/>
      <c r="AC715" s="212"/>
      <c r="AD715" s="212"/>
      <c r="AE715" s="212"/>
      <c r="AF715" s="212"/>
      <c r="AG715" s="212"/>
      <c r="AH715" s="212"/>
      <c r="AI715" s="212"/>
      <c r="AK715" s="212"/>
      <c r="AL715" s="212"/>
      <c r="AM715" s="212"/>
      <c r="AN715" s="212"/>
    </row>
    <row r="716" spans="27:40" ht="15" customHeight="1" x14ac:dyDescent="0.35">
      <c r="AA716" s="212"/>
      <c r="AB716" s="212"/>
      <c r="AC716" s="212"/>
      <c r="AD716" s="212"/>
      <c r="AE716" s="212"/>
      <c r="AF716" s="212"/>
      <c r="AG716" s="212"/>
      <c r="AH716" s="212"/>
      <c r="AI716" s="212"/>
      <c r="AK716" s="212"/>
      <c r="AL716" s="212"/>
      <c r="AM716" s="212"/>
      <c r="AN716" s="212"/>
    </row>
    <row r="717" spans="27:40" ht="15" customHeight="1" x14ac:dyDescent="0.35">
      <c r="AA717" s="212"/>
      <c r="AB717" s="212"/>
      <c r="AC717" s="212"/>
      <c r="AD717" s="212"/>
      <c r="AE717" s="212"/>
      <c r="AF717" s="212"/>
      <c r="AG717" s="212"/>
      <c r="AH717" s="212"/>
      <c r="AI717" s="212"/>
      <c r="AK717" s="212"/>
      <c r="AL717" s="212"/>
      <c r="AM717" s="212"/>
      <c r="AN717" s="212"/>
    </row>
    <row r="718" spans="27:40" ht="15" customHeight="1" x14ac:dyDescent="0.35">
      <c r="AA718" s="212"/>
      <c r="AB718" s="212"/>
      <c r="AC718" s="212"/>
      <c r="AD718" s="212"/>
      <c r="AE718" s="212"/>
      <c r="AF718" s="212"/>
      <c r="AG718" s="212"/>
      <c r="AH718" s="212"/>
      <c r="AI718" s="212"/>
      <c r="AK718" s="212"/>
      <c r="AL718" s="212"/>
      <c r="AM718" s="212"/>
      <c r="AN718" s="212"/>
    </row>
    <row r="719" spans="27:40" ht="15" customHeight="1" x14ac:dyDescent="0.35">
      <c r="AA719" s="212"/>
      <c r="AB719" s="212"/>
      <c r="AC719" s="212"/>
      <c r="AD719" s="212"/>
      <c r="AE719" s="212"/>
      <c r="AF719" s="212"/>
      <c r="AG719" s="212"/>
      <c r="AH719" s="212"/>
      <c r="AI719" s="212"/>
      <c r="AK719" s="212"/>
      <c r="AL719" s="212"/>
      <c r="AM719" s="212"/>
      <c r="AN719" s="212"/>
    </row>
    <row r="720" spans="27:40" ht="15" customHeight="1" x14ac:dyDescent="0.35">
      <c r="AA720" s="212"/>
      <c r="AB720" s="212"/>
      <c r="AC720" s="212"/>
      <c r="AD720" s="212"/>
      <c r="AE720" s="212"/>
      <c r="AF720" s="212"/>
      <c r="AG720" s="212"/>
      <c r="AH720" s="212"/>
      <c r="AI720" s="212"/>
      <c r="AK720" s="212"/>
      <c r="AL720" s="212"/>
      <c r="AM720" s="212"/>
      <c r="AN720" s="212"/>
    </row>
    <row r="721" spans="27:40" ht="15" customHeight="1" x14ac:dyDescent="0.35">
      <c r="AA721" s="212"/>
      <c r="AB721" s="212"/>
      <c r="AC721" s="212"/>
      <c r="AD721" s="212"/>
      <c r="AE721" s="212"/>
      <c r="AF721" s="212"/>
      <c r="AG721" s="212"/>
      <c r="AH721" s="212"/>
      <c r="AI721" s="212"/>
      <c r="AK721" s="212"/>
      <c r="AL721" s="212"/>
      <c r="AM721" s="212"/>
      <c r="AN721" s="212"/>
    </row>
    <row r="722" spans="27:40" ht="15" customHeight="1" x14ac:dyDescent="0.35">
      <c r="AA722" s="212"/>
      <c r="AB722" s="212"/>
      <c r="AC722" s="212"/>
      <c r="AD722" s="212"/>
      <c r="AE722" s="212"/>
      <c r="AF722" s="212"/>
      <c r="AG722" s="212"/>
      <c r="AH722" s="212"/>
      <c r="AI722" s="212"/>
      <c r="AK722" s="212"/>
      <c r="AL722" s="212"/>
      <c r="AM722" s="212"/>
      <c r="AN722" s="212"/>
    </row>
    <row r="723" spans="27:40" ht="15" customHeight="1" x14ac:dyDescent="0.35">
      <c r="AA723" s="212"/>
      <c r="AB723" s="212"/>
      <c r="AC723" s="212"/>
      <c r="AD723" s="212"/>
      <c r="AE723" s="212"/>
      <c r="AF723" s="212"/>
      <c r="AG723" s="212"/>
      <c r="AH723" s="212"/>
      <c r="AI723" s="212"/>
      <c r="AK723" s="212"/>
      <c r="AL723" s="212"/>
      <c r="AM723" s="212"/>
      <c r="AN723" s="212"/>
    </row>
    <row r="724" spans="27:40" ht="15" customHeight="1" x14ac:dyDescent="0.35">
      <c r="AA724" s="212"/>
      <c r="AB724" s="212"/>
      <c r="AC724" s="212"/>
      <c r="AD724" s="212"/>
      <c r="AE724" s="212"/>
      <c r="AF724" s="212"/>
      <c r="AG724" s="212"/>
      <c r="AH724" s="212"/>
      <c r="AI724" s="212"/>
      <c r="AK724" s="212"/>
      <c r="AL724" s="212"/>
      <c r="AM724" s="212"/>
      <c r="AN724" s="212"/>
    </row>
    <row r="725" spans="27:40" ht="15" customHeight="1" x14ac:dyDescent="0.35">
      <c r="AA725" s="212"/>
      <c r="AB725" s="212"/>
      <c r="AC725" s="212"/>
      <c r="AD725" s="212"/>
      <c r="AE725" s="212"/>
      <c r="AF725" s="212"/>
      <c r="AG725" s="212"/>
      <c r="AH725" s="212"/>
      <c r="AI725" s="212"/>
      <c r="AK725" s="212"/>
      <c r="AL725" s="212"/>
      <c r="AM725" s="212"/>
      <c r="AN725" s="212"/>
    </row>
    <row r="726" spans="27:40" ht="15" customHeight="1" x14ac:dyDescent="0.35">
      <c r="AA726" s="212"/>
      <c r="AB726" s="212"/>
      <c r="AC726" s="212"/>
      <c r="AD726" s="212"/>
      <c r="AE726" s="212"/>
      <c r="AF726" s="212"/>
      <c r="AG726" s="212"/>
      <c r="AH726" s="212"/>
      <c r="AI726" s="212"/>
      <c r="AK726" s="212"/>
      <c r="AL726" s="212"/>
      <c r="AM726" s="212"/>
      <c r="AN726" s="212"/>
    </row>
    <row r="727" spans="27:40" ht="15" customHeight="1" x14ac:dyDescent="0.35">
      <c r="AA727" s="212"/>
      <c r="AB727" s="212"/>
      <c r="AC727" s="212"/>
      <c r="AD727" s="212"/>
      <c r="AE727" s="212"/>
      <c r="AF727" s="212"/>
      <c r="AG727" s="212"/>
      <c r="AH727" s="212"/>
      <c r="AI727" s="212"/>
      <c r="AK727" s="212"/>
      <c r="AL727" s="212"/>
      <c r="AM727" s="212"/>
      <c r="AN727" s="212"/>
    </row>
    <row r="728" spans="27:40" ht="15" customHeight="1" x14ac:dyDescent="0.35">
      <c r="AA728" s="212"/>
      <c r="AB728" s="212"/>
      <c r="AC728" s="212"/>
      <c r="AD728" s="212"/>
      <c r="AE728" s="212"/>
      <c r="AF728" s="212"/>
      <c r="AG728" s="212"/>
      <c r="AH728" s="212"/>
      <c r="AI728" s="212"/>
      <c r="AK728" s="212"/>
      <c r="AL728" s="212"/>
      <c r="AM728" s="212"/>
      <c r="AN728" s="212"/>
    </row>
    <row r="729" spans="27:40" ht="15" customHeight="1" x14ac:dyDescent="0.35">
      <c r="AA729" s="212"/>
      <c r="AB729" s="212"/>
      <c r="AC729" s="212"/>
      <c r="AD729" s="212"/>
      <c r="AE729" s="212"/>
      <c r="AF729" s="212"/>
      <c r="AG729" s="212"/>
      <c r="AH729" s="212"/>
      <c r="AI729" s="212"/>
      <c r="AK729" s="212"/>
      <c r="AL729" s="212"/>
      <c r="AM729" s="212"/>
      <c r="AN729" s="212"/>
    </row>
    <row r="730" spans="27:40" ht="15" customHeight="1" x14ac:dyDescent="0.35">
      <c r="AA730" s="212"/>
      <c r="AB730" s="212"/>
      <c r="AC730" s="212"/>
      <c r="AD730" s="212"/>
      <c r="AE730" s="212"/>
      <c r="AF730" s="212"/>
      <c r="AG730" s="212"/>
      <c r="AH730" s="212"/>
      <c r="AI730" s="212"/>
      <c r="AK730" s="212"/>
      <c r="AL730" s="212"/>
      <c r="AM730" s="212"/>
      <c r="AN730" s="212"/>
    </row>
    <row r="731" spans="27:40" ht="15" customHeight="1" x14ac:dyDescent="0.35">
      <c r="AA731" s="212"/>
      <c r="AB731" s="212"/>
      <c r="AC731" s="212"/>
      <c r="AD731" s="212"/>
      <c r="AE731" s="212"/>
      <c r="AF731" s="212"/>
      <c r="AG731" s="212"/>
      <c r="AH731" s="212"/>
      <c r="AI731" s="212"/>
      <c r="AK731" s="212"/>
      <c r="AL731" s="212"/>
      <c r="AM731" s="212"/>
      <c r="AN731" s="212"/>
    </row>
    <row r="732" spans="27:40" ht="15" customHeight="1" x14ac:dyDescent="0.35">
      <c r="AA732" s="212"/>
      <c r="AB732" s="212"/>
      <c r="AC732" s="212"/>
      <c r="AD732" s="212"/>
      <c r="AE732" s="212"/>
      <c r="AF732" s="212"/>
      <c r="AG732" s="212"/>
      <c r="AH732" s="212"/>
      <c r="AI732" s="212"/>
      <c r="AK732" s="212"/>
      <c r="AL732" s="212"/>
      <c r="AM732" s="212"/>
      <c r="AN732" s="212"/>
    </row>
    <row r="733" spans="27:40" ht="15" customHeight="1" x14ac:dyDescent="0.35">
      <c r="AA733" s="212"/>
      <c r="AB733" s="212"/>
      <c r="AC733" s="212"/>
      <c r="AD733" s="212"/>
      <c r="AE733" s="212"/>
      <c r="AF733" s="212"/>
      <c r="AG733" s="212"/>
      <c r="AH733" s="212"/>
      <c r="AI733" s="212"/>
      <c r="AK733" s="212"/>
      <c r="AL733" s="212"/>
      <c r="AM733" s="212"/>
      <c r="AN733" s="212"/>
    </row>
    <row r="734" spans="27:40" ht="15" customHeight="1" x14ac:dyDescent="0.35">
      <c r="AA734" s="212"/>
      <c r="AB734" s="212"/>
      <c r="AC734" s="212"/>
      <c r="AD734" s="212"/>
      <c r="AE734" s="212"/>
      <c r="AF734" s="212"/>
      <c r="AG734" s="212"/>
      <c r="AH734" s="212"/>
      <c r="AI734" s="212"/>
      <c r="AK734" s="212"/>
      <c r="AL734" s="212"/>
      <c r="AM734" s="212"/>
      <c r="AN734" s="212"/>
    </row>
    <row r="735" spans="27:40" ht="15" customHeight="1" x14ac:dyDescent="0.35">
      <c r="AA735" s="212"/>
      <c r="AB735" s="212"/>
      <c r="AC735" s="212"/>
      <c r="AD735" s="212"/>
      <c r="AE735" s="212"/>
      <c r="AF735" s="212"/>
      <c r="AG735" s="212"/>
      <c r="AH735" s="212"/>
      <c r="AI735" s="212"/>
      <c r="AK735" s="212"/>
      <c r="AL735" s="212"/>
      <c r="AM735" s="212"/>
      <c r="AN735" s="212"/>
    </row>
    <row r="736" spans="27:40" ht="15" customHeight="1" x14ac:dyDescent="0.35">
      <c r="AA736" s="212"/>
      <c r="AB736" s="212"/>
      <c r="AC736" s="212"/>
      <c r="AD736" s="212"/>
      <c r="AE736" s="212"/>
      <c r="AF736" s="212"/>
      <c r="AG736" s="212"/>
      <c r="AH736" s="212"/>
      <c r="AI736" s="212"/>
      <c r="AK736" s="212"/>
      <c r="AL736" s="212"/>
      <c r="AM736" s="212"/>
      <c r="AN736" s="212"/>
    </row>
    <row r="737" spans="27:40" ht="15" customHeight="1" x14ac:dyDescent="0.35">
      <c r="AA737" s="212"/>
      <c r="AB737" s="212"/>
      <c r="AC737" s="212"/>
      <c r="AD737" s="212"/>
      <c r="AE737" s="212"/>
      <c r="AF737" s="212"/>
      <c r="AG737" s="212"/>
      <c r="AH737" s="212"/>
      <c r="AI737" s="212"/>
      <c r="AK737" s="212"/>
      <c r="AL737" s="212"/>
      <c r="AM737" s="212"/>
      <c r="AN737" s="212"/>
    </row>
    <row r="738" spans="27:40" ht="15" customHeight="1" x14ac:dyDescent="0.35">
      <c r="AA738" s="212"/>
      <c r="AB738" s="212"/>
      <c r="AC738" s="212"/>
      <c r="AD738" s="212"/>
      <c r="AE738" s="212"/>
      <c r="AF738" s="212"/>
      <c r="AG738" s="212"/>
      <c r="AH738" s="212"/>
      <c r="AI738" s="212"/>
      <c r="AK738" s="212"/>
      <c r="AL738" s="212"/>
      <c r="AM738" s="212"/>
      <c r="AN738" s="212"/>
    </row>
    <row r="739" spans="27:40" ht="15" customHeight="1" x14ac:dyDescent="0.35">
      <c r="AA739" s="212"/>
      <c r="AB739" s="212"/>
      <c r="AC739" s="212"/>
      <c r="AD739" s="212"/>
      <c r="AE739" s="212"/>
      <c r="AF739" s="212"/>
      <c r="AG739" s="212"/>
      <c r="AH739" s="212"/>
      <c r="AI739" s="212"/>
      <c r="AK739" s="212"/>
      <c r="AL739" s="212"/>
      <c r="AM739" s="212"/>
      <c r="AN739" s="212"/>
    </row>
    <row r="740" spans="27:40" ht="15" customHeight="1" x14ac:dyDescent="0.35">
      <c r="AA740" s="212"/>
      <c r="AB740" s="212"/>
      <c r="AC740" s="212"/>
      <c r="AD740" s="212"/>
      <c r="AE740" s="212"/>
      <c r="AF740" s="212"/>
      <c r="AG740" s="212"/>
      <c r="AH740" s="212"/>
      <c r="AI740" s="212"/>
      <c r="AK740" s="212"/>
      <c r="AL740" s="212"/>
      <c r="AM740" s="212"/>
      <c r="AN740" s="212"/>
    </row>
    <row r="741" spans="27:40" ht="15" customHeight="1" x14ac:dyDescent="0.35">
      <c r="AA741" s="212"/>
      <c r="AB741" s="212"/>
      <c r="AC741" s="212"/>
      <c r="AD741" s="212"/>
      <c r="AE741" s="212"/>
      <c r="AF741" s="212"/>
      <c r="AG741" s="212"/>
      <c r="AH741" s="212"/>
      <c r="AI741" s="212"/>
      <c r="AK741" s="212"/>
      <c r="AL741" s="212"/>
      <c r="AM741" s="212"/>
      <c r="AN741" s="212"/>
    </row>
    <row r="742" spans="27:40" ht="15" customHeight="1" x14ac:dyDescent="0.35">
      <c r="AA742" s="212"/>
      <c r="AB742" s="212"/>
      <c r="AC742" s="212"/>
      <c r="AD742" s="212"/>
      <c r="AE742" s="212"/>
      <c r="AF742" s="212"/>
      <c r="AG742" s="212"/>
      <c r="AH742" s="212"/>
      <c r="AI742" s="212"/>
      <c r="AK742" s="212"/>
      <c r="AL742" s="212"/>
      <c r="AM742" s="212"/>
      <c r="AN742" s="212"/>
    </row>
    <row r="743" spans="27:40" ht="15" customHeight="1" x14ac:dyDescent="0.35">
      <c r="AA743" s="212"/>
      <c r="AB743" s="212"/>
      <c r="AC743" s="212"/>
      <c r="AD743" s="212"/>
      <c r="AE743" s="212"/>
      <c r="AF743" s="212"/>
      <c r="AG743" s="212"/>
      <c r="AH743" s="212"/>
      <c r="AI743" s="212"/>
      <c r="AK743" s="212"/>
      <c r="AL743" s="212"/>
      <c r="AM743" s="212"/>
      <c r="AN743" s="212"/>
    </row>
    <row r="744" spans="27:40" ht="15" customHeight="1" x14ac:dyDescent="0.35">
      <c r="AA744" s="212"/>
      <c r="AB744" s="212"/>
      <c r="AC744" s="212"/>
      <c r="AD744" s="212"/>
      <c r="AE744" s="212"/>
      <c r="AF744" s="212"/>
      <c r="AG744" s="212"/>
      <c r="AH744" s="212"/>
      <c r="AI744" s="212"/>
      <c r="AK744" s="212"/>
      <c r="AL744" s="212"/>
      <c r="AM744" s="212"/>
      <c r="AN744" s="212"/>
    </row>
    <row r="745" spans="27:40" ht="15" customHeight="1" x14ac:dyDescent="0.35">
      <c r="AA745" s="212"/>
      <c r="AB745" s="212"/>
      <c r="AC745" s="212"/>
      <c r="AD745" s="212"/>
      <c r="AE745" s="212"/>
      <c r="AF745" s="212"/>
      <c r="AG745" s="212"/>
      <c r="AH745" s="212"/>
      <c r="AI745" s="212"/>
      <c r="AK745" s="212"/>
      <c r="AL745" s="212"/>
      <c r="AM745" s="212"/>
      <c r="AN745" s="212"/>
    </row>
    <row r="746" spans="27:40" ht="15" customHeight="1" x14ac:dyDescent="0.35">
      <c r="AA746" s="212"/>
      <c r="AB746" s="212"/>
      <c r="AC746" s="212"/>
      <c r="AD746" s="212"/>
      <c r="AE746" s="212"/>
      <c r="AF746" s="212"/>
      <c r="AG746" s="212"/>
      <c r="AH746" s="212"/>
      <c r="AI746" s="212"/>
      <c r="AK746" s="212"/>
      <c r="AL746" s="212"/>
      <c r="AM746" s="212"/>
      <c r="AN746" s="212"/>
    </row>
    <row r="747" spans="27:40" ht="15" customHeight="1" x14ac:dyDescent="0.35">
      <c r="AA747" s="212"/>
      <c r="AB747" s="212"/>
      <c r="AC747" s="212"/>
      <c r="AD747" s="212"/>
      <c r="AE747" s="212"/>
      <c r="AF747" s="212"/>
      <c r="AG747" s="212"/>
      <c r="AH747" s="212"/>
      <c r="AI747" s="212"/>
      <c r="AK747" s="212"/>
      <c r="AL747" s="212"/>
      <c r="AM747" s="212"/>
      <c r="AN747" s="212"/>
    </row>
    <row r="748" spans="27:40" ht="15" customHeight="1" x14ac:dyDescent="0.35">
      <c r="AA748" s="212"/>
      <c r="AB748" s="212"/>
      <c r="AC748" s="212"/>
      <c r="AD748" s="212"/>
      <c r="AE748" s="212"/>
      <c r="AF748" s="212"/>
      <c r="AG748" s="212"/>
      <c r="AH748" s="212"/>
      <c r="AI748" s="212"/>
      <c r="AK748" s="212"/>
      <c r="AL748" s="212"/>
      <c r="AM748" s="212"/>
      <c r="AN748" s="212"/>
    </row>
    <row r="749" spans="27:40" ht="15" customHeight="1" x14ac:dyDescent="0.35">
      <c r="AA749" s="212"/>
      <c r="AB749" s="212"/>
      <c r="AC749" s="212"/>
      <c r="AD749" s="212"/>
      <c r="AE749" s="212"/>
      <c r="AF749" s="212"/>
      <c r="AG749" s="212"/>
      <c r="AH749" s="212"/>
      <c r="AI749" s="212"/>
      <c r="AK749" s="212"/>
      <c r="AL749" s="212"/>
      <c r="AM749" s="212"/>
      <c r="AN749" s="212"/>
    </row>
    <row r="750" spans="27:40" ht="15" customHeight="1" x14ac:dyDescent="0.35">
      <c r="AA750" s="212"/>
      <c r="AB750" s="212"/>
      <c r="AC750" s="212"/>
      <c r="AD750" s="212"/>
      <c r="AE750" s="212"/>
      <c r="AF750" s="212"/>
      <c r="AG750" s="212"/>
      <c r="AH750" s="212"/>
      <c r="AI750" s="212"/>
      <c r="AK750" s="212"/>
      <c r="AL750" s="212"/>
      <c r="AM750" s="212"/>
      <c r="AN750" s="212"/>
    </row>
    <row r="751" spans="27:40" ht="15" customHeight="1" x14ac:dyDescent="0.35">
      <c r="AA751" s="212"/>
      <c r="AB751" s="212"/>
      <c r="AC751" s="212"/>
      <c r="AD751" s="212"/>
      <c r="AE751" s="212"/>
      <c r="AF751" s="212"/>
      <c r="AG751" s="212"/>
      <c r="AH751" s="212"/>
      <c r="AI751" s="212"/>
      <c r="AK751" s="212"/>
      <c r="AL751" s="212"/>
      <c r="AM751" s="212"/>
      <c r="AN751" s="212"/>
    </row>
    <row r="752" spans="27:40" ht="15" customHeight="1" x14ac:dyDescent="0.35">
      <c r="AA752" s="212"/>
      <c r="AB752" s="212"/>
      <c r="AC752" s="212"/>
      <c r="AD752" s="212"/>
      <c r="AE752" s="212"/>
      <c r="AF752" s="212"/>
      <c r="AG752" s="212"/>
      <c r="AH752" s="212"/>
      <c r="AI752" s="212"/>
      <c r="AK752" s="212"/>
      <c r="AL752" s="212"/>
      <c r="AM752" s="212"/>
      <c r="AN752" s="212"/>
    </row>
    <row r="753" spans="27:40" ht="15" customHeight="1" x14ac:dyDescent="0.35">
      <c r="AA753" s="212"/>
      <c r="AB753" s="212"/>
      <c r="AC753" s="212"/>
      <c r="AD753" s="212"/>
      <c r="AE753" s="212"/>
      <c r="AF753" s="212"/>
      <c r="AG753" s="212"/>
      <c r="AH753" s="212"/>
      <c r="AI753" s="212"/>
      <c r="AK753" s="212"/>
      <c r="AL753" s="212"/>
      <c r="AM753" s="212"/>
      <c r="AN753" s="212"/>
    </row>
    <row r="754" spans="27:40" ht="15" customHeight="1" x14ac:dyDescent="0.35">
      <c r="AA754" s="212"/>
      <c r="AB754" s="212"/>
      <c r="AC754" s="212"/>
      <c r="AD754" s="212"/>
      <c r="AE754" s="212"/>
      <c r="AF754" s="212"/>
      <c r="AG754" s="212"/>
      <c r="AH754" s="212"/>
      <c r="AI754" s="212"/>
      <c r="AK754" s="212"/>
      <c r="AL754" s="212"/>
      <c r="AM754" s="212"/>
      <c r="AN754" s="212"/>
    </row>
    <row r="755" spans="27:40" ht="15" customHeight="1" x14ac:dyDescent="0.35">
      <c r="AA755" s="212"/>
      <c r="AB755" s="212"/>
      <c r="AC755" s="212"/>
      <c r="AD755" s="212"/>
      <c r="AE755" s="212"/>
      <c r="AF755" s="212"/>
      <c r="AG755" s="212"/>
      <c r="AH755" s="212"/>
      <c r="AI755" s="212"/>
      <c r="AK755" s="212"/>
      <c r="AL755" s="212"/>
      <c r="AM755" s="212"/>
      <c r="AN755" s="212"/>
    </row>
    <row r="756" spans="27:40" ht="15" customHeight="1" x14ac:dyDescent="0.35">
      <c r="AA756" s="212"/>
      <c r="AB756" s="212"/>
      <c r="AC756" s="212"/>
      <c r="AD756" s="212"/>
      <c r="AE756" s="212"/>
      <c r="AF756" s="212"/>
      <c r="AG756" s="212"/>
      <c r="AH756" s="212"/>
      <c r="AI756" s="212"/>
      <c r="AK756" s="212"/>
      <c r="AL756" s="212"/>
      <c r="AM756" s="212"/>
      <c r="AN756" s="212"/>
    </row>
    <row r="757" spans="27:40" ht="15" customHeight="1" x14ac:dyDescent="0.35">
      <c r="AA757" s="212"/>
      <c r="AB757" s="212"/>
      <c r="AC757" s="212"/>
      <c r="AD757" s="212"/>
      <c r="AE757" s="212"/>
      <c r="AF757" s="212"/>
      <c r="AG757" s="212"/>
      <c r="AH757" s="212"/>
      <c r="AI757" s="212"/>
      <c r="AK757" s="212"/>
      <c r="AL757" s="212"/>
      <c r="AM757" s="212"/>
      <c r="AN757" s="212"/>
    </row>
    <row r="758" spans="27:40" ht="15" customHeight="1" x14ac:dyDescent="0.35">
      <c r="AA758" s="212"/>
      <c r="AB758" s="212"/>
      <c r="AC758" s="212"/>
      <c r="AD758" s="212"/>
      <c r="AE758" s="212"/>
      <c r="AF758" s="212"/>
      <c r="AG758" s="212"/>
      <c r="AH758" s="212"/>
      <c r="AI758" s="212"/>
      <c r="AK758" s="212"/>
      <c r="AL758" s="212"/>
      <c r="AM758" s="212"/>
      <c r="AN758" s="212"/>
    </row>
    <row r="759" spans="27:40" ht="15" customHeight="1" x14ac:dyDescent="0.35">
      <c r="AA759" s="212"/>
      <c r="AB759" s="212"/>
      <c r="AC759" s="212"/>
      <c r="AD759" s="212"/>
      <c r="AE759" s="212"/>
      <c r="AF759" s="212"/>
      <c r="AG759" s="212"/>
      <c r="AH759" s="212"/>
      <c r="AI759" s="212"/>
      <c r="AK759" s="212"/>
      <c r="AL759" s="212"/>
      <c r="AM759" s="212"/>
      <c r="AN759" s="212"/>
    </row>
    <row r="760" spans="27:40" ht="15" customHeight="1" x14ac:dyDescent="0.35">
      <c r="AA760" s="212"/>
      <c r="AB760" s="212"/>
      <c r="AC760" s="212"/>
      <c r="AD760" s="212"/>
      <c r="AE760" s="212"/>
      <c r="AF760" s="212"/>
      <c r="AG760" s="212"/>
      <c r="AH760" s="212"/>
      <c r="AI760" s="212"/>
      <c r="AK760" s="212"/>
      <c r="AL760" s="212"/>
      <c r="AM760" s="212"/>
      <c r="AN760" s="212"/>
    </row>
    <row r="761" spans="27:40" ht="15" customHeight="1" x14ac:dyDescent="0.35">
      <c r="AA761" s="212"/>
      <c r="AB761" s="212"/>
      <c r="AC761" s="212"/>
      <c r="AD761" s="212"/>
      <c r="AE761" s="212"/>
      <c r="AF761" s="212"/>
      <c r="AG761" s="212"/>
      <c r="AH761" s="212"/>
      <c r="AI761" s="212"/>
      <c r="AK761" s="212"/>
      <c r="AL761" s="212"/>
      <c r="AM761" s="212"/>
      <c r="AN761" s="212"/>
    </row>
    <row r="762" spans="27:40" ht="15" customHeight="1" x14ac:dyDescent="0.35">
      <c r="AA762" s="212"/>
      <c r="AB762" s="212"/>
      <c r="AC762" s="212"/>
      <c r="AD762" s="212"/>
      <c r="AE762" s="212"/>
      <c r="AF762" s="212"/>
      <c r="AG762" s="212"/>
      <c r="AH762" s="212"/>
      <c r="AI762" s="212"/>
      <c r="AK762" s="212"/>
      <c r="AL762" s="212"/>
      <c r="AM762" s="212"/>
      <c r="AN762" s="212"/>
    </row>
    <row r="763" spans="27:40" ht="15" customHeight="1" x14ac:dyDescent="0.35">
      <c r="AA763" s="212"/>
      <c r="AB763" s="212"/>
      <c r="AC763" s="212"/>
      <c r="AD763" s="212"/>
      <c r="AE763" s="212"/>
      <c r="AF763" s="212"/>
      <c r="AG763" s="212"/>
      <c r="AH763" s="212"/>
      <c r="AI763" s="212"/>
      <c r="AK763" s="212"/>
      <c r="AL763" s="212"/>
      <c r="AM763" s="212"/>
      <c r="AN763" s="212"/>
    </row>
    <row r="764" spans="27:40" ht="15" customHeight="1" x14ac:dyDescent="0.35">
      <c r="AA764" s="212"/>
      <c r="AB764" s="212"/>
      <c r="AC764" s="212"/>
      <c r="AD764" s="212"/>
      <c r="AE764" s="212"/>
      <c r="AF764" s="212"/>
      <c r="AG764" s="212"/>
      <c r="AH764" s="212"/>
      <c r="AI764" s="212"/>
      <c r="AK764" s="212"/>
      <c r="AL764" s="212"/>
      <c r="AM764" s="212"/>
      <c r="AN764" s="212"/>
    </row>
    <row r="765" spans="27:40" ht="15" customHeight="1" x14ac:dyDescent="0.35">
      <c r="AA765" s="212"/>
      <c r="AB765" s="212"/>
      <c r="AC765" s="212"/>
      <c r="AD765" s="212"/>
      <c r="AE765" s="212"/>
      <c r="AF765" s="212"/>
      <c r="AG765" s="212"/>
      <c r="AH765" s="212"/>
      <c r="AI765" s="212"/>
      <c r="AK765" s="212"/>
      <c r="AL765" s="212"/>
      <c r="AM765" s="212"/>
      <c r="AN765" s="212"/>
    </row>
    <row r="766" spans="27:40" ht="15" customHeight="1" x14ac:dyDescent="0.35">
      <c r="AA766" s="212"/>
      <c r="AB766" s="212"/>
      <c r="AC766" s="212"/>
      <c r="AD766" s="212"/>
      <c r="AE766" s="212"/>
      <c r="AF766" s="212"/>
      <c r="AG766" s="212"/>
      <c r="AH766" s="212"/>
      <c r="AI766" s="212"/>
      <c r="AK766" s="212"/>
      <c r="AL766" s="212"/>
      <c r="AM766" s="212"/>
      <c r="AN766" s="212"/>
    </row>
    <row r="767" spans="27:40" ht="15" customHeight="1" x14ac:dyDescent="0.35">
      <c r="AA767" s="212"/>
      <c r="AB767" s="212"/>
      <c r="AC767" s="212"/>
      <c r="AD767" s="212"/>
      <c r="AE767" s="212"/>
      <c r="AF767" s="212"/>
      <c r="AG767" s="212"/>
      <c r="AH767" s="212"/>
      <c r="AI767" s="212"/>
      <c r="AK767" s="212"/>
      <c r="AL767" s="212"/>
      <c r="AM767" s="212"/>
      <c r="AN767" s="212"/>
    </row>
    <row r="768" spans="27:40" ht="15" customHeight="1" x14ac:dyDescent="0.35">
      <c r="AA768" s="212"/>
      <c r="AB768" s="212"/>
      <c r="AC768" s="212"/>
      <c r="AD768" s="212"/>
      <c r="AE768" s="212"/>
      <c r="AF768" s="212"/>
      <c r="AG768" s="212"/>
      <c r="AH768" s="212"/>
      <c r="AI768" s="212"/>
      <c r="AK768" s="212"/>
      <c r="AL768" s="212"/>
      <c r="AM768" s="212"/>
      <c r="AN768" s="212"/>
    </row>
    <row r="769" spans="27:40" ht="15" customHeight="1" x14ac:dyDescent="0.35">
      <c r="AA769" s="212"/>
      <c r="AB769" s="212"/>
      <c r="AC769" s="212"/>
      <c r="AD769" s="212"/>
      <c r="AE769" s="212"/>
      <c r="AF769" s="212"/>
      <c r="AG769" s="212"/>
      <c r="AH769" s="212"/>
      <c r="AI769" s="212"/>
      <c r="AK769" s="212"/>
      <c r="AL769" s="212"/>
      <c r="AM769" s="212"/>
      <c r="AN769" s="212"/>
    </row>
    <row r="770" spans="27:40" ht="15" customHeight="1" x14ac:dyDescent="0.35">
      <c r="AA770" s="212"/>
      <c r="AB770" s="212"/>
      <c r="AC770" s="212"/>
      <c r="AD770" s="212"/>
      <c r="AE770" s="212"/>
      <c r="AF770" s="212"/>
      <c r="AG770" s="212"/>
      <c r="AH770" s="212"/>
      <c r="AI770" s="212"/>
      <c r="AK770" s="212"/>
      <c r="AL770" s="212"/>
      <c r="AM770" s="212"/>
      <c r="AN770" s="212"/>
    </row>
    <row r="771" spans="27:40" ht="15" customHeight="1" x14ac:dyDescent="0.35">
      <c r="AA771" s="212"/>
      <c r="AB771" s="212"/>
      <c r="AC771" s="212"/>
      <c r="AD771" s="212"/>
      <c r="AE771" s="212"/>
      <c r="AF771" s="212"/>
      <c r="AG771" s="212"/>
      <c r="AH771" s="212"/>
      <c r="AI771" s="212"/>
      <c r="AK771" s="212"/>
      <c r="AL771" s="212"/>
      <c r="AM771" s="212"/>
      <c r="AN771" s="212"/>
    </row>
    <row r="772" spans="27:40" ht="15" customHeight="1" x14ac:dyDescent="0.35">
      <c r="AA772" s="212"/>
      <c r="AB772" s="212"/>
      <c r="AC772" s="212"/>
      <c r="AD772" s="212"/>
      <c r="AE772" s="212"/>
      <c r="AF772" s="212"/>
      <c r="AG772" s="212"/>
      <c r="AH772" s="212"/>
      <c r="AI772" s="212"/>
      <c r="AK772" s="212"/>
      <c r="AL772" s="212"/>
      <c r="AM772" s="212"/>
      <c r="AN772" s="212"/>
    </row>
    <row r="773" spans="27:40" ht="15" customHeight="1" x14ac:dyDescent="0.35">
      <c r="AA773" s="212"/>
      <c r="AB773" s="212"/>
      <c r="AC773" s="212"/>
      <c r="AD773" s="212"/>
      <c r="AE773" s="212"/>
      <c r="AF773" s="212"/>
      <c r="AG773" s="212"/>
      <c r="AH773" s="212"/>
      <c r="AI773" s="212"/>
      <c r="AK773" s="212"/>
      <c r="AL773" s="212"/>
      <c r="AM773" s="212"/>
      <c r="AN773" s="212"/>
    </row>
    <row r="774" spans="27:40" ht="15" customHeight="1" x14ac:dyDescent="0.35">
      <c r="AA774" s="212"/>
      <c r="AB774" s="212"/>
      <c r="AC774" s="212"/>
      <c r="AD774" s="212"/>
      <c r="AE774" s="212"/>
      <c r="AF774" s="212"/>
      <c r="AG774" s="212"/>
      <c r="AH774" s="212"/>
      <c r="AI774" s="212"/>
      <c r="AK774" s="212"/>
      <c r="AL774" s="212"/>
      <c r="AM774" s="212"/>
      <c r="AN774" s="212"/>
    </row>
    <row r="775" spans="27:40" ht="15" customHeight="1" x14ac:dyDescent="0.35">
      <c r="AA775" s="212"/>
      <c r="AB775" s="212"/>
      <c r="AC775" s="212"/>
      <c r="AD775" s="212"/>
      <c r="AE775" s="212"/>
      <c r="AF775" s="212"/>
      <c r="AG775" s="212"/>
      <c r="AH775" s="212"/>
      <c r="AI775" s="212"/>
      <c r="AK775" s="212"/>
      <c r="AL775" s="212"/>
      <c r="AM775" s="212"/>
      <c r="AN775" s="212"/>
    </row>
    <row r="776" spans="27:40" ht="15" customHeight="1" x14ac:dyDescent="0.35">
      <c r="AA776" s="212"/>
      <c r="AB776" s="212"/>
      <c r="AC776" s="212"/>
      <c r="AD776" s="212"/>
      <c r="AE776" s="212"/>
      <c r="AF776" s="212"/>
      <c r="AG776" s="212"/>
      <c r="AH776" s="212"/>
      <c r="AI776" s="212"/>
      <c r="AK776" s="212"/>
      <c r="AL776" s="212"/>
      <c r="AM776" s="212"/>
      <c r="AN776" s="212"/>
    </row>
    <row r="777" spans="27:40" ht="15" customHeight="1" x14ac:dyDescent="0.35">
      <c r="AA777" s="212"/>
      <c r="AB777" s="212"/>
      <c r="AC777" s="212"/>
      <c r="AD777" s="212"/>
      <c r="AE777" s="212"/>
      <c r="AF777" s="212"/>
      <c r="AG777" s="212"/>
      <c r="AH777" s="212"/>
      <c r="AI777" s="212"/>
      <c r="AK777" s="212"/>
      <c r="AL777" s="212"/>
      <c r="AM777" s="212"/>
      <c r="AN777" s="212"/>
    </row>
    <row r="778" spans="27:40" ht="15" customHeight="1" x14ac:dyDescent="0.35">
      <c r="AA778" s="212"/>
      <c r="AB778" s="212"/>
      <c r="AC778" s="212"/>
      <c r="AD778" s="212"/>
      <c r="AE778" s="212"/>
      <c r="AF778" s="212"/>
      <c r="AG778" s="212"/>
      <c r="AH778" s="212"/>
      <c r="AI778" s="212"/>
      <c r="AK778" s="212"/>
      <c r="AL778" s="212"/>
      <c r="AM778" s="212"/>
      <c r="AN778" s="212"/>
    </row>
    <row r="779" spans="27:40" ht="15" customHeight="1" x14ac:dyDescent="0.35">
      <c r="AA779" s="212"/>
      <c r="AB779" s="212"/>
      <c r="AC779" s="212"/>
      <c r="AD779" s="212"/>
      <c r="AE779" s="212"/>
      <c r="AF779" s="212"/>
      <c r="AG779" s="212"/>
      <c r="AH779" s="212"/>
      <c r="AI779" s="212"/>
      <c r="AK779" s="212"/>
      <c r="AL779" s="212"/>
      <c r="AM779" s="212"/>
      <c r="AN779" s="212"/>
    </row>
    <row r="780" spans="27:40" ht="15" customHeight="1" x14ac:dyDescent="0.35">
      <c r="AA780" s="212"/>
      <c r="AB780" s="212"/>
      <c r="AC780" s="212"/>
      <c r="AD780" s="212"/>
      <c r="AE780" s="212"/>
      <c r="AF780" s="212"/>
      <c r="AG780" s="212"/>
      <c r="AH780" s="212"/>
      <c r="AI780" s="212"/>
      <c r="AK780" s="212"/>
      <c r="AL780" s="212"/>
      <c r="AM780" s="212"/>
      <c r="AN780" s="212"/>
    </row>
    <row r="781" spans="27:40" ht="15" customHeight="1" x14ac:dyDescent="0.35">
      <c r="AA781" s="212"/>
      <c r="AB781" s="212"/>
      <c r="AC781" s="212"/>
      <c r="AD781" s="212"/>
      <c r="AE781" s="212"/>
      <c r="AF781" s="212"/>
      <c r="AG781" s="212"/>
      <c r="AH781" s="212"/>
      <c r="AI781" s="212"/>
      <c r="AK781" s="212"/>
      <c r="AL781" s="212"/>
      <c r="AM781" s="212"/>
      <c r="AN781" s="212"/>
    </row>
    <row r="782" spans="27:40" x14ac:dyDescent="0.35">
      <c r="AA782" s="212"/>
      <c r="AB782" s="212"/>
      <c r="AC782" s="212"/>
      <c r="AD782" s="212"/>
      <c r="AE782" s="212"/>
      <c r="AF782" s="212"/>
      <c r="AG782" s="212"/>
      <c r="AH782" s="212"/>
      <c r="AI782" s="212"/>
      <c r="AK782" s="212"/>
      <c r="AL782" s="212"/>
      <c r="AM782" s="212"/>
      <c r="AN782" s="212"/>
    </row>
    <row r="783" spans="27:40" x14ac:dyDescent="0.35">
      <c r="AA783" s="212"/>
      <c r="AB783" s="212"/>
      <c r="AC783" s="212"/>
      <c r="AD783" s="212"/>
      <c r="AE783" s="212"/>
      <c r="AF783" s="212"/>
      <c r="AG783" s="212"/>
      <c r="AH783" s="212"/>
      <c r="AI783" s="212"/>
      <c r="AK783" s="212"/>
      <c r="AL783" s="212"/>
      <c r="AM783" s="212"/>
      <c r="AN783" s="212"/>
    </row>
    <row r="784" spans="27:40" x14ac:dyDescent="0.35">
      <c r="AA784" s="212"/>
      <c r="AB784" s="212"/>
      <c r="AC784" s="212"/>
      <c r="AD784" s="212"/>
      <c r="AE784" s="212"/>
      <c r="AF784" s="212"/>
      <c r="AG784" s="212"/>
      <c r="AH784" s="212"/>
      <c r="AI784" s="212"/>
      <c r="AK784" s="212"/>
      <c r="AL784" s="212"/>
      <c r="AM784" s="212"/>
      <c r="AN784" s="212"/>
    </row>
    <row r="785" spans="27:40" x14ac:dyDescent="0.35">
      <c r="AA785" s="212"/>
      <c r="AB785" s="212"/>
      <c r="AC785" s="212"/>
      <c r="AD785" s="212"/>
      <c r="AE785" s="212"/>
      <c r="AF785" s="212"/>
      <c r="AG785" s="212"/>
      <c r="AH785" s="212"/>
      <c r="AI785" s="212"/>
      <c r="AK785" s="212"/>
      <c r="AL785" s="212"/>
      <c r="AM785" s="212"/>
      <c r="AN785" s="212"/>
    </row>
    <row r="786" spans="27:40" x14ac:dyDescent="0.35">
      <c r="AA786" s="212"/>
      <c r="AB786" s="212"/>
      <c r="AC786" s="212"/>
      <c r="AD786" s="212"/>
      <c r="AE786" s="212"/>
      <c r="AF786" s="212"/>
      <c r="AG786" s="212"/>
      <c r="AH786" s="212"/>
      <c r="AI786" s="212"/>
      <c r="AK786" s="212"/>
      <c r="AL786" s="212"/>
      <c r="AM786" s="212"/>
      <c r="AN786" s="212"/>
    </row>
    <row r="787" spans="27:40" x14ac:dyDescent="0.35">
      <c r="AA787" s="212"/>
      <c r="AB787" s="212"/>
      <c r="AC787" s="212"/>
      <c r="AD787" s="212"/>
      <c r="AE787" s="212"/>
      <c r="AF787" s="212"/>
      <c r="AG787" s="212"/>
      <c r="AH787" s="212"/>
      <c r="AI787" s="212"/>
      <c r="AK787" s="212"/>
      <c r="AL787" s="212"/>
      <c r="AM787" s="212"/>
      <c r="AN787" s="212"/>
    </row>
    <row r="788" spans="27:40" x14ac:dyDescent="0.35">
      <c r="AA788" s="212"/>
      <c r="AB788" s="212"/>
      <c r="AC788" s="212"/>
      <c r="AD788" s="212"/>
      <c r="AE788" s="212"/>
      <c r="AF788" s="212"/>
      <c r="AG788" s="212"/>
      <c r="AH788" s="212"/>
      <c r="AI788" s="212"/>
      <c r="AK788" s="212"/>
      <c r="AL788" s="212"/>
      <c r="AM788" s="212"/>
      <c r="AN788" s="212"/>
    </row>
    <row r="789" spans="27:40" x14ac:dyDescent="0.35">
      <c r="AA789" s="212"/>
      <c r="AB789" s="212"/>
      <c r="AC789" s="212"/>
      <c r="AD789" s="212"/>
      <c r="AE789" s="212"/>
      <c r="AF789" s="212"/>
      <c r="AG789" s="212"/>
      <c r="AH789" s="212"/>
      <c r="AI789" s="212"/>
      <c r="AK789" s="212"/>
      <c r="AL789" s="212"/>
      <c r="AM789" s="212"/>
      <c r="AN789" s="212"/>
    </row>
    <row r="790" spans="27:40" x14ac:dyDescent="0.35">
      <c r="AA790" s="212"/>
      <c r="AB790" s="212"/>
      <c r="AC790" s="212"/>
      <c r="AD790" s="212"/>
      <c r="AE790" s="212"/>
      <c r="AF790" s="212"/>
      <c r="AG790" s="212"/>
      <c r="AH790" s="212"/>
      <c r="AI790" s="212"/>
      <c r="AK790" s="212"/>
      <c r="AL790" s="212"/>
      <c r="AM790" s="212"/>
      <c r="AN790" s="212"/>
    </row>
    <row r="791" spans="27:40" x14ac:dyDescent="0.35">
      <c r="AA791" s="212"/>
      <c r="AB791" s="212"/>
      <c r="AC791" s="212"/>
      <c r="AD791" s="212"/>
      <c r="AE791" s="212"/>
      <c r="AF791" s="212"/>
      <c r="AG791" s="212"/>
      <c r="AH791" s="212"/>
      <c r="AI791" s="212"/>
      <c r="AK791" s="212"/>
      <c r="AL791" s="212"/>
      <c r="AM791" s="212"/>
      <c r="AN791" s="212"/>
    </row>
    <row r="792" spans="27:40" x14ac:dyDescent="0.35">
      <c r="AA792" s="212"/>
      <c r="AB792" s="212"/>
      <c r="AC792" s="212"/>
      <c r="AD792" s="212"/>
      <c r="AE792" s="212"/>
      <c r="AF792" s="212"/>
      <c r="AG792" s="212"/>
      <c r="AH792" s="212"/>
      <c r="AI792" s="212"/>
      <c r="AK792" s="212"/>
      <c r="AL792" s="212"/>
      <c r="AM792" s="212"/>
      <c r="AN792" s="212"/>
    </row>
    <row r="793" spans="27:40" x14ac:dyDescent="0.35">
      <c r="AA793" s="212"/>
      <c r="AB793" s="212"/>
      <c r="AC793" s="212"/>
      <c r="AD793" s="212"/>
      <c r="AE793" s="212"/>
      <c r="AF793" s="212"/>
      <c r="AG793" s="212"/>
      <c r="AH793" s="212"/>
      <c r="AI793" s="212"/>
      <c r="AK793" s="212"/>
      <c r="AL793" s="212"/>
      <c r="AM793" s="212"/>
      <c r="AN793" s="212"/>
    </row>
    <row r="794" spans="27:40" x14ac:dyDescent="0.35">
      <c r="AA794" s="212"/>
      <c r="AB794" s="212"/>
      <c r="AC794" s="212"/>
      <c r="AD794" s="212"/>
      <c r="AE794" s="212"/>
      <c r="AF794" s="212"/>
      <c r="AG794" s="212"/>
      <c r="AH794" s="212"/>
      <c r="AI794" s="212"/>
      <c r="AK794" s="212"/>
      <c r="AL794" s="212"/>
      <c r="AM794" s="212"/>
      <c r="AN794" s="212"/>
    </row>
    <row r="795" spans="27:40" x14ac:dyDescent="0.35">
      <c r="AA795" s="212"/>
      <c r="AB795" s="212"/>
      <c r="AC795" s="212"/>
      <c r="AD795" s="212"/>
      <c r="AE795" s="212"/>
      <c r="AF795" s="212"/>
      <c r="AG795" s="212"/>
      <c r="AH795" s="212"/>
      <c r="AI795" s="212"/>
      <c r="AK795" s="212"/>
      <c r="AL795" s="212"/>
      <c r="AM795" s="212"/>
      <c r="AN795" s="212"/>
    </row>
    <row r="796" spans="27:40" x14ac:dyDescent="0.35">
      <c r="AA796" s="212"/>
      <c r="AB796" s="212"/>
      <c r="AC796" s="212"/>
      <c r="AD796" s="212"/>
      <c r="AE796" s="212"/>
      <c r="AF796" s="212"/>
      <c r="AG796" s="212"/>
      <c r="AH796" s="212"/>
      <c r="AI796" s="212"/>
      <c r="AK796" s="212"/>
      <c r="AL796" s="212"/>
      <c r="AM796" s="212"/>
      <c r="AN796" s="212"/>
    </row>
    <row r="797" spans="27:40" x14ac:dyDescent="0.35">
      <c r="AA797" s="212"/>
      <c r="AB797" s="212"/>
      <c r="AC797" s="212"/>
      <c r="AD797" s="212"/>
      <c r="AE797" s="212"/>
      <c r="AF797" s="212"/>
      <c r="AG797" s="212"/>
      <c r="AH797" s="212"/>
      <c r="AI797" s="212"/>
      <c r="AK797" s="212"/>
      <c r="AL797" s="212"/>
      <c r="AM797" s="212"/>
      <c r="AN797" s="212"/>
    </row>
    <row r="798" spans="27:40" x14ac:dyDescent="0.35">
      <c r="AA798" s="212"/>
      <c r="AB798" s="212"/>
      <c r="AC798" s="212"/>
      <c r="AD798" s="212"/>
      <c r="AE798" s="212"/>
      <c r="AF798" s="212"/>
      <c r="AG798" s="212"/>
      <c r="AH798" s="212"/>
      <c r="AI798" s="212"/>
      <c r="AK798" s="212"/>
      <c r="AL798" s="212"/>
      <c r="AM798" s="212"/>
      <c r="AN798" s="212"/>
    </row>
    <row r="799" spans="27:40" x14ac:dyDescent="0.35">
      <c r="AA799" s="212"/>
      <c r="AB799" s="212"/>
      <c r="AC799" s="212"/>
      <c r="AD799" s="212"/>
      <c r="AE799" s="212"/>
      <c r="AF799" s="212"/>
      <c r="AG799" s="212"/>
      <c r="AH799" s="212"/>
      <c r="AI799" s="212"/>
      <c r="AK799" s="212"/>
      <c r="AL799" s="212"/>
      <c r="AM799" s="212"/>
      <c r="AN799" s="212"/>
    </row>
    <row r="800" spans="27:40" x14ac:dyDescent="0.35">
      <c r="AA800" s="212"/>
      <c r="AB800" s="212"/>
      <c r="AC800" s="212"/>
      <c r="AD800" s="212"/>
      <c r="AE800" s="212"/>
      <c r="AF800" s="212"/>
      <c r="AG800" s="212"/>
      <c r="AH800" s="212"/>
      <c r="AI800" s="212"/>
      <c r="AK800" s="212"/>
      <c r="AL800" s="212"/>
      <c r="AM800" s="212"/>
      <c r="AN800" s="212"/>
    </row>
    <row r="801" spans="27:40" x14ac:dyDescent="0.35">
      <c r="AA801" s="212"/>
      <c r="AB801" s="212"/>
      <c r="AC801" s="212"/>
      <c r="AD801" s="212"/>
      <c r="AE801" s="212"/>
      <c r="AF801" s="212"/>
      <c r="AG801" s="212"/>
      <c r="AH801" s="212"/>
      <c r="AI801" s="212"/>
      <c r="AK801" s="212"/>
      <c r="AL801" s="212"/>
      <c r="AM801" s="212"/>
      <c r="AN801" s="212"/>
    </row>
    <row r="802" spans="27:40" x14ac:dyDescent="0.35">
      <c r="AA802" s="212"/>
      <c r="AB802" s="212"/>
      <c r="AC802" s="212"/>
      <c r="AD802" s="212"/>
      <c r="AE802" s="212"/>
      <c r="AF802" s="212"/>
      <c r="AG802" s="212"/>
      <c r="AH802" s="212"/>
      <c r="AI802" s="212"/>
      <c r="AK802" s="212"/>
      <c r="AL802" s="212"/>
      <c r="AM802" s="212"/>
      <c r="AN802" s="212"/>
    </row>
    <row r="803" spans="27:40" x14ac:dyDescent="0.35">
      <c r="AA803" s="212"/>
      <c r="AB803" s="212"/>
      <c r="AC803" s="212"/>
      <c r="AD803" s="212"/>
      <c r="AE803" s="212"/>
      <c r="AF803" s="212"/>
      <c r="AG803" s="212"/>
      <c r="AH803" s="212"/>
      <c r="AI803" s="212"/>
      <c r="AK803" s="212"/>
      <c r="AL803" s="212"/>
      <c r="AM803" s="212"/>
      <c r="AN803" s="212"/>
    </row>
    <row r="804" spans="27:40" x14ac:dyDescent="0.35">
      <c r="AA804" s="212"/>
      <c r="AB804" s="212"/>
      <c r="AC804" s="212"/>
      <c r="AD804" s="212"/>
      <c r="AE804" s="212"/>
      <c r="AF804" s="212"/>
      <c r="AG804" s="212"/>
      <c r="AH804" s="212"/>
      <c r="AI804" s="212"/>
      <c r="AK804" s="212"/>
      <c r="AL804" s="212"/>
      <c r="AM804" s="212"/>
      <c r="AN804" s="212"/>
    </row>
    <row r="805" spans="27:40" x14ac:dyDescent="0.35">
      <c r="AA805" s="212"/>
      <c r="AB805" s="212"/>
      <c r="AC805" s="212"/>
      <c r="AD805" s="212"/>
      <c r="AE805" s="212"/>
      <c r="AF805" s="212"/>
      <c r="AG805" s="212"/>
      <c r="AH805" s="212"/>
      <c r="AI805" s="212"/>
      <c r="AK805" s="212"/>
      <c r="AL805" s="212"/>
      <c r="AM805" s="212"/>
      <c r="AN805" s="212"/>
    </row>
    <row r="806" spans="27:40" x14ac:dyDescent="0.35">
      <c r="AA806" s="212"/>
      <c r="AB806" s="212"/>
      <c r="AC806" s="212"/>
      <c r="AD806" s="212"/>
      <c r="AE806" s="212"/>
      <c r="AF806" s="212"/>
      <c r="AG806" s="212"/>
      <c r="AH806" s="212"/>
      <c r="AI806" s="212"/>
      <c r="AK806" s="212"/>
      <c r="AL806" s="212"/>
      <c r="AM806" s="212"/>
      <c r="AN806" s="212"/>
    </row>
    <row r="807" spans="27:40" x14ac:dyDescent="0.35">
      <c r="AA807" s="212"/>
      <c r="AB807" s="212"/>
      <c r="AC807" s="212"/>
      <c r="AD807" s="212"/>
      <c r="AE807" s="212"/>
      <c r="AF807" s="212"/>
      <c r="AG807" s="212"/>
      <c r="AH807" s="212"/>
      <c r="AI807" s="212"/>
      <c r="AK807" s="212"/>
      <c r="AL807" s="212"/>
      <c r="AM807" s="212"/>
      <c r="AN807" s="212"/>
    </row>
    <row r="808" spans="27:40" x14ac:dyDescent="0.35">
      <c r="AA808" s="212"/>
      <c r="AB808" s="212"/>
      <c r="AC808" s="212"/>
      <c r="AD808" s="212"/>
      <c r="AE808" s="212"/>
      <c r="AF808" s="212"/>
      <c r="AG808" s="212"/>
      <c r="AH808" s="212"/>
      <c r="AI808" s="212"/>
      <c r="AK808" s="212"/>
      <c r="AL808" s="212"/>
      <c r="AM808" s="212"/>
      <c r="AN808" s="212"/>
    </row>
    <row r="809" spans="27:40" x14ac:dyDescent="0.35">
      <c r="AA809" s="212"/>
      <c r="AB809" s="212"/>
      <c r="AC809" s="212"/>
      <c r="AD809" s="212"/>
      <c r="AE809" s="212"/>
      <c r="AF809" s="212"/>
      <c r="AG809" s="212"/>
      <c r="AH809" s="212"/>
      <c r="AI809" s="212"/>
      <c r="AK809" s="212"/>
      <c r="AL809" s="212"/>
      <c r="AM809" s="212"/>
      <c r="AN809" s="212"/>
    </row>
    <row r="810" spans="27:40" x14ac:dyDescent="0.35">
      <c r="AA810" s="212"/>
      <c r="AB810" s="212"/>
      <c r="AC810" s="212"/>
      <c r="AD810" s="212"/>
      <c r="AE810" s="212"/>
      <c r="AF810" s="212"/>
      <c r="AG810" s="212"/>
      <c r="AH810" s="212"/>
      <c r="AI810" s="212"/>
      <c r="AK810" s="212"/>
      <c r="AL810" s="212"/>
      <c r="AM810" s="212"/>
      <c r="AN810" s="212"/>
    </row>
    <row r="811" spans="27:40" x14ac:dyDescent="0.35">
      <c r="AA811" s="212"/>
      <c r="AB811" s="212"/>
      <c r="AC811" s="212"/>
      <c r="AD811" s="212"/>
      <c r="AE811" s="212"/>
      <c r="AF811" s="212"/>
      <c r="AG811" s="212"/>
      <c r="AH811" s="212"/>
      <c r="AI811" s="212"/>
      <c r="AK811" s="212"/>
      <c r="AL811" s="212"/>
      <c r="AM811" s="212"/>
      <c r="AN811" s="212"/>
    </row>
    <row r="812" spans="27:40" x14ac:dyDescent="0.35">
      <c r="AA812" s="212"/>
      <c r="AB812" s="212"/>
      <c r="AC812" s="212"/>
      <c r="AD812" s="212"/>
      <c r="AE812" s="212"/>
      <c r="AF812" s="212"/>
      <c r="AG812" s="212"/>
      <c r="AH812" s="212"/>
      <c r="AI812" s="212"/>
      <c r="AK812" s="212"/>
      <c r="AL812" s="212"/>
      <c r="AM812" s="212"/>
      <c r="AN812" s="212"/>
    </row>
    <row r="813" spans="27:40" x14ac:dyDescent="0.35">
      <c r="AA813" s="212"/>
      <c r="AB813" s="212"/>
      <c r="AC813" s="212"/>
      <c r="AD813" s="212"/>
      <c r="AE813" s="212"/>
      <c r="AF813" s="212"/>
      <c r="AG813" s="212"/>
      <c r="AH813" s="212"/>
      <c r="AI813" s="212"/>
      <c r="AK813" s="212"/>
      <c r="AL813" s="212"/>
      <c r="AM813" s="212"/>
      <c r="AN813" s="212"/>
    </row>
    <row r="814" spans="27:40" x14ac:dyDescent="0.35">
      <c r="AA814" s="212"/>
      <c r="AB814" s="212"/>
      <c r="AC814" s="212"/>
      <c r="AD814" s="212"/>
      <c r="AE814" s="212"/>
      <c r="AF814" s="212"/>
      <c r="AG814" s="212"/>
      <c r="AH814" s="212"/>
      <c r="AI814" s="212"/>
      <c r="AK814" s="212"/>
      <c r="AL814" s="212"/>
      <c r="AM814" s="212"/>
      <c r="AN814" s="212"/>
    </row>
    <row r="815" spans="27:40" x14ac:dyDescent="0.35">
      <c r="AA815" s="212"/>
      <c r="AB815" s="212"/>
      <c r="AC815" s="212"/>
      <c r="AD815" s="212"/>
      <c r="AE815" s="212"/>
      <c r="AF815" s="212"/>
      <c r="AG815" s="212"/>
      <c r="AH815" s="212"/>
      <c r="AI815" s="212"/>
      <c r="AK815" s="212"/>
      <c r="AL815" s="212"/>
      <c r="AM815" s="212"/>
      <c r="AN815" s="212"/>
    </row>
    <row r="816" spans="27:40" x14ac:dyDescent="0.35">
      <c r="AA816" s="212"/>
      <c r="AB816" s="212"/>
      <c r="AC816" s="212"/>
      <c r="AD816" s="212"/>
      <c r="AE816" s="212"/>
      <c r="AF816" s="212"/>
      <c r="AG816" s="212"/>
      <c r="AH816" s="212"/>
      <c r="AI816" s="212"/>
      <c r="AK816" s="212"/>
      <c r="AL816" s="212"/>
      <c r="AM816" s="212"/>
      <c r="AN816" s="212"/>
    </row>
    <row r="817" spans="27:40" x14ac:dyDescent="0.35">
      <c r="AA817" s="212"/>
      <c r="AB817" s="212"/>
      <c r="AC817" s="212"/>
      <c r="AD817" s="212"/>
      <c r="AE817" s="212"/>
      <c r="AF817" s="212"/>
      <c r="AG817" s="212"/>
      <c r="AH817" s="212"/>
      <c r="AI817" s="212"/>
      <c r="AK817" s="212"/>
      <c r="AL817" s="212"/>
      <c r="AM817" s="212"/>
      <c r="AN817" s="212"/>
    </row>
    <row r="818" spans="27:40" x14ac:dyDescent="0.35">
      <c r="AA818" s="212"/>
      <c r="AB818" s="212"/>
      <c r="AC818" s="212"/>
      <c r="AD818" s="212"/>
      <c r="AE818" s="212"/>
      <c r="AF818" s="212"/>
      <c r="AG818" s="212"/>
      <c r="AH818" s="212"/>
      <c r="AI818" s="212"/>
      <c r="AK818" s="212"/>
      <c r="AL818" s="212"/>
      <c r="AM818" s="212"/>
      <c r="AN818" s="212"/>
    </row>
    <row r="819" spans="27:40" x14ac:dyDescent="0.35">
      <c r="AA819" s="212"/>
      <c r="AB819" s="212"/>
      <c r="AC819" s="212"/>
      <c r="AD819" s="212"/>
      <c r="AE819" s="212"/>
      <c r="AF819" s="212"/>
      <c r="AG819" s="212"/>
      <c r="AH819" s="212"/>
      <c r="AI819" s="212"/>
      <c r="AK819" s="212"/>
      <c r="AL819" s="212"/>
      <c r="AM819" s="212"/>
      <c r="AN819" s="212"/>
    </row>
    <row r="820" spans="27:40" x14ac:dyDescent="0.35">
      <c r="AA820" s="212"/>
      <c r="AB820" s="212"/>
      <c r="AC820" s="212"/>
      <c r="AD820" s="212"/>
      <c r="AE820" s="212"/>
      <c r="AF820" s="212"/>
      <c r="AG820" s="212"/>
      <c r="AH820" s="212"/>
      <c r="AI820" s="212"/>
      <c r="AK820" s="212"/>
      <c r="AL820" s="212"/>
      <c r="AM820" s="212"/>
      <c r="AN820" s="212"/>
    </row>
    <row r="821" spans="27:40" x14ac:dyDescent="0.35">
      <c r="AA821" s="212"/>
      <c r="AB821" s="212"/>
      <c r="AC821" s="212"/>
      <c r="AD821" s="212"/>
      <c r="AE821" s="212"/>
      <c r="AF821" s="212"/>
      <c r="AG821" s="212"/>
      <c r="AH821" s="212"/>
      <c r="AI821" s="212"/>
      <c r="AK821" s="212"/>
      <c r="AL821" s="212"/>
      <c r="AM821" s="212"/>
      <c r="AN821" s="212"/>
    </row>
    <row r="822" spans="27:40" x14ac:dyDescent="0.35">
      <c r="AA822" s="212"/>
      <c r="AB822" s="212"/>
      <c r="AC822" s="212"/>
      <c r="AD822" s="212"/>
      <c r="AE822" s="212"/>
      <c r="AF822" s="212"/>
      <c r="AG822" s="212"/>
      <c r="AH822" s="212"/>
      <c r="AI822" s="212"/>
      <c r="AK822" s="212"/>
      <c r="AL822" s="212"/>
      <c r="AM822" s="212"/>
      <c r="AN822" s="212"/>
    </row>
    <row r="823" spans="27:40" x14ac:dyDescent="0.35">
      <c r="AA823" s="212"/>
      <c r="AB823" s="212"/>
      <c r="AC823" s="212"/>
      <c r="AD823" s="212"/>
      <c r="AE823" s="212"/>
      <c r="AF823" s="212"/>
      <c r="AG823" s="212"/>
      <c r="AH823" s="212"/>
      <c r="AI823" s="212"/>
      <c r="AK823" s="212"/>
      <c r="AL823" s="212"/>
      <c r="AM823" s="212"/>
      <c r="AN823" s="212"/>
    </row>
    <row r="824" spans="27:40" x14ac:dyDescent="0.35">
      <c r="AA824" s="212"/>
      <c r="AB824" s="212"/>
      <c r="AC824" s="212"/>
      <c r="AD824" s="212"/>
      <c r="AE824" s="212"/>
      <c r="AF824" s="212"/>
      <c r="AG824" s="212"/>
      <c r="AH824" s="212"/>
      <c r="AI824" s="212"/>
      <c r="AK824" s="212"/>
      <c r="AL824" s="212"/>
      <c r="AM824" s="212"/>
      <c r="AN824" s="212"/>
    </row>
    <row r="825" spans="27:40" x14ac:dyDescent="0.35">
      <c r="AA825" s="212"/>
      <c r="AB825" s="212"/>
      <c r="AC825" s="212"/>
      <c r="AD825" s="212"/>
      <c r="AE825" s="212"/>
      <c r="AF825" s="212"/>
      <c r="AG825" s="212"/>
      <c r="AH825" s="212"/>
      <c r="AI825" s="212"/>
      <c r="AK825" s="212"/>
      <c r="AL825" s="212"/>
      <c r="AM825" s="212"/>
      <c r="AN825" s="212"/>
    </row>
    <row r="826" spans="27:40" x14ac:dyDescent="0.35">
      <c r="AA826" s="212"/>
      <c r="AB826" s="212"/>
      <c r="AC826" s="212"/>
      <c r="AD826" s="212"/>
      <c r="AE826" s="212"/>
      <c r="AF826" s="212"/>
      <c r="AG826" s="212"/>
      <c r="AH826" s="212"/>
      <c r="AI826" s="212"/>
      <c r="AK826" s="212"/>
      <c r="AL826" s="212"/>
      <c r="AM826" s="212"/>
      <c r="AN826" s="212"/>
    </row>
    <row r="827" spans="27:40" x14ac:dyDescent="0.35">
      <c r="AA827" s="212"/>
      <c r="AB827" s="212"/>
      <c r="AC827" s="212"/>
      <c r="AD827" s="212"/>
      <c r="AE827" s="212"/>
      <c r="AF827" s="212"/>
      <c r="AG827" s="212"/>
      <c r="AH827" s="212"/>
      <c r="AI827" s="212"/>
      <c r="AK827" s="212"/>
      <c r="AL827" s="212"/>
      <c r="AM827" s="212"/>
      <c r="AN827" s="212"/>
    </row>
    <row r="828" spans="27:40" x14ac:dyDescent="0.35">
      <c r="AA828" s="212"/>
      <c r="AB828" s="212"/>
      <c r="AC828" s="212"/>
      <c r="AD828" s="212"/>
      <c r="AE828" s="212"/>
      <c r="AF828" s="212"/>
      <c r="AG828" s="212"/>
      <c r="AH828" s="212"/>
      <c r="AI828" s="212"/>
      <c r="AK828" s="212"/>
      <c r="AL828" s="212"/>
      <c r="AM828" s="212"/>
      <c r="AN828" s="212"/>
    </row>
    <row r="829" spans="27:40" x14ac:dyDescent="0.35">
      <c r="AA829" s="212"/>
      <c r="AB829" s="212"/>
      <c r="AC829" s="212"/>
      <c r="AD829" s="212"/>
      <c r="AE829" s="212"/>
      <c r="AF829" s="212"/>
      <c r="AG829" s="212"/>
      <c r="AH829" s="212"/>
      <c r="AI829" s="212"/>
      <c r="AK829" s="212"/>
      <c r="AL829" s="212"/>
      <c r="AM829" s="212"/>
      <c r="AN829" s="212"/>
    </row>
    <row r="830" spans="27:40" x14ac:dyDescent="0.35">
      <c r="AA830" s="212"/>
      <c r="AB830" s="212"/>
      <c r="AC830" s="212"/>
      <c r="AD830" s="212"/>
      <c r="AE830" s="212"/>
      <c r="AF830" s="212"/>
      <c r="AG830" s="212"/>
      <c r="AH830" s="212"/>
      <c r="AI830" s="212"/>
      <c r="AK830" s="212"/>
      <c r="AL830" s="212"/>
      <c r="AM830" s="212"/>
      <c r="AN830" s="212"/>
    </row>
    <row r="831" spans="27:40" x14ac:dyDescent="0.35">
      <c r="AA831" s="212"/>
      <c r="AB831" s="212"/>
      <c r="AC831" s="212"/>
      <c r="AD831" s="212"/>
      <c r="AE831" s="212"/>
      <c r="AF831" s="212"/>
      <c r="AG831" s="212"/>
      <c r="AH831" s="212"/>
      <c r="AI831" s="212"/>
      <c r="AK831" s="212"/>
      <c r="AL831" s="212"/>
      <c r="AM831" s="212"/>
      <c r="AN831" s="212"/>
    </row>
    <row r="832" spans="27:40" x14ac:dyDescent="0.35">
      <c r="AA832" s="212"/>
      <c r="AB832" s="212"/>
      <c r="AC832" s="212"/>
      <c r="AD832" s="212"/>
      <c r="AE832" s="212"/>
      <c r="AF832" s="212"/>
      <c r="AG832" s="212"/>
      <c r="AH832" s="212"/>
      <c r="AI832" s="212"/>
      <c r="AK832" s="212"/>
      <c r="AL832" s="212"/>
      <c r="AM832" s="212"/>
      <c r="AN832" s="212"/>
    </row>
    <row r="833" spans="27:40" x14ac:dyDescent="0.35">
      <c r="AA833" s="212"/>
      <c r="AB833" s="212"/>
      <c r="AC833" s="212"/>
      <c r="AD833" s="212"/>
      <c r="AE833" s="212"/>
      <c r="AF833" s="212"/>
      <c r="AG833" s="212"/>
      <c r="AH833" s="212"/>
      <c r="AI833" s="212"/>
      <c r="AK833" s="212"/>
      <c r="AL833" s="212"/>
      <c r="AM833" s="212"/>
      <c r="AN833" s="212"/>
    </row>
    <row r="834" spans="27:40" x14ac:dyDescent="0.35">
      <c r="AA834" s="212"/>
      <c r="AB834" s="212"/>
      <c r="AC834" s="212"/>
      <c r="AD834" s="212"/>
      <c r="AE834" s="212"/>
      <c r="AF834" s="212"/>
      <c r="AG834" s="212"/>
      <c r="AH834" s="212"/>
      <c r="AI834" s="212"/>
      <c r="AK834" s="212"/>
      <c r="AL834" s="212"/>
      <c r="AM834" s="212"/>
      <c r="AN834" s="212"/>
    </row>
    <row r="835" spans="27:40" x14ac:dyDescent="0.35">
      <c r="AA835" s="212"/>
      <c r="AB835" s="212"/>
      <c r="AC835" s="212"/>
      <c r="AD835" s="212"/>
      <c r="AE835" s="212"/>
      <c r="AF835" s="212"/>
      <c r="AG835" s="212"/>
      <c r="AH835" s="212"/>
      <c r="AI835" s="212"/>
      <c r="AK835" s="212"/>
      <c r="AL835" s="212"/>
      <c r="AM835" s="212"/>
      <c r="AN835" s="212"/>
    </row>
    <row r="836" spans="27:40" x14ac:dyDescent="0.35">
      <c r="AA836" s="212"/>
      <c r="AB836" s="212"/>
      <c r="AC836" s="212"/>
      <c r="AD836" s="212"/>
      <c r="AE836" s="212"/>
      <c r="AF836" s="212"/>
      <c r="AG836" s="212"/>
      <c r="AH836" s="212"/>
      <c r="AI836" s="212"/>
      <c r="AK836" s="212"/>
      <c r="AL836" s="212"/>
      <c r="AM836" s="212"/>
      <c r="AN836" s="212"/>
    </row>
    <row r="837" spans="27:40" x14ac:dyDescent="0.35">
      <c r="AA837" s="212"/>
      <c r="AB837" s="212"/>
      <c r="AC837" s="212"/>
      <c r="AD837" s="212"/>
      <c r="AE837" s="212"/>
      <c r="AF837" s="212"/>
      <c r="AG837" s="212"/>
      <c r="AH837" s="212"/>
      <c r="AI837" s="212"/>
      <c r="AK837" s="212"/>
      <c r="AL837" s="212"/>
      <c r="AM837" s="212"/>
      <c r="AN837" s="212"/>
    </row>
    <row r="838" spans="27:40" x14ac:dyDescent="0.35">
      <c r="AA838" s="212"/>
      <c r="AB838" s="212"/>
      <c r="AC838" s="212"/>
      <c r="AD838" s="212"/>
      <c r="AE838" s="212"/>
      <c r="AF838" s="212"/>
      <c r="AG838" s="212"/>
      <c r="AH838" s="212"/>
      <c r="AI838" s="212"/>
      <c r="AK838" s="212"/>
      <c r="AL838" s="212"/>
      <c r="AM838" s="212"/>
      <c r="AN838" s="212"/>
    </row>
    <row r="839" spans="27:40" x14ac:dyDescent="0.35">
      <c r="AA839" s="212"/>
      <c r="AB839" s="212"/>
      <c r="AC839" s="212"/>
      <c r="AD839" s="212"/>
      <c r="AE839" s="212"/>
      <c r="AF839" s="212"/>
      <c r="AG839" s="212"/>
      <c r="AH839" s="212"/>
      <c r="AI839" s="212"/>
      <c r="AK839" s="212"/>
      <c r="AL839" s="212"/>
      <c r="AM839" s="212"/>
      <c r="AN839" s="212"/>
    </row>
    <row r="840" spans="27:40" x14ac:dyDescent="0.35">
      <c r="AA840" s="212"/>
      <c r="AB840" s="212"/>
      <c r="AC840" s="212"/>
      <c r="AD840" s="212"/>
      <c r="AE840" s="212"/>
      <c r="AF840" s="212"/>
      <c r="AG840" s="212"/>
      <c r="AH840" s="212"/>
      <c r="AI840" s="212"/>
      <c r="AK840" s="212"/>
      <c r="AL840" s="212"/>
      <c r="AM840" s="212"/>
      <c r="AN840" s="212"/>
    </row>
    <row r="841" spans="27:40" x14ac:dyDescent="0.35">
      <c r="AA841" s="212"/>
      <c r="AB841" s="212"/>
      <c r="AC841" s="212"/>
      <c r="AD841" s="212"/>
      <c r="AE841" s="212"/>
      <c r="AF841" s="212"/>
      <c r="AG841" s="212"/>
      <c r="AH841" s="212"/>
      <c r="AI841" s="212"/>
      <c r="AK841" s="212"/>
      <c r="AL841" s="212"/>
      <c r="AM841" s="212"/>
      <c r="AN841" s="212"/>
    </row>
    <row r="842" spans="27:40" x14ac:dyDescent="0.35">
      <c r="AA842" s="212"/>
      <c r="AB842" s="212"/>
      <c r="AC842" s="212"/>
      <c r="AD842" s="212"/>
      <c r="AE842" s="212"/>
      <c r="AF842" s="212"/>
      <c r="AG842" s="212"/>
      <c r="AH842" s="212"/>
      <c r="AI842" s="212"/>
      <c r="AK842" s="212"/>
      <c r="AL842" s="212"/>
      <c r="AM842" s="212"/>
      <c r="AN842" s="212"/>
    </row>
    <row r="843" spans="27:40" x14ac:dyDescent="0.35">
      <c r="AA843" s="212"/>
      <c r="AB843" s="212"/>
      <c r="AC843" s="212"/>
      <c r="AD843" s="212"/>
      <c r="AE843" s="212"/>
      <c r="AF843" s="212"/>
      <c r="AG843" s="212"/>
      <c r="AH843" s="212"/>
      <c r="AI843" s="212"/>
      <c r="AK843" s="212"/>
      <c r="AL843" s="212"/>
      <c r="AM843" s="212"/>
      <c r="AN843" s="212"/>
    </row>
    <row r="844" spans="27:40" x14ac:dyDescent="0.35">
      <c r="AA844" s="212"/>
      <c r="AB844" s="212"/>
      <c r="AC844" s="212"/>
      <c r="AD844" s="212"/>
      <c r="AE844" s="212"/>
      <c r="AF844" s="212"/>
      <c r="AG844" s="212"/>
      <c r="AH844" s="212"/>
      <c r="AI844" s="212"/>
      <c r="AK844" s="212"/>
      <c r="AL844" s="212"/>
      <c r="AM844" s="212"/>
      <c r="AN844" s="212"/>
    </row>
    <row r="845" spans="27:40" x14ac:dyDescent="0.35">
      <c r="AA845" s="212"/>
      <c r="AB845" s="212"/>
      <c r="AC845" s="212"/>
      <c r="AD845" s="212"/>
      <c r="AE845" s="212"/>
      <c r="AF845" s="212"/>
      <c r="AG845" s="212"/>
      <c r="AH845" s="212"/>
      <c r="AI845" s="212"/>
      <c r="AK845" s="212"/>
      <c r="AL845" s="212"/>
      <c r="AM845" s="212"/>
      <c r="AN845" s="212"/>
    </row>
    <row r="846" spans="27:40" x14ac:dyDescent="0.35">
      <c r="AA846" s="212"/>
      <c r="AB846" s="212"/>
      <c r="AC846" s="212"/>
      <c r="AD846" s="212"/>
      <c r="AE846" s="212"/>
      <c r="AF846" s="212"/>
      <c r="AG846" s="212"/>
      <c r="AH846" s="212"/>
      <c r="AI846" s="212"/>
      <c r="AK846" s="212"/>
      <c r="AL846" s="212"/>
      <c r="AM846" s="212"/>
      <c r="AN846" s="212"/>
    </row>
    <row r="847" spans="27:40" x14ac:dyDescent="0.35">
      <c r="AA847" s="212"/>
      <c r="AB847" s="212"/>
      <c r="AC847" s="212"/>
      <c r="AD847" s="212"/>
      <c r="AE847" s="212"/>
      <c r="AF847" s="212"/>
      <c r="AG847" s="212"/>
      <c r="AH847" s="212"/>
      <c r="AI847" s="212"/>
      <c r="AK847" s="212"/>
      <c r="AL847" s="212"/>
      <c r="AM847" s="212"/>
      <c r="AN847" s="212"/>
    </row>
    <row r="848" spans="27:40" x14ac:dyDescent="0.35">
      <c r="AA848" s="212"/>
      <c r="AB848" s="212"/>
      <c r="AC848" s="212"/>
      <c r="AD848" s="212"/>
      <c r="AE848" s="212"/>
      <c r="AF848" s="212"/>
      <c r="AG848" s="212"/>
      <c r="AH848" s="212"/>
      <c r="AI848" s="212"/>
      <c r="AK848" s="212"/>
      <c r="AL848" s="212"/>
      <c r="AM848" s="212"/>
      <c r="AN848" s="212"/>
    </row>
    <row r="849" spans="27:40" x14ac:dyDescent="0.35">
      <c r="AA849" s="212"/>
      <c r="AB849" s="212"/>
      <c r="AC849" s="212"/>
      <c r="AD849" s="212"/>
      <c r="AE849" s="212"/>
      <c r="AF849" s="212"/>
      <c r="AG849" s="212"/>
      <c r="AH849" s="212"/>
      <c r="AI849" s="212"/>
      <c r="AK849" s="212"/>
      <c r="AL849" s="212"/>
      <c r="AM849" s="212"/>
      <c r="AN849" s="212"/>
    </row>
    <row r="850" spans="27:40" x14ac:dyDescent="0.35">
      <c r="AA850" s="212"/>
      <c r="AB850" s="212"/>
      <c r="AC850" s="212"/>
      <c r="AD850" s="212"/>
      <c r="AE850" s="212"/>
      <c r="AF850" s="212"/>
      <c r="AG850" s="212"/>
      <c r="AH850" s="212"/>
      <c r="AI850" s="212"/>
      <c r="AK850" s="212"/>
      <c r="AL850" s="212"/>
      <c r="AM850" s="212"/>
      <c r="AN850" s="212"/>
    </row>
    <row r="851" spans="27:40" x14ac:dyDescent="0.35">
      <c r="AA851" s="212"/>
      <c r="AB851" s="212"/>
      <c r="AC851" s="212"/>
      <c r="AD851" s="212"/>
      <c r="AE851" s="212"/>
      <c r="AF851" s="212"/>
      <c r="AG851" s="212"/>
      <c r="AH851" s="212"/>
      <c r="AI851" s="212"/>
      <c r="AK851" s="212"/>
      <c r="AL851" s="212"/>
      <c r="AM851" s="212"/>
      <c r="AN851" s="212"/>
    </row>
    <row r="852" spans="27:40" x14ac:dyDescent="0.35">
      <c r="AA852" s="212"/>
      <c r="AB852" s="212"/>
      <c r="AC852" s="212"/>
      <c r="AD852" s="212"/>
      <c r="AE852" s="212"/>
      <c r="AF852" s="212"/>
      <c r="AG852" s="212"/>
      <c r="AH852" s="212"/>
      <c r="AI852" s="212"/>
      <c r="AK852" s="212"/>
      <c r="AL852" s="212"/>
      <c r="AM852" s="212"/>
      <c r="AN852" s="212"/>
    </row>
    <row r="853" spans="27:40" x14ac:dyDescent="0.35">
      <c r="AA853" s="212"/>
      <c r="AB853" s="212"/>
      <c r="AC853" s="212"/>
      <c r="AD853" s="212"/>
      <c r="AE853" s="212"/>
      <c r="AF853" s="212"/>
      <c r="AG853" s="212"/>
      <c r="AH853" s="212"/>
      <c r="AI853" s="212"/>
      <c r="AK853" s="212"/>
      <c r="AL853" s="212"/>
      <c r="AM853" s="212"/>
      <c r="AN853" s="212"/>
    </row>
    <row r="854" spans="27:40" x14ac:dyDescent="0.35">
      <c r="AA854" s="212"/>
      <c r="AB854" s="212"/>
      <c r="AC854" s="212"/>
      <c r="AD854" s="212"/>
      <c r="AE854" s="212"/>
      <c r="AF854" s="212"/>
      <c r="AG854" s="212"/>
      <c r="AH854" s="212"/>
      <c r="AI854" s="212"/>
      <c r="AK854" s="212"/>
      <c r="AL854" s="212"/>
      <c r="AM854" s="212"/>
      <c r="AN854" s="212"/>
    </row>
    <row r="855" spans="27:40" x14ac:dyDescent="0.35">
      <c r="AA855" s="212"/>
      <c r="AB855" s="212"/>
      <c r="AC855" s="212"/>
      <c r="AD855" s="212"/>
      <c r="AE855" s="212"/>
      <c r="AF855" s="212"/>
      <c r="AG855" s="212"/>
      <c r="AH855" s="212"/>
      <c r="AI855" s="212"/>
      <c r="AK855" s="212"/>
      <c r="AL855" s="212"/>
      <c r="AM855" s="212"/>
      <c r="AN855" s="212"/>
    </row>
    <row r="856" spans="27:40" x14ac:dyDescent="0.35">
      <c r="AA856" s="212"/>
      <c r="AB856" s="212"/>
      <c r="AC856" s="212"/>
      <c r="AD856" s="212"/>
      <c r="AE856" s="212"/>
      <c r="AF856" s="212"/>
      <c r="AG856" s="212"/>
      <c r="AH856" s="212"/>
      <c r="AI856" s="212"/>
      <c r="AK856" s="212"/>
      <c r="AL856" s="212"/>
      <c r="AM856" s="212"/>
      <c r="AN856" s="212"/>
    </row>
    <row r="857" spans="27:40" x14ac:dyDescent="0.35">
      <c r="AA857" s="212"/>
      <c r="AB857" s="212"/>
      <c r="AC857" s="212"/>
      <c r="AD857" s="212"/>
      <c r="AE857" s="212"/>
      <c r="AF857" s="212"/>
      <c r="AG857" s="212"/>
      <c r="AH857" s="212"/>
      <c r="AI857" s="212"/>
      <c r="AK857" s="212"/>
      <c r="AL857" s="212"/>
      <c r="AM857" s="212"/>
      <c r="AN857" s="212"/>
    </row>
    <row r="858" spans="27:40" x14ac:dyDescent="0.35">
      <c r="AA858" s="212"/>
      <c r="AB858" s="212"/>
      <c r="AC858" s="212"/>
      <c r="AD858" s="212"/>
      <c r="AE858" s="212"/>
      <c r="AF858" s="212"/>
      <c r="AG858" s="212"/>
      <c r="AH858" s="212"/>
      <c r="AI858" s="212"/>
      <c r="AK858" s="212"/>
      <c r="AL858" s="212"/>
      <c r="AM858" s="212"/>
      <c r="AN858" s="212"/>
    </row>
    <row r="859" spans="27:40" x14ac:dyDescent="0.35">
      <c r="AA859" s="212"/>
      <c r="AB859" s="212"/>
      <c r="AC859" s="212"/>
      <c r="AD859" s="212"/>
      <c r="AE859" s="212"/>
      <c r="AF859" s="212"/>
      <c r="AG859" s="212"/>
      <c r="AH859" s="212"/>
      <c r="AI859" s="212"/>
      <c r="AK859" s="212"/>
      <c r="AL859" s="212"/>
      <c r="AM859" s="212"/>
      <c r="AN859" s="212"/>
    </row>
    <row r="860" spans="27:40" x14ac:dyDescent="0.35">
      <c r="AA860" s="212"/>
      <c r="AB860" s="212"/>
      <c r="AC860" s="212"/>
      <c r="AD860" s="212"/>
      <c r="AE860" s="212"/>
      <c r="AF860" s="212"/>
      <c r="AG860" s="212"/>
      <c r="AH860" s="212"/>
      <c r="AI860" s="212"/>
      <c r="AK860" s="212"/>
      <c r="AL860" s="212"/>
      <c r="AM860" s="212"/>
      <c r="AN860" s="212"/>
    </row>
    <row r="861" spans="27:40" x14ac:dyDescent="0.35">
      <c r="AA861" s="212"/>
      <c r="AB861" s="212"/>
      <c r="AC861" s="212"/>
      <c r="AD861" s="212"/>
      <c r="AE861" s="212"/>
      <c r="AF861" s="212"/>
      <c r="AG861" s="212"/>
      <c r="AH861" s="212"/>
      <c r="AI861" s="212"/>
      <c r="AK861" s="212"/>
      <c r="AL861" s="212"/>
      <c r="AM861" s="212"/>
      <c r="AN861" s="212"/>
    </row>
    <row r="862" spans="27:40" x14ac:dyDescent="0.35">
      <c r="AA862" s="212"/>
      <c r="AB862" s="212"/>
      <c r="AC862" s="212"/>
      <c r="AD862" s="212"/>
      <c r="AE862" s="212"/>
      <c r="AF862" s="212"/>
      <c r="AG862" s="212"/>
      <c r="AH862" s="212"/>
      <c r="AI862" s="212"/>
      <c r="AK862" s="212"/>
      <c r="AL862" s="212"/>
      <c r="AM862" s="212"/>
      <c r="AN862" s="212"/>
    </row>
    <row r="863" spans="27:40" x14ac:dyDescent="0.35">
      <c r="AA863" s="212"/>
      <c r="AB863" s="212"/>
      <c r="AC863" s="212"/>
      <c r="AD863" s="212"/>
      <c r="AE863" s="212"/>
      <c r="AF863" s="212"/>
      <c r="AG863" s="212"/>
      <c r="AH863" s="212"/>
      <c r="AI863" s="212"/>
      <c r="AK863" s="212"/>
      <c r="AL863" s="212"/>
      <c r="AM863" s="212"/>
      <c r="AN863" s="212"/>
    </row>
    <row r="864" spans="27:40" x14ac:dyDescent="0.35">
      <c r="AA864" s="212"/>
      <c r="AB864" s="212"/>
      <c r="AC864" s="212"/>
      <c r="AD864" s="212"/>
      <c r="AE864" s="212"/>
      <c r="AF864" s="212"/>
      <c r="AG864" s="212"/>
      <c r="AH864" s="212"/>
      <c r="AI864" s="212"/>
      <c r="AK864" s="212"/>
      <c r="AL864" s="212"/>
      <c r="AM864" s="212"/>
      <c r="AN864" s="212"/>
    </row>
    <row r="865" spans="27:40" x14ac:dyDescent="0.35">
      <c r="AA865" s="212"/>
      <c r="AB865" s="212"/>
      <c r="AC865" s="212"/>
      <c r="AD865" s="212"/>
      <c r="AE865" s="212"/>
      <c r="AF865" s="212"/>
      <c r="AG865" s="212"/>
      <c r="AH865" s="212"/>
      <c r="AI865" s="212"/>
      <c r="AK865" s="212"/>
      <c r="AL865" s="212"/>
      <c r="AM865" s="212"/>
      <c r="AN865" s="212"/>
    </row>
    <row r="866" spans="27:40" x14ac:dyDescent="0.35">
      <c r="AA866" s="212"/>
      <c r="AB866" s="212"/>
      <c r="AC866" s="212"/>
      <c r="AD866" s="212"/>
      <c r="AE866" s="212"/>
      <c r="AF866" s="212"/>
      <c r="AG866" s="212"/>
      <c r="AH866" s="212"/>
      <c r="AI866" s="212"/>
      <c r="AK866" s="212"/>
      <c r="AL866" s="212"/>
      <c r="AM866" s="212"/>
      <c r="AN866" s="212"/>
    </row>
    <row r="867" spans="27:40" x14ac:dyDescent="0.35">
      <c r="AA867" s="212"/>
      <c r="AB867" s="212"/>
      <c r="AC867" s="212"/>
      <c r="AD867" s="212"/>
      <c r="AE867" s="212"/>
      <c r="AF867" s="212"/>
      <c r="AG867" s="212"/>
      <c r="AH867" s="212"/>
      <c r="AI867" s="212"/>
      <c r="AK867" s="212"/>
      <c r="AL867" s="212"/>
      <c r="AM867" s="212"/>
      <c r="AN867" s="212"/>
    </row>
    <row r="868" spans="27:40" x14ac:dyDescent="0.35">
      <c r="AA868" s="212"/>
      <c r="AB868" s="212"/>
      <c r="AC868" s="212"/>
      <c r="AD868" s="212"/>
      <c r="AE868" s="212"/>
      <c r="AF868" s="212"/>
      <c r="AG868" s="212"/>
      <c r="AH868" s="212"/>
      <c r="AI868" s="212"/>
      <c r="AK868" s="212"/>
      <c r="AL868" s="212"/>
      <c r="AM868" s="212"/>
      <c r="AN868" s="212"/>
    </row>
    <row r="869" spans="27:40" x14ac:dyDescent="0.35">
      <c r="AA869" s="212"/>
      <c r="AB869" s="212"/>
      <c r="AC869" s="212"/>
      <c r="AD869" s="212"/>
      <c r="AE869" s="212"/>
      <c r="AF869" s="212"/>
      <c r="AG869" s="212"/>
      <c r="AH869" s="212"/>
      <c r="AI869" s="212"/>
      <c r="AK869" s="212"/>
      <c r="AL869" s="212"/>
      <c r="AM869" s="212"/>
      <c r="AN869" s="212"/>
    </row>
    <row r="870" spans="27:40" x14ac:dyDescent="0.35">
      <c r="AA870" s="212"/>
      <c r="AB870" s="212"/>
      <c r="AC870" s="212"/>
      <c r="AD870" s="212"/>
      <c r="AE870" s="212"/>
      <c r="AF870" s="212"/>
      <c r="AG870" s="212"/>
      <c r="AH870" s="212"/>
      <c r="AI870" s="212"/>
      <c r="AK870" s="212"/>
      <c r="AL870" s="212"/>
      <c r="AM870" s="212"/>
      <c r="AN870" s="212"/>
    </row>
    <row r="871" spans="27:40" x14ac:dyDescent="0.35">
      <c r="AA871" s="212"/>
      <c r="AB871" s="212"/>
      <c r="AC871" s="212"/>
      <c r="AD871" s="212"/>
      <c r="AE871" s="212"/>
      <c r="AF871" s="212"/>
      <c r="AG871" s="212"/>
      <c r="AH871" s="212"/>
      <c r="AI871" s="212"/>
      <c r="AK871" s="212"/>
      <c r="AL871" s="212"/>
      <c r="AM871" s="212"/>
      <c r="AN871" s="212"/>
    </row>
    <row r="872" spans="27:40" x14ac:dyDescent="0.35">
      <c r="AA872" s="212"/>
      <c r="AB872" s="212"/>
      <c r="AC872" s="212"/>
      <c r="AD872" s="212"/>
      <c r="AE872" s="212"/>
      <c r="AF872" s="212"/>
      <c r="AG872" s="212"/>
      <c r="AH872" s="212"/>
      <c r="AI872" s="212"/>
      <c r="AK872" s="212"/>
      <c r="AL872" s="212"/>
      <c r="AM872" s="212"/>
      <c r="AN872" s="212"/>
    </row>
    <row r="873" spans="27:40" x14ac:dyDescent="0.35">
      <c r="AA873" s="212"/>
      <c r="AB873" s="212"/>
      <c r="AC873" s="212"/>
      <c r="AD873" s="212"/>
      <c r="AE873" s="212"/>
      <c r="AF873" s="212"/>
      <c r="AG873" s="212"/>
      <c r="AH873" s="212"/>
      <c r="AI873" s="212"/>
      <c r="AK873" s="212"/>
      <c r="AL873" s="212"/>
      <c r="AM873" s="212"/>
      <c r="AN873" s="212"/>
    </row>
  </sheetData>
  <mergeCells count="2">
    <mergeCell ref="L2:L6"/>
    <mergeCell ref="M2:O6"/>
  </mergeCells>
  <conditionalFormatting sqref="A5">
    <cfRule type="cellIs" dxfId="13" priority="5" operator="equal">
      <formula>TRUE</formula>
    </cfRule>
  </conditionalFormatting>
  <conditionalFormatting sqref="B9:B135">
    <cfRule type="cellIs" dxfId="12" priority="3" operator="equal">
      <formula>TRUE</formula>
    </cfRule>
  </conditionalFormatting>
  <conditionalFormatting sqref="H2">
    <cfRule type="cellIs" dxfId="11" priority="4" operator="equal">
      <formula>TRUE</formula>
    </cfRule>
  </conditionalFormatting>
  <conditionalFormatting sqref="M2:N2">
    <cfRule type="duplicateValues" dxfId="10" priority="2"/>
  </conditionalFormatting>
  <conditionalFormatting sqref="AV12">
    <cfRule type="duplicateValues" dxfId="9" priority="1"/>
  </conditionalFormatting>
  <dataValidations count="7">
    <dataValidation type="list" allowBlank="1" showInputMessage="1" showErrorMessage="1" sqref="H3" xr:uid="{2D2EDC03-708B-4358-9D6E-FE46A37D99E7}">
      <formula1>_VP</formula1>
    </dataValidation>
    <dataValidation type="list" allowBlank="1" showInputMessage="1" showErrorMessage="1" sqref="AT69:AT72 AT88" xr:uid="{9D0B251A-F1AC-4AC3-B438-208EB01E0EA6}">
      <formula1>"2023,2024,2025,2026 (Nova Demanda)"</formula1>
    </dataValidation>
    <dataValidation type="list" allowBlank="1" showInputMessage="1" showErrorMessage="1" sqref="H9:H135" xr:uid="{E2315FF9-2F0D-42FD-B5D4-6F5ACF65EEF6}">
      <formula1>_Corporativo_SPE</formula1>
    </dataValidation>
    <dataValidation type="list" allowBlank="1" showInputMessage="1" showErrorMessage="1" sqref="J9:J135" xr:uid="{6A97D6FA-4363-49FB-BD17-ED2FA2844297}">
      <formula1>_Segmento</formula1>
    </dataValidation>
    <dataValidation type="list" allowBlank="1" showInputMessage="1" showErrorMessage="1" sqref="K9:K135" xr:uid="{B553B03C-213F-4B31-869C-CD67F0A72F64}">
      <formula1>INDIRECT($J9)</formula1>
    </dataValidation>
    <dataValidation type="list" allowBlank="1" showInputMessage="1" showErrorMessage="1" sqref="I9:I135" xr:uid="{6DF493F3-86E6-4771-A54D-478A501D187C}">
      <formula1>INDIRECT($H9)</formula1>
    </dataValidation>
    <dataValidation type="list" allowBlank="1" showInputMessage="1" showErrorMessage="1" sqref="L9:L135" xr:uid="{7A797EEC-6446-49A7-BAAA-A33894C41BF8}">
      <formula1>INDIRECT(SUBSTITUTE($J9&amp;$K9," ",""))</formula1>
    </dataValidation>
  </dataValidations>
  <pageMargins left="0.511811024" right="0.511811024" top="0.78740157499999996" bottom="0.78740157499999996" header="0.31496062000000002" footer="0.31496062000000002"/>
  <pageSetup paperSize="9" orientation="portrait" r:id="rId1"/>
  <headerFooter>
    <oddFooter>&amp;C_x000D_&amp;1#&amp;"Calibri"&amp;10&amp;K0000FF Classificação: Interna</oddFooter>
  </headerFooter>
  <legacyDrawing r:id="rId2"/>
  <tableParts count="1">
    <tablePart r:id="rId3"/>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2D968-7CC4-4C02-BD12-0F1068D0B72B}">
  <sheetPr>
    <tabColor rgb="FF00B050"/>
  </sheetPr>
  <dimension ref="A1:AZ960"/>
  <sheetViews>
    <sheetView showGridLines="0" topLeftCell="AS1" zoomScaleNormal="100" workbookViewId="0">
      <pane ySplit="8" topLeftCell="A212" activePane="bottomLeft" state="frozenSplit"/>
      <selection activeCell="AS1" sqref="AS1"/>
      <selection pane="bottomLeft" activeCell="H9" sqref="H9:AZ217"/>
    </sheetView>
  </sheetViews>
  <sheetFormatPr defaultColWidth="8.69921875" defaultRowHeight="14.5" x14ac:dyDescent="0.35"/>
  <cols>
    <col min="1" max="1" width="20.3984375" style="1" customWidth="1"/>
    <col min="2" max="2" width="14.3984375" style="2" customWidth="1"/>
    <col min="3" max="3" width="17.09765625" style="3" customWidth="1"/>
    <col min="4" max="4" width="15.09765625" style="2" customWidth="1"/>
    <col min="5" max="5" width="17" style="2" customWidth="1"/>
    <col min="6" max="7" width="14.296875" style="2" customWidth="1"/>
    <col min="8" max="8" width="25.09765625" style="90" customWidth="1"/>
    <col min="9" max="9" width="22" style="90" customWidth="1"/>
    <col min="10" max="10" width="28.59765625" style="90" customWidth="1"/>
    <col min="11" max="11" width="30.59765625" style="2" customWidth="1"/>
    <col min="12" max="12" width="27.59765625" style="2" customWidth="1"/>
    <col min="13" max="14" width="26.3984375" style="2" customWidth="1"/>
    <col min="15" max="15" width="25.69921875" style="90" customWidth="1"/>
    <col min="16" max="16" width="21.69921875" style="90" customWidth="1"/>
    <col min="17" max="17" width="24.296875" style="2" customWidth="1"/>
    <col min="18" max="18" width="19.8984375" style="90" customWidth="1"/>
    <col min="19" max="21" width="19.59765625" style="2" customWidth="1"/>
    <col min="22" max="23" width="19.59765625" style="90" customWidth="1"/>
    <col min="24" max="25" width="15.296875" customWidth="1"/>
    <col min="26" max="26" width="15.3984375" customWidth="1"/>
    <col min="27" max="28" width="14.69921875" style="2" customWidth="1"/>
    <col min="29" max="35" width="12.59765625" style="2" customWidth="1"/>
    <col min="36" max="36" width="15.69921875" style="2" customWidth="1"/>
    <col min="37" max="37" width="15.3984375" style="2" customWidth="1"/>
    <col min="38" max="38" width="13.8984375" style="2" bestFit="1" customWidth="1"/>
    <col min="39" max="39" width="13.8984375" style="2" customWidth="1"/>
    <col min="40" max="40" width="13.09765625" style="2" customWidth="1"/>
    <col min="41" max="41" width="14.8984375" style="2" bestFit="1" customWidth="1"/>
    <col min="42" max="42" width="16" style="2" customWidth="1"/>
    <col min="43" max="44" width="13.69921875" style="2" customWidth="1"/>
    <col min="45" max="45" width="19.09765625" style="2" customWidth="1"/>
    <col min="46" max="46" width="14.296875" style="2" customWidth="1"/>
    <col min="47" max="47" width="24.69921875" style="2" customWidth="1"/>
    <col min="48" max="49" width="19.09765625" style="2" customWidth="1"/>
    <col min="50" max="50" width="29.69921875" style="2" customWidth="1"/>
    <col min="51" max="51" width="13.69921875" style="2" customWidth="1"/>
    <col min="52" max="52" width="34.8984375" style="2" bestFit="1" customWidth="1"/>
    <col min="53" max="16384" width="8.69921875" style="2"/>
  </cols>
  <sheetData>
    <row r="1" spans="1:52" ht="9" customHeight="1" thickBot="1" x14ac:dyDescent="0.4">
      <c r="O1" s="68"/>
      <c r="R1" s="2"/>
      <c r="T1" s="90"/>
      <c r="V1" s="2"/>
      <c r="W1" s="2"/>
      <c r="X1" s="90"/>
      <c r="Y1" s="90"/>
      <c r="Z1" s="2"/>
    </row>
    <row r="2" spans="1:52" ht="24" customHeight="1" thickBot="1" x14ac:dyDescent="0.65">
      <c r="A2" s="2"/>
      <c r="B2" s="4" t="s">
        <v>433</v>
      </c>
      <c r="C2" s="4"/>
      <c r="G2" s="64" t="s">
        <v>434</v>
      </c>
      <c r="H2" s="92" t="b">
        <f>AND($H$3&lt;&gt;"",$H$4&lt;&gt;"")</f>
        <v>1</v>
      </c>
      <c r="J2" s="76" t="s">
        <v>435</v>
      </c>
      <c r="L2" s="430" t="s">
        <v>436</v>
      </c>
      <c r="M2" s="430" t="s">
        <v>437</v>
      </c>
      <c r="N2" s="430"/>
      <c r="O2" s="430"/>
      <c r="R2" s="2"/>
      <c r="T2" s="90"/>
      <c r="V2" s="2"/>
      <c r="W2" s="2"/>
      <c r="X2" s="90"/>
      <c r="Y2" s="90"/>
      <c r="Z2" s="5"/>
      <c r="AA2" s="5"/>
      <c r="AB2" s="5"/>
      <c r="AC2" s="5"/>
      <c r="AD2" s="5"/>
      <c r="AE2" s="5"/>
      <c r="AJ2" s="6"/>
      <c r="AP2" s="5"/>
    </row>
    <row r="3" spans="1:52" ht="17.149999999999999" customHeight="1" x14ac:dyDescent="0.5">
      <c r="A3" s="2"/>
      <c r="B3" s="7" t="s">
        <v>438</v>
      </c>
      <c r="C3" s="8"/>
      <c r="G3" s="63" t="s">
        <v>13</v>
      </c>
      <c r="H3" s="93" t="s">
        <v>439</v>
      </c>
      <c r="I3" s="231" t="s">
        <v>11</v>
      </c>
      <c r="J3" s="96" t="str" cm="1">
        <f t="array" aca="1" ref="J3" ca="1">MID(CELL("filename"),SEARCH("[",CELL("filename"))+1,SEARCH("]",CELL("filename"))-SEARCH("[",CELL("filename"))-1)</f>
        <v>Capex Orcamentário_PE2026_2030_red_35_porcentoR3_consulta.xlsx</v>
      </c>
      <c r="L3" s="430"/>
      <c r="M3" s="430"/>
      <c r="N3" s="430"/>
      <c r="O3" s="430"/>
      <c r="R3" s="2"/>
      <c r="T3" s="204">
        <f>SUBTOTAL(9,Tabela99[jan/26])</f>
        <v>1375333</v>
      </c>
      <c r="U3" s="204">
        <f>SUBTOTAL(9,Tabela99[fev/26])</f>
        <v>2577333</v>
      </c>
      <c r="V3" s="204">
        <f>SUBTOTAL(9,Tabela99[mar/26])</f>
        <v>5997003</v>
      </c>
      <c r="W3" s="204">
        <f>SUBTOTAL(9,Tabela99[abr/26])</f>
        <v>7597757</v>
      </c>
      <c r="X3" s="204">
        <f>SUBTOTAL(9,Tabela99[mai/26])</f>
        <v>13503287</v>
      </c>
      <c r="Y3" s="204">
        <f>SUBTOTAL(9,Tabela99[jun/26])</f>
        <v>18190820</v>
      </c>
      <c r="Z3" s="204">
        <f>SUBTOTAL(9,Tabela99[jul/26])</f>
        <v>37556774</v>
      </c>
      <c r="AA3" s="204">
        <f>SUBTOTAL(9,Tabela99[ago/26])</f>
        <v>10554436</v>
      </c>
      <c r="AB3" s="204">
        <f>SUBTOTAL(9,Tabela99[set/26])</f>
        <v>19258446</v>
      </c>
      <c r="AC3" s="204">
        <f>SUBTOTAL(9,Tabela99[out/26])</f>
        <v>8054873</v>
      </c>
      <c r="AD3" s="204">
        <f>SUBTOTAL(9,Tabela99[nov/26])</f>
        <v>7655177</v>
      </c>
      <c r="AE3" s="204">
        <f>SUBTOTAL(9,Tabela99[dez/26])</f>
        <v>66684250</v>
      </c>
      <c r="AF3" s="204">
        <f>SUBTOTAL(9,Tabela99[2026])</f>
        <v>199005489</v>
      </c>
      <c r="AG3" s="204">
        <f>SUBTOTAL(9,Tabela99[2027])</f>
        <v>326287470</v>
      </c>
      <c r="AH3" s="204">
        <f>SUBTOTAL(9,Tabela99[2028])</f>
        <v>234521780</v>
      </c>
      <c r="AI3" s="204">
        <f>SUBTOTAL(9,Tabela99[2029])</f>
        <v>76095300</v>
      </c>
      <c r="AJ3" s="204">
        <f>SUBTOTAL(9,Tabela99[2030])</f>
        <v>6425000</v>
      </c>
      <c r="AK3" s="204">
        <f>SUBTOTAL(9,Tabela99[2026-2030])</f>
        <v>842335039</v>
      </c>
      <c r="AL3" s="204">
        <f>SUBTOTAL(9,Tabela99[2031])</f>
        <v>710000</v>
      </c>
      <c r="AM3" s="204">
        <f>SUBTOTAL(9,Tabela99[2032])</f>
        <v>715000</v>
      </c>
      <c r="AN3" s="204">
        <f>SUBTOTAL(9,Tabela99[2033])</f>
        <v>720000</v>
      </c>
      <c r="AO3" s="204">
        <f>SUBTOTAL(9,Tabela99[2034])</f>
        <v>725000</v>
      </c>
      <c r="AP3" s="204">
        <f>SUBTOTAL(9,Tabela99[2035])</f>
        <v>730000</v>
      </c>
      <c r="AQ3" s="204">
        <f>SUBTOTAL(9,Tabela99[2026-2035])</f>
        <v>845935039</v>
      </c>
    </row>
    <row r="4" spans="1:52" ht="12.75" customHeight="1" thickBot="1" x14ac:dyDescent="0.4">
      <c r="A4" s="2"/>
      <c r="C4" s="2"/>
      <c r="D4" s="89"/>
      <c r="G4" s="63" t="s">
        <v>441</v>
      </c>
      <c r="H4" s="94" t="s">
        <v>442</v>
      </c>
      <c r="J4" s="232"/>
      <c r="L4" s="430"/>
      <c r="M4" s="430"/>
      <c r="N4" s="430"/>
      <c r="O4" s="430"/>
      <c r="R4" s="2"/>
      <c r="T4" s="205">
        <f>SUM(Tabela99[jan/26])</f>
        <v>1375333</v>
      </c>
      <c r="U4" s="205">
        <f>SUM(Tabela99[fev/26])</f>
        <v>2577333</v>
      </c>
      <c r="V4" s="205">
        <f>SUM(Tabela99[mar/26])</f>
        <v>5997003</v>
      </c>
      <c r="W4" s="205">
        <f>SUM(Tabela99[abr/26])</f>
        <v>7597757</v>
      </c>
      <c r="X4" s="205">
        <f>SUM(Tabela99[mai/26])</f>
        <v>13503287</v>
      </c>
      <c r="Y4" s="205">
        <f>SUM(Tabela99[jun/26])</f>
        <v>18190820</v>
      </c>
      <c r="Z4" s="205">
        <f>SUM(Tabela99[jul/26])</f>
        <v>37556774</v>
      </c>
      <c r="AA4" s="205">
        <f>SUM(Tabela99[ago/26])</f>
        <v>10554436</v>
      </c>
      <c r="AB4" s="205">
        <f>SUM(Tabela99[set/26])</f>
        <v>19258446</v>
      </c>
      <c r="AC4" s="205">
        <f>SUM(Tabela99[out/26])</f>
        <v>8054873</v>
      </c>
      <c r="AD4" s="205">
        <f>SUM(Tabela99[nov/26])</f>
        <v>7655177</v>
      </c>
      <c r="AE4" s="205">
        <f>SUM(Tabela99[dez/26])</f>
        <v>66684250</v>
      </c>
      <c r="AF4" s="205">
        <f>SUM(Tabela99[2026])</f>
        <v>199005489</v>
      </c>
      <c r="AG4" s="205">
        <f>SUM(Tabela99[2027])</f>
        <v>326287470</v>
      </c>
      <c r="AH4" s="205">
        <f>SUM(Tabela99[2028])</f>
        <v>234521780</v>
      </c>
      <c r="AI4" s="205">
        <f>SUM(Tabela99[2029])</f>
        <v>76095300</v>
      </c>
      <c r="AJ4" s="205">
        <f>SUM(Tabela99[2030])</f>
        <v>6425000</v>
      </c>
      <c r="AK4" s="205">
        <f>SUM(Tabela99[2026-2030])</f>
        <v>842335039</v>
      </c>
      <c r="AL4" s="205">
        <f>SUM(Tabela99[2031])</f>
        <v>710000</v>
      </c>
      <c r="AM4" s="205">
        <f>SUM(Tabela99[2032])</f>
        <v>715000</v>
      </c>
      <c r="AN4" s="205">
        <f>SUM(Tabela99[2033])</f>
        <v>720000</v>
      </c>
      <c r="AO4" s="205">
        <f>SUM(Tabela99[2034])</f>
        <v>725000</v>
      </c>
      <c r="AP4" s="205">
        <f>SUM(Tabela99[2035])</f>
        <v>730000</v>
      </c>
      <c r="AQ4" s="205">
        <f>SUM(Tabela99[2026-2035])</f>
        <v>845935039</v>
      </c>
    </row>
    <row r="5" spans="1:52" ht="31.5" customHeight="1" thickBot="1" x14ac:dyDescent="0.4">
      <c r="A5" s="203" t="e">
        <f>AND($H$2,'Consolidado-Eletronorte'!$B$19:$B$19)</f>
        <v>#REF!</v>
      </c>
      <c r="B5" s="12" t="str">
        <f>_xlfn.CONCAT(D9)</f>
        <v>COO</v>
      </c>
      <c r="C5" s="13"/>
      <c r="J5" s="232"/>
      <c r="L5" s="430"/>
      <c r="M5" s="430"/>
      <c r="N5" s="430"/>
      <c r="O5" s="430"/>
      <c r="P5" s="91"/>
      <c r="R5" s="2"/>
      <c r="T5" s="90"/>
      <c r="U5" s="14"/>
      <c r="V5" s="14"/>
      <c r="W5" s="14"/>
      <c r="X5" s="91"/>
      <c r="Y5" s="91"/>
      <c r="Z5" s="15"/>
      <c r="AA5" s="15"/>
      <c r="AB5" s="15"/>
      <c r="AC5" s="15"/>
      <c r="AD5" s="15"/>
      <c r="AE5" s="15"/>
      <c r="AF5" s="15"/>
      <c r="AG5" s="15"/>
      <c r="AH5" s="15"/>
      <c r="AI5" s="15"/>
      <c r="AJ5" s="15"/>
      <c r="AK5" s="15"/>
      <c r="AL5" s="15"/>
      <c r="AM5" s="15"/>
      <c r="AN5" s="15"/>
      <c r="AO5" s="15"/>
    </row>
    <row r="6" spans="1:52" ht="25.5" customHeight="1" x14ac:dyDescent="0.35">
      <c r="C6" s="2"/>
      <c r="H6" s="95"/>
      <c r="I6" s="67"/>
      <c r="J6" s="233" t="s">
        <v>444</v>
      </c>
      <c r="K6" s="206">
        <f>COUNTIF('Consolidado-Eletronorte'!$B$19:$B$19,TRUE)</f>
        <v>0</v>
      </c>
      <c r="L6" s="432"/>
      <c r="M6" s="432"/>
      <c r="N6" s="432"/>
      <c r="O6" s="432"/>
      <c r="R6" s="2"/>
      <c r="T6" s="90"/>
      <c r="V6" s="2"/>
      <c r="W6" s="2"/>
      <c r="X6" s="90"/>
      <c r="Y6" s="90"/>
      <c r="Z6" s="2"/>
    </row>
    <row r="7" spans="1:52" s="74" customFormat="1" ht="40.15" customHeight="1" x14ac:dyDescent="0.45">
      <c r="A7" s="69" t="s">
        <v>445</v>
      </c>
      <c r="B7" s="70"/>
      <c r="C7" s="71"/>
      <c r="D7" s="71"/>
      <c r="E7" s="71"/>
      <c r="F7" s="71"/>
      <c r="G7" s="72"/>
      <c r="H7" s="98" t="s">
        <v>23</v>
      </c>
      <c r="I7" s="99"/>
      <c r="J7" s="99"/>
      <c r="K7" s="99"/>
      <c r="L7" s="100"/>
      <c r="M7" s="78" t="s">
        <v>446</v>
      </c>
      <c r="N7" s="101" t="s">
        <v>447</v>
      </c>
      <c r="O7" s="101"/>
      <c r="P7" s="102"/>
      <c r="Q7" s="102"/>
      <c r="R7" s="102"/>
      <c r="S7" s="102"/>
      <c r="T7" s="65" t="s">
        <v>448</v>
      </c>
      <c r="U7" s="65"/>
      <c r="V7" s="65"/>
      <c r="W7" s="65"/>
      <c r="X7" s="65"/>
      <c r="Y7" s="65"/>
      <c r="Z7" s="65"/>
      <c r="AA7" s="65"/>
      <c r="AB7" s="65"/>
      <c r="AC7" s="65"/>
      <c r="AD7" s="65"/>
      <c r="AE7" s="65"/>
      <c r="AF7" s="65"/>
      <c r="AG7" s="65"/>
      <c r="AH7" s="65"/>
      <c r="AI7" s="65"/>
      <c r="AJ7" s="65"/>
      <c r="AK7" s="65"/>
      <c r="AL7" s="65"/>
      <c r="AM7" s="65"/>
      <c r="AN7" s="65"/>
      <c r="AO7" s="65"/>
      <c r="AP7" s="65"/>
      <c r="AQ7" s="65"/>
      <c r="AR7" s="66"/>
      <c r="AS7" s="73"/>
    </row>
    <row r="8" spans="1:52" s="18" customFormat="1" x14ac:dyDescent="0.35">
      <c r="A8" s="249" t="s">
        <v>8</v>
      </c>
      <c r="B8" s="249" t="s">
        <v>10</v>
      </c>
      <c r="C8" s="249" t="s">
        <v>11</v>
      </c>
      <c r="D8" s="249" t="s">
        <v>13</v>
      </c>
      <c r="E8" s="249" t="s">
        <v>15</v>
      </c>
      <c r="F8" s="249" t="s">
        <v>16</v>
      </c>
      <c r="G8" s="249" t="s">
        <v>449</v>
      </c>
      <c r="H8" s="250" t="s">
        <v>20</v>
      </c>
      <c r="I8" s="250" t="s">
        <v>19</v>
      </c>
      <c r="J8" s="250" t="s">
        <v>21</v>
      </c>
      <c r="K8" s="250" t="s">
        <v>450</v>
      </c>
      <c r="L8" s="250" t="s">
        <v>451</v>
      </c>
      <c r="M8" s="251" t="s">
        <v>452</v>
      </c>
      <c r="N8" s="252" t="s">
        <v>453</v>
      </c>
      <c r="O8" s="149" t="s">
        <v>454</v>
      </c>
      <c r="P8" s="149" t="s">
        <v>455</v>
      </c>
      <c r="Q8" s="149" t="s">
        <v>457</v>
      </c>
      <c r="R8" s="149" t="s">
        <v>472</v>
      </c>
      <c r="S8" s="149" t="s">
        <v>473</v>
      </c>
      <c r="T8" s="253" t="s">
        <v>474</v>
      </c>
      <c r="U8" s="253" t="s">
        <v>475</v>
      </c>
      <c r="V8" s="253" t="s">
        <v>476</v>
      </c>
      <c r="W8" s="253" t="s">
        <v>477</v>
      </c>
      <c r="X8" s="253" t="s">
        <v>478</v>
      </c>
      <c r="Y8" s="253" t="s">
        <v>479</v>
      </c>
      <c r="Z8" s="253" t="s">
        <v>480</v>
      </c>
      <c r="AA8" s="253" t="s">
        <v>481</v>
      </c>
      <c r="AB8" s="253" t="s">
        <v>482</v>
      </c>
      <c r="AC8" s="253" t="s">
        <v>483</v>
      </c>
      <c r="AD8" s="253" t="s">
        <v>484</v>
      </c>
      <c r="AE8" s="253" t="s">
        <v>485</v>
      </c>
      <c r="AF8" s="254" t="s">
        <v>60</v>
      </c>
      <c r="AG8" s="254" t="s">
        <v>61</v>
      </c>
      <c r="AH8" s="254" t="s">
        <v>62</v>
      </c>
      <c r="AI8" s="254" t="s">
        <v>64</v>
      </c>
      <c r="AJ8" s="254" t="s">
        <v>66</v>
      </c>
      <c r="AK8" s="254" t="s">
        <v>486</v>
      </c>
      <c r="AL8" s="254" t="s">
        <v>67</v>
      </c>
      <c r="AM8" s="254" t="s">
        <v>68</v>
      </c>
      <c r="AN8" s="254" t="s">
        <v>69</v>
      </c>
      <c r="AO8" s="254" t="s">
        <v>487</v>
      </c>
      <c r="AP8" s="254" t="s">
        <v>488</v>
      </c>
      <c r="AQ8" s="255" t="s">
        <v>489</v>
      </c>
      <c r="AR8" s="271" t="s">
        <v>1037</v>
      </c>
      <c r="AS8" s="235" t="s">
        <v>493</v>
      </c>
      <c r="AT8" s="110" t="s">
        <v>494</v>
      </c>
      <c r="AU8" s="256" t="s">
        <v>495</v>
      </c>
      <c r="AV8" s="235" t="s">
        <v>496</v>
      </c>
      <c r="AW8" s="235" t="s">
        <v>498</v>
      </c>
      <c r="AX8" s="235" t="s">
        <v>1038</v>
      </c>
      <c r="AY8" s="235" t="s">
        <v>502</v>
      </c>
      <c r="AZ8" s="235" t="s">
        <v>504</v>
      </c>
    </row>
    <row r="9" spans="1:52" ht="24.75" customHeight="1" x14ac:dyDescent="0.35">
      <c r="A9" s="150"/>
      <c r="B9" s="151" t="e" cm="1">
        <f t="array" ref="B9">AND(ISTEXT('Consolidado-Eletronorte'!#REF!),SUM('Consolidado-Eletronorte'!#REF!)&gt;0)</f>
        <v>#REF!</v>
      </c>
      <c r="C9" s="152" t="str">
        <f t="shared" ref="C9:C72" ca="1" si="0">$J$3</f>
        <v>Capex Orcamentário_PE2026_2030_red_35_porcentoR3_consulta.xlsx</v>
      </c>
      <c r="D9" s="113" t="str">
        <f t="shared" ref="D9:D72" si="1">$H$3</f>
        <v>COO</v>
      </c>
      <c r="E9" s="113" t="str">
        <f t="shared" ref="E9:E72" si="2">$H$4</f>
        <v>Lucas Martins</v>
      </c>
      <c r="F9" s="153"/>
      <c r="G9" s="153" t="str">
        <f>_xlfn.CONCAT('Consolidado-Eletronorte'!$D19,"_",ROW('Consolidado-Eletronorte'!$G19)-ROW('Consolidado-Eletronorte'!$G$18))</f>
        <v>COO_1</v>
      </c>
      <c r="H9" s="154" t="s">
        <v>506</v>
      </c>
      <c r="I9" s="155" t="s">
        <v>1024</v>
      </c>
      <c r="J9" s="154" t="s">
        <v>508</v>
      </c>
      <c r="K9" s="155" t="s">
        <v>1821</v>
      </c>
      <c r="L9" s="155" t="s">
        <v>1799</v>
      </c>
      <c r="M9" s="155" t="s">
        <v>1822</v>
      </c>
      <c r="N9" s="155"/>
      <c r="O9" s="155"/>
      <c r="P9" s="155"/>
      <c r="Q9" s="156" t="s">
        <v>1823</v>
      </c>
      <c r="R9" s="156" t="s">
        <v>1823</v>
      </c>
      <c r="S9" s="155" t="s">
        <v>1824</v>
      </c>
      <c r="T9" s="161">
        <v>0</v>
      </c>
      <c r="U9" s="158">
        <v>0</v>
      </c>
      <c r="V9" s="158">
        <v>369000</v>
      </c>
      <c r="W9" s="158">
        <v>117000</v>
      </c>
      <c r="X9" s="161">
        <v>88000</v>
      </c>
      <c r="Y9" s="161">
        <v>88000</v>
      </c>
      <c r="Z9" s="157">
        <v>352000</v>
      </c>
      <c r="AA9" s="157">
        <v>176000</v>
      </c>
      <c r="AB9" s="157">
        <v>176000</v>
      </c>
      <c r="AC9" s="157">
        <v>11000</v>
      </c>
      <c r="AD9" s="157">
        <v>0</v>
      </c>
      <c r="AE9" s="157">
        <v>0</v>
      </c>
      <c r="AF9" s="157">
        <f>SUM(Tabela99[[#This Row],[jan/26]:[dez/26]])</f>
        <v>1377000</v>
      </c>
      <c r="AG9" s="157">
        <v>0</v>
      </c>
      <c r="AH9" s="157">
        <v>0</v>
      </c>
      <c r="AI9" s="157">
        <v>0</v>
      </c>
      <c r="AJ9" s="157">
        <v>0</v>
      </c>
      <c r="AK9" s="157">
        <f>SUM(Tabela99[[#This Row],[2026]:[2030]])</f>
        <v>1377000</v>
      </c>
      <c r="AL9" s="158">
        <v>0</v>
      </c>
      <c r="AM9" s="157">
        <v>0</v>
      </c>
      <c r="AN9" s="157">
        <v>0</v>
      </c>
      <c r="AO9" s="157">
        <v>0</v>
      </c>
      <c r="AP9" s="157">
        <v>0</v>
      </c>
      <c r="AQ9" s="159">
        <f>SUM(Tabela99[[#This Row],[2026-2030]:[2035]])</f>
        <v>1377000</v>
      </c>
      <c r="AS9" s="2" t="s">
        <v>1825</v>
      </c>
      <c r="AT9" s="2">
        <v>2025</v>
      </c>
      <c r="AU9" s="2" t="e">
        <f>_xlfn.XLOOKUP(Tabela99[[#This Row],[ID Financeiro]],'[4]Subproj Consolidado + Delta PE'!#REF!,'[4]Subproj Consolidado + Delta PE'!#REF!,,0,1)</f>
        <v>#REF!</v>
      </c>
      <c r="AV9" s="2" t="s">
        <v>1826</v>
      </c>
      <c r="AW9" s="2" t="s">
        <v>1049</v>
      </c>
      <c r="AZ9" s="2" t="s">
        <v>1827</v>
      </c>
    </row>
    <row r="10" spans="1:52" ht="24.75" customHeight="1" x14ac:dyDescent="0.35">
      <c r="A10" s="150"/>
      <c r="B10" s="151" t="e" cm="1">
        <f t="array" ref="B10">AND(ISTEXT('Consolidado-Eletronorte'!#REF!),SUM('Consolidado-Eletronorte'!#REF!)&gt;0)</f>
        <v>#REF!</v>
      </c>
      <c r="C10" s="152" t="str">
        <f t="shared" ca="1" si="0"/>
        <v>Capex Orcamentário_PE2026_2030_red_35_porcentoR3_consulta.xlsx</v>
      </c>
      <c r="D10" s="113" t="str">
        <f t="shared" si="1"/>
        <v>COO</v>
      </c>
      <c r="E10" s="113" t="str">
        <f t="shared" si="2"/>
        <v>Lucas Martins</v>
      </c>
      <c r="F10" s="153"/>
      <c r="G10" s="153" t="e">
        <f>_xlfn.CONCAT('Consolidado-Eletronorte'!#REF!,"_",ROW('Consolidado-Eletronorte'!#REF!)-ROW('Consolidado-Eletronorte'!$G$18))</f>
        <v>#REF!</v>
      </c>
      <c r="H10" s="154" t="s">
        <v>506</v>
      </c>
      <c r="I10" s="155" t="s">
        <v>1024</v>
      </c>
      <c r="J10" s="154" t="s">
        <v>508</v>
      </c>
      <c r="K10" s="155" t="s">
        <v>1821</v>
      </c>
      <c r="L10" s="155" t="s">
        <v>1828</v>
      </c>
      <c r="M10" s="155" t="s">
        <v>1829</v>
      </c>
      <c r="N10" s="155"/>
      <c r="O10" s="155"/>
      <c r="P10" s="155"/>
      <c r="Q10" s="156" t="s">
        <v>1830</v>
      </c>
      <c r="R10" s="156" t="s">
        <v>1831</v>
      </c>
      <c r="S10" s="155" t="s">
        <v>1832</v>
      </c>
      <c r="T10" s="161">
        <v>0</v>
      </c>
      <c r="U10" s="158">
        <v>0</v>
      </c>
      <c r="V10" s="158">
        <v>0</v>
      </c>
      <c r="W10" s="158">
        <v>0</v>
      </c>
      <c r="X10" s="161">
        <v>400000</v>
      </c>
      <c r="Y10" s="161">
        <v>500000</v>
      </c>
      <c r="Z10" s="157">
        <v>500000</v>
      </c>
      <c r="AA10" s="157">
        <v>600000</v>
      </c>
      <c r="AB10" s="157">
        <v>0</v>
      </c>
      <c r="AC10" s="157">
        <v>0</v>
      </c>
      <c r="AD10" s="157">
        <v>0</v>
      </c>
      <c r="AE10" s="157">
        <v>0</v>
      </c>
      <c r="AF10" s="157">
        <f>SUM(Tabela99[[#This Row],[jan/26]:[dez/26]])</f>
        <v>2000000</v>
      </c>
      <c r="AG10" s="157">
        <v>0</v>
      </c>
      <c r="AH10" s="157">
        <v>0</v>
      </c>
      <c r="AI10" s="157">
        <v>0</v>
      </c>
      <c r="AJ10" s="157">
        <v>0</v>
      </c>
      <c r="AK10" s="157">
        <f>SUM(Tabela99[[#This Row],[2026]:[2030]])</f>
        <v>2000000</v>
      </c>
      <c r="AL10" s="158">
        <v>0</v>
      </c>
      <c r="AM10" s="157">
        <v>0</v>
      </c>
      <c r="AN10" s="157">
        <v>0</v>
      </c>
      <c r="AO10" s="157">
        <v>0</v>
      </c>
      <c r="AP10" s="157">
        <v>0</v>
      </c>
      <c r="AQ10" s="159">
        <f>SUM(Tabela99[[#This Row],[2026-2030]:[2035]])</f>
        <v>2000000</v>
      </c>
      <c r="AS10" s="2" t="s">
        <v>1833</v>
      </c>
      <c r="AT10" s="2">
        <v>2025</v>
      </c>
      <c r="AU10" s="2" t="s">
        <v>1834</v>
      </c>
      <c r="AV10" s="2" t="e">
        <f>_xlfn.XLOOKUP(Tabela99[[#This Row],[ID de demanda candidata]],'[4]Subproj Consolidado + Delta PE'!#REF!,'[4]Subproj Consolidado + Delta PE'!#REF!,,0,1)</f>
        <v>#REF!</v>
      </c>
      <c r="AW10" s="2" t="s">
        <v>1049</v>
      </c>
      <c r="AZ10" s="2" t="s">
        <v>1835</v>
      </c>
    </row>
    <row r="11" spans="1:52" ht="24.75" customHeight="1" x14ac:dyDescent="0.35">
      <c r="A11" s="150"/>
      <c r="B11" s="151" t="e" cm="1">
        <f t="array" ref="B11">AND(ISTEXT('Consolidado-Eletronorte'!#REF!),SUM('Consolidado-Eletronorte'!#REF!)&gt;0)</f>
        <v>#REF!</v>
      </c>
      <c r="C11" s="152" t="str">
        <f t="shared" ca="1" si="0"/>
        <v>Capex Orcamentário_PE2026_2030_red_35_porcentoR3_consulta.xlsx</v>
      </c>
      <c r="D11" s="113" t="str">
        <f t="shared" si="1"/>
        <v>COO</v>
      </c>
      <c r="E11" s="113" t="str">
        <f t="shared" si="2"/>
        <v>Lucas Martins</v>
      </c>
      <c r="F11" s="153"/>
      <c r="G11" s="153" t="e">
        <f>_xlfn.CONCAT('Consolidado-Eletronorte'!#REF!,"_",ROW('Consolidado-Eletronorte'!#REF!)-ROW('Consolidado-Eletronorte'!$G$18))</f>
        <v>#REF!</v>
      </c>
      <c r="H11" s="154" t="s">
        <v>506</v>
      </c>
      <c r="I11" s="155" t="s">
        <v>1024</v>
      </c>
      <c r="J11" s="154" t="s">
        <v>508</v>
      </c>
      <c r="K11" s="155" t="s">
        <v>1821</v>
      </c>
      <c r="L11" s="155" t="s">
        <v>1799</v>
      </c>
      <c r="M11" s="155" t="s">
        <v>1829</v>
      </c>
      <c r="N11" s="155"/>
      <c r="O11" s="155"/>
      <c r="P11" s="155"/>
      <c r="Q11" s="156" t="s">
        <v>1836</v>
      </c>
      <c r="R11" s="156" t="s">
        <v>1836</v>
      </c>
      <c r="S11" s="155" t="s">
        <v>1832</v>
      </c>
      <c r="T11" s="161">
        <v>0</v>
      </c>
      <c r="U11" s="158">
        <v>0</v>
      </c>
      <c r="V11" s="158">
        <v>1270264</v>
      </c>
      <c r="W11" s="158">
        <v>133924</v>
      </c>
      <c r="X11" s="161">
        <v>100451</v>
      </c>
      <c r="Y11" s="161">
        <v>100451</v>
      </c>
      <c r="Z11" s="157">
        <v>100451</v>
      </c>
      <c r="AA11" s="157">
        <v>53574</v>
      </c>
      <c r="AB11" s="157">
        <v>0</v>
      </c>
      <c r="AC11" s="157">
        <v>0</v>
      </c>
      <c r="AD11" s="157">
        <v>0</v>
      </c>
      <c r="AE11" s="157">
        <v>0</v>
      </c>
      <c r="AF11" s="157">
        <f>SUM(Tabela99[[#This Row],[jan/26]:[dez/26]])</f>
        <v>1759115</v>
      </c>
      <c r="AG11" s="157">
        <v>0</v>
      </c>
      <c r="AH11" s="157">
        <v>0</v>
      </c>
      <c r="AI11" s="157">
        <v>0</v>
      </c>
      <c r="AJ11" s="157">
        <v>0</v>
      </c>
      <c r="AK11" s="157">
        <f>SUM(Tabela99[[#This Row],[2026]:[2030]])</f>
        <v>1759115</v>
      </c>
      <c r="AL11" s="158">
        <v>0</v>
      </c>
      <c r="AM11" s="157">
        <v>0</v>
      </c>
      <c r="AN11" s="157">
        <v>0</v>
      </c>
      <c r="AO11" s="157">
        <v>0</v>
      </c>
      <c r="AP11" s="157">
        <v>0</v>
      </c>
      <c r="AQ11" s="159">
        <f>SUM(Tabela99[[#This Row],[2026-2030]:[2035]])</f>
        <v>1759115</v>
      </c>
      <c r="AS11" s="2" t="s">
        <v>1825</v>
      </c>
      <c r="AT11" s="2">
        <v>2025</v>
      </c>
      <c r="AU11" s="2" t="e">
        <f>_xlfn.XLOOKUP(Tabela99[[#This Row],[ID Financeiro]],'[4]Subproj Consolidado + Delta PE'!#REF!,'[4]Subproj Consolidado + Delta PE'!#REF!,,0,1)</f>
        <v>#REF!</v>
      </c>
      <c r="AV11" s="2" t="s">
        <v>1837</v>
      </c>
      <c r="AW11" s="2" t="s">
        <v>1049</v>
      </c>
      <c r="AZ11" s="2" t="s">
        <v>1827</v>
      </c>
    </row>
    <row r="12" spans="1:52" ht="24.75" customHeight="1" x14ac:dyDescent="0.35">
      <c r="A12" s="150"/>
      <c r="B12" s="151" t="e" cm="1">
        <f t="array" ref="B12">AND(ISTEXT('Consolidado-Eletronorte'!#REF!),SUM('Consolidado-Eletronorte'!#REF!)&gt;0)</f>
        <v>#REF!</v>
      </c>
      <c r="C12" s="152" t="str">
        <f t="shared" ca="1" si="0"/>
        <v>Capex Orcamentário_PE2026_2030_red_35_porcentoR3_consulta.xlsx</v>
      </c>
      <c r="D12" s="113" t="str">
        <f t="shared" si="1"/>
        <v>COO</v>
      </c>
      <c r="E12" s="113" t="str">
        <f t="shared" si="2"/>
        <v>Lucas Martins</v>
      </c>
      <c r="F12" s="153"/>
      <c r="G12" s="153" t="e">
        <f>_xlfn.CONCAT('Consolidado-Eletronorte'!#REF!,"_",ROW('Consolidado-Eletronorte'!#REF!)-ROW('Consolidado-Eletronorte'!$G$18))</f>
        <v>#REF!</v>
      </c>
      <c r="H12" s="154" t="s">
        <v>506</v>
      </c>
      <c r="I12" s="155" t="s">
        <v>1024</v>
      </c>
      <c r="J12" s="154" t="s">
        <v>508</v>
      </c>
      <c r="K12" s="155" t="s">
        <v>1821</v>
      </c>
      <c r="L12" s="155" t="s">
        <v>1828</v>
      </c>
      <c r="M12" s="155" t="s">
        <v>1838</v>
      </c>
      <c r="N12" s="155"/>
      <c r="O12" s="155"/>
      <c r="P12" s="155"/>
      <c r="Q12" s="156" t="s">
        <v>1839</v>
      </c>
      <c r="R12" s="156" t="s">
        <v>1839</v>
      </c>
      <c r="S12" s="155" t="s">
        <v>1840</v>
      </c>
      <c r="T12" s="161">
        <v>0</v>
      </c>
      <c r="U12" s="158">
        <v>0</v>
      </c>
      <c r="V12" s="158">
        <v>0</v>
      </c>
      <c r="W12" s="158">
        <v>0</v>
      </c>
      <c r="X12" s="161">
        <v>1913600</v>
      </c>
      <c r="Y12" s="161">
        <v>0</v>
      </c>
      <c r="Z12" s="157">
        <v>0</v>
      </c>
      <c r="AA12" s="157">
        <v>0</v>
      </c>
      <c r="AB12" s="157">
        <v>0</v>
      </c>
      <c r="AC12" s="157">
        <v>0</v>
      </c>
      <c r="AD12" s="157">
        <v>0</v>
      </c>
      <c r="AE12" s="157">
        <v>0</v>
      </c>
      <c r="AF12" s="157">
        <f>SUM(Tabela99[[#This Row],[jan/26]:[dez/26]])</f>
        <v>1913600</v>
      </c>
      <c r="AG12" s="157">
        <v>0</v>
      </c>
      <c r="AH12" s="157">
        <v>0</v>
      </c>
      <c r="AI12" s="157">
        <v>0</v>
      </c>
      <c r="AJ12" s="157">
        <v>0</v>
      </c>
      <c r="AK12" s="157">
        <f>SUM(Tabela99[[#This Row],[2026]:[2030]])</f>
        <v>1913600</v>
      </c>
      <c r="AL12" s="158">
        <v>0</v>
      </c>
      <c r="AM12" s="157">
        <v>0</v>
      </c>
      <c r="AN12" s="157">
        <v>0</v>
      </c>
      <c r="AO12" s="157">
        <v>0</v>
      </c>
      <c r="AP12" s="157">
        <v>0</v>
      </c>
      <c r="AQ12" s="159">
        <f>SUM(Tabela99[[#This Row],[2026-2030]:[2035]])</f>
        <v>1913600</v>
      </c>
      <c r="AS12" s="2" t="s">
        <v>1825</v>
      </c>
      <c r="AT12" s="2">
        <v>2025</v>
      </c>
      <c r="AU12" s="2" t="e">
        <f>_xlfn.XLOOKUP(Tabela99[[#This Row],[ID Financeiro]],'[4]Subproj Consolidado + Delta PE'!#REF!,'[4]Subproj Consolidado + Delta PE'!#REF!,,0,1)</f>
        <v>#REF!</v>
      </c>
      <c r="AV12" s="2" t="s">
        <v>1841</v>
      </c>
      <c r="AW12" s="2" t="s">
        <v>517</v>
      </c>
      <c r="AZ12" s="2" t="s">
        <v>1842</v>
      </c>
    </row>
    <row r="13" spans="1:52" ht="24.75" customHeight="1" x14ac:dyDescent="0.35">
      <c r="A13" s="272"/>
      <c r="B13" s="151" t="e" cm="1">
        <f t="array" ref="B13">AND(ISTEXT('Consolidado-Eletronorte'!#REF!),SUM('Consolidado-Eletronorte'!#REF!)&gt;0)</f>
        <v>#REF!</v>
      </c>
      <c r="C13" s="273" t="str">
        <f t="shared" ca="1" si="0"/>
        <v>Capex Orcamentário_PE2026_2030_red_35_porcentoR3_consulta.xlsx</v>
      </c>
      <c r="D13" s="274" t="str">
        <f t="shared" si="1"/>
        <v>COO</v>
      </c>
      <c r="E13" s="274" t="str">
        <f t="shared" si="2"/>
        <v>Lucas Martins</v>
      </c>
      <c r="F13" s="275"/>
      <c r="G13" s="275" t="e">
        <f>_xlfn.CONCAT('Consolidado-Eletronorte'!#REF!,"_",ROW('Consolidado-Eletronorte'!#REF!)-ROW('Consolidado-Eletronorte'!$G$18))</f>
        <v>#REF!</v>
      </c>
      <c r="H13" s="276" t="s">
        <v>506</v>
      </c>
      <c r="I13" s="276" t="s">
        <v>1024</v>
      </c>
      <c r="J13" s="277" t="s">
        <v>508</v>
      </c>
      <c r="K13" s="276" t="s">
        <v>1821</v>
      </c>
      <c r="L13" s="276" t="s">
        <v>1828</v>
      </c>
      <c r="M13" s="276" t="s">
        <v>1829</v>
      </c>
      <c r="N13" s="276"/>
      <c r="O13" s="276"/>
      <c r="P13" s="276"/>
      <c r="Q13" s="278" t="s">
        <v>1843</v>
      </c>
      <c r="R13" s="278" t="s">
        <v>1844</v>
      </c>
      <c r="S13" s="276" t="s">
        <v>1832</v>
      </c>
      <c r="T13" s="289">
        <v>0</v>
      </c>
      <c r="U13" s="290">
        <v>0</v>
      </c>
      <c r="V13" s="290">
        <v>0</v>
      </c>
      <c r="W13" s="290">
        <v>0</v>
      </c>
      <c r="X13" s="289">
        <v>0</v>
      </c>
      <c r="Y13" s="289">
        <v>0</v>
      </c>
      <c r="Z13" s="160">
        <v>0</v>
      </c>
      <c r="AA13" s="160">
        <v>400000</v>
      </c>
      <c r="AB13" s="160">
        <v>400000</v>
      </c>
      <c r="AC13" s="160">
        <v>400000</v>
      </c>
      <c r="AD13" s="160">
        <v>400000</v>
      </c>
      <c r="AE13" s="160">
        <v>400000</v>
      </c>
      <c r="AF13" s="160">
        <f>SUM(Tabela99[[#This Row],[jan/26]:[dez/26]])</f>
        <v>2000000</v>
      </c>
      <c r="AG13" s="160">
        <v>1000000</v>
      </c>
      <c r="AH13" s="160">
        <v>0</v>
      </c>
      <c r="AI13" s="160">
        <v>0</v>
      </c>
      <c r="AJ13" s="160">
        <v>0</v>
      </c>
      <c r="AK13" s="160">
        <f>SUM(Tabela99[[#This Row],[2026]:[2030]])</f>
        <v>3000000</v>
      </c>
      <c r="AL13" s="290">
        <v>0</v>
      </c>
      <c r="AM13" s="160">
        <v>0</v>
      </c>
      <c r="AN13" s="160">
        <v>0</v>
      </c>
      <c r="AO13" s="160">
        <v>0</v>
      </c>
      <c r="AP13" s="160">
        <v>0</v>
      </c>
      <c r="AQ13" s="291">
        <f>SUM(Tabela99[[#This Row],[2026-2030]:[2035]])</f>
        <v>3000000</v>
      </c>
      <c r="AS13" s="2" t="s">
        <v>1833</v>
      </c>
      <c r="AT13" s="2">
        <v>2025</v>
      </c>
      <c r="AU13" s="2" t="s">
        <v>1845</v>
      </c>
      <c r="AV13" s="2" t="e">
        <f>_xlfn.XLOOKUP(Tabela99[[#This Row],[ID de demanda candidata]],'[4]Subproj Consolidado + Delta PE'!#REF!,'[4]Subproj Consolidado + Delta PE'!#REF!,,0,1)</f>
        <v>#REF!</v>
      </c>
      <c r="AW13" s="2" t="s">
        <v>1049</v>
      </c>
      <c r="AZ13" s="2" t="s">
        <v>1835</v>
      </c>
    </row>
    <row r="14" spans="1:52" ht="24.75" customHeight="1" x14ac:dyDescent="0.35">
      <c r="A14" s="150"/>
      <c r="B14" s="151" t="e" cm="1">
        <f t="array" ref="B14">AND(ISTEXT('Consolidado-Eletronorte'!#REF!),SUM('Consolidado-Eletronorte'!#REF!)&gt;0)</f>
        <v>#REF!</v>
      </c>
      <c r="C14" s="152" t="str">
        <f t="shared" ca="1" si="0"/>
        <v>Capex Orcamentário_PE2026_2030_red_35_porcentoR3_consulta.xlsx</v>
      </c>
      <c r="D14" s="113" t="str">
        <f t="shared" si="1"/>
        <v>COO</v>
      </c>
      <c r="E14" s="113" t="str">
        <f t="shared" si="2"/>
        <v>Lucas Martins</v>
      </c>
      <c r="F14" s="153"/>
      <c r="G14" s="153" t="e">
        <f>_xlfn.CONCAT('Consolidado-Eletronorte'!#REF!,"_",ROW('Consolidado-Eletronorte'!#REF!)-ROW('Consolidado-Eletronorte'!$G$18))</f>
        <v>#REF!</v>
      </c>
      <c r="H14" s="154" t="s">
        <v>506</v>
      </c>
      <c r="I14" s="155" t="s">
        <v>1024</v>
      </c>
      <c r="J14" s="154" t="s">
        <v>508</v>
      </c>
      <c r="K14" s="155" t="s">
        <v>1821</v>
      </c>
      <c r="L14" s="155" t="s">
        <v>1799</v>
      </c>
      <c r="M14" s="155" t="s">
        <v>1829</v>
      </c>
      <c r="N14" s="155"/>
      <c r="O14" s="155"/>
      <c r="P14" s="155"/>
      <c r="Q14" s="156" t="s">
        <v>1846</v>
      </c>
      <c r="R14" s="156" t="s">
        <v>1846</v>
      </c>
      <c r="S14" s="155" t="s">
        <v>1832</v>
      </c>
      <c r="T14" s="161">
        <v>0</v>
      </c>
      <c r="U14" s="158">
        <v>0</v>
      </c>
      <c r="V14" s="158">
        <v>0</v>
      </c>
      <c r="W14" s="158">
        <v>0</v>
      </c>
      <c r="X14" s="161">
        <v>32403</v>
      </c>
      <c r="Y14" s="161">
        <v>1769010</v>
      </c>
      <c r="Z14" s="157">
        <v>697820</v>
      </c>
      <c r="AA14" s="157">
        <v>93410</v>
      </c>
      <c r="AB14" s="157">
        <v>76540</v>
      </c>
      <c r="AC14" s="157">
        <v>76540</v>
      </c>
      <c r="AD14" s="157">
        <v>97700</v>
      </c>
      <c r="AE14" s="157">
        <v>0</v>
      </c>
      <c r="AF14" s="157">
        <f>SUM(Tabela99[[#This Row],[jan/26]:[dez/26]])</f>
        <v>2843423</v>
      </c>
      <c r="AG14" s="157">
        <v>0</v>
      </c>
      <c r="AH14" s="157">
        <v>0</v>
      </c>
      <c r="AI14" s="157">
        <v>0</v>
      </c>
      <c r="AJ14" s="157">
        <v>0</v>
      </c>
      <c r="AK14" s="157">
        <f>SUM(Tabela99[[#This Row],[2026]:[2030]])</f>
        <v>2843423</v>
      </c>
      <c r="AL14" s="158">
        <v>0</v>
      </c>
      <c r="AM14" s="157">
        <v>0</v>
      </c>
      <c r="AN14" s="157">
        <v>0</v>
      </c>
      <c r="AO14" s="157">
        <v>0</v>
      </c>
      <c r="AP14" s="157">
        <v>0</v>
      </c>
      <c r="AQ14" s="159">
        <f>SUM(Tabela99[[#This Row],[2026-2030]:[2035]])</f>
        <v>2843423</v>
      </c>
      <c r="AS14" s="2" t="s">
        <v>1825</v>
      </c>
      <c r="AT14" s="2">
        <v>2025</v>
      </c>
      <c r="AU14" s="2" t="e">
        <f>_xlfn.XLOOKUP(Tabela99[[#This Row],[ID Financeiro]],'[4]Subproj Consolidado + Delta PE'!#REF!,'[4]Subproj Consolidado + Delta PE'!#REF!,,0,1)</f>
        <v>#REF!</v>
      </c>
      <c r="AV14" s="2" t="s">
        <v>1847</v>
      </c>
      <c r="AW14" s="2" t="s">
        <v>1049</v>
      </c>
      <c r="AZ14" s="2" t="s">
        <v>1827</v>
      </c>
    </row>
    <row r="15" spans="1:52" ht="24.75" customHeight="1" x14ac:dyDescent="0.35">
      <c r="A15" s="150"/>
      <c r="B15" s="151" t="e" cm="1">
        <f t="array" ref="B15">AND(ISTEXT('Consolidado-Eletronorte'!#REF!),SUM('Consolidado-Eletronorte'!#REF!)&gt;0)</f>
        <v>#REF!</v>
      </c>
      <c r="C15" s="152" t="str">
        <f t="shared" ca="1" si="0"/>
        <v>Capex Orcamentário_PE2026_2030_red_35_porcentoR3_consulta.xlsx</v>
      </c>
      <c r="D15" s="113" t="str">
        <f t="shared" si="1"/>
        <v>COO</v>
      </c>
      <c r="E15" s="113" t="str">
        <f t="shared" si="2"/>
        <v>Lucas Martins</v>
      </c>
      <c r="F15" s="153"/>
      <c r="G15" s="153" t="e">
        <f>_xlfn.CONCAT('Consolidado-Eletronorte'!#REF!,"_",ROW('Consolidado-Eletronorte'!#REF!)-ROW('Consolidado-Eletronorte'!$G$18))</f>
        <v>#REF!</v>
      </c>
      <c r="H15" s="154" t="s">
        <v>506</v>
      </c>
      <c r="I15" s="155" t="s">
        <v>1024</v>
      </c>
      <c r="J15" s="154" t="s">
        <v>508</v>
      </c>
      <c r="K15" s="155" t="s">
        <v>1848</v>
      </c>
      <c r="L15" s="155" t="s">
        <v>1828</v>
      </c>
      <c r="M15" s="155" t="s">
        <v>1849</v>
      </c>
      <c r="N15" s="155"/>
      <c r="O15" s="155"/>
      <c r="P15" s="155"/>
      <c r="Q15" s="156" t="s">
        <v>1850</v>
      </c>
      <c r="R15" s="156" t="s">
        <v>1851</v>
      </c>
      <c r="S15" s="155" t="s">
        <v>1852</v>
      </c>
      <c r="T15" s="161">
        <v>0</v>
      </c>
      <c r="U15" s="158">
        <v>0</v>
      </c>
      <c r="V15" s="158">
        <v>0</v>
      </c>
      <c r="W15" s="158">
        <v>0</v>
      </c>
      <c r="X15" s="161">
        <v>0</v>
      </c>
      <c r="Y15" s="161">
        <v>0</v>
      </c>
      <c r="Z15" s="157">
        <v>0</v>
      </c>
      <c r="AA15" s="157">
        <v>0</v>
      </c>
      <c r="AB15" s="157">
        <v>0</v>
      </c>
      <c r="AC15" s="157">
        <v>0</v>
      </c>
      <c r="AD15" s="157">
        <v>0</v>
      </c>
      <c r="AE15" s="157">
        <v>0</v>
      </c>
      <c r="AF15" s="157">
        <f>SUM(Tabela99[[#This Row],[jan/26]:[dez/26]])</f>
        <v>0</v>
      </c>
      <c r="AG15" s="157">
        <v>2000</v>
      </c>
      <c r="AH15" s="157">
        <v>0</v>
      </c>
      <c r="AI15" s="157">
        <v>0</v>
      </c>
      <c r="AJ15" s="157">
        <v>0</v>
      </c>
      <c r="AK15" s="157">
        <f>SUM(Tabela99[[#This Row],[2026]:[2030]])</f>
        <v>2000</v>
      </c>
      <c r="AL15" s="158">
        <v>0</v>
      </c>
      <c r="AM15" s="157">
        <v>0</v>
      </c>
      <c r="AN15" s="157">
        <v>0</v>
      </c>
      <c r="AO15" s="157">
        <v>0</v>
      </c>
      <c r="AP15" s="157">
        <v>0</v>
      </c>
      <c r="AQ15" s="159">
        <f>SUM(Tabela99[[#This Row],[2026-2030]:[2035]])</f>
        <v>2000</v>
      </c>
      <c r="AS15" s="2" t="s">
        <v>1853</v>
      </c>
      <c r="AT15" s="2">
        <v>2025</v>
      </c>
      <c r="AU15" s="2" t="e">
        <f>_xlfn.XLOOKUP(Tabela99[[#This Row],[ID Financeiro]],'[4]Subproj Consolidado + Delta PE'!#REF!,'[4]Subproj Consolidado + Delta PE'!#REF!,,0,1)</f>
        <v>#REF!</v>
      </c>
      <c r="AV15" s="2" t="e">
        <f>_xlfn.XLOOKUP(Tabela99[[#This Row],[Especificação]],'[4]Subproj Consolidado + Delta PE'!#REF!,'[4]Subproj Consolidado + Delta PE'!#REF!,,0,1)</f>
        <v>#REF!</v>
      </c>
      <c r="AW15" s="2" t="s">
        <v>1854</v>
      </c>
      <c r="AZ15" s="2" t="s">
        <v>1855</v>
      </c>
    </row>
    <row r="16" spans="1:52" ht="24.75" customHeight="1" x14ac:dyDescent="0.35">
      <c r="A16" s="150"/>
      <c r="B16" s="151" t="e" cm="1">
        <f t="array" ref="B16">AND(ISTEXT('Consolidado-Eletronorte'!#REF!),SUM('Consolidado-Eletronorte'!#REF!)&gt;0)</f>
        <v>#REF!</v>
      </c>
      <c r="C16" s="152" t="str">
        <f t="shared" ca="1" si="0"/>
        <v>Capex Orcamentário_PE2026_2030_red_35_porcentoR3_consulta.xlsx</v>
      </c>
      <c r="D16" s="113" t="str">
        <f t="shared" si="1"/>
        <v>COO</v>
      </c>
      <c r="E16" s="113" t="str">
        <f t="shared" si="2"/>
        <v>Lucas Martins</v>
      </c>
      <c r="F16" s="153"/>
      <c r="G16" s="153" t="e">
        <f>_xlfn.CONCAT('Consolidado-Eletronorte'!#REF!,"_",ROW('Consolidado-Eletronorte'!#REF!)-ROW('Consolidado-Eletronorte'!$G$18))</f>
        <v>#REF!</v>
      </c>
      <c r="H16" s="154" t="s">
        <v>506</v>
      </c>
      <c r="I16" s="155" t="s">
        <v>1024</v>
      </c>
      <c r="J16" s="154" t="s">
        <v>508</v>
      </c>
      <c r="K16" s="155" t="s">
        <v>1848</v>
      </c>
      <c r="L16" s="155" t="s">
        <v>1828</v>
      </c>
      <c r="M16" s="155" t="s">
        <v>1849</v>
      </c>
      <c r="N16" s="155"/>
      <c r="O16" s="155"/>
      <c r="P16" s="155"/>
      <c r="Q16" s="156" t="s">
        <v>1850</v>
      </c>
      <c r="R16" s="156" t="s">
        <v>1856</v>
      </c>
      <c r="S16" s="155" t="s">
        <v>1852</v>
      </c>
      <c r="T16" s="161">
        <v>0</v>
      </c>
      <c r="U16" s="158">
        <v>0</v>
      </c>
      <c r="V16" s="158">
        <v>0</v>
      </c>
      <c r="W16" s="158">
        <v>0</v>
      </c>
      <c r="X16" s="161">
        <v>0</v>
      </c>
      <c r="Y16" s="161">
        <v>0</v>
      </c>
      <c r="Z16" s="157">
        <v>0</v>
      </c>
      <c r="AA16" s="157">
        <v>0</v>
      </c>
      <c r="AB16" s="157">
        <v>0</v>
      </c>
      <c r="AC16" s="157">
        <v>0</v>
      </c>
      <c r="AD16" s="157">
        <v>0</v>
      </c>
      <c r="AE16" s="157">
        <v>0</v>
      </c>
      <c r="AF16" s="157">
        <f>SUM(Tabela99[[#This Row],[jan/26]:[dez/26]])</f>
        <v>0</v>
      </c>
      <c r="AG16" s="157">
        <v>2700</v>
      </c>
      <c r="AH16" s="157">
        <v>0</v>
      </c>
      <c r="AI16" s="157">
        <v>0</v>
      </c>
      <c r="AJ16" s="157">
        <v>0</v>
      </c>
      <c r="AK16" s="157">
        <f>SUM(Tabela99[[#This Row],[2026]:[2030]])</f>
        <v>2700</v>
      </c>
      <c r="AL16" s="158">
        <v>0</v>
      </c>
      <c r="AM16" s="157">
        <v>0</v>
      </c>
      <c r="AN16" s="157">
        <v>0</v>
      </c>
      <c r="AO16" s="157">
        <v>0</v>
      </c>
      <c r="AP16" s="157">
        <v>0</v>
      </c>
      <c r="AQ16" s="159">
        <f>SUM(Tabela99[[#This Row],[2026-2030]:[2035]])</f>
        <v>2700</v>
      </c>
      <c r="AS16" s="2" t="s">
        <v>1853</v>
      </c>
      <c r="AT16" s="2">
        <v>2025</v>
      </c>
      <c r="AU16" s="2" t="e">
        <f>_xlfn.XLOOKUP(Tabela99[[#This Row],[ID Financeiro]],'[4]Subproj Consolidado + Delta PE'!#REF!,'[4]Subproj Consolidado + Delta PE'!#REF!,,0,1)</f>
        <v>#REF!</v>
      </c>
      <c r="AV16" s="2" t="e">
        <f>_xlfn.XLOOKUP(Tabela99[[#This Row],[Especificação]],'[4]Subproj Consolidado + Delta PE'!#REF!,'[4]Subproj Consolidado + Delta PE'!#REF!,,0,1)</f>
        <v>#REF!</v>
      </c>
      <c r="AW16" s="2" t="s">
        <v>1854</v>
      </c>
      <c r="AZ16" s="2" t="s">
        <v>1855</v>
      </c>
    </row>
    <row r="17" spans="1:52" ht="24.75" customHeight="1" x14ac:dyDescent="0.35">
      <c r="A17" s="150"/>
      <c r="B17" s="151" t="e" cm="1">
        <f t="array" ref="B17">AND(ISTEXT('Consolidado-Eletronorte'!#REF!),SUM('Consolidado-Eletronorte'!#REF!)&gt;0)</f>
        <v>#REF!</v>
      </c>
      <c r="C17" s="152" t="str">
        <f t="shared" ca="1" si="0"/>
        <v>Capex Orcamentário_PE2026_2030_red_35_porcentoR3_consulta.xlsx</v>
      </c>
      <c r="D17" s="113" t="str">
        <f t="shared" si="1"/>
        <v>COO</v>
      </c>
      <c r="E17" s="113" t="str">
        <f t="shared" si="2"/>
        <v>Lucas Martins</v>
      </c>
      <c r="F17" s="153"/>
      <c r="G17" s="153" t="e">
        <f>_xlfn.CONCAT('Consolidado-Eletronorte'!#REF!,"_",ROW('Consolidado-Eletronorte'!#REF!)-ROW('Consolidado-Eletronorte'!$G$18))</f>
        <v>#REF!</v>
      </c>
      <c r="H17" s="154" t="s">
        <v>506</v>
      </c>
      <c r="I17" s="155" t="s">
        <v>1024</v>
      </c>
      <c r="J17" s="154" t="s">
        <v>508</v>
      </c>
      <c r="K17" s="155" t="s">
        <v>1821</v>
      </c>
      <c r="L17" s="155" t="s">
        <v>1828</v>
      </c>
      <c r="M17" s="155" t="s">
        <v>1822</v>
      </c>
      <c r="N17" s="155"/>
      <c r="O17" s="155"/>
      <c r="P17" s="155"/>
      <c r="Q17" s="156" t="s">
        <v>1857</v>
      </c>
      <c r="R17" s="156" t="s">
        <v>1857</v>
      </c>
      <c r="S17" s="155" t="s">
        <v>1824</v>
      </c>
      <c r="T17" s="161">
        <v>0</v>
      </c>
      <c r="U17" s="158">
        <v>0</v>
      </c>
      <c r="V17" s="158">
        <v>0</v>
      </c>
      <c r="W17" s="158">
        <v>0</v>
      </c>
      <c r="X17" s="161">
        <v>625000</v>
      </c>
      <c r="Y17" s="161">
        <v>0</v>
      </c>
      <c r="Z17" s="157">
        <v>0</v>
      </c>
      <c r="AA17" s="157">
        <v>0</v>
      </c>
      <c r="AB17" s="157">
        <v>0</v>
      </c>
      <c r="AC17" s="157">
        <v>0</v>
      </c>
      <c r="AD17" s="157">
        <v>0</v>
      </c>
      <c r="AE17" s="157">
        <v>0</v>
      </c>
      <c r="AF17" s="157">
        <f>SUM(Tabela99[[#This Row],[jan/26]:[dez/26]])</f>
        <v>625000</v>
      </c>
      <c r="AG17" s="157">
        <v>0</v>
      </c>
      <c r="AH17" s="157">
        <v>0</v>
      </c>
      <c r="AI17" s="157">
        <v>0</v>
      </c>
      <c r="AJ17" s="157">
        <v>0</v>
      </c>
      <c r="AK17" s="157">
        <f>SUM(Tabela99[[#This Row],[2026]:[2030]])</f>
        <v>625000</v>
      </c>
      <c r="AL17" s="158">
        <v>0</v>
      </c>
      <c r="AM17" s="157">
        <v>0</v>
      </c>
      <c r="AN17" s="157">
        <v>0</v>
      </c>
      <c r="AO17" s="157">
        <v>0</v>
      </c>
      <c r="AP17" s="157">
        <v>0</v>
      </c>
      <c r="AQ17" s="159">
        <f>SUM(Tabela99[[#This Row],[2026-2030]:[2035]])</f>
        <v>625000</v>
      </c>
      <c r="AS17" s="2" t="s">
        <v>1825</v>
      </c>
      <c r="AT17" s="2">
        <v>2025</v>
      </c>
      <c r="AU17" s="2" t="e">
        <f>_xlfn.XLOOKUP(Tabela99[[#This Row],[ID Financeiro]],'[4]Subproj Consolidado + Delta PE'!#REF!,'[4]Subproj Consolidado + Delta PE'!#REF!,,0,1)</f>
        <v>#REF!</v>
      </c>
      <c r="AV17" s="2" t="s">
        <v>1858</v>
      </c>
      <c r="AW17" s="2" t="s">
        <v>517</v>
      </c>
      <c r="AZ17" s="2" t="s">
        <v>1842</v>
      </c>
    </row>
    <row r="18" spans="1:52" ht="24.75" customHeight="1" x14ac:dyDescent="0.35">
      <c r="A18" s="152"/>
      <c r="B18" s="151" t="b" cm="1">
        <f t="array" ref="B18">AND(ISTEXT('Consolidado-Eletronorte'!$H19:$M19),SUM('Consolidado-Eletronorte'!$AI19:$BF19)&gt;0)</f>
        <v>1</v>
      </c>
      <c r="C18" s="152" t="str">
        <f t="shared" ca="1" si="0"/>
        <v>Capex Orcamentário_PE2026_2030_red_35_porcentoR3_consulta.xlsx</v>
      </c>
      <c r="D18" s="152" t="str">
        <f t="shared" si="1"/>
        <v>COO</v>
      </c>
      <c r="E18" s="152" t="str">
        <f t="shared" si="2"/>
        <v>Lucas Martins</v>
      </c>
      <c r="F18" s="152"/>
      <c r="G18" s="152" t="e">
        <f>_xlfn.CONCAT('Consolidado-Eletronorte'!#REF!,"_",ROW('Consolidado-Eletronorte'!#REF!)-ROW('Consolidado-Eletronorte'!$G$18))</f>
        <v>#REF!</v>
      </c>
      <c r="H18" s="155" t="s">
        <v>506</v>
      </c>
      <c r="I18" s="155" t="s">
        <v>1024</v>
      </c>
      <c r="J18" s="155" t="s">
        <v>508</v>
      </c>
      <c r="K18" s="155" t="s">
        <v>1039</v>
      </c>
      <c r="L18" s="155" t="s">
        <v>1828</v>
      </c>
      <c r="M18" s="155" t="s">
        <v>1859</v>
      </c>
      <c r="N18" s="155"/>
      <c r="O18" s="155"/>
      <c r="P18" s="155"/>
      <c r="Q18" s="292" t="s">
        <v>1860</v>
      </c>
      <c r="R18" s="293" t="s">
        <v>1860</v>
      </c>
      <c r="S18" s="155" t="s">
        <v>1861</v>
      </c>
      <c r="T18" s="168">
        <v>0</v>
      </c>
      <c r="U18" s="168">
        <v>200000</v>
      </c>
      <c r="V18" s="168">
        <v>200000</v>
      </c>
      <c r="W18" s="168">
        <v>300000</v>
      </c>
      <c r="X18" s="168">
        <v>300000</v>
      </c>
      <c r="Y18" s="168">
        <v>3900000</v>
      </c>
      <c r="Z18" s="168">
        <v>25500000</v>
      </c>
      <c r="AA18" s="168">
        <v>400000</v>
      </c>
      <c r="AB18" s="168">
        <v>400000</v>
      </c>
      <c r="AC18" s="168">
        <v>400000</v>
      </c>
      <c r="AD18" s="168">
        <v>500000</v>
      </c>
      <c r="AE18" s="168">
        <v>25500000</v>
      </c>
      <c r="AF18" s="168">
        <f>SUM(Tabela99[[#This Row],[jan/26]:[dez/26]])</f>
        <v>57600000</v>
      </c>
      <c r="AG18" s="168">
        <v>107000000</v>
      </c>
      <c r="AH18" s="168">
        <v>107000000</v>
      </c>
      <c r="AI18" s="168">
        <v>55200000</v>
      </c>
      <c r="AJ18" s="168">
        <v>0</v>
      </c>
      <c r="AK18" s="168">
        <f>SUM(Tabela99[[#This Row],[2026]:[2030]])</f>
        <v>326800000</v>
      </c>
      <c r="AL18" s="168">
        <v>0</v>
      </c>
      <c r="AM18" s="168">
        <v>0</v>
      </c>
      <c r="AN18" s="168">
        <v>0</v>
      </c>
      <c r="AO18" s="168">
        <v>0</v>
      </c>
      <c r="AP18" s="168">
        <v>0</v>
      </c>
      <c r="AQ18" s="169">
        <f>SUM(Tabela99[[#This Row],[2026-2030]:[2035]])</f>
        <v>326800000</v>
      </c>
      <c r="AS18" s="2" t="s">
        <v>1825</v>
      </c>
      <c r="AT18" s="2">
        <v>2025</v>
      </c>
      <c r="AU18" s="2" t="e">
        <f>_xlfn.XLOOKUP(Tabela99[[#This Row],[ID Financeiro]],'[4]Subproj Consolidado + Delta PE'!#REF!,'[4]Subproj Consolidado + Delta PE'!#REF!,,0,1)</f>
        <v>#REF!</v>
      </c>
      <c r="AV18" s="2" t="s">
        <v>1862</v>
      </c>
      <c r="AW18" s="2" t="s">
        <v>1049</v>
      </c>
      <c r="AZ18" s="2" t="s">
        <v>1863</v>
      </c>
    </row>
    <row r="19" spans="1:52" ht="24.75" customHeight="1" x14ac:dyDescent="0.35">
      <c r="A19" s="150"/>
      <c r="B19" s="151" t="e" cm="1">
        <f t="array" ref="B19">AND(ISTEXT('Consolidado-Eletronorte'!#REF!),SUM('Consolidado-Eletronorte'!#REF!)&gt;0)</f>
        <v>#REF!</v>
      </c>
      <c r="C19" s="152" t="str">
        <f t="shared" ca="1" si="0"/>
        <v>Capex Orcamentário_PE2026_2030_red_35_porcentoR3_consulta.xlsx</v>
      </c>
      <c r="D19" s="113" t="str">
        <f t="shared" si="1"/>
        <v>COO</v>
      </c>
      <c r="E19" s="113" t="str">
        <f t="shared" si="2"/>
        <v>Lucas Martins</v>
      </c>
      <c r="F19" s="153"/>
      <c r="G19" s="153" t="e">
        <f>_xlfn.CONCAT('Consolidado-Eletronorte'!#REF!,"_",ROW('Consolidado-Eletronorte'!#REF!)-ROW('Consolidado-Eletronorte'!$G$18))</f>
        <v>#REF!</v>
      </c>
      <c r="H19" s="155" t="s">
        <v>506</v>
      </c>
      <c r="I19" s="155" t="s">
        <v>1024</v>
      </c>
      <c r="J19" s="154" t="s">
        <v>508</v>
      </c>
      <c r="K19" s="155" t="s">
        <v>1821</v>
      </c>
      <c r="L19" s="155" t="s">
        <v>1828</v>
      </c>
      <c r="M19" s="155" t="s">
        <v>1829</v>
      </c>
      <c r="N19" s="155"/>
      <c r="O19" s="155"/>
      <c r="P19" s="155"/>
      <c r="Q19" s="156" t="s">
        <v>1864</v>
      </c>
      <c r="R19" s="156" t="s">
        <v>1831</v>
      </c>
      <c r="S19" s="155" t="s">
        <v>1832</v>
      </c>
      <c r="T19" s="161">
        <v>0</v>
      </c>
      <c r="U19" s="158">
        <v>0</v>
      </c>
      <c r="V19" s="158">
        <v>0</v>
      </c>
      <c r="W19" s="158">
        <v>0</v>
      </c>
      <c r="X19" s="161">
        <v>0</v>
      </c>
      <c r="Y19" s="161">
        <v>0</v>
      </c>
      <c r="Z19" s="157">
        <v>0</v>
      </c>
      <c r="AA19" s="157">
        <v>0</v>
      </c>
      <c r="AB19" s="157">
        <v>0</v>
      </c>
      <c r="AC19" s="157">
        <v>0</v>
      </c>
      <c r="AD19" s="157">
        <v>0</v>
      </c>
      <c r="AE19" s="157">
        <v>0</v>
      </c>
      <c r="AF19" s="157">
        <f>SUM(Tabela99[[#This Row],[jan/26]:[dez/26]])</f>
        <v>0</v>
      </c>
      <c r="AG19" s="157">
        <v>6000000</v>
      </c>
      <c r="AH19" s="157">
        <v>0</v>
      </c>
      <c r="AI19" s="157">
        <v>0</v>
      </c>
      <c r="AJ19" s="157">
        <v>0</v>
      </c>
      <c r="AK19" s="157">
        <f>SUM(Tabela99[[#This Row],[2026]:[2030]])</f>
        <v>6000000</v>
      </c>
      <c r="AL19" s="158">
        <v>0</v>
      </c>
      <c r="AM19" s="157">
        <v>0</v>
      </c>
      <c r="AN19" s="157">
        <v>0</v>
      </c>
      <c r="AO19" s="157">
        <v>0</v>
      </c>
      <c r="AP19" s="157">
        <v>0</v>
      </c>
      <c r="AQ19" s="159">
        <f>SUM(Tabela99[[#This Row],[2026-2030]:[2035]])</f>
        <v>6000000</v>
      </c>
      <c r="AS19" s="2" t="s">
        <v>1833</v>
      </c>
      <c r="AT19" s="2">
        <v>2025</v>
      </c>
      <c r="AU19" s="2" t="s">
        <v>1865</v>
      </c>
      <c r="AV19" s="2" t="e">
        <f>_xlfn.XLOOKUP(Tabela99[[#This Row],[ID de demanda candidata]],'[4]Subproj Consolidado + Delta PE'!#REF!,'[4]Subproj Consolidado + Delta PE'!#REF!,,0,1)</f>
        <v>#REF!</v>
      </c>
      <c r="AW19" s="2" t="s">
        <v>1049</v>
      </c>
      <c r="AZ19" s="2" t="s">
        <v>1835</v>
      </c>
    </row>
    <row r="20" spans="1:52" ht="24.75" customHeight="1" x14ac:dyDescent="0.35">
      <c r="A20" s="150"/>
      <c r="B20" s="151" t="e" cm="1">
        <f t="array" ref="B20">AND(ISTEXT('Consolidado-Eletronorte'!#REF!),SUM('Consolidado-Eletronorte'!#REF!)&gt;0)</f>
        <v>#REF!</v>
      </c>
      <c r="C20" s="152" t="str">
        <f t="shared" ca="1" si="0"/>
        <v>Capex Orcamentário_PE2026_2030_red_35_porcentoR3_consulta.xlsx</v>
      </c>
      <c r="D20" s="113" t="str">
        <f t="shared" si="1"/>
        <v>COO</v>
      </c>
      <c r="E20" s="113" t="str">
        <f t="shared" si="2"/>
        <v>Lucas Martins</v>
      </c>
      <c r="F20" s="153"/>
      <c r="G20" s="153" t="e">
        <f>_xlfn.CONCAT('Consolidado-Eletronorte'!#REF!,"_",ROW('Consolidado-Eletronorte'!#REF!)-ROW('Consolidado-Eletronorte'!$G$18))</f>
        <v>#REF!</v>
      </c>
      <c r="H20" s="154" t="s">
        <v>506</v>
      </c>
      <c r="I20" s="155" t="s">
        <v>1024</v>
      </c>
      <c r="J20" s="154" t="s">
        <v>508</v>
      </c>
      <c r="K20" s="155" t="s">
        <v>1821</v>
      </c>
      <c r="L20" s="155" t="s">
        <v>1828</v>
      </c>
      <c r="M20" s="155" t="s">
        <v>1822</v>
      </c>
      <c r="N20" s="155"/>
      <c r="O20" s="155"/>
      <c r="P20" s="155"/>
      <c r="Q20" s="156" t="s">
        <v>1866</v>
      </c>
      <c r="R20" s="156" t="s">
        <v>1866</v>
      </c>
      <c r="S20" s="155" t="s">
        <v>1824</v>
      </c>
      <c r="T20" s="161">
        <v>583000</v>
      </c>
      <c r="U20" s="158">
        <v>0</v>
      </c>
      <c r="V20" s="158">
        <v>0</v>
      </c>
      <c r="W20" s="158">
        <v>0</v>
      </c>
      <c r="X20" s="161">
        <v>0</v>
      </c>
      <c r="Y20" s="161">
        <v>0</v>
      </c>
      <c r="Z20" s="157">
        <v>0</v>
      </c>
      <c r="AA20" s="157">
        <v>0</v>
      </c>
      <c r="AB20" s="157">
        <v>0</v>
      </c>
      <c r="AC20" s="157">
        <v>0</v>
      </c>
      <c r="AD20" s="157">
        <v>0</v>
      </c>
      <c r="AE20" s="157">
        <v>0</v>
      </c>
      <c r="AF20" s="157">
        <f>SUM(Tabela99[[#This Row],[jan/26]:[dez/26]])</f>
        <v>583000</v>
      </c>
      <c r="AG20" s="157">
        <v>0</v>
      </c>
      <c r="AH20" s="157">
        <v>0</v>
      </c>
      <c r="AI20" s="157">
        <v>0</v>
      </c>
      <c r="AJ20" s="157">
        <v>0</v>
      </c>
      <c r="AK20" s="157">
        <f>SUM(Tabela99[[#This Row],[2026]:[2030]])</f>
        <v>583000</v>
      </c>
      <c r="AL20" s="158">
        <v>0</v>
      </c>
      <c r="AM20" s="157">
        <v>0</v>
      </c>
      <c r="AN20" s="157">
        <v>0</v>
      </c>
      <c r="AO20" s="157">
        <v>0</v>
      </c>
      <c r="AP20" s="157">
        <v>0</v>
      </c>
      <c r="AQ20" s="159">
        <f>SUM(Tabela99[[#This Row],[2026-2030]:[2035]])</f>
        <v>583000</v>
      </c>
      <c r="AS20" s="2" t="s">
        <v>1825</v>
      </c>
      <c r="AT20" s="2">
        <v>2025</v>
      </c>
      <c r="AU20" s="2" t="e">
        <f>_xlfn.XLOOKUP(Tabela99[[#This Row],[ID Financeiro]],'[4]Subproj Consolidado + Delta PE'!#REF!,'[4]Subproj Consolidado + Delta PE'!#REF!,,0,1)</f>
        <v>#REF!</v>
      </c>
      <c r="AV20" s="2" t="s">
        <v>1867</v>
      </c>
      <c r="AW20" s="2" t="s">
        <v>517</v>
      </c>
      <c r="AZ20" s="2" t="s">
        <v>1842</v>
      </c>
    </row>
    <row r="21" spans="1:52" ht="24.75" customHeight="1" x14ac:dyDescent="0.35">
      <c r="A21" s="150"/>
      <c r="B21" s="151" t="e" cm="1">
        <f t="array" ref="B21">AND(ISTEXT('Consolidado-Eletronorte'!#REF!),SUM('Consolidado-Eletronorte'!#REF!)&gt;0)</f>
        <v>#REF!</v>
      </c>
      <c r="C21" s="152" t="str">
        <f t="shared" ca="1" si="0"/>
        <v>Capex Orcamentário_PE2026_2030_red_35_porcentoR3_consulta.xlsx</v>
      </c>
      <c r="D21" s="113" t="str">
        <f t="shared" si="1"/>
        <v>COO</v>
      </c>
      <c r="E21" s="113" t="str">
        <f t="shared" si="2"/>
        <v>Lucas Martins</v>
      </c>
      <c r="F21" s="153"/>
      <c r="G21" s="153" t="e">
        <f>_xlfn.CONCAT('Consolidado-Eletronorte'!#REF!,"_",ROW('Consolidado-Eletronorte'!#REF!)-ROW('Consolidado-Eletronorte'!$G$18))</f>
        <v>#REF!</v>
      </c>
      <c r="H21" s="155" t="s">
        <v>506</v>
      </c>
      <c r="I21" s="155" t="s">
        <v>1024</v>
      </c>
      <c r="J21" s="154" t="s">
        <v>508</v>
      </c>
      <c r="K21" s="155" t="s">
        <v>1821</v>
      </c>
      <c r="L21" s="155" t="s">
        <v>1828</v>
      </c>
      <c r="M21" s="155" t="s">
        <v>1868</v>
      </c>
      <c r="N21" s="155"/>
      <c r="O21" s="155"/>
      <c r="P21" s="155"/>
      <c r="Q21" s="156" t="s">
        <v>1869</v>
      </c>
      <c r="R21" s="156" t="s">
        <v>1869</v>
      </c>
      <c r="S21" s="155" t="s">
        <v>1870</v>
      </c>
      <c r="T21" s="161">
        <v>0</v>
      </c>
      <c r="U21" s="158">
        <v>0</v>
      </c>
      <c r="V21" s="158">
        <v>0</v>
      </c>
      <c r="W21" s="158">
        <v>0</v>
      </c>
      <c r="X21" s="161">
        <v>0</v>
      </c>
      <c r="Y21" s="161">
        <v>100000</v>
      </c>
      <c r="Z21" s="157">
        <v>0</v>
      </c>
      <c r="AA21" s="157">
        <v>0</v>
      </c>
      <c r="AB21" s="157">
        <v>35000</v>
      </c>
      <c r="AC21" s="157">
        <v>0</v>
      </c>
      <c r="AD21" s="157">
        <v>0</v>
      </c>
      <c r="AE21" s="157">
        <v>0</v>
      </c>
      <c r="AF21" s="157">
        <f>SUM(Tabela99[[#This Row],[jan/26]:[dez/26]])</f>
        <v>135000</v>
      </c>
      <c r="AG21" s="157">
        <v>1600000</v>
      </c>
      <c r="AH21" s="157">
        <v>1600000</v>
      </c>
      <c r="AI21" s="157">
        <v>1600000</v>
      </c>
      <c r="AJ21" s="157">
        <v>0</v>
      </c>
      <c r="AK21" s="157">
        <f>SUM(Tabela99[[#This Row],[2026]:[2030]])</f>
        <v>4935000</v>
      </c>
      <c r="AL21" s="158">
        <v>0</v>
      </c>
      <c r="AM21" s="157">
        <v>0</v>
      </c>
      <c r="AN21" s="157">
        <v>0</v>
      </c>
      <c r="AO21" s="157">
        <v>0</v>
      </c>
      <c r="AP21" s="157">
        <v>0</v>
      </c>
      <c r="AQ21" s="159">
        <f>SUM(Tabela99[[#This Row],[2026-2030]:[2035]])</f>
        <v>4935000</v>
      </c>
      <c r="AS21" s="2" t="s">
        <v>1825</v>
      </c>
      <c r="AT21" s="2">
        <v>2025</v>
      </c>
      <c r="AU21" s="2" t="e">
        <f>_xlfn.XLOOKUP(Tabela99[[#This Row],[ID Financeiro]],'[4]Subproj Consolidado + Delta PE'!#REF!,'[4]Subproj Consolidado + Delta PE'!#REF!,,0,1)</f>
        <v>#REF!</v>
      </c>
      <c r="AV21" s="2" t="s">
        <v>1871</v>
      </c>
      <c r="AW21" s="2" t="s">
        <v>1854</v>
      </c>
      <c r="AZ21" s="2" t="s">
        <v>1872</v>
      </c>
    </row>
    <row r="22" spans="1:52" ht="24.75" customHeight="1" x14ac:dyDescent="0.35">
      <c r="A22" s="272"/>
      <c r="B22" s="151" t="e" cm="1">
        <f t="array" ref="B22">AND(ISTEXT('Consolidado-Eletronorte'!#REF!),SUM('Consolidado-Eletronorte'!#REF!)&gt;0)</f>
        <v>#REF!</v>
      </c>
      <c r="C22" s="273" t="str">
        <f t="shared" ca="1" si="0"/>
        <v>Capex Orcamentário_PE2026_2030_red_35_porcentoR3_consulta.xlsx</v>
      </c>
      <c r="D22" s="274" t="str">
        <f t="shared" si="1"/>
        <v>COO</v>
      </c>
      <c r="E22" s="274" t="str">
        <f t="shared" si="2"/>
        <v>Lucas Martins</v>
      </c>
      <c r="F22" s="275"/>
      <c r="G22" s="275" t="e">
        <f>_xlfn.CONCAT('Consolidado-Eletronorte'!#REF!,"_",ROW('Consolidado-Eletronorte'!#REF!)-ROW('Consolidado-Eletronorte'!$G$18))</f>
        <v>#REF!</v>
      </c>
      <c r="H22" s="276" t="s">
        <v>506</v>
      </c>
      <c r="I22" s="276" t="s">
        <v>1024</v>
      </c>
      <c r="J22" s="277" t="s">
        <v>508</v>
      </c>
      <c r="K22" s="276" t="s">
        <v>1821</v>
      </c>
      <c r="L22" s="276" t="s">
        <v>1828</v>
      </c>
      <c r="M22" s="276" t="s">
        <v>1868</v>
      </c>
      <c r="N22" s="276"/>
      <c r="O22" s="276"/>
      <c r="P22" s="276"/>
      <c r="Q22" s="278" t="s">
        <v>1873</v>
      </c>
      <c r="R22" s="278" t="s">
        <v>1873</v>
      </c>
      <c r="S22" s="276" t="s">
        <v>1870</v>
      </c>
      <c r="T22" s="289">
        <v>0</v>
      </c>
      <c r="U22" s="290">
        <v>0</v>
      </c>
      <c r="V22" s="290">
        <v>0</v>
      </c>
      <c r="W22" s="290">
        <v>0</v>
      </c>
      <c r="X22" s="289">
        <v>0</v>
      </c>
      <c r="Y22" s="289">
        <v>100000</v>
      </c>
      <c r="Z22" s="160">
        <v>0</v>
      </c>
      <c r="AA22" s="160">
        <v>0</v>
      </c>
      <c r="AB22" s="160">
        <v>35000</v>
      </c>
      <c r="AC22" s="160">
        <v>0</v>
      </c>
      <c r="AD22" s="160">
        <v>0</v>
      </c>
      <c r="AE22" s="160">
        <v>0</v>
      </c>
      <c r="AF22" s="160">
        <f>SUM(Tabela99[[#This Row],[jan/26]:[dez/26]])</f>
        <v>135000</v>
      </c>
      <c r="AG22" s="160">
        <v>1600000</v>
      </c>
      <c r="AH22" s="160">
        <v>1600000</v>
      </c>
      <c r="AI22" s="160">
        <v>1600000</v>
      </c>
      <c r="AJ22" s="160">
        <v>0</v>
      </c>
      <c r="AK22" s="160">
        <f>SUM(Tabela99[[#This Row],[2026]:[2030]])</f>
        <v>4935000</v>
      </c>
      <c r="AL22" s="290">
        <v>0</v>
      </c>
      <c r="AM22" s="160">
        <v>0</v>
      </c>
      <c r="AN22" s="160">
        <v>0</v>
      </c>
      <c r="AO22" s="160">
        <v>0</v>
      </c>
      <c r="AP22" s="160">
        <v>0</v>
      </c>
      <c r="AQ22" s="291">
        <f>SUM(Tabela99[[#This Row],[2026-2030]:[2035]])</f>
        <v>4935000</v>
      </c>
      <c r="AS22" s="2" t="s">
        <v>1825</v>
      </c>
      <c r="AT22" s="2">
        <v>2025</v>
      </c>
      <c r="AU22" s="2" t="e">
        <f>_xlfn.XLOOKUP(Tabela99[[#This Row],[ID Financeiro]],'[4]Subproj Consolidado + Delta PE'!#REF!,'[4]Subproj Consolidado + Delta PE'!#REF!,,0,1)</f>
        <v>#REF!</v>
      </c>
      <c r="AV22" s="2" t="s">
        <v>1874</v>
      </c>
      <c r="AW22" s="2" t="s">
        <v>1854</v>
      </c>
      <c r="AZ22" s="2" t="s">
        <v>1872</v>
      </c>
    </row>
    <row r="23" spans="1:52" ht="24.75" customHeight="1" x14ac:dyDescent="0.35">
      <c r="A23" s="150"/>
      <c r="B23" s="151" t="e" cm="1">
        <f t="array" ref="B23">AND(ISTEXT('Consolidado-Eletronorte'!#REF!),SUM('Consolidado-Eletronorte'!#REF!)&gt;0)</f>
        <v>#REF!</v>
      </c>
      <c r="C23" s="152" t="str">
        <f t="shared" ca="1" si="0"/>
        <v>Capex Orcamentário_PE2026_2030_red_35_porcentoR3_consulta.xlsx</v>
      </c>
      <c r="D23" s="113" t="str">
        <f t="shared" si="1"/>
        <v>COO</v>
      </c>
      <c r="E23" s="113" t="str">
        <f t="shared" si="2"/>
        <v>Lucas Martins</v>
      </c>
      <c r="F23" s="153"/>
      <c r="G23" s="153" t="e">
        <f>_xlfn.CONCAT('Consolidado-Eletronorte'!#REF!,"_",ROW('Consolidado-Eletronorte'!#REF!)-ROW('Consolidado-Eletronorte'!$G$18))</f>
        <v>#REF!</v>
      </c>
      <c r="H23" s="155" t="s">
        <v>506</v>
      </c>
      <c r="I23" s="155" t="s">
        <v>1024</v>
      </c>
      <c r="J23" s="154" t="s">
        <v>508</v>
      </c>
      <c r="K23" s="155" t="s">
        <v>1821</v>
      </c>
      <c r="L23" s="155" t="s">
        <v>1828</v>
      </c>
      <c r="M23" s="155" t="s">
        <v>1822</v>
      </c>
      <c r="N23" s="155"/>
      <c r="O23" s="155"/>
      <c r="P23" s="155"/>
      <c r="Q23" s="156" t="s">
        <v>1875</v>
      </c>
      <c r="R23" s="156" t="s">
        <v>1875</v>
      </c>
      <c r="S23" s="155" t="s">
        <v>1832</v>
      </c>
      <c r="T23" s="161">
        <v>0</v>
      </c>
      <c r="U23" s="158">
        <v>100000</v>
      </c>
      <c r="V23" s="158">
        <v>0</v>
      </c>
      <c r="W23" s="158">
        <v>0</v>
      </c>
      <c r="X23" s="161">
        <v>35000</v>
      </c>
      <c r="Y23" s="161">
        <v>0</v>
      </c>
      <c r="Z23" s="157">
        <v>900000</v>
      </c>
      <c r="AA23" s="157">
        <v>0</v>
      </c>
      <c r="AB23" s="157">
        <v>0</v>
      </c>
      <c r="AC23" s="157">
        <v>380000</v>
      </c>
      <c r="AD23" s="157">
        <v>0</v>
      </c>
      <c r="AE23" s="157">
        <v>0</v>
      </c>
      <c r="AF23" s="157">
        <f>SUM(Tabela99[[#This Row],[jan/26]:[dez/26]])</f>
        <v>1415000</v>
      </c>
      <c r="AG23" s="157">
        <v>1600000</v>
      </c>
      <c r="AH23" s="157">
        <v>1600000</v>
      </c>
      <c r="AI23" s="157">
        <v>1600000</v>
      </c>
      <c r="AJ23" s="157">
        <v>0</v>
      </c>
      <c r="AK23" s="157">
        <f>SUM(Tabela99[[#This Row],[2026]:[2030]])</f>
        <v>6215000</v>
      </c>
      <c r="AL23" s="158">
        <v>0</v>
      </c>
      <c r="AM23" s="157">
        <v>0</v>
      </c>
      <c r="AN23" s="157">
        <v>0</v>
      </c>
      <c r="AO23" s="157">
        <v>0</v>
      </c>
      <c r="AP23" s="157">
        <v>0</v>
      </c>
      <c r="AQ23" s="159">
        <f>SUM(Tabela99[[#This Row],[2026-2030]:[2035]])</f>
        <v>6215000</v>
      </c>
      <c r="AS23" s="2" t="s">
        <v>1825</v>
      </c>
      <c r="AT23" s="2">
        <v>2025</v>
      </c>
      <c r="AU23" s="2" t="e">
        <f>_xlfn.XLOOKUP(Tabela99[[#This Row],[ID Financeiro]],'[4]Subproj Consolidado + Delta PE'!#REF!,'[4]Subproj Consolidado + Delta PE'!#REF!,,0,1)</f>
        <v>#REF!</v>
      </c>
      <c r="AV23" s="2" t="s">
        <v>1876</v>
      </c>
      <c r="AW23" s="2" t="s">
        <v>1854</v>
      </c>
      <c r="AZ23" s="2" t="s">
        <v>1872</v>
      </c>
    </row>
    <row r="24" spans="1:52" ht="24.75" customHeight="1" x14ac:dyDescent="0.35">
      <c r="A24" s="273"/>
      <c r="B24" s="151" t="e" cm="1">
        <f t="array" ref="B24">AND(ISTEXT('Consolidado-Eletronorte'!#REF!),SUM('Consolidado-Eletronorte'!#REF!)&gt;0)</f>
        <v>#REF!</v>
      </c>
      <c r="C24" s="273" t="str">
        <f t="shared" ca="1" si="0"/>
        <v>Capex Orcamentário_PE2026_2030_red_35_porcentoR3_consulta.xlsx</v>
      </c>
      <c r="D24" s="273" t="str">
        <f t="shared" si="1"/>
        <v>COO</v>
      </c>
      <c r="E24" s="273" t="str">
        <f t="shared" si="2"/>
        <v>Lucas Martins</v>
      </c>
      <c r="F24" s="273"/>
      <c r="G24" s="273" t="e">
        <f>_xlfn.CONCAT('Consolidado-Eletronorte'!#REF!,"_",ROW('Consolidado-Eletronorte'!#REF!)-ROW('Consolidado-Eletronorte'!$G$18))</f>
        <v>#REF!</v>
      </c>
      <c r="H24" s="276" t="s">
        <v>506</v>
      </c>
      <c r="I24" s="276" t="s">
        <v>1024</v>
      </c>
      <c r="J24" s="276" t="s">
        <v>508</v>
      </c>
      <c r="K24" s="276" t="s">
        <v>1039</v>
      </c>
      <c r="L24" s="276" t="s">
        <v>1828</v>
      </c>
      <c r="M24" s="276" t="s">
        <v>1877</v>
      </c>
      <c r="N24" s="276"/>
      <c r="O24" s="276"/>
      <c r="P24" s="276"/>
      <c r="Q24" s="294" t="s">
        <v>1878</v>
      </c>
      <c r="R24" s="295" t="s">
        <v>1878</v>
      </c>
      <c r="S24" s="276" t="s">
        <v>1879</v>
      </c>
      <c r="T24" s="170">
        <v>2000</v>
      </c>
      <c r="U24" s="170">
        <v>2000</v>
      </c>
      <c r="V24" s="170">
        <v>2000</v>
      </c>
      <c r="W24" s="170">
        <v>2000</v>
      </c>
      <c r="X24" s="170">
        <v>2000</v>
      </c>
      <c r="Y24" s="170">
        <v>2000</v>
      </c>
      <c r="Z24" s="170">
        <v>0</v>
      </c>
      <c r="AA24" s="170">
        <v>2000</v>
      </c>
      <c r="AB24" s="170">
        <v>2000</v>
      </c>
      <c r="AC24" s="170">
        <v>2000</v>
      </c>
      <c r="AD24" s="170">
        <v>2000</v>
      </c>
      <c r="AE24" s="170">
        <v>17500000</v>
      </c>
      <c r="AF24" s="170">
        <f>SUM(Tabela99[[#This Row],[jan/26]:[dez/26]])</f>
        <v>17520000</v>
      </c>
      <c r="AG24" s="170">
        <v>95000000</v>
      </c>
      <c r="AH24" s="170">
        <v>52500000</v>
      </c>
      <c r="AI24" s="170">
        <v>10000000</v>
      </c>
      <c r="AJ24" s="170">
        <v>0</v>
      </c>
      <c r="AK24" s="170">
        <f>SUM(Tabela99[[#This Row],[2026]:[2030]])</f>
        <v>175020000</v>
      </c>
      <c r="AL24" s="170">
        <v>0</v>
      </c>
      <c r="AM24" s="170">
        <v>0</v>
      </c>
      <c r="AN24" s="170">
        <v>0</v>
      </c>
      <c r="AO24" s="170">
        <v>0</v>
      </c>
      <c r="AP24" s="170">
        <v>0</v>
      </c>
      <c r="AQ24" s="171">
        <f>SUM(Tabela99[[#This Row],[2026-2030]:[2035]])</f>
        <v>175020000</v>
      </c>
      <c r="AS24" s="2" t="s">
        <v>1825</v>
      </c>
      <c r="AT24" s="2">
        <v>2025</v>
      </c>
      <c r="AU24" s="2" t="e">
        <f>_xlfn.XLOOKUP(Tabela99[[#This Row],[ID Financeiro]],'[4]Subproj Consolidado + Delta PE'!#REF!,'[4]Subproj Consolidado + Delta PE'!#REF!,,0,1)</f>
        <v>#REF!</v>
      </c>
      <c r="AV24" s="2" t="s">
        <v>1880</v>
      </c>
      <c r="AW24" s="2" t="s">
        <v>1854</v>
      </c>
      <c r="AZ24" s="2" t="s">
        <v>1863</v>
      </c>
    </row>
    <row r="25" spans="1:52" ht="24.75" customHeight="1" x14ac:dyDescent="0.35">
      <c r="A25" s="150"/>
      <c r="B25" s="151" t="e" cm="1">
        <f t="array" ref="B25">AND(ISTEXT('Consolidado-Eletronorte'!#REF!),SUM('Consolidado-Eletronorte'!#REF!)&gt;0)</f>
        <v>#REF!</v>
      </c>
      <c r="C25" s="152" t="str">
        <f t="shared" ca="1" si="0"/>
        <v>Capex Orcamentário_PE2026_2030_red_35_porcentoR3_consulta.xlsx</v>
      </c>
      <c r="D25" s="113" t="str">
        <f t="shared" si="1"/>
        <v>COO</v>
      </c>
      <c r="E25" s="113" t="str">
        <f t="shared" si="2"/>
        <v>Lucas Martins</v>
      </c>
      <c r="F25" s="153"/>
      <c r="G25" s="153" t="e">
        <f>_xlfn.CONCAT('Consolidado-Eletronorte'!#REF!,"_",ROW('Consolidado-Eletronorte'!#REF!)-ROW('Consolidado-Eletronorte'!$G$18))</f>
        <v>#REF!</v>
      </c>
      <c r="H25" s="154" t="s">
        <v>506</v>
      </c>
      <c r="I25" s="155" t="s">
        <v>1024</v>
      </c>
      <c r="J25" s="154" t="s">
        <v>508</v>
      </c>
      <c r="K25" s="155" t="s">
        <v>1821</v>
      </c>
      <c r="L25" s="155" t="s">
        <v>1828</v>
      </c>
      <c r="M25" s="155" t="s">
        <v>1822</v>
      </c>
      <c r="N25" s="155"/>
      <c r="O25" s="155"/>
      <c r="P25" s="155"/>
      <c r="Q25" s="156" t="s">
        <v>1881</v>
      </c>
      <c r="R25" s="156" t="s">
        <v>1881</v>
      </c>
      <c r="S25" s="155" t="s">
        <v>1824</v>
      </c>
      <c r="T25" s="161">
        <v>0</v>
      </c>
      <c r="U25" s="158">
        <v>0</v>
      </c>
      <c r="V25" s="158">
        <v>0</v>
      </c>
      <c r="W25" s="158">
        <v>0</v>
      </c>
      <c r="X25" s="161">
        <v>0</v>
      </c>
      <c r="Y25" s="161">
        <v>2000000</v>
      </c>
      <c r="Z25" s="157">
        <v>0</v>
      </c>
      <c r="AA25" s="157">
        <v>0</v>
      </c>
      <c r="AB25" s="157">
        <v>0</v>
      </c>
      <c r="AC25" s="157">
        <v>0</v>
      </c>
      <c r="AD25" s="157">
        <v>1800000</v>
      </c>
      <c r="AE25" s="157">
        <v>0</v>
      </c>
      <c r="AF25" s="157">
        <f>SUM(Tabela99[[#This Row],[jan/26]:[dez/26]])</f>
        <v>3800000</v>
      </c>
      <c r="AG25" s="157">
        <v>0</v>
      </c>
      <c r="AH25" s="157">
        <v>0</v>
      </c>
      <c r="AI25" s="157">
        <v>0</v>
      </c>
      <c r="AJ25" s="157">
        <v>0</v>
      </c>
      <c r="AK25" s="157">
        <f>SUM(Tabela99[[#This Row],[2026]:[2030]])</f>
        <v>3800000</v>
      </c>
      <c r="AL25" s="158">
        <v>0</v>
      </c>
      <c r="AM25" s="157">
        <v>0</v>
      </c>
      <c r="AN25" s="157">
        <v>0</v>
      </c>
      <c r="AO25" s="157">
        <v>0</v>
      </c>
      <c r="AP25" s="157">
        <v>0</v>
      </c>
      <c r="AQ25" s="159">
        <f>SUM(Tabela99[[#This Row],[2026-2030]:[2035]])</f>
        <v>3800000</v>
      </c>
      <c r="AS25" s="2" t="s">
        <v>1825</v>
      </c>
      <c r="AT25" s="2">
        <v>2025</v>
      </c>
      <c r="AU25" s="2" t="e">
        <f>_xlfn.XLOOKUP(Tabela99[[#This Row],[ID Financeiro]],'[4]Subproj Consolidado + Delta PE'!#REF!,'[4]Subproj Consolidado + Delta PE'!#REF!,,0,1)</f>
        <v>#REF!</v>
      </c>
      <c r="AV25" s="2" t="s">
        <v>1882</v>
      </c>
      <c r="AW25" s="2" t="s">
        <v>1049</v>
      </c>
      <c r="AZ25" s="2" t="s">
        <v>1863</v>
      </c>
    </row>
    <row r="26" spans="1:52" ht="24.75" customHeight="1" x14ac:dyDescent="0.35">
      <c r="A26" s="150"/>
      <c r="B26" s="151" t="e" cm="1">
        <f t="array" ref="B26">AND(ISTEXT('Consolidado-Eletronorte'!#REF!),SUM('Consolidado-Eletronorte'!#REF!)&gt;0)</f>
        <v>#REF!</v>
      </c>
      <c r="C26" s="152" t="str">
        <f t="shared" ca="1" si="0"/>
        <v>Capex Orcamentário_PE2026_2030_red_35_porcentoR3_consulta.xlsx</v>
      </c>
      <c r="D26" s="113" t="str">
        <f t="shared" si="1"/>
        <v>COO</v>
      </c>
      <c r="E26" s="113" t="str">
        <f t="shared" si="2"/>
        <v>Lucas Martins</v>
      </c>
      <c r="F26" s="153"/>
      <c r="G26" s="153" t="e">
        <f>_xlfn.CONCAT('Consolidado-Eletronorte'!#REF!,"_",ROW('Consolidado-Eletronorte'!#REF!)-ROW('Consolidado-Eletronorte'!$G$18))</f>
        <v>#REF!</v>
      </c>
      <c r="H26" s="155" t="s">
        <v>506</v>
      </c>
      <c r="I26" s="155" t="s">
        <v>1024</v>
      </c>
      <c r="J26" s="154" t="s">
        <v>508</v>
      </c>
      <c r="K26" s="155" t="s">
        <v>1821</v>
      </c>
      <c r="L26" s="155" t="s">
        <v>1828</v>
      </c>
      <c r="M26" s="155" t="s">
        <v>1883</v>
      </c>
      <c r="N26" s="155"/>
      <c r="O26" s="155"/>
      <c r="P26" s="155"/>
      <c r="Q26" s="156" t="s">
        <v>1884</v>
      </c>
      <c r="R26" s="156" t="s">
        <v>1884</v>
      </c>
      <c r="S26" s="155" t="s">
        <v>1885</v>
      </c>
      <c r="T26" s="161">
        <v>0</v>
      </c>
      <c r="U26" s="158">
        <v>0</v>
      </c>
      <c r="V26" s="158">
        <v>0</v>
      </c>
      <c r="W26" s="158">
        <v>0</v>
      </c>
      <c r="X26" s="161">
        <v>0</v>
      </c>
      <c r="Y26" s="161">
        <v>0</v>
      </c>
      <c r="Z26" s="157">
        <v>0</v>
      </c>
      <c r="AA26" s="157">
        <v>0</v>
      </c>
      <c r="AB26" s="157">
        <v>0</v>
      </c>
      <c r="AC26" s="157">
        <v>0</v>
      </c>
      <c r="AD26" s="157">
        <v>0</v>
      </c>
      <c r="AE26" s="157">
        <v>0</v>
      </c>
      <c r="AF26" s="157">
        <f>SUM(Tabela99[[#This Row],[jan/26]:[dez/26]])</f>
        <v>0</v>
      </c>
      <c r="AG26" s="157">
        <v>2000000</v>
      </c>
      <c r="AH26" s="157">
        <v>0</v>
      </c>
      <c r="AI26" s="157">
        <v>0</v>
      </c>
      <c r="AJ26" s="157">
        <v>0</v>
      </c>
      <c r="AK26" s="157">
        <f>SUM(Tabela99[[#This Row],[2026]:[2030]])</f>
        <v>2000000</v>
      </c>
      <c r="AL26" s="158">
        <v>0</v>
      </c>
      <c r="AM26" s="157">
        <v>0</v>
      </c>
      <c r="AN26" s="157">
        <v>0</v>
      </c>
      <c r="AO26" s="157">
        <v>0</v>
      </c>
      <c r="AP26" s="157">
        <v>0</v>
      </c>
      <c r="AQ26" s="159">
        <f>SUM(Tabela99[[#This Row],[2026-2030]:[2035]])</f>
        <v>2000000</v>
      </c>
      <c r="AS26" s="2" t="s">
        <v>1886</v>
      </c>
      <c r="AT26" s="2">
        <v>2025</v>
      </c>
      <c r="AU26" s="2" t="e">
        <f>_xlfn.XLOOKUP(Tabela99[[#This Row],[ID Financeiro]],'[4]Subproj Consolidado + Delta PE'!#REF!,'[4]Subproj Consolidado + Delta PE'!#REF!,,0,1)</f>
        <v>#REF!</v>
      </c>
      <c r="AV26" s="2" t="e">
        <f>_xlfn.XLOOKUP(Tabela99[[#This Row],[Descrição do projeto]],'[4]Subproj Consolidado + Delta PE'!#REF!,'[4]Subproj Consolidado + Delta PE'!#REF!,,0,1)</f>
        <v>#REF!</v>
      </c>
      <c r="AW26" s="2" t="s">
        <v>1854</v>
      </c>
      <c r="AZ26" s="2" t="s">
        <v>1887</v>
      </c>
    </row>
    <row r="27" spans="1:52" ht="24.75" customHeight="1" x14ac:dyDescent="0.35">
      <c r="A27" s="150"/>
      <c r="B27" s="151" t="e" cm="1">
        <f t="array" ref="B27">AND(ISTEXT('Consolidado-Eletronorte'!#REF!),SUM('Consolidado-Eletronorte'!#REF!)&gt;0)</f>
        <v>#REF!</v>
      </c>
      <c r="C27" s="152" t="str">
        <f t="shared" ca="1" si="0"/>
        <v>Capex Orcamentário_PE2026_2030_red_35_porcentoR3_consulta.xlsx</v>
      </c>
      <c r="D27" s="113" t="str">
        <f t="shared" si="1"/>
        <v>COO</v>
      </c>
      <c r="E27" s="113" t="str">
        <f t="shared" si="2"/>
        <v>Lucas Martins</v>
      </c>
      <c r="F27" s="153"/>
      <c r="G27" s="153" t="e">
        <f>_xlfn.CONCAT('Consolidado-Eletronorte'!#REF!,"_",ROW('Consolidado-Eletronorte'!#REF!)-ROW('Consolidado-Eletronorte'!$G$18))</f>
        <v>#REF!</v>
      </c>
      <c r="H27" s="154" t="s">
        <v>506</v>
      </c>
      <c r="I27" s="155" t="s">
        <v>1024</v>
      </c>
      <c r="J27" s="154" t="s">
        <v>508</v>
      </c>
      <c r="K27" s="155" t="s">
        <v>1821</v>
      </c>
      <c r="L27" s="155" t="s">
        <v>1828</v>
      </c>
      <c r="M27" s="155" t="s">
        <v>1888</v>
      </c>
      <c r="N27" s="155"/>
      <c r="O27" s="155"/>
      <c r="P27" s="155"/>
      <c r="Q27" s="156" t="s">
        <v>1889</v>
      </c>
      <c r="R27" s="156" t="s">
        <v>1890</v>
      </c>
      <c r="S27" s="155" t="s">
        <v>1832</v>
      </c>
      <c r="T27" s="161">
        <v>0</v>
      </c>
      <c r="U27" s="158">
        <v>0</v>
      </c>
      <c r="V27" s="158">
        <v>0</v>
      </c>
      <c r="W27" s="158">
        <v>0</v>
      </c>
      <c r="X27" s="161">
        <v>0</v>
      </c>
      <c r="Y27" s="161">
        <v>0</v>
      </c>
      <c r="Z27" s="157">
        <v>0</v>
      </c>
      <c r="AA27" s="157">
        <v>0</v>
      </c>
      <c r="AB27" s="157">
        <v>0</v>
      </c>
      <c r="AC27" s="157">
        <v>200000</v>
      </c>
      <c r="AD27" s="157">
        <v>0</v>
      </c>
      <c r="AE27" s="157">
        <v>0</v>
      </c>
      <c r="AF27" s="157">
        <f>SUM(Tabela99[[#This Row],[jan/26]:[dez/26]])</f>
        <v>200000</v>
      </c>
      <c r="AG27" s="157">
        <v>400000</v>
      </c>
      <c r="AH27" s="157">
        <v>0</v>
      </c>
      <c r="AI27" s="157">
        <v>0</v>
      </c>
      <c r="AJ27" s="157">
        <v>0</v>
      </c>
      <c r="AK27" s="157">
        <f>SUM(Tabela99[[#This Row],[2026]:[2030]])</f>
        <v>600000</v>
      </c>
      <c r="AL27" s="158">
        <v>0</v>
      </c>
      <c r="AM27" s="157">
        <v>0</v>
      </c>
      <c r="AN27" s="157">
        <v>0</v>
      </c>
      <c r="AO27" s="157">
        <v>0</v>
      </c>
      <c r="AP27" s="157">
        <v>0</v>
      </c>
      <c r="AQ27" s="159">
        <f>SUM(Tabela99[[#This Row],[2026-2030]:[2035]])</f>
        <v>600000</v>
      </c>
      <c r="AS27" s="2" t="s">
        <v>1833</v>
      </c>
      <c r="AT27" s="2">
        <v>2025</v>
      </c>
      <c r="AU27" s="2" t="s">
        <v>1891</v>
      </c>
      <c r="AV27" s="2" t="e">
        <f>_xlfn.XLOOKUP(Tabela99[[#This Row],[ID de demanda candidata]],'[4]Subproj Consolidado + Delta PE'!#REF!,'[4]Subproj Consolidado + Delta PE'!#REF!,,0,1)</f>
        <v>#REF!</v>
      </c>
      <c r="AW27" s="2" t="s">
        <v>1854</v>
      </c>
      <c r="AZ27" s="2" t="s">
        <v>1835</v>
      </c>
    </row>
    <row r="28" spans="1:52" ht="24.75" customHeight="1" x14ac:dyDescent="0.35">
      <c r="A28" s="150"/>
      <c r="B28" s="151" t="e" cm="1">
        <f t="array" ref="B28">AND(ISTEXT('Consolidado-Eletronorte'!#REF!),SUM('Consolidado-Eletronorte'!#REF!)&gt;0)</f>
        <v>#REF!</v>
      </c>
      <c r="C28" s="152" t="str">
        <f t="shared" ca="1" si="0"/>
        <v>Capex Orcamentário_PE2026_2030_red_35_porcentoR3_consulta.xlsx</v>
      </c>
      <c r="D28" s="113" t="str">
        <f t="shared" si="1"/>
        <v>COO</v>
      </c>
      <c r="E28" s="113" t="str">
        <f t="shared" si="2"/>
        <v>Lucas Martins</v>
      </c>
      <c r="F28" s="153"/>
      <c r="G28" s="153" t="e">
        <f>_xlfn.CONCAT('Consolidado-Eletronorte'!#REF!,"_",ROW('Consolidado-Eletronorte'!#REF!)-ROW('Consolidado-Eletronorte'!$G$18))</f>
        <v>#REF!</v>
      </c>
      <c r="H28" s="154" t="s">
        <v>506</v>
      </c>
      <c r="I28" s="155" t="s">
        <v>1024</v>
      </c>
      <c r="J28" s="154" t="s">
        <v>508</v>
      </c>
      <c r="K28" s="155" t="s">
        <v>1821</v>
      </c>
      <c r="L28" s="155" t="s">
        <v>1828</v>
      </c>
      <c r="M28" s="155" t="s">
        <v>1829</v>
      </c>
      <c r="N28" s="155"/>
      <c r="O28" s="155"/>
      <c r="P28" s="155"/>
      <c r="Q28" s="156" t="s">
        <v>1892</v>
      </c>
      <c r="R28" s="156" t="s">
        <v>1893</v>
      </c>
      <c r="S28" s="155" t="s">
        <v>1832</v>
      </c>
      <c r="T28" s="161">
        <v>0</v>
      </c>
      <c r="U28" s="158">
        <v>0</v>
      </c>
      <c r="V28" s="158">
        <v>0</v>
      </c>
      <c r="W28" s="158">
        <v>0</v>
      </c>
      <c r="X28" s="161">
        <v>450000</v>
      </c>
      <c r="Y28" s="161">
        <v>450000</v>
      </c>
      <c r="Z28" s="157">
        <v>450000</v>
      </c>
      <c r="AA28" s="157">
        <v>450000</v>
      </c>
      <c r="AB28" s="157">
        <v>450000</v>
      </c>
      <c r="AC28" s="157">
        <v>450000</v>
      </c>
      <c r="AD28" s="157">
        <v>500000</v>
      </c>
      <c r="AE28" s="157">
        <v>500000</v>
      </c>
      <c r="AF28" s="157">
        <f>SUM(Tabela99[[#This Row],[jan/26]:[dez/26]])</f>
        <v>3700000</v>
      </c>
      <c r="AG28" s="157">
        <v>0</v>
      </c>
      <c r="AH28" s="157">
        <v>0</v>
      </c>
      <c r="AI28" s="157">
        <v>0</v>
      </c>
      <c r="AJ28" s="157">
        <v>0</v>
      </c>
      <c r="AK28" s="157">
        <f>SUM(Tabela99[[#This Row],[2026]:[2030]])</f>
        <v>3700000</v>
      </c>
      <c r="AL28" s="158">
        <v>0</v>
      </c>
      <c r="AM28" s="157">
        <v>0</v>
      </c>
      <c r="AN28" s="157">
        <v>0</v>
      </c>
      <c r="AO28" s="157">
        <v>0</v>
      </c>
      <c r="AP28" s="157">
        <v>0</v>
      </c>
      <c r="AQ28" s="159">
        <f>SUM(Tabela99[[#This Row],[2026-2030]:[2035]])</f>
        <v>3700000</v>
      </c>
      <c r="AS28" s="2" t="s">
        <v>1833</v>
      </c>
      <c r="AT28" s="2">
        <v>2025</v>
      </c>
      <c r="AU28" s="2" t="s">
        <v>1894</v>
      </c>
      <c r="AV28" s="2" t="e">
        <f>_xlfn.XLOOKUP(Tabela99[[#This Row],[ID de demanda candidata]],'[4]Subproj Consolidado + Delta PE'!#REF!,'[4]Subproj Consolidado + Delta PE'!#REF!,,0,1)</f>
        <v>#REF!</v>
      </c>
      <c r="AW28" s="2" t="s">
        <v>517</v>
      </c>
      <c r="AZ28" s="2" t="s">
        <v>1835</v>
      </c>
    </row>
    <row r="29" spans="1:52" ht="24.75" customHeight="1" x14ac:dyDescent="0.35">
      <c r="A29" s="150"/>
      <c r="B29" s="151" t="e" cm="1">
        <f t="array" ref="B29">AND(ISTEXT('Consolidado-Eletronorte'!#REF!),SUM('Consolidado-Eletronorte'!#REF!)&gt;0)</f>
        <v>#REF!</v>
      </c>
      <c r="C29" s="152" t="str">
        <f t="shared" ca="1" si="0"/>
        <v>Capex Orcamentário_PE2026_2030_red_35_porcentoR3_consulta.xlsx</v>
      </c>
      <c r="D29" s="113" t="str">
        <f t="shared" si="1"/>
        <v>COO</v>
      </c>
      <c r="E29" s="113" t="str">
        <f t="shared" si="2"/>
        <v>Lucas Martins</v>
      </c>
      <c r="F29" s="153"/>
      <c r="G29" s="153" t="e">
        <f>_xlfn.CONCAT('Consolidado-Eletronorte'!#REF!,"_",ROW('Consolidado-Eletronorte'!#REF!)-ROW('Consolidado-Eletronorte'!$G$18))</f>
        <v>#REF!</v>
      </c>
      <c r="H29" s="154" t="s">
        <v>506</v>
      </c>
      <c r="I29" s="155" t="s">
        <v>1024</v>
      </c>
      <c r="J29" s="154" t="s">
        <v>508</v>
      </c>
      <c r="K29" s="155" t="s">
        <v>1821</v>
      </c>
      <c r="L29" s="155" t="s">
        <v>1828</v>
      </c>
      <c r="M29" s="155" t="s">
        <v>1829</v>
      </c>
      <c r="N29" s="155"/>
      <c r="O29" s="155"/>
      <c r="P29" s="155"/>
      <c r="Q29" s="156" t="s">
        <v>1895</v>
      </c>
      <c r="R29" s="156" t="s">
        <v>1895</v>
      </c>
      <c r="S29" s="155" t="s">
        <v>1832</v>
      </c>
      <c r="T29" s="161">
        <v>497000</v>
      </c>
      <c r="U29" s="158">
        <v>0</v>
      </c>
      <c r="V29" s="158">
        <v>0</v>
      </c>
      <c r="W29" s="158">
        <v>0</v>
      </c>
      <c r="X29" s="161">
        <v>799000</v>
      </c>
      <c r="Y29" s="161">
        <v>0</v>
      </c>
      <c r="Z29" s="157">
        <v>0</v>
      </c>
      <c r="AA29" s="157">
        <v>0</v>
      </c>
      <c r="AB29" s="157">
        <v>0</v>
      </c>
      <c r="AC29" s="157">
        <v>0</v>
      </c>
      <c r="AD29" s="157">
        <v>0</v>
      </c>
      <c r="AE29" s="157">
        <v>0</v>
      </c>
      <c r="AF29" s="157">
        <f>SUM(Tabela99[[#This Row],[jan/26]:[dez/26]])</f>
        <v>1296000</v>
      </c>
      <c r="AG29" s="157">
        <v>0</v>
      </c>
      <c r="AH29" s="157">
        <v>0</v>
      </c>
      <c r="AI29" s="157">
        <v>0</v>
      </c>
      <c r="AJ29" s="157">
        <v>0</v>
      </c>
      <c r="AK29" s="157">
        <f>SUM(Tabela99[[#This Row],[2026]:[2030]])</f>
        <v>1296000</v>
      </c>
      <c r="AL29" s="158">
        <v>0</v>
      </c>
      <c r="AM29" s="157">
        <v>0</v>
      </c>
      <c r="AN29" s="157">
        <v>0</v>
      </c>
      <c r="AO29" s="157">
        <v>0</v>
      </c>
      <c r="AP29" s="157">
        <v>0</v>
      </c>
      <c r="AQ29" s="159">
        <f>SUM(Tabela99[[#This Row],[2026-2030]:[2035]])</f>
        <v>1296000</v>
      </c>
      <c r="AS29" s="2" t="s">
        <v>1825</v>
      </c>
      <c r="AT29" s="2">
        <v>2025</v>
      </c>
      <c r="AU29" s="2" t="e">
        <f>_xlfn.XLOOKUP(Tabela99[[#This Row],[ID Financeiro]],'[4]Subproj Consolidado + Delta PE'!#REF!,'[4]Subproj Consolidado + Delta PE'!#REF!,,0,1)</f>
        <v>#REF!</v>
      </c>
      <c r="AV29" s="2" t="s">
        <v>1896</v>
      </c>
      <c r="AW29" s="2" t="s">
        <v>517</v>
      </c>
      <c r="AZ29" s="2" t="s">
        <v>1842</v>
      </c>
    </row>
    <row r="30" spans="1:52" ht="24.75" customHeight="1" x14ac:dyDescent="0.35">
      <c r="A30" s="150"/>
      <c r="B30" s="151" t="e" cm="1">
        <f t="array" ref="B30">AND(ISTEXT('Consolidado-Eletronorte'!#REF!),SUM('Consolidado-Eletronorte'!#REF!)&gt;0)</f>
        <v>#REF!</v>
      </c>
      <c r="C30" s="152" t="str">
        <f t="shared" ca="1" si="0"/>
        <v>Capex Orcamentário_PE2026_2030_red_35_porcentoR3_consulta.xlsx</v>
      </c>
      <c r="D30" s="113" t="str">
        <f t="shared" si="1"/>
        <v>COO</v>
      </c>
      <c r="E30" s="113" t="str">
        <f t="shared" si="2"/>
        <v>Lucas Martins</v>
      </c>
      <c r="F30" s="153"/>
      <c r="G30" s="153" t="e">
        <f>_xlfn.CONCAT('Consolidado-Eletronorte'!#REF!,"_",ROW('Consolidado-Eletronorte'!#REF!)-ROW('Consolidado-Eletronorte'!$G$18))</f>
        <v>#REF!</v>
      </c>
      <c r="H30" s="155" t="s">
        <v>506</v>
      </c>
      <c r="I30" s="155" t="s">
        <v>1024</v>
      </c>
      <c r="J30" s="154" t="s">
        <v>508</v>
      </c>
      <c r="K30" s="155" t="s">
        <v>1821</v>
      </c>
      <c r="L30" s="155" t="s">
        <v>1828</v>
      </c>
      <c r="M30" s="155" t="s">
        <v>1897</v>
      </c>
      <c r="N30" s="155"/>
      <c r="O30" s="155"/>
      <c r="P30" s="155"/>
      <c r="Q30" s="156" t="s">
        <v>1898</v>
      </c>
      <c r="R30" s="156" t="s">
        <v>1898</v>
      </c>
      <c r="S30" s="155" t="s">
        <v>1899</v>
      </c>
      <c r="T30" s="161">
        <v>0</v>
      </c>
      <c r="U30" s="161">
        <v>0</v>
      </c>
      <c r="V30" s="161">
        <v>2125000</v>
      </c>
      <c r="W30" s="161">
        <v>100000</v>
      </c>
      <c r="X30" s="161">
        <v>100000</v>
      </c>
      <c r="Y30" s="161">
        <v>200000</v>
      </c>
      <c r="Z30" s="161">
        <v>2200000</v>
      </c>
      <c r="AA30" s="161">
        <v>200000</v>
      </c>
      <c r="AB30" s="161">
        <v>200000</v>
      </c>
      <c r="AC30" s="161">
        <v>200000</v>
      </c>
      <c r="AD30" s="161">
        <v>300000</v>
      </c>
      <c r="AE30" s="161">
        <v>17550000</v>
      </c>
      <c r="AF30" s="157">
        <f>SUM(Tabela99[[#This Row],[jan/26]:[dez/26]])</f>
        <v>23175000</v>
      </c>
      <c r="AG30" s="157">
        <v>60000000</v>
      </c>
      <c r="AH30" s="157">
        <v>43625000</v>
      </c>
      <c r="AI30" s="157">
        <v>3200000</v>
      </c>
      <c r="AJ30" s="157">
        <v>0</v>
      </c>
      <c r="AK30" s="157">
        <f>SUM(Tabela99[[#This Row],[2026]:[2030]])</f>
        <v>130000000</v>
      </c>
      <c r="AL30" s="158">
        <v>0</v>
      </c>
      <c r="AM30" s="157">
        <v>0</v>
      </c>
      <c r="AN30" s="157">
        <v>0</v>
      </c>
      <c r="AO30" s="157">
        <v>0</v>
      </c>
      <c r="AP30" s="157">
        <v>0</v>
      </c>
      <c r="AQ30" s="159">
        <f>SUM(Tabela99[[#This Row],[2026-2030]:[2035]])</f>
        <v>130000000</v>
      </c>
      <c r="AS30" s="2" t="s">
        <v>1825</v>
      </c>
      <c r="AT30" s="2">
        <v>2025</v>
      </c>
      <c r="AU30" s="2" t="e">
        <f>_xlfn.XLOOKUP(Tabela99[[#This Row],[ID Financeiro]],'[4]Subproj Consolidado + Delta PE'!#REF!,'[4]Subproj Consolidado + Delta PE'!#REF!,,0,1)</f>
        <v>#REF!</v>
      </c>
      <c r="AV30" s="2" t="s">
        <v>1900</v>
      </c>
      <c r="AW30" s="2" t="s">
        <v>1049</v>
      </c>
      <c r="AZ30" s="2" t="s">
        <v>1863</v>
      </c>
    </row>
    <row r="31" spans="1:52" ht="24.75" customHeight="1" x14ac:dyDescent="0.35">
      <c r="A31" s="150"/>
      <c r="B31" s="151" t="e" cm="1">
        <f t="array" ref="B31">AND(ISTEXT('Consolidado-Eletronorte'!#REF!),SUM('Consolidado-Eletronorte'!#REF!)&gt;0)</f>
        <v>#REF!</v>
      </c>
      <c r="C31" s="152" t="str">
        <f t="shared" ca="1" si="0"/>
        <v>Capex Orcamentário_PE2026_2030_red_35_porcentoR3_consulta.xlsx</v>
      </c>
      <c r="D31" s="113" t="str">
        <f t="shared" si="1"/>
        <v>COO</v>
      </c>
      <c r="E31" s="113" t="str">
        <f t="shared" si="2"/>
        <v>Lucas Martins</v>
      </c>
      <c r="F31" s="153"/>
      <c r="G31" s="153" t="e">
        <f>_xlfn.CONCAT('Consolidado-Eletronorte'!#REF!,"_",ROW('Consolidado-Eletronorte'!#REF!)-ROW('Consolidado-Eletronorte'!$G$18))</f>
        <v>#REF!</v>
      </c>
      <c r="H31" s="154" t="s">
        <v>506</v>
      </c>
      <c r="I31" s="155" t="s">
        <v>1024</v>
      </c>
      <c r="J31" s="154" t="s">
        <v>508</v>
      </c>
      <c r="K31" s="155" t="s">
        <v>1821</v>
      </c>
      <c r="L31" s="155" t="s">
        <v>1828</v>
      </c>
      <c r="M31" s="155" t="s">
        <v>1901</v>
      </c>
      <c r="N31" s="155"/>
      <c r="O31" s="155"/>
      <c r="P31" s="155"/>
      <c r="Q31" s="156" t="s">
        <v>1902</v>
      </c>
      <c r="R31" s="156" t="s">
        <v>1903</v>
      </c>
      <c r="S31" s="155" t="s">
        <v>1861</v>
      </c>
      <c r="T31" s="161">
        <v>0</v>
      </c>
      <c r="U31" s="158">
        <v>0</v>
      </c>
      <c r="V31" s="158">
        <v>0</v>
      </c>
      <c r="W31" s="158">
        <v>0</v>
      </c>
      <c r="X31" s="161">
        <v>0</v>
      </c>
      <c r="Y31" s="161">
        <v>0</v>
      </c>
      <c r="Z31" s="157">
        <v>0</v>
      </c>
      <c r="AA31" s="157">
        <v>0</v>
      </c>
      <c r="AB31" s="157">
        <v>0</v>
      </c>
      <c r="AC31" s="157">
        <v>0</v>
      </c>
      <c r="AD31" s="157">
        <v>0</v>
      </c>
      <c r="AE31" s="157">
        <v>0</v>
      </c>
      <c r="AF31" s="157">
        <f>SUM(Tabela99[[#This Row],[jan/26]:[dez/26]])</f>
        <v>0</v>
      </c>
      <c r="AG31" s="157">
        <v>200000</v>
      </c>
      <c r="AH31" s="157">
        <v>200000</v>
      </c>
      <c r="AI31" s="157">
        <v>0</v>
      </c>
      <c r="AJ31" s="157">
        <v>0</v>
      </c>
      <c r="AK31" s="157">
        <f>SUM(Tabela99[[#This Row],[2026]:[2030]])</f>
        <v>400000</v>
      </c>
      <c r="AL31" s="158">
        <v>0</v>
      </c>
      <c r="AM31" s="157">
        <v>0</v>
      </c>
      <c r="AN31" s="157">
        <v>0</v>
      </c>
      <c r="AO31" s="157">
        <v>0</v>
      </c>
      <c r="AP31" s="157">
        <v>0</v>
      </c>
      <c r="AQ31" s="159">
        <f>SUM(Tabela99[[#This Row],[2026-2030]:[2035]])</f>
        <v>400000</v>
      </c>
      <c r="AS31" s="2" t="s">
        <v>1833</v>
      </c>
      <c r="AT31" s="2">
        <v>2025</v>
      </c>
      <c r="AU31" s="2" t="s">
        <v>1904</v>
      </c>
      <c r="AV31" s="2" t="e">
        <f>_xlfn.XLOOKUP(Tabela99[[#This Row],[ID de demanda candidata]],'[4]Subproj Consolidado + Delta PE'!#REF!,'[4]Subproj Consolidado + Delta PE'!#REF!,,0,1)</f>
        <v>#REF!</v>
      </c>
      <c r="AW31" s="2" t="s">
        <v>1854</v>
      </c>
      <c r="AZ31" s="2" t="s">
        <v>1905</v>
      </c>
    </row>
    <row r="32" spans="1:52" ht="24.75" customHeight="1" x14ac:dyDescent="0.35">
      <c r="A32" s="150"/>
      <c r="B32" s="151" t="e" cm="1">
        <f t="array" ref="B32">AND(ISTEXT('Consolidado-Eletronorte'!#REF!),SUM('Consolidado-Eletronorte'!#REF!)&gt;0)</f>
        <v>#REF!</v>
      </c>
      <c r="C32" s="152" t="str">
        <f t="shared" ca="1" si="0"/>
        <v>Capex Orcamentário_PE2026_2030_red_35_porcentoR3_consulta.xlsx</v>
      </c>
      <c r="D32" s="113" t="str">
        <f t="shared" si="1"/>
        <v>COO</v>
      </c>
      <c r="E32" s="113" t="str">
        <f t="shared" si="2"/>
        <v>Lucas Martins</v>
      </c>
      <c r="F32" s="153"/>
      <c r="G32" s="153" t="e">
        <f>_xlfn.CONCAT('Consolidado-Eletronorte'!#REF!,"_",ROW('Consolidado-Eletronorte'!#REF!)-ROW('Consolidado-Eletronorte'!$G$18))</f>
        <v>#REF!</v>
      </c>
      <c r="H32" s="154" t="s">
        <v>506</v>
      </c>
      <c r="I32" s="155" t="s">
        <v>1024</v>
      </c>
      <c r="J32" s="154" t="s">
        <v>508</v>
      </c>
      <c r="K32" s="155" t="s">
        <v>1821</v>
      </c>
      <c r="L32" s="155" t="s">
        <v>1828</v>
      </c>
      <c r="M32" s="155" t="s">
        <v>1901</v>
      </c>
      <c r="N32" s="155"/>
      <c r="O32" s="155"/>
      <c r="P32" s="155"/>
      <c r="Q32" s="156" t="s">
        <v>1906</v>
      </c>
      <c r="R32" s="156" t="s">
        <v>1907</v>
      </c>
      <c r="S32" s="155" t="s">
        <v>1861</v>
      </c>
      <c r="T32" s="161">
        <v>0</v>
      </c>
      <c r="U32" s="158">
        <v>0</v>
      </c>
      <c r="V32" s="158">
        <v>0</v>
      </c>
      <c r="W32" s="158">
        <v>0</v>
      </c>
      <c r="X32" s="161">
        <v>0</v>
      </c>
      <c r="Y32" s="161">
        <v>0</v>
      </c>
      <c r="Z32" s="157">
        <v>0</v>
      </c>
      <c r="AA32" s="157">
        <v>0</v>
      </c>
      <c r="AB32" s="157">
        <v>0</v>
      </c>
      <c r="AC32" s="157">
        <v>0</v>
      </c>
      <c r="AD32" s="157">
        <v>0</v>
      </c>
      <c r="AE32" s="157">
        <v>0</v>
      </c>
      <c r="AF32" s="157">
        <f>SUM(Tabela99[[#This Row],[jan/26]:[dez/26]])</f>
        <v>0</v>
      </c>
      <c r="AG32" s="157">
        <v>0</v>
      </c>
      <c r="AH32" s="157">
        <v>120000</v>
      </c>
      <c r="AI32" s="157">
        <v>0</v>
      </c>
      <c r="AJ32" s="157">
        <v>0</v>
      </c>
      <c r="AK32" s="157">
        <f>SUM(Tabela99[[#This Row],[2026]:[2030]])</f>
        <v>120000</v>
      </c>
      <c r="AL32" s="158">
        <v>0</v>
      </c>
      <c r="AM32" s="157">
        <v>0</v>
      </c>
      <c r="AN32" s="157">
        <v>0</v>
      </c>
      <c r="AO32" s="157">
        <v>0</v>
      </c>
      <c r="AP32" s="157">
        <v>0</v>
      </c>
      <c r="AQ32" s="159">
        <f>SUM(Tabela99[[#This Row],[2026-2030]:[2035]])</f>
        <v>120000</v>
      </c>
      <c r="AS32" s="2" t="s">
        <v>1833</v>
      </c>
      <c r="AT32" s="2">
        <v>2025</v>
      </c>
      <c r="AU32" s="2" t="s">
        <v>1908</v>
      </c>
      <c r="AV32" s="2" t="e">
        <f>_xlfn.XLOOKUP(Tabela99[[#This Row],[ID de demanda candidata]],'[4]Subproj Consolidado + Delta PE'!#REF!,'[4]Subproj Consolidado + Delta PE'!#REF!,,0,1)</f>
        <v>#REF!</v>
      </c>
      <c r="AW32" s="2" t="s">
        <v>1854</v>
      </c>
      <c r="AZ32" s="2" t="s">
        <v>1905</v>
      </c>
    </row>
    <row r="33" spans="1:52" ht="24.75" customHeight="1" x14ac:dyDescent="0.35">
      <c r="A33" s="272"/>
      <c r="B33" s="151" t="e" cm="1">
        <f t="array" ref="B33">AND(ISTEXT('Consolidado-Eletronorte'!#REF!),SUM('Consolidado-Eletronorte'!#REF!)&gt;0)</f>
        <v>#REF!</v>
      </c>
      <c r="C33" s="273" t="str">
        <f t="shared" ca="1" si="0"/>
        <v>Capex Orcamentário_PE2026_2030_red_35_porcentoR3_consulta.xlsx</v>
      </c>
      <c r="D33" s="274" t="str">
        <f t="shared" si="1"/>
        <v>COO</v>
      </c>
      <c r="E33" s="274" t="str">
        <f t="shared" si="2"/>
        <v>Lucas Martins</v>
      </c>
      <c r="F33" s="275"/>
      <c r="G33" s="275" t="e">
        <f>_xlfn.CONCAT('Consolidado-Eletronorte'!#REF!,"_",ROW('Consolidado-Eletronorte'!#REF!)-ROW('Consolidado-Eletronorte'!$G$18))</f>
        <v>#REF!</v>
      </c>
      <c r="H33" s="276" t="s">
        <v>506</v>
      </c>
      <c r="I33" s="276" t="s">
        <v>1024</v>
      </c>
      <c r="J33" s="277" t="s">
        <v>508</v>
      </c>
      <c r="K33" s="276" t="s">
        <v>1821</v>
      </c>
      <c r="L33" s="276" t="s">
        <v>1828</v>
      </c>
      <c r="M33" s="276" t="s">
        <v>1901</v>
      </c>
      <c r="N33" s="276"/>
      <c r="O33" s="276"/>
      <c r="P33" s="276"/>
      <c r="Q33" s="278" t="s">
        <v>1909</v>
      </c>
      <c r="R33" s="278" t="s">
        <v>1910</v>
      </c>
      <c r="S33" s="276" t="s">
        <v>1861</v>
      </c>
      <c r="T33" s="289">
        <v>0</v>
      </c>
      <c r="U33" s="290">
        <v>0</v>
      </c>
      <c r="V33" s="290">
        <v>0</v>
      </c>
      <c r="W33" s="290">
        <v>0</v>
      </c>
      <c r="X33" s="289">
        <v>0</v>
      </c>
      <c r="Y33" s="289">
        <v>0</v>
      </c>
      <c r="Z33" s="160">
        <v>0</v>
      </c>
      <c r="AA33" s="160">
        <v>0</v>
      </c>
      <c r="AB33" s="160">
        <v>0</v>
      </c>
      <c r="AC33" s="160">
        <v>0</v>
      </c>
      <c r="AD33" s="160">
        <v>0</v>
      </c>
      <c r="AE33" s="160">
        <v>0</v>
      </c>
      <c r="AF33" s="160">
        <f>SUM(Tabela99[[#This Row],[jan/26]:[dez/26]])</f>
        <v>0</v>
      </c>
      <c r="AG33" s="160">
        <v>2000000</v>
      </c>
      <c r="AH33" s="160">
        <v>0</v>
      </c>
      <c r="AI33" s="160">
        <v>0</v>
      </c>
      <c r="AJ33" s="160">
        <v>0</v>
      </c>
      <c r="AK33" s="160">
        <f>SUM(Tabela99[[#This Row],[2026]:[2030]])</f>
        <v>2000000</v>
      </c>
      <c r="AL33" s="290">
        <v>0</v>
      </c>
      <c r="AM33" s="160">
        <v>0</v>
      </c>
      <c r="AN33" s="160">
        <v>0</v>
      </c>
      <c r="AO33" s="160">
        <v>0</v>
      </c>
      <c r="AP33" s="160">
        <v>0</v>
      </c>
      <c r="AQ33" s="291">
        <f>SUM(Tabela99[[#This Row],[2026-2030]:[2035]])</f>
        <v>2000000</v>
      </c>
      <c r="AS33" s="2" t="s">
        <v>1833</v>
      </c>
      <c r="AT33" s="2">
        <v>2025</v>
      </c>
      <c r="AU33" s="2" t="s">
        <v>1911</v>
      </c>
      <c r="AV33" s="2" t="e">
        <f>_xlfn.XLOOKUP(Tabela99[[#This Row],[ID de demanda candidata]],'[4]Subproj Consolidado + Delta PE'!#REF!,'[4]Subproj Consolidado + Delta PE'!#REF!,,0,1)</f>
        <v>#REF!</v>
      </c>
      <c r="AW33" s="2" t="s">
        <v>1854</v>
      </c>
      <c r="AZ33" s="2" t="s">
        <v>1905</v>
      </c>
    </row>
    <row r="34" spans="1:52" ht="24.75" customHeight="1" x14ac:dyDescent="0.35">
      <c r="A34" s="150"/>
      <c r="B34" s="151" t="e" cm="1">
        <f t="array" ref="B34">AND(ISTEXT('Consolidado-Eletronorte'!#REF!),SUM('Consolidado-Eletronorte'!#REF!)&gt;0)</f>
        <v>#REF!</v>
      </c>
      <c r="C34" s="152" t="str">
        <f t="shared" ca="1" si="0"/>
        <v>Capex Orcamentário_PE2026_2030_red_35_porcentoR3_consulta.xlsx</v>
      </c>
      <c r="D34" s="113" t="str">
        <f t="shared" si="1"/>
        <v>COO</v>
      </c>
      <c r="E34" s="113" t="str">
        <f t="shared" si="2"/>
        <v>Lucas Martins</v>
      </c>
      <c r="F34" s="153"/>
      <c r="G34" s="153" t="e">
        <f>_xlfn.CONCAT('Consolidado-Eletronorte'!#REF!,"_",ROW('Consolidado-Eletronorte'!#REF!)-ROW('Consolidado-Eletronorte'!$G$18))</f>
        <v>#REF!</v>
      </c>
      <c r="H34" s="154" t="s">
        <v>506</v>
      </c>
      <c r="I34" s="155" t="s">
        <v>1024</v>
      </c>
      <c r="J34" s="154" t="s">
        <v>508</v>
      </c>
      <c r="K34" s="155" t="s">
        <v>1821</v>
      </c>
      <c r="L34" s="155" t="s">
        <v>1828</v>
      </c>
      <c r="M34" s="155" t="s">
        <v>1901</v>
      </c>
      <c r="N34" s="155"/>
      <c r="O34" s="155"/>
      <c r="P34" s="155"/>
      <c r="Q34" s="156" t="s">
        <v>1912</v>
      </c>
      <c r="R34" s="156" t="s">
        <v>1913</v>
      </c>
      <c r="S34" s="155" t="s">
        <v>1861</v>
      </c>
      <c r="T34" s="161">
        <v>0</v>
      </c>
      <c r="U34" s="158">
        <v>0</v>
      </c>
      <c r="V34" s="158">
        <v>0</v>
      </c>
      <c r="W34" s="158">
        <v>0</v>
      </c>
      <c r="X34" s="161">
        <v>0</v>
      </c>
      <c r="Y34" s="161">
        <v>0</v>
      </c>
      <c r="Z34" s="157">
        <v>300000</v>
      </c>
      <c r="AA34" s="157">
        <v>300000</v>
      </c>
      <c r="AB34" s="157">
        <v>400000</v>
      </c>
      <c r="AC34" s="157">
        <v>400000</v>
      </c>
      <c r="AD34" s="157">
        <v>300000</v>
      </c>
      <c r="AE34" s="157">
        <v>300000</v>
      </c>
      <c r="AF34" s="157">
        <f>SUM(Tabela99[[#This Row],[jan/26]:[dez/26]])</f>
        <v>2000000</v>
      </c>
      <c r="AG34" s="157">
        <v>0</v>
      </c>
      <c r="AH34" s="157">
        <v>0</v>
      </c>
      <c r="AI34" s="157">
        <v>0</v>
      </c>
      <c r="AJ34" s="157">
        <v>0</v>
      </c>
      <c r="AK34" s="157">
        <f>SUM(Tabela99[[#This Row],[2026]:[2030]])</f>
        <v>2000000</v>
      </c>
      <c r="AL34" s="158">
        <v>0</v>
      </c>
      <c r="AM34" s="157">
        <v>0</v>
      </c>
      <c r="AN34" s="157">
        <v>0</v>
      </c>
      <c r="AO34" s="157">
        <v>0</v>
      </c>
      <c r="AP34" s="157">
        <v>0</v>
      </c>
      <c r="AQ34" s="159">
        <f>SUM(Tabela99[[#This Row],[2026-2030]:[2035]])</f>
        <v>2000000</v>
      </c>
      <c r="AS34" s="2" t="s">
        <v>1833</v>
      </c>
      <c r="AT34" s="2">
        <v>2025</v>
      </c>
      <c r="AU34" s="2" t="s">
        <v>1914</v>
      </c>
      <c r="AV34" s="2" t="e">
        <f>_xlfn.XLOOKUP(Tabela99[[#This Row],[ID de demanda candidata]],'[4]Subproj Consolidado + Delta PE'!#REF!,'[4]Subproj Consolidado + Delta PE'!#REF!,,0,1)</f>
        <v>#REF!</v>
      </c>
      <c r="AW34" s="2" t="s">
        <v>1854</v>
      </c>
      <c r="AZ34" s="2" t="s">
        <v>1905</v>
      </c>
    </row>
    <row r="35" spans="1:52" ht="24.75" customHeight="1" x14ac:dyDescent="0.35">
      <c r="A35" s="150"/>
      <c r="B35" s="151" t="e" cm="1">
        <f t="array" ref="B35">AND(ISTEXT('Consolidado-Eletronorte'!#REF!),SUM('Consolidado-Eletronorte'!#REF!)&gt;0)</f>
        <v>#REF!</v>
      </c>
      <c r="C35" s="152" t="str">
        <f t="shared" ca="1" si="0"/>
        <v>Capex Orcamentário_PE2026_2030_red_35_porcentoR3_consulta.xlsx</v>
      </c>
      <c r="D35" s="113" t="str">
        <f t="shared" si="1"/>
        <v>COO</v>
      </c>
      <c r="E35" s="113" t="str">
        <f t="shared" si="2"/>
        <v>Lucas Martins</v>
      </c>
      <c r="F35" s="153"/>
      <c r="G35" s="153" t="e">
        <f>_xlfn.CONCAT('Consolidado-Eletronorte'!#REF!,"_",ROW('Consolidado-Eletronorte'!#REF!)-ROW('Consolidado-Eletronorte'!$G$18))</f>
        <v>#REF!</v>
      </c>
      <c r="H35" s="154" t="s">
        <v>506</v>
      </c>
      <c r="I35" s="155" t="s">
        <v>1024</v>
      </c>
      <c r="J35" s="154" t="s">
        <v>508</v>
      </c>
      <c r="K35" s="155" t="s">
        <v>1821</v>
      </c>
      <c r="L35" s="155" t="s">
        <v>1828</v>
      </c>
      <c r="M35" s="155" t="s">
        <v>1829</v>
      </c>
      <c r="N35" s="155"/>
      <c r="O35" s="155"/>
      <c r="P35" s="155"/>
      <c r="Q35" s="156" t="s">
        <v>1915</v>
      </c>
      <c r="R35" s="156" t="s">
        <v>1916</v>
      </c>
      <c r="S35" s="155" t="s">
        <v>1832</v>
      </c>
      <c r="T35" s="161">
        <v>0</v>
      </c>
      <c r="U35" s="158">
        <v>0</v>
      </c>
      <c r="V35" s="158">
        <v>0</v>
      </c>
      <c r="W35" s="158">
        <v>200000</v>
      </c>
      <c r="X35" s="161">
        <v>200000</v>
      </c>
      <c r="Y35" s="161">
        <v>250000</v>
      </c>
      <c r="Z35" s="157">
        <v>0</v>
      </c>
      <c r="AA35" s="157">
        <v>0</v>
      </c>
      <c r="AB35" s="157">
        <v>0</v>
      </c>
      <c r="AC35" s="157">
        <v>0</v>
      </c>
      <c r="AD35" s="157">
        <v>0</v>
      </c>
      <c r="AE35" s="157">
        <v>0</v>
      </c>
      <c r="AF35" s="157">
        <f>SUM(Tabela99[[#This Row],[jan/26]:[dez/26]])</f>
        <v>650000</v>
      </c>
      <c r="AG35" s="157">
        <v>0</v>
      </c>
      <c r="AH35" s="157">
        <v>0</v>
      </c>
      <c r="AI35" s="157">
        <v>0</v>
      </c>
      <c r="AJ35" s="157">
        <v>0</v>
      </c>
      <c r="AK35" s="157">
        <f>SUM(Tabela99[[#This Row],[2026]:[2030]])</f>
        <v>650000</v>
      </c>
      <c r="AL35" s="158">
        <v>0</v>
      </c>
      <c r="AM35" s="157">
        <v>0</v>
      </c>
      <c r="AN35" s="157">
        <v>0</v>
      </c>
      <c r="AO35" s="157">
        <v>0</v>
      </c>
      <c r="AP35" s="157">
        <v>0</v>
      </c>
      <c r="AQ35" s="159">
        <f>SUM(Tabela99[[#This Row],[2026-2030]:[2035]])</f>
        <v>650000</v>
      </c>
      <c r="AS35" s="2" t="s">
        <v>1833</v>
      </c>
      <c r="AT35" s="2">
        <v>2025</v>
      </c>
      <c r="AU35" s="2" t="s">
        <v>1917</v>
      </c>
      <c r="AV35" s="2" t="e">
        <f>_xlfn.XLOOKUP(Tabela99[[#This Row],[ID de demanda candidata]],'[4]Subproj Consolidado + Delta PE'!#REF!,'[4]Subproj Consolidado + Delta PE'!#REF!,,0,1)</f>
        <v>#REF!</v>
      </c>
      <c r="AW35" s="2" t="s">
        <v>517</v>
      </c>
      <c r="AZ35" s="2" t="s">
        <v>1835</v>
      </c>
    </row>
    <row r="36" spans="1:52" ht="24.75" customHeight="1" x14ac:dyDescent="0.35">
      <c r="A36" s="150"/>
      <c r="B36" s="151" t="e" cm="1">
        <f t="array" ref="B36">AND(ISTEXT('Consolidado-Eletronorte'!#REF!),SUM('Consolidado-Eletronorte'!#REF!)&gt;0)</f>
        <v>#REF!</v>
      </c>
      <c r="C36" s="152" t="str">
        <f t="shared" ca="1" si="0"/>
        <v>Capex Orcamentário_PE2026_2030_red_35_porcentoR3_consulta.xlsx</v>
      </c>
      <c r="D36" s="113" t="str">
        <f t="shared" si="1"/>
        <v>COO</v>
      </c>
      <c r="E36" s="113" t="str">
        <f t="shared" si="2"/>
        <v>Lucas Martins</v>
      </c>
      <c r="F36" s="153"/>
      <c r="G36" s="153" t="e">
        <f>_xlfn.CONCAT('Consolidado-Eletronorte'!#REF!,"_",ROW('Consolidado-Eletronorte'!#REF!)-ROW('Consolidado-Eletronorte'!$G$18))</f>
        <v>#REF!</v>
      </c>
      <c r="H36" s="154" t="s">
        <v>506</v>
      </c>
      <c r="I36" s="155" t="s">
        <v>1024</v>
      </c>
      <c r="J36" s="154" t="s">
        <v>508</v>
      </c>
      <c r="K36" s="155" t="s">
        <v>1821</v>
      </c>
      <c r="L36" s="155" t="s">
        <v>1828</v>
      </c>
      <c r="M36" s="155" t="s">
        <v>1829</v>
      </c>
      <c r="N36" s="155"/>
      <c r="O36" s="155"/>
      <c r="P36" s="155"/>
      <c r="Q36" s="156" t="s">
        <v>1918</v>
      </c>
      <c r="R36" s="156" t="s">
        <v>1918</v>
      </c>
      <c r="S36" s="155" t="s">
        <v>1832</v>
      </c>
      <c r="T36" s="161">
        <v>0</v>
      </c>
      <c r="U36" s="158">
        <v>700000</v>
      </c>
      <c r="V36" s="158">
        <v>0</v>
      </c>
      <c r="W36" s="158">
        <v>0</v>
      </c>
      <c r="X36" s="161">
        <v>0</v>
      </c>
      <c r="Y36" s="161">
        <v>0</v>
      </c>
      <c r="Z36" s="157">
        <v>0</v>
      </c>
      <c r="AA36" s="157">
        <v>0</v>
      </c>
      <c r="AB36" s="157">
        <v>0</v>
      </c>
      <c r="AC36" s="157">
        <v>0</v>
      </c>
      <c r="AD36" s="157">
        <v>0</v>
      </c>
      <c r="AE36" s="157">
        <v>0</v>
      </c>
      <c r="AF36" s="157">
        <f>SUM(Tabela99[[#This Row],[jan/26]:[dez/26]])</f>
        <v>700000</v>
      </c>
      <c r="AG36" s="157">
        <v>0</v>
      </c>
      <c r="AH36" s="157">
        <v>0</v>
      </c>
      <c r="AI36" s="157">
        <v>0</v>
      </c>
      <c r="AJ36" s="157">
        <v>0</v>
      </c>
      <c r="AK36" s="157">
        <f>SUM(Tabela99[[#This Row],[2026]:[2030]])</f>
        <v>700000</v>
      </c>
      <c r="AL36" s="158">
        <v>0</v>
      </c>
      <c r="AM36" s="157">
        <v>0</v>
      </c>
      <c r="AN36" s="157">
        <v>0</v>
      </c>
      <c r="AO36" s="157">
        <v>0</v>
      </c>
      <c r="AP36" s="157">
        <v>0</v>
      </c>
      <c r="AQ36" s="159">
        <f>SUM(Tabela99[[#This Row],[2026-2030]:[2035]])</f>
        <v>700000</v>
      </c>
      <c r="AS36" s="2" t="s">
        <v>1825</v>
      </c>
      <c r="AT36" s="2">
        <v>2025</v>
      </c>
      <c r="AU36" s="2" t="e">
        <f>_xlfn.XLOOKUP(Tabela99[[#This Row],[ID Financeiro]],'[4]Subproj Consolidado + Delta PE'!#REF!,'[4]Subproj Consolidado + Delta PE'!#REF!,,0,1)</f>
        <v>#REF!</v>
      </c>
      <c r="AV36" s="2" t="s">
        <v>1919</v>
      </c>
      <c r="AW36" s="2" t="s">
        <v>1049</v>
      </c>
      <c r="AZ36" s="2" t="s">
        <v>1842</v>
      </c>
    </row>
    <row r="37" spans="1:52" ht="24.75" customHeight="1" x14ac:dyDescent="0.35">
      <c r="A37" s="272"/>
      <c r="B37" s="151" t="e" cm="1">
        <f t="array" ref="B37">AND(ISTEXT('Consolidado-Eletronorte'!#REF!),SUM('Consolidado-Eletronorte'!#REF!)&gt;0)</f>
        <v>#REF!</v>
      </c>
      <c r="C37" s="273" t="str">
        <f t="shared" ca="1" si="0"/>
        <v>Capex Orcamentário_PE2026_2030_red_35_porcentoR3_consulta.xlsx</v>
      </c>
      <c r="D37" s="274" t="str">
        <f t="shared" si="1"/>
        <v>COO</v>
      </c>
      <c r="E37" s="274" t="str">
        <f t="shared" si="2"/>
        <v>Lucas Martins</v>
      </c>
      <c r="F37" s="275"/>
      <c r="G37" s="275" t="e">
        <f>_xlfn.CONCAT('Consolidado-Eletronorte'!#REF!,"_",ROW('Consolidado-Eletronorte'!#REF!)-ROW('Consolidado-Eletronorte'!$G$18))</f>
        <v>#REF!</v>
      </c>
      <c r="H37" s="276" t="s">
        <v>506</v>
      </c>
      <c r="I37" s="276" t="s">
        <v>1024</v>
      </c>
      <c r="J37" s="277" t="s">
        <v>508</v>
      </c>
      <c r="K37" s="276" t="s">
        <v>1821</v>
      </c>
      <c r="L37" s="276" t="s">
        <v>1828</v>
      </c>
      <c r="M37" s="276" t="s">
        <v>1838</v>
      </c>
      <c r="N37" s="276"/>
      <c r="O37" s="276"/>
      <c r="P37" s="276"/>
      <c r="Q37" s="278" t="s">
        <v>1920</v>
      </c>
      <c r="R37" s="278" t="s">
        <v>1920</v>
      </c>
      <c r="S37" s="276" t="s">
        <v>1921</v>
      </c>
      <c r="T37" s="289">
        <v>0</v>
      </c>
      <c r="U37" s="290">
        <v>0</v>
      </c>
      <c r="V37" s="290">
        <v>372906</v>
      </c>
      <c r="W37" s="290">
        <v>0</v>
      </c>
      <c r="X37" s="289">
        <v>0</v>
      </c>
      <c r="Y37" s="289">
        <v>0</v>
      </c>
      <c r="Z37" s="160">
        <v>0</v>
      </c>
      <c r="AA37" s="160">
        <v>0</v>
      </c>
      <c r="AB37" s="160">
        <v>372906</v>
      </c>
      <c r="AC37" s="160">
        <v>0</v>
      </c>
      <c r="AD37" s="160">
        <v>32644</v>
      </c>
      <c r="AE37" s="160">
        <v>1931250</v>
      </c>
      <c r="AF37" s="160">
        <f>SUM(Tabela99[[#This Row],[jan/26]:[dez/26]])</f>
        <v>2709706</v>
      </c>
      <c r="AG37" s="160">
        <v>802963</v>
      </c>
      <c r="AH37" s="160">
        <v>0</v>
      </c>
      <c r="AI37" s="160">
        <v>0</v>
      </c>
      <c r="AJ37" s="160">
        <v>0</v>
      </c>
      <c r="AK37" s="160">
        <f>SUM(Tabela99[[#This Row],[2026]:[2030]])</f>
        <v>3512669</v>
      </c>
      <c r="AL37" s="290">
        <v>0</v>
      </c>
      <c r="AM37" s="160">
        <v>0</v>
      </c>
      <c r="AN37" s="160">
        <v>0</v>
      </c>
      <c r="AO37" s="160">
        <v>0</v>
      </c>
      <c r="AP37" s="160">
        <v>0</v>
      </c>
      <c r="AQ37" s="291">
        <f>SUM(Tabela99[[#This Row],[2026-2030]:[2035]])</f>
        <v>3512669</v>
      </c>
      <c r="AS37" s="2" t="s">
        <v>1825</v>
      </c>
      <c r="AT37" s="2">
        <v>2025</v>
      </c>
      <c r="AU37" s="2" t="e">
        <f>_xlfn.XLOOKUP(Tabela99[[#This Row],[ID Financeiro]],'[4]Subproj Consolidado + Delta PE'!#REF!,'[4]Subproj Consolidado + Delta PE'!#REF!,,0,1)</f>
        <v>#REF!</v>
      </c>
      <c r="AV37" s="2" t="s">
        <v>1922</v>
      </c>
      <c r="AW37" s="2" t="s">
        <v>517</v>
      </c>
      <c r="AZ37" s="2" t="s">
        <v>1872</v>
      </c>
    </row>
    <row r="38" spans="1:52" ht="24.75" customHeight="1" x14ac:dyDescent="0.35">
      <c r="A38" s="150"/>
      <c r="B38" s="151" t="e" cm="1">
        <f t="array" ref="B38">AND(ISTEXT('Consolidado-Eletronorte'!#REF!),SUM('Consolidado-Eletronorte'!#REF!)&gt;0)</f>
        <v>#REF!</v>
      </c>
      <c r="C38" s="152" t="str">
        <f t="shared" ca="1" si="0"/>
        <v>Capex Orcamentário_PE2026_2030_red_35_porcentoR3_consulta.xlsx</v>
      </c>
      <c r="D38" s="113" t="str">
        <f t="shared" si="1"/>
        <v>COO</v>
      </c>
      <c r="E38" s="113" t="str">
        <f t="shared" si="2"/>
        <v>Lucas Martins</v>
      </c>
      <c r="F38" s="153"/>
      <c r="G38" s="153" t="e">
        <f>_xlfn.CONCAT('Consolidado-Eletronorte'!#REF!,"_",ROW('Consolidado-Eletronorte'!#REF!)-ROW('Consolidado-Eletronorte'!$G$18))</f>
        <v>#REF!</v>
      </c>
      <c r="H38" s="155" t="s">
        <v>506</v>
      </c>
      <c r="I38" s="155" t="s">
        <v>1024</v>
      </c>
      <c r="J38" s="154" t="s">
        <v>508</v>
      </c>
      <c r="K38" s="155" t="s">
        <v>1821</v>
      </c>
      <c r="L38" s="155" t="s">
        <v>1828</v>
      </c>
      <c r="M38" s="155" t="s">
        <v>1888</v>
      </c>
      <c r="N38" s="155"/>
      <c r="O38" s="155"/>
      <c r="P38" s="155"/>
      <c r="Q38" s="156" t="s">
        <v>1923</v>
      </c>
      <c r="R38" s="156" t="s">
        <v>1924</v>
      </c>
      <c r="S38" s="155" t="s">
        <v>1832</v>
      </c>
      <c r="T38" s="161">
        <v>0</v>
      </c>
      <c r="U38" s="158">
        <v>0</v>
      </c>
      <c r="V38" s="158">
        <v>0</v>
      </c>
      <c r="W38" s="158">
        <v>0</v>
      </c>
      <c r="X38" s="161">
        <v>0</v>
      </c>
      <c r="Y38" s="161">
        <v>0</v>
      </c>
      <c r="Z38" s="157">
        <v>0</v>
      </c>
      <c r="AA38" s="157">
        <v>0</v>
      </c>
      <c r="AB38" s="157">
        <v>0</v>
      </c>
      <c r="AC38" s="157">
        <v>0</v>
      </c>
      <c r="AD38" s="157">
        <v>0</v>
      </c>
      <c r="AE38" s="157">
        <v>0</v>
      </c>
      <c r="AF38" s="157">
        <f>SUM(Tabela99[[#This Row],[jan/26]:[dez/26]])</f>
        <v>0</v>
      </c>
      <c r="AG38" s="157">
        <v>500000</v>
      </c>
      <c r="AH38" s="157">
        <v>0</v>
      </c>
      <c r="AI38" s="157">
        <v>0</v>
      </c>
      <c r="AJ38" s="157">
        <v>0</v>
      </c>
      <c r="AK38" s="157">
        <f>SUM(Tabela99[[#This Row],[2026]:[2030]])</f>
        <v>500000</v>
      </c>
      <c r="AL38" s="158">
        <v>0</v>
      </c>
      <c r="AM38" s="157">
        <v>0</v>
      </c>
      <c r="AN38" s="157">
        <v>0</v>
      </c>
      <c r="AO38" s="157">
        <v>0</v>
      </c>
      <c r="AP38" s="157">
        <v>0</v>
      </c>
      <c r="AQ38" s="159">
        <f>SUM(Tabela99[[#This Row],[2026-2030]:[2035]])</f>
        <v>500000</v>
      </c>
      <c r="AS38" s="2" t="s">
        <v>1833</v>
      </c>
      <c r="AT38" s="2">
        <v>2025</v>
      </c>
      <c r="AU38" s="2" t="s">
        <v>1925</v>
      </c>
      <c r="AV38" s="2" t="e">
        <f>_xlfn.XLOOKUP(Tabela99[[#This Row],[ID de demanda candidata]],'[4]Subproj Consolidado + Delta PE'!#REF!,'[4]Subproj Consolidado + Delta PE'!#REF!,,0,1)</f>
        <v>#REF!</v>
      </c>
      <c r="AW38" s="2" t="s">
        <v>1854</v>
      </c>
      <c r="AZ38" s="2" t="s">
        <v>1835</v>
      </c>
    </row>
    <row r="39" spans="1:52" ht="24.75" customHeight="1" x14ac:dyDescent="0.35">
      <c r="A39" s="150"/>
      <c r="B39" s="151" t="e" cm="1">
        <f t="array" ref="B39">AND(ISTEXT('Consolidado-Eletronorte'!#REF!),SUM('Consolidado-Eletronorte'!#REF!)&gt;0)</f>
        <v>#REF!</v>
      </c>
      <c r="C39" s="152" t="str">
        <f t="shared" ca="1" si="0"/>
        <v>Capex Orcamentário_PE2026_2030_red_35_porcentoR3_consulta.xlsx</v>
      </c>
      <c r="D39" s="113" t="str">
        <f t="shared" si="1"/>
        <v>COO</v>
      </c>
      <c r="E39" s="113" t="str">
        <f t="shared" si="2"/>
        <v>Lucas Martins</v>
      </c>
      <c r="F39" s="153"/>
      <c r="G39" s="153" t="e">
        <f>_xlfn.CONCAT('Consolidado-Eletronorte'!#REF!,"_",ROW('Consolidado-Eletronorte'!#REF!)-ROW('Consolidado-Eletronorte'!$G$18))</f>
        <v>#REF!</v>
      </c>
      <c r="H39" s="154" t="s">
        <v>506</v>
      </c>
      <c r="I39" s="155" t="s">
        <v>1024</v>
      </c>
      <c r="J39" s="154" t="s">
        <v>508</v>
      </c>
      <c r="K39" s="155" t="s">
        <v>1821</v>
      </c>
      <c r="L39" s="155" t="s">
        <v>1828</v>
      </c>
      <c r="M39" s="155" t="s">
        <v>1829</v>
      </c>
      <c r="N39" s="155"/>
      <c r="O39" s="155"/>
      <c r="P39" s="155"/>
      <c r="Q39" s="156" t="s">
        <v>1926</v>
      </c>
      <c r="R39" s="156" t="s">
        <v>1926</v>
      </c>
      <c r="S39" s="155" t="s">
        <v>1832</v>
      </c>
      <c r="T39" s="161">
        <v>0</v>
      </c>
      <c r="U39" s="158">
        <v>0</v>
      </c>
      <c r="V39" s="158">
        <v>0</v>
      </c>
      <c r="W39" s="158">
        <v>0</v>
      </c>
      <c r="X39" s="161">
        <v>0</v>
      </c>
      <c r="Y39" s="161">
        <v>0</v>
      </c>
      <c r="Z39" s="157">
        <v>0</v>
      </c>
      <c r="AA39" s="157">
        <v>0</v>
      </c>
      <c r="AB39" s="157">
        <v>0</v>
      </c>
      <c r="AC39" s="157">
        <v>0</v>
      </c>
      <c r="AD39" s="157">
        <v>0</v>
      </c>
      <c r="AE39" s="157">
        <v>1000000</v>
      </c>
      <c r="AF39" s="157">
        <f>SUM(Tabela99[[#This Row],[jan/26]:[dez/26]])</f>
        <v>1000000</v>
      </c>
      <c r="AG39" s="157">
        <v>0</v>
      </c>
      <c r="AH39" s="157">
        <v>0</v>
      </c>
      <c r="AI39" s="157">
        <v>0</v>
      </c>
      <c r="AJ39" s="157">
        <v>0</v>
      </c>
      <c r="AK39" s="157">
        <f>SUM(Tabela99[[#This Row],[2026]:[2030]])</f>
        <v>1000000</v>
      </c>
      <c r="AL39" s="158">
        <v>0</v>
      </c>
      <c r="AM39" s="157">
        <v>0</v>
      </c>
      <c r="AN39" s="157">
        <v>0</v>
      </c>
      <c r="AO39" s="157">
        <v>0</v>
      </c>
      <c r="AP39" s="157">
        <v>0</v>
      </c>
      <c r="AQ39" s="159">
        <f>SUM(Tabela99[[#This Row],[2026-2030]:[2035]])</f>
        <v>1000000</v>
      </c>
      <c r="AS39" s="2" t="s">
        <v>1825</v>
      </c>
      <c r="AT39" s="2">
        <v>2025</v>
      </c>
      <c r="AU39" s="2" t="e">
        <f>_xlfn.XLOOKUP(Tabela99[[#This Row],[ID Financeiro]],'[4]Subproj Consolidado + Delta PE'!#REF!,'[4]Subproj Consolidado + Delta PE'!#REF!,,0,1)</f>
        <v>#REF!</v>
      </c>
      <c r="AV39" s="2" t="s">
        <v>1927</v>
      </c>
      <c r="AW39" s="2" t="s">
        <v>1854</v>
      </c>
      <c r="AZ39" s="2" t="s">
        <v>1842</v>
      </c>
    </row>
    <row r="40" spans="1:52" ht="24.75" customHeight="1" x14ac:dyDescent="0.35">
      <c r="A40" s="150"/>
      <c r="B40" s="151" t="e" cm="1">
        <f t="array" ref="B40">AND(ISTEXT('Consolidado-Eletronorte'!#REF!),SUM('Consolidado-Eletronorte'!#REF!)&gt;0)</f>
        <v>#REF!</v>
      </c>
      <c r="C40" s="152" t="str">
        <f t="shared" ca="1" si="0"/>
        <v>Capex Orcamentário_PE2026_2030_red_35_porcentoR3_consulta.xlsx</v>
      </c>
      <c r="D40" s="113" t="str">
        <f t="shared" si="1"/>
        <v>COO</v>
      </c>
      <c r="E40" s="113" t="str">
        <f t="shared" si="2"/>
        <v>Lucas Martins</v>
      </c>
      <c r="F40" s="153"/>
      <c r="G40" s="153" t="e">
        <f>_xlfn.CONCAT('Consolidado-Eletronorte'!#REF!,"_",ROW('Consolidado-Eletronorte'!#REF!)-ROW('Consolidado-Eletronorte'!$G$18))</f>
        <v>#REF!</v>
      </c>
      <c r="H40" s="154" t="s">
        <v>506</v>
      </c>
      <c r="I40" s="155" t="s">
        <v>1024</v>
      </c>
      <c r="J40" s="154" t="s">
        <v>508</v>
      </c>
      <c r="K40" s="155" t="s">
        <v>1821</v>
      </c>
      <c r="L40" s="155" t="s">
        <v>1828</v>
      </c>
      <c r="M40" s="155" t="s">
        <v>1901</v>
      </c>
      <c r="N40" s="155"/>
      <c r="O40" s="155"/>
      <c r="P40" s="155"/>
      <c r="Q40" s="156" t="s">
        <v>1928</v>
      </c>
      <c r="R40" s="156" t="s">
        <v>1929</v>
      </c>
      <c r="S40" s="155" t="s">
        <v>1861</v>
      </c>
      <c r="T40" s="161">
        <v>0</v>
      </c>
      <c r="U40" s="158">
        <v>0</v>
      </c>
      <c r="V40" s="158">
        <v>0</v>
      </c>
      <c r="W40" s="158">
        <v>0</v>
      </c>
      <c r="X40" s="161">
        <v>100000</v>
      </c>
      <c r="Y40" s="161">
        <v>100000</v>
      </c>
      <c r="Z40" s="157">
        <v>150000</v>
      </c>
      <c r="AA40" s="157">
        <v>150000</v>
      </c>
      <c r="AB40" s="157">
        <v>100000</v>
      </c>
      <c r="AC40" s="157">
        <v>0</v>
      </c>
      <c r="AD40" s="157">
        <v>0</v>
      </c>
      <c r="AE40" s="157">
        <v>0</v>
      </c>
      <c r="AF40" s="157">
        <f>SUM(Tabela99[[#This Row],[jan/26]:[dez/26]])</f>
        <v>600000</v>
      </c>
      <c r="AG40" s="157">
        <v>0</v>
      </c>
      <c r="AH40" s="157">
        <v>0</v>
      </c>
      <c r="AI40" s="157">
        <v>0</v>
      </c>
      <c r="AJ40" s="157">
        <v>0</v>
      </c>
      <c r="AK40" s="157">
        <f>SUM(Tabela99[[#This Row],[2026]:[2030]])</f>
        <v>600000</v>
      </c>
      <c r="AL40" s="158">
        <v>0</v>
      </c>
      <c r="AM40" s="157">
        <v>0</v>
      </c>
      <c r="AN40" s="157">
        <v>0</v>
      </c>
      <c r="AO40" s="157">
        <v>0</v>
      </c>
      <c r="AP40" s="157">
        <v>0</v>
      </c>
      <c r="AQ40" s="159">
        <f>SUM(Tabela99[[#This Row],[2026-2030]:[2035]])</f>
        <v>600000</v>
      </c>
      <c r="AS40" s="2" t="s">
        <v>1833</v>
      </c>
      <c r="AT40" s="2">
        <v>2025</v>
      </c>
      <c r="AU40" s="2" t="s">
        <v>1930</v>
      </c>
      <c r="AV40" s="2" t="e">
        <f>_xlfn.XLOOKUP(Tabela99[[#This Row],[ID de demanda candidata]],'[4]Subproj Consolidado + Delta PE'!#REF!,'[4]Subproj Consolidado + Delta PE'!#REF!,,0,1)</f>
        <v>#REF!</v>
      </c>
      <c r="AW40" s="2" t="s">
        <v>1854</v>
      </c>
      <c r="AZ40" s="2" t="s">
        <v>1905</v>
      </c>
    </row>
    <row r="41" spans="1:52" ht="24.75" customHeight="1" x14ac:dyDescent="0.35">
      <c r="A41" s="150"/>
      <c r="B41" s="151" t="e" cm="1">
        <f t="array" ref="B41">AND(ISTEXT('Consolidado-Eletronorte'!#REF!),SUM('Consolidado-Eletronorte'!#REF!)&gt;0)</f>
        <v>#REF!</v>
      </c>
      <c r="C41" s="152" t="str">
        <f t="shared" ca="1" si="0"/>
        <v>Capex Orcamentário_PE2026_2030_red_35_porcentoR3_consulta.xlsx</v>
      </c>
      <c r="D41" s="113" t="str">
        <f t="shared" si="1"/>
        <v>COO</v>
      </c>
      <c r="E41" s="113" t="str">
        <f t="shared" si="2"/>
        <v>Lucas Martins</v>
      </c>
      <c r="F41" s="153"/>
      <c r="G41" s="153" t="e">
        <f>_xlfn.CONCAT('Consolidado-Eletronorte'!#REF!,"_",ROW('Consolidado-Eletronorte'!#REF!)-ROW('Consolidado-Eletronorte'!$G$18))</f>
        <v>#REF!</v>
      </c>
      <c r="H41" s="154" t="s">
        <v>506</v>
      </c>
      <c r="I41" s="155" t="s">
        <v>1024</v>
      </c>
      <c r="J41" s="154" t="s">
        <v>508</v>
      </c>
      <c r="K41" s="155" t="s">
        <v>1821</v>
      </c>
      <c r="L41" s="155" t="s">
        <v>1828</v>
      </c>
      <c r="M41" s="155" t="s">
        <v>1901</v>
      </c>
      <c r="N41" s="155"/>
      <c r="O41" s="155"/>
      <c r="P41" s="155"/>
      <c r="Q41" s="156" t="s">
        <v>1931</v>
      </c>
      <c r="R41" s="156" t="s">
        <v>1932</v>
      </c>
      <c r="S41" s="155" t="s">
        <v>1861</v>
      </c>
      <c r="T41" s="161">
        <v>0</v>
      </c>
      <c r="U41" s="158">
        <v>0</v>
      </c>
      <c r="V41" s="158">
        <v>0</v>
      </c>
      <c r="W41" s="158">
        <v>0</v>
      </c>
      <c r="X41" s="161">
        <v>100000</v>
      </c>
      <c r="Y41" s="161">
        <v>100000</v>
      </c>
      <c r="Z41" s="157">
        <v>100000</v>
      </c>
      <c r="AA41" s="157">
        <v>100000</v>
      </c>
      <c r="AB41" s="157">
        <v>100000</v>
      </c>
      <c r="AC41" s="157">
        <v>0</v>
      </c>
      <c r="AD41" s="157">
        <v>0</v>
      </c>
      <c r="AE41" s="157">
        <v>0</v>
      </c>
      <c r="AF41" s="157">
        <f>SUM(Tabela99[[#This Row],[jan/26]:[dez/26]])</f>
        <v>500000</v>
      </c>
      <c r="AG41" s="157">
        <v>0</v>
      </c>
      <c r="AH41" s="157">
        <v>0</v>
      </c>
      <c r="AI41" s="157">
        <v>0</v>
      </c>
      <c r="AJ41" s="157">
        <v>0</v>
      </c>
      <c r="AK41" s="157">
        <f>SUM(Tabela99[[#This Row],[2026]:[2030]])</f>
        <v>500000</v>
      </c>
      <c r="AL41" s="158">
        <v>0</v>
      </c>
      <c r="AM41" s="157">
        <v>0</v>
      </c>
      <c r="AN41" s="157">
        <v>0</v>
      </c>
      <c r="AO41" s="157">
        <v>0</v>
      </c>
      <c r="AP41" s="157">
        <v>0</v>
      </c>
      <c r="AQ41" s="159">
        <f>SUM(Tabela99[[#This Row],[2026-2030]:[2035]])</f>
        <v>500000</v>
      </c>
      <c r="AS41" s="2" t="s">
        <v>1833</v>
      </c>
      <c r="AT41" s="2">
        <v>2025</v>
      </c>
      <c r="AU41" s="2" t="s">
        <v>1933</v>
      </c>
      <c r="AV41" s="2" t="e">
        <f>_xlfn.XLOOKUP(Tabela99[[#This Row],[ID de demanda candidata]],'[4]Subproj Consolidado + Delta PE'!#REF!,'[4]Subproj Consolidado + Delta PE'!#REF!,,0,1)</f>
        <v>#REF!</v>
      </c>
      <c r="AW41" s="2" t="s">
        <v>1854</v>
      </c>
      <c r="AZ41" s="2" t="s">
        <v>1905</v>
      </c>
    </row>
    <row r="42" spans="1:52" ht="24.75" customHeight="1" x14ac:dyDescent="0.35">
      <c r="A42" s="272"/>
      <c r="B42" s="151" t="e" cm="1">
        <f t="array" ref="B42">AND(ISTEXT('Consolidado-Eletronorte'!#REF!),SUM('Consolidado-Eletronorte'!#REF!)&gt;0)</f>
        <v>#REF!</v>
      </c>
      <c r="C42" s="273" t="str">
        <f t="shared" ca="1" si="0"/>
        <v>Capex Orcamentário_PE2026_2030_red_35_porcentoR3_consulta.xlsx</v>
      </c>
      <c r="D42" s="274" t="str">
        <f t="shared" si="1"/>
        <v>COO</v>
      </c>
      <c r="E42" s="274" t="str">
        <f t="shared" si="2"/>
        <v>Lucas Martins</v>
      </c>
      <c r="F42" s="275"/>
      <c r="G42" s="275" t="e">
        <f>_xlfn.CONCAT('Consolidado-Eletronorte'!#REF!,"_",ROW('Consolidado-Eletronorte'!#REF!)-ROW('Consolidado-Eletronorte'!$G$18))</f>
        <v>#REF!</v>
      </c>
      <c r="H42" s="276" t="s">
        <v>506</v>
      </c>
      <c r="I42" s="276" t="s">
        <v>1024</v>
      </c>
      <c r="J42" s="277" t="s">
        <v>508</v>
      </c>
      <c r="K42" s="276" t="s">
        <v>1821</v>
      </c>
      <c r="L42" s="276" t="s">
        <v>1828</v>
      </c>
      <c r="M42" s="276" t="s">
        <v>1888</v>
      </c>
      <c r="N42" s="276"/>
      <c r="O42" s="276"/>
      <c r="P42" s="276"/>
      <c r="Q42" s="278" t="s">
        <v>1934</v>
      </c>
      <c r="R42" s="278" t="s">
        <v>1935</v>
      </c>
      <c r="S42" s="276" t="s">
        <v>1832</v>
      </c>
      <c r="T42" s="289">
        <v>0</v>
      </c>
      <c r="U42" s="290">
        <v>0</v>
      </c>
      <c r="V42" s="290">
        <v>0</v>
      </c>
      <c r="W42" s="290">
        <v>0</v>
      </c>
      <c r="X42" s="289">
        <v>0</v>
      </c>
      <c r="Y42" s="289">
        <v>0</v>
      </c>
      <c r="Z42" s="160">
        <v>0</v>
      </c>
      <c r="AA42" s="160">
        <v>0</v>
      </c>
      <c r="AB42" s="160">
        <v>0</v>
      </c>
      <c r="AC42" s="160">
        <v>0</v>
      </c>
      <c r="AD42" s="160">
        <v>0</v>
      </c>
      <c r="AE42" s="160">
        <v>0</v>
      </c>
      <c r="AF42" s="160">
        <f>SUM(Tabela99[[#This Row],[jan/26]:[dez/26]])</f>
        <v>0</v>
      </c>
      <c r="AG42" s="160">
        <v>5000000</v>
      </c>
      <c r="AH42" s="160">
        <v>0</v>
      </c>
      <c r="AI42" s="160">
        <v>0</v>
      </c>
      <c r="AJ42" s="160">
        <v>0</v>
      </c>
      <c r="AK42" s="160">
        <f>SUM(Tabela99[[#This Row],[2026]:[2030]])</f>
        <v>5000000</v>
      </c>
      <c r="AL42" s="290">
        <v>0</v>
      </c>
      <c r="AM42" s="160">
        <v>0</v>
      </c>
      <c r="AN42" s="160">
        <v>0</v>
      </c>
      <c r="AO42" s="160">
        <v>0</v>
      </c>
      <c r="AP42" s="160">
        <v>0</v>
      </c>
      <c r="AQ42" s="291">
        <f>SUM(Tabela99[[#This Row],[2026-2030]:[2035]])</f>
        <v>5000000</v>
      </c>
      <c r="AS42" s="2" t="s">
        <v>1833</v>
      </c>
      <c r="AT42" s="2">
        <v>2025</v>
      </c>
      <c r="AU42" s="2" t="s">
        <v>1936</v>
      </c>
      <c r="AW42" s="2" t="s">
        <v>1854</v>
      </c>
      <c r="AZ42" s="2" t="s">
        <v>1835</v>
      </c>
    </row>
    <row r="43" spans="1:52" ht="24.75" customHeight="1" x14ac:dyDescent="0.35">
      <c r="A43" s="215"/>
      <c r="B43" s="216" t="e" cm="1">
        <f t="array" ref="B43">AND(ISTEXT('Consolidado-Eletronorte'!#REF!),SUM('Consolidado-Eletronorte'!#REF!)&gt;0)</f>
        <v>#REF!</v>
      </c>
      <c r="C43" s="217" t="str">
        <f t="shared" ca="1" si="0"/>
        <v>Capex Orcamentário_PE2026_2030_red_35_porcentoR3_consulta.xlsx</v>
      </c>
      <c r="D43" s="218" t="str">
        <f t="shared" si="1"/>
        <v>COO</v>
      </c>
      <c r="E43" s="218" t="str">
        <f t="shared" si="2"/>
        <v>Lucas Martins</v>
      </c>
      <c r="F43" s="219"/>
      <c r="G43" s="219" t="e">
        <f>_xlfn.CONCAT('Consolidado-Eletronorte'!#REF!,"_",ROW('Consolidado-Eletronorte'!#REF!)-ROW('Consolidado-Eletronorte'!$G$18))</f>
        <v>#REF!</v>
      </c>
      <c r="H43" s="220" t="s">
        <v>506</v>
      </c>
      <c r="I43" s="220" t="s">
        <v>1024</v>
      </c>
      <c r="J43" s="221" t="s">
        <v>508</v>
      </c>
      <c r="K43" s="220" t="s">
        <v>1821</v>
      </c>
      <c r="L43" s="220" t="s">
        <v>1828</v>
      </c>
      <c r="M43" s="220" t="s">
        <v>1888</v>
      </c>
      <c r="N43" s="220"/>
      <c r="O43" s="220"/>
      <c r="P43" s="155"/>
      <c r="Q43" s="222" t="s">
        <v>1937</v>
      </c>
      <c r="R43" s="222" t="s">
        <v>1938</v>
      </c>
      <c r="S43" s="220" t="s">
        <v>1832</v>
      </c>
      <c r="T43" s="296">
        <v>0</v>
      </c>
      <c r="U43" s="297">
        <v>0</v>
      </c>
      <c r="V43" s="297">
        <v>0</v>
      </c>
      <c r="W43" s="297">
        <v>0</v>
      </c>
      <c r="X43" s="296">
        <v>0</v>
      </c>
      <c r="Y43" s="296">
        <v>0</v>
      </c>
      <c r="Z43" s="172">
        <v>0</v>
      </c>
      <c r="AA43" s="172">
        <v>0</v>
      </c>
      <c r="AB43" s="172">
        <v>0</v>
      </c>
      <c r="AC43" s="172">
        <v>0</v>
      </c>
      <c r="AD43" s="172">
        <v>0</v>
      </c>
      <c r="AE43" s="172">
        <v>0</v>
      </c>
      <c r="AF43" s="172">
        <f>SUM(Tabela99[[#This Row],[jan/26]:[dez/26]])</f>
        <v>0</v>
      </c>
      <c r="AG43" s="172">
        <v>800000</v>
      </c>
      <c r="AH43" s="172">
        <v>0</v>
      </c>
      <c r="AI43" s="172">
        <v>0</v>
      </c>
      <c r="AJ43" s="172">
        <v>0</v>
      </c>
      <c r="AK43" s="172">
        <f>SUM(Tabela99[[#This Row],[2026]:[2030]])</f>
        <v>800000</v>
      </c>
      <c r="AL43" s="297">
        <v>0</v>
      </c>
      <c r="AM43" s="172">
        <v>0</v>
      </c>
      <c r="AN43" s="172">
        <v>0</v>
      </c>
      <c r="AO43" s="172">
        <v>0</v>
      </c>
      <c r="AP43" s="172">
        <v>0</v>
      </c>
      <c r="AQ43" s="298">
        <f>SUM(Tabela99[[#This Row],[2026-2030]:[2035]])</f>
        <v>800000</v>
      </c>
      <c r="AS43" s="2" t="s">
        <v>1833</v>
      </c>
      <c r="AT43" s="2">
        <v>2025</v>
      </c>
      <c r="AU43" s="2" t="s">
        <v>1939</v>
      </c>
      <c r="AW43" s="2" t="s">
        <v>1854</v>
      </c>
      <c r="AZ43" s="2" t="s">
        <v>1835</v>
      </c>
    </row>
    <row r="44" spans="1:52" ht="24.75" customHeight="1" x14ac:dyDescent="0.35">
      <c r="A44" s="150"/>
      <c r="B44" s="151" t="e" cm="1">
        <f t="array" ref="B44">AND(ISTEXT('Consolidado-Eletronorte'!#REF!),SUM('Consolidado-Eletronorte'!#REF!)&gt;0)</f>
        <v>#REF!</v>
      </c>
      <c r="C44" s="152" t="str">
        <f t="shared" ca="1" si="0"/>
        <v>Capex Orcamentário_PE2026_2030_red_35_porcentoR3_consulta.xlsx</v>
      </c>
      <c r="D44" s="113" t="str">
        <f t="shared" si="1"/>
        <v>COO</v>
      </c>
      <c r="E44" s="113" t="str">
        <f t="shared" si="2"/>
        <v>Lucas Martins</v>
      </c>
      <c r="F44" s="153"/>
      <c r="G44" s="153" t="e">
        <f>_xlfn.CONCAT('Consolidado-Eletronorte'!#REF!,"_",ROW('Consolidado-Eletronorte'!#REF!)-ROW('Consolidado-Eletronorte'!$G$18))</f>
        <v>#REF!</v>
      </c>
      <c r="H44" s="279" t="s">
        <v>506</v>
      </c>
      <c r="I44" s="155" t="s">
        <v>1024</v>
      </c>
      <c r="J44" s="154" t="s">
        <v>508</v>
      </c>
      <c r="K44" s="155" t="s">
        <v>1821</v>
      </c>
      <c r="L44" s="155" t="s">
        <v>1828</v>
      </c>
      <c r="M44" s="155" t="s">
        <v>1888</v>
      </c>
      <c r="N44" s="155"/>
      <c r="O44" s="155"/>
      <c r="P44" s="155"/>
      <c r="Q44" s="156" t="s">
        <v>1940</v>
      </c>
      <c r="R44" s="156" t="s">
        <v>1941</v>
      </c>
      <c r="S44" s="155" t="s">
        <v>1832</v>
      </c>
      <c r="T44" s="161">
        <v>0</v>
      </c>
      <c r="U44" s="158">
        <v>0</v>
      </c>
      <c r="V44" s="158">
        <v>0</v>
      </c>
      <c r="W44" s="158">
        <v>0</v>
      </c>
      <c r="X44" s="161">
        <v>0</v>
      </c>
      <c r="Y44" s="161">
        <v>0</v>
      </c>
      <c r="Z44" s="157">
        <v>0</v>
      </c>
      <c r="AA44" s="157">
        <v>0</v>
      </c>
      <c r="AB44" s="157">
        <v>0</v>
      </c>
      <c r="AC44" s="157">
        <v>0</v>
      </c>
      <c r="AD44" s="157">
        <v>0</v>
      </c>
      <c r="AE44" s="157">
        <v>0</v>
      </c>
      <c r="AF44" s="157">
        <f>SUM(Tabela99[[#This Row],[jan/26]:[dez/26]])</f>
        <v>0</v>
      </c>
      <c r="AG44" s="157">
        <v>400000</v>
      </c>
      <c r="AH44" s="157">
        <v>0</v>
      </c>
      <c r="AI44" s="157">
        <v>0</v>
      </c>
      <c r="AJ44" s="157">
        <v>0</v>
      </c>
      <c r="AK44" s="157">
        <f>SUM(Tabela99[[#This Row],[2026]:[2030]])</f>
        <v>400000</v>
      </c>
      <c r="AL44" s="158">
        <v>0</v>
      </c>
      <c r="AM44" s="157">
        <v>0</v>
      </c>
      <c r="AN44" s="157">
        <v>0</v>
      </c>
      <c r="AO44" s="157">
        <v>0</v>
      </c>
      <c r="AP44" s="157">
        <v>0</v>
      </c>
      <c r="AQ44" s="159">
        <f>SUM(Tabela99[[#This Row],[2026-2030]:[2035]])</f>
        <v>400000</v>
      </c>
      <c r="AS44" s="2" t="s">
        <v>1833</v>
      </c>
      <c r="AT44" s="2">
        <v>2025</v>
      </c>
      <c r="AU44" s="2" t="s">
        <v>1942</v>
      </c>
      <c r="AW44" s="2" t="s">
        <v>1854</v>
      </c>
      <c r="AZ44" s="2" t="s">
        <v>1835</v>
      </c>
    </row>
    <row r="45" spans="1:52" ht="24.75" customHeight="1" x14ac:dyDescent="0.35">
      <c r="A45" s="184"/>
      <c r="B45" s="185" t="e" cm="1">
        <f t="array" ref="B45">AND(ISTEXT('Consolidado-Eletronorte'!#REF!),SUM('Consolidado-Eletronorte'!#REF!)&gt;0)</f>
        <v>#REF!</v>
      </c>
      <c r="C45" s="186" t="str">
        <f t="shared" ca="1" si="0"/>
        <v>Capex Orcamentário_PE2026_2030_red_35_porcentoR3_consulta.xlsx</v>
      </c>
      <c r="D45" s="187" t="str">
        <f t="shared" si="1"/>
        <v>COO</v>
      </c>
      <c r="E45" s="187" t="str">
        <f t="shared" si="2"/>
        <v>Lucas Martins</v>
      </c>
      <c r="F45" s="188"/>
      <c r="G45" s="188" t="e">
        <f>_xlfn.CONCAT('Consolidado-Eletronorte'!#REF!,"_",ROW('Consolidado-Eletronorte'!#REF!)-ROW('Consolidado-Eletronorte'!$G$18))</f>
        <v>#REF!</v>
      </c>
      <c r="H45" s="279" t="s">
        <v>506</v>
      </c>
      <c r="I45" s="189" t="s">
        <v>1024</v>
      </c>
      <c r="J45" s="190" t="s">
        <v>508</v>
      </c>
      <c r="K45" s="189" t="s">
        <v>1821</v>
      </c>
      <c r="L45" s="189" t="s">
        <v>1828</v>
      </c>
      <c r="M45" s="189" t="s">
        <v>1888</v>
      </c>
      <c r="N45" s="189"/>
      <c r="O45" s="189"/>
      <c r="P45" s="189"/>
      <c r="Q45" s="191" t="s">
        <v>1943</v>
      </c>
      <c r="R45" s="191" t="s">
        <v>1944</v>
      </c>
      <c r="S45" s="189" t="s">
        <v>1832</v>
      </c>
      <c r="T45" s="192">
        <v>0</v>
      </c>
      <c r="U45" s="193">
        <v>0</v>
      </c>
      <c r="V45" s="193">
        <v>0</v>
      </c>
      <c r="W45" s="193">
        <v>0</v>
      </c>
      <c r="X45" s="192">
        <v>0</v>
      </c>
      <c r="Y45" s="192">
        <v>0</v>
      </c>
      <c r="Z45" s="194">
        <v>0</v>
      </c>
      <c r="AA45" s="194">
        <v>0</v>
      </c>
      <c r="AB45" s="194">
        <v>0</v>
      </c>
      <c r="AC45" s="194">
        <v>0</v>
      </c>
      <c r="AD45" s="194">
        <v>0</v>
      </c>
      <c r="AE45" s="194">
        <v>0</v>
      </c>
      <c r="AF45" s="194">
        <f>SUM(Tabela99[[#This Row],[jan/26]:[dez/26]])</f>
        <v>0</v>
      </c>
      <c r="AG45" s="194">
        <v>0</v>
      </c>
      <c r="AH45" s="194">
        <v>200000</v>
      </c>
      <c r="AI45" s="194">
        <v>0</v>
      </c>
      <c r="AJ45" s="194">
        <v>0</v>
      </c>
      <c r="AK45" s="194">
        <f>SUM(Tabela99[[#This Row],[2026]:[2030]])</f>
        <v>200000</v>
      </c>
      <c r="AL45" s="193">
        <v>0</v>
      </c>
      <c r="AM45" s="194">
        <v>0</v>
      </c>
      <c r="AN45" s="194">
        <v>0</v>
      </c>
      <c r="AO45" s="194">
        <v>0</v>
      </c>
      <c r="AP45" s="194">
        <v>0</v>
      </c>
      <c r="AQ45" s="195">
        <f>SUM(Tabela99[[#This Row],[2026-2030]:[2035]])</f>
        <v>200000</v>
      </c>
      <c r="AS45" s="2" t="s">
        <v>1833</v>
      </c>
      <c r="AT45" s="2">
        <v>2025</v>
      </c>
      <c r="AU45" s="2" t="s">
        <v>1945</v>
      </c>
      <c r="AW45" s="2" t="s">
        <v>1854</v>
      </c>
      <c r="AZ45" s="2" t="s">
        <v>1835</v>
      </c>
    </row>
    <row r="46" spans="1:52" ht="24.75" customHeight="1" x14ac:dyDescent="0.35">
      <c r="A46" s="184"/>
      <c r="B46" s="185" t="e" cm="1">
        <f t="array" ref="B46">AND(ISTEXT('Consolidado-Eletronorte'!#REF!),SUM('Consolidado-Eletronorte'!#REF!)&gt;0)</f>
        <v>#REF!</v>
      </c>
      <c r="C46" s="186" t="str">
        <f t="shared" ca="1" si="0"/>
        <v>Capex Orcamentário_PE2026_2030_red_35_porcentoR3_consulta.xlsx</v>
      </c>
      <c r="D46" s="187" t="str">
        <f t="shared" si="1"/>
        <v>COO</v>
      </c>
      <c r="E46" s="187" t="str">
        <f t="shared" si="2"/>
        <v>Lucas Martins</v>
      </c>
      <c r="F46" s="188"/>
      <c r="G46" s="188" t="e">
        <f>_xlfn.CONCAT('Consolidado-Eletronorte'!#REF!,"_",ROW('Consolidado-Eletronorte'!#REF!)-ROW('Consolidado-Eletronorte'!$G$18))</f>
        <v>#REF!</v>
      </c>
      <c r="H46" s="279" t="s">
        <v>506</v>
      </c>
      <c r="I46" s="189" t="s">
        <v>1024</v>
      </c>
      <c r="J46" s="190" t="s">
        <v>508</v>
      </c>
      <c r="K46" s="189" t="s">
        <v>1821</v>
      </c>
      <c r="L46" s="189" t="s">
        <v>1828</v>
      </c>
      <c r="M46" s="189" t="s">
        <v>1888</v>
      </c>
      <c r="N46" s="189"/>
      <c r="O46" s="189"/>
      <c r="P46" s="189"/>
      <c r="Q46" s="191" t="s">
        <v>1946</v>
      </c>
      <c r="R46" s="191" t="s">
        <v>1947</v>
      </c>
      <c r="S46" s="189" t="s">
        <v>1832</v>
      </c>
      <c r="T46" s="192">
        <v>0</v>
      </c>
      <c r="U46" s="193">
        <v>0</v>
      </c>
      <c r="V46" s="193">
        <v>0</v>
      </c>
      <c r="W46" s="193">
        <v>0</v>
      </c>
      <c r="X46" s="192">
        <v>0</v>
      </c>
      <c r="Y46" s="192">
        <v>0</v>
      </c>
      <c r="Z46" s="194">
        <v>0</v>
      </c>
      <c r="AA46" s="194">
        <v>0</v>
      </c>
      <c r="AB46" s="194">
        <v>0</v>
      </c>
      <c r="AC46" s="194">
        <v>120000</v>
      </c>
      <c r="AD46" s="194">
        <v>0</v>
      </c>
      <c r="AE46" s="194">
        <v>0</v>
      </c>
      <c r="AF46" s="194">
        <f>SUM(Tabela99[[#This Row],[jan/26]:[dez/26]])</f>
        <v>120000</v>
      </c>
      <c r="AG46" s="194">
        <v>0</v>
      </c>
      <c r="AH46" s="194">
        <v>0</v>
      </c>
      <c r="AI46" s="194">
        <v>0</v>
      </c>
      <c r="AJ46" s="194">
        <v>0</v>
      </c>
      <c r="AK46" s="194">
        <f>SUM(Tabela99[[#This Row],[2026]:[2030]])</f>
        <v>120000</v>
      </c>
      <c r="AL46" s="193">
        <v>0</v>
      </c>
      <c r="AM46" s="194">
        <v>0</v>
      </c>
      <c r="AN46" s="194">
        <v>0</v>
      </c>
      <c r="AO46" s="194">
        <v>0</v>
      </c>
      <c r="AP46" s="194">
        <v>0</v>
      </c>
      <c r="AQ46" s="195">
        <f>SUM(Tabela99[[#This Row],[2026-2030]:[2035]])</f>
        <v>120000</v>
      </c>
      <c r="AS46" s="2" t="s">
        <v>1833</v>
      </c>
      <c r="AT46" s="2">
        <v>2025</v>
      </c>
      <c r="AU46" s="2" t="s">
        <v>1948</v>
      </c>
      <c r="AW46" s="2" t="s">
        <v>1854</v>
      </c>
      <c r="AZ46" s="2" t="s">
        <v>1835</v>
      </c>
    </row>
    <row r="47" spans="1:52" ht="24.75" customHeight="1" x14ac:dyDescent="0.35">
      <c r="A47" s="184"/>
      <c r="B47" s="185" t="e" cm="1">
        <f t="array" ref="B47">AND(ISTEXT('Consolidado-Eletronorte'!#REF!),SUM('Consolidado-Eletronorte'!#REF!)&gt;0)</f>
        <v>#REF!</v>
      </c>
      <c r="C47" s="186" t="str">
        <f t="shared" ca="1" si="0"/>
        <v>Capex Orcamentário_PE2026_2030_red_35_porcentoR3_consulta.xlsx</v>
      </c>
      <c r="D47" s="187" t="str">
        <f t="shared" si="1"/>
        <v>COO</v>
      </c>
      <c r="E47" s="187" t="str">
        <f t="shared" si="2"/>
        <v>Lucas Martins</v>
      </c>
      <c r="F47" s="188"/>
      <c r="G47" s="188" t="e">
        <f>_xlfn.CONCAT('Consolidado-Eletronorte'!#REF!,"_",ROW('Consolidado-Eletronorte'!#REF!)-ROW('Consolidado-Eletronorte'!$G$18))</f>
        <v>#REF!</v>
      </c>
      <c r="H47" s="279" t="s">
        <v>506</v>
      </c>
      <c r="I47" s="189" t="s">
        <v>1024</v>
      </c>
      <c r="J47" s="190" t="s">
        <v>508</v>
      </c>
      <c r="K47" s="189" t="s">
        <v>1821</v>
      </c>
      <c r="L47" s="189" t="s">
        <v>1828</v>
      </c>
      <c r="M47" s="189" t="s">
        <v>1888</v>
      </c>
      <c r="N47" s="189"/>
      <c r="O47" s="189"/>
      <c r="P47" s="189"/>
      <c r="Q47" s="191" t="s">
        <v>1949</v>
      </c>
      <c r="R47" s="191" t="s">
        <v>1950</v>
      </c>
      <c r="S47" s="189" t="s">
        <v>1832</v>
      </c>
      <c r="T47" s="192">
        <v>0</v>
      </c>
      <c r="U47" s="193">
        <v>0</v>
      </c>
      <c r="V47" s="193">
        <v>0</v>
      </c>
      <c r="W47" s="193">
        <v>0</v>
      </c>
      <c r="X47" s="192">
        <v>0</v>
      </c>
      <c r="Y47" s="192">
        <v>0</v>
      </c>
      <c r="Z47" s="194">
        <v>0</v>
      </c>
      <c r="AA47" s="194">
        <v>0</v>
      </c>
      <c r="AB47" s="194">
        <v>0</v>
      </c>
      <c r="AC47" s="194">
        <v>100000</v>
      </c>
      <c r="AD47" s="194">
        <v>0</v>
      </c>
      <c r="AE47" s="194">
        <v>0</v>
      </c>
      <c r="AF47" s="194">
        <f>SUM(Tabela99[[#This Row],[jan/26]:[dez/26]])</f>
        <v>100000</v>
      </c>
      <c r="AG47" s="194">
        <v>100000</v>
      </c>
      <c r="AH47" s="194">
        <v>0</v>
      </c>
      <c r="AI47" s="194">
        <v>0</v>
      </c>
      <c r="AJ47" s="194">
        <v>0</v>
      </c>
      <c r="AK47" s="194">
        <f>SUM(Tabela99[[#This Row],[2026]:[2030]])</f>
        <v>200000</v>
      </c>
      <c r="AL47" s="193">
        <v>0</v>
      </c>
      <c r="AM47" s="194">
        <v>0</v>
      </c>
      <c r="AN47" s="194">
        <v>0</v>
      </c>
      <c r="AO47" s="194">
        <v>0</v>
      </c>
      <c r="AP47" s="194">
        <v>0</v>
      </c>
      <c r="AQ47" s="195">
        <f>SUM(Tabela99[[#This Row],[2026-2030]:[2035]])</f>
        <v>200000</v>
      </c>
      <c r="AS47" s="2" t="s">
        <v>1833</v>
      </c>
      <c r="AT47" s="2">
        <v>2025</v>
      </c>
      <c r="AU47" s="2" t="s">
        <v>1951</v>
      </c>
      <c r="AW47" s="2" t="s">
        <v>1854</v>
      </c>
      <c r="AZ47" s="2" t="s">
        <v>1835</v>
      </c>
    </row>
    <row r="48" spans="1:52" ht="24.75" customHeight="1" x14ac:dyDescent="0.35">
      <c r="A48" s="184"/>
      <c r="B48" s="185" t="e" cm="1">
        <f t="array" ref="B48">AND(ISTEXT('Consolidado-Eletronorte'!#REF!),SUM('Consolidado-Eletronorte'!#REF!)&gt;0)</f>
        <v>#REF!</v>
      </c>
      <c r="C48" s="186" t="str">
        <f t="shared" ca="1" si="0"/>
        <v>Capex Orcamentário_PE2026_2030_red_35_porcentoR3_consulta.xlsx</v>
      </c>
      <c r="D48" s="187" t="str">
        <f t="shared" si="1"/>
        <v>COO</v>
      </c>
      <c r="E48" s="187" t="str">
        <f t="shared" si="2"/>
        <v>Lucas Martins</v>
      </c>
      <c r="F48" s="188"/>
      <c r="G48" s="188" t="e">
        <f>_xlfn.CONCAT('Consolidado-Eletronorte'!#REF!,"_",ROW('Consolidado-Eletronorte'!#REF!)-ROW('Consolidado-Eletronorte'!$G$18))</f>
        <v>#REF!</v>
      </c>
      <c r="H48" s="279" t="s">
        <v>506</v>
      </c>
      <c r="I48" s="189" t="s">
        <v>1024</v>
      </c>
      <c r="J48" s="190" t="s">
        <v>508</v>
      </c>
      <c r="K48" s="189" t="s">
        <v>1821</v>
      </c>
      <c r="L48" s="189" t="s">
        <v>1828</v>
      </c>
      <c r="M48" s="189" t="s">
        <v>1888</v>
      </c>
      <c r="N48" s="189"/>
      <c r="O48" s="189"/>
      <c r="P48" s="189"/>
      <c r="Q48" s="191" t="s">
        <v>1952</v>
      </c>
      <c r="R48" s="191" t="s">
        <v>1953</v>
      </c>
      <c r="S48" s="189" t="s">
        <v>1832</v>
      </c>
      <c r="T48" s="192">
        <v>0</v>
      </c>
      <c r="U48" s="193">
        <v>0</v>
      </c>
      <c r="V48" s="193">
        <v>0</v>
      </c>
      <c r="W48" s="193">
        <v>0</v>
      </c>
      <c r="X48" s="192">
        <v>0</v>
      </c>
      <c r="Y48" s="192">
        <v>0</v>
      </c>
      <c r="Z48" s="194">
        <v>0</v>
      </c>
      <c r="AA48" s="194">
        <v>0</v>
      </c>
      <c r="AB48" s="194">
        <v>0</v>
      </c>
      <c r="AC48" s="194">
        <v>0</v>
      </c>
      <c r="AD48" s="194">
        <v>0</v>
      </c>
      <c r="AE48" s="194">
        <v>0</v>
      </c>
      <c r="AF48" s="194">
        <f>SUM(Tabela99[[#This Row],[jan/26]:[dez/26]])</f>
        <v>0</v>
      </c>
      <c r="AG48" s="194">
        <v>0</v>
      </c>
      <c r="AH48" s="194">
        <v>0</v>
      </c>
      <c r="AI48" s="194">
        <v>0</v>
      </c>
      <c r="AJ48" s="194">
        <v>200000</v>
      </c>
      <c r="AK48" s="194">
        <f>SUM(Tabela99[[#This Row],[2026]:[2030]])</f>
        <v>200000</v>
      </c>
      <c r="AL48" s="193">
        <v>0</v>
      </c>
      <c r="AM48" s="194">
        <v>0</v>
      </c>
      <c r="AN48" s="194">
        <v>0</v>
      </c>
      <c r="AO48" s="194">
        <v>0</v>
      </c>
      <c r="AP48" s="194">
        <v>0</v>
      </c>
      <c r="AQ48" s="195">
        <f>SUM(Tabela99[[#This Row],[2026-2030]:[2035]])</f>
        <v>200000</v>
      </c>
      <c r="AS48" s="2" t="s">
        <v>1833</v>
      </c>
      <c r="AT48" s="2">
        <v>2025</v>
      </c>
      <c r="AU48" s="2" t="s">
        <v>1954</v>
      </c>
      <c r="AW48" s="2" t="s">
        <v>1854</v>
      </c>
      <c r="AZ48" s="2" t="s">
        <v>1835</v>
      </c>
    </row>
    <row r="49" spans="1:52" ht="24.75" customHeight="1" x14ac:dyDescent="0.35">
      <c r="A49" s="184"/>
      <c r="B49" s="185" t="e" cm="1">
        <f t="array" ref="B49">AND(ISTEXT('Consolidado-Eletronorte'!#REF!),SUM('Consolidado-Eletronorte'!#REF!)&gt;0)</f>
        <v>#REF!</v>
      </c>
      <c r="C49" s="186" t="str">
        <f t="shared" ca="1" si="0"/>
        <v>Capex Orcamentário_PE2026_2030_red_35_porcentoR3_consulta.xlsx</v>
      </c>
      <c r="D49" s="187" t="str">
        <f t="shared" si="1"/>
        <v>COO</v>
      </c>
      <c r="E49" s="187" t="str">
        <f t="shared" si="2"/>
        <v>Lucas Martins</v>
      </c>
      <c r="F49" s="188"/>
      <c r="G49" s="188" t="e">
        <f>_xlfn.CONCAT('Consolidado-Eletronorte'!#REF!,"_",ROW('Consolidado-Eletronorte'!#REF!)-ROW('Consolidado-Eletronorte'!$G$18))</f>
        <v>#REF!</v>
      </c>
      <c r="H49" s="279" t="s">
        <v>506</v>
      </c>
      <c r="I49" s="189" t="s">
        <v>1024</v>
      </c>
      <c r="J49" s="190" t="s">
        <v>508</v>
      </c>
      <c r="K49" s="189" t="s">
        <v>1821</v>
      </c>
      <c r="L49" s="189" t="s">
        <v>1828</v>
      </c>
      <c r="M49" s="189" t="s">
        <v>1955</v>
      </c>
      <c r="N49" s="189"/>
      <c r="O49" s="189"/>
      <c r="P49" s="189"/>
      <c r="Q49" s="191" t="s">
        <v>1956</v>
      </c>
      <c r="R49" s="191" t="s">
        <v>1957</v>
      </c>
      <c r="S49" s="189" t="s">
        <v>1958</v>
      </c>
      <c r="T49" s="192">
        <v>0</v>
      </c>
      <c r="U49" s="193">
        <v>0</v>
      </c>
      <c r="V49" s="193">
        <v>100000</v>
      </c>
      <c r="W49" s="193">
        <v>0</v>
      </c>
      <c r="X49" s="192">
        <v>0</v>
      </c>
      <c r="Y49" s="192">
        <v>0</v>
      </c>
      <c r="Z49" s="194">
        <v>0</v>
      </c>
      <c r="AA49" s="194">
        <v>0</v>
      </c>
      <c r="AB49" s="194">
        <v>0</v>
      </c>
      <c r="AC49" s="194">
        <v>0</v>
      </c>
      <c r="AD49" s="194">
        <v>0</v>
      </c>
      <c r="AE49" s="194">
        <v>0</v>
      </c>
      <c r="AF49" s="194">
        <f>SUM(Tabela99[[#This Row],[jan/26]:[dez/26]])</f>
        <v>100000</v>
      </c>
      <c r="AG49" s="194">
        <v>0</v>
      </c>
      <c r="AH49" s="194">
        <v>0</v>
      </c>
      <c r="AI49" s="194">
        <v>0</v>
      </c>
      <c r="AJ49" s="194">
        <v>0</v>
      </c>
      <c r="AK49" s="194">
        <f>SUM(Tabela99[[#This Row],[2026]:[2030]])</f>
        <v>100000</v>
      </c>
      <c r="AL49" s="193">
        <v>0</v>
      </c>
      <c r="AM49" s="194">
        <v>0</v>
      </c>
      <c r="AN49" s="194">
        <v>0</v>
      </c>
      <c r="AO49" s="194">
        <v>0</v>
      </c>
      <c r="AP49" s="194">
        <v>0</v>
      </c>
      <c r="AQ49" s="195">
        <f>SUM(Tabela99[[#This Row],[2026-2030]:[2035]])</f>
        <v>100000</v>
      </c>
      <c r="AS49" s="2" t="s">
        <v>1833</v>
      </c>
      <c r="AT49" s="2">
        <v>2025</v>
      </c>
      <c r="AU49" s="2" t="s">
        <v>1959</v>
      </c>
      <c r="AW49" s="2" t="s">
        <v>1854</v>
      </c>
      <c r="AZ49" s="2" t="s">
        <v>1960</v>
      </c>
    </row>
    <row r="50" spans="1:52" ht="24.75" customHeight="1" x14ac:dyDescent="0.35">
      <c r="A50" s="184"/>
      <c r="B50" s="185" t="e" cm="1">
        <f t="array" ref="B50">AND(ISTEXT('Consolidado-Eletronorte'!#REF!),SUM('Consolidado-Eletronorte'!#REF!)&gt;0)</f>
        <v>#REF!</v>
      </c>
      <c r="C50" s="186" t="str">
        <f t="shared" ca="1" si="0"/>
        <v>Capex Orcamentário_PE2026_2030_red_35_porcentoR3_consulta.xlsx</v>
      </c>
      <c r="D50" s="187" t="str">
        <f t="shared" si="1"/>
        <v>COO</v>
      </c>
      <c r="E50" s="187" t="str">
        <f t="shared" si="2"/>
        <v>Lucas Martins</v>
      </c>
      <c r="F50" s="188"/>
      <c r="G50" s="188" t="e">
        <f>_xlfn.CONCAT('Consolidado-Eletronorte'!#REF!,"_",ROW('Consolidado-Eletronorte'!#REF!)-ROW('Consolidado-Eletronorte'!$G$18))</f>
        <v>#REF!</v>
      </c>
      <c r="H50" s="279" t="s">
        <v>506</v>
      </c>
      <c r="I50" s="189" t="s">
        <v>1024</v>
      </c>
      <c r="J50" s="190" t="s">
        <v>508</v>
      </c>
      <c r="K50" s="189" t="s">
        <v>1821</v>
      </c>
      <c r="L50" s="189" t="s">
        <v>1828</v>
      </c>
      <c r="M50" s="189" t="s">
        <v>1955</v>
      </c>
      <c r="N50" s="189"/>
      <c r="O50" s="189"/>
      <c r="P50" s="189"/>
      <c r="Q50" s="191" t="s">
        <v>1961</v>
      </c>
      <c r="R50" s="191" t="s">
        <v>1962</v>
      </c>
      <c r="S50" s="189" t="s">
        <v>1958</v>
      </c>
      <c r="T50" s="192">
        <v>0</v>
      </c>
      <c r="U50" s="193">
        <v>0</v>
      </c>
      <c r="V50" s="193">
        <v>0</v>
      </c>
      <c r="W50" s="193">
        <v>0</v>
      </c>
      <c r="X50" s="192">
        <v>0</v>
      </c>
      <c r="Y50" s="192">
        <v>0</v>
      </c>
      <c r="Z50" s="194">
        <v>0</v>
      </c>
      <c r="AA50" s="194">
        <v>0</v>
      </c>
      <c r="AB50" s="194">
        <v>0</v>
      </c>
      <c r="AC50" s="194">
        <v>0</v>
      </c>
      <c r="AD50" s="194">
        <v>0</v>
      </c>
      <c r="AE50" s="194">
        <v>0</v>
      </c>
      <c r="AF50" s="194">
        <f>SUM(Tabela99[[#This Row],[jan/26]:[dez/26]])</f>
        <v>0</v>
      </c>
      <c r="AG50" s="194">
        <v>0</v>
      </c>
      <c r="AH50" s="194">
        <v>0</v>
      </c>
      <c r="AI50" s="194">
        <v>140000</v>
      </c>
      <c r="AJ50" s="194">
        <v>0</v>
      </c>
      <c r="AK50" s="194">
        <f>SUM(Tabela99[[#This Row],[2026]:[2030]])</f>
        <v>140000</v>
      </c>
      <c r="AL50" s="193">
        <v>0</v>
      </c>
      <c r="AM50" s="194">
        <v>0</v>
      </c>
      <c r="AN50" s="194">
        <v>0</v>
      </c>
      <c r="AO50" s="194">
        <v>0</v>
      </c>
      <c r="AP50" s="194">
        <v>0</v>
      </c>
      <c r="AQ50" s="195">
        <f>SUM(Tabela99[[#This Row],[2026-2030]:[2035]])</f>
        <v>140000</v>
      </c>
      <c r="AS50" s="2" t="s">
        <v>1833</v>
      </c>
      <c r="AT50" s="2">
        <v>2025</v>
      </c>
      <c r="AU50" s="2" t="s">
        <v>1963</v>
      </c>
      <c r="AW50" s="2" t="s">
        <v>1854</v>
      </c>
      <c r="AZ50" s="2" t="s">
        <v>1960</v>
      </c>
    </row>
    <row r="51" spans="1:52" ht="24.75" customHeight="1" x14ac:dyDescent="0.35">
      <c r="A51" s="184"/>
      <c r="B51" s="185" t="e" cm="1">
        <f t="array" ref="B51">AND(ISTEXT('Consolidado-Eletronorte'!#REF!),SUM('Consolidado-Eletronorte'!#REF!)&gt;0)</f>
        <v>#REF!</v>
      </c>
      <c r="C51" s="186" t="str">
        <f t="shared" ca="1" si="0"/>
        <v>Capex Orcamentário_PE2026_2030_red_35_porcentoR3_consulta.xlsx</v>
      </c>
      <c r="D51" s="187" t="str">
        <f t="shared" si="1"/>
        <v>COO</v>
      </c>
      <c r="E51" s="187" t="str">
        <f t="shared" si="2"/>
        <v>Lucas Martins</v>
      </c>
      <c r="F51" s="188"/>
      <c r="G51" s="188" t="e">
        <f>_xlfn.CONCAT('Consolidado-Eletronorte'!#REF!,"_",ROW('Consolidado-Eletronorte'!#REF!)-ROW('Consolidado-Eletronorte'!$G$18))</f>
        <v>#REF!</v>
      </c>
      <c r="H51" s="279" t="s">
        <v>506</v>
      </c>
      <c r="I51" s="189" t="s">
        <v>1024</v>
      </c>
      <c r="J51" s="190" t="s">
        <v>508</v>
      </c>
      <c r="K51" s="189" t="s">
        <v>1821</v>
      </c>
      <c r="L51" s="189" t="s">
        <v>1828</v>
      </c>
      <c r="M51" s="189" t="s">
        <v>1955</v>
      </c>
      <c r="N51" s="189"/>
      <c r="O51" s="189"/>
      <c r="P51" s="189"/>
      <c r="Q51" s="191" t="s">
        <v>1964</v>
      </c>
      <c r="R51" s="191" t="s">
        <v>1965</v>
      </c>
      <c r="S51" s="189" t="s">
        <v>1958</v>
      </c>
      <c r="T51" s="192">
        <v>0</v>
      </c>
      <c r="U51" s="193">
        <v>0</v>
      </c>
      <c r="V51" s="193">
        <v>0</v>
      </c>
      <c r="W51" s="193">
        <v>0</v>
      </c>
      <c r="X51" s="192">
        <v>0</v>
      </c>
      <c r="Y51" s="192">
        <v>0</v>
      </c>
      <c r="Z51" s="194">
        <v>0</v>
      </c>
      <c r="AA51" s="194">
        <v>0</v>
      </c>
      <c r="AB51" s="194">
        <v>0</v>
      </c>
      <c r="AC51" s="194">
        <v>0</v>
      </c>
      <c r="AD51" s="194">
        <v>0</v>
      </c>
      <c r="AE51" s="194">
        <v>0</v>
      </c>
      <c r="AF51" s="194">
        <f>SUM(Tabela99[[#This Row],[jan/26]:[dez/26]])</f>
        <v>0</v>
      </c>
      <c r="AG51" s="194">
        <v>0</v>
      </c>
      <c r="AH51" s="194">
        <v>100000</v>
      </c>
      <c r="AI51" s="194">
        <v>0</v>
      </c>
      <c r="AJ51" s="194">
        <v>0</v>
      </c>
      <c r="AK51" s="194">
        <f>SUM(Tabela99[[#This Row],[2026]:[2030]])</f>
        <v>100000</v>
      </c>
      <c r="AL51" s="193">
        <v>0</v>
      </c>
      <c r="AM51" s="194">
        <v>0</v>
      </c>
      <c r="AN51" s="194">
        <v>0</v>
      </c>
      <c r="AO51" s="194">
        <v>0</v>
      </c>
      <c r="AP51" s="194">
        <v>0</v>
      </c>
      <c r="AQ51" s="195">
        <f>SUM(Tabela99[[#This Row],[2026-2030]:[2035]])</f>
        <v>100000</v>
      </c>
      <c r="AS51" s="2" t="s">
        <v>1833</v>
      </c>
      <c r="AT51" s="2">
        <v>2025</v>
      </c>
      <c r="AU51" s="2" t="s">
        <v>1966</v>
      </c>
      <c r="AW51" s="2" t="s">
        <v>1854</v>
      </c>
      <c r="AZ51" s="2" t="s">
        <v>1960</v>
      </c>
    </row>
    <row r="52" spans="1:52" ht="24.75" customHeight="1" x14ac:dyDescent="0.35">
      <c r="A52" s="184"/>
      <c r="B52" s="185" t="e" cm="1">
        <f t="array" ref="B52">AND(ISTEXT('Consolidado-Eletronorte'!#REF!),SUM('Consolidado-Eletronorte'!#REF!)&gt;0)</f>
        <v>#REF!</v>
      </c>
      <c r="C52" s="186" t="str">
        <f t="shared" ca="1" si="0"/>
        <v>Capex Orcamentário_PE2026_2030_red_35_porcentoR3_consulta.xlsx</v>
      </c>
      <c r="D52" s="187" t="str">
        <f t="shared" si="1"/>
        <v>COO</v>
      </c>
      <c r="E52" s="187" t="str">
        <f t="shared" si="2"/>
        <v>Lucas Martins</v>
      </c>
      <c r="F52" s="188"/>
      <c r="G52" s="188" t="e">
        <f>_xlfn.CONCAT('Consolidado-Eletronorte'!#REF!,"_",ROW('Consolidado-Eletronorte'!#REF!)-ROW('Consolidado-Eletronorte'!$G$18))</f>
        <v>#REF!</v>
      </c>
      <c r="H52" s="279" t="s">
        <v>506</v>
      </c>
      <c r="I52" s="189" t="s">
        <v>1024</v>
      </c>
      <c r="J52" s="190" t="s">
        <v>508</v>
      </c>
      <c r="K52" s="189" t="s">
        <v>1821</v>
      </c>
      <c r="L52" s="189" t="s">
        <v>1828</v>
      </c>
      <c r="M52" s="189" t="s">
        <v>1955</v>
      </c>
      <c r="N52" s="189"/>
      <c r="O52" s="189"/>
      <c r="P52" s="189"/>
      <c r="Q52" s="191" t="s">
        <v>1967</v>
      </c>
      <c r="R52" s="191" t="s">
        <v>1968</v>
      </c>
      <c r="S52" s="189" t="s">
        <v>1958</v>
      </c>
      <c r="T52" s="192">
        <v>0</v>
      </c>
      <c r="U52" s="193">
        <v>0</v>
      </c>
      <c r="V52" s="193">
        <v>0</v>
      </c>
      <c r="W52" s="193">
        <v>0</v>
      </c>
      <c r="X52" s="192">
        <v>0</v>
      </c>
      <c r="Y52" s="192">
        <v>0</v>
      </c>
      <c r="Z52" s="194">
        <v>0</v>
      </c>
      <c r="AA52" s="194">
        <v>0</v>
      </c>
      <c r="AB52" s="194">
        <v>0</v>
      </c>
      <c r="AC52" s="194">
        <v>0</v>
      </c>
      <c r="AD52" s="194">
        <v>0</v>
      </c>
      <c r="AE52" s="194">
        <v>0</v>
      </c>
      <c r="AF52" s="194">
        <f>SUM(Tabela99[[#This Row],[jan/26]:[dez/26]])</f>
        <v>0</v>
      </c>
      <c r="AG52" s="194">
        <v>0</v>
      </c>
      <c r="AH52" s="194">
        <v>50000</v>
      </c>
      <c r="AI52" s="194">
        <v>0</v>
      </c>
      <c r="AJ52" s="194">
        <v>0</v>
      </c>
      <c r="AK52" s="194">
        <f>SUM(Tabela99[[#This Row],[2026]:[2030]])</f>
        <v>50000</v>
      </c>
      <c r="AL52" s="193">
        <v>0</v>
      </c>
      <c r="AM52" s="194">
        <v>0</v>
      </c>
      <c r="AN52" s="194">
        <v>0</v>
      </c>
      <c r="AO52" s="194">
        <v>0</v>
      </c>
      <c r="AP52" s="194">
        <v>0</v>
      </c>
      <c r="AQ52" s="195">
        <f>SUM(Tabela99[[#This Row],[2026-2030]:[2035]])</f>
        <v>50000</v>
      </c>
      <c r="AS52" s="2" t="s">
        <v>1833</v>
      </c>
      <c r="AT52" s="2">
        <v>2025</v>
      </c>
      <c r="AU52" s="2" t="s">
        <v>1969</v>
      </c>
      <c r="AW52" s="2" t="s">
        <v>1854</v>
      </c>
      <c r="AZ52" s="2" t="s">
        <v>1960</v>
      </c>
    </row>
    <row r="53" spans="1:52" ht="24.75" customHeight="1" x14ac:dyDescent="0.35">
      <c r="A53" s="184"/>
      <c r="B53" s="185" t="e" cm="1">
        <f t="array" ref="B53">AND(ISTEXT('Consolidado-Eletronorte'!#REF!),SUM('Consolidado-Eletronorte'!#REF!)&gt;0)</f>
        <v>#REF!</v>
      </c>
      <c r="C53" s="186" t="str">
        <f t="shared" ca="1" si="0"/>
        <v>Capex Orcamentário_PE2026_2030_red_35_porcentoR3_consulta.xlsx</v>
      </c>
      <c r="D53" s="187" t="str">
        <f t="shared" si="1"/>
        <v>COO</v>
      </c>
      <c r="E53" s="187" t="str">
        <f t="shared" si="2"/>
        <v>Lucas Martins</v>
      </c>
      <c r="F53" s="188"/>
      <c r="G53" s="188" t="e">
        <f>_xlfn.CONCAT('Consolidado-Eletronorte'!#REF!,"_",ROW('Consolidado-Eletronorte'!#REF!)-ROW('Consolidado-Eletronorte'!$G$18))</f>
        <v>#REF!</v>
      </c>
      <c r="H53" s="279" t="s">
        <v>506</v>
      </c>
      <c r="I53" s="189" t="s">
        <v>1024</v>
      </c>
      <c r="J53" s="190" t="s">
        <v>508</v>
      </c>
      <c r="K53" s="189" t="s">
        <v>1821</v>
      </c>
      <c r="L53" s="189" t="s">
        <v>1828</v>
      </c>
      <c r="M53" s="189" t="s">
        <v>1955</v>
      </c>
      <c r="N53" s="189"/>
      <c r="O53" s="189"/>
      <c r="P53" s="189"/>
      <c r="Q53" s="191" t="s">
        <v>1970</v>
      </c>
      <c r="R53" s="191" t="s">
        <v>1971</v>
      </c>
      <c r="S53" s="189" t="s">
        <v>1958</v>
      </c>
      <c r="T53" s="192">
        <v>0</v>
      </c>
      <c r="U53" s="193">
        <v>0</v>
      </c>
      <c r="V53" s="193">
        <v>0</v>
      </c>
      <c r="W53" s="193">
        <v>0</v>
      </c>
      <c r="X53" s="192">
        <v>0</v>
      </c>
      <c r="Y53" s="192">
        <v>0</v>
      </c>
      <c r="Z53" s="194">
        <v>150000</v>
      </c>
      <c r="AA53" s="194">
        <v>200000</v>
      </c>
      <c r="AB53" s="194">
        <v>200000</v>
      </c>
      <c r="AC53" s="194">
        <v>150000</v>
      </c>
      <c r="AD53" s="194">
        <v>0</v>
      </c>
      <c r="AE53" s="194">
        <v>0</v>
      </c>
      <c r="AF53" s="194">
        <f>SUM(Tabela99[[#This Row],[jan/26]:[dez/26]])</f>
        <v>700000</v>
      </c>
      <c r="AG53" s="194">
        <v>0</v>
      </c>
      <c r="AH53" s="194">
        <v>0</v>
      </c>
      <c r="AI53" s="194">
        <v>0</v>
      </c>
      <c r="AJ53" s="194">
        <v>0</v>
      </c>
      <c r="AK53" s="194">
        <f>SUM(Tabela99[[#This Row],[2026]:[2030]])</f>
        <v>700000</v>
      </c>
      <c r="AL53" s="193">
        <v>0</v>
      </c>
      <c r="AM53" s="194">
        <v>0</v>
      </c>
      <c r="AN53" s="194">
        <v>0</v>
      </c>
      <c r="AO53" s="194">
        <v>0</v>
      </c>
      <c r="AP53" s="194">
        <v>0</v>
      </c>
      <c r="AQ53" s="195">
        <f>SUM(Tabela99[[#This Row],[2026-2030]:[2035]])</f>
        <v>700000</v>
      </c>
      <c r="AS53" s="2" t="s">
        <v>1833</v>
      </c>
      <c r="AT53" s="2">
        <v>2024</v>
      </c>
      <c r="AU53" s="2" t="s">
        <v>1972</v>
      </c>
      <c r="AW53" s="2" t="s">
        <v>1854</v>
      </c>
      <c r="AZ53" s="2" t="s">
        <v>1960</v>
      </c>
    </row>
    <row r="54" spans="1:52" ht="24.75" customHeight="1" x14ac:dyDescent="0.35">
      <c r="A54" s="280"/>
      <c r="B54" s="185" t="e" cm="1">
        <f t="array" ref="B54">AND(ISTEXT('Consolidado-Eletronorte'!#REF!),SUM('Consolidado-Eletronorte'!#REF!)&gt;0)</f>
        <v>#REF!</v>
      </c>
      <c r="C54" s="281" t="str">
        <f t="shared" ca="1" si="0"/>
        <v>Capex Orcamentário_PE2026_2030_red_35_porcentoR3_consulta.xlsx</v>
      </c>
      <c r="D54" s="282" t="str">
        <f t="shared" si="1"/>
        <v>COO</v>
      </c>
      <c r="E54" s="282" t="str">
        <f t="shared" si="2"/>
        <v>Lucas Martins</v>
      </c>
      <c r="F54" s="283"/>
      <c r="G54" s="283" t="e">
        <f>_xlfn.CONCAT('Consolidado-Eletronorte'!#REF!,"_",ROW('Consolidado-Eletronorte'!#REF!)-ROW('Consolidado-Eletronorte'!$G$18))</f>
        <v>#REF!</v>
      </c>
      <c r="H54" s="284" t="s">
        <v>506</v>
      </c>
      <c r="I54" s="285" t="s">
        <v>1024</v>
      </c>
      <c r="J54" s="286" t="s">
        <v>508</v>
      </c>
      <c r="K54" s="285" t="s">
        <v>1821</v>
      </c>
      <c r="L54" s="285" t="s">
        <v>1828</v>
      </c>
      <c r="M54" s="285" t="s">
        <v>1973</v>
      </c>
      <c r="N54" s="285"/>
      <c r="O54" s="285"/>
      <c r="P54" s="285"/>
      <c r="Q54" s="287" t="s">
        <v>1974</v>
      </c>
      <c r="R54" s="287" t="s">
        <v>1975</v>
      </c>
      <c r="S54" s="285" t="s">
        <v>1976</v>
      </c>
      <c r="T54" s="299">
        <v>0</v>
      </c>
      <c r="U54" s="300">
        <v>0</v>
      </c>
      <c r="V54" s="300">
        <v>0</v>
      </c>
      <c r="W54" s="300">
        <v>0</v>
      </c>
      <c r="X54" s="299">
        <v>0</v>
      </c>
      <c r="Y54" s="299">
        <v>0</v>
      </c>
      <c r="Z54" s="196">
        <v>0</v>
      </c>
      <c r="AA54" s="196">
        <v>0</v>
      </c>
      <c r="AB54" s="196">
        <v>0</v>
      </c>
      <c r="AC54" s="196">
        <v>250000</v>
      </c>
      <c r="AD54" s="196">
        <v>0</v>
      </c>
      <c r="AE54" s="196">
        <v>0</v>
      </c>
      <c r="AF54" s="196">
        <f>SUM(Tabela99[[#This Row],[jan/26]:[dez/26]])</f>
        <v>250000</v>
      </c>
      <c r="AG54" s="196">
        <v>600000</v>
      </c>
      <c r="AH54" s="196">
        <v>0</v>
      </c>
      <c r="AI54" s="196">
        <v>0</v>
      </c>
      <c r="AJ54" s="196">
        <v>0</v>
      </c>
      <c r="AK54" s="196">
        <f>SUM(Tabela99[[#This Row],[2026]:[2030]])</f>
        <v>850000</v>
      </c>
      <c r="AL54" s="300">
        <v>0</v>
      </c>
      <c r="AM54" s="196">
        <v>0</v>
      </c>
      <c r="AN54" s="196">
        <v>0</v>
      </c>
      <c r="AO54" s="196">
        <v>0</v>
      </c>
      <c r="AP54" s="196">
        <v>0</v>
      </c>
      <c r="AQ54" s="301">
        <f>SUM(Tabela99[[#This Row],[2026-2030]:[2035]])</f>
        <v>850000</v>
      </c>
      <c r="AS54" s="2" t="s">
        <v>1833</v>
      </c>
      <c r="AT54" s="2">
        <v>2025</v>
      </c>
      <c r="AU54" s="2" t="s">
        <v>1977</v>
      </c>
      <c r="AW54" s="2" t="s">
        <v>1854</v>
      </c>
      <c r="AZ54" s="2" t="s">
        <v>1960</v>
      </c>
    </row>
    <row r="55" spans="1:52" ht="24.75" customHeight="1" x14ac:dyDescent="0.35">
      <c r="A55" s="184"/>
      <c r="B55" s="185" t="e" cm="1">
        <f t="array" ref="B55">AND(ISTEXT('Consolidado-Eletronorte'!#REF!),SUM('Consolidado-Eletronorte'!#REF!)&gt;0)</f>
        <v>#REF!</v>
      </c>
      <c r="C55" s="186" t="str">
        <f t="shared" ca="1" si="0"/>
        <v>Capex Orcamentário_PE2026_2030_red_35_porcentoR3_consulta.xlsx</v>
      </c>
      <c r="D55" s="187" t="str">
        <f t="shared" si="1"/>
        <v>COO</v>
      </c>
      <c r="E55" s="187" t="str">
        <f t="shared" si="2"/>
        <v>Lucas Martins</v>
      </c>
      <c r="F55" s="188"/>
      <c r="G55" s="188" t="e">
        <f>_xlfn.CONCAT('Consolidado-Eletronorte'!#REF!,"_",ROW('Consolidado-Eletronorte'!#REF!)-ROW('Consolidado-Eletronorte'!$G$18))</f>
        <v>#REF!</v>
      </c>
      <c r="H55" s="279" t="s">
        <v>506</v>
      </c>
      <c r="I55" s="189" t="s">
        <v>1024</v>
      </c>
      <c r="J55" s="190" t="s">
        <v>508</v>
      </c>
      <c r="K55" s="189" t="s">
        <v>1821</v>
      </c>
      <c r="L55" s="189" t="s">
        <v>1828</v>
      </c>
      <c r="M55" s="189" t="s">
        <v>1973</v>
      </c>
      <c r="N55" s="189"/>
      <c r="O55" s="189"/>
      <c r="P55" s="189"/>
      <c r="Q55" s="191" t="s">
        <v>1978</v>
      </c>
      <c r="R55" s="191" t="s">
        <v>1979</v>
      </c>
      <c r="S55" s="189" t="s">
        <v>1976</v>
      </c>
      <c r="T55" s="192">
        <v>0</v>
      </c>
      <c r="U55" s="193">
        <v>0</v>
      </c>
      <c r="V55" s="193">
        <v>0</v>
      </c>
      <c r="W55" s="193">
        <v>0</v>
      </c>
      <c r="X55" s="192">
        <v>0</v>
      </c>
      <c r="Y55" s="192">
        <v>0</v>
      </c>
      <c r="Z55" s="194">
        <v>0</v>
      </c>
      <c r="AA55" s="194">
        <v>250000</v>
      </c>
      <c r="AB55" s="194">
        <v>0</v>
      </c>
      <c r="AC55" s="194">
        <v>0</v>
      </c>
      <c r="AD55" s="194">
        <v>0</v>
      </c>
      <c r="AE55" s="194">
        <v>0</v>
      </c>
      <c r="AF55" s="194">
        <f>SUM(Tabela99[[#This Row],[jan/26]:[dez/26]])</f>
        <v>250000</v>
      </c>
      <c r="AG55" s="194">
        <v>0</v>
      </c>
      <c r="AH55" s="194">
        <v>0</v>
      </c>
      <c r="AI55" s="194">
        <v>500000</v>
      </c>
      <c r="AJ55" s="194">
        <v>0</v>
      </c>
      <c r="AK55" s="194">
        <f>SUM(Tabela99[[#This Row],[2026]:[2030]])</f>
        <v>750000</v>
      </c>
      <c r="AL55" s="193">
        <v>0</v>
      </c>
      <c r="AM55" s="194">
        <v>0</v>
      </c>
      <c r="AN55" s="194">
        <v>0</v>
      </c>
      <c r="AO55" s="194">
        <v>0</v>
      </c>
      <c r="AP55" s="194">
        <v>0</v>
      </c>
      <c r="AQ55" s="195">
        <f>SUM(Tabela99[[#This Row],[2026-2030]:[2035]])</f>
        <v>750000</v>
      </c>
      <c r="AS55" s="2" t="s">
        <v>1833</v>
      </c>
      <c r="AT55" s="2">
        <v>2025</v>
      </c>
      <c r="AU55" s="2" t="s">
        <v>1980</v>
      </c>
      <c r="AW55" s="2" t="s">
        <v>1854</v>
      </c>
      <c r="AZ55" s="2" t="s">
        <v>1960</v>
      </c>
    </row>
    <row r="56" spans="1:52" ht="24.75" customHeight="1" x14ac:dyDescent="0.35">
      <c r="A56" s="184"/>
      <c r="B56" s="185" t="e" cm="1">
        <f t="array" ref="B56">AND(ISTEXT('Consolidado-Eletronorte'!#REF!),SUM('Consolidado-Eletronorte'!#REF!)&gt;0)</f>
        <v>#REF!</v>
      </c>
      <c r="C56" s="186" t="str">
        <f t="shared" ca="1" si="0"/>
        <v>Capex Orcamentário_PE2026_2030_red_35_porcentoR3_consulta.xlsx</v>
      </c>
      <c r="D56" s="187" t="str">
        <f t="shared" si="1"/>
        <v>COO</v>
      </c>
      <c r="E56" s="187" t="str">
        <f t="shared" si="2"/>
        <v>Lucas Martins</v>
      </c>
      <c r="F56" s="188"/>
      <c r="G56" s="188" t="e">
        <f>_xlfn.CONCAT('Consolidado-Eletronorte'!#REF!,"_",ROW('Consolidado-Eletronorte'!#REF!)-ROW('Consolidado-Eletronorte'!$G$18))</f>
        <v>#REF!</v>
      </c>
      <c r="H56" s="279" t="s">
        <v>506</v>
      </c>
      <c r="I56" s="189" t="s">
        <v>1024</v>
      </c>
      <c r="J56" s="190" t="s">
        <v>508</v>
      </c>
      <c r="K56" s="189" t="s">
        <v>1821</v>
      </c>
      <c r="L56" s="189" t="s">
        <v>1828</v>
      </c>
      <c r="M56" s="189" t="s">
        <v>1973</v>
      </c>
      <c r="N56" s="189"/>
      <c r="O56" s="189"/>
      <c r="P56" s="189"/>
      <c r="Q56" s="191" t="s">
        <v>1981</v>
      </c>
      <c r="R56" s="191" t="s">
        <v>1982</v>
      </c>
      <c r="S56" s="189" t="s">
        <v>1976</v>
      </c>
      <c r="T56" s="192">
        <v>0</v>
      </c>
      <c r="U56" s="193">
        <v>0</v>
      </c>
      <c r="V56" s="193">
        <v>0</v>
      </c>
      <c r="W56" s="193">
        <v>0</v>
      </c>
      <c r="X56" s="192">
        <v>0</v>
      </c>
      <c r="Y56" s="192">
        <v>0</v>
      </c>
      <c r="Z56" s="194">
        <v>0</v>
      </c>
      <c r="AA56" s="194">
        <v>0</v>
      </c>
      <c r="AB56" s="194">
        <v>0</v>
      </c>
      <c r="AC56" s="194">
        <v>0</v>
      </c>
      <c r="AD56" s="194">
        <v>0</v>
      </c>
      <c r="AE56" s="194">
        <v>0</v>
      </c>
      <c r="AF56" s="194">
        <f>SUM(Tabela99[[#This Row],[jan/26]:[dez/26]])</f>
        <v>0</v>
      </c>
      <c r="AG56" s="194">
        <v>300000</v>
      </c>
      <c r="AH56" s="194">
        <v>0</v>
      </c>
      <c r="AI56" s="194">
        <v>0</v>
      </c>
      <c r="AJ56" s="194">
        <v>0</v>
      </c>
      <c r="AK56" s="194">
        <f>SUM(Tabela99[[#This Row],[2026]:[2030]])</f>
        <v>300000</v>
      </c>
      <c r="AL56" s="193">
        <v>0</v>
      </c>
      <c r="AM56" s="194">
        <v>0</v>
      </c>
      <c r="AN56" s="194">
        <v>0</v>
      </c>
      <c r="AO56" s="194">
        <v>0</v>
      </c>
      <c r="AP56" s="194">
        <v>0</v>
      </c>
      <c r="AQ56" s="195">
        <f>SUM(Tabela99[[#This Row],[2026-2030]:[2035]])</f>
        <v>300000</v>
      </c>
      <c r="AS56" s="2" t="s">
        <v>1833</v>
      </c>
      <c r="AT56" s="2">
        <v>2025</v>
      </c>
      <c r="AU56" s="2" t="s">
        <v>1983</v>
      </c>
      <c r="AW56" s="2" t="s">
        <v>1854</v>
      </c>
      <c r="AZ56" s="2" t="s">
        <v>1960</v>
      </c>
    </row>
    <row r="57" spans="1:52" ht="24.75" customHeight="1" x14ac:dyDescent="0.35">
      <c r="A57" s="184"/>
      <c r="B57" s="185" t="e" cm="1">
        <f t="array" ref="B57">AND(ISTEXT('Consolidado-Eletronorte'!#REF!),SUM('Consolidado-Eletronorte'!#REF!)&gt;0)</f>
        <v>#REF!</v>
      </c>
      <c r="C57" s="186" t="str">
        <f t="shared" ca="1" si="0"/>
        <v>Capex Orcamentário_PE2026_2030_red_35_porcentoR3_consulta.xlsx</v>
      </c>
      <c r="D57" s="187" t="str">
        <f t="shared" si="1"/>
        <v>COO</v>
      </c>
      <c r="E57" s="187" t="str">
        <f t="shared" si="2"/>
        <v>Lucas Martins</v>
      </c>
      <c r="F57" s="188"/>
      <c r="G57" s="188" t="e">
        <f>_xlfn.CONCAT('Consolidado-Eletronorte'!#REF!,"_",ROW('Consolidado-Eletronorte'!#REF!)-ROW('Consolidado-Eletronorte'!$G$18))</f>
        <v>#REF!</v>
      </c>
      <c r="H57" s="279" t="s">
        <v>506</v>
      </c>
      <c r="I57" s="189" t="s">
        <v>1024</v>
      </c>
      <c r="J57" s="190" t="s">
        <v>508</v>
      </c>
      <c r="K57" s="189" t="s">
        <v>1821</v>
      </c>
      <c r="L57" s="189" t="s">
        <v>1828</v>
      </c>
      <c r="M57" s="189" t="s">
        <v>1973</v>
      </c>
      <c r="N57" s="189"/>
      <c r="O57" s="189"/>
      <c r="P57" s="189"/>
      <c r="Q57" s="191" t="s">
        <v>1984</v>
      </c>
      <c r="R57" s="191" t="s">
        <v>1985</v>
      </c>
      <c r="S57" s="189" t="s">
        <v>1976</v>
      </c>
      <c r="T57" s="192">
        <v>0</v>
      </c>
      <c r="U57" s="193">
        <v>0</v>
      </c>
      <c r="V57" s="193">
        <v>0</v>
      </c>
      <c r="W57" s="193">
        <v>0</v>
      </c>
      <c r="X57" s="192">
        <v>0</v>
      </c>
      <c r="Y57" s="192">
        <v>0</v>
      </c>
      <c r="Z57" s="194">
        <v>0</v>
      </c>
      <c r="AA57" s="194">
        <v>0</v>
      </c>
      <c r="AB57" s="194">
        <v>0</v>
      </c>
      <c r="AC57" s="194">
        <v>0</v>
      </c>
      <c r="AD57" s="194">
        <v>0</v>
      </c>
      <c r="AE57" s="194">
        <v>0</v>
      </c>
      <c r="AF57" s="194">
        <f>SUM(Tabela99[[#This Row],[jan/26]:[dez/26]])</f>
        <v>0</v>
      </c>
      <c r="AG57" s="194">
        <v>0</v>
      </c>
      <c r="AH57" s="194">
        <v>0</v>
      </c>
      <c r="AI57" s="194">
        <v>230000</v>
      </c>
      <c r="AJ57" s="194">
        <v>0</v>
      </c>
      <c r="AK57" s="194">
        <f>SUM(Tabela99[[#This Row],[2026]:[2030]])</f>
        <v>230000</v>
      </c>
      <c r="AL57" s="193">
        <v>0</v>
      </c>
      <c r="AM57" s="194">
        <v>0</v>
      </c>
      <c r="AN57" s="194">
        <v>0</v>
      </c>
      <c r="AO57" s="194">
        <v>0</v>
      </c>
      <c r="AP57" s="194">
        <v>0</v>
      </c>
      <c r="AQ57" s="195">
        <f>SUM(Tabela99[[#This Row],[2026-2030]:[2035]])</f>
        <v>230000</v>
      </c>
      <c r="AS57" s="2" t="s">
        <v>1833</v>
      </c>
      <c r="AT57" s="2">
        <v>2025</v>
      </c>
      <c r="AU57" s="2" t="s">
        <v>1986</v>
      </c>
      <c r="AW57" s="2" t="s">
        <v>1854</v>
      </c>
      <c r="AZ57" s="2" t="s">
        <v>1960</v>
      </c>
    </row>
    <row r="58" spans="1:52" ht="24.75" customHeight="1" x14ac:dyDescent="0.35">
      <c r="A58" s="184"/>
      <c r="B58" s="185" t="e" cm="1">
        <f t="array" ref="B58">AND(ISTEXT('Consolidado-Eletronorte'!#REF!),SUM('Consolidado-Eletronorte'!#REF!)&gt;0)</f>
        <v>#REF!</v>
      </c>
      <c r="C58" s="186" t="str">
        <f t="shared" ca="1" si="0"/>
        <v>Capex Orcamentário_PE2026_2030_red_35_porcentoR3_consulta.xlsx</v>
      </c>
      <c r="D58" s="187" t="str">
        <f t="shared" si="1"/>
        <v>COO</v>
      </c>
      <c r="E58" s="187" t="str">
        <f t="shared" si="2"/>
        <v>Lucas Martins</v>
      </c>
      <c r="F58" s="188"/>
      <c r="G58" s="188" t="e">
        <f>_xlfn.CONCAT('Consolidado-Eletronorte'!#REF!,"_",ROW('Consolidado-Eletronorte'!#REF!)-ROW('Consolidado-Eletronorte'!$G$18))</f>
        <v>#REF!</v>
      </c>
      <c r="H58" s="279" t="s">
        <v>506</v>
      </c>
      <c r="I58" s="189" t="s">
        <v>1024</v>
      </c>
      <c r="J58" s="190" t="s">
        <v>508</v>
      </c>
      <c r="K58" s="189" t="s">
        <v>1821</v>
      </c>
      <c r="L58" s="189" t="s">
        <v>1828</v>
      </c>
      <c r="M58" s="189" t="s">
        <v>1973</v>
      </c>
      <c r="N58" s="189"/>
      <c r="O58" s="189"/>
      <c r="P58" s="189"/>
      <c r="Q58" s="191" t="s">
        <v>1987</v>
      </c>
      <c r="R58" s="191" t="s">
        <v>1988</v>
      </c>
      <c r="S58" s="189" t="s">
        <v>1976</v>
      </c>
      <c r="T58" s="192">
        <v>0</v>
      </c>
      <c r="U58" s="193">
        <v>0</v>
      </c>
      <c r="V58" s="193">
        <v>0</v>
      </c>
      <c r="W58" s="193">
        <v>0</v>
      </c>
      <c r="X58" s="192">
        <v>0</v>
      </c>
      <c r="Y58" s="192">
        <v>0</v>
      </c>
      <c r="Z58" s="194">
        <v>0</v>
      </c>
      <c r="AA58" s="194">
        <v>0</v>
      </c>
      <c r="AB58" s="194">
        <v>0</v>
      </c>
      <c r="AC58" s="194">
        <v>0</v>
      </c>
      <c r="AD58" s="194">
        <v>0</v>
      </c>
      <c r="AE58" s="194">
        <v>0</v>
      </c>
      <c r="AF58" s="194">
        <f>SUM(Tabela99[[#This Row],[jan/26]:[dez/26]])</f>
        <v>0</v>
      </c>
      <c r="AG58" s="194">
        <v>0</v>
      </c>
      <c r="AH58" s="194">
        <v>200000</v>
      </c>
      <c r="AI58" s="194">
        <v>0</v>
      </c>
      <c r="AJ58" s="194">
        <v>0</v>
      </c>
      <c r="AK58" s="194">
        <f>SUM(Tabela99[[#This Row],[2026]:[2030]])</f>
        <v>200000</v>
      </c>
      <c r="AL58" s="193">
        <v>0</v>
      </c>
      <c r="AM58" s="194">
        <v>0</v>
      </c>
      <c r="AN58" s="194">
        <v>0</v>
      </c>
      <c r="AO58" s="194">
        <v>0</v>
      </c>
      <c r="AP58" s="194">
        <v>0</v>
      </c>
      <c r="AQ58" s="195">
        <f>SUM(Tabela99[[#This Row],[2026-2030]:[2035]])</f>
        <v>200000</v>
      </c>
      <c r="AS58" s="2" t="s">
        <v>1833</v>
      </c>
      <c r="AT58" s="2">
        <v>2025</v>
      </c>
      <c r="AU58" s="2" t="s">
        <v>1989</v>
      </c>
      <c r="AW58" s="2" t="s">
        <v>1854</v>
      </c>
      <c r="AZ58" s="2" t="s">
        <v>1960</v>
      </c>
    </row>
    <row r="59" spans="1:52" ht="24.75" customHeight="1" x14ac:dyDescent="0.35">
      <c r="A59" s="184"/>
      <c r="B59" s="185" t="e" cm="1">
        <f t="array" ref="B59">AND(ISTEXT('Consolidado-Eletronorte'!#REF!),SUM('Consolidado-Eletronorte'!#REF!)&gt;0)</f>
        <v>#REF!</v>
      </c>
      <c r="C59" s="186" t="str">
        <f t="shared" ca="1" si="0"/>
        <v>Capex Orcamentário_PE2026_2030_red_35_porcentoR3_consulta.xlsx</v>
      </c>
      <c r="D59" s="187" t="str">
        <f t="shared" si="1"/>
        <v>COO</v>
      </c>
      <c r="E59" s="187" t="str">
        <f t="shared" si="2"/>
        <v>Lucas Martins</v>
      </c>
      <c r="F59" s="188"/>
      <c r="G59" s="188" t="e">
        <f>_xlfn.CONCAT('Consolidado-Eletronorte'!#REF!,"_",ROW('Consolidado-Eletronorte'!#REF!)-ROW('Consolidado-Eletronorte'!$G$18))</f>
        <v>#REF!</v>
      </c>
      <c r="H59" s="279" t="s">
        <v>506</v>
      </c>
      <c r="I59" s="189" t="s">
        <v>1024</v>
      </c>
      <c r="J59" s="190" t="s">
        <v>508</v>
      </c>
      <c r="K59" s="189" t="s">
        <v>1821</v>
      </c>
      <c r="L59" s="189" t="s">
        <v>1828</v>
      </c>
      <c r="M59" s="189" t="s">
        <v>1973</v>
      </c>
      <c r="N59" s="189"/>
      <c r="O59" s="189"/>
      <c r="P59" s="189"/>
      <c r="Q59" s="191" t="s">
        <v>1990</v>
      </c>
      <c r="R59" s="191" t="s">
        <v>1991</v>
      </c>
      <c r="S59" s="189" t="s">
        <v>1976</v>
      </c>
      <c r="T59" s="192">
        <v>0</v>
      </c>
      <c r="U59" s="193">
        <v>0</v>
      </c>
      <c r="V59" s="193">
        <v>0</v>
      </c>
      <c r="W59" s="193">
        <v>0</v>
      </c>
      <c r="X59" s="192">
        <v>0</v>
      </c>
      <c r="Y59" s="192">
        <v>0</v>
      </c>
      <c r="Z59" s="194">
        <v>0</v>
      </c>
      <c r="AA59" s="194">
        <v>0</v>
      </c>
      <c r="AB59" s="194">
        <v>0</v>
      </c>
      <c r="AC59" s="194">
        <v>0</v>
      </c>
      <c r="AD59" s="194">
        <v>0</v>
      </c>
      <c r="AE59" s="194">
        <v>0</v>
      </c>
      <c r="AF59" s="194">
        <f>SUM(Tabela99[[#This Row],[jan/26]:[dez/26]])</f>
        <v>0</v>
      </c>
      <c r="AG59" s="194">
        <v>120000</v>
      </c>
      <c r="AH59" s="194">
        <v>0</v>
      </c>
      <c r="AI59" s="194">
        <v>0</v>
      </c>
      <c r="AJ59" s="194">
        <v>0</v>
      </c>
      <c r="AK59" s="194">
        <f>SUM(Tabela99[[#This Row],[2026]:[2030]])</f>
        <v>120000</v>
      </c>
      <c r="AL59" s="193">
        <v>0</v>
      </c>
      <c r="AM59" s="194">
        <v>0</v>
      </c>
      <c r="AN59" s="194">
        <v>0</v>
      </c>
      <c r="AO59" s="194">
        <v>0</v>
      </c>
      <c r="AP59" s="194">
        <v>0</v>
      </c>
      <c r="AQ59" s="195">
        <f>SUM(Tabela99[[#This Row],[2026-2030]:[2035]])</f>
        <v>120000</v>
      </c>
      <c r="AS59" s="2" t="s">
        <v>1833</v>
      </c>
      <c r="AT59" s="2">
        <v>2025</v>
      </c>
      <c r="AU59" s="2" t="s">
        <v>1992</v>
      </c>
      <c r="AW59" s="2" t="s">
        <v>1854</v>
      </c>
      <c r="AZ59" s="2" t="s">
        <v>1960</v>
      </c>
    </row>
    <row r="60" spans="1:52" ht="24.75" customHeight="1" x14ac:dyDescent="0.35">
      <c r="A60" s="184"/>
      <c r="B60" s="185" t="e" cm="1">
        <f t="array" ref="B60">AND(ISTEXT('Consolidado-Eletronorte'!#REF!),SUM('Consolidado-Eletronorte'!#REF!)&gt;0)</f>
        <v>#REF!</v>
      </c>
      <c r="C60" s="186" t="str">
        <f t="shared" ca="1" si="0"/>
        <v>Capex Orcamentário_PE2026_2030_red_35_porcentoR3_consulta.xlsx</v>
      </c>
      <c r="D60" s="187" t="str">
        <f t="shared" si="1"/>
        <v>COO</v>
      </c>
      <c r="E60" s="187" t="str">
        <f t="shared" si="2"/>
        <v>Lucas Martins</v>
      </c>
      <c r="F60" s="188"/>
      <c r="G60" s="188" t="e">
        <f>_xlfn.CONCAT('Consolidado-Eletronorte'!#REF!,"_",ROW('Consolidado-Eletronorte'!#REF!)-ROW('Consolidado-Eletronorte'!$G$18))</f>
        <v>#REF!</v>
      </c>
      <c r="H60" s="279" t="s">
        <v>506</v>
      </c>
      <c r="I60" s="189" t="s">
        <v>1024</v>
      </c>
      <c r="J60" s="190" t="s">
        <v>508</v>
      </c>
      <c r="K60" s="189" t="s">
        <v>1821</v>
      </c>
      <c r="L60" s="189" t="s">
        <v>1828</v>
      </c>
      <c r="M60" s="189" t="s">
        <v>1973</v>
      </c>
      <c r="N60" s="189"/>
      <c r="O60" s="189"/>
      <c r="P60" s="189"/>
      <c r="Q60" s="191" t="s">
        <v>1993</v>
      </c>
      <c r="R60" s="191" t="s">
        <v>1994</v>
      </c>
      <c r="S60" s="189" t="s">
        <v>1976</v>
      </c>
      <c r="T60" s="192">
        <v>0</v>
      </c>
      <c r="U60" s="193">
        <v>0</v>
      </c>
      <c r="V60" s="193">
        <v>0</v>
      </c>
      <c r="W60" s="193">
        <v>0</v>
      </c>
      <c r="X60" s="192">
        <v>0</v>
      </c>
      <c r="Y60" s="192">
        <v>0</v>
      </c>
      <c r="Z60" s="194">
        <v>0</v>
      </c>
      <c r="AA60" s="194">
        <v>0</v>
      </c>
      <c r="AB60" s="194">
        <v>0</v>
      </c>
      <c r="AC60" s="194">
        <v>0</v>
      </c>
      <c r="AD60" s="194">
        <v>0</v>
      </c>
      <c r="AE60" s="194">
        <v>0</v>
      </c>
      <c r="AF60" s="194">
        <f>SUM(Tabela99[[#This Row],[jan/26]:[dez/26]])</f>
        <v>0</v>
      </c>
      <c r="AG60" s="194">
        <v>75000</v>
      </c>
      <c r="AH60" s="194">
        <v>0</v>
      </c>
      <c r="AI60" s="194">
        <v>0</v>
      </c>
      <c r="AJ60" s="194">
        <v>0</v>
      </c>
      <c r="AK60" s="194">
        <f>SUM(Tabela99[[#This Row],[2026]:[2030]])</f>
        <v>75000</v>
      </c>
      <c r="AL60" s="193">
        <v>0</v>
      </c>
      <c r="AM60" s="194">
        <v>0</v>
      </c>
      <c r="AN60" s="194">
        <v>0</v>
      </c>
      <c r="AO60" s="194">
        <v>0</v>
      </c>
      <c r="AP60" s="194">
        <v>0</v>
      </c>
      <c r="AQ60" s="195">
        <f>SUM(Tabela99[[#This Row],[2026-2030]:[2035]])</f>
        <v>75000</v>
      </c>
      <c r="AS60" s="2" t="s">
        <v>1833</v>
      </c>
      <c r="AT60" s="2">
        <v>2025</v>
      </c>
      <c r="AU60" s="2" t="s">
        <v>1995</v>
      </c>
      <c r="AW60" s="2" t="s">
        <v>1854</v>
      </c>
      <c r="AZ60" s="2" t="s">
        <v>1960</v>
      </c>
    </row>
    <row r="61" spans="1:52" ht="24.75" customHeight="1" x14ac:dyDescent="0.35">
      <c r="A61" s="184"/>
      <c r="B61" s="185" t="e" cm="1">
        <f t="array" ref="B61">AND(ISTEXT('Consolidado-Eletronorte'!#REF!),SUM('Consolidado-Eletronorte'!#REF!)&gt;0)</f>
        <v>#REF!</v>
      </c>
      <c r="C61" s="186" t="str">
        <f t="shared" ca="1" si="0"/>
        <v>Capex Orcamentário_PE2026_2030_red_35_porcentoR3_consulta.xlsx</v>
      </c>
      <c r="D61" s="187" t="str">
        <f t="shared" si="1"/>
        <v>COO</v>
      </c>
      <c r="E61" s="187" t="str">
        <f t="shared" si="2"/>
        <v>Lucas Martins</v>
      </c>
      <c r="F61" s="188"/>
      <c r="G61" s="188" t="e">
        <f>_xlfn.CONCAT('Consolidado-Eletronorte'!#REF!,"_",ROW('Consolidado-Eletronorte'!#REF!)-ROW('Consolidado-Eletronorte'!$G$18))</f>
        <v>#REF!</v>
      </c>
      <c r="H61" s="279" t="s">
        <v>506</v>
      </c>
      <c r="I61" s="189" t="s">
        <v>1024</v>
      </c>
      <c r="J61" s="190" t="s">
        <v>508</v>
      </c>
      <c r="K61" s="189" t="s">
        <v>1821</v>
      </c>
      <c r="L61" s="189" t="s">
        <v>1828</v>
      </c>
      <c r="M61" s="189" t="s">
        <v>1973</v>
      </c>
      <c r="N61" s="189"/>
      <c r="O61" s="189"/>
      <c r="P61" s="189"/>
      <c r="Q61" s="191" t="s">
        <v>1996</v>
      </c>
      <c r="R61" s="191" t="s">
        <v>1997</v>
      </c>
      <c r="S61" s="189" t="s">
        <v>1976</v>
      </c>
      <c r="T61" s="192">
        <v>0</v>
      </c>
      <c r="U61" s="193">
        <v>0</v>
      </c>
      <c r="V61" s="193">
        <v>0</v>
      </c>
      <c r="W61" s="193">
        <v>0</v>
      </c>
      <c r="X61" s="192">
        <v>0</v>
      </c>
      <c r="Y61" s="192">
        <v>0</v>
      </c>
      <c r="Z61" s="194">
        <v>0</v>
      </c>
      <c r="AA61" s="194">
        <v>0</v>
      </c>
      <c r="AB61" s="194">
        <v>0</v>
      </c>
      <c r="AC61" s="194">
        <v>0</v>
      </c>
      <c r="AD61" s="194">
        <v>0</v>
      </c>
      <c r="AE61" s="194">
        <v>0</v>
      </c>
      <c r="AF61" s="194">
        <f>SUM(Tabela99[[#This Row],[jan/26]:[dez/26]])</f>
        <v>0</v>
      </c>
      <c r="AG61" s="194">
        <v>250000</v>
      </c>
      <c r="AH61" s="194">
        <v>0</v>
      </c>
      <c r="AI61" s="194">
        <v>0</v>
      </c>
      <c r="AJ61" s="194">
        <v>200000</v>
      </c>
      <c r="AK61" s="194">
        <f>SUM(Tabela99[[#This Row],[2026]:[2030]])</f>
        <v>450000</v>
      </c>
      <c r="AL61" s="193">
        <v>0</v>
      </c>
      <c r="AM61" s="194">
        <v>0</v>
      </c>
      <c r="AN61" s="194">
        <v>0</v>
      </c>
      <c r="AO61" s="194">
        <v>0</v>
      </c>
      <c r="AP61" s="194">
        <v>0</v>
      </c>
      <c r="AQ61" s="195">
        <f>SUM(Tabela99[[#This Row],[2026-2030]:[2035]])</f>
        <v>450000</v>
      </c>
      <c r="AS61" s="2" t="s">
        <v>1833</v>
      </c>
      <c r="AT61" s="2">
        <v>2025</v>
      </c>
      <c r="AU61" s="2" t="s">
        <v>1998</v>
      </c>
      <c r="AW61" s="2" t="s">
        <v>1854</v>
      </c>
      <c r="AZ61" s="2" t="s">
        <v>1960</v>
      </c>
    </row>
    <row r="62" spans="1:52" ht="24.75" customHeight="1" x14ac:dyDescent="0.35">
      <c r="A62" s="280"/>
      <c r="B62" s="185" t="e" cm="1">
        <f t="array" ref="B62">AND(ISTEXT('Consolidado-Eletronorte'!#REF!),SUM('Consolidado-Eletronorte'!#REF!)&gt;0)</f>
        <v>#REF!</v>
      </c>
      <c r="C62" s="281" t="str">
        <f t="shared" ca="1" si="0"/>
        <v>Capex Orcamentário_PE2026_2030_red_35_porcentoR3_consulta.xlsx</v>
      </c>
      <c r="D62" s="282" t="str">
        <f t="shared" si="1"/>
        <v>COO</v>
      </c>
      <c r="E62" s="282" t="str">
        <f t="shared" si="2"/>
        <v>Lucas Martins</v>
      </c>
      <c r="F62" s="283"/>
      <c r="G62" s="283" t="e">
        <f>_xlfn.CONCAT('Consolidado-Eletronorte'!#REF!,"_",ROW('Consolidado-Eletronorte'!#REF!)-ROW('Consolidado-Eletronorte'!$G$18))</f>
        <v>#REF!</v>
      </c>
      <c r="H62" s="284" t="s">
        <v>506</v>
      </c>
      <c r="I62" s="285" t="s">
        <v>1024</v>
      </c>
      <c r="J62" s="286" t="s">
        <v>508</v>
      </c>
      <c r="K62" s="285" t="s">
        <v>1821</v>
      </c>
      <c r="L62" s="285" t="s">
        <v>1828</v>
      </c>
      <c r="M62" s="285" t="s">
        <v>1999</v>
      </c>
      <c r="N62" s="285"/>
      <c r="O62" s="285"/>
      <c r="P62" s="285"/>
      <c r="Q62" s="287" t="s">
        <v>2000</v>
      </c>
      <c r="R62" s="287" t="s">
        <v>2001</v>
      </c>
      <c r="S62" s="285" t="s">
        <v>1885</v>
      </c>
      <c r="T62" s="299">
        <v>0</v>
      </c>
      <c r="U62" s="299">
        <v>0</v>
      </c>
      <c r="V62" s="299">
        <v>0</v>
      </c>
      <c r="W62" s="299">
        <v>0</v>
      </c>
      <c r="X62" s="299">
        <v>0</v>
      </c>
      <c r="Y62" s="299">
        <v>0</v>
      </c>
      <c r="Z62" s="299">
        <v>0</v>
      </c>
      <c r="AA62" s="299">
        <v>0</v>
      </c>
      <c r="AB62" s="299">
        <v>0</v>
      </c>
      <c r="AC62" s="299">
        <v>0</v>
      </c>
      <c r="AD62" s="299">
        <v>0</v>
      </c>
      <c r="AE62" s="299">
        <v>0</v>
      </c>
      <c r="AF62" s="196">
        <f>SUM(Tabela99[[#This Row],[jan/26]:[dez/26]])</f>
        <v>0</v>
      </c>
      <c r="AG62" s="196">
        <v>7000000</v>
      </c>
      <c r="AH62" s="196">
        <v>0</v>
      </c>
      <c r="AI62" s="196">
        <v>0</v>
      </c>
      <c r="AJ62" s="196">
        <v>0</v>
      </c>
      <c r="AK62" s="196">
        <f>SUM(Tabela99[[#This Row],[2026]:[2030]])</f>
        <v>7000000</v>
      </c>
      <c r="AL62" s="300">
        <v>0</v>
      </c>
      <c r="AM62" s="196">
        <v>0</v>
      </c>
      <c r="AN62" s="196">
        <v>0</v>
      </c>
      <c r="AO62" s="196">
        <v>0</v>
      </c>
      <c r="AP62" s="196">
        <v>0</v>
      </c>
      <c r="AQ62" s="301">
        <f>SUM(Tabela99[[#This Row],[2026-2030]:[2035]])</f>
        <v>7000000</v>
      </c>
      <c r="AS62" s="2" t="s">
        <v>1886</v>
      </c>
      <c r="AT62" s="2">
        <v>2025</v>
      </c>
      <c r="AU62" s="2" t="s">
        <v>2002</v>
      </c>
      <c r="AW62" s="2" t="s">
        <v>1854</v>
      </c>
      <c r="AZ62" s="2" t="s">
        <v>1887</v>
      </c>
    </row>
    <row r="63" spans="1:52" ht="24.75" customHeight="1" x14ac:dyDescent="0.35">
      <c r="A63" s="184"/>
      <c r="B63" s="185" t="e" cm="1">
        <f t="array" ref="B63">AND(ISTEXT('Consolidado-Eletronorte'!#REF!),SUM('Consolidado-Eletronorte'!#REF!)&gt;0)</f>
        <v>#REF!</v>
      </c>
      <c r="C63" s="186" t="str">
        <f t="shared" ca="1" si="0"/>
        <v>Capex Orcamentário_PE2026_2030_red_35_porcentoR3_consulta.xlsx</v>
      </c>
      <c r="D63" s="187" t="str">
        <f t="shared" si="1"/>
        <v>COO</v>
      </c>
      <c r="E63" s="187" t="str">
        <f t="shared" si="2"/>
        <v>Lucas Martins</v>
      </c>
      <c r="F63" s="188"/>
      <c r="G63" s="188" t="e">
        <f>_xlfn.CONCAT('Consolidado-Eletronorte'!#REF!,"_",ROW('Consolidado-Eletronorte'!#REF!)-ROW('Consolidado-Eletronorte'!$G$18))</f>
        <v>#REF!</v>
      </c>
      <c r="H63" s="279" t="s">
        <v>506</v>
      </c>
      <c r="I63" s="189" t="s">
        <v>1024</v>
      </c>
      <c r="J63" s="190" t="s">
        <v>508</v>
      </c>
      <c r="K63" s="189" t="s">
        <v>1821</v>
      </c>
      <c r="L63" s="189" t="s">
        <v>1828</v>
      </c>
      <c r="M63" s="189" t="s">
        <v>1999</v>
      </c>
      <c r="N63" s="189"/>
      <c r="O63" s="189"/>
      <c r="P63" s="189"/>
      <c r="Q63" s="191" t="s">
        <v>2003</v>
      </c>
      <c r="R63" s="191" t="s">
        <v>2004</v>
      </c>
      <c r="S63" s="189" t="s">
        <v>1885</v>
      </c>
      <c r="T63" s="192">
        <v>0</v>
      </c>
      <c r="U63" s="193">
        <v>0</v>
      </c>
      <c r="V63" s="193">
        <v>0</v>
      </c>
      <c r="W63" s="193">
        <v>0</v>
      </c>
      <c r="X63" s="192">
        <v>0</v>
      </c>
      <c r="Y63" s="192">
        <v>0</v>
      </c>
      <c r="Z63" s="194">
        <v>0</v>
      </c>
      <c r="AA63" s="194">
        <v>0</v>
      </c>
      <c r="AB63" s="194">
        <v>0</v>
      </c>
      <c r="AC63" s="194">
        <v>0</v>
      </c>
      <c r="AD63" s="194">
        <v>0</v>
      </c>
      <c r="AE63" s="194">
        <v>0</v>
      </c>
      <c r="AF63" s="194">
        <f>SUM(Tabela99[[#This Row],[jan/26]:[dez/26]])</f>
        <v>0</v>
      </c>
      <c r="AG63" s="194">
        <v>0</v>
      </c>
      <c r="AH63" s="194">
        <v>0</v>
      </c>
      <c r="AI63" s="194">
        <v>500000</v>
      </c>
      <c r="AJ63" s="194">
        <v>4500000</v>
      </c>
      <c r="AK63" s="194">
        <f>SUM(Tabela99[[#This Row],[2026]:[2030]])</f>
        <v>5000000</v>
      </c>
      <c r="AL63" s="193">
        <v>0</v>
      </c>
      <c r="AM63" s="194">
        <v>0</v>
      </c>
      <c r="AN63" s="194">
        <v>0</v>
      </c>
      <c r="AO63" s="194">
        <v>0</v>
      </c>
      <c r="AP63" s="194">
        <v>0</v>
      </c>
      <c r="AQ63" s="195">
        <f>SUM(Tabela99[[#This Row],[2026-2030]:[2035]])</f>
        <v>5000000</v>
      </c>
      <c r="AS63" s="2" t="s">
        <v>1886</v>
      </c>
      <c r="AT63" s="2">
        <v>2025</v>
      </c>
      <c r="AU63" s="2" t="s">
        <v>2005</v>
      </c>
      <c r="AW63" s="2" t="s">
        <v>1854</v>
      </c>
      <c r="AZ63" s="2" t="s">
        <v>1887</v>
      </c>
    </row>
    <row r="64" spans="1:52" ht="24.75" customHeight="1" x14ac:dyDescent="0.35">
      <c r="A64" s="184"/>
      <c r="B64" s="185" t="e" cm="1">
        <f t="array" ref="B64">AND(ISTEXT('Consolidado-Eletronorte'!#REF!),SUM('Consolidado-Eletronorte'!#REF!)&gt;0)</f>
        <v>#REF!</v>
      </c>
      <c r="C64" s="186" t="str">
        <f t="shared" ca="1" si="0"/>
        <v>Capex Orcamentário_PE2026_2030_red_35_porcentoR3_consulta.xlsx</v>
      </c>
      <c r="D64" s="187" t="str">
        <f t="shared" si="1"/>
        <v>COO</v>
      </c>
      <c r="E64" s="187" t="str">
        <f t="shared" si="2"/>
        <v>Lucas Martins</v>
      </c>
      <c r="F64" s="188"/>
      <c r="G64" s="188" t="e">
        <f>_xlfn.CONCAT('Consolidado-Eletronorte'!#REF!,"_",ROW('Consolidado-Eletronorte'!#REF!)-ROW('Consolidado-Eletronorte'!$G$18))</f>
        <v>#REF!</v>
      </c>
      <c r="H64" s="279" t="s">
        <v>506</v>
      </c>
      <c r="I64" s="189" t="s">
        <v>1024</v>
      </c>
      <c r="J64" s="190" t="s">
        <v>508</v>
      </c>
      <c r="K64" s="189" t="s">
        <v>1821</v>
      </c>
      <c r="L64" s="189" t="s">
        <v>1828</v>
      </c>
      <c r="M64" s="189" t="s">
        <v>2006</v>
      </c>
      <c r="N64" s="189"/>
      <c r="O64" s="189"/>
      <c r="P64" s="189"/>
      <c r="Q64" s="191" t="s">
        <v>2007</v>
      </c>
      <c r="R64" s="191" t="s">
        <v>2008</v>
      </c>
      <c r="S64" s="189" t="s">
        <v>2009</v>
      </c>
      <c r="T64" s="192">
        <v>0</v>
      </c>
      <c r="U64" s="193">
        <v>0</v>
      </c>
      <c r="V64" s="193">
        <v>0</v>
      </c>
      <c r="W64" s="193">
        <v>0</v>
      </c>
      <c r="X64" s="192">
        <v>0</v>
      </c>
      <c r="Y64" s="192">
        <v>0</v>
      </c>
      <c r="Z64" s="194">
        <v>0</v>
      </c>
      <c r="AA64" s="194">
        <v>0</v>
      </c>
      <c r="AB64" s="194">
        <v>0</v>
      </c>
      <c r="AC64" s="194">
        <v>0</v>
      </c>
      <c r="AD64" s="194">
        <v>0</v>
      </c>
      <c r="AE64" s="194">
        <v>0</v>
      </c>
      <c r="AF64" s="194">
        <f>SUM(Tabela99[[#This Row],[jan/26]:[dez/26]])</f>
        <v>0</v>
      </c>
      <c r="AG64" s="194">
        <v>400</v>
      </c>
      <c r="AH64" s="194">
        <v>0</v>
      </c>
      <c r="AI64" s="194">
        <v>0</v>
      </c>
      <c r="AJ64" s="194">
        <v>0</v>
      </c>
      <c r="AK64" s="194">
        <f>SUM(Tabela99[[#This Row],[2026]:[2030]])</f>
        <v>400</v>
      </c>
      <c r="AL64" s="193">
        <v>0</v>
      </c>
      <c r="AM64" s="194">
        <v>0</v>
      </c>
      <c r="AN64" s="194">
        <v>0</v>
      </c>
      <c r="AO64" s="194">
        <v>0</v>
      </c>
      <c r="AP64" s="194">
        <v>0</v>
      </c>
      <c r="AQ64" s="195">
        <f>SUM(Tabela99[[#This Row],[2026-2030]:[2035]])</f>
        <v>400</v>
      </c>
      <c r="AS64" s="2" t="s">
        <v>1886</v>
      </c>
      <c r="AT64" s="2" t="s">
        <v>1772</v>
      </c>
      <c r="AU64" s="2" t="s">
        <v>2010</v>
      </c>
      <c r="AW64" s="2" t="s">
        <v>1854</v>
      </c>
      <c r="AZ64" s="2" t="s">
        <v>2011</v>
      </c>
    </row>
    <row r="65" spans="1:52" ht="24.75" customHeight="1" x14ac:dyDescent="0.35">
      <c r="A65" s="184"/>
      <c r="B65" s="185" t="e" cm="1">
        <f t="array" ref="B65">AND(ISTEXT('Consolidado-Eletronorte'!#REF!),SUM('Consolidado-Eletronorte'!#REF!)&gt;0)</f>
        <v>#REF!</v>
      </c>
      <c r="C65" s="186" t="str">
        <f t="shared" ca="1" si="0"/>
        <v>Capex Orcamentário_PE2026_2030_red_35_porcentoR3_consulta.xlsx</v>
      </c>
      <c r="D65" s="187" t="str">
        <f t="shared" si="1"/>
        <v>COO</v>
      </c>
      <c r="E65" s="187" t="str">
        <f t="shared" si="2"/>
        <v>Lucas Martins</v>
      </c>
      <c r="F65" s="188"/>
      <c r="G65" s="188" t="e">
        <f>_xlfn.CONCAT('Consolidado-Eletronorte'!#REF!,"_",ROW('Consolidado-Eletronorte'!#REF!)-ROW('Consolidado-Eletronorte'!$G$18))</f>
        <v>#REF!</v>
      </c>
      <c r="H65" s="279" t="s">
        <v>506</v>
      </c>
      <c r="I65" s="189" t="s">
        <v>1024</v>
      </c>
      <c r="J65" s="190" t="s">
        <v>508</v>
      </c>
      <c r="K65" s="189" t="s">
        <v>1821</v>
      </c>
      <c r="L65" s="189" t="s">
        <v>1828</v>
      </c>
      <c r="M65" s="189" t="s">
        <v>2006</v>
      </c>
      <c r="N65" s="189"/>
      <c r="O65" s="189"/>
      <c r="P65" s="189"/>
      <c r="Q65" s="191" t="s">
        <v>2012</v>
      </c>
      <c r="R65" s="191" t="s">
        <v>2013</v>
      </c>
      <c r="S65" s="189" t="s">
        <v>2009</v>
      </c>
      <c r="T65" s="192">
        <v>0</v>
      </c>
      <c r="U65" s="193">
        <v>0</v>
      </c>
      <c r="V65" s="193">
        <v>0</v>
      </c>
      <c r="W65" s="193">
        <v>0</v>
      </c>
      <c r="X65" s="192">
        <v>0</v>
      </c>
      <c r="Y65" s="192">
        <v>0</v>
      </c>
      <c r="Z65" s="194">
        <v>0</v>
      </c>
      <c r="AA65" s="194">
        <v>0</v>
      </c>
      <c r="AB65" s="194">
        <v>0</v>
      </c>
      <c r="AC65" s="194">
        <v>0</v>
      </c>
      <c r="AD65" s="194">
        <v>0</v>
      </c>
      <c r="AE65" s="194">
        <v>0</v>
      </c>
      <c r="AF65" s="194">
        <f>SUM(Tabela99[[#This Row],[jan/26]:[dez/26]])</f>
        <v>0</v>
      </c>
      <c r="AG65" s="194">
        <v>0</v>
      </c>
      <c r="AH65" s="194">
        <v>400</v>
      </c>
      <c r="AI65" s="194">
        <v>0</v>
      </c>
      <c r="AJ65" s="194">
        <v>0</v>
      </c>
      <c r="AK65" s="194">
        <f>SUM(Tabela99[[#This Row],[2026]:[2030]])</f>
        <v>400</v>
      </c>
      <c r="AL65" s="193">
        <v>0</v>
      </c>
      <c r="AM65" s="194">
        <v>0</v>
      </c>
      <c r="AN65" s="194">
        <v>0</v>
      </c>
      <c r="AO65" s="194">
        <v>0</v>
      </c>
      <c r="AP65" s="194">
        <v>0</v>
      </c>
      <c r="AQ65" s="195">
        <f>SUM(Tabela99[[#This Row],[2026-2030]:[2035]])</f>
        <v>400</v>
      </c>
      <c r="AS65" s="2" t="s">
        <v>1886</v>
      </c>
      <c r="AT65" s="2" t="s">
        <v>1772</v>
      </c>
      <c r="AU65" s="2" t="s">
        <v>2014</v>
      </c>
      <c r="AW65" s="2" t="s">
        <v>1854</v>
      </c>
      <c r="AZ65" s="2" t="s">
        <v>2011</v>
      </c>
    </row>
    <row r="66" spans="1:52" ht="24.75" customHeight="1" x14ac:dyDescent="0.35">
      <c r="A66" s="184"/>
      <c r="B66" s="185" t="e" cm="1">
        <f t="array" ref="B66">AND(ISTEXT('Consolidado-Eletronorte'!#REF!),SUM('Consolidado-Eletronorte'!#REF!)&gt;0)</f>
        <v>#REF!</v>
      </c>
      <c r="C66" s="186" t="str">
        <f t="shared" ca="1" si="0"/>
        <v>Capex Orcamentário_PE2026_2030_red_35_porcentoR3_consulta.xlsx</v>
      </c>
      <c r="D66" s="187" t="str">
        <f t="shared" si="1"/>
        <v>COO</v>
      </c>
      <c r="E66" s="187" t="str">
        <f t="shared" si="2"/>
        <v>Lucas Martins</v>
      </c>
      <c r="F66" s="188"/>
      <c r="G66" s="188" t="e">
        <f>_xlfn.CONCAT('Consolidado-Eletronorte'!#REF!,"_",ROW('Consolidado-Eletronorte'!#REF!)-ROW('Consolidado-Eletronorte'!$G$18))</f>
        <v>#REF!</v>
      </c>
      <c r="H66" s="279" t="s">
        <v>506</v>
      </c>
      <c r="I66" s="189" t="s">
        <v>1024</v>
      </c>
      <c r="J66" s="190" t="s">
        <v>508</v>
      </c>
      <c r="K66" s="189" t="s">
        <v>1821</v>
      </c>
      <c r="L66" s="189" t="s">
        <v>1828</v>
      </c>
      <c r="M66" s="189" t="s">
        <v>2006</v>
      </c>
      <c r="N66" s="189"/>
      <c r="O66" s="189"/>
      <c r="P66" s="189"/>
      <c r="Q66" s="191" t="s">
        <v>2015</v>
      </c>
      <c r="R66" s="191" t="s">
        <v>2013</v>
      </c>
      <c r="S66" s="189" t="s">
        <v>2009</v>
      </c>
      <c r="T66" s="192">
        <v>0</v>
      </c>
      <c r="U66" s="193">
        <v>0</v>
      </c>
      <c r="V66" s="193">
        <v>0</v>
      </c>
      <c r="W66" s="193">
        <v>0</v>
      </c>
      <c r="X66" s="192">
        <v>0</v>
      </c>
      <c r="Y66" s="192">
        <v>0</v>
      </c>
      <c r="Z66" s="194">
        <v>0</v>
      </c>
      <c r="AA66" s="194">
        <v>0</v>
      </c>
      <c r="AB66" s="194">
        <v>0</v>
      </c>
      <c r="AC66" s="194">
        <v>0</v>
      </c>
      <c r="AD66" s="194">
        <v>0</v>
      </c>
      <c r="AE66" s="194">
        <v>0</v>
      </c>
      <c r="AF66" s="194">
        <f>SUM(Tabela99[[#This Row],[jan/26]:[dez/26]])</f>
        <v>0</v>
      </c>
      <c r="AG66" s="194">
        <v>400</v>
      </c>
      <c r="AH66" s="194">
        <v>0</v>
      </c>
      <c r="AI66" s="194">
        <v>0</v>
      </c>
      <c r="AJ66" s="194">
        <v>0</v>
      </c>
      <c r="AK66" s="194">
        <f>SUM(Tabela99[[#This Row],[2026]:[2030]])</f>
        <v>400</v>
      </c>
      <c r="AL66" s="193">
        <v>0</v>
      </c>
      <c r="AM66" s="194">
        <v>0</v>
      </c>
      <c r="AN66" s="194">
        <v>0</v>
      </c>
      <c r="AO66" s="194">
        <v>0</v>
      </c>
      <c r="AP66" s="194">
        <v>0</v>
      </c>
      <c r="AQ66" s="195">
        <f>SUM(Tabela99[[#This Row],[2026-2030]:[2035]])</f>
        <v>400</v>
      </c>
      <c r="AS66" s="2" t="s">
        <v>1886</v>
      </c>
      <c r="AT66" s="2" t="s">
        <v>1772</v>
      </c>
      <c r="AU66" s="2" t="s">
        <v>2016</v>
      </c>
      <c r="AW66" s="2" t="s">
        <v>1854</v>
      </c>
      <c r="AZ66" s="2" t="s">
        <v>2011</v>
      </c>
    </row>
    <row r="67" spans="1:52" ht="24.75" customHeight="1" x14ac:dyDescent="0.35">
      <c r="A67" s="184"/>
      <c r="B67" s="185" t="e" cm="1">
        <f t="array" ref="B67">AND(ISTEXT('Consolidado-Eletronorte'!#REF!),SUM('Consolidado-Eletronorte'!#REF!)&gt;0)</f>
        <v>#REF!</v>
      </c>
      <c r="C67" s="186" t="str">
        <f t="shared" ca="1" si="0"/>
        <v>Capex Orcamentário_PE2026_2030_red_35_porcentoR3_consulta.xlsx</v>
      </c>
      <c r="D67" s="187" t="str">
        <f t="shared" si="1"/>
        <v>COO</v>
      </c>
      <c r="E67" s="187" t="str">
        <f t="shared" si="2"/>
        <v>Lucas Martins</v>
      </c>
      <c r="F67" s="188"/>
      <c r="G67" s="188" t="e">
        <f>_xlfn.CONCAT('Consolidado-Eletronorte'!#REF!,"_",ROW('Consolidado-Eletronorte'!#REF!)-ROW('Consolidado-Eletronorte'!$G$18))</f>
        <v>#REF!</v>
      </c>
      <c r="H67" s="279" t="s">
        <v>506</v>
      </c>
      <c r="I67" s="189" t="s">
        <v>1024</v>
      </c>
      <c r="J67" s="190" t="s">
        <v>508</v>
      </c>
      <c r="K67" s="189" t="s">
        <v>1821</v>
      </c>
      <c r="L67" s="189" t="s">
        <v>1828</v>
      </c>
      <c r="M67" s="189" t="s">
        <v>2006</v>
      </c>
      <c r="N67" s="189"/>
      <c r="O67" s="189"/>
      <c r="P67" s="189"/>
      <c r="Q67" s="191" t="s">
        <v>2017</v>
      </c>
      <c r="R67" s="191" t="s">
        <v>2013</v>
      </c>
      <c r="S67" s="189" t="s">
        <v>2009</v>
      </c>
      <c r="T67" s="192">
        <v>0</v>
      </c>
      <c r="U67" s="193">
        <v>0</v>
      </c>
      <c r="V67" s="193">
        <v>0</v>
      </c>
      <c r="W67" s="193">
        <v>0</v>
      </c>
      <c r="X67" s="192">
        <v>0</v>
      </c>
      <c r="Y67" s="192">
        <v>0</v>
      </c>
      <c r="Z67" s="194">
        <v>0</v>
      </c>
      <c r="AA67" s="194">
        <v>0</v>
      </c>
      <c r="AB67" s="194">
        <v>0</v>
      </c>
      <c r="AC67" s="194">
        <v>0</v>
      </c>
      <c r="AD67" s="194">
        <v>0</v>
      </c>
      <c r="AE67" s="194">
        <v>0</v>
      </c>
      <c r="AF67" s="194">
        <f>SUM(Tabela99[[#This Row],[jan/26]:[dez/26]])</f>
        <v>0</v>
      </c>
      <c r="AG67" s="194">
        <v>0</v>
      </c>
      <c r="AH67" s="194">
        <v>400</v>
      </c>
      <c r="AI67" s="194">
        <v>0</v>
      </c>
      <c r="AJ67" s="194">
        <v>0</v>
      </c>
      <c r="AK67" s="194">
        <f>SUM(Tabela99[[#This Row],[2026]:[2030]])</f>
        <v>400</v>
      </c>
      <c r="AL67" s="193">
        <v>0</v>
      </c>
      <c r="AM67" s="194">
        <v>0</v>
      </c>
      <c r="AN67" s="194">
        <v>0</v>
      </c>
      <c r="AO67" s="194">
        <v>0</v>
      </c>
      <c r="AP67" s="194">
        <v>0</v>
      </c>
      <c r="AQ67" s="195">
        <f>SUM(Tabela99[[#This Row],[2026-2030]:[2035]])</f>
        <v>400</v>
      </c>
      <c r="AS67" s="2" t="s">
        <v>1886</v>
      </c>
      <c r="AT67" s="2" t="s">
        <v>1772</v>
      </c>
      <c r="AU67" s="2" t="s">
        <v>2018</v>
      </c>
      <c r="AW67" s="2" t="s">
        <v>1854</v>
      </c>
      <c r="AZ67" s="2" t="s">
        <v>2011</v>
      </c>
    </row>
    <row r="68" spans="1:52" ht="24.75" customHeight="1" x14ac:dyDescent="0.35">
      <c r="A68" s="184"/>
      <c r="B68" s="185" t="e" cm="1">
        <f t="array" ref="B68">AND(ISTEXT('Consolidado-Eletronorte'!#REF!),SUM('Consolidado-Eletronorte'!#REF!)&gt;0)</f>
        <v>#REF!</v>
      </c>
      <c r="C68" s="186" t="str">
        <f t="shared" ca="1" si="0"/>
        <v>Capex Orcamentário_PE2026_2030_red_35_porcentoR3_consulta.xlsx</v>
      </c>
      <c r="D68" s="187" t="str">
        <f t="shared" si="1"/>
        <v>COO</v>
      </c>
      <c r="E68" s="187" t="str">
        <f t="shared" si="2"/>
        <v>Lucas Martins</v>
      </c>
      <c r="F68" s="188"/>
      <c r="G68" s="188" t="e">
        <f>_xlfn.CONCAT('Consolidado-Eletronorte'!#REF!,"_",ROW('Consolidado-Eletronorte'!#REF!)-ROW('Consolidado-Eletronorte'!$G$18))</f>
        <v>#REF!</v>
      </c>
      <c r="H68" s="279" t="s">
        <v>506</v>
      </c>
      <c r="I68" s="189" t="s">
        <v>1024</v>
      </c>
      <c r="J68" s="190" t="s">
        <v>508</v>
      </c>
      <c r="K68" s="189" t="s">
        <v>1741</v>
      </c>
      <c r="L68" s="189" t="s">
        <v>2019</v>
      </c>
      <c r="M68" s="189" t="s">
        <v>2020</v>
      </c>
      <c r="N68" s="189"/>
      <c r="O68" s="189"/>
      <c r="P68" s="189"/>
      <c r="Q68" s="191" t="s">
        <v>2021</v>
      </c>
      <c r="R68" s="191" t="s">
        <v>2022</v>
      </c>
      <c r="S68" s="189" t="s">
        <v>1852</v>
      </c>
      <c r="T68" s="192">
        <v>0</v>
      </c>
      <c r="U68" s="193">
        <v>0</v>
      </c>
      <c r="V68" s="193">
        <v>0</v>
      </c>
      <c r="W68" s="193">
        <v>1500000</v>
      </c>
      <c r="X68" s="192">
        <v>2000000</v>
      </c>
      <c r="Y68" s="192">
        <v>0</v>
      </c>
      <c r="Z68" s="194">
        <v>0</v>
      </c>
      <c r="AA68" s="194">
        <v>0</v>
      </c>
      <c r="AB68" s="194">
        <v>2000000</v>
      </c>
      <c r="AC68" s="194">
        <v>0</v>
      </c>
      <c r="AD68" s="194">
        <v>0</v>
      </c>
      <c r="AE68" s="194">
        <v>0</v>
      </c>
      <c r="AF68" s="194">
        <f>SUM(Tabela99[[#This Row],[jan/26]:[dez/26]])</f>
        <v>5500000</v>
      </c>
      <c r="AG68" s="194">
        <v>0</v>
      </c>
      <c r="AH68" s="194">
        <v>0</v>
      </c>
      <c r="AI68" s="194">
        <v>0</v>
      </c>
      <c r="AJ68" s="194">
        <v>0</v>
      </c>
      <c r="AK68" s="194">
        <f>SUM(Tabela99[[#This Row],[2026]:[2030]])</f>
        <v>5500000</v>
      </c>
      <c r="AL68" s="193">
        <v>0</v>
      </c>
      <c r="AM68" s="194">
        <v>0</v>
      </c>
      <c r="AN68" s="194">
        <v>0</v>
      </c>
      <c r="AO68" s="194">
        <v>0</v>
      </c>
      <c r="AP68" s="194">
        <v>0</v>
      </c>
      <c r="AQ68" s="195">
        <f>SUM(Tabela99[[#This Row],[2026-2030]:[2035]])</f>
        <v>5500000</v>
      </c>
      <c r="AS68" s="2" t="s">
        <v>1853</v>
      </c>
      <c r="AT68" s="2">
        <v>2025</v>
      </c>
      <c r="AU68" s="2" t="s">
        <v>2023</v>
      </c>
      <c r="AW68" s="2" t="s">
        <v>1854</v>
      </c>
      <c r="AZ68" s="2" t="s">
        <v>1855</v>
      </c>
    </row>
    <row r="69" spans="1:52" ht="24.75" customHeight="1" x14ac:dyDescent="0.35">
      <c r="A69" s="184"/>
      <c r="B69" s="185" t="e" cm="1">
        <f t="array" ref="B69">AND(ISTEXT('Consolidado-Eletronorte'!#REF!),SUM('Consolidado-Eletronorte'!#REF!)&gt;0)</f>
        <v>#REF!</v>
      </c>
      <c r="C69" s="186" t="str">
        <f t="shared" ca="1" si="0"/>
        <v>Capex Orcamentário_PE2026_2030_red_35_porcentoR3_consulta.xlsx</v>
      </c>
      <c r="D69" s="187" t="str">
        <f t="shared" si="1"/>
        <v>COO</v>
      </c>
      <c r="E69" s="187" t="str">
        <f t="shared" si="2"/>
        <v>Lucas Martins</v>
      </c>
      <c r="F69" s="188"/>
      <c r="G69" s="188" t="e">
        <f>_xlfn.CONCAT('Consolidado-Eletronorte'!#REF!,"_",ROW('Consolidado-Eletronorte'!#REF!)-ROW('Consolidado-Eletronorte'!$G$18))</f>
        <v>#REF!</v>
      </c>
      <c r="H69" s="279" t="s">
        <v>506</v>
      </c>
      <c r="I69" s="189" t="s">
        <v>1024</v>
      </c>
      <c r="J69" s="190" t="s">
        <v>508</v>
      </c>
      <c r="K69" s="189" t="s">
        <v>1741</v>
      </c>
      <c r="L69" s="189" t="s">
        <v>2019</v>
      </c>
      <c r="M69" s="189" t="s">
        <v>2020</v>
      </c>
      <c r="N69" s="189"/>
      <c r="O69" s="189"/>
      <c r="P69" s="189"/>
      <c r="Q69" s="191" t="s">
        <v>2024</v>
      </c>
      <c r="R69" s="191" t="s">
        <v>2025</v>
      </c>
      <c r="S69" s="189" t="s">
        <v>1852</v>
      </c>
      <c r="T69" s="192">
        <v>150000</v>
      </c>
      <c r="U69" s="193">
        <v>150000</v>
      </c>
      <c r="V69" s="193">
        <v>250000</v>
      </c>
      <c r="W69" s="193">
        <v>300000</v>
      </c>
      <c r="X69" s="192">
        <v>350000</v>
      </c>
      <c r="Y69" s="192">
        <v>350000</v>
      </c>
      <c r="Z69" s="194">
        <v>400000</v>
      </c>
      <c r="AA69" s="194">
        <v>400000</v>
      </c>
      <c r="AB69" s="194">
        <v>400000</v>
      </c>
      <c r="AC69" s="194">
        <v>400000</v>
      </c>
      <c r="AD69" s="194">
        <v>400000</v>
      </c>
      <c r="AE69" s="194">
        <v>400000</v>
      </c>
      <c r="AF69" s="194">
        <f>SUM(Tabela99[[#This Row],[jan/26]:[dez/26]])</f>
        <v>3950000</v>
      </c>
      <c r="AG69" s="194">
        <v>0</v>
      </c>
      <c r="AH69" s="194">
        <v>0</v>
      </c>
      <c r="AI69" s="194">
        <v>0</v>
      </c>
      <c r="AJ69" s="194">
        <v>0</v>
      </c>
      <c r="AK69" s="194">
        <f>SUM(Tabela99[[#This Row],[2026]:[2030]])</f>
        <v>3950000</v>
      </c>
      <c r="AL69" s="193">
        <v>0</v>
      </c>
      <c r="AM69" s="194">
        <v>0</v>
      </c>
      <c r="AN69" s="194">
        <v>0</v>
      </c>
      <c r="AO69" s="194">
        <v>0</v>
      </c>
      <c r="AP69" s="194">
        <v>0</v>
      </c>
      <c r="AQ69" s="195">
        <f>SUM(Tabela99[[#This Row],[2026-2030]:[2035]])</f>
        <v>3950000</v>
      </c>
      <c r="AS69" s="2" t="s">
        <v>1853</v>
      </c>
      <c r="AT69" s="2">
        <v>2025</v>
      </c>
      <c r="AU69" s="2" t="s">
        <v>2026</v>
      </c>
      <c r="AW69" s="2" t="s">
        <v>1049</v>
      </c>
      <c r="AZ69" s="2" t="s">
        <v>1855</v>
      </c>
    </row>
    <row r="70" spans="1:52" ht="24.75" customHeight="1" x14ac:dyDescent="0.35">
      <c r="A70" s="184"/>
      <c r="B70" s="185" t="e" cm="1">
        <f t="array" ref="B70">AND(ISTEXT('Consolidado-Eletronorte'!#REF!),SUM('Consolidado-Eletronorte'!#REF!)&gt;0)</f>
        <v>#REF!</v>
      </c>
      <c r="C70" s="186" t="str">
        <f t="shared" ca="1" si="0"/>
        <v>Capex Orcamentário_PE2026_2030_red_35_porcentoR3_consulta.xlsx</v>
      </c>
      <c r="D70" s="187" t="str">
        <f t="shared" si="1"/>
        <v>COO</v>
      </c>
      <c r="E70" s="187" t="str">
        <f t="shared" si="2"/>
        <v>Lucas Martins</v>
      </c>
      <c r="F70" s="188"/>
      <c r="G70" s="188" t="e">
        <f>_xlfn.CONCAT('Consolidado-Eletronorte'!#REF!,"_",ROW('Consolidado-Eletronorte'!#REF!)-ROW('Consolidado-Eletronorte'!$G$18))</f>
        <v>#REF!</v>
      </c>
      <c r="H70" s="279" t="s">
        <v>506</v>
      </c>
      <c r="I70" s="189" t="s">
        <v>1024</v>
      </c>
      <c r="J70" s="190" t="s">
        <v>508</v>
      </c>
      <c r="K70" s="189" t="s">
        <v>1848</v>
      </c>
      <c r="L70" s="189" t="s">
        <v>1828</v>
      </c>
      <c r="M70" s="189" t="s">
        <v>1849</v>
      </c>
      <c r="N70" s="189"/>
      <c r="O70" s="189"/>
      <c r="P70" s="189"/>
      <c r="Q70" s="191" t="s">
        <v>2027</v>
      </c>
      <c r="R70" s="191" t="s">
        <v>2028</v>
      </c>
      <c r="S70" s="189" t="s">
        <v>1852</v>
      </c>
      <c r="T70" s="192">
        <v>0</v>
      </c>
      <c r="U70" s="193">
        <v>0</v>
      </c>
      <c r="V70" s="193">
        <v>300000</v>
      </c>
      <c r="W70" s="193">
        <v>300000</v>
      </c>
      <c r="X70" s="192">
        <v>400000</v>
      </c>
      <c r="Y70" s="192">
        <v>0</v>
      </c>
      <c r="Z70" s="194">
        <v>0</v>
      </c>
      <c r="AA70" s="194">
        <v>0</v>
      </c>
      <c r="AB70" s="194">
        <v>0</v>
      </c>
      <c r="AC70" s="194">
        <v>0</v>
      </c>
      <c r="AD70" s="194">
        <v>0</v>
      </c>
      <c r="AE70" s="194">
        <v>0</v>
      </c>
      <c r="AF70" s="194">
        <f>SUM(Tabela99[[#This Row],[jan/26]:[dez/26]])</f>
        <v>1000000</v>
      </c>
      <c r="AG70" s="194">
        <v>0</v>
      </c>
      <c r="AH70" s="194">
        <v>0</v>
      </c>
      <c r="AI70" s="194">
        <v>0</v>
      </c>
      <c r="AJ70" s="194">
        <v>0</v>
      </c>
      <c r="AK70" s="194">
        <f>SUM(Tabela99[[#This Row],[2026]:[2030]])</f>
        <v>1000000</v>
      </c>
      <c r="AL70" s="193">
        <v>0</v>
      </c>
      <c r="AM70" s="194">
        <v>0</v>
      </c>
      <c r="AN70" s="194">
        <v>0</v>
      </c>
      <c r="AO70" s="194">
        <v>0</v>
      </c>
      <c r="AP70" s="194">
        <v>0</v>
      </c>
      <c r="AQ70" s="195">
        <f>SUM(Tabela99[[#This Row],[2026-2030]:[2035]])</f>
        <v>1000000</v>
      </c>
      <c r="AS70" s="2" t="s">
        <v>1853</v>
      </c>
      <c r="AT70" s="2" t="s">
        <v>1772</v>
      </c>
      <c r="AU70" s="2" t="s">
        <v>2029</v>
      </c>
      <c r="AW70" s="2" t="s">
        <v>1854</v>
      </c>
      <c r="AZ70" s="2" t="s">
        <v>1855</v>
      </c>
    </row>
    <row r="71" spans="1:52" ht="24.75" customHeight="1" x14ac:dyDescent="0.35">
      <c r="A71" s="184"/>
      <c r="B71" s="185" t="e" cm="1">
        <f t="array" ref="B71">AND(ISTEXT('Consolidado-Eletronorte'!#REF!),SUM('Consolidado-Eletronorte'!#REF!)&gt;0)</f>
        <v>#REF!</v>
      </c>
      <c r="C71" s="186" t="str">
        <f t="shared" ca="1" si="0"/>
        <v>Capex Orcamentário_PE2026_2030_red_35_porcentoR3_consulta.xlsx</v>
      </c>
      <c r="D71" s="187" t="str">
        <f t="shared" si="1"/>
        <v>COO</v>
      </c>
      <c r="E71" s="187" t="str">
        <f t="shared" si="2"/>
        <v>Lucas Martins</v>
      </c>
      <c r="F71" s="188"/>
      <c r="G71" s="188" t="e">
        <f>_xlfn.CONCAT('Consolidado-Eletronorte'!#REF!,"_",ROW('Consolidado-Eletronorte'!#REF!)-ROW('Consolidado-Eletronorte'!$G$18))</f>
        <v>#REF!</v>
      </c>
      <c r="H71" s="279" t="s">
        <v>506</v>
      </c>
      <c r="I71" s="189" t="s">
        <v>1024</v>
      </c>
      <c r="J71" s="190" t="s">
        <v>508</v>
      </c>
      <c r="K71" s="189" t="s">
        <v>1821</v>
      </c>
      <c r="L71" s="189" t="s">
        <v>1828</v>
      </c>
      <c r="M71" s="189" t="s">
        <v>2030</v>
      </c>
      <c r="N71" s="189"/>
      <c r="O71" s="189"/>
      <c r="P71" s="189"/>
      <c r="Q71" s="191" t="s">
        <v>2031</v>
      </c>
      <c r="R71" s="191" t="s">
        <v>2032</v>
      </c>
      <c r="S71" s="189" t="s">
        <v>2033</v>
      </c>
      <c r="T71" s="192">
        <v>0</v>
      </c>
      <c r="U71" s="193">
        <v>0</v>
      </c>
      <c r="V71" s="193">
        <v>0</v>
      </c>
      <c r="W71" s="193">
        <v>0</v>
      </c>
      <c r="X71" s="192">
        <v>600000</v>
      </c>
      <c r="Y71" s="192">
        <v>800000</v>
      </c>
      <c r="Z71" s="194">
        <v>800000</v>
      </c>
      <c r="AA71" s="194">
        <v>800000</v>
      </c>
      <c r="AB71" s="194">
        <v>0</v>
      </c>
      <c r="AC71" s="194">
        <v>0</v>
      </c>
      <c r="AD71" s="194">
        <v>0</v>
      </c>
      <c r="AE71" s="194">
        <v>0</v>
      </c>
      <c r="AF71" s="194">
        <f>SUM(Tabela99[[#This Row],[jan/26]:[dez/26]])</f>
        <v>3000000</v>
      </c>
      <c r="AG71" s="194">
        <v>0</v>
      </c>
      <c r="AH71" s="194">
        <v>0</v>
      </c>
      <c r="AI71" s="194">
        <v>0</v>
      </c>
      <c r="AJ71" s="194">
        <v>0</v>
      </c>
      <c r="AK71" s="194">
        <f>SUM(Tabela99[[#This Row],[2026]:[2030]])</f>
        <v>3000000</v>
      </c>
      <c r="AL71" s="193">
        <v>0</v>
      </c>
      <c r="AM71" s="194">
        <v>0</v>
      </c>
      <c r="AN71" s="194">
        <v>0</v>
      </c>
      <c r="AO71" s="194">
        <v>0</v>
      </c>
      <c r="AP71" s="194">
        <v>0</v>
      </c>
      <c r="AQ71" s="195">
        <f>SUM(Tabela99[[#This Row],[2026-2030]:[2035]])</f>
        <v>3000000</v>
      </c>
      <c r="AS71" s="2" t="s">
        <v>2034</v>
      </c>
      <c r="AT71" s="2">
        <v>2025</v>
      </c>
      <c r="AU71" s="2" t="s">
        <v>2035</v>
      </c>
      <c r="AW71" s="2" t="s">
        <v>1854</v>
      </c>
      <c r="AZ71" s="2" t="s">
        <v>2036</v>
      </c>
    </row>
    <row r="72" spans="1:52" ht="24.75" customHeight="1" x14ac:dyDescent="0.35">
      <c r="A72" s="184"/>
      <c r="B72" s="185" t="e" cm="1">
        <f t="array" ref="B72">AND(ISTEXT('Consolidado-Eletronorte'!#REF!),SUM('Consolidado-Eletronorte'!#REF!)&gt;0)</f>
        <v>#REF!</v>
      </c>
      <c r="C72" s="186" t="str">
        <f t="shared" ca="1" si="0"/>
        <v>Capex Orcamentário_PE2026_2030_red_35_porcentoR3_consulta.xlsx</v>
      </c>
      <c r="D72" s="187" t="str">
        <f t="shared" si="1"/>
        <v>COO</v>
      </c>
      <c r="E72" s="187" t="str">
        <f t="shared" si="2"/>
        <v>Lucas Martins</v>
      </c>
      <c r="F72" s="188"/>
      <c r="G72" s="188" t="e">
        <f>_xlfn.CONCAT('Consolidado-Eletronorte'!#REF!,"_",ROW('Consolidado-Eletronorte'!#REF!)-ROW('Consolidado-Eletronorte'!$G$18))</f>
        <v>#REF!</v>
      </c>
      <c r="H72" s="288" t="s">
        <v>506</v>
      </c>
      <c r="I72" s="189" t="s">
        <v>1024</v>
      </c>
      <c r="J72" s="190" t="s">
        <v>508</v>
      </c>
      <c r="K72" s="189" t="s">
        <v>1821</v>
      </c>
      <c r="L72" s="189" t="s">
        <v>2019</v>
      </c>
      <c r="M72" s="189" t="s">
        <v>2037</v>
      </c>
      <c r="N72" s="189"/>
      <c r="O72" s="189"/>
      <c r="P72" s="189"/>
      <c r="Q72" s="191" t="s">
        <v>2038</v>
      </c>
      <c r="R72" s="191" t="s">
        <v>2039</v>
      </c>
      <c r="S72" s="189" t="s">
        <v>2040</v>
      </c>
      <c r="T72" s="192">
        <v>0</v>
      </c>
      <c r="U72" s="193">
        <v>0</v>
      </c>
      <c r="V72" s="193">
        <v>0</v>
      </c>
      <c r="W72" s="193">
        <v>0</v>
      </c>
      <c r="X72" s="192">
        <v>0</v>
      </c>
      <c r="Y72" s="192">
        <v>0</v>
      </c>
      <c r="Z72" s="194">
        <v>0</v>
      </c>
      <c r="AA72" s="194">
        <v>0</v>
      </c>
      <c r="AB72" s="194">
        <v>0</v>
      </c>
      <c r="AC72" s="194">
        <v>0</v>
      </c>
      <c r="AD72" s="194">
        <v>0</v>
      </c>
      <c r="AE72" s="194">
        <v>0</v>
      </c>
      <c r="AF72" s="194">
        <f>SUM(Tabela99[[#This Row],[jan/26]:[dez/26]])</f>
        <v>0</v>
      </c>
      <c r="AG72" s="194">
        <v>3500000</v>
      </c>
      <c r="AH72" s="194">
        <v>0</v>
      </c>
      <c r="AI72" s="194">
        <v>0</v>
      </c>
      <c r="AJ72" s="194">
        <v>0</v>
      </c>
      <c r="AK72" s="194">
        <f>SUM(Tabela99[[#This Row],[2026]:[2030]])</f>
        <v>3500000</v>
      </c>
      <c r="AL72" s="193">
        <v>0</v>
      </c>
      <c r="AM72" s="194">
        <v>0</v>
      </c>
      <c r="AN72" s="194">
        <v>0</v>
      </c>
      <c r="AO72" s="194">
        <v>0</v>
      </c>
      <c r="AP72" s="194">
        <v>0</v>
      </c>
      <c r="AQ72" s="195">
        <f>SUM(Tabela99[[#This Row],[2026-2030]:[2035]])</f>
        <v>3500000</v>
      </c>
      <c r="AS72" s="2" t="s">
        <v>1833</v>
      </c>
      <c r="AT72" s="2">
        <v>2025</v>
      </c>
      <c r="AU72" s="2" t="s">
        <v>2041</v>
      </c>
      <c r="AW72" s="2" t="s">
        <v>1854</v>
      </c>
      <c r="AZ72" s="2" t="s">
        <v>2042</v>
      </c>
    </row>
    <row r="73" spans="1:52" ht="24.75" customHeight="1" x14ac:dyDescent="0.35">
      <c r="A73" s="280"/>
      <c r="B73" s="185" t="e" cm="1">
        <f t="array" ref="B73">AND(ISTEXT('Consolidado-Eletronorte'!#REF!),SUM('Consolidado-Eletronorte'!#REF!)&gt;0)</f>
        <v>#REF!</v>
      </c>
      <c r="C73" s="281" t="str">
        <f t="shared" ref="C73:C136" ca="1" si="3">$J$3</f>
        <v>Capex Orcamentário_PE2026_2030_red_35_porcentoR3_consulta.xlsx</v>
      </c>
      <c r="D73" s="282" t="str">
        <f t="shared" ref="D73:D136" si="4">$H$3</f>
        <v>COO</v>
      </c>
      <c r="E73" s="282" t="str">
        <f t="shared" ref="E73:E136" si="5">$H$4</f>
        <v>Lucas Martins</v>
      </c>
      <c r="F73" s="283"/>
      <c r="G73" s="283" t="e">
        <f>_xlfn.CONCAT('Consolidado-Eletronorte'!#REF!,"_",ROW('Consolidado-Eletronorte'!#REF!)-ROW('Consolidado-Eletronorte'!$G$18))</f>
        <v>#REF!</v>
      </c>
      <c r="H73" s="284" t="s">
        <v>506</v>
      </c>
      <c r="I73" s="285" t="s">
        <v>1024</v>
      </c>
      <c r="J73" s="286" t="s">
        <v>508</v>
      </c>
      <c r="K73" s="285" t="s">
        <v>1821</v>
      </c>
      <c r="L73" s="285" t="s">
        <v>1828</v>
      </c>
      <c r="M73" s="285" t="s">
        <v>2006</v>
      </c>
      <c r="N73" s="285"/>
      <c r="O73" s="285"/>
      <c r="P73" s="285"/>
      <c r="Q73" s="287" t="s">
        <v>2043</v>
      </c>
      <c r="R73" s="287" t="s">
        <v>2044</v>
      </c>
      <c r="S73" s="285" t="s">
        <v>2009</v>
      </c>
      <c r="T73" s="299">
        <v>0</v>
      </c>
      <c r="U73" s="300">
        <v>0</v>
      </c>
      <c r="V73" s="300">
        <v>0</v>
      </c>
      <c r="W73" s="300">
        <v>0</v>
      </c>
      <c r="X73" s="299">
        <v>0</v>
      </c>
      <c r="Y73" s="299">
        <v>0</v>
      </c>
      <c r="Z73" s="196">
        <v>0</v>
      </c>
      <c r="AA73" s="196">
        <v>0</v>
      </c>
      <c r="AB73" s="196">
        <v>0</v>
      </c>
      <c r="AC73" s="196">
        <v>0</v>
      </c>
      <c r="AD73" s="196">
        <v>0</v>
      </c>
      <c r="AE73" s="196">
        <v>0</v>
      </c>
      <c r="AF73" s="196">
        <f>SUM(Tabela99[[#This Row],[jan/26]:[dez/26]])</f>
        <v>0</v>
      </c>
      <c r="AG73" s="196">
        <v>3000000</v>
      </c>
      <c r="AH73" s="196">
        <v>0</v>
      </c>
      <c r="AI73" s="196">
        <v>0</v>
      </c>
      <c r="AJ73" s="196">
        <v>0</v>
      </c>
      <c r="AK73" s="196">
        <f>SUM(Tabela99[[#This Row],[2026]:[2030]])</f>
        <v>3000000</v>
      </c>
      <c r="AL73" s="300">
        <v>0</v>
      </c>
      <c r="AM73" s="196">
        <v>0</v>
      </c>
      <c r="AN73" s="196">
        <v>0</v>
      </c>
      <c r="AO73" s="196">
        <v>0</v>
      </c>
      <c r="AP73" s="196">
        <v>0</v>
      </c>
      <c r="AQ73" s="301">
        <f>SUM(Tabela99[[#This Row],[2026-2030]:[2035]])</f>
        <v>3000000</v>
      </c>
      <c r="AS73" s="2" t="s">
        <v>1886</v>
      </c>
      <c r="AT73" s="2" t="s">
        <v>1772</v>
      </c>
      <c r="AU73" s="2" t="s">
        <v>2041</v>
      </c>
      <c r="AW73" s="2" t="s">
        <v>1854</v>
      </c>
      <c r="AZ73" s="2" t="s">
        <v>2011</v>
      </c>
    </row>
    <row r="74" spans="1:52" ht="24.75" customHeight="1" x14ac:dyDescent="0.35">
      <c r="A74" s="184"/>
      <c r="B74" s="185" t="e" cm="1">
        <f t="array" ref="B74">AND(ISTEXT('Consolidado-Eletronorte'!#REF!),SUM('Consolidado-Eletronorte'!#REF!)&gt;0)</f>
        <v>#REF!</v>
      </c>
      <c r="C74" s="186" t="str">
        <f t="shared" ca="1" si="3"/>
        <v>Capex Orcamentário_PE2026_2030_red_35_porcentoR3_consulta.xlsx</v>
      </c>
      <c r="D74" s="187" t="str">
        <f t="shared" si="4"/>
        <v>COO</v>
      </c>
      <c r="E74" s="187" t="str">
        <f t="shared" si="5"/>
        <v>Lucas Martins</v>
      </c>
      <c r="F74" s="188"/>
      <c r="G74" s="188" t="e">
        <f>_xlfn.CONCAT('Consolidado-Eletronorte'!#REF!,"_",ROW('Consolidado-Eletronorte'!#REF!)-ROW('Consolidado-Eletronorte'!$G$18))</f>
        <v>#REF!</v>
      </c>
      <c r="H74" s="288" t="s">
        <v>506</v>
      </c>
      <c r="I74" s="189" t="s">
        <v>1024</v>
      </c>
      <c r="J74" s="190" t="s">
        <v>508</v>
      </c>
      <c r="K74" s="189" t="s">
        <v>1821</v>
      </c>
      <c r="L74" s="189" t="s">
        <v>1828</v>
      </c>
      <c r="M74" s="189" t="s">
        <v>1888</v>
      </c>
      <c r="N74" s="189"/>
      <c r="O74" s="189"/>
      <c r="P74" s="189"/>
      <c r="Q74" s="191" t="s">
        <v>2045</v>
      </c>
      <c r="R74" s="191" t="s">
        <v>2046</v>
      </c>
      <c r="S74" s="189" t="s">
        <v>1832</v>
      </c>
      <c r="T74" s="192">
        <v>0</v>
      </c>
      <c r="U74" s="193">
        <v>0</v>
      </c>
      <c r="V74" s="193">
        <v>0</v>
      </c>
      <c r="W74" s="193">
        <v>0</v>
      </c>
      <c r="X74" s="192">
        <v>0</v>
      </c>
      <c r="Y74" s="192">
        <v>0</v>
      </c>
      <c r="Z74" s="194">
        <v>0</v>
      </c>
      <c r="AA74" s="194">
        <v>0</v>
      </c>
      <c r="AB74" s="194">
        <v>0</v>
      </c>
      <c r="AC74" s="194">
        <v>0</v>
      </c>
      <c r="AD74" s="194">
        <v>0</v>
      </c>
      <c r="AE74" s="194">
        <v>0</v>
      </c>
      <c r="AF74" s="194">
        <f>SUM(Tabela99[[#This Row],[jan/26]:[dez/26]])</f>
        <v>0</v>
      </c>
      <c r="AG74" s="194">
        <v>3000000</v>
      </c>
      <c r="AH74" s="194">
        <v>0</v>
      </c>
      <c r="AI74" s="194">
        <v>0</v>
      </c>
      <c r="AJ74" s="194">
        <v>0</v>
      </c>
      <c r="AK74" s="194">
        <f>SUM(Tabela99[[#This Row],[2026]:[2030]])</f>
        <v>3000000</v>
      </c>
      <c r="AL74" s="193">
        <v>0</v>
      </c>
      <c r="AM74" s="194">
        <v>0</v>
      </c>
      <c r="AN74" s="194">
        <v>0</v>
      </c>
      <c r="AO74" s="194">
        <v>0</v>
      </c>
      <c r="AP74" s="194">
        <v>0</v>
      </c>
      <c r="AQ74" s="195">
        <f>SUM(Tabela99[[#This Row],[2026-2030]:[2035]])</f>
        <v>3000000</v>
      </c>
      <c r="AS74" s="2" t="s">
        <v>1833</v>
      </c>
      <c r="AT74" s="2" t="s">
        <v>1772</v>
      </c>
      <c r="AU74" s="2" t="s">
        <v>2041</v>
      </c>
      <c r="AW74" s="2" t="s">
        <v>1854</v>
      </c>
      <c r="AZ74" s="2" t="s">
        <v>1835</v>
      </c>
    </row>
    <row r="75" spans="1:52" ht="24.75" customHeight="1" x14ac:dyDescent="0.35">
      <c r="A75" s="280"/>
      <c r="B75" s="185" t="e" cm="1">
        <f t="array" ref="B75">AND(ISTEXT('Consolidado-Eletronorte'!#REF!),SUM('Consolidado-Eletronorte'!#REF!)&gt;0)</f>
        <v>#REF!</v>
      </c>
      <c r="C75" s="281" t="str">
        <f t="shared" ca="1" si="3"/>
        <v>Capex Orcamentário_PE2026_2030_red_35_porcentoR3_consulta.xlsx</v>
      </c>
      <c r="D75" s="282" t="str">
        <f t="shared" si="4"/>
        <v>COO</v>
      </c>
      <c r="E75" s="282" t="str">
        <f t="shared" si="5"/>
        <v>Lucas Martins</v>
      </c>
      <c r="F75" s="283"/>
      <c r="G75" s="283" t="e">
        <f>_xlfn.CONCAT('Consolidado-Eletronorte'!#REF!,"_",ROW('Consolidado-Eletronorte'!#REF!)-ROW('Consolidado-Eletronorte'!$G$18))</f>
        <v>#REF!</v>
      </c>
      <c r="H75" s="284" t="s">
        <v>506</v>
      </c>
      <c r="I75" s="285" t="s">
        <v>1024</v>
      </c>
      <c r="J75" s="286" t="s">
        <v>508</v>
      </c>
      <c r="K75" s="285" t="s">
        <v>1821</v>
      </c>
      <c r="L75" s="285" t="s">
        <v>1828</v>
      </c>
      <c r="M75" s="285" t="s">
        <v>1901</v>
      </c>
      <c r="N75" s="285"/>
      <c r="O75" s="285"/>
      <c r="P75" s="285"/>
      <c r="Q75" s="287" t="s">
        <v>2047</v>
      </c>
      <c r="R75" s="287" t="s">
        <v>2048</v>
      </c>
      <c r="S75" s="285" t="s">
        <v>1861</v>
      </c>
      <c r="T75" s="299">
        <v>0</v>
      </c>
      <c r="U75" s="300">
        <v>0</v>
      </c>
      <c r="V75" s="300">
        <v>2500</v>
      </c>
      <c r="W75" s="300">
        <v>2500</v>
      </c>
      <c r="X75" s="299">
        <v>2500</v>
      </c>
      <c r="Y75" s="299">
        <v>2500</v>
      </c>
      <c r="Z75" s="196">
        <v>2500</v>
      </c>
      <c r="AA75" s="196">
        <v>700000</v>
      </c>
      <c r="AB75" s="196">
        <v>700000</v>
      </c>
      <c r="AC75" s="196">
        <v>700000</v>
      </c>
      <c r="AD75" s="196">
        <v>387500</v>
      </c>
      <c r="AE75" s="196">
        <v>0</v>
      </c>
      <c r="AF75" s="196">
        <f>SUM(Tabela99[[#This Row],[jan/26]:[dez/26]])</f>
        <v>2500000</v>
      </c>
      <c r="AG75" s="196">
        <v>2500000</v>
      </c>
      <c r="AH75" s="196">
        <v>0</v>
      </c>
      <c r="AI75" s="196">
        <v>0</v>
      </c>
      <c r="AJ75" s="196">
        <v>0</v>
      </c>
      <c r="AK75" s="196">
        <f>SUM(Tabela99[[#This Row],[2026]:[2030]])</f>
        <v>5000000</v>
      </c>
      <c r="AL75" s="300">
        <v>0</v>
      </c>
      <c r="AM75" s="196">
        <v>0</v>
      </c>
      <c r="AN75" s="196">
        <v>0</v>
      </c>
      <c r="AO75" s="196">
        <v>0</v>
      </c>
      <c r="AP75" s="196">
        <v>0</v>
      </c>
      <c r="AQ75" s="301">
        <f>SUM(Tabela99[[#This Row],[2026-2030]:[2035]])</f>
        <v>5000000</v>
      </c>
      <c r="AS75" s="2" t="s">
        <v>1833</v>
      </c>
      <c r="AT75" s="2">
        <v>2025</v>
      </c>
      <c r="AU75" s="2" t="s">
        <v>2041</v>
      </c>
      <c r="AW75" s="2" t="s">
        <v>1854</v>
      </c>
      <c r="AZ75" s="2" t="s">
        <v>1905</v>
      </c>
    </row>
    <row r="76" spans="1:52" ht="24.75" customHeight="1" x14ac:dyDescent="0.35">
      <c r="A76" s="184"/>
      <c r="B76" s="185" t="e" cm="1">
        <f t="array" ref="B76">AND(ISTEXT('Consolidado-Eletronorte'!#REF!),SUM('Consolidado-Eletronorte'!#REF!)&gt;0)</f>
        <v>#REF!</v>
      </c>
      <c r="C76" s="186" t="str">
        <f t="shared" ca="1" si="3"/>
        <v>Capex Orcamentário_PE2026_2030_red_35_porcentoR3_consulta.xlsx</v>
      </c>
      <c r="D76" s="187" t="str">
        <f t="shared" si="4"/>
        <v>COO</v>
      </c>
      <c r="E76" s="187" t="str">
        <f t="shared" si="5"/>
        <v>Lucas Martins</v>
      </c>
      <c r="F76" s="188"/>
      <c r="G76" s="188" t="e">
        <f>_xlfn.CONCAT('Consolidado-Eletronorte'!#REF!,"_",ROW('Consolidado-Eletronorte'!#REF!)-ROW('Consolidado-Eletronorte'!$G$18))</f>
        <v>#REF!</v>
      </c>
      <c r="H76" s="288" t="s">
        <v>506</v>
      </c>
      <c r="I76" s="189" t="s">
        <v>1024</v>
      </c>
      <c r="J76" s="190" t="s">
        <v>508</v>
      </c>
      <c r="K76" s="189" t="s">
        <v>1821</v>
      </c>
      <c r="L76" s="189" t="s">
        <v>1828</v>
      </c>
      <c r="M76" s="189" t="s">
        <v>2049</v>
      </c>
      <c r="N76" s="189"/>
      <c r="O76" s="189"/>
      <c r="P76" s="189"/>
      <c r="Q76" s="191" t="s">
        <v>2050</v>
      </c>
      <c r="R76" s="191" t="s">
        <v>2044</v>
      </c>
      <c r="S76" s="189" t="s">
        <v>2051</v>
      </c>
      <c r="T76" s="192">
        <v>0</v>
      </c>
      <c r="U76" s="193">
        <v>0</v>
      </c>
      <c r="V76" s="193">
        <v>0</v>
      </c>
      <c r="W76" s="193">
        <v>0</v>
      </c>
      <c r="X76" s="192">
        <v>0</v>
      </c>
      <c r="Y76" s="192">
        <v>0</v>
      </c>
      <c r="Z76" s="194">
        <v>0</v>
      </c>
      <c r="AA76" s="194">
        <v>0</v>
      </c>
      <c r="AB76" s="194">
        <v>0</v>
      </c>
      <c r="AC76" s="194">
        <v>0</v>
      </c>
      <c r="AD76" s="194">
        <v>0</v>
      </c>
      <c r="AE76" s="194">
        <v>0</v>
      </c>
      <c r="AF76" s="194">
        <f>SUM(Tabela99[[#This Row],[jan/26]:[dez/26]])</f>
        <v>0</v>
      </c>
      <c r="AG76" s="194">
        <v>2500000</v>
      </c>
      <c r="AH76" s="194">
        <v>0</v>
      </c>
      <c r="AI76" s="194">
        <v>0</v>
      </c>
      <c r="AJ76" s="194">
        <v>0</v>
      </c>
      <c r="AK76" s="194">
        <f>SUM(Tabela99[[#This Row],[2026]:[2030]])</f>
        <v>2500000</v>
      </c>
      <c r="AL76" s="193">
        <v>0</v>
      </c>
      <c r="AM76" s="194">
        <v>0</v>
      </c>
      <c r="AN76" s="194">
        <v>0</v>
      </c>
      <c r="AO76" s="194">
        <v>0</v>
      </c>
      <c r="AP76" s="194">
        <v>0</v>
      </c>
      <c r="AQ76" s="195">
        <f>SUM(Tabela99[[#This Row],[2026-2030]:[2035]])</f>
        <v>2500000</v>
      </c>
      <c r="AS76" s="2" t="s">
        <v>1833</v>
      </c>
      <c r="AT76" s="2" t="s">
        <v>1772</v>
      </c>
      <c r="AU76" s="2" t="s">
        <v>2041</v>
      </c>
      <c r="AW76" s="2" t="s">
        <v>1854</v>
      </c>
      <c r="AZ76" s="2" t="s">
        <v>1835</v>
      </c>
    </row>
    <row r="77" spans="1:52" ht="24.75" customHeight="1" x14ac:dyDescent="0.35">
      <c r="A77" s="280"/>
      <c r="B77" s="185" t="e" cm="1">
        <f t="array" ref="B77">AND(ISTEXT('Consolidado-Eletronorte'!#REF!),SUM('Consolidado-Eletronorte'!#REF!)&gt;0)</f>
        <v>#REF!</v>
      </c>
      <c r="C77" s="281" t="str">
        <f t="shared" ca="1" si="3"/>
        <v>Capex Orcamentário_PE2026_2030_red_35_porcentoR3_consulta.xlsx</v>
      </c>
      <c r="D77" s="282" t="str">
        <f t="shared" si="4"/>
        <v>COO</v>
      </c>
      <c r="E77" s="282" t="str">
        <f t="shared" si="5"/>
        <v>Lucas Martins</v>
      </c>
      <c r="F77" s="283"/>
      <c r="G77" s="283" t="e">
        <f>_xlfn.CONCAT('Consolidado-Eletronorte'!#REF!,"_",ROW('Consolidado-Eletronorte'!#REF!)-ROW('Consolidado-Eletronorte'!$G$18))</f>
        <v>#REF!</v>
      </c>
      <c r="H77" s="284" t="s">
        <v>506</v>
      </c>
      <c r="I77" s="285" t="s">
        <v>1024</v>
      </c>
      <c r="J77" s="286" t="s">
        <v>508</v>
      </c>
      <c r="K77" s="285" t="s">
        <v>1741</v>
      </c>
      <c r="L77" s="285" t="s">
        <v>2019</v>
      </c>
      <c r="M77" s="285" t="s">
        <v>2052</v>
      </c>
      <c r="N77" s="285"/>
      <c r="O77" s="285"/>
      <c r="P77" s="285"/>
      <c r="Q77" s="287" t="s">
        <v>2053</v>
      </c>
      <c r="R77" s="287" t="s">
        <v>2053</v>
      </c>
      <c r="S77" s="285" t="s">
        <v>2054</v>
      </c>
      <c r="T77" s="299">
        <v>0</v>
      </c>
      <c r="U77" s="300">
        <v>0</v>
      </c>
      <c r="V77" s="300">
        <v>0</v>
      </c>
      <c r="W77" s="300">
        <v>0</v>
      </c>
      <c r="X77" s="299">
        <v>0</v>
      </c>
      <c r="Y77" s="299">
        <v>0</v>
      </c>
      <c r="Z77" s="196">
        <v>0</v>
      </c>
      <c r="AA77" s="196">
        <v>0</v>
      </c>
      <c r="AB77" s="196">
        <v>0</v>
      </c>
      <c r="AC77" s="196">
        <v>0</v>
      </c>
      <c r="AD77" s="196">
        <v>0</v>
      </c>
      <c r="AE77" s="196">
        <v>0</v>
      </c>
      <c r="AF77" s="196">
        <f>SUM(Tabela99[[#This Row],[jan/26]:[dez/26]])</f>
        <v>0</v>
      </c>
      <c r="AG77" s="196">
        <v>2500000</v>
      </c>
      <c r="AH77" s="196">
        <v>2500000</v>
      </c>
      <c r="AI77" s="196">
        <v>0</v>
      </c>
      <c r="AJ77" s="196">
        <v>0</v>
      </c>
      <c r="AK77" s="196">
        <f>SUM(Tabela99[[#This Row],[2026]:[2030]])</f>
        <v>5000000</v>
      </c>
      <c r="AL77" s="300">
        <v>0</v>
      </c>
      <c r="AM77" s="196">
        <v>0</v>
      </c>
      <c r="AN77" s="196">
        <v>0</v>
      </c>
      <c r="AO77" s="196">
        <v>0</v>
      </c>
      <c r="AP77" s="196">
        <v>0</v>
      </c>
      <c r="AQ77" s="301">
        <f>SUM(Tabela99[[#This Row],[2026-2030]:[2035]])</f>
        <v>5000000</v>
      </c>
      <c r="AS77" s="2" t="s">
        <v>2055</v>
      </c>
      <c r="AT77" s="2">
        <v>2025</v>
      </c>
      <c r="AU77" s="2" t="s">
        <v>2041</v>
      </c>
      <c r="AW77" s="2" t="s">
        <v>1603</v>
      </c>
      <c r="AZ77" s="2" t="s">
        <v>2056</v>
      </c>
    </row>
    <row r="78" spans="1:52" ht="24.75" customHeight="1" x14ac:dyDescent="0.35">
      <c r="A78" s="184"/>
      <c r="B78" s="185" t="e" cm="1">
        <f t="array" ref="B78">AND(ISTEXT('Consolidado-Eletronorte'!#REF!),SUM('Consolidado-Eletronorte'!#REF!)&gt;0)</f>
        <v>#REF!</v>
      </c>
      <c r="C78" s="186" t="str">
        <f t="shared" ca="1" si="3"/>
        <v>Capex Orcamentário_PE2026_2030_red_35_porcentoR3_consulta.xlsx</v>
      </c>
      <c r="D78" s="187" t="str">
        <f t="shared" si="4"/>
        <v>COO</v>
      </c>
      <c r="E78" s="187" t="str">
        <f t="shared" si="5"/>
        <v>Lucas Martins</v>
      </c>
      <c r="F78" s="188"/>
      <c r="G78" s="188" t="e">
        <f>_xlfn.CONCAT('Consolidado-Eletronorte'!#REF!,"_",ROW('Consolidado-Eletronorte'!#REF!)-ROW('Consolidado-Eletronorte'!$G$18))</f>
        <v>#REF!</v>
      </c>
      <c r="H78" s="288" t="s">
        <v>506</v>
      </c>
      <c r="I78" s="189" t="s">
        <v>1024</v>
      </c>
      <c r="J78" s="190" t="s">
        <v>508</v>
      </c>
      <c r="K78" s="189" t="s">
        <v>1821</v>
      </c>
      <c r="L78" s="189" t="s">
        <v>2019</v>
      </c>
      <c r="M78" s="189" t="s">
        <v>2037</v>
      </c>
      <c r="N78" s="189"/>
      <c r="O78" s="189"/>
      <c r="P78" s="189"/>
      <c r="Q78" s="191" t="s">
        <v>2057</v>
      </c>
      <c r="R78" s="191" t="s">
        <v>2058</v>
      </c>
      <c r="S78" s="189" t="s">
        <v>2040</v>
      </c>
      <c r="T78" s="192">
        <v>0</v>
      </c>
      <c r="U78" s="193">
        <v>0</v>
      </c>
      <c r="V78" s="193">
        <v>0</v>
      </c>
      <c r="W78" s="193">
        <v>0</v>
      </c>
      <c r="X78" s="192">
        <v>0</v>
      </c>
      <c r="Y78" s="192">
        <v>0</v>
      </c>
      <c r="Z78" s="194">
        <v>0</v>
      </c>
      <c r="AA78" s="194">
        <v>0</v>
      </c>
      <c r="AB78" s="194">
        <v>0</v>
      </c>
      <c r="AC78" s="194">
        <v>0</v>
      </c>
      <c r="AD78" s="194">
        <v>0</v>
      </c>
      <c r="AE78" s="194">
        <v>0</v>
      </c>
      <c r="AF78" s="194">
        <f>SUM(Tabela99[[#This Row],[jan/26]:[dez/26]])</f>
        <v>0</v>
      </c>
      <c r="AG78" s="194">
        <v>2300000</v>
      </c>
      <c r="AH78" s="194">
        <v>0</v>
      </c>
      <c r="AI78" s="194">
        <v>0</v>
      </c>
      <c r="AJ78" s="194">
        <v>0</v>
      </c>
      <c r="AK78" s="194">
        <f>SUM(Tabela99[[#This Row],[2026]:[2030]])</f>
        <v>2300000</v>
      </c>
      <c r="AL78" s="193">
        <v>0</v>
      </c>
      <c r="AM78" s="194">
        <v>0</v>
      </c>
      <c r="AN78" s="194">
        <v>0</v>
      </c>
      <c r="AO78" s="194">
        <v>0</v>
      </c>
      <c r="AP78" s="194">
        <v>0</v>
      </c>
      <c r="AQ78" s="195">
        <f>SUM(Tabela99[[#This Row],[2026-2030]:[2035]])</f>
        <v>2300000</v>
      </c>
      <c r="AS78" s="2" t="s">
        <v>1833</v>
      </c>
      <c r="AT78" s="2">
        <v>2025</v>
      </c>
      <c r="AU78" s="2" t="s">
        <v>2041</v>
      </c>
      <c r="AW78" s="2" t="s">
        <v>1854</v>
      </c>
      <c r="AZ78" s="2" t="s">
        <v>2042</v>
      </c>
    </row>
    <row r="79" spans="1:52" ht="24.75" customHeight="1" x14ac:dyDescent="0.35">
      <c r="A79" s="280"/>
      <c r="B79" s="185" t="e" cm="1">
        <f t="array" ref="B79">AND(ISTEXT('Consolidado-Eletronorte'!#REF!),SUM('Consolidado-Eletronorte'!#REF!)&gt;0)</f>
        <v>#REF!</v>
      </c>
      <c r="C79" s="281" t="str">
        <f t="shared" ca="1" si="3"/>
        <v>Capex Orcamentário_PE2026_2030_red_35_porcentoR3_consulta.xlsx</v>
      </c>
      <c r="D79" s="282" t="str">
        <f t="shared" si="4"/>
        <v>COO</v>
      </c>
      <c r="E79" s="282" t="str">
        <f t="shared" si="5"/>
        <v>Lucas Martins</v>
      </c>
      <c r="F79" s="283"/>
      <c r="G79" s="283" t="e">
        <f>_xlfn.CONCAT('Consolidado-Eletronorte'!#REF!,"_",ROW('Consolidado-Eletronorte'!#REF!)-ROW('Consolidado-Eletronorte'!$G$18))</f>
        <v>#REF!</v>
      </c>
      <c r="H79" s="284" t="s">
        <v>506</v>
      </c>
      <c r="I79" s="285" t="s">
        <v>1024</v>
      </c>
      <c r="J79" s="286" t="s">
        <v>508</v>
      </c>
      <c r="K79" s="285" t="s">
        <v>1821</v>
      </c>
      <c r="L79" s="285" t="s">
        <v>1828</v>
      </c>
      <c r="M79" s="285" t="s">
        <v>2049</v>
      </c>
      <c r="N79" s="285"/>
      <c r="O79" s="285"/>
      <c r="P79" s="285"/>
      <c r="Q79" s="287" t="s">
        <v>2059</v>
      </c>
      <c r="R79" s="287" t="s">
        <v>2044</v>
      </c>
      <c r="S79" s="285" t="s">
        <v>2051</v>
      </c>
      <c r="T79" s="299">
        <v>0</v>
      </c>
      <c r="U79" s="300">
        <v>0</v>
      </c>
      <c r="V79" s="300">
        <v>0</v>
      </c>
      <c r="W79" s="300">
        <v>0</v>
      </c>
      <c r="X79" s="299">
        <v>0</v>
      </c>
      <c r="Y79" s="299">
        <v>0</v>
      </c>
      <c r="Z79" s="196">
        <v>0</v>
      </c>
      <c r="AA79" s="196">
        <v>0</v>
      </c>
      <c r="AB79" s="196">
        <v>0</v>
      </c>
      <c r="AC79" s="196">
        <v>0</v>
      </c>
      <c r="AD79" s="196">
        <v>0</v>
      </c>
      <c r="AE79" s="196">
        <v>0</v>
      </c>
      <c r="AF79" s="196">
        <f>SUM(Tabela99[[#This Row],[jan/26]:[dez/26]])</f>
        <v>0</v>
      </c>
      <c r="AG79" s="196">
        <v>2000000</v>
      </c>
      <c r="AH79" s="196">
        <v>0</v>
      </c>
      <c r="AI79" s="196">
        <v>0</v>
      </c>
      <c r="AJ79" s="196">
        <v>0</v>
      </c>
      <c r="AK79" s="196">
        <f>SUM(Tabela99[[#This Row],[2026]:[2030]])</f>
        <v>2000000</v>
      </c>
      <c r="AL79" s="300">
        <v>0</v>
      </c>
      <c r="AM79" s="196">
        <v>0</v>
      </c>
      <c r="AN79" s="196">
        <v>0</v>
      </c>
      <c r="AO79" s="196">
        <v>0</v>
      </c>
      <c r="AP79" s="196">
        <v>0</v>
      </c>
      <c r="AQ79" s="301">
        <f>SUM(Tabela99[[#This Row],[2026-2030]:[2035]])</f>
        <v>2000000</v>
      </c>
      <c r="AS79" s="2" t="s">
        <v>1833</v>
      </c>
      <c r="AT79" s="2" t="s">
        <v>1772</v>
      </c>
      <c r="AU79" s="2" t="s">
        <v>2041</v>
      </c>
      <c r="AW79" s="2" t="s">
        <v>1854</v>
      </c>
      <c r="AZ79" s="2" t="s">
        <v>1835</v>
      </c>
    </row>
    <row r="80" spans="1:52" ht="24.75" customHeight="1" x14ac:dyDescent="0.35">
      <c r="A80" s="280"/>
      <c r="B80" s="185" t="e" cm="1">
        <f t="array" ref="B80">AND(ISTEXT('Consolidado-Eletronorte'!#REF!),SUM('Consolidado-Eletronorte'!#REF!)&gt;0)</f>
        <v>#REF!</v>
      </c>
      <c r="C80" s="281" t="str">
        <f t="shared" ca="1" si="3"/>
        <v>Capex Orcamentário_PE2026_2030_red_35_porcentoR3_consulta.xlsx</v>
      </c>
      <c r="D80" s="282" t="str">
        <f t="shared" si="4"/>
        <v>COO</v>
      </c>
      <c r="E80" s="282" t="str">
        <f t="shared" si="5"/>
        <v>Lucas Martins</v>
      </c>
      <c r="F80" s="283"/>
      <c r="G80" s="283" t="e">
        <f>_xlfn.CONCAT('Consolidado-Eletronorte'!#REF!,"_",ROW('Consolidado-Eletronorte'!#REF!)-ROW('Consolidado-Eletronorte'!$G$18))</f>
        <v>#REF!</v>
      </c>
      <c r="H80" s="284" t="s">
        <v>506</v>
      </c>
      <c r="I80" s="285" t="s">
        <v>1024</v>
      </c>
      <c r="J80" s="286" t="s">
        <v>508</v>
      </c>
      <c r="K80" s="285" t="s">
        <v>1821</v>
      </c>
      <c r="L80" s="285" t="s">
        <v>1828</v>
      </c>
      <c r="M80" s="285" t="s">
        <v>2049</v>
      </c>
      <c r="N80" s="285"/>
      <c r="O80" s="285"/>
      <c r="P80" s="285"/>
      <c r="Q80" s="287" t="s">
        <v>2060</v>
      </c>
      <c r="R80" s="287" t="s">
        <v>2044</v>
      </c>
      <c r="S80" s="285" t="s">
        <v>2051</v>
      </c>
      <c r="T80" s="299">
        <v>0</v>
      </c>
      <c r="U80" s="300">
        <v>0</v>
      </c>
      <c r="V80" s="300">
        <v>0</v>
      </c>
      <c r="W80" s="300">
        <v>0</v>
      </c>
      <c r="X80" s="299">
        <v>0</v>
      </c>
      <c r="Y80" s="299">
        <v>0</v>
      </c>
      <c r="Z80" s="196">
        <v>0</v>
      </c>
      <c r="AA80" s="196">
        <v>0</v>
      </c>
      <c r="AB80" s="196">
        <v>0</v>
      </c>
      <c r="AC80" s="196">
        <v>0</v>
      </c>
      <c r="AD80" s="196">
        <v>0</v>
      </c>
      <c r="AE80" s="196">
        <v>0</v>
      </c>
      <c r="AF80" s="196">
        <f>SUM(Tabela99[[#This Row],[jan/26]:[dez/26]])</f>
        <v>0</v>
      </c>
      <c r="AG80" s="196">
        <v>1500000</v>
      </c>
      <c r="AH80" s="196">
        <v>0</v>
      </c>
      <c r="AI80" s="196">
        <v>0</v>
      </c>
      <c r="AJ80" s="196">
        <v>0</v>
      </c>
      <c r="AK80" s="196">
        <f>SUM(Tabela99[[#This Row],[2026]:[2030]])</f>
        <v>1500000</v>
      </c>
      <c r="AL80" s="300">
        <v>0</v>
      </c>
      <c r="AM80" s="196">
        <v>0</v>
      </c>
      <c r="AN80" s="196">
        <v>0</v>
      </c>
      <c r="AO80" s="196">
        <v>0</v>
      </c>
      <c r="AP80" s="196">
        <v>0</v>
      </c>
      <c r="AQ80" s="301">
        <f>SUM(Tabela99[[#This Row],[2026-2030]:[2035]])</f>
        <v>1500000</v>
      </c>
      <c r="AS80" s="2" t="s">
        <v>1833</v>
      </c>
      <c r="AT80" s="2" t="s">
        <v>1772</v>
      </c>
      <c r="AU80" s="2" t="s">
        <v>2041</v>
      </c>
      <c r="AW80" s="2" t="s">
        <v>1854</v>
      </c>
      <c r="AZ80" s="2" t="s">
        <v>1835</v>
      </c>
    </row>
    <row r="81" spans="1:52" ht="24.75" customHeight="1" x14ac:dyDescent="0.35">
      <c r="A81" s="184"/>
      <c r="B81" s="185" t="e" cm="1">
        <f t="array" ref="B81">AND(ISTEXT('Consolidado-Eletronorte'!#REF!),SUM('Consolidado-Eletronorte'!#REF!)&gt;0)</f>
        <v>#REF!</v>
      </c>
      <c r="C81" s="186" t="str">
        <f t="shared" ca="1" si="3"/>
        <v>Capex Orcamentário_PE2026_2030_red_35_porcentoR3_consulta.xlsx</v>
      </c>
      <c r="D81" s="187" t="str">
        <f t="shared" si="4"/>
        <v>COO</v>
      </c>
      <c r="E81" s="187" t="str">
        <f t="shared" si="5"/>
        <v>Lucas Martins</v>
      </c>
      <c r="F81" s="188"/>
      <c r="G81" s="188" t="e">
        <f>_xlfn.CONCAT('Consolidado-Eletronorte'!#REF!,"_",ROW('Consolidado-Eletronorte'!#REF!)-ROW('Consolidado-Eletronorte'!$G$18))</f>
        <v>#REF!</v>
      </c>
      <c r="H81" s="288" t="s">
        <v>506</v>
      </c>
      <c r="I81" s="189" t="s">
        <v>1024</v>
      </c>
      <c r="J81" s="190" t="s">
        <v>508</v>
      </c>
      <c r="K81" s="189" t="s">
        <v>1741</v>
      </c>
      <c r="L81" s="189" t="s">
        <v>2019</v>
      </c>
      <c r="M81" s="189" t="s">
        <v>2052</v>
      </c>
      <c r="N81" s="189"/>
      <c r="O81" s="189"/>
      <c r="P81" s="189"/>
      <c r="Q81" s="191" t="s">
        <v>2061</v>
      </c>
      <c r="R81" s="191" t="s">
        <v>2062</v>
      </c>
      <c r="S81" s="189" t="s">
        <v>1958</v>
      </c>
      <c r="T81" s="192">
        <v>0</v>
      </c>
      <c r="U81" s="193">
        <v>0</v>
      </c>
      <c r="V81" s="193">
        <v>0</v>
      </c>
      <c r="W81" s="193">
        <v>0</v>
      </c>
      <c r="X81" s="192">
        <v>0</v>
      </c>
      <c r="Y81" s="192">
        <v>0</v>
      </c>
      <c r="Z81" s="194">
        <v>0</v>
      </c>
      <c r="AA81" s="194">
        <v>0</v>
      </c>
      <c r="AB81" s="194">
        <v>0</v>
      </c>
      <c r="AC81" s="194">
        <v>0</v>
      </c>
      <c r="AD81" s="194">
        <v>0</v>
      </c>
      <c r="AE81" s="194">
        <v>0</v>
      </c>
      <c r="AF81" s="194">
        <f>SUM(Tabela99[[#This Row],[jan/26]:[dez/26]])</f>
        <v>0</v>
      </c>
      <c r="AG81" s="194">
        <v>1500000</v>
      </c>
      <c r="AH81" s="194">
        <v>0</v>
      </c>
      <c r="AI81" s="194">
        <v>0</v>
      </c>
      <c r="AJ81" s="194">
        <v>0</v>
      </c>
      <c r="AK81" s="194">
        <f>SUM(Tabela99[[#This Row],[2026]:[2030]])</f>
        <v>1500000</v>
      </c>
      <c r="AL81" s="193">
        <v>0</v>
      </c>
      <c r="AM81" s="194">
        <v>0</v>
      </c>
      <c r="AN81" s="194">
        <v>0</v>
      </c>
      <c r="AO81" s="194">
        <v>0</v>
      </c>
      <c r="AP81" s="194">
        <v>0</v>
      </c>
      <c r="AQ81" s="195">
        <f>SUM(Tabela99[[#This Row],[2026-2030]:[2035]])</f>
        <v>1500000</v>
      </c>
      <c r="AS81" s="2" t="s">
        <v>2055</v>
      </c>
      <c r="AT81" s="2">
        <v>2025</v>
      </c>
      <c r="AU81" s="2" t="s">
        <v>2041</v>
      </c>
      <c r="AW81" s="2" t="s">
        <v>1603</v>
      </c>
      <c r="AZ81" s="2" t="s">
        <v>2063</v>
      </c>
    </row>
    <row r="82" spans="1:52" ht="24.75" customHeight="1" x14ac:dyDescent="0.35">
      <c r="A82" s="184"/>
      <c r="B82" s="185" t="e" cm="1">
        <f t="array" ref="B82">AND(ISTEXT('Consolidado-Eletronorte'!#REF!),SUM('Consolidado-Eletronorte'!#REF!)&gt;0)</f>
        <v>#REF!</v>
      </c>
      <c r="C82" s="186" t="str">
        <f t="shared" ca="1" si="3"/>
        <v>Capex Orcamentário_PE2026_2030_red_35_porcentoR3_consulta.xlsx</v>
      </c>
      <c r="D82" s="187" t="str">
        <f t="shared" si="4"/>
        <v>COO</v>
      </c>
      <c r="E82" s="187" t="str">
        <f t="shared" si="5"/>
        <v>Lucas Martins</v>
      </c>
      <c r="F82" s="188"/>
      <c r="G82" s="188" t="e">
        <f>_xlfn.CONCAT('Consolidado-Eletronorte'!#REF!,"_",ROW('Consolidado-Eletronorte'!#REF!)-ROW('Consolidado-Eletronorte'!$G$18))</f>
        <v>#REF!</v>
      </c>
      <c r="H82" s="288" t="s">
        <v>506</v>
      </c>
      <c r="I82" s="189" t="s">
        <v>1024</v>
      </c>
      <c r="J82" s="190" t="s">
        <v>508</v>
      </c>
      <c r="K82" s="189" t="s">
        <v>1821</v>
      </c>
      <c r="L82" s="189" t="s">
        <v>1828</v>
      </c>
      <c r="M82" s="189" t="s">
        <v>2049</v>
      </c>
      <c r="N82" s="189"/>
      <c r="O82" s="189"/>
      <c r="P82" s="189"/>
      <c r="Q82" s="191" t="s">
        <v>2064</v>
      </c>
      <c r="R82" s="191" t="s">
        <v>2044</v>
      </c>
      <c r="S82" s="189" t="s">
        <v>2051</v>
      </c>
      <c r="T82" s="192">
        <v>0</v>
      </c>
      <c r="U82" s="193">
        <v>0</v>
      </c>
      <c r="V82" s="193">
        <v>0</v>
      </c>
      <c r="W82" s="193">
        <v>0</v>
      </c>
      <c r="X82" s="192">
        <v>0</v>
      </c>
      <c r="Y82" s="192">
        <v>0</v>
      </c>
      <c r="Z82" s="194">
        <v>400000</v>
      </c>
      <c r="AA82" s="194">
        <v>400000</v>
      </c>
      <c r="AB82" s="194">
        <v>400000</v>
      </c>
      <c r="AC82" s="194">
        <v>400000</v>
      </c>
      <c r="AD82" s="194">
        <v>400000</v>
      </c>
      <c r="AE82" s="194">
        <v>0</v>
      </c>
      <c r="AF82" s="194">
        <f>SUM(Tabela99[[#This Row],[jan/26]:[dez/26]])</f>
        <v>2000000</v>
      </c>
      <c r="AG82" s="194">
        <v>1000000</v>
      </c>
      <c r="AH82" s="194">
        <v>10000000</v>
      </c>
      <c r="AI82" s="194">
        <v>1000000</v>
      </c>
      <c r="AJ82" s="194">
        <v>1000000</v>
      </c>
      <c r="AK82" s="194">
        <f>SUM(Tabela99[[#This Row],[2026]:[2030]])</f>
        <v>15000000</v>
      </c>
      <c r="AL82" s="193">
        <v>0</v>
      </c>
      <c r="AM82" s="194">
        <v>0</v>
      </c>
      <c r="AN82" s="194">
        <v>0</v>
      </c>
      <c r="AO82" s="194">
        <v>0</v>
      </c>
      <c r="AP82" s="194">
        <v>0</v>
      </c>
      <c r="AQ82" s="195">
        <f>SUM(Tabela99[[#This Row],[2026-2030]:[2035]])</f>
        <v>15000000</v>
      </c>
      <c r="AS82" s="2" t="s">
        <v>1833</v>
      </c>
      <c r="AT82" s="2" t="s">
        <v>1772</v>
      </c>
      <c r="AU82" s="2" t="s">
        <v>2041</v>
      </c>
      <c r="AW82" s="2" t="s">
        <v>1854</v>
      </c>
      <c r="AZ82" s="2" t="s">
        <v>1835</v>
      </c>
    </row>
    <row r="83" spans="1:52" ht="24.75" customHeight="1" x14ac:dyDescent="0.35">
      <c r="A83" s="280"/>
      <c r="B83" s="185" t="e" cm="1">
        <f t="array" ref="B83">AND(ISTEXT('Consolidado-Eletronorte'!#REF!),SUM('Consolidado-Eletronorte'!#REF!)&gt;0)</f>
        <v>#REF!</v>
      </c>
      <c r="C83" s="281" t="str">
        <f t="shared" ca="1" si="3"/>
        <v>Capex Orcamentário_PE2026_2030_red_35_porcentoR3_consulta.xlsx</v>
      </c>
      <c r="D83" s="282" t="str">
        <f t="shared" si="4"/>
        <v>COO</v>
      </c>
      <c r="E83" s="282" t="str">
        <f t="shared" si="5"/>
        <v>Lucas Martins</v>
      </c>
      <c r="F83" s="283"/>
      <c r="G83" s="283" t="e">
        <f>_xlfn.CONCAT('Consolidado-Eletronorte'!#REF!,"_",ROW('Consolidado-Eletronorte'!#REF!)-ROW('Consolidado-Eletronorte'!$G$18))</f>
        <v>#REF!</v>
      </c>
      <c r="H83" s="284" t="s">
        <v>506</v>
      </c>
      <c r="I83" s="285" t="s">
        <v>1024</v>
      </c>
      <c r="J83" s="286" t="s">
        <v>508</v>
      </c>
      <c r="K83" s="285" t="s">
        <v>1821</v>
      </c>
      <c r="L83" s="285" t="s">
        <v>1828</v>
      </c>
      <c r="M83" s="285" t="s">
        <v>1888</v>
      </c>
      <c r="N83" s="285"/>
      <c r="O83" s="285"/>
      <c r="P83" s="285"/>
      <c r="Q83" s="287" t="s">
        <v>2065</v>
      </c>
      <c r="R83" s="287" t="s">
        <v>2066</v>
      </c>
      <c r="S83" s="285" t="s">
        <v>1832</v>
      </c>
      <c r="T83" s="299">
        <v>0</v>
      </c>
      <c r="U83" s="300">
        <v>0</v>
      </c>
      <c r="V83" s="300">
        <v>0</v>
      </c>
      <c r="W83" s="300">
        <v>0</v>
      </c>
      <c r="X83" s="299">
        <v>0</v>
      </c>
      <c r="Y83" s="299">
        <v>0</v>
      </c>
      <c r="Z83" s="196">
        <v>0</v>
      </c>
      <c r="AA83" s="196">
        <v>0</v>
      </c>
      <c r="AB83" s="196">
        <v>0</v>
      </c>
      <c r="AC83" s="196">
        <v>0</v>
      </c>
      <c r="AD83" s="196">
        <v>0</v>
      </c>
      <c r="AE83" s="196">
        <v>0</v>
      </c>
      <c r="AF83" s="196">
        <f>SUM(Tabela99[[#This Row],[jan/26]:[dez/26]])</f>
        <v>0</v>
      </c>
      <c r="AG83" s="196">
        <v>1000000</v>
      </c>
      <c r="AH83" s="196">
        <v>0</v>
      </c>
      <c r="AI83" s="196">
        <v>0</v>
      </c>
      <c r="AJ83" s="196">
        <v>0</v>
      </c>
      <c r="AK83" s="196">
        <f>SUM(Tabela99[[#This Row],[2026]:[2030]])</f>
        <v>1000000</v>
      </c>
      <c r="AL83" s="300">
        <v>0</v>
      </c>
      <c r="AM83" s="196">
        <v>0</v>
      </c>
      <c r="AN83" s="196">
        <v>0</v>
      </c>
      <c r="AO83" s="196">
        <v>0</v>
      </c>
      <c r="AP83" s="196">
        <v>0</v>
      </c>
      <c r="AQ83" s="301">
        <f>SUM(Tabela99[[#This Row],[2026-2030]:[2035]])</f>
        <v>1000000</v>
      </c>
      <c r="AS83" s="2" t="s">
        <v>1833</v>
      </c>
      <c r="AT83" s="2">
        <v>2024</v>
      </c>
      <c r="AU83" s="2" t="s">
        <v>2041</v>
      </c>
      <c r="AW83" s="2" t="s">
        <v>1854</v>
      </c>
      <c r="AZ83" s="2" t="s">
        <v>1835</v>
      </c>
    </row>
    <row r="84" spans="1:52" ht="24.75" customHeight="1" x14ac:dyDescent="0.35">
      <c r="A84" s="184"/>
      <c r="B84" s="185" t="e" cm="1">
        <f t="array" ref="B84">AND(ISTEXT('Consolidado-Eletronorte'!#REF!),SUM('Consolidado-Eletronorte'!#REF!)&gt;0)</f>
        <v>#REF!</v>
      </c>
      <c r="C84" s="186" t="str">
        <f t="shared" ca="1" si="3"/>
        <v>Capex Orcamentário_PE2026_2030_red_35_porcentoR3_consulta.xlsx</v>
      </c>
      <c r="D84" s="187" t="str">
        <f t="shared" si="4"/>
        <v>COO</v>
      </c>
      <c r="E84" s="187" t="str">
        <f t="shared" si="5"/>
        <v>Lucas Martins</v>
      </c>
      <c r="F84" s="188"/>
      <c r="G84" s="188" t="e">
        <f>_xlfn.CONCAT('Consolidado-Eletronorte'!#REF!,"_",ROW('Consolidado-Eletronorte'!#REF!)-ROW('Consolidado-Eletronorte'!$G$18))</f>
        <v>#REF!</v>
      </c>
      <c r="H84" s="288" t="s">
        <v>506</v>
      </c>
      <c r="I84" s="189" t="s">
        <v>1024</v>
      </c>
      <c r="J84" s="190" t="s">
        <v>508</v>
      </c>
      <c r="K84" s="189" t="s">
        <v>1741</v>
      </c>
      <c r="L84" s="189" t="s">
        <v>2019</v>
      </c>
      <c r="M84" s="189" t="s">
        <v>2067</v>
      </c>
      <c r="N84" s="189"/>
      <c r="O84" s="189"/>
      <c r="P84" s="189"/>
      <c r="Q84" s="191" t="s">
        <v>2068</v>
      </c>
      <c r="R84" s="191" t="s">
        <v>2069</v>
      </c>
      <c r="S84" s="189" t="s">
        <v>2070</v>
      </c>
      <c r="T84" s="192">
        <v>3333</v>
      </c>
      <c r="U84" s="193">
        <v>228333</v>
      </c>
      <c r="V84" s="193">
        <v>18333</v>
      </c>
      <c r="W84" s="193">
        <v>3333</v>
      </c>
      <c r="X84" s="192">
        <v>1733333</v>
      </c>
      <c r="Y84" s="192">
        <v>18333</v>
      </c>
      <c r="Z84" s="194">
        <v>3003</v>
      </c>
      <c r="AA84" s="194">
        <v>228333</v>
      </c>
      <c r="AB84" s="194">
        <v>4000</v>
      </c>
      <c r="AC84" s="194">
        <v>8333</v>
      </c>
      <c r="AD84" s="194">
        <v>228333</v>
      </c>
      <c r="AE84" s="194">
        <v>3000</v>
      </c>
      <c r="AF84" s="194">
        <f>SUM(Tabela99[[#This Row],[jan/26]:[dez/26]])</f>
        <v>2480000</v>
      </c>
      <c r="AG84" s="194">
        <v>975000</v>
      </c>
      <c r="AH84" s="194">
        <v>525000</v>
      </c>
      <c r="AI84" s="194">
        <v>525000</v>
      </c>
      <c r="AJ84" s="194">
        <v>525000</v>
      </c>
      <c r="AK84" s="194">
        <f>SUM(Tabela99[[#This Row],[2026]:[2030]])</f>
        <v>5030000</v>
      </c>
      <c r="AL84" s="193">
        <v>710000</v>
      </c>
      <c r="AM84" s="194">
        <v>715000</v>
      </c>
      <c r="AN84" s="194">
        <v>720000</v>
      </c>
      <c r="AO84" s="194">
        <v>725000</v>
      </c>
      <c r="AP84" s="194">
        <v>730000</v>
      </c>
      <c r="AQ84" s="195">
        <f>SUM(Tabela99[[#This Row],[2026-2030]:[2035]])</f>
        <v>8630000</v>
      </c>
      <c r="AS84" s="2" t="s">
        <v>2055</v>
      </c>
      <c r="AT84" s="2">
        <v>2025</v>
      </c>
      <c r="AU84" s="2" t="s">
        <v>2041</v>
      </c>
      <c r="AW84" s="2" t="s">
        <v>517</v>
      </c>
      <c r="AZ84" s="2" t="s">
        <v>2071</v>
      </c>
    </row>
    <row r="85" spans="1:52" ht="24.75" customHeight="1" x14ac:dyDescent="0.35">
      <c r="A85" s="280"/>
      <c r="B85" s="185" t="e" cm="1">
        <f t="array" ref="B85">AND(ISTEXT('Consolidado-Eletronorte'!#REF!),SUM('Consolidado-Eletronorte'!#REF!)&gt;0)</f>
        <v>#REF!</v>
      </c>
      <c r="C85" s="281" t="str">
        <f t="shared" ca="1" si="3"/>
        <v>Capex Orcamentário_PE2026_2030_red_35_porcentoR3_consulta.xlsx</v>
      </c>
      <c r="D85" s="282" t="str">
        <f t="shared" si="4"/>
        <v>COO</v>
      </c>
      <c r="E85" s="282" t="str">
        <f t="shared" si="5"/>
        <v>Lucas Martins</v>
      </c>
      <c r="F85" s="283"/>
      <c r="G85" s="283" t="e">
        <f>_xlfn.CONCAT('Consolidado-Eletronorte'!#REF!,"_",ROW('Consolidado-Eletronorte'!#REF!)-ROW('Consolidado-Eletronorte'!$G$18))</f>
        <v>#REF!</v>
      </c>
      <c r="H85" s="284" t="s">
        <v>506</v>
      </c>
      <c r="I85" s="285" t="s">
        <v>1024</v>
      </c>
      <c r="J85" s="286" t="s">
        <v>508</v>
      </c>
      <c r="K85" s="285" t="s">
        <v>1741</v>
      </c>
      <c r="L85" s="285" t="s">
        <v>2019</v>
      </c>
      <c r="M85" s="285" t="s">
        <v>2052</v>
      </c>
      <c r="N85" s="285"/>
      <c r="O85" s="285"/>
      <c r="P85" s="285"/>
      <c r="Q85" s="287" t="s">
        <v>2072</v>
      </c>
      <c r="R85" s="287" t="s">
        <v>2073</v>
      </c>
      <c r="S85" s="285" t="s">
        <v>1921</v>
      </c>
      <c r="T85" s="299">
        <v>0</v>
      </c>
      <c r="U85" s="300">
        <v>0</v>
      </c>
      <c r="V85" s="300">
        <v>0</v>
      </c>
      <c r="W85" s="300">
        <v>0</v>
      </c>
      <c r="X85" s="299">
        <v>0</v>
      </c>
      <c r="Y85" s="299">
        <v>0</v>
      </c>
      <c r="Z85" s="196">
        <v>0</v>
      </c>
      <c r="AA85" s="196">
        <v>0</v>
      </c>
      <c r="AB85" s="196">
        <v>0</v>
      </c>
      <c r="AC85" s="196">
        <v>0</v>
      </c>
      <c r="AD85" s="196">
        <v>0</v>
      </c>
      <c r="AE85" s="196">
        <v>0</v>
      </c>
      <c r="AF85" s="196">
        <f>SUM(Tabela99[[#This Row],[jan/26]:[dez/26]])</f>
        <v>0</v>
      </c>
      <c r="AG85" s="196">
        <v>470000</v>
      </c>
      <c r="AH85" s="196">
        <v>0</v>
      </c>
      <c r="AI85" s="196">
        <v>0</v>
      </c>
      <c r="AJ85" s="196">
        <v>0</v>
      </c>
      <c r="AK85" s="196">
        <f>SUM(Tabela99[[#This Row],[2026]:[2030]])</f>
        <v>470000</v>
      </c>
      <c r="AL85" s="300">
        <v>0</v>
      </c>
      <c r="AM85" s="196">
        <v>0</v>
      </c>
      <c r="AN85" s="196">
        <v>0</v>
      </c>
      <c r="AO85" s="196">
        <v>0</v>
      </c>
      <c r="AP85" s="196">
        <v>0</v>
      </c>
      <c r="AQ85" s="301">
        <f>SUM(Tabela99[[#This Row],[2026-2030]:[2035]])</f>
        <v>470000</v>
      </c>
      <c r="AS85" s="2" t="s">
        <v>2055</v>
      </c>
      <c r="AT85" s="2" t="s">
        <v>1772</v>
      </c>
      <c r="AU85" s="2" t="s">
        <v>2041</v>
      </c>
      <c r="AW85" s="2" t="s">
        <v>1603</v>
      </c>
      <c r="AZ85" s="2" t="s">
        <v>2056</v>
      </c>
    </row>
    <row r="86" spans="1:52" ht="24.75" customHeight="1" x14ac:dyDescent="0.35">
      <c r="A86" s="184"/>
      <c r="B86" s="185" t="e" cm="1">
        <f t="array" ref="B86">AND(ISTEXT('Consolidado-Eletronorte'!#REF!),SUM('Consolidado-Eletronorte'!#REF!)&gt;0)</f>
        <v>#REF!</v>
      </c>
      <c r="C86" s="186" t="str">
        <f t="shared" ca="1" si="3"/>
        <v>Capex Orcamentário_PE2026_2030_red_35_porcentoR3_consulta.xlsx</v>
      </c>
      <c r="D86" s="187" t="str">
        <f t="shared" si="4"/>
        <v>COO</v>
      </c>
      <c r="E86" s="187" t="str">
        <f t="shared" si="5"/>
        <v>Lucas Martins</v>
      </c>
      <c r="F86" s="188"/>
      <c r="G86" s="188" t="e">
        <f>_xlfn.CONCAT('Consolidado-Eletronorte'!#REF!,"_",ROW('Consolidado-Eletronorte'!#REF!)-ROW('Consolidado-Eletronorte'!$G$18))</f>
        <v>#REF!</v>
      </c>
      <c r="H86" s="288" t="s">
        <v>506</v>
      </c>
      <c r="I86" s="189" t="s">
        <v>1024</v>
      </c>
      <c r="J86" s="190" t="s">
        <v>508</v>
      </c>
      <c r="K86" s="189" t="s">
        <v>1741</v>
      </c>
      <c r="L86" s="189" t="s">
        <v>2019</v>
      </c>
      <c r="M86" s="189" t="s">
        <v>2052</v>
      </c>
      <c r="N86" s="189"/>
      <c r="O86" s="189"/>
      <c r="P86" s="189"/>
      <c r="Q86" s="191" t="s">
        <v>2074</v>
      </c>
      <c r="R86" s="191" t="s">
        <v>2075</v>
      </c>
      <c r="S86" s="189" t="s">
        <v>1832</v>
      </c>
      <c r="T86" s="192">
        <v>0</v>
      </c>
      <c r="U86" s="193">
        <v>0</v>
      </c>
      <c r="V86" s="193">
        <v>0</v>
      </c>
      <c r="W86" s="193">
        <v>0</v>
      </c>
      <c r="X86" s="192">
        <v>0</v>
      </c>
      <c r="Y86" s="192">
        <v>0</v>
      </c>
      <c r="Z86" s="194">
        <v>0</v>
      </c>
      <c r="AA86" s="194">
        <v>0</v>
      </c>
      <c r="AB86" s="194">
        <v>0</v>
      </c>
      <c r="AC86" s="194">
        <v>0</v>
      </c>
      <c r="AD86" s="194">
        <v>0</v>
      </c>
      <c r="AE86" s="194">
        <v>0</v>
      </c>
      <c r="AF86" s="194">
        <f>SUM(Tabela99[[#This Row],[jan/26]:[dez/26]])</f>
        <v>0</v>
      </c>
      <c r="AG86" s="194">
        <v>470000</v>
      </c>
      <c r="AH86" s="194">
        <v>0</v>
      </c>
      <c r="AI86" s="194">
        <v>0</v>
      </c>
      <c r="AJ86" s="194">
        <v>0</v>
      </c>
      <c r="AK86" s="194">
        <f>SUM(Tabela99[[#This Row],[2026]:[2030]])</f>
        <v>470000</v>
      </c>
      <c r="AL86" s="193">
        <v>0</v>
      </c>
      <c r="AM86" s="194">
        <v>0</v>
      </c>
      <c r="AN86" s="194">
        <v>0</v>
      </c>
      <c r="AO86" s="194">
        <v>0</v>
      </c>
      <c r="AP86" s="194">
        <v>0</v>
      </c>
      <c r="AQ86" s="195">
        <f>SUM(Tabela99[[#This Row],[2026-2030]:[2035]])</f>
        <v>470000</v>
      </c>
      <c r="AS86" s="2" t="s">
        <v>2055</v>
      </c>
      <c r="AT86" s="2" t="s">
        <v>1772</v>
      </c>
      <c r="AU86" s="2" t="s">
        <v>2041</v>
      </c>
      <c r="AW86" s="2" t="s">
        <v>1603</v>
      </c>
      <c r="AZ86" s="2" t="s">
        <v>2076</v>
      </c>
    </row>
    <row r="87" spans="1:52" ht="24.75" customHeight="1" x14ac:dyDescent="0.35">
      <c r="A87" s="280"/>
      <c r="B87" s="185" t="e" cm="1">
        <f t="array" ref="B87">AND(ISTEXT('Consolidado-Eletronorte'!#REF!),SUM('Consolidado-Eletronorte'!#REF!)&gt;0)</f>
        <v>#REF!</v>
      </c>
      <c r="C87" s="281" t="str">
        <f t="shared" ca="1" si="3"/>
        <v>Capex Orcamentário_PE2026_2030_red_35_porcentoR3_consulta.xlsx</v>
      </c>
      <c r="D87" s="282" t="str">
        <f t="shared" si="4"/>
        <v>COO</v>
      </c>
      <c r="E87" s="282" t="str">
        <f t="shared" si="5"/>
        <v>Lucas Martins</v>
      </c>
      <c r="F87" s="283"/>
      <c r="G87" s="283" t="e">
        <f>_xlfn.CONCAT('Consolidado-Eletronorte'!#REF!,"_",ROW('Consolidado-Eletronorte'!#REF!)-ROW('Consolidado-Eletronorte'!$G$18))</f>
        <v>#REF!</v>
      </c>
      <c r="H87" s="284" t="s">
        <v>506</v>
      </c>
      <c r="I87" s="285" t="s">
        <v>1024</v>
      </c>
      <c r="J87" s="286" t="s">
        <v>508</v>
      </c>
      <c r="K87" s="285" t="s">
        <v>1741</v>
      </c>
      <c r="L87" s="285" t="s">
        <v>2019</v>
      </c>
      <c r="M87" s="285" t="s">
        <v>2052</v>
      </c>
      <c r="N87" s="285"/>
      <c r="O87" s="285"/>
      <c r="P87" s="285"/>
      <c r="Q87" s="287" t="s">
        <v>2077</v>
      </c>
      <c r="R87" s="287" t="s">
        <v>2078</v>
      </c>
      <c r="S87" s="285" t="s">
        <v>1958</v>
      </c>
      <c r="T87" s="299">
        <v>0</v>
      </c>
      <c r="U87" s="300">
        <v>0</v>
      </c>
      <c r="V87" s="300">
        <v>0</v>
      </c>
      <c r="W87" s="300">
        <v>0</v>
      </c>
      <c r="X87" s="299">
        <v>0</v>
      </c>
      <c r="Y87" s="299">
        <v>0</v>
      </c>
      <c r="Z87" s="196">
        <v>0</v>
      </c>
      <c r="AA87" s="196">
        <v>0</v>
      </c>
      <c r="AB87" s="196">
        <v>0</v>
      </c>
      <c r="AC87" s="196">
        <v>0</v>
      </c>
      <c r="AD87" s="196">
        <v>0</v>
      </c>
      <c r="AE87" s="196">
        <v>0</v>
      </c>
      <c r="AF87" s="196">
        <f>SUM(Tabela99[[#This Row],[jan/26]:[dez/26]])</f>
        <v>0</v>
      </c>
      <c r="AG87" s="196">
        <v>470000</v>
      </c>
      <c r="AH87" s="196">
        <v>0</v>
      </c>
      <c r="AI87" s="196">
        <v>0</v>
      </c>
      <c r="AJ87" s="196">
        <v>0</v>
      </c>
      <c r="AK87" s="196">
        <f>SUM(Tabela99[[#This Row],[2026]:[2030]])</f>
        <v>470000</v>
      </c>
      <c r="AL87" s="300">
        <v>0</v>
      </c>
      <c r="AM87" s="196">
        <v>0</v>
      </c>
      <c r="AN87" s="196">
        <v>0</v>
      </c>
      <c r="AO87" s="196">
        <v>0</v>
      </c>
      <c r="AP87" s="196">
        <v>0</v>
      </c>
      <c r="AQ87" s="301">
        <f>SUM(Tabela99[[#This Row],[2026-2030]:[2035]])</f>
        <v>470000</v>
      </c>
      <c r="AS87" s="2" t="s">
        <v>2055</v>
      </c>
      <c r="AT87" s="2" t="s">
        <v>1772</v>
      </c>
      <c r="AU87" s="2" t="s">
        <v>2041</v>
      </c>
      <c r="AW87" s="2" t="s">
        <v>1603</v>
      </c>
      <c r="AZ87" s="2" t="s">
        <v>2063</v>
      </c>
    </row>
    <row r="88" spans="1:52" ht="24.75" customHeight="1" x14ac:dyDescent="0.35">
      <c r="A88" s="184"/>
      <c r="B88" s="185" t="e" cm="1">
        <f t="array" ref="B88">AND(ISTEXT('Consolidado-Eletronorte'!#REF!),SUM('Consolidado-Eletronorte'!#REF!)&gt;0)</f>
        <v>#REF!</v>
      </c>
      <c r="C88" s="186" t="str">
        <f t="shared" ca="1" si="3"/>
        <v>Capex Orcamentário_PE2026_2030_red_35_porcentoR3_consulta.xlsx</v>
      </c>
      <c r="D88" s="187" t="str">
        <f t="shared" si="4"/>
        <v>COO</v>
      </c>
      <c r="E88" s="187" t="str">
        <f t="shared" si="5"/>
        <v>Lucas Martins</v>
      </c>
      <c r="F88" s="188"/>
      <c r="G88" s="188" t="e">
        <f>_xlfn.CONCAT('Consolidado-Eletronorte'!#REF!,"_",ROW('Consolidado-Eletronorte'!#REF!)-ROW('Consolidado-Eletronorte'!$G$18))</f>
        <v>#REF!</v>
      </c>
      <c r="H88" s="288" t="s">
        <v>506</v>
      </c>
      <c r="I88" s="189" t="s">
        <v>1024</v>
      </c>
      <c r="J88" s="190" t="s">
        <v>508</v>
      </c>
      <c r="K88" s="189" t="s">
        <v>1741</v>
      </c>
      <c r="L88" s="189" t="s">
        <v>2019</v>
      </c>
      <c r="M88" s="189" t="s">
        <v>2052</v>
      </c>
      <c r="N88" s="189"/>
      <c r="O88" s="189"/>
      <c r="P88" s="189"/>
      <c r="Q88" s="191" t="s">
        <v>2079</v>
      </c>
      <c r="R88" s="191" t="s">
        <v>2080</v>
      </c>
      <c r="S88" s="189" t="s">
        <v>1824</v>
      </c>
      <c r="T88" s="192">
        <v>0</v>
      </c>
      <c r="U88" s="193">
        <v>0</v>
      </c>
      <c r="V88" s="193">
        <v>0</v>
      </c>
      <c r="W88" s="193">
        <v>0</v>
      </c>
      <c r="X88" s="192">
        <v>0</v>
      </c>
      <c r="Y88" s="192">
        <v>0</v>
      </c>
      <c r="Z88" s="194">
        <v>0</v>
      </c>
      <c r="AA88" s="194">
        <v>0</v>
      </c>
      <c r="AB88" s="194">
        <v>0</v>
      </c>
      <c r="AC88" s="194">
        <v>0</v>
      </c>
      <c r="AD88" s="194">
        <v>0</v>
      </c>
      <c r="AE88" s="194">
        <v>0</v>
      </c>
      <c r="AF88" s="194">
        <f>SUM(Tabela99[[#This Row],[jan/26]:[dez/26]])</f>
        <v>0</v>
      </c>
      <c r="AG88" s="194">
        <v>470000</v>
      </c>
      <c r="AH88" s="194">
        <v>0</v>
      </c>
      <c r="AI88" s="194">
        <v>0</v>
      </c>
      <c r="AJ88" s="194">
        <v>0</v>
      </c>
      <c r="AK88" s="194">
        <f>SUM(Tabela99[[#This Row],[2026]:[2030]])</f>
        <v>470000</v>
      </c>
      <c r="AL88" s="193">
        <v>0</v>
      </c>
      <c r="AM88" s="194">
        <v>0</v>
      </c>
      <c r="AN88" s="194">
        <v>0</v>
      </c>
      <c r="AO88" s="194">
        <v>0</v>
      </c>
      <c r="AP88" s="194">
        <v>0</v>
      </c>
      <c r="AQ88" s="195">
        <f>SUM(Tabela99[[#This Row],[2026-2030]:[2035]])</f>
        <v>470000</v>
      </c>
      <c r="AS88" s="2" t="s">
        <v>2055</v>
      </c>
      <c r="AT88" s="2" t="s">
        <v>1772</v>
      </c>
      <c r="AU88" s="2" t="s">
        <v>2041</v>
      </c>
      <c r="AW88" s="2" t="s">
        <v>1603</v>
      </c>
      <c r="AZ88" s="2" t="s">
        <v>2076</v>
      </c>
    </row>
    <row r="89" spans="1:52" ht="24.75" customHeight="1" x14ac:dyDescent="0.35">
      <c r="A89" s="280"/>
      <c r="B89" s="185" t="e" cm="1">
        <f t="array" ref="B89">AND(ISTEXT('Consolidado-Eletronorte'!#REF!),SUM('Consolidado-Eletronorte'!#REF!)&gt;0)</f>
        <v>#REF!</v>
      </c>
      <c r="C89" s="281" t="str">
        <f t="shared" ca="1" si="3"/>
        <v>Capex Orcamentário_PE2026_2030_red_35_porcentoR3_consulta.xlsx</v>
      </c>
      <c r="D89" s="282" t="str">
        <f t="shared" si="4"/>
        <v>COO</v>
      </c>
      <c r="E89" s="282" t="str">
        <f t="shared" si="5"/>
        <v>Lucas Martins</v>
      </c>
      <c r="F89" s="283"/>
      <c r="G89" s="283" t="e">
        <f>_xlfn.CONCAT('Consolidado-Eletronorte'!#REF!,"_",ROW('Consolidado-Eletronorte'!#REF!)-ROW('Consolidado-Eletronorte'!$G$18))</f>
        <v>#REF!</v>
      </c>
      <c r="H89" s="284" t="s">
        <v>506</v>
      </c>
      <c r="I89" s="285" t="s">
        <v>1024</v>
      </c>
      <c r="J89" s="286" t="s">
        <v>508</v>
      </c>
      <c r="K89" s="285" t="s">
        <v>1821</v>
      </c>
      <c r="L89" s="285" t="s">
        <v>1828</v>
      </c>
      <c r="M89" s="285" t="s">
        <v>1883</v>
      </c>
      <c r="N89" s="285"/>
      <c r="O89" s="285"/>
      <c r="P89" s="285"/>
      <c r="Q89" s="287" t="s">
        <v>2081</v>
      </c>
      <c r="R89" s="287" t="s">
        <v>2081</v>
      </c>
      <c r="S89" s="285" t="s">
        <v>1885</v>
      </c>
      <c r="T89" s="299">
        <v>0</v>
      </c>
      <c r="U89" s="300">
        <v>0</v>
      </c>
      <c r="V89" s="300">
        <v>0</v>
      </c>
      <c r="W89" s="300">
        <v>0</v>
      </c>
      <c r="X89" s="299">
        <v>0</v>
      </c>
      <c r="Y89" s="299">
        <v>0</v>
      </c>
      <c r="Z89" s="196">
        <v>0</v>
      </c>
      <c r="AA89" s="196">
        <v>0</v>
      </c>
      <c r="AB89" s="196">
        <v>0</v>
      </c>
      <c r="AC89" s="196">
        <v>0</v>
      </c>
      <c r="AD89" s="196">
        <v>0</v>
      </c>
      <c r="AE89" s="196">
        <v>0</v>
      </c>
      <c r="AF89" s="196">
        <f>SUM(Tabela99[[#This Row],[jan/26]:[dez/26]])</f>
        <v>0</v>
      </c>
      <c r="AG89" s="196">
        <v>450000</v>
      </c>
      <c r="AH89" s="196">
        <v>0</v>
      </c>
      <c r="AI89" s="196">
        <v>0</v>
      </c>
      <c r="AJ89" s="196">
        <v>0</v>
      </c>
      <c r="AK89" s="196">
        <f>SUM(Tabela99[[#This Row],[2026]:[2030]])</f>
        <v>450000</v>
      </c>
      <c r="AL89" s="300">
        <v>0</v>
      </c>
      <c r="AM89" s="196">
        <v>0</v>
      </c>
      <c r="AN89" s="196">
        <v>0</v>
      </c>
      <c r="AO89" s="196">
        <v>0</v>
      </c>
      <c r="AP89" s="196">
        <v>0</v>
      </c>
      <c r="AQ89" s="301">
        <f>SUM(Tabela99[[#This Row],[2026-2030]:[2035]])</f>
        <v>450000</v>
      </c>
      <c r="AS89" s="2" t="s">
        <v>1886</v>
      </c>
      <c r="AT89" s="2">
        <v>2025</v>
      </c>
      <c r="AU89" s="2" t="s">
        <v>2041</v>
      </c>
      <c r="AW89" s="2" t="s">
        <v>1854</v>
      </c>
      <c r="AZ89" s="2" t="s">
        <v>1887</v>
      </c>
    </row>
    <row r="90" spans="1:52" ht="24.75" customHeight="1" x14ac:dyDescent="0.35">
      <c r="A90" s="184"/>
      <c r="B90" s="185" t="e" cm="1">
        <f t="array" ref="B90">AND(ISTEXT('Consolidado-Eletronorte'!#REF!),SUM('Consolidado-Eletronorte'!#REF!)&gt;0)</f>
        <v>#REF!</v>
      </c>
      <c r="C90" s="186" t="str">
        <f t="shared" ca="1" si="3"/>
        <v>Capex Orcamentário_PE2026_2030_red_35_porcentoR3_consulta.xlsx</v>
      </c>
      <c r="D90" s="187" t="str">
        <f t="shared" si="4"/>
        <v>COO</v>
      </c>
      <c r="E90" s="187" t="str">
        <f t="shared" si="5"/>
        <v>Lucas Martins</v>
      </c>
      <c r="F90" s="188"/>
      <c r="G90" s="188" t="e">
        <f>_xlfn.CONCAT('Consolidado-Eletronorte'!#REF!,"_",ROW('Consolidado-Eletronorte'!#REF!)-ROW('Consolidado-Eletronorte'!$G$18))</f>
        <v>#REF!</v>
      </c>
      <c r="H90" s="279" t="s">
        <v>506</v>
      </c>
      <c r="I90" s="189" t="s">
        <v>1024</v>
      </c>
      <c r="J90" s="190" t="s">
        <v>508</v>
      </c>
      <c r="K90" s="189" t="s">
        <v>1821</v>
      </c>
      <c r="L90" s="189" t="s">
        <v>1828</v>
      </c>
      <c r="M90" s="189" t="s">
        <v>2082</v>
      </c>
      <c r="N90" s="189"/>
      <c r="O90" s="189"/>
      <c r="P90" s="189"/>
      <c r="Q90" s="191" t="s">
        <v>2083</v>
      </c>
      <c r="R90" s="191" t="s">
        <v>2084</v>
      </c>
      <c r="S90" s="189" t="s">
        <v>2085</v>
      </c>
      <c r="T90" s="192">
        <v>0</v>
      </c>
      <c r="U90" s="193">
        <v>0</v>
      </c>
      <c r="V90" s="193">
        <v>0</v>
      </c>
      <c r="W90" s="193">
        <v>0</v>
      </c>
      <c r="X90" s="192">
        <v>0</v>
      </c>
      <c r="Y90" s="192">
        <v>0</v>
      </c>
      <c r="Z90" s="194">
        <v>0</v>
      </c>
      <c r="AA90" s="194">
        <v>0</v>
      </c>
      <c r="AB90" s="194">
        <v>0</v>
      </c>
      <c r="AC90" s="194">
        <v>0</v>
      </c>
      <c r="AD90" s="194">
        <v>0</v>
      </c>
      <c r="AE90" s="194">
        <v>0</v>
      </c>
      <c r="AF90" s="194">
        <f>SUM(Tabela99[[#This Row],[jan/26]:[dez/26]])</f>
        <v>0</v>
      </c>
      <c r="AG90" s="194">
        <v>450000</v>
      </c>
      <c r="AH90" s="194">
        <v>0</v>
      </c>
      <c r="AI90" s="194">
        <v>0</v>
      </c>
      <c r="AJ90" s="194">
        <v>0</v>
      </c>
      <c r="AK90" s="194">
        <f>SUM(Tabela99[[#This Row],[2026]:[2030]])</f>
        <v>450000</v>
      </c>
      <c r="AL90" s="193">
        <v>0</v>
      </c>
      <c r="AM90" s="194">
        <v>0</v>
      </c>
      <c r="AN90" s="194">
        <v>0</v>
      </c>
      <c r="AO90" s="194">
        <v>0</v>
      </c>
      <c r="AP90" s="194">
        <v>0</v>
      </c>
      <c r="AQ90" s="195">
        <f>SUM(Tabela99[[#This Row],[2026-2030]:[2035]])</f>
        <v>450000</v>
      </c>
      <c r="AS90" s="2" t="s">
        <v>1886</v>
      </c>
      <c r="AT90" s="2">
        <v>2025</v>
      </c>
      <c r="AU90" s="2" t="s">
        <v>2041</v>
      </c>
      <c r="AW90" s="2" t="s">
        <v>1854</v>
      </c>
      <c r="AZ90" s="2" t="s">
        <v>2086</v>
      </c>
    </row>
    <row r="91" spans="1:52" ht="24.75" customHeight="1" x14ac:dyDescent="0.35">
      <c r="A91" s="184"/>
      <c r="B91" s="185" t="e" cm="1">
        <f t="array" ref="B91">AND(ISTEXT('Consolidado-Eletronorte'!#REF!),SUM('Consolidado-Eletronorte'!#REF!)&gt;0)</f>
        <v>#REF!</v>
      </c>
      <c r="C91" s="186" t="str">
        <f t="shared" ca="1" si="3"/>
        <v>Capex Orcamentário_PE2026_2030_red_35_porcentoR3_consulta.xlsx</v>
      </c>
      <c r="D91" s="187" t="str">
        <f t="shared" si="4"/>
        <v>COO</v>
      </c>
      <c r="E91" s="187" t="str">
        <f t="shared" si="5"/>
        <v>Lucas Martins</v>
      </c>
      <c r="F91" s="188"/>
      <c r="G91" s="188" t="e">
        <f>_xlfn.CONCAT('Consolidado-Eletronorte'!#REF!,"_",ROW('Consolidado-Eletronorte'!#REF!)-ROW('Consolidado-Eletronorte'!$G$18))</f>
        <v>#REF!</v>
      </c>
      <c r="H91" s="279" t="s">
        <v>506</v>
      </c>
      <c r="I91" s="189" t="s">
        <v>1024</v>
      </c>
      <c r="J91" s="190" t="s">
        <v>508</v>
      </c>
      <c r="K91" s="189" t="s">
        <v>1821</v>
      </c>
      <c r="L91" s="189" t="s">
        <v>1828</v>
      </c>
      <c r="M91" s="189" t="s">
        <v>2049</v>
      </c>
      <c r="N91" s="189"/>
      <c r="O91" s="189"/>
      <c r="P91" s="189"/>
      <c r="Q91" s="191" t="s">
        <v>2087</v>
      </c>
      <c r="R91" s="191" t="s">
        <v>2044</v>
      </c>
      <c r="S91" s="189" t="s">
        <v>2051</v>
      </c>
      <c r="T91" s="192">
        <v>0</v>
      </c>
      <c r="U91" s="193">
        <v>0</v>
      </c>
      <c r="V91" s="193">
        <v>0</v>
      </c>
      <c r="W91" s="193">
        <v>0</v>
      </c>
      <c r="X91" s="192">
        <v>0</v>
      </c>
      <c r="Y91" s="192">
        <v>0</v>
      </c>
      <c r="Z91" s="194">
        <v>0</v>
      </c>
      <c r="AA91" s="194">
        <v>0</v>
      </c>
      <c r="AB91" s="194">
        <v>0</v>
      </c>
      <c r="AC91" s="194">
        <v>0</v>
      </c>
      <c r="AD91" s="194">
        <v>0</v>
      </c>
      <c r="AE91" s="194">
        <v>100000</v>
      </c>
      <c r="AF91" s="194">
        <f>SUM(Tabela99[[#This Row],[jan/26]:[dez/26]])</f>
        <v>100000</v>
      </c>
      <c r="AG91" s="194">
        <v>400000</v>
      </c>
      <c r="AH91" s="194">
        <v>0</v>
      </c>
      <c r="AI91" s="194">
        <v>0</v>
      </c>
      <c r="AJ91" s="194">
        <v>0</v>
      </c>
      <c r="AK91" s="194">
        <f>SUM(Tabela99[[#This Row],[2026]:[2030]])</f>
        <v>500000</v>
      </c>
      <c r="AL91" s="193">
        <v>0</v>
      </c>
      <c r="AM91" s="194">
        <v>0</v>
      </c>
      <c r="AN91" s="194">
        <v>0</v>
      </c>
      <c r="AO91" s="194">
        <v>0</v>
      </c>
      <c r="AP91" s="194">
        <v>0</v>
      </c>
      <c r="AQ91" s="195">
        <f>SUM(Tabela99[[#This Row],[2026-2030]:[2035]])</f>
        <v>500000</v>
      </c>
      <c r="AS91" s="2" t="s">
        <v>1833</v>
      </c>
      <c r="AT91" s="2" t="s">
        <v>1772</v>
      </c>
      <c r="AU91" s="2" t="s">
        <v>2041</v>
      </c>
      <c r="AW91" s="2" t="s">
        <v>1854</v>
      </c>
      <c r="AZ91" s="2" t="s">
        <v>1835</v>
      </c>
    </row>
    <row r="92" spans="1:52" ht="24.75" customHeight="1" x14ac:dyDescent="0.35">
      <c r="A92" s="184"/>
      <c r="B92" s="185" t="e" cm="1">
        <f t="array" ref="B92">AND(ISTEXT('Consolidado-Eletronorte'!#REF!),SUM('Consolidado-Eletronorte'!#REF!)&gt;0)</f>
        <v>#REF!</v>
      </c>
      <c r="C92" s="186" t="str">
        <f t="shared" ca="1" si="3"/>
        <v>Capex Orcamentário_PE2026_2030_red_35_porcentoR3_consulta.xlsx</v>
      </c>
      <c r="D92" s="187" t="str">
        <f t="shared" si="4"/>
        <v>COO</v>
      </c>
      <c r="E92" s="187" t="str">
        <f t="shared" si="5"/>
        <v>Lucas Martins</v>
      </c>
      <c r="F92" s="188"/>
      <c r="G92" s="188" t="e">
        <f>_xlfn.CONCAT('Consolidado-Eletronorte'!#REF!,"_",ROW('Consolidado-Eletronorte'!#REF!)-ROW('Consolidado-Eletronorte'!$G$18))</f>
        <v>#REF!</v>
      </c>
      <c r="H92" s="279" t="s">
        <v>506</v>
      </c>
      <c r="I92" s="189" t="s">
        <v>1024</v>
      </c>
      <c r="J92" s="190" t="s">
        <v>508</v>
      </c>
      <c r="K92" s="189" t="s">
        <v>1741</v>
      </c>
      <c r="L92" s="189" t="s">
        <v>2019</v>
      </c>
      <c r="M92" s="189" t="s">
        <v>2052</v>
      </c>
      <c r="N92" s="189"/>
      <c r="O92" s="189"/>
      <c r="P92" s="189"/>
      <c r="Q92" s="191" t="s">
        <v>2088</v>
      </c>
      <c r="R92" s="191" t="s">
        <v>2089</v>
      </c>
      <c r="S92" s="189" t="s">
        <v>1824</v>
      </c>
      <c r="T92" s="192">
        <v>0</v>
      </c>
      <c r="U92" s="193">
        <v>0</v>
      </c>
      <c r="V92" s="193">
        <v>0</v>
      </c>
      <c r="W92" s="193">
        <v>0</v>
      </c>
      <c r="X92" s="192">
        <v>0</v>
      </c>
      <c r="Y92" s="192">
        <v>438125</v>
      </c>
      <c r="Z92" s="194">
        <v>0</v>
      </c>
      <c r="AA92" s="194">
        <v>0</v>
      </c>
      <c r="AB92" s="194">
        <v>0</v>
      </c>
      <c r="AC92" s="194">
        <v>0</v>
      </c>
      <c r="AD92" s="194">
        <v>0</v>
      </c>
      <c r="AE92" s="194">
        <v>0</v>
      </c>
      <c r="AF92" s="194">
        <f>SUM(Tabela99[[#This Row],[jan/26]:[dez/26]])</f>
        <v>438125</v>
      </c>
      <c r="AG92" s="194">
        <v>216931</v>
      </c>
      <c r="AH92" s="194">
        <v>0</v>
      </c>
      <c r="AI92" s="194">
        <v>0</v>
      </c>
      <c r="AJ92" s="194">
        <v>0</v>
      </c>
      <c r="AK92" s="194">
        <f>SUM(Tabela99[[#This Row],[2026]:[2030]])</f>
        <v>655056</v>
      </c>
      <c r="AL92" s="193">
        <v>0</v>
      </c>
      <c r="AM92" s="194">
        <v>0</v>
      </c>
      <c r="AN92" s="194">
        <v>0</v>
      </c>
      <c r="AO92" s="194">
        <v>0</v>
      </c>
      <c r="AP92" s="194">
        <v>0</v>
      </c>
      <c r="AQ92" s="195">
        <f>SUM(Tabela99[[#This Row],[2026-2030]:[2035]])</f>
        <v>655056</v>
      </c>
      <c r="AS92" s="2" t="s">
        <v>2055</v>
      </c>
      <c r="AT92" s="2" t="s">
        <v>1772</v>
      </c>
      <c r="AU92" s="2" t="s">
        <v>2041</v>
      </c>
      <c r="AW92" s="2" t="s">
        <v>1603</v>
      </c>
      <c r="AZ92" s="2" t="s">
        <v>2090</v>
      </c>
    </row>
    <row r="93" spans="1:52" ht="24.75" customHeight="1" x14ac:dyDescent="0.35">
      <c r="A93" s="184"/>
      <c r="B93" s="185" t="e" cm="1">
        <f t="array" ref="B93">AND(ISTEXT('Consolidado-Eletronorte'!#REF!),SUM('Consolidado-Eletronorte'!#REF!)&gt;0)</f>
        <v>#REF!</v>
      </c>
      <c r="C93" s="186" t="str">
        <f t="shared" ca="1" si="3"/>
        <v>Capex Orcamentário_PE2026_2030_red_35_porcentoR3_consulta.xlsx</v>
      </c>
      <c r="D93" s="187" t="str">
        <f t="shared" si="4"/>
        <v>COO</v>
      </c>
      <c r="E93" s="187" t="str">
        <f t="shared" si="5"/>
        <v>Lucas Martins</v>
      </c>
      <c r="F93" s="188"/>
      <c r="G93" s="188" t="e">
        <f>_xlfn.CONCAT('Consolidado-Eletronorte'!#REF!,"_",ROW('Consolidado-Eletronorte'!#REF!)-ROW('Consolidado-Eletronorte'!$G$18))</f>
        <v>#REF!</v>
      </c>
      <c r="H93" s="279" t="s">
        <v>506</v>
      </c>
      <c r="I93" s="189" t="s">
        <v>1024</v>
      </c>
      <c r="J93" s="190" t="s">
        <v>508</v>
      </c>
      <c r="K93" s="189" t="s">
        <v>1741</v>
      </c>
      <c r="L93" s="189" t="s">
        <v>2019</v>
      </c>
      <c r="M93" s="189" t="s">
        <v>2052</v>
      </c>
      <c r="N93" s="189"/>
      <c r="O93" s="189"/>
      <c r="P93" s="189"/>
      <c r="Q93" s="191" t="s">
        <v>2088</v>
      </c>
      <c r="R93" s="191" t="s">
        <v>2089</v>
      </c>
      <c r="S93" s="189" t="s">
        <v>2054</v>
      </c>
      <c r="T93" s="192">
        <v>0</v>
      </c>
      <c r="U93" s="193">
        <v>0</v>
      </c>
      <c r="V93" s="193">
        <v>0</v>
      </c>
      <c r="W93" s="193">
        <v>0</v>
      </c>
      <c r="X93" s="192">
        <v>0</v>
      </c>
      <c r="Y93" s="192">
        <v>434385</v>
      </c>
      <c r="Z93" s="194">
        <v>0</v>
      </c>
      <c r="AA93" s="194">
        <v>0</v>
      </c>
      <c r="AB93" s="194">
        <v>0</v>
      </c>
      <c r="AC93" s="194">
        <v>0</v>
      </c>
      <c r="AD93" s="194">
        <v>0</v>
      </c>
      <c r="AE93" s="194">
        <v>0</v>
      </c>
      <c r="AF93" s="194">
        <f>SUM(Tabela99[[#This Row],[jan/26]:[dez/26]])</f>
        <v>434385</v>
      </c>
      <c r="AG93" s="194">
        <v>213191</v>
      </c>
      <c r="AH93" s="194">
        <v>0</v>
      </c>
      <c r="AI93" s="194">
        <v>0</v>
      </c>
      <c r="AJ93" s="194">
        <v>0</v>
      </c>
      <c r="AK93" s="194">
        <f>SUM(Tabela99[[#This Row],[2026]:[2030]])</f>
        <v>647576</v>
      </c>
      <c r="AL93" s="193">
        <v>0</v>
      </c>
      <c r="AM93" s="194">
        <v>0</v>
      </c>
      <c r="AN93" s="194">
        <v>0</v>
      </c>
      <c r="AO93" s="194">
        <v>0</v>
      </c>
      <c r="AP93" s="194">
        <v>0</v>
      </c>
      <c r="AQ93" s="195">
        <f>SUM(Tabela99[[#This Row],[2026-2030]:[2035]])</f>
        <v>647576</v>
      </c>
      <c r="AS93" s="2" t="s">
        <v>2055</v>
      </c>
      <c r="AT93" s="2" t="s">
        <v>1772</v>
      </c>
      <c r="AU93" s="2" t="s">
        <v>2041</v>
      </c>
      <c r="AW93" s="2" t="s">
        <v>1603</v>
      </c>
      <c r="AZ93" s="2" t="s">
        <v>2090</v>
      </c>
    </row>
    <row r="94" spans="1:52" ht="24.75" customHeight="1" x14ac:dyDescent="0.35">
      <c r="A94" s="184"/>
      <c r="B94" s="185" t="e" cm="1">
        <f t="array" ref="B94">AND(ISTEXT('Consolidado-Eletronorte'!#REF!),SUM('Consolidado-Eletronorte'!#REF!)&gt;0)</f>
        <v>#REF!</v>
      </c>
      <c r="C94" s="186" t="str">
        <f t="shared" ca="1" si="3"/>
        <v>Capex Orcamentário_PE2026_2030_red_35_porcentoR3_consulta.xlsx</v>
      </c>
      <c r="D94" s="187" t="str">
        <f t="shared" si="4"/>
        <v>COO</v>
      </c>
      <c r="E94" s="187" t="str">
        <f t="shared" si="5"/>
        <v>Lucas Martins</v>
      </c>
      <c r="F94" s="188"/>
      <c r="G94" s="188" t="e">
        <f>_xlfn.CONCAT('Consolidado-Eletronorte'!#REF!,"_",ROW('Consolidado-Eletronorte'!#REF!)-ROW('Consolidado-Eletronorte'!$G$18))</f>
        <v>#REF!</v>
      </c>
      <c r="H94" s="279" t="s">
        <v>506</v>
      </c>
      <c r="I94" s="189" t="s">
        <v>1024</v>
      </c>
      <c r="J94" s="190" t="s">
        <v>508</v>
      </c>
      <c r="K94" s="189" t="s">
        <v>1741</v>
      </c>
      <c r="L94" s="189" t="s">
        <v>2019</v>
      </c>
      <c r="M94" s="189" t="s">
        <v>2052</v>
      </c>
      <c r="N94" s="189"/>
      <c r="O94" s="189"/>
      <c r="P94" s="189"/>
      <c r="Q94" s="191" t="s">
        <v>2088</v>
      </c>
      <c r="R94" s="191" t="s">
        <v>2089</v>
      </c>
      <c r="S94" s="189" t="s">
        <v>1832</v>
      </c>
      <c r="T94" s="192">
        <v>0</v>
      </c>
      <c r="U94" s="193">
        <v>0</v>
      </c>
      <c r="V94" s="193">
        <v>0</v>
      </c>
      <c r="W94" s="193">
        <v>0</v>
      </c>
      <c r="X94" s="192">
        <v>0</v>
      </c>
      <c r="Y94" s="192">
        <v>272567</v>
      </c>
      <c r="Z94" s="194">
        <v>0</v>
      </c>
      <c r="AA94" s="194">
        <v>0</v>
      </c>
      <c r="AB94" s="194">
        <v>0</v>
      </c>
      <c r="AC94" s="194">
        <v>0</v>
      </c>
      <c r="AD94" s="194">
        <v>0</v>
      </c>
      <c r="AE94" s="194">
        <v>0</v>
      </c>
      <c r="AF94" s="194">
        <f>SUM(Tabela99[[#This Row],[jan/26]:[dez/26]])</f>
        <v>272567</v>
      </c>
      <c r="AG94" s="194">
        <v>183288</v>
      </c>
      <c r="AH94" s="194">
        <v>0</v>
      </c>
      <c r="AI94" s="194">
        <v>0</v>
      </c>
      <c r="AJ94" s="194">
        <v>0</v>
      </c>
      <c r="AK94" s="194">
        <f>SUM(Tabela99[[#This Row],[2026]:[2030]])</f>
        <v>455855</v>
      </c>
      <c r="AL94" s="193">
        <v>0</v>
      </c>
      <c r="AM94" s="194">
        <v>0</v>
      </c>
      <c r="AN94" s="194">
        <v>0</v>
      </c>
      <c r="AO94" s="194">
        <v>0</v>
      </c>
      <c r="AP94" s="194">
        <v>0</v>
      </c>
      <c r="AQ94" s="195">
        <f>SUM(Tabela99[[#This Row],[2026-2030]:[2035]])</f>
        <v>455855</v>
      </c>
      <c r="AS94" s="2" t="s">
        <v>2055</v>
      </c>
      <c r="AT94" s="2" t="s">
        <v>1772</v>
      </c>
      <c r="AU94" s="2" t="s">
        <v>2041</v>
      </c>
      <c r="AW94" s="2" t="s">
        <v>1603</v>
      </c>
      <c r="AZ94" s="2" t="s">
        <v>2090</v>
      </c>
    </row>
    <row r="95" spans="1:52" ht="24.75" customHeight="1" x14ac:dyDescent="0.35">
      <c r="A95" s="184"/>
      <c r="B95" s="185" t="e" cm="1">
        <f t="array" ref="B95">AND(ISTEXT('Consolidado-Eletronorte'!#REF!),SUM('Consolidado-Eletronorte'!#REF!)&gt;0)</f>
        <v>#REF!</v>
      </c>
      <c r="C95" s="186" t="str">
        <f t="shared" ca="1" si="3"/>
        <v>Capex Orcamentário_PE2026_2030_red_35_porcentoR3_consulta.xlsx</v>
      </c>
      <c r="D95" s="187" t="str">
        <f t="shared" si="4"/>
        <v>COO</v>
      </c>
      <c r="E95" s="187" t="str">
        <f t="shared" si="5"/>
        <v>Lucas Martins</v>
      </c>
      <c r="F95" s="188"/>
      <c r="G95" s="188" t="e">
        <f>_xlfn.CONCAT('Consolidado-Eletronorte'!#REF!,"_",ROW('Consolidado-Eletronorte'!#REF!)-ROW('Consolidado-Eletronorte'!$G$18))</f>
        <v>#REF!</v>
      </c>
      <c r="H95" s="279" t="s">
        <v>506</v>
      </c>
      <c r="I95" s="189" t="s">
        <v>1024</v>
      </c>
      <c r="J95" s="190" t="s">
        <v>508</v>
      </c>
      <c r="K95" s="189" t="s">
        <v>1821</v>
      </c>
      <c r="L95" s="189" t="s">
        <v>1828</v>
      </c>
      <c r="M95" s="189" t="s">
        <v>2049</v>
      </c>
      <c r="N95" s="189"/>
      <c r="O95" s="189"/>
      <c r="P95" s="189"/>
      <c r="Q95" s="191" t="s">
        <v>2091</v>
      </c>
      <c r="R95" s="191" t="s">
        <v>2044</v>
      </c>
      <c r="S95" s="189" t="s">
        <v>2051</v>
      </c>
      <c r="T95" s="192">
        <v>0</v>
      </c>
      <c r="U95" s="193">
        <v>0</v>
      </c>
      <c r="V95" s="193">
        <v>0</v>
      </c>
      <c r="W95" s="193">
        <v>0</v>
      </c>
      <c r="X95" s="192">
        <v>0</v>
      </c>
      <c r="Y95" s="192">
        <v>0</v>
      </c>
      <c r="Z95" s="194">
        <v>0</v>
      </c>
      <c r="AA95" s="194">
        <v>0</v>
      </c>
      <c r="AB95" s="194">
        <v>0</v>
      </c>
      <c r="AC95" s="194">
        <v>0</v>
      </c>
      <c r="AD95" s="194">
        <v>0</v>
      </c>
      <c r="AE95" s="194">
        <v>0</v>
      </c>
      <c r="AF95" s="194">
        <f>SUM(Tabela99[[#This Row],[jan/26]:[dez/26]])</f>
        <v>0</v>
      </c>
      <c r="AG95" s="194">
        <v>150000</v>
      </c>
      <c r="AH95" s="194">
        <v>0</v>
      </c>
      <c r="AI95" s="194">
        <v>0</v>
      </c>
      <c r="AJ95" s="194">
        <v>0</v>
      </c>
      <c r="AK95" s="194">
        <f>SUM(Tabela99[[#This Row],[2026]:[2030]])</f>
        <v>150000</v>
      </c>
      <c r="AL95" s="193">
        <v>0</v>
      </c>
      <c r="AM95" s="194">
        <v>0</v>
      </c>
      <c r="AN95" s="194">
        <v>0</v>
      </c>
      <c r="AO95" s="194">
        <v>0</v>
      </c>
      <c r="AP95" s="194">
        <v>0</v>
      </c>
      <c r="AQ95" s="195">
        <f>SUM(Tabela99[[#This Row],[2026-2030]:[2035]])</f>
        <v>150000</v>
      </c>
      <c r="AS95" s="2" t="s">
        <v>1833</v>
      </c>
      <c r="AT95" s="2" t="s">
        <v>1772</v>
      </c>
      <c r="AU95" s="2" t="s">
        <v>2041</v>
      </c>
      <c r="AW95" s="2" t="s">
        <v>1854</v>
      </c>
      <c r="AZ95" s="2" t="s">
        <v>1835</v>
      </c>
    </row>
    <row r="96" spans="1:52" ht="24.75" customHeight="1" x14ac:dyDescent="0.35">
      <c r="A96" s="184"/>
      <c r="B96" s="185" t="e" cm="1">
        <f t="array" ref="B96">AND(ISTEXT('Consolidado-Eletronorte'!#REF!),SUM('Consolidado-Eletronorte'!#REF!)&gt;0)</f>
        <v>#REF!</v>
      </c>
      <c r="C96" s="186" t="str">
        <f t="shared" ca="1" si="3"/>
        <v>Capex Orcamentário_PE2026_2030_red_35_porcentoR3_consulta.xlsx</v>
      </c>
      <c r="D96" s="187" t="str">
        <f t="shared" si="4"/>
        <v>COO</v>
      </c>
      <c r="E96" s="187" t="str">
        <f t="shared" si="5"/>
        <v>Lucas Martins</v>
      </c>
      <c r="F96" s="188"/>
      <c r="G96" s="188" t="e">
        <f>_xlfn.CONCAT('Consolidado-Eletronorte'!#REF!,"_",ROW('Consolidado-Eletronorte'!#REF!)-ROW('Consolidado-Eletronorte'!$G$18))</f>
        <v>#REF!</v>
      </c>
      <c r="H96" s="279" t="s">
        <v>506</v>
      </c>
      <c r="I96" s="189" t="s">
        <v>1024</v>
      </c>
      <c r="J96" s="190" t="s">
        <v>508</v>
      </c>
      <c r="K96" s="189" t="s">
        <v>1741</v>
      </c>
      <c r="L96" s="189" t="s">
        <v>2019</v>
      </c>
      <c r="M96" s="189" t="s">
        <v>2052</v>
      </c>
      <c r="N96" s="189"/>
      <c r="O96" s="189"/>
      <c r="P96" s="189"/>
      <c r="Q96" s="191" t="s">
        <v>2088</v>
      </c>
      <c r="R96" s="191" t="s">
        <v>2089</v>
      </c>
      <c r="S96" s="189" t="s">
        <v>1861</v>
      </c>
      <c r="T96" s="192">
        <v>0</v>
      </c>
      <c r="U96" s="193">
        <v>0</v>
      </c>
      <c r="V96" s="193">
        <v>0</v>
      </c>
      <c r="W96" s="193">
        <v>0</v>
      </c>
      <c r="X96" s="192">
        <v>0</v>
      </c>
      <c r="Y96" s="192">
        <v>513070</v>
      </c>
      <c r="Z96" s="194">
        <v>0</v>
      </c>
      <c r="AA96" s="194">
        <v>0</v>
      </c>
      <c r="AB96" s="194">
        <v>0</v>
      </c>
      <c r="AC96" s="194">
        <v>0</v>
      </c>
      <c r="AD96" s="194">
        <v>0</v>
      </c>
      <c r="AE96" s="194">
        <v>0</v>
      </c>
      <c r="AF96" s="194">
        <f>SUM(Tabela99[[#This Row],[jan/26]:[dez/26]])</f>
        <v>513070</v>
      </c>
      <c r="AG96" s="194">
        <v>72946</v>
      </c>
      <c r="AH96" s="194">
        <v>0</v>
      </c>
      <c r="AI96" s="194">
        <v>0</v>
      </c>
      <c r="AJ96" s="194">
        <v>0</v>
      </c>
      <c r="AK96" s="194">
        <f>SUM(Tabela99[[#This Row],[2026]:[2030]])</f>
        <v>586016</v>
      </c>
      <c r="AL96" s="193">
        <v>0</v>
      </c>
      <c r="AM96" s="194">
        <v>0</v>
      </c>
      <c r="AN96" s="194">
        <v>0</v>
      </c>
      <c r="AO96" s="194">
        <v>0</v>
      </c>
      <c r="AP96" s="194">
        <v>0</v>
      </c>
      <c r="AQ96" s="195">
        <f>SUM(Tabela99[[#This Row],[2026-2030]:[2035]])</f>
        <v>586016</v>
      </c>
      <c r="AS96" s="2" t="s">
        <v>2055</v>
      </c>
      <c r="AT96" s="2" t="s">
        <v>1772</v>
      </c>
      <c r="AU96" s="2" t="s">
        <v>2041</v>
      </c>
      <c r="AW96" s="2" t="s">
        <v>1603</v>
      </c>
      <c r="AZ96" s="2" t="s">
        <v>2090</v>
      </c>
    </row>
    <row r="97" spans="1:52" ht="24.75" customHeight="1" x14ac:dyDescent="0.35">
      <c r="A97" s="184"/>
      <c r="B97" s="185" t="e" cm="1">
        <f t="array" ref="B97">AND(ISTEXT('Consolidado-Eletronorte'!#REF!),SUM('Consolidado-Eletronorte'!#REF!)&gt;0)</f>
        <v>#REF!</v>
      </c>
      <c r="C97" s="186" t="str">
        <f t="shared" ca="1" si="3"/>
        <v>Capex Orcamentário_PE2026_2030_red_35_porcentoR3_consulta.xlsx</v>
      </c>
      <c r="D97" s="187" t="str">
        <f t="shared" si="4"/>
        <v>COO</v>
      </c>
      <c r="E97" s="187" t="str">
        <f t="shared" si="5"/>
        <v>Lucas Martins</v>
      </c>
      <c r="F97" s="188"/>
      <c r="G97" s="188" t="e">
        <f>_xlfn.CONCAT('Consolidado-Eletronorte'!#REF!,"_",ROW('Consolidado-Eletronorte'!#REF!)-ROW('Consolidado-Eletronorte'!$G$18))</f>
        <v>#REF!</v>
      </c>
      <c r="H97" s="279" t="s">
        <v>506</v>
      </c>
      <c r="I97" s="189" t="s">
        <v>1024</v>
      </c>
      <c r="J97" s="190" t="s">
        <v>508</v>
      </c>
      <c r="K97" s="189" t="s">
        <v>1741</v>
      </c>
      <c r="L97" s="189" t="s">
        <v>2019</v>
      </c>
      <c r="M97" s="189" t="s">
        <v>2052</v>
      </c>
      <c r="N97" s="189"/>
      <c r="O97" s="189"/>
      <c r="P97" s="189"/>
      <c r="Q97" s="191" t="s">
        <v>2088</v>
      </c>
      <c r="R97" s="191" t="s">
        <v>2089</v>
      </c>
      <c r="S97" s="189" t="s">
        <v>2092</v>
      </c>
      <c r="T97" s="192">
        <v>0</v>
      </c>
      <c r="U97" s="193">
        <v>0</v>
      </c>
      <c r="V97" s="193">
        <v>0</v>
      </c>
      <c r="W97" s="193">
        <v>0</v>
      </c>
      <c r="X97" s="192">
        <v>0</v>
      </c>
      <c r="Y97" s="192">
        <v>426907</v>
      </c>
      <c r="Z97" s="194">
        <v>0</v>
      </c>
      <c r="AA97" s="194">
        <v>0</v>
      </c>
      <c r="AB97" s="194">
        <v>0</v>
      </c>
      <c r="AC97" s="194">
        <v>0</v>
      </c>
      <c r="AD97" s="194">
        <v>0</v>
      </c>
      <c r="AE97" s="194">
        <v>0</v>
      </c>
      <c r="AF97" s="194">
        <f>SUM(Tabela99[[#This Row],[jan/26]:[dez/26]])</f>
        <v>426907</v>
      </c>
      <c r="AG97" s="194">
        <v>69576</v>
      </c>
      <c r="AH97" s="194">
        <v>0</v>
      </c>
      <c r="AI97" s="194">
        <v>0</v>
      </c>
      <c r="AJ97" s="194">
        <v>0</v>
      </c>
      <c r="AK97" s="194">
        <f>SUM(Tabela99[[#This Row],[2026]:[2030]])</f>
        <v>496483</v>
      </c>
      <c r="AL97" s="193">
        <v>0</v>
      </c>
      <c r="AM97" s="194">
        <v>0</v>
      </c>
      <c r="AN97" s="194">
        <v>0</v>
      </c>
      <c r="AO97" s="194">
        <v>0</v>
      </c>
      <c r="AP97" s="194">
        <v>0</v>
      </c>
      <c r="AQ97" s="195">
        <f>SUM(Tabela99[[#This Row],[2026-2030]:[2035]])</f>
        <v>496483</v>
      </c>
      <c r="AS97" s="2" t="s">
        <v>2055</v>
      </c>
      <c r="AT97" s="2" t="s">
        <v>1772</v>
      </c>
      <c r="AU97" s="2" t="s">
        <v>2041</v>
      </c>
      <c r="AW97" s="2" t="s">
        <v>1603</v>
      </c>
      <c r="AZ97" s="2" t="s">
        <v>2090</v>
      </c>
    </row>
    <row r="98" spans="1:52" ht="24.75" customHeight="1" x14ac:dyDescent="0.35">
      <c r="A98" s="184"/>
      <c r="B98" s="185" t="e" cm="1">
        <f t="array" ref="B98">AND(ISTEXT('Consolidado-Eletronorte'!#REF!),SUM('Consolidado-Eletronorte'!#REF!)&gt;0)</f>
        <v>#REF!</v>
      </c>
      <c r="C98" s="186" t="str">
        <f t="shared" ca="1" si="3"/>
        <v>Capex Orcamentário_PE2026_2030_red_35_porcentoR3_consulta.xlsx</v>
      </c>
      <c r="D98" s="187" t="str">
        <f t="shared" si="4"/>
        <v>COO</v>
      </c>
      <c r="E98" s="187" t="str">
        <f t="shared" si="5"/>
        <v>Lucas Martins</v>
      </c>
      <c r="F98" s="188"/>
      <c r="G98" s="188" t="e">
        <f>_xlfn.CONCAT('Consolidado-Eletronorte'!#REF!,"_",ROW('Consolidado-Eletronorte'!#REF!)-ROW('Consolidado-Eletronorte'!$G$18))</f>
        <v>#REF!</v>
      </c>
      <c r="H98" s="279" t="s">
        <v>506</v>
      </c>
      <c r="I98" s="189" t="s">
        <v>1024</v>
      </c>
      <c r="J98" s="190" t="s">
        <v>508</v>
      </c>
      <c r="K98" s="189" t="s">
        <v>1741</v>
      </c>
      <c r="L98" s="189" t="s">
        <v>2019</v>
      </c>
      <c r="M98" s="189" t="s">
        <v>2052</v>
      </c>
      <c r="N98" s="189"/>
      <c r="O98" s="189"/>
      <c r="P98" s="189"/>
      <c r="Q98" s="191" t="s">
        <v>2088</v>
      </c>
      <c r="R98" s="191" t="s">
        <v>2089</v>
      </c>
      <c r="S98" s="189" t="s">
        <v>1840</v>
      </c>
      <c r="T98" s="192">
        <v>0</v>
      </c>
      <c r="U98" s="193">
        <v>0</v>
      </c>
      <c r="V98" s="193">
        <v>0</v>
      </c>
      <c r="W98" s="193">
        <v>0</v>
      </c>
      <c r="X98" s="192">
        <v>0</v>
      </c>
      <c r="Y98" s="192">
        <v>389570</v>
      </c>
      <c r="Z98" s="194">
        <v>0</v>
      </c>
      <c r="AA98" s="194">
        <v>0</v>
      </c>
      <c r="AB98" s="194">
        <v>0</v>
      </c>
      <c r="AC98" s="194">
        <v>0</v>
      </c>
      <c r="AD98" s="194">
        <v>0</v>
      </c>
      <c r="AE98" s="194">
        <v>0</v>
      </c>
      <c r="AF98" s="194">
        <f>SUM(Tabela99[[#This Row],[jan/26]:[dez/26]])</f>
        <v>389570</v>
      </c>
      <c r="AG98" s="194">
        <v>69576</v>
      </c>
      <c r="AH98" s="194">
        <v>0</v>
      </c>
      <c r="AI98" s="194">
        <v>0</v>
      </c>
      <c r="AJ98" s="194">
        <v>0</v>
      </c>
      <c r="AK98" s="194">
        <f>SUM(Tabela99[[#This Row],[2026]:[2030]])</f>
        <v>459146</v>
      </c>
      <c r="AL98" s="193">
        <v>0</v>
      </c>
      <c r="AM98" s="194">
        <v>0</v>
      </c>
      <c r="AN98" s="194">
        <v>0</v>
      </c>
      <c r="AO98" s="194">
        <v>0</v>
      </c>
      <c r="AP98" s="194">
        <v>0</v>
      </c>
      <c r="AQ98" s="195">
        <f>SUM(Tabela99[[#This Row],[2026-2030]:[2035]])</f>
        <v>459146</v>
      </c>
      <c r="AS98" s="2" t="s">
        <v>2055</v>
      </c>
      <c r="AT98" s="2" t="s">
        <v>1772</v>
      </c>
      <c r="AU98" s="2" t="s">
        <v>2041</v>
      </c>
      <c r="AW98" s="2" t="s">
        <v>1603</v>
      </c>
      <c r="AZ98" s="2" t="s">
        <v>2090</v>
      </c>
    </row>
    <row r="99" spans="1:52" ht="24.75" customHeight="1" x14ac:dyDescent="0.35">
      <c r="A99" s="184"/>
      <c r="B99" s="185" t="e" cm="1">
        <f t="array" ref="B99">AND(ISTEXT('Consolidado-Eletronorte'!#REF!),SUM('Consolidado-Eletronorte'!#REF!)&gt;0)</f>
        <v>#REF!</v>
      </c>
      <c r="C99" s="186" t="str">
        <f t="shared" ca="1" si="3"/>
        <v>Capex Orcamentário_PE2026_2030_red_35_porcentoR3_consulta.xlsx</v>
      </c>
      <c r="D99" s="187" t="str">
        <f t="shared" si="4"/>
        <v>COO</v>
      </c>
      <c r="E99" s="187" t="str">
        <f t="shared" si="5"/>
        <v>Lucas Martins</v>
      </c>
      <c r="F99" s="188"/>
      <c r="G99" s="188" t="e">
        <f>_xlfn.CONCAT('Consolidado-Eletronorte'!#REF!,"_",ROW('Consolidado-Eletronorte'!#REF!)-ROW('Consolidado-Eletronorte'!$G$18))</f>
        <v>#REF!</v>
      </c>
      <c r="H99" s="279" t="s">
        <v>506</v>
      </c>
      <c r="I99" s="189" t="s">
        <v>1024</v>
      </c>
      <c r="J99" s="190" t="s">
        <v>508</v>
      </c>
      <c r="K99" s="189" t="s">
        <v>1821</v>
      </c>
      <c r="L99" s="189" t="s">
        <v>1828</v>
      </c>
      <c r="M99" s="189" t="s">
        <v>1888</v>
      </c>
      <c r="N99" s="189"/>
      <c r="O99" s="189"/>
      <c r="P99" s="189"/>
      <c r="Q99" s="191" t="s">
        <v>2093</v>
      </c>
      <c r="R99" s="191" t="s">
        <v>2044</v>
      </c>
      <c r="S99" s="189" t="s">
        <v>1832</v>
      </c>
      <c r="T99" s="192">
        <v>0</v>
      </c>
      <c r="U99" s="193">
        <v>0</v>
      </c>
      <c r="V99" s="193">
        <v>0</v>
      </c>
      <c r="W99" s="193">
        <v>0</v>
      </c>
      <c r="X99" s="192">
        <v>0</v>
      </c>
      <c r="Y99" s="192">
        <v>0</v>
      </c>
      <c r="Z99" s="194">
        <v>0</v>
      </c>
      <c r="AA99" s="194">
        <v>0</v>
      </c>
      <c r="AB99" s="194">
        <v>0</v>
      </c>
      <c r="AC99" s="194">
        <v>0</v>
      </c>
      <c r="AD99" s="194">
        <v>0</v>
      </c>
      <c r="AE99" s="194">
        <v>0</v>
      </c>
      <c r="AF99" s="194">
        <f>SUM(Tabela99[[#This Row],[jan/26]:[dez/26]])</f>
        <v>0</v>
      </c>
      <c r="AG99" s="194">
        <v>60000</v>
      </c>
      <c r="AH99" s="194">
        <v>0</v>
      </c>
      <c r="AI99" s="194">
        <v>0</v>
      </c>
      <c r="AJ99" s="194">
        <v>0</v>
      </c>
      <c r="AK99" s="194">
        <f>SUM(Tabela99[[#This Row],[2026]:[2030]])</f>
        <v>60000</v>
      </c>
      <c r="AL99" s="193">
        <v>0</v>
      </c>
      <c r="AM99" s="194">
        <v>0</v>
      </c>
      <c r="AN99" s="194">
        <v>0</v>
      </c>
      <c r="AO99" s="194">
        <v>0</v>
      </c>
      <c r="AP99" s="194">
        <v>0</v>
      </c>
      <c r="AQ99" s="195">
        <f>SUM(Tabela99[[#This Row],[2026-2030]:[2035]])</f>
        <v>60000</v>
      </c>
      <c r="AS99" s="2" t="s">
        <v>1833</v>
      </c>
      <c r="AT99" s="2">
        <v>2025</v>
      </c>
      <c r="AU99" s="2" t="s">
        <v>2041</v>
      </c>
      <c r="AW99" s="2" t="s">
        <v>1854</v>
      </c>
      <c r="AZ99" s="2" t="s">
        <v>1835</v>
      </c>
    </row>
    <row r="100" spans="1:52" ht="24.75" customHeight="1" x14ac:dyDescent="0.35">
      <c r="A100" s="184"/>
      <c r="B100" s="185" t="e" cm="1">
        <f t="array" ref="B100">AND(ISTEXT('Consolidado-Eletronorte'!#REF!),SUM('Consolidado-Eletronorte'!#REF!)&gt;0)</f>
        <v>#REF!</v>
      </c>
      <c r="C100" s="186" t="str">
        <f t="shared" ca="1" si="3"/>
        <v>Capex Orcamentário_PE2026_2030_red_35_porcentoR3_consulta.xlsx</v>
      </c>
      <c r="D100" s="187" t="str">
        <f t="shared" si="4"/>
        <v>COO</v>
      </c>
      <c r="E100" s="187" t="str">
        <f t="shared" si="5"/>
        <v>Lucas Martins</v>
      </c>
      <c r="F100" s="188"/>
      <c r="G100" s="188" t="e">
        <f>_xlfn.CONCAT('Consolidado-Eletronorte'!#REF!,"_",ROW('Consolidado-Eletronorte'!#REF!)-ROW('Consolidado-Eletronorte'!$G$18))</f>
        <v>#REF!</v>
      </c>
      <c r="H100" s="279" t="s">
        <v>506</v>
      </c>
      <c r="I100" s="189" t="s">
        <v>1024</v>
      </c>
      <c r="J100" s="190" t="s">
        <v>508</v>
      </c>
      <c r="K100" s="189" t="s">
        <v>1741</v>
      </c>
      <c r="L100" s="189" t="s">
        <v>2019</v>
      </c>
      <c r="M100" s="189" t="s">
        <v>2052</v>
      </c>
      <c r="N100" s="189"/>
      <c r="O100" s="189"/>
      <c r="P100" s="189"/>
      <c r="Q100" s="191" t="s">
        <v>2088</v>
      </c>
      <c r="R100" s="191" t="s">
        <v>2089</v>
      </c>
      <c r="S100" s="189" t="s">
        <v>2040</v>
      </c>
      <c r="T100" s="192">
        <v>0</v>
      </c>
      <c r="U100" s="193">
        <v>0</v>
      </c>
      <c r="V100" s="193">
        <v>0</v>
      </c>
      <c r="W100" s="193">
        <v>0</v>
      </c>
      <c r="X100" s="192">
        <v>0</v>
      </c>
      <c r="Y100" s="192">
        <v>215830</v>
      </c>
      <c r="Z100" s="194">
        <v>0</v>
      </c>
      <c r="AA100" s="194">
        <v>0</v>
      </c>
      <c r="AB100" s="194">
        <v>0</v>
      </c>
      <c r="AC100" s="194">
        <v>0</v>
      </c>
      <c r="AD100" s="194">
        <v>0</v>
      </c>
      <c r="AE100" s="194">
        <v>0</v>
      </c>
      <c r="AF100" s="194">
        <f>SUM(Tabela99[[#This Row],[jan/26]:[dez/26]])</f>
        <v>215830</v>
      </c>
      <c r="AG100" s="194">
        <v>40043</v>
      </c>
      <c r="AH100" s="194">
        <v>0</v>
      </c>
      <c r="AI100" s="194">
        <v>0</v>
      </c>
      <c r="AJ100" s="194">
        <v>0</v>
      </c>
      <c r="AK100" s="194">
        <f>SUM(Tabela99[[#This Row],[2026]:[2030]])</f>
        <v>255873</v>
      </c>
      <c r="AL100" s="193">
        <v>0</v>
      </c>
      <c r="AM100" s="194">
        <v>0</v>
      </c>
      <c r="AN100" s="194">
        <v>0</v>
      </c>
      <c r="AO100" s="194">
        <v>0</v>
      </c>
      <c r="AP100" s="194">
        <v>0</v>
      </c>
      <c r="AQ100" s="195">
        <f>SUM(Tabela99[[#This Row],[2026-2030]:[2035]])</f>
        <v>255873</v>
      </c>
      <c r="AS100" s="2" t="s">
        <v>2055</v>
      </c>
      <c r="AT100" s="2" t="s">
        <v>1772</v>
      </c>
      <c r="AU100" s="2" t="s">
        <v>2041</v>
      </c>
      <c r="AW100" s="2" t="s">
        <v>1603</v>
      </c>
      <c r="AZ100" s="2" t="s">
        <v>2090</v>
      </c>
    </row>
    <row r="101" spans="1:52" ht="24.75" customHeight="1" x14ac:dyDescent="0.35">
      <c r="A101" s="184"/>
      <c r="B101" s="185" t="e" cm="1">
        <f t="array" ref="B101">AND(ISTEXT('Consolidado-Eletronorte'!#REF!),SUM('Consolidado-Eletronorte'!#REF!)&gt;0)</f>
        <v>#REF!</v>
      </c>
      <c r="C101" s="186" t="str">
        <f t="shared" ca="1" si="3"/>
        <v>Capex Orcamentário_PE2026_2030_red_35_porcentoR3_consulta.xlsx</v>
      </c>
      <c r="D101" s="187" t="str">
        <f t="shared" si="4"/>
        <v>COO</v>
      </c>
      <c r="E101" s="187" t="str">
        <f t="shared" si="5"/>
        <v>Lucas Martins</v>
      </c>
      <c r="F101" s="188"/>
      <c r="G101" s="188" t="e">
        <f>_xlfn.CONCAT('Consolidado-Eletronorte'!#REF!,"_",ROW('Consolidado-Eletronorte'!#REF!)-ROW('Consolidado-Eletronorte'!$G$18))</f>
        <v>#REF!</v>
      </c>
      <c r="H101" s="279" t="s">
        <v>506</v>
      </c>
      <c r="I101" s="189" t="s">
        <v>1024</v>
      </c>
      <c r="J101" s="190" t="s">
        <v>508</v>
      </c>
      <c r="K101" s="189" t="s">
        <v>1741</v>
      </c>
      <c r="L101" s="189" t="s">
        <v>2019</v>
      </c>
      <c r="M101" s="189" t="s">
        <v>2052</v>
      </c>
      <c r="N101" s="189"/>
      <c r="O101" s="189"/>
      <c r="P101" s="189"/>
      <c r="Q101" s="191" t="s">
        <v>2088</v>
      </c>
      <c r="R101" s="191" t="s">
        <v>2089</v>
      </c>
      <c r="S101" s="189" t="s">
        <v>1025</v>
      </c>
      <c r="T101" s="192">
        <v>0</v>
      </c>
      <c r="U101" s="193">
        <v>0</v>
      </c>
      <c r="V101" s="193">
        <v>0</v>
      </c>
      <c r="W101" s="193">
        <v>0</v>
      </c>
      <c r="X101" s="192">
        <v>0</v>
      </c>
      <c r="Y101" s="192">
        <v>230462</v>
      </c>
      <c r="Z101" s="194">
        <v>0</v>
      </c>
      <c r="AA101" s="194">
        <v>0</v>
      </c>
      <c r="AB101" s="194">
        <v>0</v>
      </c>
      <c r="AC101" s="194">
        <v>0</v>
      </c>
      <c r="AD101" s="194">
        <v>0</v>
      </c>
      <c r="AE101" s="194">
        <v>0</v>
      </c>
      <c r="AF101" s="194">
        <f>SUM(Tabela99[[#This Row],[jan/26]:[dez/26]])</f>
        <v>230462</v>
      </c>
      <c r="AG101" s="194">
        <v>36473</v>
      </c>
      <c r="AH101" s="194">
        <v>0</v>
      </c>
      <c r="AI101" s="194">
        <v>0</v>
      </c>
      <c r="AJ101" s="194">
        <v>0</v>
      </c>
      <c r="AK101" s="194">
        <f>SUM(Tabela99[[#This Row],[2026]:[2030]])</f>
        <v>266935</v>
      </c>
      <c r="AL101" s="193">
        <v>0</v>
      </c>
      <c r="AM101" s="194">
        <v>0</v>
      </c>
      <c r="AN101" s="194">
        <v>0</v>
      </c>
      <c r="AO101" s="194">
        <v>0</v>
      </c>
      <c r="AP101" s="194">
        <v>0</v>
      </c>
      <c r="AQ101" s="195">
        <f>SUM(Tabela99[[#This Row],[2026-2030]:[2035]])</f>
        <v>266935</v>
      </c>
      <c r="AS101" s="2" t="s">
        <v>2055</v>
      </c>
      <c r="AT101" s="2" t="s">
        <v>1772</v>
      </c>
      <c r="AU101" s="2" t="s">
        <v>2041</v>
      </c>
      <c r="AW101" s="2" t="s">
        <v>1603</v>
      </c>
      <c r="AZ101" s="2" t="s">
        <v>2090</v>
      </c>
    </row>
    <row r="102" spans="1:52" ht="24.75" customHeight="1" x14ac:dyDescent="0.35">
      <c r="A102" s="184"/>
      <c r="B102" s="185" t="e" cm="1">
        <f t="array" ref="B102">AND(ISTEXT('Consolidado-Eletronorte'!#REF!),SUM('Consolidado-Eletronorte'!#REF!)&gt;0)</f>
        <v>#REF!</v>
      </c>
      <c r="C102" s="186" t="str">
        <f t="shared" ca="1" si="3"/>
        <v>Capex Orcamentário_PE2026_2030_red_35_porcentoR3_consulta.xlsx</v>
      </c>
      <c r="D102" s="187" t="str">
        <f t="shared" si="4"/>
        <v>COO</v>
      </c>
      <c r="E102" s="187" t="str">
        <f t="shared" si="5"/>
        <v>Lucas Martins</v>
      </c>
      <c r="F102" s="188"/>
      <c r="G102" s="188" t="e">
        <f>_xlfn.CONCAT('Consolidado-Eletronorte'!#REF!,"_",ROW('Consolidado-Eletronorte'!#REF!)-ROW('Consolidado-Eletronorte'!$G$18))</f>
        <v>#REF!</v>
      </c>
      <c r="H102" s="279" t="s">
        <v>506</v>
      </c>
      <c r="I102" s="189" t="s">
        <v>1024</v>
      </c>
      <c r="J102" s="190" t="s">
        <v>508</v>
      </c>
      <c r="K102" s="189" t="s">
        <v>1741</v>
      </c>
      <c r="L102" s="189" t="s">
        <v>2019</v>
      </c>
      <c r="M102" s="189" t="s">
        <v>2052</v>
      </c>
      <c r="N102" s="189"/>
      <c r="O102" s="189"/>
      <c r="P102" s="189"/>
      <c r="Q102" s="191" t="s">
        <v>2088</v>
      </c>
      <c r="R102" s="191" t="s">
        <v>2089</v>
      </c>
      <c r="S102" s="189" t="s">
        <v>1958</v>
      </c>
      <c r="T102" s="192">
        <v>0</v>
      </c>
      <c r="U102" s="193">
        <v>0</v>
      </c>
      <c r="V102" s="193">
        <v>0</v>
      </c>
      <c r="W102" s="193">
        <v>0</v>
      </c>
      <c r="X102" s="192">
        <v>0</v>
      </c>
      <c r="Y102" s="192">
        <v>201305</v>
      </c>
      <c r="Z102" s="194">
        <v>0</v>
      </c>
      <c r="AA102" s="194">
        <v>0</v>
      </c>
      <c r="AB102" s="194">
        <v>0</v>
      </c>
      <c r="AC102" s="194">
        <v>0</v>
      </c>
      <c r="AD102" s="194">
        <v>0</v>
      </c>
      <c r="AE102" s="194">
        <v>0</v>
      </c>
      <c r="AF102" s="194">
        <f>SUM(Tabela99[[#This Row],[jan/26]:[dez/26]])</f>
        <v>201305</v>
      </c>
      <c r="AG102" s="194">
        <v>36473</v>
      </c>
      <c r="AH102" s="194">
        <v>0</v>
      </c>
      <c r="AI102" s="194">
        <v>0</v>
      </c>
      <c r="AJ102" s="194">
        <v>0</v>
      </c>
      <c r="AK102" s="194">
        <f>SUM(Tabela99[[#This Row],[2026]:[2030]])</f>
        <v>237778</v>
      </c>
      <c r="AL102" s="193">
        <v>0</v>
      </c>
      <c r="AM102" s="194">
        <v>0</v>
      </c>
      <c r="AN102" s="194">
        <v>0</v>
      </c>
      <c r="AO102" s="194">
        <v>0</v>
      </c>
      <c r="AP102" s="194">
        <v>0</v>
      </c>
      <c r="AQ102" s="195">
        <f>SUM(Tabela99[[#This Row],[2026-2030]:[2035]])</f>
        <v>237778</v>
      </c>
      <c r="AS102" s="2" t="s">
        <v>2055</v>
      </c>
      <c r="AT102" s="2" t="s">
        <v>1772</v>
      </c>
      <c r="AU102" s="2" t="s">
        <v>2041</v>
      </c>
      <c r="AW102" s="2" t="s">
        <v>1603</v>
      </c>
      <c r="AZ102" s="2" t="s">
        <v>2090</v>
      </c>
    </row>
    <row r="103" spans="1:52" ht="24.75" customHeight="1" x14ac:dyDescent="0.35">
      <c r="A103" s="184"/>
      <c r="B103" s="185" t="e" cm="1">
        <f t="array" ref="B103">AND(ISTEXT('Consolidado-Eletronorte'!#REF!),SUM('Consolidado-Eletronorte'!#REF!)&gt;0)</f>
        <v>#REF!</v>
      </c>
      <c r="C103" s="186" t="str">
        <f t="shared" ca="1" si="3"/>
        <v>Capex Orcamentário_PE2026_2030_red_35_porcentoR3_consulta.xlsx</v>
      </c>
      <c r="D103" s="187" t="str">
        <f t="shared" si="4"/>
        <v>COO</v>
      </c>
      <c r="E103" s="187" t="str">
        <f t="shared" si="5"/>
        <v>Lucas Martins</v>
      </c>
      <c r="F103" s="188"/>
      <c r="G103" s="188" t="e">
        <f>_xlfn.CONCAT('Consolidado-Eletronorte'!#REF!,"_",ROW('Consolidado-Eletronorte'!#REF!)-ROW('Consolidado-Eletronorte'!$G$18))</f>
        <v>#REF!</v>
      </c>
      <c r="H103" s="279" t="s">
        <v>506</v>
      </c>
      <c r="I103" s="189" t="s">
        <v>1024</v>
      </c>
      <c r="J103" s="190" t="s">
        <v>508</v>
      </c>
      <c r="K103" s="189" t="s">
        <v>1741</v>
      </c>
      <c r="L103" s="189" t="s">
        <v>2019</v>
      </c>
      <c r="M103" s="189" t="s">
        <v>2052</v>
      </c>
      <c r="N103" s="189"/>
      <c r="O103" s="189"/>
      <c r="P103" s="189"/>
      <c r="Q103" s="191" t="s">
        <v>2088</v>
      </c>
      <c r="R103" s="191" t="s">
        <v>2089</v>
      </c>
      <c r="S103" s="189" t="s">
        <v>1870</v>
      </c>
      <c r="T103" s="192">
        <v>0</v>
      </c>
      <c r="U103" s="193">
        <v>0</v>
      </c>
      <c r="V103" s="193">
        <v>0</v>
      </c>
      <c r="W103" s="193">
        <v>0</v>
      </c>
      <c r="X103" s="192">
        <v>0</v>
      </c>
      <c r="Y103" s="192">
        <v>201305</v>
      </c>
      <c r="Z103" s="194">
        <v>0</v>
      </c>
      <c r="AA103" s="194">
        <v>0</v>
      </c>
      <c r="AB103" s="194">
        <v>0</v>
      </c>
      <c r="AC103" s="194">
        <v>0</v>
      </c>
      <c r="AD103" s="194">
        <v>0</v>
      </c>
      <c r="AE103" s="194">
        <v>0</v>
      </c>
      <c r="AF103" s="194">
        <f>SUM(Tabela99[[#This Row],[jan/26]:[dez/26]])</f>
        <v>201305</v>
      </c>
      <c r="AG103" s="194">
        <v>36473</v>
      </c>
      <c r="AH103" s="194">
        <v>0</v>
      </c>
      <c r="AI103" s="194">
        <v>0</v>
      </c>
      <c r="AJ103" s="194">
        <v>0</v>
      </c>
      <c r="AK103" s="194">
        <f>SUM(Tabela99[[#This Row],[2026]:[2030]])</f>
        <v>237778</v>
      </c>
      <c r="AL103" s="193">
        <v>0</v>
      </c>
      <c r="AM103" s="194">
        <v>0</v>
      </c>
      <c r="AN103" s="194">
        <v>0</v>
      </c>
      <c r="AO103" s="194">
        <v>0</v>
      </c>
      <c r="AP103" s="194">
        <v>0</v>
      </c>
      <c r="AQ103" s="195">
        <f>SUM(Tabela99[[#This Row],[2026-2030]:[2035]])</f>
        <v>237778</v>
      </c>
      <c r="AS103" s="2" t="s">
        <v>2055</v>
      </c>
      <c r="AT103" s="2" t="s">
        <v>1772</v>
      </c>
      <c r="AU103" s="2" t="s">
        <v>2041</v>
      </c>
      <c r="AW103" s="2" t="s">
        <v>1603</v>
      </c>
      <c r="AZ103" s="2" t="s">
        <v>2090</v>
      </c>
    </row>
    <row r="104" spans="1:52" ht="24.75" customHeight="1" x14ac:dyDescent="0.35">
      <c r="A104" s="184"/>
      <c r="B104" s="185" t="e" cm="1">
        <f t="array" ref="B104">AND(ISTEXT('Consolidado-Eletronorte'!#REF!),SUM('Consolidado-Eletronorte'!#REF!)&gt;0)</f>
        <v>#REF!</v>
      </c>
      <c r="C104" s="186" t="str">
        <f t="shared" ca="1" si="3"/>
        <v>Capex Orcamentário_PE2026_2030_red_35_porcentoR3_consulta.xlsx</v>
      </c>
      <c r="D104" s="187" t="str">
        <f t="shared" si="4"/>
        <v>COO</v>
      </c>
      <c r="E104" s="187" t="str">
        <f t="shared" si="5"/>
        <v>Lucas Martins</v>
      </c>
      <c r="F104" s="188"/>
      <c r="G104" s="188" t="e">
        <f>_xlfn.CONCAT('Consolidado-Eletronorte'!#REF!,"_",ROW('Consolidado-Eletronorte'!#REF!)-ROW('Consolidado-Eletronorte'!$G$18))</f>
        <v>#REF!</v>
      </c>
      <c r="H104" s="279" t="s">
        <v>506</v>
      </c>
      <c r="I104" s="189" t="s">
        <v>1024</v>
      </c>
      <c r="J104" s="190" t="s">
        <v>508</v>
      </c>
      <c r="K104" s="189" t="s">
        <v>1821</v>
      </c>
      <c r="L104" s="189" t="s">
        <v>1828</v>
      </c>
      <c r="M104" s="189" t="s">
        <v>2030</v>
      </c>
      <c r="N104" s="189"/>
      <c r="O104" s="189"/>
      <c r="P104" s="189"/>
      <c r="Q104" s="191" t="s">
        <v>2094</v>
      </c>
      <c r="R104" s="191" t="s">
        <v>2095</v>
      </c>
      <c r="S104" s="189" t="s">
        <v>2033</v>
      </c>
      <c r="T104" s="192">
        <v>0</v>
      </c>
      <c r="U104" s="193">
        <v>0</v>
      </c>
      <c r="V104" s="193">
        <v>0</v>
      </c>
      <c r="W104" s="193">
        <v>0</v>
      </c>
      <c r="X104" s="192">
        <v>0</v>
      </c>
      <c r="Y104" s="192">
        <v>0</v>
      </c>
      <c r="Z104" s="194">
        <v>0</v>
      </c>
      <c r="AA104" s="194">
        <v>0</v>
      </c>
      <c r="AB104" s="194">
        <v>0</v>
      </c>
      <c r="AC104" s="194">
        <v>0</v>
      </c>
      <c r="AD104" s="194">
        <v>0</v>
      </c>
      <c r="AE104" s="194">
        <v>0</v>
      </c>
      <c r="AF104" s="194">
        <f>SUM(Tabela99[[#This Row],[jan/26]:[dez/26]])</f>
        <v>0</v>
      </c>
      <c r="AG104" s="194">
        <v>6000</v>
      </c>
      <c r="AH104" s="194">
        <v>0</v>
      </c>
      <c r="AI104" s="194">
        <v>0</v>
      </c>
      <c r="AJ104" s="194">
        <v>0</v>
      </c>
      <c r="AK104" s="194">
        <f>SUM(Tabela99[[#This Row],[2026]:[2030]])</f>
        <v>6000</v>
      </c>
      <c r="AL104" s="193">
        <v>0</v>
      </c>
      <c r="AM104" s="194">
        <v>0</v>
      </c>
      <c r="AN104" s="194">
        <v>0</v>
      </c>
      <c r="AO104" s="194">
        <v>0</v>
      </c>
      <c r="AP104" s="194">
        <v>0</v>
      </c>
      <c r="AQ104" s="195">
        <f>SUM(Tabela99[[#This Row],[2026-2030]:[2035]])</f>
        <v>6000</v>
      </c>
      <c r="AS104" s="2" t="s">
        <v>2034</v>
      </c>
      <c r="AT104" s="2" t="s">
        <v>1772</v>
      </c>
      <c r="AU104" s="2" t="s">
        <v>2041</v>
      </c>
      <c r="AW104" s="2" t="s">
        <v>1854</v>
      </c>
      <c r="AZ104" s="2" t="s">
        <v>2036</v>
      </c>
    </row>
    <row r="105" spans="1:52" ht="24.75" customHeight="1" x14ac:dyDescent="0.35">
      <c r="A105" s="184"/>
      <c r="B105" s="185" t="e" cm="1">
        <f t="array" ref="B105">AND(ISTEXT('Consolidado-Eletronorte'!#REF!),SUM('Consolidado-Eletronorte'!#REF!)&gt;0)</f>
        <v>#REF!</v>
      </c>
      <c r="C105" s="186" t="str">
        <f t="shared" ca="1" si="3"/>
        <v>Capex Orcamentário_PE2026_2030_red_35_porcentoR3_consulta.xlsx</v>
      </c>
      <c r="D105" s="187" t="str">
        <f t="shared" si="4"/>
        <v>COO</v>
      </c>
      <c r="E105" s="187" t="str">
        <f t="shared" si="5"/>
        <v>Lucas Martins</v>
      </c>
      <c r="F105" s="188"/>
      <c r="G105" s="188" t="e">
        <f>_xlfn.CONCAT('Consolidado-Eletronorte'!#REF!,"_",ROW('Consolidado-Eletronorte'!#REF!)-ROW('Consolidado-Eletronorte'!$G$18))</f>
        <v>#REF!</v>
      </c>
      <c r="H105" s="279" t="s">
        <v>506</v>
      </c>
      <c r="I105" s="189" t="s">
        <v>1024</v>
      </c>
      <c r="J105" s="190" t="s">
        <v>508</v>
      </c>
      <c r="K105" s="189" t="s">
        <v>1821</v>
      </c>
      <c r="L105" s="189" t="s">
        <v>1828</v>
      </c>
      <c r="M105" s="189" t="s">
        <v>2096</v>
      </c>
      <c r="N105" s="189"/>
      <c r="O105" s="189"/>
      <c r="P105" s="189"/>
      <c r="Q105" s="191" t="s">
        <v>2097</v>
      </c>
      <c r="R105" s="191" t="s">
        <v>2098</v>
      </c>
      <c r="S105" s="189" t="s">
        <v>2099</v>
      </c>
      <c r="T105" s="192">
        <v>0</v>
      </c>
      <c r="U105" s="193">
        <v>0</v>
      </c>
      <c r="V105" s="193">
        <v>0</v>
      </c>
      <c r="W105" s="193">
        <v>0</v>
      </c>
      <c r="X105" s="192">
        <v>0</v>
      </c>
      <c r="Y105" s="192">
        <v>0</v>
      </c>
      <c r="Z105" s="194">
        <v>0</v>
      </c>
      <c r="AA105" s="194">
        <v>0</v>
      </c>
      <c r="AB105" s="194">
        <v>0</v>
      </c>
      <c r="AC105" s="194">
        <v>300000</v>
      </c>
      <c r="AD105" s="194">
        <v>600000</v>
      </c>
      <c r="AE105" s="194">
        <v>600000</v>
      </c>
      <c r="AF105" s="194">
        <f>SUM(Tabela99[[#This Row],[jan/26]:[dez/26]])</f>
        <v>1500000</v>
      </c>
      <c r="AG105" s="194">
        <v>5500</v>
      </c>
      <c r="AH105" s="194">
        <v>0</v>
      </c>
      <c r="AI105" s="194">
        <v>0</v>
      </c>
      <c r="AJ105" s="194">
        <v>0</v>
      </c>
      <c r="AK105" s="194">
        <f>SUM(Tabela99[[#This Row],[2026]:[2030]])</f>
        <v>1505500</v>
      </c>
      <c r="AL105" s="193">
        <v>0</v>
      </c>
      <c r="AM105" s="194">
        <v>0</v>
      </c>
      <c r="AN105" s="194">
        <v>0</v>
      </c>
      <c r="AO105" s="194">
        <v>0</v>
      </c>
      <c r="AP105" s="194">
        <v>0</v>
      </c>
      <c r="AQ105" s="195">
        <f>SUM(Tabela99[[#This Row],[2026-2030]:[2035]])</f>
        <v>1505500</v>
      </c>
      <c r="AS105" s="2" t="s">
        <v>1886</v>
      </c>
      <c r="AT105" s="2">
        <v>2024</v>
      </c>
      <c r="AU105" s="2" t="s">
        <v>2041</v>
      </c>
      <c r="AW105" s="2" t="s">
        <v>1854</v>
      </c>
      <c r="AZ105" s="2" t="s">
        <v>2100</v>
      </c>
    </row>
    <row r="106" spans="1:52" ht="24.75" customHeight="1" x14ac:dyDescent="0.35">
      <c r="A106" s="184"/>
      <c r="B106" s="185" t="e" cm="1">
        <f t="array" ref="B106">AND(ISTEXT('Consolidado-Eletronorte'!#REF!),SUM('Consolidado-Eletronorte'!#REF!)&gt;0)</f>
        <v>#REF!</v>
      </c>
      <c r="C106" s="186" t="str">
        <f t="shared" ca="1" si="3"/>
        <v>Capex Orcamentário_PE2026_2030_red_35_porcentoR3_consulta.xlsx</v>
      </c>
      <c r="D106" s="187" t="str">
        <f t="shared" si="4"/>
        <v>COO</v>
      </c>
      <c r="E106" s="187" t="str">
        <f t="shared" si="5"/>
        <v>Lucas Martins</v>
      </c>
      <c r="F106" s="188"/>
      <c r="G106" s="188" t="e">
        <f>_xlfn.CONCAT('Consolidado-Eletronorte'!#REF!,"_",ROW('Consolidado-Eletronorte'!#REF!)-ROW('Consolidado-Eletronorte'!$G$18))</f>
        <v>#REF!</v>
      </c>
      <c r="H106" s="279" t="s">
        <v>506</v>
      </c>
      <c r="I106" s="189" t="s">
        <v>1024</v>
      </c>
      <c r="J106" s="190" t="s">
        <v>508</v>
      </c>
      <c r="K106" s="189" t="s">
        <v>1821</v>
      </c>
      <c r="L106" s="189" t="s">
        <v>1828</v>
      </c>
      <c r="M106" s="189" t="s">
        <v>2030</v>
      </c>
      <c r="N106" s="189"/>
      <c r="O106" s="189"/>
      <c r="P106" s="189"/>
      <c r="Q106" s="191" t="s">
        <v>2101</v>
      </c>
      <c r="R106" s="191" t="s">
        <v>2102</v>
      </c>
      <c r="S106" s="189" t="s">
        <v>2033</v>
      </c>
      <c r="T106" s="192">
        <v>0</v>
      </c>
      <c r="U106" s="193">
        <v>0</v>
      </c>
      <c r="V106" s="193">
        <v>0</v>
      </c>
      <c r="W106" s="193">
        <v>0</v>
      </c>
      <c r="X106" s="192">
        <v>0</v>
      </c>
      <c r="Y106" s="192">
        <v>0</v>
      </c>
      <c r="Z106" s="194">
        <v>0</v>
      </c>
      <c r="AA106" s="194">
        <v>0</v>
      </c>
      <c r="AB106" s="194">
        <v>0</v>
      </c>
      <c r="AC106" s="194">
        <v>0</v>
      </c>
      <c r="AD106" s="194">
        <v>0</v>
      </c>
      <c r="AE106" s="194">
        <v>0</v>
      </c>
      <c r="AF106" s="194">
        <f>SUM(Tabela99[[#This Row],[jan/26]:[dez/26]])</f>
        <v>0</v>
      </c>
      <c r="AG106" s="194">
        <v>5400</v>
      </c>
      <c r="AH106" s="194">
        <v>0</v>
      </c>
      <c r="AI106" s="194">
        <v>0</v>
      </c>
      <c r="AJ106" s="194">
        <v>0</v>
      </c>
      <c r="AK106" s="194">
        <f>SUM(Tabela99[[#This Row],[2026]:[2030]])</f>
        <v>5400</v>
      </c>
      <c r="AL106" s="193">
        <v>0</v>
      </c>
      <c r="AM106" s="194">
        <v>0</v>
      </c>
      <c r="AN106" s="194">
        <v>0</v>
      </c>
      <c r="AO106" s="194">
        <v>0</v>
      </c>
      <c r="AP106" s="194">
        <v>0</v>
      </c>
      <c r="AQ106" s="195">
        <f>SUM(Tabela99[[#This Row],[2026-2030]:[2035]])</f>
        <v>5400</v>
      </c>
      <c r="AS106" s="2" t="s">
        <v>2034</v>
      </c>
      <c r="AT106" s="2" t="s">
        <v>1772</v>
      </c>
      <c r="AU106" s="2" t="s">
        <v>2041</v>
      </c>
      <c r="AW106" s="2" t="s">
        <v>1854</v>
      </c>
      <c r="AZ106" s="2" t="s">
        <v>2036</v>
      </c>
    </row>
    <row r="107" spans="1:52" ht="24.75" customHeight="1" x14ac:dyDescent="0.35">
      <c r="A107" s="184"/>
      <c r="B107" s="185" t="e" cm="1">
        <f t="array" ref="B107">AND(ISTEXT('Consolidado-Eletronorte'!#REF!),SUM('Consolidado-Eletronorte'!#REF!)&gt;0)</f>
        <v>#REF!</v>
      </c>
      <c r="C107" s="186" t="str">
        <f t="shared" ca="1" si="3"/>
        <v>Capex Orcamentário_PE2026_2030_red_35_porcentoR3_consulta.xlsx</v>
      </c>
      <c r="D107" s="187" t="str">
        <f t="shared" si="4"/>
        <v>COO</v>
      </c>
      <c r="E107" s="187" t="str">
        <f t="shared" si="5"/>
        <v>Lucas Martins</v>
      </c>
      <c r="F107" s="188"/>
      <c r="G107" s="188" t="e">
        <f>_xlfn.CONCAT('Consolidado-Eletronorte'!#REF!,"_",ROW('Consolidado-Eletronorte'!#REF!)-ROW('Consolidado-Eletronorte'!$G$18))</f>
        <v>#REF!</v>
      </c>
      <c r="H107" s="279" t="s">
        <v>506</v>
      </c>
      <c r="I107" s="189" t="s">
        <v>1024</v>
      </c>
      <c r="J107" s="190" t="s">
        <v>508</v>
      </c>
      <c r="K107" s="189" t="s">
        <v>1741</v>
      </c>
      <c r="L107" s="189" t="s">
        <v>2019</v>
      </c>
      <c r="M107" s="189" t="s">
        <v>2103</v>
      </c>
      <c r="N107" s="189"/>
      <c r="O107" s="189"/>
      <c r="P107" s="189"/>
      <c r="Q107" s="191" t="s">
        <v>2104</v>
      </c>
      <c r="R107" s="191" t="s">
        <v>2105</v>
      </c>
      <c r="S107" s="189" t="s">
        <v>1958</v>
      </c>
      <c r="T107" s="192">
        <v>0</v>
      </c>
      <c r="U107" s="193">
        <v>0</v>
      </c>
      <c r="V107" s="193">
        <v>0</v>
      </c>
      <c r="W107" s="193">
        <v>0</v>
      </c>
      <c r="X107" s="192">
        <v>0</v>
      </c>
      <c r="Y107" s="192">
        <v>0</v>
      </c>
      <c r="Z107" s="194">
        <v>0</v>
      </c>
      <c r="AA107" s="194">
        <v>0</v>
      </c>
      <c r="AB107" s="194">
        <v>0</v>
      </c>
      <c r="AC107" s="194">
        <v>0</v>
      </c>
      <c r="AD107" s="194">
        <v>0</v>
      </c>
      <c r="AE107" s="194">
        <v>400000</v>
      </c>
      <c r="AF107" s="194">
        <f>SUM(Tabela99[[#This Row],[jan/26]:[dez/26]])</f>
        <v>400000</v>
      </c>
      <c r="AG107" s="194">
        <v>5000</v>
      </c>
      <c r="AH107" s="194">
        <v>0</v>
      </c>
      <c r="AI107" s="194">
        <v>0</v>
      </c>
      <c r="AJ107" s="194">
        <v>0</v>
      </c>
      <c r="AK107" s="194">
        <f>SUM(Tabela99[[#This Row],[2026]:[2030]])</f>
        <v>405000</v>
      </c>
      <c r="AL107" s="193">
        <v>0</v>
      </c>
      <c r="AM107" s="194">
        <v>0</v>
      </c>
      <c r="AN107" s="194">
        <v>0</v>
      </c>
      <c r="AO107" s="194">
        <v>0</v>
      </c>
      <c r="AP107" s="194">
        <v>0</v>
      </c>
      <c r="AQ107" s="195">
        <f>SUM(Tabela99[[#This Row],[2026-2030]:[2035]])</f>
        <v>405000</v>
      </c>
      <c r="AS107" s="2" t="s">
        <v>1833</v>
      </c>
      <c r="AT107" s="2" t="s">
        <v>1772</v>
      </c>
      <c r="AU107" s="2" t="s">
        <v>2041</v>
      </c>
      <c r="AW107" s="2" t="s">
        <v>1854</v>
      </c>
      <c r="AZ107" s="2" t="s">
        <v>1960</v>
      </c>
    </row>
    <row r="108" spans="1:52" ht="24.75" customHeight="1" x14ac:dyDescent="0.35">
      <c r="A108" s="184"/>
      <c r="B108" s="185" t="e" cm="1">
        <f t="array" ref="B108">AND(ISTEXT('Consolidado-Eletronorte'!#REF!),SUM('Consolidado-Eletronorte'!#REF!)&gt;0)</f>
        <v>#REF!</v>
      </c>
      <c r="C108" s="186" t="str">
        <f t="shared" ca="1" si="3"/>
        <v>Capex Orcamentário_PE2026_2030_red_35_porcentoR3_consulta.xlsx</v>
      </c>
      <c r="D108" s="187" t="str">
        <f t="shared" si="4"/>
        <v>COO</v>
      </c>
      <c r="E108" s="187" t="str">
        <f t="shared" si="5"/>
        <v>Lucas Martins</v>
      </c>
      <c r="F108" s="188"/>
      <c r="G108" s="188" t="e">
        <f>_xlfn.CONCAT('Consolidado-Eletronorte'!#REF!,"_",ROW('Consolidado-Eletronorte'!#REF!)-ROW('Consolidado-Eletronorte'!$G$18))</f>
        <v>#REF!</v>
      </c>
      <c r="H108" s="279" t="s">
        <v>506</v>
      </c>
      <c r="I108" s="189" t="s">
        <v>1024</v>
      </c>
      <c r="J108" s="190" t="s">
        <v>508</v>
      </c>
      <c r="K108" s="189" t="s">
        <v>1741</v>
      </c>
      <c r="L108" s="189" t="s">
        <v>2019</v>
      </c>
      <c r="M108" s="189" t="s">
        <v>2049</v>
      </c>
      <c r="N108" s="189"/>
      <c r="O108" s="189"/>
      <c r="P108" s="189"/>
      <c r="Q108" s="191" t="s">
        <v>2106</v>
      </c>
      <c r="R108" s="191" t="s">
        <v>2107</v>
      </c>
      <c r="S108" s="189" t="s">
        <v>2051</v>
      </c>
      <c r="T108" s="192">
        <v>0</v>
      </c>
      <c r="U108" s="193">
        <v>0</v>
      </c>
      <c r="V108" s="193">
        <v>0</v>
      </c>
      <c r="W108" s="193">
        <v>0</v>
      </c>
      <c r="X108" s="192">
        <v>0</v>
      </c>
      <c r="Y108" s="192">
        <v>0</v>
      </c>
      <c r="Z108" s="194">
        <v>0</v>
      </c>
      <c r="AA108" s="194">
        <v>0</v>
      </c>
      <c r="AB108" s="194">
        <v>0</v>
      </c>
      <c r="AC108" s="194">
        <v>0</v>
      </c>
      <c r="AD108" s="194">
        <v>0</v>
      </c>
      <c r="AE108" s="194">
        <v>0</v>
      </c>
      <c r="AF108" s="194">
        <f>SUM(Tabela99[[#This Row],[jan/26]:[dez/26]])</f>
        <v>0</v>
      </c>
      <c r="AG108" s="194">
        <v>4500</v>
      </c>
      <c r="AH108" s="194">
        <v>0</v>
      </c>
      <c r="AI108" s="194">
        <v>0</v>
      </c>
      <c r="AJ108" s="194">
        <v>0</v>
      </c>
      <c r="AK108" s="194">
        <f>SUM(Tabela99[[#This Row],[2026]:[2030]])</f>
        <v>4500</v>
      </c>
      <c r="AL108" s="193">
        <v>0</v>
      </c>
      <c r="AM108" s="194">
        <v>0</v>
      </c>
      <c r="AN108" s="194">
        <v>0</v>
      </c>
      <c r="AO108" s="194">
        <v>0</v>
      </c>
      <c r="AP108" s="194">
        <v>0</v>
      </c>
      <c r="AQ108" s="195">
        <f>SUM(Tabela99[[#This Row],[2026-2030]:[2035]])</f>
        <v>4500</v>
      </c>
      <c r="AS108" s="2" t="s">
        <v>1833</v>
      </c>
      <c r="AT108" s="2" t="s">
        <v>1772</v>
      </c>
      <c r="AU108" s="2" t="s">
        <v>2041</v>
      </c>
      <c r="AW108" s="2" t="s">
        <v>1854</v>
      </c>
      <c r="AZ108" s="2" t="s">
        <v>1835</v>
      </c>
    </row>
    <row r="109" spans="1:52" ht="24.75" customHeight="1" x14ac:dyDescent="0.35">
      <c r="A109" s="184"/>
      <c r="B109" s="185" t="e" cm="1">
        <f t="array" ref="B109">AND(ISTEXT('Consolidado-Eletronorte'!#REF!),SUM('Consolidado-Eletronorte'!#REF!)&gt;0)</f>
        <v>#REF!</v>
      </c>
      <c r="C109" s="186" t="str">
        <f t="shared" ca="1" si="3"/>
        <v>Capex Orcamentário_PE2026_2030_red_35_porcentoR3_consulta.xlsx</v>
      </c>
      <c r="D109" s="187" t="str">
        <f t="shared" si="4"/>
        <v>COO</v>
      </c>
      <c r="E109" s="187" t="str">
        <f t="shared" si="5"/>
        <v>Lucas Martins</v>
      </c>
      <c r="F109" s="188"/>
      <c r="G109" s="188" t="e">
        <f>_xlfn.CONCAT('Consolidado-Eletronorte'!#REF!,"_",ROW('Consolidado-Eletronorte'!#REF!)-ROW('Consolidado-Eletronorte'!$G$18))</f>
        <v>#REF!</v>
      </c>
      <c r="H109" s="279" t="s">
        <v>506</v>
      </c>
      <c r="I109" s="189" t="s">
        <v>1024</v>
      </c>
      <c r="J109" s="190" t="s">
        <v>508</v>
      </c>
      <c r="K109" s="189" t="s">
        <v>1741</v>
      </c>
      <c r="L109" s="189" t="s">
        <v>2019</v>
      </c>
      <c r="M109" s="189" t="s">
        <v>2108</v>
      </c>
      <c r="N109" s="189"/>
      <c r="O109" s="189"/>
      <c r="P109" s="189"/>
      <c r="Q109" s="191" t="s">
        <v>2109</v>
      </c>
      <c r="R109" s="191" t="s">
        <v>2110</v>
      </c>
      <c r="S109" s="189" t="s">
        <v>1885</v>
      </c>
      <c r="T109" s="192">
        <v>0</v>
      </c>
      <c r="U109" s="193">
        <v>0</v>
      </c>
      <c r="V109" s="193">
        <v>0</v>
      </c>
      <c r="W109" s="193">
        <v>0</v>
      </c>
      <c r="X109" s="192">
        <v>0</v>
      </c>
      <c r="Y109" s="192">
        <v>0</v>
      </c>
      <c r="Z109" s="194">
        <v>0</v>
      </c>
      <c r="AA109" s="194">
        <v>0</v>
      </c>
      <c r="AB109" s="194">
        <v>0</v>
      </c>
      <c r="AC109" s="194">
        <v>0</v>
      </c>
      <c r="AD109" s="194">
        <v>0</v>
      </c>
      <c r="AE109" s="194">
        <v>0</v>
      </c>
      <c r="AF109" s="194">
        <f>SUM(Tabela99[[#This Row],[jan/26]:[dez/26]])</f>
        <v>0</v>
      </c>
      <c r="AG109" s="194">
        <v>3000</v>
      </c>
      <c r="AH109" s="194">
        <v>0</v>
      </c>
      <c r="AI109" s="194">
        <v>0</v>
      </c>
      <c r="AJ109" s="194">
        <v>0</v>
      </c>
      <c r="AK109" s="194">
        <f>SUM(Tabela99[[#This Row],[2026]:[2030]])</f>
        <v>3000</v>
      </c>
      <c r="AL109" s="193">
        <v>0</v>
      </c>
      <c r="AM109" s="194">
        <v>0</v>
      </c>
      <c r="AN109" s="194">
        <v>0</v>
      </c>
      <c r="AO109" s="194">
        <v>0</v>
      </c>
      <c r="AP109" s="194">
        <v>0</v>
      </c>
      <c r="AQ109" s="195">
        <f>SUM(Tabela99[[#This Row],[2026-2030]:[2035]])</f>
        <v>3000</v>
      </c>
      <c r="AS109" s="2" t="s">
        <v>1886</v>
      </c>
      <c r="AT109" s="2">
        <v>2025</v>
      </c>
      <c r="AU109" s="2" t="s">
        <v>2041</v>
      </c>
      <c r="AW109" s="2" t="s">
        <v>1854</v>
      </c>
      <c r="AZ109" s="2" t="s">
        <v>1887</v>
      </c>
    </row>
    <row r="110" spans="1:52" ht="24.75" customHeight="1" x14ac:dyDescent="0.35">
      <c r="A110" s="184"/>
      <c r="B110" s="185" t="e" cm="1">
        <f t="array" ref="B110">AND(ISTEXT('Consolidado-Eletronorte'!#REF!),SUM('Consolidado-Eletronorte'!#REF!)&gt;0)</f>
        <v>#REF!</v>
      </c>
      <c r="C110" s="186" t="str">
        <f t="shared" ca="1" si="3"/>
        <v>Capex Orcamentário_PE2026_2030_red_35_porcentoR3_consulta.xlsx</v>
      </c>
      <c r="D110" s="187" t="str">
        <f t="shared" si="4"/>
        <v>COO</v>
      </c>
      <c r="E110" s="187" t="str">
        <f t="shared" si="5"/>
        <v>Lucas Martins</v>
      </c>
      <c r="F110" s="188"/>
      <c r="G110" s="188" t="e">
        <f>_xlfn.CONCAT('Consolidado-Eletronorte'!#REF!,"_",ROW('Consolidado-Eletronorte'!#REF!)-ROW('Consolidado-Eletronorte'!$G$18))</f>
        <v>#REF!</v>
      </c>
      <c r="H110" s="279" t="s">
        <v>506</v>
      </c>
      <c r="I110" s="189" t="s">
        <v>1024</v>
      </c>
      <c r="J110" s="190" t="s">
        <v>508</v>
      </c>
      <c r="K110" s="189" t="s">
        <v>1821</v>
      </c>
      <c r="L110" s="189" t="s">
        <v>1828</v>
      </c>
      <c r="M110" s="189" t="s">
        <v>1883</v>
      </c>
      <c r="N110" s="189"/>
      <c r="O110" s="189"/>
      <c r="P110" s="189"/>
      <c r="Q110" s="191" t="s">
        <v>2111</v>
      </c>
      <c r="R110" s="191" t="s">
        <v>2013</v>
      </c>
      <c r="S110" s="189" t="s">
        <v>1885</v>
      </c>
      <c r="T110" s="192">
        <v>0</v>
      </c>
      <c r="U110" s="193">
        <v>0</v>
      </c>
      <c r="V110" s="193">
        <v>0</v>
      </c>
      <c r="W110" s="193">
        <v>0</v>
      </c>
      <c r="X110" s="192">
        <v>0</v>
      </c>
      <c r="Y110" s="192">
        <v>0</v>
      </c>
      <c r="Z110" s="194">
        <v>0</v>
      </c>
      <c r="AA110" s="194">
        <v>0</v>
      </c>
      <c r="AB110" s="194">
        <v>0</v>
      </c>
      <c r="AC110" s="194">
        <v>0</v>
      </c>
      <c r="AD110" s="194">
        <v>0</v>
      </c>
      <c r="AE110" s="194">
        <v>0</v>
      </c>
      <c r="AF110" s="194">
        <f>SUM(Tabela99[[#This Row],[jan/26]:[dez/26]])</f>
        <v>0</v>
      </c>
      <c r="AG110" s="194">
        <v>2000</v>
      </c>
      <c r="AH110" s="194">
        <v>0</v>
      </c>
      <c r="AI110" s="194">
        <v>0</v>
      </c>
      <c r="AJ110" s="194">
        <v>0</v>
      </c>
      <c r="AK110" s="194">
        <f>SUM(Tabela99[[#This Row],[2026]:[2030]])</f>
        <v>2000</v>
      </c>
      <c r="AL110" s="193">
        <v>0</v>
      </c>
      <c r="AM110" s="194">
        <v>0</v>
      </c>
      <c r="AN110" s="194">
        <v>0</v>
      </c>
      <c r="AO110" s="194">
        <v>0</v>
      </c>
      <c r="AP110" s="194">
        <v>0</v>
      </c>
      <c r="AQ110" s="195">
        <f>SUM(Tabela99[[#This Row],[2026-2030]:[2035]])</f>
        <v>2000</v>
      </c>
      <c r="AS110" s="2" t="s">
        <v>1886</v>
      </c>
      <c r="AT110" s="2">
        <v>2025</v>
      </c>
      <c r="AU110" s="2" t="s">
        <v>2041</v>
      </c>
      <c r="AW110" s="2" t="s">
        <v>1854</v>
      </c>
      <c r="AZ110" s="2" t="s">
        <v>1887</v>
      </c>
    </row>
    <row r="111" spans="1:52" ht="24.75" customHeight="1" x14ac:dyDescent="0.35">
      <c r="A111" s="184"/>
      <c r="B111" s="185" t="e" cm="1">
        <f t="array" ref="B111">AND(ISTEXT('Consolidado-Eletronorte'!#REF!),SUM('Consolidado-Eletronorte'!#REF!)&gt;0)</f>
        <v>#REF!</v>
      </c>
      <c r="C111" s="186" t="str">
        <f t="shared" ca="1" si="3"/>
        <v>Capex Orcamentário_PE2026_2030_red_35_porcentoR3_consulta.xlsx</v>
      </c>
      <c r="D111" s="187" t="str">
        <f t="shared" si="4"/>
        <v>COO</v>
      </c>
      <c r="E111" s="187" t="str">
        <f t="shared" si="5"/>
        <v>Lucas Martins</v>
      </c>
      <c r="F111" s="188"/>
      <c r="G111" s="188" t="e">
        <f>_xlfn.CONCAT('Consolidado-Eletronorte'!#REF!,"_",ROW('Consolidado-Eletronorte'!#REF!)-ROW('Consolidado-Eletronorte'!$G$18))</f>
        <v>#REF!</v>
      </c>
      <c r="H111" s="279" t="s">
        <v>506</v>
      </c>
      <c r="I111" s="189" t="s">
        <v>1024</v>
      </c>
      <c r="J111" s="190" t="s">
        <v>508</v>
      </c>
      <c r="K111" s="189" t="s">
        <v>1821</v>
      </c>
      <c r="L111" s="189" t="s">
        <v>1828</v>
      </c>
      <c r="M111" s="189" t="s">
        <v>2030</v>
      </c>
      <c r="N111" s="189"/>
      <c r="O111" s="189"/>
      <c r="P111" s="189"/>
      <c r="Q111" s="191" t="s">
        <v>2112</v>
      </c>
      <c r="R111" s="191" t="s">
        <v>2044</v>
      </c>
      <c r="S111" s="189" t="s">
        <v>2033</v>
      </c>
      <c r="T111" s="192">
        <v>0</v>
      </c>
      <c r="U111" s="193">
        <v>0</v>
      </c>
      <c r="V111" s="193">
        <v>0</v>
      </c>
      <c r="W111" s="193">
        <v>0</v>
      </c>
      <c r="X111" s="192">
        <v>0</v>
      </c>
      <c r="Y111" s="192">
        <v>0</v>
      </c>
      <c r="Z111" s="194">
        <v>0</v>
      </c>
      <c r="AA111" s="194">
        <v>0</v>
      </c>
      <c r="AB111" s="194">
        <v>0</v>
      </c>
      <c r="AC111" s="194">
        <v>0</v>
      </c>
      <c r="AD111" s="194">
        <v>0</v>
      </c>
      <c r="AE111" s="194">
        <v>0</v>
      </c>
      <c r="AF111" s="194">
        <f>SUM(Tabela99[[#This Row],[jan/26]:[dez/26]])</f>
        <v>0</v>
      </c>
      <c r="AG111" s="194">
        <v>1500</v>
      </c>
      <c r="AH111" s="194">
        <v>0</v>
      </c>
      <c r="AI111" s="194">
        <v>0</v>
      </c>
      <c r="AJ111" s="194">
        <v>0</v>
      </c>
      <c r="AK111" s="194">
        <f>SUM(Tabela99[[#This Row],[2026]:[2030]])</f>
        <v>1500</v>
      </c>
      <c r="AL111" s="193">
        <v>0</v>
      </c>
      <c r="AM111" s="194">
        <v>0</v>
      </c>
      <c r="AN111" s="194">
        <v>0</v>
      </c>
      <c r="AO111" s="194">
        <v>0</v>
      </c>
      <c r="AP111" s="194">
        <v>0</v>
      </c>
      <c r="AQ111" s="195">
        <f>SUM(Tabela99[[#This Row],[2026-2030]:[2035]])</f>
        <v>1500</v>
      </c>
      <c r="AS111" s="2" t="s">
        <v>2034</v>
      </c>
      <c r="AT111" s="2" t="s">
        <v>1772</v>
      </c>
      <c r="AU111" s="2" t="s">
        <v>2041</v>
      </c>
      <c r="AW111" s="2" t="s">
        <v>1854</v>
      </c>
      <c r="AZ111" s="2" t="s">
        <v>2036</v>
      </c>
    </row>
    <row r="112" spans="1:52" ht="24.75" customHeight="1" x14ac:dyDescent="0.35">
      <c r="A112" s="184"/>
      <c r="B112" s="185" t="e" cm="1">
        <f t="array" ref="B112">AND(ISTEXT('Consolidado-Eletronorte'!#REF!),SUM('Consolidado-Eletronorte'!#REF!)&gt;0)</f>
        <v>#REF!</v>
      </c>
      <c r="C112" s="186" t="str">
        <f t="shared" ca="1" si="3"/>
        <v>Capex Orcamentário_PE2026_2030_red_35_porcentoR3_consulta.xlsx</v>
      </c>
      <c r="D112" s="187" t="str">
        <f t="shared" si="4"/>
        <v>COO</v>
      </c>
      <c r="E112" s="187" t="str">
        <f t="shared" si="5"/>
        <v>Lucas Martins</v>
      </c>
      <c r="F112" s="188"/>
      <c r="G112" s="188" t="e">
        <f>_xlfn.CONCAT('Consolidado-Eletronorte'!#REF!,"_",ROW('Consolidado-Eletronorte'!#REF!)-ROW('Consolidado-Eletronorte'!$G$18))</f>
        <v>#REF!</v>
      </c>
      <c r="H112" s="279" t="s">
        <v>506</v>
      </c>
      <c r="I112" s="189" t="s">
        <v>1024</v>
      </c>
      <c r="J112" s="190" t="s">
        <v>508</v>
      </c>
      <c r="K112" s="189" t="s">
        <v>1741</v>
      </c>
      <c r="L112" s="189" t="s">
        <v>2019</v>
      </c>
      <c r="M112" s="189" t="s">
        <v>2113</v>
      </c>
      <c r="N112" s="189"/>
      <c r="O112" s="189"/>
      <c r="P112" s="189"/>
      <c r="Q112" s="191" t="s">
        <v>2114</v>
      </c>
      <c r="R112" s="191" t="s">
        <v>2115</v>
      </c>
      <c r="S112" s="189" t="s">
        <v>1832</v>
      </c>
      <c r="T112" s="192">
        <v>0</v>
      </c>
      <c r="U112" s="193">
        <v>0</v>
      </c>
      <c r="V112" s="193">
        <v>0</v>
      </c>
      <c r="W112" s="193">
        <v>0</v>
      </c>
      <c r="X112" s="192">
        <v>0</v>
      </c>
      <c r="Y112" s="192">
        <v>0</v>
      </c>
      <c r="Z112" s="194">
        <v>0</v>
      </c>
      <c r="AA112" s="194">
        <v>0</v>
      </c>
      <c r="AB112" s="194">
        <v>0</v>
      </c>
      <c r="AC112" s="194">
        <v>0</v>
      </c>
      <c r="AD112" s="194">
        <v>0</v>
      </c>
      <c r="AE112" s="194">
        <v>0</v>
      </c>
      <c r="AF112" s="194">
        <f>SUM(Tabela99[[#This Row],[jan/26]:[dez/26]])</f>
        <v>0</v>
      </c>
      <c r="AG112" s="194">
        <v>1500</v>
      </c>
      <c r="AH112" s="194">
        <v>0</v>
      </c>
      <c r="AI112" s="194">
        <v>0</v>
      </c>
      <c r="AJ112" s="194">
        <v>0</v>
      </c>
      <c r="AK112" s="194">
        <f>SUM(Tabela99[[#This Row],[2026]:[2030]])</f>
        <v>1500</v>
      </c>
      <c r="AL112" s="193">
        <v>0</v>
      </c>
      <c r="AM112" s="194">
        <v>0</v>
      </c>
      <c r="AN112" s="194">
        <v>0</v>
      </c>
      <c r="AO112" s="194">
        <v>0</v>
      </c>
      <c r="AP112" s="194">
        <v>0</v>
      </c>
      <c r="AQ112" s="195">
        <f>SUM(Tabela99[[#This Row],[2026-2030]:[2035]])</f>
        <v>1500</v>
      </c>
      <c r="AS112" s="2" t="s">
        <v>1833</v>
      </c>
      <c r="AT112" s="2">
        <v>2025</v>
      </c>
      <c r="AU112" s="2" t="s">
        <v>2041</v>
      </c>
      <c r="AW112" s="2" t="s">
        <v>1854</v>
      </c>
      <c r="AZ112" s="2" t="s">
        <v>1835</v>
      </c>
    </row>
    <row r="113" spans="1:52" ht="24.75" customHeight="1" x14ac:dyDescent="0.35">
      <c r="A113" s="184"/>
      <c r="B113" s="185" t="e" cm="1">
        <f t="array" ref="B113">AND(ISTEXT('Consolidado-Eletronorte'!#REF!),SUM('Consolidado-Eletronorte'!#REF!)&gt;0)</f>
        <v>#REF!</v>
      </c>
      <c r="C113" s="186" t="str">
        <f t="shared" ca="1" si="3"/>
        <v>Capex Orcamentário_PE2026_2030_red_35_porcentoR3_consulta.xlsx</v>
      </c>
      <c r="D113" s="187" t="str">
        <f t="shared" si="4"/>
        <v>COO</v>
      </c>
      <c r="E113" s="187" t="str">
        <f t="shared" si="5"/>
        <v>Lucas Martins</v>
      </c>
      <c r="F113" s="188"/>
      <c r="G113" s="188" t="e">
        <f>_xlfn.CONCAT('Consolidado-Eletronorte'!#REF!,"_",ROW('Consolidado-Eletronorte'!#REF!)-ROW('Consolidado-Eletronorte'!$G$18))</f>
        <v>#REF!</v>
      </c>
      <c r="H113" s="279" t="s">
        <v>506</v>
      </c>
      <c r="I113" s="189" t="s">
        <v>1024</v>
      </c>
      <c r="J113" s="190" t="s">
        <v>508</v>
      </c>
      <c r="K113" s="189" t="s">
        <v>1741</v>
      </c>
      <c r="L113" s="189" t="s">
        <v>2019</v>
      </c>
      <c r="M113" s="189" t="s">
        <v>2103</v>
      </c>
      <c r="N113" s="189"/>
      <c r="O113" s="189"/>
      <c r="P113" s="189"/>
      <c r="Q113" s="191" t="s">
        <v>2116</v>
      </c>
      <c r="R113" s="191" t="s">
        <v>2117</v>
      </c>
      <c r="S113" s="189" t="s">
        <v>1958</v>
      </c>
      <c r="T113" s="192">
        <v>0</v>
      </c>
      <c r="U113" s="193">
        <v>0</v>
      </c>
      <c r="V113" s="193">
        <v>0</v>
      </c>
      <c r="W113" s="193">
        <v>0</v>
      </c>
      <c r="X113" s="192">
        <v>0</v>
      </c>
      <c r="Y113" s="192">
        <v>0</v>
      </c>
      <c r="Z113" s="194">
        <v>0</v>
      </c>
      <c r="AA113" s="194">
        <v>0</v>
      </c>
      <c r="AB113" s="194">
        <v>0</v>
      </c>
      <c r="AC113" s="194">
        <v>0</v>
      </c>
      <c r="AD113" s="194">
        <v>0</v>
      </c>
      <c r="AE113" s="194">
        <v>500000</v>
      </c>
      <c r="AF113" s="194">
        <f>SUM(Tabela99[[#This Row],[jan/26]:[dez/26]])</f>
        <v>500000</v>
      </c>
      <c r="AG113" s="194">
        <v>1200</v>
      </c>
      <c r="AH113" s="194">
        <v>0</v>
      </c>
      <c r="AI113" s="194">
        <v>0</v>
      </c>
      <c r="AJ113" s="194">
        <v>0</v>
      </c>
      <c r="AK113" s="194">
        <f>SUM(Tabela99[[#This Row],[2026]:[2030]])</f>
        <v>501200</v>
      </c>
      <c r="AL113" s="193">
        <v>0</v>
      </c>
      <c r="AM113" s="194">
        <v>0</v>
      </c>
      <c r="AN113" s="194">
        <v>0</v>
      </c>
      <c r="AO113" s="194">
        <v>0</v>
      </c>
      <c r="AP113" s="194">
        <v>0</v>
      </c>
      <c r="AQ113" s="195">
        <f>SUM(Tabela99[[#This Row],[2026-2030]:[2035]])</f>
        <v>501200</v>
      </c>
      <c r="AS113" s="2" t="s">
        <v>1833</v>
      </c>
      <c r="AT113" s="2" t="s">
        <v>1772</v>
      </c>
      <c r="AU113" s="2" t="s">
        <v>2041</v>
      </c>
      <c r="AW113" s="2" t="s">
        <v>1854</v>
      </c>
      <c r="AZ113" s="2" t="s">
        <v>1960</v>
      </c>
    </row>
    <row r="114" spans="1:52" ht="24.75" customHeight="1" x14ac:dyDescent="0.35">
      <c r="A114" s="184"/>
      <c r="B114" s="185" t="e" cm="1">
        <f t="array" ref="B114">AND(ISTEXT('Consolidado-Eletronorte'!#REF!),SUM('Consolidado-Eletronorte'!#REF!)&gt;0)</f>
        <v>#REF!</v>
      </c>
      <c r="C114" s="186" t="str">
        <f t="shared" ca="1" si="3"/>
        <v>Capex Orcamentário_PE2026_2030_red_35_porcentoR3_consulta.xlsx</v>
      </c>
      <c r="D114" s="187" t="str">
        <f t="shared" si="4"/>
        <v>COO</v>
      </c>
      <c r="E114" s="187" t="str">
        <f t="shared" si="5"/>
        <v>Lucas Martins</v>
      </c>
      <c r="F114" s="188"/>
      <c r="G114" s="188" t="e">
        <f>_xlfn.CONCAT('Consolidado-Eletronorte'!#REF!,"_",ROW('Consolidado-Eletronorte'!#REF!)-ROW('Consolidado-Eletronorte'!$G$18))</f>
        <v>#REF!</v>
      </c>
      <c r="H114" s="279" t="s">
        <v>506</v>
      </c>
      <c r="I114" s="189" t="s">
        <v>1024</v>
      </c>
      <c r="J114" s="190" t="s">
        <v>508</v>
      </c>
      <c r="K114" s="189" t="s">
        <v>1821</v>
      </c>
      <c r="L114" s="189" t="s">
        <v>1828</v>
      </c>
      <c r="M114" s="189" t="s">
        <v>2006</v>
      </c>
      <c r="N114" s="189"/>
      <c r="O114" s="189"/>
      <c r="P114" s="189"/>
      <c r="Q114" s="191" t="s">
        <v>2118</v>
      </c>
      <c r="R114" s="191" t="s">
        <v>2119</v>
      </c>
      <c r="S114" s="189" t="s">
        <v>2009</v>
      </c>
      <c r="T114" s="192">
        <v>0</v>
      </c>
      <c r="U114" s="193">
        <v>0</v>
      </c>
      <c r="V114" s="193">
        <v>0</v>
      </c>
      <c r="W114" s="193">
        <v>0</v>
      </c>
      <c r="X114" s="192">
        <v>0</v>
      </c>
      <c r="Y114" s="192">
        <v>0</v>
      </c>
      <c r="Z114" s="194">
        <v>250000</v>
      </c>
      <c r="AA114" s="194">
        <v>250000</v>
      </c>
      <c r="AB114" s="194">
        <v>250000</v>
      </c>
      <c r="AC114" s="194">
        <v>250000</v>
      </c>
      <c r="AD114" s="194">
        <v>0</v>
      </c>
      <c r="AE114" s="194">
        <v>0</v>
      </c>
      <c r="AF114" s="194">
        <f>SUM(Tabela99[[#This Row],[jan/26]:[dez/26]])</f>
        <v>1000000</v>
      </c>
      <c r="AG114" s="194">
        <v>1000</v>
      </c>
      <c r="AH114" s="194">
        <v>0</v>
      </c>
      <c r="AI114" s="194">
        <v>0</v>
      </c>
      <c r="AJ114" s="194">
        <v>0</v>
      </c>
      <c r="AK114" s="194">
        <f>SUM(Tabela99[[#This Row],[2026]:[2030]])</f>
        <v>1001000</v>
      </c>
      <c r="AL114" s="193">
        <v>0</v>
      </c>
      <c r="AM114" s="194">
        <v>0</v>
      </c>
      <c r="AN114" s="194">
        <v>0</v>
      </c>
      <c r="AO114" s="194">
        <v>0</v>
      </c>
      <c r="AP114" s="194">
        <v>0</v>
      </c>
      <c r="AQ114" s="195">
        <f>SUM(Tabela99[[#This Row],[2026-2030]:[2035]])</f>
        <v>1001000</v>
      </c>
      <c r="AS114" s="2" t="s">
        <v>1886</v>
      </c>
      <c r="AT114" s="2">
        <v>2024</v>
      </c>
      <c r="AU114" s="2" t="s">
        <v>2041</v>
      </c>
      <c r="AW114" s="2" t="s">
        <v>1854</v>
      </c>
      <c r="AZ114" s="2" t="s">
        <v>2011</v>
      </c>
    </row>
    <row r="115" spans="1:52" ht="24.75" customHeight="1" x14ac:dyDescent="0.35">
      <c r="A115" s="184"/>
      <c r="B115" s="185" t="e" cm="1">
        <f t="array" ref="B115">AND(ISTEXT('Consolidado-Eletronorte'!#REF!),SUM('Consolidado-Eletronorte'!#REF!)&gt;0)</f>
        <v>#REF!</v>
      </c>
      <c r="C115" s="186" t="str">
        <f t="shared" ca="1" si="3"/>
        <v>Capex Orcamentário_PE2026_2030_red_35_porcentoR3_consulta.xlsx</v>
      </c>
      <c r="D115" s="187" t="str">
        <f t="shared" si="4"/>
        <v>COO</v>
      </c>
      <c r="E115" s="187" t="str">
        <f t="shared" si="5"/>
        <v>Lucas Martins</v>
      </c>
      <c r="F115" s="188"/>
      <c r="G115" s="188" t="e">
        <f>_xlfn.CONCAT('Consolidado-Eletronorte'!#REF!,"_",ROW('Consolidado-Eletronorte'!#REF!)-ROW('Consolidado-Eletronorte'!$G$18))</f>
        <v>#REF!</v>
      </c>
      <c r="H115" s="279" t="s">
        <v>506</v>
      </c>
      <c r="I115" s="189" t="s">
        <v>1024</v>
      </c>
      <c r="J115" s="190" t="s">
        <v>508</v>
      </c>
      <c r="K115" s="189" t="s">
        <v>1821</v>
      </c>
      <c r="L115" s="189" t="s">
        <v>1828</v>
      </c>
      <c r="M115" s="189" t="s">
        <v>1849</v>
      </c>
      <c r="N115" s="189"/>
      <c r="O115" s="189"/>
      <c r="P115" s="189"/>
      <c r="Q115" s="191" t="s">
        <v>2120</v>
      </c>
      <c r="R115" s="191" t="s">
        <v>2121</v>
      </c>
      <c r="S115" s="189" t="s">
        <v>1852</v>
      </c>
      <c r="T115" s="192">
        <v>0</v>
      </c>
      <c r="U115" s="193">
        <v>0</v>
      </c>
      <c r="V115" s="193">
        <v>0</v>
      </c>
      <c r="W115" s="193">
        <v>0</v>
      </c>
      <c r="X115" s="192">
        <v>0</v>
      </c>
      <c r="Y115" s="192">
        <v>0</v>
      </c>
      <c r="Z115" s="194">
        <v>0</v>
      </c>
      <c r="AA115" s="194">
        <v>0</v>
      </c>
      <c r="AB115" s="194">
        <v>0</v>
      </c>
      <c r="AC115" s="194">
        <v>0</v>
      </c>
      <c r="AD115" s="194">
        <v>0</v>
      </c>
      <c r="AE115" s="194">
        <v>0</v>
      </c>
      <c r="AF115" s="194">
        <f>SUM(Tabela99[[#This Row],[jan/26]:[dez/26]])</f>
        <v>0</v>
      </c>
      <c r="AG115" s="194">
        <v>834</v>
      </c>
      <c r="AH115" s="194">
        <v>0</v>
      </c>
      <c r="AI115" s="194">
        <v>0</v>
      </c>
      <c r="AJ115" s="194">
        <v>0</v>
      </c>
      <c r="AK115" s="194">
        <f>SUM(Tabela99[[#This Row],[2026]:[2030]])</f>
        <v>834</v>
      </c>
      <c r="AL115" s="193">
        <v>0</v>
      </c>
      <c r="AM115" s="194">
        <v>0</v>
      </c>
      <c r="AN115" s="194">
        <v>0</v>
      </c>
      <c r="AO115" s="194">
        <v>0</v>
      </c>
      <c r="AP115" s="194">
        <v>0</v>
      </c>
      <c r="AQ115" s="195">
        <f>SUM(Tabela99[[#This Row],[2026-2030]:[2035]])</f>
        <v>834</v>
      </c>
      <c r="AS115" s="2" t="s">
        <v>1853</v>
      </c>
      <c r="AT115" s="2" t="s">
        <v>1772</v>
      </c>
      <c r="AU115" s="2" t="s">
        <v>2041</v>
      </c>
      <c r="AW115" s="2" t="s">
        <v>1854</v>
      </c>
      <c r="AZ115" s="2" t="s">
        <v>1855</v>
      </c>
    </row>
    <row r="116" spans="1:52" ht="24.75" customHeight="1" x14ac:dyDescent="0.35">
      <c r="A116" s="184"/>
      <c r="B116" s="185" t="e" cm="1">
        <f t="array" ref="B116">AND(ISTEXT('Consolidado-Eletronorte'!#REF!),SUM('Consolidado-Eletronorte'!#REF!)&gt;0)</f>
        <v>#REF!</v>
      </c>
      <c r="C116" s="186" t="str">
        <f t="shared" ca="1" si="3"/>
        <v>Capex Orcamentário_PE2026_2030_red_35_porcentoR3_consulta.xlsx</v>
      </c>
      <c r="D116" s="187" t="str">
        <f t="shared" si="4"/>
        <v>COO</v>
      </c>
      <c r="E116" s="187" t="str">
        <f t="shared" si="5"/>
        <v>Lucas Martins</v>
      </c>
      <c r="F116" s="188"/>
      <c r="G116" s="188" t="e">
        <f>_xlfn.CONCAT('Consolidado-Eletronorte'!#REF!,"_",ROW('Consolidado-Eletronorte'!#REF!)-ROW('Consolidado-Eletronorte'!$G$18))</f>
        <v>#REF!</v>
      </c>
      <c r="H116" s="279" t="s">
        <v>506</v>
      </c>
      <c r="I116" s="189" t="s">
        <v>1024</v>
      </c>
      <c r="J116" s="190" t="s">
        <v>508</v>
      </c>
      <c r="K116" s="189" t="s">
        <v>1821</v>
      </c>
      <c r="L116" s="189" t="s">
        <v>1828</v>
      </c>
      <c r="M116" s="189" t="s">
        <v>1849</v>
      </c>
      <c r="N116" s="189"/>
      <c r="O116" s="189"/>
      <c r="P116" s="189"/>
      <c r="Q116" s="191" t="s">
        <v>2122</v>
      </c>
      <c r="R116" s="191" t="s">
        <v>2121</v>
      </c>
      <c r="S116" s="189" t="s">
        <v>1852</v>
      </c>
      <c r="T116" s="192">
        <v>0</v>
      </c>
      <c r="U116" s="193">
        <v>0</v>
      </c>
      <c r="V116" s="193">
        <v>0</v>
      </c>
      <c r="W116" s="193">
        <v>0</v>
      </c>
      <c r="X116" s="192">
        <v>0</v>
      </c>
      <c r="Y116" s="192">
        <v>0</v>
      </c>
      <c r="Z116" s="194">
        <v>0</v>
      </c>
      <c r="AA116" s="194">
        <v>0</v>
      </c>
      <c r="AB116" s="194">
        <v>0</v>
      </c>
      <c r="AC116" s="194">
        <v>0</v>
      </c>
      <c r="AD116" s="194">
        <v>0</v>
      </c>
      <c r="AE116" s="194">
        <v>0</v>
      </c>
      <c r="AF116" s="194">
        <f>SUM(Tabela99[[#This Row],[jan/26]:[dez/26]])</f>
        <v>0</v>
      </c>
      <c r="AG116" s="194">
        <v>637</v>
      </c>
      <c r="AH116" s="194">
        <v>0</v>
      </c>
      <c r="AI116" s="194">
        <v>0</v>
      </c>
      <c r="AJ116" s="194">
        <v>0</v>
      </c>
      <c r="AK116" s="194">
        <f>SUM(Tabela99[[#This Row],[2026]:[2030]])</f>
        <v>637</v>
      </c>
      <c r="AL116" s="193">
        <v>0</v>
      </c>
      <c r="AM116" s="194">
        <v>0</v>
      </c>
      <c r="AN116" s="194">
        <v>0</v>
      </c>
      <c r="AO116" s="194">
        <v>0</v>
      </c>
      <c r="AP116" s="194">
        <v>0</v>
      </c>
      <c r="AQ116" s="195">
        <f>SUM(Tabela99[[#This Row],[2026-2030]:[2035]])</f>
        <v>637</v>
      </c>
      <c r="AS116" s="2" t="s">
        <v>1853</v>
      </c>
      <c r="AT116" s="2" t="s">
        <v>1772</v>
      </c>
      <c r="AU116" s="2" t="s">
        <v>2041</v>
      </c>
      <c r="AW116" s="2" t="s">
        <v>1854</v>
      </c>
      <c r="AZ116" s="2" t="s">
        <v>1855</v>
      </c>
    </row>
    <row r="117" spans="1:52" ht="24.75" customHeight="1" x14ac:dyDescent="0.35">
      <c r="A117" s="184"/>
      <c r="B117" s="185" t="e" cm="1">
        <f t="array" ref="B117">AND(ISTEXT('Consolidado-Eletronorte'!#REF!),SUM('Consolidado-Eletronorte'!#REF!)&gt;0)</f>
        <v>#REF!</v>
      </c>
      <c r="C117" s="186" t="str">
        <f t="shared" ca="1" si="3"/>
        <v>Capex Orcamentário_PE2026_2030_red_35_porcentoR3_consulta.xlsx</v>
      </c>
      <c r="D117" s="187" t="str">
        <f t="shared" si="4"/>
        <v>COO</v>
      </c>
      <c r="E117" s="187" t="str">
        <f t="shared" si="5"/>
        <v>Lucas Martins</v>
      </c>
      <c r="F117" s="188"/>
      <c r="G117" s="188" t="e">
        <f>_xlfn.CONCAT('Consolidado-Eletronorte'!#REF!,"_",ROW('Consolidado-Eletronorte'!#REF!)-ROW('Consolidado-Eletronorte'!$G$18))</f>
        <v>#REF!</v>
      </c>
      <c r="H117" s="279" t="s">
        <v>506</v>
      </c>
      <c r="I117" s="189" t="s">
        <v>1024</v>
      </c>
      <c r="J117" s="190" t="s">
        <v>508</v>
      </c>
      <c r="K117" s="189" t="s">
        <v>1821</v>
      </c>
      <c r="L117" s="189" t="s">
        <v>1828</v>
      </c>
      <c r="M117" s="189" t="s">
        <v>1849</v>
      </c>
      <c r="N117" s="189"/>
      <c r="O117" s="189"/>
      <c r="P117" s="189"/>
      <c r="Q117" s="191" t="s">
        <v>2123</v>
      </c>
      <c r="R117" s="191" t="s">
        <v>2121</v>
      </c>
      <c r="S117" s="189" t="s">
        <v>1852</v>
      </c>
      <c r="T117" s="192">
        <v>0</v>
      </c>
      <c r="U117" s="193">
        <v>0</v>
      </c>
      <c r="V117" s="193">
        <v>0</v>
      </c>
      <c r="W117" s="193">
        <v>0</v>
      </c>
      <c r="X117" s="192">
        <v>0</v>
      </c>
      <c r="Y117" s="192">
        <v>0</v>
      </c>
      <c r="Z117" s="194">
        <v>0</v>
      </c>
      <c r="AA117" s="194">
        <v>0</v>
      </c>
      <c r="AB117" s="194">
        <v>0</v>
      </c>
      <c r="AC117" s="194">
        <v>0</v>
      </c>
      <c r="AD117" s="194">
        <v>0</v>
      </c>
      <c r="AE117" s="194">
        <v>0</v>
      </c>
      <c r="AF117" s="194">
        <f>SUM(Tabela99[[#This Row],[jan/26]:[dez/26]])</f>
        <v>0</v>
      </c>
      <c r="AG117" s="194">
        <v>600</v>
      </c>
      <c r="AH117" s="194">
        <v>0</v>
      </c>
      <c r="AI117" s="194">
        <v>0</v>
      </c>
      <c r="AJ117" s="194">
        <v>0</v>
      </c>
      <c r="AK117" s="194">
        <f>SUM(Tabela99[[#This Row],[2026]:[2030]])</f>
        <v>600</v>
      </c>
      <c r="AL117" s="193">
        <v>0</v>
      </c>
      <c r="AM117" s="194">
        <v>0</v>
      </c>
      <c r="AN117" s="194">
        <v>0</v>
      </c>
      <c r="AO117" s="194">
        <v>0</v>
      </c>
      <c r="AP117" s="194">
        <v>0</v>
      </c>
      <c r="AQ117" s="195">
        <f>SUM(Tabela99[[#This Row],[2026-2030]:[2035]])</f>
        <v>600</v>
      </c>
      <c r="AS117" s="2" t="s">
        <v>1853</v>
      </c>
      <c r="AT117" s="2" t="s">
        <v>1772</v>
      </c>
      <c r="AU117" s="2" t="s">
        <v>2041</v>
      </c>
      <c r="AW117" s="2" t="s">
        <v>1854</v>
      </c>
      <c r="AZ117" s="2" t="s">
        <v>1855</v>
      </c>
    </row>
    <row r="118" spans="1:52" ht="24.75" customHeight="1" x14ac:dyDescent="0.35">
      <c r="A118" s="184"/>
      <c r="B118" s="185" t="e" cm="1">
        <f t="array" ref="B118">AND(ISTEXT('Consolidado-Eletronorte'!#REF!),SUM('Consolidado-Eletronorte'!#REF!)&gt;0)</f>
        <v>#REF!</v>
      </c>
      <c r="C118" s="186" t="str">
        <f t="shared" ca="1" si="3"/>
        <v>Capex Orcamentário_PE2026_2030_red_35_porcentoR3_consulta.xlsx</v>
      </c>
      <c r="D118" s="187" t="str">
        <f t="shared" si="4"/>
        <v>COO</v>
      </c>
      <c r="E118" s="187" t="str">
        <f t="shared" si="5"/>
        <v>Lucas Martins</v>
      </c>
      <c r="F118" s="188"/>
      <c r="G118" s="188" t="e">
        <f>_xlfn.CONCAT('Consolidado-Eletronorte'!#REF!,"_",ROW('Consolidado-Eletronorte'!#REF!)-ROW('Consolidado-Eletronorte'!$G$18))</f>
        <v>#REF!</v>
      </c>
      <c r="H118" s="279" t="s">
        <v>506</v>
      </c>
      <c r="I118" s="189" t="s">
        <v>1024</v>
      </c>
      <c r="J118" s="190" t="s">
        <v>508</v>
      </c>
      <c r="K118" s="189" t="s">
        <v>1821</v>
      </c>
      <c r="L118" s="189" t="s">
        <v>1828</v>
      </c>
      <c r="M118" s="189" t="s">
        <v>2030</v>
      </c>
      <c r="N118" s="189"/>
      <c r="O118" s="189"/>
      <c r="P118" s="189"/>
      <c r="Q118" s="191" t="s">
        <v>2124</v>
      </c>
      <c r="R118" s="191" t="s">
        <v>2125</v>
      </c>
      <c r="S118" s="189" t="s">
        <v>2033</v>
      </c>
      <c r="T118" s="192">
        <v>0</v>
      </c>
      <c r="U118" s="193">
        <v>0</v>
      </c>
      <c r="V118" s="193">
        <v>0</v>
      </c>
      <c r="W118" s="193">
        <v>0</v>
      </c>
      <c r="X118" s="192">
        <v>0</v>
      </c>
      <c r="Y118" s="192">
        <v>0</v>
      </c>
      <c r="Z118" s="194">
        <v>0</v>
      </c>
      <c r="AA118" s="194">
        <v>0</v>
      </c>
      <c r="AB118" s="194">
        <v>0</v>
      </c>
      <c r="AC118" s="194">
        <v>0</v>
      </c>
      <c r="AD118" s="194">
        <v>0</v>
      </c>
      <c r="AE118" s="194">
        <v>0</v>
      </c>
      <c r="AF118" s="194">
        <f>SUM(Tabela99[[#This Row],[jan/26]:[dez/26]])</f>
        <v>0</v>
      </c>
      <c r="AG118" s="194">
        <v>550</v>
      </c>
      <c r="AH118" s="194">
        <v>0</v>
      </c>
      <c r="AI118" s="194">
        <v>0</v>
      </c>
      <c r="AJ118" s="194">
        <v>0</v>
      </c>
      <c r="AK118" s="194">
        <f>SUM(Tabela99[[#This Row],[2026]:[2030]])</f>
        <v>550</v>
      </c>
      <c r="AL118" s="193">
        <v>0</v>
      </c>
      <c r="AM118" s="194">
        <v>0</v>
      </c>
      <c r="AN118" s="194">
        <v>0</v>
      </c>
      <c r="AO118" s="194">
        <v>0</v>
      </c>
      <c r="AP118" s="194">
        <v>0</v>
      </c>
      <c r="AQ118" s="195">
        <f>SUM(Tabela99[[#This Row],[2026-2030]:[2035]])</f>
        <v>550</v>
      </c>
      <c r="AS118" s="2" t="s">
        <v>2034</v>
      </c>
      <c r="AT118" s="2" t="s">
        <v>1772</v>
      </c>
      <c r="AU118" s="2" t="s">
        <v>2041</v>
      </c>
      <c r="AW118" s="2" t="s">
        <v>1854</v>
      </c>
      <c r="AZ118" s="2" t="s">
        <v>2036</v>
      </c>
    </row>
    <row r="119" spans="1:52" ht="24.75" customHeight="1" x14ac:dyDescent="0.35">
      <c r="A119" s="184"/>
      <c r="B119" s="185" t="e" cm="1">
        <f t="array" ref="B119">AND(ISTEXT('Consolidado-Eletronorte'!#REF!),SUM('Consolidado-Eletronorte'!#REF!)&gt;0)</f>
        <v>#REF!</v>
      </c>
      <c r="C119" s="186" t="str">
        <f t="shared" ca="1" si="3"/>
        <v>Capex Orcamentário_PE2026_2030_red_35_porcentoR3_consulta.xlsx</v>
      </c>
      <c r="D119" s="187" t="str">
        <f t="shared" si="4"/>
        <v>COO</v>
      </c>
      <c r="E119" s="187" t="str">
        <f t="shared" si="5"/>
        <v>Lucas Martins</v>
      </c>
      <c r="F119" s="188"/>
      <c r="G119" s="188" t="e">
        <f>_xlfn.CONCAT('Consolidado-Eletronorte'!#REF!,"_",ROW('Consolidado-Eletronorte'!#REF!)-ROW('Consolidado-Eletronorte'!$G$18))</f>
        <v>#REF!</v>
      </c>
      <c r="H119" s="279" t="s">
        <v>506</v>
      </c>
      <c r="I119" s="189" t="s">
        <v>1024</v>
      </c>
      <c r="J119" s="190" t="s">
        <v>508</v>
      </c>
      <c r="K119" s="189" t="s">
        <v>1821</v>
      </c>
      <c r="L119" s="189" t="s">
        <v>1828</v>
      </c>
      <c r="M119" s="189" t="s">
        <v>2030</v>
      </c>
      <c r="N119" s="189"/>
      <c r="O119" s="189"/>
      <c r="P119" s="189"/>
      <c r="Q119" s="191" t="s">
        <v>2126</v>
      </c>
      <c r="R119" s="191" t="s">
        <v>2127</v>
      </c>
      <c r="S119" s="189" t="s">
        <v>2033</v>
      </c>
      <c r="T119" s="192">
        <v>0</v>
      </c>
      <c r="U119" s="193">
        <v>0</v>
      </c>
      <c r="V119" s="193">
        <v>0</v>
      </c>
      <c r="W119" s="193">
        <v>0</v>
      </c>
      <c r="X119" s="192">
        <v>0</v>
      </c>
      <c r="Y119" s="192">
        <v>0</v>
      </c>
      <c r="Z119" s="194">
        <v>0</v>
      </c>
      <c r="AA119" s="194">
        <v>0</v>
      </c>
      <c r="AB119" s="194">
        <v>0</v>
      </c>
      <c r="AC119" s="194">
        <v>0</v>
      </c>
      <c r="AD119" s="194">
        <v>0</v>
      </c>
      <c r="AE119" s="194">
        <v>0</v>
      </c>
      <c r="AF119" s="194">
        <f>SUM(Tabela99[[#This Row],[jan/26]:[dez/26]])</f>
        <v>0</v>
      </c>
      <c r="AG119" s="194">
        <v>500</v>
      </c>
      <c r="AH119" s="194">
        <v>0</v>
      </c>
      <c r="AI119" s="194">
        <v>0</v>
      </c>
      <c r="AJ119" s="194">
        <v>0</v>
      </c>
      <c r="AK119" s="194">
        <f>SUM(Tabela99[[#This Row],[2026]:[2030]])</f>
        <v>500</v>
      </c>
      <c r="AL119" s="193">
        <v>0</v>
      </c>
      <c r="AM119" s="194">
        <v>0</v>
      </c>
      <c r="AN119" s="194">
        <v>0</v>
      </c>
      <c r="AO119" s="194">
        <v>0</v>
      </c>
      <c r="AP119" s="194">
        <v>0</v>
      </c>
      <c r="AQ119" s="195">
        <f>SUM(Tabela99[[#This Row],[2026-2030]:[2035]])</f>
        <v>500</v>
      </c>
      <c r="AS119" s="2" t="s">
        <v>2034</v>
      </c>
      <c r="AT119" s="2" t="s">
        <v>1772</v>
      </c>
      <c r="AU119" s="2" t="s">
        <v>2041</v>
      </c>
      <c r="AW119" s="2" t="s">
        <v>1854</v>
      </c>
      <c r="AZ119" s="2" t="s">
        <v>2036</v>
      </c>
    </row>
    <row r="120" spans="1:52" ht="24.75" customHeight="1" x14ac:dyDescent="0.35">
      <c r="A120" s="184"/>
      <c r="B120" s="185" t="e" cm="1">
        <f t="array" ref="B120">AND(ISTEXT('Consolidado-Eletronorte'!#REF!),SUM('Consolidado-Eletronorte'!#REF!)&gt;0)</f>
        <v>#REF!</v>
      </c>
      <c r="C120" s="186" t="str">
        <f t="shared" ca="1" si="3"/>
        <v>Capex Orcamentário_PE2026_2030_red_35_porcentoR3_consulta.xlsx</v>
      </c>
      <c r="D120" s="187" t="str">
        <f t="shared" si="4"/>
        <v>COO</v>
      </c>
      <c r="E120" s="187" t="str">
        <f t="shared" si="5"/>
        <v>Lucas Martins</v>
      </c>
      <c r="F120" s="188"/>
      <c r="G120" s="188" t="e">
        <f>_xlfn.CONCAT('Consolidado-Eletronorte'!#REF!,"_",ROW('Consolidado-Eletronorte'!#REF!)-ROW('Consolidado-Eletronorte'!$G$18))</f>
        <v>#REF!</v>
      </c>
      <c r="H120" s="279" t="s">
        <v>506</v>
      </c>
      <c r="I120" s="189" t="s">
        <v>1024</v>
      </c>
      <c r="J120" s="190" t="s">
        <v>508</v>
      </c>
      <c r="K120" s="189" t="s">
        <v>1821</v>
      </c>
      <c r="L120" s="189" t="s">
        <v>1828</v>
      </c>
      <c r="M120" s="189" t="s">
        <v>2128</v>
      </c>
      <c r="N120" s="189"/>
      <c r="O120" s="189"/>
      <c r="P120" s="189"/>
      <c r="Q120" s="191" t="s">
        <v>2129</v>
      </c>
      <c r="R120" s="191" t="s">
        <v>2130</v>
      </c>
      <c r="S120" s="189" t="s">
        <v>2033</v>
      </c>
      <c r="T120" s="192">
        <v>0</v>
      </c>
      <c r="U120" s="193">
        <v>0</v>
      </c>
      <c r="V120" s="193">
        <v>0</v>
      </c>
      <c r="W120" s="193">
        <v>0</v>
      </c>
      <c r="X120" s="192">
        <v>0</v>
      </c>
      <c r="Y120" s="192">
        <v>0</v>
      </c>
      <c r="Z120" s="194">
        <v>0</v>
      </c>
      <c r="AA120" s="194">
        <v>0</v>
      </c>
      <c r="AB120" s="194">
        <v>0</v>
      </c>
      <c r="AC120" s="194">
        <v>0</v>
      </c>
      <c r="AD120" s="194">
        <v>0</v>
      </c>
      <c r="AE120" s="194">
        <v>0</v>
      </c>
      <c r="AF120" s="194">
        <f>SUM(Tabela99[[#This Row],[jan/26]:[dez/26]])</f>
        <v>0</v>
      </c>
      <c r="AG120" s="194">
        <v>500</v>
      </c>
      <c r="AH120" s="194">
        <v>0</v>
      </c>
      <c r="AI120" s="194">
        <v>0</v>
      </c>
      <c r="AJ120" s="194">
        <v>0</v>
      </c>
      <c r="AK120" s="194">
        <f>SUM(Tabela99[[#This Row],[2026]:[2030]])</f>
        <v>500</v>
      </c>
      <c r="AL120" s="193">
        <v>0</v>
      </c>
      <c r="AM120" s="194">
        <v>0</v>
      </c>
      <c r="AN120" s="194">
        <v>0</v>
      </c>
      <c r="AO120" s="194">
        <v>0</v>
      </c>
      <c r="AP120" s="194">
        <v>0</v>
      </c>
      <c r="AQ120" s="195">
        <f>SUM(Tabela99[[#This Row],[2026-2030]:[2035]])</f>
        <v>500</v>
      </c>
      <c r="AS120" s="2" t="s">
        <v>2034</v>
      </c>
      <c r="AT120" s="2" t="s">
        <v>1772</v>
      </c>
      <c r="AU120" s="2" t="s">
        <v>2041</v>
      </c>
      <c r="AW120" s="2" t="s">
        <v>1854</v>
      </c>
      <c r="AZ120" s="2" t="s">
        <v>2036</v>
      </c>
    </row>
    <row r="121" spans="1:52" ht="24.75" customHeight="1" x14ac:dyDescent="0.35">
      <c r="A121" s="184"/>
      <c r="B121" s="185" t="e" cm="1">
        <f t="array" ref="B121">AND(ISTEXT('Consolidado-Eletronorte'!#REF!),SUM('Consolidado-Eletronorte'!#REF!)&gt;0)</f>
        <v>#REF!</v>
      </c>
      <c r="C121" s="186" t="str">
        <f t="shared" ca="1" si="3"/>
        <v>Capex Orcamentário_PE2026_2030_red_35_porcentoR3_consulta.xlsx</v>
      </c>
      <c r="D121" s="187" t="str">
        <f t="shared" si="4"/>
        <v>COO</v>
      </c>
      <c r="E121" s="187" t="str">
        <f t="shared" si="5"/>
        <v>Lucas Martins</v>
      </c>
      <c r="F121" s="188"/>
      <c r="G121" s="188" t="e">
        <f>_xlfn.CONCAT('Consolidado-Eletronorte'!#REF!,"_",ROW('Consolidado-Eletronorte'!#REF!)-ROW('Consolidado-Eletronorte'!$G$18))</f>
        <v>#REF!</v>
      </c>
      <c r="H121" s="279" t="s">
        <v>506</v>
      </c>
      <c r="I121" s="189" t="s">
        <v>1024</v>
      </c>
      <c r="J121" s="190" t="s">
        <v>508</v>
      </c>
      <c r="K121" s="189" t="s">
        <v>1821</v>
      </c>
      <c r="L121" s="189" t="s">
        <v>1828</v>
      </c>
      <c r="M121" s="189" t="s">
        <v>1849</v>
      </c>
      <c r="N121" s="189"/>
      <c r="O121" s="189"/>
      <c r="P121" s="189"/>
      <c r="Q121" s="191" t="s">
        <v>2131</v>
      </c>
      <c r="R121" s="191" t="s">
        <v>2121</v>
      </c>
      <c r="S121" s="189" t="s">
        <v>1852</v>
      </c>
      <c r="T121" s="192">
        <v>0</v>
      </c>
      <c r="U121" s="193">
        <v>0</v>
      </c>
      <c r="V121" s="193">
        <v>0</v>
      </c>
      <c r="W121" s="193">
        <v>0</v>
      </c>
      <c r="X121" s="192">
        <v>0</v>
      </c>
      <c r="Y121" s="192">
        <v>0</v>
      </c>
      <c r="Z121" s="194">
        <v>0</v>
      </c>
      <c r="AA121" s="194">
        <v>0</v>
      </c>
      <c r="AB121" s="194">
        <v>0</v>
      </c>
      <c r="AC121" s="194">
        <v>0</v>
      </c>
      <c r="AD121" s="194">
        <v>0</v>
      </c>
      <c r="AE121" s="194">
        <v>0</v>
      </c>
      <c r="AF121" s="194">
        <f>SUM(Tabela99[[#This Row],[jan/26]:[dez/26]])</f>
        <v>0</v>
      </c>
      <c r="AG121" s="194">
        <v>418</v>
      </c>
      <c r="AH121" s="194">
        <v>0</v>
      </c>
      <c r="AI121" s="194">
        <v>0</v>
      </c>
      <c r="AJ121" s="194">
        <v>0</v>
      </c>
      <c r="AK121" s="194">
        <f>SUM(Tabela99[[#This Row],[2026]:[2030]])</f>
        <v>418</v>
      </c>
      <c r="AL121" s="193">
        <v>0</v>
      </c>
      <c r="AM121" s="194">
        <v>0</v>
      </c>
      <c r="AN121" s="194">
        <v>0</v>
      </c>
      <c r="AO121" s="194">
        <v>0</v>
      </c>
      <c r="AP121" s="194">
        <v>0</v>
      </c>
      <c r="AQ121" s="195">
        <f>SUM(Tabela99[[#This Row],[2026-2030]:[2035]])</f>
        <v>418</v>
      </c>
      <c r="AS121" s="2" t="s">
        <v>1853</v>
      </c>
      <c r="AT121" s="2" t="s">
        <v>1772</v>
      </c>
      <c r="AU121" s="2" t="s">
        <v>2041</v>
      </c>
      <c r="AW121" s="2" t="s">
        <v>1854</v>
      </c>
      <c r="AZ121" s="2" t="s">
        <v>1855</v>
      </c>
    </row>
    <row r="122" spans="1:52" ht="24.75" customHeight="1" x14ac:dyDescent="0.35">
      <c r="A122" s="184"/>
      <c r="B122" s="185" t="e" cm="1">
        <f t="array" ref="B122">AND(ISTEXT('Consolidado-Eletronorte'!#REF!),SUM('Consolidado-Eletronorte'!#REF!)&gt;0)</f>
        <v>#REF!</v>
      </c>
      <c r="C122" s="186" t="str">
        <f t="shared" ca="1" si="3"/>
        <v>Capex Orcamentário_PE2026_2030_red_35_porcentoR3_consulta.xlsx</v>
      </c>
      <c r="D122" s="187" t="str">
        <f t="shared" si="4"/>
        <v>COO</v>
      </c>
      <c r="E122" s="187" t="str">
        <f t="shared" si="5"/>
        <v>Lucas Martins</v>
      </c>
      <c r="F122" s="188"/>
      <c r="G122" s="188" t="e">
        <f>_xlfn.CONCAT('Consolidado-Eletronorte'!#REF!,"_",ROW('Consolidado-Eletronorte'!#REF!)-ROW('Consolidado-Eletronorte'!$G$18))</f>
        <v>#REF!</v>
      </c>
      <c r="H122" s="279" t="s">
        <v>506</v>
      </c>
      <c r="I122" s="189" t="s">
        <v>1024</v>
      </c>
      <c r="J122" s="190" t="s">
        <v>508</v>
      </c>
      <c r="K122" s="189" t="s">
        <v>1821</v>
      </c>
      <c r="L122" s="189" t="s">
        <v>1828</v>
      </c>
      <c r="M122" s="189" t="s">
        <v>2128</v>
      </c>
      <c r="N122" s="189"/>
      <c r="O122" s="189"/>
      <c r="P122" s="189"/>
      <c r="Q122" s="191" t="s">
        <v>2132</v>
      </c>
      <c r="R122" s="191" t="s">
        <v>2133</v>
      </c>
      <c r="S122" s="189" t="s">
        <v>2033</v>
      </c>
      <c r="T122" s="192">
        <v>0</v>
      </c>
      <c r="U122" s="193">
        <v>0</v>
      </c>
      <c r="V122" s="193">
        <v>0</v>
      </c>
      <c r="W122" s="193">
        <v>0</v>
      </c>
      <c r="X122" s="192">
        <v>0</v>
      </c>
      <c r="Y122" s="192">
        <v>0</v>
      </c>
      <c r="Z122" s="194">
        <v>0</v>
      </c>
      <c r="AA122" s="194">
        <v>0</v>
      </c>
      <c r="AB122" s="194">
        <v>0</v>
      </c>
      <c r="AC122" s="194">
        <v>0</v>
      </c>
      <c r="AD122" s="194">
        <v>0</v>
      </c>
      <c r="AE122" s="194">
        <v>0</v>
      </c>
      <c r="AF122" s="194">
        <f>SUM(Tabela99[[#This Row],[jan/26]:[dez/26]])</f>
        <v>0</v>
      </c>
      <c r="AG122" s="194">
        <v>400</v>
      </c>
      <c r="AH122" s="194">
        <v>0</v>
      </c>
      <c r="AI122" s="194">
        <v>0</v>
      </c>
      <c r="AJ122" s="194">
        <v>0</v>
      </c>
      <c r="AK122" s="194">
        <f>SUM(Tabela99[[#This Row],[2026]:[2030]])</f>
        <v>400</v>
      </c>
      <c r="AL122" s="193">
        <v>0</v>
      </c>
      <c r="AM122" s="194">
        <v>0</v>
      </c>
      <c r="AN122" s="194">
        <v>0</v>
      </c>
      <c r="AO122" s="194">
        <v>0</v>
      </c>
      <c r="AP122" s="194">
        <v>0</v>
      </c>
      <c r="AQ122" s="195">
        <f>SUM(Tabela99[[#This Row],[2026-2030]:[2035]])</f>
        <v>400</v>
      </c>
      <c r="AS122" s="2" t="s">
        <v>2034</v>
      </c>
      <c r="AT122" s="2" t="s">
        <v>1772</v>
      </c>
      <c r="AU122" s="2" t="s">
        <v>2041</v>
      </c>
      <c r="AW122" s="2" t="s">
        <v>1854</v>
      </c>
      <c r="AZ122" s="2" t="s">
        <v>2036</v>
      </c>
    </row>
    <row r="123" spans="1:52" ht="24.75" customHeight="1" x14ac:dyDescent="0.35">
      <c r="A123" s="184"/>
      <c r="B123" s="185" t="e" cm="1">
        <f t="array" ref="B123">AND(ISTEXT('Consolidado-Eletronorte'!#REF!),SUM('Consolidado-Eletronorte'!#REF!)&gt;0)</f>
        <v>#REF!</v>
      </c>
      <c r="C123" s="186" t="str">
        <f t="shared" ca="1" si="3"/>
        <v>Capex Orcamentário_PE2026_2030_red_35_porcentoR3_consulta.xlsx</v>
      </c>
      <c r="D123" s="187" t="str">
        <f t="shared" si="4"/>
        <v>COO</v>
      </c>
      <c r="E123" s="187" t="str">
        <f t="shared" si="5"/>
        <v>Lucas Martins</v>
      </c>
      <c r="F123" s="188"/>
      <c r="G123" s="188" t="e">
        <f>_xlfn.CONCAT('Consolidado-Eletronorte'!#REF!,"_",ROW('Consolidado-Eletronorte'!#REF!)-ROW('Consolidado-Eletronorte'!$G$18))</f>
        <v>#REF!</v>
      </c>
      <c r="H123" s="279" t="s">
        <v>506</v>
      </c>
      <c r="I123" s="189" t="s">
        <v>1024</v>
      </c>
      <c r="J123" s="190" t="s">
        <v>508</v>
      </c>
      <c r="K123" s="189" t="s">
        <v>1821</v>
      </c>
      <c r="L123" s="189" t="s">
        <v>1828</v>
      </c>
      <c r="M123" s="189" t="s">
        <v>1883</v>
      </c>
      <c r="N123" s="189"/>
      <c r="O123" s="189"/>
      <c r="P123" s="189"/>
      <c r="Q123" s="191" t="s">
        <v>2134</v>
      </c>
      <c r="R123" s="191" t="s">
        <v>2135</v>
      </c>
      <c r="S123" s="189" t="s">
        <v>1885</v>
      </c>
      <c r="T123" s="192">
        <v>0</v>
      </c>
      <c r="U123" s="193">
        <v>0</v>
      </c>
      <c r="V123" s="193">
        <v>0</v>
      </c>
      <c r="W123" s="193">
        <v>0</v>
      </c>
      <c r="X123" s="192">
        <v>0</v>
      </c>
      <c r="Y123" s="192">
        <v>0</v>
      </c>
      <c r="Z123" s="194">
        <v>0</v>
      </c>
      <c r="AA123" s="194">
        <v>0</v>
      </c>
      <c r="AB123" s="194">
        <v>0</v>
      </c>
      <c r="AC123" s="194">
        <v>0</v>
      </c>
      <c r="AD123" s="194">
        <v>0</v>
      </c>
      <c r="AE123" s="194">
        <v>0</v>
      </c>
      <c r="AF123" s="194">
        <f>SUM(Tabela99[[#This Row],[jan/26]:[dez/26]])</f>
        <v>0</v>
      </c>
      <c r="AG123" s="194">
        <v>350</v>
      </c>
      <c r="AH123" s="194">
        <v>0</v>
      </c>
      <c r="AI123" s="194">
        <v>0</v>
      </c>
      <c r="AJ123" s="194">
        <v>0</v>
      </c>
      <c r="AK123" s="194">
        <f>SUM(Tabela99[[#This Row],[2026]:[2030]])</f>
        <v>350</v>
      </c>
      <c r="AL123" s="193">
        <v>0</v>
      </c>
      <c r="AM123" s="194">
        <v>0</v>
      </c>
      <c r="AN123" s="194">
        <v>0</v>
      </c>
      <c r="AO123" s="194">
        <v>0</v>
      </c>
      <c r="AP123" s="194">
        <v>0</v>
      </c>
      <c r="AQ123" s="195">
        <f>SUM(Tabela99[[#This Row],[2026-2030]:[2035]])</f>
        <v>350</v>
      </c>
      <c r="AS123" s="2" t="s">
        <v>1886</v>
      </c>
      <c r="AT123" s="2" t="s">
        <v>1772</v>
      </c>
      <c r="AU123" s="2" t="s">
        <v>2041</v>
      </c>
      <c r="AW123" s="2" t="s">
        <v>1854</v>
      </c>
      <c r="AZ123" s="2" t="s">
        <v>1887</v>
      </c>
    </row>
    <row r="124" spans="1:52" ht="24.75" customHeight="1" x14ac:dyDescent="0.35">
      <c r="A124" s="184"/>
      <c r="B124" s="185" t="e" cm="1">
        <f t="array" ref="B124">AND(ISTEXT('Consolidado-Eletronorte'!#REF!),SUM('Consolidado-Eletronorte'!#REF!)&gt;0)</f>
        <v>#REF!</v>
      </c>
      <c r="C124" s="186" t="str">
        <f t="shared" ca="1" si="3"/>
        <v>Capex Orcamentário_PE2026_2030_red_35_porcentoR3_consulta.xlsx</v>
      </c>
      <c r="D124" s="187" t="str">
        <f t="shared" si="4"/>
        <v>COO</v>
      </c>
      <c r="E124" s="187" t="str">
        <f t="shared" si="5"/>
        <v>Lucas Martins</v>
      </c>
      <c r="F124" s="188"/>
      <c r="G124" s="188" t="e">
        <f>_xlfn.CONCAT('Consolidado-Eletronorte'!#REF!,"_",ROW('Consolidado-Eletronorte'!#REF!)-ROW('Consolidado-Eletronorte'!$G$18))</f>
        <v>#REF!</v>
      </c>
      <c r="H124" s="279" t="s">
        <v>506</v>
      </c>
      <c r="I124" s="189" t="s">
        <v>1024</v>
      </c>
      <c r="J124" s="190" t="s">
        <v>508</v>
      </c>
      <c r="K124" s="189" t="s">
        <v>1821</v>
      </c>
      <c r="L124" s="189" t="s">
        <v>1828</v>
      </c>
      <c r="M124" s="189" t="s">
        <v>1849</v>
      </c>
      <c r="N124" s="189"/>
      <c r="O124" s="189"/>
      <c r="P124" s="189"/>
      <c r="Q124" s="191" t="s">
        <v>2136</v>
      </c>
      <c r="R124" s="191" t="s">
        <v>2121</v>
      </c>
      <c r="S124" s="189" t="s">
        <v>1852</v>
      </c>
      <c r="T124" s="192">
        <v>0</v>
      </c>
      <c r="U124" s="193">
        <v>0</v>
      </c>
      <c r="V124" s="193">
        <v>0</v>
      </c>
      <c r="W124" s="193">
        <v>0</v>
      </c>
      <c r="X124" s="192">
        <v>0</v>
      </c>
      <c r="Y124" s="192">
        <v>0</v>
      </c>
      <c r="Z124" s="194">
        <v>0</v>
      </c>
      <c r="AA124" s="194">
        <v>0</v>
      </c>
      <c r="AB124" s="194">
        <v>0</v>
      </c>
      <c r="AC124" s="194">
        <v>0</v>
      </c>
      <c r="AD124" s="194">
        <v>0</v>
      </c>
      <c r="AE124" s="194">
        <v>0</v>
      </c>
      <c r="AF124" s="194">
        <f>SUM(Tabela99[[#This Row],[jan/26]:[dez/26]])</f>
        <v>0</v>
      </c>
      <c r="AG124" s="194">
        <v>319</v>
      </c>
      <c r="AH124" s="194">
        <v>0</v>
      </c>
      <c r="AI124" s="194">
        <v>0</v>
      </c>
      <c r="AJ124" s="194">
        <v>0</v>
      </c>
      <c r="AK124" s="194">
        <f>SUM(Tabela99[[#This Row],[2026]:[2030]])</f>
        <v>319</v>
      </c>
      <c r="AL124" s="193">
        <v>0</v>
      </c>
      <c r="AM124" s="194">
        <v>0</v>
      </c>
      <c r="AN124" s="194">
        <v>0</v>
      </c>
      <c r="AO124" s="194">
        <v>0</v>
      </c>
      <c r="AP124" s="194">
        <v>0</v>
      </c>
      <c r="AQ124" s="195">
        <f>SUM(Tabela99[[#This Row],[2026-2030]:[2035]])</f>
        <v>319</v>
      </c>
      <c r="AS124" s="2" t="s">
        <v>1853</v>
      </c>
      <c r="AT124" s="2" t="s">
        <v>1772</v>
      </c>
      <c r="AU124" s="2" t="s">
        <v>2041</v>
      </c>
      <c r="AW124" s="2" t="s">
        <v>1854</v>
      </c>
      <c r="AZ124" s="2" t="s">
        <v>1855</v>
      </c>
    </row>
    <row r="125" spans="1:52" ht="24.75" customHeight="1" x14ac:dyDescent="0.35">
      <c r="A125" s="184"/>
      <c r="B125" s="185" t="e" cm="1">
        <f t="array" ref="B125">AND(ISTEXT('Consolidado-Eletronorte'!#REF!),SUM('Consolidado-Eletronorte'!#REF!)&gt;0)</f>
        <v>#REF!</v>
      </c>
      <c r="C125" s="186" t="str">
        <f t="shared" ca="1" si="3"/>
        <v>Capex Orcamentário_PE2026_2030_red_35_porcentoR3_consulta.xlsx</v>
      </c>
      <c r="D125" s="187" t="str">
        <f t="shared" si="4"/>
        <v>COO</v>
      </c>
      <c r="E125" s="187" t="str">
        <f t="shared" si="5"/>
        <v>Lucas Martins</v>
      </c>
      <c r="F125" s="188"/>
      <c r="G125" s="188" t="e">
        <f>_xlfn.CONCAT('Consolidado-Eletronorte'!#REF!,"_",ROW('Consolidado-Eletronorte'!#REF!)-ROW('Consolidado-Eletronorte'!$G$18))</f>
        <v>#REF!</v>
      </c>
      <c r="H125" s="279" t="s">
        <v>506</v>
      </c>
      <c r="I125" s="189" t="s">
        <v>1024</v>
      </c>
      <c r="J125" s="190" t="s">
        <v>508</v>
      </c>
      <c r="K125" s="189" t="s">
        <v>1821</v>
      </c>
      <c r="L125" s="189" t="s">
        <v>1828</v>
      </c>
      <c r="M125" s="189" t="s">
        <v>1849</v>
      </c>
      <c r="N125" s="189"/>
      <c r="O125" s="189"/>
      <c r="P125" s="189"/>
      <c r="Q125" s="191" t="s">
        <v>2137</v>
      </c>
      <c r="R125" s="191" t="s">
        <v>2121</v>
      </c>
      <c r="S125" s="189" t="s">
        <v>1852</v>
      </c>
      <c r="T125" s="192">
        <v>0</v>
      </c>
      <c r="U125" s="193">
        <v>0</v>
      </c>
      <c r="V125" s="193">
        <v>0</v>
      </c>
      <c r="W125" s="193">
        <v>0</v>
      </c>
      <c r="X125" s="192">
        <v>0</v>
      </c>
      <c r="Y125" s="192">
        <v>0</v>
      </c>
      <c r="Z125" s="194">
        <v>0</v>
      </c>
      <c r="AA125" s="194">
        <v>0</v>
      </c>
      <c r="AB125" s="194">
        <v>0</v>
      </c>
      <c r="AC125" s="194">
        <v>0</v>
      </c>
      <c r="AD125" s="194">
        <v>0</v>
      </c>
      <c r="AE125" s="194">
        <v>0</v>
      </c>
      <c r="AF125" s="194">
        <f>SUM(Tabela99[[#This Row],[jan/26]:[dez/26]])</f>
        <v>0</v>
      </c>
      <c r="AG125" s="194">
        <v>319</v>
      </c>
      <c r="AH125" s="194">
        <v>0</v>
      </c>
      <c r="AI125" s="194">
        <v>0</v>
      </c>
      <c r="AJ125" s="194">
        <v>0</v>
      </c>
      <c r="AK125" s="194">
        <f>SUM(Tabela99[[#This Row],[2026]:[2030]])</f>
        <v>319</v>
      </c>
      <c r="AL125" s="193">
        <v>0</v>
      </c>
      <c r="AM125" s="194">
        <v>0</v>
      </c>
      <c r="AN125" s="194">
        <v>0</v>
      </c>
      <c r="AO125" s="194">
        <v>0</v>
      </c>
      <c r="AP125" s="194">
        <v>0</v>
      </c>
      <c r="AQ125" s="195">
        <f>SUM(Tabela99[[#This Row],[2026-2030]:[2035]])</f>
        <v>319</v>
      </c>
      <c r="AS125" s="2" t="s">
        <v>1853</v>
      </c>
      <c r="AT125" s="2" t="s">
        <v>1772</v>
      </c>
      <c r="AU125" s="2" t="s">
        <v>2041</v>
      </c>
      <c r="AW125" s="2" t="s">
        <v>1854</v>
      </c>
      <c r="AZ125" s="2" t="s">
        <v>1855</v>
      </c>
    </row>
    <row r="126" spans="1:52" ht="24.75" customHeight="1" x14ac:dyDescent="0.35">
      <c r="A126" s="184"/>
      <c r="B126" s="185" t="e" cm="1">
        <f t="array" ref="B126">AND(ISTEXT('Consolidado-Eletronorte'!#REF!),SUM('Consolidado-Eletronorte'!#REF!)&gt;0)</f>
        <v>#REF!</v>
      </c>
      <c r="C126" s="186" t="str">
        <f t="shared" ca="1" si="3"/>
        <v>Capex Orcamentário_PE2026_2030_red_35_porcentoR3_consulta.xlsx</v>
      </c>
      <c r="D126" s="187" t="str">
        <f t="shared" si="4"/>
        <v>COO</v>
      </c>
      <c r="E126" s="187" t="str">
        <f t="shared" si="5"/>
        <v>Lucas Martins</v>
      </c>
      <c r="F126" s="188"/>
      <c r="G126" s="188" t="e">
        <f>_xlfn.CONCAT('Consolidado-Eletronorte'!#REF!,"_",ROW('Consolidado-Eletronorte'!#REF!)-ROW('Consolidado-Eletronorte'!$G$18))</f>
        <v>#REF!</v>
      </c>
      <c r="H126" s="279" t="s">
        <v>506</v>
      </c>
      <c r="I126" s="189" t="s">
        <v>1024</v>
      </c>
      <c r="J126" s="190" t="s">
        <v>508</v>
      </c>
      <c r="K126" s="189" t="s">
        <v>1741</v>
      </c>
      <c r="L126" s="189" t="s">
        <v>2019</v>
      </c>
      <c r="M126" s="189" t="s">
        <v>2108</v>
      </c>
      <c r="N126" s="189"/>
      <c r="O126" s="189"/>
      <c r="P126" s="189"/>
      <c r="Q126" s="191" t="s">
        <v>2138</v>
      </c>
      <c r="R126" s="191" t="s">
        <v>2139</v>
      </c>
      <c r="S126" s="189" t="s">
        <v>1885</v>
      </c>
      <c r="T126" s="192">
        <v>65000</v>
      </c>
      <c r="U126" s="193">
        <v>65000</v>
      </c>
      <c r="V126" s="193">
        <v>0</v>
      </c>
      <c r="W126" s="193">
        <v>0</v>
      </c>
      <c r="X126" s="192">
        <v>0</v>
      </c>
      <c r="Y126" s="192">
        <v>0</v>
      </c>
      <c r="Z126" s="194">
        <v>0</v>
      </c>
      <c r="AA126" s="194">
        <v>100000</v>
      </c>
      <c r="AB126" s="194">
        <v>100000</v>
      </c>
      <c r="AC126" s="194">
        <v>100000</v>
      </c>
      <c r="AD126" s="194">
        <v>0</v>
      </c>
      <c r="AE126" s="194">
        <v>0</v>
      </c>
      <c r="AF126" s="194">
        <f>SUM(Tabela99[[#This Row],[jan/26]:[dez/26]])</f>
        <v>430000</v>
      </c>
      <c r="AG126" s="194">
        <v>300</v>
      </c>
      <c r="AH126" s="194">
        <v>300</v>
      </c>
      <c r="AI126" s="194">
        <v>300</v>
      </c>
      <c r="AJ126" s="194">
        <v>0</v>
      </c>
      <c r="AK126" s="194">
        <f>SUM(Tabela99[[#This Row],[2026]:[2030]])</f>
        <v>430900</v>
      </c>
      <c r="AL126" s="193">
        <v>0</v>
      </c>
      <c r="AM126" s="194">
        <v>0</v>
      </c>
      <c r="AN126" s="194">
        <v>0</v>
      </c>
      <c r="AO126" s="194">
        <v>0</v>
      </c>
      <c r="AP126" s="194">
        <v>0</v>
      </c>
      <c r="AQ126" s="195">
        <f>SUM(Tabela99[[#This Row],[2026-2030]:[2035]])</f>
        <v>430900</v>
      </c>
      <c r="AS126" s="2" t="s">
        <v>1886</v>
      </c>
      <c r="AT126" s="2">
        <v>2025</v>
      </c>
      <c r="AU126" s="2" t="s">
        <v>2041</v>
      </c>
      <c r="AW126" s="2" t="s">
        <v>1854</v>
      </c>
      <c r="AZ126" s="2" t="s">
        <v>1887</v>
      </c>
    </row>
    <row r="127" spans="1:52" ht="24.75" customHeight="1" x14ac:dyDescent="0.35">
      <c r="A127" s="184"/>
      <c r="B127" s="185" t="e" cm="1">
        <f t="array" ref="B127">AND(ISTEXT('Consolidado-Eletronorte'!#REF!),SUM('Consolidado-Eletronorte'!#REF!)&gt;0)</f>
        <v>#REF!</v>
      </c>
      <c r="C127" s="186" t="str">
        <f t="shared" ca="1" si="3"/>
        <v>Capex Orcamentário_PE2026_2030_red_35_porcentoR3_consulta.xlsx</v>
      </c>
      <c r="D127" s="187" t="str">
        <f t="shared" si="4"/>
        <v>COO</v>
      </c>
      <c r="E127" s="187" t="str">
        <f t="shared" si="5"/>
        <v>Lucas Martins</v>
      </c>
      <c r="F127" s="188"/>
      <c r="G127" s="188" t="e">
        <f>_xlfn.CONCAT('Consolidado-Eletronorte'!#REF!,"_",ROW('Consolidado-Eletronorte'!#REF!)-ROW('Consolidado-Eletronorte'!$G$18))</f>
        <v>#REF!</v>
      </c>
      <c r="H127" s="279" t="s">
        <v>506</v>
      </c>
      <c r="I127" s="189" t="s">
        <v>1024</v>
      </c>
      <c r="J127" s="190" t="s">
        <v>508</v>
      </c>
      <c r="K127" s="189" t="s">
        <v>1821</v>
      </c>
      <c r="L127" s="189" t="s">
        <v>1828</v>
      </c>
      <c r="M127" s="189" t="s">
        <v>2128</v>
      </c>
      <c r="N127" s="189"/>
      <c r="O127" s="189"/>
      <c r="P127" s="189"/>
      <c r="Q127" s="191" t="s">
        <v>2140</v>
      </c>
      <c r="R127" s="191" t="s">
        <v>2141</v>
      </c>
      <c r="S127" s="189" t="s">
        <v>2033</v>
      </c>
      <c r="T127" s="192">
        <v>0</v>
      </c>
      <c r="U127" s="193">
        <v>0</v>
      </c>
      <c r="V127" s="193">
        <v>0</v>
      </c>
      <c r="W127" s="193">
        <v>0</v>
      </c>
      <c r="X127" s="192">
        <v>0</v>
      </c>
      <c r="Y127" s="192">
        <v>0</v>
      </c>
      <c r="Z127" s="194">
        <v>0</v>
      </c>
      <c r="AA127" s="194">
        <v>0</v>
      </c>
      <c r="AB127" s="194">
        <v>0</v>
      </c>
      <c r="AC127" s="194">
        <v>0</v>
      </c>
      <c r="AD127" s="194">
        <v>0</v>
      </c>
      <c r="AE127" s="194">
        <v>0</v>
      </c>
      <c r="AF127" s="194">
        <f>SUM(Tabela99[[#This Row],[jan/26]:[dez/26]])</f>
        <v>0</v>
      </c>
      <c r="AG127" s="194">
        <v>300</v>
      </c>
      <c r="AH127" s="194">
        <v>0</v>
      </c>
      <c r="AI127" s="194">
        <v>0</v>
      </c>
      <c r="AJ127" s="194">
        <v>0</v>
      </c>
      <c r="AK127" s="194">
        <f>SUM(Tabela99[[#This Row],[2026]:[2030]])</f>
        <v>300</v>
      </c>
      <c r="AL127" s="193">
        <v>0</v>
      </c>
      <c r="AM127" s="194">
        <v>0</v>
      </c>
      <c r="AN127" s="194">
        <v>0</v>
      </c>
      <c r="AO127" s="194">
        <v>0</v>
      </c>
      <c r="AP127" s="194">
        <v>0</v>
      </c>
      <c r="AQ127" s="195">
        <f>SUM(Tabela99[[#This Row],[2026-2030]:[2035]])</f>
        <v>300</v>
      </c>
      <c r="AS127" s="2" t="s">
        <v>2034</v>
      </c>
      <c r="AT127" s="2" t="s">
        <v>1772</v>
      </c>
      <c r="AU127" s="2" t="s">
        <v>2041</v>
      </c>
      <c r="AW127" s="2" t="s">
        <v>1854</v>
      </c>
      <c r="AZ127" s="2" t="s">
        <v>2036</v>
      </c>
    </row>
    <row r="128" spans="1:52" ht="24.75" customHeight="1" x14ac:dyDescent="0.35">
      <c r="A128" s="184"/>
      <c r="B128" s="185" t="e" cm="1">
        <f t="array" ref="B128">AND(ISTEXT('Consolidado-Eletronorte'!#REF!),SUM('Consolidado-Eletronorte'!#REF!)&gt;0)</f>
        <v>#REF!</v>
      </c>
      <c r="C128" s="186" t="str">
        <f t="shared" ca="1" si="3"/>
        <v>Capex Orcamentário_PE2026_2030_red_35_porcentoR3_consulta.xlsx</v>
      </c>
      <c r="D128" s="187" t="str">
        <f t="shared" si="4"/>
        <v>COO</v>
      </c>
      <c r="E128" s="187" t="str">
        <f t="shared" si="5"/>
        <v>Lucas Martins</v>
      </c>
      <c r="F128" s="188"/>
      <c r="G128" s="188" t="e">
        <f>_xlfn.CONCAT('Consolidado-Eletronorte'!#REF!,"_",ROW('Consolidado-Eletronorte'!#REF!)-ROW('Consolidado-Eletronorte'!$G$18))</f>
        <v>#REF!</v>
      </c>
      <c r="H128" s="279" t="s">
        <v>506</v>
      </c>
      <c r="I128" s="189" t="s">
        <v>1024</v>
      </c>
      <c r="J128" s="190" t="s">
        <v>508</v>
      </c>
      <c r="K128" s="189" t="s">
        <v>1741</v>
      </c>
      <c r="L128" s="189" t="s">
        <v>2019</v>
      </c>
      <c r="M128" s="189" t="s">
        <v>2049</v>
      </c>
      <c r="N128" s="189"/>
      <c r="O128" s="189"/>
      <c r="P128" s="189"/>
      <c r="Q128" s="191" t="s">
        <v>2142</v>
      </c>
      <c r="R128" s="191" t="s">
        <v>2143</v>
      </c>
      <c r="S128" s="189" t="s">
        <v>2051</v>
      </c>
      <c r="T128" s="192">
        <v>0</v>
      </c>
      <c r="U128" s="193">
        <v>0</v>
      </c>
      <c r="V128" s="193">
        <v>0</v>
      </c>
      <c r="W128" s="193">
        <v>0</v>
      </c>
      <c r="X128" s="192">
        <v>0</v>
      </c>
      <c r="Y128" s="192">
        <v>0</v>
      </c>
      <c r="Z128" s="194">
        <v>0</v>
      </c>
      <c r="AA128" s="194">
        <v>0</v>
      </c>
      <c r="AB128" s="194">
        <v>0</v>
      </c>
      <c r="AC128" s="194">
        <v>0</v>
      </c>
      <c r="AD128" s="194">
        <v>0</v>
      </c>
      <c r="AE128" s="194">
        <v>0</v>
      </c>
      <c r="AF128" s="194">
        <f>SUM(Tabela99[[#This Row],[jan/26]:[dez/26]])</f>
        <v>0</v>
      </c>
      <c r="AG128" s="194">
        <v>200</v>
      </c>
      <c r="AH128" s="194">
        <v>200</v>
      </c>
      <c r="AI128" s="194">
        <v>0</v>
      </c>
      <c r="AJ128" s="194">
        <v>0</v>
      </c>
      <c r="AK128" s="194">
        <f>SUM(Tabela99[[#This Row],[2026]:[2030]])</f>
        <v>400</v>
      </c>
      <c r="AL128" s="193">
        <v>0</v>
      </c>
      <c r="AM128" s="194">
        <v>0</v>
      </c>
      <c r="AN128" s="194">
        <v>0</v>
      </c>
      <c r="AO128" s="194">
        <v>0</v>
      </c>
      <c r="AP128" s="194">
        <v>0</v>
      </c>
      <c r="AQ128" s="195">
        <f>SUM(Tabela99[[#This Row],[2026-2030]:[2035]])</f>
        <v>400</v>
      </c>
      <c r="AS128" s="2" t="s">
        <v>1833</v>
      </c>
      <c r="AT128" s="2" t="s">
        <v>1772</v>
      </c>
      <c r="AU128" s="2" t="s">
        <v>2041</v>
      </c>
      <c r="AW128" s="2" t="s">
        <v>1854</v>
      </c>
      <c r="AZ128" s="2" t="s">
        <v>1835</v>
      </c>
    </row>
    <row r="129" spans="1:52" ht="24.75" customHeight="1" x14ac:dyDescent="0.35">
      <c r="A129" s="184"/>
      <c r="B129" s="185" t="e" cm="1">
        <f t="array" ref="B129">AND(ISTEXT('Consolidado-Eletronorte'!#REF!),SUM('Consolidado-Eletronorte'!#REF!)&gt;0)</f>
        <v>#REF!</v>
      </c>
      <c r="C129" s="186" t="str">
        <f t="shared" ca="1" si="3"/>
        <v>Capex Orcamentário_PE2026_2030_red_35_porcentoR3_consulta.xlsx</v>
      </c>
      <c r="D129" s="187" t="str">
        <f t="shared" si="4"/>
        <v>COO</v>
      </c>
      <c r="E129" s="187" t="str">
        <f t="shared" si="5"/>
        <v>Lucas Martins</v>
      </c>
      <c r="F129" s="188"/>
      <c r="G129" s="188" t="e">
        <f>_xlfn.CONCAT('Consolidado-Eletronorte'!#REF!,"_",ROW('Consolidado-Eletronorte'!#REF!)-ROW('Consolidado-Eletronorte'!$G$18))</f>
        <v>#REF!</v>
      </c>
      <c r="H129" s="279" t="s">
        <v>506</v>
      </c>
      <c r="I129" s="189" t="s">
        <v>1024</v>
      </c>
      <c r="J129" s="190" t="s">
        <v>508</v>
      </c>
      <c r="K129" s="189" t="s">
        <v>1821</v>
      </c>
      <c r="L129" s="189" t="s">
        <v>1828</v>
      </c>
      <c r="M129" s="189" t="s">
        <v>1849</v>
      </c>
      <c r="N129" s="189"/>
      <c r="O129" s="189"/>
      <c r="P129" s="189"/>
      <c r="Q129" s="191" t="s">
        <v>2144</v>
      </c>
      <c r="R129" s="191" t="s">
        <v>2121</v>
      </c>
      <c r="S129" s="189" t="s">
        <v>1852</v>
      </c>
      <c r="T129" s="192">
        <v>0</v>
      </c>
      <c r="U129" s="193">
        <v>0</v>
      </c>
      <c r="V129" s="193">
        <v>0</v>
      </c>
      <c r="W129" s="193">
        <v>0</v>
      </c>
      <c r="X129" s="192">
        <v>0</v>
      </c>
      <c r="Y129" s="192">
        <v>0</v>
      </c>
      <c r="Z129" s="194">
        <v>0</v>
      </c>
      <c r="AA129" s="194">
        <v>0</v>
      </c>
      <c r="AB129" s="194">
        <v>0</v>
      </c>
      <c r="AC129" s="194">
        <v>0</v>
      </c>
      <c r="AD129" s="194">
        <v>0</v>
      </c>
      <c r="AE129" s="194">
        <v>0</v>
      </c>
      <c r="AF129" s="194">
        <f>SUM(Tabela99[[#This Row],[jan/26]:[dez/26]])</f>
        <v>0</v>
      </c>
      <c r="AG129" s="194">
        <v>180</v>
      </c>
      <c r="AH129" s="194">
        <v>0</v>
      </c>
      <c r="AI129" s="194">
        <v>0</v>
      </c>
      <c r="AJ129" s="194">
        <v>0</v>
      </c>
      <c r="AK129" s="194">
        <f>SUM(Tabela99[[#This Row],[2026]:[2030]])</f>
        <v>180</v>
      </c>
      <c r="AL129" s="193">
        <v>0</v>
      </c>
      <c r="AM129" s="194">
        <v>0</v>
      </c>
      <c r="AN129" s="194">
        <v>0</v>
      </c>
      <c r="AO129" s="194">
        <v>0</v>
      </c>
      <c r="AP129" s="194">
        <v>0</v>
      </c>
      <c r="AQ129" s="195">
        <f>SUM(Tabela99[[#This Row],[2026-2030]:[2035]])</f>
        <v>180</v>
      </c>
      <c r="AS129" s="2" t="s">
        <v>1853</v>
      </c>
      <c r="AT129" s="2" t="s">
        <v>1772</v>
      </c>
      <c r="AU129" s="2" t="s">
        <v>2041</v>
      </c>
      <c r="AW129" s="2" t="s">
        <v>1854</v>
      </c>
      <c r="AZ129" s="2" t="s">
        <v>1855</v>
      </c>
    </row>
    <row r="130" spans="1:52" ht="24.75" customHeight="1" x14ac:dyDescent="0.35">
      <c r="A130" s="184"/>
      <c r="B130" s="185" t="e" cm="1">
        <f t="array" ref="B130">AND(ISTEXT('Consolidado-Eletronorte'!#REF!),SUM('Consolidado-Eletronorte'!#REF!)&gt;0)</f>
        <v>#REF!</v>
      </c>
      <c r="C130" s="186" t="str">
        <f t="shared" ca="1" si="3"/>
        <v>Capex Orcamentário_PE2026_2030_red_35_porcentoR3_consulta.xlsx</v>
      </c>
      <c r="D130" s="187" t="str">
        <f t="shared" si="4"/>
        <v>COO</v>
      </c>
      <c r="E130" s="187" t="str">
        <f t="shared" si="5"/>
        <v>Lucas Martins</v>
      </c>
      <c r="F130" s="188"/>
      <c r="G130" s="188" t="e">
        <f>_xlfn.CONCAT('Consolidado-Eletronorte'!#REF!,"_",ROW('Consolidado-Eletronorte'!#REF!)-ROW('Consolidado-Eletronorte'!$G$18))</f>
        <v>#REF!</v>
      </c>
      <c r="H130" s="279" t="s">
        <v>506</v>
      </c>
      <c r="I130" s="189" t="s">
        <v>1024</v>
      </c>
      <c r="J130" s="190" t="s">
        <v>508</v>
      </c>
      <c r="K130" s="189" t="s">
        <v>1821</v>
      </c>
      <c r="L130" s="189" t="s">
        <v>1828</v>
      </c>
      <c r="M130" s="189" t="s">
        <v>1849</v>
      </c>
      <c r="N130" s="189"/>
      <c r="O130" s="189"/>
      <c r="P130" s="189"/>
      <c r="Q130" s="191" t="s">
        <v>2145</v>
      </c>
      <c r="R130" s="191" t="s">
        <v>2146</v>
      </c>
      <c r="S130" s="189" t="s">
        <v>1852</v>
      </c>
      <c r="T130" s="192">
        <v>0</v>
      </c>
      <c r="U130" s="193">
        <v>0</v>
      </c>
      <c r="V130" s="193">
        <v>0</v>
      </c>
      <c r="W130" s="193">
        <v>0</v>
      </c>
      <c r="X130" s="192">
        <v>0</v>
      </c>
      <c r="Y130" s="192">
        <v>0</v>
      </c>
      <c r="Z130" s="194">
        <v>0</v>
      </c>
      <c r="AA130" s="194">
        <v>0</v>
      </c>
      <c r="AB130" s="194">
        <v>0</v>
      </c>
      <c r="AC130" s="194">
        <v>0</v>
      </c>
      <c r="AD130" s="194">
        <v>0</v>
      </c>
      <c r="AE130" s="194">
        <v>0</v>
      </c>
      <c r="AF130" s="194">
        <f>SUM(Tabela99[[#This Row],[jan/26]:[dez/26]])</f>
        <v>0</v>
      </c>
      <c r="AG130" s="194">
        <v>150</v>
      </c>
      <c r="AH130" s="194">
        <v>0</v>
      </c>
      <c r="AI130" s="194">
        <v>0</v>
      </c>
      <c r="AJ130" s="194">
        <v>0</v>
      </c>
      <c r="AK130" s="194">
        <f>SUM(Tabela99[[#This Row],[2026]:[2030]])</f>
        <v>150</v>
      </c>
      <c r="AL130" s="193">
        <v>0</v>
      </c>
      <c r="AM130" s="194">
        <v>0</v>
      </c>
      <c r="AN130" s="194">
        <v>0</v>
      </c>
      <c r="AO130" s="194">
        <v>0</v>
      </c>
      <c r="AP130" s="194">
        <v>0</v>
      </c>
      <c r="AQ130" s="195">
        <f>SUM(Tabela99[[#This Row],[2026-2030]:[2035]])</f>
        <v>150</v>
      </c>
      <c r="AS130" s="2" t="s">
        <v>1853</v>
      </c>
      <c r="AT130" s="2" t="s">
        <v>1772</v>
      </c>
      <c r="AU130" s="2" t="s">
        <v>2041</v>
      </c>
      <c r="AW130" s="2" t="s">
        <v>1854</v>
      </c>
      <c r="AZ130" s="2" t="s">
        <v>1855</v>
      </c>
    </row>
    <row r="131" spans="1:52" ht="24.75" customHeight="1" x14ac:dyDescent="0.35">
      <c r="A131" s="184"/>
      <c r="B131" s="185" t="e" cm="1">
        <f t="array" ref="B131">AND(ISTEXT('Consolidado-Eletronorte'!#REF!),SUM('Consolidado-Eletronorte'!#REF!)&gt;0)</f>
        <v>#REF!</v>
      </c>
      <c r="C131" s="186" t="str">
        <f t="shared" ca="1" si="3"/>
        <v>Capex Orcamentário_PE2026_2030_red_35_porcentoR3_consulta.xlsx</v>
      </c>
      <c r="D131" s="187" t="str">
        <f t="shared" si="4"/>
        <v>COO</v>
      </c>
      <c r="E131" s="187" t="str">
        <f t="shared" si="5"/>
        <v>Lucas Martins</v>
      </c>
      <c r="F131" s="188"/>
      <c r="G131" s="188" t="e">
        <f>_xlfn.CONCAT('Consolidado-Eletronorte'!#REF!,"_",ROW('Consolidado-Eletronorte'!#REF!)-ROW('Consolidado-Eletronorte'!$G$18))</f>
        <v>#REF!</v>
      </c>
      <c r="H131" s="279" t="s">
        <v>506</v>
      </c>
      <c r="I131" s="189" t="s">
        <v>1024</v>
      </c>
      <c r="J131" s="190" t="s">
        <v>508</v>
      </c>
      <c r="K131" s="189" t="s">
        <v>1821</v>
      </c>
      <c r="L131" s="189" t="s">
        <v>1828</v>
      </c>
      <c r="M131" s="189" t="s">
        <v>1849</v>
      </c>
      <c r="N131" s="189"/>
      <c r="O131" s="189"/>
      <c r="P131" s="189"/>
      <c r="Q131" s="191" t="s">
        <v>2147</v>
      </c>
      <c r="R131" s="191" t="s">
        <v>2146</v>
      </c>
      <c r="S131" s="189" t="s">
        <v>1852</v>
      </c>
      <c r="T131" s="192">
        <v>0</v>
      </c>
      <c r="U131" s="193">
        <v>0</v>
      </c>
      <c r="V131" s="193">
        <v>0</v>
      </c>
      <c r="W131" s="193">
        <v>0</v>
      </c>
      <c r="X131" s="192">
        <v>0</v>
      </c>
      <c r="Y131" s="192">
        <v>0</v>
      </c>
      <c r="Z131" s="194">
        <v>0</v>
      </c>
      <c r="AA131" s="194">
        <v>0</v>
      </c>
      <c r="AB131" s="194">
        <v>0</v>
      </c>
      <c r="AC131" s="194">
        <v>0</v>
      </c>
      <c r="AD131" s="194">
        <v>0</v>
      </c>
      <c r="AE131" s="194">
        <v>0</v>
      </c>
      <c r="AF131" s="194">
        <f>SUM(Tabela99[[#This Row],[jan/26]:[dez/26]])</f>
        <v>0</v>
      </c>
      <c r="AG131" s="194">
        <v>150</v>
      </c>
      <c r="AH131" s="194">
        <v>0</v>
      </c>
      <c r="AI131" s="194">
        <v>0</v>
      </c>
      <c r="AJ131" s="194">
        <v>0</v>
      </c>
      <c r="AK131" s="194">
        <f>SUM(Tabela99[[#This Row],[2026]:[2030]])</f>
        <v>150</v>
      </c>
      <c r="AL131" s="193">
        <v>0</v>
      </c>
      <c r="AM131" s="194">
        <v>0</v>
      </c>
      <c r="AN131" s="194">
        <v>0</v>
      </c>
      <c r="AO131" s="194">
        <v>0</v>
      </c>
      <c r="AP131" s="194">
        <v>0</v>
      </c>
      <c r="AQ131" s="195">
        <f>SUM(Tabela99[[#This Row],[2026-2030]:[2035]])</f>
        <v>150</v>
      </c>
      <c r="AS131" s="2" t="s">
        <v>1853</v>
      </c>
      <c r="AT131" s="2" t="s">
        <v>1772</v>
      </c>
      <c r="AU131" s="2" t="s">
        <v>2041</v>
      </c>
      <c r="AW131" s="2" t="s">
        <v>1854</v>
      </c>
      <c r="AZ131" s="2" t="s">
        <v>1855</v>
      </c>
    </row>
    <row r="132" spans="1:52" ht="24.75" customHeight="1" x14ac:dyDescent="0.35">
      <c r="A132" s="184"/>
      <c r="B132" s="185" t="e" cm="1">
        <f t="array" ref="B132">AND(ISTEXT('Consolidado-Eletronorte'!#REF!),SUM('Consolidado-Eletronorte'!#REF!)&gt;0)</f>
        <v>#REF!</v>
      </c>
      <c r="C132" s="186" t="str">
        <f t="shared" ca="1" si="3"/>
        <v>Capex Orcamentário_PE2026_2030_red_35_porcentoR3_consulta.xlsx</v>
      </c>
      <c r="D132" s="187" t="str">
        <f t="shared" si="4"/>
        <v>COO</v>
      </c>
      <c r="E132" s="187" t="str">
        <f t="shared" si="5"/>
        <v>Lucas Martins</v>
      </c>
      <c r="F132" s="188"/>
      <c r="G132" s="188" t="e">
        <f>_xlfn.CONCAT('Consolidado-Eletronorte'!#REF!,"_",ROW('Consolidado-Eletronorte'!#REF!)-ROW('Consolidado-Eletronorte'!$G$18))</f>
        <v>#REF!</v>
      </c>
      <c r="H132" s="279" t="s">
        <v>506</v>
      </c>
      <c r="I132" s="189" t="s">
        <v>1024</v>
      </c>
      <c r="J132" s="190" t="s">
        <v>508</v>
      </c>
      <c r="K132" s="189" t="s">
        <v>1821</v>
      </c>
      <c r="L132" s="189" t="s">
        <v>1828</v>
      </c>
      <c r="M132" s="189" t="s">
        <v>1849</v>
      </c>
      <c r="N132" s="189"/>
      <c r="O132" s="189"/>
      <c r="P132" s="189"/>
      <c r="Q132" s="191" t="s">
        <v>2148</v>
      </c>
      <c r="R132" s="191" t="s">
        <v>2146</v>
      </c>
      <c r="S132" s="189" t="s">
        <v>1852</v>
      </c>
      <c r="T132" s="192">
        <v>0</v>
      </c>
      <c r="U132" s="193">
        <v>0</v>
      </c>
      <c r="V132" s="193">
        <v>0</v>
      </c>
      <c r="W132" s="193">
        <v>0</v>
      </c>
      <c r="X132" s="192">
        <v>0</v>
      </c>
      <c r="Y132" s="192">
        <v>0</v>
      </c>
      <c r="Z132" s="194">
        <v>0</v>
      </c>
      <c r="AA132" s="194">
        <v>0</v>
      </c>
      <c r="AB132" s="194">
        <v>0</v>
      </c>
      <c r="AC132" s="194">
        <v>0</v>
      </c>
      <c r="AD132" s="194">
        <v>0</v>
      </c>
      <c r="AE132" s="194">
        <v>0</v>
      </c>
      <c r="AF132" s="194">
        <f>SUM(Tabela99[[#This Row],[jan/26]:[dez/26]])</f>
        <v>0</v>
      </c>
      <c r="AG132" s="194">
        <v>150</v>
      </c>
      <c r="AH132" s="194">
        <v>0</v>
      </c>
      <c r="AI132" s="194">
        <v>0</v>
      </c>
      <c r="AJ132" s="194">
        <v>0</v>
      </c>
      <c r="AK132" s="194">
        <f>SUM(Tabela99[[#This Row],[2026]:[2030]])</f>
        <v>150</v>
      </c>
      <c r="AL132" s="193">
        <v>0</v>
      </c>
      <c r="AM132" s="194">
        <v>0</v>
      </c>
      <c r="AN132" s="194">
        <v>0</v>
      </c>
      <c r="AO132" s="194">
        <v>0</v>
      </c>
      <c r="AP132" s="194">
        <v>0</v>
      </c>
      <c r="AQ132" s="195">
        <f>SUM(Tabela99[[#This Row],[2026-2030]:[2035]])</f>
        <v>150</v>
      </c>
      <c r="AS132" s="2" t="s">
        <v>1853</v>
      </c>
      <c r="AT132" s="2" t="s">
        <v>1772</v>
      </c>
      <c r="AU132" s="2" t="s">
        <v>2041</v>
      </c>
      <c r="AW132" s="2" t="s">
        <v>1854</v>
      </c>
      <c r="AZ132" s="2" t="s">
        <v>1855</v>
      </c>
    </row>
    <row r="133" spans="1:52" ht="24.75" customHeight="1" x14ac:dyDescent="0.35">
      <c r="A133" s="184"/>
      <c r="B133" s="185" t="e" cm="1">
        <f t="array" ref="B133">AND(ISTEXT('Consolidado-Eletronorte'!#REF!),SUM('Consolidado-Eletronorte'!#REF!)&gt;0)</f>
        <v>#REF!</v>
      </c>
      <c r="C133" s="186" t="str">
        <f t="shared" ca="1" si="3"/>
        <v>Capex Orcamentário_PE2026_2030_red_35_porcentoR3_consulta.xlsx</v>
      </c>
      <c r="D133" s="187" t="str">
        <f t="shared" si="4"/>
        <v>COO</v>
      </c>
      <c r="E133" s="187" t="str">
        <f t="shared" si="5"/>
        <v>Lucas Martins</v>
      </c>
      <c r="F133" s="188"/>
      <c r="G133" s="188" t="e">
        <f>_xlfn.CONCAT('Consolidado-Eletronorte'!#REF!,"_",ROW('Consolidado-Eletronorte'!#REF!)-ROW('Consolidado-Eletronorte'!$G$18))</f>
        <v>#REF!</v>
      </c>
      <c r="H133" s="279" t="s">
        <v>506</v>
      </c>
      <c r="I133" s="189" t="s">
        <v>1024</v>
      </c>
      <c r="J133" s="190" t="s">
        <v>508</v>
      </c>
      <c r="K133" s="189" t="s">
        <v>1821</v>
      </c>
      <c r="L133" s="189" t="s">
        <v>1828</v>
      </c>
      <c r="M133" s="189" t="s">
        <v>2030</v>
      </c>
      <c r="N133" s="189"/>
      <c r="O133" s="189"/>
      <c r="P133" s="189"/>
      <c r="Q133" s="191" t="s">
        <v>2149</v>
      </c>
      <c r="R133" s="191" t="s">
        <v>2133</v>
      </c>
      <c r="S133" s="189" t="s">
        <v>2033</v>
      </c>
      <c r="T133" s="192">
        <v>0</v>
      </c>
      <c r="U133" s="193">
        <v>0</v>
      </c>
      <c r="V133" s="193">
        <v>0</v>
      </c>
      <c r="W133" s="193">
        <v>0</v>
      </c>
      <c r="X133" s="192">
        <v>0</v>
      </c>
      <c r="Y133" s="192">
        <v>0</v>
      </c>
      <c r="Z133" s="194">
        <v>0</v>
      </c>
      <c r="AA133" s="194">
        <v>0</v>
      </c>
      <c r="AB133" s="194">
        <v>0</v>
      </c>
      <c r="AC133" s="194">
        <v>0</v>
      </c>
      <c r="AD133" s="194">
        <v>0</v>
      </c>
      <c r="AE133" s="194">
        <v>0</v>
      </c>
      <c r="AF133" s="194">
        <f>SUM(Tabela99[[#This Row],[jan/26]:[dez/26]])</f>
        <v>0</v>
      </c>
      <c r="AG133" s="194">
        <v>150</v>
      </c>
      <c r="AH133" s="194">
        <v>0</v>
      </c>
      <c r="AI133" s="194">
        <v>0</v>
      </c>
      <c r="AJ133" s="194">
        <v>0</v>
      </c>
      <c r="AK133" s="194">
        <f>SUM(Tabela99[[#This Row],[2026]:[2030]])</f>
        <v>150</v>
      </c>
      <c r="AL133" s="193">
        <v>0</v>
      </c>
      <c r="AM133" s="194">
        <v>0</v>
      </c>
      <c r="AN133" s="194">
        <v>0</v>
      </c>
      <c r="AO133" s="194">
        <v>0</v>
      </c>
      <c r="AP133" s="194">
        <v>0</v>
      </c>
      <c r="AQ133" s="195">
        <f>SUM(Tabela99[[#This Row],[2026-2030]:[2035]])</f>
        <v>150</v>
      </c>
      <c r="AS133" s="2" t="s">
        <v>2034</v>
      </c>
      <c r="AT133" s="2" t="s">
        <v>1772</v>
      </c>
      <c r="AU133" s="2" t="s">
        <v>2041</v>
      </c>
      <c r="AW133" s="2" t="s">
        <v>1854</v>
      </c>
      <c r="AZ133" s="2" t="s">
        <v>2036</v>
      </c>
    </row>
    <row r="134" spans="1:52" ht="24.75" customHeight="1" x14ac:dyDescent="0.35">
      <c r="A134" s="184"/>
      <c r="B134" s="185" t="e" cm="1">
        <f t="array" ref="B134">AND(ISTEXT('Consolidado-Eletronorte'!#REF!),SUM('Consolidado-Eletronorte'!#REF!)&gt;0)</f>
        <v>#REF!</v>
      </c>
      <c r="C134" s="186" t="str">
        <f t="shared" ca="1" si="3"/>
        <v>Capex Orcamentário_PE2026_2030_red_35_porcentoR3_consulta.xlsx</v>
      </c>
      <c r="D134" s="187" t="str">
        <f t="shared" si="4"/>
        <v>COO</v>
      </c>
      <c r="E134" s="187" t="str">
        <f t="shared" si="5"/>
        <v>Lucas Martins</v>
      </c>
      <c r="F134" s="188"/>
      <c r="G134" s="188" t="e">
        <f>_xlfn.CONCAT('Consolidado-Eletronorte'!#REF!,"_",ROW('Consolidado-Eletronorte'!#REF!)-ROW('Consolidado-Eletronorte'!$G$18))</f>
        <v>#REF!</v>
      </c>
      <c r="H134" s="279" t="s">
        <v>506</v>
      </c>
      <c r="I134" s="189" t="s">
        <v>1024</v>
      </c>
      <c r="J134" s="190" t="s">
        <v>508</v>
      </c>
      <c r="K134" s="189" t="s">
        <v>1821</v>
      </c>
      <c r="L134" s="189" t="s">
        <v>1828</v>
      </c>
      <c r="M134" s="189" t="s">
        <v>1849</v>
      </c>
      <c r="N134" s="189"/>
      <c r="O134" s="189"/>
      <c r="P134" s="189"/>
      <c r="Q134" s="191" t="s">
        <v>2150</v>
      </c>
      <c r="R134" s="191" t="s">
        <v>2151</v>
      </c>
      <c r="S134" s="189" t="s">
        <v>1852</v>
      </c>
      <c r="T134" s="192">
        <v>0</v>
      </c>
      <c r="U134" s="193">
        <v>0</v>
      </c>
      <c r="V134" s="193">
        <v>0</v>
      </c>
      <c r="W134" s="193">
        <v>0</v>
      </c>
      <c r="X134" s="192">
        <v>0</v>
      </c>
      <c r="Y134" s="192">
        <v>0</v>
      </c>
      <c r="Z134" s="194">
        <v>0</v>
      </c>
      <c r="AA134" s="194">
        <v>0</v>
      </c>
      <c r="AB134" s="194">
        <v>0</v>
      </c>
      <c r="AC134" s="194">
        <v>0</v>
      </c>
      <c r="AD134" s="194">
        <v>0</v>
      </c>
      <c r="AE134" s="194">
        <v>0</v>
      </c>
      <c r="AF134" s="194">
        <f>SUM(Tabela99[[#This Row],[jan/26]:[dez/26]])</f>
        <v>0</v>
      </c>
      <c r="AG134" s="194">
        <v>100</v>
      </c>
      <c r="AH134" s="194">
        <v>0</v>
      </c>
      <c r="AI134" s="194">
        <v>0</v>
      </c>
      <c r="AJ134" s="194">
        <v>0</v>
      </c>
      <c r="AK134" s="194">
        <f>SUM(Tabela99[[#This Row],[2026]:[2030]])</f>
        <v>100</v>
      </c>
      <c r="AL134" s="193">
        <v>0</v>
      </c>
      <c r="AM134" s="194">
        <v>0</v>
      </c>
      <c r="AN134" s="194">
        <v>0</v>
      </c>
      <c r="AO134" s="194">
        <v>0</v>
      </c>
      <c r="AP134" s="194">
        <v>0</v>
      </c>
      <c r="AQ134" s="195">
        <f>SUM(Tabela99[[#This Row],[2026-2030]:[2035]])</f>
        <v>100</v>
      </c>
      <c r="AS134" s="2" t="s">
        <v>1853</v>
      </c>
      <c r="AT134" s="2" t="s">
        <v>1772</v>
      </c>
      <c r="AU134" s="2" t="s">
        <v>2041</v>
      </c>
      <c r="AW134" s="2" t="s">
        <v>1854</v>
      </c>
      <c r="AZ134" s="2" t="s">
        <v>1855</v>
      </c>
    </row>
    <row r="135" spans="1:52" ht="24.75" customHeight="1" x14ac:dyDescent="0.35">
      <c r="A135" s="184"/>
      <c r="B135" s="185" t="e" cm="1">
        <f t="array" ref="B135">AND(ISTEXT('Consolidado-Eletronorte'!#REF!),SUM('Consolidado-Eletronorte'!#REF!)&gt;0)</f>
        <v>#REF!</v>
      </c>
      <c r="C135" s="186" t="str">
        <f t="shared" ca="1" si="3"/>
        <v>Capex Orcamentário_PE2026_2030_red_35_porcentoR3_consulta.xlsx</v>
      </c>
      <c r="D135" s="187" t="str">
        <f t="shared" si="4"/>
        <v>COO</v>
      </c>
      <c r="E135" s="187" t="str">
        <f t="shared" si="5"/>
        <v>Lucas Martins</v>
      </c>
      <c r="F135" s="188"/>
      <c r="G135" s="188" t="e">
        <f>_xlfn.CONCAT('Consolidado-Eletronorte'!#REF!,"_",ROW('Consolidado-Eletronorte'!#REF!)-ROW('Consolidado-Eletronorte'!$G$18))</f>
        <v>#REF!</v>
      </c>
      <c r="H135" s="279" t="s">
        <v>506</v>
      </c>
      <c r="I135" s="189" t="s">
        <v>1024</v>
      </c>
      <c r="J135" s="190" t="s">
        <v>508</v>
      </c>
      <c r="K135" s="189" t="s">
        <v>1821</v>
      </c>
      <c r="L135" s="189" t="s">
        <v>1828</v>
      </c>
      <c r="M135" s="189" t="s">
        <v>1849</v>
      </c>
      <c r="N135" s="189"/>
      <c r="O135" s="189"/>
      <c r="P135" s="189"/>
      <c r="Q135" s="191" t="s">
        <v>2152</v>
      </c>
      <c r="R135" s="191" t="s">
        <v>2151</v>
      </c>
      <c r="S135" s="189" t="s">
        <v>1852</v>
      </c>
      <c r="T135" s="192">
        <v>0</v>
      </c>
      <c r="U135" s="193">
        <v>0</v>
      </c>
      <c r="V135" s="193">
        <v>0</v>
      </c>
      <c r="W135" s="193">
        <v>0</v>
      </c>
      <c r="X135" s="192">
        <v>0</v>
      </c>
      <c r="Y135" s="192">
        <v>0</v>
      </c>
      <c r="Z135" s="194">
        <v>0</v>
      </c>
      <c r="AA135" s="194">
        <v>0</v>
      </c>
      <c r="AB135" s="194">
        <v>0</v>
      </c>
      <c r="AC135" s="194">
        <v>0</v>
      </c>
      <c r="AD135" s="194">
        <v>0</v>
      </c>
      <c r="AE135" s="194">
        <v>0</v>
      </c>
      <c r="AF135" s="194">
        <f>SUM(Tabela99[[#This Row],[jan/26]:[dez/26]])</f>
        <v>0</v>
      </c>
      <c r="AG135" s="194">
        <v>100</v>
      </c>
      <c r="AH135" s="194">
        <v>0</v>
      </c>
      <c r="AI135" s="194">
        <v>0</v>
      </c>
      <c r="AJ135" s="194">
        <v>0</v>
      </c>
      <c r="AK135" s="194">
        <f>SUM(Tabela99[[#This Row],[2026]:[2030]])</f>
        <v>100</v>
      </c>
      <c r="AL135" s="193">
        <v>0</v>
      </c>
      <c r="AM135" s="194">
        <v>0</v>
      </c>
      <c r="AN135" s="194">
        <v>0</v>
      </c>
      <c r="AO135" s="194">
        <v>0</v>
      </c>
      <c r="AP135" s="194">
        <v>0</v>
      </c>
      <c r="AQ135" s="195">
        <f>SUM(Tabela99[[#This Row],[2026-2030]:[2035]])</f>
        <v>100</v>
      </c>
      <c r="AS135" s="2" t="s">
        <v>1853</v>
      </c>
      <c r="AT135" s="2" t="s">
        <v>1772</v>
      </c>
      <c r="AU135" s="2" t="s">
        <v>2041</v>
      </c>
      <c r="AW135" s="2" t="s">
        <v>1854</v>
      </c>
      <c r="AZ135" s="2" t="s">
        <v>1855</v>
      </c>
    </row>
    <row r="136" spans="1:52" ht="24.75" customHeight="1" x14ac:dyDescent="0.35">
      <c r="A136" s="184"/>
      <c r="B136" s="185" t="e" cm="1">
        <f t="array" ref="B136">AND(ISTEXT('Consolidado-Eletronorte'!#REF!),SUM('Consolidado-Eletronorte'!#REF!)&gt;0)</f>
        <v>#REF!</v>
      </c>
      <c r="C136" s="186" t="str">
        <f t="shared" ca="1" si="3"/>
        <v>Capex Orcamentário_PE2026_2030_red_35_porcentoR3_consulta.xlsx</v>
      </c>
      <c r="D136" s="187" t="str">
        <f t="shared" si="4"/>
        <v>COO</v>
      </c>
      <c r="E136" s="187" t="str">
        <f t="shared" si="5"/>
        <v>Lucas Martins</v>
      </c>
      <c r="F136" s="188"/>
      <c r="G136" s="188" t="e">
        <f>_xlfn.CONCAT('Consolidado-Eletronorte'!#REF!,"_",ROW('Consolidado-Eletronorte'!#REF!)-ROW('Consolidado-Eletronorte'!$G$18))</f>
        <v>#REF!</v>
      </c>
      <c r="H136" s="279" t="s">
        <v>506</v>
      </c>
      <c r="I136" s="189" t="s">
        <v>1024</v>
      </c>
      <c r="J136" s="190" t="s">
        <v>508</v>
      </c>
      <c r="K136" s="189" t="s">
        <v>1821</v>
      </c>
      <c r="L136" s="189" t="s">
        <v>1828</v>
      </c>
      <c r="M136" s="189" t="s">
        <v>1849</v>
      </c>
      <c r="N136" s="189"/>
      <c r="O136" s="189"/>
      <c r="P136" s="189"/>
      <c r="Q136" s="191" t="s">
        <v>2153</v>
      </c>
      <c r="R136" s="191" t="s">
        <v>2151</v>
      </c>
      <c r="S136" s="189" t="s">
        <v>1852</v>
      </c>
      <c r="T136" s="192">
        <v>0</v>
      </c>
      <c r="U136" s="193">
        <v>0</v>
      </c>
      <c r="V136" s="193">
        <v>0</v>
      </c>
      <c r="W136" s="193">
        <v>0</v>
      </c>
      <c r="X136" s="192">
        <v>0</v>
      </c>
      <c r="Y136" s="192">
        <v>0</v>
      </c>
      <c r="Z136" s="194">
        <v>0</v>
      </c>
      <c r="AA136" s="194">
        <v>0</v>
      </c>
      <c r="AB136" s="194">
        <v>0</v>
      </c>
      <c r="AC136" s="194">
        <v>0</v>
      </c>
      <c r="AD136" s="194">
        <v>0</v>
      </c>
      <c r="AE136" s="194">
        <v>0</v>
      </c>
      <c r="AF136" s="194">
        <f>SUM(Tabela99[[#This Row],[jan/26]:[dez/26]])</f>
        <v>0</v>
      </c>
      <c r="AG136" s="194">
        <v>100</v>
      </c>
      <c r="AH136" s="194">
        <v>0</v>
      </c>
      <c r="AI136" s="194">
        <v>0</v>
      </c>
      <c r="AJ136" s="194">
        <v>0</v>
      </c>
      <c r="AK136" s="194">
        <f>SUM(Tabela99[[#This Row],[2026]:[2030]])</f>
        <v>100</v>
      </c>
      <c r="AL136" s="193">
        <v>0</v>
      </c>
      <c r="AM136" s="194">
        <v>0</v>
      </c>
      <c r="AN136" s="194">
        <v>0</v>
      </c>
      <c r="AO136" s="194">
        <v>0</v>
      </c>
      <c r="AP136" s="194">
        <v>0</v>
      </c>
      <c r="AQ136" s="195">
        <f>SUM(Tabela99[[#This Row],[2026-2030]:[2035]])</f>
        <v>100</v>
      </c>
      <c r="AS136" s="2" t="s">
        <v>1853</v>
      </c>
      <c r="AT136" s="2" t="s">
        <v>1772</v>
      </c>
      <c r="AU136" s="2" t="s">
        <v>2041</v>
      </c>
      <c r="AW136" s="2" t="s">
        <v>1854</v>
      </c>
      <c r="AZ136" s="2" t="s">
        <v>1855</v>
      </c>
    </row>
    <row r="137" spans="1:52" ht="24.75" customHeight="1" x14ac:dyDescent="0.35">
      <c r="A137" s="184"/>
      <c r="B137" s="185" t="e" cm="1">
        <f t="array" ref="B137">AND(ISTEXT('Consolidado-Eletronorte'!#REF!),SUM('Consolidado-Eletronorte'!#REF!)&gt;0)</f>
        <v>#REF!</v>
      </c>
      <c r="C137" s="186" t="str">
        <f t="shared" ref="C137:C200" ca="1" si="6">$J$3</f>
        <v>Capex Orcamentário_PE2026_2030_red_35_porcentoR3_consulta.xlsx</v>
      </c>
      <c r="D137" s="187" t="str">
        <f t="shared" ref="D137:D200" si="7">$H$3</f>
        <v>COO</v>
      </c>
      <c r="E137" s="187" t="str">
        <f t="shared" ref="E137:E200" si="8">$H$4</f>
        <v>Lucas Martins</v>
      </c>
      <c r="F137" s="188"/>
      <c r="G137" s="188" t="e">
        <f>_xlfn.CONCAT('Consolidado-Eletronorte'!#REF!,"_",ROW('Consolidado-Eletronorte'!#REF!)-ROW('Consolidado-Eletronorte'!$G$18))</f>
        <v>#REF!</v>
      </c>
      <c r="H137" s="279" t="s">
        <v>506</v>
      </c>
      <c r="I137" s="189" t="s">
        <v>1024</v>
      </c>
      <c r="J137" s="190" t="s">
        <v>508</v>
      </c>
      <c r="K137" s="189" t="s">
        <v>1741</v>
      </c>
      <c r="L137" s="189" t="s">
        <v>2019</v>
      </c>
      <c r="M137" s="189" t="s">
        <v>2154</v>
      </c>
      <c r="N137" s="189"/>
      <c r="O137" s="189"/>
      <c r="P137" s="189"/>
      <c r="Q137" s="191" t="s">
        <v>2155</v>
      </c>
      <c r="R137" s="191" t="s">
        <v>2139</v>
      </c>
      <c r="S137" s="189" t="s">
        <v>1861</v>
      </c>
      <c r="T137" s="192">
        <v>75000</v>
      </c>
      <c r="U137" s="193">
        <v>75000</v>
      </c>
      <c r="V137" s="193">
        <v>0</v>
      </c>
      <c r="W137" s="193">
        <v>0</v>
      </c>
      <c r="X137" s="192">
        <v>0</v>
      </c>
      <c r="Y137" s="192">
        <v>0</v>
      </c>
      <c r="Z137" s="194">
        <v>0</v>
      </c>
      <c r="AA137" s="194">
        <v>0</v>
      </c>
      <c r="AB137" s="194">
        <v>0</v>
      </c>
      <c r="AC137" s="194">
        <v>0</v>
      </c>
      <c r="AD137" s="194">
        <v>0</v>
      </c>
      <c r="AE137" s="194">
        <v>0</v>
      </c>
      <c r="AF137" s="194">
        <f>SUM(Tabela99[[#This Row],[jan/26]:[dez/26]])</f>
        <v>150000</v>
      </c>
      <c r="AG137" s="194">
        <v>30</v>
      </c>
      <c r="AH137" s="194">
        <v>0</v>
      </c>
      <c r="AI137" s="194">
        <v>0</v>
      </c>
      <c r="AJ137" s="194">
        <v>0</v>
      </c>
      <c r="AK137" s="194">
        <f>SUM(Tabela99[[#This Row],[2026]:[2030]])</f>
        <v>150030</v>
      </c>
      <c r="AL137" s="193">
        <v>0</v>
      </c>
      <c r="AM137" s="194">
        <v>0</v>
      </c>
      <c r="AN137" s="194">
        <v>0</v>
      </c>
      <c r="AO137" s="194">
        <v>0</v>
      </c>
      <c r="AP137" s="194">
        <v>0</v>
      </c>
      <c r="AQ137" s="195">
        <f>SUM(Tabela99[[#This Row],[2026-2030]:[2035]])</f>
        <v>150030</v>
      </c>
      <c r="AS137" s="2" t="s">
        <v>1833</v>
      </c>
      <c r="AT137" s="2">
        <v>2025</v>
      </c>
      <c r="AU137" s="2" t="s">
        <v>2041</v>
      </c>
      <c r="AW137" s="2" t="s">
        <v>1854</v>
      </c>
      <c r="AZ137" s="2" t="s">
        <v>1905</v>
      </c>
    </row>
    <row r="138" spans="1:52" ht="24.75" customHeight="1" x14ac:dyDescent="0.35">
      <c r="A138" s="184"/>
      <c r="B138" s="185" t="e" cm="1">
        <f t="array" ref="B138">AND(ISTEXT('Consolidado-Eletronorte'!#REF!),SUM('Consolidado-Eletronorte'!#REF!)&gt;0)</f>
        <v>#REF!</v>
      </c>
      <c r="C138" s="186" t="str">
        <f t="shared" ca="1" si="6"/>
        <v>Capex Orcamentário_PE2026_2030_red_35_porcentoR3_consulta.xlsx</v>
      </c>
      <c r="D138" s="187" t="str">
        <f t="shared" si="7"/>
        <v>COO</v>
      </c>
      <c r="E138" s="187" t="str">
        <f t="shared" si="8"/>
        <v>Lucas Martins</v>
      </c>
      <c r="F138" s="188"/>
      <c r="G138" s="188" t="e">
        <f>_xlfn.CONCAT('Consolidado-Eletronorte'!#REF!,"_",ROW('Consolidado-Eletronorte'!#REF!)-ROW('Consolidado-Eletronorte'!$G$18))</f>
        <v>#REF!</v>
      </c>
      <c r="H138" s="279" t="s">
        <v>506</v>
      </c>
      <c r="I138" s="189" t="s">
        <v>1024</v>
      </c>
      <c r="J138" s="190" t="s">
        <v>508</v>
      </c>
      <c r="K138" s="189" t="s">
        <v>1821</v>
      </c>
      <c r="L138" s="189" t="s">
        <v>1828</v>
      </c>
      <c r="M138" s="189" t="s">
        <v>2030</v>
      </c>
      <c r="N138" s="189"/>
      <c r="O138" s="189"/>
      <c r="P138" s="189"/>
      <c r="Q138" s="191" t="s">
        <v>2156</v>
      </c>
      <c r="R138" s="191" t="s">
        <v>2157</v>
      </c>
      <c r="S138" s="189" t="s">
        <v>2033</v>
      </c>
      <c r="T138" s="192">
        <v>0</v>
      </c>
      <c r="U138" s="193">
        <v>0</v>
      </c>
      <c r="V138" s="193">
        <v>800000</v>
      </c>
      <c r="W138" s="193">
        <v>800000</v>
      </c>
      <c r="X138" s="192">
        <v>800000</v>
      </c>
      <c r="Y138" s="192">
        <v>800000</v>
      </c>
      <c r="Z138" s="194">
        <v>0</v>
      </c>
      <c r="AA138" s="194">
        <v>0</v>
      </c>
      <c r="AB138" s="194">
        <v>0</v>
      </c>
      <c r="AC138" s="194">
        <v>0</v>
      </c>
      <c r="AD138" s="194">
        <v>0</v>
      </c>
      <c r="AE138" s="194">
        <v>0</v>
      </c>
      <c r="AF138" s="194">
        <f>SUM(Tabela99[[#This Row],[jan/26]:[dez/26]])</f>
        <v>3200000</v>
      </c>
      <c r="AG138" s="194">
        <v>0</v>
      </c>
      <c r="AH138" s="194">
        <v>0</v>
      </c>
      <c r="AI138" s="194">
        <v>0</v>
      </c>
      <c r="AJ138" s="194">
        <v>0</v>
      </c>
      <c r="AK138" s="194">
        <f>SUM(Tabela99[[#This Row],[2026]:[2030]])</f>
        <v>3200000</v>
      </c>
      <c r="AL138" s="193">
        <v>0</v>
      </c>
      <c r="AM138" s="194">
        <v>0</v>
      </c>
      <c r="AN138" s="194">
        <v>0</v>
      </c>
      <c r="AO138" s="194">
        <v>0</v>
      </c>
      <c r="AP138" s="194">
        <v>0</v>
      </c>
      <c r="AQ138" s="195">
        <f>SUM(Tabela99[[#This Row],[2026-2030]:[2035]])</f>
        <v>3200000</v>
      </c>
      <c r="AS138" s="2" t="s">
        <v>2034</v>
      </c>
      <c r="AT138" s="2">
        <v>2025</v>
      </c>
      <c r="AU138" s="2" t="s">
        <v>2041</v>
      </c>
      <c r="AW138" s="2" t="s">
        <v>1049</v>
      </c>
      <c r="AZ138" s="2" t="s">
        <v>2036</v>
      </c>
    </row>
    <row r="139" spans="1:52" ht="24.75" customHeight="1" x14ac:dyDescent="0.35">
      <c r="A139" s="184"/>
      <c r="B139" s="185" t="e" cm="1">
        <f t="array" ref="B139">AND(ISTEXT('Consolidado-Eletronorte'!#REF!),SUM('Consolidado-Eletronorte'!#REF!)&gt;0)</f>
        <v>#REF!</v>
      </c>
      <c r="C139" s="186" t="str">
        <f t="shared" ca="1" si="6"/>
        <v>Capex Orcamentário_PE2026_2030_red_35_porcentoR3_consulta.xlsx</v>
      </c>
      <c r="D139" s="187" t="str">
        <f t="shared" si="7"/>
        <v>COO</v>
      </c>
      <c r="E139" s="187" t="str">
        <f t="shared" si="8"/>
        <v>Lucas Martins</v>
      </c>
      <c r="F139" s="188"/>
      <c r="G139" s="188" t="e">
        <f>_xlfn.CONCAT('Consolidado-Eletronorte'!#REF!,"_",ROW('Consolidado-Eletronorte'!#REF!)-ROW('Consolidado-Eletronorte'!$G$18))</f>
        <v>#REF!</v>
      </c>
      <c r="H139" s="279" t="s">
        <v>506</v>
      </c>
      <c r="I139" s="189" t="s">
        <v>1024</v>
      </c>
      <c r="J139" s="190" t="s">
        <v>508</v>
      </c>
      <c r="K139" s="189" t="s">
        <v>1741</v>
      </c>
      <c r="L139" s="189" t="s">
        <v>2019</v>
      </c>
      <c r="M139" s="189" t="s">
        <v>2067</v>
      </c>
      <c r="N139" s="189"/>
      <c r="O139" s="189"/>
      <c r="P139" s="189"/>
      <c r="Q139" s="191" t="s">
        <v>2158</v>
      </c>
      <c r="R139" s="191" t="s">
        <v>2159</v>
      </c>
      <c r="S139" s="189" t="s">
        <v>1861</v>
      </c>
      <c r="T139" s="192">
        <v>0</v>
      </c>
      <c r="U139" s="193">
        <v>0</v>
      </c>
      <c r="V139" s="193">
        <v>0</v>
      </c>
      <c r="W139" s="193">
        <v>2702000</v>
      </c>
      <c r="X139" s="192">
        <v>0</v>
      </c>
      <c r="Y139" s="192">
        <v>0</v>
      </c>
      <c r="Z139" s="194">
        <v>0</v>
      </c>
      <c r="AA139" s="194">
        <v>0</v>
      </c>
      <c r="AB139" s="194">
        <v>0</v>
      </c>
      <c r="AC139" s="194">
        <v>0</v>
      </c>
      <c r="AD139" s="194">
        <v>0</v>
      </c>
      <c r="AE139" s="194">
        <v>0</v>
      </c>
      <c r="AF139" s="194">
        <f>SUM(Tabela99[[#This Row],[jan/26]:[dez/26]])</f>
        <v>2702000</v>
      </c>
      <c r="AG139" s="194">
        <v>0</v>
      </c>
      <c r="AH139" s="194">
        <v>0</v>
      </c>
      <c r="AI139" s="194">
        <v>0</v>
      </c>
      <c r="AJ139" s="194">
        <v>0</v>
      </c>
      <c r="AK139" s="194">
        <f>SUM(Tabela99[[#This Row],[2026]:[2030]])</f>
        <v>2702000</v>
      </c>
      <c r="AL139" s="193">
        <v>0</v>
      </c>
      <c r="AM139" s="194">
        <v>0</v>
      </c>
      <c r="AN139" s="194">
        <v>0</v>
      </c>
      <c r="AO139" s="194">
        <v>0</v>
      </c>
      <c r="AP139" s="194">
        <v>0</v>
      </c>
      <c r="AQ139" s="195">
        <f>SUM(Tabela99[[#This Row],[2026-2030]:[2035]])</f>
        <v>2702000</v>
      </c>
      <c r="AS139" s="2" t="s">
        <v>2055</v>
      </c>
      <c r="AT139" s="2" t="s">
        <v>1772</v>
      </c>
      <c r="AU139" s="2" t="s">
        <v>2041</v>
      </c>
      <c r="AW139" s="2" t="s">
        <v>1049</v>
      </c>
      <c r="AZ139" s="2" t="s">
        <v>2063</v>
      </c>
    </row>
    <row r="140" spans="1:52" ht="24.75" customHeight="1" x14ac:dyDescent="0.35">
      <c r="A140" s="184"/>
      <c r="B140" s="185" t="e" cm="1">
        <f t="array" ref="B140">AND(ISTEXT('Consolidado-Eletronorte'!#REF!),SUM('Consolidado-Eletronorte'!#REF!)&gt;0)</f>
        <v>#REF!</v>
      </c>
      <c r="C140" s="186" t="str">
        <f t="shared" ca="1" si="6"/>
        <v>Capex Orcamentário_PE2026_2030_red_35_porcentoR3_consulta.xlsx</v>
      </c>
      <c r="D140" s="187" t="str">
        <f t="shared" si="7"/>
        <v>COO</v>
      </c>
      <c r="E140" s="187" t="str">
        <f t="shared" si="8"/>
        <v>Lucas Martins</v>
      </c>
      <c r="F140" s="188"/>
      <c r="G140" s="188" t="e">
        <f>_xlfn.CONCAT('Consolidado-Eletronorte'!#REF!,"_",ROW('Consolidado-Eletronorte'!#REF!)-ROW('Consolidado-Eletronorte'!$G$18))</f>
        <v>#REF!</v>
      </c>
      <c r="H140" s="279" t="s">
        <v>506</v>
      </c>
      <c r="I140" s="189" t="s">
        <v>1024</v>
      </c>
      <c r="J140" s="190" t="s">
        <v>508</v>
      </c>
      <c r="K140" s="189" t="s">
        <v>1741</v>
      </c>
      <c r="L140" s="189" t="s">
        <v>2019</v>
      </c>
      <c r="M140" s="189" t="s">
        <v>2049</v>
      </c>
      <c r="N140" s="189"/>
      <c r="O140" s="189"/>
      <c r="P140" s="189"/>
      <c r="Q140" s="191" t="s">
        <v>2160</v>
      </c>
      <c r="R140" s="191" t="s">
        <v>2161</v>
      </c>
      <c r="S140" s="189" t="s">
        <v>2051</v>
      </c>
      <c r="T140" s="192">
        <v>0</v>
      </c>
      <c r="U140" s="193">
        <v>0</v>
      </c>
      <c r="V140" s="193">
        <v>0</v>
      </c>
      <c r="W140" s="193">
        <v>0</v>
      </c>
      <c r="X140" s="192">
        <v>0</v>
      </c>
      <c r="Y140" s="192">
        <v>0</v>
      </c>
      <c r="Z140" s="194">
        <v>450000</v>
      </c>
      <c r="AA140" s="194">
        <v>450000</v>
      </c>
      <c r="AB140" s="194">
        <v>450000</v>
      </c>
      <c r="AC140" s="194">
        <v>450000</v>
      </c>
      <c r="AD140" s="194">
        <v>450000</v>
      </c>
      <c r="AE140" s="194">
        <v>0</v>
      </c>
      <c r="AF140" s="194">
        <f>SUM(Tabela99[[#This Row],[jan/26]:[dez/26]])</f>
        <v>2250000</v>
      </c>
      <c r="AG140" s="194">
        <v>0</v>
      </c>
      <c r="AH140" s="194">
        <v>0</v>
      </c>
      <c r="AI140" s="194">
        <v>0</v>
      </c>
      <c r="AJ140" s="194">
        <v>0</v>
      </c>
      <c r="AK140" s="194">
        <f>SUM(Tabela99[[#This Row],[2026]:[2030]])</f>
        <v>2250000</v>
      </c>
      <c r="AL140" s="193">
        <v>0</v>
      </c>
      <c r="AM140" s="194">
        <v>0</v>
      </c>
      <c r="AN140" s="194">
        <v>0</v>
      </c>
      <c r="AO140" s="194">
        <v>0</v>
      </c>
      <c r="AP140" s="194">
        <v>0</v>
      </c>
      <c r="AQ140" s="195">
        <f>SUM(Tabela99[[#This Row],[2026-2030]:[2035]])</f>
        <v>2250000</v>
      </c>
      <c r="AS140" s="2" t="s">
        <v>1833</v>
      </c>
      <c r="AT140" s="2" t="s">
        <v>1772</v>
      </c>
      <c r="AU140" s="2" t="s">
        <v>2041</v>
      </c>
      <c r="AW140" s="2" t="s">
        <v>1854</v>
      </c>
      <c r="AZ140" s="2" t="s">
        <v>1835</v>
      </c>
    </row>
    <row r="141" spans="1:52" ht="24.75" customHeight="1" x14ac:dyDescent="0.35">
      <c r="A141" s="184"/>
      <c r="B141" s="185" t="e" cm="1">
        <f t="array" ref="B141">AND(ISTEXT('Consolidado-Eletronorte'!#REF!),SUM('Consolidado-Eletronorte'!#REF!)&gt;0)</f>
        <v>#REF!</v>
      </c>
      <c r="C141" s="186" t="str">
        <f t="shared" ca="1" si="6"/>
        <v>Capex Orcamentário_PE2026_2030_red_35_porcentoR3_consulta.xlsx</v>
      </c>
      <c r="D141" s="187" t="str">
        <f t="shared" si="7"/>
        <v>COO</v>
      </c>
      <c r="E141" s="187" t="str">
        <f t="shared" si="8"/>
        <v>Lucas Martins</v>
      </c>
      <c r="F141" s="188"/>
      <c r="G141" s="188" t="e">
        <f>_xlfn.CONCAT('Consolidado-Eletronorte'!#REF!,"_",ROW('Consolidado-Eletronorte'!#REF!)-ROW('Consolidado-Eletronorte'!$G$18))</f>
        <v>#REF!</v>
      </c>
      <c r="H141" s="279" t="s">
        <v>506</v>
      </c>
      <c r="I141" s="189" t="s">
        <v>1024</v>
      </c>
      <c r="J141" s="190" t="s">
        <v>508</v>
      </c>
      <c r="K141" s="189" t="s">
        <v>1741</v>
      </c>
      <c r="L141" s="189" t="s">
        <v>2019</v>
      </c>
      <c r="M141" s="189" t="s">
        <v>2052</v>
      </c>
      <c r="N141" s="189"/>
      <c r="O141" s="189"/>
      <c r="P141" s="189"/>
      <c r="Q141" s="191" t="s">
        <v>2162</v>
      </c>
      <c r="R141" s="191" t="s">
        <v>2062</v>
      </c>
      <c r="S141" s="189" t="s">
        <v>1958</v>
      </c>
      <c r="T141" s="192">
        <v>0</v>
      </c>
      <c r="U141" s="193">
        <v>0</v>
      </c>
      <c r="V141" s="193">
        <v>0</v>
      </c>
      <c r="W141" s="193">
        <v>0</v>
      </c>
      <c r="X141" s="192">
        <v>0</v>
      </c>
      <c r="Y141" s="192">
        <v>0</v>
      </c>
      <c r="Z141" s="194">
        <v>0</v>
      </c>
      <c r="AA141" s="194">
        <v>0</v>
      </c>
      <c r="AB141" s="194">
        <v>2000000</v>
      </c>
      <c r="AC141" s="194">
        <v>0</v>
      </c>
      <c r="AD141" s="194">
        <v>0</v>
      </c>
      <c r="AE141" s="194">
        <v>0</v>
      </c>
      <c r="AF141" s="194">
        <f>SUM(Tabela99[[#This Row],[jan/26]:[dez/26]])</f>
        <v>2000000</v>
      </c>
      <c r="AG141" s="194">
        <v>0</v>
      </c>
      <c r="AH141" s="194">
        <v>0</v>
      </c>
      <c r="AI141" s="194">
        <v>0</v>
      </c>
      <c r="AJ141" s="194">
        <v>0</v>
      </c>
      <c r="AK141" s="194">
        <f>SUM(Tabela99[[#This Row],[2026]:[2030]])</f>
        <v>2000000</v>
      </c>
      <c r="AL141" s="193">
        <v>0</v>
      </c>
      <c r="AM141" s="194">
        <v>0</v>
      </c>
      <c r="AN141" s="194">
        <v>0</v>
      </c>
      <c r="AO141" s="194">
        <v>0</v>
      </c>
      <c r="AP141" s="194">
        <v>0</v>
      </c>
      <c r="AQ141" s="195">
        <f>SUM(Tabela99[[#This Row],[2026-2030]:[2035]])</f>
        <v>2000000</v>
      </c>
      <c r="AS141" s="2" t="s">
        <v>2055</v>
      </c>
      <c r="AT141" s="2">
        <v>2025</v>
      </c>
      <c r="AU141" s="2" t="s">
        <v>2041</v>
      </c>
      <c r="AW141" s="2" t="s">
        <v>1603</v>
      </c>
      <c r="AZ141" s="2" t="s">
        <v>2063</v>
      </c>
    </row>
    <row r="142" spans="1:52" ht="24.75" customHeight="1" x14ac:dyDescent="0.35">
      <c r="A142" s="184"/>
      <c r="B142" s="185" t="e" cm="1">
        <f t="array" ref="B142">AND(ISTEXT('Consolidado-Eletronorte'!#REF!),SUM('Consolidado-Eletronorte'!#REF!)&gt;0)</f>
        <v>#REF!</v>
      </c>
      <c r="C142" s="186" t="str">
        <f t="shared" ca="1" si="6"/>
        <v>Capex Orcamentário_PE2026_2030_red_35_porcentoR3_consulta.xlsx</v>
      </c>
      <c r="D142" s="187" t="str">
        <f t="shared" si="7"/>
        <v>COO</v>
      </c>
      <c r="E142" s="187" t="str">
        <f t="shared" si="8"/>
        <v>Lucas Martins</v>
      </c>
      <c r="F142" s="188"/>
      <c r="G142" s="188" t="e">
        <f>_xlfn.CONCAT('Consolidado-Eletronorte'!#REF!,"_",ROW('Consolidado-Eletronorte'!#REF!)-ROW('Consolidado-Eletronorte'!$G$18))</f>
        <v>#REF!</v>
      </c>
      <c r="H142" s="279" t="s">
        <v>506</v>
      </c>
      <c r="I142" s="189" t="s">
        <v>1024</v>
      </c>
      <c r="J142" s="190" t="s">
        <v>508</v>
      </c>
      <c r="K142" s="189" t="s">
        <v>1741</v>
      </c>
      <c r="L142" s="189" t="s">
        <v>2019</v>
      </c>
      <c r="M142" s="189" t="s">
        <v>2163</v>
      </c>
      <c r="N142" s="189"/>
      <c r="O142" s="189"/>
      <c r="P142" s="189"/>
      <c r="Q142" s="191" t="s">
        <v>2164</v>
      </c>
      <c r="R142" s="191" t="s">
        <v>2165</v>
      </c>
      <c r="S142" s="189" t="s">
        <v>2009</v>
      </c>
      <c r="T142" s="192">
        <v>0</v>
      </c>
      <c r="U142" s="193">
        <v>0</v>
      </c>
      <c r="V142" s="193">
        <v>0</v>
      </c>
      <c r="W142" s="193">
        <v>0</v>
      </c>
      <c r="X142" s="192">
        <v>300000</v>
      </c>
      <c r="Y142" s="192">
        <v>300000</v>
      </c>
      <c r="Z142" s="194">
        <v>300000</v>
      </c>
      <c r="AA142" s="194">
        <v>300000</v>
      </c>
      <c r="AB142" s="194">
        <v>300000</v>
      </c>
      <c r="AC142" s="194">
        <v>0</v>
      </c>
      <c r="AD142" s="194">
        <v>0</v>
      </c>
      <c r="AE142" s="194">
        <v>0</v>
      </c>
      <c r="AF142" s="194">
        <f>SUM(Tabela99[[#This Row],[jan/26]:[dez/26]])</f>
        <v>1500000</v>
      </c>
      <c r="AG142" s="194">
        <v>0</v>
      </c>
      <c r="AH142" s="194">
        <v>0</v>
      </c>
      <c r="AI142" s="194">
        <v>0</v>
      </c>
      <c r="AJ142" s="194">
        <v>0</v>
      </c>
      <c r="AK142" s="194">
        <f>SUM(Tabela99[[#This Row],[2026]:[2030]])</f>
        <v>1500000</v>
      </c>
      <c r="AL142" s="193">
        <v>0</v>
      </c>
      <c r="AM142" s="194">
        <v>0</v>
      </c>
      <c r="AN142" s="194">
        <v>0</v>
      </c>
      <c r="AO142" s="194">
        <v>0</v>
      </c>
      <c r="AP142" s="194">
        <v>0</v>
      </c>
      <c r="AQ142" s="195">
        <f>SUM(Tabela99[[#This Row],[2026-2030]:[2035]])</f>
        <v>1500000</v>
      </c>
      <c r="AS142" s="2" t="s">
        <v>1886</v>
      </c>
      <c r="AT142" s="2" t="s">
        <v>1772</v>
      </c>
      <c r="AU142" s="2" t="s">
        <v>2041</v>
      </c>
      <c r="AW142" s="2" t="s">
        <v>1854</v>
      </c>
      <c r="AZ142" s="2" t="s">
        <v>2011</v>
      </c>
    </row>
    <row r="143" spans="1:52" ht="24.75" customHeight="1" x14ac:dyDescent="0.35">
      <c r="A143" s="184"/>
      <c r="B143" s="185" t="e" cm="1">
        <f t="array" ref="B143">AND(ISTEXT('Consolidado-Eletronorte'!#REF!),SUM('Consolidado-Eletronorte'!#REF!)&gt;0)</f>
        <v>#REF!</v>
      </c>
      <c r="C143" s="186" t="str">
        <f t="shared" ca="1" si="6"/>
        <v>Capex Orcamentário_PE2026_2030_red_35_porcentoR3_consulta.xlsx</v>
      </c>
      <c r="D143" s="187" t="str">
        <f t="shared" si="7"/>
        <v>COO</v>
      </c>
      <c r="E143" s="187" t="str">
        <f t="shared" si="8"/>
        <v>Lucas Martins</v>
      </c>
      <c r="F143" s="188"/>
      <c r="G143" s="188" t="e">
        <f>_xlfn.CONCAT('Consolidado-Eletronorte'!#REF!,"_",ROW('Consolidado-Eletronorte'!#REF!)-ROW('Consolidado-Eletronorte'!$G$18))</f>
        <v>#REF!</v>
      </c>
      <c r="H143" s="279" t="s">
        <v>506</v>
      </c>
      <c r="I143" s="189" t="s">
        <v>1024</v>
      </c>
      <c r="J143" s="190" t="s">
        <v>508</v>
      </c>
      <c r="K143" s="189" t="s">
        <v>1741</v>
      </c>
      <c r="L143" s="189" t="s">
        <v>2019</v>
      </c>
      <c r="M143" s="189" t="s">
        <v>2052</v>
      </c>
      <c r="N143" s="189"/>
      <c r="O143" s="189"/>
      <c r="P143" s="189"/>
      <c r="Q143" s="191" t="s">
        <v>2166</v>
      </c>
      <c r="R143" s="191" t="s">
        <v>2167</v>
      </c>
      <c r="S143" s="189" t="s">
        <v>1870</v>
      </c>
      <c r="T143" s="192">
        <v>0</v>
      </c>
      <c r="U143" s="193">
        <v>0</v>
      </c>
      <c r="V143" s="193">
        <v>0</v>
      </c>
      <c r="W143" s="193">
        <v>0</v>
      </c>
      <c r="X143" s="192">
        <v>0</v>
      </c>
      <c r="Y143" s="192">
        <v>300000</v>
      </c>
      <c r="Z143" s="194">
        <v>300000</v>
      </c>
      <c r="AA143" s="194">
        <v>300000</v>
      </c>
      <c r="AB143" s="194">
        <v>300000</v>
      </c>
      <c r="AC143" s="194">
        <v>300000</v>
      </c>
      <c r="AD143" s="194">
        <v>0</v>
      </c>
      <c r="AE143" s="194">
        <v>0</v>
      </c>
      <c r="AF143" s="194">
        <f>SUM(Tabela99[[#This Row],[jan/26]:[dez/26]])</f>
        <v>1500000</v>
      </c>
      <c r="AG143" s="194">
        <v>0</v>
      </c>
      <c r="AH143" s="194">
        <v>0</v>
      </c>
      <c r="AI143" s="194">
        <v>0</v>
      </c>
      <c r="AJ143" s="194">
        <v>0</v>
      </c>
      <c r="AK143" s="194">
        <f>SUM(Tabela99[[#This Row],[2026]:[2030]])</f>
        <v>1500000</v>
      </c>
      <c r="AL143" s="193">
        <v>0</v>
      </c>
      <c r="AM143" s="194">
        <v>0</v>
      </c>
      <c r="AN143" s="194">
        <v>0</v>
      </c>
      <c r="AO143" s="194">
        <v>0</v>
      </c>
      <c r="AP143" s="194">
        <v>0</v>
      </c>
      <c r="AQ143" s="195">
        <f>SUM(Tabela99[[#This Row],[2026-2030]:[2035]])</f>
        <v>1500000</v>
      </c>
      <c r="AS143" s="2" t="s">
        <v>2055</v>
      </c>
      <c r="AT143" s="2">
        <v>2025</v>
      </c>
      <c r="AU143" s="2" t="s">
        <v>2041</v>
      </c>
      <c r="AW143" s="2" t="s">
        <v>1854</v>
      </c>
      <c r="AZ143" s="2" t="s">
        <v>2056</v>
      </c>
    </row>
    <row r="144" spans="1:52" ht="24.75" customHeight="1" x14ac:dyDescent="0.35">
      <c r="A144" s="184"/>
      <c r="B144" s="185" t="e" cm="1">
        <f t="array" ref="B144">AND(ISTEXT('Consolidado-Eletronorte'!#REF!),SUM('Consolidado-Eletronorte'!#REF!)&gt;0)</f>
        <v>#REF!</v>
      </c>
      <c r="C144" s="186" t="str">
        <f t="shared" ca="1" si="6"/>
        <v>Capex Orcamentário_PE2026_2030_red_35_porcentoR3_consulta.xlsx</v>
      </c>
      <c r="D144" s="187" t="str">
        <f t="shared" si="7"/>
        <v>COO</v>
      </c>
      <c r="E144" s="187" t="str">
        <f t="shared" si="8"/>
        <v>Lucas Martins</v>
      </c>
      <c r="F144" s="188"/>
      <c r="G144" s="188" t="e">
        <f>_xlfn.CONCAT('Consolidado-Eletronorte'!#REF!,"_",ROW('Consolidado-Eletronorte'!#REF!)-ROW('Consolidado-Eletronorte'!$G$18))</f>
        <v>#REF!</v>
      </c>
      <c r="H144" s="279" t="s">
        <v>506</v>
      </c>
      <c r="I144" s="189" t="s">
        <v>1024</v>
      </c>
      <c r="J144" s="190" t="s">
        <v>508</v>
      </c>
      <c r="K144" s="189" t="s">
        <v>1821</v>
      </c>
      <c r="L144" s="189" t="s">
        <v>1828</v>
      </c>
      <c r="M144" s="189" t="s">
        <v>2030</v>
      </c>
      <c r="N144" s="189"/>
      <c r="O144" s="189"/>
      <c r="P144" s="189"/>
      <c r="Q144" s="191" t="s">
        <v>2168</v>
      </c>
      <c r="R144" s="191" t="s">
        <v>2169</v>
      </c>
      <c r="S144" s="189" t="s">
        <v>2033</v>
      </c>
      <c r="T144" s="192">
        <v>0</v>
      </c>
      <c r="U144" s="193">
        <v>140000</v>
      </c>
      <c r="V144" s="193">
        <v>140000</v>
      </c>
      <c r="W144" s="193">
        <v>140000</v>
      </c>
      <c r="X144" s="192">
        <v>140000</v>
      </c>
      <c r="Y144" s="192">
        <v>140000</v>
      </c>
      <c r="Z144" s="194">
        <v>140000</v>
      </c>
      <c r="AA144" s="194">
        <v>140000</v>
      </c>
      <c r="AB144" s="194">
        <v>140000</v>
      </c>
      <c r="AC144" s="194">
        <v>140000</v>
      </c>
      <c r="AD144" s="194">
        <v>140000</v>
      </c>
      <c r="AE144" s="194">
        <v>0</v>
      </c>
      <c r="AF144" s="194">
        <f>SUM(Tabela99[[#This Row],[jan/26]:[dez/26]])</f>
        <v>1400000</v>
      </c>
      <c r="AG144" s="194">
        <v>0</v>
      </c>
      <c r="AH144" s="194">
        <v>0</v>
      </c>
      <c r="AI144" s="194">
        <v>0</v>
      </c>
      <c r="AJ144" s="194">
        <v>0</v>
      </c>
      <c r="AK144" s="194">
        <f>SUM(Tabela99[[#This Row],[2026]:[2030]])</f>
        <v>1400000</v>
      </c>
      <c r="AL144" s="193">
        <v>0</v>
      </c>
      <c r="AM144" s="194">
        <v>0</v>
      </c>
      <c r="AN144" s="194">
        <v>0</v>
      </c>
      <c r="AO144" s="194">
        <v>0</v>
      </c>
      <c r="AP144" s="194">
        <v>0</v>
      </c>
      <c r="AQ144" s="195">
        <f>SUM(Tabela99[[#This Row],[2026-2030]:[2035]])</f>
        <v>1400000</v>
      </c>
      <c r="AS144" s="2" t="s">
        <v>2034</v>
      </c>
      <c r="AT144" s="2" t="s">
        <v>1772</v>
      </c>
      <c r="AU144" s="2" t="s">
        <v>2041</v>
      </c>
      <c r="AW144" s="2" t="s">
        <v>1854</v>
      </c>
      <c r="AZ144" s="2" t="s">
        <v>2036</v>
      </c>
    </row>
    <row r="145" spans="1:52" ht="24.75" customHeight="1" x14ac:dyDescent="0.35">
      <c r="A145" s="184"/>
      <c r="B145" s="185" t="e" cm="1">
        <f t="array" ref="B145">AND(ISTEXT('Consolidado-Eletronorte'!#REF!),SUM('Consolidado-Eletronorte'!#REF!)&gt;0)</f>
        <v>#REF!</v>
      </c>
      <c r="C145" s="186" t="str">
        <f t="shared" ca="1" si="6"/>
        <v>Capex Orcamentário_PE2026_2030_red_35_porcentoR3_consulta.xlsx</v>
      </c>
      <c r="D145" s="187" t="str">
        <f t="shared" si="7"/>
        <v>COO</v>
      </c>
      <c r="E145" s="187" t="str">
        <f t="shared" si="8"/>
        <v>Lucas Martins</v>
      </c>
      <c r="F145" s="188"/>
      <c r="G145" s="188" t="e">
        <f>_xlfn.CONCAT('Consolidado-Eletronorte'!#REF!,"_",ROW('Consolidado-Eletronorte'!#REF!)-ROW('Consolidado-Eletronorte'!$G$18))</f>
        <v>#REF!</v>
      </c>
      <c r="H145" s="279" t="s">
        <v>506</v>
      </c>
      <c r="I145" s="189" t="s">
        <v>1024</v>
      </c>
      <c r="J145" s="190" t="s">
        <v>508</v>
      </c>
      <c r="K145" s="189" t="s">
        <v>1821</v>
      </c>
      <c r="L145" s="189" t="s">
        <v>1828</v>
      </c>
      <c r="M145" s="189" t="s">
        <v>2096</v>
      </c>
      <c r="N145" s="189"/>
      <c r="O145" s="189"/>
      <c r="P145" s="189"/>
      <c r="Q145" s="191" t="s">
        <v>2170</v>
      </c>
      <c r="R145" s="191" t="s">
        <v>2170</v>
      </c>
      <c r="S145" s="189" t="s">
        <v>2099</v>
      </c>
      <c r="T145" s="192">
        <v>0</v>
      </c>
      <c r="U145" s="193">
        <v>0</v>
      </c>
      <c r="V145" s="193">
        <v>0</v>
      </c>
      <c r="W145" s="193">
        <v>250000</v>
      </c>
      <c r="X145" s="192">
        <v>250000</v>
      </c>
      <c r="Y145" s="192">
        <v>250000</v>
      </c>
      <c r="Z145" s="194">
        <v>250000</v>
      </c>
      <c r="AA145" s="194">
        <v>100000</v>
      </c>
      <c r="AB145" s="194">
        <v>0</v>
      </c>
      <c r="AC145" s="194">
        <v>0</v>
      </c>
      <c r="AD145" s="194">
        <v>0</v>
      </c>
      <c r="AE145" s="194">
        <v>0</v>
      </c>
      <c r="AF145" s="194">
        <f>SUM(Tabela99[[#This Row],[jan/26]:[dez/26]])</f>
        <v>1100000</v>
      </c>
      <c r="AG145" s="194">
        <v>0</v>
      </c>
      <c r="AH145" s="194">
        <v>0</v>
      </c>
      <c r="AI145" s="194">
        <v>0</v>
      </c>
      <c r="AJ145" s="194">
        <v>0</v>
      </c>
      <c r="AK145" s="194">
        <f>SUM(Tabela99[[#This Row],[2026]:[2030]])</f>
        <v>1100000</v>
      </c>
      <c r="AL145" s="193">
        <v>0</v>
      </c>
      <c r="AM145" s="194">
        <v>0</v>
      </c>
      <c r="AN145" s="194">
        <v>0</v>
      </c>
      <c r="AO145" s="194">
        <v>0</v>
      </c>
      <c r="AP145" s="194">
        <v>0</v>
      </c>
      <c r="AQ145" s="195">
        <f>SUM(Tabela99[[#This Row],[2026-2030]:[2035]])</f>
        <v>1100000</v>
      </c>
      <c r="AS145" s="2" t="s">
        <v>1886</v>
      </c>
      <c r="AT145" s="2">
        <v>2025</v>
      </c>
      <c r="AU145" s="2" t="s">
        <v>2041</v>
      </c>
      <c r="AW145" s="2" t="s">
        <v>1854</v>
      </c>
      <c r="AZ145" s="2" t="s">
        <v>2100</v>
      </c>
    </row>
    <row r="146" spans="1:52" ht="24.75" customHeight="1" x14ac:dyDescent="0.35">
      <c r="A146" s="184"/>
      <c r="B146" s="185" t="e" cm="1">
        <f t="array" ref="B146">AND(ISTEXT('Consolidado-Eletronorte'!#REF!),SUM('Consolidado-Eletronorte'!#REF!)&gt;0)</f>
        <v>#REF!</v>
      </c>
      <c r="C146" s="186" t="str">
        <f t="shared" ca="1" si="6"/>
        <v>Capex Orcamentário_PE2026_2030_red_35_porcentoR3_consulta.xlsx</v>
      </c>
      <c r="D146" s="187" t="str">
        <f t="shared" si="7"/>
        <v>COO</v>
      </c>
      <c r="E146" s="187" t="str">
        <f t="shared" si="8"/>
        <v>Lucas Martins</v>
      </c>
      <c r="F146" s="188"/>
      <c r="G146" s="188" t="e">
        <f>_xlfn.CONCAT('Consolidado-Eletronorte'!#REF!,"_",ROW('Consolidado-Eletronorte'!#REF!)-ROW('Consolidado-Eletronorte'!$G$18))</f>
        <v>#REF!</v>
      </c>
      <c r="H146" s="279" t="s">
        <v>506</v>
      </c>
      <c r="I146" s="189" t="s">
        <v>1024</v>
      </c>
      <c r="J146" s="190" t="s">
        <v>508</v>
      </c>
      <c r="K146" s="189" t="s">
        <v>1741</v>
      </c>
      <c r="L146" s="189" t="s">
        <v>2019</v>
      </c>
      <c r="M146" s="189" t="s">
        <v>2049</v>
      </c>
      <c r="N146" s="189"/>
      <c r="O146" s="189"/>
      <c r="P146" s="189"/>
      <c r="Q146" s="191" t="s">
        <v>2171</v>
      </c>
      <c r="R146" s="191" t="s">
        <v>2161</v>
      </c>
      <c r="S146" s="189" t="s">
        <v>2051</v>
      </c>
      <c r="T146" s="192">
        <v>0</v>
      </c>
      <c r="U146" s="193">
        <v>0</v>
      </c>
      <c r="V146" s="193">
        <v>0</v>
      </c>
      <c r="W146" s="193">
        <v>0</v>
      </c>
      <c r="X146" s="192">
        <v>0</v>
      </c>
      <c r="Y146" s="192">
        <v>0</v>
      </c>
      <c r="Z146" s="194">
        <v>200000</v>
      </c>
      <c r="AA146" s="194">
        <v>200000</v>
      </c>
      <c r="AB146" s="194">
        <v>200000</v>
      </c>
      <c r="AC146" s="194">
        <v>200000</v>
      </c>
      <c r="AD146" s="194">
        <v>200000</v>
      </c>
      <c r="AE146" s="194">
        <v>0</v>
      </c>
      <c r="AF146" s="194">
        <f>SUM(Tabela99[[#This Row],[jan/26]:[dez/26]])</f>
        <v>1000000</v>
      </c>
      <c r="AG146" s="194">
        <v>0</v>
      </c>
      <c r="AH146" s="194">
        <v>0</v>
      </c>
      <c r="AI146" s="194">
        <v>0</v>
      </c>
      <c r="AJ146" s="194">
        <v>0</v>
      </c>
      <c r="AK146" s="194">
        <f>SUM(Tabela99[[#This Row],[2026]:[2030]])</f>
        <v>1000000</v>
      </c>
      <c r="AL146" s="193">
        <v>0</v>
      </c>
      <c r="AM146" s="194">
        <v>0</v>
      </c>
      <c r="AN146" s="194">
        <v>0</v>
      </c>
      <c r="AO146" s="194">
        <v>0</v>
      </c>
      <c r="AP146" s="194">
        <v>0</v>
      </c>
      <c r="AQ146" s="195">
        <f>SUM(Tabela99[[#This Row],[2026-2030]:[2035]])</f>
        <v>1000000</v>
      </c>
      <c r="AS146" s="2" t="s">
        <v>1833</v>
      </c>
      <c r="AT146" s="2" t="s">
        <v>1772</v>
      </c>
      <c r="AU146" s="2" t="s">
        <v>2041</v>
      </c>
      <c r="AW146" s="2" t="s">
        <v>1854</v>
      </c>
      <c r="AZ146" s="2" t="s">
        <v>1835</v>
      </c>
    </row>
    <row r="147" spans="1:52" ht="24.75" customHeight="1" x14ac:dyDescent="0.35">
      <c r="A147" s="184"/>
      <c r="B147" s="185" t="e" cm="1">
        <f t="array" ref="B147">AND(ISTEXT('Consolidado-Eletronorte'!#REF!),SUM('Consolidado-Eletronorte'!#REF!)&gt;0)</f>
        <v>#REF!</v>
      </c>
      <c r="C147" s="186" t="str">
        <f t="shared" ca="1" si="6"/>
        <v>Capex Orcamentário_PE2026_2030_red_35_porcentoR3_consulta.xlsx</v>
      </c>
      <c r="D147" s="187" t="str">
        <f t="shared" si="7"/>
        <v>COO</v>
      </c>
      <c r="E147" s="187" t="str">
        <f t="shared" si="8"/>
        <v>Lucas Martins</v>
      </c>
      <c r="F147" s="188"/>
      <c r="G147" s="188" t="e">
        <f>_xlfn.CONCAT('Consolidado-Eletronorte'!#REF!,"_",ROW('Consolidado-Eletronorte'!#REF!)-ROW('Consolidado-Eletronorte'!$G$18))</f>
        <v>#REF!</v>
      </c>
      <c r="H147" s="279" t="s">
        <v>506</v>
      </c>
      <c r="I147" s="189" t="s">
        <v>1024</v>
      </c>
      <c r="J147" s="190" t="s">
        <v>508</v>
      </c>
      <c r="K147" s="189" t="s">
        <v>1741</v>
      </c>
      <c r="L147" s="189" t="s">
        <v>2019</v>
      </c>
      <c r="M147" s="189" t="s">
        <v>2172</v>
      </c>
      <c r="N147" s="189"/>
      <c r="O147" s="189"/>
      <c r="P147" s="189"/>
      <c r="Q147" s="191" t="s">
        <v>2173</v>
      </c>
      <c r="R147" s="191" t="s">
        <v>2174</v>
      </c>
      <c r="S147" s="189" t="s">
        <v>1824</v>
      </c>
      <c r="T147" s="192">
        <v>0</v>
      </c>
      <c r="U147" s="193">
        <v>0</v>
      </c>
      <c r="V147" s="193">
        <v>0</v>
      </c>
      <c r="W147" s="193">
        <v>0</v>
      </c>
      <c r="X147" s="192">
        <v>215000</v>
      </c>
      <c r="Y147" s="192">
        <v>215000</v>
      </c>
      <c r="Z147" s="194">
        <v>215000</v>
      </c>
      <c r="AA147" s="194">
        <v>215000</v>
      </c>
      <c r="AB147" s="194">
        <v>0</v>
      </c>
      <c r="AC147" s="194">
        <v>0</v>
      </c>
      <c r="AD147" s="194">
        <v>0</v>
      </c>
      <c r="AE147" s="194">
        <v>0</v>
      </c>
      <c r="AF147" s="194">
        <f>SUM(Tabela99[[#This Row],[jan/26]:[dez/26]])</f>
        <v>860000</v>
      </c>
      <c r="AG147" s="194">
        <v>0</v>
      </c>
      <c r="AH147" s="194">
        <v>0</v>
      </c>
      <c r="AI147" s="194">
        <v>0</v>
      </c>
      <c r="AJ147" s="194">
        <v>0</v>
      </c>
      <c r="AK147" s="194">
        <f>SUM(Tabela99[[#This Row],[2026]:[2030]])</f>
        <v>860000</v>
      </c>
      <c r="AL147" s="193">
        <v>0</v>
      </c>
      <c r="AM147" s="194">
        <v>0</v>
      </c>
      <c r="AN147" s="194">
        <v>0</v>
      </c>
      <c r="AO147" s="194">
        <v>0</v>
      </c>
      <c r="AP147" s="194">
        <v>0</v>
      </c>
      <c r="AQ147" s="195">
        <f>SUM(Tabela99[[#This Row],[2026-2030]:[2035]])</f>
        <v>860000</v>
      </c>
      <c r="AS147" s="2" t="s">
        <v>2055</v>
      </c>
      <c r="AT147" s="2">
        <v>2025</v>
      </c>
      <c r="AU147" s="2" t="s">
        <v>2041</v>
      </c>
      <c r="AW147" s="2" t="s">
        <v>1854</v>
      </c>
      <c r="AZ147" s="2" t="s">
        <v>2076</v>
      </c>
    </row>
    <row r="148" spans="1:52" ht="24.75" customHeight="1" x14ac:dyDescent="0.35">
      <c r="A148" s="184"/>
      <c r="B148" s="185" t="e" cm="1">
        <f t="array" ref="B148">AND(ISTEXT('Consolidado-Eletronorte'!#REF!),SUM('Consolidado-Eletronorte'!#REF!)&gt;0)</f>
        <v>#REF!</v>
      </c>
      <c r="C148" s="186" t="str">
        <f t="shared" ca="1" si="6"/>
        <v>Capex Orcamentário_PE2026_2030_red_35_porcentoR3_consulta.xlsx</v>
      </c>
      <c r="D148" s="187" t="str">
        <f t="shared" si="7"/>
        <v>COO</v>
      </c>
      <c r="E148" s="187" t="str">
        <f t="shared" si="8"/>
        <v>Lucas Martins</v>
      </c>
      <c r="F148" s="188"/>
      <c r="G148" s="188" t="e">
        <f>_xlfn.CONCAT('Consolidado-Eletronorte'!#REF!,"_",ROW('Consolidado-Eletronorte'!#REF!)-ROW('Consolidado-Eletronorte'!$G$18))</f>
        <v>#REF!</v>
      </c>
      <c r="H148" s="279" t="s">
        <v>506</v>
      </c>
      <c r="I148" s="189" t="s">
        <v>1024</v>
      </c>
      <c r="J148" s="190" t="s">
        <v>508</v>
      </c>
      <c r="K148" s="189" t="s">
        <v>1821</v>
      </c>
      <c r="L148" s="189" t="s">
        <v>1828</v>
      </c>
      <c r="M148" s="189" t="s">
        <v>1849</v>
      </c>
      <c r="N148" s="189"/>
      <c r="O148" s="189"/>
      <c r="P148" s="189"/>
      <c r="Q148" s="191" t="s">
        <v>2175</v>
      </c>
      <c r="R148" s="191" t="s">
        <v>2121</v>
      </c>
      <c r="S148" s="189" t="s">
        <v>1852</v>
      </c>
      <c r="T148" s="192">
        <v>0</v>
      </c>
      <c r="U148" s="193">
        <v>0</v>
      </c>
      <c r="V148" s="193">
        <v>0</v>
      </c>
      <c r="W148" s="193">
        <v>0</v>
      </c>
      <c r="X148" s="192">
        <v>0</v>
      </c>
      <c r="Y148" s="192">
        <v>800000</v>
      </c>
      <c r="Z148" s="194">
        <v>0</v>
      </c>
      <c r="AA148" s="194">
        <v>0</v>
      </c>
      <c r="AB148" s="194">
        <v>0</v>
      </c>
      <c r="AC148" s="194">
        <v>0</v>
      </c>
      <c r="AD148" s="194">
        <v>0</v>
      </c>
      <c r="AE148" s="194">
        <v>0</v>
      </c>
      <c r="AF148" s="194">
        <f>SUM(Tabela99[[#This Row],[jan/26]:[dez/26]])</f>
        <v>800000</v>
      </c>
      <c r="AG148" s="194">
        <v>0</v>
      </c>
      <c r="AH148" s="194">
        <v>0</v>
      </c>
      <c r="AI148" s="194">
        <v>0</v>
      </c>
      <c r="AJ148" s="194">
        <v>0</v>
      </c>
      <c r="AK148" s="194">
        <f>SUM(Tabela99[[#This Row],[2026]:[2030]])</f>
        <v>800000</v>
      </c>
      <c r="AL148" s="193">
        <v>0</v>
      </c>
      <c r="AM148" s="194">
        <v>0</v>
      </c>
      <c r="AN148" s="194">
        <v>0</v>
      </c>
      <c r="AO148" s="194">
        <v>0</v>
      </c>
      <c r="AP148" s="194">
        <v>0</v>
      </c>
      <c r="AQ148" s="195">
        <f>SUM(Tabela99[[#This Row],[2026-2030]:[2035]])</f>
        <v>800000</v>
      </c>
      <c r="AS148" s="2" t="s">
        <v>1853</v>
      </c>
      <c r="AT148" s="2" t="s">
        <v>1772</v>
      </c>
      <c r="AU148" s="2" t="s">
        <v>2041</v>
      </c>
      <c r="AW148" s="2" t="s">
        <v>1854</v>
      </c>
      <c r="AZ148" s="2" t="s">
        <v>1855</v>
      </c>
    </row>
    <row r="149" spans="1:52" ht="24.75" customHeight="1" x14ac:dyDescent="0.35">
      <c r="A149" s="184"/>
      <c r="B149" s="185" t="e" cm="1">
        <f t="array" ref="B149">AND(ISTEXT('Consolidado-Eletronorte'!#REF!),SUM('Consolidado-Eletronorte'!#REF!)&gt;0)</f>
        <v>#REF!</v>
      </c>
      <c r="C149" s="186" t="str">
        <f t="shared" ca="1" si="6"/>
        <v>Capex Orcamentário_PE2026_2030_red_35_porcentoR3_consulta.xlsx</v>
      </c>
      <c r="D149" s="187" t="str">
        <f t="shared" si="7"/>
        <v>COO</v>
      </c>
      <c r="E149" s="187" t="str">
        <f t="shared" si="8"/>
        <v>Lucas Martins</v>
      </c>
      <c r="F149" s="188"/>
      <c r="G149" s="188" t="e">
        <f>_xlfn.CONCAT('Consolidado-Eletronorte'!#REF!,"_",ROW('Consolidado-Eletronorte'!#REF!)-ROW('Consolidado-Eletronorte'!$G$18))</f>
        <v>#REF!</v>
      </c>
      <c r="H149" s="279" t="s">
        <v>506</v>
      </c>
      <c r="I149" s="189" t="s">
        <v>1024</v>
      </c>
      <c r="J149" s="190" t="s">
        <v>508</v>
      </c>
      <c r="K149" s="189" t="s">
        <v>1821</v>
      </c>
      <c r="L149" s="189" t="s">
        <v>1828</v>
      </c>
      <c r="M149" s="189" t="s">
        <v>1849</v>
      </c>
      <c r="N149" s="189"/>
      <c r="O149" s="189"/>
      <c r="P149" s="189"/>
      <c r="Q149" s="191" t="s">
        <v>2176</v>
      </c>
      <c r="R149" s="191" t="s">
        <v>2121</v>
      </c>
      <c r="S149" s="189" t="s">
        <v>1852</v>
      </c>
      <c r="T149" s="192">
        <v>0</v>
      </c>
      <c r="U149" s="193">
        <v>0</v>
      </c>
      <c r="V149" s="193">
        <v>0</v>
      </c>
      <c r="W149" s="193">
        <v>0</v>
      </c>
      <c r="X149" s="192">
        <v>0</v>
      </c>
      <c r="Y149" s="192">
        <v>0</v>
      </c>
      <c r="Z149" s="194">
        <v>744000</v>
      </c>
      <c r="AA149" s="194">
        <v>0</v>
      </c>
      <c r="AB149" s="194">
        <v>0</v>
      </c>
      <c r="AC149" s="194">
        <v>0</v>
      </c>
      <c r="AD149" s="194">
        <v>0</v>
      </c>
      <c r="AE149" s="194">
        <v>0</v>
      </c>
      <c r="AF149" s="194">
        <f>SUM(Tabela99[[#This Row],[jan/26]:[dez/26]])</f>
        <v>744000</v>
      </c>
      <c r="AG149" s="194">
        <v>0</v>
      </c>
      <c r="AH149" s="194">
        <v>0</v>
      </c>
      <c r="AI149" s="194">
        <v>0</v>
      </c>
      <c r="AJ149" s="194">
        <v>0</v>
      </c>
      <c r="AK149" s="194">
        <f>SUM(Tabela99[[#This Row],[2026]:[2030]])</f>
        <v>744000</v>
      </c>
      <c r="AL149" s="193">
        <v>0</v>
      </c>
      <c r="AM149" s="194">
        <v>0</v>
      </c>
      <c r="AN149" s="194">
        <v>0</v>
      </c>
      <c r="AO149" s="194">
        <v>0</v>
      </c>
      <c r="AP149" s="194">
        <v>0</v>
      </c>
      <c r="AQ149" s="195">
        <f>SUM(Tabela99[[#This Row],[2026-2030]:[2035]])</f>
        <v>744000</v>
      </c>
      <c r="AS149" s="2" t="s">
        <v>1853</v>
      </c>
      <c r="AT149" s="2" t="s">
        <v>1772</v>
      </c>
      <c r="AU149" s="2" t="s">
        <v>2041</v>
      </c>
      <c r="AW149" s="2" t="s">
        <v>1854</v>
      </c>
      <c r="AZ149" s="2" t="s">
        <v>1855</v>
      </c>
    </row>
    <row r="150" spans="1:52" ht="24.75" customHeight="1" x14ac:dyDescent="0.35">
      <c r="A150" s="184"/>
      <c r="B150" s="185" t="e" cm="1">
        <f t="array" ref="B150">AND(ISTEXT('Consolidado-Eletronorte'!#REF!),SUM('Consolidado-Eletronorte'!#REF!)&gt;0)</f>
        <v>#REF!</v>
      </c>
      <c r="C150" s="186" t="str">
        <f t="shared" ca="1" si="6"/>
        <v>Capex Orcamentário_PE2026_2030_red_35_porcentoR3_consulta.xlsx</v>
      </c>
      <c r="D150" s="187" t="str">
        <f t="shared" si="7"/>
        <v>COO</v>
      </c>
      <c r="E150" s="187" t="str">
        <f t="shared" si="8"/>
        <v>Lucas Martins</v>
      </c>
      <c r="F150" s="188"/>
      <c r="G150" s="188" t="e">
        <f>_xlfn.CONCAT('Consolidado-Eletronorte'!#REF!,"_",ROW('Consolidado-Eletronorte'!#REF!)-ROW('Consolidado-Eletronorte'!$G$18))</f>
        <v>#REF!</v>
      </c>
      <c r="H150" s="279" t="s">
        <v>506</v>
      </c>
      <c r="I150" s="189" t="s">
        <v>1024</v>
      </c>
      <c r="J150" s="190" t="s">
        <v>508</v>
      </c>
      <c r="K150" s="189" t="s">
        <v>1821</v>
      </c>
      <c r="L150" s="189" t="s">
        <v>1828</v>
      </c>
      <c r="M150" s="189" t="s">
        <v>1883</v>
      </c>
      <c r="N150" s="189"/>
      <c r="O150" s="189"/>
      <c r="P150" s="189"/>
      <c r="Q150" s="191" t="s">
        <v>2134</v>
      </c>
      <c r="R150" s="191" t="s">
        <v>2177</v>
      </c>
      <c r="S150" s="189" t="s">
        <v>1885</v>
      </c>
      <c r="T150" s="192">
        <v>0</v>
      </c>
      <c r="U150" s="193">
        <v>0</v>
      </c>
      <c r="V150" s="193">
        <v>0</v>
      </c>
      <c r="W150" s="193">
        <v>0</v>
      </c>
      <c r="X150" s="192">
        <v>0</v>
      </c>
      <c r="Y150" s="192">
        <v>0</v>
      </c>
      <c r="Z150" s="194">
        <v>0</v>
      </c>
      <c r="AA150" s="194">
        <v>0</v>
      </c>
      <c r="AB150" s="194">
        <v>700000</v>
      </c>
      <c r="AC150" s="194">
        <v>0</v>
      </c>
      <c r="AD150" s="194">
        <v>0</v>
      </c>
      <c r="AE150" s="194">
        <v>0</v>
      </c>
      <c r="AF150" s="194">
        <f>SUM(Tabela99[[#This Row],[jan/26]:[dez/26]])</f>
        <v>700000</v>
      </c>
      <c r="AG150" s="194">
        <v>0</v>
      </c>
      <c r="AH150" s="194">
        <v>0</v>
      </c>
      <c r="AI150" s="194">
        <v>0</v>
      </c>
      <c r="AJ150" s="194">
        <v>0</v>
      </c>
      <c r="AK150" s="194">
        <f>SUM(Tabela99[[#This Row],[2026]:[2030]])</f>
        <v>700000</v>
      </c>
      <c r="AL150" s="193">
        <v>0</v>
      </c>
      <c r="AM150" s="194">
        <v>0</v>
      </c>
      <c r="AN150" s="194">
        <v>0</v>
      </c>
      <c r="AO150" s="194">
        <v>0</v>
      </c>
      <c r="AP150" s="194">
        <v>0</v>
      </c>
      <c r="AQ150" s="195">
        <f>SUM(Tabela99[[#This Row],[2026-2030]:[2035]])</f>
        <v>700000</v>
      </c>
      <c r="AS150" s="2" t="s">
        <v>1886</v>
      </c>
      <c r="AT150" s="2" t="s">
        <v>1772</v>
      </c>
      <c r="AU150" s="2" t="s">
        <v>2041</v>
      </c>
      <c r="AW150" s="2" t="s">
        <v>1854</v>
      </c>
      <c r="AZ150" s="2" t="s">
        <v>1887</v>
      </c>
    </row>
    <row r="151" spans="1:52" ht="24.75" customHeight="1" x14ac:dyDescent="0.35">
      <c r="A151" s="184"/>
      <c r="B151" s="185" t="e" cm="1">
        <f t="array" ref="B151">AND(ISTEXT('Consolidado-Eletronorte'!#REF!),SUM('Consolidado-Eletronorte'!#REF!)&gt;0)</f>
        <v>#REF!</v>
      </c>
      <c r="C151" s="186" t="str">
        <f t="shared" ca="1" si="6"/>
        <v>Capex Orcamentário_PE2026_2030_red_35_porcentoR3_consulta.xlsx</v>
      </c>
      <c r="D151" s="187" t="str">
        <f t="shared" si="7"/>
        <v>COO</v>
      </c>
      <c r="E151" s="187" t="str">
        <f t="shared" si="8"/>
        <v>Lucas Martins</v>
      </c>
      <c r="F151" s="188"/>
      <c r="G151" s="188" t="e">
        <f>_xlfn.CONCAT('Consolidado-Eletronorte'!#REF!,"_",ROW('Consolidado-Eletronorte'!#REF!)-ROW('Consolidado-Eletronorte'!$G$18))</f>
        <v>#REF!</v>
      </c>
      <c r="H151" s="279" t="s">
        <v>506</v>
      </c>
      <c r="I151" s="189" t="s">
        <v>1024</v>
      </c>
      <c r="J151" s="190" t="s">
        <v>508</v>
      </c>
      <c r="K151" s="189" t="s">
        <v>1741</v>
      </c>
      <c r="L151" s="189" t="s">
        <v>2019</v>
      </c>
      <c r="M151" s="189" t="s">
        <v>2052</v>
      </c>
      <c r="N151" s="189"/>
      <c r="O151" s="189"/>
      <c r="P151" s="189"/>
      <c r="Q151" s="191" t="s">
        <v>2178</v>
      </c>
      <c r="R151" s="191" t="s">
        <v>2179</v>
      </c>
      <c r="S151" s="189" t="s">
        <v>2070</v>
      </c>
      <c r="T151" s="192">
        <v>0</v>
      </c>
      <c r="U151" s="193">
        <v>0</v>
      </c>
      <c r="V151" s="193">
        <v>0</v>
      </c>
      <c r="W151" s="193">
        <v>0</v>
      </c>
      <c r="X151" s="192">
        <v>700000</v>
      </c>
      <c r="Y151" s="192">
        <v>0</v>
      </c>
      <c r="Z151" s="194">
        <v>0</v>
      </c>
      <c r="AA151" s="194">
        <v>0</v>
      </c>
      <c r="AB151" s="194">
        <v>0</v>
      </c>
      <c r="AC151" s="194">
        <v>0</v>
      </c>
      <c r="AD151" s="194">
        <v>0</v>
      </c>
      <c r="AE151" s="194">
        <v>0</v>
      </c>
      <c r="AF151" s="194">
        <f>SUM(Tabela99[[#This Row],[jan/26]:[dez/26]])</f>
        <v>700000</v>
      </c>
      <c r="AG151" s="194">
        <v>0</v>
      </c>
      <c r="AH151" s="194">
        <v>0</v>
      </c>
      <c r="AI151" s="194">
        <v>0</v>
      </c>
      <c r="AJ151" s="194">
        <v>0</v>
      </c>
      <c r="AK151" s="194">
        <f>SUM(Tabela99[[#This Row],[2026]:[2030]])</f>
        <v>700000</v>
      </c>
      <c r="AL151" s="193">
        <v>0</v>
      </c>
      <c r="AM151" s="194">
        <v>0</v>
      </c>
      <c r="AN151" s="194">
        <v>0</v>
      </c>
      <c r="AO151" s="194">
        <v>0</v>
      </c>
      <c r="AP151" s="194">
        <v>0</v>
      </c>
      <c r="AQ151" s="195">
        <f>SUM(Tabela99[[#This Row],[2026-2030]:[2035]])</f>
        <v>700000</v>
      </c>
      <c r="AS151" s="2" t="s">
        <v>2055</v>
      </c>
      <c r="AT151" s="2" t="s">
        <v>1772</v>
      </c>
      <c r="AU151" s="2" t="s">
        <v>2041</v>
      </c>
      <c r="AW151" s="2" t="s">
        <v>1603</v>
      </c>
      <c r="AZ151" s="2" t="s">
        <v>2090</v>
      </c>
    </row>
    <row r="152" spans="1:52" ht="24.75" customHeight="1" x14ac:dyDescent="0.35">
      <c r="A152" s="184"/>
      <c r="B152" s="185" t="e" cm="1">
        <f t="array" ref="B152">AND(ISTEXT('Consolidado-Eletronorte'!#REF!),SUM('Consolidado-Eletronorte'!#REF!)&gt;0)</f>
        <v>#REF!</v>
      </c>
      <c r="C152" s="186" t="str">
        <f t="shared" ca="1" si="6"/>
        <v>Capex Orcamentário_PE2026_2030_red_35_porcentoR3_consulta.xlsx</v>
      </c>
      <c r="D152" s="187" t="str">
        <f t="shared" si="7"/>
        <v>COO</v>
      </c>
      <c r="E152" s="187" t="str">
        <f t="shared" si="8"/>
        <v>Lucas Martins</v>
      </c>
      <c r="F152" s="188"/>
      <c r="G152" s="188" t="e">
        <f>_xlfn.CONCAT('Consolidado-Eletronorte'!#REF!,"_",ROW('Consolidado-Eletronorte'!#REF!)-ROW('Consolidado-Eletronorte'!$G$18))</f>
        <v>#REF!</v>
      </c>
      <c r="H152" s="279" t="s">
        <v>506</v>
      </c>
      <c r="I152" s="189" t="s">
        <v>1024</v>
      </c>
      <c r="J152" s="190" t="s">
        <v>508</v>
      </c>
      <c r="K152" s="189" t="s">
        <v>1821</v>
      </c>
      <c r="L152" s="189" t="s">
        <v>1828</v>
      </c>
      <c r="M152" s="189" t="s">
        <v>1973</v>
      </c>
      <c r="N152" s="189"/>
      <c r="O152" s="189"/>
      <c r="P152" s="189"/>
      <c r="Q152" s="191" t="s">
        <v>2180</v>
      </c>
      <c r="R152" s="191" t="s">
        <v>2181</v>
      </c>
      <c r="S152" s="189" t="s">
        <v>1976</v>
      </c>
      <c r="T152" s="192">
        <v>0</v>
      </c>
      <c r="U152" s="193">
        <v>0</v>
      </c>
      <c r="V152" s="193">
        <v>0</v>
      </c>
      <c r="W152" s="193">
        <v>0</v>
      </c>
      <c r="X152" s="192">
        <v>0</v>
      </c>
      <c r="Y152" s="192">
        <v>0</v>
      </c>
      <c r="Z152" s="194">
        <v>0</v>
      </c>
      <c r="AA152" s="194">
        <v>0</v>
      </c>
      <c r="AB152" s="194">
        <v>200000</v>
      </c>
      <c r="AC152" s="194">
        <v>200000</v>
      </c>
      <c r="AD152" s="194">
        <v>200000</v>
      </c>
      <c r="AE152" s="194">
        <v>0</v>
      </c>
      <c r="AF152" s="194">
        <f>SUM(Tabela99[[#This Row],[jan/26]:[dez/26]])</f>
        <v>600000</v>
      </c>
      <c r="AG152" s="194">
        <v>0</v>
      </c>
      <c r="AH152" s="194">
        <v>0</v>
      </c>
      <c r="AI152" s="194">
        <v>0</v>
      </c>
      <c r="AJ152" s="194">
        <v>0</v>
      </c>
      <c r="AK152" s="194">
        <f>SUM(Tabela99[[#This Row],[2026]:[2030]])</f>
        <v>600000</v>
      </c>
      <c r="AL152" s="193">
        <v>0</v>
      </c>
      <c r="AM152" s="194">
        <v>0</v>
      </c>
      <c r="AN152" s="194">
        <v>0</v>
      </c>
      <c r="AO152" s="194">
        <v>0</v>
      </c>
      <c r="AP152" s="194">
        <v>0</v>
      </c>
      <c r="AQ152" s="195">
        <f>SUM(Tabela99[[#This Row],[2026-2030]:[2035]])</f>
        <v>600000</v>
      </c>
      <c r="AS152" s="2" t="s">
        <v>1833</v>
      </c>
      <c r="AT152" s="2">
        <v>2025</v>
      </c>
      <c r="AU152" s="2" t="s">
        <v>2041</v>
      </c>
      <c r="AW152" s="2" t="s">
        <v>1854</v>
      </c>
      <c r="AZ152" s="2" t="s">
        <v>1960</v>
      </c>
    </row>
    <row r="153" spans="1:52" ht="24.75" customHeight="1" x14ac:dyDescent="0.35">
      <c r="A153" s="184"/>
      <c r="B153" s="185" t="e" cm="1">
        <f t="array" ref="B153">AND(ISTEXT('Consolidado-Eletronorte'!#REF!),SUM('Consolidado-Eletronorte'!#REF!)&gt;0)</f>
        <v>#REF!</v>
      </c>
      <c r="C153" s="186" t="str">
        <f t="shared" ca="1" si="6"/>
        <v>Capex Orcamentário_PE2026_2030_red_35_porcentoR3_consulta.xlsx</v>
      </c>
      <c r="D153" s="187" t="str">
        <f t="shared" si="7"/>
        <v>COO</v>
      </c>
      <c r="E153" s="187" t="str">
        <f t="shared" si="8"/>
        <v>Lucas Martins</v>
      </c>
      <c r="F153" s="188"/>
      <c r="G153" s="188" t="e">
        <f>_xlfn.CONCAT('Consolidado-Eletronorte'!#REF!,"_",ROW('Consolidado-Eletronorte'!#REF!)-ROW('Consolidado-Eletronorte'!$G$18))</f>
        <v>#REF!</v>
      </c>
      <c r="H153" s="279" t="s">
        <v>506</v>
      </c>
      <c r="I153" s="189" t="s">
        <v>1024</v>
      </c>
      <c r="J153" s="190" t="s">
        <v>508</v>
      </c>
      <c r="K153" s="189" t="s">
        <v>1821</v>
      </c>
      <c r="L153" s="189" t="s">
        <v>1828</v>
      </c>
      <c r="M153" s="189" t="s">
        <v>1901</v>
      </c>
      <c r="N153" s="189"/>
      <c r="O153" s="189"/>
      <c r="P153" s="189"/>
      <c r="Q153" s="191" t="s">
        <v>2182</v>
      </c>
      <c r="R153" s="191" t="s">
        <v>2183</v>
      </c>
      <c r="S153" s="189" t="s">
        <v>1861</v>
      </c>
      <c r="T153" s="192">
        <v>0</v>
      </c>
      <c r="U153" s="193">
        <v>0</v>
      </c>
      <c r="V153" s="193">
        <v>0</v>
      </c>
      <c r="W153" s="193">
        <v>0</v>
      </c>
      <c r="X153" s="192">
        <v>0</v>
      </c>
      <c r="Y153" s="192">
        <v>0</v>
      </c>
      <c r="Z153" s="194">
        <v>0</v>
      </c>
      <c r="AA153" s="194">
        <v>0</v>
      </c>
      <c r="AB153" s="194">
        <v>200000</v>
      </c>
      <c r="AC153" s="194">
        <v>200000</v>
      </c>
      <c r="AD153" s="194">
        <v>200000</v>
      </c>
      <c r="AE153" s="194">
        <v>0</v>
      </c>
      <c r="AF153" s="194">
        <f>SUM(Tabela99[[#This Row],[jan/26]:[dez/26]])</f>
        <v>600000</v>
      </c>
      <c r="AG153" s="194">
        <v>0</v>
      </c>
      <c r="AH153" s="194">
        <v>0</v>
      </c>
      <c r="AI153" s="194">
        <v>0</v>
      </c>
      <c r="AJ153" s="194">
        <v>0</v>
      </c>
      <c r="AK153" s="194">
        <f>SUM(Tabela99[[#This Row],[2026]:[2030]])</f>
        <v>600000</v>
      </c>
      <c r="AL153" s="193">
        <v>0</v>
      </c>
      <c r="AM153" s="194">
        <v>0</v>
      </c>
      <c r="AN153" s="194">
        <v>0</v>
      </c>
      <c r="AO153" s="194">
        <v>0</v>
      </c>
      <c r="AP153" s="194">
        <v>0</v>
      </c>
      <c r="AQ153" s="195">
        <f>SUM(Tabela99[[#This Row],[2026-2030]:[2035]])</f>
        <v>600000</v>
      </c>
      <c r="AS153" s="2" t="s">
        <v>1833</v>
      </c>
      <c r="AT153" s="2">
        <v>2025</v>
      </c>
      <c r="AU153" s="2" t="s">
        <v>2041</v>
      </c>
      <c r="AW153" s="2" t="s">
        <v>1854</v>
      </c>
      <c r="AZ153" s="2" t="s">
        <v>1905</v>
      </c>
    </row>
    <row r="154" spans="1:52" ht="24.75" customHeight="1" x14ac:dyDescent="0.35">
      <c r="A154" s="184"/>
      <c r="B154" s="185" t="e" cm="1">
        <f t="array" ref="B154">AND(ISTEXT('Consolidado-Eletronorte'!#REF!),SUM('Consolidado-Eletronorte'!#REF!)&gt;0)</f>
        <v>#REF!</v>
      </c>
      <c r="C154" s="186" t="str">
        <f t="shared" ca="1" si="6"/>
        <v>Capex Orcamentário_PE2026_2030_red_35_porcentoR3_consulta.xlsx</v>
      </c>
      <c r="D154" s="187" t="str">
        <f t="shared" si="7"/>
        <v>COO</v>
      </c>
      <c r="E154" s="187" t="str">
        <f t="shared" si="8"/>
        <v>Lucas Martins</v>
      </c>
      <c r="F154" s="188"/>
      <c r="G154" s="188" t="e">
        <f>_xlfn.CONCAT('Consolidado-Eletronorte'!#REF!,"_",ROW('Consolidado-Eletronorte'!#REF!)-ROW('Consolidado-Eletronorte'!$G$18))</f>
        <v>#REF!</v>
      </c>
      <c r="H154" s="279" t="s">
        <v>506</v>
      </c>
      <c r="I154" s="189" t="s">
        <v>1024</v>
      </c>
      <c r="J154" s="190" t="s">
        <v>508</v>
      </c>
      <c r="K154" s="189" t="s">
        <v>1821</v>
      </c>
      <c r="L154" s="189" t="s">
        <v>1828</v>
      </c>
      <c r="M154" s="189" t="s">
        <v>2006</v>
      </c>
      <c r="N154" s="189"/>
      <c r="O154" s="189"/>
      <c r="P154" s="189"/>
      <c r="Q154" s="191" t="s">
        <v>2184</v>
      </c>
      <c r="R154" s="191" t="s">
        <v>2185</v>
      </c>
      <c r="S154" s="189" t="s">
        <v>2009</v>
      </c>
      <c r="T154" s="192">
        <v>0</v>
      </c>
      <c r="U154" s="193">
        <v>0</v>
      </c>
      <c r="V154" s="193">
        <v>0</v>
      </c>
      <c r="W154" s="193">
        <v>0</v>
      </c>
      <c r="X154" s="192">
        <v>0</v>
      </c>
      <c r="Y154" s="192">
        <v>0</v>
      </c>
      <c r="Z154" s="194">
        <v>0</v>
      </c>
      <c r="AA154" s="194">
        <v>0</v>
      </c>
      <c r="AB154" s="194">
        <v>300000</v>
      </c>
      <c r="AC154" s="194">
        <v>300000</v>
      </c>
      <c r="AD154" s="194">
        <v>0</v>
      </c>
      <c r="AE154" s="194">
        <v>0</v>
      </c>
      <c r="AF154" s="194">
        <f>SUM(Tabela99[[#This Row],[jan/26]:[dez/26]])</f>
        <v>600000</v>
      </c>
      <c r="AG154" s="194">
        <v>0</v>
      </c>
      <c r="AH154" s="194">
        <v>0</v>
      </c>
      <c r="AI154" s="194">
        <v>0</v>
      </c>
      <c r="AJ154" s="194">
        <v>0</v>
      </c>
      <c r="AK154" s="194">
        <f>SUM(Tabela99[[#This Row],[2026]:[2030]])</f>
        <v>600000</v>
      </c>
      <c r="AL154" s="193">
        <v>0</v>
      </c>
      <c r="AM154" s="194">
        <v>0</v>
      </c>
      <c r="AN154" s="194">
        <v>0</v>
      </c>
      <c r="AO154" s="194">
        <v>0</v>
      </c>
      <c r="AP154" s="194">
        <v>0</v>
      </c>
      <c r="AQ154" s="195">
        <f>SUM(Tabela99[[#This Row],[2026-2030]:[2035]])</f>
        <v>600000</v>
      </c>
      <c r="AS154" s="2" t="s">
        <v>1886</v>
      </c>
      <c r="AT154" s="2" t="s">
        <v>1772</v>
      </c>
      <c r="AU154" s="2" t="s">
        <v>2041</v>
      </c>
      <c r="AW154" s="2" t="s">
        <v>1854</v>
      </c>
      <c r="AZ154" s="2" t="s">
        <v>2011</v>
      </c>
    </row>
    <row r="155" spans="1:52" ht="24.75" customHeight="1" x14ac:dyDescent="0.35">
      <c r="A155" s="184"/>
      <c r="B155" s="185" t="e" cm="1">
        <f t="array" ref="B155">AND(ISTEXT('Consolidado-Eletronorte'!#REF!),SUM('Consolidado-Eletronorte'!#REF!)&gt;0)</f>
        <v>#REF!</v>
      </c>
      <c r="C155" s="186" t="str">
        <f t="shared" ca="1" si="6"/>
        <v>Capex Orcamentário_PE2026_2030_red_35_porcentoR3_consulta.xlsx</v>
      </c>
      <c r="D155" s="187" t="str">
        <f t="shared" si="7"/>
        <v>COO</v>
      </c>
      <c r="E155" s="187" t="str">
        <f t="shared" si="8"/>
        <v>Lucas Martins</v>
      </c>
      <c r="F155" s="188"/>
      <c r="G155" s="188" t="e">
        <f>_xlfn.CONCAT('Consolidado-Eletronorte'!#REF!,"_",ROW('Consolidado-Eletronorte'!#REF!)-ROW('Consolidado-Eletronorte'!$G$18))</f>
        <v>#REF!</v>
      </c>
      <c r="H155" s="279" t="s">
        <v>506</v>
      </c>
      <c r="I155" s="189" t="s">
        <v>1024</v>
      </c>
      <c r="J155" s="190" t="s">
        <v>508</v>
      </c>
      <c r="K155" s="189" t="s">
        <v>1741</v>
      </c>
      <c r="L155" s="189" t="s">
        <v>2019</v>
      </c>
      <c r="M155" s="189" t="s">
        <v>2052</v>
      </c>
      <c r="N155" s="189"/>
      <c r="O155" s="189"/>
      <c r="P155" s="189"/>
      <c r="Q155" s="191" t="s">
        <v>2186</v>
      </c>
      <c r="R155" s="191" t="s">
        <v>2062</v>
      </c>
      <c r="S155" s="189" t="s">
        <v>1861</v>
      </c>
      <c r="T155" s="192">
        <v>0</v>
      </c>
      <c r="U155" s="193">
        <v>0</v>
      </c>
      <c r="V155" s="193">
        <v>0</v>
      </c>
      <c r="W155" s="193">
        <v>0</v>
      </c>
      <c r="X155" s="192">
        <v>0</v>
      </c>
      <c r="Y155" s="192">
        <v>0</v>
      </c>
      <c r="Z155" s="194">
        <v>0</v>
      </c>
      <c r="AA155" s="194">
        <v>0</v>
      </c>
      <c r="AB155" s="194">
        <v>600000</v>
      </c>
      <c r="AC155" s="194">
        <v>0</v>
      </c>
      <c r="AD155" s="194">
        <v>0</v>
      </c>
      <c r="AE155" s="194">
        <v>0</v>
      </c>
      <c r="AF155" s="194">
        <f>SUM(Tabela99[[#This Row],[jan/26]:[dez/26]])</f>
        <v>600000</v>
      </c>
      <c r="AG155" s="194">
        <v>0</v>
      </c>
      <c r="AH155" s="194">
        <v>0</v>
      </c>
      <c r="AI155" s="194">
        <v>0</v>
      </c>
      <c r="AJ155" s="194">
        <v>0</v>
      </c>
      <c r="AK155" s="194">
        <f>SUM(Tabela99[[#This Row],[2026]:[2030]])</f>
        <v>600000</v>
      </c>
      <c r="AL155" s="193">
        <v>0</v>
      </c>
      <c r="AM155" s="194">
        <v>0</v>
      </c>
      <c r="AN155" s="194">
        <v>0</v>
      </c>
      <c r="AO155" s="194">
        <v>0</v>
      </c>
      <c r="AP155" s="194">
        <v>0</v>
      </c>
      <c r="AQ155" s="195">
        <f>SUM(Tabela99[[#This Row],[2026-2030]:[2035]])</f>
        <v>600000</v>
      </c>
      <c r="AS155" s="2" t="s">
        <v>2055</v>
      </c>
      <c r="AT155" s="2">
        <v>2025</v>
      </c>
      <c r="AU155" s="2" t="s">
        <v>2041</v>
      </c>
      <c r="AW155" s="2" t="s">
        <v>1603</v>
      </c>
      <c r="AZ155" s="2" t="s">
        <v>2063</v>
      </c>
    </row>
    <row r="156" spans="1:52" ht="24.75" customHeight="1" x14ac:dyDescent="0.35">
      <c r="A156" s="184"/>
      <c r="B156" s="185" t="e" cm="1">
        <f t="array" ref="B156">AND(ISTEXT('Consolidado-Eletronorte'!#REF!),SUM('Consolidado-Eletronorte'!#REF!)&gt;0)</f>
        <v>#REF!</v>
      </c>
      <c r="C156" s="186" t="str">
        <f t="shared" ca="1" si="6"/>
        <v>Capex Orcamentário_PE2026_2030_red_35_porcentoR3_consulta.xlsx</v>
      </c>
      <c r="D156" s="187" t="str">
        <f t="shared" si="7"/>
        <v>COO</v>
      </c>
      <c r="E156" s="187" t="str">
        <f t="shared" si="8"/>
        <v>Lucas Martins</v>
      </c>
      <c r="F156" s="188"/>
      <c r="G156" s="188" t="e">
        <f>_xlfn.CONCAT('Consolidado-Eletronorte'!#REF!,"_",ROW('Consolidado-Eletronorte'!#REF!)-ROW('Consolidado-Eletronorte'!$G$18))</f>
        <v>#REF!</v>
      </c>
      <c r="H156" s="279" t="s">
        <v>506</v>
      </c>
      <c r="I156" s="189" t="s">
        <v>1024</v>
      </c>
      <c r="J156" s="190" t="s">
        <v>508</v>
      </c>
      <c r="K156" s="189" t="s">
        <v>1821</v>
      </c>
      <c r="L156" s="189" t="s">
        <v>2019</v>
      </c>
      <c r="M156" s="189" t="s">
        <v>2049</v>
      </c>
      <c r="N156" s="189"/>
      <c r="O156" s="189"/>
      <c r="P156" s="189"/>
      <c r="Q156" s="191" t="s">
        <v>2187</v>
      </c>
      <c r="R156" s="191" t="s">
        <v>2044</v>
      </c>
      <c r="S156" s="189" t="s">
        <v>2051</v>
      </c>
      <c r="T156" s="192">
        <v>0</v>
      </c>
      <c r="U156" s="193">
        <v>0</v>
      </c>
      <c r="V156" s="193">
        <v>0</v>
      </c>
      <c r="W156" s="193">
        <v>0</v>
      </c>
      <c r="X156" s="192">
        <v>0</v>
      </c>
      <c r="Y156" s="192">
        <v>0</v>
      </c>
      <c r="Z156" s="194">
        <v>0</v>
      </c>
      <c r="AA156" s="194">
        <v>300000</v>
      </c>
      <c r="AB156" s="194">
        <v>300000</v>
      </c>
      <c r="AC156" s="194">
        <v>0</v>
      </c>
      <c r="AD156" s="194">
        <v>0</v>
      </c>
      <c r="AE156" s="194">
        <v>0</v>
      </c>
      <c r="AF156" s="194">
        <f>SUM(Tabela99[[#This Row],[jan/26]:[dez/26]])</f>
        <v>600000</v>
      </c>
      <c r="AG156" s="194">
        <v>0</v>
      </c>
      <c r="AH156" s="194">
        <v>0</v>
      </c>
      <c r="AI156" s="194">
        <v>0</v>
      </c>
      <c r="AJ156" s="194">
        <v>0</v>
      </c>
      <c r="AK156" s="194">
        <f>SUM(Tabela99[[#This Row],[2026]:[2030]])</f>
        <v>600000</v>
      </c>
      <c r="AL156" s="193">
        <v>0</v>
      </c>
      <c r="AM156" s="194">
        <v>0</v>
      </c>
      <c r="AN156" s="194">
        <v>0</v>
      </c>
      <c r="AO156" s="194">
        <v>0</v>
      </c>
      <c r="AP156" s="194">
        <v>0</v>
      </c>
      <c r="AQ156" s="195">
        <f>SUM(Tabela99[[#This Row],[2026-2030]:[2035]])</f>
        <v>600000</v>
      </c>
      <c r="AS156" s="2" t="s">
        <v>1833</v>
      </c>
      <c r="AT156" s="2" t="s">
        <v>1772</v>
      </c>
      <c r="AU156" s="2" t="s">
        <v>2041</v>
      </c>
      <c r="AW156" s="2" t="s">
        <v>1854</v>
      </c>
      <c r="AZ156" s="2" t="s">
        <v>1835</v>
      </c>
    </row>
    <row r="157" spans="1:52" ht="24.75" customHeight="1" x14ac:dyDescent="0.35">
      <c r="A157" s="184"/>
      <c r="B157" s="185" t="e" cm="1">
        <f t="array" ref="B157">AND(ISTEXT('Consolidado-Eletronorte'!#REF!),SUM('Consolidado-Eletronorte'!#REF!)&gt;0)</f>
        <v>#REF!</v>
      </c>
      <c r="C157" s="186" t="str">
        <f t="shared" ca="1" si="6"/>
        <v>Capex Orcamentário_PE2026_2030_red_35_porcentoR3_consulta.xlsx</v>
      </c>
      <c r="D157" s="187" t="str">
        <f t="shared" si="7"/>
        <v>COO</v>
      </c>
      <c r="E157" s="187" t="str">
        <f t="shared" si="8"/>
        <v>Lucas Martins</v>
      </c>
      <c r="F157" s="188"/>
      <c r="G157" s="188" t="e">
        <f>_xlfn.CONCAT('Consolidado-Eletronorte'!#REF!,"_",ROW('Consolidado-Eletronorte'!#REF!)-ROW('Consolidado-Eletronorte'!$G$18))</f>
        <v>#REF!</v>
      </c>
      <c r="H157" s="279" t="s">
        <v>506</v>
      </c>
      <c r="I157" s="189" t="s">
        <v>1024</v>
      </c>
      <c r="J157" s="190" t="s">
        <v>508</v>
      </c>
      <c r="K157" s="189" t="s">
        <v>1821</v>
      </c>
      <c r="L157" s="189" t="s">
        <v>1828</v>
      </c>
      <c r="M157" s="189" t="s">
        <v>2049</v>
      </c>
      <c r="N157" s="189"/>
      <c r="O157" s="189"/>
      <c r="P157" s="189"/>
      <c r="Q157" s="191" t="s">
        <v>2188</v>
      </c>
      <c r="R157" s="191" t="s">
        <v>2044</v>
      </c>
      <c r="S157" s="189" t="s">
        <v>2051</v>
      </c>
      <c r="T157" s="192">
        <v>0</v>
      </c>
      <c r="U157" s="193">
        <v>0</v>
      </c>
      <c r="V157" s="193">
        <v>0</v>
      </c>
      <c r="W157" s="193">
        <v>0</v>
      </c>
      <c r="X157" s="192">
        <v>0</v>
      </c>
      <c r="Y157" s="192">
        <v>0</v>
      </c>
      <c r="Z157" s="194">
        <v>0</v>
      </c>
      <c r="AA157" s="194">
        <v>0</v>
      </c>
      <c r="AB157" s="194">
        <v>250000</v>
      </c>
      <c r="AC157" s="194">
        <v>250000</v>
      </c>
      <c r="AD157" s="194">
        <v>0</v>
      </c>
      <c r="AE157" s="194">
        <v>0</v>
      </c>
      <c r="AF157" s="194">
        <f>SUM(Tabela99[[#This Row],[jan/26]:[dez/26]])</f>
        <v>500000</v>
      </c>
      <c r="AG157" s="194">
        <v>0</v>
      </c>
      <c r="AH157" s="194">
        <v>0</v>
      </c>
      <c r="AI157" s="194">
        <v>0</v>
      </c>
      <c r="AJ157" s="194">
        <v>0</v>
      </c>
      <c r="AK157" s="194">
        <f>SUM(Tabela99[[#This Row],[2026]:[2030]])</f>
        <v>500000</v>
      </c>
      <c r="AL157" s="193">
        <v>0</v>
      </c>
      <c r="AM157" s="194">
        <v>0</v>
      </c>
      <c r="AN157" s="194">
        <v>0</v>
      </c>
      <c r="AO157" s="194">
        <v>0</v>
      </c>
      <c r="AP157" s="194">
        <v>0</v>
      </c>
      <c r="AQ157" s="195">
        <f>SUM(Tabela99[[#This Row],[2026-2030]:[2035]])</f>
        <v>500000</v>
      </c>
      <c r="AS157" s="2" t="s">
        <v>1833</v>
      </c>
      <c r="AT157" s="2" t="s">
        <v>1772</v>
      </c>
      <c r="AU157" s="2" t="s">
        <v>2041</v>
      </c>
      <c r="AW157" s="2" t="s">
        <v>1854</v>
      </c>
      <c r="AZ157" s="2" t="s">
        <v>1835</v>
      </c>
    </row>
    <row r="158" spans="1:52" ht="24.75" customHeight="1" x14ac:dyDescent="0.35">
      <c r="A158" s="184"/>
      <c r="B158" s="185" t="e" cm="1">
        <f t="array" ref="B158">AND(ISTEXT('Consolidado-Eletronorte'!#REF!),SUM('Consolidado-Eletronorte'!#REF!)&gt;0)</f>
        <v>#REF!</v>
      </c>
      <c r="C158" s="186" t="str">
        <f t="shared" ca="1" si="6"/>
        <v>Capex Orcamentário_PE2026_2030_red_35_porcentoR3_consulta.xlsx</v>
      </c>
      <c r="D158" s="187" t="str">
        <f t="shared" si="7"/>
        <v>COO</v>
      </c>
      <c r="E158" s="187" t="str">
        <f t="shared" si="8"/>
        <v>Lucas Martins</v>
      </c>
      <c r="F158" s="188"/>
      <c r="G158" s="188" t="e">
        <f>_xlfn.CONCAT('Consolidado-Eletronorte'!#REF!,"_",ROW('Consolidado-Eletronorte'!#REF!)-ROW('Consolidado-Eletronorte'!$G$18))</f>
        <v>#REF!</v>
      </c>
      <c r="H158" s="279" t="s">
        <v>506</v>
      </c>
      <c r="I158" s="189" t="s">
        <v>1024</v>
      </c>
      <c r="J158" s="190" t="s">
        <v>508</v>
      </c>
      <c r="K158" s="189" t="s">
        <v>1821</v>
      </c>
      <c r="L158" s="189" t="s">
        <v>1828</v>
      </c>
      <c r="M158" s="189" t="s">
        <v>2030</v>
      </c>
      <c r="N158" s="189"/>
      <c r="O158" s="189"/>
      <c r="P158" s="189"/>
      <c r="Q158" s="191" t="s">
        <v>2189</v>
      </c>
      <c r="R158" s="191" t="s">
        <v>2190</v>
      </c>
      <c r="S158" s="189" t="s">
        <v>2033</v>
      </c>
      <c r="T158" s="192">
        <v>0</v>
      </c>
      <c r="U158" s="193">
        <v>0</v>
      </c>
      <c r="V158" s="193">
        <v>0</v>
      </c>
      <c r="W158" s="193">
        <v>250000</v>
      </c>
      <c r="X158" s="192">
        <v>250000</v>
      </c>
      <c r="Y158" s="192">
        <v>0</v>
      </c>
      <c r="Z158" s="194">
        <v>0</v>
      </c>
      <c r="AA158" s="194">
        <v>0</v>
      </c>
      <c r="AB158" s="194">
        <v>0</v>
      </c>
      <c r="AC158" s="194">
        <v>0</v>
      </c>
      <c r="AD158" s="194">
        <v>0</v>
      </c>
      <c r="AE158" s="194">
        <v>0</v>
      </c>
      <c r="AF158" s="194">
        <f>SUM(Tabela99[[#This Row],[jan/26]:[dez/26]])</f>
        <v>500000</v>
      </c>
      <c r="AG158" s="194">
        <v>0</v>
      </c>
      <c r="AH158" s="194">
        <v>0</v>
      </c>
      <c r="AI158" s="194">
        <v>0</v>
      </c>
      <c r="AJ158" s="194">
        <v>0</v>
      </c>
      <c r="AK158" s="194">
        <f>SUM(Tabela99[[#This Row],[2026]:[2030]])</f>
        <v>500000</v>
      </c>
      <c r="AL158" s="193">
        <v>0</v>
      </c>
      <c r="AM158" s="194">
        <v>0</v>
      </c>
      <c r="AN158" s="194">
        <v>0</v>
      </c>
      <c r="AO158" s="194">
        <v>0</v>
      </c>
      <c r="AP158" s="194">
        <v>0</v>
      </c>
      <c r="AQ158" s="195">
        <f>SUM(Tabela99[[#This Row],[2026-2030]:[2035]])</f>
        <v>500000</v>
      </c>
      <c r="AS158" s="2" t="s">
        <v>2034</v>
      </c>
      <c r="AT158" s="2">
        <v>2025</v>
      </c>
      <c r="AU158" s="2" t="s">
        <v>2041</v>
      </c>
      <c r="AW158" s="2" t="s">
        <v>1854</v>
      </c>
      <c r="AZ158" s="2" t="s">
        <v>2036</v>
      </c>
    </row>
    <row r="159" spans="1:52" ht="24.75" customHeight="1" x14ac:dyDescent="0.35">
      <c r="A159" s="184"/>
      <c r="B159" s="185" t="e" cm="1">
        <f t="array" ref="B159">AND(ISTEXT('Consolidado-Eletronorte'!#REF!),SUM('Consolidado-Eletronorte'!#REF!)&gt;0)</f>
        <v>#REF!</v>
      </c>
      <c r="C159" s="186" t="str">
        <f t="shared" ca="1" si="6"/>
        <v>Capex Orcamentário_PE2026_2030_red_35_porcentoR3_consulta.xlsx</v>
      </c>
      <c r="D159" s="187" t="str">
        <f t="shared" si="7"/>
        <v>COO</v>
      </c>
      <c r="E159" s="187" t="str">
        <f t="shared" si="8"/>
        <v>Lucas Martins</v>
      </c>
      <c r="F159" s="188"/>
      <c r="G159" s="188" t="e">
        <f>_xlfn.CONCAT('Consolidado-Eletronorte'!#REF!,"_",ROW('Consolidado-Eletronorte'!#REF!)-ROW('Consolidado-Eletronorte'!$G$18))</f>
        <v>#REF!</v>
      </c>
      <c r="H159" s="279" t="s">
        <v>506</v>
      </c>
      <c r="I159" s="189" t="s">
        <v>1024</v>
      </c>
      <c r="J159" s="190" t="s">
        <v>508</v>
      </c>
      <c r="K159" s="189" t="s">
        <v>1821</v>
      </c>
      <c r="L159" s="189" t="s">
        <v>1828</v>
      </c>
      <c r="M159" s="189" t="s">
        <v>2082</v>
      </c>
      <c r="N159" s="189"/>
      <c r="O159" s="189"/>
      <c r="P159" s="189"/>
      <c r="Q159" s="191" t="s">
        <v>2191</v>
      </c>
      <c r="R159" s="191" t="s">
        <v>2192</v>
      </c>
      <c r="S159" s="189" t="s">
        <v>2085</v>
      </c>
      <c r="T159" s="192">
        <v>0</v>
      </c>
      <c r="U159" s="193">
        <v>500000</v>
      </c>
      <c r="V159" s="193">
        <v>0</v>
      </c>
      <c r="W159" s="193">
        <v>0</v>
      </c>
      <c r="X159" s="192">
        <v>0</v>
      </c>
      <c r="Y159" s="192">
        <v>0</v>
      </c>
      <c r="Z159" s="194">
        <v>0</v>
      </c>
      <c r="AA159" s="194">
        <v>0</v>
      </c>
      <c r="AB159" s="194">
        <v>0</v>
      </c>
      <c r="AC159" s="194">
        <v>0</v>
      </c>
      <c r="AD159" s="194">
        <v>0</v>
      </c>
      <c r="AE159" s="194">
        <v>0</v>
      </c>
      <c r="AF159" s="194">
        <f>SUM(Tabela99[[#This Row],[jan/26]:[dez/26]])</f>
        <v>500000</v>
      </c>
      <c r="AG159" s="194">
        <v>0</v>
      </c>
      <c r="AH159" s="194">
        <v>0</v>
      </c>
      <c r="AI159" s="194">
        <v>0</v>
      </c>
      <c r="AJ159" s="194">
        <v>0</v>
      </c>
      <c r="AK159" s="194">
        <f>SUM(Tabela99[[#This Row],[2026]:[2030]])</f>
        <v>500000</v>
      </c>
      <c r="AL159" s="193">
        <v>0</v>
      </c>
      <c r="AM159" s="194">
        <v>0</v>
      </c>
      <c r="AN159" s="194">
        <v>0</v>
      </c>
      <c r="AO159" s="194">
        <v>0</v>
      </c>
      <c r="AP159" s="194">
        <v>0</v>
      </c>
      <c r="AQ159" s="195">
        <f>SUM(Tabela99[[#This Row],[2026-2030]:[2035]])</f>
        <v>500000</v>
      </c>
      <c r="AS159" s="2" t="s">
        <v>1886</v>
      </c>
      <c r="AT159" s="2">
        <v>2025</v>
      </c>
      <c r="AU159" s="2" t="s">
        <v>2041</v>
      </c>
      <c r="AW159" s="2" t="s">
        <v>1854</v>
      </c>
      <c r="AZ159" s="2" t="s">
        <v>2086</v>
      </c>
    </row>
    <row r="160" spans="1:52" ht="24.75" customHeight="1" x14ac:dyDescent="0.35">
      <c r="A160" s="184"/>
      <c r="B160" s="185" t="e" cm="1">
        <f t="array" ref="B160">AND(ISTEXT('Consolidado-Eletronorte'!#REF!),SUM('Consolidado-Eletronorte'!#REF!)&gt;0)</f>
        <v>#REF!</v>
      </c>
      <c r="C160" s="186" t="str">
        <f t="shared" ca="1" si="6"/>
        <v>Capex Orcamentário_PE2026_2030_red_35_porcentoR3_consulta.xlsx</v>
      </c>
      <c r="D160" s="187" t="str">
        <f t="shared" si="7"/>
        <v>COO</v>
      </c>
      <c r="E160" s="187" t="str">
        <f t="shared" si="8"/>
        <v>Lucas Martins</v>
      </c>
      <c r="F160" s="188"/>
      <c r="G160" s="188" t="e">
        <f>_xlfn.CONCAT('Consolidado-Eletronorte'!#REF!,"_",ROW('Consolidado-Eletronorte'!#REF!)-ROW('Consolidado-Eletronorte'!$G$18))</f>
        <v>#REF!</v>
      </c>
      <c r="H160" s="279" t="s">
        <v>506</v>
      </c>
      <c r="I160" s="189" t="s">
        <v>1024</v>
      </c>
      <c r="J160" s="190" t="s">
        <v>508</v>
      </c>
      <c r="K160" s="189" t="s">
        <v>1821</v>
      </c>
      <c r="L160" s="189" t="s">
        <v>1828</v>
      </c>
      <c r="M160" s="189" t="s">
        <v>2030</v>
      </c>
      <c r="N160" s="189"/>
      <c r="O160" s="189"/>
      <c r="P160" s="189"/>
      <c r="Q160" s="191" t="s">
        <v>2193</v>
      </c>
      <c r="R160" s="191" t="s">
        <v>2194</v>
      </c>
      <c r="S160" s="189" t="s">
        <v>2033</v>
      </c>
      <c r="T160" s="192">
        <v>0</v>
      </c>
      <c r="U160" s="193">
        <v>0</v>
      </c>
      <c r="V160" s="193">
        <v>0</v>
      </c>
      <c r="W160" s="193">
        <v>0</v>
      </c>
      <c r="X160" s="192">
        <v>0</v>
      </c>
      <c r="Y160" s="192">
        <v>0</v>
      </c>
      <c r="Z160" s="194">
        <v>0</v>
      </c>
      <c r="AA160" s="194">
        <v>0</v>
      </c>
      <c r="AB160" s="194">
        <v>500000</v>
      </c>
      <c r="AC160" s="194">
        <v>0</v>
      </c>
      <c r="AD160" s="194">
        <v>0</v>
      </c>
      <c r="AE160" s="194">
        <v>0</v>
      </c>
      <c r="AF160" s="194">
        <f>SUM(Tabela99[[#This Row],[jan/26]:[dez/26]])</f>
        <v>500000</v>
      </c>
      <c r="AG160" s="194">
        <v>0</v>
      </c>
      <c r="AH160" s="194">
        <v>0</v>
      </c>
      <c r="AI160" s="194">
        <v>0</v>
      </c>
      <c r="AJ160" s="194">
        <v>0</v>
      </c>
      <c r="AK160" s="194">
        <f>SUM(Tabela99[[#This Row],[2026]:[2030]])</f>
        <v>500000</v>
      </c>
      <c r="AL160" s="193">
        <v>0</v>
      </c>
      <c r="AM160" s="194">
        <v>0</v>
      </c>
      <c r="AN160" s="194">
        <v>0</v>
      </c>
      <c r="AO160" s="194">
        <v>0</v>
      </c>
      <c r="AP160" s="194">
        <v>0</v>
      </c>
      <c r="AQ160" s="195">
        <f>SUM(Tabela99[[#This Row],[2026-2030]:[2035]])</f>
        <v>500000</v>
      </c>
      <c r="AS160" s="2" t="s">
        <v>2034</v>
      </c>
      <c r="AT160" s="2">
        <v>2025</v>
      </c>
      <c r="AU160" s="2" t="s">
        <v>2041</v>
      </c>
      <c r="AW160" s="2" t="s">
        <v>1854</v>
      </c>
      <c r="AZ160" s="2" t="s">
        <v>2036</v>
      </c>
    </row>
    <row r="161" spans="1:52" ht="24.75" customHeight="1" x14ac:dyDescent="0.35">
      <c r="A161" s="184"/>
      <c r="B161" s="185" t="e" cm="1">
        <f t="array" ref="B161">AND(ISTEXT('Consolidado-Eletronorte'!#REF!),SUM('Consolidado-Eletronorte'!#REF!)&gt;0)</f>
        <v>#REF!</v>
      </c>
      <c r="C161" s="186" t="str">
        <f t="shared" ca="1" si="6"/>
        <v>Capex Orcamentário_PE2026_2030_red_35_porcentoR3_consulta.xlsx</v>
      </c>
      <c r="D161" s="187" t="str">
        <f t="shared" si="7"/>
        <v>COO</v>
      </c>
      <c r="E161" s="187" t="str">
        <f t="shared" si="8"/>
        <v>Lucas Martins</v>
      </c>
      <c r="F161" s="188"/>
      <c r="G161" s="188" t="e">
        <f>_xlfn.CONCAT('Consolidado-Eletronorte'!#REF!,"_",ROW('Consolidado-Eletronorte'!#REF!)-ROW('Consolidado-Eletronorte'!$G$18))</f>
        <v>#REF!</v>
      </c>
      <c r="H161" s="279" t="s">
        <v>506</v>
      </c>
      <c r="I161" s="189" t="s">
        <v>1024</v>
      </c>
      <c r="J161" s="190" t="s">
        <v>508</v>
      </c>
      <c r="K161" s="189" t="s">
        <v>1821</v>
      </c>
      <c r="L161" s="189" t="s">
        <v>1828</v>
      </c>
      <c r="M161" s="189" t="s">
        <v>1883</v>
      </c>
      <c r="N161" s="189"/>
      <c r="O161" s="189"/>
      <c r="P161" s="189"/>
      <c r="Q161" s="191" t="s">
        <v>2195</v>
      </c>
      <c r="R161" s="191" t="s">
        <v>2196</v>
      </c>
      <c r="S161" s="189" t="s">
        <v>1885</v>
      </c>
      <c r="T161" s="192">
        <v>0</v>
      </c>
      <c r="U161" s="193">
        <v>0</v>
      </c>
      <c r="V161" s="193">
        <v>0</v>
      </c>
      <c r="W161" s="193">
        <v>0</v>
      </c>
      <c r="X161" s="192">
        <v>0</v>
      </c>
      <c r="Y161" s="192">
        <v>0</v>
      </c>
      <c r="Z161" s="194">
        <v>0</v>
      </c>
      <c r="AA161" s="194">
        <v>0</v>
      </c>
      <c r="AB161" s="194">
        <v>500000</v>
      </c>
      <c r="AC161" s="194">
        <v>0</v>
      </c>
      <c r="AD161" s="194">
        <v>0</v>
      </c>
      <c r="AE161" s="194">
        <v>0</v>
      </c>
      <c r="AF161" s="194">
        <f>SUM(Tabela99[[#This Row],[jan/26]:[dez/26]])</f>
        <v>500000</v>
      </c>
      <c r="AG161" s="194">
        <v>0</v>
      </c>
      <c r="AH161" s="194">
        <v>0</v>
      </c>
      <c r="AI161" s="194">
        <v>0</v>
      </c>
      <c r="AJ161" s="194">
        <v>0</v>
      </c>
      <c r="AK161" s="194">
        <f>SUM(Tabela99[[#This Row],[2026]:[2030]])</f>
        <v>500000</v>
      </c>
      <c r="AL161" s="193">
        <v>0</v>
      </c>
      <c r="AM161" s="194">
        <v>0</v>
      </c>
      <c r="AN161" s="194">
        <v>0</v>
      </c>
      <c r="AO161" s="194">
        <v>0</v>
      </c>
      <c r="AP161" s="194">
        <v>0</v>
      </c>
      <c r="AQ161" s="195">
        <f>SUM(Tabela99[[#This Row],[2026-2030]:[2035]])</f>
        <v>500000</v>
      </c>
      <c r="AS161" s="2" t="s">
        <v>1886</v>
      </c>
      <c r="AT161" s="2" t="s">
        <v>1772</v>
      </c>
      <c r="AU161" s="2" t="s">
        <v>2041</v>
      </c>
      <c r="AW161" s="2" t="s">
        <v>1854</v>
      </c>
      <c r="AZ161" s="2" t="s">
        <v>1887</v>
      </c>
    </row>
    <row r="162" spans="1:52" ht="24.75" customHeight="1" x14ac:dyDescent="0.35">
      <c r="A162" s="184"/>
      <c r="B162" s="185" t="e" cm="1">
        <f t="array" ref="B162">AND(ISTEXT('Consolidado-Eletronorte'!#REF!),SUM('Consolidado-Eletronorte'!#REF!)&gt;0)</f>
        <v>#REF!</v>
      </c>
      <c r="C162" s="186" t="str">
        <f t="shared" ca="1" si="6"/>
        <v>Capex Orcamentário_PE2026_2030_red_35_porcentoR3_consulta.xlsx</v>
      </c>
      <c r="D162" s="187" t="str">
        <f t="shared" si="7"/>
        <v>COO</v>
      </c>
      <c r="E162" s="187" t="str">
        <f t="shared" si="8"/>
        <v>Lucas Martins</v>
      </c>
      <c r="F162" s="188"/>
      <c r="G162" s="188" t="e">
        <f>_xlfn.CONCAT('Consolidado-Eletronorte'!#REF!,"_",ROW('Consolidado-Eletronorte'!#REF!)-ROW('Consolidado-Eletronorte'!$G$18))</f>
        <v>#REF!</v>
      </c>
      <c r="H162" s="279" t="s">
        <v>506</v>
      </c>
      <c r="I162" s="189" t="s">
        <v>1024</v>
      </c>
      <c r="J162" s="190" t="s">
        <v>508</v>
      </c>
      <c r="K162" s="189" t="s">
        <v>1741</v>
      </c>
      <c r="L162" s="189" t="s">
        <v>2019</v>
      </c>
      <c r="M162" s="189" t="s">
        <v>2052</v>
      </c>
      <c r="N162" s="189"/>
      <c r="O162" s="189"/>
      <c r="P162" s="189"/>
      <c r="Q162" s="191" t="s">
        <v>2197</v>
      </c>
      <c r="R162" s="191" t="s">
        <v>2198</v>
      </c>
      <c r="S162" s="189" t="s">
        <v>1870</v>
      </c>
      <c r="T162" s="192">
        <v>0</v>
      </c>
      <c r="U162" s="193">
        <v>0</v>
      </c>
      <c r="V162" s="193">
        <v>0</v>
      </c>
      <c r="W162" s="193">
        <v>0</v>
      </c>
      <c r="X162" s="192">
        <v>0</v>
      </c>
      <c r="Y162" s="192">
        <v>0</v>
      </c>
      <c r="Z162" s="194">
        <v>94000</v>
      </c>
      <c r="AA162" s="194">
        <v>94000</v>
      </c>
      <c r="AB162" s="194">
        <v>94000</v>
      </c>
      <c r="AC162" s="194">
        <v>94000</v>
      </c>
      <c r="AD162" s="194">
        <v>94000</v>
      </c>
      <c r="AE162" s="194">
        <v>0</v>
      </c>
      <c r="AF162" s="194">
        <f>SUM(Tabela99[[#This Row],[jan/26]:[dez/26]])</f>
        <v>470000</v>
      </c>
      <c r="AG162" s="194">
        <v>0</v>
      </c>
      <c r="AH162" s="194">
        <v>0</v>
      </c>
      <c r="AI162" s="194">
        <v>0</v>
      </c>
      <c r="AJ162" s="194">
        <v>0</v>
      </c>
      <c r="AK162" s="194">
        <f>SUM(Tabela99[[#This Row],[2026]:[2030]])</f>
        <v>470000</v>
      </c>
      <c r="AL162" s="193">
        <v>0</v>
      </c>
      <c r="AM162" s="194">
        <v>0</v>
      </c>
      <c r="AN162" s="194">
        <v>0</v>
      </c>
      <c r="AO162" s="194">
        <v>0</v>
      </c>
      <c r="AP162" s="194">
        <v>0</v>
      </c>
      <c r="AQ162" s="195">
        <f>SUM(Tabela99[[#This Row],[2026-2030]:[2035]])</f>
        <v>470000</v>
      </c>
      <c r="AS162" s="2" t="s">
        <v>2055</v>
      </c>
      <c r="AT162" s="2" t="s">
        <v>1772</v>
      </c>
      <c r="AU162" s="2" t="s">
        <v>2041</v>
      </c>
      <c r="AW162" s="2" t="s">
        <v>1603</v>
      </c>
      <c r="AZ162" s="2" t="s">
        <v>2056</v>
      </c>
    </row>
    <row r="163" spans="1:52" ht="24.75" customHeight="1" x14ac:dyDescent="0.35">
      <c r="A163" s="184"/>
      <c r="B163" s="185" t="e" cm="1">
        <f t="array" ref="B163">AND(ISTEXT('Consolidado-Eletronorte'!#REF!),SUM('Consolidado-Eletronorte'!#REF!)&gt;0)</f>
        <v>#REF!</v>
      </c>
      <c r="C163" s="186" t="str">
        <f t="shared" ca="1" si="6"/>
        <v>Capex Orcamentário_PE2026_2030_red_35_porcentoR3_consulta.xlsx</v>
      </c>
      <c r="D163" s="187" t="str">
        <f t="shared" si="7"/>
        <v>COO</v>
      </c>
      <c r="E163" s="187" t="str">
        <f t="shared" si="8"/>
        <v>Lucas Martins</v>
      </c>
      <c r="F163" s="188"/>
      <c r="G163" s="188" t="e">
        <f>_xlfn.CONCAT('Consolidado-Eletronorte'!#REF!,"_",ROW('Consolidado-Eletronorte'!#REF!)-ROW('Consolidado-Eletronorte'!$G$18))</f>
        <v>#REF!</v>
      </c>
      <c r="H163" s="279" t="s">
        <v>506</v>
      </c>
      <c r="I163" s="189" t="s">
        <v>1024</v>
      </c>
      <c r="J163" s="190" t="s">
        <v>508</v>
      </c>
      <c r="K163" s="189" t="s">
        <v>1741</v>
      </c>
      <c r="L163" s="189" t="s">
        <v>2019</v>
      </c>
      <c r="M163" s="189" t="s">
        <v>2052</v>
      </c>
      <c r="N163" s="189"/>
      <c r="O163" s="189"/>
      <c r="P163" s="189"/>
      <c r="Q163" s="191" t="s">
        <v>2199</v>
      </c>
      <c r="R163" s="191" t="s">
        <v>2200</v>
      </c>
      <c r="S163" s="189" t="s">
        <v>2040</v>
      </c>
      <c r="T163" s="192">
        <v>0</v>
      </c>
      <c r="U163" s="193">
        <v>0</v>
      </c>
      <c r="V163" s="193">
        <v>0</v>
      </c>
      <c r="W163" s="193">
        <v>0</v>
      </c>
      <c r="X163" s="192">
        <v>0</v>
      </c>
      <c r="Y163" s="192">
        <v>0</v>
      </c>
      <c r="Z163" s="194">
        <v>94000</v>
      </c>
      <c r="AA163" s="194">
        <v>94000</v>
      </c>
      <c r="AB163" s="194">
        <v>94000</v>
      </c>
      <c r="AC163" s="194">
        <v>94000</v>
      </c>
      <c r="AD163" s="194">
        <v>94000</v>
      </c>
      <c r="AE163" s="194">
        <v>0</v>
      </c>
      <c r="AF163" s="194">
        <f>SUM(Tabela99[[#This Row],[jan/26]:[dez/26]])</f>
        <v>470000</v>
      </c>
      <c r="AG163" s="194">
        <v>0</v>
      </c>
      <c r="AH163" s="194">
        <v>0</v>
      </c>
      <c r="AI163" s="194">
        <v>0</v>
      </c>
      <c r="AJ163" s="194">
        <v>0</v>
      </c>
      <c r="AK163" s="194">
        <f>SUM(Tabela99[[#This Row],[2026]:[2030]])</f>
        <v>470000</v>
      </c>
      <c r="AL163" s="193">
        <v>0</v>
      </c>
      <c r="AM163" s="194">
        <v>0</v>
      </c>
      <c r="AN163" s="194">
        <v>0</v>
      </c>
      <c r="AO163" s="194">
        <v>0</v>
      </c>
      <c r="AP163" s="194">
        <v>0</v>
      </c>
      <c r="AQ163" s="195">
        <f>SUM(Tabela99[[#This Row],[2026-2030]:[2035]])</f>
        <v>470000</v>
      </c>
      <c r="AS163" s="2" t="s">
        <v>2055</v>
      </c>
      <c r="AT163" s="2" t="s">
        <v>1772</v>
      </c>
      <c r="AU163" s="2" t="s">
        <v>2041</v>
      </c>
      <c r="AW163" s="2" t="s">
        <v>1603</v>
      </c>
      <c r="AZ163" s="2" t="s">
        <v>2071</v>
      </c>
    </row>
    <row r="164" spans="1:52" ht="24.75" customHeight="1" x14ac:dyDescent="0.35">
      <c r="A164" s="184"/>
      <c r="B164" s="185" t="e" cm="1">
        <f t="array" ref="B164">AND(ISTEXT('Consolidado-Eletronorte'!#REF!),SUM('Consolidado-Eletronorte'!#REF!)&gt;0)</f>
        <v>#REF!</v>
      </c>
      <c r="C164" s="186" t="str">
        <f t="shared" ca="1" si="6"/>
        <v>Capex Orcamentário_PE2026_2030_red_35_porcentoR3_consulta.xlsx</v>
      </c>
      <c r="D164" s="187" t="str">
        <f t="shared" si="7"/>
        <v>COO</v>
      </c>
      <c r="E164" s="187" t="str">
        <f t="shared" si="8"/>
        <v>Lucas Martins</v>
      </c>
      <c r="F164" s="188"/>
      <c r="G164" s="188" t="e">
        <f>_xlfn.CONCAT('Consolidado-Eletronorte'!#REF!,"_",ROW('Consolidado-Eletronorte'!#REF!)-ROW('Consolidado-Eletronorte'!$G$18))</f>
        <v>#REF!</v>
      </c>
      <c r="H164" s="279" t="s">
        <v>506</v>
      </c>
      <c r="I164" s="189" t="s">
        <v>1024</v>
      </c>
      <c r="J164" s="190" t="s">
        <v>508</v>
      </c>
      <c r="K164" s="189" t="s">
        <v>1741</v>
      </c>
      <c r="L164" s="189" t="s">
        <v>2019</v>
      </c>
      <c r="M164" s="189" t="s">
        <v>2052</v>
      </c>
      <c r="N164" s="189"/>
      <c r="O164" s="189"/>
      <c r="P164" s="189"/>
      <c r="Q164" s="191" t="s">
        <v>2201</v>
      </c>
      <c r="R164" s="191" t="s">
        <v>2202</v>
      </c>
      <c r="S164" s="189" t="s">
        <v>1025</v>
      </c>
      <c r="T164" s="192">
        <v>0</v>
      </c>
      <c r="U164" s="193">
        <v>0</v>
      </c>
      <c r="V164" s="193">
        <v>0</v>
      </c>
      <c r="W164" s="193">
        <v>0</v>
      </c>
      <c r="X164" s="192">
        <v>0</v>
      </c>
      <c r="Y164" s="192">
        <v>0</v>
      </c>
      <c r="Z164" s="194">
        <v>94000</v>
      </c>
      <c r="AA164" s="194">
        <v>94000</v>
      </c>
      <c r="AB164" s="194">
        <v>94000</v>
      </c>
      <c r="AC164" s="194">
        <v>94000</v>
      </c>
      <c r="AD164" s="194">
        <v>94000</v>
      </c>
      <c r="AE164" s="194">
        <v>0</v>
      </c>
      <c r="AF164" s="194">
        <f>SUM(Tabela99[[#This Row],[jan/26]:[dez/26]])</f>
        <v>470000</v>
      </c>
      <c r="AG164" s="194">
        <v>0</v>
      </c>
      <c r="AH164" s="194">
        <v>0</v>
      </c>
      <c r="AI164" s="194">
        <v>0</v>
      </c>
      <c r="AJ164" s="194">
        <v>0</v>
      </c>
      <c r="AK164" s="194">
        <f>SUM(Tabela99[[#This Row],[2026]:[2030]])</f>
        <v>470000</v>
      </c>
      <c r="AL164" s="193">
        <v>0</v>
      </c>
      <c r="AM164" s="194">
        <v>0</v>
      </c>
      <c r="AN164" s="194">
        <v>0</v>
      </c>
      <c r="AO164" s="194">
        <v>0</v>
      </c>
      <c r="AP164" s="194">
        <v>0</v>
      </c>
      <c r="AQ164" s="195">
        <f>SUM(Tabela99[[#This Row],[2026-2030]:[2035]])</f>
        <v>470000</v>
      </c>
      <c r="AS164" s="2" t="s">
        <v>2055</v>
      </c>
      <c r="AT164" s="2" t="s">
        <v>1772</v>
      </c>
      <c r="AU164" s="2" t="s">
        <v>2041</v>
      </c>
      <c r="AW164" s="2" t="s">
        <v>1603</v>
      </c>
      <c r="AZ164" s="2" t="s">
        <v>2056</v>
      </c>
    </row>
    <row r="165" spans="1:52" ht="24.75" customHeight="1" x14ac:dyDescent="0.35">
      <c r="A165" s="184"/>
      <c r="B165" s="185" t="e" cm="1">
        <f t="array" ref="B165">AND(ISTEXT('Consolidado-Eletronorte'!#REF!),SUM('Consolidado-Eletronorte'!#REF!)&gt;0)</f>
        <v>#REF!</v>
      </c>
      <c r="C165" s="186" t="str">
        <f t="shared" ca="1" si="6"/>
        <v>Capex Orcamentário_PE2026_2030_red_35_porcentoR3_consulta.xlsx</v>
      </c>
      <c r="D165" s="187" t="str">
        <f t="shared" si="7"/>
        <v>COO</v>
      </c>
      <c r="E165" s="187" t="str">
        <f t="shared" si="8"/>
        <v>Lucas Martins</v>
      </c>
      <c r="F165" s="188"/>
      <c r="G165" s="188" t="e">
        <f>_xlfn.CONCAT('Consolidado-Eletronorte'!#REF!,"_",ROW('Consolidado-Eletronorte'!#REF!)-ROW('Consolidado-Eletronorte'!$G$18))</f>
        <v>#REF!</v>
      </c>
      <c r="H165" s="279" t="s">
        <v>506</v>
      </c>
      <c r="I165" s="189" t="s">
        <v>1024</v>
      </c>
      <c r="J165" s="190" t="s">
        <v>508</v>
      </c>
      <c r="K165" s="189" t="s">
        <v>1741</v>
      </c>
      <c r="L165" s="189" t="s">
        <v>2019</v>
      </c>
      <c r="M165" s="189" t="s">
        <v>2052</v>
      </c>
      <c r="N165" s="189"/>
      <c r="O165" s="189"/>
      <c r="P165" s="189"/>
      <c r="Q165" s="191" t="s">
        <v>2203</v>
      </c>
      <c r="R165" s="191" t="s">
        <v>2204</v>
      </c>
      <c r="S165" s="189" t="s">
        <v>2054</v>
      </c>
      <c r="T165" s="192">
        <v>0</v>
      </c>
      <c r="U165" s="193">
        <v>0</v>
      </c>
      <c r="V165" s="193">
        <v>0</v>
      </c>
      <c r="W165" s="193">
        <v>0</v>
      </c>
      <c r="X165" s="192">
        <v>0</v>
      </c>
      <c r="Y165" s="192">
        <v>0</v>
      </c>
      <c r="Z165" s="194">
        <v>94000</v>
      </c>
      <c r="AA165" s="194">
        <v>94000</v>
      </c>
      <c r="AB165" s="194">
        <v>94000</v>
      </c>
      <c r="AC165" s="194">
        <v>94000</v>
      </c>
      <c r="AD165" s="194">
        <v>94000</v>
      </c>
      <c r="AE165" s="194">
        <v>0</v>
      </c>
      <c r="AF165" s="194">
        <f>SUM(Tabela99[[#This Row],[jan/26]:[dez/26]])</f>
        <v>470000</v>
      </c>
      <c r="AG165" s="194">
        <v>0</v>
      </c>
      <c r="AH165" s="194">
        <v>0</v>
      </c>
      <c r="AI165" s="194">
        <v>0</v>
      </c>
      <c r="AJ165" s="194">
        <v>0</v>
      </c>
      <c r="AK165" s="194">
        <f>SUM(Tabela99[[#This Row],[2026]:[2030]])</f>
        <v>470000</v>
      </c>
      <c r="AL165" s="193">
        <v>0</v>
      </c>
      <c r="AM165" s="194">
        <v>0</v>
      </c>
      <c r="AN165" s="194">
        <v>0</v>
      </c>
      <c r="AO165" s="194">
        <v>0</v>
      </c>
      <c r="AP165" s="194">
        <v>0</v>
      </c>
      <c r="AQ165" s="195">
        <f>SUM(Tabela99[[#This Row],[2026-2030]:[2035]])</f>
        <v>470000</v>
      </c>
      <c r="AS165" s="2" t="s">
        <v>2055</v>
      </c>
      <c r="AT165" s="2" t="s">
        <v>1772</v>
      </c>
      <c r="AU165" s="2" t="s">
        <v>2041</v>
      </c>
      <c r="AW165" s="2" t="s">
        <v>1603</v>
      </c>
      <c r="AZ165" s="2" t="s">
        <v>2056</v>
      </c>
    </row>
    <row r="166" spans="1:52" ht="24.75" customHeight="1" x14ac:dyDescent="0.35">
      <c r="A166" s="184"/>
      <c r="B166" s="185" t="e" cm="1">
        <f t="array" ref="B166">AND(ISTEXT('Consolidado-Eletronorte'!#REF!),SUM('Consolidado-Eletronorte'!#REF!)&gt;0)</f>
        <v>#REF!</v>
      </c>
      <c r="C166" s="186" t="str">
        <f t="shared" ca="1" si="6"/>
        <v>Capex Orcamentário_PE2026_2030_red_35_porcentoR3_consulta.xlsx</v>
      </c>
      <c r="D166" s="187" t="str">
        <f t="shared" si="7"/>
        <v>COO</v>
      </c>
      <c r="E166" s="187" t="str">
        <f t="shared" si="8"/>
        <v>Lucas Martins</v>
      </c>
      <c r="F166" s="188"/>
      <c r="G166" s="188" t="e">
        <f>_xlfn.CONCAT('Consolidado-Eletronorte'!#REF!,"_",ROW('Consolidado-Eletronorte'!#REF!)-ROW('Consolidado-Eletronorte'!$G$18))</f>
        <v>#REF!</v>
      </c>
      <c r="H166" s="279" t="s">
        <v>506</v>
      </c>
      <c r="I166" s="189" t="s">
        <v>1024</v>
      </c>
      <c r="J166" s="190" t="s">
        <v>508</v>
      </c>
      <c r="K166" s="189" t="s">
        <v>1741</v>
      </c>
      <c r="L166" s="189" t="s">
        <v>2019</v>
      </c>
      <c r="M166" s="189" t="s">
        <v>2052</v>
      </c>
      <c r="N166" s="189"/>
      <c r="O166" s="189"/>
      <c r="P166" s="189"/>
      <c r="Q166" s="191" t="s">
        <v>2205</v>
      </c>
      <c r="R166" s="191" t="s">
        <v>2206</v>
      </c>
      <c r="S166" s="189" t="s">
        <v>1840</v>
      </c>
      <c r="T166" s="192">
        <v>0</v>
      </c>
      <c r="U166" s="193">
        <v>0</v>
      </c>
      <c r="V166" s="193">
        <v>0</v>
      </c>
      <c r="W166" s="193">
        <v>0</v>
      </c>
      <c r="X166" s="192">
        <v>0</v>
      </c>
      <c r="Y166" s="192">
        <v>0</v>
      </c>
      <c r="Z166" s="194">
        <v>94000</v>
      </c>
      <c r="AA166" s="194">
        <v>94000</v>
      </c>
      <c r="AB166" s="194">
        <v>94000</v>
      </c>
      <c r="AC166" s="194">
        <v>94000</v>
      </c>
      <c r="AD166" s="194">
        <v>94000</v>
      </c>
      <c r="AE166" s="194">
        <v>0</v>
      </c>
      <c r="AF166" s="194">
        <f>SUM(Tabela99[[#This Row],[jan/26]:[dez/26]])</f>
        <v>470000</v>
      </c>
      <c r="AG166" s="194">
        <v>0</v>
      </c>
      <c r="AH166" s="194">
        <v>0</v>
      </c>
      <c r="AI166" s="194">
        <v>0</v>
      </c>
      <c r="AJ166" s="194">
        <v>0</v>
      </c>
      <c r="AK166" s="194">
        <f>SUM(Tabela99[[#This Row],[2026]:[2030]])</f>
        <v>470000</v>
      </c>
      <c r="AL166" s="193">
        <v>0</v>
      </c>
      <c r="AM166" s="194">
        <v>0</v>
      </c>
      <c r="AN166" s="194">
        <v>0</v>
      </c>
      <c r="AO166" s="194">
        <v>0</v>
      </c>
      <c r="AP166" s="194">
        <v>0</v>
      </c>
      <c r="AQ166" s="195">
        <f>SUM(Tabela99[[#This Row],[2026-2030]:[2035]])</f>
        <v>470000</v>
      </c>
      <c r="AS166" s="2" t="s">
        <v>2055</v>
      </c>
      <c r="AT166" s="2" t="s">
        <v>1772</v>
      </c>
      <c r="AU166" s="2" t="s">
        <v>2041</v>
      </c>
      <c r="AW166" s="2" t="s">
        <v>1603</v>
      </c>
      <c r="AZ166" s="2" t="s">
        <v>2056</v>
      </c>
    </row>
    <row r="167" spans="1:52" ht="24.75" customHeight="1" x14ac:dyDescent="0.35">
      <c r="A167" s="184"/>
      <c r="B167" s="185" t="e" cm="1">
        <f t="array" ref="B167">AND(ISTEXT('Consolidado-Eletronorte'!#REF!),SUM('Consolidado-Eletronorte'!#REF!)&gt;0)</f>
        <v>#REF!</v>
      </c>
      <c r="C167" s="186" t="str">
        <f t="shared" ca="1" si="6"/>
        <v>Capex Orcamentário_PE2026_2030_red_35_porcentoR3_consulta.xlsx</v>
      </c>
      <c r="D167" s="187" t="str">
        <f t="shared" si="7"/>
        <v>COO</v>
      </c>
      <c r="E167" s="187" t="str">
        <f t="shared" si="8"/>
        <v>Lucas Martins</v>
      </c>
      <c r="F167" s="188"/>
      <c r="G167" s="188" t="e">
        <f>_xlfn.CONCAT('Consolidado-Eletronorte'!#REF!,"_",ROW('Consolidado-Eletronorte'!#REF!)-ROW('Consolidado-Eletronorte'!$G$18))</f>
        <v>#REF!</v>
      </c>
      <c r="H167" s="279" t="s">
        <v>506</v>
      </c>
      <c r="I167" s="189" t="s">
        <v>1024</v>
      </c>
      <c r="J167" s="190" t="s">
        <v>508</v>
      </c>
      <c r="K167" s="189" t="s">
        <v>1741</v>
      </c>
      <c r="L167" s="189" t="s">
        <v>2019</v>
      </c>
      <c r="M167" s="189" t="s">
        <v>2052</v>
      </c>
      <c r="N167" s="189"/>
      <c r="O167" s="189"/>
      <c r="P167" s="189"/>
      <c r="Q167" s="191" t="s">
        <v>2207</v>
      </c>
      <c r="R167" s="191" t="s">
        <v>2208</v>
      </c>
      <c r="S167" s="189" t="s">
        <v>1861</v>
      </c>
      <c r="T167" s="192">
        <v>0</v>
      </c>
      <c r="U167" s="193">
        <v>47000</v>
      </c>
      <c r="V167" s="193">
        <v>47000</v>
      </c>
      <c r="W167" s="193">
        <v>47000</v>
      </c>
      <c r="X167" s="192">
        <v>47000</v>
      </c>
      <c r="Y167" s="192">
        <v>47000</v>
      </c>
      <c r="Z167" s="194">
        <v>47000</v>
      </c>
      <c r="AA167" s="194">
        <v>47000</v>
      </c>
      <c r="AB167" s="194">
        <v>47000</v>
      </c>
      <c r="AC167" s="194">
        <v>47000</v>
      </c>
      <c r="AD167" s="194">
        <v>47000</v>
      </c>
      <c r="AE167" s="194">
        <v>0</v>
      </c>
      <c r="AF167" s="194">
        <f>SUM(Tabela99[[#This Row],[jan/26]:[dez/26]])</f>
        <v>470000</v>
      </c>
      <c r="AG167" s="194">
        <v>0</v>
      </c>
      <c r="AH167" s="194">
        <v>0</v>
      </c>
      <c r="AI167" s="194">
        <v>0</v>
      </c>
      <c r="AJ167" s="194">
        <v>0</v>
      </c>
      <c r="AK167" s="194">
        <f>SUM(Tabela99[[#This Row],[2026]:[2030]])</f>
        <v>470000</v>
      </c>
      <c r="AL167" s="193">
        <v>0</v>
      </c>
      <c r="AM167" s="194">
        <v>0</v>
      </c>
      <c r="AN167" s="194">
        <v>0</v>
      </c>
      <c r="AO167" s="194">
        <v>0</v>
      </c>
      <c r="AP167" s="194">
        <v>0</v>
      </c>
      <c r="AQ167" s="195">
        <f>SUM(Tabela99[[#This Row],[2026-2030]:[2035]])</f>
        <v>470000</v>
      </c>
      <c r="AS167" s="2" t="s">
        <v>2055</v>
      </c>
      <c r="AT167" s="2" t="s">
        <v>1772</v>
      </c>
      <c r="AU167" s="2" t="s">
        <v>2041</v>
      </c>
      <c r="AW167" s="2" t="s">
        <v>1603</v>
      </c>
      <c r="AZ167" s="2" t="s">
        <v>2063</v>
      </c>
    </row>
    <row r="168" spans="1:52" ht="24.75" customHeight="1" x14ac:dyDescent="0.35">
      <c r="A168" s="184"/>
      <c r="B168" s="185" t="e" cm="1">
        <f t="array" ref="B168">AND(ISTEXT('Consolidado-Eletronorte'!#REF!),SUM('Consolidado-Eletronorte'!#REF!)&gt;0)</f>
        <v>#REF!</v>
      </c>
      <c r="C168" s="186" t="str">
        <f t="shared" ca="1" si="6"/>
        <v>Capex Orcamentário_PE2026_2030_red_35_porcentoR3_consulta.xlsx</v>
      </c>
      <c r="D168" s="187" t="str">
        <f t="shared" si="7"/>
        <v>COO</v>
      </c>
      <c r="E168" s="187" t="str">
        <f t="shared" si="8"/>
        <v>Lucas Martins</v>
      </c>
      <c r="F168" s="188"/>
      <c r="G168" s="188" t="e">
        <f>_xlfn.CONCAT('Consolidado-Eletronorte'!#REF!,"_",ROW('Consolidado-Eletronorte'!#REF!)-ROW('Consolidado-Eletronorte'!$G$18))</f>
        <v>#REF!</v>
      </c>
      <c r="H168" s="279" t="s">
        <v>506</v>
      </c>
      <c r="I168" s="189" t="s">
        <v>1024</v>
      </c>
      <c r="J168" s="190" t="s">
        <v>508</v>
      </c>
      <c r="K168" s="189" t="s">
        <v>1821</v>
      </c>
      <c r="L168" s="189" t="s">
        <v>1828</v>
      </c>
      <c r="M168" s="189" t="s">
        <v>2082</v>
      </c>
      <c r="N168" s="189"/>
      <c r="O168" s="189"/>
      <c r="P168" s="189"/>
      <c r="Q168" s="191" t="s">
        <v>2209</v>
      </c>
      <c r="R168" s="191" t="s">
        <v>2084</v>
      </c>
      <c r="S168" s="189" t="s">
        <v>2085</v>
      </c>
      <c r="T168" s="192">
        <v>0</v>
      </c>
      <c r="U168" s="193">
        <v>0</v>
      </c>
      <c r="V168" s="193">
        <v>0</v>
      </c>
      <c r="W168" s="193">
        <v>0</v>
      </c>
      <c r="X168" s="192">
        <v>0</v>
      </c>
      <c r="Y168" s="192">
        <v>150000</v>
      </c>
      <c r="Z168" s="194">
        <v>150000</v>
      </c>
      <c r="AA168" s="194">
        <v>150000</v>
      </c>
      <c r="AB168" s="194">
        <v>0</v>
      </c>
      <c r="AC168" s="194">
        <v>0</v>
      </c>
      <c r="AD168" s="194">
        <v>0</v>
      </c>
      <c r="AE168" s="194">
        <v>0</v>
      </c>
      <c r="AF168" s="194">
        <f>SUM(Tabela99[[#This Row],[jan/26]:[dez/26]])</f>
        <v>450000</v>
      </c>
      <c r="AG168" s="194">
        <v>0</v>
      </c>
      <c r="AH168" s="194">
        <v>0</v>
      </c>
      <c r="AI168" s="194">
        <v>0</v>
      </c>
      <c r="AJ168" s="194">
        <v>0</v>
      </c>
      <c r="AK168" s="194">
        <f>SUM(Tabela99[[#This Row],[2026]:[2030]])</f>
        <v>450000</v>
      </c>
      <c r="AL168" s="193">
        <v>0</v>
      </c>
      <c r="AM168" s="194">
        <v>0</v>
      </c>
      <c r="AN168" s="194">
        <v>0</v>
      </c>
      <c r="AO168" s="194">
        <v>0</v>
      </c>
      <c r="AP168" s="194">
        <v>0</v>
      </c>
      <c r="AQ168" s="195">
        <f>SUM(Tabela99[[#This Row],[2026-2030]:[2035]])</f>
        <v>450000</v>
      </c>
      <c r="AS168" s="2" t="s">
        <v>1886</v>
      </c>
      <c r="AT168" s="2">
        <v>2025</v>
      </c>
      <c r="AU168" s="2" t="s">
        <v>2041</v>
      </c>
      <c r="AW168" s="2" t="s">
        <v>1854</v>
      </c>
      <c r="AZ168" s="2" t="s">
        <v>2086</v>
      </c>
    </row>
    <row r="169" spans="1:52" ht="24.75" customHeight="1" x14ac:dyDescent="0.35">
      <c r="A169" s="184"/>
      <c r="B169" s="185" t="e" cm="1">
        <f t="array" ref="B169">AND(ISTEXT('Consolidado-Eletronorte'!#REF!),SUM('Consolidado-Eletronorte'!#REF!)&gt;0)</f>
        <v>#REF!</v>
      </c>
      <c r="C169" s="186" t="str">
        <f t="shared" ca="1" si="6"/>
        <v>Capex Orcamentário_PE2026_2030_red_35_porcentoR3_consulta.xlsx</v>
      </c>
      <c r="D169" s="187" t="str">
        <f t="shared" si="7"/>
        <v>COO</v>
      </c>
      <c r="E169" s="187" t="str">
        <f t="shared" si="8"/>
        <v>Lucas Martins</v>
      </c>
      <c r="F169" s="188"/>
      <c r="G169" s="188" t="e">
        <f>_xlfn.CONCAT('Consolidado-Eletronorte'!#REF!,"_",ROW('Consolidado-Eletronorte'!#REF!)-ROW('Consolidado-Eletronorte'!$G$18))</f>
        <v>#REF!</v>
      </c>
      <c r="H169" s="279" t="s">
        <v>506</v>
      </c>
      <c r="I169" s="189" t="s">
        <v>1024</v>
      </c>
      <c r="J169" s="190" t="s">
        <v>508</v>
      </c>
      <c r="K169" s="189" t="s">
        <v>1821</v>
      </c>
      <c r="L169" s="189" t="s">
        <v>1828</v>
      </c>
      <c r="M169" s="189" t="s">
        <v>2006</v>
      </c>
      <c r="N169" s="189"/>
      <c r="O169" s="189"/>
      <c r="P169" s="189"/>
      <c r="Q169" s="191" t="s">
        <v>2210</v>
      </c>
      <c r="R169" s="191" t="s">
        <v>2211</v>
      </c>
      <c r="S169" s="189" t="s">
        <v>2009</v>
      </c>
      <c r="T169" s="192">
        <v>0</v>
      </c>
      <c r="U169" s="193">
        <v>0</v>
      </c>
      <c r="V169" s="193">
        <v>0</v>
      </c>
      <c r="W169" s="193">
        <v>0</v>
      </c>
      <c r="X169" s="192">
        <v>100000</v>
      </c>
      <c r="Y169" s="192">
        <v>100000</v>
      </c>
      <c r="Z169" s="194">
        <v>100000</v>
      </c>
      <c r="AA169" s="194">
        <v>100000</v>
      </c>
      <c r="AB169" s="194">
        <v>0</v>
      </c>
      <c r="AC169" s="194">
        <v>0</v>
      </c>
      <c r="AD169" s="194">
        <v>0</v>
      </c>
      <c r="AE169" s="194">
        <v>0</v>
      </c>
      <c r="AF169" s="194">
        <f>SUM(Tabela99[[#This Row],[jan/26]:[dez/26]])</f>
        <v>400000</v>
      </c>
      <c r="AG169" s="194">
        <v>0</v>
      </c>
      <c r="AH169" s="194">
        <v>0</v>
      </c>
      <c r="AI169" s="194">
        <v>0</v>
      </c>
      <c r="AJ169" s="194">
        <v>0</v>
      </c>
      <c r="AK169" s="194">
        <f>SUM(Tabela99[[#This Row],[2026]:[2030]])</f>
        <v>400000</v>
      </c>
      <c r="AL169" s="193">
        <v>0</v>
      </c>
      <c r="AM169" s="194">
        <v>0</v>
      </c>
      <c r="AN169" s="194">
        <v>0</v>
      </c>
      <c r="AO169" s="194">
        <v>0</v>
      </c>
      <c r="AP169" s="194">
        <v>0</v>
      </c>
      <c r="AQ169" s="195">
        <f>SUM(Tabela99[[#This Row],[2026-2030]:[2035]])</f>
        <v>400000</v>
      </c>
      <c r="AS169" s="2" t="s">
        <v>1886</v>
      </c>
      <c r="AT169" s="2" t="s">
        <v>1772</v>
      </c>
      <c r="AU169" s="2" t="s">
        <v>2041</v>
      </c>
      <c r="AW169" s="2" t="s">
        <v>1854</v>
      </c>
      <c r="AZ169" s="2" t="s">
        <v>2011</v>
      </c>
    </row>
    <row r="170" spans="1:52" ht="24.75" customHeight="1" x14ac:dyDescent="0.35">
      <c r="A170" s="184"/>
      <c r="B170" s="185" t="e" cm="1">
        <f t="array" ref="B170">AND(ISTEXT('Consolidado-Eletronorte'!#REF!),SUM('Consolidado-Eletronorte'!#REF!)&gt;0)</f>
        <v>#REF!</v>
      </c>
      <c r="C170" s="186" t="str">
        <f t="shared" ca="1" si="6"/>
        <v>Capex Orcamentário_PE2026_2030_red_35_porcentoR3_consulta.xlsx</v>
      </c>
      <c r="D170" s="187" t="str">
        <f t="shared" si="7"/>
        <v>COO</v>
      </c>
      <c r="E170" s="187" t="str">
        <f t="shared" si="8"/>
        <v>Lucas Martins</v>
      </c>
      <c r="F170" s="188"/>
      <c r="G170" s="188" t="e">
        <f>_xlfn.CONCAT('Consolidado-Eletronorte'!#REF!,"_",ROW('Consolidado-Eletronorte'!#REF!)-ROW('Consolidado-Eletronorte'!$G$18))</f>
        <v>#REF!</v>
      </c>
      <c r="H170" s="279" t="s">
        <v>506</v>
      </c>
      <c r="I170" s="189" t="s">
        <v>1024</v>
      </c>
      <c r="J170" s="190" t="s">
        <v>508</v>
      </c>
      <c r="K170" s="189" t="s">
        <v>1741</v>
      </c>
      <c r="L170" s="189" t="s">
        <v>2019</v>
      </c>
      <c r="M170" s="189" t="s">
        <v>2212</v>
      </c>
      <c r="N170" s="189"/>
      <c r="O170" s="189"/>
      <c r="P170" s="189"/>
      <c r="Q170" s="191" t="s">
        <v>2213</v>
      </c>
      <c r="R170" s="191" t="s">
        <v>2214</v>
      </c>
      <c r="S170" s="189" t="s">
        <v>1958</v>
      </c>
      <c r="T170" s="192">
        <v>0</v>
      </c>
      <c r="U170" s="193">
        <v>370000</v>
      </c>
      <c r="V170" s="193">
        <v>0</v>
      </c>
      <c r="W170" s="193">
        <v>0</v>
      </c>
      <c r="X170" s="192">
        <v>0</v>
      </c>
      <c r="Y170" s="192">
        <v>0</v>
      </c>
      <c r="Z170" s="194">
        <v>0</v>
      </c>
      <c r="AA170" s="194">
        <v>0</v>
      </c>
      <c r="AB170" s="194">
        <v>0</v>
      </c>
      <c r="AC170" s="194">
        <v>0</v>
      </c>
      <c r="AD170" s="194">
        <v>0</v>
      </c>
      <c r="AE170" s="194">
        <v>0</v>
      </c>
      <c r="AF170" s="194">
        <f>SUM(Tabela99[[#This Row],[jan/26]:[dez/26]])</f>
        <v>370000</v>
      </c>
      <c r="AG170" s="194">
        <v>0</v>
      </c>
      <c r="AH170" s="194">
        <v>0</v>
      </c>
      <c r="AI170" s="194">
        <v>0</v>
      </c>
      <c r="AJ170" s="194">
        <v>0</v>
      </c>
      <c r="AK170" s="194">
        <f>SUM(Tabela99[[#This Row],[2026]:[2030]])</f>
        <v>370000</v>
      </c>
      <c r="AL170" s="193">
        <v>0</v>
      </c>
      <c r="AM170" s="194">
        <v>0</v>
      </c>
      <c r="AN170" s="194">
        <v>0</v>
      </c>
      <c r="AO170" s="194">
        <v>0</v>
      </c>
      <c r="AP170" s="194">
        <v>0</v>
      </c>
      <c r="AQ170" s="195">
        <f>SUM(Tabela99[[#This Row],[2026-2030]:[2035]])</f>
        <v>370000</v>
      </c>
      <c r="AS170" s="2" t="s">
        <v>2055</v>
      </c>
      <c r="AT170" s="2">
        <v>2025</v>
      </c>
      <c r="AU170" s="2" t="s">
        <v>2041</v>
      </c>
      <c r="AW170" s="2" t="s">
        <v>517</v>
      </c>
      <c r="AZ170" s="2" t="s">
        <v>2063</v>
      </c>
    </row>
    <row r="171" spans="1:52" ht="24.75" customHeight="1" x14ac:dyDescent="0.35">
      <c r="A171" s="184"/>
      <c r="B171" s="185" t="e" cm="1">
        <f t="array" ref="B171">AND(ISTEXT('Consolidado-Eletronorte'!#REF!),SUM('Consolidado-Eletronorte'!#REF!)&gt;0)</f>
        <v>#REF!</v>
      </c>
      <c r="C171" s="186" t="str">
        <f t="shared" ca="1" si="6"/>
        <v>Capex Orcamentário_PE2026_2030_red_35_porcentoR3_consulta.xlsx</v>
      </c>
      <c r="D171" s="187" t="str">
        <f t="shared" si="7"/>
        <v>COO</v>
      </c>
      <c r="E171" s="187" t="str">
        <f t="shared" si="8"/>
        <v>Lucas Martins</v>
      </c>
      <c r="F171" s="188"/>
      <c r="G171" s="188" t="e">
        <f>_xlfn.CONCAT('Consolidado-Eletronorte'!#REF!,"_",ROW('Consolidado-Eletronorte'!#REF!)-ROW('Consolidado-Eletronorte'!$G$18))</f>
        <v>#REF!</v>
      </c>
      <c r="H171" s="279" t="s">
        <v>506</v>
      </c>
      <c r="I171" s="189" t="s">
        <v>1024</v>
      </c>
      <c r="J171" s="190" t="s">
        <v>508</v>
      </c>
      <c r="K171" s="189" t="s">
        <v>1821</v>
      </c>
      <c r="L171" s="189" t="s">
        <v>1828</v>
      </c>
      <c r="M171" s="189" t="s">
        <v>2030</v>
      </c>
      <c r="N171" s="189"/>
      <c r="O171" s="189"/>
      <c r="P171" s="189"/>
      <c r="Q171" s="191" t="s">
        <v>2215</v>
      </c>
      <c r="R171" s="191" t="s">
        <v>2194</v>
      </c>
      <c r="S171" s="189" t="s">
        <v>2033</v>
      </c>
      <c r="T171" s="192">
        <v>0</v>
      </c>
      <c r="U171" s="193">
        <v>0</v>
      </c>
      <c r="V171" s="193">
        <v>0</v>
      </c>
      <c r="W171" s="193">
        <v>0</v>
      </c>
      <c r="X171" s="192">
        <v>0</v>
      </c>
      <c r="Y171" s="192">
        <v>0</v>
      </c>
      <c r="Z171" s="194">
        <v>180000</v>
      </c>
      <c r="AA171" s="194">
        <v>180000</v>
      </c>
      <c r="AB171" s="194">
        <v>0</v>
      </c>
      <c r="AC171" s="194">
        <v>0</v>
      </c>
      <c r="AD171" s="194">
        <v>0</v>
      </c>
      <c r="AE171" s="194">
        <v>0</v>
      </c>
      <c r="AF171" s="194">
        <f>SUM(Tabela99[[#This Row],[jan/26]:[dez/26]])</f>
        <v>360000</v>
      </c>
      <c r="AG171" s="194">
        <v>0</v>
      </c>
      <c r="AH171" s="194">
        <v>0</v>
      </c>
      <c r="AI171" s="194">
        <v>0</v>
      </c>
      <c r="AJ171" s="194">
        <v>0</v>
      </c>
      <c r="AK171" s="194">
        <f>SUM(Tabela99[[#This Row],[2026]:[2030]])</f>
        <v>360000</v>
      </c>
      <c r="AL171" s="193">
        <v>0</v>
      </c>
      <c r="AM171" s="194">
        <v>0</v>
      </c>
      <c r="AN171" s="194">
        <v>0</v>
      </c>
      <c r="AO171" s="194">
        <v>0</v>
      </c>
      <c r="AP171" s="194">
        <v>0</v>
      </c>
      <c r="AQ171" s="195">
        <f>SUM(Tabela99[[#This Row],[2026-2030]:[2035]])</f>
        <v>360000</v>
      </c>
      <c r="AS171" s="2" t="s">
        <v>2034</v>
      </c>
      <c r="AT171" s="2" t="s">
        <v>1772</v>
      </c>
      <c r="AU171" s="2" t="s">
        <v>2041</v>
      </c>
      <c r="AW171" s="2" t="s">
        <v>1854</v>
      </c>
      <c r="AZ171" s="2" t="s">
        <v>2036</v>
      </c>
    </row>
    <row r="172" spans="1:52" ht="24.75" customHeight="1" x14ac:dyDescent="0.35">
      <c r="A172" s="184"/>
      <c r="B172" s="185" t="e" cm="1">
        <f t="array" ref="B172">AND(ISTEXT('Consolidado-Eletronorte'!#REF!),SUM('Consolidado-Eletronorte'!#REF!)&gt;0)</f>
        <v>#REF!</v>
      </c>
      <c r="C172" s="186" t="str">
        <f t="shared" ca="1" si="6"/>
        <v>Capex Orcamentário_PE2026_2030_red_35_porcentoR3_consulta.xlsx</v>
      </c>
      <c r="D172" s="187" t="str">
        <f t="shared" si="7"/>
        <v>COO</v>
      </c>
      <c r="E172" s="187" t="str">
        <f t="shared" si="8"/>
        <v>Lucas Martins</v>
      </c>
      <c r="F172" s="188"/>
      <c r="G172" s="188" t="e">
        <f>_xlfn.CONCAT('Consolidado-Eletronorte'!#REF!,"_",ROW('Consolidado-Eletronorte'!#REF!)-ROW('Consolidado-Eletronorte'!$G$18))</f>
        <v>#REF!</v>
      </c>
      <c r="H172" s="279" t="s">
        <v>506</v>
      </c>
      <c r="I172" s="189" t="s">
        <v>1024</v>
      </c>
      <c r="J172" s="190" t="s">
        <v>508</v>
      </c>
      <c r="K172" s="189" t="s">
        <v>1821</v>
      </c>
      <c r="L172" s="189" t="s">
        <v>1828</v>
      </c>
      <c r="M172" s="189" t="s">
        <v>1849</v>
      </c>
      <c r="N172" s="189"/>
      <c r="O172" s="189"/>
      <c r="P172" s="189"/>
      <c r="Q172" s="191" t="s">
        <v>2216</v>
      </c>
      <c r="R172" s="191" t="s">
        <v>2121</v>
      </c>
      <c r="S172" s="189" t="s">
        <v>1852</v>
      </c>
      <c r="T172" s="192">
        <v>0</v>
      </c>
      <c r="U172" s="193">
        <v>0</v>
      </c>
      <c r="V172" s="193">
        <v>0</v>
      </c>
      <c r="W172" s="193">
        <v>0</v>
      </c>
      <c r="X172" s="192">
        <v>0</v>
      </c>
      <c r="Y172" s="192">
        <v>315000</v>
      </c>
      <c r="Z172" s="194">
        <v>0</v>
      </c>
      <c r="AA172" s="194">
        <v>0</v>
      </c>
      <c r="AB172" s="194">
        <v>0</v>
      </c>
      <c r="AC172" s="194">
        <v>0</v>
      </c>
      <c r="AD172" s="194">
        <v>0</v>
      </c>
      <c r="AE172" s="194">
        <v>0</v>
      </c>
      <c r="AF172" s="194">
        <f>SUM(Tabela99[[#This Row],[jan/26]:[dez/26]])</f>
        <v>315000</v>
      </c>
      <c r="AG172" s="194">
        <v>0</v>
      </c>
      <c r="AH172" s="194">
        <v>0</v>
      </c>
      <c r="AI172" s="194">
        <v>0</v>
      </c>
      <c r="AJ172" s="194">
        <v>0</v>
      </c>
      <c r="AK172" s="194">
        <f>SUM(Tabela99[[#This Row],[2026]:[2030]])</f>
        <v>315000</v>
      </c>
      <c r="AL172" s="193">
        <v>0</v>
      </c>
      <c r="AM172" s="194">
        <v>0</v>
      </c>
      <c r="AN172" s="194">
        <v>0</v>
      </c>
      <c r="AO172" s="194">
        <v>0</v>
      </c>
      <c r="AP172" s="194">
        <v>0</v>
      </c>
      <c r="AQ172" s="195">
        <f>SUM(Tabela99[[#This Row],[2026-2030]:[2035]])</f>
        <v>315000</v>
      </c>
      <c r="AS172" s="2" t="s">
        <v>1853</v>
      </c>
      <c r="AT172" s="2" t="s">
        <v>1772</v>
      </c>
      <c r="AU172" s="2" t="s">
        <v>2041</v>
      </c>
      <c r="AW172" s="2" t="s">
        <v>1854</v>
      </c>
      <c r="AZ172" s="2" t="s">
        <v>1855</v>
      </c>
    </row>
    <row r="173" spans="1:52" ht="24.75" customHeight="1" x14ac:dyDescent="0.35">
      <c r="A173" s="184"/>
      <c r="B173" s="185" t="e" cm="1">
        <f t="array" ref="B173">AND(ISTEXT('Consolidado-Eletronorte'!#REF!),SUM('Consolidado-Eletronorte'!#REF!)&gt;0)</f>
        <v>#REF!</v>
      </c>
      <c r="C173" s="186" t="str">
        <f t="shared" ca="1" si="6"/>
        <v>Capex Orcamentário_PE2026_2030_red_35_porcentoR3_consulta.xlsx</v>
      </c>
      <c r="D173" s="187" t="str">
        <f t="shared" si="7"/>
        <v>COO</v>
      </c>
      <c r="E173" s="187" t="str">
        <f t="shared" si="8"/>
        <v>Lucas Martins</v>
      </c>
      <c r="F173" s="188"/>
      <c r="G173" s="188" t="e">
        <f>_xlfn.CONCAT('Consolidado-Eletronorte'!#REF!,"_",ROW('Consolidado-Eletronorte'!#REF!)-ROW('Consolidado-Eletronorte'!$G$18))</f>
        <v>#REF!</v>
      </c>
      <c r="H173" s="279" t="s">
        <v>506</v>
      </c>
      <c r="I173" s="189" t="s">
        <v>1024</v>
      </c>
      <c r="J173" s="190" t="s">
        <v>508</v>
      </c>
      <c r="K173" s="189" t="s">
        <v>1821</v>
      </c>
      <c r="L173" s="189" t="s">
        <v>1828</v>
      </c>
      <c r="M173" s="189" t="s">
        <v>1955</v>
      </c>
      <c r="N173" s="189"/>
      <c r="O173" s="189"/>
      <c r="P173" s="189"/>
      <c r="Q173" s="191" t="s">
        <v>2217</v>
      </c>
      <c r="R173" s="191" t="s">
        <v>2218</v>
      </c>
      <c r="S173" s="189" t="s">
        <v>1958</v>
      </c>
      <c r="T173" s="192">
        <v>0</v>
      </c>
      <c r="U173" s="193">
        <v>0</v>
      </c>
      <c r="V173" s="193">
        <v>0</v>
      </c>
      <c r="W173" s="193">
        <v>0</v>
      </c>
      <c r="X173" s="192">
        <v>0</v>
      </c>
      <c r="Y173" s="192">
        <v>0</v>
      </c>
      <c r="Z173" s="194">
        <v>0</v>
      </c>
      <c r="AA173" s="194">
        <v>0</v>
      </c>
      <c r="AB173" s="194">
        <v>300000</v>
      </c>
      <c r="AC173" s="194">
        <v>0</v>
      </c>
      <c r="AD173" s="194">
        <v>0</v>
      </c>
      <c r="AE173" s="194">
        <v>0</v>
      </c>
      <c r="AF173" s="194">
        <f>SUM(Tabela99[[#This Row],[jan/26]:[dez/26]])</f>
        <v>300000</v>
      </c>
      <c r="AG173" s="194">
        <v>0</v>
      </c>
      <c r="AH173" s="194">
        <v>0</v>
      </c>
      <c r="AI173" s="194">
        <v>0</v>
      </c>
      <c r="AJ173" s="194">
        <v>0</v>
      </c>
      <c r="AK173" s="194">
        <f>SUM(Tabela99[[#This Row],[2026]:[2030]])</f>
        <v>300000</v>
      </c>
      <c r="AL173" s="193">
        <v>0</v>
      </c>
      <c r="AM173" s="194">
        <v>0</v>
      </c>
      <c r="AN173" s="194">
        <v>0</v>
      </c>
      <c r="AO173" s="194">
        <v>0</v>
      </c>
      <c r="AP173" s="194">
        <v>0</v>
      </c>
      <c r="AQ173" s="195">
        <f>SUM(Tabela99[[#This Row],[2026-2030]:[2035]])</f>
        <v>300000</v>
      </c>
      <c r="AS173" s="2" t="s">
        <v>1833</v>
      </c>
      <c r="AT173" s="2">
        <v>2025</v>
      </c>
      <c r="AU173" s="2" t="s">
        <v>2041</v>
      </c>
      <c r="AW173" s="2" t="s">
        <v>1854</v>
      </c>
      <c r="AZ173" s="2" t="s">
        <v>1960</v>
      </c>
    </row>
    <row r="174" spans="1:52" ht="24.75" customHeight="1" x14ac:dyDescent="0.35">
      <c r="A174" s="184"/>
      <c r="B174" s="185" t="e" cm="1">
        <f t="array" ref="B174">AND(ISTEXT('Consolidado-Eletronorte'!#REF!),SUM('Consolidado-Eletronorte'!#REF!)&gt;0)</f>
        <v>#REF!</v>
      </c>
      <c r="C174" s="186" t="str">
        <f t="shared" ca="1" si="6"/>
        <v>Capex Orcamentário_PE2026_2030_red_35_porcentoR3_consulta.xlsx</v>
      </c>
      <c r="D174" s="187" t="str">
        <f t="shared" si="7"/>
        <v>COO</v>
      </c>
      <c r="E174" s="187" t="str">
        <f t="shared" si="8"/>
        <v>Lucas Martins</v>
      </c>
      <c r="F174" s="188"/>
      <c r="G174" s="188" t="e">
        <f>_xlfn.CONCAT('Consolidado-Eletronorte'!#REF!,"_",ROW('Consolidado-Eletronorte'!#REF!)-ROW('Consolidado-Eletronorte'!$G$18))</f>
        <v>#REF!</v>
      </c>
      <c r="H174" s="279" t="s">
        <v>506</v>
      </c>
      <c r="I174" s="189" t="s">
        <v>1024</v>
      </c>
      <c r="J174" s="190" t="s">
        <v>508</v>
      </c>
      <c r="K174" s="189" t="s">
        <v>1821</v>
      </c>
      <c r="L174" s="189" t="s">
        <v>1828</v>
      </c>
      <c r="M174" s="189" t="s">
        <v>1973</v>
      </c>
      <c r="N174" s="189"/>
      <c r="O174" s="189"/>
      <c r="P174" s="189"/>
      <c r="Q174" s="191" t="s">
        <v>2219</v>
      </c>
      <c r="R174" s="191" t="s">
        <v>2220</v>
      </c>
      <c r="S174" s="189" t="s">
        <v>1976</v>
      </c>
      <c r="T174" s="192">
        <v>0</v>
      </c>
      <c r="U174" s="193">
        <v>0</v>
      </c>
      <c r="V174" s="193">
        <v>0</v>
      </c>
      <c r="W174" s="193">
        <v>0</v>
      </c>
      <c r="X174" s="192">
        <v>300000</v>
      </c>
      <c r="Y174" s="192">
        <v>0</v>
      </c>
      <c r="Z174" s="194">
        <v>0</v>
      </c>
      <c r="AA174" s="194">
        <v>0</v>
      </c>
      <c r="AB174" s="194">
        <v>0</v>
      </c>
      <c r="AC174" s="194">
        <v>0</v>
      </c>
      <c r="AD174" s="194">
        <v>0</v>
      </c>
      <c r="AE174" s="194">
        <v>0</v>
      </c>
      <c r="AF174" s="194">
        <f>SUM(Tabela99[[#This Row],[jan/26]:[dez/26]])</f>
        <v>300000</v>
      </c>
      <c r="AG174" s="194">
        <v>0</v>
      </c>
      <c r="AH174" s="194">
        <v>0</v>
      </c>
      <c r="AI174" s="194">
        <v>0</v>
      </c>
      <c r="AJ174" s="194">
        <v>0</v>
      </c>
      <c r="AK174" s="194">
        <f>SUM(Tabela99[[#This Row],[2026]:[2030]])</f>
        <v>300000</v>
      </c>
      <c r="AL174" s="193">
        <v>0</v>
      </c>
      <c r="AM174" s="194">
        <v>0</v>
      </c>
      <c r="AN174" s="194">
        <v>0</v>
      </c>
      <c r="AO174" s="194">
        <v>0</v>
      </c>
      <c r="AP174" s="194">
        <v>0</v>
      </c>
      <c r="AQ174" s="195">
        <f>SUM(Tabela99[[#This Row],[2026-2030]:[2035]])</f>
        <v>300000</v>
      </c>
      <c r="AS174" s="2" t="s">
        <v>1833</v>
      </c>
      <c r="AT174" s="2">
        <v>2025</v>
      </c>
      <c r="AU174" s="2" t="s">
        <v>2041</v>
      </c>
      <c r="AW174" s="2" t="s">
        <v>1854</v>
      </c>
      <c r="AZ174" s="2" t="s">
        <v>1960</v>
      </c>
    </row>
    <row r="175" spans="1:52" ht="24.75" customHeight="1" x14ac:dyDescent="0.35">
      <c r="A175" s="184"/>
      <c r="B175" s="185" t="e" cm="1">
        <f t="array" ref="B175">AND(ISTEXT('Consolidado-Eletronorte'!#REF!),SUM('Consolidado-Eletronorte'!#REF!)&gt;0)</f>
        <v>#REF!</v>
      </c>
      <c r="C175" s="186" t="str">
        <f t="shared" ca="1" si="6"/>
        <v>Capex Orcamentário_PE2026_2030_red_35_porcentoR3_consulta.xlsx</v>
      </c>
      <c r="D175" s="187" t="str">
        <f t="shared" si="7"/>
        <v>COO</v>
      </c>
      <c r="E175" s="187" t="str">
        <f t="shared" si="8"/>
        <v>Lucas Martins</v>
      </c>
      <c r="F175" s="188"/>
      <c r="G175" s="188" t="e">
        <f>_xlfn.CONCAT('Consolidado-Eletronorte'!#REF!,"_",ROW('Consolidado-Eletronorte'!#REF!)-ROW('Consolidado-Eletronorte'!$G$18))</f>
        <v>#REF!</v>
      </c>
      <c r="H175" s="279" t="s">
        <v>506</v>
      </c>
      <c r="I175" s="189" t="s">
        <v>1024</v>
      </c>
      <c r="J175" s="190" t="s">
        <v>508</v>
      </c>
      <c r="K175" s="189" t="s">
        <v>1821</v>
      </c>
      <c r="L175" s="189" t="s">
        <v>1828</v>
      </c>
      <c r="M175" s="189" t="s">
        <v>1888</v>
      </c>
      <c r="N175" s="189"/>
      <c r="O175" s="189"/>
      <c r="P175" s="189"/>
      <c r="Q175" s="191" t="s">
        <v>2221</v>
      </c>
      <c r="R175" s="191" t="s">
        <v>2222</v>
      </c>
      <c r="S175" s="189" t="s">
        <v>1832</v>
      </c>
      <c r="T175" s="192">
        <v>0</v>
      </c>
      <c r="U175" s="193">
        <v>0</v>
      </c>
      <c r="V175" s="193">
        <v>0</v>
      </c>
      <c r="W175" s="193">
        <v>0</v>
      </c>
      <c r="X175" s="192">
        <v>0</v>
      </c>
      <c r="Y175" s="192">
        <v>150000</v>
      </c>
      <c r="Z175" s="194">
        <v>150000</v>
      </c>
      <c r="AA175" s="194">
        <v>0</v>
      </c>
      <c r="AB175" s="194">
        <v>0</v>
      </c>
      <c r="AC175" s="194">
        <v>0</v>
      </c>
      <c r="AD175" s="194">
        <v>0</v>
      </c>
      <c r="AE175" s="194">
        <v>0</v>
      </c>
      <c r="AF175" s="194">
        <f>SUM(Tabela99[[#This Row],[jan/26]:[dez/26]])</f>
        <v>300000</v>
      </c>
      <c r="AG175" s="194">
        <v>0</v>
      </c>
      <c r="AH175" s="194">
        <v>0</v>
      </c>
      <c r="AI175" s="194">
        <v>0</v>
      </c>
      <c r="AJ175" s="194">
        <v>0</v>
      </c>
      <c r="AK175" s="194">
        <f>SUM(Tabela99[[#This Row],[2026]:[2030]])</f>
        <v>300000</v>
      </c>
      <c r="AL175" s="193">
        <v>0</v>
      </c>
      <c r="AM175" s="194">
        <v>0</v>
      </c>
      <c r="AN175" s="194">
        <v>0</v>
      </c>
      <c r="AO175" s="194">
        <v>0</v>
      </c>
      <c r="AP175" s="194">
        <v>0</v>
      </c>
      <c r="AQ175" s="195">
        <f>SUM(Tabela99[[#This Row],[2026-2030]:[2035]])</f>
        <v>300000</v>
      </c>
      <c r="AS175" s="2" t="s">
        <v>1833</v>
      </c>
      <c r="AT175" s="2" t="s">
        <v>1772</v>
      </c>
      <c r="AU175" s="2" t="s">
        <v>2041</v>
      </c>
      <c r="AW175" s="2" t="s">
        <v>1854</v>
      </c>
      <c r="AZ175" s="2" t="s">
        <v>1835</v>
      </c>
    </row>
    <row r="176" spans="1:52" ht="24.75" customHeight="1" x14ac:dyDescent="0.35">
      <c r="A176" s="184"/>
      <c r="B176" s="185" t="e" cm="1">
        <f t="array" ref="B176">AND(ISTEXT('Consolidado-Eletronorte'!#REF!),SUM('Consolidado-Eletronorte'!#REF!)&gt;0)</f>
        <v>#REF!</v>
      </c>
      <c r="C176" s="186" t="str">
        <f t="shared" ca="1" si="6"/>
        <v>Capex Orcamentário_PE2026_2030_red_35_porcentoR3_consulta.xlsx</v>
      </c>
      <c r="D176" s="187" t="str">
        <f t="shared" si="7"/>
        <v>COO</v>
      </c>
      <c r="E176" s="187" t="str">
        <f t="shared" si="8"/>
        <v>Lucas Martins</v>
      </c>
      <c r="F176" s="188"/>
      <c r="G176" s="188" t="e">
        <f>_xlfn.CONCAT('Consolidado-Eletronorte'!#REF!,"_",ROW('Consolidado-Eletronorte'!#REF!)-ROW('Consolidado-Eletronorte'!$G$18))</f>
        <v>#REF!</v>
      </c>
      <c r="H176" s="279" t="s">
        <v>506</v>
      </c>
      <c r="I176" s="189" t="s">
        <v>1024</v>
      </c>
      <c r="J176" s="190" t="s">
        <v>508</v>
      </c>
      <c r="K176" s="189" t="s">
        <v>1821</v>
      </c>
      <c r="L176" s="189" t="s">
        <v>1828</v>
      </c>
      <c r="M176" s="189" t="s">
        <v>1999</v>
      </c>
      <c r="N176" s="189"/>
      <c r="O176" s="189"/>
      <c r="P176" s="189"/>
      <c r="Q176" s="191" t="s">
        <v>2192</v>
      </c>
      <c r="R176" s="191" t="s">
        <v>2192</v>
      </c>
      <c r="S176" s="189" t="s">
        <v>1885</v>
      </c>
      <c r="T176" s="192">
        <v>0</v>
      </c>
      <c r="U176" s="193">
        <v>0</v>
      </c>
      <c r="V176" s="193">
        <v>0</v>
      </c>
      <c r="W176" s="193">
        <v>300000</v>
      </c>
      <c r="X176" s="192">
        <v>0</v>
      </c>
      <c r="Y176" s="192">
        <v>0</v>
      </c>
      <c r="Z176" s="194">
        <v>0</v>
      </c>
      <c r="AA176" s="194">
        <v>0</v>
      </c>
      <c r="AB176" s="194">
        <v>0</v>
      </c>
      <c r="AC176" s="194">
        <v>0</v>
      </c>
      <c r="AD176" s="194">
        <v>0</v>
      </c>
      <c r="AE176" s="194">
        <v>0</v>
      </c>
      <c r="AF176" s="194">
        <f>SUM(Tabela99[[#This Row],[jan/26]:[dez/26]])</f>
        <v>300000</v>
      </c>
      <c r="AG176" s="194">
        <v>0</v>
      </c>
      <c r="AH176" s="194">
        <v>0</v>
      </c>
      <c r="AI176" s="194">
        <v>0</v>
      </c>
      <c r="AJ176" s="194">
        <v>0</v>
      </c>
      <c r="AK176" s="194">
        <f>SUM(Tabela99[[#This Row],[2026]:[2030]])</f>
        <v>300000</v>
      </c>
      <c r="AL176" s="193">
        <v>0</v>
      </c>
      <c r="AM176" s="194">
        <v>0</v>
      </c>
      <c r="AN176" s="194">
        <v>0</v>
      </c>
      <c r="AO176" s="194">
        <v>0</v>
      </c>
      <c r="AP176" s="194">
        <v>0</v>
      </c>
      <c r="AQ176" s="195">
        <f>SUM(Tabela99[[#This Row],[2026-2030]:[2035]])</f>
        <v>300000</v>
      </c>
      <c r="AS176" s="2" t="s">
        <v>1886</v>
      </c>
      <c r="AT176" s="2">
        <v>2025</v>
      </c>
      <c r="AU176" s="2" t="s">
        <v>2041</v>
      </c>
      <c r="AW176" s="2" t="s">
        <v>1854</v>
      </c>
      <c r="AZ176" s="2" t="s">
        <v>1887</v>
      </c>
    </row>
    <row r="177" spans="1:52" ht="24.75" customHeight="1" x14ac:dyDescent="0.35">
      <c r="A177" s="184"/>
      <c r="B177" s="185" t="e" cm="1">
        <f t="array" ref="B177">AND(ISTEXT('Consolidado-Eletronorte'!#REF!),SUM('Consolidado-Eletronorte'!#REF!)&gt;0)</f>
        <v>#REF!</v>
      </c>
      <c r="C177" s="186" t="str">
        <f t="shared" ca="1" si="6"/>
        <v>Capex Orcamentário_PE2026_2030_red_35_porcentoR3_consulta.xlsx</v>
      </c>
      <c r="D177" s="187" t="str">
        <f t="shared" si="7"/>
        <v>COO</v>
      </c>
      <c r="E177" s="187" t="str">
        <f t="shared" si="8"/>
        <v>Lucas Martins</v>
      </c>
      <c r="F177" s="188"/>
      <c r="G177" s="188" t="e">
        <f>_xlfn.CONCAT('Consolidado-Eletronorte'!#REF!,"_",ROW('Consolidado-Eletronorte'!#REF!)-ROW('Consolidado-Eletronorte'!$G$18))</f>
        <v>#REF!</v>
      </c>
      <c r="H177" s="279" t="s">
        <v>506</v>
      </c>
      <c r="I177" s="189" t="s">
        <v>1024</v>
      </c>
      <c r="J177" s="190" t="s">
        <v>508</v>
      </c>
      <c r="K177" s="189" t="s">
        <v>1741</v>
      </c>
      <c r="L177" s="189" t="s">
        <v>2019</v>
      </c>
      <c r="M177" s="189" t="s">
        <v>2163</v>
      </c>
      <c r="N177" s="189"/>
      <c r="O177" s="189"/>
      <c r="P177" s="189"/>
      <c r="Q177" s="191" t="s">
        <v>2223</v>
      </c>
      <c r="R177" s="191" t="s">
        <v>2224</v>
      </c>
      <c r="S177" s="189" t="s">
        <v>2009</v>
      </c>
      <c r="T177" s="192">
        <v>0</v>
      </c>
      <c r="U177" s="193">
        <v>0</v>
      </c>
      <c r="V177" s="193">
        <v>0</v>
      </c>
      <c r="W177" s="193">
        <v>0</v>
      </c>
      <c r="X177" s="192">
        <v>0</v>
      </c>
      <c r="Y177" s="192">
        <v>0</v>
      </c>
      <c r="Z177" s="194">
        <v>0</v>
      </c>
      <c r="AA177" s="194">
        <v>0</v>
      </c>
      <c r="AB177" s="194">
        <v>300000</v>
      </c>
      <c r="AC177" s="194">
        <v>0</v>
      </c>
      <c r="AD177" s="194">
        <v>0</v>
      </c>
      <c r="AE177" s="194">
        <v>0</v>
      </c>
      <c r="AF177" s="194">
        <f>SUM(Tabela99[[#This Row],[jan/26]:[dez/26]])</f>
        <v>300000</v>
      </c>
      <c r="AG177" s="194">
        <v>0</v>
      </c>
      <c r="AH177" s="194">
        <v>0</v>
      </c>
      <c r="AI177" s="194">
        <v>0</v>
      </c>
      <c r="AJ177" s="194">
        <v>0</v>
      </c>
      <c r="AK177" s="194">
        <f>SUM(Tabela99[[#This Row],[2026]:[2030]])</f>
        <v>300000</v>
      </c>
      <c r="AL177" s="193">
        <v>0</v>
      </c>
      <c r="AM177" s="194">
        <v>0</v>
      </c>
      <c r="AN177" s="194">
        <v>0</v>
      </c>
      <c r="AO177" s="194">
        <v>0</v>
      </c>
      <c r="AP177" s="194">
        <v>0</v>
      </c>
      <c r="AQ177" s="195">
        <f>SUM(Tabela99[[#This Row],[2026-2030]:[2035]])</f>
        <v>300000</v>
      </c>
      <c r="AS177" s="2" t="s">
        <v>1886</v>
      </c>
      <c r="AT177" s="2">
        <v>2025</v>
      </c>
      <c r="AU177" s="2" t="s">
        <v>2041</v>
      </c>
      <c r="AW177" s="2" t="s">
        <v>1854</v>
      </c>
      <c r="AZ177" s="2" t="s">
        <v>2011</v>
      </c>
    </row>
    <row r="178" spans="1:52" ht="24.75" customHeight="1" x14ac:dyDescent="0.35">
      <c r="A178" s="184"/>
      <c r="B178" s="185" t="e" cm="1">
        <f t="array" ref="B178">AND(ISTEXT('Consolidado-Eletronorte'!#REF!),SUM('Consolidado-Eletronorte'!#REF!)&gt;0)</f>
        <v>#REF!</v>
      </c>
      <c r="C178" s="186" t="str">
        <f t="shared" ca="1" si="6"/>
        <v>Capex Orcamentário_PE2026_2030_red_35_porcentoR3_consulta.xlsx</v>
      </c>
      <c r="D178" s="187" t="str">
        <f t="shared" si="7"/>
        <v>COO</v>
      </c>
      <c r="E178" s="187" t="str">
        <f t="shared" si="8"/>
        <v>Lucas Martins</v>
      </c>
      <c r="F178" s="188"/>
      <c r="G178" s="188" t="e">
        <f>_xlfn.CONCAT('Consolidado-Eletronorte'!#REF!,"_",ROW('Consolidado-Eletronorte'!#REF!)-ROW('Consolidado-Eletronorte'!$G$18))</f>
        <v>#REF!</v>
      </c>
      <c r="H178" s="279" t="s">
        <v>506</v>
      </c>
      <c r="I178" s="189" t="s">
        <v>1024</v>
      </c>
      <c r="J178" s="190" t="s">
        <v>508</v>
      </c>
      <c r="K178" s="189" t="s">
        <v>1741</v>
      </c>
      <c r="L178" s="189" t="s">
        <v>2019</v>
      </c>
      <c r="M178" s="189" t="s">
        <v>2108</v>
      </c>
      <c r="N178" s="189"/>
      <c r="O178" s="189"/>
      <c r="P178" s="189"/>
      <c r="Q178" s="191" t="s">
        <v>2223</v>
      </c>
      <c r="R178" s="191" t="s">
        <v>2224</v>
      </c>
      <c r="S178" s="189" t="s">
        <v>2099</v>
      </c>
      <c r="T178" s="192">
        <v>0</v>
      </c>
      <c r="U178" s="193">
        <v>0</v>
      </c>
      <c r="V178" s="193">
        <v>0</v>
      </c>
      <c r="W178" s="193">
        <v>0</v>
      </c>
      <c r="X178" s="192">
        <v>0</v>
      </c>
      <c r="Y178" s="192">
        <v>0</v>
      </c>
      <c r="Z178" s="194">
        <v>0</v>
      </c>
      <c r="AA178" s="194">
        <v>0</v>
      </c>
      <c r="AB178" s="194">
        <v>300000</v>
      </c>
      <c r="AC178" s="194">
        <v>0</v>
      </c>
      <c r="AD178" s="194">
        <v>0</v>
      </c>
      <c r="AE178" s="194">
        <v>0</v>
      </c>
      <c r="AF178" s="194">
        <f>SUM(Tabela99[[#This Row],[jan/26]:[dez/26]])</f>
        <v>300000</v>
      </c>
      <c r="AG178" s="194">
        <v>0</v>
      </c>
      <c r="AH178" s="194">
        <v>0</v>
      </c>
      <c r="AI178" s="194">
        <v>0</v>
      </c>
      <c r="AJ178" s="194">
        <v>0</v>
      </c>
      <c r="AK178" s="194">
        <f>SUM(Tabela99[[#This Row],[2026]:[2030]])</f>
        <v>300000</v>
      </c>
      <c r="AL178" s="193">
        <v>0</v>
      </c>
      <c r="AM178" s="194">
        <v>0</v>
      </c>
      <c r="AN178" s="194">
        <v>0</v>
      </c>
      <c r="AO178" s="194">
        <v>0</v>
      </c>
      <c r="AP178" s="194">
        <v>0</v>
      </c>
      <c r="AQ178" s="195">
        <f>SUM(Tabela99[[#This Row],[2026-2030]:[2035]])</f>
        <v>300000</v>
      </c>
      <c r="AS178" s="2" t="s">
        <v>1886</v>
      </c>
      <c r="AT178" s="2">
        <v>2025</v>
      </c>
      <c r="AU178" s="2" t="s">
        <v>2041</v>
      </c>
      <c r="AW178" s="2" t="s">
        <v>1854</v>
      </c>
      <c r="AZ178" s="2" t="s">
        <v>2011</v>
      </c>
    </row>
    <row r="179" spans="1:52" ht="24.75" customHeight="1" x14ac:dyDescent="0.35">
      <c r="A179" s="184"/>
      <c r="B179" s="185" t="e" cm="1">
        <f t="array" ref="B179">AND(ISTEXT('Consolidado-Eletronorte'!#REF!),SUM('Consolidado-Eletronorte'!#REF!)&gt;0)</f>
        <v>#REF!</v>
      </c>
      <c r="C179" s="186" t="str">
        <f t="shared" ca="1" si="6"/>
        <v>Capex Orcamentário_PE2026_2030_red_35_porcentoR3_consulta.xlsx</v>
      </c>
      <c r="D179" s="187" t="str">
        <f t="shared" si="7"/>
        <v>COO</v>
      </c>
      <c r="E179" s="187" t="str">
        <f t="shared" si="8"/>
        <v>Lucas Martins</v>
      </c>
      <c r="F179" s="188"/>
      <c r="G179" s="188" t="e">
        <f>_xlfn.CONCAT('Consolidado-Eletronorte'!#REF!,"_",ROW('Consolidado-Eletronorte'!#REF!)-ROW('Consolidado-Eletronorte'!$G$18))</f>
        <v>#REF!</v>
      </c>
      <c r="H179" s="279" t="s">
        <v>506</v>
      </c>
      <c r="I179" s="189" t="s">
        <v>1024</v>
      </c>
      <c r="J179" s="190" t="s">
        <v>508</v>
      </c>
      <c r="K179" s="189" t="s">
        <v>1741</v>
      </c>
      <c r="L179" s="189" t="s">
        <v>2019</v>
      </c>
      <c r="M179" s="189" t="s">
        <v>2225</v>
      </c>
      <c r="N179" s="189"/>
      <c r="O179" s="189"/>
      <c r="P179" s="189"/>
      <c r="Q179" s="191" t="s">
        <v>2223</v>
      </c>
      <c r="R179" s="191" t="s">
        <v>2224</v>
      </c>
      <c r="S179" s="189" t="s">
        <v>2085</v>
      </c>
      <c r="T179" s="192">
        <v>0</v>
      </c>
      <c r="U179" s="193">
        <v>0</v>
      </c>
      <c r="V179" s="193">
        <v>0</v>
      </c>
      <c r="W179" s="193">
        <v>0</v>
      </c>
      <c r="X179" s="192">
        <v>0</v>
      </c>
      <c r="Y179" s="192">
        <v>0</v>
      </c>
      <c r="Z179" s="194">
        <v>0</v>
      </c>
      <c r="AA179" s="194">
        <v>0</v>
      </c>
      <c r="AB179" s="194">
        <v>300000</v>
      </c>
      <c r="AC179" s="194">
        <v>0</v>
      </c>
      <c r="AD179" s="194">
        <v>0</v>
      </c>
      <c r="AE179" s="194">
        <v>0</v>
      </c>
      <c r="AF179" s="194">
        <f>SUM(Tabela99[[#This Row],[jan/26]:[dez/26]])</f>
        <v>300000</v>
      </c>
      <c r="AG179" s="194">
        <v>0</v>
      </c>
      <c r="AH179" s="194">
        <v>0</v>
      </c>
      <c r="AI179" s="194">
        <v>0</v>
      </c>
      <c r="AJ179" s="194">
        <v>0</v>
      </c>
      <c r="AK179" s="194">
        <f>SUM(Tabela99[[#This Row],[2026]:[2030]])</f>
        <v>300000</v>
      </c>
      <c r="AL179" s="193">
        <v>0</v>
      </c>
      <c r="AM179" s="194">
        <v>0</v>
      </c>
      <c r="AN179" s="194">
        <v>0</v>
      </c>
      <c r="AO179" s="194">
        <v>0</v>
      </c>
      <c r="AP179" s="194">
        <v>0</v>
      </c>
      <c r="AQ179" s="195">
        <f>SUM(Tabela99[[#This Row],[2026-2030]:[2035]])</f>
        <v>300000</v>
      </c>
      <c r="AS179" s="2" t="s">
        <v>1886</v>
      </c>
      <c r="AT179" s="2">
        <v>2025</v>
      </c>
      <c r="AU179" s="2" t="s">
        <v>2041</v>
      </c>
      <c r="AW179" s="2" t="s">
        <v>1854</v>
      </c>
      <c r="AZ179" s="2" t="s">
        <v>2011</v>
      </c>
    </row>
    <row r="180" spans="1:52" ht="24.75" customHeight="1" x14ac:dyDescent="0.35">
      <c r="A180" s="184"/>
      <c r="B180" s="185" t="e" cm="1">
        <f t="array" ref="B180">AND(ISTEXT('Consolidado-Eletronorte'!#REF!),SUM('Consolidado-Eletronorte'!#REF!)&gt;0)</f>
        <v>#REF!</v>
      </c>
      <c r="C180" s="186" t="str">
        <f t="shared" ca="1" si="6"/>
        <v>Capex Orcamentário_PE2026_2030_red_35_porcentoR3_consulta.xlsx</v>
      </c>
      <c r="D180" s="187" t="str">
        <f t="shared" si="7"/>
        <v>COO</v>
      </c>
      <c r="E180" s="187" t="str">
        <f t="shared" si="8"/>
        <v>Lucas Martins</v>
      </c>
      <c r="F180" s="188"/>
      <c r="G180" s="188" t="e">
        <f>_xlfn.CONCAT('Consolidado-Eletronorte'!#REF!,"_",ROW('Consolidado-Eletronorte'!#REF!)-ROW('Consolidado-Eletronorte'!$G$18))</f>
        <v>#REF!</v>
      </c>
      <c r="H180" s="279" t="s">
        <v>506</v>
      </c>
      <c r="I180" s="189" t="s">
        <v>1024</v>
      </c>
      <c r="J180" s="190" t="s">
        <v>508</v>
      </c>
      <c r="K180" s="189" t="s">
        <v>1741</v>
      </c>
      <c r="L180" s="189" t="s">
        <v>2019</v>
      </c>
      <c r="M180" s="189" t="s">
        <v>2108</v>
      </c>
      <c r="N180" s="189"/>
      <c r="O180" s="189"/>
      <c r="P180" s="189"/>
      <c r="Q180" s="191" t="s">
        <v>2226</v>
      </c>
      <c r="R180" s="191" t="s">
        <v>2224</v>
      </c>
      <c r="S180" s="189" t="s">
        <v>1885</v>
      </c>
      <c r="T180" s="192">
        <v>0</v>
      </c>
      <c r="U180" s="193">
        <v>0</v>
      </c>
      <c r="V180" s="193">
        <v>0</v>
      </c>
      <c r="W180" s="193">
        <v>0</v>
      </c>
      <c r="X180" s="192">
        <v>0</v>
      </c>
      <c r="Y180" s="192">
        <v>0</v>
      </c>
      <c r="Z180" s="194">
        <v>0</v>
      </c>
      <c r="AA180" s="194">
        <v>0</v>
      </c>
      <c r="AB180" s="194">
        <v>300000</v>
      </c>
      <c r="AC180" s="194">
        <v>0</v>
      </c>
      <c r="AD180" s="194">
        <v>0</v>
      </c>
      <c r="AE180" s="194">
        <v>0</v>
      </c>
      <c r="AF180" s="194">
        <f>SUM(Tabela99[[#This Row],[jan/26]:[dez/26]])</f>
        <v>300000</v>
      </c>
      <c r="AG180" s="194">
        <v>0</v>
      </c>
      <c r="AH180" s="194">
        <v>0</v>
      </c>
      <c r="AI180" s="194">
        <v>0</v>
      </c>
      <c r="AJ180" s="194">
        <v>0</v>
      </c>
      <c r="AK180" s="194">
        <f>SUM(Tabela99[[#This Row],[2026]:[2030]])</f>
        <v>300000</v>
      </c>
      <c r="AL180" s="193">
        <v>0</v>
      </c>
      <c r="AM180" s="194">
        <v>0</v>
      </c>
      <c r="AN180" s="194">
        <v>0</v>
      </c>
      <c r="AO180" s="194">
        <v>0</v>
      </c>
      <c r="AP180" s="194">
        <v>0</v>
      </c>
      <c r="AQ180" s="195">
        <f>SUM(Tabela99[[#This Row],[2026-2030]:[2035]])</f>
        <v>300000</v>
      </c>
      <c r="AS180" s="2" t="s">
        <v>1886</v>
      </c>
      <c r="AT180" s="2">
        <v>2025</v>
      </c>
      <c r="AU180" s="2" t="s">
        <v>2041</v>
      </c>
      <c r="AW180" s="2" t="s">
        <v>1854</v>
      </c>
      <c r="AZ180" s="2" t="s">
        <v>1887</v>
      </c>
    </row>
    <row r="181" spans="1:52" ht="24.75" customHeight="1" x14ac:dyDescent="0.35">
      <c r="A181" s="184"/>
      <c r="B181" s="185" t="e" cm="1">
        <f t="array" ref="B181">AND(ISTEXT('Consolidado-Eletronorte'!#REF!),SUM('Consolidado-Eletronorte'!#REF!)&gt;0)</f>
        <v>#REF!</v>
      </c>
      <c r="C181" s="186" t="str">
        <f t="shared" ca="1" si="6"/>
        <v>Capex Orcamentário_PE2026_2030_red_35_porcentoR3_consulta.xlsx</v>
      </c>
      <c r="D181" s="187" t="str">
        <f t="shared" si="7"/>
        <v>COO</v>
      </c>
      <c r="E181" s="187" t="str">
        <f t="shared" si="8"/>
        <v>Lucas Martins</v>
      </c>
      <c r="F181" s="188"/>
      <c r="G181" s="188" t="e">
        <f>_xlfn.CONCAT('Consolidado-Eletronorte'!#REF!,"_",ROW('Consolidado-Eletronorte'!#REF!)-ROW('Consolidado-Eletronorte'!$G$18))</f>
        <v>#REF!</v>
      </c>
      <c r="H181" s="279" t="s">
        <v>506</v>
      </c>
      <c r="I181" s="189" t="s">
        <v>1024</v>
      </c>
      <c r="J181" s="190" t="s">
        <v>508</v>
      </c>
      <c r="K181" s="189" t="s">
        <v>1741</v>
      </c>
      <c r="L181" s="189" t="s">
        <v>2019</v>
      </c>
      <c r="M181" s="189" t="s">
        <v>2227</v>
      </c>
      <c r="N181" s="189"/>
      <c r="O181" s="189"/>
      <c r="P181" s="189"/>
      <c r="Q181" s="191" t="s">
        <v>2228</v>
      </c>
      <c r="R181" s="191" t="s">
        <v>2224</v>
      </c>
      <c r="S181" s="189" t="s">
        <v>1885</v>
      </c>
      <c r="T181" s="192">
        <v>0</v>
      </c>
      <c r="U181" s="193">
        <v>0</v>
      </c>
      <c r="V181" s="193">
        <v>0</v>
      </c>
      <c r="W181" s="193">
        <v>0</v>
      </c>
      <c r="X181" s="192">
        <v>0</v>
      </c>
      <c r="Y181" s="192">
        <v>0</v>
      </c>
      <c r="Z181" s="194">
        <v>0</v>
      </c>
      <c r="AA181" s="194">
        <v>0</v>
      </c>
      <c r="AB181" s="194">
        <v>300000</v>
      </c>
      <c r="AC181" s="194">
        <v>0</v>
      </c>
      <c r="AD181" s="194">
        <v>0</v>
      </c>
      <c r="AE181" s="194">
        <v>0</v>
      </c>
      <c r="AF181" s="194">
        <f>SUM(Tabela99[[#This Row],[jan/26]:[dez/26]])</f>
        <v>300000</v>
      </c>
      <c r="AG181" s="194">
        <v>0</v>
      </c>
      <c r="AH181" s="194">
        <v>0</v>
      </c>
      <c r="AI181" s="194">
        <v>0</v>
      </c>
      <c r="AJ181" s="194">
        <v>0</v>
      </c>
      <c r="AK181" s="194">
        <f>SUM(Tabela99[[#This Row],[2026]:[2030]])</f>
        <v>300000</v>
      </c>
      <c r="AL181" s="193">
        <v>0</v>
      </c>
      <c r="AM181" s="194">
        <v>0</v>
      </c>
      <c r="AN181" s="194">
        <v>0</v>
      </c>
      <c r="AO181" s="194">
        <v>0</v>
      </c>
      <c r="AP181" s="194">
        <v>0</v>
      </c>
      <c r="AQ181" s="195">
        <f>SUM(Tabela99[[#This Row],[2026-2030]:[2035]])</f>
        <v>300000</v>
      </c>
      <c r="AS181" s="2" t="s">
        <v>1886</v>
      </c>
      <c r="AT181" s="2">
        <v>2025</v>
      </c>
      <c r="AU181" s="2" t="s">
        <v>2041</v>
      </c>
      <c r="AW181" s="2" t="s">
        <v>1854</v>
      </c>
      <c r="AZ181" s="2" t="s">
        <v>1887</v>
      </c>
    </row>
    <row r="182" spans="1:52" ht="24.75" customHeight="1" x14ac:dyDescent="0.35">
      <c r="A182" s="184"/>
      <c r="B182" s="185" t="e" cm="1">
        <f t="array" ref="B182">AND(ISTEXT('Consolidado-Eletronorte'!#REF!),SUM('Consolidado-Eletronorte'!#REF!)&gt;0)</f>
        <v>#REF!</v>
      </c>
      <c r="C182" s="186" t="str">
        <f t="shared" ca="1" si="6"/>
        <v>Capex Orcamentário_PE2026_2030_red_35_porcentoR3_consulta.xlsx</v>
      </c>
      <c r="D182" s="187" t="str">
        <f t="shared" si="7"/>
        <v>COO</v>
      </c>
      <c r="E182" s="187" t="str">
        <f t="shared" si="8"/>
        <v>Lucas Martins</v>
      </c>
      <c r="F182" s="188"/>
      <c r="G182" s="188" t="e">
        <f>_xlfn.CONCAT('Consolidado-Eletronorte'!#REF!,"_",ROW('Consolidado-Eletronorte'!#REF!)-ROW('Consolidado-Eletronorte'!$G$18))</f>
        <v>#REF!</v>
      </c>
      <c r="H182" s="279" t="s">
        <v>506</v>
      </c>
      <c r="I182" s="189" t="s">
        <v>1024</v>
      </c>
      <c r="J182" s="190" t="s">
        <v>508</v>
      </c>
      <c r="K182" s="189" t="s">
        <v>1741</v>
      </c>
      <c r="L182" s="189" t="s">
        <v>2019</v>
      </c>
      <c r="M182" s="189" t="s">
        <v>2229</v>
      </c>
      <c r="N182" s="189"/>
      <c r="O182" s="189"/>
      <c r="P182" s="189"/>
      <c r="Q182" s="191" t="s">
        <v>2230</v>
      </c>
      <c r="R182" s="191" t="s">
        <v>2224</v>
      </c>
      <c r="S182" s="189" t="s">
        <v>2033</v>
      </c>
      <c r="T182" s="192">
        <v>0</v>
      </c>
      <c r="U182" s="193">
        <v>0</v>
      </c>
      <c r="V182" s="193">
        <v>0</v>
      </c>
      <c r="W182" s="193">
        <v>0</v>
      </c>
      <c r="X182" s="192">
        <v>0</v>
      </c>
      <c r="Y182" s="192">
        <v>0</v>
      </c>
      <c r="Z182" s="194">
        <v>0</v>
      </c>
      <c r="AA182" s="194">
        <v>0</v>
      </c>
      <c r="AB182" s="194">
        <v>300000</v>
      </c>
      <c r="AC182" s="194">
        <v>0</v>
      </c>
      <c r="AD182" s="194">
        <v>0</v>
      </c>
      <c r="AE182" s="194">
        <v>0</v>
      </c>
      <c r="AF182" s="194">
        <f>SUM(Tabela99[[#This Row],[jan/26]:[dez/26]])</f>
        <v>300000</v>
      </c>
      <c r="AG182" s="194">
        <v>0</v>
      </c>
      <c r="AH182" s="194">
        <v>0</v>
      </c>
      <c r="AI182" s="194">
        <v>0</v>
      </c>
      <c r="AJ182" s="194">
        <v>0</v>
      </c>
      <c r="AK182" s="194">
        <f>SUM(Tabela99[[#This Row],[2026]:[2030]])</f>
        <v>300000</v>
      </c>
      <c r="AL182" s="193">
        <v>0</v>
      </c>
      <c r="AM182" s="194">
        <v>0</v>
      </c>
      <c r="AN182" s="194">
        <v>0</v>
      </c>
      <c r="AO182" s="194">
        <v>0</v>
      </c>
      <c r="AP182" s="194">
        <v>0</v>
      </c>
      <c r="AQ182" s="195">
        <f>SUM(Tabela99[[#This Row],[2026-2030]:[2035]])</f>
        <v>300000</v>
      </c>
      <c r="AS182" s="2" t="s">
        <v>2034</v>
      </c>
      <c r="AT182" s="2">
        <v>2025</v>
      </c>
      <c r="AU182" s="2" t="s">
        <v>2041</v>
      </c>
      <c r="AW182" s="2" t="s">
        <v>1854</v>
      </c>
      <c r="AZ182" s="2" t="s">
        <v>2036</v>
      </c>
    </row>
    <row r="183" spans="1:52" ht="24.75" customHeight="1" x14ac:dyDescent="0.35">
      <c r="A183" s="184"/>
      <c r="B183" s="185" t="e" cm="1">
        <f t="array" ref="B183">AND(ISTEXT('Consolidado-Eletronorte'!#REF!),SUM('Consolidado-Eletronorte'!#REF!)&gt;0)</f>
        <v>#REF!</v>
      </c>
      <c r="C183" s="186" t="str">
        <f t="shared" ca="1" si="6"/>
        <v>Capex Orcamentário_PE2026_2030_red_35_porcentoR3_consulta.xlsx</v>
      </c>
      <c r="D183" s="187" t="str">
        <f t="shared" si="7"/>
        <v>COO</v>
      </c>
      <c r="E183" s="187" t="str">
        <f t="shared" si="8"/>
        <v>Lucas Martins</v>
      </c>
      <c r="F183" s="188"/>
      <c r="G183" s="188" t="e">
        <f>_xlfn.CONCAT('Consolidado-Eletronorte'!#REF!,"_",ROW('Consolidado-Eletronorte'!#REF!)-ROW('Consolidado-Eletronorte'!$G$18))</f>
        <v>#REF!</v>
      </c>
      <c r="H183" s="279" t="s">
        <v>506</v>
      </c>
      <c r="I183" s="189" t="s">
        <v>1024</v>
      </c>
      <c r="J183" s="190" t="s">
        <v>508</v>
      </c>
      <c r="K183" s="189" t="s">
        <v>1741</v>
      </c>
      <c r="L183" s="189" t="s">
        <v>2019</v>
      </c>
      <c r="M183" s="189" t="s">
        <v>2231</v>
      </c>
      <c r="N183" s="189"/>
      <c r="O183" s="189"/>
      <c r="P183" s="189"/>
      <c r="Q183" s="191" t="s">
        <v>2232</v>
      </c>
      <c r="R183" s="191" t="s">
        <v>2224</v>
      </c>
      <c r="S183" s="189" t="s">
        <v>2033</v>
      </c>
      <c r="T183" s="192">
        <v>0</v>
      </c>
      <c r="U183" s="193">
        <v>0</v>
      </c>
      <c r="V183" s="193">
        <v>0</v>
      </c>
      <c r="W183" s="193">
        <v>0</v>
      </c>
      <c r="X183" s="192">
        <v>0</v>
      </c>
      <c r="Y183" s="192">
        <v>0</v>
      </c>
      <c r="Z183" s="194">
        <v>0</v>
      </c>
      <c r="AA183" s="194">
        <v>0</v>
      </c>
      <c r="AB183" s="194">
        <v>300000</v>
      </c>
      <c r="AC183" s="194">
        <v>0</v>
      </c>
      <c r="AD183" s="194">
        <v>0</v>
      </c>
      <c r="AE183" s="194">
        <v>0</v>
      </c>
      <c r="AF183" s="194">
        <f>SUM(Tabela99[[#This Row],[jan/26]:[dez/26]])</f>
        <v>300000</v>
      </c>
      <c r="AG183" s="194">
        <v>0</v>
      </c>
      <c r="AH183" s="194">
        <v>0</v>
      </c>
      <c r="AI183" s="194">
        <v>0</v>
      </c>
      <c r="AJ183" s="194">
        <v>0</v>
      </c>
      <c r="AK183" s="194">
        <f>SUM(Tabela99[[#This Row],[2026]:[2030]])</f>
        <v>300000</v>
      </c>
      <c r="AL183" s="193">
        <v>0</v>
      </c>
      <c r="AM183" s="194">
        <v>0</v>
      </c>
      <c r="AN183" s="194">
        <v>0</v>
      </c>
      <c r="AO183" s="194">
        <v>0</v>
      </c>
      <c r="AP183" s="194">
        <v>0</v>
      </c>
      <c r="AQ183" s="195">
        <f>SUM(Tabela99[[#This Row],[2026-2030]:[2035]])</f>
        <v>300000</v>
      </c>
      <c r="AS183" s="2" t="s">
        <v>2034</v>
      </c>
      <c r="AT183" s="2">
        <v>2025</v>
      </c>
      <c r="AU183" s="2" t="s">
        <v>2041</v>
      </c>
      <c r="AW183" s="2" t="s">
        <v>1854</v>
      </c>
      <c r="AZ183" s="2" t="s">
        <v>2036</v>
      </c>
    </row>
    <row r="184" spans="1:52" ht="24.75" customHeight="1" x14ac:dyDescent="0.35">
      <c r="A184" s="184"/>
      <c r="B184" s="185" t="e" cm="1">
        <f t="array" ref="B184">AND(ISTEXT('Consolidado-Eletronorte'!#REF!),SUM('Consolidado-Eletronorte'!#REF!)&gt;0)</f>
        <v>#REF!</v>
      </c>
      <c r="C184" s="186" t="str">
        <f t="shared" ca="1" si="6"/>
        <v>Capex Orcamentário_PE2026_2030_red_35_porcentoR3_consulta.xlsx</v>
      </c>
      <c r="D184" s="187" t="str">
        <f t="shared" si="7"/>
        <v>COO</v>
      </c>
      <c r="E184" s="187" t="str">
        <f t="shared" si="8"/>
        <v>Lucas Martins</v>
      </c>
      <c r="F184" s="188"/>
      <c r="G184" s="188" t="e">
        <f>_xlfn.CONCAT('Consolidado-Eletronorte'!#REF!,"_",ROW('Consolidado-Eletronorte'!#REF!)-ROW('Consolidado-Eletronorte'!$G$18))</f>
        <v>#REF!</v>
      </c>
      <c r="H184" s="279" t="s">
        <v>506</v>
      </c>
      <c r="I184" s="189" t="s">
        <v>1024</v>
      </c>
      <c r="J184" s="190" t="s">
        <v>508</v>
      </c>
      <c r="K184" s="189" t="s">
        <v>1741</v>
      </c>
      <c r="L184" s="189" t="s">
        <v>2019</v>
      </c>
      <c r="M184" s="189" t="s">
        <v>2020</v>
      </c>
      <c r="N184" s="189"/>
      <c r="O184" s="189"/>
      <c r="P184" s="189"/>
      <c r="Q184" s="191" t="s">
        <v>2233</v>
      </c>
      <c r="R184" s="191" t="s">
        <v>2224</v>
      </c>
      <c r="S184" s="189" t="s">
        <v>1852</v>
      </c>
      <c r="T184" s="192">
        <v>0</v>
      </c>
      <c r="U184" s="193">
        <v>0</v>
      </c>
      <c r="V184" s="193">
        <v>0</v>
      </c>
      <c r="W184" s="193">
        <v>0</v>
      </c>
      <c r="X184" s="192">
        <v>0</v>
      </c>
      <c r="Y184" s="192">
        <v>0</v>
      </c>
      <c r="Z184" s="194">
        <v>0</v>
      </c>
      <c r="AA184" s="194">
        <v>0</v>
      </c>
      <c r="AB184" s="194">
        <v>300000</v>
      </c>
      <c r="AC184" s="194">
        <v>0</v>
      </c>
      <c r="AD184" s="194">
        <v>0</v>
      </c>
      <c r="AE184" s="194">
        <v>0</v>
      </c>
      <c r="AF184" s="194">
        <f>SUM(Tabela99[[#This Row],[jan/26]:[dez/26]])</f>
        <v>300000</v>
      </c>
      <c r="AG184" s="194">
        <v>0</v>
      </c>
      <c r="AH184" s="194">
        <v>0</v>
      </c>
      <c r="AI184" s="194">
        <v>0</v>
      </c>
      <c r="AJ184" s="194">
        <v>0</v>
      </c>
      <c r="AK184" s="194">
        <f>SUM(Tabela99[[#This Row],[2026]:[2030]])</f>
        <v>300000</v>
      </c>
      <c r="AL184" s="193">
        <v>0</v>
      </c>
      <c r="AM184" s="194">
        <v>0</v>
      </c>
      <c r="AN184" s="194">
        <v>0</v>
      </c>
      <c r="AO184" s="194">
        <v>0</v>
      </c>
      <c r="AP184" s="194">
        <v>0</v>
      </c>
      <c r="AQ184" s="195">
        <f>SUM(Tabela99[[#This Row],[2026-2030]:[2035]])</f>
        <v>300000</v>
      </c>
      <c r="AS184" s="2" t="s">
        <v>1853</v>
      </c>
      <c r="AT184" s="2">
        <v>2025</v>
      </c>
      <c r="AU184" s="2" t="s">
        <v>2041</v>
      </c>
      <c r="AW184" s="2" t="s">
        <v>1854</v>
      </c>
      <c r="AZ184" s="2" t="s">
        <v>1855</v>
      </c>
    </row>
    <row r="185" spans="1:52" ht="24.75" customHeight="1" x14ac:dyDescent="0.35">
      <c r="A185" s="184"/>
      <c r="B185" s="185" t="e" cm="1">
        <f t="array" ref="B185">AND(ISTEXT('Consolidado-Eletronorte'!#REF!),SUM('Consolidado-Eletronorte'!#REF!)&gt;0)</f>
        <v>#REF!</v>
      </c>
      <c r="C185" s="186" t="str">
        <f t="shared" ca="1" si="6"/>
        <v>Capex Orcamentário_PE2026_2030_red_35_porcentoR3_consulta.xlsx</v>
      </c>
      <c r="D185" s="187" t="str">
        <f t="shared" si="7"/>
        <v>COO</v>
      </c>
      <c r="E185" s="187" t="str">
        <f t="shared" si="8"/>
        <v>Lucas Martins</v>
      </c>
      <c r="F185" s="188"/>
      <c r="G185" s="188" t="e">
        <f>_xlfn.CONCAT('Consolidado-Eletronorte'!#REF!,"_",ROW('Consolidado-Eletronorte'!#REF!)-ROW('Consolidado-Eletronorte'!$G$18))</f>
        <v>#REF!</v>
      </c>
      <c r="H185" s="279" t="s">
        <v>506</v>
      </c>
      <c r="I185" s="189" t="s">
        <v>1024</v>
      </c>
      <c r="J185" s="190" t="s">
        <v>508</v>
      </c>
      <c r="K185" s="189" t="s">
        <v>1741</v>
      </c>
      <c r="L185" s="189" t="s">
        <v>2019</v>
      </c>
      <c r="M185" s="189" t="s">
        <v>2154</v>
      </c>
      <c r="N185" s="189"/>
      <c r="O185" s="189"/>
      <c r="P185" s="189"/>
      <c r="Q185" s="191" t="s">
        <v>2234</v>
      </c>
      <c r="R185" s="191" t="s">
        <v>2224</v>
      </c>
      <c r="S185" s="189" t="s">
        <v>1861</v>
      </c>
      <c r="T185" s="192">
        <v>0</v>
      </c>
      <c r="U185" s="193">
        <v>0</v>
      </c>
      <c r="V185" s="193">
        <v>0</v>
      </c>
      <c r="W185" s="193">
        <v>0</v>
      </c>
      <c r="X185" s="192">
        <v>0</v>
      </c>
      <c r="Y185" s="192">
        <v>0</v>
      </c>
      <c r="Z185" s="194">
        <v>0</v>
      </c>
      <c r="AA185" s="194">
        <v>0</v>
      </c>
      <c r="AB185" s="194">
        <v>300000</v>
      </c>
      <c r="AC185" s="194">
        <v>0</v>
      </c>
      <c r="AD185" s="194">
        <v>0</v>
      </c>
      <c r="AE185" s="194">
        <v>0</v>
      </c>
      <c r="AF185" s="194">
        <f>SUM(Tabela99[[#This Row],[jan/26]:[dez/26]])</f>
        <v>300000</v>
      </c>
      <c r="AG185" s="194">
        <v>0</v>
      </c>
      <c r="AH185" s="194">
        <v>0</v>
      </c>
      <c r="AI185" s="194">
        <v>0</v>
      </c>
      <c r="AJ185" s="194">
        <v>0</v>
      </c>
      <c r="AK185" s="194">
        <f>SUM(Tabela99[[#This Row],[2026]:[2030]])</f>
        <v>300000</v>
      </c>
      <c r="AL185" s="193">
        <v>0</v>
      </c>
      <c r="AM185" s="194">
        <v>0</v>
      </c>
      <c r="AN185" s="194">
        <v>0</v>
      </c>
      <c r="AO185" s="194">
        <v>0</v>
      </c>
      <c r="AP185" s="194">
        <v>0</v>
      </c>
      <c r="AQ185" s="195">
        <f>SUM(Tabela99[[#This Row],[2026-2030]:[2035]])</f>
        <v>300000</v>
      </c>
      <c r="AS185" s="2" t="s">
        <v>1833</v>
      </c>
      <c r="AT185" s="2">
        <v>2025</v>
      </c>
      <c r="AU185" s="2" t="s">
        <v>2041</v>
      </c>
      <c r="AW185" s="2" t="s">
        <v>1854</v>
      </c>
      <c r="AZ185" s="2" t="s">
        <v>1905</v>
      </c>
    </row>
    <row r="186" spans="1:52" ht="24.75" customHeight="1" x14ac:dyDescent="0.35">
      <c r="A186" s="184"/>
      <c r="B186" s="185" t="e" cm="1">
        <f t="array" ref="B186">AND(ISTEXT('Consolidado-Eletronorte'!#REF!),SUM('Consolidado-Eletronorte'!#REF!)&gt;0)</f>
        <v>#REF!</v>
      </c>
      <c r="C186" s="186" t="str">
        <f t="shared" ca="1" si="6"/>
        <v>Capex Orcamentário_PE2026_2030_red_35_porcentoR3_consulta.xlsx</v>
      </c>
      <c r="D186" s="187" t="str">
        <f t="shared" si="7"/>
        <v>COO</v>
      </c>
      <c r="E186" s="187" t="str">
        <f t="shared" si="8"/>
        <v>Lucas Martins</v>
      </c>
      <c r="F186" s="188"/>
      <c r="G186" s="188" t="e">
        <f>_xlfn.CONCAT('Consolidado-Eletronorte'!#REF!,"_",ROW('Consolidado-Eletronorte'!#REF!)-ROW('Consolidado-Eletronorte'!$G$18))</f>
        <v>#REF!</v>
      </c>
      <c r="H186" s="279" t="s">
        <v>506</v>
      </c>
      <c r="I186" s="189" t="s">
        <v>1024</v>
      </c>
      <c r="J186" s="190" t="s">
        <v>508</v>
      </c>
      <c r="K186" s="189" t="s">
        <v>1741</v>
      </c>
      <c r="L186" s="189" t="s">
        <v>2019</v>
      </c>
      <c r="M186" s="189" t="s">
        <v>2235</v>
      </c>
      <c r="N186" s="189"/>
      <c r="O186" s="189"/>
      <c r="P186" s="189"/>
      <c r="Q186" s="191" t="s">
        <v>2236</v>
      </c>
      <c r="R186" s="191" t="s">
        <v>2224</v>
      </c>
      <c r="S186" s="189" t="s">
        <v>1976</v>
      </c>
      <c r="T186" s="192">
        <v>0</v>
      </c>
      <c r="U186" s="193">
        <v>0</v>
      </c>
      <c r="V186" s="193">
        <v>0</v>
      </c>
      <c r="W186" s="193">
        <v>0</v>
      </c>
      <c r="X186" s="192">
        <v>0</v>
      </c>
      <c r="Y186" s="192">
        <v>0</v>
      </c>
      <c r="Z186" s="194">
        <v>0</v>
      </c>
      <c r="AA186" s="194">
        <v>0</v>
      </c>
      <c r="AB186" s="194">
        <v>300000</v>
      </c>
      <c r="AC186" s="194">
        <v>0</v>
      </c>
      <c r="AD186" s="194">
        <v>0</v>
      </c>
      <c r="AE186" s="194">
        <v>0</v>
      </c>
      <c r="AF186" s="194">
        <f>SUM(Tabela99[[#This Row],[jan/26]:[dez/26]])</f>
        <v>300000</v>
      </c>
      <c r="AG186" s="194">
        <v>0</v>
      </c>
      <c r="AH186" s="194">
        <v>0</v>
      </c>
      <c r="AI186" s="194">
        <v>0</v>
      </c>
      <c r="AJ186" s="194">
        <v>0</v>
      </c>
      <c r="AK186" s="194">
        <f>SUM(Tabela99[[#This Row],[2026]:[2030]])</f>
        <v>300000</v>
      </c>
      <c r="AL186" s="193">
        <v>0</v>
      </c>
      <c r="AM186" s="194">
        <v>0</v>
      </c>
      <c r="AN186" s="194">
        <v>0</v>
      </c>
      <c r="AO186" s="194">
        <v>0</v>
      </c>
      <c r="AP186" s="194">
        <v>0</v>
      </c>
      <c r="AQ186" s="195">
        <f>SUM(Tabela99[[#This Row],[2026-2030]:[2035]])</f>
        <v>300000</v>
      </c>
      <c r="AS186" s="2" t="s">
        <v>1833</v>
      </c>
      <c r="AT186" s="2">
        <v>2025</v>
      </c>
      <c r="AU186" s="2" t="s">
        <v>2041</v>
      </c>
      <c r="AW186" s="2" t="s">
        <v>1854</v>
      </c>
      <c r="AZ186" s="2" t="s">
        <v>1960</v>
      </c>
    </row>
    <row r="187" spans="1:52" ht="24.75" customHeight="1" x14ac:dyDescent="0.35">
      <c r="A187" s="184"/>
      <c r="B187" s="185" t="e" cm="1">
        <f t="array" ref="B187">AND(ISTEXT('Consolidado-Eletronorte'!#REF!),SUM('Consolidado-Eletronorte'!#REF!)&gt;0)</f>
        <v>#REF!</v>
      </c>
      <c r="C187" s="186" t="str">
        <f t="shared" ca="1" si="6"/>
        <v>Capex Orcamentário_PE2026_2030_red_35_porcentoR3_consulta.xlsx</v>
      </c>
      <c r="D187" s="187" t="str">
        <f t="shared" si="7"/>
        <v>COO</v>
      </c>
      <c r="E187" s="187" t="str">
        <f t="shared" si="8"/>
        <v>Lucas Martins</v>
      </c>
      <c r="F187" s="188"/>
      <c r="G187" s="188" t="e">
        <f>_xlfn.CONCAT('Consolidado-Eletronorte'!#REF!,"_",ROW('Consolidado-Eletronorte'!#REF!)-ROW('Consolidado-Eletronorte'!$G$18))</f>
        <v>#REF!</v>
      </c>
      <c r="H187" s="279" t="s">
        <v>506</v>
      </c>
      <c r="I187" s="189" t="s">
        <v>1024</v>
      </c>
      <c r="J187" s="190" t="s">
        <v>508</v>
      </c>
      <c r="K187" s="189" t="s">
        <v>1741</v>
      </c>
      <c r="L187" s="189" t="s">
        <v>2019</v>
      </c>
      <c r="M187" s="189" t="s">
        <v>2103</v>
      </c>
      <c r="N187" s="189"/>
      <c r="O187" s="189"/>
      <c r="P187" s="189"/>
      <c r="Q187" s="191" t="s">
        <v>2237</v>
      </c>
      <c r="R187" s="191" t="s">
        <v>2224</v>
      </c>
      <c r="S187" s="189" t="s">
        <v>1958</v>
      </c>
      <c r="T187" s="192">
        <v>0</v>
      </c>
      <c r="U187" s="193">
        <v>0</v>
      </c>
      <c r="V187" s="193">
        <v>0</v>
      </c>
      <c r="W187" s="193">
        <v>0</v>
      </c>
      <c r="X187" s="192">
        <v>0</v>
      </c>
      <c r="Y187" s="192">
        <v>0</v>
      </c>
      <c r="Z187" s="194">
        <v>0</v>
      </c>
      <c r="AA187" s="194">
        <v>0</v>
      </c>
      <c r="AB187" s="194">
        <v>300000</v>
      </c>
      <c r="AC187" s="194">
        <v>0</v>
      </c>
      <c r="AD187" s="194">
        <v>0</v>
      </c>
      <c r="AE187" s="194">
        <v>0</v>
      </c>
      <c r="AF187" s="194">
        <f>SUM(Tabela99[[#This Row],[jan/26]:[dez/26]])</f>
        <v>300000</v>
      </c>
      <c r="AG187" s="194">
        <v>0</v>
      </c>
      <c r="AH187" s="194">
        <v>0</v>
      </c>
      <c r="AI187" s="194">
        <v>0</v>
      </c>
      <c r="AJ187" s="194">
        <v>0</v>
      </c>
      <c r="AK187" s="194">
        <f>SUM(Tabela99[[#This Row],[2026]:[2030]])</f>
        <v>300000</v>
      </c>
      <c r="AL187" s="193">
        <v>0</v>
      </c>
      <c r="AM187" s="194">
        <v>0</v>
      </c>
      <c r="AN187" s="194">
        <v>0</v>
      </c>
      <c r="AO187" s="194">
        <v>0</v>
      </c>
      <c r="AP187" s="194">
        <v>0</v>
      </c>
      <c r="AQ187" s="195">
        <f>SUM(Tabela99[[#This Row],[2026-2030]:[2035]])</f>
        <v>300000</v>
      </c>
      <c r="AS187" s="2" t="s">
        <v>1833</v>
      </c>
      <c r="AT187" s="2">
        <v>2025</v>
      </c>
      <c r="AU187" s="2" t="s">
        <v>2041</v>
      </c>
      <c r="AW187" s="2" t="s">
        <v>1854</v>
      </c>
      <c r="AZ187" s="2" t="s">
        <v>1960</v>
      </c>
    </row>
    <row r="188" spans="1:52" ht="24.75" customHeight="1" x14ac:dyDescent="0.35">
      <c r="A188" s="184"/>
      <c r="B188" s="185" t="e" cm="1">
        <f t="array" ref="B188">AND(ISTEXT('Consolidado-Eletronorte'!#REF!),SUM('Consolidado-Eletronorte'!#REF!)&gt;0)</f>
        <v>#REF!</v>
      </c>
      <c r="C188" s="186" t="str">
        <f t="shared" ca="1" si="6"/>
        <v>Capex Orcamentário_PE2026_2030_red_35_porcentoR3_consulta.xlsx</v>
      </c>
      <c r="D188" s="187" t="str">
        <f t="shared" si="7"/>
        <v>COO</v>
      </c>
      <c r="E188" s="187" t="str">
        <f t="shared" si="8"/>
        <v>Lucas Martins</v>
      </c>
      <c r="F188" s="188"/>
      <c r="G188" s="188" t="e">
        <f>_xlfn.CONCAT('Consolidado-Eletronorte'!#REF!,"_",ROW('Consolidado-Eletronorte'!#REF!)-ROW('Consolidado-Eletronorte'!$G$18))</f>
        <v>#REF!</v>
      </c>
      <c r="H188" s="279" t="s">
        <v>506</v>
      </c>
      <c r="I188" s="189" t="s">
        <v>1024</v>
      </c>
      <c r="J188" s="190" t="s">
        <v>508</v>
      </c>
      <c r="K188" s="189" t="s">
        <v>1741</v>
      </c>
      <c r="L188" s="189" t="s">
        <v>2019</v>
      </c>
      <c r="M188" s="189" t="s">
        <v>2037</v>
      </c>
      <c r="N188" s="189"/>
      <c r="O188" s="189"/>
      <c r="P188" s="189"/>
      <c r="Q188" s="191" t="s">
        <v>2238</v>
      </c>
      <c r="R188" s="191" t="s">
        <v>2224</v>
      </c>
      <c r="S188" s="189" t="s">
        <v>2040</v>
      </c>
      <c r="T188" s="192">
        <v>0</v>
      </c>
      <c r="U188" s="193">
        <v>0</v>
      </c>
      <c r="V188" s="193">
        <v>0</v>
      </c>
      <c r="W188" s="193">
        <v>0</v>
      </c>
      <c r="X188" s="192">
        <v>0</v>
      </c>
      <c r="Y188" s="192">
        <v>0</v>
      </c>
      <c r="Z188" s="194">
        <v>0</v>
      </c>
      <c r="AA188" s="194">
        <v>0</v>
      </c>
      <c r="AB188" s="194">
        <v>300000</v>
      </c>
      <c r="AC188" s="194">
        <v>0</v>
      </c>
      <c r="AD188" s="194">
        <v>0</v>
      </c>
      <c r="AE188" s="194">
        <v>0</v>
      </c>
      <c r="AF188" s="194">
        <f>SUM(Tabela99[[#This Row],[jan/26]:[dez/26]])</f>
        <v>300000</v>
      </c>
      <c r="AG188" s="194">
        <v>0</v>
      </c>
      <c r="AH188" s="194">
        <v>0</v>
      </c>
      <c r="AI188" s="194">
        <v>0</v>
      </c>
      <c r="AJ188" s="194">
        <v>0</v>
      </c>
      <c r="AK188" s="194">
        <f>SUM(Tabela99[[#This Row],[2026]:[2030]])</f>
        <v>300000</v>
      </c>
      <c r="AL188" s="193">
        <v>0</v>
      </c>
      <c r="AM188" s="194">
        <v>0</v>
      </c>
      <c r="AN188" s="194">
        <v>0</v>
      </c>
      <c r="AO188" s="194">
        <v>0</v>
      </c>
      <c r="AP188" s="194">
        <v>0</v>
      </c>
      <c r="AQ188" s="195">
        <f>SUM(Tabela99[[#This Row],[2026-2030]:[2035]])</f>
        <v>300000</v>
      </c>
      <c r="AS188" s="2" t="s">
        <v>1833</v>
      </c>
      <c r="AT188" s="2">
        <v>2025</v>
      </c>
      <c r="AU188" s="2" t="s">
        <v>2041</v>
      </c>
      <c r="AW188" s="2" t="s">
        <v>1854</v>
      </c>
      <c r="AZ188" s="2" t="s">
        <v>2042</v>
      </c>
    </row>
    <row r="189" spans="1:52" ht="24.75" customHeight="1" x14ac:dyDescent="0.35">
      <c r="A189" s="184"/>
      <c r="B189" s="185" t="e" cm="1">
        <f t="array" ref="B189">AND(ISTEXT('Consolidado-Eletronorte'!#REF!),SUM('Consolidado-Eletronorte'!#REF!)&gt;0)</f>
        <v>#REF!</v>
      </c>
      <c r="C189" s="186" t="str">
        <f t="shared" ca="1" si="6"/>
        <v>Capex Orcamentário_PE2026_2030_red_35_porcentoR3_consulta.xlsx</v>
      </c>
      <c r="D189" s="187" t="str">
        <f t="shared" si="7"/>
        <v>COO</v>
      </c>
      <c r="E189" s="187" t="str">
        <f t="shared" si="8"/>
        <v>Lucas Martins</v>
      </c>
      <c r="F189" s="188"/>
      <c r="G189" s="188" t="e">
        <f>_xlfn.CONCAT('Consolidado-Eletronorte'!#REF!,"_",ROW('Consolidado-Eletronorte'!#REF!)-ROW('Consolidado-Eletronorte'!$G$18))</f>
        <v>#REF!</v>
      </c>
      <c r="H189" s="279" t="s">
        <v>506</v>
      </c>
      <c r="I189" s="189" t="s">
        <v>1024</v>
      </c>
      <c r="J189" s="190" t="s">
        <v>508</v>
      </c>
      <c r="K189" s="189" t="s">
        <v>1741</v>
      </c>
      <c r="L189" s="189" t="s">
        <v>2019</v>
      </c>
      <c r="M189" s="189" t="s">
        <v>2113</v>
      </c>
      <c r="N189" s="189"/>
      <c r="O189" s="189"/>
      <c r="P189" s="189"/>
      <c r="Q189" s="191" t="s">
        <v>2239</v>
      </c>
      <c r="R189" s="191" t="s">
        <v>2224</v>
      </c>
      <c r="S189" s="189" t="s">
        <v>1832</v>
      </c>
      <c r="T189" s="192">
        <v>0</v>
      </c>
      <c r="U189" s="193">
        <v>0</v>
      </c>
      <c r="V189" s="193">
        <v>0</v>
      </c>
      <c r="W189" s="193">
        <v>0</v>
      </c>
      <c r="X189" s="192">
        <v>0</v>
      </c>
      <c r="Y189" s="192">
        <v>0</v>
      </c>
      <c r="Z189" s="194">
        <v>0</v>
      </c>
      <c r="AA189" s="194">
        <v>0</v>
      </c>
      <c r="AB189" s="194">
        <v>300000</v>
      </c>
      <c r="AC189" s="194">
        <v>0</v>
      </c>
      <c r="AD189" s="194">
        <v>0</v>
      </c>
      <c r="AE189" s="194">
        <v>0</v>
      </c>
      <c r="AF189" s="194">
        <f>SUM(Tabela99[[#This Row],[jan/26]:[dez/26]])</f>
        <v>300000</v>
      </c>
      <c r="AG189" s="194">
        <v>0</v>
      </c>
      <c r="AH189" s="194">
        <v>0</v>
      </c>
      <c r="AI189" s="194">
        <v>0</v>
      </c>
      <c r="AJ189" s="194">
        <v>0</v>
      </c>
      <c r="AK189" s="194">
        <f>SUM(Tabela99[[#This Row],[2026]:[2030]])</f>
        <v>300000</v>
      </c>
      <c r="AL189" s="193">
        <v>0</v>
      </c>
      <c r="AM189" s="194">
        <v>0</v>
      </c>
      <c r="AN189" s="194">
        <v>0</v>
      </c>
      <c r="AO189" s="194">
        <v>0</v>
      </c>
      <c r="AP189" s="194">
        <v>0</v>
      </c>
      <c r="AQ189" s="195">
        <f>SUM(Tabela99[[#This Row],[2026-2030]:[2035]])</f>
        <v>300000</v>
      </c>
      <c r="AS189" s="2" t="s">
        <v>1833</v>
      </c>
      <c r="AT189" s="2">
        <v>2025</v>
      </c>
      <c r="AU189" s="2" t="s">
        <v>2041</v>
      </c>
      <c r="AW189" s="2" t="s">
        <v>1854</v>
      </c>
      <c r="AZ189" s="2" t="s">
        <v>1835</v>
      </c>
    </row>
    <row r="190" spans="1:52" ht="24.75" customHeight="1" x14ac:dyDescent="0.35">
      <c r="A190" s="184"/>
      <c r="B190" s="185" t="e" cm="1">
        <f t="array" ref="B190">AND(ISTEXT('Consolidado-Eletronorte'!#REF!),SUM('Consolidado-Eletronorte'!#REF!)&gt;0)</f>
        <v>#REF!</v>
      </c>
      <c r="C190" s="186" t="str">
        <f t="shared" ca="1" si="6"/>
        <v>Capex Orcamentário_PE2026_2030_red_35_porcentoR3_consulta.xlsx</v>
      </c>
      <c r="D190" s="187" t="str">
        <f t="shared" si="7"/>
        <v>COO</v>
      </c>
      <c r="E190" s="187" t="str">
        <f t="shared" si="8"/>
        <v>Lucas Martins</v>
      </c>
      <c r="F190" s="188"/>
      <c r="G190" s="188" t="e">
        <f>_xlfn.CONCAT('Consolidado-Eletronorte'!#REF!,"_",ROW('Consolidado-Eletronorte'!#REF!)-ROW('Consolidado-Eletronorte'!$G$18))</f>
        <v>#REF!</v>
      </c>
      <c r="H190" s="279" t="s">
        <v>506</v>
      </c>
      <c r="I190" s="189" t="s">
        <v>1024</v>
      </c>
      <c r="J190" s="190" t="s">
        <v>508</v>
      </c>
      <c r="K190" s="189" t="s">
        <v>1741</v>
      </c>
      <c r="L190" s="189" t="s">
        <v>2019</v>
      </c>
      <c r="M190" s="189" t="s">
        <v>2049</v>
      </c>
      <c r="N190" s="189"/>
      <c r="O190" s="189"/>
      <c r="P190" s="189"/>
      <c r="Q190" s="191" t="s">
        <v>2240</v>
      </c>
      <c r="R190" s="191" t="s">
        <v>2224</v>
      </c>
      <c r="S190" s="189" t="s">
        <v>2051</v>
      </c>
      <c r="T190" s="192">
        <v>0</v>
      </c>
      <c r="U190" s="193">
        <v>0</v>
      </c>
      <c r="V190" s="193">
        <v>0</v>
      </c>
      <c r="W190" s="193">
        <v>0</v>
      </c>
      <c r="X190" s="192">
        <v>0</v>
      </c>
      <c r="Y190" s="192">
        <v>0</v>
      </c>
      <c r="Z190" s="194">
        <v>0</v>
      </c>
      <c r="AA190" s="194">
        <v>0</v>
      </c>
      <c r="AB190" s="194">
        <v>300000</v>
      </c>
      <c r="AC190" s="194">
        <v>0</v>
      </c>
      <c r="AD190" s="194">
        <v>0</v>
      </c>
      <c r="AE190" s="194">
        <v>0</v>
      </c>
      <c r="AF190" s="194">
        <f>SUM(Tabela99[[#This Row],[jan/26]:[dez/26]])</f>
        <v>300000</v>
      </c>
      <c r="AG190" s="194">
        <v>0</v>
      </c>
      <c r="AH190" s="194">
        <v>0</v>
      </c>
      <c r="AI190" s="194">
        <v>0</v>
      </c>
      <c r="AJ190" s="194">
        <v>0</v>
      </c>
      <c r="AK190" s="194">
        <f>SUM(Tabela99[[#This Row],[2026]:[2030]])</f>
        <v>300000</v>
      </c>
      <c r="AL190" s="193">
        <v>0</v>
      </c>
      <c r="AM190" s="194">
        <v>0</v>
      </c>
      <c r="AN190" s="194">
        <v>0</v>
      </c>
      <c r="AO190" s="194">
        <v>0</v>
      </c>
      <c r="AP190" s="194">
        <v>0</v>
      </c>
      <c r="AQ190" s="195">
        <f>SUM(Tabela99[[#This Row],[2026-2030]:[2035]])</f>
        <v>300000</v>
      </c>
      <c r="AS190" s="2" t="s">
        <v>1833</v>
      </c>
      <c r="AT190" s="2" t="s">
        <v>1772</v>
      </c>
      <c r="AU190" s="2" t="s">
        <v>2041</v>
      </c>
      <c r="AW190" s="2" t="s">
        <v>1854</v>
      </c>
      <c r="AZ190" s="2" t="s">
        <v>1835</v>
      </c>
    </row>
    <row r="191" spans="1:52" ht="24.75" customHeight="1" x14ac:dyDescent="0.35">
      <c r="A191" s="184"/>
      <c r="B191" s="185" t="e" cm="1">
        <f t="array" ref="B191">AND(ISTEXT('Consolidado-Eletronorte'!#REF!),SUM('Consolidado-Eletronorte'!#REF!)&gt;0)</f>
        <v>#REF!</v>
      </c>
      <c r="C191" s="186" t="str">
        <f t="shared" ca="1" si="6"/>
        <v>Capex Orcamentário_PE2026_2030_red_35_porcentoR3_consulta.xlsx</v>
      </c>
      <c r="D191" s="187" t="str">
        <f t="shared" si="7"/>
        <v>COO</v>
      </c>
      <c r="E191" s="187" t="str">
        <f t="shared" si="8"/>
        <v>Lucas Martins</v>
      </c>
      <c r="F191" s="188"/>
      <c r="G191" s="188" t="e">
        <f>_xlfn.CONCAT('Consolidado-Eletronorte'!#REF!,"_",ROW('Consolidado-Eletronorte'!#REF!)-ROW('Consolidado-Eletronorte'!$G$18))</f>
        <v>#REF!</v>
      </c>
      <c r="H191" s="279" t="s">
        <v>506</v>
      </c>
      <c r="I191" s="189" t="s">
        <v>1024</v>
      </c>
      <c r="J191" s="190" t="s">
        <v>508</v>
      </c>
      <c r="K191" s="189" t="s">
        <v>1821</v>
      </c>
      <c r="L191" s="189" t="s">
        <v>2019</v>
      </c>
      <c r="M191" s="189" t="s">
        <v>2049</v>
      </c>
      <c r="N191" s="189"/>
      <c r="O191" s="189"/>
      <c r="P191" s="189"/>
      <c r="Q191" s="191" t="s">
        <v>2241</v>
      </c>
      <c r="R191" s="191" t="s">
        <v>2044</v>
      </c>
      <c r="S191" s="189" t="s">
        <v>2051</v>
      </c>
      <c r="T191" s="192">
        <v>0</v>
      </c>
      <c r="U191" s="193">
        <v>0</v>
      </c>
      <c r="V191" s="193">
        <v>0</v>
      </c>
      <c r="W191" s="193">
        <v>0</v>
      </c>
      <c r="X191" s="192">
        <v>0</v>
      </c>
      <c r="Y191" s="192">
        <v>0</v>
      </c>
      <c r="Z191" s="194">
        <v>125000</v>
      </c>
      <c r="AA191" s="194">
        <v>125000</v>
      </c>
      <c r="AB191" s="194">
        <v>0</v>
      </c>
      <c r="AC191" s="194">
        <v>0</v>
      </c>
      <c r="AD191" s="194">
        <v>0</v>
      </c>
      <c r="AE191" s="194">
        <v>0</v>
      </c>
      <c r="AF191" s="194">
        <f>SUM(Tabela99[[#This Row],[jan/26]:[dez/26]])</f>
        <v>250000</v>
      </c>
      <c r="AG191" s="194">
        <v>0</v>
      </c>
      <c r="AH191" s="194">
        <v>0</v>
      </c>
      <c r="AI191" s="194">
        <v>0</v>
      </c>
      <c r="AJ191" s="194">
        <v>0</v>
      </c>
      <c r="AK191" s="194">
        <f>SUM(Tabela99[[#This Row],[2026]:[2030]])</f>
        <v>250000</v>
      </c>
      <c r="AL191" s="193">
        <v>0</v>
      </c>
      <c r="AM191" s="194">
        <v>0</v>
      </c>
      <c r="AN191" s="194">
        <v>0</v>
      </c>
      <c r="AO191" s="194">
        <v>0</v>
      </c>
      <c r="AP191" s="194">
        <v>0</v>
      </c>
      <c r="AQ191" s="195">
        <f>SUM(Tabela99[[#This Row],[2026-2030]:[2035]])</f>
        <v>250000</v>
      </c>
      <c r="AS191" s="2" t="s">
        <v>1833</v>
      </c>
      <c r="AT191" s="2" t="s">
        <v>1772</v>
      </c>
      <c r="AU191" s="2" t="s">
        <v>2041</v>
      </c>
      <c r="AW191" s="2" t="s">
        <v>1854</v>
      </c>
      <c r="AZ191" s="2" t="s">
        <v>1835</v>
      </c>
    </row>
    <row r="192" spans="1:52" ht="24.75" customHeight="1" x14ac:dyDescent="0.35">
      <c r="A192" s="184"/>
      <c r="B192" s="185" t="e" cm="1">
        <f t="array" ref="B192">AND(ISTEXT('Consolidado-Eletronorte'!#REF!),SUM('Consolidado-Eletronorte'!#REF!)&gt;0)</f>
        <v>#REF!</v>
      </c>
      <c r="C192" s="186" t="str">
        <f t="shared" ca="1" si="6"/>
        <v>Capex Orcamentário_PE2026_2030_red_35_porcentoR3_consulta.xlsx</v>
      </c>
      <c r="D192" s="187" t="str">
        <f t="shared" si="7"/>
        <v>COO</v>
      </c>
      <c r="E192" s="187" t="str">
        <f t="shared" si="8"/>
        <v>Lucas Martins</v>
      </c>
      <c r="F192" s="188"/>
      <c r="G192" s="188" t="e">
        <f>_xlfn.CONCAT('Consolidado-Eletronorte'!#REF!,"_",ROW('Consolidado-Eletronorte'!#REF!)-ROW('Consolidado-Eletronorte'!$G$18))</f>
        <v>#REF!</v>
      </c>
      <c r="H192" s="279" t="s">
        <v>506</v>
      </c>
      <c r="I192" s="189" t="s">
        <v>1024</v>
      </c>
      <c r="J192" s="190" t="s">
        <v>508</v>
      </c>
      <c r="K192" s="189" t="s">
        <v>1821</v>
      </c>
      <c r="L192" s="189" t="s">
        <v>1828</v>
      </c>
      <c r="M192" s="189" t="s">
        <v>1999</v>
      </c>
      <c r="N192" s="189"/>
      <c r="O192" s="189"/>
      <c r="P192" s="189"/>
      <c r="Q192" s="191" t="s">
        <v>2242</v>
      </c>
      <c r="R192" s="191" t="s">
        <v>2242</v>
      </c>
      <c r="S192" s="189" t="s">
        <v>1885</v>
      </c>
      <c r="T192" s="192">
        <v>0</v>
      </c>
      <c r="U192" s="193">
        <v>0</v>
      </c>
      <c r="V192" s="193">
        <v>0</v>
      </c>
      <c r="W192" s="193">
        <v>0</v>
      </c>
      <c r="X192" s="192">
        <v>0</v>
      </c>
      <c r="Y192" s="192">
        <v>0</v>
      </c>
      <c r="Z192" s="194">
        <v>0</v>
      </c>
      <c r="AA192" s="194">
        <v>0</v>
      </c>
      <c r="AB192" s="194">
        <v>200000</v>
      </c>
      <c r="AC192" s="194">
        <v>0</v>
      </c>
      <c r="AD192" s="194">
        <v>0</v>
      </c>
      <c r="AE192" s="194">
        <v>0</v>
      </c>
      <c r="AF192" s="194">
        <f>SUM(Tabela99[[#This Row],[jan/26]:[dez/26]])</f>
        <v>200000</v>
      </c>
      <c r="AG192" s="194">
        <v>0</v>
      </c>
      <c r="AH192" s="194">
        <v>0</v>
      </c>
      <c r="AI192" s="194">
        <v>0</v>
      </c>
      <c r="AJ192" s="194">
        <v>0</v>
      </c>
      <c r="AK192" s="194">
        <f>SUM(Tabela99[[#This Row],[2026]:[2030]])</f>
        <v>200000</v>
      </c>
      <c r="AL192" s="193">
        <v>0</v>
      </c>
      <c r="AM192" s="194">
        <v>0</v>
      </c>
      <c r="AN192" s="194">
        <v>0</v>
      </c>
      <c r="AO192" s="194">
        <v>0</v>
      </c>
      <c r="AP192" s="194">
        <v>0</v>
      </c>
      <c r="AQ192" s="195">
        <f>SUM(Tabela99[[#This Row],[2026-2030]:[2035]])</f>
        <v>200000</v>
      </c>
      <c r="AS192" s="2" t="s">
        <v>1886</v>
      </c>
      <c r="AT192" s="2">
        <v>2025</v>
      </c>
      <c r="AU192" s="2" t="s">
        <v>2041</v>
      </c>
      <c r="AW192" s="2" t="s">
        <v>1854</v>
      </c>
      <c r="AZ192" s="2" t="s">
        <v>1887</v>
      </c>
    </row>
    <row r="193" spans="1:52" ht="24.75" customHeight="1" x14ac:dyDescent="0.35">
      <c r="A193" s="184"/>
      <c r="B193" s="185" t="e" cm="1">
        <f t="array" ref="B193">AND(ISTEXT('Consolidado-Eletronorte'!#REF!),SUM('Consolidado-Eletronorte'!#REF!)&gt;0)</f>
        <v>#REF!</v>
      </c>
      <c r="C193" s="186" t="str">
        <f t="shared" ca="1" si="6"/>
        <v>Capex Orcamentário_PE2026_2030_red_35_porcentoR3_consulta.xlsx</v>
      </c>
      <c r="D193" s="187" t="str">
        <f t="shared" si="7"/>
        <v>COO</v>
      </c>
      <c r="E193" s="187" t="str">
        <f t="shared" si="8"/>
        <v>Lucas Martins</v>
      </c>
      <c r="F193" s="188"/>
      <c r="G193" s="188" t="e">
        <f>_xlfn.CONCAT('Consolidado-Eletronorte'!#REF!,"_",ROW('Consolidado-Eletronorte'!#REF!)-ROW('Consolidado-Eletronorte'!$G$18))</f>
        <v>#REF!</v>
      </c>
      <c r="H193" s="279" t="s">
        <v>506</v>
      </c>
      <c r="I193" s="189" t="s">
        <v>1024</v>
      </c>
      <c r="J193" s="190" t="s">
        <v>508</v>
      </c>
      <c r="K193" s="189" t="s">
        <v>1821</v>
      </c>
      <c r="L193" s="189" t="s">
        <v>1828</v>
      </c>
      <c r="M193" s="189" t="s">
        <v>1883</v>
      </c>
      <c r="N193" s="189"/>
      <c r="O193" s="189"/>
      <c r="P193" s="189"/>
      <c r="Q193" s="191" t="s">
        <v>2243</v>
      </c>
      <c r="R193" s="191" t="s">
        <v>2243</v>
      </c>
      <c r="S193" s="189" t="s">
        <v>1885</v>
      </c>
      <c r="T193" s="192">
        <v>0</v>
      </c>
      <c r="U193" s="193">
        <v>0</v>
      </c>
      <c r="V193" s="193">
        <v>0</v>
      </c>
      <c r="W193" s="193">
        <v>0</v>
      </c>
      <c r="X193" s="192">
        <v>0</v>
      </c>
      <c r="Y193" s="192">
        <v>0</v>
      </c>
      <c r="Z193" s="194">
        <v>0</v>
      </c>
      <c r="AA193" s="194">
        <v>0</v>
      </c>
      <c r="AB193" s="194">
        <v>200000</v>
      </c>
      <c r="AC193" s="194">
        <v>0</v>
      </c>
      <c r="AD193" s="194">
        <v>0</v>
      </c>
      <c r="AE193" s="194">
        <v>0</v>
      </c>
      <c r="AF193" s="194">
        <f>SUM(Tabela99[[#This Row],[jan/26]:[dez/26]])</f>
        <v>200000</v>
      </c>
      <c r="AG193" s="194">
        <v>0</v>
      </c>
      <c r="AH193" s="194">
        <v>0</v>
      </c>
      <c r="AI193" s="194">
        <v>0</v>
      </c>
      <c r="AJ193" s="194">
        <v>0</v>
      </c>
      <c r="AK193" s="194">
        <f>SUM(Tabela99[[#This Row],[2026]:[2030]])</f>
        <v>200000</v>
      </c>
      <c r="AL193" s="193">
        <v>0</v>
      </c>
      <c r="AM193" s="194">
        <v>0</v>
      </c>
      <c r="AN193" s="194">
        <v>0</v>
      </c>
      <c r="AO193" s="194">
        <v>0</v>
      </c>
      <c r="AP193" s="194">
        <v>0</v>
      </c>
      <c r="AQ193" s="195">
        <f>SUM(Tabela99[[#This Row],[2026-2030]:[2035]])</f>
        <v>200000</v>
      </c>
      <c r="AS193" s="2" t="s">
        <v>1886</v>
      </c>
      <c r="AT193" s="2">
        <v>2025</v>
      </c>
      <c r="AU193" s="2" t="s">
        <v>2041</v>
      </c>
      <c r="AW193" s="2" t="s">
        <v>1854</v>
      </c>
      <c r="AZ193" s="2" t="s">
        <v>1887</v>
      </c>
    </row>
    <row r="194" spans="1:52" ht="24.75" customHeight="1" x14ac:dyDescent="0.35">
      <c r="A194" s="184"/>
      <c r="B194" s="185" t="e" cm="1">
        <f t="array" ref="B194">AND(ISTEXT('Consolidado-Eletronorte'!#REF!),SUM('Consolidado-Eletronorte'!#REF!)&gt;0)</f>
        <v>#REF!</v>
      </c>
      <c r="C194" s="186" t="str">
        <f t="shared" ca="1" si="6"/>
        <v>Capex Orcamentário_PE2026_2030_red_35_porcentoR3_consulta.xlsx</v>
      </c>
      <c r="D194" s="187" t="str">
        <f t="shared" si="7"/>
        <v>COO</v>
      </c>
      <c r="E194" s="187" t="str">
        <f t="shared" si="8"/>
        <v>Lucas Martins</v>
      </c>
      <c r="F194" s="188"/>
      <c r="G194" s="188" t="e">
        <f>_xlfn.CONCAT('Consolidado-Eletronorte'!#REF!,"_",ROW('Consolidado-Eletronorte'!#REF!)-ROW('Consolidado-Eletronorte'!$G$18))</f>
        <v>#REF!</v>
      </c>
      <c r="H194" s="279" t="s">
        <v>506</v>
      </c>
      <c r="I194" s="189" t="s">
        <v>1024</v>
      </c>
      <c r="J194" s="190" t="s">
        <v>508</v>
      </c>
      <c r="K194" s="189" t="s">
        <v>1741</v>
      </c>
      <c r="L194" s="189" t="s">
        <v>2019</v>
      </c>
      <c r="M194" s="189" t="s">
        <v>2052</v>
      </c>
      <c r="N194" s="189"/>
      <c r="O194" s="189"/>
      <c r="P194" s="189"/>
      <c r="Q194" s="191" t="s">
        <v>2244</v>
      </c>
      <c r="R194" s="191" t="s">
        <v>2062</v>
      </c>
      <c r="S194" s="189" t="s">
        <v>1879</v>
      </c>
      <c r="T194" s="192">
        <v>0</v>
      </c>
      <c r="U194" s="193">
        <v>0</v>
      </c>
      <c r="V194" s="193">
        <v>0</v>
      </c>
      <c r="W194" s="193">
        <v>0</v>
      </c>
      <c r="X194" s="192">
        <v>0</v>
      </c>
      <c r="Y194" s="192">
        <v>0</v>
      </c>
      <c r="Z194" s="194">
        <v>0</v>
      </c>
      <c r="AA194" s="194">
        <v>0</v>
      </c>
      <c r="AB194" s="194">
        <v>0</v>
      </c>
      <c r="AC194" s="194">
        <v>200000</v>
      </c>
      <c r="AD194" s="194">
        <v>0</v>
      </c>
      <c r="AE194" s="194">
        <v>0</v>
      </c>
      <c r="AF194" s="194">
        <f>SUM(Tabela99[[#This Row],[jan/26]:[dez/26]])</f>
        <v>200000</v>
      </c>
      <c r="AG194" s="194">
        <v>0</v>
      </c>
      <c r="AH194" s="194">
        <v>0</v>
      </c>
      <c r="AI194" s="194">
        <v>0</v>
      </c>
      <c r="AJ194" s="194">
        <v>0</v>
      </c>
      <c r="AK194" s="194">
        <f>SUM(Tabela99[[#This Row],[2026]:[2030]])</f>
        <v>200000</v>
      </c>
      <c r="AL194" s="193">
        <v>0</v>
      </c>
      <c r="AM194" s="194">
        <v>0</v>
      </c>
      <c r="AN194" s="194">
        <v>0</v>
      </c>
      <c r="AO194" s="194">
        <v>0</v>
      </c>
      <c r="AP194" s="194">
        <v>0</v>
      </c>
      <c r="AQ194" s="195">
        <f>SUM(Tabela99[[#This Row],[2026-2030]:[2035]])</f>
        <v>200000</v>
      </c>
      <c r="AS194" s="2" t="s">
        <v>2055</v>
      </c>
      <c r="AT194" s="2">
        <v>2025</v>
      </c>
      <c r="AU194" s="2" t="s">
        <v>2041</v>
      </c>
      <c r="AW194" s="2" t="s">
        <v>1603</v>
      </c>
      <c r="AZ194" s="2" t="s">
        <v>2063</v>
      </c>
    </row>
    <row r="195" spans="1:52" ht="24.75" customHeight="1" x14ac:dyDescent="0.35">
      <c r="A195" s="184"/>
      <c r="B195" s="185" t="e" cm="1">
        <f t="array" ref="B195">AND(ISTEXT('Consolidado-Eletronorte'!#REF!),SUM('Consolidado-Eletronorte'!#REF!)&gt;0)</f>
        <v>#REF!</v>
      </c>
      <c r="C195" s="186" t="str">
        <f t="shared" ca="1" si="6"/>
        <v>Capex Orcamentário_PE2026_2030_red_35_porcentoR3_consulta.xlsx</v>
      </c>
      <c r="D195" s="187" t="str">
        <f t="shared" si="7"/>
        <v>COO</v>
      </c>
      <c r="E195" s="187" t="str">
        <f t="shared" si="8"/>
        <v>Lucas Martins</v>
      </c>
      <c r="F195" s="188"/>
      <c r="G195" s="188" t="e">
        <f>_xlfn.CONCAT('Consolidado-Eletronorte'!#REF!,"_",ROW('Consolidado-Eletronorte'!#REF!)-ROW('Consolidado-Eletronorte'!$G$18))</f>
        <v>#REF!</v>
      </c>
      <c r="H195" s="279" t="s">
        <v>506</v>
      </c>
      <c r="I195" s="189" t="s">
        <v>1024</v>
      </c>
      <c r="J195" s="190" t="s">
        <v>508</v>
      </c>
      <c r="K195" s="189" t="s">
        <v>1821</v>
      </c>
      <c r="L195" s="189" t="s">
        <v>1828</v>
      </c>
      <c r="M195" s="189" t="s">
        <v>1849</v>
      </c>
      <c r="N195" s="189"/>
      <c r="O195" s="189"/>
      <c r="P195" s="189"/>
      <c r="Q195" s="191" t="s">
        <v>2245</v>
      </c>
      <c r="R195" s="191" t="s">
        <v>2121</v>
      </c>
      <c r="S195" s="189" t="s">
        <v>1852</v>
      </c>
      <c r="T195" s="192">
        <v>0</v>
      </c>
      <c r="U195" s="193">
        <v>0</v>
      </c>
      <c r="V195" s="193">
        <v>0</v>
      </c>
      <c r="W195" s="193">
        <v>0</v>
      </c>
      <c r="X195" s="192">
        <v>0</v>
      </c>
      <c r="Y195" s="192">
        <v>0</v>
      </c>
      <c r="Z195" s="194">
        <v>160000</v>
      </c>
      <c r="AA195" s="194">
        <v>0</v>
      </c>
      <c r="AB195" s="194">
        <v>0</v>
      </c>
      <c r="AC195" s="194">
        <v>0</v>
      </c>
      <c r="AD195" s="194">
        <v>0</v>
      </c>
      <c r="AE195" s="194">
        <v>0</v>
      </c>
      <c r="AF195" s="194">
        <f>SUM(Tabela99[[#This Row],[jan/26]:[dez/26]])</f>
        <v>160000</v>
      </c>
      <c r="AG195" s="194">
        <v>0</v>
      </c>
      <c r="AH195" s="194">
        <v>0</v>
      </c>
      <c r="AI195" s="194">
        <v>0</v>
      </c>
      <c r="AJ195" s="194">
        <v>0</v>
      </c>
      <c r="AK195" s="194">
        <f>SUM(Tabela99[[#This Row],[2026]:[2030]])</f>
        <v>160000</v>
      </c>
      <c r="AL195" s="193">
        <v>0</v>
      </c>
      <c r="AM195" s="194">
        <v>0</v>
      </c>
      <c r="AN195" s="194">
        <v>0</v>
      </c>
      <c r="AO195" s="194">
        <v>0</v>
      </c>
      <c r="AP195" s="194">
        <v>0</v>
      </c>
      <c r="AQ195" s="195">
        <f>SUM(Tabela99[[#This Row],[2026-2030]:[2035]])</f>
        <v>160000</v>
      </c>
      <c r="AS195" s="2" t="s">
        <v>1853</v>
      </c>
      <c r="AT195" s="2" t="s">
        <v>1772</v>
      </c>
      <c r="AU195" s="2" t="s">
        <v>2041</v>
      </c>
      <c r="AW195" s="2" t="s">
        <v>1854</v>
      </c>
      <c r="AZ195" s="2" t="s">
        <v>1855</v>
      </c>
    </row>
    <row r="196" spans="1:52" ht="24.75" customHeight="1" x14ac:dyDescent="0.35">
      <c r="A196" s="184"/>
      <c r="B196" s="185" t="e" cm="1">
        <f t="array" ref="B196">AND(ISTEXT('Consolidado-Eletronorte'!#REF!),SUM('Consolidado-Eletronorte'!#REF!)&gt;0)</f>
        <v>#REF!</v>
      </c>
      <c r="C196" s="186" t="str">
        <f t="shared" ca="1" si="6"/>
        <v>Capex Orcamentário_PE2026_2030_red_35_porcentoR3_consulta.xlsx</v>
      </c>
      <c r="D196" s="187" t="str">
        <f t="shared" si="7"/>
        <v>COO</v>
      </c>
      <c r="E196" s="187" t="str">
        <f t="shared" si="8"/>
        <v>Lucas Martins</v>
      </c>
      <c r="F196" s="188"/>
      <c r="G196" s="188" t="e">
        <f>_xlfn.CONCAT('Consolidado-Eletronorte'!#REF!,"_",ROW('Consolidado-Eletronorte'!#REF!)-ROW('Consolidado-Eletronorte'!$G$18))</f>
        <v>#REF!</v>
      </c>
      <c r="H196" s="279" t="s">
        <v>506</v>
      </c>
      <c r="I196" s="189" t="s">
        <v>1024</v>
      </c>
      <c r="J196" s="190" t="s">
        <v>508</v>
      </c>
      <c r="K196" s="189" t="s">
        <v>1821</v>
      </c>
      <c r="L196" s="189" t="s">
        <v>1828</v>
      </c>
      <c r="M196" s="189" t="s">
        <v>1849</v>
      </c>
      <c r="N196" s="189"/>
      <c r="O196" s="189"/>
      <c r="P196" s="189"/>
      <c r="Q196" s="191" t="s">
        <v>2246</v>
      </c>
      <c r="R196" s="191" t="s">
        <v>2121</v>
      </c>
      <c r="S196" s="189" t="s">
        <v>1852</v>
      </c>
      <c r="T196" s="192">
        <v>0</v>
      </c>
      <c r="U196" s="193">
        <v>0</v>
      </c>
      <c r="V196" s="193">
        <v>0</v>
      </c>
      <c r="W196" s="193">
        <v>0</v>
      </c>
      <c r="X196" s="192">
        <v>0</v>
      </c>
      <c r="Y196" s="192">
        <v>0</v>
      </c>
      <c r="Z196" s="194">
        <v>160000</v>
      </c>
      <c r="AA196" s="194">
        <v>0</v>
      </c>
      <c r="AB196" s="194">
        <v>0</v>
      </c>
      <c r="AC196" s="194">
        <v>0</v>
      </c>
      <c r="AD196" s="194">
        <v>0</v>
      </c>
      <c r="AE196" s="194">
        <v>0</v>
      </c>
      <c r="AF196" s="194">
        <f>SUM(Tabela99[[#This Row],[jan/26]:[dez/26]])</f>
        <v>160000</v>
      </c>
      <c r="AG196" s="194">
        <v>0</v>
      </c>
      <c r="AH196" s="194">
        <v>0</v>
      </c>
      <c r="AI196" s="194">
        <v>0</v>
      </c>
      <c r="AJ196" s="194">
        <v>0</v>
      </c>
      <c r="AK196" s="194">
        <f>SUM(Tabela99[[#This Row],[2026]:[2030]])</f>
        <v>160000</v>
      </c>
      <c r="AL196" s="193">
        <v>0</v>
      </c>
      <c r="AM196" s="194">
        <v>0</v>
      </c>
      <c r="AN196" s="194">
        <v>0</v>
      </c>
      <c r="AO196" s="194">
        <v>0</v>
      </c>
      <c r="AP196" s="194">
        <v>0</v>
      </c>
      <c r="AQ196" s="195">
        <f>SUM(Tabela99[[#This Row],[2026-2030]:[2035]])</f>
        <v>160000</v>
      </c>
      <c r="AS196" s="2" t="s">
        <v>1853</v>
      </c>
      <c r="AT196" s="2" t="s">
        <v>1772</v>
      </c>
      <c r="AU196" s="2" t="s">
        <v>2041</v>
      </c>
      <c r="AW196" s="2" t="s">
        <v>1854</v>
      </c>
      <c r="AZ196" s="2" t="s">
        <v>1855</v>
      </c>
    </row>
    <row r="197" spans="1:52" ht="24.75" customHeight="1" x14ac:dyDescent="0.35">
      <c r="A197" s="184"/>
      <c r="B197" s="185" t="e" cm="1">
        <f t="array" ref="B197">AND(ISTEXT('Consolidado-Eletronorte'!#REF!),SUM('Consolidado-Eletronorte'!#REF!)&gt;0)</f>
        <v>#REF!</v>
      </c>
      <c r="C197" s="186" t="str">
        <f t="shared" ca="1" si="6"/>
        <v>Capex Orcamentário_PE2026_2030_red_35_porcentoR3_consulta.xlsx</v>
      </c>
      <c r="D197" s="187" t="str">
        <f t="shared" si="7"/>
        <v>COO</v>
      </c>
      <c r="E197" s="187" t="str">
        <f t="shared" si="8"/>
        <v>Lucas Martins</v>
      </c>
      <c r="F197" s="188"/>
      <c r="G197" s="188" t="e">
        <f>_xlfn.CONCAT('Consolidado-Eletronorte'!#REF!,"_",ROW('Consolidado-Eletronorte'!#REF!)-ROW('Consolidado-Eletronorte'!$G$18))</f>
        <v>#REF!</v>
      </c>
      <c r="H197" s="279" t="s">
        <v>506</v>
      </c>
      <c r="I197" s="189" t="s">
        <v>1024</v>
      </c>
      <c r="J197" s="190" t="s">
        <v>508</v>
      </c>
      <c r="K197" s="189" t="s">
        <v>1821</v>
      </c>
      <c r="L197" s="189" t="s">
        <v>1828</v>
      </c>
      <c r="M197" s="189" t="s">
        <v>1849</v>
      </c>
      <c r="N197" s="189"/>
      <c r="O197" s="189"/>
      <c r="P197" s="189"/>
      <c r="Q197" s="191" t="s">
        <v>2247</v>
      </c>
      <c r="R197" s="191" t="s">
        <v>2121</v>
      </c>
      <c r="S197" s="189" t="s">
        <v>1852</v>
      </c>
      <c r="T197" s="192">
        <v>0</v>
      </c>
      <c r="U197" s="193">
        <v>0</v>
      </c>
      <c r="V197" s="193">
        <v>0</v>
      </c>
      <c r="W197" s="193">
        <v>0</v>
      </c>
      <c r="X197" s="192">
        <v>0</v>
      </c>
      <c r="Y197" s="192">
        <v>0</v>
      </c>
      <c r="Z197" s="194">
        <v>160000</v>
      </c>
      <c r="AA197" s="194">
        <v>0</v>
      </c>
      <c r="AB197" s="194">
        <v>0</v>
      </c>
      <c r="AC197" s="194">
        <v>0</v>
      </c>
      <c r="AD197" s="194">
        <v>0</v>
      </c>
      <c r="AE197" s="194">
        <v>0</v>
      </c>
      <c r="AF197" s="194">
        <f>SUM(Tabela99[[#This Row],[jan/26]:[dez/26]])</f>
        <v>160000</v>
      </c>
      <c r="AG197" s="194">
        <v>0</v>
      </c>
      <c r="AH197" s="194">
        <v>0</v>
      </c>
      <c r="AI197" s="194">
        <v>0</v>
      </c>
      <c r="AJ197" s="194">
        <v>0</v>
      </c>
      <c r="AK197" s="194">
        <f>SUM(Tabela99[[#This Row],[2026]:[2030]])</f>
        <v>160000</v>
      </c>
      <c r="AL197" s="193">
        <v>0</v>
      </c>
      <c r="AM197" s="194">
        <v>0</v>
      </c>
      <c r="AN197" s="194">
        <v>0</v>
      </c>
      <c r="AO197" s="194">
        <v>0</v>
      </c>
      <c r="AP197" s="194">
        <v>0</v>
      </c>
      <c r="AQ197" s="195">
        <f>SUM(Tabela99[[#This Row],[2026-2030]:[2035]])</f>
        <v>160000</v>
      </c>
      <c r="AS197" s="2" t="s">
        <v>1853</v>
      </c>
      <c r="AT197" s="2" t="s">
        <v>1772</v>
      </c>
      <c r="AU197" s="2" t="s">
        <v>2041</v>
      </c>
      <c r="AW197" s="2" t="s">
        <v>1854</v>
      </c>
      <c r="AZ197" s="2" t="s">
        <v>1855</v>
      </c>
    </row>
    <row r="198" spans="1:52" ht="24.75" customHeight="1" x14ac:dyDescent="0.35">
      <c r="A198" s="184"/>
      <c r="B198" s="185" t="e" cm="1">
        <f t="array" ref="B198">AND(ISTEXT('Consolidado-Eletronorte'!#REF!),SUM('Consolidado-Eletronorte'!#REF!)&gt;0)</f>
        <v>#REF!</v>
      </c>
      <c r="C198" s="186" t="str">
        <f t="shared" ca="1" si="6"/>
        <v>Capex Orcamentário_PE2026_2030_red_35_porcentoR3_consulta.xlsx</v>
      </c>
      <c r="D198" s="187" t="str">
        <f t="shared" si="7"/>
        <v>COO</v>
      </c>
      <c r="E198" s="187" t="str">
        <f t="shared" si="8"/>
        <v>Lucas Martins</v>
      </c>
      <c r="F198" s="188"/>
      <c r="G198" s="188" t="e">
        <f>_xlfn.CONCAT('Consolidado-Eletronorte'!#REF!,"_",ROW('Consolidado-Eletronorte'!#REF!)-ROW('Consolidado-Eletronorte'!$G$18))</f>
        <v>#REF!</v>
      </c>
      <c r="H198" s="279" t="s">
        <v>506</v>
      </c>
      <c r="I198" s="189" t="s">
        <v>1024</v>
      </c>
      <c r="J198" s="190" t="s">
        <v>508</v>
      </c>
      <c r="K198" s="189" t="s">
        <v>1821</v>
      </c>
      <c r="L198" s="189" t="s">
        <v>1828</v>
      </c>
      <c r="M198" s="189" t="s">
        <v>1883</v>
      </c>
      <c r="N198" s="189"/>
      <c r="O198" s="189"/>
      <c r="P198" s="189"/>
      <c r="Q198" s="191" t="s">
        <v>2248</v>
      </c>
      <c r="R198" s="191" t="s">
        <v>2248</v>
      </c>
      <c r="S198" s="189" t="s">
        <v>1885</v>
      </c>
      <c r="T198" s="192">
        <v>0</v>
      </c>
      <c r="U198" s="193">
        <v>0</v>
      </c>
      <c r="V198" s="193">
        <v>0</v>
      </c>
      <c r="W198" s="193">
        <v>150000</v>
      </c>
      <c r="X198" s="192">
        <v>0</v>
      </c>
      <c r="Y198" s="192">
        <v>0</v>
      </c>
      <c r="Z198" s="194">
        <v>0</v>
      </c>
      <c r="AA198" s="194">
        <v>0</v>
      </c>
      <c r="AB198" s="194">
        <v>0</v>
      </c>
      <c r="AC198" s="194">
        <v>0</v>
      </c>
      <c r="AD198" s="194">
        <v>0</v>
      </c>
      <c r="AE198" s="194">
        <v>0</v>
      </c>
      <c r="AF198" s="194">
        <f>SUM(Tabela99[[#This Row],[jan/26]:[dez/26]])</f>
        <v>150000</v>
      </c>
      <c r="AG198" s="194">
        <v>0</v>
      </c>
      <c r="AH198" s="194">
        <v>0</v>
      </c>
      <c r="AI198" s="194">
        <v>0</v>
      </c>
      <c r="AJ198" s="194">
        <v>0</v>
      </c>
      <c r="AK198" s="194">
        <f>SUM(Tabela99[[#This Row],[2026]:[2030]])</f>
        <v>150000</v>
      </c>
      <c r="AL198" s="193">
        <v>0</v>
      </c>
      <c r="AM198" s="194">
        <v>0</v>
      </c>
      <c r="AN198" s="194">
        <v>0</v>
      </c>
      <c r="AO198" s="194">
        <v>0</v>
      </c>
      <c r="AP198" s="194">
        <v>0</v>
      </c>
      <c r="AQ198" s="195">
        <f>SUM(Tabela99[[#This Row],[2026-2030]:[2035]])</f>
        <v>150000</v>
      </c>
      <c r="AS198" s="2" t="s">
        <v>1886</v>
      </c>
      <c r="AT198" s="2">
        <v>2025</v>
      </c>
      <c r="AU198" s="2" t="s">
        <v>2041</v>
      </c>
      <c r="AW198" s="2" t="s">
        <v>1854</v>
      </c>
      <c r="AZ198" s="2" t="s">
        <v>1887</v>
      </c>
    </row>
    <row r="199" spans="1:52" ht="24.75" customHeight="1" x14ac:dyDescent="0.35">
      <c r="A199" s="184"/>
      <c r="B199" s="185" t="e" cm="1">
        <f t="array" ref="B199">AND(ISTEXT('Consolidado-Eletronorte'!#REF!),SUM('Consolidado-Eletronorte'!#REF!)&gt;0)</f>
        <v>#REF!</v>
      </c>
      <c r="C199" s="186" t="str">
        <f t="shared" ca="1" si="6"/>
        <v>Capex Orcamentário_PE2026_2030_red_35_porcentoR3_consulta.xlsx</v>
      </c>
      <c r="D199" s="187" t="str">
        <f t="shared" si="7"/>
        <v>COO</v>
      </c>
      <c r="E199" s="187" t="str">
        <f t="shared" si="8"/>
        <v>Lucas Martins</v>
      </c>
      <c r="F199" s="188"/>
      <c r="G199" s="188" t="e">
        <f>_xlfn.CONCAT('Consolidado-Eletronorte'!#REF!,"_",ROW('Consolidado-Eletronorte'!#REF!)-ROW('Consolidado-Eletronorte'!$G$18))</f>
        <v>#REF!</v>
      </c>
      <c r="H199" s="279" t="s">
        <v>506</v>
      </c>
      <c r="I199" s="189" t="s">
        <v>1024</v>
      </c>
      <c r="J199" s="190" t="s">
        <v>508</v>
      </c>
      <c r="K199" s="189" t="s">
        <v>1741</v>
      </c>
      <c r="L199" s="189" t="s">
        <v>2019</v>
      </c>
      <c r="M199" s="189" t="s">
        <v>2052</v>
      </c>
      <c r="N199" s="189"/>
      <c r="O199" s="189"/>
      <c r="P199" s="189"/>
      <c r="Q199" s="191" t="s">
        <v>2249</v>
      </c>
      <c r="R199" s="191" t="s">
        <v>2250</v>
      </c>
      <c r="S199" s="189" t="s">
        <v>2092</v>
      </c>
      <c r="T199" s="192">
        <v>0</v>
      </c>
      <c r="U199" s="193">
        <v>0</v>
      </c>
      <c r="V199" s="193">
        <v>0</v>
      </c>
      <c r="W199" s="193">
        <v>0</v>
      </c>
      <c r="X199" s="192">
        <v>0</v>
      </c>
      <c r="Y199" s="192">
        <v>0</v>
      </c>
      <c r="Z199" s="194">
        <v>0</v>
      </c>
      <c r="AA199" s="194">
        <v>121840</v>
      </c>
      <c r="AB199" s="194">
        <v>0</v>
      </c>
      <c r="AC199" s="194">
        <v>0</v>
      </c>
      <c r="AD199" s="194">
        <v>0</v>
      </c>
      <c r="AE199" s="194">
        <v>0</v>
      </c>
      <c r="AF199" s="194">
        <f>SUM(Tabela99[[#This Row],[jan/26]:[dez/26]])</f>
        <v>121840</v>
      </c>
      <c r="AG199" s="194">
        <v>0</v>
      </c>
      <c r="AH199" s="194">
        <v>0</v>
      </c>
      <c r="AI199" s="194">
        <v>0</v>
      </c>
      <c r="AJ199" s="194">
        <v>0</v>
      </c>
      <c r="AK199" s="194">
        <f>SUM(Tabela99[[#This Row],[2026]:[2030]])</f>
        <v>121840</v>
      </c>
      <c r="AL199" s="193">
        <v>0</v>
      </c>
      <c r="AM199" s="194">
        <v>0</v>
      </c>
      <c r="AN199" s="194">
        <v>0</v>
      </c>
      <c r="AO199" s="194">
        <v>0</v>
      </c>
      <c r="AP199" s="194">
        <v>0</v>
      </c>
      <c r="AQ199" s="195">
        <f>SUM(Tabela99[[#This Row],[2026-2030]:[2035]])</f>
        <v>121840</v>
      </c>
      <c r="AS199" s="2" t="s">
        <v>2055</v>
      </c>
      <c r="AT199" s="2" t="s">
        <v>1772</v>
      </c>
      <c r="AU199" s="2" t="s">
        <v>2041</v>
      </c>
      <c r="AW199" s="2" t="s">
        <v>1603</v>
      </c>
      <c r="AZ199" s="2" t="s">
        <v>2090</v>
      </c>
    </row>
    <row r="200" spans="1:52" ht="24.75" customHeight="1" x14ac:dyDescent="0.35">
      <c r="A200" s="184"/>
      <c r="B200" s="185" t="e" cm="1">
        <f t="array" ref="B200">AND(ISTEXT('Consolidado-Eletronorte'!#REF!),SUM('Consolidado-Eletronorte'!#REF!)&gt;0)</f>
        <v>#REF!</v>
      </c>
      <c r="C200" s="186" t="str">
        <f t="shared" ca="1" si="6"/>
        <v>Capex Orcamentário_PE2026_2030_red_35_porcentoR3_consulta.xlsx</v>
      </c>
      <c r="D200" s="187" t="str">
        <f t="shared" si="7"/>
        <v>COO</v>
      </c>
      <c r="E200" s="187" t="str">
        <f t="shared" si="8"/>
        <v>Lucas Martins</v>
      </c>
      <c r="F200" s="188"/>
      <c r="G200" s="188" t="e">
        <f>_xlfn.CONCAT('Consolidado-Eletronorte'!#REF!,"_",ROW('Consolidado-Eletronorte'!#REF!)-ROW('Consolidado-Eletronorte'!$G$18))</f>
        <v>#REF!</v>
      </c>
      <c r="H200" s="279" t="s">
        <v>506</v>
      </c>
      <c r="I200" s="189" t="s">
        <v>1024</v>
      </c>
      <c r="J200" s="190" t="s">
        <v>508</v>
      </c>
      <c r="K200" s="189" t="s">
        <v>1741</v>
      </c>
      <c r="L200" s="189" t="s">
        <v>2019</v>
      </c>
      <c r="M200" s="189" t="s">
        <v>2052</v>
      </c>
      <c r="N200" s="189"/>
      <c r="O200" s="189"/>
      <c r="P200" s="189"/>
      <c r="Q200" s="191" t="s">
        <v>2249</v>
      </c>
      <c r="R200" s="191" t="s">
        <v>2250</v>
      </c>
      <c r="S200" s="189" t="s">
        <v>1840</v>
      </c>
      <c r="T200" s="192">
        <v>0</v>
      </c>
      <c r="U200" s="193">
        <v>0</v>
      </c>
      <c r="V200" s="193">
        <v>0</v>
      </c>
      <c r="W200" s="193">
        <v>0</v>
      </c>
      <c r="X200" s="192">
        <v>0</v>
      </c>
      <c r="Y200" s="192">
        <v>0</v>
      </c>
      <c r="Z200" s="194">
        <v>0</v>
      </c>
      <c r="AA200" s="194">
        <v>121840</v>
      </c>
      <c r="AB200" s="194">
        <v>0</v>
      </c>
      <c r="AC200" s="194">
        <v>0</v>
      </c>
      <c r="AD200" s="194">
        <v>0</v>
      </c>
      <c r="AE200" s="194">
        <v>0</v>
      </c>
      <c r="AF200" s="194">
        <f>SUM(Tabela99[[#This Row],[jan/26]:[dez/26]])</f>
        <v>121840</v>
      </c>
      <c r="AG200" s="194">
        <v>0</v>
      </c>
      <c r="AH200" s="194">
        <v>0</v>
      </c>
      <c r="AI200" s="194">
        <v>0</v>
      </c>
      <c r="AJ200" s="194">
        <v>0</v>
      </c>
      <c r="AK200" s="194">
        <f>SUM(Tabela99[[#This Row],[2026]:[2030]])</f>
        <v>121840</v>
      </c>
      <c r="AL200" s="193">
        <v>0</v>
      </c>
      <c r="AM200" s="194">
        <v>0</v>
      </c>
      <c r="AN200" s="194">
        <v>0</v>
      </c>
      <c r="AO200" s="194">
        <v>0</v>
      </c>
      <c r="AP200" s="194">
        <v>0</v>
      </c>
      <c r="AQ200" s="195">
        <f>SUM(Tabela99[[#This Row],[2026-2030]:[2035]])</f>
        <v>121840</v>
      </c>
      <c r="AS200" s="2" t="s">
        <v>2055</v>
      </c>
      <c r="AT200" s="2" t="s">
        <v>1772</v>
      </c>
      <c r="AU200" s="2" t="s">
        <v>2041</v>
      </c>
      <c r="AW200" s="2" t="s">
        <v>1603</v>
      </c>
      <c r="AZ200" s="2" t="s">
        <v>2090</v>
      </c>
    </row>
    <row r="201" spans="1:52" ht="24.75" customHeight="1" x14ac:dyDescent="0.35">
      <c r="A201" s="184"/>
      <c r="B201" s="185" t="e" cm="1">
        <f t="array" ref="B201">AND(ISTEXT('Consolidado-Eletronorte'!#REF!),SUM('Consolidado-Eletronorte'!#REF!)&gt;0)</f>
        <v>#REF!</v>
      </c>
      <c r="C201" s="186" t="str">
        <f t="shared" ref="C201:C217" ca="1" si="9">$J$3</f>
        <v>Capex Orcamentário_PE2026_2030_red_35_porcentoR3_consulta.xlsx</v>
      </c>
      <c r="D201" s="187" t="str">
        <f t="shared" ref="D201:D217" si="10">$H$3</f>
        <v>COO</v>
      </c>
      <c r="E201" s="187" t="str">
        <f t="shared" ref="E201:E217" si="11">$H$4</f>
        <v>Lucas Martins</v>
      </c>
      <c r="F201" s="188"/>
      <c r="G201" s="188" t="e">
        <f>_xlfn.CONCAT('Consolidado-Eletronorte'!#REF!,"_",ROW('Consolidado-Eletronorte'!#REF!)-ROW('Consolidado-Eletronorte'!$G$18))</f>
        <v>#REF!</v>
      </c>
      <c r="H201" s="279" t="s">
        <v>506</v>
      </c>
      <c r="I201" s="189" t="s">
        <v>1024</v>
      </c>
      <c r="J201" s="190" t="s">
        <v>508</v>
      </c>
      <c r="K201" s="189" t="s">
        <v>1741</v>
      </c>
      <c r="L201" s="189" t="s">
        <v>2019</v>
      </c>
      <c r="M201" s="189" t="s">
        <v>2052</v>
      </c>
      <c r="N201" s="189"/>
      <c r="O201" s="189"/>
      <c r="P201" s="189"/>
      <c r="Q201" s="191" t="s">
        <v>2249</v>
      </c>
      <c r="R201" s="191" t="s">
        <v>2250</v>
      </c>
      <c r="S201" s="189" t="s">
        <v>1861</v>
      </c>
      <c r="T201" s="192">
        <v>0</v>
      </c>
      <c r="U201" s="193">
        <v>0</v>
      </c>
      <c r="V201" s="193">
        <v>0</v>
      </c>
      <c r="W201" s="193">
        <v>0</v>
      </c>
      <c r="X201" s="192">
        <v>0</v>
      </c>
      <c r="Y201" s="192">
        <v>0</v>
      </c>
      <c r="Z201" s="194">
        <v>0</v>
      </c>
      <c r="AA201" s="194">
        <v>121840</v>
      </c>
      <c r="AB201" s="194">
        <v>0</v>
      </c>
      <c r="AC201" s="194">
        <v>0</v>
      </c>
      <c r="AD201" s="194">
        <v>0</v>
      </c>
      <c r="AE201" s="194">
        <v>0</v>
      </c>
      <c r="AF201" s="194">
        <f>SUM(Tabela99[[#This Row],[jan/26]:[dez/26]])</f>
        <v>121840</v>
      </c>
      <c r="AG201" s="194">
        <v>0</v>
      </c>
      <c r="AH201" s="194">
        <v>0</v>
      </c>
      <c r="AI201" s="194">
        <v>0</v>
      </c>
      <c r="AJ201" s="194">
        <v>0</v>
      </c>
      <c r="AK201" s="194">
        <f>SUM(Tabela99[[#This Row],[2026]:[2030]])</f>
        <v>121840</v>
      </c>
      <c r="AL201" s="193">
        <v>0</v>
      </c>
      <c r="AM201" s="194">
        <v>0</v>
      </c>
      <c r="AN201" s="194">
        <v>0</v>
      </c>
      <c r="AO201" s="194">
        <v>0</v>
      </c>
      <c r="AP201" s="194">
        <v>0</v>
      </c>
      <c r="AQ201" s="195">
        <f>SUM(Tabela99[[#This Row],[2026-2030]:[2035]])</f>
        <v>121840</v>
      </c>
      <c r="AS201" s="2" t="s">
        <v>2055</v>
      </c>
      <c r="AT201" s="2" t="s">
        <v>1772</v>
      </c>
      <c r="AU201" s="2" t="s">
        <v>2041</v>
      </c>
      <c r="AW201" s="2" t="s">
        <v>1603</v>
      </c>
      <c r="AZ201" s="2" t="s">
        <v>2090</v>
      </c>
    </row>
    <row r="202" spans="1:52" ht="24.75" customHeight="1" x14ac:dyDescent="0.35">
      <c r="A202" s="184"/>
      <c r="B202" s="185" t="e" cm="1">
        <f t="array" ref="B202">AND(ISTEXT('Consolidado-Eletronorte'!#REF!),SUM('Consolidado-Eletronorte'!#REF!)&gt;0)</f>
        <v>#REF!</v>
      </c>
      <c r="C202" s="186" t="str">
        <f t="shared" ca="1" si="9"/>
        <v>Capex Orcamentário_PE2026_2030_red_35_porcentoR3_consulta.xlsx</v>
      </c>
      <c r="D202" s="187" t="str">
        <f t="shared" si="10"/>
        <v>COO</v>
      </c>
      <c r="E202" s="187" t="str">
        <f t="shared" si="11"/>
        <v>Lucas Martins</v>
      </c>
      <c r="F202" s="188"/>
      <c r="G202" s="188" t="e">
        <f>_xlfn.CONCAT('Consolidado-Eletronorte'!#REF!,"_",ROW('Consolidado-Eletronorte'!#REF!)-ROW('Consolidado-Eletronorte'!$G$18))</f>
        <v>#REF!</v>
      </c>
      <c r="H202" s="279" t="s">
        <v>506</v>
      </c>
      <c r="I202" s="189" t="s">
        <v>1024</v>
      </c>
      <c r="J202" s="190" t="s">
        <v>508</v>
      </c>
      <c r="K202" s="189" t="s">
        <v>1741</v>
      </c>
      <c r="L202" s="189" t="s">
        <v>2019</v>
      </c>
      <c r="M202" s="189" t="s">
        <v>2052</v>
      </c>
      <c r="N202" s="189"/>
      <c r="O202" s="189"/>
      <c r="P202" s="189"/>
      <c r="Q202" s="191" t="s">
        <v>2249</v>
      </c>
      <c r="R202" s="191" t="s">
        <v>2250</v>
      </c>
      <c r="S202" s="189" t="s">
        <v>1025</v>
      </c>
      <c r="T202" s="192">
        <v>0</v>
      </c>
      <c r="U202" s="193">
        <v>0</v>
      </c>
      <c r="V202" s="193">
        <v>0</v>
      </c>
      <c r="W202" s="193">
        <v>0</v>
      </c>
      <c r="X202" s="192">
        <v>0</v>
      </c>
      <c r="Y202" s="192">
        <v>0</v>
      </c>
      <c r="Z202" s="194">
        <v>0</v>
      </c>
      <c r="AA202" s="194">
        <v>108599</v>
      </c>
      <c r="AB202" s="194">
        <v>0</v>
      </c>
      <c r="AC202" s="194">
        <v>0</v>
      </c>
      <c r="AD202" s="194">
        <v>0</v>
      </c>
      <c r="AE202" s="194">
        <v>0</v>
      </c>
      <c r="AF202" s="194">
        <f>SUM(Tabela99[[#This Row],[jan/26]:[dez/26]])</f>
        <v>108599</v>
      </c>
      <c r="AG202" s="194">
        <v>0</v>
      </c>
      <c r="AH202" s="194">
        <v>0</v>
      </c>
      <c r="AI202" s="194">
        <v>0</v>
      </c>
      <c r="AJ202" s="194">
        <v>0</v>
      </c>
      <c r="AK202" s="194">
        <f>SUM(Tabela99[[#This Row],[2026]:[2030]])</f>
        <v>108599</v>
      </c>
      <c r="AL202" s="193">
        <v>0</v>
      </c>
      <c r="AM202" s="194">
        <v>0</v>
      </c>
      <c r="AN202" s="194">
        <v>0</v>
      </c>
      <c r="AO202" s="194">
        <v>0</v>
      </c>
      <c r="AP202" s="194">
        <v>0</v>
      </c>
      <c r="AQ202" s="195">
        <f>SUM(Tabela99[[#This Row],[2026-2030]:[2035]])</f>
        <v>108599</v>
      </c>
      <c r="AS202" s="2" t="s">
        <v>2055</v>
      </c>
      <c r="AT202" s="2" t="s">
        <v>1772</v>
      </c>
      <c r="AU202" s="2" t="s">
        <v>2041</v>
      </c>
      <c r="AW202" s="2" t="s">
        <v>1603</v>
      </c>
      <c r="AZ202" s="2" t="s">
        <v>2090</v>
      </c>
    </row>
    <row r="203" spans="1:52" ht="24.75" customHeight="1" x14ac:dyDescent="0.35">
      <c r="A203" s="184"/>
      <c r="B203" s="185" t="e" cm="1">
        <f t="array" ref="B203">AND(ISTEXT('Consolidado-Eletronorte'!#REF!),SUM('Consolidado-Eletronorte'!#REF!)&gt;0)</f>
        <v>#REF!</v>
      </c>
      <c r="C203" s="186" t="str">
        <f t="shared" ca="1" si="9"/>
        <v>Capex Orcamentário_PE2026_2030_red_35_porcentoR3_consulta.xlsx</v>
      </c>
      <c r="D203" s="187" t="str">
        <f t="shared" si="10"/>
        <v>COO</v>
      </c>
      <c r="E203" s="187" t="str">
        <f t="shared" si="11"/>
        <v>Lucas Martins</v>
      </c>
      <c r="F203" s="188"/>
      <c r="G203" s="188" t="e">
        <f>_xlfn.CONCAT('Consolidado-Eletronorte'!#REF!,"_",ROW('Consolidado-Eletronorte'!#REF!)-ROW('Consolidado-Eletronorte'!$G$18))</f>
        <v>#REF!</v>
      </c>
      <c r="H203" s="279" t="s">
        <v>506</v>
      </c>
      <c r="I203" s="189" t="s">
        <v>1024</v>
      </c>
      <c r="J203" s="190" t="s">
        <v>508</v>
      </c>
      <c r="K203" s="189" t="s">
        <v>1821</v>
      </c>
      <c r="L203" s="189" t="s">
        <v>1828</v>
      </c>
      <c r="M203" s="189" t="s">
        <v>2082</v>
      </c>
      <c r="N203" s="189"/>
      <c r="O203" s="189"/>
      <c r="P203" s="189"/>
      <c r="Q203" s="191" t="s">
        <v>2251</v>
      </c>
      <c r="R203" s="191" t="s">
        <v>2008</v>
      </c>
      <c r="S203" s="189" t="s">
        <v>2085</v>
      </c>
      <c r="T203" s="192">
        <v>0</v>
      </c>
      <c r="U203" s="193">
        <v>0</v>
      </c>
      <c r="V203" s="193">
        <v>0</v>
      </c>
      <c r="W203" s="193">
        <v>0</v>
      </c>
      <c r="X203" s="192">
        <v>0</v>
      </c>
      <c r="Y203" s="192">
        <v>0</v>
      </c>
      <c r="Z203" s="194">
        <v>0</v>
      </c>
      <c r="AA203" s="194">
        <v>0</v>
      </c>
      <c r="AB203" s="194">
        <v>100000</v>
      </c>
      <c r="AC203" s="194">
        <v>0</v>
      </c>
      <c r="AD203" s="194">
        <v>0</v>
      </c>
      <c r="AE203" s="194">
        <v>0</v>
      </c>
      <c r="AF203" s="194">
        <f>SUM(Tabela99[[#This Row],[jan/26]:[dez/26]])</f>
        <v>100000</v>
      </c>
      <c r="AG203" s="194">
        <v>0</v>
      </c>
      <c r="AH203" s="194">
        <v>0</v>
      </c>
      <c r="AI203" s="194">
        <v>0</v>
      </c>
      <c r="AJ203" s="194">
        <v>0</v>
      </c>
      <c r="AK203" s="194">
        <f>SUM(Tabela99[[#This Row],[2026]:[2030]])</f>
        <v>100000</v>
      </c>
      <c r="AL203" s="193">
        <v>0</v>
      </c>
      <c r="AM203" s="194">
        <v>0</v>
      </c>
      <c r="AN203" s="194">
        <v>0</v>
      </c>
      <c r="AO203" s="194">
        <v>0</v>
      </c>
      <c r="AP203" s="194">
        <v>0</v>
      </c>
      <c r="AQ203" s="195">
        <f>SUM(Tabela99[[#This Row],[2026-2030]:[2035]])</f>
        <v>100000</v>
      </c>
      <c r="AS203" s="2" t="s">
        <v>1886</v>
      </c>
      <c r="AT203" s="2">
        <v>2025</v>
      </c>
      <c r="AU203" s="2" t="s">
        <v>2041</v>
      </c>
      <c r="AW203" s="2" t="s">
        <v>1854</v>
      </c>
      <c r="AZ203" s="2" t="s">
        <v>2086</v>
      </c>
    </row>
    <row r="204" spans="1:52" ht="24.75" customHeight="1" x14ac:dyDescent="0.35">
      <c r="A204" s="184"/>
      <c r="B204" s="185" t="e" cm="1">
        <f t="array" ref="B204">AND(ISTEXT('Consolidado-Eletronorte'!#REF!),SUM('Consolidado-Eletronorte'!#REF!)&gt;0)</f>
        <v>#REF!</v>
      </c>
      <c r="C204" s="186" t="str">
        <f t="shared" ca="1" si="9"/>
        <v>Capex Orcamentário_PE2026_2030_red_35_porcentoR3_consulta.xlsx</v>
      </c>
      <c r="D204" s="187" t="str">
        <f t="shared" si="10"/>
        <v>COO</v>
      </c>
      <c r="E204" s="187" t="str">
        <f t="shared" si="11"/>
        <v>Lucas Martins</v>
      </c>
      <c r="F204" s="188"/>
      <c r="G204" s="188" t="e">
        <f>_xlfn.CONCAT('Consolidado-Eletronorte'!#REF!,"_",ROW('Consolidado-Eletronorte'!#REF!)-ROW('Consolidado-Eletronorte'!$G$18))</f>
        <v>#REF!</v>
      </c>
      <c r="H204" s="279" t="s">
        <v>506</v>
      </c>
      <c r="I204" s="189" t="s">
        <v>1024</v>
      </c>
      <c r="J204" s="190" t="s">
        <v>508</v>
      </c>
      <c r="K204" s="189" t="s">
        <v>1741</v>
      </c>
      <c r="L204" s="189" t="s">
        <v>2019</v>
      </c>
      <c r="M204" s="189" t="s">
        <v>2052</v>
      </c>
      <c r="N204" s="189"/>
      <c r="O204" s="189"/>
      <c r="P204" s="189"/>
      <c r="Q204" s="191" t="s">
        <v>2252</v>
      </c>
      <c r="R204" s="191" t="s">
        <v>2253</v>
      </c>
      <c r="S204" s="189" t="s">
        <v>1870</v>
      </c>
      <c r="T204" s="192">
        <v>0</v>
      </c>
      <c r="U204" s="193">
        <v>0</v>
      </c>
      <c r="V204" s="193">
        <v>0</v>
      </c>
      <c r="W204" s="193">
        <v>0</v>
      </c>
      <c r="X204" s="192">
        <v>70000</v>
      </c>
      <c r="Y204" s="192">
        <v>0</v>
      </c>
      <c r="Z204" s="194">
        <v>0</v>
      </c>
      <c r="AA204" s="194">
        <v>0</v>
      </c>
      <c r="AB204" s="194">
        <v>0</v>
      </c>
      <c r="AC204" s="194">
        <v>0</v>
      </c>
      <c r="AD204" s="194">
        <v>0</v>
      </c>
      <c r="AE204" s="194">
        <v>0</v>
      </c>
      <c r="AF204" s="194">
        <f>SUM(Tabela99[[#This Row],[jan/26]:[dez/26]])</f>
        <v>70000</v>
      </c>
      <c r="AG204" s="194">
        <v>0</v>
      </c>
      <c r="AH204" s="194">
        <v>0</v>
      </c>
      <c r="AI204" s="194">
        <v>0</v>
      </c>
      <c r="AJ204" s="194">
        <v>0</v>
      </c>
      <c r="AK204" s="194">
        <f>SUM(Tabela99[[#This Row],[2026]:[2030]])</f>
        <v>70000</v>
      </c>
      <c r="AL204" s="193">
        <v>0</v>
      </c>
      <c r="AM204" s="194">
        <v>0</v>
      </c>
      <c r="AN204" s="194">
        <v>0</v>
      </c>
      <c r="AO204" s="194">
        <v>0</v>
      </c>
      <c r="AP204" s="194">
        <v>0</v>
      </c>
      <c r="AQ204" s="195">
        <f>SUM(Tabela99[[#This Row],[2026-2030]:[2035]])</f>
        <v>70000</v>
      </c>
      <c r="AS204" s="2" t="s">
        <v>2055</v>
      </c>
      <c r="AT204" s="2">
        <v>2025</v>
      </c>
      <c r="AU204" s="2" t="s">
        <v>2041</v>
      </c>
      <c r="AW204" s="2" t="s">
        <v>1603</v>
      </c>
      <c r="AZ204" s="2" t="s">
        <v>2056</v>
      </c>
    </row>
    <row r="205" spans="1:52" ht="24.75" customHeight="1" x14ac:dyDescent="0.35">
      <c r="A205" s="184"/>
      <c r="B205" s="185" t="e" cm="1">
        <f t="array" ref="B205">AND(ISTEXT('Consolidado-Eletronorte'!#REF!),SUM('Consolidado-Eletronorte'!#REF!)&gt;0)</f>
        <v>#REF!</v>
      </c>
      <c r="C205" s="186" t="str">
        <f t="shared" ca="1" si="9"/>
        <v>Capex Orcamentário_PE2026_2030_red_35_porcentoR3_consulta.xlsx</v>
      </c>
      <c r="D205" s="187" t="str">
        <f t="shared" si="10"/>
        <v>COO</v>
      </c>
      <c r="E205" s="187" t="str">
        <f t="shared" si="11"/>
        <v>Lucas Martins</v>
      </c>
      <c r="F205" s="188"/>
      <c r="G205" s="188" t="e">
        <f>_xlfn.CONCAT('Consolidado-Eletronorte'!#REF!,"_",ROW('Consolidado-Eletronorte'!#REF!)-ROW('Consolidado-Eletronorte'!$G$18))</f>
        <v>#REF!</v>
      </c>
      <c r="H205" s="279" t="s">
        <v>506</v>
      </c>
      <c r="I205" s="189" t="s">
        <v>1024</v>
      </c>
      <c r="J205" s="190" t="s">
        <v>508</v>
      </c>
      <c r="K205" s="189" t="s">
        <v>1821</v>
      </c>
      <c r="L205" s="189" t="s">
        <v>1828</v>
      </c>
      <c r="M205" s="189" t="s">
        <v>1955</v>
      </c>
      <c r="N205" s="189"/>
      <c r="O205" s="189"/>
      <c r="P205" s="189"/>
      <c r="Q205" s="191" t="s">
        <v>2254</v>
      </c>
      <c r="R205" s="191" t="s">
        <v>2255</v>
      </c>
      <c r="S205" s="189" t="s">
        <v>1958</v>
      </c>
      <c r="T205" s="192">
        <v>0</v>
      </c>
      <c r="U205" s="193">
        <v>0</v>
      </c>
      <c r="V205" s="193">
        <v>0</v>
      </c>
      <c r="W205" s="193">
        <v>0</v>
      </c>
      <c r="X205" s="192">
        <v>0</v>
      </c>
      <c r="Y205" s="192">
        <v>60000</v>
      </c>
      <c r="Z205" s="194">
        <v>0</v>
      </c>
      <c r="AA205" s="194">
        <v>0</v>
      </c>
      <c r="AB205" s="194">
        <v>0</v>
      </c>
      <c r="AC205" s="194">
        <v>0</v>
      </c>
      <c r="AD205" s="194">
        <v>0</v>
      </c>
      <c r="AE205" s="194">
        <v>0</v>
      </c>
      <c r="AF205" s="194">
        <f>SUM(Tabela99[[#This Row],[jan/26]:[dez/26]])</f>
        <v>60000</v>
      </c>
      <c r="AG205" s="194">
        <v>0</v>
      </c>
      <c r="AH205" s="194">
        <v>0</v>
      </c>
      <c r="AI205" s="194">
        <v>0</v>
      </c>
      <c r="AJ205" s="194">
        <v>0</v>
      </c>
      <c r="AK205" s="194">
        <f>SUM(Tabela99[[#This Row],[2026]:[2030]])</f>
        <v>60000</v>
      </c>
      <c r="AL205" s="193">
        <v>0</v>
      </c>
      <c r="AM205" s="194">
        <v>0</v>
      </c>
      <c r="AN205" s="194">
        <v>0</v>
      </c>
      <c r="AO205" s="194">
        <v>0</v>
      </c>
      <c r="AP205" s="194">
        <v>0</v>
      </c>
      <c r="AQ205" s="195">
        <f>SUM(Tabela99[[#This Row],[2026-2030]:[2035]])</f>
        <v>60000</v>
      </c>
      <c r="AS205" s="2" t="s">
        <v>1833</v>
      </c>
      <c r="AT205" s="2">
        <v>2025</v>
      </c>
      <c r="AU205" s="2" t="s">
        <v>2041</v>
      </c>
      <c r="AW205" s="2" t="s">
        <v>1854</v>
      </c>
      <c r="AZ205" s="2" t="s">
        <v>1960</v>
      </c>
    </row>
    <row r="206" spans="1:52" ht="24.75" customHeight="1" x14ac:dyDescent="0.35">
      <c r="A206" s="184"/>
      <c r="B206" s="185" t="e" cm="1">
        <f t="array" ref="B206">AND(ISTEXT('Consolidado-Eletronorte'!#REF!),SUM('Consolidado-Eletronorte'!#REF!)&gt;0)</f>
        <v>#REF!</v>
      </c>
      <c r="C206" s="186" t="str">
        <f t="shared" ca="1" si="9"/>
        <v>Capex Orcamentário_PE2026_2030_red_35_porcentoR3_consulta.xlsx</v>
      </c>
      <c r="D206" s="187" t="str">
        <f t="shared" si="10"/>
        <v>COO</v>
      </c>
      <c r="E206" s="187" t="str">
        <f t="shared" si="11"/>
        <v>Lucas Martins</v>
      </c>
      <c r="F206" s="188"/>
      <c r="G206" s="188" t="e">
        <f>_xlfn.CONCAT('Consolidado-Eletronorte'!#REF!,"_",ROW('Consolidado-Eletronorte'!#REF!)-ROW('Consolidado-Eletronorte'!$G$18))</f>
        <v>#REF!</v>
      </c>
      <c r="H206" s="279" t="s">
        <v>506</v>
      </c>
      <c r="I206" s="189" t="s">
        <v>1024</v>
      </c>
      <c r="J206" s="190" t="s">
        <v>508</v>
      </c>
      <c r="K206" s="189" t="s">
        <v>1741</v>
      </c>
      <c r="L206" s="189" t="s">
        <v>2019</v>
      </c>
      <c r="M206" s="189" t="s">
        <v>2052</v>
      </c>
      <c r="N206" s="189"/>
      <c r="O206" s="189"/>
      <c r="P206" s="189"/>
      <c r="Q206" s="191" t="s">
        <v>2256</v>
      </c>
      <c r="R206" s="191" t="s">
        <v>2257</v>
      </c>
      <c r="S206" s="189" t="s">
        <v>2040</v>
      </c>
      <c r="T206" s="192">
        <v>0</v>
      </c>
      <c r="U206" s="193">
        <v>0</v>
      </c>
      <c r="V206" s="193">
        <v>0</v>
      </c>
      <c r="W206" s="193">
        <v>0</v>
      </c>
      <c r="X206" s="192">
        <v>0</v>
      </c>
      <c r="Y206" s="192">
        <v>25000</v>
      </c>
      <c r="Z206" s="194">
        <v>0</v>
      </c>
      <c r="AA206" s="194">
        <v>0</v>
      </c>
      <c r="AB206" s="194">
        <v>0</v>
      </c>
      <c r="AC206" s="194">
        <v>0</v>
      </c>
      <c r="AD206" s="194">
        <v>0</v>
      </c>
      <c r="AE206" s="194">
        <v>0</v>
      </c>
      <c r="AF206" s="194">
        <f>SUM(Tabela99[[#This Row],[jan/26]:[dez/26]])</f>
        <v>25000</v>
      </c>
      <c r="AG206" s="194">
        <v>0</v>
      </c>
      <c r="AH206" s="194">
        <v>0</v>
      </c>
      <c r="AI206" s="194">
        <v>0</v>
      </c>
      <c r="AJ206" s="194">
        <v>0</v>
      </c>
      <c r="AK206" s="194">
        <f>SUM(Tabela99[[#This Row],[2026]:[2030]])</f>
        <v>25000</v>
      </c>
      <c r="AL206" s="193">
        <v>0</v>
      </c>
      <c r="AM206" s="194">
        <v>0</v>
      </c>
      <c r="AN206" s="194">
        <v>0</v>
      </c>
      <c r="AO206" s="194">
        <v>0</v>
      </c>
      <c r="AP206" s="194">
        <v>0</v>
      </c>
      <c r="AQ206" s="195">
        <f>SUM(Tabela99[[#This Row],[2026-2030]:[2035]])</f>
        <v>25000</v>
      </c>
      <c r="AS206" s="2" t="s">
        <v>2055</v>
      </c>
      <c r="AT206" s="2" t="s">
        <v>1772</v>
      </c>
      <c r="AU206" s="2" t="s">
        <v>2041</v>
      </c>
      <c r="AW206" s="2" t="s">
        <v>1603</v>
      </c>
      <c r="AZ206" s="2" t="s">
        <v>2071</v>
      </c>
    </row>
    <row r="207" spans="1:52" ht="24.75" customHeight="1" x14ac:dyDescent="0.35">
      <c r="A207" s="184"/>
      <c r="B207" s="185" t="e" cm="1">
        <f t="array" ref="B207">AND(ISTEXT('Consolidado-Eletronorte'!#REF!),SUM('Consolidado-Eletronorte'!#REF!)&gt;0)</f>
        <v>#REF!</v>
      </c>
      <c r="C207" s="186" t="str">
        <f t="shared" ca="1" si="9"/>
        <v>Capex Orcamentário_PE2026_2030_red_35_porcentoR3_consulta.xlsx</v>
      </c>
      <c r="D207" s="187" t="str">
        <f t="shared" si="10"/>
        <v>COO</v>
      </c>
      <c r="E207" s="187" t="str">
        <f t="shared" si="11"/>
        <v>Lucas Martins</v>
      </c>
      <c r="F207" s="188"/>
      <c r="G207" s="188" t="e">
        <f>_xlfn.CONCAT('Consolidado-Eletronorte'!#REF!,"_",ROW('Consolidado-Eletronorte'!#REF!)-ROW('Consolidado-Eletronorte'!$G$18))</f>
        <v>#REF!</v>
      </c>
      <c r="H207" s="279" t="s">
        <v>506</v>
      </c>
      <c r="I207" s="189" t="s">
        <v>1024</v>
      </c>
      <c r="J207" s="190" t="s">
        <v>508</v>
      </c>
      <c r="K207" s="189" t="s">
        <v>1821</v>
      </c>
      <c r="L207" s="189" t="s">
        <v>1828</v>
      </c>
      <c r="M207" s="189" t="s">
        <v>1849</v>
      </c>
      <c r="N207" s="189"/>
      <c r="O207" s="189"/>
      <c r="P207" s="189"/>
      <c r="Q207" s="191" t="s">
        <v>2258</v>
      </c>
      <c r="R207" s="191" t="s">
        <v>2121</v>
      </c>
      <c r="S207" s="189" t="s">
        <v>1852</v>
      </c>
      <c r="T207" s="192">
        <v>0</v>
      </c>
      <c r="U207" s="193">
        <v>0</v>
      </c>
      <c r="V207" s="193">
        <v>0</v>
      </c>
      <c r="W207" s="193">
        <v>0</v>
      </c>
      <c r="X207" s="192">
        <v>0</v>
      </c>
      <c r="Y207" s="192">
        <v>0</v>
      </c>
      <c r="Z207" s="194">
        <v>0</v>
      </c>
      <c r="AA207" s="194">
        <v>0</v>
      </c>
      <c r="AB207" s="194">
        <v>0</v>
      </c>
      <c r="AC207" s="194">
        <v>0</v>
      </c>
      <c r="AD207" s="194">
        <v>0</v>
      </c>
      <c r="AE207" s="194">
        <v>0</v>
      </c>
      <c r="AF207" s="194">
        <f>SUM(Tabela99[[#This Row],[jan/26]:[dez/26]])</f>
        <v>0</v>
      </c>
      <c r="AG207" s="194">
        <v>0</v>
      </c>
      <c r="AH207" s="194">
        <v>480</v>
      </c>
      <c r="AI207" s="194">
        <v>0</v>
      </c>
      <c r="AJ207" s="194">
        <v>0</v>
      </c>
      <c r="AK207" s="194">
        <f>SUM(Tabela99[[#This Row],[2026]:[2030]])</f>
        <v>480</v>
      </c>
      <c r="AL207" s="193">
        <v>0</v>
      </c>
      <c r="AM207" s="194">
        <v>0</v>
      </c>
      <c r="AN207" s="194">
        <v>0</v>
      </c>
      <c r="AO207" s="194">
        <v>0</v>
      </c>
      <c r="AP207" s="194">
        <v>0</v>
      </c>
      <c r="AQ207" s="195">
        <f>SUM(Tabela99[[#This Row],[2026-2030]:[2035]])</f>
        <v>480</v>
      </c>
      <c r="AS207" s="2" t="s">
        <v>1853</v>
      </c>
      <c r="AT207" s="2" t="s">
        <v>1772</v>
      </c>
      <c r="AU207" s="2" t="s">
        <v>2041</v>
      </c>
      <c r="AW207" s="2" t="s">
        <v>1854</v>
      </c>
      <c r="AZ207" s="2" t="s">
        <v>1855</v>
      </c>
    </row>
    <row r="208" spans="1:52" ht="24.75" customHeight="1" x14ac:dyDescent="0.35">
      <c r="A208" s="184"/>
      <c r="B208" s="185" t="e" cm="1">
        <f t="array" ref="B208">AND(ISTEXT('Consolidado-Eletronorte'!#REF!),SUM('Consolidado-Eletronorte'!#REF!)&gt;0)</f>
        <v>#REF!</v>
      </c>
      <c r="C208" s="186" t="str">
        <f t="shared" ca="1" si="9"/>
        <v>Capex Orcamentário_PE2026_2030_red_35_porcentoR3_consulta.xlsx</v>
      </c>
      <c r="D208" s="187" t="str">
        <f t="shared" si="10"/>
        <v>COO</v>
      </c>
      <c r="E208" s="187" t="str">
        <f t="shared" si="11"/>
        <v>Lucas Martins</v>
      </c>
      <c r="F208" s="188"/>
      <c r="G208" s="188" t="e">
        <f>_xlfn.CONCAT('Consolidado-Eletronorte'!#REF!,"_",ROW('Consolidado-Eletronorte'!#REF!)-ROW('Consolidado-Eletronorte'!$G$18))</f>
        <v>#REF!</v>
      </c>
      <c r="H208" s="279" t="s">
        <v>506</v>
      </c>
      <c r="I208" s="189" t="s">
        <v>1024</v>
      </c>
      <c r="J208" s="190" t="s">
        <v>508</v>
      </c>
      <c r="K208" s="189" t="s">
        <v>1821</v>
      </c>
      <c r="L208" s="189" t="s">
        <v>1828</v>
      </c>
      <c r="M208" s="189" t="s">
        <v>2259</v>
      </c>
      <c r="N208" s="189"/>
      <c r="O208" s="189"/>
      <c r="P208" s="189"/>
      <c r="Q208" s="191" t="s">
        <v>2260</v>
      </c>
      <c r="R208" s="191" t="s">
        <v>2261</v>
      </c>
      <c r="S208" s="189" t="s">
        <v>2262</v>
      </c>
      <c r="T208" s="192">
        <v>0</v>
      </c>
      <c r="U208" s="193">
        <v>0</v>
      </c>
      <c r="V208" s="193">
        <v>0</v>
      </c>
      <c r="W208" s="193">
        <v>0</v>
      </c>
      <c r="X208" s="192">
        <v>0</v>
      </c>
      <c r="Y208" s="192">
        <v>0</v>
      </c>
      <c r="Z208" s="194">
        <v>0</v>
      </c>
      <c r="AA208" s="194">
        <v>0</v>
      </c>
      <c r="AB208" s="194">
        <v>0</v>
      </c>
      <c r="AC208" s="194">
        <v>0</v>
      </c>
      <c r="AD208" s="194">
        <v>0</v>
      </c>
      <c r="AE208" s="194">
        <v>0</v>
      </c>
      <c r="AF208" s="194">
        <f>SUM(Tabela99[[#This Row],[jan/26]:[dez/26]])</f>
        <v>0</v>
      </c>
      <c r="AG208" s="194">
        <v>0</v>
      </c>
      <c r="AH208" s="194">
        <v>200000</v>
      </c>
      <c r="AI208" s="194">
        <v>0</v>
      </c>
      <c r="AJ208" s="194">
        <v>0</v>
      </c>
      <c r="AK208" s="194">
        <f>SUM(Tabela99[[#This Row],[2026]:[2030]])</f>
        <v>200000</v>
      </c>
      <c r="AL208" s="193">
        <v>0</v>
      </c>
      <c r="AM208" s="194">
        <v>0</v>
      </c>
      <c r="AN208" s="194">
        <v>0</v>
      </c>
      <c r="AO208" s="194">
        <v>0</v>
      </c>
      <c r="AP208" s="194">
        <v>0</v>
      </c>
      <c r="AQ208" s="195">
        <f>SUM(Tabela99[[#This Row],[2026-2030]:[2035]])</f>
        <v>200000</v>
      </c>
      <c r="AS208" s="2" t="s">
        <v>1833</v>
      </c>
      <c r="AT208" s="2">
        <v>2025</v>
      </c>
      <c r="AU208" s="2" t="s">
        <v>2041</v>
      </c>
      <c r="AW208" s="2" t="s">
        <v>1854</v>
      </c>
      <c r="AZ208" s="2" t="s">
        <v>1960</v>
      </c>
    </row>
    <row r="209" spans="1:52" ht="24.75" customHeight="1" x14ac:dyDescent="0.35">
      <c r="A209" s="184"/>
      <c r="B209" s="185" t="e" cm="1">
        <f t="array" ref="B209">AND(ISTEXT('Consolidado-Eletronorte'!#REF!),SUM('Consolidado-Eletronorte'!#REF!)&gt;0)</f>
        <v>#REF!</v>
      </c>
      <c r="C209" s="186" t="str">
        <f t="shared" ca="1" si="9"/>
        <v>Capex Orcamentário_PE2026_2030_red_35_porcentoR3_consulta.xlsx</v>
      </c>
      <c r="D209" s="187" t="str">
        <f t="shared" si="10"/>
        <v>COO</v>
      </c>
      <c r="E209" s="187" t="str">
        <f t="shared" si="11"/>
        <v>Lucas Martins</v>
      </c>
      <c r="F209" s="188"/>
      <c r="G209" s="188" t="e">
        <f>_xlfn.CONCAT('Consolidado-Eletronorte'!#REF!,"_",ROW('Consolidado-Eletronorte'!#REF!)-ROW('Consolidado-Eletronorte'!$G$18))</f>
        <v>#REF!</v>
      </c>
      <c r="H209" s="279" t="s">
        <v>506</v>
      </c>
      <c r="I209" s="189" t="s">
        <v>1024</v>
      </c>
      <c r="J209" s="190" t="s">
        <v>508</v>
      </c>
      <c r="K209" s="189" t="s">
        <v>1821</v>
      </c>
      <c r="L209" s="189" t="s">
        <v>1828</v>
      </c>
      <c r="M209" s="189" t="s">
        <v>1901</v>
      </c>
      <c r="N209" s="189"/>
      <c r="O209" s="189"/>
      <c r="P209" s="189"/>
      <c r="Q209" s="191" t="s">
        <v>2263</v>
      </c>
      <c r="R209" s="191" t="s">
        <v>2264</v>
      </c>
      <c r="S209" s="189" t="s">
        <v>1861</v>
      </c>
      <c r="T209" s="192">
        <v>0</v>
      </c>
      <c r="U209" s="193">
        <v>0</v>
      </c>
      <c r="V209" s="193">
        <v>0</v>
      </c>
      <c r="W209" s="193">
        <v>0</v>
      </c>
      <c r="X209" s="192">
        <v>0</v>
      </c>
      <c r="Y209" s="192">
        <v>0</v>
      </c>
      <c r="Z209" s="194">
        <v>0</v>
      </c>
      <c r="AA209" s="194">
        <v>0</v>
      </c>
      <c r="AB209" s="194">
        <v>0</v>
      </c>
      <c r="AC209" s="194">
        <v>0</v>
      </c>
      <c r="AD209" s="194">
        <v>0</v>
      </c>
      <c r="AE209" s="194">
        <v>0</v>
      </c>
      <c r="AF209" s="194">
        <f>SUM(Tabela99[[#This Row],[jan/26]:[dez/26]])</f>
        <v>0</v>
      </c>
      <c r="AG209" s="194">
        <v>0</v>
      </c>
      <c r="AH209" s="194">
        <v>7000000</v>
      </c>
      <c r="AI209" s="194">
        <v>0</v>
      </c>
      <c r="AJ209" s="194">
        <v>0</v>
      </c>
      <c r="AK209" s="194">
        <f>SUM(Tabela99[[#This Row],[2026]:[2030]])</f>
        <v>7000000</v>
      </c>
      <c r="AL209" s="193">
        <v>0</v>
      </c>
      <c r="AM209" s="194">
        <v>0</v>
      </c>
      <c r="AN209" s="194">
        <v>0</v>
      </c>
      <c r="AO209" s="194">
        <v>0</v>
      </c>
      <c r="AP209" s="194">
        <v>0</v>
      </c>
      <c r="AQ209" s="195">
        <f>SUM(Tabela99[[#This Row],[2026-2030]:[2035]])</f>
        <v>7000000</v>
      </c>
      <c r="AS209" s="2" t="s">
        <v>1833</v>
      </c>
      <c r="AT209" s="2" t="s">
        <v>1772</v>
      </c>
      <c r="AU209" s="2" t="s">
        <v>2041</v>
      </c>
      <c r="AW209" s="2" t="s">
        <v>1854</v>
      </c>
      <c r="AZ209" s="2" t="s">
        <v>1905</v>
      </c>
    </row>
    <row r="210" spans="1:52" ht="24.75" customHeight="1" x14ac:dyDescent="0.35">
      <c r="A210" s="184"/>
      <c r="B210" s="185" t="e" cm="1">
        <f t="array" ref="B210">AND(ISTEXT('Consolidado-Eletronorte'!#REF!),SUM('Consolidado-Eletronorte'!#REF!)&gt;0)</f>
        <v>#REF!</v>
      </c>
      <c r="C210" s="186" t="str">
        <f t="shared" ca="1" si="9"/>
        <v>Capex Orcamentário_PE2026_2030_red_35_porcentoR3_consulta.xlsx</v>
      </c>
      <c r="D210" s="187" t="str">
        <f t="shared" si="10"/>
        <v>COO</v>
      </c>
      <c r="E210" s="187" t="str">
        <f t="shared" si="11"/>
        <v>Lucas Martins</v>
      </c>
      <c r="F210" s="188"/>
      <c r="G210" s="188" t="e">
        <f>_xlfn.CONCAT('Consolidado-Eletronorte'!#REF!,"_",ROW('Consolidado-Eletronorte'!#REF!)-ROW('Consolidado-Eletronorte'!$G$18))</f>
        <v>#REF!</v>
      </c>
      <c r="H210" s="279" t="s">
        <v>506</v>
      </c>
      <c r="I210" s="189" t="s">
        <v>1024</v>
      </c>
      <c r="J210" s="190" t="s">
        <v>508</v>
      </c>
      <c r="K210" s="189" t="s">
        <v>1741</v>
      </c>
      <c r="L210" s="189" t="s">
        <v>2019</v>
      </c>
      <c r="M210" s="189" t="s">
        <v>2052</v>
      </c>
      <c r="N210" s="189"/>
      <c r="O210" s="189"/>
      <c r="P210" s="189"/>
      <c r="Q210" s="191" t="s">
        <v>2265</v>
      </c>
      <c r="R210" s="191" t="s">
        <v>2266</v>
      </c>
      <c r="S210" s="189" t="s">
        <v>1840</v>
      </c>
      <c r="T210" s="192">
        <v>0</v>
      </c>
      <c r="U210" s="193">
        <v>0</v>
      </c>
      <c r="V210" s="193">
        <v>0</v>
      </c>
      <c r="W210" s="193">
        <v>0</v>
      </c>
      <c r="X210" s="192">
        <v>0</v>
      </c>
      <c r="Y210" s="192">
        <v>0</v>
      </c>
      <c r="Z210" s="194">
        <v>0</v>
      </c>
      <c r="AA210" s="194">
        <v>0</v>
      </c>
      <c r="AB210" s="194">
        <v>0</v>
      </c>
      <c r="AC210" s="194">
        <v>0</v>
      </c>
      <c r="AD210" s="194">
        <v>0</v>
      </c>
      <c r="AE210" s="194">
        <v>0</v>
      </c>
      <c r="AF210" s="194">
        <f>SUM(Tabela99[[#This Row],[jan/26]:[dez/26]])</f>
        <v>0</v>
      </c>
      <c r="AG210" s="194">
        <v>0</v>
      </c>
      <c r="AH210" s="194">
        <v>1500000</v>
      </c>
      <c r="AI210" s="194">
        <v>0</v>
      </c>
      <c r="AJ210" s="194">
        <v>0</v>
      </c>
      <c r="AK210" s="194">
        <f>SUM(Tabela99[[#This Row],[2026]:[2030]])</f>
        <v>1500000</v>
      </c>
      <c r="AL210" s="193">
        <v>0</v>
      </c>
      <c r="AM210" s="194">
        <v>0</v>
      </c>
      <c r="AN210" s="194">
        <v>0</v>
      </c>
      <c r="AO210" s="194">
        <v>0</v>
      </c>
      <c r="AP210" s="194">
        <v>0</v>
      </c>
      <c r="AQ210" s="195">
        <f>SUM(Tabela99[[#This Row],[2026-2030]:[2035]])</f>
        <v>1500000</v>
      </c>
      <c r="AS210" s="2" t="s">
        <v>2055</v>
      </c>
      <c r="AT210" s="2">
        <v>2025</v>
      </c>
      <c r="AU210" s="2" t="s">
        <v>2041</v>
      </c>
      <c r="AW210" s="2" t="s">
        <v>1603</v>
      </c>
      <c r="AZ210" s="2" t="s">
        <v>2056</v>
      </c>
    </row>
    <row r="211" spans="1:52" ht="24.75" customHeight="1" x14ac:dyDescent="0.35">
      <c r="A211" s="184"/>
      <c r="B211" s="185" t="e" cm="1">
        <f t="array" ref="B211">AND(ISTEXT('Consolidado-Eletronorte'!#REF!),SUM('Consolidado-Eletronorte'!#REF!)&gt;0)</f>
        <v>#REF!</v>
      </c>
      <c r="C211" s="186" t="str">
        <f t="shared" ca="1" si="9"/>
        <v>Capex Orcamentário_PE2026_2030_red_35_porcentoR3_consulta.xlsx</v>
      </c>
      <c r="D211" s="187" t="str">
        <f t="shared" si="10"/>
        <v>COO</v>
      </c>
      <c r="E211" s="187" t="str">
        <f t="shared" si="11"/>
        <v>Lucas Martins</v>
      </c>
      <c r="F211" s="188"/>
      <c r="G211" s="188" t="e">
        <f>_xlfn.CONCAT('Consolidado-Eletronorte'!#REF!,"_",ROW('Consolidado-Eletronorte'!#REF!)-ROW('Consolidado-Eletronorte'!$G$18))</f>
        <v>#REF!</v>
      </c>
      <c r="H211" s="279" t="s">
        <v>506</v>
      </c>
      <c r="I211" s="189" t="s">
        <v>1024</v>
      </c>
      <c r="J211" s="190" t="s">
        <v>508</v>
      </c>
      <c r="K211" s="189" t="s">
        <v>1741</v>
      </c>
      <c r="L211" s="189" t="s">
        <v>2019</v>
      </c>
      <c r="M211" s="189" t="s">
        <v>2052</v>
      </c>
      <c r="N211" s="189"/>
      <c r="O211" s="189"/>
      <c r="P211" s="189"/>
      <c r="Q211" s="191" t="s">
        <v>2267</v>
      </c>
      <c r="R211" s="191" t="s">
        <v>2268</v>
      </c>
      <c r="S211" s="189" t="s">
        <v>1025</v>
      </c>
      <c r="T211" s="192">
        <v>0</v>
      </c>
      <c r="U211" s="193">
        <v>0</v>
      </c>
      <c r="V211" s="193">
        <v>0</v>
      </c>
      <c r="W211" s="193">
        <v>0</v>
      </c>
      <c r="X211" s="192">
        <v>0</v>
      </c>
      <c r="Y211" s="192">
        <v>0</v>
      </c>
      <c r="Z211" s="194">
        <v>0</v>
      </c>
      <c r="AA211" s="194">
        <v>0</v>
      </c>
      <c r="AB211" s="194">
        <v>0</v>
      </c>
      <c r="AC211" s="194">
        <v>0</v>
      </c>
      <c r="AD211" s="194">
        <v>0</v>
      </c>
      <c r="AE211" s="194">
        <v>0</v>
      </c>
      <c r="AF211" s="194">
        <f>SUM(Tabela99[[#This Row],[jan/26]:[dez/26]])</f>
        <v>0</v>
      </c>
      <c r="AG211" s="194">
        <v>0</v>
      </c>
      <c r="AH211" s="194">
        <v>1500000</v>
      </c>
      <c r="AI211" s="194">
        <v>0</v>
      </c>
      <c r="AJ211" s="194">
        <v>0</v>
      </c>
      <c r="AK211" s="194">
        <f>SUM(Tabela99[[#This Row],[2026]:[2030]])</f>
        <v>1500000</v>
      </c>
      <c r="AL211" s="193">
        <v>0</v>
      </c>
      <c r="AM211" s="194">
        <v>0</v>
      </c>
      <c r="AN211" s="194">
        <v>0</v>
      </c>
      <c r="AO211" s="194">
        <v>0</v>
      </c>
      <c r="AP211" s="194">
        <v>0</v>
      </c>
      <c r="AQ211" s="195">
        <f>SUM(Tabela99[[#This Row],[2026-2030]:[2035]])</f>
        <v>1500000</v>
      </c>
      <c r="AS211" s="2" t="s">
        <v>2055</v>
      </c>
      <c r="AT211" s="2">
        <v>2025</v>
      </c>
      <c r="AU211" s="2" t="s">
        <v>2041</v>
      </c>
      <c r="AW211" s="2" t="s">
        <v>1603</v>
      </c>
      <c r="AZ211" s="2" t="s">
        <v>2056</v>
      </c>
    </row>
    <row r="212" spans="1:52" ht="24.75" customHeight="1" x14ac:dyDescent="0.35">
      <c r="A212" s="184"/>
      <c r="B212" s="185" t="e" cm="1">
        <f t="array" ref="B212">AND(ISTEXT('Consolidado-Eletronorte'!#REF!),SUM('Consolidado-Eletronorte'!#REF!)&gt;0)</f>
        <v>#REF!</v>
      </c>
      <c r="C212" s="186" t="str">
        <f t="shared" ca="1" si="9"/>
        <v>Capex Orcamentário_PE2026_2030_red_35_porcentoR3_consulta.xlsx</v>
      </c>
      <c r="D212" s="187" t="str">
        <f t="shared" si="10"/>
        <v>COO</v>
      </c>
      <c r="E212" s="187" t="str">
        <f t="shared" si="11"/>
        <v>Lucas Martins</v>
      </c>
      <c r="F212" s="188"/>
      <c r="G212" s="188" t="e">
        <f>_xlfn.CONCAT('Consolidado-Eletronorte'!#REF!,"_",ROW('Consolidado-Eletronorte'!#REF!)-ROW('Consolidado-Eletronorte'!$G$18))</f>
        <v>#REF!</v>
      </c>
      <c r="H212" s="279" t="s">
        <v>506</v>
      </c>
      <c r="I212" s="189" t="s">
        <v>1024</v>
      </c>
      <c r="J212" s="190" t="s">
        <v>508</v>
      </c>
      <c r="K212" s="189" t="s">
        <v>1741</v>
      </c>
      <c r="L212" s="189" t="s">
        <v>2019</v>
      </c>
      <c r="M212" s="189" t="s">
        <v>2269</v>
      </c>
      <c r="N212" s="189"/>
      <c r="O212" s="189"/>
      <c r="P212" s="189"/>
      <c r="Q212" s="191" t="s">
        <v>2178</v>
      </c>
      <c r="R212" s="191" t="s">
        <v>2270</v>
      </c>
      <c r="S212" s="189" t="s">
        <v>2271</v>
      </c>
      <c r="T212" s="192">
        <v>0</v>
      </c>
      <c r="U212" s="193">
        <v>0</v>
      </c>
      <c r="V212" s="193">
        <v>0</v>
      </c>
      <c r="W212" s="193">
        <v>0</v>
      </c>
      <c r="X212" s="192">
        <v>0</v>
      </c>
      <c r="Y212" s="192">
        <v>0</v>
      </c>
      <c r="Z212" s="194">
        <v>0</v>
      </c>
      <c r="AA212" s="194">
        <v>0</v>
      </c>
      <c r="AB212" s="194">
        <v>0</v>
      </c>
      <c r="AC212" s="194">
        <v>0</v>
      </c>
      <c r="AD212" s="194">
        <v>0</v>
      </c>
      <c r="AE212" s="194">
        <v>0</v>
      </c>
      <c r="AF212" s="194">
        <f>SUM(Tabela99[[#This Row],[jan/26]:[dez/26]])</f>
        <v>0</v>
      </c>
      <c r="AG212" s="194">
        <v>0</v>
      </c>
      <c r="AH212" s="194">
        <v>0</v>
      </c>
      <c r="AI212" s="194">
        <v>0</v>
      </c>
      <c r="AJ212" s="194">
        <v>0</v>
      </c>
      <c r="AK212" s="194">
        <f>SUM(Tabela99[[#This Row],[2026]:[2030]])</f>
        <v>0</v>
      </c>
      <c r="AL212" s="193">
        <v>0</v>
      </c>
      <c r="AM212" s="194">
        <v>0</v>
      </c>
      <c r="AN212" s="194">
        <v>0</v>
      </c>
      <c r="AO212" s="194">
        <v>0</v>
      </c>
      <c r="AP212" s="194">
        <v>0</v>
      </c>
      <c r="AQ212" s="195">
        <f>SUM(Tabela99[[#This Row],[2026-2030]:[2035]])</f>
        <v>0</v>
      </c>
      <c r="AS212" s="2" t="s">
        <v>2055</v>
      </c>
      <c r="AT212" s="2" t="s">
        <v>1772</v>
      </c>
      <c r="AU212" s="2" t="s">
        <v>2041</v>
      </c>
      <c r="AW212" s="2" t="s">
        <v>1603</v>
      </c>
      <c r="AZ212" s="2" t="s">
        <v>2090</v>
      </c>
    </row>
    <row r="213" spans="1:52" ht="24.75" customHeight="1" x14ac:dyDescent="0.35">
      <c r="A213" s="184"/>
      <c r="B213" s="185" t="e" cm="1">
        <f t="array" ref="B213">AND(ISTEXT('Consolidado-Eletronorte'!#REF!),SUM('Consolidado-Eletronorte'!#REF!)&gt;0)</f>
        <v>#REF!</v>
      </c>
      <c r="C213" s="186" t="str">
        <f t="shared" ca="1" si="9"/>
        <v>Capex Orcamentário_PE2026_2030_red_35_porcentoR3_consulta.xlsx</v>
      </c>
      <c r="D213" s="187" t="str">
        <f t="shared" si="10"/>
        <v>COO</v>
      </c>
      <c r="E213" s="187" t="str">
        <f t="shared" si="11"/>
        <v>Lucas Martins</v>
      </c>
      <c r="F213" s="188"/>
      <c r="G213" s="188" t="e">
        <f>_xlfn.CONCAT('Consolidado-Eletronorte'!#REF!,"_",ROW('Consolidado-Eletronorte'!#REF!)-ROW('Consolidado-Eletronorte'!$G$18))</f>
        <v>#REF!</v>
      </c>
      <c r="H213" s="279" t="s">
        <v>506</v>
      </c>
      <c r="I213" s="189" t="s">
        <v>1024</v>
      </c>
      <c r="J213" s="190" t="s">
        <v>508</v>
      </c>
      <c r="K213" s="189" t="s">
        <v>1821</v>
      </c>
      <c r="L213" s="189" t="s">
        <v>1828</v>
      </c>
      <c r="M213" s="189" t="s">
        <v>2082</v>
      </c>
      <c r="N213" s="189"/>
      <c r="O213" s="189"/>
      <c r="P213" s="189"/>
      <c r="Q213" s="191" t="s">
        <v>2272</v>
      </c>
      <c r="R213" s="191" t="s">
        <v>2273</v>
      </c>
      <c r="S213" s="189" t="s">
        <v>2085</v>
      </c>
      <c r="T213" s="192">
        <v>0</v>
      </c>
      <c r="U213" s="193">
        <v>0</v>
      </c>
      <c r="V213" s="193">
        <v>0</v>
      </c>
      <c r="W213" s="193">
        <v>0</v>
      </c>
      <c r="X213" s="192">
        <v>0</v>
      </c>
      <c r="Y213" s="192">
        <v>0</v>
      </c>
      <c r="Z213" s="194">
        <v>0</v>
      </c>
      <c r="AA213" s="194">
        <v>250000</v>
      </c>
      <c r="AB213" s="194">
        <v>0</v>
      </c>
      <c r="AC213" s="194">
        <v>0</v>
      </c>
      <c r="AD213" s="194">
        <v>0</v>
      </c>
      <c r="AE213" s="194">
        <v>0</v>
      </c>
      <c r="AF213" s="194">
        <f>SUM(Tabela99[[#This Row],[jan/26]:[dez/26]])</f>
        <v>250000</v>
      </c>
      <c r="AG213" s="194">
        <v>250000</v>
      </c>
      <c r="AH213" s="194">
        <v>0</v>
      </c>
      <c r="AI213" s="194">
        <v>0</v>
      </c>
      <c r="AJ213" s="194">
        <v>0</v>
      </c>
      <c r="AK213" s="194">
        <f>SUM(Tabela99[[#This Row],[2026]:[2030]])</f>
        <v>500000</v>
      </c>
      <c r="AL213" s="193">
        <v>0</v>
      </c>
      <c r="AM213" s="194">
        <v>0</v>
      </c>
      <c r="AN213" s="194">
        <v>0</v>
      </c>
      <c r="AO213" s="194">
        <v>0</v>
      </c>
      <c r="AP213" s="194">
        <v>0</v>
      </c>
      <c r="AQ213" s="195">
        <f>SUM(Tabela99[[#This Row],[2026-2030]:[2035]])</f>
        <v>500000</v>
      </c>
      <c r="AS213" s="2" t="s">
        <v>1886</v>
      </c>
      <c r="AT213" s="2">
        <v>2025</v>
      </c>
      <c r="AU213" s="2" t="s">
        <v>2041</v>
      </c>
      <c r="AW213" s="2" t="s">
        <v>1854</v>
      </c>
      <c r="AZ213" s="2" t="s">
        <v>2086</v>
      </c>
    </row>
    <row r="214" spans="1:52" ht="24.75" customHeight="1" x14ac:dyDescent="0.35">
      <c r="A214" s="184"/>
      <c r="B214" s="185" t="e" cm="1">
        <f t="array" ref="B214">AND(ISTEXT('Consolidado-Eletronorte'!#REF!),SUM('Consolidado-Eletronorte'!#REF!)&gt;0)</f>
        <v>#REF!</v>
      </c>
      <c r="C214" s="186" t="str">
        <f t="shared" ca="1" si="9"/>
        <v>Capex Orcamentário_PE2026_2030_red_35_porcentoR3_consulta.xlsx</v>
      </c>
      <c r="D214" s="187" t="str">
        <f t="shared" si="10"/>
        <v>COO</v>
      </c>
      <c r="E214" s="187" t="str">
        <f t="shared" si="11"/>
        <v>Lucas Martins</v>
      </c>
      <c r="F214" s="188"/>
      <c r="G214" s="188" t="e">
        <f>_xlfn.CONCAT('Consolidado-Eletronorte'!#REF!,"_",ROW('Consolidado-Eletronorte'!#REF!)-ROW('Consolidado-Eletronorte'!$G$18))</f>
        <v>#REF!</v>
      </c>
      <c r="H214" s="279" t="s">
        <v>506</v>
      </c>
      <c r="I214" s="189" t="s">
        <v>1024</v>
      </c>
      <c r="J214" s="190" t="s">
        <v>508</v>
      </c>
      <c r="K214" s="189" t="s">
        <v>1821</v>
      </c>
      <c r="L214" s="189" t="s">
        <v>1828</v>
      </c>
      <c r="M214" s="189" t="s">
        <v>1849</v>
      </c>
      <c r="N214" s="189"/>
      <c r="O214" s="189"/>
      <c r="P214" s="189"/>
      <c r="Q214" s="191" t="s">
        <v>2274</v>
      </c>
      <c r="R214" s="191" t="s">
        <v>2151</v>
      </c>
      <c r="S214" s="189" t="s">
        <v>1852</v>
      </c>
      <c r="T214" s="192">
        <v>0</v>
      </c>
      <c r="U214" s="193">
        <v>0</v>
      </c>
      <c r="V214" s="193">
        <v>0</v>
      </c>
      <c r="W214" s="193">
        <v>0</v>
      </c>
      <c r="X214" s="192">
        <v>0</v>
      </c>
      <c r="Y214" s="192">
        <v>0</v>
      </c>
      <c r="Z214" s="194">
        <v>0</v>
      </c>
      <c r="AA214" s="194">
        <v>0</v>
      </c>
      <c r="AB214" s="194">
        <v>0</v>
      </c>
      <c r="AC214" s="194">
        <v>0</v>
      </c>
      <c r="AD214" s="194">
        <v>0</v>
      </c>
      <c r="AE214" s="194">
        <v>0</v>
      </c>
      <c r="AF214" s="194">
        <f>SUM(Tabela99[[#This Row],[jan/26]:[dez/26]])</f>
        <v>0</v>
      </c>
      <c r="AG214" s="194">
        <v>100</v>
      </c>
      <c r="AH214" s="194">
        <v>0</v>
      </c>
      <c r="AI214" s="194">
        <v>0</v>
      </c>
      <c r="AJ214" s="194">
        <v>0</v>
      </c>
      <c r="AK214" s="194">
        <f>SUM(Tabela99[[#This Row],[2026]:[2030]])</f>
        <v>100</v>
      </c>
      <c r="AL214" s="193">
        <v>0</v>
      </c>
      <c r="AM214" s="194">
        <v>0</v>
      </c>
      <c r="AN214" s="194">
        <v>0</v>
      </c>
      <c r="AO214" s="194">
        <v>0</v>
      </c>
      <c r="AP214" s="194">
        <v>0</v>
      </c>
      <c r="AQ214" s="195">
        <f>SUM(Tabela99[[#This Row],[2026-2030]:[2035]])</f>
        <v>100</v>
      </c>
      <c r="AS214" s="2" t="s">
        <v>1853</v>
      </c>
      <c r="AT214" s="2" t="s">
        <v>1772</v>
      </c>
      <c r="AU214" s="2" t="s">
        <v>2041</v>
      </c>
      <c r="AW214" s="2" t="s">
        <v>1854</v>
      </c>
      <c r="AZ214" s="2" t="s">
        <v>1855</v>
      </c>
    </row>
    <row r="215" spans="1:52" ht="24.75" customHeight="1" x14ac:dyDescent="0.35">
      <c r="A215" s="184"/>
      <c r="B215" s="185" t="e" cm="1">
        <f t="array" ref="B215">AND(ISTEXT('Consolidado-Eletronorte'!#REF!),SUM('Consolidado-Eletronorte'!#REF!)&gt;0)</f>
        <v>#REF!</v>
      </c>
      <c r="C215" s="186" t="str">
        <f t="shared" ca="1" si="9"/>
        <v>Capex Orcamentário_PE2026_2030_red_35_porcentoR3_consulta.xlsx</v>
      </c>
      <c r="D215" s="187" t="str">
        <f t="shared" si="10"/>
        <v>COO</v>
      </c>
      <c r="E215" s="187" t="str">
        <f t="shared" si="11"/>
        <v>Lucas Martins</v>
      </c>
      <c r="F215" s="188"/>
      <c r="G215" s="188" t="e">
        <f>_xlfn.CONCAT('Consolidado-Eletronorte'!#REF!,"_",ROW('Consolidado-Eletronorte'!#REF!)-ROW('Consolidado-Eletronorte'!$G$18))</f>
        <v>#REF!</v>
      </c>
      <c r="H215" s="279" t="s">
        <v>506</v>
      </c>
      <c r="I215" s="189" t="s">
        <v>1024</v>
      </c>
      <c r="J215" s="190" t="s">
        <v>508</v>
      </c>
      <c r="K215" s="189" t="s">
        <v>1821</v>
      </c>
      <c r="L215" s="189" t="s">
        <v>1828</v>
      </c>
      <c r="M215" s="189" t="s">
        <v>2082</v>
      </c>
      <c r="N215" s="189"/>
      <c r="O215" s="189"/>
      <c r="P215" s="189"/>
      <c r="Q215" s="191" t="s">
        <v>2275</v>
      </c>
      <c r="R215" s="191" t="s">
        <v>2273</v>
      </c>
      <c r="S215" s="189" t="s">
        <v>2085</v>
      </c>
      <c r="T215" s="192">
        <v>0</v>
      </c>
      <c r="U215" s="193">
        <v>0</v>
      </c>
      <c r="V215" s="193">
        <v>0</v>
      </c>
      <c r="W215" s="193">
        <v>0</v>
      </c>
      <c r="X215" s="192">
        <v>0</v>
      </c>
      <c r="Y215" s="192">
        <v>0</v>
      </c>
      <c r="Z215" s="194">
        <v>0</v>
      </c>
      <c r="AA215" s="194">
        <v>500000</v>
      </c>
      <c r="AB215" s="194">
        <v>0</v>
      </c>
      <c r="AC215" s="194">
        <v>0</v>
      </c>
      <c r="AD215" s="194">
        <v>0</v>
      </c>
      <c r="AE215" s="194">
        <v>0</v>
      </c>
      <c r="AF215" s="194">
        <f>SUM(Tabela99[[#This Row],[jan/26]:[dez/26]])</f>
        <v>500000</v>
      </c>
      <c r="AG215" s="194">
        <v>0</v>
      </c>
      <c r="AH215" s="194">
        <v>0</v>
      </c>
      <c r="AI215" s="194">
        <v>0</v>
      </c>
      <c r="AJ215" s="194">
        <v>0</v>
      </c>
      <c r="AK215" s="194">
        <f>SUM(Tabela99[[#This Row],[2026]:[2030]])</f>
        <v>500000</v>
      </c>
      <c r="AL215" s="193">
        <v>0</v>
      </c>
      <c r="AM215" s="194">
        <v>0</v>
      </c>
      <c r="AN215" s="194">
        <v>0</v>
      </c>
      <c r="AO215" s="194">
        <v>0</v>
      </c>
      <c r="AP215" s="194">
        <v>0</v>
      </c>
      <c r="AQ215" s="195">
        <f>SUM(Tabela99[[#This Row],[2026-2030]:[2035]])</f>
        <v>500000</v>
      </c>
      <c r="AS215" s="2" t="s">
        <v>1886</v>
      </c>
      <c r="AT215" s="2">
        <v>2025</v>
      </c>
      <c r="AU215" s="2" t="s">
        <v>2041</v>
      </c>
      <c r="AW215" s="2" t="s">
        <v>1854</v>
      </c>
      <c r="AZ215" s="2" t="s">
        <v>2086</v>
      </c>
    </row>
    <row r="216" spans="1:52" ht="24.75" customHeight="1" x14ac:dyDescent="0.35">
      <c r="A216" s="184"/>
      <c r="B216" s="185" t="e" cm="1">
        <f t="array" ref="B216">AND(ISTEXT('Consolidado-Eletronorte'!#REF!),SUM('Consolidado-Eletronorte'!#REF!)&gt;0)</f>
        <v>#REF!</v>
      </c>
      <c r="C216" s="186" t="str">
        <f t="shared" ca="1" si="9"/>
        <v>Capex Orcamentário_PE2026_2030_red_35_porcentoR3_consulta.xlsx</v>
      </c>
      <c r="D216" s="187" t="str">
        <f t="shared" si="10"/>
        <v>COO</v>
      </c>
      <c r="E216" s="187" t="str">
        <f t="shared" si="11"/>
        <v>Lucas Martins</v>
      </c>
      <c r="F216" s="188"/>
      <c r="G216" s="188" t="e">
        <f>_xlfn.CONCAT('Consolidado-Eletronorte'!#REF!,"_",ROW('Consolidado-Eletronorte'!#REF!)-ROW('Consolidado-Eletronorte'!$G$18))</f>
        <v>#REF!</v>
      </c>
      <c r="H216" s="279" t="s">
        <v>506</v>
      </c>
      <c r="I216" s="189" t="s">
        <v>1024</v>
      </c>
      <c r="J216" s="190" t="s">
        <v>508</v>
      </c>
      <c r="K216" s="189" t="s">
        <v>1821</v>
      </c>
      <c r="L216" s="189" t="s">
        <v>1828</v>
      </c>
      <c r="M216" s="189" t="s">
        <v>1849</v>
      </c>
      <c r="N216" s="189"/>
      <c r="O216" s="189"/>
      <c r="P216" s="189"/>
      <c r="Q216" s="191" t="s">
        <v>2276</v>
      </c>
      <c r="R216" s="191" t="s">
        <v>2121</v>
      </c>
      <c r="S216" s="189" t="s">
        <v>1852</v>
      </c>
      <c r="T216" s="192">
        <v>0</v>
      </c>
      <c r="U216" s="193">
        <v>0</v>
      </c>
      <c r="V216" s="193">
        <v>0</v>
      </c>
      <c r="W216" s="193">
        <v>0</v>
      </c>
      <c r="X216" s="192">
        <v>0</v>
      </c>
      <c r="Y216" s="192">
        <v>385000</v>
      </c>
      <c r="Z216" s="194">
        <v>0</v>
      </c>
      <c r="AA216" s="194">
        <v>0</v>
      </c>
      <c r="AB216" s="194">
        <v>0</v>
      </c>
      <c r="AC216" s="194">
        <v>0</v>
      </c>
      <c r="AD216" s="194">
        <v>0</v>
      </c>
      <c r="AE216" s="194">
        <v>0</v>
      </c>
      <c r="AF216" s="194">
        <f>SUM(Tabela99[[#This Row],[jan/26]:[dez/26]])</f>
        <v>385000</v>
      </c>
      <c r="AG216" s="194">
        <v>0</v>
      </c>
      <c r="AH216" s="194">
        <v>0</v>
      </c>
      <c r="AI216" s="194">
        <v>0</v>
      </c>
      <c r="AJ216" s="194">
        <v>0</v>
      </c>
      <c r="AK216" s="194">
        <f>SUM(Tabela99[[#This Row],[2026]:[2030]])</f>
        <v>385000</v>
      </c>
      <c r="AL216" s="193">
        <v>0</v>
      </c>
      <c r="AM216" s="194">
        <v>0</v>
      </c>
      <c r="AN216" s="194">
        <v>0</v>
      </c>
      <c r="AO216" s="194">
        <v>0</v>
      </c>
      <c r="AP216" s="194">
        <v>0</v>
      </c>
      <c r="AQ216" s="195">
        <f>SUM(Tabela99[[#This Row],[2026-2030]:[2035]])</f>
        <v>385000</v>
      </c>
      <c r="AS216" s="2" t="s">
        <v>1853</v>
      </c>
      <c r="AT216" s="2" t="s">
        <v>1772</v>
      </c>
      <c r="AU216" s="2" t="s">
        <v>2041</v>
      </c>
      <c r="AW216" s="2" t="s">
        <v>1854</v>
      </c>
      <c r="AZ216" s="2" t="s">
        <v>1855</v>
      </c>
    </row>
    <row r="217" spans="1:52" ht="24.75" customHeight="1" x14ac:dyDescent="0.35">
      <c r="A217" s="184"/>
      <c r="B217" s="185" t="e" cm="1">
        <f t="array" ref="B217">AND(ISTEXT('Consolidado-Eletronorte'!#REF!),SUM('Consolidado-Eletronorte'!#REF!)&gt;0)</f>
        <v>#REF!</v>
      </c>
      <c r="C217" s="186" t="str">
        <f t="shared" ca="1" si="9"/>
        <v>Capex Orcamentário_PE2026_2030_red_35_porcentoR3_consulta.xlsx</v>
      </c>
      <c r="D217" s="187" t="str">
        <f t="shared" si="10"/>
        <v>COO</v>
      </c>
      <c r="E217" s="187" t="str">
        <f t="shared" si="11"/>
        <v>Lucas Martins</v>
      </c>
      <c r="F217" s="188"/>
      <c r="G217" s="188" t="e">
        <f>_xlfn.CONCAT('Consolidado-Eletronorte'!#REF!,"_",ROW('Consolidado-Eletronorte'!#REF!)-ROW('Consolidado-Eletronorte'!$G$18))</f>
        <v>#REF!</v>
      </c>
      <c r="H217" s="279" t="s">
        <v>506</v>
      </c>
      <c r="I217" s="189" t="s">
        <v>1024</v>
      </c>
      <c r="J217" s="190" t="s">
        <v>508</v>
      </c>
      <c r="K217" s="189" t="s">
        <v>1741</v>
      </c>
      <c r="L217" s="189" t="s">
        <v>2019</v>
      </c>
      <c r="M217" s="189" t="s">
        <v>2052</v>
      </c>
      <c r="N217" s="189"/>
      <c r="O217" s="189"/>
      <c r="P217" s="189"/>
      <c r="Q217" s="191" t="s">
        <v>2277</v>
      </c>
      <c r="R217" s="191" t="s">
        <v>2278</v>
      </c>
      <c r="S217" s="189" t="s">
        <v>2040</v>
      </c>
      <c r="T217" s="192">
        <v>0</v>
      </c>
      <c r="U217" s="193">
        <v>0</v>
      </c>
      <c r="V217" s="193">
        <v>0</v>
      </c>
      <c r="W217" s="193">
        <v>0</v>
      </c>
      <c r="X217" s="192">
        <v>0</v>
      </c>
      <c r="Y217" s="192">
        <v>0</v>
      </c>
      <c r="Z217" s="194">
        <v>0</v>
      </c>
      <c r="AA217" s="194">
        <v>0</v>
      </c>
      <c r="AB217" s="194">
        <v>0</v>
      </c>
      <c r="AC217" s="194">
        <v>0</v>
      </c>
      <c r="AD217" s="194">
        <v>0</v>
      </c>
      <c r="AE217" s="194">
        <v>0</v>
      </c>
      <c r="AF217" s="194">
        <f>SUM(Tabela99[[#This Row],[jan/26]:[dez/26]])</f>
        <v>0</v>
      </c>
      <c r="AG217" s="194">
        <v>0</v>
      </c>
      <c r="AH217" s="194">
        <v>2500000</v>
      </c>
      <c r="AI217" s="194">
        <v>0</v>
      </c>
      <c r="AJ217" s="194">
        <v>0</v>
      </c>
      <c r="AK217" s="194">
        <f>SUM(Tabela99[[#This Row],[2026]:[2030]])</f>
        <v>2500000</v>
      </c>
      <c r="AL217" s="193">
        <v>0</v>
      </c>
      <c r="AM217" s="194">
        <v>0</v>
      </c>
      <c r="AN217" s="194">
        <v>0</v>
      </c>
      <c r="AO217" s="194">
        <v>0</v>
      </c>
      <c r="AP217" s="194">
        <v>0</v>
      </c>
      <c r="AQ217" s="195">
        <f>SUM(Tabela99[[#This Row],[2026-2030]:[2035]])</f>
        <v>2500000</v>
      </c>
      <c r="AS217" s="2" t="s">
        <v>2055</v>
      </c>
      <c r="AT217" s="2">
        <v>2025</v>
      </c>
      <c r="AU217" s="2" t="s">
        <v>2279</v>
      </c>
      <c r="AW217" s="2" t="s">
        <v>1603</v>
      </c>
      <c r="AZ217" s="2" t="s">
        <v>2071</v>
      </c>
    </row>
    <row r="218" spans="1:52" ht="24.75" customHeight="1" x14ac:dyDescent="0.35">
      <c r="B218" s="264"/>
      <c r="C218" s="162"/>
      <c r="D218" s="163"/>
      <c r="E218" s="163"/>
      <c r="F218" s="164"/>
      <c r="G218" s="164"/>
      <c r="H218" s="165"/>
      <c r="I218" s="165"/>
      <c r="J218" s="265"/>
      <c r="K218" s="165"/>
      <c r="L218" s="165"/>
      <c r="M218" s="165"/>
      <c r="N218" s="165"/>
      <c r="Q218" s="165"/>
      <c r="R218" s="166"/>
      <c r="S218" s="167"/>
      <c r="T218" s="167"/>
      <c r="U218" s="167"/>
      <c r="V218" s="166"/>
      <c r="W218" s="166"/>
      <c r="X218" s="97"/>
      <c r="Y218" s="97"/>
      <c r="Z218" s="97"/>
      <c r="AA218" s="97"/>
      <c r="AB218" s="97"/>
      <c r="AC218" s="97"/>
      <c r="AD218" s="97"/>
      <c r="AE218" s="97"/>
      <c r="AF218" s="97"/>
      <c r="AG218" s="97"/>
      <c r="AH218" s="97"/>
      <c r="AI218" s="97"/>
      <c r="AJ218" s="167"/>
      <c r="AK218" s="97"/>
      <c r="AL218" s="97"/>
      <c r="AM218" s="97"/>
      <c r="AN218" s="97"/>
      <c r="AO218" s="167"/>
    </row>
    <row r="219" spans="1:52" ht="24.75" customHeight="1" x14ac:dyDescent="0.35">
      <c r="B219" s="264"/>
      <c r="C219" s="162"/>
      <c r="D219" s="163"/>
      <c r="E219" s="163"/>
      <c r="F219" s="164"/>
      <c r="G219" s="164"/>
      <c r="H219" s="165"/>
      <c r="I219" s="165"/>
      <c r="J219" s="265"/>
      <c r="K219" s="165"/>
      <c r="L219" s="165"/>
      <c r="M219" s="165"/>
      <c r="N219" s="165"/>
      <c r="Q219" s="165"/>
      <c r="R219" s="166"/>
      <c r="S219" s="167"/>
      <c r="T219" s="167"/>
      <c r="U219" s="167"/>
      <c r="V219" s="166"/>
      <c r="W219" s="166"/>
      <c r="X219" s="97"/>
      <c r="Y219" s="97"/>
      <c r="Z219" s="97"/>
      <c r="AA219" s="97"/>
      <c r="AB219" s="97"/>
      <c r="AC219" s="97"/>
      <c r="AD219" s="97"/>
      <c r="AE219" s="97"/>
      <c r="AF219" s="97"/>
      <c r="AG219" s="97"/>
      <c r="AH219" s="97"/>
      <c r="AI219" s="97"/>
      <c r="AJ219" s="167"/>
      <c r="AK219" s="97"/>
      <c r="AL219" s="97"/>
      <c r="AM219" s="97"/>
      <c r="AN219" s="97"/>
      <c r="AO219" s="167"/>
    </row>
    <row r="220" spans="1:52" ht="24.75" customHeight="1" x14ac:dyDescent="0.35">
      <c r="B220" s="264"/>
      <c r="C220" s="162"/>
      <c r="D220" s="163"/>
      <c r="E220" s="163"/>
      <c r="F220" s="164"/>
      <c r="G220" s="164"/>
      <c r="H220" s="165"/>
      <c r="I220" s="165"/>
      <c r="J220" s="265"/>
      <c r="K220" s="165"/>
      <c r="L220" s="165"/>
      <c r="M220" s="165"/>
      <c r="N220" s="165"/>
      <c r="Q220" s="165"/>
      <c r="R220" s="166"/>
      <c r="S220" s="167"/>
      <c r="T220" s="167"/>
      <c r="U220" s="167"/>
      <c r="V220" s="166"/>
      <c r="W220" s="166"/>
      <c r="X220" s="97"/>
      <c r="Y220" s="97"/>
      <c r="Z220" s="97"/>
      <c r="AA220" s="97"/>
      <c r="AB220" s="97"/>
      <c r="AC220" s="97"/>
      <c r="AD220" s="97"/>
      <c r="AE220" s="97"/>
      <c r="AF220" s="97"/>
      <c r="AG220" s="97"/>
      <c r="AH220" s="97"/>
      <c r="AI220" s="97"/>
      <c r="AJ220" s="167"/>
      <c r="AK220" s="97"/>
      <c r="AL220" s="97"/>
      <c r="AM220" s="97"/>
      <c r="AN220" s="97"/>
      <c r="AO220" s="167"/>
    </row>
    <row r="221" spans="1:52" ht="24.75" customHeight="1" x14ac:dyDescent="0.35">
      <c r="B221" s="264"/>
      <c r="C221" s="162"/>
      <c r="D221" s="163"/>
      <c r="E221" s="163"/>
      <c r="F221" s="164"/>
      <c r="G221" s="164"/>
      <c r="H221" s="165"/>
      <c r="I221" s="165"/>
      <c r="J221" s="265" t="s">
        <v>1796</v>
      </c>
      <c r="K221" s="165" t="s">
        <v>1797</v>
      </c>
      <c r="L221" s="165" t="s">
        <v>1797</v>
      </c>
      <c r="M221" s="165"/>
      <c r="N221" s="165"/>
      <c r="Q221" s="165"/>
      <c r="R221" s="166"/>
      <c r="S221" s="167"/>
      <c r="T221" s="167"/>
      <c r="U221" s="167"/>
      <c r="V221" s="166"/>
      <c r="W221" s="166"/>
      <c r="X221" s="97"/>
      <c r="Y221" s="97"/>
      <c r="Z221" s="97"/>
      <c r="AA221" s="97"/>
      <c r="AB221" s="97"/>
      <c r="AC221" s="97"/>
      <c r="AD221" s="97"/>
      <c r="AE221" s="97"/>
      <c r="AF221" s="97"/>
      <c r="AG221" s="97"/>
      <c r="AH221" s="97"/>
      <c r="AI221" s="97"/>
      <c r="AJ221" s="167"/>
      <c r="AK221" s="97"/>
      <c r="AL221" s="97"/>
      <c r="AM221" s="97"/>
      <c r="AN221" s="97"/>
      <c r="AO221" s="167"/>
    </row>
    <row r="222" spans="1:52" ht="24.75" customHeight="1" x14ac:dyDescent="0.35">
      <c r="K222" s="2" t="e" cm="1">
        <f t="array" aca="1" ref="K222" ca="1">INDIRECT(SUBSTITUTE($J10&amp;$K10," ",""))</f>
        <v>#REF!</v>
      </c>
      <c r="X222" s="97"/>
      <c r="Y222" s="97"/>
      <c r="Z222" s="97"/>
      <c r="AA222" s="97"/>
      <c r="AB222" s="97"/>
      <c r="AC222" s="97"/>
      <c r="AD222" s="97"/>
      <c r="AE222" s="97"/>
      <c r="AF222" s="97"/>
      <c r="AG222" s="97"/>
      <c r="AH222" s="97"/>
      <c r="AI222" s="97"/>
      <c r="AK222" s="97"/>
      <c r="AL222" s="97"/>
      <c r="AM222" s="97"/>
      <c r="AN222" s="97"/>
    </row>
    <row r="223" spans="1:52" ht="24.75" customHeight="1" x14ac:dyDescent="0.35">
      <c r="X223" s="97"/>
      <c r="Y223" s="97"/>
      <c r="Z223" s="97"/>
      <c r="AA223" s="97"/>
      <c r="AB223" s="97"/>
      <c r="AC223" s="97"/>
      <c r="AD223" s="97"/>
      <c r="AE223" s="97"/>
      <c r="AF223" s="97"/>
      <c r="AG223" s="97"/>
      <c r="AH223" s="97"/>
      <c r="AI223" s="97"/>
      <c r="AK223" s="97"/>
      <c r="AL223" s="97"/>
      <c r="AM223" s="97"/>
      <c r="AN223" s="97"/>
    </row>
    <row r="224" spans="1:52" ht="24.75" customHeight="1" x14ac:dyDescent="0.35">
      <c r="J224" s="90" t="s">
        <v>508</v>
      </c>
      <c r="K224" s="2" t="s">
        <v>509</v>
      </c>
      <c r="X224" s="97"/>
      <c r="Y224" s="97"/>
      <c r="Z224" s="97"/>
      <c r="AA224" s="97"/>
      <c r="AB224" s="97"/>
      <c r="AC224" s="97"/>
      <c r="AD224" s="97"/>
      <c r="AE224" s="97"/>
      <c r="AF224" s="97"/>
      <c r="AG224" s="97"/>
      <c r="AH224" s="97"/>
      <c r="AI224" s="97"/>
      <c r="AK224" s="97"/>
      <c r="AL224" s="97"/>
      <c r="AM224" s="97"/>
      <c r="AN224" s="97"/>
    </row>
    <row r="225" spans="10:40" ht="24.75" customHeight="1" x14ac:dyDescent="0.35">
      <c r="J225" s="90" t="str">
        <f>SUBSTITUTE(J221&amp;K221&amp;L221," ","")</f>
        <v>TransmissãoReforçoGrandePorteReforçoGrandePorte</v>
      </c>
      <c r="K225" s="2" t="s">
        <v>1798</v>
      </c>
      <c r="X225" s="97"/>
      <c r="Y225" s="97"/>
      <c r="Z225" s="97"/>
      <c r="AA225" s="97"/>
      <c r="AB225" s="97"/>
      <c r="AC225" s="97"/>
      <c r="AD225" s="97"/>
      <c r="AE225" s="97"/>
      <c r="AF225" s="97"/>
      <c r="AG225" s="97"/>
      <c r="AH225" s="97"/>
      <c r="AI225" s="97"/>
      <c r="AK225" s="97"/>
      <c r="AL225" s="97"/>
      <c r="AM225" s="97"/>
      <c r="AN225" s="97"/>
    </row>
    <row r="226" spans="10:40" ht="24.75" customHeight="1" x14ac:dyDescent="0.35">
      <c r="X226" s="97"/>
      <c r="Y226" s="97"/>
      <c r="Z226" s="97"/>
      <c r="AA226" s="97"/>
      <c r="AB226" s="97"/>
      <c r="AC226" s="97"/>
      <c r="AD226" s="97"/>
      <c r="AE226" s="97"/>
      <c r="AF226" s="97"/>
      <c r="AG226" s="97"/>
      <c r="AH226" s="97"/>
      <c r="AI226" s="97"/>
      <c r="AK226" s="97"/>
      <c r="AL226" s="97"/>
      <c r="AM226" s="97"/>
      <c r="AN226" s="97"/>
    </row>
    <row r="227" spans="10:40" ht="24.75" customHeight="1" x14ac:dyDescent="0.35">
      <c r="X227" s="97"/>
      <c r="Y227" s="97"/>
      <c r="Z227" s="97"/>
      <c r="AA227" s="97"/>
      <c r="AB227" s="97"/>
      <c r="AC227" s="97"/>
      <c r="AD227" s="97"/>
      <c r="AE227" s="97"/>
      <c r="AF227" s="97"/>
      <c r="AG227" s="97"/>
      <c r="AH227" s="97"/>
      <c r="AI227" s="97"/>
      <c r="AK227" s="97"/>
      <c r="AL227" s="97"/>
      <c r="AM227" s="97"/>
      <c r="AN227" s="97"/>
    </row>
    <row r="228" spans="10:40" ht="24.75" customHeight="1" x14ac:dyDescent="0.35">
      <c r="X228" s="97"/>
      <c r="Y228" s="97"/>
      <c r="Z228" s="97"/>
      <c r="AA228" s="97"/>
      <c r="AB228" s="97"/>
      <c r="AC228" s="97"/>
      <c r="AD228" s="97"/>
      <c r="AE228" s="97"/>
      <c r="AF228" s="97"/>
      <c r="AG228" s="97"/>
      <c r="AH228" s="97"/>
      <c r="AI228" s="97"/>
      <c r="AK228" s="97"/>
      <c r="AL228" s="97"/>
      <c r="AM228" s="97"/>
      <c r="AN228" s="97"/>
    </row>
    <row r="229" spans="10:40" ht="24.75" customHeight="1" x14ac:dyDescent="0.35">
      <c r="X229" s="97"/>
      <c r="Y229" s="97"/>
      <c r="Z229" s="97"/>
      <c r="AA229" s="97"/>
      <c r="AB229" s="97"/>
      <c r="AC229" s="97"/>
      <c r="AD229" s="97"/>
      <c r="AE229" s="97"/>
      <c r="AF229" s="97"/>
      <c r="AG229" s="97"/>
      <c r="AH229" s="97"/>
      <c r="AI229" s="97"/>
      <c r="AK229" s="97"/>
      <c r="AL229" s="97"/>
      <c r="AM229" s="97"/>
      <c r="AN229" s="97"/>
    </row>
    <row r="230" spans="10:40" ht="24.75" customHeight="1" x14ac:dyDescent="0.35">
      <c r="X230" s="97"/>
      <c r="Y230" s="97"/>
      <c r="Z230" s="97"/>
      <c r="AA230" s="97"/>
      <c r="AB230" s="97"/>
      <c r="AC230" s="97"/>
      <c r="AD230" s="97"/>
      <c r="AE230" s="97"/>
      <c r="AF230" s="97"/>
      <c r="AG230" s="97"/>
      <c r="AH230" s="97"/>
      <c r="AI230" s="97"/>
      <c r="AK230" s="97"/>
      <c r="AL230" s="97"/>
      <c r="AM230" s="97"/>
      <c r="AN230" s="97"/>
    </row>
    <row r="231" spans="10:40" ht="24.75" customHeight="1" x14ac:dyDescent="0.35">
      <c r="X231" s="97"/>
      <c r="Y231" s="97"/>
      <c r="Z231" s="97"/>
      <c r="AA231" s="97"/>
      <c r="AB231" s="97"/>
      <c r="AC231" s="97"/>
      <c r="AD231" s="97"/>
      <c r="AE231" s="97"/>
      <c r="AF231" s="97"/>
      <c r="AG231" s="97"/>
      <c r="AH231" s="97"/>
      <c r="AI231" s="97"/>
      <c r="AK231" s="97"/>
      <c r="AL231" s="97"/>
      <c r="AM231" s="97"/>
      <c r="AN231" s="97"/>
    </row>
    <row r="232" spans="10:40" ht="24.75" customHeight="1" x14ac:dyDescent="0.35">
      <c r="X232" s="97"/>
      <c r="Y232" s="97"/>
      <c r="Z232" s="97"/>
      <c r="AA232" s="97"/>
      <c r="AB232" s="97"/>
      <c r="AC232" s="97"/>
      <c r="AD232" s="97"/>
      <c r="AE232" s="97"/>
      <c r="AF232" s="97"/>
      <c r="AG232" s="97"/>
      <c r="AH232" s="97"/>
      <c r="AI232" s="97"/>
      <c r="AK232" s="97"/>
      <c r="AL232" s="97"/>
      <c r="AM232" s="97"/>
      <c r="AN232" s="97"/>
    </row>
    <row r="233" spans="10:40" ht="24.75" customHeight="1" x14ac:dyDescent="0.35">
      <c r="X233" s="97"/>
      <c r="Y233" s="97"/>
      <c r="Z233" s="97"/>
      <c r="AA233" s="97"/>
      <c r="AB233" s="97"/>
      <c r="AC233" s="97"/>
      <c r="AD233" s="97"/>
      <c r="AE233" s="97"/>
      <c r="AF233" s="97"/>
      <c r="AG233" s="97"/>
      <c r="AH233" s="97"/>
      <c r="AI233" s="97"/>
      <c r="AK233" s="97"/>
      <c r="AL233" s="97"/>
      <c r="AM233" s="97"/>
      <c r="AN233" s="97"/>
    </row>
    <row r="234" spans="10:40" ht="24.75" customHeight="1" x14ac:dyDescent="0.35">
      <c r="X234" s="97"/>
      <c r="Y234" s="97"/>
      <c r="Z234" s="97"/>
      <c r="AA234" s="97"/>
      <c r="AB234" s="97"/>
      <c r="AC234" s="97"/>
      <c r="AD234" s="97"/>
      <c r="AE234" s="97"/>
      <c r="AF234" s="97"/>
      <c r="AG234" s="97"/>
      <c r="AH234" s="97"/>
      <c r="AI234" s="97"/>
      <c r="AK234" s="97"/>
      <c r="AL234" s="97"/>
      <c r="AM234" s="97"/>
      <c r="AN234" s="97"/>
    </row>
    <row r="235" spans="10:40" ht="24.75" customHeight="1" x14ac:dyDescent="0.35">
      <c r="X235" s="97"/>
      <c r="Y235" s="97"/>
      <c r="Z235" s="97"/>
      <c r="AA235" s="97"/>
      <c r="AB235" s="97"/>
      <c r="AC235" s="97"/>
      <c r="AD235" s="97"/>
      <c r="AE235" s="97"/>
      <c r="AF235" s="97"/>
      <c r="AG235" s="97"/>
      <c r="AH235" s="97"/>
      <c r="AI235" s="97"/>
      <c r="AK235" s="97"/>
      <c r="AL235" s="97"/>
      <c r="AM235" s="97"/>
      <c r="AN235" s="97"/>
    </row>
    <row r="236" spans="10:40" ht="24.75" customHeight="1" x14ac:dyDescent="0.35">
      <c r="X236" s="97"/>
      <c r="Y236" s="97"/>
      <c r="Z236" s="97"/>
      <c r="AA236" s="97"/>
      <c r="AB236" s="97"/>
      <c r="AC236" s="97"/>
      <c r="AD236" s="97"/>
      <c r="AE236" s="97"/>
      <c r="AF236" s="97"/>
      <c r="AG236" s="97"/>
      <c r="AH236" s="97"/>
      <c r="AI236" s="97"/>
      <c r="AK236" s="97"/>
      <c r="AL236" s="97"/>
      <c r="AM236" s="97"/>
      <c r="AN236" s="97"/>
    </row>
    <row r="237" spans="10:40" ht="24.75" customHeight="1" x14ac:dyDescent="0.35">
      <c r="X237" s="97"/>
      <c r="Y237" s="97"/>
      <c r="Z237" s="97"/>
      <c r="AA237" s="97"/>
      <c r="AB237" s="97"/>
      <c r="AC237" s="97"/>
      <c r="AD237" s="97"/>
      <c r="AE237" s="97"/>
      <c r="AF237" s="97"/>
      <c r="AG237" s="97"/>
      <c r="AH237" s="97"/>
      <c r="AI237" s="97"/>
      <c r="AK237" s="97"/>
      <c r="AL237" s="97"/>
      <c r="AM237" s="97"/>
      <c r="AN237" s="97"/>
    </row>
    <row r="238" spans="10:40" ht="24.75" customHeight="1" x14ac:dyDescent="0.35">
      <c r="X238" s="97"/>
      <c r="Y238" s="97"/>
      <c r="Z238" s="97"/>
      <c r="AA238" s="97"/>
      <c r="AB238" s="97"/>
      <c r="AC238" s="97"/>
      <c r="AD238" s="97"/>
      <c r="AE238" s="97"/>
      <c r="AF238" s="97"/>
      <c r="AG238" s="97"/>
      <c r="AH238" s="97"/>
      <c r="AI238" s="97"/>
      <c r="AK238" s="97"/>
      <c r="AL238" s="97"/>
      <c r="AM238" s="97"/>
      <c r="AN238" s="97"/>
    </row>
    <row r="239" spans="10:40" ht="24.75" customHeight="1" x14ac:dyDescent="0.35">
      <c r="X239" s="97"/>
      <c r="Y239" s="97"/>
      <c r="Z239" s="97"/>
      <c r="AA239" s="97"/>
      <c r="AB239" s="97"/>
      <c r="AC239" s="97"/>
      <c r="AD239" s="97"/>
      <c r="AE239" s="97"/>
      <c r="AF239" s="97"/>
      <c r="AG239" s="97"/>
      <c r="AH239" s="97"/>
      <c r="AI239" s="97"/>
      <c r="AK239" s="97"/>
      <c r="AL239" s="97"/>
      <c r="AM239" s="97"/>
      <c r="AN239" s="97"/>
    </row>
    <row r="240" spans="10:40" ht="24.75" customHeight="1" x14ac:dyDescent="0.35">
      <c r="X240" s="97"/>
      <c r="Y240" s="97"/>
      <c r="Z240" s="97"/>
      <c r="AA240" s="97"/>
      <c r="AB240" s="97"/>
      <c r="AC240" s="97"/>
      <c r="AD240" s="97"/>
      <c r="AE240" s="97"/>
      <c r="AF240" s="97"/>
      <c r="AG240" s="97"/>
      <c r="AH240" s="97"/>
      <c r="AI240" s="97"/>
      <c r="AK240" s="97"/>
      <c r="AL240" s="97"/>
      <c r="AM240" s="97"/>
      <c r="AN240" s="97"/>
    </row>
    <row r="241" spans="24:40" ht="24.75" customHeight="1" x14ac:dyDescent="0.35">
      <c r="X241" s="97"/>
      <c r="Y241" s="97"/>
      <c r="Z241" s="97"/>
      <c r="AA241" s="97"/>
      <c r="AB241" s="97"/>
      <c r="AC241" s="97"/>
      <c r="AD241" s="97"/>
      <c r="AE241" s="97"/>
      <c r="AF241" s="97"/>
      <c r="AG241" s="97"/>
      <c r="AH241" s="97"/>
      <c r="AI241" s="97"/>
      <c r="AK241" s="97"/>
      <c r="AL241" s="97"/>
      <c r="AM241" s="97"/>
      <c r="AN241" s="97"/>
    </row>
    <row r="242" spans="24:40" ht="24.75" customHeight="1" x14ac:dyDescent="0.35">
      <c r="X242" s="97"/>
      <c r="Y242" s="97"/>
      <c r="Z242" s="97"/>
      <c r="AA242" s="97"/>
      <c r="AB242" s="97"/>
      <c r="AC242" s="97"/>
      <c r="AD242" s="97"/>
      <c r="AE242" s="97"/>
      <c r="AF242" s="97"/>
      <c r="AG242" s="97"/>
      <c r="AH242" s="97"/>
      <c r="AI242" s="97"/>
      <c r="AK242" s="97"/>
      <c r="AL242" s="97"/>
      <c r="AM242" s="97"/>
      <c r="AN242" s="97"/>
    </row>
    <row r="243" spans="24:40" ht="24.75" customHeight="1" x14ac:dyDescent="0.35">
      <c r="X243" s="97"/>
      <c r="Y243" s="97"/>
      <c r="Z243" s="97"/>
      <c r="AA243" s="97"/>
      <c r="AB243" s="97"/>
      <c r="AC243" s="97"/>
      <c r="AD243" s="97"/>
      <c r="AE243" s="97"/>
      <c r="AF243" s="97"/>
      <c r="AG243" s="97"/>
      <c r="AH243" s="97"/>
      <c r="AI243" s="97"/>
      <c r="AK243" s="97"/>
      <c r="AL243" s="97"/>
      <c r="AM243" s="97"/>
      <c r="AN243" s="97"/>
    </row>
    <row r="244" spans="24:40" ht="24.75" customHeight="1" x14ac:dyDescent="0.35">
      <c r="X244" s="97"/>
      <c r="Y244" s="97"/>
      <c r="Z244" s="97"/>
      <c r="AA244" s="97"/>
      <c r="AB244" s="97"/>
      <c r="AC244" s="97"/>
      <c r="AD244" s="97"/>
      <c r="AE244" s="97"/>
      <c r="AF244" s="97"/>
      <c r="AG244" s="97"/>
      <c r="AH244" s="97"/>
      <c r="AI244" s="97"/>
      <c r="AK244" s="97"/>
      <c r="AL244" s="97"/>
      <c r="AM244" s="97"/>
      <c r="AN244" s="97"/>
    </row>
    <row r="245" spans="24:40" ht="24.75" customHeight="1" x14ac:dyDescent="0.35">
      <c r="X245" s="97"/>
      <c r="Y245" s="97"/>
      <c r="Z245" s="97"/>
      <c r="AA245" s="97"/>
      <c r="AB245" s="97"/>
      <c r="AC245" s="97"/>
      <c r="AD245" s="97"/>
      <c r="AE245" s="97"/>
      <c r="AF245" s="97"/>
      <c r="AG245" s="97"/>
      <c r="AH245" s="97"/>
      <c r="AI245" s="97"/>
      <c r="AK245" s="97"/>
      <c r="AL245" s="97"/>
      <c r="AM245" s="97"/>
      <c r="AN245" s="97"/>
    </row>
    <row r="246" spans="24:40" ht="24.75" customHeight="1" x14ac:dyDescent="0.35">
      <c r="X246" s="97"/>
      <c r="Y246" s="97"/>
      <c r="Z246" s="97"/>
      <c r="AA246" s="97"/>
      <c r="AB246" s="97"/>
      <c r="AC246" s="97"/>
      <c r="AD246" s="97"/>
      <c r="AE246" s="97"/>
      <c r="AF246" s="97"/>
      <c r="AG246" s="97"/>
      <c r="AH246" s="97"/>
      <c r="AI246" s="97"/>
      <c r="AK246" s="97"/>
      <c r="AL246" s="97"/>
      <c r="AM246" s="97"/>
      <c r="AN246" s="97"/>
    </row>
    <row r="247" spans="24:40" ht="24.75" customHeight="1" x14ac:dyDescent="0.35">
      <c r="X247" s="97"/>
      <c r="Y247" s="97"/>
      <c r="Z247" s="97"/>
      <c r="AA247" s="97"/>
      <c r="AB247" s="97"/>
      <c r="AC247" s="97"/>
      <c r="AD247" s="97"/>
      <c r="AE247" s="97"/>
      <c r="AF247" s="97"/>
      <c r="AG247" s="97"/>
      <c r="AH247" s="97"/>
      <c r="AI247" s="97"/>
      <c r="AK247" s="97"/>
      <c r="AL247" s="97"/>
      <c r="AM247" s="97"/>
      <c r="AN247" s="97"/>
    </row>
    <row r="248" spans="24:40" ht="24.75" customHeight="1" x14ac:dyDescent="0.35">
      <c r="X248" s="97"/>
      <c r="Y248" s="97"/>
      <c r="Z248" s="97"/>
      <c r="AA248" s="97"/>
      <c r="AB248" s="97"/>
      <c r="AC248" s="97"/>
      <c r="AD248" s="97"/>
      <c r="AE248" s="97"/>
      <c r="AF248" s="97"/>
      <c r="AG248" s="97"/>
      <c r="AH248" s="97"/>
      <c r="AI248" s="97"/>
      <c r="AK248" s="97"/>
      <c r="AL248" s="97"/>
      <c r="AM248" s="97"/>
      <c r="AN248" s="97"/>
    </row>
    <row r="249" spans="24:40" ht="24.75" customHeight="1" x14ac:dyDescent="0.35">
      <c r="X249" s="97"/>
      <c r="Y249" s="97"/>
      <c r="Z249" s="97"/>
      <c r="AA249" s="97"/>
      <c r="AB249" s="97"/>
      <c r="AC249" s="97"/>
      <c r="AD249" s="97"/>
      <c r="AE249" s="97"/>
      <c r="AF249" s="97"/>
      <c r="AG249" s="97"/>
      <c r="AH249" s="97"/>
      <c r="AI249" s="97"/>
      <c r="AK249" s="97"/>
      <c r="AL249" s="97"/>
      <c r="AM249" s="97"/>
      <c r="AN249" s="97"/>
    </row>
    <row r="250" spans="24:40" ht="24.75" customHeight="1" x14ac:dyDescent="0.35">
      <c r="X250" s="97"/>
      <c r="Y250" s="97"/>
      <c r="Z250" s="97"/>
      <c r="AA250" s="97"/>
      <c r="AB250" s="97"/>
      <c r="AC250" s="97"/>
      <c r="AD250" s="97"/>
      <c r="AE250" s="97"/>
      <c r="AF250" s="97"/>
      <c r="AG250" s="97"/>
      <c r="AH250" s="97"/>
      <c r="AI250" s="97"/>
      <c r="AK250" s="97"/>
      <c r="AL250" s="97"/>
      <c r="AM250" s="97"/>
      <c r="AN250" s="97"/>
    </row>
    <row r="251" spans="24:40" ht="24.75" customHeight="1" x14ac:dyDescent="0.35">
      <c r="X251" s="97"/>
      <c r="Y251" s="97"/>
      <c r="Z251" s="97"/>
      <c r="AA251" s="97"/>
      <c r="AB251" s="97"/>
      <c r="AC251" s="97"/>
      <c r="AD251" s="97"/>
      <c r="AE251" s="97"/>
      <c r="AF251" s="97"/>
      <c r="AG251" s="97"/>
      <c r="AH251" s="97"/>
      <c r="AI251" s="97"/>
      <c r="AK251" s="97"/>
      <c r="AL251" s="97"/>
      <c r="AM251" s="97"/>
      <c r="AN251" s="97"/>
    </row>
    <row r="252" spans="24:40" ht="24.75" customHeight="1" x14ac:dyDescent="0.35">
      <c r="X252" s="97"/>
      <c r="Y252" s="97"/>
      <c r="Z252" s="97"/>
      <c r="AA252" s="97"/>
      <c r="AB252" s="97"/>
      <c r="AC252" s="97"/>
      <c r="AD252" s="97"/>
      <c r="AE252" s="97"/>
      <c r="AF252" s="97"/>
      <c r="AG252" s="97"/>
      <c r="AH252" s="97"/>
      <c r="AI252" s="97"/>
      <c r="AK252" s="97"/>
      <c r="AL252" s="97"/>
      <c r="AM252" s="97"/>
      <c r="AN252" s="97"/>
    </row>
    <row r="253" spans="24:40" ht="24.75" customHeight="1" x14ac:dyDescent="0.35">
      <c r="X253" s="97"/>
      <c r="Y253" s="97"/>
      <c r="Z253" s="97"/>
      <c r="AA253" s="97"/>
      <c r="AB253" s="97"/>
      <c r="AC253" s="97"/>
      <c r="AD253" s="97"/>
      <c r="AE253" s="97"/>
      <c r="AF253" s="97"/>
      <c r="AG253" s="97"/>
      <c r="AH253" s="97"/>
      <c r="AI253" s="97"/>
      <c r="AK253" s="97"/>
      <c r="AL253" s="97"/>
      <c r="AM253" s="97"/>
      <c r="AN253" s="97"/>
    </row>
    <row r="254" spans="24:40" ht="24.75" customHeight="1" x14ac:dyDescent="0.35">
      <c r="X254" s="97"/>
      <c r="Y254" s="97"/>
      <c r="Z254" s="97"/>
      <c r="AA254" s="97"/>
      <c r="AB254" s="97"/>
      <c r="AC254" s="97"/>
      <c r="AD254" s="97"/>
      <c r="AE254" s="97"/>
      <c r="AF254" s="97"/>
      <c r="AG254" s="97"/>
      <c r="AH254" s="97"/>
      <c r="AI254" s="97"/>
      <c r="AK254" s="97"/>
      <c r="AL254" s="97"/>
      <c r="AM254" s="97"/>
      <c r="AN254" s="97"/>
    </row>
    <row r="255" spans="24:40" ht="24.75" customHeight="1" x14ac:dyDescent="0.35">
      <c r="X255" s="97"/>
      <c r="Y255" s="97"/>
      <c r="Z255" s="97"/>
      <c r="AA255" s="97"/>
      <c r="AB255" s="97"/>
      <c r="AC255" s="97"/>
      <c r="AD255" s="97"/>
      <c r="AE255" s="97"/>
      <c r="AF255" s="97"/>
      <c r="AG255" s="97"/>
      <c r="AH255" s="97"/>
      <c r="AI255" s="97"/>
      <c r="AK255" s="97"/>
      <c r="AL255" s="97"/>
      <c r="AM255" s="97"/>
      <c r="AN255" s="97"/>
    </row>
    <row r="256" spans="24:40" ht="24.75" customHeight="1" x14ac:dyDescent="0.35">
      <c r="X256" s="97"/>
      <c r="Y256" s="97"/>
      <c r="Z256" s="97"/>
      <c r="AA256" s="97"/>
      <c r="AB256" s="97"/>
      <c r="AC256" s="97"/>
      <c r="AD256" s="97"/>
      <c r="AE256" s="97"/>
      <c r="AF256" s="97"/>
      <c r="AG256" s="97"/>
      <c r="AH256" s="97"/>
      <c r="AI256" s="97"/>
      <c r="AK256" s="97"/>
      <c r="AL256" s="97"/>
      <c r="AM256" s="97"/>
      <c r="AN256" s="97"/>
    </row>
    <row r="257" spans="24:40" ht="24.75" customHeight="1" x14ac:dyDescent="0.35">
      <c r="X257" s="97"/>
      <c r="Y257" s="97"/>
      <c r="Z257" s="97"/>
      <c r="AA257" s="97"/>
      <c r="AB257" s="97"/>
      <c r="AC257" s="97"/>
      <c r="AD257" s="97"/>
      <c r="AE257" s="97"/>
      <c r="AF257" s="97"/>
      <c r="AG257" s="97"/>
      <c r="AH257" s="97"/>
      <c r="AI257" s="97"/>
      <c r="AK257" s="97"/>
      <c r="AL257" s="97"/>
      <c r="AM257" s="97"/>
      <c r="AN257" s="97"/>
    </row>
    <row r="258" spans="24:40" ht="24.75" customHeight="1" x14ac:dyDescent="0.35">
      <c r="X258" s="97"/>
      <c r="Y258" s="97"/>
      <c r="Z258" s="97"/>
      <c r="AA258" s="97"/>
      <c r="AB258" s="97"/>
      <c r="AC258" s="97"/>
      <c r="AD258" s="97"/>
      <c r="AE258" s="97"/>
      <c r="AF258" s="97"/>
      <c r="AG258" s="97"/>
      <c r="AH258" s="97"/>
      <c r="AI258" s="97"/>
      <c r="AK258" s="97"/>
      <c r="AL258" s="97"/>
      <c r="AM258" s="97"/>
      <c r="AN258" s="97"/>
    </row>
    <row r="259" spans="24:40" ht="24.75" customHeight="1" x14ac:dyDescent="0.35">
      <c r="X259" s="97"/>
      <c r="Y259" s="97"/>
      <c r="Z259" s="97"/>
      <c r="AA259" s="97"/>
      <c r="AB259" s="97"/>
      <c r="AC259" s="97"/>
      <c r="AD259" s="97"/>
      <c r="AE259" s="97"/>
      <c r="AF259" s="97"/>
      <c r="AG259" s="97"/>
      <c r="AH259" s="97"/>
      <c r="AI259" s="97"/>
      <c r="AK259" s="97"/>
      <c r="AL259" s="97"/>
      <c r="AM259" s="97"/>
      <c r="AN259" s="97"/>
    </row>
    <row r="260" spans="24:40" ht="24.75" customHeight="1" x14ac:dyDescent="0.35">
      <c r="X260" s="97"/>
      <c r="Y260" s="97"/>
      <c r="Z260" s="97"/>
      <c r="AA260" s="97"/>
      <c r="AB260" s="97"/>
      <c r="AC260" s="97"/>
      <c r="AD260" s="97"/>
      <c r="AE260" s="97"/>
      <c r="AF260" s="97"/>
      <c r="AG260" s="97"/>
      <c r="AH260" s="97"/>
      <c r="AI260" s="97"/>
      <c r="AK260" s="97"/>
      <c r="AL260" s="97"/>
      <c r="AM260" s="97"/>
      <c r="AN260" s="97"/>
    </row>
    <row r="261" spans="24:40" ht="24.75" customHeight="1" x14ac:dyDescent="0.35">
      <c r="X261" s="97"/>
      <c r="Y261" s="97"/>
      <c r="Z261" s="97"/>
      <c r="AA261" s="97"/>
      <c r="AB261" s="97"/>
      <c r="AC261" s="97"/>
      <c r="AD261" s="97"/>
      <c r="AE261" s="97"/>
      <c r="AF261" s="97"/>
      <c r="AG261" s="97"/>
      <c r="AH261" s="97"/>
      <c r="AI261" s="97"/>
      <c r="AK261" s="97"/>
      <c r="AL261" s="97"/>
      <c r="AM261" s="97"/>
      <c r="AN261" s="97"/>
    </row>
    <row r="262" spans="24:40" ht="24.75" customHeight="1" x14ac:dyDescent="0.35">
      <c r="X262" s="97"/>
      <c r="Y262" s="97"/>
      <c r="Z262" s="97"/>
      <c r="AA262" s="97"/>
      <c r="AB262" s="97"/>
      <c r="AC262" s="97"/>
      <c r="AD262" s="97"/>
      <c r="AE262" s="97"/>
      <c r="AF262" s="97"/>
      <c r="AG262" s="97"/>
      <c r="AH262" s="97"/>
      <c r="AI262" s="97"/>
      <c r="AK262" s="97"/>
      <c r="AL262" s="97"/>
      <c r="AM262" s="97"/>
      <c r="AN262" s="97"/>
    </row>
    <row r="263" spans="24:40" ht="24.75" customHeight="1" x14ac:dyDescent="0.35">
      <c r="X263" s="97"/>
      <c r="Y263" s="97"/>
      <c r="Z263" s="97"/>
      <c r="AA263" s="97"/>
      <c r="AB263" s="97"/>
      <c r="AC263" s="97"/>
      <c r="AD263" s="97"/>
      <c r="AE263" s="97"/>
      <c r="AF263" s="97"/>
      <c r="AG263" s="97"/>
      <c r="AH263" s="97"/>
      <c r="AI263" s="97"/>
      <c r="AK263" s="97"/>
      <c r="AL263" s="97"/>
      <c r="AM263" s="97"/>
      <c r="AN263" s="97"/>
    </row>
    <row r="264" spans="24:40" ht="24.75" customHeight="1" x14ac:dyDescent="0.35">
      <c r="X264" s="97"/>
      <c r="Y264" s="97"/>
      <c r="Z264" s="97"/>
      <c r="AA264" s="97"/>
      <c r="AB264" s="97"/>
      <c r="AC264" s="97"/>
      <c r="AD264" s="97"/>
      <c r="AE264" s="97"/>
      <c r="AF264" s="97"/>
      <c r="AG264" s="97"/>
      <c r="AH264" s="97"/>
      <c r="AI264" s="97"/>
      <c r="AK264" s="97"/>
      <c r="AL264" s="97"/>
      <c r="AM264" s="97"/>
      <c r="AN264" s="97"/>
    </row>
    <row r="265" spans="24:40" ht="15" customHeight="1" x14ac:dyDescent="0.35">
      <c r="X265" s="97"/>
      <c r="Y265" s="97"/>
      <c r="Z265" s="97"/>
      <c r="AA265" s="97"/>
      <c r="AB265" s="97"/>
      <c r="AC265" s="97"/>
      <c r="AD265" s="97"/>
      <c r="AE265" s="97"/>
      <c r="AF265" s="97"/>
      <c r="AG265" s="97"/>
      <c r="AH265" s="97"/>
      <c r="AI265" s="97"/>
      <c r="AK265" s="97"/>
      <c r="AL265" s="97"/>
      <c r="AM265" s="97"/>
      <c r="AN265" s="97"/>
    </row>
    <row r="266" spans="24:40" ht="15" customHeight="1" x14ac:dyDescent="0.35">
      <c r="X266" s="97"/>
      <c r="Y266" s="97"/>
      <c r="Z266" s="97"/>
      <c r="AA266" s="97"/>
      <c r="AB266" s="97"/>
      <c r="AC266" s="97"/>
      <c r="AD266" s="97"/>
      <c r="AE266" s="97"/>
      <c r="AF266" s="97"/>
      <c r="AG266" s="97"/>
      <c r="AH266" s="97"/>
      <c r="AI266" s="97"/>
      <c r="AK266" s="97"/>
      <c r="AL266" s="97"/>
      <c r="AM266" s="97"/>
      <c r="AN266" s="97"/>
    </row>
    <row r="267" spans="24:40" ht="15" customHeight="1" x14ac:dyDescent="0.35">
      <c r="X267" s="97"/>
      <c r="Y267" s="97"/>
      <c r="Z267" s="97"/>
      <c r="AA267" s="97"/>
      <c r="AB267" s="97"/>
      <c r="AC267" s="97"/>
      <c r="AD267" s="97"/>
      <c r="AE267" s="97"/>
      <c r="AF267" s="97"/>
      <c r="AG267" s="97"/>
      <c r="AH267" s="97"/>
      <c r="AI267" s="97"/>
      <c r="AK267" s="97"/>
      <c r="AL267" s="97"/>
      <c r="AM267" s="97"/>
      <c r="AN267" s="97"/>
    </row>
    <row r="268" spans="24:40" ht="15" customHeight="1" x14ac:dyDescent="0.35">
      <c r="X268" s="97"/>
      <c r="Y268" s="97"/>
      <c r="Z268" s="97"/>
      <c r="AA268" s="97"/>
      <c r="AB268" s="97"/>
      <c r="AC268" s="97"/>
      <c r="AD268" s="97"/>
      <c r="AE268" s="97"/>
      <c r="AF268" s="97"/>
      <c r="AG268" s="97"/>
      <c r="AH268" s="97"/>
      <c r="AI268" s="97"/>
      <c r="AK268" s="97"/>
      <c r="AL268" s="97"/>
      <c r="AM268" s="97"/>
      <c r="AN268" s="97"/>
    </row>
    <row r="269" spans="24:40" ht="15" customHeight="1" x14ac:dyDescent="0.35">
      <c r="X269" s="97"/>
      <c r="Y269" s="97"/>
      <c r="Z269" s="97"/>
      <c r="AA269" s="97"/>
      <c r="AB269" s="97"/>
      <c r="AC269" s="97"/>
      <c r="AD269" s="97"/>
      <c r="AE269" s="97"/>
      <c r="AF269" s="97"/>
      <c r="AG269" s="97"/>
      <c r="AH269" s="97"/>
      <c r="AI269" s="97"/>
      <c r="AK269" s="97"/>
      <c r="AL269" s="97"/>
      <c r="AM269" s="97"/>
      <c r="AN269" s="97"/>
    </row>
    <row r="270" spans="24:40" ht="15" customHeight="1" x14ac:dyDescent="0.35">
      <c r="X270" s="97"/>
      <c r="Y270" s="97"/>
      <c r="Z270" s="97"/>
      <c r="AA270" s="97"/>
      <c r="AB270" s="97"/>
      <c r="AC270" s="97"/>
      <c r="AD270" s="97"/>
      <c r="AE270" s="97"/>
      <c r="AF270" s="97"/>
      <c r="AG270" s="97"/>
      <c r="AH270" s="97"/>
      <c r="AI270" s="97"/>
      <c r="AK270" s="97"/>
      <c r="AL270" s="97"/>
      <c r="AM270" s="97"/>
      <c r="AN270" s="97"/>
    </row>
    <row r="271" spans="24:40" ht="15" customHeight="1" x14ac:dyDescent="0.35">
      <c r="X271" s="97"/>
      <c r="Y271" s="97"/>
      <c r="Z271" s="97"/>
      <c r="AA271" s="97"/>
      <c r="AB271" s="97"/>
      <c r="AC271" s="97"/>
      <c r="AD271" s="97"/>
      <c r="AE271" s="97"/>
      <c r="AF271" s="97"/>
      <c r="AG271" s="97"/>
      <c r="AH271" s="97"/>
      <c r="AI271" s="97"/>
      <c r="AK271" s="97"/>
      <c r="AL271" s="97"/>
      <c r="AM271" s="97"/>
      <c r="AN271" s="97"/>
    </row>
    <row r="272" spans="24:40" ht="15" customHeight="1" x14ac:dyDescent="0.35">
      <c r="X272" s="97"/>
      <c r="Y272" s="97"/>
      <c r="Z272" s="97"/>
      <c r="AA272" s="97"/>
      <c r="AB272" s="97"/>
      <c r="AC272" s="97"/>
      <c r="AD272" s="97"/>
      <c r="AE272" s="97"/>
      <c r="AF272" s="97"/>
      <c r="AG272" s="97"/>
      <c r="AH272" s="97"/>
      <c r="AI272" s="97"/>
      <c r="AK272" s="97"/>
      <c r="AL272" s="97"/>
      <c r="AM272" s="97"/>
      <c r="AN272" s="97"/>
    </row>
    <row r="273" spans="24:40" ht="15" customHeight="1" x14ac:dyDescent="0.35">
      <c r="X273" s="97"/>
      <c r="Y273" s="97"/>
      <c r="Z273" s="97"/>
      <c r="AA273" s="97"/>
      <c r="AB273" s="97"/>
      <c r="AC273" s="97"/>
      <c r="AD273" s="97"/>
      <c r="AE273" s="97"/>
      <c r="AF273" s="97"/>
      <c r="AG273" s="97"/>
      <c r="AH273" s="97"/>
      <c r="AI273" s="97"/>
      <c r="AK273" s="97"/>
      <c r="AL273" s="97"/>
      <c r="AM273" s="97"/>
      <c r="AN273" s="97"/>
    </row>
    <row r="274" spans="24:40" ht="15" customHeight="1" x14ac:dyDescent="0.35">
      <c r="X274" s="97"/>
      <c r="Y274" s="97"/>
      <c r="Z274" s="97"/>
      <c r="AA274" s="97"/>
      <c r="AB274" s="97"/>
      <c r="AC274" s="97"/>
      <c r="AD274" s="97"/>
      <c r="AE274" s="97"/>
      <c r="AF274" s="97"/>
      <c r="AG274" s="97"/>
      <c r="AH274" s="97"/>
      <c r="AI274" s="97"/>
      <c r="AK274" s="97"/>
      <c r="AL274" s="97"/>
      <c r="AM274" s="97"/>
      <c r="AN274" s="97"/>
    </row>
    <row r="275" spans="24:40" ht="15" customHeight="1" x14ac:dyDescent="0.35">
      <c r="X275" s="97"/>
      <c r="Y275" s="97"/>
      <c r="Z275" s="97"/>
      <c r="AA275" s="97"/>
      <c r="AB275" s="97"/>
      <c r="AC275" s="97"/>
      <c r="AD275" s="97"/>
      <c r="AE275" s="97"/>
      <c r="AF275" s="97"/>
      <c r="AG275" s="97"/>
      <c r="AH275" s="97"/>
      <c r="AI275" s="97"/>
      <c r="AK275" s="97"/>
      <c r="AL275" s="97"/>
      <c r="AM275" s="97"/>
      <c r="AN275" s="97"/>
    </row>
    <row r="276" spans="24:40" ht="15" customHeight="1" x14ac:dyDescent="0.35">
      <c r="X276" s="97"/>
      <c r="Y276" s="97"/>
      <c r="Z276" s="97"/>
      <c r="AA276" s="97"/>
      <c r="AB276" s="97"/>
      <c r="AC276" s="97"/>
      <c r="AD276" s="97"/>
      <c r="AE276" s="97"/>
      <c r="AF276" s="97"/>
      <c r="AG276" s="97"/>
      <c r="AH276" s="97"/>
      <c r="AI276" s="97"/>
      <c r="AK276" s="97"/>
      <c r="AL276" s="97"/>
      <c r="AM276" s="97"/>
      <c r="AN276" s="97"/>
    </row>
    <row r="277" spans="24:40" ht="15" customHeight="1" x14ac:dyDescent="0.35">
      <c r="X277" s="97"/>
      <c r="Y277" s="97"/>
      <c r="Z277" s="97"/>
      <c r="AA277" s="97"/>
      <c r="AB277" s="97"/>
      <c r="AC277" s="97"/>
      <c r="AD277" s="97"/>
      <c r="AE277" s="97"/>
      <c r="AF277" s="97"/>
      <c r="AG277" s="97"/>
      <c r="AH277" s="97"/>
      <c r="AI277" s="97"/>
      <c r="AK277" s="97"/>
      <c r="AL277" s="97"/>
      <c r="AM277" s="97"/>
      <c r="AN277" s="97"/>
    </row>
    <row r="278" spans="24:40" ht="15" customHeight="1" x14ac:dyDescent="0.35">
      <c r="X278" s="97"/>
      <c r="Y278" s="97"/>
      <c r="Z278" s="97"/>
      <c r="AA278" s="97"/>
      <c r="AB278" s="97"/>
      <c r="AC278" s="97"/>
      <c r="AD278" s="97"/>
      <c r="AE278" s="97"/>
      <c r="AF278" s="97"/>
      <c r="AG278" s="97"/>
      <c r="AH278" s="97"/>
      <c r="AI278" s="97"/>
      <c r="AK278" s="97"/>
      <c r="AL278" s="97"/>
      <c r="AM278" s="97"/>
      <c r="AN278" s="97"/>
    </row>
    <row r="279" spans="24:40" ht="15" customHeight="1" x14ac:dyDescent="0.35">
      <c r="X279" s="97"/>
      <c r="Y279" s="97"/>
      <c r="Z279" s="97"/>
      <c r="AA279" s="97"/>
      <c r="AB279" s="97"/>
      <c r="AC279" s="97"/>
      <c r="AD279" s="97"/>
      <c r="AE279" s="97"/>
      <c r="AF279" s="97"/>
      <c r="AG279" s="97"/>
      <c r="AH279" s="97"/>
      <c r="AI279" s="97"/>
      <c r="AK279" s="97"/>
      <c r="AL279" s="97"/>
      <c r="AM279" s="97"/>
      <c r="AN279" s="97"/>
    </row>
    <row r="280" spans="24:40" ht="15" customHeight="1" x14ac:dyDescent="0.35">
      <c r="X280" s="97"/>
      <c r="Y280" s="97"/>
      <c r="Z280" s="97"/>
      <c r="AA280" s="97"/>
      <c r="AB280" s="97"/>
      <c r="AC280" s="97"/>
      <c r="AD280" s="97"/>
      <c r="AE280" s="97"/>
      <c r="AF280" s="97"/>
      <c r="AG280" s="97"/>
      <c r="AH280" s="97"/>
      <c r="AI280" s="97"/>
      <c r="AK280" s="97"/>
      <c r="AL280" s="97"/>
      <c r="AM280" s="97"/>
      <c r="AN280" s="97"/>
    </row>
    <row r="281" spans="24:40" ht="15" customHeight="1" x14ac:dyDescent="0.35">
      <c r="X281" s="97"/>
      <c r="Y281" s="97"/>
      <c r="Z281" s="97"/>
      <c r="AA281" s="97"/>
      <c r="AB281" s="97"/>
      <c r="AC281" s="97"/>
      <c r="AD281" s="97"/>
      <c r="AE281" s="97"/>
      <c r="AF281" s="97"/>
      <c r="AG281" s="97"/>
      <c r="AH281" s="97"/>
      <c r="AI281" s="97"/>
      <c r="AK281" s="97"/>
      <c r="AL281" s="97"/>
      <c r="AM281" s="97"/>
      <c r="AN281" s="97"/>
    </row>
    <row r="282" spans="24:40" ht="15" customHeight="1" x14ac:dyDescent="0.35">
      <c r="X282" s="97"/>
      <c r="Y282" s="97"/>
      <c r="Z282" s="97"/>
      <c r="AA282" s="97"/>
      <c r="AB282" s="97"/>
      <c r="AC282" s="97"/>
      <c r="AD282" s="97"/>
      <c r="AE282" s="97"/>
      <c r="AF282" s="97"/>
      <c r="AG282" s="97"/>
      <c r="AH282" s="97"/>
      <c r="AI282" s="97"/>
      <c r="AK282" s="97"/>
      <c r="AL282" s="97"/>
      <c r="AM282" s="97"/>
      <c r="AN282" s="97"/>
    </row>
    <row r="283" spans="24:40" ht="15" customHeight="1" x14ac:dyDescent="0.35">
      <c r="X283" s="97"/>
      <c r="Y283" s="97"/>
      <c r="Z283" s="97"/>
      <c r="AA283" s="97"/>
      <c r="AB283" s="97"/>
      <c r="AC283" s="97"/>
      <c r="AD283" s="97"/>
      <c r="AE283" s="97"/>
      <c r="AF283" s="97"/>
      <c r="AG283" s="97"/>
      <c r="AH283" s="97"/>
      <c r="AI283" s="97"/>
      <c r="AK283" s="97"/>
      <c r="AL283" s="97"/>
      <c r="AM283" s="97"/>
      <c r="AN283" s="97"/>
    </row>
    <row r="284" spans="24:40" ht="15" customHeight="1" x14ac:dyDescent="0.35">
      <c r="X284" s="97"/>
      <c r="Y284" s="97"/>
      <c r="Z284" s="97"/>
      <c r="AA284" s="97"/>
      <c r="AB284" s="97"/>
      <c r="AC284" s="97"/>
      <c r="AD284" s="97"/>
      <c r="AE284" s="97"/>
      <c r="AF284" s="97"/>
      <c r="AG284" s="97"/>
      <c r="AH284" s="97"/>
      <c r="AI284" s="97"/>
      <c r="AK284" s="97"/>
      <c r="AL284" s="97"/>
      <c r="AM284" s="97"/>
      <c r="AN284" s="97"/>
    </row>
    <row r="285" spans="24:40" ht="15" customHeight="1" x14ac:dyDescent="0.35">
      <c r="X285" s="97"/>
      <c r="Y285" s="97"/>
      <c r="Z285" s="97"/>
      <c r="AA285" s="97"/>
      <c r="AB285" s="97"/>
      <c r="AC285" s="97"/>
      <c r="AD285" s="97"/>
      <c r="AE285" s="97"/>
      <c r="AF285" s="97"/>
      <c r="AG285" s="97"/>
      <c r="AH285" s="97"/>
      <c r="AI285" s="97"/>
      <c r="AK285" s="97"/>
      <c r="AL285" s="97"/>
      <c r="AM285" s="97"/>
      <c r="AN285" s="97"/>
    </row>
    <row r="286" spans="24:40" ht="15" customHeight="1" x14ac:dyDescent="0.35">
      <c r="X286" s="97"/>
      <c r="Y286" s="97"/>
      <c r="Z286" s="97"/>
      <c r="AA286" s="97"/>
      <c r="AB286" s="97"/>
      <c r="AC286" s="97"/>
      <c r="AD286" s="97"/>
      <c r="AE286" s="97"/>
      <c r="AF286" s="97"/>
      <c r="AG286" s="97"/>
      <c r="AH286" s="97"/>
      <c r="AI286" s="97"/>
      <c r="AK286" s="97"/>
      <c r="AL286" s="97"/>
      <c r="AM286" s="97"/>
      <c r="AN286" s="97"/>
    </row>
    <row r="287" spans="24:40" ht="15" customHeight="1" x14ac:dyDescent="0.35">
      <c r="X287" s="97"/>
      <c r="Y287" s="97"/>
      <c r="Z287" s="97"/>
      <c r="AA287" s="97"/>
      <c r="AB287" s="97"/>
      <c r="AC287" s="97"/>
      <c r="AD287" s="97"/>
      <c r="AE287" s="97"/>
      <c r="AF287" s="97"/>
      <c r="AG287" s="97"/>
      <c r="AH287" s="97"/>
      <c r="AI287" s="97"/>
      <c r="AK287" s="97"/>
      <c r="AL287" s="97"/>
      <c r="AM287" s="97"/>
      <c r="AN287" s="97"/>
    </row>
    <row r="288" spans="24:40" ht="15" customHeight="1" x14ac:dyDescent="0.35">
      <c r="X288" s="97"/>
      <c r="Y288" s="97"/>
      <c r="Z288" s="97"/>
      <c r="AA288" s="97"/>
      <c r="AB288" s="97"/>
      <c r="AC288" s="97"/>
      <c r="AD288" s="97"/>
      <c r="AE288" s="97"/>
      <c r="AF288" s="97"/>
      <c r="AG288" s="97"/>
      <c r="AH288" s="97"/>
      <c r="AI288" s="97"/>
      <c r="AK288" s="97"/>
      <c r="AL288" s="97"/>
      <c r="AM288" s="97"/>
      <c r="AN288" s="97"/>
    </row>
    <row r="289" spans="24:40" ht="15" customHeight="1" x14ac:dyDescent="0.35">
      <c r="X289" s="97"/>
      <c r="Y289" s="97"/>
      <c r="Z289" s="97"/>
      <c r="AA289" s="97"/>
      <c r="AB289" s="97"/>
      <c r="AC289" s="97"/>
      <c r="AD289" s="97"/>
      <c r="AE289" s="97"/>
      <c r="AF289" s="97"/>
      <c r="AG289" s="97"/>
      <c r="AH289" s="97"/>
      <c r="AI289" s="97"/>
      <c r="AK289" s="97"/>
      <c r="AL289" s="97"/>
      <c r="AM289" s="97"/>
      <c r="AN289" s="97"/>
    </row>
    <row r="290" spans="24:40" ht="15" customHeight="1" x14ac:dyDescent="0.35">
      <c r="X290" s="97"/>
      <c r="Y290" s="97"/>
      <c r="Z290" s="97"/>
      <c r="AA290" s="97"/>
      <c r="AB290" s="97"/>
      <c r="AC290" s="97"/>
      <c r="AD290" s="97"/>
      <c r="AE290" s="97"/>
      <c r="AF290" s="97"/>
      <c r="AG290" s="97"/>
      <c r="AH290" s="97"/>
      <c r="AI290" s="97"/>
      <c r="AK290" s="97"/>
      <c r="AL290" s="97"/>
      <c r="AM290" s="97"/>
      <c r="AN290" s="97"/>
    </row>
    <row r="291" spans="24:40" ht="15" customHeight="1" x14ac:dyDescent="0.35">
      <c r="X291" s="97"/>
      <c r="Y291" s="97"/>
      <c r="Z291" s="97"/>
      <c r="AA291" s="97"/>
      <c r="AB291" s="97"/>
      <c r="AC291" s="97"/>
      <c r="AD291" s="97"/>
      <c r="AE291" s="97"/>
      <c r="AF291" s="97"/>
      <c r="AG291" s="97"/>
      <c r="AH291" s="97"/>
      <c r="AI291" s="97"/>
      <c r="AK291" s="97"/>
      <c r="AL291" s="97"/>
      <c r="AM291" s="97"/>
      <c r="AN291" s="97"/>
    </row>
    <row r="292" spans="24:40" ht="15" customHeight="1" x14ac:dyDescent="0.35">
      <c r="X292" s="97"/>
      <c r="Y292" s="97"/>
      <c r="Z292" s="97"/>
      <c r="AA292" s="97"/>
      <c r="AB292" s="97"/>
      <c r="AC292" s="97"/>
      <c r="AD292" s="97"/>
      <c r="AE292" s="97"/>
      <c r="AF292" s="97"/>
      <c r="AG292" s="97"/>
      <c r="AH292" s="97"/>
      <c r="AI292" s="97"/>
      <c r="AK292" s="97"/>
      <c r="AL292" s="97"/>
      <c r="AM292" s="97"/>
      <c r="AN292" s="97"/>
    </row>
    <row r="293" spans="24:40" ht="15" customHeight="1" x14ac:dyDescent="0.35">
      <c r="X293" s="97"/>
      <c r="Y293" s="97"/>
      <c r="Z293" s="97"/>
      <c r="AA293" s="97"/>
      <c r="AB293" s="97"/>
      <c r="AC293" s="97"/>
      <c r="AD293" s="97"/>
      <c r="AE293" s="97"/>
      <c r="AF293" s="97"/>
      <c r="AG293" s="97"/>
      <c r="AH293" s="97"/>
      <c r="AI293" s="97"/>
      <c r="AK293" s="97"/>
      <c r="AL293" s="97"/>
      <c r="AM293" s="97"/>
      <c r="AN293" s="97"/>
    </row>
    <row r="294" spans="24:40" ht="15" customHeight="1" x14ac:dyDescent="0.35">
      <c r="X294" s="97"/>
      <c r="Y294" s="97"/>
      <c r="Z294" s="97"/>
      <c r="AA294" s="97"/>
      <c r="AB294" s="97"/>
      <c r="AC294" s="97"/>
      <c r="AD294" s="97"/>
      <c r="AE294" s="97"/>
      <c r="AF294" s="97"/>
      <c r="AG294" s="97"/>
      <c r="AH294" s="97"/>
      <c r="AI294" s="97"/>
      <c r="AK294" s="97"/>
      <c r="AL294" s="97"/>
      <c r="AM294" s="97"/>
      <c r="AN294" s="97"/>
    </row>
    <row r="295" spans="24:40" ht="15" customHeight="1" x14ac:dyDescent="0.35">
      <c r="X295" s="97"/>
      <c r="Y295" s="97"/>
      <c r="Z295" s="97"/>
      <c r="AA295" s="97"/>
      <c r="AB295" s="97"/>
      <c r="AC295" s="97"/>
      <c r="AD295" s="97"/>
      <c r="AE295" s="97"/>
      <c r="AF295" s="97"/>
      <c r="AG295" s="97"/>
      <c r="AH295" s="97"/>
      <c r="AI295" s="97"/>
      <c r="AK295" s="97"/>
      <c r="AL295" s="97"/>
      <c r="AM295" s="97"/>
      <c r="AN295" s="97"/>
    </row>
    <row r="296" spans="24:40" ht="15" customHeight="1" x14ac:dyDescent="0.35">
      <c r="X296" s="97"/>
      <c r="Y296" s="97"/>
      <c r="Z296" s="97"/>
      <c r="AA296" s="97"/>
      <c r="AB296" s="97"/>
      <c r="AC296" s="97"/>
      <c r="AD296" s="97"/>
      <c r="AE296" s="97"/>
      <c r="AF296" s="97"/>
      <c r="AG296" s="97"/>
      <c r="AH296" s="97"/>
      <c r="AI296" s="97"/>
      <c r="AK296" s="97"/>
      <c r="AL296" s="97"/>
      <c r="AM296" s="97"/>
      <c r="AN296" s="97"/>
    </row>
    <row r="297" spans="24:40" ht="15" customHeight="1" x14ac:dyDescent="0.35">
      <c r="X297" s="97"/>
      <c r="Y297" s="97"/>
      <c r="Z297" s="97"/>
      <c r="AA297" s="97"/>
      <c r="AB297" s="97"/>
      <c r="AC297" s="97"/>
      <c r="AD297" s="97"/>
      <c r="AE297" s="97"/>
      <c r="AF297" s="97"/>
      <c r="AG297" s="97"/>
      <c r="AH297" s="97"/>
      <c r="AI297" s="97"/>
      <c r="AK297" s="97"/>
      <c r="AL297" s="97"/>
      <c r="AM297" s="97"/>
      <c r="AN297" s="97"/>
    </row>
    <row r="298" spans="24:40" ht="15" customHeight="1" x14ac:dyDescent="0.35">
      <c r="X298" s="97"/>
      <c r="Y298" s="97"/>
      <c r="Z298" s="97"/>
      <c r="AA298" s="97"/>
      <c r="AB298" s="97"/>
      <c r="AC298" s="97"/>
      <c r="AD298" s="97"/>
      <c r="AE298" s="97"/>
      <c r="AF298" s="97"/>
      <c r="AG298" s="97"/>
      <c r="AH298" s="97"/>
      <c r="AI298" s="97"/>
      <c r="AK298" s="97"/>
      <c r="AL298" s="97"/>
      <c r="AM298" s="97"/>
      <c r="AN298" s="97"/>
    </row>
    <row r="299" spans="24:40" ht="15" customHeight="1" x14ac:dyDescent="0.35">
      <c r="X299" s="97"/>
      <c r="Y299" s="97"/>
      <c r="Z299" s="97"/>
      <c r="AA299" s="97"/>
      <c r="AB299" s="97"/>
      <c r="AC299" s="97"/>
      <c r="AD299" s="97"/>
      <c r="AE299" s="97"/>
      <c r="AF299" s="97"/>
      <c r="AG299" s="97"/>
      <c r="AH299" s="97"/>
      <c r="AI299" s="97"/>
      <c r="AK299" s="97"/>
      <c r="AL299" s="97"/>
      <c r="AM299" s="97"/>
      <c r="AN299" s="97"/>
    </row>
    <row r="300" spans="24:40" ht="15" customHeight="1" x14ac:dyDescent="0.35">
      <c r="X300" s="97"/>
      <c r="Y300" s="97"/>
      <c r="Z300" s="97"/>
      <c r="AA300" s="97"/>
      <c r="AB300" s="97"/>
      <c r="AC300" s="97"/>
      <c r="AD300" s="97"/>
      <c r="AE300" s="97"/>
      <c r="AF300" s="97"/>
      <c r="AG300" s="97"/>
      <c r="AH300" s="97"/>
      <c r="AI300" s="97"/>
      <c r="AK300" s="97"/>
      <c r="AL300" s="97"/>
      <c r="AM300" s="97"/>
      <c r="AN300" s="97"/>
    </row>
    <row r="301" spans="24:40" ht="15" customHeight="1" x14ac:dyDescent="0.35">
      <c r="X301" s="97"/>
      <c r="Y301" s="97"/>
      <c r="Z301" s="97"/>
      <c r="AA301" s="97"/>
      <c r="AB301" s="97"/>
      <c r="AC301" s="97"/>
      <c r="AD301" s="97"/>
      <c r="AE301" s="97"/>
      <c r="AF301" s="97"/>
      <c r="AG301" s="97"/>
      <c r="AH301" s="97"/>
      <c r="AI301" s="97"/>
      <c r="AK301" s="97"/>
      <c r="AL301" s="97"/>
      <c r="AM301" s="97"/>
      <c r="AN301" s="97"/>
    </row>
    <row r="302" spans="24:40" ht="15" customHeight="1" x14ac:dyDescent="0.35">
      <c r="X302" s="97"/>
      <c r="Y302" s="97"/>
      <c r="Z302" s="97"/>
      <c r="AA302" s="97"/>
      <c r="AB302" s="97"/>
      <c r="AC302" s="97"/>
      <c r="AD302" s="97"/>
      <c r="AE302" s="97"/>
      <c r="AF302" s="97"/>
      <c r="AG302" s="97"/>
      <c r="AH302" s="97"/>
      <c r="AI302" s="97"/>
      <c r="AK302" s="97"/>
      <c r="AL302" s="97"/>
      <c r="AM302" s="97"/>
      <c r="AN302" s="97"/>
    </row>
    <row r="303" spans="24:40" ht="15" customHeight="1" x14ac:dyDescent="0.35">
      <c r="X303" s="97"/>
      <c r="Y303" s="97"/>
      <c r="Z303" s="97"/>
      <c r="AA303" s="97"/>
      <c r="AB303" s="97"/>
      <c r="AC303" s="97"/>
      <c r="AD303" s="97"/>
      <c r="AE303" s="97"/>
      <c r="AF303" s="97"/>
      <c r="AG303" s="97"/>
      <c r="AH303" s="97"/>
      <c r="AI303" s="97"/>
      <c r="AK303" s="97"/>
      <c r="AL303" s="97"/>
      <c r="AM303" s="97"/>
      <c r="AN303" s="97"/>
    </row>
    <row r="304" spans="24:40" ht="15" customHeight="1" x14ac:dyDescent="0.35">
      <c r="X304" s="97"/>
      <c r="Y304" s="97"/>
      <c r="Z304" s="97"/>
      <c r="AA304" s="97"/>
      <c r="AB304" s="97"/>
      <c r="AC304" s="97"/>
      <c r="AD304" s="97"/>
      <c r="AE304" s="97"/>
      <c r="AF304" s="97"/>
      <c r="AG304" s="97"/>
      <c r="AH304" s="97"/>
      <c r="AI304" s="97"/>
      <c r="AK304" s="97"/>
      <c r="AL304" s="97"/>
      <c r="AM304" s="97"/>
      <c r="AN304" s="97"/>
    </row>
    <row r="305" spans="24:40" ht="15" customHeight="1" x14ac:dyDescent="0.35">
      <c r="X305" s="97"/>
      <c r="Y305" s="97"/>
      <c r="Z305" s="97"/>
      <c r="AA305" s="97"/>
      <c r="AB305" s="97"/>
      <c r="AC305" s="97"/>
      <c r="AD305" s="97"/>
      <c r="AE305" s="97"/>
      <c r="AF305" s="97"/>
      <c r="AG305" s="97"/>
      <c r="AH305" s="97"/>
      <c r="AI305" s="97"/>
      <c r="AK305" s="97"/>
      <c r="AL305" s="97"/>
      <c r="AM305" s="97"/>
      <c r="AN305" s="97"/>
    </row>
    <row r="306" spans="24:40" ht="15" customHeight="1" x14ac:dyDescent="0.35">
      <c r="X306" s="97"/>
      <c r="Y306" s="97"/>
      <c r="Z306" s="97"/>
      <c r="AA306" s="97"/>
      <c r="AB306" s="97"/>
      <c r="AC306" s="97"/>
      <c r="AD306" s="97"/>
      <c r="AE306" s="97"/>
      <c r="AF306" s="97"/>
      <c r="AG306" s="97"/>
      <c r="AH306" s="97"/>
      <c r="AI306" s="97"/>
      <c r="AK306" s="97"/>
      <c r="AL306" s="97"/>
      <c r="AM306" s="97"/>
      <c r="AN306" s="97"/>
    </row>
    <row r="307" spans="24:40" ht="15" customHeight="1" x14ac:dyDescent="0.35">
      <c r="X307" s="97"/>
      <c r="Y307" s="97"/>
      <c r="Z307" s="97"/>
      <c r="AA307" s="97"/>
      <c r="AB307" s="97"/>
      <c r="AC307" s="97"/>
      <c r="AD307" s="97"/>
      <c r="AE307" s="97"/>
      <c r="AF307" s="97"/>
      <c r="AG307" s="97"/>
      <c r="AH307" s="97"/>
      <c r="AI307" s="97"/>
      <c r="AK307" s="97"/>
      <c r="AL307" s="97"/>
      <c r="AM307" s="97"/>
      <c r="AN307" s="97"/>
    </row>
    <row r="308" spans="24:40" ht="15" customHeight="1" x14ac:dyDescent="0.35">
      <c r="X308" s="97"/>
      <c r="Y308" s="97"/>
      <c r="Z308" s="97"/>
      <c r="AA308" s="97"/>
      <c r="AB308" s="97"/>
      <c r="AC308" s="97"/>
      <c r="AD308" s="97"/>
      <c r="AE308" s="97"/>
      <c r="AF308" s="97"/>
      <c r="AG308" s="97"/>
      <c r="AH308" s="97"/>
      <c r="AI308" s="97"/>
      <c r="AK308" s="97"/>
      <c r="AL308" s="97"/>
      <c r="AM308" s="97"/>
      <c r="AN308" s="97"/>
    </row>
    <row r="309" spans="24:40" ht="15" customHeight="1" x14ac:dyDescent="0.35">
      <c r="X309" s="97"/>
      <c r="Y309" s="97"/>
      <c r="Z309" s="97"/>
      <c r="AA309" s="97"/>
      <c r="AB309" s="97"/>
      <c r="AC309" s="97"/>
      <c r="AD309" s="97"/>
      <c r="AE309" s="97"/>
      <c r="AF309" s="97"/>
      <c r="AG309" s="97"/>
      <c r="AH309" s="97"/>
      <c r="AI309" s="97"/>
      <c r="AK309" s="97"/>
      <c r="AL309" s="97"/>
      <c r="AM309" s="97"/>
      <c r="AN309" s="97"/>
    </row>
    <row r="310" spans="24:40" ht="15" customHeight="1" x14ac:dyDescent="0.35">
      <c r="X310" s="97"/>
      <c r="Y310" s="97"/>
      <c r="Z310" s="97"/>
      <c r="AA310" s="97"/>
      <c r="AB310" s="97"/>
      <c r="AC310" s="97"/>
      <c r="AD310" s="97"/>
      <c r="AE310" s="97"/>
      <c r="AF310" s="97"/>
      <c r="AG310" s="97"/>
      <c r="AH310" s="97"/>
      <c r="AI310" s="97"/>
      <c r="AK310" s="97"/>
      <c r="AL310" s="97"/>
      <c r="AM310" s="97"/>
      <c r="AN310" s="97"/>
    </row>
    <row r="311" spans="24:40" ht="15" customHeight="1" x14ac:dyDescent="0.35">
      <c r="X311" s="97"/>
      <c r="Y311" s="97"/>
      <c r="Z311" s="97"/>
      <c r="AA311" s="97"/>
      <c r="AB311" s="97"/>
      <c r="AC311" s="97"/>
      <c r="AD311" s="97"/>
      <c r="AE311" s="97"/>
      <c r="AF311" s="97"/>
      <c r="AG311" s="97"/>
      <c r="AH311" s="97"/>
      <c r="AI311" s="97"/>
      <c r="AK311" s="97"/>
      <c r="AL311" s="97"/>
      <c r="AM311" s="97"/>
      <c r="AN311" s="97"/>
    </row>
    <row r="312" spans="24:40" ht="15" customHeight="1" x14ac:dyDescent="0.35">
      <c r="X312" s="97"/>
      <c r="Y312" s="97"/>
      <c r="Z312" s="97"/>
      <c r="AA312" s="97"/>
      <c r="AB312" s="97"/>
      <c r="AC312" s="97"/>
      <c r="AD312" s="97"/>
      <c r="AE312" s="97"/>
      <c r="AF312" s="97"/>
      <c r="AG312" s="97"/>
      <c r="AH312" s="97"/>
      <c r="AI312" s="97"/>
      <c r="AK312" s="97"/>
      <c r="AL312" s="97"/>
      <c r="AM312" s="97"/>
      <c r="AN312" s="97"/>
    </row>
    <row r="313" spans="24:40" ht="15" customHeight="1" x14ac:dyDescent="0.35">
      <c r="X313" s="97"/>
      <c r="Y313" s="97"/>
      <c r="Z313" s="97"/>
      <c r="AA313" s="97"/>
      <c r="AB313" s="97"/>
      <c r="AC313" s="97"/>
      <c r="AD313" s="97"/>
      <c r="AE313" s="97"/>
      <c r="AF313" s="97"/>
      <c r="AG313" s="97"/>
      <c r="AH313" s="97"/>
      <c r="AI313" s="97"/>
      <c r="AK313" s="97"/>
      <c r="AL313" s="97"/>
      <c r="AM313" s="97"/>
      <c r="AN313" s="97"/>
    </row>
    <row r="314" spans="24:40" ht="15" customHeight="1" x14ac:dyDescent="0.35">
      <c r="X314" s="97"/>
      <c r="Y314" s="97"/>
      <c r="Z314" s="97"/>
      <c r="AA314" s="97"/>
      <c r="AB314" s="97"/>
      <c r="AC314" s="97"/>
      <c r="AD314" s="97"/>
      <c r="AE314" s="97"/>
      <c r="AF314" s="97"/>
      <c r="AG314" s="97"/>
      <c r="AH314" s="97"/>
      <c r="AI314" s="97"/>
      <c r="AK314" s="97"/>
      <c r="AL314" s="97"/>
      <c r="AM314" s="97"/>
      <c r="AN314" s="97"/>
    </row>
    <row r="315" spans="24:40" ht="15" customHeight="1" x14ac:dyDescent="0.35">
      <c r="X315" s="97"/>
      <c r="Y315" s="97"/>
      <c r="Z315" s="97"/>
      <c r="AA315" s="97"/>
      <c r="AB315" s="97"/>
      <c r="AC315" s="97"/>
      <c r="AD315" s="97"/>
      <c r="AE315" s="97"/>
      <c r="AF315" s="97"/>
      <c r="AG315" s="97"/>
      <c r="AH315" s="97"/>
      <c r="AI315" s="97"/>
      <c r="AK315" s="97"/>
      <c r="AL315" s="97"/>
      <c r="AM315" s="97"/>
      <c r="AN315" s="97"/>
    </row>
    <row r="316" spans="24:40" ht="15" customHeight="1" x14ac:dyDescent="0.35">
      <c r="X316" s="97"/>
      <c r="Y316" s="97"/>
      <c r="Z316" s="97"/>
      <c r="AA316" s="97"/>
      <c r="AB316" s="97"/>
      <c r="AC316" s="97"/>
      <c r="AD316" s="97"/>
      <c r="AE316" s="97"/>
      <c r="AF316" s="97"/>
      <c r="AG316" s="97"/>
      <c r="AH316" s="97"/>
      <c r="AI316" s="97"/>
      <c r="AK316" s="97"/>
      <c r="AL316" s="97"/>
      <c r="AM316" s="97"/>
      <c r="AN316" s="97"/>
    </row>
    <row r="317" spans="24:40" ht="15" customHeight="1" x14ac:dyDescent="0.35">
      <c r="X317" s="97"/>
      <c r="Y317" s="97"/>
      <c r="Z317" s="97"/>
      <c r="AA317" s="97"/>
      <c r="AB317" s="97"/>
      <c r="AC317" s="97"/>
      <c r="AD317" s="97"/>
      <c r="AE317" s="97"/>
      <c r="AF317" s="97"/>
      <c r="AG317" s="97"/>
      <c r="AH317" s="97"/>
      <c r="AI317" s="97"/>
      <c r="AK317" s="97"/>
      <c r="AL317" s="97"/>
      <c r="AM317" s="97"/>
      <c r="AN317" s="97"/>
    </row>
    <row r="318" spans="24:40" ht="15" customHeight="1" x14ac:dyDescent="0.35">
      <c r="X318" s="97"/>
      <c r="Y318" s="97"/>
      <c r="Z318" s="97"/>
      <c r="AA318" s="97"/>
      <c r="AB318" s="97"/>
      <c r="AC318" s="97"/>
      <c r="AD318" s="97"/>
      <c r="AE318" s="97"/>
      <c r="AF318" s="97"/>
      <c r="AG318" s="97"/>
      <c r="AH318" s="97"/>
      <c r="AI318" s="97"/>
      <c r="AK318" s="97"/>
      <c r="AL318" s="97"/>
      <c r="AM318" s="97"/>
      <c r="AN318" s="97"/>
    </row>
    <row r="319" spans="24:40" ht="15" customHeight="1" x14ac:dyDescent="0.35">
      <c r="X319" s="97"/>
      <c r="Y319" s="97"/>
      <c r="Z319" s="97"/>
      <c r="AA319" s="97"/>
      <c r="AB319" s="97"/>
      <c r="AC319" s="97"/>
      <c r="AD319" s="97"/>
      <c r="AE319" s="97"/>
      <c r="AF319" s="97"/>
      <c r="AG319" s="97"/>
      <c r="AH319" s="97"/>
      <c r="AI319" s="97"/>
      <c r="AK319" s="97"/>
      <c r="AL319" s="97"/>
      <c r="AM319" s="97"/>
      <c r="AN319" s="97"/>
    </row>
    <row r="320" spans="24:40" ht="15" customHeight="1" x14ac:dyDescent="0.35">
      <c r="X320" s="97"/>
      <c r="Y320" s="97"/>
      <c r="Z320" s="97"/>
      <c r="AA320" s="97"/>
      <c r="AB320" s="97"/>
      <c r="AC320" s="97"/>
      <c r="AD320" s="97"/>
      <c r="AE320" s="97"/>
      <c r="AF320" s="97"/>
      <c r="AG320" s="97"/>
      <c r="AH320" s="97"/>
      <c r="AI320" s="97"/>
      <c r="AK320" s="97"/>
      <c r="AL320" s="97"/>
      <c r="AM320" s="97"/>
      <c r="AN320" s="97"/>
    </row>
    <row r="321" spans="24:40" ht="15" customHeight="1" x14ac:dyDescent="0.35">
      <c r="X321" s="97"/>
      <c r="Y321" s="97"/>
      <c r="Z321" s="97"/>
      <c r="AA321" s="97"/>
      <c r="AB321" s="97"/>
      <c r="AC321" s="97"/>
      <c r="AD321" s="97"/>
      <c r="AE321" s="97"/>
      <c r="AF321" s="97"/>
      <c r="AG321" s="97"/>
      <c r="AH321" s="97"/>
      <c r="AI321" s="97"/>
      <c r="AK321" s="97"/>
      <c r="AL321" s="97"/>
      <c r="AM321" s="97"/>
      <c r="AN321" s="97"/>
    </row>
    <row r="322" spans="24:40" ht="15" customHeight="1" x14ac:dyDescent="0.35">
      <c r="X322" s="97"/>
      <c r="Y322" s="97"/>
      <c r="Z322" s="97"/>
      <c r="AA322" s="97"/>
      <c r="AB322" s="97"/>
      <c r="AC322" s="97"/>
      <c r="AD322" s="97"/>
      <c r="AE322" s="97"/>
      <c r="AF322" s="97"/>
      <c r="AG322" s="97"/>
      <c r="AH322" s="97"/>
      <c r="AI322" s="97"/>
      <c r="AK322" s="97"/>
      <c r="AL322" s="97"/>
      <c r="AM322" s="97"/>
      <c r="AN322" s="97"/>
    </row>
    <row r="323" spans="24:40" ht="15" customHeight="1" x14ac:dyDescent="0.35">
      <c r="X323" s="97"/>
      <c r="Y323" s="97"/>
      <c r="Z323" s="97"/>
      <c r="AA323" s="97"/>
      <c r="AB323" s="97"/>
      <c r="AC323" s="97"/>
      <c r="AD323" s="97"/>
      <c r="AE323" s="97"/>
      <c r="AF323" s="97"/>
      <c r="AG323" s="97"/>
      <c r="AH323" s="97"/>
      <c r="AI323" s="97"/>
      <c r="AK323" s="97"/>
      <c r="AL323" s="97"/>
      <c r="AM323" s="97"/>
      <c r="AN323" s="97"/>
    </row>
    <row r="324" spans="24:40" ht="15" customHeight="1" x14ac:dyDescent="0.35">
      <c r="X324" s="97"/>
      <c r="Y324" s="97"/>
      <c r="Z324" s="97"/>
      <c r="AA324" s="97"/>
      <c r="AB324" s="97"/>
      <c r="AC324" s="97"/>
      <c r="AD324" s="97"/>
      <c r="AE324" s="97"/>
      <c r="AF324" s="97"/>
      <c r="AG324" s="97"/>
      <c r="AH324" s="97"/>
      <c r="AI324" s="97"/>
      <c r="AK324" s="97"/>
      <c r="AL324" s="97"/>
      <c r="AM324" s="97"/>
      <c r="AN324" s="97"/>
    </row>
    <row r="325" spans="24:40" ht="15" customHeight="1" x14ac:dyDescent="0.35">
      <c r="X325" s="97"/>
      <c r="Y325" s="97"/>
      <c r="Z325" s="97"/>
      <c r="AA325" s="97"/>
      <c r="AB325" s="97"/>
      <c r="AC325" s="97"/>
      <c r="AD325" s="97"/>
      <c r="AE325" s="97"/>
      <c r="AF325" s="97"/>
      <c r="AG325" s="97"/>
      <c r="AH325" s="97"/>
      <c r="AI325" s="97"/>
      <c r="AK325" s="97"/>
      <c r="AL325" s="97"/>
      <c r="AM325" s="97"/>
      <c r="AN325" s="97"/>
    </row>
    <row r="326" spans="24:40" ht="15" customHeight="1" x14ac:dyDescent="0.35">
      <c r="X326" s="97"/>
      <c r="Y326" s="97"/>
      <c r="Z326" s="97"/>
      <c r="AA326" s="97"/>
      <c r="AB326" s="97"/>
      <c r="AC326" s="97"/>
      <c r="AD326" s="97"/>
      <c r="AE326" s="97"/>
      <c r="AF326" s="97"/>
      <c r="AG326" s="97"/>
      <c r="AH326" s="97"/>
      <c r="AI326" s="97"/>
      <c r="AK326" s="97"/>
      <c r="AL326" s="97"/>
      <c r="AM326" s="97"/>
      <c r="AN326" s="97"/>
    </row>
    <row r="327" spans="24:40" ht="15" customHeight="1" x14ac:dyDescent="0.35">
      <c r="X327" s="97"/>
      <c r="Y327" s="97"/>
      <c r="Z327" s="97"/>
      <c r="AA327" s="97"/>
      <c r="AB327" s="97"/>
      <c r="AC327" s="97"/>
      <c r="AD327" s="97"/>
      <c r="AE327" s="97"/>
      <c r="AF327" s="97"/>
      <c r="AG327" s="97"/>
      <c r="AH327" s="97"/>
      <c r="AI327" s="97"/>
      <c r="AK327" s="97"/>
      <c r="AL327" s="97"/>
      <c r="AM327" s="97"/>
      <c r="AN327" s="97"/>
    </row>
    <row r="328" spans="24:40" ht="15" customHeight="1" x14ac:dyDescent="0.35">
      <c r="X328" s="97"/>
      <c r="Y328" s="97"/>
      <c r="Z328" s="97"/>
      <c r="AA328" s="97"/>
      <c r="AB328" s="97"/>
      <c r="AC328" s="97"/>
      <c r="AD328" s="97"/>
      <c r="AE328" s="97"/>
      <c r="AF328" s="97"/>
      <c r="AG328" s="97"/>
      <c r="AH328" s="97"/>
      <c r="AI328" s="97"/>
      <c r="AK328" s="97"/>
      <c r="AL328" s="97"/>
      <c r="AM328" s="97"/>
      <c r="AN328" s="97"/>
    </row>
    <row r="329" spans="24:40" ht="15" customHeight="1" x14ac:dyDescent="0.35">
      <c r="X329" s="97"/>
      <c r="Y329" s="97"/>
      <c r="Z329" s="97"/>
      <c r="AA329" s="97"/>
      <c r="AB329" s="97"/>
      <c r="AC329" s="97"/>
      <c r="AD329" s="97"/>
      <c r="AE329" s="97"/>
      <c r="AF329" s="97"/>
      <c r="AG329" s="97"/>
      <c r="AH329" s="97"/>
      <c r="AI329" s="97"/>
      <c r="AK329" s="97"/>
      <c r="AL329" s="97"/>
      <c r="AM329" s="97"/>
      <c r="AN329" s="97"/>
    </row>
    <row r="330" spans="24:40" ht="15" customHeight="1" x14ac:dyDescent="0.35">
      <c r="X330" s="97"/>
      <c r="Y330" s="97"/>
      <c r="Z330" s="97"/>
      <c r="AA330" s="97"/>
      <c r="AB330" s="97"/>
      <c r="AC330" s="97"/>
      <c r="AD330" s="97"/>
      <c r="AE330" s="97"/>
      <c r="AF330" s="97"/>
      <c r="AG330" s="97"/>
      <c r="AH330" s="97"/>
      <c r="AI330" s="97"/>
      <c r="AK330" s="97"/>
      <c r="AL330" s="97"/>
      <c r="AM330" s="97"/>
      <c r="AN330" s="97"/>
    </row>
    <row r="331" spans="24:40" ht="15" customHeight="1" x14ac:dyDescent="0.35">
      <c r="X331" s="97"/>
      <c r="Y331" s="97"/>
      <c r="Z331" s="97"/>
      <c r="AA331" s="97"/>
      <c r="AB331" s="97"/>
      <c r="AC331" s="97"/>
      <c r="AD331" s="97"/>
      <c r="AE331" s="97"/>
      <c r="AF331" s="97"/>
      <c r="AG331" s="97"/>
      <c r="AH331" s="97"/>
      <c r="AI331" s="97"/>
      <c r="AK331" s="97"/>
      <c r="AL331" s="97"/>
      <c r="AM331" s="97"/>
      <c r="AN331" s="97"/>
    </row>
    <row r="332" spans="24:40" ht="15" customHeight="1" x14ac:dyDescent="0.35">
      <c r="X332" s="97"/>
      <c r="Y332" s="97"/>
      <c r="Z332" s="97"/>
      <c r="AA332" s="97"/>
      <c r="AB332" s="97"/>
      <c r="AC332" s="97"/>
      <c r="AD332" s="97"/>
      <c r="AE332" s="97"/>
      <c r="AF332" s="97"/>
      <c r="AG332" s="97"/>
      <c r="AH332" s="97"/>
      <c r="AI332" s="97"/>
      <c r="AK332" s="97"/>
      <c r="AL332" s="97"/>
      <c r="AM332" s="97"/>
      <c r="AN332" s="97"/>
    </row>
    <row r="333" spans="24:40" ht="15" customHeight="1" x14ac:dyDescent="0.35">
      <c r="X333" s="97"/>
      <c r="Y333" s="97"/>
      <c r="Z333" s="97"/>
      <c r="AA333" s="97"/>
      <c r="AB333" s="97"/>
      <c r="AC333" s="97"/>
      <c r="AD333" s="97"/>
      <c r="AE333" s="97"/>
      <c r="AF333" s="97"/>
      <c r="AG333" s="97"/>
      <c r="AH333" s="97"/>
      <c r="AI333" s="97"/>
      <c r="AK333" s="97"/>
      <c r="AL333" s="97"/>
      <c r="AM333" s="97"/>
      <c r="AN333" s="97"/>
    </row>
    <row r="334" spans="24:40" ht="15" customHeight="1" x14ac:dyDescent="0.35">
      <c r="X334" s="97"/>
      <c r="Y334" s="97"/>
      <c r="Z334" s="97"/>
      <c r="AA334" s="97"/>
      <c r="AB334" s="97"/>
      <c r="AC334" s="97"/>
      <c r="AD334" s="97"/>
      <c r="AE334" s="97"/>
      <c r="AF334" s="97"/>
      <c r="AG334" s="97"/>
      <c r="AH334" s="97"/>
      <c r="AI334" s="97"/>
      <c r="AK334" s="97"/>
      <c r="AL334" s="97"/>
      <c r="AM334" s="97"/>
      <c r="AN334" s="97"/>
    </row>
    <row r="335" spans="24:40" ht="15" customHeight="1" x14ac:dyDescent="0.35">
      <c r="X335" s="97"/>
      <c r="Y335" s="97"/>
      <c r="Z335" s="97"/>
      <c r="AA335" s="97"/>
      <c r="AB335" s="97"/>
      <c r="AC335" s="97"/>
      <c r="AD335" s="97"/>
      <c r="AE335" s="97"/>
      <c r="AF335" s="97"/>
      <c r="AG335" s="97"/>
      <c r="AH335" s="97"/>
      <c r="AI335" s="97"/>
      <c r="AK335" s="97"/>
      <c r="AL335" s="97"/>
      <c r="AM335" s="97"/>
      <c r="AN335" s="97"/>
    </row>
    <row r="336" spans="24:40" ht="15" customHeight="1" x14ac:dyDescent="0.35">
      <c r="X336" s="97"/>
      <c r="Y336" s="97"/>
      <c r="Z336" s="97"/>
      <c r="AA336" s="97"/>
      <c r="AB336" s="97"/>
      <c r="AC336" s="97"/>
      <c r="AD336" s="97"/>
      <c r="AE336" s="97"/>
      <c r="AF336" s="97"/>
      <c r="AG336" s="97"/>
      <c r="AH336" s="97"/>
      <c r="AI336" s="97"/>
      <c r="AK336" s="97"/>
      <c r="AL336" s="97"/>
      <c r="AM336" s="97"/>
      <c r="AN336" s="97"/>
    </row>
    <row r="337" spans="24:40" ht="15" customHeight="1" x14ac:dyDescent="0.35">
      <c r="X337" s="97"/>
      <c r="Y337" s="97"/>
      <c r="Z337" s="97"/>
      <c r="AA337" s="97"/>
      <c r="AB337" s="97"/>
      <c r="AC337" s="97"/>
      <c r="AD337" s="97"/>
      <c r="AE337" s="97"/>
      <c r="AF337" s="97"/>
      <c r="AG337" s="97"/>
      <c r="AH337" s="97"/>
      <c r="AI337" s="97"/>
      <c r="AK337" s="97"/>
      <c r="AL337" s="97"/>
      <c r="AM337" s="97"/>
      <c r="AN337" s="97"/>
    </row>
    <row r="338" spans="24:40" ht="15" customHeight="1" x14ac:dyDescent="0.35">
      <c r="X338" s="97"/>
      <c r="Y338" s="97"/>
      <c r="Z338" s="97"/>
      <c r="AA338" s="97"/>
      <c r="AB338" s="97"/>
      <c r="AC338" s="97"/>
      <c r="AD338" s="97"/>
      <c r="AE338" s="97"/>
      <c r="AF338" s="97"/>
      <c r="AG338" s="97"/>
      <c r="AH338" s="97"/>
      <c r="AI338" s="97"/>
      <c r="AK338" s="97"/>
      <c r="AL338" s="97"/>
      <c r="AM338" s="97"/>
      <c r="AN338" s="97"/>
    </row>
    <row r="339" spans="24:40" ht="15" customHeight="1" x14ac:dyDescent="0.35">
      <c r="X339" s="97"/>
      <c r="Y339" s="97"/>
      <c r="Z339" s="97"/>
      <c r="AA339" s="97"/>
      <c r="AB339" s="97"/>
      <c r="AC339" s="97"/>
      <c r="AD339" s="97"/>
      <c r="AE339" s="97"/>
      <c r="AF339" s="97"/>
      <c r="AG339" s="97"/>
      <c r="AH339" s="97"/>
      <c r="AI339" s="97"/>
      <c r="AK339" s="97"/>
      <c r="AL339" s="97"/>
      <c r="AM339" s="97"/>
      <c r="AN339" s="97"/>
    </row>
    <row r="340" spans="24:40" ht="15" customHeight="1" x14ac:dyDescent="0.35">
      <c r="X340" s="97"/>
      <c r="Y340" s="97"/>
      <c r="Z340" s="97"/>
      <c r="AA340" s="97"/>
      <c r="AB340" s="97"/>
      <c r="AC340" s="97"/>
      <c r="AD340" s="97"/>
      <c r="AE340" s="97"/>
      <c r="AF340" s="97"/>
      <c r="AG340" s="97"/>
      <c r="AH340" s="97"/>
      <c r="AI340" s="97"/>
      <c r="AK340" s="97"/>
      <c r="AL340" s="97"/>
      <c r="AM340" s="97"/>
      <c r="AN340" s="97"/>
    </row>
    <row r="341" spans="24:40" ht="15" customHeight="1" x14ac:dyDescent="0.35">
      <c r="X341" s="97"/>
      <c r="Y341" s="97"/>
      <c r="Z341" s="97"/>
      <c r="AA341" s="97"/>
      <c r="AB341" s="97"/>
      <c r="AC341" s="97"/>
      <c r="AD341" s="97"/>
      <c r="AE341" s="97"/>
      <c r="AF341" s="97"/>
      <c r="AG341" s="97"/>
      <c r="AH341" s="97"/>
      <c r="AI341" s="97"/>
      <c r="AK341" s="97"/>
      <c r="AL341" s="97"/>
      <c r="AM341" s="97"/>
      <c r="AN341" s="97"/>
    </row>
    <row r="342" spans="24:40" ht="15" customHeight="1" x14ac:dyDescent="0.35">
      <c r="X342" s="97"/>
      <c r="Y342" s="97"/>
      <c r="Z342" s="97"/>
      <c r="AA342" s="97"/>
      <c r="AB342" s="97"/>
      <c r="AC342" s="97"/>
      <c r="AD342" s="97"/>
      <c r="AE342" s="97"/>
      <c r="AF342" s="97"/>
      <c r="AG342" s="97"/>
      <c r="AH342" s="97"/>
      <c r="AI342" s="97"/>
      <c r="AK342" s="97"/>
      <c r="AL342" s="97"/>
      <c r="AM342" s="97"/>
      <c r="AN342" s="97"/>
    </row>
    <row r="343" spans="24:40" ht="15" customHeight="1" x14ac:dyDescent="0.35">
      <c r="X343" s="97"/>
      <c r="Y343" s="97"/>
      <c r="Z343" s="97"/>
      <c r="AA343" s="97"/>
      <c r="AB343" s="97"/>
      <c r="AC343" s="97"/>
      <c r="AD343" s="97"/>
      <c r="AE343" s="97"/>
      <c r="AF343" s="97"/>
      <c r="AG343" s="97"/>
      <c r="AH343" s="97"/>
      <c r="AI343" s="97"/>
      <c r="AK343" s="97"/>
      <c r="AL343" s="97"/>
      <c r="AM343" s="97"/>
      <c r="AN343" s="97"/>
    </row>
    <row r="344" spans="24:40" ht="15" customHeight="1" x14ac:dyDescent="0.35">
      <c r="X344" s="97"/>
      <c r="Y344" s="97"/>
      <c r="Z344" s="97"/>
      <c r="AA344" s="97"/>
      <c r="AB344" s="97"/>
      <c r="AC344" s="97"/>
      <c r="AD344" s="97"/>
      <c r="AE344" s="97"/>
      <c r="AF344" s="97"/>
      <c r="AG344" s="97"/>
      <c r="AH344" s="97"/>
      <c r="AI344" s="97"/>
      <c r="AK344" s="97"/>
      <c r="AL344" s="97"/>
      <c r="AM344" s="97"/>
      <c r="AN344" s="97"/>
    </row>
    <row r="345" spans="24:40" ht="15" customHeight="1" x14ac:dyDescent="0.35">
      <c r="X345" s="97"/>
      <c r="Y345" s="97"/>
      <c r="Z345" s="97"/>
      <c r="AA345" s="97"/>
      <c r="AB345" s="97"/>
      <c r="AC345" s="97"/>
      <c r="AD345" s="97"/>
      <c r="AE345" s="97"/>
      <c r="AF345" s="97"/>
      <c r="AG345" s="97"/>
      <c r="AH345" s="97"/>
      <c r="AI345" s="97"/>
      <c r="AK345" s="97"/>
      <c r="AL345" s="97"/>
      <c r="AM345" s="97"/>
      <c r="AN345" s="97"/>
    </row>
    <row r="346" spans="24:40" ht="15" customHeight="1" x14ac:dyDescent="0.35">
      <c r="X346" s="97"/>
      <c r="Y346" s="97"/>
      <c r="Z346" s="97"/>
      <c r="AA346" s="97"/>
      <c r="AB346" s="97"/>
      <c r="AC346" s="97"/>
      <c r="AD346" s="97"/>
      <c r="AE346" s="97"/>
      <c r="AF346" s="97"/>
      <c r="AG346" s="97"/>
      <c r="AH346" s="97"/>
      <c r="AI346" s="97"/>
      <c r="AK346" s="97"/>
      <c r="AL346" s="97"/>
      <c r="AM346" s="97"/>
      <c r="AN346" s="97"/>
    </row>
    <row r="347" spans="24:40" ht="15" customHeight="1" x14ac:dyDescent="0.35">
      <c r="X347" s="97"/>
      <c r="Y347" s="97"/>
      <c r="Z347" s="97"/>
      <c r="AA347" s="97"/>
      <c r="AB347" s="97"/>
      <c r="AC347" s="97"/>
      <c r="AD347" s="97"/>
      <c r="AE347" s="97"/>
      <c r="AF347" s="97"/>
      <c r="AG347" s="97"/>
      <c r="AH347" s="97"/>
      <c r="AI347" s="97"/>
      <c r="AK347" s="97"/>
      <c r="AL347" s="97"/>
      <c r="AM347" s="97"/>
      <c r="AN347" s="97"/>
    </row>
    <row r="348" spans="24:40" ht="15" customHeight="1" x14ac:dyDescent="0.35">
      <c r="X348" s="97"/>
      <c r="Y348" s="97"/>
      <c r="Z348" s="97"/>
      <c r="AA348" s="97"/>
      <c r="AB348" s="97"/>
      <c r="AC348" s="97"/>
      <c r="AD348" s="97"/>
      <c r="AE348" s="97"/>
      <c r="AF348" s="97"/>
      <c r="AG348" s="97"/>
      <c r="AH348" s="97"/>
      <c r="AI348" s="97"/>
      <c r="AK348" s="97"/>
      <c r="AL348" s="97"/>
      <c r="AM348" s="97"/>
      <c r="AN348" s="97"/>
    </row>
    <row r="349" spans="24:40" ht="15" customHeight="1" x14ac:dyDescent="0.35">
      <c r="X349" s="97"/>
      <c r="Y349" s="97"/>
      <c r="Z349" s="97"/>
      <c r="AA349" s="97"/>
      <c r="AB349" s="97"/>
      <c r="AC349" s="97"/>
      <c r="AD349" s="97"/>
      <c r="AE349" s="97"/>
      <c r="AF349" s="97"/>
      <c r="AG349" s="97"/>
      <c r="AH349" s="97"/>
      <c r="AI349" s="97"/>
      <c r="AK349" s="97"/>
      <c r="AL349" s="97"/>
      <c r="AM349" s="97"/>
      <c r="AN349" s="97"/>
    </row>
    <row r="350" spans="24:40" ht="15" customHeight="1" x14ac:dyDescent="0.35">
      <c r="X350" s="97"/>
      <c r="Y350" s="97"/>
      <c r="Z350" s="97"/>
      <c r="AA350" s="97"/>
      <c r="AB350" s="97"/>
      <c r="AC350" s="97"/>
      <c r="AD350" s="97"/>
      <c r="AE350" s="97"/>
      <c r="AF350" s="97"/>
      <c r="AG350" s="97"/>
      <c r="AH350" s="97"/>
      <c r="AI350" s="97"/>
      <c r="AK350" s="97"/>
      <c r="AL350" s="97"/>
      <c r="AM350" s="97"/>
      <c r="AN350" s="97"/>
    </row>
    <row r="351" spans="24:40" ht="15" customHeight="1" x14ac:dyDescent="0.35">
      <c r="X351" s="97"/>
      <c r="Y351" s="97"/>
      <c r="Z351" s="97"/>
      <c r="AA351" s="97"/>
      <c r="AB351" s="97"/>
      <c r="AC351" s="97"/>
      <c r="AD351" s="97"/>
      <c r="AE351" s="97"/>
      <c r="AF351" s="97"/>
      <c r="AG351" s="97"/>
      <c r="AH351" s="97"/>
      <c r="AI351" s="97"/>
      <c r="AK351" s="97"/>
      <c r="AL351" s="97"/>
      <c r="AM351" s="97"/>
      <c r="AN351" s="97"/>
    </row>
    <row r="352" spans="24:40" ht="15" customHeight="1" x14ac:dyDescent="0.35">
      <c r="X352" s="97"/>
      <c r="Y352" s="97"/>
      <c r="Z352" s="97"/>
      <c r="AA352" s="97"/>
      <c r="AB352" s="97"/>
      <c r="AC352" s="97"/>
      <c r="AD352" s="97"/>
      <c r="AE352" s="97"/>
      <c r="AF352" s="97"/>
      <c r="AG352" s="97"/>
      <c r="AH352" s="97"/>
      <c r="AI352" s="97"/>
      <c r="AK352" s="97"/>
      <c r="AL352" s="97"/>
      <c r="AM352" s="97"/>
      <c r="AN352" s="97"/>
    </row>
    <row r="353" spans="24:40" ht="15" customHeight="1" x14ac:dyDescent="0.35">
      <c r="X353" s="97"/>
      <c r="Y353" s="97"/>
      <c r="Z353" s="97"/>
      <c r="AA353" s="97"/>
      <c r="AB353" s="97"/>
      <c r="AC353" s="97"/>
      <c r="AD353" s="97"/>
      <c r="AE353" s="97"/>
      <c r="AF353" s="97"/>
      <c r="AG353" s="97"/>
      <c r="AH353" s="97"/>
      <c r="AI353" s="97"/>
      <c r="AK353" s="97"/>
      <c r="AL353" s="97"/>
      <c r="AM353" s="97"/>
      <c r="AN353" s="97"/>
    </row>
    <row r="354" spans="24:40" ht="15" customHeight="1" x14ac:dyDescent="0.35">
      <c r="X354" s="97"/>
      <c r="Y354" s="97"/>
      <c r="Z354" s="97"/>
      <c r="AA354" s="97"/>
      <c r="AB354" s="97"/>
      <c r="AC354" s="97"/>
      <c r="AD354" s="97"/>
      <c r="AE354" s="97"/>
      <c r="AF354" s="97"/>
      <c r="AG354" s="97"/>
      <c r="AH354" s="97"/>
      <c r="AI354" s="97"/>
      <c r="AK354" s="97"/>
      <c r="AL354" s="97"/>
      <c r="AM354" s="97"/>
      <c r="AN354" s="97"/>
    </row>
    <row r="355" spans="24:40" ht="15" customHeight="1" x14ac:dyDescent="0.35">
      <c r="X355" s="97"/>
      <c r="Y355" s="97"/>
      <c r="Z355" s="97"/>
      <c r="AA355" s="97"/>
      <c r="AB355" s="97"/>
      <c r="AC355" s="97"/>
      <c r="AD355" s="97"/>
      <c r="AE355" s="97"/>
      <c r="AF355" s="97"/>
      <c r="AG355" s="97"/>
      <c r="AH355" s="97"/>
      <c r="AI355" s="97"/>
      <c r="AK355" s="97"/>
      <c r="AL355" s="97"/>
      <c r="AM355" s="97"/>
      <c r="AN355" s="97"/>
    </row>
    <row r="356" spans="24:40" ht="15" customHeight="1" x14ac:dyDescent="0.35">
      <c r="X356" s="97"/>
      <c r="Y356" s="97"/>
      <c r="Z356" s="97"/>
      <c r="AA356" s="97"/>
      <c r="AB356" s="97"/>
      <c r="AC356" s="97"/>
      <c r="AD356" s="97"/>
      <c r="AE356" s="97"/>
      <c r="AF356" s="97"/>
      <c r="AG356" s="97"/>
      <c r="AH356" s="97"/>
      <c r="AI356" s="97"/>
      <c r="AK356" s="97"/>
      <c r="AL356" s="97"/>
      <c r="AM356" s="97"/>
      <c r="AN356" s="97"/>
    </row>
    <row r="357" spans="24:40" ht="15" customHeight="1" x14ac:dyDescent="0.35">
      <c r="X357" s="97"/>
      <c r="Y357" s="97"/>
      <c r="Z357" s="97"/>
      <c r="AA357" s="97"/>
      <c r="AB357" s="97"/>
      <c r="AC357" s="97"/>
      <c r="AD357" s="97"/>
      <c r="AE357" s="97"/>
      <c r="AF357" s="97"/>
      <c r="AG357" s="97"/>
      <c r="AH357" s="97"/>
      <c r="AI357" s="97"/>
      <c r="AK357" s="97"/>
      <c r="AL357" s="97"/>
      <c r="AM357" s="97"/>
      <c r="AN357" s="97"/>
    </row>
    <row r="358" spans="24:40" ht="15" customHeight="1" x14ac:dyDescent="0.35">
      <c r="X358" s="97"/>
      <c r="Y358" s="97"/>
      <c r="Z358" s="97"/>
      <c r="AA358" s="97"/>
      <c r="AB358" s="97"/>
      <c r="AC358" s="97"/>
      <c r="AD358" s="97"/>
      <c r="AE358" s="97"/>
      <c r="AF358" s="97"/>
      <c r="AG358" s="97"/>
      <c r="AH358" s="97"/>
      <c r="AI358" s="97"/>
      <c r="AK358" s="97"/>
      <c r="AL358" s="97"/>
      <c r="AM358" s="97"/>
      <c r="AN358" s="97"/>
    </row>
    <row r="359" spans="24:40" ht="15" customHeight="1" x14ac:dyDescent="0.35">
      <c r="X359" s="97"/>
      <c r="Y359" s="97"/>
      <c r="Z359" s="97"/>
      <c r="AA359" s="97"/>
      <c r="AB359" s="97"/>
      <c r="AC359" s="97"/>
      <c r="AD359" s="97"/>
      <c r="AE359" s="97"/>
      <c r="AF359" s="97"/>
      <c r="AG359" s="97"/>
      <c r="AH359" s="97"/>
      <c r="AI359" s="97"/>
      <c r="AK359" s="97"/>
      <c r="AL359" s="97"/>
      <c r="AM359" s="97"/>
      <c r="AN359" s="97"/>
    </row>
    <row r="360" spans="24:40" ht="15" customHeight="1" x14ac:dyDescent="0.35">
      <c r="X360" s="97"/>
      <c r="Y360" s="97"/>
      <c r="Z360" s="97"/>
      <c r="AA360" s="97"/>
      <c r="AB360" s="97"/>
      <c r="AC360" s="97"/>
      <c r="AD360" s="97"/>
      <c r="AE360" s="97"/>
      <c r="AF360" s="97"/>
      <c r="AG360" s="97"/>
      <c r="AH360" s="97"/>
      <c r="AI360" s="97"/>
      <c r="AK360" s="97"/>
      <c r="AL360" s="97"/>
      <c r="AM360" s="97"/>
      <c r="AN360" s="97"/>
    </row>
    <row r="361" spans="24:40" ht="15" customHeight="1" x14ac:dyDescent="0.35">
      <c r="X361" s="97"/>
      <c r="Y361" s="97"/>
      <c r="Z361" s="97"/>
      <c r="AA361" s="97"/>
      <c r="AB361" s="97"/>
      <c r="AC361" s="97"/>
      <c r="AD361" s="97"/>
      <c r="AE361" s="97"/>
      <c r="AF361" s="97"/>
      <c r="AG361" s="97"/>
      <c r="AH361" s="97"/>
      <c r="AI361" s="97"/>
      <c r="AK361" s="97"/>
      <c r="AL361" s="97"/>
      <c r="AM361" s="97"/>
      <c r="AN361" s="97"/>
    </row>
    <row r="362" spans="24:40" ht="15" customHeight="1" x14ac:dyDescent="0.35">
      <c r="X362" s="97"/>
      <c r="Y362" s="97"/>
      <c r="Z362" s="97"/>
      <c r="AA362" s="97"/>
      <c r="AB362" s="97"/>
      <c r="AC362" s="97"/>
      <c r="AD362" s="97"/>
      <c r="AE362" s="97"/>
      <c r="AF362" s="97"/>
      <c r="AG362" s="97"/>
      <c r="AH362" s="97"/>
      <c r="AI362" s="97"/>
      <c r="AK362" s="97"/>
      <c r="AL362" s="97"/>
      <c r="AM362" s="97"/>
      <c r="AN362" s="97"/>
    </row>
    <row r="363" spans="24:40" ht="15" customHeight="1" x14ac:dyDescent="0.35">
      <c r="X363" s="97"/>
      <c r="Y363" s="97"/>
      <c r="Z363" s="97"/>
      <c r="AA363" s="97"/>
      <c r="AB363" s="97"/>
      <c r="AC363" s="97"/>
      <c r="AD363" s="97"/>
      <c r="AE363" s="97"/>
      <c r="AF363" s="97"/>
      <c r="AG363" s="97"/>
      <c r="AH363" s="97"/>
      <c r="AI363" s="97"/>
      <c r="AK363" s="97"/>
      <c r="AL363" s="97"/>
      <c r="AM363" s="97"/>
      <c r="AN363" s="97"/>
    </row>
    <row r="364" spans="24:40" ht="15" customHeight="1" x14ac:dyDescent="0.35">
      <c r="X364" s="97"/>
      <c r="Y364" s="97"/>
      <c r="Z364" s="97"/>
      <c r="AA364" s="97"/>
      <c r="AB364" s="97"/>
      <c r="AC364" s="97"/>
      <c r="AD364" s="97"/>
      <c r="AE364" s="97"/>
      <c r="AF364" s="97"/>
      <c r="AG364" s="97"/>
      <c r="AH364" s="97"/>
      <c r="AI364" s="97"/>
      <c r="AK364" s="97"/>
      <c r="AL364" s="97"/>
      <c r="AM364" s="97"/>
      <c r="AN364" s="97"/>
    </row>
    <row r="365" spans="24:40" ht="15" customHeight="1" x14ac:dyDescent="0.35">
      <c r="X365" s="97"/>
      <c r="Y365" s="97"/>
      <c r="Z365" s="97"/>
      <c r="AA365" s="97"/>
      <c r="AB365" s="97"/>
      <c r="AC365" s="97"/>
      <c r="AD365" s="97"/>
      <c r="AE365" s="97"/>
      <c r="AF365" s="97"/>
      <c r="AG365" s="97"/>
      <c r="AH365" s="97"/>
      <c r="AI365" s="97"/>
      <c r="AK365" s="97"/>
      <c r="AL365" s="97"/>
      <c r="AM365" s="97"/>
      <c r="AN365" s="97"/>
    </row>
    <row r="366" spans="24:40" ht="15" customHeight="1" x14ac:dyDescent="0.35">
      <c r="X366" s="97"/>
      <c r="Y366" s="97"/>
      <c r="Z366" s="97"/>
      <c r="AA366" s="97"/>
      <c r="AB366" s="97"/>
      <c r="AC366" s="97"/>
      <c r="AD366" s="97"/>
      <c r="AE366" s="97"/>
      <c r="AF366" s="97"/>
      <c r="AG366" s="97"/>
      <c r="AH366" s="97"/>
      <c r="AI366" s="97"/>
      <c r="AK366" s="97"/>
      <c r="AL366" s="97"/>
      <c r="AM366" s="97"/>
      <c r="AN366" s="97"/>
    </row>
    <row r="367" spans="24:40" ht="15" customHeight="1" x14ac:dyDescent="0.35">
      <c r="X367" s="97"/>
      <c r="Y367" s="97"/>
      <c r="Z367" s="97"/>
      <c r="AA367" s="97"/>
      <c r="AB367" s="97"/>
      <c r="AC367" s="97"/>
      <c r="AD367" s="97"/>
      <c r="AE367" s="97"/>
      <c r="AF367" s="97"/>
      <c r="AG367" s="97"/>
      <c r="AH367" s="97"/>
      <c r="AI367" s="97"/>
      <c r="AK367" s="97"/>
      <c r="AL367" s="97"/>
      <c r="AM367" s="97"/>
      <c r="AN367" s="97"/>
    </row>
    <row r="368" spans="24:40" ht="15" customHeight="1" x14ac:dyDescent="0.35">
      <c r="X368" s="97"/>
      <c r="Y368" s="97"/>
      <c r="Z368" s="97"/>
      <c r="AA368" s="97"/>
      <c r="AB368" s="97"/>
      <c r="AC368" s="97"/>
      <c r="AD368" s="97"/>
      <c r="AE368" s="97"/>
      <c r="AF368" s="97"/>
      <c r="AG368" s="97"/>
      <c r="AH368" s="97"/>
      <c r="AI368" s="97"/>
      <c r="AK368" s="97"/>
      <c r="AL368" s="97"/>
      <c r="AM368" s="97"/>
      <c r="AN368" s="97"/>
    </row>
    <row r="369" spans="24:40" ht="15" customHeight="1" x14ac:dyDescent="0.35">
      <c r="X369" s="97"/>
      <c r="Y369" s="97"/>
      <c r="Z369" s="97"/>
      <c r="AA369" s="97"/>
      <c r="AB369" s="97"/>
      <c r="AC369" s="97"/>
      <c r="AD369" s="97"/>
      <c r="AE369" s="97"/>
      <c r="AF369" s="97"/>
      <c r="AG369" s="97"/>
      <c r="AH369" s="97"/>
      <c r="AI369" s="97"/>
      <c r="AK369" s="97"/>
      <c r="AL369" s="97"/>
      <c r="AM369" s="97"/>
      <c r="AN369" s="97"/>
    </row>
    <row r="370" spans="24:40" ht="15" customHeight="1" x14ac:dyDescent="0.35">
      <c r="X370" s="97"/>
      <c r="Y370" s="97"/>
      <c r="Z370" s="97"/>
      <c r="AA370" s="97"/>
      <c r="AB370" s="97"/>
      <c r="AC370" s="97"/>
      <c r="AD370" s="97"/>
      <c r="AE370" s="97"/>
      <c r="AF370" s="97"/>
      <c r="AG370" s="97"/>
      <c r="AH370" s="97"/>
      <c r="AI370" s="97"/>
      <c r="AK370" s="97"/>
      <c r="AL370" s="97"/>
      <c r="AM370" s="97"/>
      <c r="AN370" s="97"/>
    </row>
    <row r="371" spans="24:40" ht="15" customHeight="1" x14ac:dyDescent="0.35">
      <c r="X371" s="97"/>
      <c r="Y371" s="97"/>
      <c r="Z371" s="97"/>
      <c r="AA371" s="97"/>
      <c r="AB371" s="97"/>
      <c r="AC371" s="97"/>
      <c r="AD371" s="97"/>
      <c r="AE371" s="97"/>
      <c r="AF371" s="97"/>
      <c r="AG371" s="97"/>
      <c r="AH371" s="97"/>
      <c r="AI371" s="97"/>
      <c r="AK371" s="97"/>
      <c r="AL371" s="97"/>
      <c r="AM371" s="97"/>
      <c r="AN371" s="97"/>
    </row>
    <row r="372" spans="24:40" ht="15" customHeight="1" x14ac:dyDescent="0.35">
      <c r="X372" s="97"/>
      <c r="Y372" s="97"/>
      <c r="Z372" s="97"/>
      <c r="AA372" s="97"/>
      <c r="AB372" s="97"/>
      <c r="AC372" s="97"/>
      <c r="AD372" s="97"/>
      <c r="AE372" s="97"/>
      <c r="AF372" s="97"/>
      <c r="AG372" s="97"/>
      <c r="AH372" s="97"/>
      <c r="AI372" s="97"/>
      <c r="AK372" s="97"/>
      <c r="AL372" s="97"/>
      <c r="AM372" s="97"/>
      <c r="AN372" s="97"/>
    </row>
    <row r="373" spans="24:40" ht="15" customHeight="1" x14ac:dyDescent="0.35">
      <c r="X373" s="97"/>
      <c r="Y373" s="97"/>
      <c r="Z373" s="97"/>
      <c r="AA373" s="97"/>
      <c r="AB373" s="97"/>
      <c r="AC373" s="97"/>
      <c r="AD373" s="97"/>
      <c r="AE373" s="97"/>
      <c r="AF373" s="97"/>
      <c r="AG373" s="97"/>
      <c r="AH373" s="97"/>
      <c r="AI373" s="97"/>
      <c r="AK373" s="97"/>
      <c r="AL373" s="97"/>
      <c r="AM373" s="97"/>
      <c r="AN373" s="97"/>
    </row>
    <row r="374" spans="24:40" ht="15" customHeight="1" x14ac:dyDescent="0.35">
      <c r="X374" s="97"/>
      <c r="Y374" s="97"/>
      <c r="Z374" s="97"/>
      <c r="AA374" s="97"/>
      <c r="AB374" s="97"/>
      <c r="AC374" s="97"/>
      <c r="AD374" s="97"/>
      <c r="AE374" s="97"/>
      <c r="AF374" s="97"/>
      <c r="AG374" s="97"/>
      <c r="AH374" s="97"/>
      <c r="AI374" s="97"/>
      <c r="AK374" s="97"/>
      <c r="AL374" s="97"/>
      <c r="AM374" s="97"/>
      <c r="AN374" s="97"/>
    </row>
    <row r="375" spans="24:40" ht="15" customHeight="1" x14ac:dyDescent="0.35">
      <c r="X375" s="97"/>
      <c r="Y375" s="97"/>
      <c r="Z375" s="97"/>
      <c r="AA375" s="97"/>
      <c r="AB375" s="97"/>
      <c r="AC375" s="97"/>
      <c r="AD375" s="97"/>
      <c r="AE375" s="97"/>
      <c r="AF375" s="97"/>
      <c r="AG375" s="97"/>
      <c r="AH375" s="97"/>
      <c r="AI375" s="97"/>
      <c r="AK375" s="97"/>
      <c r="AL375" s="97"/>
      <c r="AM375" s="97"/>
      <c r="AN375" s="97"/>
    </row>
    <row r="376" spans="24:40" ht="15" customHeight="1" x14ac:dyDescent="0.35">
      <c r="X376" s="97"/>
      <c r="Y376" s="97"/>
      <c r="Z376" s="97"/>
      <c r="AA376" s="97"/>
      <c r="AB376" s="97"/>
      <c r="AC376" s="97"/>
      <c r="AD376" s="97"/>
      <c r="AE376" s="97"/>
      <c r="AF376" s="97"/>
      <c r="AG376" s="97"/>
      <c r="AH376" s="97"/>
      <c r="AI376" s="97"/>
      <c r="AK376" s="97"/>
      <c r="AL376" s="97"/>
      <c r="AM376" s="97"/>
      <c r="AN376" s="97"/>
    </row>
    <row r="377" spans="24:40" ht="15" customHeight="1" x14ac:dyDescent="0.35">
      <c r="X377" s="97"/>
      <c r="Y377" s="97"/>
      <c r="Z377" s="97"/>
      <c r="AA377" s="97"/>
      <c r="AB377" s="97"/>
      <c r="AC377" s="97"/>
      <c r="AD377" s="97"/>
      <c r="AE377" s="97"/>
      <c r="AF377" s="97"/>
      <c r="AG377" s="97"/>
      <c r="AH377" s="97"/>
      <c r="AI377" s="97"/>
      <c r="AK377" s="97"/>
      <c r="AL377" s="97"/>
      <c r="AM377" s="97"/>
      <c r="AN377" s="97"/>
    </row>
    <row r="378" spans="24:40" ht="15" customHeight="1" x14ac:dyDescent="0.35">
      <c r="X378" s="97"/>
      <c r="Y378" s="97"/>
      <c r="Z378" s="97"/>
      <c r="AA378" s="97"/>
      <c r="AB378" s="97"/>
      <c r="AC378" s="97"/>
      <c r="AD378" s="97"/>
      <c r="AE378" s="97"/>
      <c r="AF378" s="97"/>
      <c r="AG378" s="97"/>
      <c r="AH378" s="97"/>
      <c r="AI378" s="97"/>
      <c r="AK378" s="97"/>
      <c r="AL378" s="97"/>
      <c r="AM378" s="97"/>
      <c r="AN378" s="97"/>
    </row>
    <row r="379" spans="24:40" ht="15" customHeight="1" x14ac:dyDescent="0.35">
      <c r="X379" s="97"/>
      <c r="Y379" s="97"/>
      <c r="Z379" s="97"/>
      <c r="AA379" s="97"/>
      <c r="AB379" s="97"/>
      <c r="AC379" s="97"/>
      <c r="AD379" s="97"/>
      <c r="AE379" s="97"/>
      <c r="AF379" s="97"/>
      <c r="AG379" s="97"/>
      <c r="AH379" s="97"/>
      <c r="AI379" s="97"/>
      <c r="AK379" s="97"/>
      <c r="AL379" s="97"/>
      <c r="AM379" s="97"/>
      <c r="AN379" s="97"/>
    </row>
    <row r="380" spans="24:40" ht="15" customHeight="1" x14ac:dyDescent="0.35">
      <c r="X380" s="97"/>
      <c r="Y380" s="97"/>
      <c r="Z380" s="97"/>
      <c r="AA380" s="97"/>
      <c r="AB380" s="97"/>
      <c r="AC380" s="97"/>
      <c r="AD380" s="97"/>
      <c r="AE380" s="97"/>
      <c r="AF380" s="97"/>
      <c r="AG380" s="97"/>
      <c r="AH380" s="97"/>
      <c r="AI380" s="97"/>
      <c r="AK380" s="97"/>
      <c r="AL380" s="97"/>
      <c r="AM380" s="97"/>
      <c r="AN380" s="97"/>
    </row>
    <row r="381" spans="24:40" ht="15" customHeight="1" x14ac:dyDescent="0.35">
      <c r="X381" s="97"/>
      <c r="Y381" s="97"/>
      <c r="Z381" s="97"/>
      <c r="AA381" s="97"/>
      <c r="AB381" s="97"/>
      <c r="AC381" s="97"/>
      <c r="AD381" s="97"/>
      <c r="AE381" s="97"/>
      <c r="AF381" s="97"/>
      <c r="AG381" s="97"/>
      <c r="AH381" s="97"/>
      <c r="AI381" s="97"/>
      <c r="AK381" s="97"/>
      <c r="AL381" s="97"/>
      <c r="AM381" s="97"/>
      <c r="AN381" s="97"/>
    </row>
    <row r="382" spans="24:40" ht="15" customHeight="1" x14ac:dyDescent="0.35">
      <c r="X382" s="97"/>
      <c r="Y382" s="97"/>
      <c r="Z382" s="97"/>
      <c r="AA382" s="97"/>
      <c r="AB382" s="97"/>
      <c r="AC382" s="97"/>
      <c r="AD382" s="97"/>
      <c r="AE382" s="97"/>
      <c r="AF382" s="97"/>
      <c r="AG382" s="97"/>
      <c r="AH382" s="97"/>
      <c r="AI382" s="97"/>
      <c r="AK382" s="97"/>
      <c r="AL382" s="97"/>
      <c r="AM382" s="97"/>
      <c r="AN382" s="97"/>
    </row>
    <row r="383" spans="24:40" ht="15" customHeight="1" x14ac:dyDescent="0.35">
      <c r="X383" s="97"/>
      <c r="Y383" s="97"/>
      <c r="Z383" s="97"/>
      <c r="AA383" s="97"/>
      <c r="AB383" s="97"/>
      <c r="AC383" s="97"/>
      <c r="AD383" s="97"/>
      <c r="AE383" s="97"/>
      <c r="AF383" s="97"/>
      <c r="AG383" s="97"/>
      <c r="AH383" s="97"/>
      <c r="AI383" s="97"/>
      <c r="AK383" s="97"/>
      <c r="AL383" s="97"/>
      <c r="AM383" s="97"/>
      <c r="AN383" s="97"/>
    </row>
    <row r="384" spans="24:40" ht="15" customHeight="1" x14ac:dyDescent="0.35">
      <c r="X384" s="97"/>
      <c r="Y384" s="97"/>
      <c r="Z384" s="97"/>
      <c r="AA384" s="97"/>
      <c r="AB384" s="97"/>
      <c r="AC384" s="97"/>
      <c r="AD384" s="97"/>
      <c r="AE384" s="97"/>
      <c r="AF384" s="97"/>
      <c r="AG384" s="97"/>
      <c r="AH384" s="97"/>
      <c r="AI384" s="97"/>
      <c r="AK384" s="97"/>
      <c r="AL384" s="97"/>
      <c r="AM384" s="97"/>
      <c r="AN384" s="97"/>
    </row>
    <row r="385" spans="24:40" ht="15" customHeight="1" x14ac:dyDescent="0.35">
      <c r="X385" s="97"/>
      <c r="Y385" s="97"/>
      <c r="Z385" s="97"/>
      <c r="AA385" s="97"/>
      <c r="AB385" s="97"/>
      <c r="AC385" s="97"/>
      <c r="AD385" s="97"/>
      <c r="AE385" s="97"/>
      <c r="AF385" s="97"/>
      <c r="AG385" s="97"/>
      <c r="AH385" s="97"/>
      <c r="AI385" s="97"/>
      <c r="AK385" s="97"/>
      <c r="AL385" s="97"/>
      <c r="AM385" s="97"/>
      <c r="AN385" s="97"/>
    </row>
    <row r="386" spans="24:40" ht="15" customHeight="1" x14ac:dyDescent="0.35">
      <c r="X386" s="97"/>
      <c r="Y386" s="97"/>
      <c r="Z386" s="97"/>
      <c r="AA386" s="97"/>
      <c r="AB386" s="97"/>
      <c r="AC386" s="97"/>
      <c r="AD386" s="97"/>
      <c r="AE386" s="97"/>
      <c r="AF386" s="97"/>
      <c r="AG386" s="97"/>
      <c r="AH386" s="97"/>
      <c r="AI386" s="97"/>
      <c r="AK386" s="97"/>
      <c r="AL386" s="97"/>
      <c r="AM386" s="97"/>
      <c r="AN386" s="97"/>
    </row>
    <row r="387" spans="24:40" ht="15" customHeight="1" x14ac:dyDescent="0.35">
      <c r="X387" s="97"/>
      <c r="Y387" s="97"/>
      <c r="Z387" s="97"/>
      <c r="AA387" s="97"/>
      <c r="AB387" s="97"/>
      <c r="AC387" s="97"/>
      <c r="AD387" s="97"/>
      <c r="AE387" s="97"/>
      <c r="AF387" s="97"/>
      <c r="AG387" s="97"/>
      <c r="AH387" s="97"/>
      <c r="AI387" s="97"/>
      <c r="AK387" s="97"/>
      <c r="AL387" s="97"/>
      <c r="AM387" s="97"/>
      <c r="AN387" s="97"/>
    </row>
    <row r="388" spans="24:40" ht="15" customHeight="1" x14ac:dyDescent="0.35">
      <c r="X388" s="97"/>
      <c r="Y388" s="97"/>
      <c r="Z388" s="97"/>
      <c r="AA388" s="97"/>
      <c r="AB388" s="97"/>
      <c r="AC388" s="97"/>
      <c r="AD388" s="97"/>
      <c r="AE388" s="97"/>
      <c r="AF388" s="97"/>
      <c r="AG388" s="97"/>
      <c r="AH388" s="97"/>
      <c r="AI388" s="97"/>
      <c r="AK388" s="97"/>
      <c r="AL388" s="97"/>
      <c r="AM388" s="97"/>
      <c r="AN388" s="97"/>
    </row>
    <row r="389" spans="24:40" ht="15" customHeight="1" x14ac:dyDescent="0.35">
      <c r="X389" s="97"/>
      <c r="Y389" s="97"/>
      <c r="Z389" s="97"/>
      <c r="AA389" s="97"/>
      <c r="AB389" s="97"/>
      <c r="AC389" s="97"/>
      <c r="AD389" s="97"/>
      <c r="AE389" s="97"/>
      <c r="AF389" s="97"/>
      <c r="AG389" s="97"/>
      <c r="AH389" s="97"/>
      <c r="AI389" s="97"/>
      <c r="AK389" s="97"/>
      <c r="AL389" s="97"/>
      <c r="AM389" s="97"/>
      <c r="AN389" s="97"/>
    </row>
    <row r="390" spans="24:40" ht="15" customHeight="1" x14ac:dyDescent="0.35">
      <c r="X390" s="97"/>
      <c r="Y390" s="97"/>
      <c r="Z390" s="97"/>
      <c r="AA390" s="97"/>
      <c r="AB390" s="97"/>
      <c r="AC390" s="97"/>
      <c r="AD390" s="97"/>
      <c r="AE390" s="97"/>
      <c r="AF390" s="97"/>
      <c r="AG390" s="97"/>
      <c r="AH390" s="97"/>
      <c r="AI390" s="97"/>
      <c r="AK390" s="97"/>
      <c r="AL390" s="97"/>
      <c r="AM390" s="97"/>
      <c r="AN390" s="97"/>
    </row>
    <row r="391" spans="24:40" ht="15" customHeight="1" x14ac:dyDescent="0.35">
      <c r="X391" s="97"/>
      <c r="Y391" s="97"/>
      <c r="Z391" s="97"/>
      <c r="AA391" s="97"/>
      <c r="AB391" s="97"/>
      <c r="AC391" s="97"/>
      <c r="AD391" s="97"/>
      <c r="AE391" s="97"/>
      <c r="AF391" s="97"/>
      <c r="AG391" s="97"/>
      <c r="AH391" s="97"/>
      <c r="AI391" s="97"/>
      <c r="AK391" s="97"/>
      <c r="AL391" s="97"/>
      <c r="AM391" s="97"/>
      <c r="AN391" s="97"/>
    </row>
    <row r="392" spans="24:40" ht="15" customHeight="1" x14ac:dyDescent="0.35">
      <c r="X392" s="97"/>
      <c r="Y392" s="97"/>
      <c r="Z392" s="97"/>
      <c r="AA392" s="97"/>
      <c r="AB392" s="97"/>
      <c r="AC392" s="97"/>
      <c r="AD392" s="97"/>
      <c r="AE392" s="97"/>
      <c r="AF392" s="97"/>
      <c r="AG392" s="97"/>
      <c r="AH392" s="97"/>
      <c r="AI392" s="97"/>
      <c r="AK392" s="97"/>
      <c r="AL392" s="97"/>
      <c r="AM392" s="97"/>
      <c r="AN392" s="97"/>
    </row>
    <row r="393" spans="24:40" ht="15" customHeight="1" x14ac:dyDescent="0.35">
      <c r="X393" s="97"/>
      <c r="Y393" s="97"/>
      <c r="Z393" s="97"/>
      <c r="AA393" s="97"/>
      <c r="AB393" s="97"/>
      <c r="AC393" s="97"/>
      <c r="AD393" s="97"/>
      <c r="AE393" s="97"/>
      <c r="AF393" s="97"/>
      <c r="AG393" s="97"/>
      <c r="AH393" s="97"/>
      <c r="AI393" s="97"/>
      <c r="AK393" s="97"/>
      <c r="AL393" s="97"/>
      <c r="AM393" s="97"/>
      <c r="AN393" s="97"/>
    </row>
    <row r="394" spans="24:40" ht="15" customHeight="1" x14ac:dyDescent="0.35">
      <c r="X394" s="97"/>
      <c r="Y394" s="97"/>
      <c r="Z394" s="97"/>
      <c r="AA394" s="97"/>
      <c r="AB394" s="97"/>
      <c r="AC394" s="97"/>
      <c r="AD394" s="97"/>
      <c r="AE394" s="97"/>
      <c r="AF394" s="97"/>
      <c r="AG394" s="97"/>
      <c r="AH394" s="97"/>
      <c r="AI394" s="97"/>
      <c r="AK394" s="97"/>
      <c r="AL394" s="97"/>
      <c r="AM394" s="97"/>
      <c r="AN394" s="97"/>
    </row>
    <row r="395" spans="24:40" ht="15" customHeight="1" x14ac:dyDescent="0.35">
      <c r="X395" s="97"/>
      <c r="Y395" s="97"/>
      <c r="Z395" s="97"/>
      <c r="AA395" s="97"/>
      <c r="AB395" s="97"/>
      <c r="AC395" s="97"/>
      <c r="AD395" s="97"/>
      <c r="AE395" s="97"/>
      <c r="AF395" s="97"/>
      <c r="AG395" s="97"/>
      <c r="AH395" s="97"/>
      <c r="AI395" s="97"/>
      <c r="AK395" s="97"/>
      <c r="AL395" s="97"/>
      <c r="AM395" s="97"/>
      <c r="AN395" s="97"/>
    </row>
    <row r="396" spans="24:40" ht="15" customHeight="1" x14ac:dyDescent="0.35">
      <c r="X396" s="97"/>
      <c r="Y396" s="97"/>
      <c r="Z396" s="97"/>
      <c r="AA396" s="97"/>
      <c r="AB396" s="97"/>
      <c r="AC396" s="97"/>
      <c r="AD396" s="97"/>
      <c r="AE396" s="97"/>
      <c r="AF396" s="97"/>
      <c r="AG396" s="97"/>
      <c r="AH396" s="97"/>
      <c r="AI396" s="97"/>
      <c r="AK396" s="97"/>
      <c r="AL396" s="97"/>
      <c r="AM396" s="97"/>
      <c r="AN396" s="97"/>
    </row>
    <row r="397" spans="24:40" ht="15" customHeight="1" x14ac:dyDescent="0.35">
      <c r="X397" s="97"/>
      <c r="Y397" s="97"/>
      <c r="Z397" s="97"/>
      <c r="AA397" s="97"/>
      <c r="AB397" s="97"/>
      <c r="AC397" s="97"/>
      <c r="AD397" s="97"/>
      <c r="AE397" s="97"/>
      <c r="AF397" s="97"/>
      <c r="AG397" s="97"/>
      <c r="AH397" s="97"/>
      <c r="AI397" s="97"/>
      <c r="AK397" s="97"/>
      <c r="AL397" s="97"/>
      <c r="AM397" s="97"/>
      <c r="AN397" s="97"/>
    </row>
    <row r="398" spans="24:40" ht="15" customHeight="1" x14ac:dyDescent="0.35">
      <c r="X398" s="97"/>
      <c r="Y398" s="97"/>
      <c r="Z398" s="97"/>
      <c r="AA398" s="97"/>
      <c r="AB398" s="97"/>
      <c r="AC398" s="97"/>
      <c r="AD398" s="97"/>
      <c r="AE398" s="97"/>
      <c r="AF398" s="97"/>
      <c r="AG398" s="97"/>
      <c r="AH398" s="97"/>
      <c r="AI398" s="97"/>
      <c r="AK398" s="97"/>
      <c r="AL398" s="97"/>
      <c r="AM398" s="97"/>
      <c r="AN398" s="97"/>
    </row>
    <row r="399" spans="24:40" ht="15" customHeight="1" x14ac:dyDescent="0.35">
      <c r="X399" s="97"/>
      <c r="Y399" s="97"/>
      <c r="Z399" s="97"/>
      <c r="AA399" s="97"/>
      <c r="AB399" s="97"/>
      <c r="AC399" s="97"/>
      <c r="AD399" s="97"/>
      <c r="AE399" s="97"/>
      <c r="AF399" s="97"/>
      <c r="AG399" s="97"/>
      <c r="AH399" s="97"/>
      <c r="AI399" s="97"/>
      <c r="AK399" s="97"/>
      <c r="AL399" s="97"/>
      <c r="AM399" s="97"/>
      <c r="AN399" s="97"/>
    </row>
    <row r="400" spans="24:40" ht="15" customHeight="1" x14ac:dyDescent="0.35">
      <c r="X400" s="97"/>
      <c r="Y400" s="97"/>
      <c r="Z400" s="97"/>
      <c r="AA400" s="97"/>
      <c r="AB400" s="97"/>
      <c r="AC400" s="97"/>
      <c r="AD400" s="97"/>
      <c r="AE400" s="97"/>
      <c r="AF400" s="97"/>
      <c r="AG400" s="97"/>
      <c r="AH400" s="97"/>
      <c r="AI400" s="97"/>
      <c r="AK400" s="97"/>
      <c r="AL400" s="97"/>
      <c r="AM400" s="97"/>
      <c r="AN400" s="97"/>
    </row>
    <row r="401" spans="24:40" ht="15" customHeight="1" x14ac:dyDescent="0.35">
      <c r="X401" s="97"/>
      <c r="Y401" s="97"/>
      <c r="Z401" s="97"/>
      <c r="AA401" s="97"/>
      <c r="AB401" s="97"/>
      <c r="AC401" s="97"/>
      <c r="AD401" s="97"/>
      <c r="AE401" s="97"/>
      <c r="AF401" s="97"/>
      <c r="AG401" s="97"/>
      <c r="AH401" s="97"/>
      <c r="AI401" s="97"/>
      <c r="AK401" s="97"/>
      <c r="AL401" s="97"/>
      <c r="AM401" s="97"/>
      <c r="AN401" s="97"/>
    </row>
    <row r="402" spans="24:40" ht="15" customHeight="1" x14ac:dyDescent="0.35">
      <c r="X402" s="97"/>
      <c r="Y402" s="97"/>
      <c r="Z402" s="97"/>
      <c r="AA402" s="97"/>
      <c r="AB402" s="97"/>
      <c r="AC402" s="97"/>
      <c r="AD402" s="97"/>
      <c r="AE402" s="97"/>
      <c r="AF402" s="97"/>
      <c r="AG402" s="97"/>
      <c r="AH402" s="97"/>
      <c r="AI402" s="97"/>
      <c r="AK402" s="97"/>
      <c r="AL402" s="97"/>
      <c r="AM402" s="97"/>
      <c r="AN402" s="97"/>
    </row>
    <row r="403" spans="24:40" ht="15" customHeight="1" x14ac:dyDescent="0.35">
      <c r="X403" s="97"/>
      <c r="Y403" s="97"/>
      <c r="Z403" s="97"/>
      <c r="AA403" s="97"/>
      <c r="AB403" s="97"/>
      <c r="AC403" s="97"/>
      <c r="AD403" s="97"/>
      <c r="AE403" s="97"/>
      <c r="AF403" s="97"/>
      <c r="AG403" s="97"/>
      <c r="AH403" s="97"/>
      <c r="AI403" s="97"/>
      <c r="AK403" s="97"/>
      <c r="AL403" s="97"/>
      <c r="AM403" s="97"/>
      <c r="AN403" s="97"/>
    </row>
    <row r="404" spans="24:40" ht="15" customHeight="1" x14ac:dyDescent="0.35">
      <c r="X404" s="97"/>
      <c r="Y404" s="97"/>
      <c r="Z404" s="97"/>
      <c r="AA404" s="97"/>
      <c r="AB404" s="97"/>
      <c r="AC404" s="97"/>
      <c r="AD404" s="97"/>
      <c r="AE404" s="97"/>
      <c r="AF404" s="97"/>
      <c r="AG404" s="97"/>
      <c r="AH404" s="97"/>
      <c r="AI404" s="97"/>
      <c r="AK404" s="97"/>
      <c r="AL404" s="97"/>
      <c r="AM404" s="97"/>
      <c r="AN404" s="97"/>
    </row>
    <row r="405" spans="24:40" ht="15" customHeight="1" x14ac:dyDescent="0.35">
      <c r="X405" s="97"/>
      <c r="Y405" s="97"/>
      <c r="Z405" s="97"/>
      <c r="AA405" s="97"/>
      <c r="AB405" s="97"/>
      <c r="AC405" s="97"/>
      <c r="AD405" s="97"/>
      <c r="AE405" s="97"/>
      <c r="AF405" s="97"/>
      <c r="AG405" s="97"/>
      <c r="AH405" s="97"/>
      <c r="AI405" s="97"/>
      <c r="AK405" s="97"/>
      <c r="AL405" s="97"/>
      <c r="AM405" s="97"/>
      <c r="AN405" s="97"/>
    </row>
    <row r="406" spans="24:40" ht="15" customHeight="1" x14ac:dyDescent="0.35">
      <c r="X406" s="97"/>
      <c r="Y406" s="97"/>
      <c r="Z406" s="97"/>
      <c r="AA406" s="97"/>
      <c r="AB406" s="97"/>
      <c r="AC406" s="97"/>
      <c r="AD406" s="97"/>
      <c r="AE406" s="97"/>
      <c r="AF406" s="97"/>
      <c r="AG406" s="97"/>
      <c r="AH406" s="97"/>
      <c r="AI406" s="97"/>
      <c r="AK406" s="97"/>
      <c r="AL406" s="97"/>
      <c r="AM406" s="97"/>
      <c r="AN406" s="97"/>
    </row>
    <row r="407" spans="24:40" ht="15" customHeight="1" x14ac:dyDescent="0.35">
      <c r="X407" s="97"/>
      <c r="Y407" s="97"/>
      <c r="Z407" s="97"/>
      <c r="AA407" s="97"/>
      <c r="AB407" s="97"/>
      <c r="AC407" s="97"/>
      <c r="AD407" s="97"/>
      <c r="AE407" s="97"/>
      <c r="AF407" s="97"/>
      <c r="AG407" s="97"/>
      <c r="AH407" s="97"/>
      <c r="AI407" s="97"/>
      <c r="AK407" s="97"/>
      <c r="AL407" s="97"/>
      <c r="AM407" s="97"/>
      <c r="AN407" s="97"/>
    </row>
    <row r="408" spans="24:40" ht="15" customHeight="1" x14ac:dyDescent="0.35">
      <c r="X408" s="97"/>
      <c r="Y408" s="97"/>
      <c r="Z408" s="97"/>
      <c r="AA408" s="97"/>
      <c r="AB408" s="97"/>
      <c r="AC408" s="97"/>
      <c r="AD408" s="97"/>
      <c r="AE408" s="97"/>
      <c r="AF408" s="97"/>
      <c r="AG408" s="97"/>
      <c r="AH408" s="97"/>
      <c r="AI408" s="97"/>
      <c r="AK408" s="97"/>
      <c r="AL408" s="97"/>
      <c r="AM408" s="97"/>
      <c r="AN408" s="97"/>
    </row>
    <row r="409" spans="24:40" ht="15" customHeight="1" x14ac:dyDescent="0.35">
      <c r="X409" s="97"/>
      <c r="Y409" s="97"/>
      <c r="Z409" s="97"/>
      <c r="AA409" s="97"/>
      <c r="AB409" s="97"/>
      <c r="AC409" s="97"/>
      <c r="AD409" s="97"/>
      <c r="AE409" s="97"/>
      <c r="AF409" s="97"/>
      <c r="AG409" s="97"/>
      <c r="AH409" s="97"/>
      <c r="AI409" s="97"/>
      <c r="AK409" s="97"/>
      <c r="AL409" s="97"/>
      <c r="AM409" s="97"/>
      <c r="AN409" s="97"/>
    </row>
    <row r="410" spans="24:40" ht="15" customHeight="1" x14ac:dyDescent="0.35">
      <c r="X410" s="97"/>
      <c r="Y410" s="97"/>
      <c r="Z410" s="97"/>
      <c r="AA410" s="97"/>
      <c r="AB410" s="97"/>
      <c r="AC410" s="97"/>
      <c r="AD410" s="97"/>
      <c r="AE410" s="97"/>
      <c r="AF410" s="97"/>
      <c r="AG410" s="97"/>
      <c r="AH410" s="97"/>
      <c r="AI410" s="97"/>
      <c r="AK410" s="97"/>
      <c r="AL410" s="97"/>
      <c r="AM410" s="97"/>
      <c r="AN410" s="97"/>
    </row>
    <row r="411" spans="24:40" ht="15" customHeight="1" x14ac:dyDescent="0.35">
      <c r="X411" s="97"/>
      <c r="Y411" s="97"/>
      <c r="Z411" s="97"/>
      <c r="AA411" s="97"/>
      <c r="AB411" s="97"/>
      <c r="AC411" s="97"/>
      <c r="AD411" s="97"/>
      <c r="AE411" s="97"/>
      <c r="AF411" s="97"/>
      <c r="AG411" s="97"/>
      <c r="AH411" s="97"/>
      <c r="AI411" s="97"/>
      <c r="AK411" s="97"/>
      <c r="AL411" s="97"/>
      <c r="AM411" s="97"/>
      <c r="AN411" s="97"/>
    </row>
    <row r="412" spans="24:40" ht="15" customHeight="1" x14ac:dyDescent="0.35">
      <c r="X412" s="97"/>
      <c r="Y412" s="97"/>
      <c r="Z412" s="97"/>
      <c r="AA412" s="97"/>
      <c r="AB412" s="97"/>
      <c r="AC412" s="97"/>
      <c r="AD412" s="97"/>
      <c r="AE412" s="97"/>
      <c r="AF412" s="97"/>
      <c r="AG412" s="97"/>
      <c r="AH412" s="97"/>
      <c r="AI412" s="97"/>
      <c r="AK412" s="97"/>
      <c r="AL412" s="97"/>
      <c r="AM412" s="97"/>
      <c r="AN412" s="97"/>
    </row>
    <row r="413" spans="24:40" ht="15" customHeight="1" x14ac:dyDescent="0.35">
      <c r="X413" s="97"/>
      <c r="Y413" s="97"/>
      <c r="Z413" s="97"/>
      <c r="AA413" s="97"/>
      <c r="AB413" s="97"/>
      <c r="AC413" s="97"/>
      <c r="AD413" s="97"/>
      <c r="AE413" s="97"/>
      <c r="AF413" s="97"/>
      <c r="AG413" s="97"/>
      <c r="AH413" s="97"/>
      <c r="AI413" s="97"/>
      <c r="AK413" s="97"/>
      <c r="AL413" s="97"/>
      <c r="AM413" s="97"/>
      <c r="AN413" s="97"/>
    </row>
    <row r="414" spans="24:40" ht="15" customHeight="1" x14ac:dyDescent="0.35">
      <c r="X414" s="97"/>
      <c r="Y414" s="97"/>
      <c r="Z414" s="97"/>
      <c r="AA414" s="97"/>
      <c r="AB414" s="97"/>
      <c r="AC414" s="97"/>
      <c r="AD414" s="97"/>
      <c r="AE414" s="97"/>
      <c r="AF414" s="97"/>
      <c r="AG414" s="97"/>
      <c r="AH414" s="97"/>
      <c r="AI414" s="97"/>
      <c r="AK414" s="97"/>
      <c r="AL414" s="97"/>
      <c r="AM414" s="97"/>
      <c r="AN414" s="97"/>
    </row>
    <row r="415" spans="24:40" ht="15" customHeight="1" x14ac:dyDescent="0.35">
      <c r="X415" s="97"/>
      <c r="Y415" s="97"/>
      <c r="Z415" s="97"/>
      <c r="AA415" s="97"/>
      <c r="AB415" s="97"/>
      <c r="AC415" s="97"/>
      <c r="AD415" s="97"/>
      <c r="AE415" s="97"/>
      <c r="AF415" s="97"/>
      <c r="AG415" s="97"/>
      <c r="AH415" s="97"/>
      <c r="AI415" s="97"/>
      <c r="AK415" s="97"/>
      <c r="AL415" s="97"/>
      <c r="AM415" s="97"/>
      <c r="AN415" s="97"/>
    </row>
    <row r="416" spans="24:40" ht="15" customHeight="1" x14ac:dyDescent="0.35">
      <c r="X416" s="97"/>
      <c r="Y416" s="97"/>
      <c r="Z416" s="97"/>
      <c r="AA416" s="97"/>
      <c r="AB416" s="97"/>
      <c r="AC416" s="97"/>
      <c r="AD416" s="97"/>
      <c r="AE416" s="97"/>
      <c r="AF416" s="97"/>
      <c r="AG416" s="97"/>
      <c r="AH416" s="97"/>
      <c r="AI416" s="97"/>
      <c r="AK416" s="97"/>
      <c r="AL416" s="97"/>
      <c r="AM416" s="97"/>
      <c r="AN416" s="97"/>
    </row>
    <row r="417" spans="24:40" ht="15" customHeight="1" x14ac:dyDescent="0.35">
      <c r="X417" s="97"/>
      <c r="Y417" s="97"/>
      <c r="Z417" s="97"/>
      <c r="AA417" s="97"/>
      <c r="AB417" s="97"/>
      <c r="AC417" s="97"/>
      <c r="AD417" s="97"/>
      <c r="AE417" s="97"/>
      <c r="AF417" s="97"/>
      <c r="AG417" s="97"/>
      <c r="AH417" s="97"/>
      <c r="AI417" s="97"/>
      <c r="AK417" s="97"/>
      <c r="AL417" s="97"/>
      <c r="AM417" s="97"/>
      <c r="AN417" s="97"/>
    </row>
    <row r="418" spans="24:40" ht="15" customHeight="1" x14ac:dyDescent="0.35">
      <c r="X418" s="97"/>
      <c r="Y418" s="97"/>
      <c r="Z418" s="97"/>
      <c r="AA418" s="97"/>
      <c r="AB418" s="97"/>
      <c r="AC418" s="97"/>
      <c r="AD418" s="97"/>
      <c r="AE418" s="97"/>
      <c r="AF418" s="97"/>
      <c r="AG418" s="97"/>
      <c r="AH418" s="97"/>
      <c r="AI418" s="97"/>
      <c r="AK418" s="97"/>
      <c r="AL418" s="97"/>
      <c r="AM418" s="97"/>
      <c r="AN418" s="97"/>
    </row>
    <row r="419" spans="24:40" ht="15" customHeight="1" x14ac:dyDescent="0.35">
      <c r="X419" s="97"/>
      <c r="Y419" s="97"/>
      <c r="Z419" s="97"/>
      <c r="AA419" s="97"/>
      <c r="AB419" s="97"/>
      <c r="AC419" s="97"/>
      <c r="AD419" s="97"/>
      <c r="AE419" s="97"/>
      <c r="AF419" s="97"/>
      <c r="AG419" s="97"/>
      <c r="AH419" s="97"/>
      <c r="AI419" s="97"/>
      <c r="AK419" s="97"/>
      <c r="AL419" s="97"/>
      <c r="AM419" s="97"/>
      <c r="AN419" s="97"/>
    </row>
    <row r="420" spans="24:40" ht="15" customHeight="1" x14ac:dyDescent="0.35">
      <c r="X420" s="97"/>
      <c r="Y420" s="97"/>
      <c r="Z420" s="97"/>
      <c r="AA420" s="97"/>
      <c r="AB420" s="97"/>
      <c r="AC420" s="97"/>
      <c r="AD420" s="97"/>
      <c r="AE420" s="97"/>
      <c r="AF420" s="97"/>
      <c r="AG420" s="97"/>
      <c r="AH420" s="97"/>
      <c r="AI420" s="97"/>
      <c r="AK420" s="97"/>
      <c r="AL420" s="97"/>
      <c r="AM420" s="97"/>
      <c r="AN420" s="97"/>
    </row>
    <row r="421" spans="24:40" ht="15" customHeight="1" x14ac:dyDescent="0.35">
      <c r="X421" s="97"/>
      <c r="Y421" s="97"/>
      <c r="Z421" s="97"/>
      <c r="AA421" s="97"/>
      <c r="AB421" s="97"/>
      <c r="AC421" s="97"/>
      <c r="AD421" s="97"/>
      <c r="AE421" s="97"/>
      <c r="AF421" s="97"/>
      <c r="AG421" s="97"/>
      <c r="AH421" s="97"/>
      <c r="AI421" s="97"/>
      <c r="AK421" s="97"/>
      <c r="AL421" s="97"/>
      <c r="AM421" s="97"/>
      <c r="AN421" s="97"/>
    </row>
    <row r="422" spans="24:40" ht="15" customHeight="1" x14ac:dyDescent="0.35">
      <c r="X422" s="97"/>
      <c r="Y422" s="97"/>
      <c r="Z422" s="97"/>
      <c r="AA422" s="97"/>
      <c r="AB422" s="97"/>
      <c r="AC422" s="97"/>
      <c r="AD422" s="97"/>
      <c r="AE422" s="97"/>
      <c r="AF422" s="97"/>
      <c r="AG422" s="97"/>
      <c r="AH422" s="97"/>
      <c r="AI422" s="97"/>
      <c r="AK422" s="97"/>
      <c r="AL422" s="97"/>
      <c r="AM422" s="97"/>
      <c r="AN422" s="97"/>
    </row>
    <row r="423" spans="24:40" ht="15" customHeight="1" x14ac:dyDescent="0.35">
      <c r="X423" s="97"/>
      <c r="Y423" s="97"/>
      <c r="Z423" s="97"/>
      <c r="AA423" s="97"/>
      <c r="AB423" s="97"/>
      <c r="AC423" s="97"/>
      <c r="AD423" s="97"/>
      <c r="AE423" s="97"/>
      <c r="AF423" s="97"/>
      <c r="AG423" s="97"/>
      <c r="AH423" s="97"/>
      <c r="AI423" s="97"/>
      <c r="AK423" s="97"/>
      <c r="AL423" s="97"/>
      <c r="AM423" s="97"/>
      <c r="AN423" s="97"/>
    </row>
    <row r="424" spans="24:40" ht="15" customHeight="1" x14ac:dyDescent="0.35">
      <c r="X424" s="97"/>
      <c r="Y424" s="97"/>
      <c r="Z424" s="97"/>
      <c r="AA424" s="97"/>
      <c r="AB424" s="97"/>
      <c r="AC424" s="97"/>
      <c r="AD424" s="97"/>
      <c r="AE424" s="97"/>
      <c r="AF424" s="97"/>
      <c r="AG424" s="97"/>
      <c r="AH424" s="97"/>
      <c r="AI424" s="97"/>
      <c r="AK424" s="97"/>
      <c r="AL424" s="97"/>
      <c r="AM424" s="97"/>
      <c r="AN424" s="97"/>
    </row>
    <row r="425" spans="24:40" ht="15" customHeight="1" x14ac:dyDescent="0.35">
      <c r="X425" s="97"/>
      <c r="Y425" s="97"/>
      <c r="Z425" s="97"/>
      <c r="AA425" s="97"/>
      <c r="AB425" s="97"/>
      <c r="AC425" s="97"/>
      <c r="AD425" s="97"/>
      <c r="AE425" s="97"/>
      <c r="AF425" s="97"/>
      <c r="AG425" s="97"/>
      <c r="AH425" s="97"/>
      <c r="AI425" s="97"/>
      <c r="AK425" s="97"/>
      <c r="AL425" s="97"/>
      <c r="AM425" s="97"/>
      <c r="AN425" s="97"/>
    </row>
    <row r="426" spans="24:40" ht="15" customHeight="1" x14ac:dyDescent="0.35">
      <c r="X426" s="97"/>
      <c r="Y426" s="97"/>
      <c r="Z426" s="97"/>
      <c r="AA426" s="97"/>
      <c r="AB426" s="97"/>
      <c r="AC426" s="97"/>
      <c r="AD426" s="97"/>
      <c r="AE426" s="97"/>
      <c r="AF426" s="97"/>
      <c r="AG426" s="97"/>
      <c r="AH426" s="97"/>
      <c r="AI426" s="97"/>
      <c r="AK426" s="97"/>
      <c r="AL426" s="97"/>
      <c r="AM426" s="97"/>
      <c r="AN426" s="97"/>
    </row>
    <row r="427" spans="24:40" ht="15" customHeight="1" x14ac:dyDescent="0.35">
      <c r="X427" s="97"/>
      <c r="Y427" s="97"/>
      <c r="Z427" s="97"/>
      <c r="AA427" s="97"/>
      <c r="AB427" s="97"/>
      <c r="AC427" s="97"/>
      <c r="AD427" s="97"/>
      <c r="AE427" s="97"/>
      <c r="AF427" s="97"/>
      <c r="AG427" s="97"/>
      <c r="AH427" s="97"/>
      <c r="AI427" s="97"/>
      <c r="AK427" s="97"/>
      <c r="AL427" s="97"/>
      <c r="AM427" s="97"/>
      <c r="AN427" s="97"/>
    </row>
    <row r="428" spans="24:40" ht="15" customHeight="1" x14ac:dyDescent="0.35">
      <c r="X428" s="97"/>
      <c r="Y428" s="97"/>
      <c r="Z428" s="97"/>
      <c r="AA428" s="97"/>
      <c r="AB428" s="97"/>
      <c r="AC428" s="97"/>
      <c r="AD428" s="97"/>
      <c r="AE428" s="97"/>
      <c r="AF428" s="97"/>
      <c r="AG428" s="97"/>
      <c r="AH428" s="97"/>
      <c r="AI428" s="97"/>
      <c r="AK428" s="97"/>
      <c r="AL428" s="97"/>
      <c r="AM428" s="97"/>
      <c r="AN428" s="97"/>
    </row>
    <row r="429" spans="24:40" ht="15" customHeight="1" x14ac:dyDescent="0.35">
      <c r="X429" s="97"/>
      <c r="Y429" s="97"/>
      <c r="Z429" s="97"/>
      <c r="AA429" s="97"/>
      <c r="AB429" s="97"/>
      <c r="AC429" s="97"/>
      <c r="AD429" s="97"/>
      <c r="AE429" s="97"/>
      <c r="AF429" s="97"/>
      <c r="AG429" s="97"/>
      <c r="AH429" s="97"/>
      <c r="AI429" s="97"/>
      <c r="AK429" s="97"/>
      <c r="AL429" s="97"/>
      <c r="AM429" s="97"/>
      <c r="AN429" s="97"/>
    </row>
    <row r="430" spans="24:40" ht="15" customHeight="1" x14ac:dyDescent="0.35">
      <c r="X430" s="97"/>
      <c r="Y430" s="97"/>
      <c r="Z430" s="97"/>
      <c r="AA430" s="97"/>
      <c r="AB430" s="97"/>
      <c r="AC430" s="97"/>
      <c r="AD430" s="97"/>
      <c r="AE430" s="97"/>
      <c r="AF430" s="97"/>
      <c r="AG430" s="97"/>
      <c r="AH430" s="97"/>
      <c r="AI430" s="97"/>
      <c r="AK430" s="97"/>
      <c r="AL430" s="97"/>
      <c r="AM430" s="97"/>
      <c r="AN430" s="97"/>
    </row>
    <row r="431" spans="24:40" ht="15" customHeight="1" x14ac:dyDescent="0.35">
      <c r="X431" s="97"/>
      <c r="Y431" s="97"/>
      <c r="Z431" s="97"/>
      <c r="AA431" s="97"/>
      <c r="AB431" s="97"/>
      <c r="AC431" s="97"/>
      <c r="AD431" s="97"/>
      <c r="AE431" s="97"/>
      <c r="AF431" s="97"/>
      <c r="AG431" s="97"/>
      <c r="AH431" s="97"/>
      <c r="AI431" s="97"/>
      <c r="AK431" s="97"/>
      <c r="AL431" s="97"/>
      <c r="AM431" s="97"/>
      <c r="AN431" s="97"/>
    </row>
    <row r="432" spans="24:40" ht="15" customHeight="1" x14ac:dyDescent="0.35">
      <c r="X432" s="97"/>
      <c r="Y432" s="97"/>
      <c r="Z432" s="97"/>
      <c r="AA432" s="97"/>
      <c r="AB432" s="97"/>
      <c r="AC432" s="97"/>
      <c r="AD432" s="97"/>
      <c r="AE432" s="97"/>
      <c r="AF432" s="97"/>
      <c r="AG432" s="97"/>
      <c r="AH432" s="97"/>
      <c r="AI432" s="97"/>
      <c r="AK432" s="97"/>
      <c r="AL432" s="97"/>
      <c r="AM432" s="97"/>
      <c r="AN432" s="97"/>
    </row>
    <row r="433" spans="24:40" ht="15" customHeight="1" x14ac:dyDescent="0.35">
      <c r="X433" s="97"/>
      <c r="Y433" s="97"/>
      <c r="Z433" s="97"/>
      <c r="AA433" s="97"/>
      <c r="AB433" s="97"/>
      <c r="AC433" s="97"/>
      <c r="AD433" s="97"/>
      <c r="AE433" s="97"/>
      <c r="AF433" s="97"/>
      <c r="AG433" s="97"/>
      <c r="AH433" s="97"/>
      <c r="AI433" s="97"/>
      <c r="AK433" s="97"/>
      <c r="AL433" s="97"/>
      <c r="AM433" s="97"/>
      <c r="AN433" s="97"/>
    </row>
    <row r="434" spans="24:40" ht="15" customHeight="1" x14ac:dyDescent="0.35">
      <c r="X434" s="97"/>
      <c r="Y434" s="97"/>
      <c r="Z434" s="97"/>
      <c r="AA434" s="97"/>
      <c r="AB434" s="97"/>
      <c r="AC434" s="97"/>
      <c r="AD434" s="97"/>
      <c r="AE434" s="97"/>
      <c r="AF434" s="97"/>
      <c r="AG434" s="97"/>
      <c r="AH434" s="97"/>
      <c r="AI434" s="97"/>
      <c r="AK434" s="97"/>
      <c r="AL434" s="97"/>
      <c r="AM434" s="97"/>
      <c r="AN434" s="97"/>
    </row>
    <row r="435" spans="24:40" ht="15" customHeight="1" x14ac:dyDescent="0.35">
      <c r="X435" s="97"/>
      <c r="Y435" s="97"/>
      <c r="Z435" s="97"/>
      <c r="AA435" s="97"/>
      <c r="AB435" s="97"/>
      <c r="AC435" s="97"/>
      <c r="AD435" s="97"/>
      <c r="AE435" s="97"/>
      <c r="AF435" s="97"/>
      <c r="AG435" s="97"/>
      <c r="AH435" s="97"/>
      <c r="AI435" s="97"/>
      <c r="AK435" s="97"/>
      <c r="AL435" s="97"/>
      <c r="AM435" s="97"/>
      <c r="AN435" s="97"/>
    </row>
    <row r="436" spans="24:40" ht="15" customHeight="1" x14ac:dyDescent="0.35">
      <c r="X436" s="97"/>
      <c r="Y436" s="97"/>
      <c r="Z436" s="97"/>
      <c r="AA436" s="97"/>
      <c r="AB436" s="97"/>
      <c r="AC436" s="97"/>
      <c r="AD436" s="97"/>
      <c r="AE436" s="97"/>
      <c r="AF436" s="97"/>
      <c r="AG436" s="97"/>
      <c r="AH436" s="97"/>
      <c r="AI436" s="97"/>
      <c r="AK436" s="97"/>
      <c r="AL436" s="97"/>
      <c r="AM436" s="97"/>
      <c r="AN436" s="97"/>
    </row>
    <row r="437" spans="24:40" ht="15" customHeight="1" x14ac:dyDescent="0.35">
      <c r="X437" s="97"/>
      <c r="Y437" s="97"/>
      <c r="Z437" s="97"/>
      <c r="AA437" s="97"/>
      <c r="AB437" s="97"/>
      <c r="AC437" s="97"/>
      <c r="AD437" s="97"/>
      <c r="AE437" s="97"/>
      <c r="AF437" s="97"/>
      <c r="AG437" s="97"/>
      <c r="AH437" s="97"/>
      <c r="AI437" s="97"/>
      <c r="AK437" s="97"/>
      <c r="AL437" s="97"/>
      <c r="AM437" s="97"/>
      <c r="AN437" s="97"/>
    </row>
    <row r="438" spans="24:40" ht="15" customHeight="1" x14ac:dyDescent="0.35">
      <c r="X438" s="97"/>
      <c r="Y438" s="97"/>
      <c r="Z438" s="97"/>
      <c r="AA438" s="97"/>
      <c r="AB438" s="97"/>
      <c r="AC438" s="97"/>
      <c r="AD438" s="97"/>
      <c r="AE438" s="97"/>
      <c r="AF438" s="97"/>
      <c r="AG438" s="97"/>
      <c r="AH438" s="97"/>
      <c r="AI438" s="97"/>
      <c r="AK438" s="97"/>
      <c r="AL438" s="97"/>
      <c r="AM438" s="97"/>
      <c r="AN438" s="97"/>
    </row>
    <row r="439" spans="24:40" ht="15" customHeight="1" x14ac:dyDescent="0.35">
      <c r="X439" s="97"/>
      <c r="Y439" s="97"/>
      <c r="Z439" s="97"/>
      <c r="AA439" s="97"/>
      <c r="AB439" s="97"/>
      <c r="AC439" s="97"/>
      <c r="AD439" s="97"/>
      <c r="AE439" s="97"/>
      <c r="AF439" s="97"/>
      <c r="AG439" s="97"/>
      <c r="AH439" s="97"/>
      <c r="AI439" s="97"/>
      <c r="AK439" s="97"/>
      <c r="AL439" s="97"/>
      <c r="AM439" s="97"/>
      <c r="AN439" s="97"/>
    </row>
    <row r="440" spans="24:40" ht="15" customHeight="1" x14ac:dyDescent="0.35">
      <c r="X440" s="97"/>
      <c r="Y440" s="97"/>
      <c r="Z440" s="97"/>
      <c r="AA440" s="97"/>
      <c r="AB440" s="97"/>
      <c r="AC440" s="97"/>
      <c r="AD440" s="97"/>
      <c r="AE440" s="97"/>
      <c r="AF440" s="97"/>
      <c r="AG440" s="97"/>
      <c r="AH440" s="97"/>
      <c r="AI440" s="97"/>
      <c r="AK440" s="97"/>
      <c r="AL440" s="97"/>
      <c r="AM440" s="97"/>
      <c r="AN440" s="97"/>
    </row>
    <row r="441" spans="24:40" ht="15" customHeight="1" x14ac:dyDescent="0.35">
      <c r="X441" s="97"/>
      <c r="Y441" s="97"/>
      <c r="Z441" s="97"/>
      <c r="AA441" s="97"/>
      <c r="AB441" s="97"/>
      <c r="AC441" s="97"/>
      <c r="AD441" s="97"/>
      <c r="AE441" s="97"/>
      <c r="AF441" s="97"/>
      <c r="AG441" s="97"/>
      <c r="AH441" s="97"/>
      <c r="AI441" s="97"/>
      <c r="AK441" s="97"/>
      <c r="AL441" s="97"/>
      <c r="AM441" s="97"/>
      <c r="AN441" s="97"/>
    </row>
    <row r="442" spans="24:40" ht="15" customHeight="1" x14ac:dyDescent="0.35">
      <c r="X442" s="97"/>
      <c r="Y442" s="97"/>
      <c r="Z442" s="97"/>
      <c r="AA442" s="97"/>
      <c r="AB442" s="97"/>
      <c r="AC442" s="97"/>
      <c r="AD442" s="97"/>
      <c r="AE442" s="97"/>
      <c r="AF442" s="97"/>
      <c r="AG442" s="97"/>
      <c r="AH442" s="97"/>
      <c r="AI442" s="97"/>
      <c r="AK442" s="97"/>
      <c r="AL442" s="97"/>
      <c r="AM442" s="97"/>
      <c r="AN442" s="97"/>
    </row>
    <row r="443" spans="24:40" ht="15" customHeight="1" x14ac:dyDescent="0.35">
      <c r="X443" s="97"/>
      <c r="Y443" s="97"/>
      <c r="Z443" s="97"/>
      <c r="AA443" s="97"/>
      <c r="AB443" s="97"/>
      <c r="AC443" s="97"/>
      <c r="AD443" s="97"/>
      <c r="AE443" s="97"/>
      <c r="AF443" s="97"/>
      <c r="AG443" s="97"/>
      <c r="AH443" s="97"/>
      <c r="AI443" s="97"/>
      <c r="AK443" s="97"/>
      <c r="AL443" s="97"/>
      <c r="AM443" s="97"/>
      <c r="AN443" s="97"/>
    </row>
    <row r="444" spans="24:40" ht="15" customHeight="1" x14ac:dyDescent="0.35">
      <c r="X444" s="97"/>
      <c r="Y444" s="97"/>
      <c r="Z444" s="97"/>
      <c r="AA444" s="97"/>
      <c r="AB444" s="97"/>
      <c r="AC444" s="97"/>
      <c r="AD444" s="97"/>
      <c r="AE444" s="97"/>
      <c r="AF444" s="97"/>
      <c r="AG444" s="97"/>
      <c r="AH444" s="97"/>
      <c r="AI444" s="97"/>
      <c r="AK444" s="97"/>
      <c r="AL444" s="97"/>
      <c r="AM444" s="97"/>
      <c r="AN444" s="97"/>
    </row>
    <row r="445" spans="24:40" ht="15" customHeight="1" x14ac:dyDescent="0.35">
      <c r="X445" s="97"/>
      <c r="Y445" s="97"/>
      <c r="Z445" s="97"/>
      <c r="AA445" s="97"/>
      <c r="AB445" s="97"/>
      <c r="AC445" s="97"/>
      <c r="AD445" s="97"/>
      <c r="AE445" s="97"/>
      <c r="AF445" s="97"/>
      <c r="AG445" s="97"/>
      <c r="AH445" s="97"/>
      <c r="AI445" s="97"/>
      <c r="AK445" s="97"/>
      <c r="AL445" s="97"/>
      <c r="AM445" s="97"/>
      <c r="AN445" s="97"/>
    </row>
    <row r="446" spans="24:40" ht="15" customHeight="1" x14ac:dyDescent="0.35">
      <c r="X446" s="97"/>
      <c r="Y446" s="97"/>
      <c r="Z446" s="97"/>
      <c r="AA446" s="97"/>
      <c r="AB446" s="97"/>
      <c r="AC446" s="97"/>
      <c r="AD446" s="97"/>
      <c r="AE446" s="97"/>
      <c r="AF446" s="97"/>
      <c r="AG446" s="97"/>
      <c r="AH446" s="97"/>
      <c r="AI446" s="97"/>
      <c r="AK446" s="97"/>
      <c r="AL446" s="97"/>
      <c r="AM446" s="97"/>
      <c r="AN446" s="97"/>
    </row>
    <row r="447" spans="24:40" ht="15" customHeight="1" x14ac:dyDescent="0.35">
      <c r="X447" s="97"/>
      <c r="Y447" s="97"/>
      <c r="Z447" s="97"/>
      <c r="AA447" s="97"/>
      <c r="AB447" s="97"/>
      <c r="AC447" s="97"/>
      <c r="AD447" s="97"/>
      <c r="AE447" s="97"/>
      <c r="AF447" s="97"/>
      <c r="AG447" s="97"/>
      <c r="AH447" s="97"/>
      <c r="AI447" s="97"/>
      <c r="AK447" s="97"/>
      <c r="AL447" s="97"/>
      <c r="AM447" s="97"/>
      <c r="AN447" s="97"/>
    </row>
    <row r="448" spans="24:40" ht="15" customHeight="1" x14ac:dyDescent="0.35">
      <c r="X448" s="97"/>
      <c r="Y448" s="97"/>
      <c r="Z448" s="97"/>
      <c r="AA448" s="97"/>
      <c r="AB448" s="97"/>
      <c r="AC448" s="97"/>
      <c r="AD448" s="97"/>
      <c r="AE448" s="97"/>
      <c r="AF448" s="97"/>
      <c r="AG448" s="97"/>
      <c r="AH448" s="97"/>
      <c r="AI448" s="97"/>
      <c r="AK448" s="97"/>
      <c r="AL448" s="97"/>
      <c r="AM448" s="97"/>
      <c r="AN448" s="97"/>
    </row>
    <row r="449" spans="24:40" ht="15" customHeight="1" x14ac:dyDescent="0.35">
      <c r="X449" s="97"/>
      <c r="Y449" s="97"/>
      <c r="Z449" s="97"/>
      <c r="AA449" s="97"/>
      <c r="AB449" s="97"/>
      <c r="AC449" s="97"/>
      <c r="AD449" s="97"/>
      <c r="AE449" s="97"/>
      <c r="AF449" s="97"/>
      <c r="AG449" s="97"/>
      <c r="AH449" s="97"/>
      <c r="AI449" s="97"/>
      <c r="AK449" s="97"/>
      <c r="AL449" s="97"/>
      <c r="AM449" s="97"/>
      <c r="AN449" s="97"/>
    </row>
    <row r="450" spans="24:40" ht="15" customHeight="1" x14ac:dyDescent="0.35">
      <c r="X450" s="97"/>
      <c r="Y450" s="97"/>
      <c r="Z450" s="97"/>
      <c r="AA450" s="97"/>
      <c r="AB450" s="97"/>
      <c r="AC450" s="97"/>
      <c r="AD450" s="97"/>
      <c r="AE450" s="97"/>
      <c r="AF450" s="97"/>
      <c r="AG450" s="97"/>
      <c r="AH450" s="97"/>
      <c r="AI450" s="97"/>
      <c r="AK450" s="97"/>
      <c r="AL450" s="97"/>
      <c r="AM450" s="97"/>
      <c r="AN450" s="97"/>
    </row>
    <row r="451" spans="24:40" ht="15" customHeight="1" x14ac:dyDescent="0.35">
      <c r="X451" s="97"/>
      <c r="Y451" s="97"/>
      <c r="Z451" s="97"/>
      <c r="AA451" s="97"/>
      <c r="AB451" s="97"/>
      <c r="AC451" s="97"/>
      <c r="AD451" s="97"/>
      <c r="AE451" s="97"/>
      <c r="AF451" s="97"/>
      <c r="AG451" s="97"/>
      <c r="AH451" s="97"/>
      <c r="AI451" s="97"/>
      <c r="AK451" s="97"/>
      <c r="AL451" s="97"/>
      <c r="AM451" s="97"/>
      <c r="AN451" s="97"/>
    </row>
    <row r="452" spans="24:40" ht="15" customHeight="1" x14ac:dyDescent="0.35">
      <c r="X452" s="97"/>
      <c r="Y452" s="97"/>
      <c r="Z452" s="97"/>
      <c r="AA452" s="97"/>
      <c r="AB452" s="97"/>
      <c r="AC452" s="97"/>
      <c r="AD452" s="97"/>
      <c r="AE452" s="97"/>
      <c r="AF452" s="97"/>
      <c r="AG452" s="97"/>
      <c r="AH452" s="97"/>
      <c r="AI452" s="97"/>
      <c r="AK452" s="97"/>
      <c r="AL452" s="97"/>
      <c r="AM452" s="97"/>
      <c r="AN452" s="97"/>
    </row>
    <row r="453" spans="24:40" ht="15" customHeight="1" x14ac:dyDescent="0.35">
      <c r="X453" s="97"/>
      <c r="Y453" s="97"/>
      <c r="Z453" s="97"/>
      <c r="AA453" s="97"/>
      <c r="AB453" s="97"/>
      <c r="AC453" s="97"/>
      <c r="AD453" s="97"/>
      <c r="AE453" s="97"/>
      <c r="AF453" s="97"/>
      <c r="AG453" s="97"/>
      <c r="AH453" s="97"/>
      <c r="AI453" s="97"/>
      <c r="AK453" s="97"/>
      <c r="AL453" s="97"/>
      <c r="AM453" s="97"/>
      <c r="AN453" s="97"/>
    </row>
    <row r="454" spans="24:40" ht="15" customHeight="1" x14ac:dyDescent="0.35">
      <c r="X454" s="97"/>
      <c r="Y454" s="97"/>
      <c r="Z454" s="97"/>
      <c r="AA454" s="97"/>
      <c r="AB454" s="97"/>
      <c r="AC454" s="97"/>
      <c r="AD454" s="97"/>
      <c r="AE454" s="97"/>
      <c r="AF454" s="97"/>
      <c r="AG454" s="97"/>
      <c r="AH454" s="97"/>
      <c r="AI454" s="97"/>
      <c r="AK454" s="97"/>
      <c r="AL454" s="97"/>
      <c r="AM454" s="97"/>
      <c r="AN454" s="97"/>
    </row>
    <row r="455" spans="24:40" ht="15" customHeight="1" x14ac:dyDescent="0.35">
      <c r="X455" s="97"/>
      <c r="Y455" s="97"/>
      <c r="Z455" s="97"/>
      <c r="AA455" s="97"/>
      <c r="AB455" s="97"/>
      <c r="AC455" s="97"/>
      <c r="AD455" s="97"/>
      <c r="AE455" s="97"/>
      <c r="AF455" s="97"/>
      <c r="AG455" s="97"/>
      <c r="AH455" s="97"/>
      <c r="AI455" s="97"/>
      <c r="AK455" s="97"/>
      <c r="AL455" s="97"/>
      <c r="AM455" s="97"/>
      <c r="AN455" s="97"/>
    </row>
    <row r="456" spans="24:40" ht="15" customHeight="1" x14ac:dyDescent="0.35">
      <c r="X456" s="97"/>
      <c r="Y456" s="97"/>
      <c r="Z456" s="97"/>
      <c r="AA456" s="97"/>
      <c r="AB456" s="97"/>
      <c r="AC456" s="97"/>
      <c r="AD456" s="97"/>
      <c r="AE456" s="97"/>
      <c r="AF456" s="97"/>
      <c r="AG456" s="97"/>
      <c r="AH456" s="97"/>
      <c r="AI456" s="97"/>
      <c r="AK456" s="97"/>
      <c r="AL456" s="97"/>
      <c r="AM456" s="97"/>
      <c r="AN456" s="97"/>
    </row>
    <row r="457" spans="24:40" ht="15" customHeight="1" x14ac:dyDescent="0.35">
      <c r="X457" s="97"/>
      <c r="Y457" s="97"/>
      <c r="Z457" s="97"/>
      <c r="AA457" s="97"/>
      <c r="AB457" s="97"/>
      <c r="AC457" s="97"/>
      <c r="AD457" s="97"/>
      <c r="AE457" s="97"/>
      <c r="AF457" s="97"/>
      <c r="AG457" s="97"/>
      <c r="AH457" s="97"/>
      <c r="AI457" s="97"/>
      <c r="AK457" s="97"/>
      <c r="AL457" s="97"/>
      <c r="AM457" s="97"/>
      <c r="AN457" s="97"/>
    </row>
    <row r="458" spans="24:40" ht="15" customHeight="1" x14ac:dyDescent="0.35">
      <c r="X458" s="97"/>
      <c r="Y458" s="97"/>
      <c r="Z458" s="97"/>
      <c r="AA458" s="97"/>
      <c r="AB458" s="97"/>
      <c r="AC458" s="97"/>
      <c r="AD458" s="97"/>
      <c r="AE458" s="97"/>
      <c r="AF458" s="97"/>
      <c r="AG458" s="97"/>
      <c r="AH458" s="97"/>
      <c r="AI458" s="97"/>
      <c r="AK458" s="97"/>
      <c r="AL458" s="97"/>
      <c r="AM458" s="97"/>
      <c r="AN458" s="97"/>
    </row>
    <row r="459" spans="24:40" ht="15" customHeight="1" x14ac:dyDescent="0.35">
      <c r="X459" s="97"/>
      <c r="Y459" s="97"/>
      <c r="Z459" s="97"/>
      <c r="AA459" s="97"/>
      <c r="AB459" s="97"/>
      <c r="AC459" s="97"/>
      <c r="AD459" s="97"/>
      <c r="AE459" s="97"/>
      <c r="AF459" s="97"/>
      <c r="AG459" s="97"/>
      <c r="AH459" s="97"/>
      <c r="AI459" s="97"/>
      <c r="AK459" s="97"/>
      <c r="AL459" s="97"/>
      <c r="AM459" s="97"/>
      <c r="AN459" s="97"/>
    </row>
    <row r="460" spans="24:40" ht="15" customHeight="1" x14ac:dyDescent="0.35">
      <c r="X460" s="97"/>
      <c r="Y460" s="97"/>
      <c r="Z460" s="97"/>
      <c r="AA460" s="97"/>
      <c r="AB460" s="97"/>
      <c r="AC460" s="97"/>
      <c r="AD460" s="97"/>
      <c r="AE460" s="97"/>
      <c r="AF460" s="97"/>
      <c r="AG460" s="97"/>
      <c r="AH460" s="97"/>
      <c r="AI460" s="97"/>
      <c r="AK460" s="97"/>
      <c r="AL460" s="97"/>
      <c r="AM460" s="97"/>
      <c r="AN460" s="97"/>
    </row>
    <row r="461" spans="24:40" ht="15" customHeight="1" x14ac:dyDescent="0.35">
      <c r="X461" s="97"/>
      <c r="Y461" s="97"/>
      <c r="Z461" s="97"/>
      <c r="AA461" s="97"/>
      <c r="AB461" s="97"/>
      <c r="AC461" s="97"/>
      <c r="AD461" s="97"/>
      <c r="AE461" s="97"/>
      <c r="AF461" s="97"/>
      <c r="AG461" s="97"/>
      <c r="AH461" s="97"/>
      <c r="AI461" s="97"/>
      <c r="AK461" s="97"/>
      <c r="AL461" s="97"/>
      <c r="AM461" s="97"/>
      <c r="AN461" s="97"/>
    </row>
    <row r="462" spans="24:40" ht="15" customHeight="1" x14ac:dyDescent="0.35">
      <c r="X462" s="97"/>
      <c r="Y462" s="97"/>
      <c r="Z462" s="97"/>
      <c r="AA462" s="97"/>
      <c r="AB462" s="97"/>
      <c r="AC462" s="97"/>
      <c r="AD462" s="97"/>
      <c r="AE462" s="97"/>
      <c r="AF462" s="97"/>
      <c r="AG462" s="97"/>
      <c r="AH462" s="97"/>
      <c r="AI462" s="97"/>
      <c r="AK462" s="97"/>
      <c r="AL462" s="97"/>
      <c r="AM462" s="97"/>
      <c r="AN462" s="97"/>
    </row>
    <row r="463" spans="24:40" ht="15" customHeight="1" x14ac:dyDescent="0.35">
      <c r="X463" s="97"/>
      <c r="Y463" s="97"/>
      <c r="Z463" s="97"/>
      <c r="AA463" s="97"/>
      <c r="AB463" s="97"/>
      <c r="AC463" s="97"/>
      <c r="AD463" s="97"/>
      <c r="AE463" s="97"/>
      <c r="AF463" s="97"/>
      <c r="AG463" s="97"/>
      <c r="AH463" s="97"/>
      <c r="AI463" s="97"/>
      <c r="AK463" s="97"/>
      <c r="AL463" s="97"/>
      <c r="AM463" s="97"/>
      <c r="AN463" s="97"/>
    </row>
    <row r="464" spans="24:40" ht="15" customHeight="1" x14ac:dyDescent="0.35">
      <c r="X464" s="97"/>
      <c r="Y464" s="97"/>
      <c r="Z464" s="97"/>
      <c r="AA464" s="97"/>
      <c r="AB464" s="97"/>
      <c r="AC464" s="97"/>
      <c r="AD464" s="97"/>
      <c r="AE464" s="97"/>
      <c r="AF464" s="97"/>
      <c r="AG464" s="97"/>
      <c r="AH464" s="97"/>
      <c r="AI464" s="97"/>
      <c r="AK464" s="97"/>
      <c r="AL464" s="97"/>
      <c r="AM464" s="97"/>
      <c r="AN464" s="97"/>
    </row>
    <row r="465" spans="24:40" ht="15" customHeight="1" x14ac:dyDescent="0.35">
      <c r="X465" s="97"/>
      <c r="Y465" s="97"/>
      <c r="Z465" s="97"/>
      <c r="AA465" s="97"/>
      <c r="AB465" s="97"/>
      <c r="AC465" s="97"/>
      <c r="AD465" s="97"/>
      <c r="AE465" s="97"/>
      <c r="AF465" s="97"/>
      <c r="AG465" s="97"/>
      <c r="AH465" s="97"/>
      <c r="AI465" s="97"/>
      <c r="AK465" s="97"/>
      <c r="AL465" s="97"/>
      <c r="AM465" s="97"/>
      <c r="AN465" s="97"/>
    </row>
    <row r="466" spans="24:40" ht="15" customHeight="1" x14ac:dyDescent="0.35">
      <c r="X466" s="97"/>
      <c r="Y466" s="97"/>
      <c r="Z466" s="97"/>
      <c r="AA466" s="97"/>
      <c r="AB466" s="97"/>
      <c r="AC466" s="97"/>
      <c r="AD466" s="97"/>
      <c r="AE466" s="97"/>
      <c r="AF466" s="97"/>
      <c r="AG466" s="97"/>
      <c r="AH466" s="97"/>
      <c r="AI466" s="97"/>
      <c r="AK466" s="97"/>
      <c r="AL466" s="97"/>
      <c r="AM466" s="97"/>
      <c r="AN466" s="97"/>
    </row>
    <row r="467" spans="24:40" ht="15" customHeight="1" x14ac:dyDescent="0.35">
      <c r="X467" s="97"/>
      <c r="Y467" s="97"/>
      <c r="Z467" s="97"/>
      <c r="AA467" s="97"/>
      <c r="AB467" s="97"/>
      <c r="AC467" s="97"/>
      <c r="AD467" s="97"/>
      <c r="AE467" s="97"/>
      <c r="AF467" s="97"/>
      <c r="AG467" s="97"/>
      <c r="AH467" s="97"/>
      <c r="AI467" s="97"/>
      <c r="AK467" s="97"/>
      <c r="AL467" s="97"/>
      <c r="AM467" s="97"/>
      <c r="AN467" s="97"/>
    </row>
    <row r="468" spans="24:40" ht="15" customHeight="1" x14ac:dyDescent="0.35">
      <c r="X468" s="97"/>
      <c r="Y468" s="97"/>
      <c r="Z468" s="97"/>
      <c r="AA468" s="97"/>
      <c r="AB468" s="97"/>
      <c r="AC468" s="97"/>
      <c r="AD468" s="97"/>
      <c r="AE468" s="97"/>
      <c r="AF468" s="97"/>
      <c r="AG468" s="97"/>
      <c r="AH468" s="97"/>
      <c r="AI468" s="97"/>
      <c r="AK468" s="97"/>
      <c r="AL468" s="97"/>
      <c r="AM468" s="97"/>
      <c r="AN468" s="97"/>
    </row>
    <row r="469" spans="24:40" ht="15" customHeight="1" x14ac:dyDescent="0.35">
      <c r="X469" s="97"/>
      <c r="Y469" s="97"/>
      <c r="Z469" s="97"/>
      <c r="AA469" s="97"/>
      <c r="AB469" s="97"/>
      <c r="AC469" s="97"/>
      <c r="AD469" s="97"/>
      <c r="AE469" s="97"/>
      <c r="AF469" s="97"/>
      <c r="AG469" s="97"/>
      <c r="AH469" s="97"/>
      <c r="AI469" s="97"/>
      <c r="AK469" s="97"/>
      <c r="AL469" s="97"/>
      <c r="AM469" s="97"/>
      <c r="AN469" s="97"/>
    </row>
    <row r="470" spans="24:40" ht="15" customHeight="1" x14ac:dyDescent="0.35">
      <c r="X470" s="97"/>
      <c r="Y470" s="97"/>
      <c r="Z470" s="97"/>
      <c r="AA470" s="97"/>
      <c r="AB470" s="97"/>
      <c r="AC470" s="97"/>
      <c r="AD470" s="97"/>
      <c r="AE470" s="97"/>
      <c r="AF470" s="97"/>
      <c r="AG470" s="97"/>
      <c r="AH470" s="97"/>
      <c r="AI470" s="97"/>
      <c r="AK470" s="97"/>
      <c r="AL470" s="97"/>
      <c r="AM470" s="97"/>
      <c r="AN470" s="97"/>
    </row>
    <row r="471" spans="24:40" ht="15" customHeight="1" x14ac:dyDescent="0.35">
      <c r="X471" s="97"/>
      <c r="Y471" s="97"/>
      <c r="Z471" s="97"/>
      <c r="AA471" s="97"/>
      <c r="AB471" s="97"/>
      <c r="AC471" s="97"/>
      <c r="AD471" s="97"/>
      <c r="AE471" s="97"/>
      <c r="AF471" s="97"/>
      <c r="AG471" s="97"/>
      <c r="AH471" s="97"/>
      <c r="AI471" s="97"/>
      <c r="AK471" s="97"/>
      <c r="AL471" s="97"/>
      <c r="AM471" s="97"/>
      <c r="AN471" s="97"/>
    </row>
    <row r="472" spans="24:40" ht="15" customHeight="1" x14ac:dyDescent="0.35">
      <c r="X472" s="97"/>
      <c r="Y472" s="97"/>
      <c r="Z472" s="97"/>
      <c r="AA472" s="97"/>
      <c r="AB472" s="97"/>
      <c r="AC472" s="97"/>
      <c r="AD472" s="97"/>
      <c r="AE472" s="97"/>
      <c r="AF472" s="97"/>
      <c r="AG472" s="97"/>
      <c r="AH472" s="97"/>
      <c r="AI472" s="97"/>
      <c r="AK472" s="97"/>
      <c r="AL472" s="97"/>
      <c r="AM472" s="97"/>
      <c r="AN472" s="97"/>
    </row>
    <row r="473" spans="24:40" ht="15" customHeight="1" x14ac:dyDescent="0.35">
      <c r="X473" s="97"/>
      <c r="Y473" s="97"/>
      <c r="Z473" s="97"/>
      <c r="AA473" s="97"/>
      <c r="AB473" s="97"/>
      <c r="AC473" s="97"/>
      <c r="AD473" s="97"/>
      <c r="AE473" s="97"/>
      <c r="AF473" s="97"/>
      <c r="AG473" s="97"/>
      <c r="AH473" s="97"/>
      <c r="AI473" s="97"/>
      <c r="AK473" s="97"/>
      <c r="AL473" s="97"/>
      <c r="AM473" s="97"/>
      <c r="AN473" s="97"/>
    </row>
    <row r="474" spans="24:40" ht="15" customHeight="1" x14ac:dyDescent="0.35">
      <c r="X474" s="97"/>
      <c r="Y474" s="97"/>
      <c r="Z474" s="97"/>
      <c r="AA474" s="97"/>
      <c r="AB474" s="97"/>
      <c r="AC474" s="97"/>
      <c r="AD474" s="97"/>
      <c r="AE474" s="97"/>
      <c r="AF474" s="97"/>
      <c r="AG474" s="97"/>
      <c r="AH474" s="97"/>
      <c r="AI474" s="97"/>
      <c r="AK474" s="97"/>
      <c r="AL474" s="97"/>
      <c r="AM474" s="97"/>
      <c r="AN474" s="97"/>
    </row>
    <row r="475" spans="24:40" ht="15" customHeight="1" x14ac:dyDescent="0.35">
      <c r="X475" s="97"/>
      <c r="Y475" s="97"/>
      <c r="Z475" s="97"/>
      <c r="AA475" s="97"/>
      <c r="AB475" s="97"/>
      <c r="AC475" s="97"/>
      <c r="AD475" s="97"/>
      <c r="AE475" s="97"/>
      <c r="AF475" s="97"/>
      <c r="AG475" s="97"/>
      <c r="AH475" s="97"/>
      <c r="AI475" s="97"/>
      <c r="AK475" s="97"/>
      <c r="AL475" s="97"/>
      <c r="AM475" s="97"/>
      <c r="AN475" s="97"/>
    </row>
    <row r="476" spans="24:40" ht="15" customHeight="1" x14ac:dyDescent="0.35">
      <c r="X476" s="97"/>
      <c r="Y476" s="97"/>
      <c r="Z476" s="97"/>
      <c r="AA476" s="97"/>
      <c r="AB476" s="97"/>
      <c r="AC476" s="97"/>
      <c r="AD476" s="97"/>
      <c r="AE476" s="97"/>
      <c r="AF476" s="97"/>
      <c r="AG476" s="97"/>
      <c r="AH476" s="97"/>
      <c r="AI476" s="97"/>
      <c r="AK476" s="97"/>
      <c r="AL476" s="97"/>
      <c r="AM476" s="97"/>
      <c r="AN476" s="97"/>
    </row>
    <row r="477" spans="24:40" ht="15" customHeight="1" x14ac:dyDescent="0.35">
      <c r="X477" s="97"/>
      <c r="Y477" s="97"/>
      <c r="Z477" s="97"/>
      <c r="AA477" s="97"/>
      <c r="AB477" s="97"/>
      <c r="AC477" s="97"/>
      <c r="AD477" s="97"/>
      <c r="AE477" s="97"/>
      <c r="AF477" s="97"/>
      <c r="AG477" s="97"/>
      <c r="AH477" s="97"/>
      <c r="AI477" s="97"/>
      <c r="AK477" s="97"/>
      <c r="AL477" s="97"/>
      <c r="AM477" s="97"/>
      <c r="AN477" s="97"/>
    </row>
    <row r="478" spans="24:40" ht="15" customHeight="1" x14ac:dyDescent="0.35">
      <c r="X478" s="97"/>
      <c r="Y478" s="97"/>
      <c r="Z478" s="97"/>
      <c r="AA478" s="97"/>
      <c r="AB478" s="97"/>
      <c r="AC478" s="97"/>
      <c r="AD478" s="97"/>
      <c r="AE478" s="97"/>
      <c r="AF478" s="97"/>
      <c r="AG478" s="97"/>
      <c r="AH478" s="97"/>
      <c r="AI478" s="97"/>
      <c r="AK478" s="97"/>
      <c r="AL478" s="97"/>
      <c r="AM478" s="97"/>
      <c r="AN478" s="97"/>
    </row>
    <row r="479" spans="24:40" ht="15" customHeight="1" x14ac:dyDescent="0.35">
      <c r="X479" s="97"/>
      <c r="Y479" s="97"/>
      <c r="Z479" s="97"/>
      <c r="AA479" s="97"/>
      <c r="AB479" s="97"/>
      <c r="AC479" s="97"/>
      <c r="AD479" s="97"/>
      <c r="AE479" s="97"/>
      <c r="AF479" s="97"/>
      <c r="AG479" s="97"/>
      <c r="AH479" s="97"/>
      <c r="AI479" s="97"/>
      <c r="AK479" s="97"/>
      <c r="AL479" s="97"/>
      <c r="AM479" s="97"/>
      <c r="AN479" s="97"/>
    </row>
    <row r="480" spans="24:40" ht="15" customHeight="1" x14ac:dyDescent="0.35">
      <c r="X480" s="97"/>
      <c r="Y480" s="97"/>
      <c r="Z480" s="97"/>
      <c r="AA480" s="97"/>
      <c r="AB480" s="97"/>
      <c r="AC480" s="97"/>
      <c r="AD480" s="97"/>
      <c r="AE480" s="97"/>
      <c r="AF480" s="97"/>
      <c r="AG480" s="97"/>
      <c r="AH480" s="97"/>
      <c r="AI480" s="97"/>
      <c r="AK480" s="97"/>
      <c r="AL480" s="97"/>
      <c r="AM480" s="97"/>
      <c r="AN480" s="97"/>
    </row>
    <row r="481" spans="24:40" ht="15" customHeight="1" x14ac:dyDescent="0.35">
      <c r="X481" s="97"/>
      <c r="Y481" s="97"/>
      <c r="Z481" s="97"/>
      <c r="AA481" s="97"/>
      <c r="AB481" s="97"/>
      <c r="AC481" s="97"/>
      <c r="AD481" s="97"/>
      <c r="AE481" s="97"/>
      <c r="AF481" s="97"/>
      <c r="AG481" s="97"/>
      <c r="AH481" s="97"/>
      <c r="AI481" s="97"/>
      <c r="AK481" s="97"/>
      <c r="AL481" s="97"/>
      <c r="AM481" s="97"/>
      <c r="AN481" s="97"/>
    </row>
    <row r="482" spans="24:40" ht="15" customHeight="1" x14ac:dyDescent="0.35">
      <c r="X482" s="97"/>
      <c r="Y482" s="97"/>
      <c r="Z482" s="97"/>
      <c r="AA482" s="97"/>
      <c r="AB482" s="97"/>
      <c r="AC482" s="97"/>
      <c r="AD482" s="97"/>
      <c r="AE482" s="97"/>
      <c r="AF482" s="97"/>
      <c r="AG482" s="97"/>
      <c r="AH482" s="97"/>
      <c r="AI482" s="97"/>
      <c r="AK482" s="97"/>
      <c r="AL482" s="97"/>
      <c r="AM482" s="97"/>
      <c r="AN482" s="97"/>
    </row>
    <row r="483" spans="24:40" ht="15" customHeight="1" x14ac:dyDescent="0.35">
      <c r="X483" s="97"/>
      <c r="Y483" s="97"/>
      <c r="Z483" s="97"/>
      <c r="AA483" s="97"/>
      <c r="AB483" s="97"/>
      <c r="AC483" s="97"/>
      <c r="AD483" s="97"/>
      <c r="AE483" s="97"/>
      <c r="AF483" s="97"/>
      <c r="AG483" s="97"/>
      <c r="AH483" s="97"/>
      <c r="AI483" s="97"/>
      <c r="AK483" s="97"/>
      <c r="AL483" s="97"/>
      <c r="AM483" s="97"/>
      <c r="AN483" s="97"/>
    </row>
    <row r="484" spans="24:40" ht="15" customHeight="1" x14ac:dyDescent="0.35">
      <c r="X484" s="97"/>
      <c r="Y484" s="97"/>
      <c r="Z484" s="97"/>
      <c r="AA484" s="97"/>
      <c r="AB484" s="97"/>
      <c r="AC484" s="97"/>
      <c r="AD484" s="97"/>
      <c r="AE484" s="97"/>
      <c r="AF484" s="97"/>
      <c r="AG484" s="97"/>
      <c r="AH484" s="97"/>
      <c r="AI484" s="97"/>
      <c r="AK484" s="97"/>
      <c r="AL484" s="97"/>
      <c r="AM484" s="97"/>
      <c r="AN484" s="97"/>
    </row>
    <row r="485" spans="24:40" ht="15" customHeight="1" x14ac:dyDescent="0.35">
      <c r="X485" s="97"/>
      <c r="Y485" s="97"/>
      <c r="Z485" s="97"/>
      <c r="AA485" s="97"/>
      <c r="AB485" s="97"/>
      <c r="AC485" s="97"/>
      <c r="AD485" s="97"/>
      <c r="AE485" s="97"/>
      <c r="AF485" s="97"/>
      <c r="AG485" s="97"/>
      <c r="AH485" s="97"/>
      <c r="AI485" s="97"/>
      <c r="AK485" s="97"/>
      <c r="AL485" s="97"/>
      <c r="AM485" s="97"/>
      <c r="AN485" s="97"/>
    </row>
    <row r="486" spans="24:40" ht="15" customHeight="1" x14ac:dyDescent="0.35">
      <c r="X486" s="97"/>
      <c r="Y486" s="97"/>
      <c r="Z486" s="97"/>
      <c r="AA486" s="97"/>
      <c r="AB486" s="97"/>
      <c r="AC486" s="97"/>
      <c r="AD486" s="97"/>
      <c r="AE486" s="97"/>
      <c r="AF486" s="97"/>
      <c r="AG486" s="97"/>
      <c r="AH486" s="97"/>
      <c r="AI486" s="97"/>
      <c r="AK486" s="97"/>
      <c r="AL486" s="97"/>
      <c r="AM486" s="97"/>
      <c r="AN486" s="97"/>
    </row>
    <row r="487" spans="24:40" ht="15" customHeight="1" x14ac:dyDescent="0.35">
      <c r="X487" s="97"/>
      <c r="Y487" s="97"/>
      <c r="Z487" s="97"/>
      <c r="AA487" s="97"/>
      <c r="AB487" s="97"/>
      <c r="AC487" s="97"/>
      <c r="AD487" s="97"/>
      <c r="AE487" s="97"/>
      <c r="AF487" s="97"/>
      <c r="AG487" s="97"/>
      <c r="AH487" s="97"/>
      <c r="AI487" s="97"/>
      <c r="AK487" s="97"/>
      <c r="AL487" s="97"/>
      <c r="AM487" s="97"/>
      <c r="AN487" s="97"/>
    </row>
    <row r="488" spans="24:40" ht="15" customHeight="1" x14ac:dyDescent="0.35">
      <c r="X488" s="97"/>
      <c r="Y488" s="97"/>
      <c r="Z488" s="97"/>
      <c r="AA488" s="97"/>
      <c r="AB488" s="97"/>
      <c r="AC488" s="97"/>
      <c r="AD488" s="97"/>
      <c r="AE488" s="97"/>
      <c r="AF488" s="97"/>
      <c r="AG488" s="97"/>
      <c r="AH488" s="97"/>
      <c r="AI488" s="97"/>
      <c r="AK488" s="97"/>
      <c r="AL488" s="97"/>
      <c r="AM488" s="97"/>
      <c r="AN488" s="97"/>
    </row>
    <row r="489" spans="24:40" ht="15" customHeight="1" x14ac:dyDescent="0.35">
      <c r="X489" s="97"/>
      <c r="Y489" s="97"/>
      <c r="Z489" s="97"/>
      <c r="AA489" s="97"/>
      <c r="AB489" s="97"/>
      <c r="AC489" s="97"/>
      <c r="AD489" s="97"/>
      <c r="AE489" s="97"/>
      <c r="AF489" s="97"/>
      <c r="AG489" s="97"/>
      <c r="AH489" s="97"/>
      <c r="AI489" s="97"/>
      <c r="AK489" s="97"/>
      <c r="AL489" s="97"/>
      <c r="AM489" s="97"/>
      <c r="AN489" s="97"/>
    </row>
    <row r="490" spans="24:40" ht="15" customHeight="1" x14ac:dyDescent="0.35">
      <c r="X490" s="97"/>
      <c r="Y490" s="97"/>
      <c r="Z490" s="97"/>
      <c r="AA490" s="97"/>
      <c r="AB490" s="97"/>
      <c r="AC490" s="97"/>
      <c r="AD490" s="97"/>
      <c r="AE490" s="97"/>
      <c r="AF490" s="97"/>
      <c r="AG490" s="97"/>
      <c r="AH490" s="97"/>
      <c r="AI490" s="97"/>
      <c r="AK490" s="97"/>
      <c r="AL490" s="97"/>
      <c r="AM490" s="97"/>
      <c r="AN490" s="97"/>
    </row>
    <row r="491" spans="24:40" ht="15" customHeight="1" x14ac:dyDescent="0.35">
      <c r="X491" s="97"/>
      <c r="Y491" s="97"/>
      <c r="Z491" s="97"/>
      <c r="AA491" s="97"/>
      <c r="AB491" s="97"/>
      <c r="AC491" s="97"/>
      <c r="AD491" s="97"/>
      <c r="AE491" s="97"/>
      <c r="AF491" s="97"/>
      <c r="AG491" s="97"/>
      <c r="AH491" s="97"/>
      <c r="AI491" s="97"/>
      <c r="AK491" s="97"/>
      <c r="AL491" s="97"/>
      <c r="AM491" s="97"/>
      <c r="AN491" s="97"/>
    </row>
    <row r="492" spans="24:40" ht="15" customHeight="1" x14ac:dyDescent="0.35">
      <c r="X492" s="97"/>
      <c r="Y492" s="97"/>
      <c r="Z492" s="97"/>
      <c r="AA492" s="97"/>
      <c r="AB492" s="97"/>
      <c r="AC492" s="97"/>
      <c r="AD492" s="97"/>
      <c r="AE492" s="97"/>
      <c r="AF492" s="97"/>
      <c r="AG492" s="97"/>
      <c r="AH492" s="97"/>
      <c r="AI492" s="97"/>
      <c r="AK492" s="97"/>
      <c r="AL492" s="97"/>
      <c r="AM492" s="97"/>
      <c r="AN492" s="97"/>
    </row>
    <row r="493" spans="24:40" ht="15" customHeight="1" x14ac:dyDescent="0.35">
      <c r="X493" s="97"/>
      <c r="Y493" s="97"/>
      <c r="Z493" s="97"/>
      <c r="AA493" s="97"/>
      <c r="AB493" s="97"/>
      <c r="AC493" s="97"/>
      <c r="AD493" s="97"/>
      <c r="AE493" s="97"/>
      <c r="AF493" s="97"/>
      <c r="AG493" s="97"/>
      <c r="AH493" s="97"/>
      <c r="AI493" s="97"/>
      <c r="AK493" s="97"/>
      <c r="AL493" s="97"/>
      <c r="AM493" s="97"/>
      <c r="AN493" s="97"/>
    </row>
    <row r="494" spans="24:40" ht="15" customHeight="1" x14ac:dyDescent="0.35">
      <c r="X494" s="97"/>
      <c r="Y494" s="97"/>
      <c r="Z494" s="97"/>
      <c r="AA494" s="97"/>
      <c r="AB494" s="97"/>
      <c r="AC494" s="97"/>
      <c r="AD494" s="97"/>
      <c r="AE494" s="97"/>
      <c r="AF494" s="97"/>
      <c r="AG494" s="97"/>
      <c r="AH494" s="97"/>
      <c r="AI494" s="97"/>
      <c r="AK494" s="97"/>
      <c r="AL494" s="97"/>
      <c r="AM494" s="97"/>
      <c r="AN494" s="97"/>
    </row>
    <row r="495" spans="24:40" ht="15" customHeight="1" x14ac:dyDescent="0.35">
      <c r="X495" s="97"/>
      <c r="Y495" s="97"/>
      <c r="Z495" s="97"/>
      <c r="AA495" s="97"/>
      <c r="AB495" s="97"/>
      <c r="AC495" s="97"/>
      <c r="AD495" s="97"/>
      <c r="AE495" s="97"/>
      <c r="AF495" s="97"/>
      <c r="AG495" s="97"/>
      <c r="AH495" s="97"/>
      <c r="AI495" s="97"/>
      <c r="AK495" s="97"/>
      <c r="AL495" s="97"/>
      <c r="AM495" s="97"/>
      <c r="AN495" s="97"/>
    </row>
    <row r="496" spans="24:40" ht="15" customHeight="1" x14ac:dyDescent="0.35">
      <c r="X496" s="97"/>
      <c r="Y496" s="97"/>
      <c r="Z496" s="97"/>
      <c r="AA496" s="97"/>
      <c r="AB496" s="97"/>
      <c r="AC496" s="97"/>
      <c r="AD496" s="97"/>
      <c r="AE496" s="97"/>
      <c r="AF496" s="97"/>
      <c r="AG496" s="97"/>
      <c r="AH496" s="97"/>
      <c r="AI496" s="97"/>
      <c r="AK496" s="97"/>
      <c r="AL496" s="97"/>
      <c r="AM496" s="97"/>
      <c r="AN496" s="97"/>
    </row>
    <row r="497" spans="24:40" ht="15" customHeight="1" x14ac:dyDescent="0.35">
      <c r="X497" s="97"/>
      <c r="Y497" s="97"/>
      <c r="Z497" s="97"/>
      <c r="AA497" s="97"/>
      <c r="AB497" s="97"/>
      <c r="AC497" s="97"/>
      <c r="AD497" s="97"/>
      <c r="AE497" s="97"/>
      <c r="AF497" s="97"/>
      <c r="AG497" s="97"/>
      <c r="AH497" s="97"/>
      <c r="AI497" s="97"/>
      <c r="AK497" s="97"/>
      <c r="AL497" s="97"/>
      <c r="AM497" s="97"/>
      <c r="AN497" s="97"/>
    </row>
    <row r="498" spans="24:40" ht="15" customHeight="1" x14ac:dyDescent="0.35">
      <c r="X498" s="97"/>
      <c r="Y498" s="97"/>
      <c r="Z498" s="97"/>
      <c r="AA498" s="97"/>
      <c r="AB498" s="97"/>
      <c r="AC498" s="97"/>
      <c r="AD498" s="97"/>
      <c r="AE498" s="97"/>
      <c r="AF498" s="97"/>
      <c r="AG498" s="97"/>
      <c r="AH498" s="97"/>
      <c r="AI498" s="97"/>
      <c r="AK498" s="97"/>
      <c r="AL498" s="97"/>
      <c r="AM498" s="97"/>
      <c r="AN498" s="97"/>
    </row>
    <row r="499" spans="24:40" ht="15" customHeight="1" x14ac:dyDescent="0.35">
      <c r="X499" s="97"/>
      <c r="Y499" s="97"/>
      <c r="Z499" s="97"/>
      <c r="AA499" s="97"/>
      <c r="AB499" s="97"/>
      <c r="AC499" s="97"/>
      <c r="AD499" s="97"/>
      <c r="AE499" s="97"/>
      <c r="AF499" s="97"/>
      <c r="AG499" s="97"/>
      <c r="AH499" s="97"/>
      <c r="AI499" s="97"/>
      <c r="AK499" s="97"/>
      <c r="AL499" s="97"/>
      <c r="AM499" s="97"/>
      <c r="AN499" s="97"/>
    </row>
    <row r="500" spans="24:40" ht="15" customHeight="1" x14ac:dyDescent="0.35">
      <c r="X500" s="97"/>
      <c r="Y500" s="97"/>
      <c r="Z500" s="97"/>
      <c r="AA500" s="97"/>
      <c r="AB500" s="97"/>
      <c r="AC500" s="97"/>
      <c r="AD500" s="97"/>
      <c r="AE500" s="97"/>
      <c r="AF500" s="97"/>
      <c r="AG500" s="97"/>
      <c r="AH500" s="97"/>
      <c r="AI500" s="97"/>
      <c r="AK500" s="97"/>
      <c r="AL500" s="97"/>
      <c r="AM500" s="97"/>
      <c r="AN500" s="97"/>
    </row>
    <row r="501" spans="24:40" ht="15" customHeight="1" x14ac:dyDescent="0.35">
      <c r="X501" s="97"/>
      <c r="Y501" s="97"/>
      <c r="Z501" s="97"/>
      <c r="AA501" s="97"/>
      <c r="AB501" s="97"/>
      <c r="AC501" s="97"/>
      <c r="AD501" s="97"/>
      <c r="AE501" s="97"/>
      <c r="AF501" s="97"/>
      <c r="AG501" s="97"/>
      <c r="AH501" s="97"/>
      <c r="AI501" s="97"/>
      <c r="AK501" s="97"/>
      <c r="AL501" s="97"/>
      <c r="AM501" s="97"/>
      <c r="AN501" s="97"/>
    </row>
    <row r="502" spans="24:40" ht="15" customHeight="1" x14ac:dyDescent="0.35">
      <c r="X502" s="97"/>
      <c r="Y502" s="97"/>
      <c r="Z502" s="97"/>
      <c r="AA502" s="97"/>
      <c r="AB502" s="97"/>
      <c r="AC502" s="97"/>
      <c r="AD502" s="97"/>
      <c r="AE502" s="97"/>
      <c r="AF502" s="97"/>
      <c r="AG502" s="97"/>
      <c r="AH502" s="97"/>
      <c r="AI502" s="97"/>
      <c r="AK502" s="97"/>
      <c r="AL502" s="97"/>
      <c r="AM502" s="97"/>
      <c r="AN502" s="97"/>
    </row>
    <row r="503" spans="24:40" ht="15" customHeight="1" x14ac:dyDescent="0.35">
      <c r="X503" s="97"/>
      <c r="Y503" s="97"/>
      <c r="Z503" s="97"/>
      <c r="AA503" s="97"/>
      <c r="AB503" s="97"/>
      <c r="AC503" s="97"/>
      <c r="AD503" s="97"/>
      <c r="AE503" s="97"/>
      <c r="AF503" s="97"/>
      <c r="AG503" s="97"/>
      <c r="AH503" s="97"/>
      <c r="AI503" s="97"/>
      <c r="AK503" s="97"/>
      <c r="AL503" s="97"/>
      <c r="AM503" s="97"/>
      <c r="AN503" s="97"/>
    </row>
    <row r="504" spans="24:40" ht="15" customHeight="1" x14ac:dyDescent="0.35">
      <c r="X504" s="97"/>
      <c r="Y504" s="97"/>
      <c r="Z504" s="97"/>
      <c r="AA504" s="97"/>
      <c r="AB504" s="97"/>
      <c r="AC504" s="97"/>
      <c r="AD504" s="97"/>
      <c r="AE504" s="97"/>
      <c r="AF504" s="97"/>
      <c r="AG504" s="97"/>
      <c r="AH504" s="97"/>
      <c r="AI504" s="97"/>
      <c r="AK504" s="97"/>
      <c r="AL504" s="97"/>
      <c r="AM504" s="97"/>
      <c r="AN504" s="97"/>
    </row>
    <row r="505" spans="24:40" ht="15" customHeight="1" x14ac:dyDescent="0.35">
      <c r="X505" s="97"/>
      <c r="Y505" s="97"/>
      <c r="Z505" s="97"/>
      <c r="AA505" s="97"/>
      <c r="AB505" s="97"/>
      <c r="AC505" s="97"/>
      <c r="AD505" s="97"/>
      <c r="AE505" s="97"/>
      <c r="AF505" s="97"/>
      <c r="AG505" s="97"/>
      <c r="AH505" s="97"/>
      <c r="AI505" s="97"/>
      <c r="AK505" s="97"/>
      <c r="AL505" s="97"/>
      <c r="AM505" s="97"/>
      <c r="AN505" s="97"/>
    </row>
    <row r="506" spans="24:40" ht="15" customHeight="1" x14ac:dyDescent="0.35">
      <c r="X506" s="97"/>
      <c r="Y506" s="97"/>
      <c r="Z506" s="97"/>
      <c r="AA506" s="97"/>
      <c r="AB506" s="97"/>
      <c r="AC506" s="97"/>
      <c r="AD506" s="97"/>
      <c r="AE506" s="97"/>
      <c r="AF506" s="97"/>
      <c r="AG506" s="97"/>
      <c r="AH506" s="97"/>
      <c r="AI506" s="97"/>
      <c r="AK506" s="97"/>
      <c r="AL506" s="97"/>
      <c r="AM506" s="97"/>
      <c r="AN506" s="97"/>
    </row>
    <row r="507" spans="24:40" ht="15" customHeight="1" x14ac:dyDescent="0.35">
      <c r="X507" s="97"/>
      <c r="Y507" s="97"/>
      <c r="Z507" s="97"/>
      <c r="AA507" s="97"/>
      <c r="AB507" s="97"/>
      <c r="AC507" s="97"/>
      <c r="AD507" s="97"/>
      <c r="AE507" s="97"/>
      <c r="AF507" s="97"/>
      <c r="AG507" s="97"/>
      <c r="AH507" s="97"/>
      <c r="AI507" s="97"/>
      <c r="AK507" s="97"/>
      <c r="AL507" s="97"/>
      <c r="AM507" s="97"/>
      <c r="AN507" s="97"/>
    </row>
    <row r="508" spans="24:40" ht="15" customHeight="1" x14ac:dyDescent="0.35">
      <c r="X508" s="97"/>
      <c r="Y508" s="97"/>
      <c r="Z508" s="97"/>
      <c r="AA508" s="97"/>
      <c r="AB508" s="97"/>
      <c r="AC508" s="97"/>
      <c r="AD508" s="97"/>
      <c r="AE508" s="97"/>
      <c r="AF508" s="97"/>
      <c r="AG508" s="97"/>
      <c r="AH508" s="97"/>
      <c r="AI508" s="97"/>
      <c r="AK508" s="97"/>
      <c r="AL508" s="97"/>
      <c r="AM508" s="97"/>
      <c r="AN508" s="97"/>
    </row>
    <row r="509" spans="24:40" ht="15" customHeight="1" x14ac:dyDescent="0.35">
      <c r="X509" s="97"/>
      <c r="Y509" s="97"/>
      <c r="Z509" s="97"/>
      <c r="AA509" s="97"/>
      <c r="AB509" s="97"/>
      <c r="AC509" s="97"/>
      <c r="AD509" s="97"/>
      <c r="AE509" s="97"/>
      <c r="AF509" s="97"/>
      <c r="AG509" s="97"/>
      <c r="AH509" s="97"/>
      <c r="AI509" s="97"/>
      <c r="AK509" s="97"/>
      <c r="AL509" s="97"/>
      <c r="AM509" s="97"/>
      <c r="AN509" s="97"/>
    </row>
    <row r="510" spans="24:40" ht="15" customHeight="1" x14ac:dyDescent="0.35">
      <c r="X510" s="97"/>
      <c r="Y510" s="97"/>
      <c r="Z510" s="97"/>
      <c r="AA510" s="97"/>
      <c r="AB510" s="97"/>
      <c r="AC510" s="97"/>
      <c r="AD510" s="97"/>
      <c r="AE510" s="97"/>
      <c r="AF510" s="97"/>
      <c r="AG510" s="97"/>
      <c r="AH510" s="97"/>
      <c r="AI510" s="97"/>
      <c r="AK510" s="97"/>
      <c r="AL510" s="97"/>
      <c r="AM510" s="97"/>
      <c r="AN510" s="97"/>
    </row>
    <row r="511" spans="24:40" ht="15" customHeight="1" x14ac:dyDescent="0.35">
      <c r="X511" s="97"/>
      <c r="Y511" s="97"/>
      <c r="Z511" s="97"/>
      <c r="AA511" s="97"/>
      <c r="AB511" s="97"/>
      <c r="AC511" s="97"/>
      <c r="AD511" s="97"/>
      <c r="AE511" s="97"/>
      <c r="AF511" s="97"/>
      <c r="AG511" s="97"/>
      <c r="AH511" s="97"/>
      <c r="AI511" s="97"/>
      <c r="AK511" s="97"/>
      <c r="AL511" s="97"/>
      <c r="AM511" s="97"/>
      <c r="AN511" s="97"/>
    </row>
    <row r="512" spans="24:40" ht="15" customHeight="1" x14ac:dyDescent="0.35">
      <c r="X512" s="97"/>
      <c r="Y512" s="97"/>
      <c r="Z512" s="97"/>
      <c r="AA512" s="97"/>
      <c r="AB512" s="97"/>
      <c r="AC512" s="97"/>
      <c r="AD512" s="97"/>
      <c r="AE512" s="97"/>
      <c r="AF512" s="97"/>
      <c r="AG512" s="97"/>
      <c r="AH512" s="97"/>
      <c r="AI512" s="97"/>
      <c r="AK512" s="97"/>
      <c r="AL512" s="97"/>
      <c r="AM512" s="97"/>
      <c r="AN512" s="97"/>
    </row>
    <row r="513" spans="24:40" ht="15" customHeight="1" x14ac:dyDescent="0.35">
      <c r="X513" s="97"/>
      <c r="Y513" s="97"/>
      <c r="Z513" s="97"/>
      <c r="AA513" s="97"/>
      <c r="AB513" s="97"/>
      <c r="AC513" s="97"/>
      <c r="AD513" s="97"/>
      <c r="AE513" s="97"/>
      <c r="AF513" s="97"/>
      <c r="AG513" s="97"/>
      <c r="AH513" s="97"/>
      <c r="AI513" s="97"/>
      <c r="AK513" s="97"/>
      <c r="AL513" s="97"/>
      <c r="AM513" s="97"/>
      <c r="AN513" s="97"/>
    </row>
    <row r="514" spans="24:40" ht="15" customHeight="1" x14ac:dyDescent="0.35">
      <c r="X514" s="97"/>
      <c r="Y514" s="97"/>
      <c r="Z514" s="97"/>
      <c r="AA514" s="97"/>
      <c r="AB514" s="97"/>
      <c r="AC514" s="97"/>
      <c r="AD514" s="97"/>
      <c r="AE514" s="97"/>
      <c r="AF514" s="97"/>
      <c r="AG514" s="97"/>
      <c r="AH514" s="97"/>
      <c r="AI514" s="97"/>
      <c r="AK514" s="97"/>
      <c r="AL514" s="97"/>
      <c r="AM514" s="97"/>
      <c r="AN514" s="97"/>
    </row>
    <row r="515" spans="24:40" ht="15" customHeight="1" x14ac:dyDescent="0.35">
      <c r="X515" s="97"/>
      <c r="Y515" s="97"/>
      <c r="Z515" s="97"/>
      <c r="AA515" s="97"/>
      <c r="AB515" s="97"/>
      <c r="AC515" s="97"/>
      <c r="AD515" s="97"/>
      <c r="AE515" s="97"/>
      <c r="AF515" s="97"/>
      <c r="AG515" s="97"/>
      <c r="AH515" s="97"/>
      <c r="AI515" s="97"/>
      <c r="AK515" s="97"/>
      <c r="AL515" s="97"/>
      <c r="AM515" s="97"/>
      <c r="AN515" s="97"/>
    </row>
    <row r="516" spans="24:40" ht="15" customHeight="1" x14ac:dyDescent="0.35">
      <c r="X516" s="97"/>
      <c r="Y516" s="97"/>
      <c r="Z516" s="97"/>
      <c r="AA516" s="97"/>
      <c r="AB516" s="97"/>
      <c r="AC516" s="97"/>
      <c r="AD516" s="97"/>
      <c r="AE516" s="97"/>
      <c r="AF516" s="97"/>
      <c r="AG516" s="97"/>
      <c r="AH516" s="97"/>
      <c r="AI516" s="97"/>
      <c r="AK516" s="97"/>
      <c r="AL516" s="97"/>
      <c r="AM516" s="97"/>
      <c r="AN516" s="97"/>
    </row>
    <row r="517" spans="24:40" ht="15" customHeight="1" x14ac:dyDescent="0.35">
      <c r="X517" s="97"/>
      <c r="Y517" s="97"/>
      <c r="Z517" s="97"/>
      <c r="AA517" s="97"/>
      <c r="AB517" s="97"/>
      <c r="AC517" s="97"/>
      <c r="AD517" s="97"/>
      <c r="AE517" s="97"/>
      <c r="AF517" s="97"/>
      <c r="AG517" s="97"/>
      <c r="AH517" s="97"/>
      <c r="AI517" s="97"/>
      <c r="AK517" s="97"/>
      <c r="AL517" s="97"/>
      <c r="AM517" s="97"/>
      <c r="AN517" s="97"/>
    </row>
    <row r="518" spans="24:40" ht="15" customHeight="1" x14ac:dyDescent="0.35">
      <c r="X518" s="97"/>
      <c r="Y518" s="97"/>
      <c r="Z518" s="97"/>
      <c r="AA518" s="97"/>
      <c r="AB518" s="97"/>
      <c r="AC518" s="97"/>
      <c r="AD518" s="97"/>
      <c r="AE518" s="97"/>
      <c r="AF518" s="97"/>
      <c r="AG518" s="97"/>
      <c r="AH518" s="97"/>
      <c r="AI518" s="97"/>
      <c r="AK518" s="97"/>
      <c r="AL518" s="97"/>
      <c r="AM518" s="97"/>
      <c r="AN518" s="97"/>
    </row>
    <row r="519" spans="24:40" ht="15" customHeight="1" x14ac:dyDescent="0.35">
      <c r="X519" s="97"/>
      <c r="Y519" s="97"/>
      <c r="Z519" s="97"/>
      <c r="AA519" s="97"/>
      <c r="AB519" s="97"/>
      <c r="AC519" s="97"/>
      <c r="AD519" s="97"/>
      <c r="AE519" s="97"/>
      <c r="AF519" s="97"/>
      <c r="AG519" s="97"/>
      <c r="AH519" s="97"/>
      <c r="AI519" s="97"/>
      <c r="AK519" s="97"/>
      <c r="AL519" s="97"/>
      <c r="AM519" s="97"/>
      <c r="AN519" s="97"/>
    </row>
    <row r="520" spans="24:40" ht="15" customHeight="1" x14ac:dyDescent="0.35">
      <c r="X520" s="97"/>
      <c r="Y520" s="97"/>
      <c r="Z520" s="97"/>
      <c r="AA520" s="97"/>
      <c r="AB520" s="97"/>
      <c r="AC520" s="97"/>
      <c r="AD520" s="97"/>
      <c r="AE520" s="97"/>
      <c r="AF520" s="97"/>
      <c r="AG520" s="97"/>
      <c r="AH520" s="97"/>
      <c r="AI520" s="97"/>
      <c r="AK520" s="97"/>
      <c r="AL520" s="97"/>
      <c r="AM520" s="97"/>
      <c r="AN520" s="97"/>
    </row>
    <row r="521" spans="24:40" ht="15" customHeight="1" x14ac:dyDescent="0.35">
      <c r="X521" s="97"/>
      <c r="Y521" s="97"/>
      <c r="Z521" s="97"/>
      <c r="AA521" s="97"/>
      <c r="AB521" s="97"/>
      <c r="AC521" s="97"/>
      <c r="AD521" s="97"/>
      <c r="AE521" s="97"/>
      <c r="AF521" s="97"/>
      <c r="AG521" s="97"/>
      <c r="AH521" s="97"/>
      <c r="AI521" s="97"/>
      <c r="AK521" s="97"/>
      <c r="AL521" s="97"/>
      <c r="AM521" s="97"/>
      <c r="AN521" s="97"/>
    </row>
    <row r="522" spans="24:40" ht="15" customHeight="1" x14ac:dyDescent="0.35">
      <c r="X522" s="97"/>
      <c r="Y522" s="97"/>
      <c r="Z522" s="97"/>
      <c r="AA522" s="97"/>
      <c r="AB522" s="97"/>
      <c r="AC522" s="97"/>
      <c r="AD522" s="97"/>
      <c r="AE522" s="97"/>
      <c r="AF522" s="97"/>
      <c r="AG522" s="97"/>
      <c r="AH522" s="97"/>
      <c r="AI522" s="97"/>
      <c r="AK522" s="97"/>
      <c r="AL522" s="97"/>
      <c r="AM522" s="97"/>
      <c r="AN522" s="97"/>
    </row>
    <row r="523" spans="24:40" ht="15" customHeight="1" x14ac:dyDescent="0.35">
      <c r="X523" s="97"/>
      <c r="Y523" s="97"/>
      <c r="Z523" s="97"/>
      <c r="AA523" s="97"/>
      <c r="AB523" s="97"/>
      <c r="AC523" s="97"/>
      <c r="AD523" s="97"/>
      <c r="AE523" s="97"/>
      <c r="AF523" s="97"/>
      <c r="AG523" s="97"/>
      <c r="AH523" s="97"/>
      <c r="AI523" s="97"/>
      <c r="AK523" s="97"/>
      <c r="AL523" s="97"/>
      <c r="AM523" s="97"/>
      <c r="AN523" s="97"/>
    </row>
    <row r="524" spans="24:40" ht="15" customHeight="1" x14ac:dyDescent="0.35">
      <c r="X524" s="97"/>
      <c r="Y524" s="97"/>
      <c r="Z524" s="97"/>
      <c r="AA524" s="97"/>
      <c r="AB524" s="97"/>
      <c r="AC524" s="97"/>
      <c r="AD524" s="97"/>
      <c r="AE524" s="97"/>
      <c r="AF524" s="97"/>
      <c r="AG524" s="97"/>
      <c r="AH524" s="97"/>
      <c r="AI524" s="97"/>
      <c r="AK524" s="97"/>
      <c r="AL524" s="97"/>
      <c r="AM524" s="97"/>
      <c r="AN524" s="97"/>
    </row>
    <row r="525" spans="24:40" ht="15" customHeight="1" x14ac:dyDescent="0.35">
      <c r="X525" s="97"/>
      <c r="Y525" s="97"/>
      <c r="Z525" s="97"/>
      <c r="AA525" s="97"/>
      <c r="AB525" s="97"/>
      <c r="AC525" s="97"/>
      <c r="AD525" s="97"/>
      <c r="AE525" s="97"/>
      <c r="AF525" s="97"/>
      <c r="AG525" s="97"/>
      <c r="AH525" s="97"/>
      <c r="AI525" s="97"/>
      <c r="AK525" s="97"/>
      <c r="AL525" s="97"/>
      <c r="AM525" s="97"/>
      <c r="AN525" s="97"/>
    </row>
    <row r="526" spans="24:40" ht="15" customHeight="1" x14ac:dyDescent="0.35">
      <c r="X526" s="97"/>
      <c r="Y526" s="97"/>
      <c r="Z526" s="97"/>
      <c r="AA526" s="97"/>
      <c r="AB526" s="97"/>
      <c r="AC526" s="97"/>
      <c r="AD526" s="97"/>
      <c r="AE526" s="97"/>
      <c r="AF526" s="97"/>
      <c r="AG526" s="97"/>
      <c r="AH526" s="97"/>
      <c r="AI526" s="97"/>
      <c r="AK526" s="97"/>
      <c r="AL526" s="97"/>
      <c r="AM526" s="97"/>
      <c r="AN526" s="97"/>
    </row>
    <row r="527" spans="24:40" ht="15" customHeight="1" x14ac:dyDescent="0.35">
      <c r="X527" s="97"/>
      <c r="Y527" s="97"/>
      <c r="Z527" s="97"/>
      <c r="AA527" s="97"/>
      <c r="AB527" s="97"/>
      <c r="AC527" s="97"/>
      <c r="AD527" s="97"/>
      <c r="AE527" s="97"/>
      <c r="AF527" s="97"/>
      <c r="AG527" s="97"/>
      <c r="AH527" s="97"/>
      <c r="AI527" s="97"/>
      <c r="AK527" s="97"/>
      <c r="AL527" s="97"/>
      <c r="AM527" s="97"/>
      <c r="AN527" s="97"/>
    </row>
    <row r="528" spans="24:40" ht="15" customHeight="1" x14ac:dyDescent="0.35">
      <c r="X528" s="97"/>
      <c r="Y528" s="97"/>
      <c r="Z528" s="97"/>
      <c r="AA528" s="97"/>
      <c r="AB528" s="97"/>
      <c r="AC528" s="97"/>
      <c r="AD528" s="97"/>
      <c r="AE528" s="97"/>
      <c r="AF528" s="97"/>
      <c r="AG528" s="97"/>
      <c r="AH528" s="97"/>
      <c r="AI528" s="97"/>
      <c r="AK528" s="97"/>
      <c r="AL528" s="97"/>
      <c r="AM528" s="97"/>
      <c r="AN528" s="97"/>
    </row>
    <row r="529" spans="24:40" ht="15" customHeight="1" x14ac:dyDescent="0.35">
      <c r="X529" s="97"/>
      <c r="Y529" s="97"/>
      <c r="Z529" s="97"/>
      <c r="AA529" s="97"/>
      <c r="AB529" s="97"/>
      <c r="AC529" s="97"/>
      <c r="AD529" s="97"/>
      <c r="AE529" s="97"/>
      <c r="AF529" s="97"/>
      <c r="AG529" s="97"/>
      <c r="AH529" s="97"/>
      <c r="AI529" s="97"/>
      <c r="AK529" s="97"/>
      <c r="AL529" s="97"/>
      <c r="AM529" s="97"/>
      <c r="AN529" s="97"/>
    </row>
    <row r="530" spans="24:40" ht="15" customHeight="1" x14ac:dyDescent="0.35">
      <c r="X530" s="97"/>
      <c r="Y530" s="97"/>
      <c r="Z530" s="97"/>
      <c r="AA530" s="97"/>
      <c r="AB530" s="97"/>
      <c r="AC530" s="97"/>
      <c r="AD530" s="97"/>
      <c r="AE530" s="97"/>
      <c r="AF530" s="97"/>
      <c r="AG530" s="97"/>
      <c r="AH530" s="97"/>
      <c r="AI530" s="97"/>
      <c r="AK530" s="97"/>
      <c r="AL530" s="97"/>
      <c r="AM530" s="97"/>
      <c r="AN530" s="97"/>
    </row>
    <row r="531" spans="24:40" ht="15" customHeight="1" x14ac:dyDescent="0.35">
      <c r="X531" s="97"/>
      <c r="Y531" s="97"/>
      <c r="Z531" s="97"/>
      <c r="AA531" s="97"/>
      <c r="AB531" s="97"/>
      <c r="AC531" s="97"/>
      <c r="AD531" s="97"/>
      <c r="AE531" s="97"/>
      <c r="AF531" s="97"/>
      <c r="AG531" s="97"/>
      <c r="AH531" s="97"/>
      <c r="AI531" s="97"/>
      <c r="AK531" s="97"/>
      <c r="AL531" s="97"/>
      <c r="AM531" s="97"/>
      <c r="AN531" s="97"/>
    </row>
    <row r="532" spans="24:40" ht="15" customHeight="1" x14ac:dyDescent="0.35">
      <c r="X532" s="97"/>
      <c r="Y532" s="97"/>
      <c r="Z532" s="97"/>
      <c r="AA532" s="97"/>
      <c r="AB532" s="97"/>
      <c r="AC532" s="97"/>
      <c r="AD532" s="97"/>
      <c r="AE532" s="97"/>
      <c r="AF532" s="97"/>
      <c r="AG532" s="97"/>
      <c r="AH532" s="97"/>
      <c r="AI532" s="97"/>
      <c r="AK532" s="97"/>
      <c r="AL532" s="97"/>
      <c r="AM532" s="97"/>
      <c r="AN532" s="97"/>
    </row>
    <row r="533" spans="24:40" ht="15" customHeight="1" x14ac:dyDescent="0.35">
      <c r="X533" s="97"/>
      <c r="Y533" s="97"/>
      <c r="Z533" s="97"/>
      <c r="AA533" s="97"/>
      <c r="AB533" s="97"/>
      <c r="AC533" s="97"/>
      <c r="AD533" s="97"/>
      <c r="AE533" s="97"/>
      <c r="AF533" s="97"/>
      <c r="AG533" s="97"/>
      <c r="AH533" s="97"/>
      <c r="AI533" s="97"/>
      <c r="AK533" s="97"/>
      <c r="AL533" s="97"/>
      <c r="AM533" s="97"/>
      <c r="AN533" s="97"/>
    </row>
    <row r="534" spans="24:40" ht="15" customHeight="1" x14ac:dyDescent="0.35">
      <c r="X534" s="97"/>
      <c r="Y534" s="97"/>
      <c r="Z534" s="97"/>
      <c r="AA534" s="97"/>
      <c r="AB534" s="97"/>
      <c r="AC534" s="97"/>
      <c r="AD534" s="97"/>
      <c r="AE534" s="97"/>
      <c r="AF534" s="97"/>
      <c r="AG534" s="97"/>
      <c r="AH534" s="97"/>
      <c r="AI534" s="97"/>
      <c r="AK534" s="97"/>
      <c r="AL534" s="97"/>
      <c r="AM534" s="97"/>
      <c r="AN534" s="97"/>
    </row>
    <row r="535" spans="24:40" ht="15" customHeight="1" x14ac:dyDescent="0.35">
      <c r="X535" s="97"/>
      <c r="Y535" s="97"/>
      <c r="Z535" s="97"/>
      <c r="AA535" s="97"/>
      <c r="AB535" s="97"/>
      <c r="AC535" s="97"/>
      <c r="AD535" s="97"/>
      <c r="AE535" s="97"/>
      <c r="AF535" s="97"/>
      <c r="AG535" s="97"/>
      <c r="AH535" s="97"/>
      <c r="AI535" s="97"/>
      <c r="AK535" s="97"/>
      <c r="AL535" s="97"/>
      <c r="AM535" s="97"/>
      <c r="AN535" s="97"/>
    </row>
    <row r="536" spans="24:40" ht="15" customHeight="1" x14ac:dyDescent="0.35">
      <c r="X536" s="97"/>
      <c r="Y536" s="97"/>
      <c r="Z536" s="97"/>
      <c r="AA536" s="97"/>
      <c r="AB536" s="97"/>
      <c r="AC536" s="97"/>
      <c r="AD536" s="97"/>
      <c r="AE536" s="97"/>
      <c r="AF536" s="97"/>
      <c r="AG536" s="97"/>
      <c r="AH536" s="97"/>
      <c r="AI536" s="97"/>
      <c r="AK536" s="97"/>
      <c r="AL536" s="97"/>
      <c r="AM536" s="97"/>
      <c r="AN536" s="97"/>
    </row>
    <row r="537" spans="24:40" ht="15" customHeight="1" x14ac:dyDescent="0.35">
      <c r="X537" s="97"/>
      <c r="Y537" s="97"/>
      <c r="Z537" s="97"/>
      <c r="AA537" s="97"/>
      <c r="AB537" s="97"/>
      <c r="AC537" s="97"/>
      <c r="AD537" s="97"/>
      <c r="AE537" s="97"/>
      <c r="AF537" s="97"/>
      <c r="AG537" s="97"/>
      <c r="AH537" s="97"/>
      <c r="AI537" s="97"/>
      <c r="AK537" s="97"/>
      <c r="AL537" s="97"/>
      <c r="AM537" s="97"/>
      <c r="AN537" s="97"/>
    </row>
    <row r="538" spans="24:40" ht="15" customHeight="1" x14ac:dyDescent="0.35">
      <c r="X538" s="97"/>
      <c r="Y538" s="97"/>
      <c r="Z538" s="97"/>
      <c r="AA538" s="97"/>
      <c r="AB538" s="97"/>
      <c r="AC538" s="97"/>
      <c r="AD538" s="97"/>
      <c r="AE538" s="97"/>
      <c r="AF538" s="97"/>
      <c r="AG538" s="97"/>
      <c r="AH538" s="97"/>
      <c r="AI538" s="97"/>
      <c r="AK538" s="97"/>
      <c r="AL538" s="97"/>
      <c r="AM538" s="97"/>
      <c r="AN538" s="97"/>
    </row>
    <row r="539" spans="24:40" ht="15" customHeight="1" x14ac:dyDescent="0.35">
      <c r="X539" s="97"/>
      <c r="Y539" s="97"/>
      <c r="Z539" s="97"/>
      <c r="AA539" s="97"/>
      <c r="AB539" s="97"/>
      <c r="AC539" s="97"/>
      <c r="AD539" s="97"/>
      <c r="AE539" s="97"/>
      <c r="AF539" s="97"/>
      <c r="AG539" s="97"/>
      <c r="AH539" s="97"/>
      <c r="AI539" s="97"/>
      <c r="AK539" s="97"/>
      <c r="AL539" s="97"/>
      <c r="AM539" s="97"/>
      <c r="AN539" s="97"/>
    </row>
    <row r="540" spans="24:40" ht="15" customHeight="1" x14ac:dyDescent="0.35">
      <c r="X540" s="97"/>
      <c r="Y540" s="97"/>
      <c r="Z540" s="97"/>
      <c r="AA540" s="97"/>
      <c r="AB540" s="97"/>
      <c r="AC540" s="97"/>
      <c r="AD540" s="97"/>
      <c r="AE540" s="97"/>
      <c r="AF540" s="97"/>
      <c r="AG540" s="97"/>
      <c r="AH540" s="97"/>
      <c r="AI540" s="97"/>
      <c r="AK540" s="97"/>
      <c r="AL540" s="97"/>
      <c r="AM540" s="97"/>
      <c r="AN540" s="97"/>
    </row>
    <row r="541" spans="24:40" ht="15" customHeight="1" x14ac:dyDescent="0.35">
      <c r="X541" s="97"/>
      <c r="Y541" s="97"/>
      <c r="Z541" s="97"/>
      <c r="AA541" s="97"/>
      <c r="AB541" s="97"/>
      <c r="AC541" s="97"/>
      <c r="AD541" s="97"/>
      <c r="AE541" s="97"/>
      <c r="AF541" s="97"/>
      <c r="AG541" s="97"/>
      <c r="AH541" s="97"/>
      <c r="AI541" s="97"/>
      <c r="AK541" s="97"/>
      <c r="AL541" s="97"/>
      <c r="AM541" s="97"/>
      <c r="AN541" s="97"/>
    </row>
    <row r="542" spans="24:40" ht="15" customHeight="1" x14ac:dyDescent="0.35">
      <c r="X542" s="97"/>
      <c r="Y542" s="97"/>
      <c r="Z542" s="97"/>
      <c r="AA542" s="97"/>
      <c r="AB542" s="97"/>
      <c r="AC542" s="97"/>
      <c r="AD542" s="97"/>
      <c r="AE542" s="97"/>
      <c r="AF542" s="97"/>
      <c r="AG542" s="97"/>
      <c r="AH542" s="97"/>
      <c r="AI542" s="97"/>
      <c r="AK542" s="97"/>
      <c r="AL542" s="97"/>
      <c r="AM542" s="97"/>
      <c r="AN542" s="97"/>
    </row>
    <row r="543" spans="24:40" ht="15" customHeight="1" x14ac:dyDescent="0.35">
      <c r="X543" s="97"/>
      <c r="Y543" s="97"/>
      <c r="Z543" s="97"/>
      <c r="AA543" s="97"/>
      <c r="AB543" s="97"/>
      <c r="AC543" s="97"/>
      <c r="AD543" s="97"/>
      <c r="AE543" s="97"/>
      <c r="AF543" s="97"/>
      <c r="AG543" s="97"/>
      <c r="AH543" s="97"/>
      <c r="AI543" s="97"/>
      <c r="AK543" s="97"/>
      <c r="AL543" s="97"/>
      <c r="AM543" s="97"/>
      <c r="AN543" s="97"/>
    </row>
    <row r="544" spans="24:40" ht="15" customHeight="1" x14ac:dyDescent="0.35">
      <c r="X544" s="97"/>
      <c r="Y544" s="97"/>
      <c r="Z544" s="97"/>
      <c r="AA544" s="97"/>
      <c r="AB544" s="97"/>
      <c r="AC544" s="97"/>
      <c r="AD544" s="97"/>
      <c r="AE544" s="97"/>
      <c r="AF544" s="97"/>
      <c r="AG544" s="97"/>
      <c r="AH544" s="97"/>
      <c r="AI544" s="97"/>
      <c r="AK544" s="97"/>
      <c r="AL544" s="97"/>
      <c r="AM544" s="97"/>
      <c r="AN544" s="97"/>
    </row>
    <row r="545" spans="24:40" ht="15" customHeight="1" x14ac:dyDescent="0.35">
      <c r="X545" s="97"/>
      <c r="Y545" s="97"/>
      <c r="Z545" s="97"/>
      <c r="AA545" s="97"/>
      <c r="AB545" s="97"/>
      <c r="AC545" s="97"/>
      <c r="AD545" s="97"/>
      <c r="AE545" s="97"/>
      <c r="AF545" s="97"/>
      <c r="AG545" s="97"/>
      <c r="AH545" s="97"/>
      <c r="AI545" s="97"/>
      <c r="AK545" s="97"/>
      <c r="AL545" s="97"/>
      <c r="AM545" s="97"/>
      <c r="AN545" s="97"/>
    </row>
    <row r="546" spans="24:40" ht="15" customHeight="1" x14ac:dyDescent="0.35">
      <c r="X546" s="97"/>
      <c r="Y546" s="97"/>
      <c r="Z546" s="97"/>
      <c r="AA546" s="97"/>
      <c r="AB546" s="97"/>
      <c r="AC546" s="97"/>
      <c r="AD546" s="97"/>
      <c r="AE546" s="97"/>
      <c r="AF546" s="97"/>
      <c r="AG546" s="97"/>
      <c r="AH546" s="97"/>
      <c r="AI546" s="97"/>
      <c r="AK546" s="97"/>
      <c r="AL546" s="97"/>
      <c r="AM546" s="97"/>
      <c r="AN546" s="97"/>
    </row>
    <row r="547" spans="24:40" ht="15" customHeight="1" x14ac:dyDescent="0.35">
      <c r="X547" s="97"/>
      <c r="Y547" s="97"/>
      <c r="Z547" s="97"/>
      <c r="AA547" s="97"/>
      <c r="AB547" s="97"/>
      <c r="AC547" s="97"/>
      <c r="AD547" s="97"/>
      <c r="AE547" s="97"/>
      <c r="AF547" s="97"/>
      <c r="AG547" s="97"/>
      <c r="AH547" s="97"/>
      <c r="AI547" s="97"/>
      <c r="AK547" s="97"/>
      <c r="AL547" s="97"/>
      <c r="AM547" s="97"/>
      <c r="AN547" s="97"/>
    </row>
    <row r="548" spans="24:40" ht="15" customHeight="1" x14ac:dyDescent="0.35">
      <c r="X548" s="97"/>
      <c r="Y548" s="97"/>
      <c r="Z548" s="97"/>
      <c r="AA548" s="97"/>
      <c r="AB548" s="97"/>
      <c r="AC548" s="97"/>
      <c r="AD548" s="97"/>
      <c r="AE548" s="97"/>
      <c r="AF548" s="97"/>
      <c r="AG548" s="97"/>
      <c r="AH548" s="97"/>
      <c r="AI548" s="97"/>
      <c r="AK548" s="97"/>
      <c r="AL548" s="97"/>
      <c r="AM548" s="97"/>
      <c r="AN548" s="97"/>
    </row>
    <row r="549" spans="24:40" ht="15" customHeight="1" x14ac:dyDescent="0.35">
      <c r="X549" s="97"/>
      <c r="Y549" s="97"/>
      <c r="Z549" s="97"/>
      <c r="AA549" s="97"/>
      <c r="AB549" s="97"/>
      <c r="AC549" s="97"/>
      <c r="AD549" s="97"/>
      <c r="AE549" s="97"/>
      <c r="AF549" s="97"/>
      <c r="AG549" s="97"/>
      <c r="AH549" s="97"/>
      <c r="AI549" s="97"/>
      <c r="AK549" s="97"/>
      <c r="AL549" s="97"/>
      <c r="AM549" s="97"/>
      <c r="AN549" s="97"/>
    </row>
    <row r="550" spans="24:40" ht="15" customHeight="1" x14ac:dyDescent="0.35">
      <c r="X550" s="97"/>
      <c r="Y550" s="97"/>
      <c r="Z550" s="97"/>
      <c r="AA550" s="97"/>
      <c r="AB550" s="97"/>
      <c r="AC550" s="97"/>
      <c r="AD550" s="97"/>
      <c r="AE550" s="97"/>
      <c r="AF550" s="97"/>
      <c r="AG550" s="97"/>
      <c r="AH550" s="97"/>
      <c r="AI550" s="97"/>
      <c r="AK550" s="97"/>
      <c r="AL550" s="97"/>
      <c r="AM550" s="97"/>
      <c r="AN550" s="97"/>
    </row>
    <row r="551" spans="24:40" ht="15" customHeight="1" x14ac:dyDescent="0.35">
      <c r="X551" s="97"/>
      <c r="Y551" s="97"/>
      <c r="Z551" s="97"/>
      <c r="AA551" s="97"/>
      <c r="AB551" s="97"/>
      <c r="AC551" s="97"/>
      <c r="AD551" s="97"/>
      <c r="AE551" s="97"/>
      <c r="AF551" s="97"/>
      <c r="AG551" s="97"/>
      <c r="AH551" s="97"/>
      <c r="AI551" s="97"/>
      <c r="AK551" s="97"/>
      <c r="AL551" s="97"/>
      <c r="AM551" s="97"/>
      <c r="AN551" s="97"/>
    </row>
    <row r="552" spans="24:40" ht="15" customHeight="1" x14ac:dyDescent="0.35">
      <c r="X552" s="97"/>
      <c r="Y552" s="97"/>
      <c r="Z552" s="97"/>
      <c r="AA552" s="97"/>
      <c r="AB552" s="97"/>
      <c r="AC552" s="97"/>
      <c r="AD552" s="97"/>
      <c r="AE552" s="97"/>
      <c r="AF552" s="97"/>
      <c r="AG552" s="97"/>
      <c r="AH552" s="97"/>
      <c r="AI552" s="97"/>
      <c r="AK552" s="97"/>
      <c r="AL552" s="97"/>
      <c r="AM552" s="97"/>
      <c r="AN552" s="97"/>
    </row>
    <row r="553" spans="24:40" ht="15" customHeight="1" x14ac:dyDescent="0.35">
      <c r="X553" s="97"/>
      <c r="Y553" s="97"/>
      <c r="Z553" s="97"/>
      <c r="AA553" s="97"/>
      <c r="AB553" s="97"/>
      <c r="AC553" s="97"/>
      <c r="AD553" s="97"/>
      <c r="AE553" s="97"/>
      <c r="AF553" s="97"/>
      <c r="AG553" s="97"/>
      <c r="AH553" s="97"/>
      <c r="AI553" s="97"/>
      <c r="AK553" s="97"/>
      <c r="AL553" s="97"/>
      <c r="AM553" s="97"/>
      <c r="AN553" s="97"/>
    </row>
    <row r="554" spans="24:40" ht="15" customHeight="1" x14ac:dyDescent="0.35">
      <c r="X554" s="97"/>
      <c r="Y554" s="97"/>
      <c r="Z554" s="97"/>
      <c r="AA554" s="97"/>
      <c r="AB554" s="97"/>
      <c r="AC554" s="97"/>
      <c r="AD554" s="97"/>
      <c r="AE554" s="97"/>
      <c r="AF554" s="97"/>
      <c r="AG554" s="97"/>
      <c r="AH554" s="97"/>
      <c r="AI554" s="97"/>
      <c r="AK554" s="97"/>
      <c r="AL554" s="97"/>
      <c r="AM554" s="97"/>
      <c r="AN554" s="97"/>
    </row>
    <row r="555" spans="24:40" ht="15" customHeight="1" x14ac:dyDescent="0.35">
      <c r="X555" s="97"/>
      <c r="Y555" s="97"/>
      <c r="Z555" s="97"/>
      <c r="AA555" s="97"/>
      <c r="AB555" s="97"/>
      <c r="AC555" s="97"/>
      <c r="AD555" s="97"/>
      <c r="AE555" s="97"/>
      <c r="AF555" s="97"/>
      <c r="AG555" s="97"/>
      <c r="AH555" s="97"/>
      <c r="AI555" s="97"/>
      <c r="AK555" s="97"/>
      <c r="AL555" s="97"/>
      <c r="AM555" s="97"/>
      <c r="AN555" s="97"/>
    </row>
    <row r="556" spans="24:40" ht="15" customHeight="1" x14ac:dyDescent="0.35">
      <c r="X556" s="97"/>
      <c r="Y556" s="97"/>
      <c r="Z556" s="97"/>
      <c r="AA556" s="97"/>
      <c r="AB556" s="97"/>
      <c r="AC556" s="97"/>
      <c r="AD556" s="97"/>
      <c r="AE556" s="97"/>
      <c r="AF556" s="97"/>
      <c r="AG556" s="97"/>
      <c r="AH556" s="97"/>
      <c r="AI556" s="97"/>
      <c r="AK556" s="97"/>
      <c r="AL556" s="97"/>
      <c r="AM556" s="97"/>
      <c r="AN556" s="97"/>
    </row>
    <row r="557" spans="24:40" ht="15" customHeight="1" x14ac:dyDescent="0.35">
      <c r="X557" s="97"/>
      <c r="Y557" s="97"/>
      <c r="Z557" s="97"/>
      <c r="AA557" s="97"/>
      <c r="AB557" s="97"/>
      <c r="AC557" s="97"/>
      <c r="AD557" s="97"/>
      <c r="AE557" s="97"/>
      <c r="AF557" s="97"/>
      <c r="AG557" s="97"/>
      <c r="AH557" s="97"/>
      <c r="AI557" s="97"/>
      <c r="AK557" s="97"/>
      <c r="AL557" s="97"/>
      <c r="AM557" s="97"/>
      <c r="AN557" s="97"/>
    </row>
    <row r="558" spans="24:40" ht="15" customHeight="1" x14ac:dyDescent="0.35">
      <c r="X558" s="97"/>
      <c r="Y558" s="97"/>
      <c r="Z558" s="97"/>
      <c r="AA558" s="97"/>
      <c r="AB558" s="97"/>
      <c r="AC558" s="97"/>
      <c r="AD558" s="97"/>
      <c r="AE558" s="97"/>
      <c r="AF558" s="97"/>
      <c r="AG558" s="97"/>
      <c r="AH558" s="97"/>
      <c r="AI558" s="97"/>
      <c r="AK558" s="97"/>
      <c r="AL558" s="97"/>
      <c r="AM558" s="97"/>
      <c r="AN558" s="97"/>
    </row>
    <row r="559" spans="24:40" ht="15" customHeight="1" x14ac:dyDescent="0.35">
      <c r="X559" s="97"/>
      <c r="Y559" s="97"/>
      <c r="Z559" s="97"/>
      <c r="AA559" s="97"/>
      <c r="AB559" s="97"/>
      <c r="AC559" s="97"/>
      <c r="AD559" s="97"/>
      <c r="AE559" s="97"/>
      <c r="AF559" s="97"/>
      <c r="AG559" s="97"/>
      <c r="AH559" s="97"/>
      <c r="AI559" s="97"/>
      <c r="AK559" s="97"/>
      <c r="AL559" s="97"/>
      <c r="AM559" s="97"/>
      <c r="AN559" s="97"/>
    </row>
    <row r="560" spans="24:40" ht="15" customHeight="1" x14ac:dyDescent="0.35">
      <c r="X560" s="97"/>
      <c r="Y560" s="97"/>
      <c r="Z560" s="97"/>
      <c r="AA560" s="97"/>
      <c r="AB560" s="97"/>
      <c r="AC560" s="97"/>
      <c r="AD560" s="97"/>
      <c r="AE560" s="97"/>
      <c r="AF560" s="97"/>
      <c r="AG560" s="97"/>
      <c r="AH560" s="97"/>
      <c r="AI560" s="97"/>
      <c r="AK560" s="97"/>
      <c r="AL560" s="97"/>
      <c r="AM560" s="97"/>
      <c r="AN560" s="97"/>
    </row>
    <row r="561" spans="24:40" ht="15" customHeight="1" x14ac:dyDescent="0.35">
      <c r="X561" s="97"/>
      <c r="Y561" s="97"/>
      <c r="Z561" s="97"/>
      <c r="AA561" s="97"/>
      <c r="AB561" s="97"/>
      <c r="AC561" s="97"/>
      <c r="AD561" s="97"/>
      <c r="AE561" s="97"/>
      <c r="AF561" s="97"/>
      <c r="AG561" s="97"/>
      <c r="AH561" s="97"/>
      <c r="AI561" s="97"/>
      <c r="AK561" s="97"/>
      <c r="AL561" s="97"/>
      <c r="AM561" s="97"/>
      <c r="AN561" s="97"/>
    </row>
    <row r="562" spans="24:40" ht="15" customHeight="1" x14ac:dyDescent="0.35">
      <c r="X562" s="97"/>
      <c r="Y562" s="97"/>
      <c r="Z562" s="97"/>
      <c r="AA562" s="97"/>
      <c r="AB562" s="97"/>
      <c r="AC562" s="97"/>
      <c r="AD562" s="97"/>
      <c r="AE562" s="97"/>
      <c r="AF562" s="97"/>
      <c r="AG562" s="97"/>
      <c r="AH562" s="97"/>
      <c r="AI562" s="97"/>
      <c r="AK562" s="97"/>
      <c r="AL562" s="97"/>
      <c r="AM562" s="97"/>
      <c r="AN562" s="97"/>
    </row>
    <row r="563" spans="24:40" ht="15" customHeight="1" x14ac:dyDescent="0.35">
      <c r="X563" s="97"/>
      <c r="Y563" s="97"/>
      <c r="Z563" s="97"/>
      <c r="AA563" s="97"/>
      <c r="AB563" s="97"/>
      <c r="AC563" s="97"/>
      <c r="AD563" s="97"/>
      <c r="AE563" s="97"/>
      <c r="AF563" s="97"/>
      <c r="AG563" s="97"/>
      <c r="AH563" s="97"/>
      <c r="AI563" s="97"/>
      <c r="AK563" s="97"/>
      <c r="AL563" s="97"/>
      <c r="AM563" s="97"/>
      <c r="AN563" s="97"/>
    </row>
    <row r="564" spans="24:40" ht="15" customHeight="1" x14ac:dyDescent="0.35">
      <c r="X564" s="97"/>
      <c r="Y564" s="97"/>
      <c r="Z564" s="97"/>
      <c r="AA564" s="97"/>
      <c r="AB564" s="97"/>
      <c r="AC564" s="97"/>
      <c r="AD564" s="97"/>
      <c r="AE564" s="97"/>
      <c r="AF564" s="97"/>
      <c r="AG564" s="97"/>
      <c r="AH564" s="97"/>
      <c r="AI564" s="97"/>
      <c r="AK564" s="97"/>
      <c r="AL564" s="97"/>
      <c r="AM564" s="97"/>
      <c r="AN564" s="97"/>
    </row>
    <row r="565" spans="24:40" ht="15" customHeight="1" x14ac:dyDescent="0.35">
      <c r="X565" s="97"/>
      <c r="Y565" s="97"/>
      <c r="Z565" s="97"/>
      <c r="AA565" s="97"/>
      <c r="AB565" s="97"/>
      <c r="AC565" s="97"/>
      <c r="AD565" s="97"/>
      <c r="AE565" s="97"/>
      <c r="AF565" s="97"/>
      <c r="AG565" s="97"/>
      <c r="AH565" s="97"/>
      <c r="AI565" s="97"/>
      <c r="AK565" s="97"/>
      <c r="AL565" s="97"/>
      <c r="AM565" s="97"/>
      <c r="AN565" s="97"/>
    </row>
    <row r="566" spans="24:40" ht="15" customHeight="1" x14ac:dyDescent="0.35">
      <c r="X566" s="97"/>
      <c r="Y566" s="97"/>
      <c r="Z566" s="97"/>
      <c r="AA566" s="97"/>
      <c r="AB566" s="97"/>
      <c r="AC566" s="97"/>
      <c r="AD566" s="97"/>
      <c r="AE566" s="97"/>
      <c r="AF566" s="97"/>
      <c r="AG566" s="97"/>
      <c r="AH566" s="97"/>
      <c r="AI566" s="97"/>
      <c r="AK566" s="97"/>
      <c r="AL566" s="97"/>
      <c r="AM566" s="97"/>
      <c r="AN566" s="97"/>
    </row>
    <row r="567" spans="24:40" ht="15" customHeight="1" x14ac:dyDescent="0.35">
      <c r="X567" s="97"/>
      <c r="Y567" s="97"/>
      <c r="Z567" s="97"/>
      <c r="AA567" s="97"/>
      <c r="AB567" s="97"/>
      <c r="AC567" s="97"/>
      <c r="AD567" s="97"/>
      <c r="AE567" s="97"/>
      <c r="AF567" s="97"/>
      <c r="AG567" s="97"/>
      <c r="AH567" s="97"/>
      <c r="AI567" s="97"/>
      <c r="AK567" s="97"/>
      <c r="AL567" s="97"/>
      <c r="AM567" s="97"/>
      <c r="AN567" s="97"/>
    </row>
    <row r="568" spans="24:40" ht="15" customHeight="1" x14ac:dyDescent="0.35">
      <c r="X568" s="97"/>
      <c r="Y568" s="97"/>
      <c r="Z568" s="97"/>
      <c r="AA568" s="97"/>
      <c r="AB568" s="97"/>
      <c r="AC568" s="97"/>
      <c r="AD568" s="97"/>
      <c r="AE568" s="97"/>
      <c r="AF568" s="97"/>
      <c r="AG568" s="97"/>
      <c r="AH568" s="97"/>
      <c r="AI568" s="97"/>
      <c r="AK568" s="97"/>
      <c r="AL568" s="97"/>
      <c r="AM568" s="97"/>
      <c r="AN568" s="97"/>
    </row>
    <row r="569" spans="24:40" ht="15" customHeight="1" x14ac:dyDescent="0.35">
      <c r="X569" s="97"/>
      <c r="Y569" s="97"/>
      <c r="Z569" s="97"/>
      <c r="AA569" s="97"/>
      <c r="AB569" s="97"/>
      <c r="AC569" s="97"/>
      <c r="AD569" s="97"/>
      <c r="AE569" s="97"/>
      <c r="AF569" s="97"/>
      <c r="AG569" s="97"/>
      <c r="AH569" s="97"/>
      <c r="AI569" s="97"/>
      <c r="AK569" s="97"/>
      <c r="AL569" s="97"/>
      <c r="AM569" s="97"/>
      <c r="AN569" s="97"/>
    </row>
    <row r="570" spans="24:40" ht="15" customHeight="1" x14ac:dyDescent="0.35">
      <c r="X570" s="97"/>
      <c r="Y570" s="97"/>
      <c r="Z570" s="97"/>
      <c r="AA570" s="97"/>
      <c r="AB570" s="97"/>
      <c r="AC570" s="97"/>
      <c r="AD570" s="97"/>
      <c r="AE570" s="97"/>
      <c r="AF570" s="97"/>
      <c r="AG570" s="97"/>
      <c r="AH570" s="97"/>
      <c r="AI570" s="97"/>
      <c r="AK570" s="97"/>
      <c r="AL570" s="97"/>
      <c r="AM570" s="97"/>
      <c r="AN570" s="97"/>
    </row>
    <row r="571" spans="24:40" ht="15" customHeight="1" x14ac:dyDescent="0.35">
      <c r="X571" s="97"/>
      <c r="Y571" s="97"/>
      <c r="Z571" s="97"/>
      <c r="AA571" s="97"/>
      <c r="AB571" s="97"/>
      <c r="AC571" s="97"/>
      <c r="AD571" s="97"/>
      <c r="AE571" s="97"/>
      <c r="AF571" s="97"/>
      <c r="AG571" s="97"/>
      <c r="AH571" s="97"/>
      <c r="AI571" s="97"/>
      <c r="AK571" s="97"/>
      <c r="AL571" s="97"/>
      <c r="AM571" s="97"/>
      <c r="AN571" s="97"/>
    </row>
    <row r="572" spans="24:40" ht="15" customHeight="1" x14ac:dyDescent="0.35">
      <c r="X572" s="97"/>
      <c r="Y572" s="97"/>
      <c r="Z572" s="97"/>
      <c r="AA572" s="97"/>
      <c r="AB572" s="97"/>
      <c r="AC572" s="97"/>
      <c r="AD572" s="97"/>
      <c r="AE572" s="97"/>
      <c r="AF572" s="97"/>
      <c r="AG572" s="97"/>
      <c r="AH572" s="97"/>
      <c r="AI572" s="97"/>
      <c r="AK572" s="97"/>
      <c r="AL572" s="97"/>
      <c r="AM572" s="97"/>
      <c r="AN572" s="97"/>
    </row>
    <row r="573" spans="24:40" ht="15" customHeight="1" x14ac:dyDescent="0.35">
      <c r="X573" s="97"/>
      <c r="Y573" s="97"/>
      <c r="Z573" s="97"/>
      <c r="AA573" s="97"/>
      <c r="AB573" s="97"/>
      <c r="AC573" s="97"/>
      <c r="AD573" s="97"/>
      <c r="AE573" s="97"/>
      <c r="AF573" s="97"/>
      <c r="AG573" s="97"/>
      <c r="AH573" s="97"/>
      <c r="AI573" s="97"/>
      <c r="AK573" s="97"/>
      <c r="AL573" s="97"/>
      <c r="AM573" s="97"/>
      <c r="AN573" s="97"/>
    </row>
    <row r="574" spans="24:40" ht="15" customHeight="1" x14ac:dyDescent="0.35">
      <c r="X574" s="97"/>
      <c r="Y574" s="97"/>
      <c r="Z574" s="97"/>
      <c r="AA574" s="97"/>
      <c r="AB574" s="97"/>
      <c r="AC574" s="97"/>
      <c r="AD574" s="97"/>
      <c r="AE574" s="97"/>
      <c r="AF574" s="97"/>
      <c r="AG574" s="97"/>
      <c r="AH574" s="97"/>
      <c r="AI574" s="97"/>
      <c r="AK574" s="97"/>
      <c r="AL574" s="97"/>
      <c r="AM574" s="97"/>
      <c r="AN574" s="97"/>
    </row>
    <row r="575" spans="24:40" ht="15" customHeight="1" x14ac:dyDescent="0.35">
      <c r="X575" s="97"/>
      <c r="Y575" s="97"/>
      <c r="Z575" s="97"/>
      <c r="AA575" s="97"/>
      <c r="AB575" s="97"/>
      <c r="AC575" s="97"/>
      <c r="AD575" s="97"/>
      <c r="AE575" s="97"/>
      <c r="AF575" s="97"/>
      <c r="AG575" s="97"/>
      <c r="AH575" s="97"/>
      <c r="AI575" s="97"/>
      <c r="AK575" s="97"/>
      <c r="AL575" s="97"/>
      <c r="AM575" s="97"/>
      <c r="AN575" s="97"/>
    </row>
    <row r="576" spans="24:40" ht="15" customHeight="1" x14ac:dyDescent="0.35">
      <c r="X576" s="97"/>
      <c r="Y576" s="97"/>
      <c r="Z576" s="97"/>
      <c r="AA576" s="97"/>
      <c r="AB576" s="97"/>
      <c r="AC576" s="97"/>
      <c r="AD576" s="97"/>
      <c r="AE576" s="97"/>
      <c r="AF576" s="97"/>
      <c r="AG576" s="97"/>
      <c r="AH576" s="97"/>
      <c r="AI576" s="97"/>
      <c r="AK576" s="97"/>
      <c r="AL576" s="97"/>
      <c r="AM576" s="97"/>
      <c r="AN576" s="97"/>
    </row>
    <row r="577" spans="24:40" ht="15" customHeight="1" x14ac:dyDescent="0.35">
      <c r="X577" s="97"/>
      <c r="Y577" s="97"/>
      <c r="Z577" s="97"/>
      <c r="AA577" s="97"/>
      <c r="AB577" s="97"/>
      <c r="AC577" s="97"/>
      <c r="AD577" s="97"/>
      <c r="AE577" s="97"/>
      <c r="AF577" s="97"/>
      <c r="AG577" s="97"/>
      <c r="AH577" s="97"/>
      <c r="AI577" s="97"/>
      <c r="AK577" s="97"/>
      <c r="AL577" s="97"/>
      <c r="AM577" s="97"/>
      <c r="AN577" s="97"/>
    </row>
    <row r="578" spans="24:40" ht="15" customHeight="1" x14ac:dyDescent="0.35">
      <c r="X578" s="97"/>
      <c r="Y578" s="97"/>
      <c r="Z578" s="97"/>
      <c r="AA578" s="97"/>
      <c r="AB578" s="97"/>
      <c r="AC578" s="97"/>
      <c r="AD578" s="97"/>
      <c r="AE578" s="97"/>
      <c r="AF578" s="97"/>
      <c r="AG578" s="97"/>
      <c r="AH578" s="97"/>
      <c r="AI578" s="97"/>
      <c r="AK578" s="97"/>
      <c r="AL578" s="97"/>
      <c r="AM578" s="97"/>
      <c r="AN578" s="97"/>
    </row>
    <row r="579" spans="24:40" ht="15" customHeight="1" x14ac:dyDescent="0.35">
      <c r="X579" s="97"/>
      <c r="Y579" s="97"/>
      <c r="Z579" s="97"/>
      <c r="AA579" s="97"/>
      <c r="AB579" s="97"/>
      <c r="AC579" s="97"/>
      <c r="AD579" s="97"/>
      <c r="AE579" s="97"/>
      <c r="AF579" s="97"/>
      <c r="AG579" s="97"/>
      <c r="AH579" s="97"/>
      <c r="AI579" s="97"/>
      <c r="AK579" s="97"/>
      <c r="AL579" s="97"/>
      <c r="AM579" s="97"/>
      <c r="AN579" s="97"/>
    </row>
    <row r="580" spans="24:40" ht="15" customHeight="1" x14ac:dyDescent="0.35">
      <c r="X580" s="97"/>
      <c r="Y580" s="97"/>
      <c r="Z580" s="97"/>
      <c r="AA580" s="97"/>
      <c r="AB580" s="97"/>
      <c r="AC580" s="97"/>
      <c r="AD580" s="97"/>
      <c r="AE580" s="97"/>
      <c r="AF580" s="97"/>
      <c r="AG580" s="97"/>
      <c r="AH580" s="97"/>
      <c r="AI580" s="97"/>
      <c r="AK580" s="97"/>
      <c r="AL580" s="97"/>
      <c r="AM580" s="97"/>
      <c r="AN580" s="97"/>
    </row>
    <row r="581" spans="24:40" ht="15" customHeight="1" x14ac:dyDescent="0.35">
      <c r="X581" s="97"/>
      <c r="Y581" s="97"/>
      <c r="Z581" s="97"/>
      <c r="AA581" s="97"/>
      <c r="AB581" s="97"/>
      <c r="AC581" s="97"/>
      <c r="AD581" s="97"/>
      <c r="AE581" s="97"/>
      <c r="AF581" s="97"/>
      <c r="AG581" s="97"/>
      <c r="AH581" s="97"/>
      <c r="AI581" s="97"/>
      <c r="AK581" s="97"/>
      <c r="AL581" s="97"/>
      <c r="AM581" s="97"/>
      <c r="AN581" s="97"/>
    </row>
    <row r="582" spans="24:40" ht="15" customHeight="1" x14ac:dyDescent="0.35">
      <c r="X582" s="97"/>
      <c r="Y582" s="97"/>
      <c r="Z582" s="97"/>
      <c r="AA582" s="97"/>
      <c r="AB582" s="97"/>
      <c r="AC582" s="97"/>
      <c r="AD582" s="97"/>
      <c r="AE582" s="97"/>
      <c r="AF582" s="97"/>
      <c r="AG582" s="97"/>
      <c r="AH582" s="97"/>
      <c r="AI582" s="97"/>
      <c r="AK582" s="97"/>
      <c r="AL582" s="97"/>
      <c r="AM582" s="97"/>
      <c r="AN582" s="97"/>
    </row>
    <row r="583" spans="24:40" ht="15" customHeight="1" x14ac:dyDescent="0.35">
      <c r="X583" s="97"/>
      <c r="Y583" s="97"/>
      <c r="Z583" s="97"/>
      <c r="AA583" s="97"/>
      <c r="AB583" s="97"/>
      <c r="AC583" s="97"/>
      <c r="AD583" s="97"/>
      <c r="AE583" s="97"/>
      <c r="AF583" s="97"/>
      <c r="AG583" s="97"/>
      <c r="AH583" s="97"/>
      <c r="AI583" s="97"/>
      <c r="AK583" s="97"/>
      <c r="AL583" s="97"/>
      <c r="AM583" s="97"/>
      <c r="AN583" s="97"/>
    </row>
    <row r="584" spans="24:40" ht="15" customHeight="1" x14ac:dyDescent="0.35">
      <c r="X584" s="97"/>
      <c r="Y584" s="97"/>
      <c r="Z584" s="97"/>
      <c r="AA584" s="97"/>
      <c r="AB584" s="97"/>
      <c r="AC584" s="97"/>
      <c r="AD584" s="97"/>
      <c r="AE584" s="97"/>
      <c r="AF584" s="97"/>
      <c r="AG584" s="97"/>
      <c r="AH584" s="97"/>
      <c r="AI584" s="97"/>
      <c r="AK584" s="97"/>
      <c r="AL584" s="97"/>
      <c r="AM584" s="97"/>
      <c r="AN584" s="97"/>
    </row>
    <row r="585" spans="24:40" ht="15" customHeight="1" x14ac:dyDescent="0.35">
      <c r="X585" s="97"/>
      <c r="Y585" s="97"/>
      <c r="Z585" s="97"/>
      <c r="AA585" s="97"/>
      <c r="AB585" s="97"/>
      <c r="AC585" s="97"/>
      <c r="AD585" s="97"/>
      <c r="AE585" s="97"/>
      <c r="AF585" s="97"/>
      <c r="AG585" s="97"/>
      <c r="AH585" s="97"/>
      <c r="AI585" s="97"/>
      <c r="AK585" s="97"/>
      <c r="AL585" s="97"/>
      <c r="AM585" s="97"/>
      <c r="AN585" s="97"/>
    </row>
    <row r="586" spans="24:40" ht="15" customHeight="1" x14ac:dyDescent="0.35">
      <c r="X586" s="97"/>
      <c r="Y586" s="97"/>
      <c r="Z586" s="97"/>
      <c r="AA586" s="97"/>
      <c r="AB586" s="97"/>
      <c r="AC586" s="97"/>
      <c r="AD586" s="97"/>
      <c r="AE586" s="97"/>
      <c r="AF586" s="97"/>
      <c r="AG586" s="97"/>
      <c r="AH586" s="97"/>
      <c r="AI586" s="97"/>
      <c r="AK586" s="97"/>
      <c r="AL586" s="97"/>
      <c r="AM586" s="97"/>
      <c r="AN586" s="97"/>
    </row>
    <row r="587" spans="24:40" ht="15" customHeight="1" x14ac:dyDescent="0.35">
      <c r="X587" s="97"/>
      <c r="Y587" s="97"/>
      <c r="Z587" s="97"/>
      <c r="AA587" s="97"/>
      <c r="AB587" s="97"/>
      <c r="AC587" s="97"/>
      <c r="AD587" s="97"/>
      <c r="AE587" s="97"/>
      <c r="AF587" s="97"/>
      <c r="AG587" s="97"/>
      <c r="AH587" s="97"/>
      <c r="AI587" s="97"/>
      <c r="AK587" s="97"/>
      <c r="AL587" s="97"/>
      <c r="AM587" s="97"/>
      <c r="AN587" s="97"/>
    </row>
    <row r="588" spans="24:40" ht="15" customHeight="1" x14ac:dyDescent="0.35">
      <c r="X588" s="97"/>
      <c r="Y588" s="97"/>
      <c r="Z588" s="97"/>
      <c r="AA588" s="97"/>
      <c r="AB588" s="97"/>
      <c r="AC588" s="97"/>
      <c r="AD588" s="97"/>
      <c r="AE588" s="97"/>
      <c r="AF588" s="97"/>
      <c r="AG588" s="97"/>
      <c r="AH588" s="97"/>
      <c r="AI588" s="97"/>
      <c r="AK588" s="97"/>
      <c r="AL588" s="97"/>
      <c r="AM588" s="97"/>
      <c r="AN588" s="97"/>
    </row>
    <row r="589" spans="24:40" ht="15" customHeight="1" x14ac:dyDescent="0.35">
      <c r="X589" s="97"/>
      <c r="Y589" s="97"/>
      <c r="Z589" s="97"/>
      <c r="AA589" s="97"/>
      <c r="AB589" s="97"/>
      <c r="AC589" s="97"/>
      <c r="AD589" s="97"/>
      <c r="AE589" s="97"/>
      <c r="AF589" s="97"/>
      <c r="AG589" s="97"/>
      <c r="AH589" s="97"/>
      <c r="AI589" s="97"/>
      <c r="AK589" s="97"/>
      <c r="AL589" s="97"/>
      <c r="AM589" s="97"/>
      <c r="AN589" s="97"/>
    </row>
    <row r="590" spans="24:40" ht="15" customHeight="1" x14ac:dyDescent="0.35">
      <c r="X590" s="97"/>
      <c r="Y590" s="97"/>
      <c r="Z590" s="97"/>
      <c r="AA590" s="97"/>
      <c r="AB590" s="97"/>
      <c r="AC590" s="97"/>
      <c r="AD590" s="97"/>
      <c r="AE590" s="97"/>
      <c r="AF590" s="97"/>
      <c r="AG590" s="97"/>
      <c r="AH590" s="97"/>
      <c r="AI590" s="97"/>
      <c r="AK590" s="97"/>
      <c r="AL590" s="97"/>
      <c r="AM590" s="97"/>
      <c r="AN590" s="97"/>
    </row>
    <row r="591" spans="24:40" ht="15" customHeight="1" x14ac:dyDescent="0.35">
      <c r="X591" s="97"/>
      <c r="Y591" s="97"/>
      <c r="Z591" s="97"/>
      <c r="AA591" s="97"/>
      <c r="AB591" s="97"/>
      <c r="AC591" s="97"/>
      <c r="AD591" s="97"/>
      <c r="AE591" s="97"/>
      <c r="AF591" s="97"/>
      <c r="AG591" s="97"/>
      <c r="AH591" s="97"/>
      <c r="AI591" s="97"/>
      <c r="AK591" s="97"/>
      <c r="AL591" s="97"/>
      <c r="AM591" s="97"/>
      <c r="AN591" s="97"/>
    </row>
    <row r="592" spans="24:40" ht="15" customHeight="1" x14ac:dyDescent="0.35">
      <c r="X592" s="97"/>
      <c r="Y592" s="97"/>
      <c r="Z592" s="97"/>
      <c r="AA592" s="97"/>
      <c r="AB592" s="97"/>
      <c r="AC592" s="97"/>
      <c r="AD592" s="97"/>
      <c r="AE592" s="97"/>
      <c r="AF592" s="97"/>
      <c r="AG592" s="97"/>
      <c r="AH592" s="97"/>
      <c r="AI592" s="97"/>
      <c r="AK592" s="97"/>
      <c r="AL592" s="97"/>
      <c r="AM592" s="97"/>
      <c r="AN592" s="97"/>
    </row>
    <row r="593" spans="24:40" ht="15" customHeight="1" x14ac:dyDescent="0.35">
      <c r="X593" s="97"/>
      <c r="Y593" s="97"/>
      <c r="Z593" s="97"/>
      <c r="AA593" s="97"/>
      <c r="AB593" s="97"/>
      <c r="AC593" s="97"/>
      <c r="AD593" s="97"/>
      <c r="AE593" s="97"/>
      <c r="AF593" s="97"/>
      <c r="AG593" s="97"/>
      <c r="AH593" s="97"/>
      <c r="AI593" s="97"/>
      <c r="AK593" s="97"/>
      <c r="AL593" s="97"/>
      <c r="AM593" s="97"/>
      <c r="AN593" s="97"/>
    </row>
    <row r="594" spans="24:40" ht="15" customHeight="1" x14ac:dyDescent="0.35">
      <c r="X594" s="97"/>
      <c r="Y594" s="97"/>
      <c r="Z594" s="97"/>
      <c r="AA594" s="97"/>
      <c r="AB594" s="97"/>
      <c r="AC594" s="97"/>
      <c r="AD594" s="97"/>
      <c r="AE594" s="97"/>
      <c r="AF594" s="97"/>
      <c r="AG594" s="97"/>
      <c r="AH594" s="97"/>
      <c r="AI594" s="97"/>
      <c r="AK594" s="97"/>
      <c r="AL594" s="97"/>
      <c r="AM594" s="97"/>
      <c r="AN594" s="97"/>
    </row>
    <row r="595" spans="24:40" ht="15" customHeight="1" x14ac:dyDescent="0.35">
      <c r="X595" s="97"/>
      <c r="Y595" s="97"/>
      <c r="Z595" s="97"/>
      <c r="AA595" s="97"/>
      <c r="AB595" s="97"/>
      <c r="AC595" s="97"/>
      <c r="AD595" s="97"/>
      <c r="AE595" s="97"/>
      <c r="AF595" s="97"/>
      <c r="AG595" s="97"/>
      <c r="AH595" s="97"/>
      <c r="AI595" s="97"/>
      <c r="AK595" s="97"/>
      <c r="AL595" s="97"/>
      <c r="AM595" s="97"/>
      <c r="AN595" s="97"/>
    </row>
    <row r="596" spans="24:40" ht="15" customHeight="1" x14ac:dyDescent="0.35">
      <c r="X596" s="97"/>
      <c r="Y596" s="97"/>
      <c r="Z596" s="97"/>
      <c r="AA596" s="97"/>
      <c r="AB596" s="97"/>
      <c r="AC596" s="97"/>
      <c r="AD596" s="97"/>
      <c r="AE596" s="97"/>
      <c r="AF596" s="97"/>
      <c r="AG596" s="97"/>
      <c r="AH596" s="97"/>
      <c r="AI596" s="97"/>
      <c r="AK596" s="97"/>
      <c r="AL596" s="97"/>
      <c r="AM596" s="97"/>
      <c r="AN596" s="97"/>
    </row>
    <row r="597" spans="24:40" ht="15" customHeight="1" x14ac:dyDescent="0.35">
      <c r="X597" s="97"/>
      <c r="Y597" s="97"/>
      <c r="Z597" s="97"/>
      <c r="AA597" s="97"/>
      <c r="AB597" s="97"/>
      <c r="AC597" s="97"/>
      <c r="AD597" s="97"/>
      <c r="AE597" s="97"/>
      <c r="AF597" s="97"/>
      <c r="AG597" s="97"/>
      <c r="AH597" s="97"/>
      <c r="AI597" s="97"/>
      <c r="AK597" s="97"/>
      <c r="AL597" s="97"/>
      <c r="AM597" s="97"/>
      <c r="AN597" s="97"/>
    </row>
    <row r="598" spans="24:40" ht="15" customHeight="1" x14ac:dyDescent="0.35">
      <c r="X598" s="97"/>
      <c r="Y598" s="97"/>
      <c r="Z598" s="97"/>
      <c r="AA598" s="97"/>
      <c r="AB598" s="97"/>
      <c r="AC598" s="97"/>
      <c r="AD598" s="97"/>
      <c r="AE598" s="97"/>
      <c r="AF598" s="97"/>
      <c r="AG598" s="97"/>
      <c r="AH598" s="97"/>
      <c r="AI598" s="97"/>
      <c r="AK598" s="97"/>
      <c r="AL598" s="97"/>
      <c r="AM598" s="97"/>
      <c r="AN598" s="97"/>
    </row>
    <row r="599" spans="24:40" ht="15" customHeight="1" x14ac:dyDescent="0.35">
      <c r="X599" s="97"/>
      <c r="Y599" s="97"/>
      <c r="Z599" s="97"/>
      <c r="AA599" s="97"/>
      <c r="AB599" s="97"/>
      <c r="AC599" s="97"/>
      <c r="AD599" s="97"/>
      <c r="AE599" s="97"/>
      <c r="AF599" s="97"/>
      <c r="AG599" s="97"/>
      <c r="AH599" s="97"/>
      <c r="AI599" s="97"/>
      <c r="AK599" s="97"/>
      <c r="AL599" s="97"/>
      <c r="AM599" s="97"/>
      <c r="AN599" s="97"/>
    </row>
    <row r="600" spans="24:40" ht="15" customHeight="1" x14ac:dyDescent="0.35">
      <c r="X600" s="97"/>
      <c r="Y600" s="97"/>
      <c r="Z600" s="97"/>
      <c r="AA600" s="97"/>
      <c r="AB600" s="97"/>
      <c r="AC600" s="97"/>
      <c r="AD600" s="97"/>
      <c r="AE600" s="97"/>
      <c r="AF600" s="97"/>
      <c r="AG600" s="97"/>
      <c r="AH600" s="97"/>
      <c r="AI600" s="97"/>
      <c r="AK600" s="97"/>
      <c r="AL600" s="97"/>
      <c r="AM600" s="97"/>
      <c r="AN600" s="97"/>
    </row>
    <row r="601" spans="24:40" ht="15" customHeight="1" x14ac:dyDescent="0.35">
      <c r="X601" s="97"/>
      <c r="Y601" s="97"/>
      <c r="Z601" s="97"/>
      <c r="AA601" s="97"/>
      <c r="AB601" s="97"/>
      <c r="AC601" s="97"/>
      <c r="AD601" s="97"/>
      <c r="AE601" s="97"/>
      <c r="AF601" s="97"/>
      <c r="AG601" s="97"/>
      <c r="AH601" s="97"/>
      <c r="AI601" s="97"/>
      <c r="AK601" s="97"/>
      <c r="AL601" s="97"/>
      <c r="AM601" s="97"/>
      <c r="AN601" s="97"/>
    </row>
    <row r="602" spans="24:40" ht="15" customHeight="1" x14ac:dyDescent="0.35">
      <c r="X602" s="97"/>
      <c r="Y602" s="97"/>
      <c r="Z602" s="97"/>
      <c r="AA602" s="97"/>
      <c r="AB602" s="97"/>
      <c r="AC602" s="97"/>
      <c r="AD602" s="97"/>
      <c r="AE602" s="97"/>
      <c r="AF602" s="97"/>
      <c r="AG602" s="97"/>
      <c r="AH602" s="97"/>
      <c r="AI602" s="97"/>
      <c r="AK602" s="97"/>
      <c r="AL602" s="97"/>
      <c r="AM602" s="97"/>
      <c r="AN602" s="97"/>
    </row>
    <row r="603" spans="24:40" ht="15" customHeight="1" x14ac:dyDescent="0.35">
      <c r="X603" s="97"/>
      <c r="Y603" s="97"/>
      <c r="Z603" s="97"/>
      <c r="AA603" s="97"/>
      <c r="AB603" s="97"/>
      <c r="AC603" s="97"/>
      <c r="AD603" s="97"/>
      <c r="AE603" s="97"/>
      <c r="AF603" s="97"/>
      <c r="AG603" s="97"/>
      <c r="AH603" s="97"/>
      <c r="AI603" s="97"/>
      <c r="AK603" s="97"/>
      <c r="AL603" s="97"/>
      <c r="AM603" s="97"/>
      <c r="AN603" s="97"/>
    </row>
    <row r="604" spans="24:40" ht="15" customHeight="1" x14ac:dyDescent="0.35">
      <c r="X604" s="97"/>
      <c r="Y604" s="97"/>
      <c r="Z604" s="97"/>
      <c r="AA604" s="97"/>
      <c r="AB604" s="97"/>
      <c r="AC604" s="97"/>
      <c r="AD604" s="97"/>
      <c r="AE604" s="97"/>
      <c r="AF604" s="97"/>
      <c r="AG604" s="97"/>
      <c r="AH604" s="97"/>
      <c r="AI604" s="97"/>
      <c r="AK604" s="97"/>
      <c r="AL604" s="97"/>
      <c r="AM604" s="97"/>
      <c r="AN604" s="97"/>
    </row>
    <row r="605" spans="24:40" ht="15" customHeight="1" x14ac:dyDescent="0.35">
      <c r="X605" s="97"/>
      <c r="Y605" s="97"/>
      <c r="Z605" s="97"/>
      <c r="AA605" s="97"/>
      <c r="AB605" s="97"/>
      <c r="AC605" s="97"/>
      <c r="AD605" s="97"/>
      <c r="AE605" s="97"/>
      <c r="AF605" s="97"/>
      <c r="AG605" s="97"/>
      <c r="AH605" s="97"/>
      <c r="AI605" s="97"/>
      <c r="AK605" s="97"/>
      <c r="AL605" s="97"/>
      <c r="AM605" s="97"/>
      <c r="AN605" s="97"/>
    </row>
    <row r="606" spans="24:40" ht="15" customHeight="1" x14ac:dyDescent="0.35">
      <c r="X606" s="97"/>
      <c r="Y606" s="97"/>
      <c r="Z606" s="97"/>
      <c r="AA606" s="97"/>
      <c r="AB606" s="97"/>
      <c r="AC606" s="97"/>
      <c r="AD606" s="97"/>
      <c r="AE606" s="97"/>
      <c r="AF606" s="97"/>
      <c r="AG606" s="97"/>
      <c r="AH606" s="97"/>
      <c r="AI606" s="97"/>
      <c r="AK606" s="97"/>
      <c r="AL606" s="97"/>
      <c r="AM606" s="97"/>
      <c r="AN606" s="97"/>
    </row>
    <row r="607" spans="24:40" ht="15" customHeight="1" x14ac:dyDescent="0.35">
      <c r="X607" s="97"/>
      <c r="Y607" s="97"/>
      <c r="Z607" s="97"/>
      <c r="AA607" s="97"/>
      <c r="AB607" s="97"/>
      <c r="AC607" s="97"/>
      <c r="AD607" s="97"/>
      <c r="AE607" s="97"/>
      <c r="AF607" s="97"/>
      <c r="AG607" s="97"/>
      <c r="AH607" s="97"/>
      <c r="AI607" s="97"/>
      <c r="AK607" s="97"/>
      <c r="AL607" s="97"/>
      <c r="AM607" s="97"/>
      <c r="AN607" s="97"/>
    </row>
    <row r="608" spans="24:40" ht="15" customHeight="1" x14ac:dyDescent="0.35">
      <c r="X608" s="97"/>
      <c r="Y608" s="97"/>
      <c r="Z608" s="97"/>
      <c r="AA608" s="97"/>
      <c r="AB608" s="97"/>
      <c r="AC608" s="97"/>
      <c r="AD608" s="97"/>
      <c r="AE608" s="97"/>
      <c r="AF608" s="97"/>
      <c r="AG608" s="97"/>
      <c r="AH608" s="97"/>
      <c r="AI608" s="97"/>
      <c r="AK608" s="97"/>
      <c r="AL608" s="97"/>
      <c r="AM608" s="97"/>
      <c r="AN608" s="97"/>
    </row>
    <row r="609" spans="24:40" ht="15" customHeight="1" x14ac:dyDescent="0.35">
      <c r="X609" s="97"/>
      <c r="Y609" s="97"/>
      <c r="Z609" s="97"/>
      <c r="AA609" s="97"/>
      <c r="AB609" s="97"/>
      <c r="AC609" s="97"/>
      <c r="AD609" s="97"/>
      <c r="AE609" s="97"/>
      <c r="AF609" s="97"/>
      <c r="AG609" s="97"/>
      <c r="AH609" s="97"/>
      <c r="AI609" s="97"/>
      <c r="AK609" s="97"/>
      <c r="AL609" s="97"/>
      <c r="AM609" s="97"/>
      <c r="AN609" s="97"/>
    </row>
    <row r="610" spans="24:40" ht="15" customHeight="1" x14ac:dyDescent="0.35">
      <c r="X610" s="97"/>
      <c r="Y610" s="97"/>
      <c r="Z610" s="97"/>
      <c r="AA610" s="97"/>
      <c r="AB610" s="97"/>
      <c r="AC610" s="97"/>
      <c r="AD610" s="97"/>
      <c r="AE610" s="97"/>
      <c r="AF610" s="97"/>
      <c r="AG610" s="97"/>
      <c r="AH610" s="97"/>
      <c r="AI610" s="97"/>
      <c r="AK610" s="97"/>
      <c r="AL610" s="97"/>
      <c r="AM610" s="97"/>
      <c r="AN610" s="97"/>
    </row>
    <row r="611" spans="24:40" ht="15" customHeight="1" x14ac:dyDescent="0.35">
      <c r="X611" s="97"/>
      <c r="Y611" s="97"/>
      <c r="Z611" s="97"/>
      <c r="AA611" s="97"/>
      <c r="AB611" s="97"/>
      <c r="AC611" s="97"/>
      <c r="AD611" s="97"/>
      <c r="AE611" s="97"/>
      <c r="AF611" s="97"/>
      <c r="AG611" s="97"/>
      <c r="AH611" s="97"/>
      <c r="AI611" s="97"/>
      <c r="AK611" s="97"/>
      <c r="AL611" s="97"/>
      <c r="AM611" s="97"/>
      <c r="AN611" s="97"/>
    </row>
    <row r="612" spans="24:40" ht="15" customHeight="1" x14ac:dyDescent="0.35">
      <c r="X612" s="97"/>
      <c r="Y612" s="97"/>
      <c r="Z612" s="97"/>
      <c r="AA612" s="97"/>
      <c r="AB612" s="97"/>
      <c r="AC612" s="97"/>
      <c r="AD612" s="97"/>
      <c r="AE612" s="97"/>
      <c r="AF612" s="97"/>
      <c r="AG612" s="97"/>
      <c r="AH612" s="97"/>
      <c r="AI612" s="97"/>
      <c r="AK612" s="97"/>
      <c r="AL612" s="97"/>
      <c r="AM612" s="97"/>
      <c r="AN612" s="97"/>
    </row>
    <row r="613" spans="24:40" ht="15" customHeight="1" x14ac:dyDescent="0.35">
      <c r="X613" s="97"/>
      <c r="Y613" s="97"/>
      <c r="Z613" s="97"/>
      <c r="AA613" s="97"/>
      <c r="AB613" s="97"/>
      <c r="AC613" s="97"/>
      <c r="AD613" s="97"/>
      <c r="AE613" s="97"/>
      <c r="AF613" s="97"/>
      <c r="AG613" s="97"/>
      <c r="AH613" s="97"/>
      <c r="AI613" s="97"/>
      <c r="AK613" s="97"/>
      <c r="AL613" s="97"/>
      <c r="AM613" s="97"/>
      <c r="AN613" s="97"/>
    </row>
    <row r="614" spans="24:40" ht="15" customHeight="1" x14ac:dyDescent="0.35">
      <c r="X614" s="97"/>
      <c r="Y614" s="97"/>
      <c r="Z614" s="97"/>
      <c r="AA614" s="97"/>
      <c r="AB614" s="97"/>
      <c r="AC614" s="97"/>
      <c r="AD614" s="97"/>
      <c r="AE614" s="97"/>
      <c r="AF614" s="97"/>
      <c r="AG614" s="97"/>
      <c r="AH614" s="97"/>
      <c r="AI614" s="97"/>
      <c r="AK614" s="97"/>
      <c r="AL614" s="97"/>
      <c r="AM614" s="97"/>
      <c r="AN614" s="97"/>
    </row>
    <row r="615" spans="24:40" ht="15" customHeight="1" x14ac:dyDescent="0.35">
      <c r="X615" s="97"/>
      <c r="Y615" s="97"/>
      <c r="Z615" s="97"/>
      <c r="AA615" s="97"/>
      <c r="AB615" s="97"/>
      <c r="AC615" s="97"/>
      <c r="AD615" s="97"/>
      <c r="AE615" s="97"/>
      <c r="AF615" s="97"/>
      <c r="AG615" s="97"/>
      <c r="AH615" s="97"/>
      <c r="AI615" s="97"/>
      <c r="AK615" s="97"/>
      <c r="AL615" s="97"/>
      <c r="AM615" s="97"/>
      <c r="AN615" s="97"/>
    </row>
    <row r="616" spans="24:40" ht="15" customHeight="1" x14ac:dyDescent="0.35">
      <c r="X616" s="97"/>
      <c r="Y616" s="97"/>
      <c r="Z616" s="97"/>
      <c r="AA616" s="97"/>
      <c r="AB616" s="97"/>
      <c r="AC616" s="97"/>
      <c r="AD616" s="97"/>
      <c r="AE616" s="97"/>
      <c r="AF616" s="97"/>
      <c r="AG616" s="97"/>
      <c r="AH616" s="97"/>
      <c r="AI616" s="97"/>
      <c r="AK616" s="97"/>
      <c r="AL616" s="97"/>
      <c r="AM616" s="97"/>
      <c r="AN616" s="97"/>
    </row>
    <row r="617" spans="24:40" ht="15" customHeight="1" x14ac:dyDescent="0.35">
      <c r="X617" s="97"/>
      <c r="Y617" s="97"/>
      <c r="Z617" s="97"/>
      <c r="AA617" s="97"/>
      <c r="AB617" s="97"/>
      <c r="AC617" s="97"/>
      <c r="AD617" s="97"/>
      <c r="AE617" s="97"/>
      <c r="AF617" s="97"/>
      <c r="AG617" s="97"/>
      <c r="AH617" s="97"/>
      <c r="AI617" s="97"/>
      <c r="AK617" s="97"/>
      <c r="AL617" s="97"/>
      <c r="AM617" s="97"/>
      <c r="AN617" s="97"/>
    </row>
    <row r="618" spans="24:40" ht="15" customHeight="1" x14ac:dyDescent="0.35">
      <c r="X618" s="97"/>
      <c r="Y618" s="97"/>
      <c r="Z618" s="97"/>
      <c r="AA618" s="97"/>
      <c r="AB618" s="97"/>
      <c r="AC618" s="97"/>
      <c r="AD618" s="97"/>
      <c r="AE618" s="97"/>
      <c r="AF618" s="97"/>
      <c r="AG618" s="97"/>
      <c r="AH618" s="97"/>
      <c r="AI618" s="97"/>
      <c r="AK618" s="97"/>
      <c r="AL618" s="97"/>
      <c r="AM618" s="97"/>
      <c r="AN618" s="97"/>
    </row>
    <row r="619" spans="24:40" ht="15" customHeight="1" x14ac:dyDescent="0.35">
      <c r="X619" s="97"/>
      <c r="Y619" s="97"/>
      <c r="Z619" s="97"/>
      <c r="AA619" s="97"/>
      <c r="AB619" s="97"/>
      <c r="AC619" s="97"/>
      <c r="AD619" s="97"/>
      <c r="AE619" s="97"/>
      <c r="AF619" s="97"/>
      <c r="AG619" s="97"/>
      <c r="AH619" s="97"/>
      <c r="AI619" s="97"/>
      <c r="AK619" s="97"/>
      <c r="AL619" s="97"/>
      <c r="AM619" s="97"/>
      <c r="AN619" s="97"/>
    </row>
    <row r="620" spans="24:40" ht="15" customHeight="1" x14ac:dyDescent="0.35">
      <c r="X620" s="97"/>
      <c r="Y620" s="97"/>
      <c r="Z620" s="97"/>
      <c r="AA620" s="97"/>
      <c r="AB620" s="97"/>
      <c r="AC620" s="97"/>
      <c r="AD620" s="97"/>
      <c r="AE620" s="97"/>
      <c r="AF620" s="97"/>
      <c r="AG620" s="97"/>
      <c r="AH620" s="97"/>
      <c r="AI620" s="97"/>
      <c r="AK620" s="97"/>
      <c r="AL620" s="97"/>
      <c r="AM620" s="97"/>
      <c r="AN620" s="97"/>
    </row>
    <row r="621" spans="24:40" ht="15" customHeight="1" x14ac:dyDescent="0.35">
      <c r="X621" s="97"/>
      <c r="Y621" s="97"/>
      <c r="Z621" s="97"/>
      <c r="AA621" s="97"/>
      <c r="AB621" s="97"/>
      <c r="AC621" s="97"/>
      <c r="AD621" s="97"/>
      <c r="AE621" s="97"/>
      <c r="AF621" s="97"/>
      <c r="AG621" s="97"/>
      <c r="AH621" s="97"/>
      <c r="AI621" s="97"/>
      <c r="AK621" s="97"/>
      <c r="AL621" s="97"/>
      <c r="AM621" s="97"/>
      <c r="AN621" s="97"/>
    </row>
    <row r="622" spans="24:40" ht="15" customHeight="1" x14ac:dyDescent="0.35">
      <c r="X622" s="97"/>
      <c r="Y622" s="97"/>
      <c r="Z622" s="97"/>
      <c r="AA622" s="97"/>
      <c r="AB622" s="97"/>
      <c r="AC622" s="97"/>
      <c r="AD622" s="97"/>
      <c r="AE622" s="97"/>
      <c r="AF622" s="97"/>
      <c r="AG622" s="97"/>
      <c r="AH622" s="97"/>
      <c r="AI622" s="97"/>
      <c r="AK622" s="97"/>
      <c r="AL622" s="97"/>
      <c r="AM622" s="97"/>
      <c r="AN622" s="97"/>
    </row>
    <row r="623" spans="24:40" ht="15" customHeight="1" x14ac:dyDescent="0.35">
      <c r="X623" s="97"/>
      <c r="Y623" s="97"/>
      <c r="Z623" s="97"/>
      <c r="AA623" s="97"/>
      <c r="AB623" s="97"/>
      <c r="AC623" s="97"/>
      <c r="AD623" s="97"/>
      <c r="AE623" s="97"/>
      <c r="AF623" s="97"/>
      <c r="AG623" s="97"/>
      <c r="AH623" s="97"/>
      <c r="AI623" s="97"/>
      <c r="AK623" s="97"/>
      <c r="AL623" s="97"/>
      <c r="AM623" s="97"/>
      <c r="AN623" s="97"/>
    </row>
    <row r="624" spans="24:40" ht="15" customHeight="1" x14ac:dyDescent="0.35">
      <c r="X624" s="97"/>
      <c r="Y624" s="97"/>
      <c r="Z624" s="97"/>
      <c r="AA624" s="97"/>
      <c r="AB624" s="97"/>
      <c r="AC624" s="97"/>
      <c r="AD624" s="97"/>
      <c r="AE624" s="97"/>
      <c r="AF624" s="97"/>
      <c r="AG624" s="97"/>
      <c r="AH624" s="97"/>
      <c r="AI624" s="97"/>
      <c r="AK624" s="97"/>
      <c r="AL624" s="97"/>
      <c r="AM624" s="97"/>
      <c r="AN624" s="97"/>
    </row>
    <row r="625" spans="24:40" ht="15" customHeight="1" x14ac:dyDescent="0.35">
      <c r="X625" s="97"/>
      <c r="Y625" s="97"/>
      <c r="Z625" s="97"/>
      <c r="AA625" s="97"/>
      <c r="AB625" s="97"/>
      <c r="AC625" s="97"/>
      <c r="AD625" s="97"/>
      <c r="AE625" s="97"/>
      <c r="AF625" s="97"/>
      <c r="AG625" s="97"/>
      <c r="AH625" s="97"/>
      <c r="AI625" s="97"/>
      <c r="AK625" s="97"/>
      <c r="AL625" s="97"/>
      <c r="AM625" s="97"/>
      <c r="AN625" s="97"/>
    </row>
    <row r="626" spans="24:40" ht="15" customHeight="1" x14ac:dyDescent="0.35">
      <c r="X626" s="97"/>
      <c r="Y626" s="97"/>
      <c r="Z626" s="97"/>
      <c r="AA626" s="97"/>
      <c r="AB626" s="97"/>
      <c r="AC626" s="97"/>
      <c r="AD626" s="97"/>
      <c r="AE626" s="97"/>
      <c r="AF626" s="97"/>
      <c r="AG626" s="97"/>
      <c r="AH626" s="97"/>
      <c r="AI626" s="97"/>
      <c r="AK626" s="97"/>
      <c r="AL626" s="97"/>
      <c r="AM626" s="97"/>
      <c r="AN626" s="97"/>
    </row>
    <row r="627" spans="24:40" ht="15" customHeight="1" x14ac:dyDescent="0.35">
      <c r="X627" s="97"/>
      <c r="Y627" s="97"/>
      <c r="Z627" s="97"/>
      <c r="AA627" s="97"/>
      <c r="AB627" s="97"/>
      <c r="AC627" s="97"/>
      <c r="AD627" s="97"/>
      <c r="AE627" s="97"/>
      <c r="AF627" s="97"/>
      <c r="AG627" s="97"/>
      <c r="AH627" s="97"/>
      <c r="AI627" s="97"/>
      <c r="AK627" s="97"/>
      <c r="AL627" s="97"/>
      <c r="AM627" s="97"/>
      <c r="AN627" s="97"/>
    </row>
    <row r="628" spans="24:40" ht="15" customHeight="1" x14ac:dyDescent="0.35">
      <c r="X628" s="97"/>
      <c r="Y628" s="97"/>
      <c r="Z628" s="97"/>
      <c r="AA628" s="97"/>
      <c r="AB628" s="97"/>
      <c r="AC628" s="97"/>
      <c r="AD628" s="97"/>
      <c r="AE628" s="97"/>
      <c r="AF628" s="97"/>
      <c r="AG628" s="97"/>
      <c r="AH628" s="97"/>
      <c r="AI628" s="97"/>
      <c r="AK628" s="97"/>
      <c r="AL628" s="97"/>
      <c r="AM628" s="97"/>
      <c r="AN628" s="97"/>
    </row>
    <row r="629" spans="24:40" ht="15" customHeight="1" x14ac:dyDescent="0.35">
      <c r="X629" s="97"/>
      <c r="Y629" s="97"/>
      <c r="Z629" s="97"/>
      <c r="AA629" s="97"/>
      <c r="AB629" s="97"/>
      <c r="AC629" s="97"/>
      <c r="AD629" s="97"/>
      <c r="AE629" s="97"/>
      <c r="AF629" s="97"/>
      <c r="AG629" s="97"/>
      <c r="AH629" s="97"/>
      <c r="AI629" s="97"/>
      <c r="AK629" s="97"/>
      <c r="AL629" s="97"/>
      <c r="AM629" s="97"/>
      <c r="AN629" s="97"/>
    </row>
    <row r="630" spans="24:40" ht="15" customHeight="1" x14ac:dyDescent="0.35">
      <c r="X630" s="97"/>
      <c r="Y630" s="97"/>
      <c r="Z630" s="97"/>
      <c r="AA630" s="97"/>
      <c r="AB630" s="97"/>
      <c r="AC630" s="97"/>
      <c r="AD630" s="97"/>
      <c r="AE630" s="97"/>
      <c r="AF630" s="97"/>
      <c r="AG630" s="97"/>
      <c r="AH630" s="97"/>
      <c r="AI630" s="97"/>
      <c r="AK630" s="97"/>
      <c r="AL630" s="97"/>
      <c r="AM630" s="97"/>
      <c r="AN630" s="97"/>
    </row>
    <row r="631" spans="24:40" ht="15" customHeight="1" x14ac:dyDescent="0.35">
      <c r="X631" s="97"/>
      <c r="Y631" s="97"/>
      <c r="Z631" s="97"/>
      <c r="AA631" s="97"/>
      <c r="AB631" s="97"/>
      <c r="AC631" s="97"/>
      <c r="AD631" s="97"/>
      <c r="AE631" s="97"/>
      <c r="AF631" s="97"/>
      <c r="AG631" s="97"/>
      <c r="AH631" s="97"/>
      <c r="AI631" s="97"/>
      <c r="AK631" s="97"/>
      <c r="AL631" s="97"/>
      <c r="AM631" s="97"/>
      <c r="AN631" s="97"/>
    </row>
    <row r="632" spans="24:40" ht="15" customHeight="1" x14ac:dyDescent="0.35">
      <c r="X632" s="97"/>
      <c r="Y632" s="97"/>
      <c r="Z632" s="97"/>
      <c r="AA632" s="97"/>
      <c r="AB632" s="97"/>
      <c r="AC632" s="97"/>
      <c r="AD632" s="97"/>
      <c r="AE632" s="97"/>
      <c r="AF632" s="97"/>
      <c r="AG632" s="97"/>
      <c r="AH632" s="97"/>
      <c r="AI632" s="97"/>
      <c r="AK632" s="97"/>
      <c r="AL632" s="97"/>
      <c r="AM632" s="97"/>
      <c r="AN632" s="97"/>
    </row>
    <row r="633" spans="24:40" ht="15" customHeight="1" x14ac:dyDescent="0.35">
      <c r="X633" s="97"/>
      <c r="Y633" s="97"/>
      <c r="Z633" s="97"/>
      <c r="AA633" s="97"/>
      <c r="AB633" s="97"/>
      <c r="AC633" s="97"/>
      <c r="AD633" s="97"/>
      <c r="AE633" s="97"/>
      <c r="AF633" s="97"/>
      <c r="AG633" s="97"/>
      <c r="AH633" s="97"/>
      <c r="AI633" s="97"/>
      <c r="AK633" s="97"/>
      <c r="AL633" s="97"/>
      <c r="AM633" s="97"/>
      <c r="AN633" s="97"/>
    </row>
    <row r="634" spans="24:40" ht="15" customHeight="1" x14ac:dyDescent="0.35">
      <c r="X634" s="97"/>
      <c r="Y634" s="97"/>
      <c r="Z634" s="97"/>
      <c r="AA634" s="97"/>
      <c r="AB634" s="97"/>
      <c r="AC634" s="97"/>
      <c r="AD634" s="97"/>
      <c r="AE634" s="97"/>
      <c r="AF634" s="97"/>
      <c r="AG634" s="97"/>
      <c r="AH634" s="97"/>
      <c r="AI634" s="97"/>
      <c r="AK634" s="97"/>
      <c r="AL634" s="97"/>
      <c r="AM634" s="97"/>
      <c r="AN634" s="97"/>
    </row>
    <row r="635" spans="24:40" ht="15" customHeight="1" x14ac:dyDescent="0.35">
      <c r="X635" s="97"/>
      <c r="Y635" s="97"/>
      <c r="Z635" s="97"/>
      <c r="AA635" s="97"/>
      <c r="AB635" s="97"/>
      <c r="AC635" s="97"/>
      <c r="AD635" s="97"/>
      <c r="AE635" s="97"/>
      <c r="AF635" s="97"/>
      <c r="AG635" s="97"/>
      <c r="AH635" s="97"/>
      <c r="AI635" s="97"/>
      <c r="AK635" s="97"/>
      <c r="AL635" s="97"/>
      <c r="AM635" s="97"/>
      <c r="AN635" s="97"/>
    </row>
    <row r="636" spans="24:40" ht="15" customHeight="1" x14ac:dyDescent="0.35">
      <c r="X636" s="97"/>
      <c r="Y636" s="97"/>
      <c r="Z636" s="97"/>
      <c r="AA636" s="97"/>
      <c r="AB636" s="97"/>
      <c r="AC636" s="97"/>
      <c r="AD636" s="97"/>
      <c r="AE636" s="97"/>
      <c r="AF636" s="97"/>
      <c r="AG636" s="97"/>
      <c r="AH636" s="97"/>
      <c r="AI636" s="97"/>
      <c r="AK636" s="97"/>
      <c r="AL636" s="97"/>
      <c r="AM636" s="97"/>
      <c r="AN636" s="97"/>
    </row>
    <row r="637" spans="24:40" ht="15" customHeight="1" x14ac:dyDescent="0.35">
      <c r="X637" s="97"/>
      <c r="Y637" s="97"/>
      <c r="Z637" s="97"/>
      <c r="AA637" s="97"/>
      <c r="AB637" s="97"/>
      <c r="AC637" s="97"/>
      <c r="AD637" s="97"/>
      <c r="AE637" s="97"/>
      <c r="AF637" s="97"/>
      <c r="AG637" s="97"/>
      <c r="AH637" s="97"/>
      <c r="AI637" s="97"/>
      <c r="AK637" s="97"/>
      <c r="AL637" s="97"/>
      <c r="AM637" s="97"/>
      <c r="AN637" s="97"/>
    </row>
    <row r="638" spans="24:40" ht="15" customHeight="1" x14ac:dyDescent="0.35">
      <c r="X638" s="97"/>
      <c r="Y638" s="97"/>
      <c r="Z638" s="97"/>
      <c r="AA638" s="97"/>
      <c r="AB638" s="97"/>
      <c r="AC638" s="97"/>
      <c r="AD638" s="97"/>
      <c r="AE638" s="97"/>
      <c r="AF638" s="97"/>
      <c r="AG638" s="97"/>
      <c r="AH638" s="97"/>
      <c r="AI638" s="97"/>
      <c r="AK638" s="97"/>
      <c r="AL638" s="97"/>
      <c r="AM638" s="97"/>
      <c r="AN638" s="97"/>
    </row>
    <row r="639" spans="24:40" ht="15" customHeight="1" x14ac:dyDescent="0.35">
      <c r="X639" s="97"/>
      <c r="Y639" s="97"/>
      <c r="Z639" s="97"/>
      <c r="AA639" s="97"/>
      <c r="AB639" s="97"/>
      <c r="AC639" s="97"/>
      <c r="AD639" s="97"/>
      <c r="AE639" s="97"/>
      <c r="AF639" s="97"/>
      <c r="AG639" s="97"/>
      <c r="AH639" s="97"/>
      <c r="AI639" s="97"/>
      <c r="AK639" s="97"/>
      <c r="AL639" s="97"/>
      <c r="AM639" s="97"/>
      <c r="AN639" s="97"/>
    </row>
    <row r="640" spans="24:40" ht="15" customHeight="1" x14ac:dyDescent="0.35">
      <c r="X640" s="97"/>
      <c r="Y640" s="97"/>
      <c r="Z640" s="97"/>
      <c r="AA640" s="97"/>
      <c r="AB640" s="97"/>
      <c r="AC640" s="97"/>
      <c r="AD640" s="97"/>
      <c r="AE640" s="97"/>
      <c r="AF640" s="97"/>
      <c r="AG640" s="97"/>
      <c r="AH640" s="97"/>
      <c r="AI640" s="97"/>
      <c r="AK640" s="97"/>
      <c r="AL640" s="97"/>
      <c r="AM640" s="97"/>
      <c r="AN640" s="97"/>
    </row>
    <row r="641" spans="24:40" ht="15" customHeight="1" x14ac:dyDescent="0.35">
      <c r="X641" s="97"/>
      <c r="Y641" s="97"/>
      <c r="Z641" s="97"/>
      <c r="AA641" s="97"/>
      <c r="AB641" s="97"/>
      <c r="AC641" s="97"/>
      <c r="AD641" s="97"/>
      <c r="AE641" s="97"/>
      <c r="AF641" s="97"/>
      <c r="AG641" s="97"/>
      <c r="AH641" s="97"/>
      <c r="AI641" s="97"/>
      <c r="AK641" s="97"/>
      <c r="AL641" s="97"/>
      <c r="AM641" s="97"/>
      <c r="AN641" s="97"/>
    </row>
    <row r="642" spans="24:40" ht="15" customHeight="1" x14ac:dyDescent="0.35">
      <c r="X642" s="97"/>
      <c r="Y642" s="97"/>
      <c r="Z642" s="97"/>
      <c r="AA642" s="97"/>
      <c r="AB642" s="97"/>
      <c r="AC642" s="97"/>
      <c r="AD642" s="97"/>
      <c r="AE642" s="97"/>
      <c r="AF642" s="97"/>
      <c r="AG642" s="97"/>
      <c r="AH642" s="97"/>
      <c r="AI642" s="97"/>
      <c r="AK642" s="97"/>
      <c r="AL642" s="97"/>
      <c r="AM642" s="97"/>
      <c r="AN642" s="97"/>
    </row>
    <row r="643" spans="24:40" ht="15" customHeight="1" x14ac:dyDescent="0.35">
      <c r="X643" s="97"/>
      <c r="Y643" s="97"/>
      <c r="Z643" s="97"/>
      <c r="AA643" s="97"/>
      <c r="AB643" s="97"/>
      <c r="AC643" s="97"/>
      <c r="AD643" s="97"/>
      <c r="AE643" s="97"/>
      <c r="AF643" s="97"/>
      <c r="AG643" s="97"/>
      <c r="AH643" s="97"/>
      <c r="AI643" s="97"/>
      <c r="AK643" s="97"/>
      <c r="AL643" s="97"/>
      <c r="AM643" s="97"/>
      <c r="AN643" s="97"/>
    </row>
    <row r="644" spans="24:40" ht="15" customHeight="1" x14ac:dyDescent="0.35">
      <c r="X644" s="97"/>
      <c r="Y644" s="97"/>
      <c r="Z644" s="97"/>
      <c r="AA644" s="97"/>
      <c r="AB644" s="97"/>
      <c r="AC644" s="97"/>
      <c r="AD644" s="97"/>
      <c r="AE644" s="97"/>
      <c r="AF644" s="97"/>
      <c r="AG644" s="97"/>
      <c r="AH644" s="97"/>
      <c r="AI644" s="97"/>
      <c r="AK644" s="97"/>
      <c r="AL644" s="97"/>
      <c r="AM644" s="97"/>
      <c r="AN644" s="97"/>
    </row>
    <row r="645" spans="24:40" ht="15" customHeight="1" x14ac:dyDescent="0.35">
      <c r="X645" s="97"/>
      <c r="Y645" s="97"/>
      <c r="Z645" s="97"/>
      <c r="AA645" s="97"/>
      <c r="AB645" s="97"/>
      <c r="AC645" s="97"/>
      <c r="AD645" s="97"/>
      <c r="AE645" s="97"/>
      <c r="AF645" s="97"/>
      <c r="AG645" s="97"/>
      <c r="AH645" s="97"/>
      <c r="AI645" s="97"/>
      <c r="AK645" s="97"/>
      <c r="AL645" s="97"/>
      <c r="AM645" s="97"/>
      <c r="AN645" s="97"/>
    </row>
    <row r="646" spans="24:40" ht="15" customHeight="1" x14ac:dyDescent="0.35">
      <c r="X646" s="97"/>
      <c r="Y646" s="97"/>
      <c r="Z646" s="97"/>
      <c r="AA646" s="97"/>
      <c r="AB646" s="97"/>
      <c r="AC646" s="97"/>
      <c r="AD646" s="97"/>
      <c r="AE646" s="97"/>
      <c r="AF646" s="97"/>
      <c r="AG646" s="97"/>
      <c r="AH646" s="97"/>
      <c r="AI646" s="97"/>
      <c r="AK646" s="97"/>
      <c r="AL646" s="97"/>
      <c r="AM646" s="97"/>
      <c r="AN646" s="97"/>
    </row>
    <row r="647" spans="24:40" ht="15" customHeight="1" x14ac:dyDescent="0.35">
      <c r="X647" s="97"/>
      <c r="Y647" s="97"/>
      <c r="Z647" s="97"/>
      <c r="AA647" s="97"/>
      <c r="AB647" s="97"/>
      <c r="AC647" s="97"/>
      <c r="AD647" s="97"/>
      <c r="AE647" s="97"/>
      <c r="AF647" s="97"/>
      <c r="AG647" s="97"/>
      <c r="AH647" s="97"/>
      <c r="AI647" s="97"/>
      <c r="AK647" s="97"/>
      <c r="AL647" s="97"/>
      <c r="AM647" s="97"/>
      <c r="AN647" s="97"/>
    </row>
    <row r="648" spans="24:40" ht="15" customHeight="1" x14ac:dyDescent="0.35">
      <c r="X648" s="97"/>
      <c r="Y648" s="97"/>
      <c r="Z648" s="97"/>
      <c r="AA648" s="97"/>
      <c r="AB648" s="97"/>
      <c r="AC648" s="97"/>
      <c r="AD648" s="97"/>
      <c r="AE648" s="97"/>
      <c r="AF648" s="97"/>
      <c r="AG648" s="97"/>
      <c r="AH648" s="97"/>
      <c r="AI648" s="97"/>
      <c r="AK648" s="97"/>
      <c r="AL648" s="97"/>
      <c r="AM648" s="97"/>
      <c r="AN648" s="97"/>
    </row>
    <row r="649" spans="24:40" ht="15" customHeight="1" x14ac:dyDescent="0.35">
      <c r="X649" s="97"/>
      <c r="Y649" s="97"/>
      <c r="Z649" s="97"/>
      <c r="AA649" s="97"/>
      <c r="AB649" s="97"/>
      <c r="AC649" s="97"/>
      <c r="AD649" s="97"/>
      <c r="AE649" s="97"/>
      <c r="AF649" s="97"/>
      <c r="AG649" s="97"/>
      <c r="AH649" s="97"/>
      <c r="AI649" s="97"/>
      <c r="AK649" s="97"/>
      <c r="AL649" s="97"/>
      <c r="AM649" s="97"/>
      <c r="AN649" s="97"/>
    </row>
    <row r="650" spans="24:40" ht="15" customHeight="1" x14ac:dyDescent="0.35">
      <c r="X650" s="97"/>
      <c r="Y650" s="97"/>
      <c r="Z650" s="97"/>
      <c r="AA650" s="97"/>
      <c r="AB650" s="97"/>
      <c r="AC650" s="97"/>
      <c r="AD650" s="97"/>
      <c r="AE650" s="97"/>
      <c r="AF650" s="97"/>
      <c r="AG650" s="97"/>
      <c r="AH650" s="97"/>
      <c r="AI650" s="97"/>
      <c r="AK650" s="97"/>
      <c r="AL650" s="97"/>
      <c r="AM650" s="97"/>
      <c r="AN650" s="97"/>
    </row>
    <row r="651" spans="24:40" ht="15" customHeight="1" x14ac:dyDescent="0.35">
      <c r="X651" s="97"/>
      <c r="Y651" s="97"/>
      <c r="Z651" s="97"/>
      <c r="AA651" s="97"/>
      <c r="AB651" s="97"/>
      <c r="AC651" s="97"/>
      <c r="AD651" s="97"/>
      <c r="AE651" s="97"/>
      <c r="AF651" s="97"/>
      <c r="AG651" s="97"/>
      <c r="AH651" s="97"/>
      <c r="AI651" s="97"/>
      <c r="AK651" s="97"/>
      <c r="AL651" s="97"/>
      <c r="AM651" s="97"/>
      <c r="AN651" s="97"/>
    </row>
    <row r="652" spans="24:40" ht="15" customHeight="1" x14ac:dyDescent="0.35">
      <c r="X652" s="97"/>
      <c r="Y652" s="97"/>
      <c r="Z652" s="97"/>
      <c r="AA652" s="97"/>
      <c r="AB652" s="97"/>
      <c r="AC652" s="97"/>
      <c r="AD652" s="97"/>
      <c r="AE652" s="97"/>
      <c r="AF652" s="97"/>
      <c r="AG652" s="97"/>
      <c r="AH652" s="97"/>
      <c r="AI652" s="97"/>
      <c r="AK652" s="97"/>
      <c r="AL652" s="97"/>
      <c r="AM652" s="97"/>
      <c r="AN652" s="97"/>
    </row>
    <row r="653" spans="24:40" ht="15" customHeight="1" x14ac:dyDescent="0.35">
      <c r="X653" s="97"/>
      <c r="Y653" s="97"/>
      <c r="Z653" s="97"/>
      <c r="AA653" s="97"/>
      <c r="AB653" s="97"/>
      <c r="AC653" s="97"/>
      <c r="AD653" s="97"/>
      <c r="AE653" s="97"/>
      <c r="AF653" s="97"/>
      <c r="AG653" s="97"/>
      <c r="AH653" s="97"/>
      <c r="AI653" s="97"/>
      <c r="AK653" s="97"/>
      <c r="AL653" s="97"/>
      <c r="AM653" s="97"/>
      <c r="AN653" s="97"/>
    </row>
    <row r="654" spans="24:40" ht="15" customHeight="1" x14ac:dyDescent="0.35">
      <c r="X654" s="97"/>
      <c r="Y654" s="97"/>
      <c r="Z654" s="97"/>
      <c r="AA654" s="97"/>
      <c r="AB654" s="97"/>
      <c r="AC654" s="97"/>
      <c r="AD654" s="97"/>
      <c r="AE654" s="97"/>
      <c r="AF654" s="97"/>
      <c r="AG654" s="97"/>
      <c r="AH654" s="97"/>
      <c r="AI654" s="97"/>
      <c r="AK654" s="97"/>
      <c r="AL654" s="97"/>
      <c r="AM654" s="97"/>
      <c r="AN654" s="97"/>
    </row>
    <row r="655" spans="24:40" ht="15" customHeight="1" x14ac:dyDescent="0.35">
      <c r="X655" s="97"/>
      <c r="Y655" s="97"/>
      <c r="Z655" s="97"/>
      <c r="AA655" s="97"/>
      <c r="AB655" s="97"/>
      <c r="AC655" s="97"/>
      <c r="AD655" s="97"/>
      <c r="AE655" s="97"/>
      <c r="AF655" s="97"/>
      <c r="AG655" s="97"/>
      <c r="AH655" s="97"/>
      <c r="AI655" s="97"/>
      <c r="AK655" s="97"/>
      <c r="AL655" s="97"/>
      <c r="AM655" s="97"/>
      <c r="AN655" s="97"/>
    </row>
    <row r="656" spans="24:40" ht="15" customHeight="1" x14ac:dyDescent="0.35">
      <c r="X656" s="97"/>
      <c r="Y656" s="97"/>
      <c r="Z656" s="97"/>
      <c r="AA656" s="97"/>
      <c r="AB656" s="97"/>
      <c r="AC656" s="97"/>
      <c r="AD656" s="97"/>
      <c r="AE656" s="97"/>
      <c r="AF656" s="97"/>
      <c r="AG656" s="97"/>
      <c r="AH656" s="97"/>
      <c r="AI656" s="97"/>
      <c r="AK656" s="97"/>
      <c r="AL656" s="97"/>
      <c r="AM656" s="97"/>
      <c r="AN656" s="97"/>
    </row>
    <row r="657" spans="24:40" ht="15" customHeight="1" x14ac:dyDescent="0.35">
      <c r="X657" s="97"/>
      <c r="Y657" s="97"/>
      <c r="Z657" s="97"/>
      <c r="AA657" s="97"/>
      <c r="AB657" s="97"/>
      <c r="AC657" s="97"/>
      <c r="AD657" s="97"/>
      <c r="AE657" s="97"/>
      <c r="AF657" s="97"/>
      <c r="AG657" s="97"/>
      <c r="AH657" s="97"/>
      <c r="AI657" s="97"/>
      <c r="AK657" s="97"/>
      <c r="AL657" s="97"/>
      <c r="AM657" s="97"/>
      <c r="AN657" s="97"/>
    </row>
    <row r="658" spans="24:40" ht="15" customHeight="1" x14ac:dyDescent="0.35">
      <c r="X658" s="97"/>
      <c r="Y658" s="97"/>
      <c r="Z658" s="97"/>
      <c r="AA658" s="97"/>
      <c r="AB658" s="97"/>
      <c r="AC658" s="97"/>
      <c r="AD658" s="97"/>
      <c r="AE658" s="97"/>
      <c r="AF658" s="97"/>
      <c r="AG658" s="97"/>
      <c r="AH658" s="97"/>
      <c r="AI658" s="97"/>
      <c r="AK658" s="97"/>
      <c r="AL658" s="97"/>
      <c r="AM658" s="97"/>
      <c r="AN658" s="97"/>
    </row>
    <row r="659" spans="24:40" ht="15" customHeight="1" x14ac:dyDescent="0.35">
      <c r="X659" s="97"/>
      <c r="Y659" s="97"/>
      <c r="Z659" s="97"/>
      <c r="AA659" s="97"/>
      <c r="AB659" s="97"/>
      <c r="AC659" s="97"/>
      <c r="AD659" s="97"/>
      <c r="AE659" s="97"/>
      <c r="AF659" s="97"/>
      <c r="AG659" s="97"/>
      <c r="AH659" s="97"/>
      <c r="AI659" s="97"/>
      <c r="AK659" s="97"/>
      <c r="AL659" s="97"/>
      <c r="AM659" s="97"/>
      <c r="AN659" s="97"/>
    </row>
    <row r="660" spans="24:40" ht="15" customHeight="1" x14ac:dyDescent="0.35">
      <c r="X660" s="97"/>
      <c r="Y660" s="97"/>
      <c r="Z660" s="97"/>
      <c r="AA660" s="97"/>
      <c r="AB660" s="97"/>
      <c r="AC660" s="97"/>
      <c r="AD660" s="97"/>
      <c r="AE660" s="97"/>
      <c r="AF660" s="97"/>
      <c r="AG660" s="97"/>
      <c r="AH660" s="97"/>
      <c r="AI660" s="97"/>
      <c r="AK660" s="97"/>
      <c r="AL660" s="97"/>
      <c r="AM660" s="97"/>
      <c r="AN660" s="97"/>
    </row>
    <row r="661" spans="24:40" ht="15" customHeight="1" x14ac:dyDescent="0.35">
      <c r="X661" s="97"/>
      <c r="Y661" s="97"/>
      <c r="Z661" s="97"/>
      <c r="AA661" s="97"/>
      <c r="AB661" s="97"/>
      <c r="AC661" s="97"/>
      <c r="AD661" s="97"/>
      <c r="AE661" s="97"/>
      <c r="AF661" s="97"/>
      <c r="AG661" s="97"/>
      <c r="AH661" s="97"/>
      <c r="AI661" s="97"/>
      <c r="AK661" s="97"/>
      <c r="AL661" s="97"/>
      <c r="AM661" s="97"/>
      <c r="AN661" s="97"/>
    </row>
    <row r="662" spans="24:40" ht="15" customHeight="1" x14ac:dyDescent="0.35">
      <c r="X662" s="97"/>
      <c r="Y662" s="97"/>
      <c r="Z662" s="97"/>
      <c r="AA662" s="97"/>
      <c r="AB662" s="97"/>
      <c r="AC662" s="97"/>
      <c r="AD662" s="97"/>
      <c r="AE662" s="97"/>
      <c r="AF662" s="97"/>
      <c r="AG662" s="97"/>
      <c r="AH662" s="97"/>
      <c r="AI662" s="97"/>
      <c r="AK662" s="97"/>
      <c r="AL662" s="97"/>
      <c r="AM662" s="97"/>
      <c r="AN662" s="97"/>
    </row>
    <row r="663" spans="24:40" ht="15" customHeight="1" x14ac:dyDescent="0.35">
      <c r="X663" s="97"/>
      <c r="Y663" s="97"/>
      <c r="Z663" s="97"/>
      <c r="AA663" s="97"/>
      <c r="AB663" s="97"/>
      <c r="AC663" s="97"/>
      <c r="AD663" s="97"/>
      <c r="AE663" s="97"/>
      <c r="AF663" s="97"/>
      <c r="AG663" s="97"/>
      <c r="AH663" s="97"/>
      <c r="AI663" s="97"/>
      <c r="AK663" s="97"/>
      <c r="AL663" s="97"/>
      <c r="AM663" s="97"/>
      <c r="AN663" s="97"/>
    </row>
    <row r="664" spans="24:40" ht="15" customHeight="1" x14ac:dyDescent="0.35">
      <c r="X664" s="97"/>
      <c r="Y664" s="97"/>
      <c r="Z664" s="97"/>
      <c r="AA664" s="97"/>
      <c r="AB664" s="97"/>
      <c r="AC664" s="97"/>
      <c r="AD664" s="97"/>
      <c r="AE664" s="97"/>
      <c r="AF664" s="97"/>
      <c r="AG664" s="97"/>
      <c r="AH664" s="97"/>
      <c r="AI664" s="97"/>
      <c r="AK664" s="97"/>
      <c r="AL664" s="97"/>
      <c r="AM664" s="97"/>
      <c r="AN664" s="97"/>
    </row>
    <row r="665" spans="24:40" ht="15" customHeight="1" x14ac:dyDescent="0.35">
      <c r="X665" s="97"/>
      <c r="Y665" s="97"/>
      <c r="Z665" s="97"/>
      <c r="AA665" s="97"/>
      <c r="AB665" s="97"/>
      <c r="AC665" s="97"/>
      <c r="AD665" s="97"/>
      <c r="AE665" s="97"/>
      <c r="AF665" s="97"/>
      <c r="AG665" s="97"/>
      <c r="AH665" s="97"/>
      <c r="AI665" s="97"/>
      <c r="AK665" s="97"/>
      <c r="AL665" s="97"/>
      <c r="AM665" s="97"/>
      <c r="AN665" s="97"/>
    </row>
    <row r="666" spans="24:40" ht="15" customHeight="1" x14ac:dyDescent="0.35">
      <c r="X666" s="97"/>
      <c r="Y666" s="97"/>
      <c r="Z666" s="97"/>
      <c r="AA666" s="97"/>
      <c r="AB666" s="97"/>
      <c r="AC666" s="97"/>
      <c r="AD666" s="97"/>
      <c r="AE666" s="97"/>
      <c r="AF666" s="97"/>
      <c r="AG666" s="97"/>
      <c r="AH666" s="97"/>
      <c r="AI666" s="97"/>
      <c r="AK666" s="97"/>
      <c r="AL666" s="97"/>
      <c r="AM666" s="97"/>
      <c r="AN666" s="97"/>
    </row>
    <row r="667" spans="24:40" ht="15" customHeight="1" x14ac:dyDescent="0.35">
      <c r="X667" s="97"/>
      <c r="Y667" s="97"/>
      <c r="Z667" s="97"/>
      <c r="AA667" s="97"/>
      <c r="AB667" s="97"/>
      <c r="AC667" s="97"/>
      <c r="AD667" s="97"/>
      <c r="AE667" s="97"/>
      <c r="AF667" s="97"/>
      <c r="AG667" s="97"/>
      <c r="AH667" s="97"/>
      <c r="AI667" s="97"/>
      <c r="AK667" s="97"/>
      <c r="AL667" s="97"/>
      <c r="AM667" s="97"/>
      <c r="AN667" s="97"/>
    </row>
    <row r="668" spans="24:40" ht="15" customHeight="1" x14ac:dyDescent="0.35">
      <c r="X668" s="97"/>
      <c r="Y668" s="97"/>
      <c r="Z668" s="97"/>
      <c r="AA668" s="97"/>
      <c r="AB668" s="97"/>
      <c r="AC668" s="97"/>
      <c r="AD668" s="97"/>
      <c r="AE668" s="97"/>
      <c r="AF668" s="97"/>
      <c r="AG668" s="97"/>
      <c r="AH668" s="97"/>
      <c r="AI668" s="97"/>
      <c r="AK668" s="97"/>
      <c r="AL668" s="97"/>
      <c r="AM668" s="97"/>
      <c r="AN668" s="97"/>
    </row>
    <row r="669" spans="24:40" ht="15" customHeight="1" x14ac:dyDescent="0.35">
      <c r="X669" s="97"/>
      <c r="Y669" s="97"/>
      <c r="Z669" s="97"/>
      <c r="AA669" s="97"/>
      <c r="AB669" s="97"/>
      <c r="AC669" s="97"/>
      <c r="AD669" s="97"/>
      <c r="AE669" s="97"/>
      <c r="AF669" s="97"/>
      <c r="AG669" s="97"/>
      <c r="AH669" s="97"/>
      <c r="AI669" s="97"/>
      <c r="AK669" s="97"/>
      <c r="AL669" s="97"/>
      <c r="AM669" s="97"/>
      <c r="AN669" s="97"/>
    </row>
    <row r="670" spans="24:40" ht="15" customHeight="1" x14ac:dyDescent="0.35">
      <c r="X670" s="97"/>
      <c r="Y670" s="97"/>
      <c r="Z670" s="97"/>
      <c r="AA670" s="97"/>
      <c r="AB670" s="97"/>
      <c r="AC670" s="97"/>
      <c r="AD670" s="97"/>
      <c r="AE670" s="97"/>
      <c r="AF670" s="97"/>
      <c r="AG670" s="97"/>
      <c r="AH670" s="97"/>
      <c r="AI670" s="97"/>
      <c r="AK670" s="97"/>
      <c r="AL670" s="97"/>
      <c r="AM670" s="97"/>
      <c r="AN670" s="97"/>
    </row>
    <row r="671" spans="24:40" ht="15" customHeight="1" x14ac:dyDescent="0.35">
      <c r="X671" s="97"/>
      <c r="Y671" s="97"/>
      <c r="Z671" s="97"/>
      <c r="AA671" s="97"/>
      <c r="AB671" s="97"/>
      <c r="AC671" s="97"/>
      <c r="AD671" s="97"/>
      <c r="AE671" s="97"/>
      <c r="AF671" s="97"/>
      <c r="AG671" s="97"/>
      <c r="AH671" s="97"/>
      <c r="AI671" s="97"/>
      <c r="AK671" s="97"/>
      <c r="AL671" s="97"/>
      <c r="AM671" s="97"/>
      <c r="AN671" s="97"/>
    </row>
    <row r="672" spans="24:40" ht="15" customHeight="1" x14ac:dyDescent="0.35">
      <c r="X672" s="97"/>
      <c r="Y672" s="97"/>
      <c r="Z672" s="97"/>
      <c r="AA672" s="97"/>
      <c r="AB672" s="97"/>
      <c r="AC672" s="97"/>
      <c r="AD672" s="97"/>
      <c r="AE672" s="97"/>
      <c r="AF672" s="97"/>
      <c r="AG672" s="97"/>
      <c r="AH672" s="97"/>
      <c r="AI672" s="97"/>
      <c r="AK672" s="97"/>
      <c r="AL672" s="97"/>
      <c r="AM672" s="97"/>
      <c r="AN672" s="97"/>
    </row>
    <row r="673" spans="24:40" ht="15" customHeight="1" x14ac:dyDescent="0.35">
      <c r="X673" s="97"/>
      <c r="Y673" s="97"/>
      <c r="Z673" s="97"/>
      <c r="AA673" s="97"/>
      <c r="AB673" s="97"/>
      <c r="AC673" s="97"/>
      <c r="AD673" s="97"/>
      <c r="AE673" s="97"/>
      <c r="AF673" s="97"/>
      <c r="AG673" s="97"/>
      <c r="AH673" s="97"/>
      <c r="AI673" s="97"/>
      <c r="AK673" s="97"/>
      <c r="AL673" s="97"/>
      <c r="AM673" s="97"/>
      <c r="AN673" s="97"/>
    </row>
    <row r="674" spans="24:40" ht="15" customHeight="1" x14ac:dyDescent="0.35">
      <c r="X674" s="97"/>
      <c r="Y674" s="97"/>
      <c r="Z674" s="97"/>
      <c r="AA674" s="97"/>
      <c r="AB674" s="97"/>
      <c r="AC674" s="97"/>
      <c r="AD674" s="97"/>
      <c r="AE674" s="97"/>
      <c r="AF674" s="97"/>
      <c r="AG674" s="97"/>
      <c r="AH674" s="97"/>
      <c r="AI674" s="97"/>
      <c r="AK674" s="97"/>
      <c r="AL674" s="97"/>
      <c r="AM674" s="97"/>
      <c r="AN674" s="97"/>
    </row>
    <row r="675" spans="24:40" ht="15" customHeight="1" x14ac:dyDescent="0.35">
      <c r="X675" s="97"/>
      <c r="Y675" s="97"/>
      <c r="Z675" s="97"/>
      <c r="AA675" s="97"/>
      <c r="AB675" s="97"/>
      <c r="AC675" s="97"/>
      <c r="AD675" s="97"/>
      <c r="AE675" s="97"/>
      <c r="AF675" s="97"/>
      <c r="AG675" s="97"/>
      <c r="AH675" s="97"/>
      <c r="AI675" s="97"/>
      <c r="AK675" s="97"/>
      <c r="AL675" s="97"/>
      <c r="AM675" s="97"/>
      <c r="AN675" s="97"/>
    </row>
    <row r="676" spans="24:40" ht="15" customHeight="1" x14ac:dyDescent="0.35">
      <c r="X676" s="97"/>
      <c r="Y676" s="97"/>
      <c r="Z676" s="97"/>
      <c r="AA676" s="97"/>
      <c r="AB676" s="97"/>
      <c r="AC676" s="97"/>
      <c r="AD676" s="97"/>
      <c r="AE676" s="97"/>
      <c r="AF676" s="97"/>
      <c r="AG676" s="97"/>
      <c r="AH676" s="97"/>
      <c r="AI676" s="97"/>
      <c r="AK676" s="97"/>
      <c r="AL676" s="97"/>
      <c r="AM676" s="97"/>
      <c r="AN676" s="97"/>
    </row>
    <row r="677" spans="24:40" ht="15" customHeight="1" x14ac:dyDescent="0.35">
      <c r="X677" s="97"/>
      <c r="Y677" s="97"/>
      <c r="Z677" s="97"/>
      <c r="AA677" s="97"/>
      <c r="AB677" s="97"/>
      <c r="AC677" s="97"/>
      <c r="AD677" s="97"/>
      <c r="AE677" s="97"/>
      <c r="AF677" s="97"/>
      <c r="AG677" s="97"/>
      <c r="AH677" s="97"/>
      <c r="AI677" s="97"/>
      <c r="AK677" s="97"/>
      <c r="AL677" s="97"/>
      <c r="AM677" s="97"/>
      <c r="AN677" s="97"/>
    </row>
    <row r="678" spans="24:40" ht="15" customHeight="1" x14ac:dyDescent="0.35">
      <c r="X678" s="97"/>
      <c r="Y678" s="97"/>
      <c r="Z678" s="97"/>
      <c r="AA678" s="97"/>
      <c r="AB678" s="97"/>
      <c r="AC678" s="97"/>
      <c r="AD678" s="97"/>
      <c r="AE678" s="97"/>
      <c r="AF678" s="97"/>
      <c r="AG678" s="97"/>
      <c r="AH678" s="97"/>
      <c r="AI678" s="97"/>
      <c r="AK678" s="97"/>
      <c r="AL678" s="97"/>
      <c r="AM678" s="97"/>
      <c r="AN678" s="97"/>
    </row>
    <row r="679" spans="24:40" ht="15" customHeight="1" x14ac:dyDescent="0.35">
      <c r="X679" s="97"/>
      <c r="Y679" s="97"/>
      <c r="Z679" s="97"/>
      <c r="AA679" s="97"/>
      <c r="AB679" s="97"/>
      <c r="AC679" s="97"/>
      <c r="AD679" s="97"/>
      <c r="AE679" s="97"/>
      <c r="AF679" s="97"/>
      <c r="AG679" s="97"/>
      <c r="AH679" s="97"/>
      <c r="AI679" s="97"/>
      <c r="AK679" s="97"/>
      <c r="AL679" s="97"/>
      <c r="AM679" s="97"/>
      <c r="AN679" s="97"/>
    </row>
    <row r="680" spans="24:40" ht="15" customHeight="1" x14ac:dyDescent="0.35">
      <c r="X680" s="97"/>
      <c r="Y680" s="97"/>
      <c r="Z680" s="97"/>
      <c r="AA680" s="97"/>
      <c r="AB680" s="97"/>
      <c r="AC680" s="97"/>
      <c r="AD680" s="97"/>
      <c r="AE680" s="97"/>
      <c r="AF680" s="97"/>
      <c r="AG680" s="97"/>
      <c r="AH680" s="97"/>
      <c r="AI680" s="97"/>
      <c r="AK680" s="97"/>
      <c r="AL680" s="97"/>
      <c r="AM680" s="97"/>
      <c r="AN680" s="97"/>
    </row>
    <row r="681" spans="24:40" ht="15" customHeight="1" x14ac:dyDescent="0.35">
      <c r="X681" s="97"/>
      <c r="Y681" s="97"/>
      <c r="Z681" s="97"/>
      <c r="AA681" s="97"/>
      <c r="AB681" s="97"/>
      <c r="AC681" s="97"/>
      <c r="AD681" s="97"/>
      <c r="AE681" s="97"/>
      <c r="AF681" s="97"/>
      <c r="AG681" s="97"/>
      <c r="AH681" s="97"/>
      <c r="AI681" s="97"/>
      <c r="AK681" s="97"/>
      <c r="AL681" s="97"/>
      <c r="AM681" s="97"/>
      <c r="AN681" s="97"/>
    </row>
    <row r="682" spans="24:40" ht="15" customHeight="1" x14ac:dyDescent="0.35">
      <c r="X682" s="97"/>
      <c r="Y682" s="97"/>
      <c r="Z682" s="97"/>
      <c r="AA682" s="97"/>
      <c r="AB682" s="97"/>
      <c r="AC682" s="97"/>
      <c r="AD682" s="97"/>
      <c r="AE682" s="97"/>
      <c r="AF682" s="97"/>
      <c r="AG682" s="97"/>
      <c r="AH682" s="97"/>
      <c r="AI682" s="97"/>
      <c r="AK682" s="97"/>
      <c r="AL682" s="97"/>
      <c r="AM682" s="97"/>
      <c r="AN682" s="97"/>
    </row>
    <row r="683" spans="24:40" ht="15" customHeight="1" x14ac:dyDescent="0.35">
      <c r="X683" s="97"/>
      <c r="Y683" s="97"/>
      <c r="Z683" s="97"/>
      <c r="AA683" s="97"/>
      <c r="AB683" s="97"/>
      <c r="AC683" s="97"/>
      <c r="AD683" s="97"/>
      <c r="AE683" s="97"/>
      <c r="AF683" s="97"/>
      <c r="AG683" s="97"/>
      <c r="AH683" s="97"/>
      <c r="AI683" s="97"/>
      <c r="AK683" s="97"/>
      <c r="AL683" s="97"/>
      <c r="AM683" s="97"/>
      <c r="AN683" s="97"/>
    </row>
    <row r="684" spans="24:40" ht="15" customHeight="1" x14ac:dyDescent="0.35">
      <c r="X684" s="97"/>
      <c r="Y684" s="97"/>
      <c r="Z684" s="97"/>
      <c r="AA684" s="97"/>
      <c r="AB684" s="97"/>
      <c r="AC684" s="97"/>
      <c r="AD684" s="97"/>
      <c r="AE684" s="97"/>
      <c r="AF684" s="97"/>
      <c r="AG684" s="97"/>
      <c r="AH684" s="97"/>
      <c r="AI684" s="97"/>
      <c r="AK684" s="97"/>
      <c r="AL684" s="97"/>
      <c r="AM684" s="97"/>
      <c r="AN684" s="97"/>
    </row>
    <row r="685" spans="24:40" ht="15" customHeight="1" x14ac:dyDescent="0.35">
      <c r="X685" s="97"/>
      <c r="Y685" s="97"/>
      <c r="Z685" s="97"/>
      <c r="AA685" s="97"/>
      <c r="AB685" s="97"/>
      <c r="AC685" s="97"/>
      <c r="AD685" s="97"/>
      <c r="AE685" s="97"/>
      <c r="AF685" s="97"/>
      <c r="AG685" s="97"/>
      <c r="AH685" s="97"/>
      <c r="AI685" s="97"/>
      <c r="AK685" s="97"/>
      <c r="AL685" s="97"/>
      <c r="AM685" s="97"/>
      <c r="AN685" s="97"/>
    </row>
    <row r="686" spans="24:40" ht="15" customHeight="1" x14ac:dyDescent="0.35">
      <c r="X686" s="97"/>
      <c r="Y686" s="97"/>
      <c r="Z686" s="97"/>
      <c r="AA686" s="97"/>
      <c r="AB686" s="97"/>
      <c r="AC686" s="97"/>
      <c r="AD686" s="97"/>
      <c r="AE686" s="97"/>
      <c r="AF686" s="97"/>
      <c r="AG686" s="97"/>
      <c r="AH686" s="97"/>
      <c r="AI686" s="97"/>
      <c r="AK686" s="97"/>
      <c r="AL686" s="97"/>
      <c r="AM686" s="97"/>
      <c r="AN686" s="97"/>
    </row>
    <row r="687" spans="24:40" ht="15" customHeight="1" x14ac:dyDescent="0.35">
      <c r="X687" s="97"/>
      <c r="Y687" s="97"/>
      <c r="Z687" s="97"/>
      <c r="AA687" s="97"/>
      <c r="AB687" s="97"/>
      <c r="AC687" s="97"/>
      <c r="AD687" s="97"/>
      <c r="AE687" s="97"/>
      <c r="AF687" s="97"/>
      <c r="AG687" s="97"/>
      <c r="AH687" s="97"/>
      <c r="AI687" s="97"/>
      <c r="AK687" s="97"/>
      <c r="AL687" s="97"/>
      <c r="AM687" s="97"/>
      <c r="AN687" s="97"/>
    </row>
    <row r="688" spans="24:40" ht="15" customHeight="1" x14ac:dyDescent="0.35">
      <c r="X688" s="97"/>
      <c r="Y688" s="97"/>
      <c r="Z688" s="97"/>
      <c r="AA688" s="97"/>
      <c r="AB688" s="97"/>
      <c r="AC688" s="97"/>
      <c r="AD688" s="97"/>
      <c r="AE688" s="97"/>
      <c r="AF688" s="97"/>
      <c r="AG688" s="97"/>
      <c r="AH688" s="97"/>
      <c r="AI688" s="97"/>
      <c r="AK688" s="97"/>
      <c r="AL688" s="97"/>
      <c r="AM688" s="97"/>
      <c r="AN688" s="97"/>
    </row>
    <row r="689" spans="24:40" ht="15" customHeight="1" x14ac:dyDescent="0.35">
      <c r="X689" s="97"/>
      <c r="Y689" s="97"/>
      <c r="Z689" s="97"/>
      <c r="AA689" s="97"/>
      <c r="AB689" s="97"/>
      <c r="AC689" s="97"/>
      <c r="AD689" s="97"/>
      <c r="AE689" s="97"/>
      <c r="AF689" s="97"/>
      <c r="AG689" s="97"/>
      <c r="AH689" s="97"/>
      <c r="AI689" s="97"/>
      <c r="AK689" s="97"/>
      <c r="AL689" s="97"/>
      <c r="AM689" s="97"/>
      <c r="AN689" s="97"/>
    </row>
    <row r="690" spans="24:40" ht="15" customHeight="1" x14ac:dyDescent="0.35">
      <c r="X690" s="97"/>
      <c r="Y690" s="97"/>
      <c r="Z690" s="97"/>
      <c r="AA690" s="97"/>
      <c r="AB690" s="97"/>
      <c r="AC690" s="97"/>
      <c r="AD690" s="97"/>
      <c r="AE690" s="97"/>
      <c r="AF690" s="97"/>
      <c r="AG690" s="97"/>
      <c r="AH690" s="97"/>
      <c r="AI690" s="97"/>
      <c r="AK690" s="97"/>
      <c r="AL690" s="97"/>
      <c r="AM690" s="97"/>
      <c r="AN690" s="97"/>
    </row>
    <row r="691" spans="24:40" ht="15" customHeight="1" x14ac:dyDescent="0.35">
      <c r="X691" s="97"/>
      <c r="Y691" s="97"/>
      <c r="Z691" s="97"/>
      <c r="AA691" s="97"/>
      <c r="AB691" s="97"/>
      <c r="AC691" s="97"/>
      <c r="AD691" s="97"/>
      <c r="AE691" s="97"/>
      <c r="AF691" s="97"/>
      <c r="AG691" s="97"/>
      <c r="AH691" s="97"/>
      <c r="AI691" s="97"/>
      <c r="AK691" s="97"/>
      <c r="AL691" s="97"/>
      <c r="AM691" s="97"/>
      <c r="AN691" s="97"/>
    </row>
    <row r="692" spans="24:40" ht="15" customHeight="1" x14ac:dyDescent="0.35">
      <c r="X692" s="97"/>
      <c r="Y692" s="97"/>
      <c r="Z692" s="97"/>
      <c r="AA692" s="97"/>
      <c r="AB692" s="97"/>
      <c r="AC692" s="97"/>
      <c r="AD692" s="97"/>
      <c r="AE692" s="97"/>
      <c r="AF692" s="97"/>
      <c r="AG692" s="97"/>
      <c r="AH692" s="97"/>
      <c r="AI692" s="97"/>
      <c r="AK692" s="97"/>
      <c r="AL692" s="97"/>
      <c r="AM692" s="97"/>
      <c r="AN692" s="97"/>
    </row>
    <row r="693" spans="24:40" ht="15" customHeight="1" x14ac:dyDescent="0.35">
      <c r="X693" s="97"/>
      <c r="Y693" s="97"/>
      <c r="Z693" s="97"/>
      <c r="AA693" s="97"/>
      <c r="AB693" s="97"/>
      <c r="AC693" s="97"/>
      <c r="AD693" s="97"/>
      <c r="AE693" s="97"/>
      <c r="AF693" s="97"/>
      <c r="AG693" s="97"/>
      <c r="AH693" s="97"/>
      <c r="AI693" s="97"/>
      <c r="AK693" s="97"/>
      <c r="AL693" s="97"/>
      <c r="AM693" s="97"/>
      <c r="AN693" s="97"/>
    </row>
    <row r="694" spans="24:40" ht="15" customHeight="1" x14ac:dyDescent="0.35">
      <c r="X694" s="97"/>
      <c r="Y694" s="97"/>
      <c r="Z694" s="97"/>
      <c r="AA694" s="97"/>
      <c r="AB694" s="97"/>
      <c r="AC694" s="97"/>
      <c r="AD694" s="97"/>
      <c r="AE694" s="97"/>
      <c r="AF694" s="97"/>
      <c r="AG694" s="97"/>
      <c r="AH694" s="97"/>
      <c r="AI694" s="97"/>
      <c r="AK694" s="97"/>
      <c r="AL694" s="97"/>
      <c r="AM694" s="97"/>
      <c r="AN694" s="97"/>
    </row>
    <row r="695" spans="24:40" ht="15" customHeight="1" x14ac:dyDescent="0.35">
      <c r="X695" s="97"/>
      <c r="Y695" s="97"/>
      <c r="Z695" s="97"/>
      <c r="AA695" s="97"/>
      <c r="AB695" s="97"/>
      <c r="AC695" s="97"/>
      <c r="AD695" s="97"/>
      <c r="AE695" s="97"/>
      <c r="AF695" s="97"/>
      <c r="AG695" s="97"/>
      <c r="AH695" s="97"/>
      <c r="AI695" s="97"/>
      <c r="AK695" s="97"/>
      <c r="AL695" s="97"/>
      <c r="AM695" s="97"/>
      <c r="AN695" s="97"/>
    </row>
    <row r="696" spans="24:40" ht="15" customHeight="1" x14ac:dyDescent="0.35">
      <c r="X696" s="97"/>
      <c r="Y696" s="97"/>
      <c r="Z696" s="97"/>
      <c r="AA696" s="97"/>
      <c r="AB696" s="97"/>
      <c r="AC696" s="97"/>
      <c r="AD696" s="97"/>
      <c r="AE696" s="97"/>
      <c r="AF696" s="97"/>
      <c r="AG696" s="97"/>
      <c r="AH696" s="97"/>
      <c r="AI696" s="97"/>
      <c r="AK696" s="97"/>
      <c r="AL696" s="97"/>
      <c r="AM696" s="97"/>
      <c r="AN696" s="97"/>
    </row>
    <row r="697" spans="24:40" ht="15" customHeight="1" x14ac:dyDescent="0.35">
      <c r="X697" s="97"/>
      <c r="Y697" s="97"/>
      <c r="Z697" s="97"/>
      <c r="AA697" s="97"/>
      <c r="AB697" s="97"/>
      <c r="AC697" s="97"/>
      <c r="AD697" s="97"/>
      <c r="AE697" s="97"/>
      <c r="AF697" s="97"/>
      <c r="AG697" s="97"/>
      <c r="AH697" s="97"/>
      <c r="AI697" s="97"/>
      <c r="AK697" s="97"/>
      <c r="AL697" s="97"/>
      <c r="AM697" s="97"/>
      <c r="AN697" s="97"/>
    </row>
    <row r="698" spans="24:40" ht="15" customHeight="1" x14ac:dyDescent="0.35">
      <c r="X698" s="97"/>
      <c r="Y698" s="97"/>
      <c r="Z698" s="97"/>
      <c r="AA698" s="97"/>
      <c r="AB698" s="97"/>
      <c r="AC698" s="97"/>
      <c r="AD698" s="97"/>
      <c r="AE698" s="97"/>
      <c r="AF698" s="97"/>
      <c r="AG698" s="97"/>
      <c r="AH698" s="97"/>
      <c r="AI698" s="97"/>
      <c r="AK698" s="97"/>
      <c r="AL698" s="97"/>
      <c r="AM698" s="97"/>
      <c r="AN698" s="97"/>
    </row>
    <row r="699" spans="24:40" ht="15" customHeight="1" x14ac:dyDescent="0.35">
      <c r="X699" s="97"/>
      <c r="Y699" s="97"/>
      <c r="Z699" s="97"/>
      <c r="AA699" s="97"/>
      <c r="AB699" s="97"/>
      <c r="AC699" s="97"/>
      <c r="AD699" s="97"/>
      <c r="AE699" s="97"/>
      <c r="AF699" s="97"/>
      <c r="AG699" s="97"/>
      <c r="AH699" s="97"/>
      <c r="AI699" s="97"/>
      <c r="AK699" s="97"/>
      <c r="AL699" s="97"/>
      <c r="AM699" s="97"/>
      <c r="AN699" s="97"/>
    </row>
    <row r="700" spans="24:40" ht="15" customHeight="1" x14ac:dyDescent="0.35">
      <c r="X700" s="97"/>
      <c r="Y700" s="97"/>
      <c r="Z700" s="97"/>
      <c r="AA700" s="97"/>
      <c r="AB700" s="97"/>
      <c r="AC700" s="97"/>
      <c r="AD700" s="97"/>
      <c r="AE700" s="97"/>
      <c r="AF700" s="97"/>
      <c r="AG700" s="97"/>
      <c r="AH700" s="97"/>
      <c r="AI700" s="97"/>
      <c r="AK700" s="97"/>
      <c r="AL700" s="97"/>
      <c r="AM700" s="97"/>
      <c r="AN700" s="97"/>
    </row>
    <row r="701" spans="24:40" ht="15" customHeight="1" x14ac:dyDescent="0.35">
      <c r="X701" s="97"/>
      <c r="Y701" s="97"/>
      <c r="Z701" s="97"/>
      <c r="AA701" s="97"/>
      <c r="AB701" s="97"/>
      <c r="AC701" s="97"/>
      <c r="AD701" s="97"/>
      <c r="AE701" s="97"/>
      <c r="AF701" s="97"/>
      <c r="AG701" s="97"/>
      <c r="AH701" s="97"/>
      <c r="AI701" s="97"/>
      <c r="AK701" s="97"/>
      <c r="AL701" s="97"/>
      <c r="AM701" s="97"/>
      <c r="AN701" s="97"/>
    </row>
    <row r="702" spans="24:40" ht="15" customHeight="1" x14ac:dyDescent="0.35">
      <c r="X702" s="97"/>
      <c r="Y702" s="97"/>
      <c r="Z702" s="97"/>
      <c r="AA702" s="97"/>
      <c r="AB702" s="97"/>
      <c r="AC702" s="97"/>
      <c r="AD702" s="97"/>
      <c r="AE702" s="97"/>
      <c r="AF702" s="97"/>
      <c r="AG702" s="97"/>
      <c r="AH702" s="97"/>
      <c r="AI702" s="97"/>
      <c r="AK702" s="97"/>
      <c r="AL702" s="97"/>
      <c r="AM702" s="97"/>
      <c r="AN702" s="97"/>
    </row>
    <row r="703" spans="24:40" ht="15" customHeight="1" x14ac:dyDescent="0.35">
      <c r="X703" s="97"/>
      <c r="Y703" s="97"/>
      <c r="Z703" s="97"/>
      <c r="AA703" s="97"/>
      <c r="AB703" s="97"/>
      <c r="AC703" s="97"/>
      <c r="AD703" s="97"/>
      <c r="AE703" s="97"/>
      <c r="AF703" s="97"/>
      <c r="AG703" s="97"/>
      <c r="AH703" s="97"/>
      <c r="AI703" s="97"/>
      <c r="AK703" s="97"/>
      <c r="AL703" s="97"/>
      <c r="AM703" s="97"/>
      <c r="AN703" s="97"/>
    </row>
    <row r="704" spans="24:40" ht="15" customHeight="1" x14ac:dyDescent="0.35">
      <c r="X704" s="97"/>
      <c r="Y704" s="97"/>
      <c r="Z704" s="97"/>
      <c r="AA704" s="97"/>
      <c r="AB704" s="97"/>
      <c r="AC704" s="97"/>
      <c r="AD704" s="97"/>
      <c r="AE704" s="97"/>
      <c r="AF704" s="97"/>
      <c r="AG704" s="97"/>
      <c r="AH704" s="97"/>
      <c r="AI704" s="97"/>
      <c r="AK704" s="97"/>
      <c r="AL704" s="97"/>
      <c r="AM704" s="97"/>
      <c r="AN704" s="97"/>
    </row>
    <row r="705" spans="24:40" ht="15" customHeight="1" x14ac:dyDescent="0.35">
      <c r="X705" s="97"/>
      <c r="Y705" s="97"/>
      <c r="Z705" s="97"/>
      <c r="AA705" s="97"/>
      <c r="AB705" s="97"/>
      <c r="AC705" s="97"/>
      <c r="AD705" s="97"/>
      <c r="AE705" s="97"/>
      <c r="AF705" s="97"/>
      <c r="AG705" s="97"/>
      <c r="AH705" s="97"/>
      <c r="AI705" s="97"/>
      <c r="AK705" s="97"/>
      <c r="AL705" s="97"/>
      <c r="AM705" s="97"/>
      <c r="AN705" s="97"/>
    </row>
    <row r="706" spans="24:40" ht="15" customHeight="1" x14ac:dyDescent="0.35">
      <c r="X706" s="97"/>
      <c r="Y706" s="97"/>
      <c r="Z706" s="97"/>
      <c r="AA706" s="97"/>
      <c r="AB706" s="97"/>
      <c r="AC706" s="97"/>
      <c r="AD706" s="97"/>
      <c r="AE706" s="97"/>
      <c r="AF706" s="97"/>
      <c r="AG706" s="97"/>
      <c r="AH706" s="97"/>
      <c r="AI706" s="97"/>
      <c r="AK706" s="97"/>
      <c r="AL706" s="97"/>
      <c r="AM706" s="97"/>
      <c r="AN706" s="97"/>
    </row>
    <row r="707" spans="24:40" ht="15" customHeight="1" x14ac:dyDescent="0.35">
      <c r="X707" s="97"/>
      <c r="Y707" s="97"/>
      <c r="Z707" s="97"/>
      <c r="AA707" s="97"/>
      <c r="AB707" s="97"/>
      <c r="AC707" s="97"/>
      <c r="AD707" s="97"/>
      <c r="AE707" s="97"/>
      <c r="AF707" s="97"/>
      <c r="AG707" s="97"/>
      <c r="AH707" s="97"/>
      <c r="AI707" s="97"/>
      <c r="AK707" s="97"/>
      <c r="AL707" s="97"/>
      <c r="AM707" s="97"/>
      <c r="AN707" s="97"/>
    </row>
    <row r="708" spans="24:40" ht="15" customHeight="1" x14ac:dyDescent="0.35">
      <c r="X708" s="97"/>
      <c r="Y708" s="97"/>
      <c r="Z708" s="97"/>
      <c r="AA708" s="97"/>
      <c r="AB708" s="97"/>
      <c r="AC708" s="97"/>
      <c r="AD708" s="97"/>
      <c r="AE708" s="97"/>
      <c r="AF708" s="97"/>
      <c r="AG708" s="97"/>
      <c r="AH708" s="97"/>
      <c r="AI708" s="97"/>
      <c r="AK708" s="97"/>
      <c r="AL708" s="97"/>
      <c r="AM708" s="97"/>
      <c r="AN708" s="97"/>
    </row>
    <row r="709" spans="24:40" ht="15" customHeight="1" x14ac:dyDescent="0.35">
      <c r="X709" s="97"/>
      <c r="Y709" s="97"/>
      <c r="Z709" s="97"/>
      <c r="AA709" s="97"/>
      <c r="AB709" s="97"/>
      <c r="AC709" s="97"/>
      <c r="AD709" s="97"/>
      <c r="AE709" s="97"/>
      <c r="AF709" s="97"/>
      <c r="AG709" s="97"/>
      <c r="AH709" s="97"/>
      <c r="AI709" s="97"/>
      <c r="AK709" s="97"/>
      <c r="AL709" s="97"/>
      <c r="AM709" s="97"/>
      <c r="AN709" s="97"/>
    </row>
    <row r="710" spans="24:40" ht="15" customHeight="1" x14ac:dyDescent="0.35">
      <c r="X710" s="97"/>
      <c r="Y710" s="97"/>
      <c r="Z710" s="97"/>
      <c r="AA710" s="97"/>
      <c r="AB710" s="97"/>
      <c r="AC710" s="97"/>
      <c r="AD710" s="97"/>
      <c r="AE710" s="97"/>
      <c r="AF710" s="97"/>
      <c r="AG710" s="97"/>
      <c r="AH710" s="97"/>
      <c r="AI710" s="97"/>
      <c r="AK710" s="97"/>
      <c r="AL710" s="97"/>
      <c r="AM710" s="97"/>
      <c r="AN710" s="97"/>
    </row>
    <row r="711" spans="24:40" ht="15" customHeight="1" x14ac:dyDescent="0.35">
      <c r="X711" s="97"/>
      <c r="Y711" s="97"/>
      <c r="Z711" s="97"/>
      <c r="AA711" s="97"/>
      <c r="AB711" s="97"/>
      <c r="AC711" s="97"/>
      <c r="AD711" s="97"/>
      <c r="AE711" s="97"/>
      <c r="AF711" s="97"/>
      <c r="AG711" s="97"/>
      <c r="AH711" s="97"/>
      <c r="AI711" s="97"/>
      <c r="AK711" s="97"/>
      <c r="AL711" s="97"/>
      <c r="AM711" s="97"/>
      <c r="AN711" s="97"/>
    </row>
    <row r="712" spans="24:40" ht="15" customHeight="1" x14ac:dyDescent="0.35">
      <c r="X712" s="97"/>
      <c r="Y712" s="97"/>
      <c r="Z712" s="97"/>
      <c r="AA712" s="97"/>
      <c r="AB712" s="97"/>
      <c r="AC712" s="97"/>
      <c r="AD712" s="97"/>
      <c r="AE712" s="97"/>
      <c r="AF712" s="97"/>
      <c r="AG712" s="97"/>
      <c r="AH712" s="97"/>
      <c r="AI712" s="97"/>
      <c r="AK712" s="97"/>
      <c r="AL712" s="97"/>
      <c r="AM712" s="97"/>
      <c r="AN712" s="97"/>
    </row>
    <row r="713" spans="24:40" ht="15" customHeight="1" x14ac:dyDescent="0.35">
      <c r="X713" s="97"/>
      <c r="Y713" s="97"/>
      <c r="Z713" s="97"/>
      <c r="AA713" s="97"/>
      <c r="AB713" s="97"/>
      <c r="AC713" s="97"/>
      <c r="AD713" s="97"/>
      <c r="AE713" s="97"/>
      <c r="AF713" s="97"/>
      <c r="AG713" s="97"/>
      <c r="AH713" s="97"/>
      <c r="AI713" s="97"/>
      <c r="AK713" s="97"/>
      <c r="AL713" s="97"/>
      <c r="AM713" s="97"/>
      <c r="AN713" s="97"/>
    </row>
    <row r="714" spans="24:40" ht="15" customHeight="1" x14ac:dyDescent="0.35">
      <c r="X714" s="97"/>
      <c r="Y714" s="97"/>
      <c r="Z714" s="97"/>
      <c r="AA714" s="97"/>
      <c r="AB714" s="97"/>
      <c r="AC714" s="97"/>
      <c r="AD714" s="97"/>
      <c r="AE714" s="97"/>
      <c r="AF714" s="97"/>
      <c r="AG714" s="97"/>
      <c r="AH714" s="97"/>
      <c r="AI714" s="97"/>
      <c r="AK714" s="97"/>
      <c r="AL714" s="97"/>
      <c r="AM714" s="97"/>
      <c r="AN714" s="97"/>
    </row>
    <row r="715" spans="24:40" ht="15" customHeight="1" x14ac:dyDescent="0.35">
      <c r="X715" s="97"/>
      <c r="Y715" s="97"/>
      <c r="Z715" s="97"/>
      <c r="AA715" s="97"/>
      <c r="AB715" s="97"/>
      <c r="AC715" s="97"/>
      <c r="AD715" s="97"/>
      <c r="AE715" s="97"/>
      <c r="AF715" s="97"/>
      <c r="AG715" s="97"/>
      <c r="AH715" s="97"/>
      <c r="AI715" s="97"/>
      <c r="AK715" s="97"/>
      <c r="AL715" s="97"/>
      <c r="AM715" s="97"/>
      <c r="AN715" s="97"/>
    </row>
    <row r="716" spans="24:40" ht="15" customHeight="1" x14ac:dyDescent="0.35">
      <c r="X716" s="97"/>
      <c r="Y716" s="97"/>
      <c r="Z716" s="97"/>
      <c r="AA716" s="97"/>
      <c r="AB716" s="97"/>
      <c r="AC716" s="97"/>
      <c r="AD716" s="97"/>
      <c r="AE716" s="97"/>
      <c r="AF716" s="97"/>
      <c r="AG716" s="97"/>
      <c r="AH716" s="97"/>
      <c r="AI716" s="97"/>
      <c r="AK716" s="97"/>
      <c r="AL716" s="97"/>
      <c r="AM716" s="97"/>
      <c r="AN716" s="97"/>
    </row>
    <row r="717" spans="24:40" ht="15" customHeight="1" x14ac:dyDescent="0.35">
      <c r="X717" s="97"/>
      <c r="Y717" s="97"/>
      <c r="Z717" s="97"/>
      <c r="AA717" s="97"/>
      <c r="AB717" s="97"/>
      <c r="AC717" s="97"/>
      <c r="AD717" s="97"/>
      <c r="AE717" s="97"/>
      <c r="AF717" s="97"/>
      <c r="AG717" s="97"/>
      <c r="AH717" s="97"/>
      <c r="AI717" s="97"/>
      <c r="AK717" s="97"/>
      <c r="AL717" s="97"/>
      <c r="AM717" s="97"/>
      <c r="AN717" s="97"/>
    </row>
    <row r="718" spans="24:40" ht="15" customHeight="1" x14ac:dyDescent="0.35">
      <c r="X718" s="97"/>
      <c r="Y718" s="97"/>
      <c r="Z718" s="97"/>
      <c r="AA718" s="97"/>
      <c r="AB718" s="97"/>
      <c r="AC718" s="97"/>
      <c r="AD718" s="97"/>
      <c r="AE718" s="97"/>
      <c r="AF718" s="97"/>
      <c r="AG718" s="97"/>
      <c r="AH718" s="97"/>
      <c r="AI718" s="97"/>
      <c r="AK718" s="97"/>
      <c r="AL718" s="97"/>
      <c r="AM718" s="97"/>
      <c r="AN718" s="97"/>
    </row>
    <row r="719" spans="24:40" ht="15" customHeight="1" x14ac:dyDescent="0.35">
      <c r="X719" s="97"/>
      <c r="Y719" s="97"/>
      <c r="Z719" s="97"/>
      <c r="AA719" s="97"/>
      <c r="AB719" s="97"/>
      <c r="AC719" s="97"/>
      <c r="AD719" s="97"/>
      <c r="AE719" s="97"/>
      <c r="AF719" s="97"/>
      <c r="AG719" s="97"/>
      <c r="AH719" s="97"/>
      <c r="AI719" s="97"/>
      <c r="AK719" s="97"/>
      <c r="AL719" s="97"/>
      <c r="AM719" s="97"/>
      <c r="AN719" s="97"/>
    </row>
    <row r="720" spans="24:40" ht="15" customHeight="1" x14ac:dyDescent="0.35">
      <c r="X720" s="97"/>
      <c r="Y720" s="97"/>
      <c r="Z720" s="97"/>
      <c r="AA720" s="97"/>
      <c r="AB720" s="97"/>
      <c r="AC720" s="97"/>
      <c r="AD720" s="97"/>
      <c r="AE720" s="97"/>
      <c r="AF720" s="97"/>
      <c r="AG720" s="97"/>
      <c r="AH720" s="97"/>
      <c r="AI720" s="97"/>
      <c r="AK720" s="97"/>
      <c r="AL720" s="97"/>
      <c r="AM720" s="97"/>
      <c r="AN720" s="97"/>
    </row>
    <row r="721" spans="24:40" ht="15" customHeight="1" x14ac:dyDescent="0.35">
      <c r="X721" s="97"/>
      <c r="Y721" s="97"/>
      <c r="Z721" s="97"/>
      <c r="AA721" s="97"/>
      <c r="AB721" s="97"/>
      <c r="AC721" s="97"/>
      <c r="AD721" s="97"/>
      <c r="AE721" s="97"/>
      <c r="AF721" s="97"/>
      <c r="AG721" s="97"/>
      <c r="AH721" s="97"/>
      <c r="AI721" s="97"/>
      <c r="AK721" s="97"/>
      <c r="AL721" s="97"/>
      <c r="AM721" s="97"/>
      <c r="AN721" s="97"/>
    </row>
    <row r="722" spans="24:40" ht="15" customHeight="1" x14ac:dyDescent="0.35">
      <c r="X722" s="97"/>
      <c r="Y722" s="97"/>
      <c r="Z722" s="97"/>
      <c r="AA722" s="97"/>
      <c r="AB722" s="97"/>
      <c r="AC722" s="97"/>
      <c r="AD722" s="97"/>
      <c r="AE722" s="97"/>
      <c r="AF722" s="97"/>
      <c r="AG722" s="97"/>
      <c r="AH722" s="97"/>
      <c r="AI722" s="97"/>
      <c r="AK722" s="97"/>
      <c r="AL722" s="97"/>
      <c r="AM722" s="97"/>
      <c r="AN722" s="97"/>
    </row>
    <row r="723" spans="24:40" ht="15" customHeight="1" x14ac:dyDescent="0.35">
      <c r="X723" s="97"/>
      <c r="Y723" s="97"/>
      <c r="Z723" s="97"/>
      <c r="AA723" s="97"/>
      <c r="AB723" s="97"/>
      <c r="AC723" s="97"/>
      <c r="AD723" s="97"/>
      <c r="AE723" s="97"/>
      <c r="AF723" s="97"/>
      <c r="AG723" s="97"/>
      <c r="AH723" s="97"/>
      <c r="AI723" s="97"/>
      <c r="AK723" s="97"/>
      <c r="AL723" s="97"/>
      <c r="AM723" s="97"/>
      <c r="AN723" s="97"/>
    </row>
    <row r="724" spans="24:40" ht="15" customHeight="1" x14ac:dyDescent="0.35">
      <c r="X724" s="97"/>
      <c r="Y724" s="97"/>
      <c r="Z724" s="97"/>
      <c r="AA724" s="97"/>
      <c r="AB724" s="97"/>
      <c r="AC724" s="97"/>
      <c r="AD724" s="97"/>
      <c r="AE724" s="97"/>
      <c r="AF724" s="97"/>
      <c r="AG724" s="97"/>
      <c r="AH724" s="97"/>
      <c r="AI724" s="97"/>
      <c r="AK724" s="97"/>
      <c r="AL724" s="97"/>
      <c r="AM724" s="97"/>
      <c r="AN724" s="97"/>
    </row>
    <row r="725" spans="24:40" ht="15" customHeight="1" x14ac:dyDescent="0.35">
      <c r="X725" s="97"/>
      <c r="Y725" s="97"/>
      <c r="Z725" s="97"/>
      <c r="AA725" s="97"/>
      <c r="AB725" s="97"/>
      <c r="AC725" s="97"/>
      <c r="AD725" s="97"/>
      <c r="AE725" s="97"/>
      <c r="AF725" s="97"/>
      <c r="AG725" s="97"/>
      <c r="AH725" s="97"/>
      <c r="AI725" s="97"/>
      <c r="AK725" s="97"/>
      <c r="AL725" s="97"/>
      <c r="AM725" s="97"/>
      <c r="AN725" s="97"/>
    </row>
    <row r="726" spans="24:40" ht="15" customHeight="1" x14ac:dyDescent="0.35">
      <c r="X726" s="97"/>
      <c r="Y726" s="97"/>
      <c r="Z726" s="97"/>
      <c r="AA726" s="97"/>
      <c r="AB726" s="97"/>
      <c r="AC726" s="97"/>
      <c r="AD726" s="97"/>
      <c r="AE726" s="97"/>
      <c r="AF726" s="97"/>
      <c r="AG726" s="97"/>
      <c r="AH726" s="97"/>
      <c r="AI726" s="97"/>
      <c r="AK726" s="97"/>
      <c r="AL726" s="97"/>
      <c r="AM726" s="97"/>
      <c r="AN726" s="97"/>
    </row>
    <row r="727" spans="24:40" ht="15" customHeight="1" x14ac:dyDescent="0.35">
      <c r="X727" s="97"/>
      <c r="Y727" s="97"/>
      <c r="Z727" s="97"/>
      <c r="AA727" s="97"/>
      <c r="AB727" s="97"/>
      <c r="AC727" s="97"/>
      <c r="AD727" s="97"/>
      <c r="AE727" s="97"/>
      <c r="AF727" s="97"/>
      <c r="AG727" s="97"/>
      <c r="AH727" s="97"/>
      <c r="AI727" s="97"/>
      <c r="AK727" s="97"/>
      <c r="AL727" s="97"/>
      <c r="AM727" s="97"/>
      <c r="AN727" s="97"/>
    </row>
    <row r="728" spans="24:40" ht="15" customHeight="1" x14ac:dyDescent="0.35">
      <c r="X728" s="97"/>
      <c r="Y728" s="97"/>
      <c r="Z728" s="97"/>
      <c r="AA728" s="97"/>
      <c r="AB728" s="97"/>
      <c r="AC728" s="97"/>
      <c r="AD728" s="97"/>
      <c r="AE728" s="97"/>
      <c r="AF728" s="97"/>
      <c r="AG728" s="97"/>
      <c r="AH728" s="97"/>
      <c r="AI728" s="97"/>
      <c r="AK728" s="97"/>
      <c r="AL728" s="97"/>
      <c r="AM728" s="97"/>
      <c r="AN728" s="97"/>
    </row>
    <row r="729" spans="24:40" ht="15" customHeight="1" x14ac:dyDescent="0.35">
      <c r="X729" s="97"/>
      <c r="Y729" s="97"/>
      <c r="Z729" s="97"/>
      <c r="AA729" s="97"/>
      <c r="AB729" s="97"/>
      <c r="AC729" s="97"/>
      <c r="AD729" s="97"/>
      <c r="AE729" s="97"/>
      <c r="AF729" s="97"/>
      <c r="AG729" s="97"/>
      <c r="AH729" s="97"/>
      <c r="AI729" s="97"/>
      <c r="AK729" s="97"/>
      <c r="AL729" s="97"/>
      <c r="AM729" s="97"/>
      <c r="AN729" s="97"/>
    </row>
    <row r="730" spans="24:40" ht="15" customHeight="1" x14ac:dyDescent="0.35">
      <c r="X730" s="97"/>
      <c r="Y730" s="97"/>
      <c r="Z730" s="97"/>
      <c r="AA730" s="97"/>
      <c r="AB730" s="97"/>
      <c r="AC730" s="97"/>
      <c r="AD730" s="97"/>
      <c r="AE730" s="97"/>
      <c r="AF730" s="97"/>
      <c r="AG730" s="97"/>
      <c r="AH730" s="97"/>
      <c r="AI730" s="97"/>
      <c r="AK730" s="97"/>
      <c r="AL730" s="97"/>
      <c r="AM730" s="97"/>
      <c r="AN730" s="97"/>
    </row>
    <row r="731" spans="24:40" ht="15" customHeight="1" x14ac:dyDescent="0.35">
      <c r="X731" s="97"/>
      <c r="Y731" s="97"/>
      <c r="Z731" s="97"/>
      <c r="AA731" s="97"/>
      <c r="AB731" s="97"/>
      <c r="AC731" s="97"/>
      <c r="AD731" s="97"/>
      <c r="AE731" s="97"/>
      <c r="AF731" s="97"/>
      <c r="AG731" s="97"/>
      <c r="AH731" s="97"/>
      <c r="AI731" s="97"/>
      <c r="AK731" s="97"/>
      <c r="AL731" s="97"/>
      <c r="AM731" s="97"/>
      <c r="AN731" s="97"/>
    </row>
    <row r="732" spans="24:40" ht="15" customHeight="1" x14ac:dyDescent="0.35">
      <c r="X732" s="97"/>
      <c r="Y732" s="97"/>
      <c r="Z732" s="97"/>
      <c r="AA732" s="97"/>
      <c r="AB732" s="97"/>
      <c r="AC732" s="97"/>
      <c r="AD732" s="97"/>
      <c r="AE732" s="97"/>
      <c r="AF732" s="97"/>
      <c r="AG732" s="97"/>
      <c r="AH732" s="97"/>
      <c r="AI732" s="97"/>
      <c r="AK732" s="97"/>
      <c r="AL732" s="97"/>
      <c r="AM732" s="97"/>
      <c r="AN732" s="97"/>
    </row>
    <row r="733" spans="24:40" ht="15" customHeight="1" x14ac:dyDescent="0.35">
      <c r="X733" s="97"/>
      <c r="Y733" s="97"/>
      <c r="Z733" s="97"/>
      <c r="AA733" s="97"/>
      <c r="AB733" s="97"/>
      <c r="AC733" s="97"/>
      <c r="AD733" s="97"/>
      <c r="AE733" s="97"/>
      <c r="AF733" s="97"/>
      <c r="AG733" s="97"/>
      <c r="AH733" s="97"/>
      <c r="AI733" s="97"/>
      <c r="AK733" s="97"/>
      <c r="AL733" s="97"/>
      <c r="AM733" s="97"/>
      <c r="AN733" s="97"/>
    </row>
    <row r="734" spans="24:40" ht="15" customHeight="1" x14ac:dyDescent="0.35">
      <c r="X734" s="97"/>
      <c r="Y734" s="97"/>
      <c r="Z734" s="97"/>
      <c r="AA734" s="97"/>
      <c r="AB734" s="97"/>
      <c r="AC734" s="97"/>
      <c r="AD734" s="97"/>
      <c r="AE734" s="97"/>
      <c r="AF734" s="97"/>
      <c r="AG734" s="97"/>
      <c r="AH734" s="97"/>
      <c r="AI734" s="97"/>
      <c r="AK734" s="97"/>
      <c r="AL734" s="97"/>
      <c r="AM734" s="97"/>
      <c r="AN734" s="97"/>
    </row>
    <row r="735" spans="24:40" ht="15" customHeight="1" x14ac:dyDescent="0.35">
      <c r="X735" s="97"/>
      <c r="Y735" s="97"/>
      <c r="Z735" s="97"/>
      <c r="AA735" s="97"/>
      <c r="AB735" s="97"/>
      <c r="AC735" s="97"/>
      <c r="AD735" s="97"/>
      <c r="AE735" s="97"/>
      <c r="AF735" s="97"/>
      <c r="AG735" s="97"/>
      <c r="AH735" s="97"/>
      <c r="AI735" s="97"/>
      <c r="AK735" s="97"/>
      <c r="AL735" s="97"/>
      <c r="AM735" s="97"/>
      <c r="AN735" s="97"/>
    </row>
    <row r="736" spans="24:40" ht="15" customHeight="1" x14ac:dyDescent="0.35">
      <c r="X736" s="97"/>
      <c r="Y736" s="97"/>
      <c r="Z736" s="97"/>
      <c r="AA736" s="97"/>
      <c r="AB736" s="97"/>
      <c r="AC736" s="97"/>
      <c r="AD736" s="97"/>
      <c r="AE736" s="97"/>
      <c r="AF736" s="97"/>
      <c r="AG736" s="97"/>
      <c r="AH736" s="97"/>
      <c r="AI736" s="97"/>
      <c r="AK736" s="97"/>
      <c r="AL736" s="97"/>
      <c r="AM736" s="97"/>
      <c r="AN736" s="97"/>
    </row>
    <row r="737" spans="24:40" ht="15" customHeight="1" x14ac:dyDescent="0.35">
      <c r="X737" s="97"/>
      <c r="Y737" s="97"/>
      <c r="Z737" s="97"/>
      <c r="AA737" s="97"/>
      <c r="AB737" s="97"/>
      <c r="AC737" s="97"/>
      <c r="AD737" s="97"/>
      <c r="AE737" s="97"/>
      <c r="AF737" s="97"/>
      <c r="AG737" s="97"/>
      <c r="AH737" s="97"/>
      <c r="AI737" s="97"/>
      <c r="AK737" s="97"/>
      <c r="AL737" s="97"/>
      <c r="AM737" s="97"/>
      <c r="AN737" s="97"/>
    </row>
    <row r="738" spans="24:40" ht="15" customHeight="1" x14ac:dyDescent="0.35">
      <c r="X738" s="97"/>
      <c r="Y738" s="97"/>
      <c r="Z738" s="97"/>
      <c r="AA738" s="97"/>
      <c r="AB738" s="97"/>
      <c r="AC738" s="97"/>
      <c r="AD738" s="97"/>
      <c r="AE738" s="97"/>
      <c r="AF738" s="97"/>
      <c r="AG738" s="97"/>
      <c r="AH738" s="97"/>
      <c r="AI738" s="97"/>
      <c r="AK738" s="97"/>
      <c r="AL738" s="97"/>
      <c r="AM738" s="97"/>
      <c r="AN738" s="97"/>
    </row>
    <row r="739" spans="24:40" ht="15" customHeight="1" x14ac:dyDescent="0.35">
      <c r="X739" s="97"/>
      <c r="Y739" s="97"/>
      <c r="Z739" s="97"/>
      <c r="AA739" s="97"/>
      <c r="AB739" s="97"/>
      <c r="AC739" s="97"/>
      <c r="AD739" s="97"/>
      <c r="AE739" s="97"/>
      <c r="AF739" s="97"/>
      <c r="AG739" s="97"/>
      <c r="AH739" s="97"/>
      <c r="AI739" s="97"/>
      <c r="AK739" s="97"/>
      <c r="AL739" s="97"/>
      <c r="AM739" s="97"/>
      <c r="AN739" s="97"/>
    </row>
    <row r="740" spans="24:40" ht="15" customHeight="1" x14ac:dyDescent="0.35">
      <c r="X740" s="97"/>
      <c r="Y740" s="97"/>
      <c r="Z740" s="97"/>
      <c r="AA740" s="97"/>
      <c r="AB740" s="97"/>
      <c r="AC740" s="97"/>
      <c r="AD740" s="97"/>
      <c r="AE740" s="97"/>
      <c r="AF740" s="97"/>
      <c r="AG740" s="97"/>
      <c r="AH740" s="97"/>
      <c r="AI740" s="97"/>
      <c r="AK740" s="97"/>
      <c r="AL740" s="97"/>
      <c r="AM740" s="97"/>
      <c r="AN740" s="97"/>
    </row>
    <row r="741" spans="24:40" ht="15" customHeight="1" x14ac:dyDescent="0.35">
      <c r="X741" s="97"/>
      <c r="Y741" s="97"/>
      <c r="Z741" s="97"/>
      <c r="AA741" s="97"/>
      <c r="AB741" s="97"/>
      <c r="AC741" s="97"/>
      <c r="AD741" s="97"/>
      <c r="AE741" s="97"/>
      <c r="AF741" s="97"/>
      <c r="AG741" s="97"/>
      <c r="AH741" s="97"/>
      <c r="AI741" s="97"/>
      <c r="AK741" s="97"/>
      <c r="AL741" s="97"/>
      <c r="AM741" s="97"/>
      <c r="AN741" s="97"/>
    </row>
    <row r="742" spans="24:40" ht="15" customHeight="1" x14ac:dyDescent="0.35">
      <c r="X742" s="97"/>
      <c r="Y742" s="97"/>
      <c r="Z742" s="97"/>
      <c r="AA742" s="97"/>
      <c r="AB742" s="97"/>
      <c r="AC742" s="97"/>
      <c r="AD742" s="97"/>
      <c r="AE742" s="97"/>
      <c r="AF742" s="97"/>
      <c r="AG742" s="97"/>
      <c r="AH742" s="97"/>
      <c r="AI742" s="97"/>
      <c r="AK742" s="97"/>
      <c r="AL742" s="97"/>
      <c r="AM742" s="97"/>
      <c r="AN742" s="97"/>
    </row>
    <row r="743" spans="24:40" ht="15" customHeight="1" x14ac:dyDescent="0.35">
      <c r="X743" s="97"/>
      <c r="Y743" s="97"/>
      <c r="Z743" s="97"/>
      <c r="AA743" s="97"/>
      <c r="AB743" s="97"/>
      <c r="AC743" s="97"/>
      <c r="AD743" s="97"/>
      <c r="AE743" s="97"/>
      <c r="AF743" s="97"/>
      <c r="AG743" s="97"/>
      <c r="AH743" s="97"/>
      <c r="AI743" s="97"/>
      <c r="AK743" s="97"/>
      <c r="AL743" s="97"/>
      <c r="AM743" s="97"/>
      <c r="AN743" s="97"/>
    </row>
    <row r="744" spans="24:40" ht="15" customHeight="1" x14ac:dyDescent="0.35">
      <c r="X744" s="97"/>
      <c r="Y744" s="97"/>
      <c r="Z744" s="97"/>
      <c r="AA744" s="97"/>
      <c r="AB744" s="97"/>
      <c r="AC744" s="97"/>
      <c r="AD744" s="97"/>
      <c r="AE744" s="97"/>
      <c r="AF744" s="97"/>
      <c r="AG744" s="97"/>
      <c r="AH744" s="97"/>
      <c r="AI744" s="97"/>
      <c r="AK744" s="97"/>
      <c r="AL744" s="97"/>
      <c r="AM744" s="97"/>
      <c r="AN744" s="97"/>
    </row>
    <row r="745" spans="24:40" ht="15" customHeight="1" x14ac:dyDescent="0.35">
      <c r="X745" s="97"/>
      <c r="Y745" s="97"/>
      <c r="Z745" s="97"/>
      <c r="AA745" s="97"/>
      <c r="AB745" s="97"/>
      <c r="AC745" s="97"/>
      <c r="AD745" s="97"/>
      <c r="AE745" s="97"/>
      <c r="AF745" s="97"/>
      <c r="AG745" s="97"/>
      <c r="AH745" s="97"/>
      <c r="AI745" s="97"/>
      <c r="AK745" s="97"/>
      <c r="AL745" s="97"/>
      <c r="AM745" s="97"/>
      <c r="AN745" s="97"/>
    </row>
    <row r="746" spans="24:40" ht="15" customHeight="1" x14ac:dyDescent="0.35">
      <c r="X746" s="97"/>
      <c r="Y746" s="97"/>
      <c r="Z746" s="97"/>
      <c r="AA746" s="97"/>
      <c r="AB746" s="97"/>
      <c r="AC746" s="97"/>
      <c r="AD746" s="97"/>
      <c r="AE746" s="97"/>
      <c r="AF746" s="97"/>
      <c r="AG746" s="97"/>
      <c r="AH746" s="97"/>
      <c r="AI746" s="97"/>
      <c r="AK746" s="97"/>
      <c r="AL746" s="97"/>
      <c r="AM746" s="97"/>
      <c r="AN746" s="97"/>
    </row>
    <row r="747" spans="24:40" ht="15" customHeight="1" x14ac:dyDescent="0.35">
      <c r="X747" s="97"/>
      <c r="Y747" s="97"/>
      <c r="Z747" s="97"/>
      <c r="AA747" s="97"/>
      <c r="AB747" s="97"/>
      <c r="AC747" s="97"/>
      <c r="AD747" s="97"/>
      <c r="AE747" s="97"/>
      <c r="AF747" s="97"/>
      <c r="AG747" s="97"/>
      <c r="AH747" s="97"/>
      <c r="AI747" s="97"/>
      <c r="AK747" s="97"/>
      <c r="AL747" s="97"/>
      <c r="AM747" s="97"/>
      <c r="AN747" s="97"/>
    </row>
    <row r="748" spans="24:40" ht="15" customHeight="1" x14ac:dyDescent="0.35">
      <c r="X748" s="97"/>
      <c r="Y748" s="97"/>
      <c r="Z748" s="97"/>
      <c r="AA748" s="97"/>
      <c r="AB748" s="97"/>
      <c r="AC748" s="97"/>
      <c r="AD748" s="97"/>
      <c r="AE748" s="97"/>
      <c r="AF748" s="97"/>
      <c r="AG748" s="97"/>
      <c r="AH748" s="97"/>
      <c r="AI748" s="97"/>
      <c r="AK748" s="97"/>
      <c r="AL748" s="97"/>
      <c r="AM748" s="97"/>
      <c r="AN748" s="97"/>
    </row>
    <row r="749" spans="24:40" ht="15" customHeight="1" x14ac:dyDescent="0.35">
      <c r="X749" s="97"/>
      <c r="Y749" s="97"/>
      <c r="Z749" s="97"/>
      <c r="AA749" s="97"/>
      <c r="AB749" s="97"/>
      <c r="AC749" s="97"/>
      <c r="AD749" s="97"/>
      <c r="AE749" s="97"/>
      <c r="AF749" s="97"/>
      <c r="AG749" s="97"/>
      <c r="AH749" s="97"/>
      <c r="AI749" s="97"/>
      <c r="AK749" s="97"/>
      <c r="AL749" s="97"/>
      <c r="AM749" s="97"/>
      <c r="AN749" s="97"/>
    </row>
    <row r="750" spans="24:40" ht="15" customHeight="1" x14ac:dyDescent="0.35">
      <c r="X750" s="97"/>
      <c r="Y750" s="97"/>
      <c r="Z750" s="97"/>
      <c r="AA750" s="97"/>
      <c r="AB750" s="97"/>
      <c r="AC750" s="97"/>
      <c r="AD750" s="97"/>
      <c r="AE750" s="97"/>
      <c r="AF750" s="97"/>
      <c r="AG750" s="97"/>
      <c r="AH750" s="97"/>
      <c r="AI750" s="97"/>
      <c r="AK750" s="97"/>
      <c r="AL750" s="97"/>
      <c r="AM750" s="97"/>
      <c r="AN750" s="97"/>
    </row>
    <row r="751" spans="24:40" ht="15" customHeight="1" x14ac:dyDescent="0.35">
      <c r="X751" s="97"/>
      <c r="Y751" s="97"/>
      <c r="Z751" s="97"/>
      <c r="AA751" s="97"/>
      <c r="AB751" s="97"/>
      <c r="AC751" s="97"/>
      <c r="AD751" s="97"/>
      <c r="AE751" s="97"/>
      <c r="AF751" s="97"/>
      <c r="AG751" s="97"/>
      <c r="AH751" s="97"/>
      <c r="AI751" s="97"/>
      <c r="AK751" s="97"/>
      <c r="AL751" s="97"/>
      <c r="AM751" s="97"/>
      <c r="AN751" s="97"/>
    </row>
    <row r="752" spans="24:40" ht="15" customHeight="1" x14ac:dyDescent="0.35">
      <c r="X752" s="97"/>
      <c r="Y752" s="97"/>
      <c r="Z752" s="97"/>
      <c r="AA752" s="97"/>
      <c r="AB752" s="97"/>
      <c r="AC752" s="97"/>
      <c r="AD752" s="97"/>
      <c r="AE752" s="97"/>
      <c r="AF752" s="97"/>
      <c r="AG752" s="97"/>
      <c r="AH752" s="97"/>
      <c r="AI752" s="97"/>
      <c r="AK752" s="97"/>
      <c r="AL752" s="97"/>
      <c r="AM752" s="97"/>
      <c r="AN752" s="97"/>
    </row>
    <row r="753" spans="24:40" ht="15" customHeight="1" x14ac:dyDescent="0.35">
      <c r="X753" s="97"/>
      <c r="Y753" s="97"/>
      <c r="Z753" s="97"/>
      <c r="AA753" s="97"/>
      <c r="AB753" s="97"/>
      <c r="AC753" s="97"/>
      <c r="AD753" s="97"/>
      <c r="AE753" s="97"/>
      <c r="AF753" s="97"/>
      <c r="AG753" s="97"/>
      <c r="AH753" s="97"/>
      <c r="AI753" s="97"/>
      <c r="AK753" s="97"/>
      <c r="AL753" s="97"/>
      <c r="AM753" s="97"/>
      <c r="AN753" s="97"/>
    </row>
    <row r="754" spans="24:40" ht="15" customHeight="1" x14ac:dyDescent="0.35">
      <c r="X754" s="97"/>
      <c r="Y754" s="97"/>
      <c r="Z754" s="97"/>
      <c r="AA754" s="97"/>
      <c r="AB754" s="97"/>
      <c r="AC754" s="97"/>
      <c r="AD754" s="97"/>
      <c r="AE754" s="97"/>
      <c r="AF754" s="97"/>
      <c r="AG754" s="97"/>
      <c r="AH754" s="97"/>
      <c r="AI754" s="97"/>
      <c r="AK754" s="97"/>
      <c r="AL754" s="97"/>
      <c r="AM754" s="97"/>
      <c r="AN754" s="97"/>
    </row>
    <row r="755" spans="24:40" ht="15" customHeight="1" x14ac:dyDescent="0.35">
      <c r="X755" s="97"/>
      <c r="Y755" s="97"/>
      <c r="Z755" s="97"/>
      <c r="AA755" s="97"/>
      <c r="AB755" s="97"/>
      <c r="AC755" s="97"/>
      <c r="AD755" s="97"/>
      <c r="AE755" s="97"/>
      <c r="AF755" s="97"/>
      <c r="AG755" s="97"/>
      <c r="AH755" s="97"/>
      <c r="AI755" s="97"/>
      <c r="AK755" s="97"/>
      <c r="AL755" s="97"/>
      <c r="AM755" s="97"/>
      <c r="AN755" s="97"/>
    </row>
    <row r="756" spans="24:40" ht="15" customHeight="1" x14ac:dyDescent="0.35">
      <c r="X756" s="97"/>
      <c r="Y756" s="97"/>
      <c r="Z756" s="97"/>
      <c r="AA756" s="97"/>
      <c r="AB756" s="97"/>
      <c r="AC756" s="97"/>
      <c r="AD756" s="97"/>
      <c r="AE756" s="97"/>
      <c r="AF756" s="97"/>
      <c r="AG756" s="97"/>
      <c r="AH756" s="97"/>
      <c r="AI756" s="97"/>
      <c r="AK756" s="97"/>
      <c r="AL756" s="97"/>
      <c r="AM756" s="97"/>
      <c r="AN756" s="97"/>
    </row>
    <row r="757" spans="24:40" ht="15" customHeight="1" x14ac:dyDescent="0.35">
      <c r="X757" s="97"/>
      <c r="Y757" s="97"/>
      <c r="Z757" s="97"/>
      <c r="AA757" s="97"/>
      <c r="AB757" s="97"/>
      <c r="AC757" s="97"/>
      <c r="AD757" s="97"/>
      <c r="AE757" s="97"/>
      <c r="AF757" s="97"/>
      <c r="AG757" s="97"/>
      <c r="AH757" s="97"/>
      <c r="AI757" s="97"/>
      <c r="AK757" s="97"/>
      <c r="AL757" s="97"/>
      <c r="AM757" s="97"/>
      <c r="AN757" s="97"/>
    </row>
    <row r="758" spans="24:40" ht="15" customHeight="1" x14ac:dyDescent="0.35">
      <c r="X758" s="97"/>
      <c r="Y758" s="97"/>
      <c r="Z758" s="97"/>
      <c r="AA758" s="97"/>
      <c r="AB758" s="97"/>
      <c r="AC758" s="97"/>
      <c r="AD758" s="97"/>
      <c r="AE758" s="97"/>
      <c r="AF758" s="97"/>
      <c r="AG758" s="97"/>
      <c r="AH758" s="97"/>
      <c r="AI758" s="97"/>
      <c r="AK758" s="97"/>
      <c r="AL758" s="97"/>
      <c r="AM758" s="97"/>
      <c r="AN758" s="97"/>
    </row>
    <row r="759" spans="24:40" ht="15" customHeight="1" x14ac:dyDescent="0.35">
      <c r="X759" s="97"/>
      <c r="Y759" s="97"/>
      <c r="Z759" s="97"/>
      <c r="AA759" s="97"/>
      <c r="AB759" s="97"/>
      <c r="AC759" s="97"/>
      <c r="AD759" s="97"/>
      <c r="AE759" s="97"/>
      <c r="AF759" s="97"/>
      <c r="AG759" s="97"/>
      <c r="AH759" s="97"/>
      <c r="AI759" s="97"/>
      <c r="AK759" s="97"/>
      <c r="AL759" s="97"/>
      <c r="AM759" s="97"/>
      <c r="AN759" s="97"/>
    </row>
    <row r="760" spans="24:40" ht="15" customHeight="1" x14ac:dyDescent="0.35">
      <c r="X760" s="97"/>
      <c r="Y760" s="97"/>
      <c r="Z760" s="97"/>
      <c r="AA760" s="97"/>
      <c r="AB760" s="97"/>
      <c r="AC760" s="97"/>
      <c r="AD760" s="97"/>
      <c r="AE760" s="97"/>
      <c r="AF760" s="97"/>
      <c r="AG760" s="97"/>
      <c r="AH760" s="97"/>
      <c r="AI760" s="97"/>
      <c r="AK760" s="97"/>
      <c r="AL760" s="97"/>
      <c r="AM760" s="97"/>
      <c r="AN760" s="97"/>
    </row>
    <row r="761" spans="24:40" ht="15" customHeight="1" x14ac:dyDescent="0.35">
      <c r="X761" s="97"/>
      <c r="Y761" s="97"/>
      <c r="Z761" s="97"/>
      <c r="AA761" s="97"/>
      <c r="AB761" s="97"/>
      <c r="AC761" s="97"/>
      <c r="AD761" s="97"/>
      <c r="AE761" s="97"/>
      <c r="AF761" s="97"/>
      <c r="AG761" s="97"/>
      <c r="AH761" s="97"/>
      <c r="AI761" s="97"/>
      <c r="AK761" s="97"/>
      <c r="AL761" s="97"/>
      <c r="AM761" s="97"/>
      <c r="AN761" s="97"/>
    </row>
    <row r="762" spans="24:40" ht="15" customHeight="1" x14ac:dyDescent="0.35">
      <c r="X762" s="97"/>
      <c r="Y762" s="97"/>
      <c r="Z762" s="97"/>
      <c r="AA762" s="97"/>
      <c r="AB762" s="97"/>
      <c r="AC762" s="97"/>
      <c r="AD762" s="97"/>
      <c r="AE762" s="97"/>
      <c r="AF762" s="97"/>
      <c r="AG762" s="97"/>
      <c r="AH762" s="97"/>
      <c r="AI762" s="97"/>
      <c r="AK762" s="97"/>
      <c r="AL762" s="97"/>
      <c r="AM762" s="97"/>
      <c r="AN762" s="97"/>
    </row>
    <row r="763" spans="24:40" ht="15" customHeight="1" x14ac:dyDescent="0.35">
      <c r="X763" s="97"/>
      <c r="Y763" s="97"/>
      <c r="Z763" s="97"/>
      <c r="AA763" s="97"/>
      <c r="AB763" s="97"/>
      <c r="AC763" s="97"/>
      <c r="AD763" s="97"/>
      <c r="AE763" s="97"/>
      <c r="AF763" s="97"/>
      <c r="AG763" s="97"/>
      <c r="AH763" s="97"/>
      <c r="AI763" s="97"/>
      <c r="AK763" s="97"/>
      <c r="AL763" s="97"/>
      <c r="AM763" s="97"/>
      <c r="AN763" s="97"/>
    </row>
    <row r="764" spans="24:40" ht="15" customHeight="1" x14ac:dyDescent="0.35">
      <c r="X764" s="97"/>
      <c r="Y764" s="97"/>
      <c r="Z764" s="97"/>
      <c r="AA764" s="97"/>
      <c r="AB764" s="97"/>
      <c r="AC764" s="97"/>
      <c r="AD764" s="97"/>
      <c r="AE764" s="97"/>
      <c r="AF764" s="97"/>
      <c r="AG764" s="97"/>
      <c r="AH764" s="97"/>
      <c r="AI764" s="97"/>
      <c r="AK764" s="97"/>
      <c r="AL764" s="97"/>
      <c r="AM764" s="97"/>
      <c r="AN764" s="97"/>
    </row>
    <row r="765" spans="24:40" ht="15" customHeight="1" x14ac:dyDescent="0.35">
      <c r="X765" s="97"/>
      <c r="Y765" s="97"/>
      <c r="Z765" s="97"/>
      <c r="AA765" s="97"/>
      <c r="AB765" s="97"/>
      <c r="AC765" s="97"/>
      <c r="AD765" s="97"/>
      <c r="AE765" s="97"/>
      <c r="AF765" s="97"/>
      <c r="AG765" s="97"/>
      <c r="AH765" s="97"/>
      <c r="AI765" s="97"/>
      <c r="AK765" s="97"/>
      <c r="AL765" s="97"/>
      <c r="AM765" s="97"/>
      <c r="AN765" s="97"/>
    </row>
    <row r="766" spans="24:40" ht="15" customHeight="1" x14ac:dyDescent="0.35">
      <c r="X766" s="97"/>
      <c r="Y766" s="97"/>
      <c r="Z766" s="97"/>
      <c r="AA766" s="97"/>
      <c r="AB766" s="97"/>
      <c r="AC766" s="97"/>
      <c r="AD766" s="97"/>
      <c r="AE766" s="97"/>
      <c r="AF766" s="97"/>
      <c r="AG766" s="97"/>
      <c r="AH766" s="97"/>
      <c r="AI766" s="97"/>
      <c r="AK766" s="97"/>
      <c r="AL766" s="97"/>
      <c r="AM766" s="97"/>
      <c r="AN766" s="97"/>
    </row>
    <row r="767" spans="24:40" ht="15" customHeight="1" x14ac:dyDescent="0.35">
      <c r="X767" s="97"/>
      <c r="Y767" s="97"/>
      <c r="Z767" s="97"/>
      <c r="AA767" s="97"/>
      <c r="AB767" s="97"/>
      <c r="AC767" s="97"/>
      <c r="AD767" s="97"/>
      <c r="AE767" s="97"/>
      <c r="AF767" s="97"/>
      <c r="AG767" s="97"/>
      <c r="AH767" s="97"/>
      <c r="AI767" s="97"/>
      <c r="AK767" s="97"/>
      <c r="AL767" s="97"/>
      <c r="AM767" s="97"/>
      <c r="AN767" s="97"/>
    </row>
    <row r="768" spans="24:40" ht="15" customHeight="1" x14ac:dyDescent="0.35">
      <c r="X768" s="97"/>
      <c r="Y768" s="97"/>
      <c r="Z768" s="97"/>
      <c r="AA768" s="97"/>
      <c r="AB768" s="97"/>
      <c r="AC768" s="97"/>
      <c r="AD768" s="97"/>
      <c r="AE768" s="97"/>
      <c r="AF768" s="97"/>
      <c r="AG768" s="97"/>
      <c r="AH768" s="97"/>
      <c r="AI768" s="97"/>
      <c r="AK768" s="97"/>
      <c r="AL768" s="97"/>
      <c r="AM768" s="97"/>
      <c r="AN768" s="97"/>
    </row>
    <row r="769" spans="24:40" ht="15" customHeight="1" x14ac:dyDescent="0.35">
      <c r="X769" s="97"/>
      <c r="Y769" s="97"/>
      <c r="Z769" s="97"/>
      <c r="AA769" s="97"/>
      <c r="AB769" s="97"/>
      <c r="AC769" s="97"/>
      <c r="AD769" s="97"/>
      <c r="AE769" s="97"/>
      <c r="AF769" s="97"/>
      <c r="AG769" s="97"/>
      <c r="AH769" s="97"/>
      <c r="AI769" s="97"/>
      <c r="AK769" s="97"/>
      <c r="AL769" s="97"/>
      <c r="AM769" s="97"/>
      <c r="AN769" s="97"/>
    </row>
    <row r="770" spans="24:40" ht="15" customHeight="1" x14ac:dyDescent="0.35">
      <c r="X770" s="97"/>
      <c r="Y770" s="97"/>
      <c r="Z770" s="97"/>
      <c r="AA770" s="97"/>
      <c r="AB770" s="97"/>
      <c r="AC770" s="97"/>
      <c r="AD770" s="97"/>
      <c r="AE770" s="97"/>
      <c r="AF770" s="97"/>
      <c r="AG770" s="97"/>
      <c r="AH770" s="97"/>
      <c r="AI770" s="97"/>
      <c r="AK770" s="97"/>
      <c r="AL770" s="97"/>
      <c r="AM770" s="97"/>
      <c r="AN770" s="97"/>
    </row>
    <row r="771" spans="24:40" ht="15" customHeight="1" x14ac:dyDescent="0.35">
      <c r="X771" s="97"/>
      <c r="Y771" s="97"/>
      <c r="Z771" s="97"/>
      <c r="AA771" s="97"/>
      <c r="AB771" s="97"/>
      <c r="AC771" s="97"/>
      <c r="AD771" s="97"/>
      <c r="AE771" s="97"/>
      <c r="AF771" s="97"/>
      <c r="AG771" s="97"/>
      <c r="AH771" s="97"/>
      <c r="AI771" s="97"/>
      <c r="AK771" s="97"/>
      <c r="AL771" s="97"/>
      <c r="AM771" s="97"/>
      <c r="AN771" s="97"/>
    </row>
    <row r="772" spans="24:40" ht="15" customHeight="1" x14ac:dyDescent="0.35">
      <c r="X772" s="97"/>
      <c r="Y772" s="97"/>
      <c r="Z772" s="97"/>
      <c r="AA772" s="97"/>
      <c r="AB772" s="97"/>
      <c r="AC772" s="97"/>
      <c r="AD772" s="97"/>
      <c r="AE772" s="97"/>
      <c r="AF772" s="97"/>
      <c r="AG772" s="97"/>
      <c r="AH772" s="97"/>
      <c r="AI772" s="97"/>
      <c r="AK772" s="97"/>
      <c r="AL772" s="97"/>
      <c r="AM772" s="97"/>
      <c r="AN772" s="97"/>
    </row>
    <row r="773" spans="24:40" ht="15" customHeight="1" x14ac:dyDescent="0.35">
      <c r="X773" s="97"/>
      <c r="Y773" s="97"/>
      <c r="Z773" s="97"/>
      <c r="AA773" s="97"/>
      <c r="AB773" s="97"/>
      <c r="AC773" s="97"/>
      <c r="AD773" s="97"/>
      <c r="AE773" s="97"/>
      <c r="AF773" s="97"/>
      <c r="AG773" s="97"/>
      <c r="AH773" s="97"/>
      <c r="AI773" s="97"/>
      <c r="AK773" s="97"/>
      <c r="AL773" s="97"/>
      <c r="AM773" s="97"/>
      <c r="AN773" s="97"/>
    </row>
    <row r="774" spans="24:40" ht="15" customHeight="1" x14ac:dyDescent="0.35">
      <c r="X774" s="97"/>
      <c r="Y774" s="97"/>
      <c r="Z774" s="97"/>
      <c r="AA774" s="97"/>
      <c r="AB774" s="97"/>
      <c r="AC774" s="97"/>
      <c r="AD774" s="97"/>
      <c r="AE774" s="97"/>
      <c r="AF774" s="97"/>
      <c r="AG774" s="97"/>
      <c r="AH774" s="97"/>
      <c r="AI774" s="97"/>
      <c r="AK774" s="97"/>
      <c r="AL774" s="97"/>
      <c r="AM774" s="97"/>
      <c r="AN774" s="97"/>
    </row>
    <row r="775" spans="24:40" ht="15" customHeight="1" x14ac:dyDescent="0.35">
      <c r="X775" s="97"/>
      <c r="Y775" s="97"/>
      <c r="Z775" s="97"/>
      <c r="AA775" s="97"/>
      <c r="AB775" s="97"/>
      <c r="AC775" s="97"/>
      <c r="AD775" s="97"/>
      <c r="AE775" s="97"/>
      <c r="AF775" s="97"/>
      <c r="AG775" s="97"/>
      <c r="AH775" s="97"/>
      <c r="AI775" s="97"/>
      <c r="AK775" s="97"/>
      <c r="AL775" s="97"/>
      <c r="AM775" s="97"/>
      <c r="AN775" s="97"/>
    </row>
    <row r="776" spans="24:40" ht="15" customHeight="1" x14ac:dyDescent="0.35">
      <c r="X776" s="97"/>
      <c r="Y776" s="97"/>
      <c r="Z776" s="97"/>
      <c r="AA776" s="97"/>
      <c r="AB776" s="97"/>
      <c r="AC776" s="97"/>
      <c r="AD776" s="97"/>
      <c r="AE776" s="97"/>
      <c r="AF776" s="97"/>
      <c r="AG776" s="97"/>
      <c r="AH776" s="97"/>
      <c r="AI776" s="97"/>
      <c r="AK776" s="97"/>
      <c r="AL776" s="97"/>
      <c r="AM776" s="97"/>
      <c r="AN776" s="97"/>
    </row>
    <row r="777" spans="24:40" ht="15" customHeight="1" x14ac:dyDescent="0.35">
      <c r="X777" s="97"/>
      <c r="Y777" s="97"/>
      <c r="Z777" s="97"/>
      <c r="AA777" s="97"/>
      <c r="AB777" s="97"/>
      <c r="AC777" s="97"/>
      <c r="AD777" s="97"/>
      <c r="AE777" s="97"/>
      <c r="AF777" s="97"/>
      <c r="AG777" s="97"/>
      <c r="AH777" s="97"/>
      <c r="AI777" s="97"/>
      <c r="AK777" s="97"/>
      <c r="AL777" s="97"/>
      <c r="AM777" s="97"/>
      <c r="AN777" s="97"/>
    </row>
    <row r="778" spans="24:40" ht="15" customHeight="1" x14ac:dyDescent="0.35">
      <c r="X778" s="97"/>
      <c r="Y778" s="97"/>
      <c r="Z778" s="97"/>
      <c r="AA778" s="97"/>
      <c r="AB778" s="97"/>
      <c r="AC778" s="97"/>
      <c r="AD778" s="97"/>
      <c r="AE778" s="97"/>
      <c r="AF778" s="97"/>
      <c r="AG778" s="97"/>
      <c r="AH778" s="97"/>
      <c r="AI778" s="97"/>
      <c r="AK778" s="97"/>
      <c r="AL778" s="97"/>
      <c r="AM778" s="97"/>
      <c r="AN778" s="97"/>
    </row>
    <row r="779" spans="24:40" ht="15" customHeight="1" x14ac:dyDescent="0.35">
      <c r="X779" s="97"/>
      <c r="Y779" s="97"/>
      <c r="Z779" s="97"/>
      <c r="AA779" s="97"/>
      <c r="AB779" s="97"/>
      <c r="AC779" s="97"/>
      <c r="AD779" s="97"/>
      <c r="AE779" s="97"/>
      <c r="AF779" s="97"/>
      <c r="AG779" s="97"/>
      <c r="AH779" s="97"/>
      <c r="AI779" s="97"/>
      <c r="AK779" s="97"/>
      <c r="AL779" s="97"/>
      <c r="AM779" s="97"/>
      <c r="AN779" s="97"/>
    </row>
    <row r="780" spans="24:40" ht="15" customHeight="1" x14ac:dyDescent="0.35">
      <c r="X780" s="97"/>
      <c r="Y780" s="97"/>
      <c r="Z780" s="97"/>
      <c r="AA780" s="97"/>
      <c r="AB780" s="97"/>
      <c r="AC780" s="97"/>
      <c r="AD780" s="97"/>
      <c r="AE780" s="97"/>
      <c r="AF780" s="97"/>
      <c r="AG780" s="97"/>
      <c r="AH780" s="97"/>
      <c r="AI780" s="97"/>
      <c r="AK780" s="97"/>
      <c r="AL780" s="97"/>
      <c r="AM780" s="97"/>
      <c r="AN780" s="97"/>
    </row>
    <row r="781" spans="24:40" ht="15" customHeight="1" x14ac:dyDescent="0.35">
      <c r="X781" s="97"/>
      <c r="Y781" s="97"/>
      <c r="Z781" s="97"/>
      <c r="AA781" s="97"/>
      <c r="AB781" s="97"/>
      <c r="AC781" s="97"/>
      <c r="AD781" s="97"/>
      <c r="AE781" s="97"/>
      <c r="AF781" s="97"/>
      <c r="AG781" s="97"/>
      <c r="AH781" s="97"/>
      <c r="AI781" s="97"/>
      <c r="AK781" s="97"/>
      <c r="AL781" s="97"/>
      <c r="AM781" s="97"/>
      <c r="AN781" s="97"/>
    </row>
    <row r="782" spans="24:40" ht="15" customHeight="1" x14ac:dyDescent="0.35">
      <c r="X782" s="97"/>
      <c r="Y782" s="97"/>
      <c r="Z782" s="97"/>
      <c r="AA782" s="97"/>
      <c r="AB782" s="97"/>
      <c r="AC782" s="97"/>
      <c r="AD782" s="97"/>
      <c r="AE782" s="97"/>
      <c r="AF782" s="97"/>
      <c r="AG782" s="97"/>
      <c r="AH782" s="97"/>
      <c r="AI782" s="97"/>
      <c r="AK782" s="97"/>
      <c r="AL782" s="97"/>
      <c r="AM782" s="97"/>
      <c r="AN782" s="97"/>
    </row>
    <row r="783" spans="24:40" ht="15" customHeight="1" x14ac:dyDescent="0.35">
      <c r="X783" s="97"/>
      <c r="Y783" s="97"/>
      <c r="Z783" s="97"/>
      <c r="AA783" s="97"/>
      <c r="AB783" s="97"/>
      <c r="AC783" s="97"/>
      <c r="AD783" s="97"/>
      <c r="AE783" s="97"/>
      <c r="AF783" s="97"/>
      <c r="AG783" s="97"/>
      <c r="AH783" s="97"/>
      <c r="AI783" s="97"/>
      <c r="AK783" s="97"/>
      <c r="AL783" s="97"/>
      <c r="AM783" s="97"/>
      <c r="AN783" s="97"/>
    </row>
    <row r="784" spans="24:40" ht="15" customHeight="1" x14ac:dyDescent="0.35">
      <c r="X784" s="97"/>
      <c r="Y784" s="97"/>
      <c r="Z784" s="97"/>
      <c r="AA784" s="97"/>
      <c r="AB784" s="97"/>
      <c r="AC784" s="97"/>
      <c r="AD784" s="97"/>
      <c r="AE784" s="97"/>
      <c r="AF784" s="97"/>
      <c r="AG784" s="97"/>
      <c r="AH784" s="97"/>
      <c r="AI784" s="97"/>
      <c r="AK784" s="97"/>
      <c r="AL784" s="97"/>
      <c r="AM784" s="97"/>
      <c r="AN784" s="97"/>
    </row>
    <row r="785" spans="24:40" ht="15" customHeight="1" x14ac:dyDescent="0.35">
      <c r="X785" s="97"/>
      <c r="Y785" s="97"/>
      <c r="Z785" s="97"/>
      <c r="AA785" s="97"/>
      <c r="AB785" s="97"/>
      <c r="AC785" s="97"/>
      <c r="AD785" s="97"/>
      <c r="AE785" s="97"/>
      <c r="AF785" s="97"/>
      <c r="AG785" s="97"/>
      <c r="AH785" s="97"/>
      <c r="AI785" s="97"/>
      <c r="AK785" s="97"/>
      <c r="AL785" s="97"/>
      <c r="AM785" s="97"/>
      <c r="AN785" s="97"/>
    </row>
    <row r="786" spans="24:40" ht="15" customHeight="1" x14ac:dyDescent="0.35">
      <c r="X786" s="97"/>
      <c r="Y786" s="97"/>
      <c r="Z786" s="97"/>
      <c r="AA786" s="97"/>
      <c r="AB786" s="97"/>
      <c r="AC786" s="97"/>
      <c r="AD786" s="97"/>
      <c r="AE786" s="97"/>
      <c r="AF786" s="97"/>
      <c r="AG786" s="97"/>
      <c r="AH786" s="97"/>
      <c r="AI786" s="97"/>
      <c r="AK786" s="97"/>
      <c r="AL786" s="97"/>
      <c r="AM786" s="97"/>
      <c r="AN786" s="97"/>
    </row>
    <row r="787" spans="24:40" x14ac:dyDescent="0.35">
      <c r="X787" s="97"/>
      <c r="Y787" s="97"/>
      <c r="Z787" s="97"/>
      <c r="AA787" s="97"/>
      <c r="AB787" s="97"/>
      <c r="AC787" s="97"/>
      <c r="AD787" s="97"/>
      <c r="AE787" s="97"/>
      <c r="AF787" s="97"/>
      <c r="AG787" s="97"/>
      <c r="AH787" s="97"/>
      <c r="AI787" s="97"/>
      <c r="AK787" s="97"/>
      <c r="AL787" s="97"/>
      <c r="AM787" s="97"/>
      <c r="AN787" s="97"/>
    </row>
    <row r="788" spans="24:40" x14ac:dyDescent="0.35">
      <c r="X788" s="97"/>
      <c r="Y788" s="97"/>
      <c r="Z788" s="97"/>
      <c r="AA788" s="97"/>
      <c r="AB788" s="97"/>
      <c r="AC788" s="97"/>
      <c r="AD788" s="97"/>
      <c r="AE788" s="97"/>
      <c r="AF788" s="97"/>
      <c r="AG788" s="97"/>
      <c r="AH788" s="97"/>
      <c r="AI788" s="97"/>
      <c r="AK788" s="97"/>
      <c r="AL788" s="97"/>
      <c r="AM788" s="97"/>
      <c r="AN788" s="97"/>
    </row>
    <row r="789" spans="24:40" x14ac:dyDescent="0.35">
      <c r="X789" s="97"/>
      <c r="Y789" s="97"/>
      <c r="Z789" s="97"/>
      <c r="AA789" s="97"/>
      <c r="AB789" s="97"/>
      <c r="AC789" s="97"/>
      <c r="AD789" s="97"/>
      <c r="AE789" s="97"/>
      <c r="AF789" s="97"/>
      <c r="AG789" s="97"/>
      <c r="AH789" s="97"/>
      <c r="AI789" s="97"/>
      <c r="AK789" s="97"/>
      <c r="AL789" s="97"/>
      <c r="AM789" s="97"/>
      <c r="AN789" s="97"/>
    </row>
    <row r="790" spans="24:40" x14ac:dyDescent="0.35">
      <c r="X790" s="97"/>
      <c r="Y790" s="97"/>
      <c r="Z790" s="97"/>
      <c r="AA790" s="97"/>
      <c r="AB790" s="97"/>
      <c r="AC790" s="97"/>
      <c r="AD790" s="97"/>
      <c r="AE790" s="97"/>
      <c r="AF790" s="97"/>
      <c r="AG790" s="97"/>
      <c r="AH790" s="97"/>
      <c r="AI790" s="97"/>
      <c r="AK790" s="97"/>
      <c r="AL790" s="97"/>
      <c r="AM790" s="97"/>
      <c r="AN790" s="97"/>
    </row>
    <row r="791" spans="24:40" x14ac:dyDescent="0.35">
      <c r="X791" s="97"/>
      <c r="Y791" s="97"/>
      <c r="Z791" s="97"/>
      <c r="AA791" s="97"/>
      <c r="AB791" s="97"/>
      <c r="AC791" s="97"/>
      <c r="AD791" s="97"/>
      <c r="AE791" s="97"/>
      <c r="AF791" s="97"/>
      <c r="AG791" s="97"/>
      <c r="AH791" s="97"/>
      <c r="AI791" s="97"/>
      <c r="AK791" s="97"/>
      <c r="AL791" s="97"/>
      <c r="AM791" s="97"/>
      <c r="AN791" s="97"/>
    </row>
    <row r="792" spans="24:40" x14ac:dyDescent="0.35">
      <c r="X792" s="97"/>
      <c r="Y792" s="97"/>
      <c r="Z792" s="97"/>
      <c r="AA792" s="97"/>
      <c r="AB792" s="97"/>
      <c r="AC792" s="97"/>
      <c r="AD792" s="97"/>
      <c r="AE792" s="97"/>
      <c r="AF792" s="97"/>
      <c r="AG792" s="97"/>
      <c r="AH792" s="97"/>
      <c r="AI792" s="97"/>
      <c r="AK792" s="97"/>
      <c r="AL792" s="97"/>
      <c r="AM792" s="97"/>
      <c r="AN792" s="97"/>
    </row>
    <row r="793" spans="24:40" x14ac:dyDescent="0.35">
      <c r="X793" s="97"/>
      <c r="Y793" s="97"/>
      <c r="Z793" s="97"/>
      <c r="AA793" s="97"/>
      <c r="AB793" s="97"/>
      <c r="AC793" s="97"/>
      <c r="AD793" s="97"/>
      <c r="AE793" s="97"/>
      <c r="AF793" s="97"/>
      <c r="AG793" s="97"/>
      <c r="AH793" s="97"/>
      <c r="AI793" s="97"/>
      <c r="AK793" s="97"/>
      <c r="AL793" s="97"/>
      <c r="AM793" s="97"/>
      <c r="AN793" s="97"/>
    </row>
    <row r="794" spans="24:40" x14ac:dyDescent="0.35">
      <c r="X794" s="97"/>
      <c r="Y794" s="97"/>
      <c r="Z794" s="97"/>
      <c r="AA794" s="97"/>
      <c r="AB794" s="97"/>
      <c r="AC794" s="97"/>
      <c r="AD794" s="97"/>
      <c r="AE794" s="97"/>
      <c r="AF794" s="97"/>
      <c r="AG794" s="97"/>
      <c r="AH794" s="97"/>
      <c r="AI794" s="97"/>
      <c r="AK794" s="97"/>
      <c r="AL794" s="97"/>
      <c r="AM794" s="97"/>
      <c r="AN794" s="97"/>
    </row>
    <row r="795" spans="24:40" x14ac:dyDescent="0.35">
      <c r="X795" s="97"/>
      <c r="Y795" s="97"/>
      <c r="Z795" s="97"/>
      <c r="AA795" s="97"/>
      <c r="AB795" s="97"/>
      <c r="AC795" s="97"/>
      <c r="AD795" s="97"/>
      <c r="AE795" s="97"/>
      <c r="AF795" s="97"/>
      <c r="AG795" s="97"/>
      <c r="AH795" s="97"/>
      <c r="AI795" s="97"/>
      <c r="AK795" s="97"/>
      <c r="AL795" s="97"/>
      <c r="AM795" s="97"/>
      <c r="AN795" s="97"/>
    </row>
    <row r="796" spans="24:40" x14ac:dyDescent="0.35">
      <c r="X796" s="97"/>
      <c r="Y796" s="97"/>
      <c r="Z796" s="97"/>
      <c r="AA796" s="97"/>
      <c r="AB796" s="97"/>
      <c r="AC796" s="97"/>
      <c r="AD796" s="97"/>
      <c r="AE796" s="97"/>
      <c r="AF796" s="97"/>
      <c r="AG796" s="97"/>
      <c r="AH796" s="97"/>
      <c r="AI796" s="97"/>
      <c r="AK796" s="97"/>
      <c r="AL796" s="97"/>
      <c r="AM796" s="97"/>
      <c r="AN796" s="97"/>
    </row>
    <row r="797" spans="24:40" x14ac:dyDescent="0.35">
      <c r="X797" s="97"/>
      <c r="Y797" s="97"/>
      <c r="Z797" s="97"/>
      <c r="AA797" s="97"/>
      <c r="AB797" s="97"/>
      <c r="AC797" s="97"/>
      <c r="AD797" s="97"/>
      <c r="AE797" s="97"/>
      <c r="AF797" s="97"/>
      <c r="AG797" s="97"/>
      <c r="AH797" s="97"/>
      <c r="AI797" s="97"/>
      <c r="AK797" s="97"/>
      <c r="AL797" s="97"/>
      <c r="AM797" s="97"/>
      <c r="AN797" s="97"/>
    </row>
    <row r="798" spans="24:40" x14ac:dyDescent="0.35">
      <c r="X798" s="97"/>
      <c r="Y798" s="97"/>
      <c r="Z798" s="97"/>
      <c r="AA798" s="97"/>
      <c r="AB798" s="97"/>
      <c r="AC798" s="97"/>
      <c r="AD798" s="97"/>
      <c r="AE798" s="97"/>
      <c r="AF798" s="97"/>
      <c r="AG798" s="97"/>
      <c r="AH798" s="97"/>
      <c r="AI798" s="97"/>
      <c r="AK798" s="97"/>
      <c r="AL798" s="97"/>
      <c r="AM798" s="97"/>
      <c r="AN798" s="97"/>
    </row>
    <row r="799" spans="24:40" x14ac:dyDescent="0.35">
      <c r="X799" s="97"/>
      <c r="Y799" s="97"/>
      <c r="Z799" s="97"/>
      <c r="AA799" s="97"/>
      <c r="AB799" s="97"/>
      <c r="AC799" s="97"/>
      <c r="AD799" s="97"/>
      <c r="AE799" s="97"/>
      <c r="AF799" s="97"/>
      <c r="AG799" s="97"/>
      <c r="AH799" s="97"/>
      <c r="AI799" s="97"/>
      <c r="AK799" s="97"/>
      <c r="AL799" s="97"/>
      <c r="AM799" s="97"/>
      <c r="AN799" s="97"/>
    </row>
    <row r="800" spans="24:40" x14ac:dyDescent="0.35">
      <c r="X800" s="97"/>
      <c r="Y800" s="97"/>
      <c r="Z800" s="97"/>
      <c r="AA800" s="97"/>
      <c r="AB800" s="97"/>
      <c r="AC800" s="97"/>
      <c r="AD800" s="97"/>
      <c r="AE800" s="97"/>
      <c r="AF800" s="97"/>
      <c r="AG800" s="97"/>
      <c r="AH800" s="97"/>
      <c r="AI800" s="97"/>
      <c r="AK800" s="97"/>
      <c r="AL800" s="97"/>
      <c r="AM800" s="97"/>
      <c r="AN800" s="97"/>
    </row>
    <row r="801" spans="24:40" x14ac:dyDescent="0.35">
      <c r="X801" s="97"/>
      <c r="Y801" s="97"/>
      <c r="Z801" s="97"/>
      <c r="AA801" s="97"/>
      <c r="AB801" s="97"/>
      <c r="AC801" s="97"/>
      <c r="AD801" s="97"/>
      <c r="AE801" s="97"/>
      <c r="AF801" s="97"/>
      <c r="AG801" s="97"/>
      <c r="AH801" s="97"/>
      <c r="AI801" s="97"/>
      <c r="AK801" s="97"/>
      <c r="AL801" s="97"/>
      <c r="AM801" s="97"/>
      <c r="AN801" s="97"/>
    </row>
    <row r="802" spans="24:40" x14ac:dyDescent="0.35">
      <c r="X802" s="97"/>
      <c r="Y802" s="97"/>
      <c r="Z802" s="97"/>
      <c r="AA802" s="97"/>
      <c r="AB802" s="97"/>
      <c r="AC802" s="97"/>
      <c r="AD802" s="97"/>
      <c r="AE802" s="97"/>
      <c r="AF802" s="97"/>
      <c r="AG802" s="97"/>
      <c r="AH802" s="97"/>
      <c r="AI802" s="97"/>
      <c r="AK802" s="97"/>
      <c r="AL802" s="97"/>
      <c r="AM802" s="97"/>
      <c r="AN802" s="97"/>
    </row>
    <row r="803" spans="24:40" x14ac:dyDescent="0.35">
      <c r="X803" s="97"/>
      <c r="Y803" s="97"/>
      <c r="Z803" s="97"/>
      <c r="AA803" s="97"/>
      <c r="AB803" s="97"/>
      <c r="AC803" s="97"/>
      <c r="AD803" s="97"/>
      <c r="AE803" s="97"/>
      <c r="AF803" s="97"/>
      <c r="AG803" s="97"/>
      <c r="AH803" s="97"/>
      <c r="AI803" s="97"/>
      <c r="AK803" s="97"/>
      <c r="AL803" s="97"/>
      <c r="AM803" s="97"/>
      <c r="AN803" s="97"/>
    </row>
    <row r="804" spans="24:40" x14ac:dyDescent="0.35">
      <c r="X804" s="97"/>
      <c r="Y804" s="97"/>
      <c r="Z804" s="97"/>
      <c r="AA804" s="97"/>
      <c r="AB804" s="97"/>
      <c r="AC804" s="97"/>
      <c r="AD804" s="97"/>
      <c r="AE804" s="97"/>
      <c r="AF804" s="97"/>
      <c r="AG804" s="97"/>
      <c r="AH804" s="97"/>
      <c r="AI804" s="97"/>
      <c r="AK804" s="97"/>
      <c r="AL804" s="97"/>
      <c r="AM804" s="97"/>
      <c r="AN804" s="97"/>
    </row>
    <row r="805" spans="24:40" x14ac:dyDescent="0.35">
      <c r="X805" s="97"/>
      <c r="Y805" s="97"/>
      <c r="Z805" s="97"/>
      <c r="AA805" s="97"/>
      <c r="AB805" s="97"/>
      <c r="AC805" s="97"/>
      <c r="AD805" s="97"/>
      <c r="AE805" s="97"/>
      <c r="AF805" s="97"/>
      <c r="AG805" s="97"/>
      <c r="AH805" s="97"/>
      <c r="AI805" s="97"/>
      <c r="AK805" s="97"/>
      <c r="AL805" s="97"/>
      <c r="AM805" s="97"/>
      <c r="AN805" s="97"/>
    </row>
    <row r="806" spans="24:40" x14ac:dyDescent="0.35">
      <c r="X806" s="97"/>
      <c r="Y806" s="97"/>
      <c r="Z806" s="97"/>
      <c r="AA806" s="97"/>
      <c r="AB806" s="97"/>
      <c r="AC806" s="97"/>
      <c r="AD806" s="97"/>
      <c r="AE806" s="97"/>
      <c r="AF806" s="97"/>
      <c r="AG806" s="97"/>
      <c r="AH806" s="97"/>
      <c r="AI806" s="97"/>
      <c r="AK806" s="97"/>
      <c r="AL806" s="97"/>
      <c r="AM806" s="97"/>
      <c r="AN806" s="97"/>
    </row>
    <row r="807" spans="24:40" x14ac:dyDescent="0.35">
      <c r="X807" s="97"/>
      <c r="Y807" s="97"/>
      <c r="Z807" s="97"/>
      <c r="AA807" s="97"/>
      <c r="AB807" s="97"/>
      <c r="AC807" s="97"/>
      <c r="AD807" s="97"/>
      <c r="AE807" s="97"/>
      <c r="AF807" s="97"/>
      <c r="AG807" s="97"/>
      <c r="AH807" s="97"/>
      <c r="AI807" s="97"/>
      <c r="AK807" s="97"/>
      <c r="AL807" s="97"/>
      <c r="AM807" s="97"/>
      <c r="AN807" s="97"/>
    </row>
    <row r="808" spans="24:40" x14ac:dyDescent="0.35">
      <c r="X808" s="97"/>
      <c r="Y808" s="97"/>
      <c r="Z808" s="97"/>
      <c r="AA808" s="97"/>
      <c r="AB808" s="97"/>
      <c r="AC808" s="97"/>
      <c r="AD808" s="97"/>
      <c r="AE808" s="97"/>
      <c r="AF808" s="97"/>
      <c r="AG808" s="97"/>
      <c r="AH808" s="97"/>
      <c r="AI808" s="97"/>
      <c r="AK808" s="97"/>
      <c r="AL808" s="97"/>
      <c r="AM808" s="97"/>
      <c r="AN808" s="97"/>
    </row>
    <row r="809" spans="24:40" x14ac:dyDescent="0.35">
      <c r="X809" s="97"/>
      <c r="Y809" s="97"/>
      <c r="Z809" s="97"/>
      <c r="AA809" s="97"/>
      <c r="AB809" s="97"/>
      <c r="AC809" s="97"/>
      <c r="AD809" s="97"/>
      <c r="AE809" s="97"/>
      <c r="AF809" s="97"/>
      <c r="AG809" s="97"/>
      <c r="AH809" s="97"/>
      <c r="AI809" s="97"/>
      <c r="AK809" s="97"/>
      <c r="AL809" s="97"/>
      <c r="AM809" s="97"/>
      <c r="AN809" s="97"/>
    </row>
    <row r="810" spans="24:40" x14ac:dyDescent="0.35">
      <c r="X810" s="97"/>
      <c r="Y810" s="97"/>
      <c r="Z810" s="97"/>
      <c r="AA810" s="97"/>
      <c r="AB810" s="97"/>
      <c r="AC810" s="97"/>
      <c r="AD810" s="97"/>
      <c r="AE810" s="97"/>
      <c r="AF810" s="97"/>
      <c r="AG810" s="97"/>
      <c r="AH810" s="97"/>
      <c r="AI810" s="97"/>
      <c r="AK810" s="97"/>
      <c r="AL810" s="97"/>
      <c r="AM810" s="97"/>
      <c r="AN810" s="97"/>
    </row>
    <row r="811" spans="24:40" x14ac:dyDescent="0.35">
      <c r="X811" s="97"/>
      <c r="Y811" s="97"/>
      <c r="Z811" s="97"/>
      <c r="AA811" s="97"/>
      <c r="AB811" s="97"/>
      <c r="AC811" s="97"/>
      <c r="AD811" s="97"/>
      <c r="AE811" s="97"/>
      <c r="AF811" s="97"/>
      <c r="AG811" s="97"/>
      <c r="AH811" s="97"/>
      <c r="AI811" s="97"/>
      <c r="AK811" s="97"/>
      <c r="AL811" s="97"/>
      <c r="AM811" s="97"/>
      <c r="AN811" s="97"/>
    </row>
    <row r="812" spans="24:40" x14ac:dyDescent="0.35">
      <c r="X812" s="97"/>
      <c r="Y812" s="97"/>
      <c r="Z812" s="97"/>
      <c r="AA812" s="97"/>
      <c r="AB812" s="97"/>
      <c r="AC812" s="97"/>
      <c r="AD812" s="97"/>
      <c r="AE812" s="97"/>
      <c r="AF812" s="97"/>
      <c r="AG812" s="97"/>
      <c r="AH812" s="97"/>
      <c r="AI812" s="97"/>
      <c r="AK812" s="97"/>
      <c r="AL812" s="97"/>
      <c r="AM812" s="97"/>
      <c r="AN812" s="97"/>
    </row>
    <row r="813" spans="24:40" x14ac:dyDescent="0.35">
      <c r="X813" s="97"/>
      <c r="Y813" s="97"/>
      <c r="Z813" s="97"/>
      <c r="AA813" s="97"/>
      <c r="AB813" s="97"/>
      <c r="AC813" s="97"/>
      <c r="AD813" s="97"/>
      <c r="AE813" s="97"/>
      <c r="AF813" s="97"/>
      <c r="AG813" s="97"/>
      <c r="AH813" s="97"/>
      <c r="AI813" s="97"/>
      <c r="AK813" s="97"/>
      <c r="AL813" s="97"/>
      <c r="AM813" s="97"/>
      <c r="AN813" s="97"/>
    </row>
    <row r="814" spans="24:40" x14ac:dyDescent="0.35">
      <c r="X814" s="97"/>
      <c r="Y814" s="97"/>
      <c r="Z814" s="97"/>
      <c r="AA814" s="97"/>
      <c r="AB814" s="97"/>
      <c r="AC814" s="97"/>
      <c r="AD814" s="97"/>
      <c r="AE814" s="97"/>
      <c r="AF814" s="97"/>
      <c r="AG814" s="97"/>
      <c r="AH814" s="97"/>
      <c r="AI814" s="97"/>
      <c r="AK814" s="97"/>
      <c r="AL814" s="97"/>
      <c r="AM814" s="97"/>
      <c r="AN814" s="97"/>
    </row>
    <row r="815" spans="24:40" x14ac:dyDescent="0.35">
      <c r="X815" s="97"/>
      <c r="Y815" s="97"/>
      <c r="Z815" s="97"/>
      <c r="AA815" s="97"/>
      <c r="AB815" s="97"/>
      <c r="AC815" s="97"/>
      <c r="AD815" s="97"/>
      <c r="AE815" s="97"/>
      <c r="AF815" s="97"/>
      <c r="AG815" s="97"/>
      <c r="AH815" s="97"/>
      <c r="AI815" s="97"/>
      <c r="AK815" s="97"/>
      <c r="AL815" s="97"/>
      <c r="AM815" s="97"/>
      <c r="AN815" s="97"/>
    </row>
    <row r="816" spans="24:40" x14ac:dyDescent="0.35">
      <c r="X816" s="97"/>
      <c r="Y816" s="97"/>
      <c r="Z816" s="97"/>
      <c r="AA816" s="97"/>
      <c r="AB816" s="97"/>
      <c r="AC816" s="97"/>
      <c r="AD816" s="97"/>
      <c r="AE816" s="97"/>
      <c r="AF816" s="97"/>
      <c r="AG816" s="97"/>
      <c r="AH816" s="97"/>
      <c r="AI816" s="97"/>
      <c r="AK816" s="97"/>
      <c r="AL816" s="97"/>
      <c r="AM816" s="97"/>
      <c r="AN816" s="97"/>
    </row>
    <row r="817" spans="24:40" x14ac:dyDescent="0.35">
      <c r="X817" s="97"/>
      <c r="Y817" s="97"/>
      <c r="Z817" s="97"/>
      <c r="AA817" s="97"/>
      <c r="AB817" s="97"/>
      <c r="AC817" s="97"/>
      <c r="AD817" s="97"/>
      <c r="AE817" s="97"/>
      <c r="AF817" s="97"/>
      <c r="AG817" s="97"/>
      <c r="AH817" s="97"/>
      <c r="AI817" s="97"/>
      <c r="AK817" s="97"/>
      <c r="AL817" s="97"/>
      <c r="AM817" s="97"/>
      <c r="AN817" s="97"/>
    </row>
    <row r="818" spans="24:40" x14ac:dyDescent="0.35">
      <c r="X818" s="97"/>
      <c r="Y818" s="97"/>
      <c r="Z818" s="97"/>
      <c r="AA818" s="97"/>
      <c r="AB818" s="97"/>
      <c r="AC818" s="97"/>
      <c r="AD818" s="97"/>
      <c r="AE818" s="97"/>
      <c r="AF818" s="97"/>
      <c r="AG818" s="97"/>
      <c r="AH818" s="97"/>
      <c r="AI818" s="97"/>
      <c r="AK818" s="97"/>
      <c r="AL818" s="97"/>
      <c r="AM818" s="97"/>
      <c r="AN818" s="97"/>
    </row>
    <row r="819" spans="24:40" x14ac:dyDescent="0.35">
      <c r="X819" s="97"/>
      <c r="Y819" s="97"/>
      <c r="Z819" s="97"/>
      <c r="AA819" s="97"/>
      <c r="AB819" s="97"/>
      <c r="AC819" s="97"/>
      <c r="AD819" s="97"/>
      <c r="AE819" s="97"/>
      <c r="AF819" s="97"/>
      <c r="AG819" s="97"/>
      <c r="AH819" s="97"/>
      <c r="AI819" s="97"/>
      <c r="AK819" s="97"/>
      <c r="AL819" s="97"/>
      <c r="AM819" s="97"/>
      <c r="AN819" s="97"/>
    </row>
    <row r="820" spans="24:40" x14ac:dyDescent="0.35">
      <c r="X820" s="97"/>
      <c r="Y820" s="97"/>
      <c r="Z820" s="97"/>
      <c r="AA820" s="97"/>
      <c r="AB820" s="97"/>
      <c r="AC820" s="97"/>
      <c r="AD820" s="97"/>
      <c r="AE820" s="97"/>
      <c r="AF820" s="97"/>
      <c r="AG820" s="97"/>
      <c r="AH820" s="97"/>
      <c r="AI820" s="97"/>
      <c r="AK820" s="97"/>
      <c r="AL820" s="97"/>
      <c r="AM820" s="97"/>
      <c r="AN820" s="97"/>
    </row>
    <row r="821" spans="24:40" x14ac:dyDescent="0.35">
      <c r="X821" s="97"/>
      <c r="Y821" s="97"/>
      <c r="Z821" s="97"/>
      <c r="AA821" s="97"/>
      <c r="AB821" s="97"/>
      <c r="AC821" s="97"/>
      <c r="AD821" s="97"/>
      <c r="AE821" s="97"/>
      <c r="AF821" s="97"/>
      <c r="AG821" s="97"/>
      <c r="AH821" s="97"/>
      <c r="AI821" s="97"/>
      <c r="AK821" s="97"/>
      <c r="AL821" s="97"/>
      <c r="AM821" s="97"/>
      <c r="AN821" s="97"/>
    </row>
    <row r="822" spans="24:40" x14ac:dyDescent="0.35">
      <c r="X822" s="97"/>
      <c r="Y822" s="97"/>
      <c r="Z822" s="97"/>
      <c r="AA822" s="97"/>
      <c r="AB822" s="97"/>
      <c r="AC822" s="97"/>
      <c r="AD822" s="97"/>
      <c r="AE822" s="97"/>
      <c r="AF822" s="97"/>
      <c r="AG822" s="97"/>
      <c r="AH822" s="97"/>
      <c r="AI822" s="97"/>
      <c r="AK822" s="97"/>
      <c r="AL822" s="97"/>
      <c r="AM822" s="97"/>
      <c r="AN822" s="97"/>
    </row>
    <row r="823" spans="24:40" x14ac:dyDescent="0.35">
      <c r="X823" s="97"/>
      <c r="Y823" s="97"/>
      <c r="Z823" s="97"/>
      <c r="AA823" s="97"/>
      <c r="AB823" s="97"/>
      <c r="AC823" s="97"/>
      <c r="AD823" s="97"/>
      <c r="AE823" s="97"/>
      <c r="AF823" s="97"/>
      <c r="AG823" s="97"/>
      <c r="AH823" s="97"/>
      <c r="AI823" s="97"/>
      <c r="AK823" s="97"/>
      <c r="AL823" s="97"/>
      <c r="AM823" s="97"/>
      <c r="AN823" s="97"/>
    </row>
    <row r="824" spans="24:40" x14ac:dyDescent="0.35">
      <c r="X824" s="97"/>
      <c r="Y824" s="97"/>
      <c r="Z824" s="97"/>
      <c r="AA824" s="97"/>
      <c r="AB824" s="97"/>
      <c r="AC824" s="97"/>
      <c r="AD824" s="97"/>
      <c r="AE824" s="97"/>
      <c r="AF824" s="97"/>
      <c r="AG824" s="97"/>
      <c r="AH824" s="97"/>
      <c r="AI824" s="97"/>
      <c r="AK824" s="97"/>
      <c r="AL824" s="97"/>
      <c r="AM824" s="97"/>
      <c r="AN824" s="97"/>
    </row>
    <row r="825" spans="24:40" x14ac:dyDescent="0.35">
      <c r="X825" s="97"/>
      <c r="Y825" s="97"/>
      <c r="Z825" s="97"/>
      <c r="AA825" s="97"/>
      <c r="AB825" s="97"/>
      <c r="AC825" s="97"/>
      <c r="AD825" s="97"/>
      <c r="AE825" s="97"/>
      <c r="AF825" s="97"/>
      <c r="AG825" s="97"/>
      <c r="AH825" s="97"/>
      <c r="AI825" s="97"/>
      <c r="AK825" s="97"/>
      <c r="AL825" s="97"/>
      <c r="AM825" s="97"/>
      <c r="AN825" s="97"/>
    </row>
    <row r="826" spans="24:40" x14ac:dyDescent="0.35">
      <c r="X826" s="97"/>
      <c r="Y826" s="97"/>
      <c r="Z826" s="97"/>
      <c r="AA826" s="97"/>
      <c r="AB826" s="97"/>
      <c r="AC826" s="97"/>
      <c r="AD826" s="97"/>
      <c r="AE826" s="97"/>
      <c r="AF826" s="97"/>
      <c r="AG826" s="97"/>
      <c r="AH826" s="97"/>
      <c r="AI826" s="97"/>
      <c r="AK826" s="97"/>
      <c r="AL826" s="97"/>
      <c r="AM826" s="97"/>
      <c r="AN826" s="97"/>
    </row>
    <row r="827" spans="24:40" x14ac:dyDescent="0.35">
      <c r="X827" s="97"/>
      <c r="Y827" s="97"/>
      <c r="Z827" s="97"/>
      <c r="AA827" s="97"/>
      <c r="AB827" s="97"/>
      <c r="AC827" s="97"/>
      <c r="AD827" s="97"/>
      <c r="AE827" s="97"/>
      <c r="AF827" s="97"/>
      <c r="AG827" s="97"/>
      <c r="AH827" s="97"/>
      <c r="AI827" s="97"/>
      <c r="AK827" s="97"/>
      <c r="AL827" s="97"/>
      <c r="AM827" s="97"/>
      <c r="AN827" s="97"/>
    </row>
    <row r="828" spans="24:40" x14ac:dyDescent="0.35">
      <c r="X828" s="97"/>
      <c r="Y828" s="97"/>
      <c r="Z828" s="97"/>
      <c r="AA828" s="97"/>
      <c r="AB828" s="97"/>
      <c r="AC828" s="97"/>
      <c r="AD828" s="97"/>
      <c r="AE828" s="97"/>
      <c r="AF828" s="97"/>
      <c r="AG828" s="97"/>
      <c r="AH828" s="97"/>
      <c r="AI828" s="97"/>
      <c r="AK828" s="97"/>
      <c r="AL828" s="97"/>
      <c r="AM828" s="97"/>
      <c r="AN828" s="97"/>
    </row>
    <row r="829" spans="24:40" x14ac:dyDescent="0.35">
      <c r="X829" s="97"/>
      <c r="Y829" s="97"/>
      <c r="Z829" s="97"/>
      <c r="AA829" s="97"/>
      <c r="AB829" s="97"/>
      <c r="AC829" s="97"/>
      <c r="AD829" s="97"/>
      <c r="AE829" s="97"/>
      <c r="AF829" s="97"/>
      <c r="AG829" s="97"/>
      <c r="AH829" s="97"/>
      <c r="AI829" s="97"/>
      <c r="AK829" s="97"/>
      <c r="AL829" s="97"/>
      <c r="AM829" s="97"/>
      <c r="AN829" s="97"/>
    </row>
    <row r="830" spans="24:40" x14ac:dyDescent="0.35">
      <c r="X830" s="97"/>
      <c r="Y830" s="97"/>
      <c r="Z830" s="97"/>
      <c r="AA830" s="97"/>
      <c r="AB830" s="97"/>
      <c r="AC830" s="97"/>
      <c r="AD830" s="97"/>
      <c r="AE830" s="97"/>
      <c r="AF830" s="97"/>
      <c r="AG830" s="97"/>
      <c r="AH830" s="97"/>
      <c r="AI830" s="97"/>
      <c r="AK830" s="97"/>
      <c r="AL830" s="97"/>
      <c r="AM830" s="97"/>
      <c r="AN830" s="97"/>
    </row>
    <row r="831" spans="24:40" x14ac:dyDescent="0.35">
      <c r="X831" s="97"/>
      <c r="Y831" s="97"/>
      <c r="Z831" s="97"/>
      <c r="AA831" s="97"/>
      <c r="AB831" s="97"/>
      <c r="AC831" s="97"/>
      <c r="AD831" s="97"/>
      <c r="AE831" s="97"/>
      <c r="AF831" s="97"/>
      <c r="AG831" s="97"/>
      <c r="AH831" s="97"/>
      <c r="AI831" s="97"/>
      <c r="AK831" s="97"/>
      <c r="AL831" s="97"/>
      <c r="AM831" s="97"/>
      <c r="AN831" s="97"/>
    </row>
    <row r="832" spans="24:40" x14ac:dyDescent="0.35">
      <c r="X832" s="97"/>
      <c r="Y832" s="97"/>
      <c r="Z832" s="97"/>
      <c r="AA832" s="97"/>
      <c r="AB832" s="97"/>
      <c r="AC832" s="97"/>
      <c r="AD832" s="97"/>
      <c r="AE832" s="97"/>
      <c r="AF832" s="97"/>
      <c r="AG832" s="97"/>
      <c r="AH832" s="97"/>
      <c r="AI832" s="97"/>
      <c r="AK832" s="97"/>
      <c r="AL832" s="97"/>
      <c r="AM832" s="97"/>
      <c r="AN832" s="97"/>
    </row>
    <row r="833" spans="24:40" x14ac:dyDescent="0.35">
      <c r="X833" s="97"/>
      <c r="Y833" s="97"/>
      <c r="Z833" s="97"/>
      <c r="AA833" s="97"/>
      <c r="AB833" s="97"/>
      <c r="AC833" s="97"/>
      <c r="AD833" s="97"/>
      <c r="AE833" s="97"/>
      <c r="AF833" s="97"/>
      <c r="AG833" s="97"/>
      <c r="AH833" s="97"/>
      <c r="AI833" s="97"/>
      <c r="AK833" s="97"/>
      <c r="AL833" s="97"/>
      <c r="AM833" s="97"/>
      <c r="AN833" s="97"/>
    </row>
    <row r="834" spans="24:40" x14ac:dyDescent="0.35">
      <c r="X834" s="97"/>
      <c r="Y834" s="97"/>
      <c r="Z834" s="97"/>
      <c r="AA834" s="97"/>
      <c r="AB834" s="97"/>
      <c r="AC834" s="97"/>
      <c r="AD834" s="97"/>
      <c r="AE834" s="97"/>
      <c r="AF834" s="97"/>
      <c r="AG834" s="97"/>
      <c r="AH834" s="97"/>
      <c r="AI834" s="97"/>
      <c r="AK834" s="97"/>
      <c r="AL834" s="97"/>
      <c r="AM834" s="97"/>
      <c r="AN834" s="97"/>
    </row>
    <row r="835" spans="24:40" x14ac:dyDescent="0.35">
      <c r="X835" s="97"/>
      <c r="Y835" s="97"/>
      <c r="Z835" s="97"/>
      <c r="AA835" s="97"/>
      <c r="AB835" s="97"/>
      <c r="AC835" s="97"/>
      <c r="AD835" s="97"/>
      <c r="AE835" s="97"/>
      <c r="AF835" s="97"/>
      <c r="AG835" s="97"/>
      <c r="AH835" s="97"/>
      <c r="AI835" s="97"/>
      <c r="AK835" s="97"/>
      <c r="AL835" s="97"/>
      <c r="AM835" s="97"/>
      <c r="AN835" s="97"/>
    </row>
    <row r="836" spans="24:40" x14ac:dyDescent="0.35">
      <c r="X836" s="97"/>
      <c r="Y836" s="97"/>
      <c r="Z836" s="97"/>
      <c r="AA836" s="97"/>
      <c r="AB836" s="97"/>
      <c r="AC836" s="97"/>
      <c r="AD836" s="97"/>
      <c r="AE836" s="97"/>
      <c r="AF836" s="97"/>
      <c r="AG836" s="97"/>
      <c r="AH836" s="97"/>
      <c r="AI836" s="97"/>
      <c r="AK836" s="97"/>
      <c r="AL836" s="97"/>
      <c r="AM836" s="97"/>
      <c r="AN836" s="97"/>
    </row>
    <row r="837" spans="24:40" x14ac:dyDescent="0.35">
      <c r="X837" s="97"/>
      <c r="Y837" s="97"/>
      <c r="Z837" s="97"/>
      <c r="AA837" s="97"/>
      <c r="AB837" s="97"/>
      <c r="AC837" s="97"/>
      <c r="AD837" s="97"/>
      <c r="AE837" s="97"/>
      <c r="AF837" s="97"/>
      <c r="AG837" s="97"/>
      <c r="AH837" s="97"/>
      <c r="AI837" s="97"/>
      <c r="AK837" s="97"/>
      <c r="AL837" s="97"/>
      <c r="AM837" s="97"/>
      <c r="AN837" s="97"/>
    </row>
    <row r="838" spans="24:40" x14ac:dyDescent="0.35">
      <c r="X838" s="97"/>
      <c r="Y838" s="97"/>
      <c r="Z838" s="97"/>
      <c r="AA838" s="97"/>
      <c r="AB838" s="97"/>
      <c r="AC838" s="97"/>
      <c r="AD838" s="97"/>
      <c r="AE838" s="97"/>
      <c r="AF838" s="97"/>
      <c r="AG838" s="97"/>
      <c r="AH838" s="97"/>
      <c r="AI838" s="97"/>
      <c r="AK838" s="97"/>
      <c r="AL838" s="97"/>
      <c r="AM838" s="97"/>
      <c r="AN838" s="97"/>
    </row>
    <row r="839" spans="24:40" x14ac:dyDescent="0.35">
      <c r="X839" s="97"/>
      <c r="Y839" s="97"/>
      <c r="Z839" s="97"/>
      <c r="AA839" s="97"/>
      <c r="AB839" s="97"/>
      <c r="AC839" s="97"/>
      <c r="AD839" s="97"/>
      <c r="AE839" s="97"/>
      <c r="AF839" s="97"/>
      <c r="AG839" s="97"/>
      <c r="AH839" s="97"/>
      <c r="AI839" s="97"/>
      <c r="AK839" s="97"/>
      <c r="AL839" s="97"/>
      <c r="AM839" s="97"/>
      <c r="AN839" s="97"/>
    </row>
    <row r="840" spans="24:40" x14ac:dyDescent="0.35">
      <c r="X840" s="97"/>
      <c r="Y840" s="97"/>
      <c r="Z840" s="97"/>
      <c r="AA840" s="97"/>
      <c r="AB840" s="97"/>
      <c r="AC840" s="97"/>
      <c r="AD840" s="97"/>
      <c r="AE840" s="97"/>
      <c r="AF840" s="97"/>
      <c r="AG840" s="97"/>
      <c r="AH840" s="97"/>
      <c r="AI840" s="97"/>
      <c r="AK840" s="97"/>
      <c r="AL840" s="97"/>
      <c r="AM840" s="97"/>
      <c r="AN840" s="97"/>
    </row>
    <row r="841" spans="24:40" x14ac:dyDescent="0.35">
      <c r="X841" s="97"/>
      <c r="Y841" s="97"/>
      <c r="Z841" s="97"/>
      <c r="AA841" s="97"/>
      <c r="AB841" s="97"/>
      <c r="AC841" s="97"/>
      <c r="AD841" s="97"/>
      <c r="AE841" s="97"/>
      <c r="AF841" s="97"/>
      <c r="AG841" s="97"/>
      <c r="AH841" s="97"/>
      <c r="AI841" s="97"/>
      <c r="AK841" s="97"/>
      <c r="AL841" s="97"/>
      <c r="AM841" s="97"/>
      <c r="AN841" s="97"/>
    </row>
    <row r="842" spans="24:40" x14ac:dyDescent="0.35">
      <c r="X842" s="97"/>
      <c r="Y842" s="97"/>
      <c r="Z842" s="97"/>
      <c r="AA842" s="97"/>
      <c r="AB842" s="97"/>
      <c r="AC842" s="97"/>
      <c r="AD842" s="97"/>
      <c r="AE842" s="97"/>
      <c r="AF842" s="97"/>
      <c r="AG842" s="97"/>
      <c r="AH842" s="97"/>
      <c r="AI842" s="97"/>
      <c r="AK842" s="97"/>
      <c r="AL842" s="97"/>
      <c r="AM842" s="97"/>
      <c r="AN842" s="97"/>
    </row>
    <row r="843" spans="24:40" x14ac:dyDescent="0.35">
      <c r="X843" s="97"/>
      <c r="Y843" s="97"/>
      <c r="Z843" s="97"/>
      <c r="AA843" s="97"/>
      <c r="AB843" s="97"/>
      <c r="AC843" s="97"/>
      <c r="AD843" s="97"/>
      <c r="AE843" s="97"/>
      <c r="AF843" s="97"/>
      <c r="AG843" s="97"/>
      <c r="AH843" s="97"/>
      <c r="AI843" s="97"/>
      <c r="AK843" s="97"/>
      <c r="AL843" s="97"/>
      <c r="AM843" s="97"/>
      <c r="AN843" s="97"/>
    </row>
    <row r="844" spans="24:40" x14ac:dyDescent="0.35">
      <c r="X844" s="97"/>
      <c r="Y844" s="97"/>
      <c r="Z844" s="97"/>
      <c r="AA844" s="97"/>
      <c r="AB844" s="97"/>
      <c r="AC844" s="97"/>
      <c r="AD844" s="97"/>
      <c r="AE844" s="97"/>
      <c r="AF844" s="97"/>
      <c r="AG844" s="97"/>
      <c r="AH844" s="97"/>
      <c r="AI844" s="97"/>
      <c r="AK844" s="97"/>
      <c r="AL844" s="97"/>
      <c r="AM844" s="97"/>
      <c r="AN844" s="97"/>
    </row>
    <row r="845" spans="24:40" x14ac:dyDescent="0.35">
      <c r="X845" s="97"/>
      <c r="Y845" s="97"/>
      <c r="Z845" s="97"/>
      <c r="AA845" s="97"/>
      <c r="AB845" s="97"/>
      <c r="AC845" s="97"/>
      <c r="AD845" s="97"/>
      <c r="AE845" s="97"/>
      <c r="AF845" s="97"/>
      <c r="AG845" s="97"/>
      <c r="AH845" s="97"/>
      <c r="AI845" s="97"/>
      <c r="AK845" s="97"/>
      <c r="AL845" s="97"/>
      <c r="AM845" s="97"/>
      <c r="AN845" s="97"/>
    </row>
    <row r="846" spans="24:40" x14ac:dyDescent="0.35">
      <c r="X846" s="97"/>
      <c r="Y846" s="97"/>
      <c r="Z846" s="97"/>
      <c r="AA846" s="97"/>
      <c r="AB846" s="97"/>
      <c r="AC846" s="97"/>
      <c r="AD846" s="97"/>
      <c r="AE846" s="97"/>
      <c r="AF846" s="97"/>
      <c r="AG846" s="97"/>
      <c r="AH846" s="97"/>
      <c r="AI846" s="97"/>
      <c r="AK846" s="97"/>
      <c r="AL846" s="97"/>
      <c r="AM846" s="97"/>
      <c r="AN846" s="97"/>
    </row>
    <row r="847" spans="24:40" x14ac:dyDescent="0.35">
      <c r="X847" s="97"/>
      <c r="Y847" s="97"/>
      <c r="Z847" s="97"/>
      <c r="AA847" s="97"/>
      <c r="AB847" s="97"/>
      <c r="AC847" s="97"/>
      <c r="AD847" s="97"/>
      <c r="AE847" s="97"/>
      <c r="AF847" s="97"/>
      <c r="AG847" s="97"/>
      <c r="AH847" s="97"/>
      <c r="AI847" s="97"/>
      <c r="AK847" s="97"/>
      <c r="AL847" s="97"/>
      <c r="AM847" s="97"/>
      <c r="AN847" s="97"/>
    </row>
    <row r="848" spans="24:40" x14ac:dyDescent="0.35">
      <c r="X848" s="97"/>
      <c r="Y848" s="97"/>
      <c r="Z848" s="97"/>
      <c r="AA848" s="97"/>
      <c r="AB848" s="97"/>
      <c r="AC848" s="97"/>
      <c r="AD848" s="97"/>
      <c r="AE848" s="97"/>
      <c r="AF848" s="97"/>
      <c r="AG848" s="97"/>
      <c r="AH848" s="97"/>
      <c r="AI848" s="97"/>
      <c r="AK848" s="97"/>
      <c r="AL848" s="97"/>
      <c r="AM848" s="97"/>
      <c r="AN848" s="97"/>
    </row>
    <row r="849" spans="24:40" x14ac:dyDescent="0.35">
      <c r="X849" s="97"/>
      <c r="Y849" s="97"/>
      <c r="Z849" s="97"/>
      <c r="AA849" s="97"/>
      <c r="AB849" s="97"/>
      <c r="AC849" s="97"/>
      <c r="AD849" s="97"/>
      <c r="AE849" s="97"/>
      <c r="AF849" s="97"/>
      <c r="AG849" s="97"/>
      <c r="AH849" s="97"/>
      <c r="AI849" s="97"/>
      <c r="AK849" s="97"/>
      <c r="AL849" s="97"/>
      <c r="AM849" s="97"/>
      <c r="AN849" s="97"/>
    </row>
    <row r="850" spans="24:40" x14ac:dyDescent="0.35">
      <c r="X850" s="97"/>
      <c r="Y850" s="97"/>
      <c r="Z850" s="97"/>
      <c r="AA850" s="97"/>
      <c r="AB850" s="97"/>
      <c r="AC850" s="97"/>
      <c r="AD850" s="97"/>
      <c r="AE850" s="97"/>
      <c r="AF850" s="97"/>
      <c r="AG850" s="97"/>
      <c r="AH850" s="97"/>
      <c r="AI850" s="97"/>
      <c r="AK850" s="97"/>
      <c r="AL850" s="97"/>
      <c r="AM850" s="97"/>
      <c r="AN850" s="97"/>
    </row>
    <row r="851" spans="24:40" x14ac:dyDescent="0.35">
      <c r="X851" s="97"/>
      <c r="Y851" s="97"/>
      <c r="Z851" s="97"/>
      <c r="AA851" s="97"/>
      <c r="AB851" s="97"/>
      <c r="AC851" s="97"/>
      <c r="AD851" s="97"/>
      <c r="AE851" s="97"/>
      <c r="AF851" s="97"/>
      <c r="AG851" s="97"/>
      <c r="AH851" s="97"/>
      <c r="AI851" s="97"/>
      <c r="AK851" s="97"/>
      <c r="AL851" s="97"/>
      <c r="AM851" s="97"/>
      <c r="AN851" s="97"/>
    </row>
    <row r="852" spans="24:40" x14ac:dyDescent="0.35">
      <c r="X852" s="97"/>
      <c r="Y852" s="97"/>
      <c r="Z852" s="97"/>
      <c r="AA852" s="97"/>
      <c r="AB852" s="97"/>
      <c r="AC852" s="97"/>
      <c r="AD852" s="97"/>
      <c r="AE852" s="97"/>
      <c r="AF852" s="97"/>
      <c r="AG852" s="97"/>
      <c r="AH852" s="97"/>
      <c r="AI852" s="97"/>
      <c r="AK852" s="97"/>
      <c r="AL852" s="97"/>
      <c r="AM852" s="97"/>
      <c r="AN852" s="97"/>
    </row>
    <row r="853" spans="24:40" x14ac:dyDescent="0.35">
      <c r="X853" s="97"/>
      <c r="Y853" s="97"/>
      <c r="Z853" s="97"/>
      <c r="AA853" s="97"/>
      <c r="AB853" s="97"/>
      <c r="AC853" s="97"/>
      <c r="AD853" s="97"/>
      <c r="AE853" s="97"/>
      <c r="AF853" s="97"/>
      <c r="AG853" s="97"/>
      <c r="AH853" s="97"/>
      <c r="AI853" s="97"/>
      <c r="AK853" s="97"/>
      <c r="AL853" s="97"/>
      <c r="AM853" s="97"/>
      <c r="AN853" s="97"/>
    </row>
    <row r="854" spans="24:40" x14ac:dyDescent="0.35">
      <c r="X854" s="97"/>
      <c r="Y854" s="97"/>
      <c r="Z854" s="97"/>
      <c r="AA854" s="97"/>
      <c r="AB854" s="97"/>
      <c r="AC854" s="97"/>
      <c r="AD854" s="97"/>
      <c r="AE854" s="97"/>
      <c r="AF854" s="97"/>
      <c r="AG854" s="97"/>
      <c r="AH854" s="97"/>
      <c r="AI854" s="97"/>
      <c r="AK854" s="97"/>
      <c r="AL854" s="97"/>
      <c r="AM854" s="97"/>
      <c r="AN854" s="97"/>
    </row>
    <row r="855" spans="24:40" x14ac:dyDescent="0.35">
      <c r="X855" s="97"/>
      <c r="Y855" s="97"/>
      <c r="Z855" s="97"/>
      <c r="AA855" s="97"/>
      <c r="AB855" s="97"/>
      <c r="AC855" s="97"/>
      <c r="AD855" s="97"/>
      <c r="AE855" s="97"/>
      <c r="AF855" s="97"/>
      <c r="AG855" s="97"/>
      <c r="AH855" s="97"/>
      <c r="AI855" s="97"/>
      <c r="AK855" s="97"/>
      <c r="AL855" s="97"/>
      <c r="AM855" s="97"/>
      <c r="AN855" s="97"/>
    </row>
    <row r="856" spans="24:40" x14ac:dyDescent="0.35">
      <c r="X856" s="97"/>
      <c r="Y856" s="97"/>
      <c r="Z856" s="97"/>
      <c r="AA856" s="97"/>
      <c r="AB856" s="97"/>
      <c r="AC856" s="97"/>
      <c r="AD856" s="97"/>
      <c r="AE856" s="97"/>
      <c r="AF856" s="97"/>
      <c r="AG856" s="97"/>
      <c r="AH856" s="97"/>
      <c r="AI856" s="97"/>
      <c r="AK856" s="97"/>
      <c r="AL856" s="97"/>
      <c r="AM856" s="97"/>
      <c r="AN856" s="97"/>
    </row>
    <row r="857" spans="24:40" x14ac:dyDescent="0.35">
      <c r="X857" s="97"/>
      <c r="Y857" s="97"/>
      <c r="Z857" s="97"/>
      <c r="AA857" s="97"/>
      <c r="AB857" s="97"/>
      <c r="AC857" s="97"/>
      <c r="AD857" s="97"/>
      <c r="AE857" s="97"/>
      <c r="AF857" s="97"/>
      <c r="AG857" s="97"/>
      <c r="AH857" s="97"/>
      <c r="AI857" s="97"/>
      <c r="AK857" s="97"/>
      <c r="AL857" s="97"/>
      <c r="AM857" s="97"/>
      <c r="AN857" s="97"/>
    </row>
    <row r="858" spans="24:40" x14ac:dyDescent="0.35">
      <c r="X858" s="97"/>
      <c r="Y858" s="97"/>
      <c r="Z858" s="97"/>
      <c r="AA858" s="97"/>
      <c r="AB858" s="97"/>
      <c r="AC858" s="97"/>
      <c r="AD858" s="97"/>
      <c r="AE858" s="97"/>
      <c r="AF858" s="97"/>
      <c r="AG858" s="97"/>
      <c r="AH858" s="97"/>
      <c r="AI858" s="97"/>
      <c r="AK858" s="97"/>
      <c r="AL858" s="97"/>
      <c r="AM858" s="97"/>
      <c r="AN858" s="97"/>
    </row>
    <row r="859" spans="24:40" x14ac:dyDescent="0.35">
      <c r="X859" s="97"/>
      <c r="Y859" s="97"/>
      <c r="Z859" s="97"/>
      <c r="AA859" s="97"/>
      <c r="AB859" s="97"/>
      <c r="AC859" s="97"/>
      <c r="AD859" s="97"/>
      <c r="AE859" s="97"/>
      <c r="AF859" s="97"/>
      <c r="AG859" s="97"/>
      <c r="AH859" s="97"/>
      <c r="AI859" s="97"/>
      <c r="AK859" s="97"/>
      <c r="AL859" s="97"/>
      <c r="AM859" s="97"/>
      <c r="AN859" s="97"/>
    </row>
    <row r="860" spans="24:40" x14ac:dyDescent="0.35">
      <c r="X860" s="97"/>
      <c r="Y860" s="97"/>
      <c r="Z860" s="97"/>
      <c r="AA860" s="97"/>
      <c r="AB860" s="97"/>
      <c r="AC860" s="97"/>
      <c r="AD860" s="97"/>
      <c r="AE860" s="97"/>
      <c r="AF860" s="97"/>
      <c r="AG860" s="97"/>
      <c r="AH860" s="97"/>
      <c r="AI860" s="97"/>
      <c r="AK860" s="97"/>
      <c r="AL860" s="97"/>
      <c r="AM860" s="97"/>
      <c r="AN860" s="97"/>
    </row>
    <row r="861" spans="24:40" x14ac:dyDescent="0.35">
      <c r="X861" s="97"/>
      <c r="Y861" s="97"/>
      <c r="Z861" s="97"/>
      <c r="AA861" s="97"/>
      <c r="AB861" s="97"/>
      <c r="AC861" s="97"/>
      <c r="AD861" s="97"/>
      <c r="AE861" s="97"/>
      <c r="AF861" s="97"/>
      <c r="AG861" s="97"/>
      <c r="AH861" s="97"/>
      <c r="AI861" s="97"/>
      <c r="AK861" s="97"/>
      <c r="AL861" s="97"/>
      <c r="AM861" s="97"/>
      <c r="AN861" s="97"/>
    </row>
    <row r="862" spans="24:40" x14ac:dyDescent="0.35">
      <c r="X862" s="97"/>
      <c r="Y862" s="97"/>
      <c r="Z862" s="97"/>
      <c r="AA862" s="97"/>
      <c r="AB862" s="97"/>
      <c r="AC862" s="97"/>
      <c r="AD862" s="97"/>
      <c r="AE862" s="97"/>
      <c r="AF862" s="97"/>
      <c r="AG862" s="97"/>
      <c r="AH862" s="97"/>
      <c r="AI862" s="97"/>
      <c r="AK862" s="97"/>
      <c r="AL862" s="97"/>
      <c r="AM862" s="97"/>
      <c r="AN862" s="97"/>
    </row>
    <row r="863" spans="24:40" x14ac:dyDescent="0.35">
      <c r="X863" s="97"/>
      <c r="Y863" s="97"/>
      <c r="Z863" s="97"/>
      <c r="AA863" s="97"/>
      <c r="AB863" s="97"/>
      <c r="AC863" s="97"/>
      <c r="AD863" s="97"/>
      <c r="AE863" s="97"/>
      <c r="AF863" s="97"/>
      <c r="AG863" s="97"/>
      <c r="AH863" s="97"/>
      <c r="AI863" s="97"/>
      <c r="AK863" s="97"/>
      <c r="AL863" s="97"/>
      <c r="AM863" s="97"/>
      <c r="AN863" s="97"/>
    </row>
    <row r="864" spans="24:40" x14ac:dyDescent="0.35">
      <c r="X864" s="97"/>
      <c r="Y864" s="97"/>
      <c r="Z864" s="97"/>
      <c r="AA864" s="97"/>
      <c r="AB864" s="97"/>
      <c r="AC864" s="97"/>
      <c r="AD864" s="97"/>
      <c r="AE864" s="97"/>
      <c r="AF864" s="97"/>
      <c r="AG864" s="97"/>
      <c r="AH864" s="97"/>
      <c r="AI864" s="97"/>
      <c r="AK864" s="97"/>
      <c r="AL864" s="97"/>
      <c r="AM864" s="97"/>
      <c r="AN864" s="97"/>
    </row>
    <row r="865" spans="24:40" x14ac:dyDescent="0.35">
      <c r="X865" s="97"/>
      <c r="Y865" s="97"/>
      <c r="Z865" s="97"/>
      <c r="AA865" s="97"/>
      <c r="AB865" s="97"/>
      <c r="AC865" s="97"/>
      <c r="AD865" s="97"/>
      <c r="AE865" s="97"/>
      <c r="AF865" s="97"/>
      <c r="AG865" s="97"/>
      <c r="AH865" s="97"/>
      <c r="AI865" s="97"/>
      <c r="AK865" s="97"/>
      <c r="AL865" s="97"/>
      <c r="AM865" s="97"/>
      <c r="AN865" s="97"/>
    </row>
    <row r="866" spans="24:40" x14ac:dyDescent="0.35">
      <c r="X866" s="97"/>
      <c r="Y866" s="97"/>
      <c r="Z866" s="97"/>
      <c r="AA866" s="97"/>
      <c r="AB866" s="97"/>
      <c r="AC866" s="97"/>
      <c r="AD866" s="97"/>
      <c r="AE866" s="97"/>
      <c r="AF866" s="97"/>
      <c r="AG866" s="97"/>
      <c r="AH866" s="97"/>
      <c r="AI866" s="97"/>
      <c r="AK866" s="97"/>
      <c r="AL866" s="97"/>
      <c r="AM866" s="97"/>
      <c r="AN866" s="97"/>
    </row>
    <row r="867" spans="24:40" x14ac:dyDescent="0.35">
      <c r="X867" s="97"/>
      <c r="Y867" s="97"/>
      <c r="Z867" s="97"/>
      <c r="AA867" s="97"/>
      <c r="AB867" s="97"/>
      <c r="AC867" s="97"/>
      <c r="AD867" s="97"/>
      <c r="AE867" s="97"/>
      <c r="AF867" s="97"/>
      <c r="AG867" s="97"/>
      <c r="AH867" s="97"/>
      <c r="AI867" s="97"/>
      <c r="AK867" s="97"/>
      <c r="AL867" s="97"/>
      <c r="AM867" s="97"/>
      <c r="AN867" s="97"/>
    </row>
    <row r="868" spans="24:40" x14ac:dyDescent="0.35">
      <c r="X868" s="97"/>
      <c r="Y868" s="97"/>
      <c r="Z868" s="97"/>
      <c r="AA868" s="97"/>
      <c r="AB868" s="97"/>
      <c r="AC868" s="97"/>
      <c r="AD868" s="97"/>
      <c r="AE868" s="97"/>
      <c r="AF868" s="97"/>
      <c r="AG868" s="97"/>
      <c r="AH868" s="97"/>
      <c r="AI868" s="97"/>
      <c r="AK868" s="97"/>
      <c r="AL868" s="97"/>
      <c r="AM868" s="97"/>
      <c r="AN868" s="97"/>
    </row>
    <row r="869" spans="24:40" x14ac:dyDescent="0.35">
      <c r="X869" s="97"/>
      <c r="Y869" s="97"/>
      <c r="Z869" s="97"/>
      <c r="AA869" s="97"/>
      <c r="AB869" s="97"/>
      <c r="AC869" s="97"/>
      <c r="AD869" s="97"/>
      <c r="AE869" s="97"/>
      <c r="AF869" s="97"/>
      <c r="AG869" s="97"/>
      <c r="AH869" s="97"/>
      <c r="AI869" s="97"/>
      <c r="AK869" s="97"/>
      <c r="AL869" s="97"/>
      <c r="AM869" s="97"/>
      <c r="AN869" s="97"/>
    </row>
    <row r="870" spans="24:40" x14ac:dyDescent="0.35">
      <c r="X870" s="97"/>
      <c r="Y870" s="97"/>
      <c r="Z870" s="97"/>
      <c r="AA870" s="97"/>
      <c r="AB870" s="97"/>
      <c r="AC870" s="97"/>
      <c r="AD870" s="97"/>
      <c r="AE870" s="97"/>
      <c r="AF870" s="97"/>
      <c r="AG870" s="97"/>
      <c r="AH870" s="97"/>
      <c r="AI870" s="97"/>
      <c r="AK870" s="97"/>
      <c r="AL870" s="97"/>
      <c r="AM870" s="97"/>
      <c r="AN870" s="97"/>
    </row>
    <row r="871" spans="24:40" x14ac:dyDescent="0.35">
      <c r="X871" s="97"/>
      <c r="Y871" s="97"/>
      <c r="Z871" s="97"/>
      <c r="AA871" s="97"/>
      <c r="AB871" s="97"/>
      <c r="AC871" s="97"/>
      <c r="AD871" s="97"/>
      <c r="AE871" s="97"/>
      <c r="AF871" s="97"/>
      <c r="AG871" s="97"/>
      <c r="AH871" s="97"/>
      <c r="AI871" s="97"/>
      <c r="AK871" s="97"/>
      <c r="AL871" s="97"/>
      <c r="AM871" s="97"/>
      <c r="AN871" s="97"/>
    </row>
    <row r="872" spans="24:40" x14ac:dyDescent="0.35">
      <c r="X872" s="97"/>
      <c r="Y872" s="97"/>
      <c r="Z872" s="97"/>
      <c r="AA872" s="97"/>
      <c r="AB872" s="97"/>
      <c r="AC872" s="97"/>
      <c r="AD872" s="97"/>
      <c r="AE872" s="97"/>
      <c r="AF872" s="97"/>
      <c r="AG872" s="97"/>
      <c r="AH872" s="97"/>
      <c r="AI872" s="97"/>
      <c r="AK872" s="97"/>
      <c r="AL872" s="97"/>
      <c r="AM872" s="97"/>
      <c r="AN872" s="97"/>
    </row>
    <row r="873" spans="24:40" x14ac:dyDescent="0.35">
      <c r="X873" s="97"/>
      <c r="Y873" s="97"/>
      <c r="Z873" s="97"/>
      <c r="AA873" s="97"/>
      <c r="AB873" s="97"/>
      <c r="AC873" s="97"/>
      <c r="AD873" s="97"/>
      <c r="AE873" s="97"/>
      <c r="AF873" s="97"/>
      <c r="AG873" s="97"/>
      <c r="AH873" s="97"/>
      <c r="AI873" s="97"/>
      <c r="AK873" s="97"/>
      <c r="AL873" s="97"/>
      <c r="AM873" s="97"/>
      <c r="AN873" s="97"/>
    </row>
    <row r="874" spans="24:40" x14ac:dyDescent="0.35">
      <c r="X874" s="97"/>
      <c r="Y874" s="97"/>
      <c r="Z874" s="97"/>
      <c r="AA874" s="97"/>
      <c r="AB874" s="97"/>
      <c r="AC874" s="97"/>
      <c r="AD874" s="97"/>
      <c r="AE874" s="97"/>
      <c r="AF874" s="97"/>
      <c r="AG874" s="97"/>
      <c r="AH874" s="97"/>
      <c r="AI874" s="97"/>
      <c r="AK874" s="97"/>
      <c r="AL874" s="97"/>
      <c r="AM874" s="97"/>
      <c r="AN874" s="97"/>
    </row>
    <row r="875" spans="24:40" x14ac:dyDescent="0.35">
      <c r="X875" s="97"/>
      <c r="Y875" s="97"/>
      <c r="Z875" s="97"/>
      <c r="AA875" s="97"/>
      <c r="AB875" s="97"/>
      <c r="AC875" s="97"/>
      <c r="AD875" s="97"/>
      <c r="AE875" s="97"/>
      <c r="AF875" s="97"/>
      <c r="AG875" s="97"/>
      <c r="AH875" s="97"/>
      <c r="AI875" s="97"/>
      <c r="AK875" s="97"/>
      <c r="AL875" s="97"/>
      <c r="AM875" s="97"/>
      <c r="AN875" s="97"/>
    </row>
    <row r="876" spans="24:40" x14ac:dyDescent="0.35">
      <c r="X876" s="97"/>
      <c r="Y876" s="97"/>
      <c r="Z876" s="97"/>
      <c r="AA876" s="97"/>
      <c r="AB876" s="97"/>
      <c r="AC876" s="97"/>
      <c r="AD876" s="97"/>
      <c r="AE876" s="97"/>
      <c r="AF876" s="97"/>
      <c r="AG876" s="97"/>
      <c r="AH876" s="97"/>
      <c r="AI876" s="97"/>
      <c r="AK876" s="97"/>
      <c r="AL876" s="97"/>
      <c r="AM876" s="97"/>
      <c r="AN876" s="97"/>
    </row>
    <row r="877" spans="24:40" x14ac:dyDescent="0.35">
      <c r="X877" s="97"/>
      <c r="Y877" s="97"/>
      <c r="Z877" s="97"/>
      <c r="AA877" s="97"/>
      <c r="AB877" s="97"/>
      <c r="AC877" s="97"/>
      <c r="AD877" s="97"/>
      <c r="AE877" s="97"/>
      <c r="AF877" s="97"/>
      <c r="AG877" s="97"/>
      <c r="AH877" s="97"/>
      <c r="AI877" s="97"/>
      <c r="AK877" s="97"/>
      <c r="AL877" s="97"/>
      <c r="AM877" s="97"/>
      <c r="AN877" s="97"/>
    </row>
    <row r="878" spans="24:40" x14ac:dyDescent="0.35">
      <c r="X878" s="97"/>
      <c r="Y878" s="97"/>
      <c r="Z878" s="97"/>
      <c r="AA878" s="97"/>
      <c r="AB878" s="97"/>
      <c r="AC878" s="97"/>
      <c r="AD878" s="97"/>
      <c r="AE878" s="97"/>
      <c r="AF878" s="97"/>
      <c r="AG878" s="97"/>
      <c r="AH878" s="97"/>
      <c r="AI878" s="97"/>
      <c r="AK878" s="97"/>
      <c r="AL878" s="97"/>
      <c r="AM878" s="97"/>
      <c r="AN878" s="97"/>
    </row>
    <row r="879" spans="24:40" x14ac:dyDescent="0.35">
      <c r="X879" s="97"/>
      <c r="Y879" s="97"/>
      <c r="Z879" s="97"/>
      <c r="AA879" s="97"/>
      <c r="AB879" s="97"/>
      <c r="AC879" s="97"/>
      <c r="AD879" s="97"/>
      <c r="AE879" s="97"/>
      <c r="AF879" s="97"/>
      <c r="AG879" s="97"/>
      <c r="AH879" s="97"/>
      <c r="AI879" s="97"/>
      <c r="AK879" s="97"/>
      <c r="AL879" s="97"/>
      <c r="AM879" s="97"/>
      <c r="AN879" s="97"/>
    </row>
    <row r="880" spans="24:40" x14ac:dyDescent="0.35">
      <c r="X880" s="97"/>
      <c r="Y880" s="97"/>
      <c r="Z880" s="97"/>
      <c r="AA880" s="97"/>
      <c r="AB880" s="97"/>
      <c r="AC880" s="97"/>
      <c r="AD880" s="97"/>
      <c r="AE880" s="97"/>
      <c r="AF880" s="97"/>
      <c r="AG880" s="97"/>
      <c r="AH880" s="97"/>
      <c r="AI880" s="97"/>
      <c r="AK880" s="97"/>
      <c r="AL880" s="97"/>
      <c r="AM880" s="97"/>
      <c r="AN880" s="97"/>
    </row>
    <row r="881" spans="24:40" x14ac:dyDescent="0.35">
      <c r="X881" s="97"/>
      <c r="Y881" s="97"/>
      <c r="Z881" s="97"/>
      <c r="AA881" s="97"/>
      <c r="AB881" s="97"/>
      <c r="AC881" s="97"/>
      <c r="AD881" s="97"/>
      <c r="AE881" s="97"/>
      <c r="AF881" s="97"/>
      <c r="AG881" s="97"/>
      <c r="AH881" s="97"/>
      <c r="AI881" s="97"/>
      <c r="AK881" s="97"/>
      <c r="AL881" s="97"/>
      <c r="AM881" s="97"/>
      <c r="AN881" s="97"/>
    </row>
    <row r="882" spans="24:40" x14ac:dyDescent="0.35">
      <c r="X882" s="97"/>
      <c r="Y882" s="97"/>
      <c r="Z882" s="97"/>
      <c r="AA882" s="97"/>
      <c r="AB882" s="97"/>
      <c r="AC882" s="97"/>
      <c r="AD882" s="97"/>
      <c r="AE882" s="97"/>
      <c r="AF882" s="97"/>
      <c r="AG882" s="97"/>
      <c r="AH882" s="97"/>
      <c r="AI882" s="97"/>
      <c r="AK882" s="97"/>
      <c r="AL882" s="97"/>
      <c r="AM882" s="97"/>
      <c r="AN882" s="97"/>
    </row>
    <row r="883" spans="24:40" x14ac:dyDescent="0.35">
      <c r="X883" s="97"/>
      <c r="Y883" s="97"/>
      <c r="Z883" s="97"/>
      <c r="AA883" s="97"/>
      <c r="AB883" s="97"/>
      <c r="AC883" s="97"/>
      <c r="AD883" s="97"/>
      <c r="AE883" s="97"/>
      <c r="AF883" s="97"/>
      <c r="AG883" s="97"/>
      <c r="AH883" s="97"/>
      <c r="AI883" s="97"/>
      <c r="AK883" s="97"/>
      <c r="AL883" s="97"/>
      <c r="AM883" s="97"/>
      <c r="AN883" s="97"/>
    </row>
    <row r="884" spans="24:40" x14ac:dyDescent="0.35">
      <c r="X884" s="97"/>
      <c r="Y884" s="97"/>
      <c r="Z884" s="97"/>
      <c r="AA884" s="97"/>
      <c r="AB884" s="97"/>
      <c r="AC884" s="97"/>
      <c r="AD884" s="97"/>
      <c r="AE884" s="97"/>
      <c r="AF884" s="97"/>
      <c r="AG884" s="97"/>
      <c r="AH884" s="97"/>
      <c r="AI884" s="97"/>
      <c r="AK884" s="97"/>
      <c r="AL884" s="97"/>
      <c r="AM884" s="97"/>
      <c r="AN884" s="97"/>
    </row>
    <row r="885" spans="24:40" x14ac:dyDescent="0.35">
      <c r="X885" s="97"/>
      <c r="Y885" s="97"/>
      <c r="Z885" s="97"/>
      <c r="AA885" s="97"/>
      <c r="AB885" s="97"/>
      <c r="AC885" s="97"/>
      <c r="AD885" s="97"/>
      <c r="AE885" s="97"/>
      <c r="AF885" s="97"/>
      <c r="AG885" s="97"/>
      <c r="AH885" s="97"/>
      <c r="AI885" s="97"/>
      <c r="AK885" s="97"/>
      <c r="AL885" s="97"/>
      <c r="AM885" s="97"/>
      <c r="AN885" s="97"/>
    </row>
    <row r="886" spans="24:40" x14ac:dyDescent="0.35">
      <c r="X886" s="97"/>
      <c r="Y886" s="97"/>
      <c r="Z886" s="97"/>
      <c r="AA886" s="97"/>
      <c r="AB886" s="97"/>
      <c r="AC886" s="97"/>
      <c r="AD886" s="97"/>
      <c r="AE886" s="97"/>
      <c r="AF886" s="97"/>
      <c r="AG886" s="97"/>
      <c r="AH886" s="97"/>
      <c r="AI886" s="97"/>
      <c r="AK886" s="97"/>
      <c r="AL886" s="97"/>
      <c r="AM886" s="97"/>
      <c r="AN886" s="97"/>
    </row>
    <row r="887" spans="24:40" x14ac:dyDescent="0.35">
      <c r="X887" s="97"/>
      <c r="Y887" s="97"/>
      <c r="Z887" s="97"/>
      <c r="AA887" s="97"/>
      <c r="AB887" s="97"/>
      <c r="AC887" s="97"/>
      <c r="AD887" s="97"/>
      <c r="AE887" s="97"/>
      <c r="AF887" s="97"/>
      <c r="AG887" s="97"/>
      <c r="AH887" s="97"/>
      <c r="AI887" s="97"/>
      <c r="AK887" s="97"/>
      <c r="AL887" s="97"/>
      <c r="AM887" s="97"/>
      <c r="AN887" s="97"/>
    </row>
    <row r="888" spans="24:40" x14ac:dyDescent="0.35">
      <c r="X888" s="97"/>
      <c r="Y888" s="97"/>
      <c r="Z888" s="97"/>
      <c r="AA888" s="97"/>
      <c r="AB888" s="97"/>
      <c r="AC888" s="97"/>
      <c r="AD888" s="97"/>
      <c r="AE888" s="97"/>
      <c r="AF888" s="97"/>
      <c r="AG888" s="97"/>
      <c r="AH888" s="97"/>
      <c r="AI888" s="97"/>
      <c r="AK888" s="97"/>
      <c r="AL888" s="97"/>
      <c r="AM888" s="97"/>
      <c r="AN888" s="97"/>
    </row>
    <row r="889" spans="24:40" x14ac:dyDescent="0.35">
      <c r="X889" s="97"/>
      <c r="Y889" s="97"/>
      <c r="Z889" s="97"/>
      <c r="AA889" s="97"/>
      <c r="AB889" s="97"/>
      <c r="AC889" s="97"/>
      <c r="AD889" s="97"/>
      <c r="AE889" s="97"/>
      <c r="AF889" s="97"/>
      <c r="AG889" s="97"/>
      <c r="AH889" s="97"/>
      <c r="AI889" s="97"/>
      <c r="AK889" s="97"/>
      <c r="AL889" s="97"/>
      <c r="AM889" s="97"/>
      <c r="AN889" s="97"/>
    </row>
    <row r="890" spans="24:40" x14ac:dyDescent="0.35">
      <c r="X890" s="97"/>
      <c r="Y890" s="97"/>
      <c r="Z890" s="97"/>
      <c r="AA890" s="97"/>
      <c r="AB890" s="97"/>
      <c r="AC890" s="97"/>
      <c r="AD890" s="97"/>
      <c r="AE890" s="97"/>
      <c r="AF890" s="97"/>
      <c r="AG890" s="97"/>
      <c r="AH890" s="97"/>
      <c r="AI890" s="97"/>
      <c r="AK890" s="97"/>
      <c r="AL890" s="97"/>
      <c r="AM890" s="97"/>
      <c r="AN890" s="97"/>
    </row>
    <row r="891" spans="24:40" x14ac:dyDescent="0.35">
      <c r="X891" s="97"/>
      <c r="Y891" s="97"/>
      <c r="Z891" s="97"/>
      <c r="AA891" s="97"/>
      <c r="AB891" s="97"/>
      <c r="AC891" s="97"/>
      <c r="AD891" s="97"/>
      <c r="AE891" s="97"/>
      <c r="AF891" s="97"/>
      <c r="AG891" s="97"/>
      <c r="AH891" s="97"/>
      <c r="AI891" s="97"/>
      <c r="AK891" s="97"/>
      <c r="AL891" s="97"/>
      <c r="AM891" s="97"/>
      <c r="AN891" s="97"/>
    </row>
    <row r="892" spans="24:40" x14ac:dyDescent="0.35">
      <c r="X892" s="97"/>
      <c r="Y892" s="97"/>
      <c r="Z892" s="97"/>
      <c r="AA892" s="97"/>
      <c r="AB892" s="97"/>
      <c r="AC892" s="97"/>
      <c r="AD892" s="97"/>
      <c r="AE892" s="97"/>
      <c r="AF892" s="97"/>
      <c r="AG892" s="97"/>
      <c r="AH892" s="97"/>
      <c r="AI892" s="97"/>
      <c r="AK892" s="97"/>
      <c r="AL892" s="97"/>
      <c r="AM892" s="97"/>
      <c r="AN892" s="97"/>
    </row>
    <row r="893" spans="24:40" x14ac:dyDescent="0.35">
      <c r="X893" s="97"/>
      <c r="Y893" s="97"/>
      <c r="Z893" s="97"/>
      <c r="AA893" s="97"/>
      <c r="AB893" s="97"/>
      <c r="AC893" s="97"/>
      <c r="AD893" s="97"/>
      <c r="AE893" s="97"/>
      <c r="AF893" s="97"/>
      <c r="AG893" s="97"/>
      <c r="AH893" s="97"/>
      <c r="AI893" s="97"/>
      <c r="AK893" s="97"/>
      <c r="AL893" s="97"/>
      <c r="AM893" s="97"/>
      <c r="AN893" s="97"/>
    </row>
    <row r="894" spans="24:40" x14ac:dyDescent="0.35">
      <c r="X894" s="97"/>
      <c r="Y894" s="97"/>
      <c r="Z894" s="97"/>
      <c r="AA894" s="97"/>
      <c r="AB894" s="97"/>
      <c r="AC894" s="97"/>
      <c r="AD894" s="97"/>
      <c r="AE894" s="97"/>
      <c r="AF894" s="97"/>
      <c r="AG894" s="97"/>
      <c r="AH894" s="97"/>
      <c r="AI894" s="97"/>
      <c r="AK894" s="97"/>
      <c r="AL894" s="97"/>
      <c r="AM894" s="97"/>
      <c r="AN894" s="97"/>
    </row>
    <row r="895" spans="24:40" x14ac:dyDescent="0.35">
      <c r="X895" s="97"/>
      <c r="Y895" s="97"/>
      <c r="Z895" s="97"/>
      <c r="AA895" s="97"/>
      <c r="AB895" s="97"/>
      <c r="AC895" s="97"/>
      <c r="AD895" s="97"/>
      <c r="AE895" s="97"/>
      <c r="AF895" s="97"/>
      <c r="AG895" s="97"/>
      <c r="AH895" s="97"/>
      <c r="AI895" s="97"/>
      <c r="AK895" s="97"/>
      <c r="AL895" s="97"/>
      <c r="AM895" s="97"/>
      <c r="AN895" s="97"/>
    </row>
    <row r="896" spans="24:40" x14ac:dyDescent="0.35">
      <c r="X896" s="97"/>
      <c r="Y896" s="97"/>
      <c r="Z896" s="97"/>
      <c r="AA896" s="97"/>
      <c r="AB896" s="97"/>
      <c r="AC896" s="97"/>
      <c r="AD896" s="97"/>
      <c r="AE896" s="97"/>
      <c r="AF896" s="97"/>
      <c r="AG896" s="97"/>
      <c r="AH896" s="97"/>
      <c r="AI896" s="97"/>
      <c r="AK896" s="97"/>
      <c r="AL896" s="97"/>
      <c r="AM896" s="97"/>
      <c r="AN896" s="97"/>
    </row>
    <row r="897" spans="24:40" x14ac:dyDescent="0.35">
      <c r="X897" s="97"/>
      <c r="Y897" s="97"/>
      <c r="Z897" s="97"/>
      <c r="AA897" s="97"/>
      <c r="AB897" s="97"/>
      <c r="AC897" s="97"/>
      <c r="AD897" s="97"/>
      <c r="AE897" s="97"/>
      <c r="AF897" s="97"/>
      <c r="AG897" s="97"/>
      <c r="AH897" s="97"/>
      <c r="AI897" s="97"/>
      <c r="AK897" s="97"/>
      <c r="AL897" s="97"/>
      <c r="AM897" s="97"/>
      <c r="AN897" s="97"/>
    </row>
    <row r="898" spans="24:40" x14ac:dyDescent="0.35">
      <c r="X898" s="97"/>
      <c r="Y898" s="97"/>
      <c r="Z898" s="97"/>
      <c r="AA898" s="97"/>
      <c r="AB898" s="97"/>
      <c r="AC898" s="97"/>
      <c r="AD898" s="97"/>
      <c r="AE898" s="97"/>
      <c r="AF898" s="97"/>
      <c r="AG898" s="97"/>
      <c r="AH898" s="97"/>
      <c r="AI898" s="97"/>
      <c r="AK898" s="97"/>
      <c r="AL898" s="97"/>
      <c r="AM898" s="97"/>
      <c r="AN898" s="97"/>
    </row>
    <row r="899" spans="24:40" x14ac:dyDescent="0.35">
      <c r="X899" s="97"/>
      <c r="Y899" s="97"/>
      <c r="Z899" s="97"/>
      <c r="AA899" s="97"/>
      <c r="AB899" s="97"/>
      <c r="AC899" s="97"/>
      <c r="AD899" s="97"/>
      <c r="AE899" s="97"/>
      <c r="AF899" s="97"/>
      <c r="AG899" s="97"/>
      <c r="AH899" s="97"/>
      <c r="AI899" s="97"/>
      <c r="AK899" s="97"/>
      <c r="AL899" s="97"/>
      <c r="AM899" s="97"/>
      <c r="AN899" s="97"/>
    </row>
    <row r="900" spans="24:40" x14ac:dyDescent="0.35">
      <c r="X900" s="97"/>
      <c r="Y900" s="97"/>
      <c r="Z900" s="97"/>
      <c r="AA900" s="97"/>
      <c r="AB900" s="97"/>
      <c r="AC900" s="97"/>
      <c r="AD900" s="97"/>
      <c r="AE900" s="97"/>
      <c r="AF900" s="97"/>
      <c r="AG900" s="97"/>
      <c r="AH900" s="97"/>
      <c r="AI900" s="97"/>
      <c r="AK900" s="97"/>
      <c r="AL900" s="97"/>
      <c r="AM900" s="97"/>
      <c r="AN900" s="97"/>
    </row>
    <row r="901" spans="24:40" x14ac:dyDescent="0.35">
      <c r="X901" s="97"/>
      <c r="Y901" s="97"/>
      <c r="Z901" s="97"/>
      <c r="AA901" s="97"/>
      <c r="AB901" s="97"/>
      <c r="AC901" s="97"/>
      <c r="AD901" s="97"/>
      <c r="AE901" s="97"/>
      <c r="AF901" s="97"/>
      <c r="AG901" s="97"/>
      <c r="AH901" s="97"/>
      <c r="AI901" s="97"/>
      <c r="AK901" s="97"/>
      <c r="AL901" s="97"/>
      <c r="AM901" s="97"/>
      <c r="AN901" s="97"/>
    </row>
    <row r="902" spans="24:40" x14ac:dyDescent="0.35">
      <c r="X902" s="97"/>
      <c r="Y902" s="97"/>
      <c r="Z902" s="97"/>
      <c r="AA902" s="97"/>
      <c r="AB902" s="97"/>
      <c r="AC902" s="97"/>
      <c r="AD902" s="97"/>
      <c r="AE902" s="97"/>
      <c r="AF902" s="97"/>
      <c r="AG902" s="97"/>
      <c r="AH902" s="97"/>
      <c r="AI902" s="97"/>
      <c r="AK902" s="97"/>
      <c r="AL902" s="97"/>
      <c r="AM902" s="97"/>
      <c r="AN902" s="97"/>
    </row>
    <row r="903" spans="24:40" x14ac:dyDescent="0.35">
      <c r="X903" s="97"/>
      <c r="Y903" s="97"/>
      <c r="Z903" s="97"/>
      <c r="AA903" s="97"/>
      <c r="AB903" s="97"/>
      <c r="AC903" s="97"/>
      <c r="AD903" s="97"/>
      <c r="AE903" s="97"/>
      <c r="AF903" s="97"/>
      <c r="AG903" s="97"/>
      <c r="AH903" s="97"/>
      <c r="AI903" s="97"/>
      <c r="AK903" s="97"/>
      <c r="AL903" s="97"/>
      <c r="AM903" s="97"/>
      <c r="AN903" s="97"/>
    </row>
    <row r="904" spans="24:40" x14ac:dyDescent="0.35">
      <c r="X904" s="97"/>
      <c r="Y904" s="97"/>
      <c r="Z904" s="97"/>
      <c r="AA904" s="97"/>
      <c r="AB904" s="97"/>
      <c r="AC904" s="97"/>
      <c r="AD904" s="97"/>
      <c r="AE904" s="97"/>
      <c r="AF904" s="97"/>
      <c r="AG904" s="97"/>
      <c r="AH904" s="97"/>
      <c r="AI904" s="97"/>
      <c r="AK904" s="97"/>
      <c r="AL904" s="97"/>
      <c r="AM904" s="97"/>
      <c r="AN904" s="97"/>
    </row>
    <row r="905" spans="24:40" x14ac:dyDescent="0.35">
      <c r="X905" s="97"/>
      <c r="Y905" s="97"/>
      <c r="Z905" s="97"/>
      <c r="AA905" s="97"/>
      <c r="AB905" s="97"/>
      <c r="AC905" s="97"/>
      <c r="AD905" s="97"/>
      <c r="AE905" s="97"/>
      <c r="AF905" s="97"/>
      <c r="AG905" s="97"/>
      <c r="AH905" s="97"/>
      <c r="AI905" s="97"/>
      <c r="AK905" s="97"/>
      <c r="AL905" s="97"/>
      <c r="AM905" s="97"/>
      <c r="AN905" s="97"/>
    </row>
    <row r="906" spans="24:40" x14ac:dyDescent="0.35">
      <c r="X906" s="97"/>
      <c r="Y906" s="97"/>
      <c r="Z906" s="97"/>
      <c r="AA906" s="97"/>
      <c r="AB906" s="97"/>
      <c r="AC906" s="97"/>
      <c r="AD906" s="97"/>
      <c r="AE906" s="97"/>
      <c r="AF906" s="97"/>
      <c r="AG906" s="97"/>
      <c r="AH906" s="97"/>
      <c r="AI906" s="97"/>
      <c r="AK906" s="97"/>
      <c r="AL906" s="97"/>
      <c r="AM906" s="97"/>
      <c r="AN906" s="97"/>
    </row>
    <row r="907" spans="24:40" x14ac:dyDescent="0.35">
      <c r="X907" s="97"/>
      <c r="Y907" s="97"/>
      <c r="Z907" s="97"/>
      <c r="AA907" s="97"/>
      <c r="AB907" s="97"/>
      <c r="AC907" s="97"/>
      <c r="AD907" s="97"/>
      <c r="AE907" s="97"/>
      <c r="AF907" s="97"/>
      <c r="AG907" s="97"/>
      <c r="AH907" s="97"/>
      <c r="AI907" s="97"/>
      <c r="AK907" s="97"/>
      <c r="AL907" s="97"/>
      <c r="AM907" s="97"/>
      <c r="AN907" s="97"/>
    </row>
    <row r="908" spans="24:40" x14ac:dyDescent="0.35">
      <c r="X908" s="97"/>
      <c r="Y908" s="97"/>
      <c r="Z908" s="97"/>
      <c r="AA908" s="97"/>
      <c r="AB908" s="97"/>
      <c r="AC908" s="97"/>
      <c r="AD908" s="97"/>
      <c r="AE908" s="97"/>
      <c r="AF908" s="97"/>
      <c r="AG908" s="97"/>
      <c r="AH908" s="97"/>
      <c r="AI908" s="97"/>
      <c r="AK908" s="97"/>
      <c r="AL908" s="97"/>
      <c r="AM908" s="97"/>
      <c r="AN908" s="97"/>
    </row>
    <row r="909" spans="24:40" x14ac:dyDescent="0.35">
      <c r="X909" s="97"/>
      <c r="Y909" s="97"/>
      <c r="Z909" s="97"/>
      <c r="AA909" s="97"/>
      <c r="AB909" s="97"/>
      <c r="AC909" s="97"/>
      <c r="AD909" s="97"/>
      <c r="AE909" s="97"/>
      <c r="AF909" s="97"/>
      <c r="AG909" s="97"/>
      <c r="AH909" s="97"/>
      <c r="AI909" s="97"/>
      <c r="AK909" s="97"/>
      <c r="AL909" s="97"/>
      <c r="AM909" s="97"/>
      <c r="AN909" s="97"/>
    </row>
    <row r="910" spans="24:40" x14ac:dyDescent="0.35">
      <c r="X910" s="97"/>
      <c r="Y910" s="97"/>
      <c r="Z910" s="97"/>
      <c r="AA910" s="97"/>
      <c r="AB910" s="97"/>
      <c r="AC910" s="97"/>
      <c r="AD910" s="97"/>
      <c r="AE910" s="97"/>
      <c r="AF910" s="97"/>
      <c r="AG910" s="97"/>
      <c r="AH910" s="97"/>
      <c r="AI910" s="97"/>
      <c r="AK910" s="97"/>
      <c r="AL910" s="97"/>
      <c r="AM910" s="97"/>
      <c r="AN910" s="97"/>
    </row>
    <row r="911" spans="24:40" x14ac:dyDescent="0.35">
      <c r="X911" s="97"/>
      <c r="Y911" s="97"/>
      <c r="Z911" s="97"/>
      <c r="AA911" s="97"/>
      <c r="AB911" s="97"/>
      <c r="AC911" s="97"/>
      <c r="AD911" s="97"/>
      <c r="AE911" s="97"/>
      <c r="AF911" s="97"/>
      <c r="AG911" s="97"/>
      <c r="AH911" s="97"/>
      <c r="AI911" s="97"/>
      <c r="AK911" s="97"/>
      <c r="AL911" s="97"/>
      <c r="AM911" s="97"/>
      <c r="AN911" s="97"/>
    </row>
    <row r="912" spans="24:40" x14ac:dyDescent="0.35">
      <c r="X912" s="97"/>
      <c r="Y912" s="97"/>
      <c r="Z912" s="97"/>
      <c r="AA912" s="97"/>
      <c r="AB912" s="97"/>
      <c r="AC912" s="97"/>
      <c r="AD912" s="97"/>
      <c r="AE912" s="97"/>
      <c r="AF912" s="97"/>
      <c r="AG912" s="97"/>
      <c r="AH912" s="97"/>
      <c r="AI912" s="97"/>
      <c r="AK912" s="97"/>
      <c r="AL912" s="97"/>
      <c r="AM912" s="97"/>
      <c r="AN912" s="97"/>
    </row>
    <row r="913" spans="24:40" x14ac:dyDescent="0.35">
      <c r="X913" s="97"/>
      <c r="Y913" s="97"/>
      <c r="Z913" s="97"/>
      <c r="AA913" s="97"/>
      <c r="AB913" s="97"/>
      <c r="AC913" s="97"/>
      <c r="AD913" s="97"/>
      <c r="AE913" s="97"/>
      <c r="AF913" s="97"/>
      <c r="AG913" s="97"/>
      <c r="AH913" s="97"/>
      <c r="AI913" s="97"/>
      <c r="AK913" s="97"/>
      <c r="AL913" s="97"/>
      <c r="AM913" s="97"/>
      <c r="AN913" s="97"/>
    </row>
    <row r="914" spans="24:40" x14ac:dyDescent="0.35">
      <c r="X914" s="97"/>
      <c r="Y914" s="97"/>
      <c r="Z914" s="97"/>
      <c r="AA914" s="97"/>
      <c r="AB914" s="97"/>
      <c r="AC914" s="97"/>
      <c r="AD914" s="97"/>
      <c r="AE914" s="97"/>
      <c r="AF914" s="97"/>
      <c r="AG914" s="97"/>
      <c r="AH914" s="97"/>
      <c r="AI914" s="97"/>
      <c r="AK914" s="97"/>
      <c r="AL914" s="97"/>
      <c r="AM914" s="97"/>
      <c r="AN914" s="97"/>
    </row>
    <row r="915" spans="24:40" x14ac:dyDescent="0.35">
      <c r="X915" s="97"/>
      <c r="Y915" s="97"/>
      <c r="Z915" s="97"/>
      <c r="AA915" s="97"/>
      <c r="AB915" s="97"/>
      <c r="AC915" s="97"/>
      <c r="AD915" s="97"/>
      <c r="AE915" s="97"/>
      <c r="AF915" s="97"/>
      <c r="AG915" s="97"/>
      <c r="AH915" s="97"/>
      <c r="AI915" s="97"/>
      <c r="AK915" s="97"/>
      <c r="AL915" s="97"/>
      <c r="AM915" s="97"/>
      <c r="AN915" s="97"/>
    </row>
    <row r="916" spans="24:40" x14ac:dyDescent="0.35">
      <c r="X916" s="97"/>
      <c r="Y916" s="97"/>
      <c r="Z916" s="97"/>
      <c r="AA916" s="97"/>
      <c r="AB916" s="97"/>
      <c r="AC916" s="97"/>
      <c r="AD916" s="97"/>
      <c r="AE916" s="97"/>
      <c r="AF916" s="97"/>
      <c r="AG916" s="97"/>
      <c r="AH916" s="97"/>
      <c r="AI916" s="97"/>
      <c r="AK916" s="97"/>
      <c r="AL916" s="97"/>
      <c r="AM916" s="97"/>
      <c r="AN916" s="97"/>
    </row>
    <row r="917" spans="24:40" x14ac:dyDescent="0.35">
      <c r="X917" s="97"/>
      <c r="Y917" s="97"/>
      <c r="Z917" s="97"/>
      <c r="AA917" s="97"/>
      <c r="AB917" s="97"/>
      <c r="AC917" s="97"/>
      <c r="AD917" s="97"/>
      <c r="AE917" s="97"/>
      <c r="AF917" s="97"/>
      <c r="AG917" s="97"/>
      <c r="AH917" s="97"/>
      <c r="AI917" s="97"/>
      <c r="AK917" s="97"/>
      <c r="AL917" s="97"/>
      <c r="AM917" s="97"/>
      <c r="AN917" s="97"/>
    </row>
    <row r="918" spans="24:40" x14ac:dyDescent="0.35">
      <c r="X918" s="97"/>
      <c r="Y918" s="97"/>
      <c r="Z918" s="97"/>
      <c r="AA918" s="97"/>
      <c r="AB918" s="97"/>
      <c r="AC918" s="97"/>
      <c r="AD918" s="97"/>
      <c r="AE918" s="97"/>
      <c r="AF918" s="97"/>
      <c r="AG918" s="97"/>
      <c r="AH918" s="97"/>
      <c r="AI918" s="97"/>
      <c r="AK918" s="97"/>
      <c r="AL918" s="97"/>
      <c r="AM918" s="97"/>
      <c r="AN918" s="97"/>
    </row>
    <row r="919" spans="24:40" x14ac:dyDescent="0.35">
      <c r="X919" s="97"/>
      <c r="Y919" s="97"/>
      <c r="Z919" s="97"/>
      <c r="AA919" s="97"/>
      <c r="AB919" s="97"/>
      <c r="AC919" s="97"/>
      <c r="AD919" s="97"/>
      <c r="AE919" s="97"/>
      <c r="AF919" s="97"/>
      <c r="AG919" s="97"/>
      <c r="AH919" s="97"/>
      <c r="AI919" s="97"/>
      <c r="AK919" s="97"/>
      <c r="AL919" s="97"/>
      <c r="AM919" s="97"/>
      <c r="AN919" s="97"/>
    </row>
    <row r="920" spans="24:40" x14ac:dyDescent="0.35">
      <c r="X920" s="97"/>
      <c r="Y920" s="97"/>
      <c r="Z920" s="97"/>
      <c r="AA920" s="97"/>
      <c r="AB920" s="97"/>
      <c r="AC920" s="97"/>
      <c r="AD920" s="97"/>
      <c r="AE920" s="97"/>
      <c r="AF920" s="97"/>
      <c r="AG920" s="97"/>
      <c r="AH920" s="97"/>
      <c r="AI920" s="97"/>
      <c r="AK920" s="97"/>
      <c r="AL920" s="97"/>
      <c r="AM920" s="97"/>
      <c r="AN920" s="97"/>
    </row>
    <row r="921" spans="24:40" x14ac:dyDescent="0.35">
      <c r="X921" s="97"/>
      <c r="Y921" s="97"/>
      <c r="Z921" s="97"/>
      <c r="AA921" s="97"/>
      <c r="AB921" s="97"/>
      <c r="AC921" s="97"/>
      <c r="AD921" s="97"/>
      <c r="AE921" s="97"/>
      <c r="AF921" s="97"/>
      <c r="AG921" s="97"/>
      <c r="AH921" s="97"/>
      <c r="AI921" s="97"/>
      <c r="AK921" s="97"/>
      <c r="AL921" s="97"/>
      <c r="AM921" s="97"/>
      <c r="AN921" s="97"/>
    </row>
    <row r="922" spans="24:40" x14ac:dyDescent="0.35">
      <c r="X922" s="97"/>
      <c r="Y922" s="97"/>
      <c r="Z922" s="97"/>
      <c r="AA922" s="97"/>
      <c r="AB922" s="97"/>
      <c r="AC922" s="97"/>
      <c r="AD922" s="97"/>
      <c r="AE922" s="97"/>
      <c r="AF922" s="97"/>
      <c r="AG922" s="97"/>
      <c r="AH922" s="97"/>
      <c r="AI922" s="97"/>
      <c r="AK922" s="97"/>
      <c r="AL922" s="97"/>
      <c r="AM922" s="97"/>
      <c r="AN922" s="97"/>
    </row>
    <row r="923" spans="24:40" x14ac:dyDescent="0.35">
      <c r="X923" s="97"/>
      <c r="Y923" s="97"/>
      <c r="Z923" s="97"/>
      <c r="AA923" s="97"/>
      <c r="AB923" s="97"/>
      <c r="AC923" s="97"/>
      <c r="AD923" s="97"/>
      <c r="AE923" s="97"/>
      <c r="AF923" s="97"/>
      <c r="AG923" s="97"/>
      <c r="AH923" s="97"/>
      <c r="AI923" s="97"/>
      <c r="AK923" s="97"/>
      <c r="AL923" s="97"/>
      <c r="AM923" s="97"/>
      <c r="AN923" s="97"/>
    </row>
    <row r="924" spans="24:40" x14ac:dyDescent="0.35">
      <c r="X924" s="97"/>
      <c r="Y924" s="97"/>
      <c r="Z924" s="97"/>
      <c r="AA924" s="97"/>
      <c r="AB924" s="97"/>
      <c r="AC924" s="97"/>
      <c r="AD924" s="97"/>
      <c r="AE924" s="97"/>
      <c r="AF924" s="97"/>
      <c r="AG924" s="97"/>
      <c r="AH924" s="97"/>
      <c r="AI924" s="97"/>
      <c r="AK924" s="97"/>
      <c r="AL924" s="97"/>
      <c r="AM924" s="97"/>
      <c r="AN924" s="97"/>
    </row>
    <row r="925" spans="24:40" x14ac:dyDescent="0.35">
      <c r="X925" s="97"/>
      <c r="Y925" s="97"/>
      <c r="Z925" s="97"/>
      <c r="AA925" s="97"/>
      <c r="AB925" s="97"/>
      <c r="AC925" s="97"/>
      <c r="AD925" s="97"/>
      <c r="AE925" s="97"/>
      <c r="AF925" s="97"/>
      <c r="AG925" s="97"/>
      <c r="AH925" s="97"/>
      <c r="AI925" s="97"/>
      <c r="AK925" s="97"/>
      <c r="AL925" s="97"/>
      <c r="AM925" s="97"/>
      <c r="AN925" s="97"/>
    </row>
    <row r="926" spans="24:40" x14ac:dyDescent="0.35">
      <c r="X926" s="97"/>
      <c r="Y926" s="97"/>
      <c r="Z926" s="97"/>
      <c r="AA926" s="97"/>
      <c r="AB926" s="97"/>
      <c r="AC926" s="97"/>
      <c r="AD926" s="97"/>
      <c r="AE926" s="97"/>
      <c r="AF926" s="97"/>
      <c r="AG926" s="97"/>
      <c r="AH926" s="97"/>
      <c r="AI926" s="97"/>
      <c r="AK926" s="97"/>
      <c r="AL926" s="97"/>
      <c r="AM926" s="97"/>
      <c r="AN926" s="97"/>
    </row>
    <row r="927" spans="24:40" x14ac:dyDescent="0.35">
      <c r="X927" s="97"/>
      <c r="Y927" s="97"/>
      <c r="Z927" s="97"/>
      <c r="AA927" s="97"/>
      <c r="AB927" s="97"/>
      <c r="AC927" s="97"/>
      <c r="AD927" s="97"/>
      <c r="AE927" s="97"/>
      <c r="AF927" s="97"/>
      <c r="AG927" s="97"/>
      <c r="AH927" s="97"/>
      <c r="AI927" s="97"/>
      <c r="AK927" s="97"/>
      <c r="AL927" s="97"/>
      <c r="AM927" s="97"/>
      <c r="AN927" s="97"/>
    </row>
    <row r="928" spans="24:40" x14ac:dyDescent="0.35">
      <c r="X928" s="97"/>
      <c r="Y928" s="97"/>
      <c r="Z928" s="97"/>
      <c r="AA928" s="97"/>
      <c r="AB928" s="97"/>
      <c r="AC928" s="97"/>
      <c r="AD928" s="97"/>
      <c r="AE928" s="97"/>
      <c r="AF928" s="97"/>
      <c r="AG928" s="97"/>
      <c r="AH928" s="97"/>
      <c r="AI928" s="97"/>
      <c r="AK928" s="97"/>
      <c r="AL928" s="97"/>
      <c r="AM928" s="97"/>
      <c r="AN928" s="97"/>
    </row>
    <row r="929" spans="24:40" x14ac:dyDescent="0.35">
      <c r="X929" s="97"/>
      <c r="Y929" s="97"/>
      <c r="Z929" s="97"/>
      <c r="AA929" s="97"/>
      <c r="AB929" s="97"/>
      <c r="AC929" s="97"/>
      <c r="AD929" s="97"/>
      <c r="AE929" s="97"/>
      <c r="AF929" s="97"/>
      <c r="AG929" s="97"/>
      <c r="AH929" s="97"/>
      <c r="AI929" s="97"/>
      <c r="AK929" s="97"/>
      <c r="AL929" s="97"/>
      <c r="AM929" s="97"/>
      <c r="AN929" s="97"/>
    </row>
    <row r="930" spans="24:40" x14ac:dyDescent="0.35">
      <c r="X930" s="97"/>
      <c r="Y930" s="97"/>
      <c r="Z930" s="97"/>
      <c r="AA930" s="97"/>
      <c r="AB930" s="97"/>
      <c r="AC930" s="97"/>
      <c r="AD930" s="97"/>
      <c r="AE930" s="97"/>
      <c r="AF930" s="97"/>
      <c r="AG930" s="97"/>
      <c r="AH930" s="97"/>
      <c r="AI930" s="97"/>
      <c r="AK930" s="97"/>
      <c r="AL930" s="97"/>
      <c r="AM930" s="97"/>
      <c r="AN930" s="97"/>
    </row>
    <row r="931" spans="24:40" x14ac:dyDescent="0.35">
      <c r="X931" s="97"/>
      <c r="Y931" s="97"/>
      <c r="Z931" s="97"/>
      <c r="AA931" s="97"/>
      <c r="AB931" s="97"/>
      <c r="AC931" s="97"/>
      <c r="AD931" s="97"/>
      <c r="AE931" s="97"/>
      <c r="AF931" s="97"/>
      <c r="AG931" s="97"/>
      <c r="AH931" s="97"/>
      <c r="AI931" s="97"/>
      <c r="AK931" s="97"/>
      <c r="AL931" s="97"/>
      <c r="AM931" s="97"/>
      <c r="AN931" s="97"/>
    </row>
    <row r="932" spans="24:40" x14ac:dyDescent="0.35">
      <c r="X932" s="97"/>
      <c r="Y932" s="97"/>
      <c r="Z932" s="97"/>
      <c r="AA932" s="97"/>
      <c r="AB932" s="97"/>
      <c r="AC932" s="97"/>
      <c r="AD932" s="97"/>
      <c r="AE932" s="97"/>
      <c r="AF932" s="97"/>
      <c r="AG932" s="97"/>
      <c r="AH932" s="97"/>
      <c r="AI932" s="97"/>
      <c r="AK932" s="97"/>
      <c r="AL932" s="97"/>
      <c r="AM932" s="97"/>
      <c r="AN932" s="97"/>
    </row>
    <row r="933" spans="24:40" x14ac:dyDescent="0.35">
      <c r="X933" s="97"/>
      <c r="Y933" s="97"/>
      <c r="Z933" s="97"/>
      <c r="AA933" s="97"/>
      <c r="AB933" s="97"/>
      <c r="AC933" s="97"/>
      <c r="AD933" s="97"/>
      <c r="AE933" s="97"/>
      <c r="AF933" s="97"/>
      <c r="AG933" s="97"/>
      <c r="AH933" s="97"/>
      <c r="AI933" s="97"/>
      <c r="AK933" s="97"/>
      <c r="AL933" s="97"/>
      <c r="AM933" s="97"/>
      <c r="AN933" s="97"/>
    </row>
    <row r="934" spans="24:40" x14ac:dyDescent="0.35">
      <c r="X934" s="97"/>
      <c r="Y934" s="97"/>
      <c r="Z934" s="97"/>
      <c r="AA934" s="97"/>
      <c r="AB934" s="97"/>
      <c r="AC934" s="97"/>
      <c r="AD934" s="97"/>
      <c r="AE934" s="97"/>
      <c r="AF934" s="97"/>
      <c r="AG934" s="97"/>
      <c r="AH934" s="97"/>
      <c r="AI934" s="97"/>
      <c r="AK934" s="97"/>
      <c r="AL934" s="97"/>
      <c r="AM934" s="97"/>
      <c r="AN934" s="97"/>
    </row>
    <row r="935" spans="24:40" x14ac:dyDescent="0.35">
      <c r="X935" s="97"/>
      <c r="Y935" s="97"/>
      <c r="Z935" s="97"/>
      <c r="AA935" s="97"/>
      <c r="AB935" s="97"/>
      <c r="AC935" s="97"/>
      <c r="AD935" s="97"/>
      <c r="AE935" s="97"/>
      <c r="AF935" s="97"/>
      <c r="AG935" s="97"/>
      <c r="AH935" s="97"/>
      <c r="AI935" s="97"/>
      <c r="AK935" s="97"/>
      <c r="AL935" s="97"/>
      <c r="AM935" s="97"/>
      <c r="AN935" s="97"/>
    </row>
    <row r="936" spans="24:40" x14ac:dyDescent="0.35">
      <c r="X936" s="97"/>
      <c r="Y936" s="97"/>
      <c r="Z936" s="97"/>
      <c r="AA936" s="97"/>
      <c r="AB936" s="97"/>
      <c r="AC936" s="97"/>
      <c r="AD936" s="97"/>
      <c r="AE936" s="97"/>
      <c r="AF936" s="97"/>
      <c r="AG936" s="97"/>
      <c r="AH936" s="97"/>
      <c r="AI936" s="97"/>
      <c r="AK936" s="97"/>
      <c r="AL936" s="97"/>
      <c r="AM936" s="97"/>
      <c r="AN936" s="97"/>
    </row>
    <row r="937" spans="24:40" x14ac:dyDescent="0.35">
      <c r="X937" s="97"/>
      <c r="Y937" s="97"/>
      <c r="Z937" s="97"/>
      <c r="AA937" s="97"/>
      <c r="AB937" s="97"/>
      <c r="AC937" s="97"/>
      <c r="AD937" s="97"/>
      <c r="AE937" s="97"/>
      <c r="AF937" s="97"/>
      <c r="AG937" s="97"/>
      <c r="AH937" s="97"/>
      <c r="AI937" s="97"/>
      <c r="AK937" s="97"/>
      <c r="AL937" s="97"/>
      <c r="AM937" s="97"/>
      <c r="AN937" s="97"/>
    </row>
    <row r="938" spans="24:40" x14ac:dyDescent="0.35">
      <c r="X938" s="97"/>
      <c r="Y938" s="97"/>
      <c r="Z938" s="97"/>
      <c r="AA938" s="97"/>
      <c r="AB938" s="97"/>
      <c r="AC938" s="97"/>
      <c r="AD938" s="97"/>
      <c r="AE938" s="97"/>
      <c r="AF938" s="97"/>
      <c r="AG938" s="97"/>
      <c r="AH938" s="97"/>
      <c r="AI938" s="97"/>
      <c r="AK938" s="97"/>
      <c r="AL938" s="97"/>
      <c r="AM938" s="97"/>
      <c r="AN938" s="97"/>
    </row>
    <row r="939" spans="24:40" x14ac:dyDescent="0.35">
      <c r="X939" s="97"/>
      <c r="Y939" s="97"/>
      <c r="Z939" s="97"/>
      <c r="AA939" s="97"/>
      <c r="AB939" s="97"/>
      <c r="AC939" s="97"/>
      <c r="AD939" s="97"/>
      <c r="AE939" s="97"/>
      <c r="AF939" s="97"/>
      <c r="AG939" s="97"/>
      <c r="AH939" s="97"/>
      <c r="AI939" s="97"/>
      <c r="AK939" s="97"/>
      <c r="AL939" s="97"/>
      <c r="AM939" s="97"/>
      <c r="AN939" s="97"/>
    </row>
    <row r="940" spans="24:40" x14ac:dyDescent="0.35">
      <c r="X940" s="97"/>
      <c r="Y940" s="97"/>
      <c r="Z940" s="97"/>
      <c r="AA940" s="97"/>
      <c r="AB940" s="97"/>
      <c r="AC940" s="97"/>
      <c r="AD940" s="97"/>
      <c r="AE940" s="97"/>
      <c r="AF940" s="97"/>
      <c r="AG940" s="97"/>
      <c r="AH940" s="97"/>
      <c r="AI940" s="97"/>
      <c r="AK940" s="97"/>
      <c r="AL940" s="97"/>
      <c r="AM940" s="97"/>
      <c r="AN940" s="97"/>
    </row>
    <row r="941" spans="24:40" x14ac:dyDescent="0.35">
      <c r="X941" s="97"/>
      <c r="Y941" s="97"/>
      <c r="Z941" s="97"/>
      <c r="AA941" s="97"/>
      <c r="AB941" s="97"/>
      <c r="AC941" s="97"/>
      <c r="AD941" s="97"/>
      <c r="AE941" s="97"/>
      <c r="AF941" s="97"/>
      <c r="AG941" s="97"/>
      <c r="AH941" s="97"/>
      <c r="AI941" s="97"/>
      <c r="AK941" s="97"/>
      <c r="AL941" s="97"/>
      <c r="AM941" s="97"/>
      <c r="AN941" s="97"/>
    </row>
    <row r="942" spans="24:40" x14ac:dyDescent="0.35">
      <c r="X942" s="97"/>
      <c r="Y942" s="97"/>
      <c r="Z942" s="97"/>
      <c r="AA942" s="97"/>
      <c r="AB942" s="97"/>
      <c r="AC942" s="97"/>
      <c r="AD942" s="97"/>
      <c r="AE942" s="97"/>
      <c r="AF942" s="97"/>
      <c r="AG942" s="97"/>
      <c r="AH942" s="97"/>
      <c r="AI942" s="97"/>
      <c r="AK942" s="97"/>
      <c r="AL942" s="97"/>
      <c r="AM942" s="97"/>
      <c r="AN942" s="97"/>
    </row>
    <row r="943" spans="24:40" x14ac:dyDescent="0.35">
      <c r="X943" s="97"/>
      <c r="Y943" s="97"/>
      <c r="Z943" s="97"/>
      <c r="AA943" s="97"/>
      <c r="AB943" s="97"/>
      <c r="AC943" s="97"/>
      <c r="AD943" s="97"/>
      <c r="AE943" s="97"/>
      <c r="AF943" s="97"/>
      <c r="AG943" s="97"/>
      <c r="AH943" s="97"/>
      <c r="AI943" s="97"/>
      <c r="AK943" s="97"/>
      <c r="AL943" s="97"/>
      <c r="AM943" s="97"/>
      <c r="AN943" s="97"/>
    </row>
    <row r="944" spans="24:40" x14ac:dyDescent="0.35">
      <c r="X944" s="97"/>
      <c r="Y944" s="97"/>
      <c r="Z944" s="97"/>
      <c r="AA944" s="97"/>
      <c r="AB944" s="97"/>
      <c r="AC944" s="97"/>
      <c r="AD944" s="97"/>
      <c r="AE944" s="97"/>
      <c r="AF944" s="97"/>
      <c r="AG944" s="97"/>
      <c r="AH944" s="97"/>
      <c r="AI944" s="97"/>
      <c r="AK944" s="97"/>
      <c r="AL944" s="97"/>
      <c r="AM944" s="97"/>
      <c r="AN944" s="97"/>
    </row>
    <row r="945" spans="24:40" x14ac:dyDescent="0.35">
      <c r="X945" s="97"/>
      <c r="Y945" s="97"/>
      <c r="Z945" s="97"/>
      <c r="AA945" s="97"/>
      <c r="AB945" s="97"/>
      <c r="AC945" s="97"/>
      <c r="AD945" s="97"/>
      <c r="AE945" s="97"/>
      <c r="AF945" s="97"/>
      <c r="AG945" s="97"/>
      <c r="AH945" s="97"/>
      <c r="AI945" s="97"/>
      <c r="AK945" s="97"/>
      <c r="AL945" s="97"/>
      <c r="AM945" s="97"/>
      <c r="AN945" s="97"/>
    </row>
    <row r="946" spans="24:40" x14ac:dyDescent="0.35">
      <c r="X946" s="97"/>
      <c r="Y946" s="97"/>
      <c r="Z946" s="97"/>
      <c r="AA946" s="97"/>
      <c r="AB946" s="97"/>
      <c r="AC946" s="97"/>
      <c r="AD946" s="97"/>
      <c r="AE946" s="97"/>
      <c r="AF946" s="97"/>
      <c r="AG946" s="97"/>
      <c r="AH946" s="97"/>
      <c r="AI946" s="97"/>
      <c r="AK946" s="97"/>
      <c r="AL946" s="97"/>
      <c r="AM946" s="97"/>
      <c r="AN946" s="97"/>
    </row>
    <row r="947" spans="24:40" x14ac:dyDescent="0.35">
      <c r="X947" s="97"/>
      <c r="Y947" s="97"/>
      <c r="Z947" s="97"/>
      <c r="AA947" s="97"/>
      <c r="AB947" s="97"/>
      <c r="AC947" s="97"/>
      <c r="AD947" s="97"/>
      <c r="AE947" s="97"/>
      <c r="AF947" s="97"/>
      <c r="AG947" s="97"/>
      <c r="AH947" s="97"/>
      <c r="AI947" s="97"/>
      <c r="AK947" s="97"/>
      <c r="AL947" s="97"/>
      <c r="AM947" s="97"/>
      <c r="AN947" s="97"/>
    </row>
    <row r="948" spans="24:40" x14ac:dyDescent="0.35">
      <c r="X948" s="97"/>
      <c r="Y948" s="97"/>
      <c r="Z948" s="97"/>
      <c r="AA948" s="97"/>
      <c r="AB948" s="97"/>
      <c r="AC948" s="97"/>
      <c r="AD948" s="97"/>
      <c r="AE948" s="97"/>
      <c r="AF948" s="97"/>
      <c r="AG948" s="97"/>
      <c r="AH948" s="97"/>
      <c r="AI948" s="97"/>
      <c r="AK948" s="97"/>
      <c r="AL948" s="97"/>
      <c r="AM948" s="97"/>
      <c r="AN948" s="97"/>
    </row>
    <row r="949" spans="24:40" x14ac:dyDescent="0.35">
      <c r="X949" s="97"/>
      <c r="Y949" s="97"/>
      <c r="Z949" s="97"/>
      <c r="AA949" s="97"/>
      <c r="AB949" s="97"/>
      <c r="AC949" s="97"/>
      <c r="AD949" s="97"/>
      <c r="AE949" s="97"/>
      <c r="AF949" s="97"/>
      <c r="AG949" s="97"/>
      <c r="AH949" s="97"/>
      <c r="AI949" s="97"/>
      <c r="AK949" s="97"/>
      <c r="AL949" s="97"/>
      <c r="AM949" s="97"/>
      <c r="AN949" s="97"/>
    </row>
    <row r="950" spans="24:40" x14ac:dyDescent="0.35">
      <c r="X950" s="97"/>
      <c r="Y950" s="97"/>
      <c r="Z950" s="97"/>
      <c r="AA950" s="97"/>
      <c r="AB950" s="97"/>
      <c r="AC950" s="97"/>
      <c r="AD950" s="97"/>
      <c r="AE950" s="97"/>
      <c r="AF950" s="97"/>
      <c r="AG950" s="97"/>
      <c r="AH950" s="97"/>
      <c r="AI950" s="97"/>
      <c r="AK950" s="97"/>
      <c r="AL950" s="97"/>
      <c r="AM950" s="97"/>
      <c r="AN950" s="97"/>
    </row>
    <row r="951" spans="24:40" x14ac:dyDescent="0.35">
      <c r="X951" s="97"/>
      <c r="Y951" s="97"/>
      <c r="Z951" s="97"/>
      <c r="AA951" s="97"/>
      <c r="AB951" s="97"/>
      <c r="AC951" s="97"/>
      <c r="AD951" s="97"/>
      <c r="AE951" s="97"/>
      <c r="AF951" s="97"/>
      <c r="AG951" s="97"/>
      <c r="AH951" s="97"/>
      <c r="AI951" s="97"/>
      <c r="AK951" s="97"/>
      <c r="AL951" s="97"/>
      <c r="AM951" s="97"/>
      <c r="AN951" s="97"/>
    </row>
    <row r="952" spans="24:40" x14ac:dyDescent="0.35">
      <c r="X952" s="97"/>
      <c r="Y952" s="97"/>
      <c r="Z952" s="97"/>
      <c r="AA952" s="97"/>
      <c r="AB952" s="97"/>
      <c r="AC952" s="97"/>
      <c r="AD952" s="97"/>
      <c r="AE952" s="97"/>
      <c r="AF952" s="97"/>
      <c r="AG952" s="97"/>
      <c r="AH952" s="97"/>
      <c r="AI952" s="97"/>
      <c r="AK952" s="97"/>
      <c r="AL952" s="97"/>
      <c r="AM952" s="97"/>
      <c r="AN952" s="97"/>
    </row>
    <row r="953" spans="24:40" x14ac:dyDescent="0.35">
      <c r="X953" s="97"/>
      <c r="Y953" s="97"/>
      <c r="Z953" s="97"/>
      <c r="AA953" s="97"/>
      <c r="AB953" s="97"/>
      <c r="AC953" s="97"/>
      <c r="AD953" s="97"/>
      <c r="AE953" s="97"/>
      <c r="AF953" s="97"/>
      <c r="AG953" s="97"/>
      <c r="AH953" s="97"/>
      <c r="AI953" s="97"/>
      <c r="AK953" s="97"/>
      <c r="AL953" s="97"/>
      <c r="AM953" s="97"/>
      <c r="AN953" s="97"/>
    </row>
    <row r="954" spans="24:40" x14ac:dyDescent="0.35">
      <c r="X954" s="97"/>
      <c r="Y954" s="97"/>
      <c r="Z954" s="97"/>
      <c r="AA954" s="97"/>
      <c r="AB954" s="97"/>
      <c r="AC954" s="97"/>
      <c r="AD954" s="97"/>
      <c r="AE954" s="97"/>
      <c r="AF954" s="97"/>
      <c r="AG954" s="97"/>
      <c r="AH954" s="97"/>
      <c r="AI954" s="97"/>
      <c r="AK954" s="97"/>
      <c r="AL954" s="97"/>
      <c r="AM954" s="97"/>
      <c r="AN954" s="97"/>
    </row>
    <row r="955" spans="24:40" x14ac:dyDescent="0.35">
      <c r="X955" s="97"/>
      <c r="Y955" s="97"/>
      <c r="Z955" s="97"/>
      <c r="AA955" s="97"/>
      <c r="AB955" s="97"/>
      <c r="AC955" s="97"/>
      <c r="AD955" s="97"/>
      <c r="AE955" s="97"/>
      <c r="AF955" s="97"/>
      <c r="AG955" s="97"/>
      <c r="AH955" s="97"/>
      <c r="AI955" s="97"/>
      <c r="AK955" s="97"/>
      <c r="AL955" s="97"/>
      <c r="AM955" s="97"/>
      <c r="AN955" s="97"/>
    </row>
    <row r="956" spans="24:40" x14ac:dyDescent="0.35">
      <c r="X956" s="97"/>
      <c r="Y956" s="97"/>
      <c r="Z956" s="97"/>
      <c r="AA956" s="97"/>
      <c r="AB956" s="97"/>
      <c r="AC956" s="97"/>
      <c r="AD956" s="97"/>
      <c r="AE956" s="97"/>
      <c r="AF956" s="97"/>
      <c r="AG956" s="97"/>
      <c r="AH956" s="97"/>
      <c r="AI956" s="97"/>
      <c r="AK956" s="97"/>
      <c r="AL956" s="97"/>
      <c r="AM956" s="97"/>
      <c r="AN956" s="97"/>
    </row>
    <row r="957" spans="24:40" x14ac:dyDescent="0.35">
      <c r="X957" s="97"/>
      <c r="Y957" s="97"/>
      <c r="Z957" s="97"/>
      <c r="AA957" s="97"/>
      <c r="AB957" s="97"/>
      <c r="AC957" s="97"/>
      <c r="AD957" s="97"/>
      <c r="AE957" s="97"/>
      <c r="AF957" s="97"/>
      <c r="AG957" s="97"/>
      <c r="AH957" s="97"/>
      <c r="AI957" s="97"/>
      <c r="AK957" s="97"/>
      <c r="AL957" s="97"/>
      <c r="AM957" s="97"/>
      <c r="AN957" s="97"/>
    </row>
    <row r="958" spans="24:40" x14ac:dyDescent="0.35">
      <c r="X958" s="97"/>
      <c r="Y958" s="97"/>
      <c r="Z958" s="97"/>
      <c r="AA958" s="97"/>
      <c r="AB958" s="97"/>
      <c r="AC958" s="97"/>
      <c r="AD958" s="97"/>
      <c r="AE958" s="97"/>
      <c r="AF958" s="97"/>
      <c r="AG958" s="97"/>
      <c r="AH958" s="97"/>
      <c r="AI958" s="97"/>
      <c r="AK958" s="97"/>
      <c r="AL958" s="97"/>
      <c r="AM958" s="97"/>
      <c r="AN958" s="97"/>
    </row>
    <row r="959" spans="24:40" x14ac:dyDescent="0.35">
      <c r="X959" s="97"/>
      <c r="Y959" s="97"/>
      <c r="Z959" s="97"/>
      <c r="AA959" s="97"/>
      <c r="AB959" s="97"/>
      <c r="AC959" s="97"/>
      <c r="AD959" s="97"/>
      <c r="AE959" s="97"/>
      <c r="AF959" s="97"/>
      <c r="AG959" s="97"/>
      <c r="AH959" s="97"/>
      <c r="AI959" s="97"/>
      <c r="AK959" s="97"/>
      <c r="AL959" s="97"/>
      <c r="AM959" s="97"/>
      <c r="AN959" s="97"/>
    </row>
    <row r="960" spans="24:40" x14ac:dyDescent="0.35">
      <c r="X960" s="97"/>
    </row>
  </sheetData>
  <mergeCells count="2">
    <mergeCell ref="L2:L6"/>
    <mergeCell ref="M2:O6"/>
  </mergeCells>
  <conditionalFormatting sqref="A5">
    <cfRule type="cellIs" dxfId="8" priority="5" operator="equal">
      <formula>TRUE</formula>
    </cfRule>
  </conditionalFormatting>
  <conditionalFormatting sqref="B9:B221">
    <cfRule type="cellIs" dxfId="7" priority="3" operator="equal">
      <formula>TRUE</formula>
    </cfRule>
  </conditionalFormatting>
  <conditionalFormatting sqref="H2">
    <cfRule type="cellIs" dxfId="6" priority="4" operator="equal">
      <formula>TRUE</formula>
    </cfRule>
  </conditionalFormatting>
  <conditionalFormatting sqref="M2:N2">
    <cfRule type="duplicateValues" dxfId="5" priority="2"/>
  </conditionalFormatting>
  <conditionalFormatting sqref="AV9:AV217">
    <cfRule type="duplicateValues" dxfId="4" priority="1"/>
  </conditionalFormatting>
  <dataValidations count="6">
    <dataValidation type="list" allowBlank="1" showInputMessage="1" showErrorMessage="1" sqref="H3" xr:uid="{2E087AA5-AB54-413C-B8A4-2ECEFE7224F8}">
      <formula1>_VP</formula1>
    </dataValidation>
    <dataValidation type="list" allowBlank="1" showInputMessage="1" showErrorMessage="1" sqref="H9:H221" xr:uid="{03299A5F-5461-4A3B-81BB-EEAA0D481224}">
      <formula1>_Corporativo_SPE</formula1>
    </dataValidation>
    <dataValidation type="list" allowBlank="1" showInputMessage="1" showErrorMessage="1" sqref="J9:J221" xr:uid="{216EF50A-599C-4288-A879-5E7301982795}">
      <formula1>_Segmento</formula1>
    </dataValidation>
    <dataValidation type="list" allowBlank="1" showInputMessage="1" showErrorMessage="1" sqref="K9:K221" xr:uid="{C0149510-8B8A-494D-B624-3FBBFA795CE1}">
      <formula1>INDIRECT($J9)</formula1>
    </dataValidation>
    <dataValidation type="list" allowBlank="1" showInputMessage="1" showErrorMessage="1" sqref="I9:I221" xr:uid="{6F7A43D3-AA2A-4179-AE56-838C46602BF7}">
      <formula1>INDIRECT($H9)</formula1>
    </dataValidation>
    <dataValidation type="list" allowBlank="1" showInputMessage="1" showErrorMessage="1" sqref="L9:L221" xr:uid="{89C081FD-DC85-48EC-93AD-917C6A50B8BE}">
      <formula1>INDIRECT(SUBSTITUTE($J9&amp;$K9," ",""))</formula1>
    </dataValidation>
  </dataValidations>
  <pageMargins left="0.511811024" right="0.511811024" top="0.78740157499999996" bottom="0.78740157499999996" header="0.31496062000000002" footer="0.31496062000000002"/>
  <pageSetup paperSize="9" orientation="portrait" r:id="rId1"/>
  <headerFooter>
    <oddFooter>&amp;C_x000D_&amp;1#&amp;"Calibri"&amp;10&amp;K0000FF Classificação: Interna</oddFooter>
  </headerFooter>
  <ignoredErrors>
    <ignoredError sqref="L9:L217 K9:K217" listDataValidation="1"/>
  </ignoredErrors>
  <legacyDrawing r:id="rId2"/>
  <tableParts count="1">
    <tablePart r:id="rId3"/>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6FC9F-2FC0-4396-B5F5-E1303E7B7837}">
  <sheetPr>
    <tabColor theme="1"/>
  </sheetPr>
  <dimension ref="A1:FF233"/>
  <sheetViews>
    <sheetView showGridLines="0" topLeftCell="R1" zoomScale="85" zoomScaleNormal="70" workbookViewId="0">
      <selection activeCell="AB13" sqref="AB13"/>
    </sheetView>
  </sheetViews>
  <sheetFormatPr defaultRowHeight="13" x14ac:dyDescent="0.3"/>
  <cols>
    <col min="1" max="1" width="18.3984375" customWidth="1"/>
    <col min="2" max="2" width="15.296875" customWidth="1"/>
    <col min="3" max="3" width="49.59765625" customWidth="1"/>
    <col min="4" max="4" width="5.3984375" customWidth="1"/>
    <col min="5" max="5" width="12.8984375" customWidth="1"/>
    <col min="6" max="6" width="13.3984375" customWidth="1"/>
    <col min="7" max="7" width="15" customWidth="1"/>
    <col min="8" max="8" width="18.296875" bestFit="1" customWidth="1"/>
    <col min="9" max="9" width="10" bestFit="1" customWidth="1"/>
    <col min="10" max="10" width="21" customWidth="1"/>
    <col min="11" max="11" width="32.59765625" customWidth="1"/>
    <col min="12" max="12" width="30.296875" bestFit="1" customWidth="1"/>
    <col min="13" max="13" width="22.3984375" bestFit="1" customWidth="1"/>
    <col min="14" max="14" width="16.296875" bestFit="1" customWidth="1"/>
    <col min="15" max="15" width="20.8984375" customWidth="1"/>
    <col min="16" max="16" width="22.09765625" bestFit="1" customWidth="1"/>
    <col min="17" max="17" width="84.59765625" customWidth="1"/>
    <col min="18" max="18" width="18.69921875" customWidth="1"/>
    <col min="19" max="19" width="21" bestFit="1" customWidth="1"/>
    <col min="20" max="31" width="12.3984375" customWidth="1"/>
    <col min="32" max="32" width="15.59765625" customWidth="1"/>
    <col min="33" max="36" width="12.3984375" customWidth="1"/>
    <col min="37" max="37" width="16.3984375" customWidth="1"/>
    <col min="38" max="42" width="12.3984375" customWidth="1"/>
    <col min="43" max="43" width="18.69921875" customWidth="1"/>
    <col min="44" max="44" width="11.3984375" bestFit="1" customWidth="1"/>
    <col min="45" max="45" width="18.09765625" bestFit="1" customWidth="1"/>
    <col min="46" max="46" width="13.8984375" bestFit="1" customWidth="1"/>
    <col min="47" max="47" width="19.69921875" bestFit="1" customWidth="1"/>
    <col min="48" max="48" width="13.296875" bestFit="1" customWidth="1"/>
    <col min="49" max="49" width="18.09765625" bestFit="1" customWidth="1"/>
    <col min="50" max="50" width="88.59765625" customWidth="1"/>
    <col min="51" max="51" width="70.59765625" customWidth="1"/>
    <col min="52" max="52" width="31.09765625" customWidth="1"/>
    <col min="53" max="67" width="40" customWidth="1"/>
    <col min="68" max="69" width="25.09765625" bestFit="1" customWidth="1"/>
    <col min="70" max="70" width="20" bestFit="1" customWidth="1"/>
    <col min="71" max="72" width="26" bestFit="1" customWidth="1"/>
    <col min="73" max="73" width="19.69921875" bestFit="1" customWidth="1"/>
    <col min="74" max="74" width="16.69921875" customWidth="1"/>
  </cols>
  <sheetData>
    <row r="1" spans="1:156" s="2" customFormat="1" ht="9" customHeight="1" thickBot="1" x14ac:dyDescent="0.4">
      <c r="A1" s="1"/>
      <c r="C1" s="3"/>
      <c r="H1" s="90"/>
      <c r="I1" s="90"/>
      <c r="J1" s="90"/>
      <c r="O1" s="68"/>
      <c r="P1" s="90"/>
      <c r="T1" s="90"/>
      <c r="X1" s="90"/>
      <c r="Y1" s="90"/>
      <c r="AT1" s="114"/>
      <c r="AX1" s="115"/>
    </row>
    <row r="2" spans="1:156" s="2" customFormat="1" ht="21" customHeight="1" thickBot="1" x14ac:dyDescent="0.65">
      <c r="B2" s="4" t="s">
        <v>433</v>
      </c>
      <c r="C2" s="4"/>
      <c r="G2" s="64" t="s">
        <v>434</v>
      </c>
      <c r="H2" s="92" t="b">
        <f>AND($H$3&lt;&gt;"",$H$4&lt;&gt;"")</f>
        <v>1</v>
      </c>
      <c r="I2" s="90"/>
      <c r="J2" s="76" t="s">
        <v>435</v>
      </c>
      <c r="L2" s="430" t="s">
        <v>436</v>
      </c>
      <c r="M2" s="433" t="s">
        <v>2280</v>
      </c>
      <c r="N2" s="433"/>
      <c r="O2" s="433"/>
      <c r="T2" s="90"/>
      <c r="X2" s="90"/>
      <c r="Y2" s="90"/>
      <c r="Z2" s="5"/>
      <c r="AA2" s="5"/>
      <c r="AB2" s="5"/>
      <c r="AC2" s="5"/>
      <c r="AD2" s="5"/>
      <c r="AE2" s="5"/>
      <c r="AJ2" s="6"/>
      <c r="AP2" s="5"/>
      <c r="AT2" s="114"/>
      <c r="AX2" s="115"/>
    </row>
    <row r="3" spans="1:156" s="2" customFormat="1" ht="21" customHeight="1" x14ac:dyDescent="0.5">
      <c r="B3" s="7" t="s">
        <v>438</v>
      </c>
      <c r="C3" s="8"/>
      <c r="G3" s="63" t="s">
        <v>13</v>
      </c>
      <c r="H3" s="93" t="s">
        <v>439</v>
      </c>
      <c r="I3" s="116" t="s">
        <v>11</v>
      </c>
      <c r="J3" s="96" t="str" cm="1">
        <f t="array" aca="1" ref="J3" ca="1">MID(CELL("filename"),SEARCH("[",CELL("filename"))+1,SEARCH("]",CELL("filename"))-SEARCH("[",CELL("filename"))-1)</f>
        <v>Capex Orcamentário_PE2026_2030_red_35_porcentoR3_consulta.xlsx</v>
      </c>
      <c r="L3" s="430"/>
      <c r="M3" s="433"/>
      <c r="N3" s="433"/>
      <c r="O3" s="433"/>
      <c r="T3" s="9">
        <f>SUBTOTAL(9,_tPE26_29_Consolidada[jan/26])</f>
        <v>5257000</v>
      </c>
      <c r="U3" s="9">
        <f>SUBTOTAL(9,_tPE26_29_Consolidada[fev/26])</f>
        <v>13858000</v>
      </c>
      <c r="V3" s="9">
        <f>SUBTOTAL(9,_tPE26_29_Consolidada[mar/26])</f>
        <v>11518000</v>
      </c>
      <c r="W3" s="9">
        <f>SUBTOTAL(9,_tPE26_29_Consolidada[abr/26])</f>
        <v>19643000</v>
      </c>
      <c r="X3" s="9">
        <f>SUBTOTAL(9,_tPE26_29_Consolidada[mai/26])</f>
        <v>16872000</v>
      </c>
      <c r="Y3" s="9">
        <f>SUBTOTAL(9,_tPE26_29_Consolidada[jun/26])</f>
        <v>16768000</v>
      </c>
      <c r="Z3" s="9">
        <f>SUBTOTAL(9,_tPE26_29_Consolidada[jul/26])</f>
        <v>15514000</v>
      </c>
      <c r="AA3" s="9">
        <f>SUBTOTAL(9,_tPE26_29_Consolidada[ago/26])</f>
        <v>14272000</v>
      </c>
      <c r="AB3" s="9">
        <f>SUBTOTAL(9,_tPE26_29_Consolidada[set/26])</f>
        <v>16313000</v>
      </c>
      <c r="AC3" s="9">
        <f>SUBTOTAL(9,_tPE26_29_Consolidada[out/26])</f>
        <v>23573000</v>
      </c>
      <c r="AD3" s="9">
        <f>SUBTOTAL(9,_tPE26_29_Consolidada[nov/26])</f>
        <v>22494000</v>
      </c>
      <c r="AE3" s="9">
        <f>SUBTOTAL(9,_tPE26_29_Consolidada[dez/26])</f>
        <v>18157654.009999998</v>
      </c>
      <c r="AF3" s="9">
        <f>SUBTOTAL(9,_tPE26_29_Consolidada[2026])</f>
        <v>193620000</v>
      </c>
      <c r="AG3" s="9">
        <f>SUBTOTAL(9,_tPE26_29_Consolidada[2027])</f>
        <v>247415677.77000001</v>
      </c>
      <c r="AH3" s="9">
        <f>SUBTOTAL(9,_tPE26_29_Consolidada[2028])</f>
        <v>235000000</v>
      </c>
      <c r="AI3" s="9">
        <f>SUBTOTAL(9,_tPE26_29_Consolidada[2029])</f>
        <v>203000000</v>
      </c>
      <c r="AJ3" s="9">
        <f>SUBTOTAL(9,_tPE26_29_Consolidada[2030])</f>
        <v>150220000</v>
      </c>
      <c r="AK3" s="9">
        <f>SUBTOTAL(9,_tPE26_29_Consolidada[2026-2030])</f>
        <v>1029255000</v>
      </c>
      <c r="AL3" s="9">
        <f>SUBTOTAL(9,_tPE26_29_Consolidada[2031])</f>
        <v>5800000</v>
      </c>
      <c r="AM3" s="9">
        <f>SUBTOTAL(9,_tPE26_29_Consolidada[2032])</f>
        <v>5800000</v>
      </c>
      <c r="AN3" s="9">
        <f>SUBTOTAL(9,_tPE26_29_Consolidada[2033])</f>
        <v>5300000</v>
      </c>
      <c r="AO3" s="9">
        <f>SUBTOTAL(9,_tPE26_29_Consolidada[2034])</f>
        <v>3000000</v>
      </c>
      <c r="AP3" s="9">
        <f>SUBTOTAL(9,_tPE26_29_Consolidada[2035])</f>
        <v>3000000</v>
      </c>
      <c r="AQ3" s="9">
        <f>SUBTOTAL(9,_tPE26_29_Consolidada[2026-2035])</f>
        <v>1052155000</v>
      </c>
      <c r="AT3" s="114"/>
      <c r="AX3" s="115"/>
    </row>
    <row r="4" spans="1:156" s="2" customFormat="1" ht="21" customHeight="1" thickBot="1" x14ac:dyDescent="0.4">
      <c r="D4" s="89"/>
      <c r="G4" s="63" t="s">
        <v>441</v>
      </c>
      <c r="H4" s="94" t="s">
        <v>2281</v>
      </c>
      <c r="I4" s="90"/>
      <c r="J4" s="103"/>
      <c r="L4" s="430"/>
      <c r="M4" s="433"/>
      <c r="N4" s="433"/>
      <c r="O4" s="433"/>
      <c r="T4" s="10">
        <f>SUM(_tPE26_29_Consolidada[jan/26])</f>
        <v>5257000</v>
      </c>
      <c r="U4" s="10">
        <f>SUM(_tPE26_29_Consolidada[fev/26])</f>
        <v>13858000</v>
      </c>
      <c r="V4" s="10">
        <f>SUM(_tPE26_29_Consolidada[mar/26])</f>
        <v>11518000</v>
      </c>
      <c r="W4" s="10">
        <f>SUM(_tPE26_29_Consolidada[abr/26])</f>
        <v>19643000</v>
      </c>
      <c r="X4" s="10">
        <f>SUM(_tPE26_29_Consolidada[mai/26])</f>
        <v>16872000</v>
      </c>
      <c r="Y4" s="10">
        <f>SUM(_tPE26_29_Consolidada[jun/26])</f>
        <v>16768000</v>
      </c>
      <c r="Z4" s="10">
        <f>SUM(_tPE26_29_Consolidada[jul/26])</f>
        <v>15514000</v>
      </c>
      <c r="AA4" s="10">
        <f>SUM(_tPE26_29_Consolidada[ago/26])</f>
        <v>14272000</v>
      </c>
      <c r="AB4" s="10">
        <f>SUM(_tPE26_29_Consolidada[set/26])</f>
        <v>16313000</v>
      </c>
      <c r="AC4" s="10">
        <f>SUM(_tPE26_29_Consolidada[out/26])</f>
        <v>23573000</v>
      </c>
      <c r="AD4" s="10">
        <f>SUM(_tPE26_29_Consolidada[nov/26])</f>
        <v>22494000</v>
      </c>
      <c r="AE4" s="10">
        <f>SUM(_tPE26_29_Consolidada[dez/26])</f>
        <v>18157654.009999998</v>
      </c>
      <c r="AF4" s="10">
        <f>SUM(_tPE26_29_Consolidada[2026])</f>
        <v>193620000</v>
      </c>
      <c r="AG4" s="10">
        <f>SUM(_tPE26_29_Consolidada[2027])</f>
        <v>247415677.77000001</v>
      </c>
      <c r="AH4" s="10">
        <f>SUM(_tPE26_29_Consolidada[2028])</f>
        <v>235000000</v>
      </c>
      <c r="AI4" s="10">
        <f>SUM(_tPE26_29_Consolidada[2029])</f>
        <v>203000000</v>
      </c>
      <c r="AJ4" s="10">
        <f>SUM(_tPE26_29_Consolidada[2030])</f>
        <v>150220000</v>
      </c>
      <c r="AK4" s="10">
        <f>SUM(_tPE26_29_Consolidada[2026-2030])</f>
        <v>1029255000</v>
      </c>
      <c r="AL4" s="10">
        <f>SUM(_tPE26_29_Consolidada[2031])</f>
        <v>5800000</v>
      </c>
      <c r="AM4" s="10">
        <f>SUM(_tPE26_29_Consolidada[2032])</f>
        <v>5800000</v>
      </c>
      <c r="AN4" s="10">
        <f>SUM(_tPE26_29_Consolidada[2033])</f>
        <v>5300000</v>
      </c>
      <c r="AO4" s="10">
        <f>SUM(_tPE26_29_Consolidada[2034])</f>
        <v>3000000</v>
      </c>
      <c r="AP4" s="10">
        <f>SUM(_tPE26_29_Consolidada[2035])</f>
        <v>3000000</v>
      </c>
      <c r="AQ4" s="10">
        <f>SUM(_tPE26_29_Consolidada[2026-2035])</f>
        <v>1052155000</v>
      </c>
      <c r="AT4" s="114"/>
      <c r="AX4" s="115"/>
    </row>
    <row r="5" spans="1:156" s="2" customFormat="1" ht="21" customHeight="1" thickBot="1" x14ac:dyDescent="0.4">
      <c r="A5" s="11" t="b">
        <f>AND($H$2,_tPE26_29_Consolidada[Check])</f>
        <v>1</v>
      </c>
      <c r="B5" s="12" t="str">
        <f>_xlfn.CONCAT(D9)</f>
        <v>COO</v>
      </c>
      <c r="C5" s="13"/>
      <c r="H5" s="90"/>
      <c r="I5" s="90"/>
      <c r="J5" s="103"/>
      <c r="L5" s="430"/>
      <c r="M5" s="433"/>
      <c r="N5" s="433"/>
      <c r="O5" s="433"/>
      <c r="T5" s="90"/>
      <c r="U5" s="14"/>
      <c r="V5" s="14"/>
      <c r="W5" s="14"/>
      <c r="X5" s="91"/>
      <c r="Y5" s="91"/>
      <c r="Z5" s="15"/>
      <c r="AA5" s="15"/>
      <c r="AB5" s="15"/>
      <c r="AC5" s="15"/>
      <c r="AD5" s="15"/>
      <c r="AE5" s="15"/>
      <c r="AF5" s="15"/>
      <c r="AG5" s="15"/>
      <c r="AH5" s="15"/>
      <c r="AI5" s="15"/>
      <c r="AJ5" s="15"/>
      <c r="AK5" s="15"/>
      <c r="AL5" s="15"/>
      <c r="AM5" s="15"/>
      <c r="AN5" s="15"/>
      <c r="AO5" s="15"/>
      <c r="AT5" s="114"/>
      <c r="AX5" s="115"/>
    </row>
    <row r="6" spans="1:156" s="2" customFormat="1" ht="25.5" customHeight="1" x14ac:dyDescent="0.5">
      <c r="A6" s="1"/>
      <c r="H6" s="95"/>
      <c r="I6" s="67"/>
      <c r="J6" s="117" t="s">
        <v>444</v>
      </c>
      <c r="K6" s="118">
        <f>COUNTIF(_tPE26_29_Consolidada[Check],TRUE)</f>
        <v>105</v>
      </c>
      <c r="L6" s="432"/>
      <c r="M6" s="434"/>
      <c r="N6" s="434"/>
      <c r="O6" s="434"/>
      <c r="S6" s="119"/>
      <c r="T6" s="90"/>
      <c r="X6" s="90"/>
      <c r="Y6" s="90"/>
      <c r="AJ6" s="2">
        <v>1000</v>
      </c>
      <c r="AT6" s="114"/>
      <c r="AX6" s="115"/>
      <c r="BA6" s="120" t="s">
        <v>2282</v>
      </c>
      <c r="BB6" s="120"/>
      <c r="BC6" s="120"/>
      <c r="BD6" s="120"/>
      <c r="BE6" s="120"/>
      <c r="BF6" s="120"/>
      <c r="BG6" s="120"/>
      <c r="BH6" s="120"/>
      <c r="BI6" s="120"/>
      <c r="BJ6" s="120"/>
      <c r="BK6" s="120"/>
      <c r="BL6" s="120"/>
      <c r="BM6" s="120"/>
      <c r="BN6" s="120"/>
      <c r="BO6" s="120"/>
    </row>
    <row r="7" spans="1:156" s="74" customFormat="1" ht="29.25" customHeight="1" x14ac:dyDescent="0.45">
      <c r="A7" s="69" t="s">
        <v>445</v>
      </c>
      <c r="B7" s="70"/>
      <c r="C7" s="71"/>
      <c r="D7" s="71"/>
      <c r="E7" s="71"/>
      <c r="F7" s="71"/>
      <c r="G7" s="72"/>
      <c r="H7" s="98" t="s">
        <v>23</v>
      </c>
      <c r="I7" s="99"/>
      <c r="J7" s="99"/>
      <c r="K7" s="99"/>
      <c r="L7" s="100"/>
      <c r="M7" s="78" t="s">
        <v>446</v>
      </c>
      <c r="N7" s="101" t="s">
        <v>447</v>
      </c>
      <c r="O7" s="101"/>
      <c r="P7" s="102"/>
      <c r="Q7" s="102"/>
      <c r="R7" s="102"/>
      <c r="S7" s="102"/>
      <c r="T7" s="65" t="s">
        <v>448</v>
      </c>
      <c r="U7" s="65"/>
      <c r="V7" s="65"/>
      <c r="W7" s="65"/>
      <c r="X7" s="65"/>
      <c r="Y7" s="65"/>
      <c r="Z7" s="65"/>
      <c r="AA7" s="65"/>
      <c r="AB7" s="65"/>
      <c r="AC7" s="65"/>
      <c r="AD7" s="65"/>
      <c r="AE7" s="65"/>
      <c r="AF7" s="65"/>
      <c r="AG7" s="65"/>
      <c r="AH7" s="65"/>
      <c r="AI7" s="65"/>
      <c r="AJ7" s="65"/>
      <c r="AK7" s="65"/>
      <c r="AL7" s="65"/>
      <c r="AM7" s="65"/>
      <c r="AN7" s="65"/>
      <c r="AO7" s="65"/>
      <c r="AP7" s="65"/>
      <c r="AQ7" s="65"/>
      <c r="AR7" s="66"/>
      <c r="AS7" s="73"/>
      <c r="AT7" s="121"/>
      <c r="AU7" s="122" t="s">
        <v>2283</v>
      </c>
      <c r="AV7" s="122" t="s">
        <v>2284</v>
      </c>
      <c r="AX7" s="123"/>
      <c r="BA7" s="124" t="s">
        <v>446</v>
      </c>
      <c r="BB7" s="125"/>
      <c r="BC7" s="435" t="s">
        <v>2285</v>
      </c>
      <c r="BD7" s="435"/>
      <c r="BE7" s="435"/>
      <c r="BF7" s="435"/>
      <c r="BG7" s="435"/>
      <c r="BH7" s="435"/>
      <c r="BI7" s="126"/>
      <c r="BJ7" s="101" t="s">
        <v>447</v>
      </c>
      <c r="BK7" s="102"/>
      <c r="BL7" s="102"/>
      <c r="BM7" s="101"/>
      <c r="BN7" s="102"/>
      <c r="BO7" s="102"/>
      <c r="BT7" s="127"/>
    </row>
    <row r="8" spans="1:156" s="145" customFormat="1" ht="28.5" customHeight="1" thickBot="1" x14ac:dyDescent="0.4">
      <c r="A8" s="128" t="s">
        <v>8</v>
      </c>
      <c r="B8" s="128" t="s">
        <v>10</v>
      </c>
      <c r="C8" s="128" t="s">
        <v>11</v>
      </c>
      <c r="D8" s="128" t="s">
        <v>13</v>
      </c>
      <c r="E8" s="128" t="s">
        <v>15</v>
      </c>
      <c r="F8" s="128" t="s">
        <v>16</v>
      </c>
      <c r="G8" s="128" t="s">
        <v>449</v>
      </c>
      <c r="H8" s="129" t="s">
        <v>20</v>
      </c>
      <c r="I8" s="129" t="s">
        <v>19</v>
      </c>
      <c r="J8" s="129" t="s">
        <v>21</v>
      </c>
      <c r="K8" s="129" t="s">
        <v>450</v>
      </c>
      <c r="L8" s="129" t="s">
        <v>451</v>
      </c>
      <c r="M8" s="130" t="s">
        <v>452</v>
      </c>
      <c r="N8" s="131" t="s">
        <v>453</v>
      </c>
      <c r="O8" s="132" t="s">
        <v>454</v>
      </c>
      <c r="P8" s="132" t="s">
        <v>455</v>
      </c>
      <c r="Q8" s="132" t="s">
        <v>2286</v>
      </c>
      <c r="R8" s="132" t="s">
        <v>472</v>
      </c>
      <c r="S8" s="132" t="s">
        <v>473</v>
      </c>
      <c r="T8" s="133" t="s">
        <v>474</v>
      </c>
      <c r="U8" s="133" t="s">
        <v>475</v>
      </c>
      <c r="V8" s="133" t="s">
        <v>476</v>
      </c>
      <c r="W8" s="133" t="s">
        <v>477</v>
      </c>
      <c r="X8" s="133" t="s">
        <v>478</v>
      </c>
      <c r="Y8" s="133" t="s">
        <v>479</v>
      </c>
      <c r="Z8" s="133" t="s">
        <v>480</v>
      </c>
      <c r="AA8" s="133" t="s">
        <v>481</v>
      </c>
      <c r="AB8" s="133" t="s">
        <v>482</v>
      </c>
      <c r="AC8" s="133" t="s">
        <v>483</v>
      </c>
      <c r="AD8" s="133" t="s">
        <v>484</v>
      </c>
      <c r="AE8" s="133" t="s">
        <v>485</v>
      </c>
      <c r="AF8" s="134" t="s">
        <v>60</v>
      </c>
      <c r="AG8" s="134" t="s">
        <v>61</v>
      </c>
      <c r="AH8" s="134" t="s">
        <v>62</v>
      </c>
      <c r="AI8" s="134" t="s">
        <v>64</v>
      </c>
      <c r="AJ8" s="134" t="s">
        <v>66</v>
      </c>
      <c r="AK8" s="134" t="s">
        <v>486</v>
      </c>
      <c r="AL8" s="134" t="s">
        <v>67</v>
      </c>
      <c r="AM8" s="134" t="s">
        <v>68</v>
      </c>
      <c r="AN8" s="134" t="s">
        <v>69</v>
      </c>
      <c r="AO8" s="134" t="s">
        <v>487</v>
      </c>
      <c r="AP8" s="134" t="s">
        <v>488</v>
      </c>
      <c r="AQ8" s="134" t="s">
        <v>489</v>
      </c>
      <c r="AR8" s="135" t="s">
        <v>1037</v>
      </c>
      <c r="AS8" s="136" t="s">
        <v>493</v>
      </c>
      <c r="AT8" s="137" t="s">
        <v>494</v>
      </c>
      <c r="AU8" s="138" t="s">
        <v>2287</v>
      </c>
      <c r="AV8" s="136" t="s">
        <v>496</v>
      </c>
      <c r="AW8" s="136" t="s">
        <v>498</v>
      </c>
      <c r="AX8" s="136" t="s">
        <v>1038</v>
      </c>
      <c r="AY8" s="139" t="s">
        <v>502</v>
      </c>
      <c r="AZ8" s="136" t="s">
        <v>504</v>
      </c>
      <c r="BA8" s="140" t="s">
        <v>2288</v>
      </c>
      <c r="BB8" s="140" t="s">
        <v>2289</v>
      </c>
      <c r="BC8" s="141" t="s">
        <v>2290</v>
      </c>
      <c r="BD8" s="141" t="s">
        <v>2291</v>
      </c>
      <c r="BE8" s="141" t="s">
        <v>2292</v>
      </c>
      <c r="BF8" s="141" t="s">
        <v>2293</v>
      </c>
      <c r="BG8" s="141" t="s">
        <v>2294</v>
      </c>
      <c r="BH8" s="141" t="s">
        <v>2295</v>
      </c>
      <c r="BI8" s="142" t="s">
        <v>2296</v>
      </c>
      <c r="BJ8" s="143" t="s">
        <v>2297</v>
      </c>
      <c r="BK8" s="144" t="s">
        <v>2298</v>
      </c>
      <c r="BL8" s="144" t="s">
        <v>2299</v>
      </c>
      <c r="BM8" s="144" t="s">
        <v>2300</v>
      </c>
      <c r="BN8" s="144" t="s">
        <v>2301</v>
      </c>
      <c r="BO8" s="144" t="s">
        <v>2302</v>
      </c>
      <c r="BP8" s="173" t="s">
        <v>2303</v>
      </c>
      <c r="BQ8" s="173" t="s">
        <v>2304</v>
      </c>
      <c r="BR8" s="173" t="s">
        <v>2305</v>
      </c>
      <c r="BS8" s="173" t="s">
        <v>2306</v>
      </c>
      <c r="BT8" s="173" t="s">
        <v>2307</v>
      </c>
      <c r="BU8" s="173" t="s">
        <v>2308</v>
      </c>
      <c r="BV8" s="173" t="s">
        <v>2309</v>
      </c>
      <c r="CQ8" s="146"/>
      <c r="CR8" s="146"/>
      <c r="CS8" s="146"/>
      <c r="CT8" s="146"/>
      <c r="CU8" s="146"/>
      <c r="CV8" s="146"/>
      <c r="CW8" s="146"/>
      <c r="CX8" s="146"/>
      <c r="CY8" s="146"/>
      <c r="CZ8" s="146"/>
      <c r="DA8" s="146"/>
      <c r="DB8" s="146"/>
      <c r="DC8" s="146"/>
      <c r="DD8" s="146"/>
      <c r="DE8" s="146"/>
      <c r="DF8" s="146"/>
      <c r="DG8" s="146"/>
      <c r="DH8" s="146"/>
      <c r="DI8" s="146"/>
      <c r="DJ8" s="146"/>
      <c r="DK8" s="146"/>
      <c r="DL8" s="146"/>
      <c r="DM8" s="146"/>
      <c r="DN8" s="146"/>
      <c r="DO8" s="146"/>
      <c r="DP8" s="146"/>
      <c r="DQ8" s="146"/>
      <c r="DR8" s="146"/>
      <c r="DS8" s="146"/>
      <c r="DT8" s="146"/>
      <c r="DU8" s="146"/>
      <c r="DV8" s="146"/>
      <c r="DW8" s="146"/>
      <c r="DX8" s="146"/>
      <c r="DY8" s="146"/>
      <c r="DZ8" s="146"/>
      <c r="EA8" s="146"/>
      <c r="EB8" s="146"/>
      <c r="EC8" s="146"/>
      <c r="ED8" s="146"/>
      <c r="EE8" s="146"/>
      <c r="EF8" s="146"/>
      <c r="EG8" s="146"/>
      <c r="EH8" s="146"/>
      <c r="EI8" s="146"/>
      <c r="EJ8" s="146"/>
      <c r="EK8" s="146"/>
      <c r="EL8" s="146"/>
      <c r="EM8" s="146"/>
      <c r="EN8" s="146"/>
      <c r="EO8" s="146"/>
      <c r="EP8" s="146"/>
      <c r="EQ8" s="146"/>
      <c r="ER8" s="146"/>
      <c r="ES8" s="146"/>
      <c r="ET8" s="146"/>
      <c r="EU8" s="146"/>
      <c r="EV8" s="146"/>
      <c r="EW8" s="146"/>
      <c r="EX8" s="146"/>
      <c r="EY8" s="146"/>
      <c r="EZ8" s="146"/>
    </row>
    <row r="9" spans="1:156" ht="63" customHeight="1" thickTop="1" x14ac:dyDescent="0.35">
      <c r="A9" s="43"/>
      <c r="B9" s="147" t="b">
        <v>1</v>
      </c>
      <c r="C9" s="43" t="s">
        <v>2310</v>
      </c>
      <c r="D9" s="43" t="s">
        <v>439</v>
      </c>
      <c r="E9" s="43" t="s">
        <v>2281</v>
      </c>
      <c r="F9" s="43"/>
      <c r="G9" s="43" t="s">
        <v>2311</v>
      </c>
      <c r="H9" s="43" t="s">
        <v>506</v>
      </c>
      <c r="I9" s="43" t="s">
        <v>1015</v>
      </c>
      <c r="J9" s="43" t="s">
        <v>508</v>
      </c>
      <c r="K9" s="43" t="s">
        <v>1039</v>
      </c>
      <c r="L9" s="43" t="s">
        <v>1040</v>
      </c>
      <c r="M9" s="43" t="s">
        <v>2312</v>
      </c>
      <c r="N9" s="43"/>
      <c r="O9" s="43"/>
      <c r="P9" s="43"/>
      <c r="Q9" s="43" t="s">
        <v>2313</v>
      </c>
      <c r="R9" s="43" t="s">
        <v>2314</v>
      </c>
      <c r="S9" s="43" t="s">
        <v>2315</v>
      </c>
      <c r="T9" s="213">
        <v>10000</v>
      </c>
      <c r="U9" s="213">
        <v>10000</v>
      </c>
      <c r="V9" s="213">
        <v>10000</v>
      </c>
      <c r="W9" s="213">
        <v>10000</v>
      </c>
      <c r="X9" s="213">
        <v>10000</v>
      </c>
      <c r="Y9" s="213">
        <v>0</v>
      </c>
      <c r="Z9" s="213">
        <v>0</v>
      </c>
      <c r="AA9" s="213">
        <v>400000</v>
      </c>
      <c r="AB9" s="213">
        <v>0</v>
      </c>
      <c r="AC9" s="213">
        <v>50000</v>
      </c>
      <c r="AD9" s="213">
        <v>0</v>
      </c>
      <c r="AE9" s="213">
        <v>0</v>
      </c>
      <c r="AF9" s="213">
        <v>500000</v>
      </c>
      <c r="AG9" s="213">
        <v>1000000</v>
      </c>
      <c r="AH9" s="213">
        <v>1000000</v>
      </c>
      <c r="AI9" s="213">
        <v>0</v>
      </c>
      <c r="AJ9" s="213">
        <v>0</v>
      </c>
      <c r="AK9" s="213">
        <v>2500000</v>
      </c>
      <c r="AL9" s="213">
        <v>0</v>
      </c>
      <c r="AM9" s="213">
        <v>0</v>
      </c>
      <c r="AN9" s="213">
        <v>0</v>
      </c>
      <c r="AO9" s="213">
        <v>0</v>
      </c>
      <c r="AP9" s="213">
        <v>0</v>
      </c>
      <c r="AQ9" s="213">
        <v>2500000</v>
      </c>
      <c r="AR9" s="43">
        <v>161</v>
      </c>
      <c r="AS9" s="43" t="s">
        <v>2316</v>
      </c>
      <c r="AT9" s="181" t="s">
        <v>1772</v>
      </c>
      <c r="AU9" s="43" t="s">
        <v>2317</v>
      </c>
      <c r="AV9" s="43"/>
      <c r="AW9" s="43" t="s">
        <v>1603</v>
      </c>
      <c r="AX9" s="62" t="s">
        <v>2318</v>
      </c>
      <c r="AY9" s="62"/>
      <c r="AZ9" s="43" t="s">
        <v>2319</v>
      </c>
      <c r="BA9" s="43"/>
      <c r="BB9" s="43"/>
      <c r="BC9" s="43"/>
      <c r="BD9" s="43"/>
      <c r="BE9" s="43"/>
      <c r="BF9" s="43"/>
      <c r="BG9" s="43"/>
      <c r="BH9" s="43"/>
      <c r="BI9" s="43"/>
      <c r="BJ9" s="43"/>
      <c r="BK9" s="43"/>
      <c r="BL9" s="43"/>
      <c r="BM9" s="43"/>
      <c r="BN9" s="43"/>
      <c r="BO9" s="43"/>
      <c r="BP9" s="174">
        <f>IFERROR(VLOOKUP(_tPE26_29_Consolidada[[#This Row],[ID Financeiro]],'[4]PE 25-29'!$B:$AF,31,FALSE),0)</f>
        <v>0</v>
      </c>
      <c r="BQ9" s="174">
        <f>_tPE26_29_Consolidada[[#This Row],[2026]]*1000</f>
        <v>500000000</v>
      </c>
      <c r="BR9" s="176">
        <f>_tPE26_29_Consolidada[[#This Row],[Orçado 2026 (PE25-29)]]-_tPE26_29_Consolidada[[#This Row],[Orçado 2026 (PE26-30)]]</f>
        <v>-500000000</v>
      </c>
      <c r="BS9" s="175">
        <f>IFERROR(VLOOKUP(_tPE26_29_Consolidada[[#This Row],[ID Financeiro]],'[4]PE 25-29'!$B:$AT,45,FALSE),0)</f>
        <v>0</v>
      </c>
      <c r="BT9" s="175">
        <f>_tPE26_29_Consolidada[[#This Row],[2026-2030]]*1000</f>
        <v>2500000000</v>
      </c>
      <c r="BU9" s="175">
        <f>-_tPE26_29_Consolidada[[#This Row],[Orçado 26/30 (PE25-29)]]+_tPE26_29_Consolidada[[#This Row],[Orçado 26/30 (PE26-30)]]</f>
        <v>2500000000</v>
      </c>
      <c r="BV9" s="43">
        <f>IFERROR(_tPE26_29_Consolidada[[#This Row],[Dif2]]/_tPE26_29_Consolidada[[#This Row],[Orçado 26/30 (PE25-29)]],0)</f>
        <v>0</v>
      </c>
      <c r="CQ9" s="146"/>
      <c r="CR9" s="146"/>
      <c r="CS9" s="146"/>
      <c r="CT9" s="146"/>
      <c r="CU9" s="146"/>
      <c r="CV9" s="146"/>
      <c r="CW9" s="146"/>
      <c r="CX9" s="146"/>
      <c r="CY9" s="146"/>
      <c r="CZ9" s="146"/>
      <c r="DA9" s="146"/>
      <c r="DB9" s="146"/>
      <c r="DC9" s="146"/>
      <c r="DD9" s="146"/>
      <c r="DE9" s="146"/>
      <c r="DF9" s="146"/>
      <c r="DG9" s="146"/>
      <c r="DH9" s="146"/>
      <c r="DI9" s="146"/>
      <c r="DJ9" s="146"/>
      <c r="DK9" s="146"/>
      <c r="DL9" s="146"/>
      <c r="DM9" s="146"/>
      <c r="DN9" s="146"/>
      <c r="DO9" s="146"/>
      <c r="DP9" s="146"/>
      <c r="DQ9" s="146"/>
      <c r="DR9" s="146"/>
      <c r="DS9" s="146"/>
      <c r="DT9" s="146"/>
      <c r="DU9" s="146"/>
      <c r="DV9" s="146"/>
      <c r="DW9" s="146"/>
      <c r="DX9" s="146"/>
      <c r="DY9" s="146"/>
      <c r="DZ9" s="146"/>
      <c r="EA9" s="146"/>
      <c r="EB9" s="146"/>
      <c r="EC9" s="146"/>
      <c r="ED9" s="146"/>
      <c r="EE9" s="146"/>
      <c r="EF9" s="146"/>
      <c r="EG9" s="146"/>
      <c r="EH9" s="146"/>
      <c r="EI9" s="146"/>
      <c r="EJ9" s="146"/>
      <c r="EK9" s="146"/>
      <c r="EL9" s="146"/>
      <c r="EM9" s="146"/>
      <c r="EN9" s="146"/>
      <c r="EO9" s="146"/>
      <c r="EP9" s="146"/>
      <c r="EQ9" s="146"/>
      <c r="ER9" s="146"/>
      <c r="ES9" s="146"/>
      <c r="ET9" s="146"/>
      <c r="EU9" s="146"/>
      <c r="EV9" s="146"/>
      <c r="EW9" s="146"/>
      <c r="EX9" s="146"/>
      <c r="EY9" s="146"/>
      <c r="EZ9" s="146"/>
    </row>
    <row r="10" spans="1:156" ht="14.5" x14ac:dyDescent="0.35">
      <c r="A10" s="43"/>
      <c r="B10" s="75" t="b">
        <v>1</v>
      </c>
      <c r="C10" s="43" t="s">
        <v>2310</v>
      </c>
      <c r="D10" s="43" t="s">
        <v>439</v>
      </c>
      <c r="E10" s="43" t="s">
        <v>2281</v>
      </c>
      <c r="F10" s="43"/>
      <c r="G10" s="43" t="s">
        <v>2320</v>
      </c>
      <c r="H10" s="43" t="s">
        <v>506</v>
      </c>
      <c r="I10" s="43" t="s">
        <v>1015</v>
      </c>
      <c r="J10" s="43" t="s">
        <v>508</v>
      </c>
      <c r="K10" s="43" t="s">
        <v>1039</v>
      </c>
      <c r="L10" s="43" t="s">
        <v>1040</v>
      </c>
      <c r="M10" s="43" t="s">
        <v>2312</v>
      </c>
      <c r="N10" s="43"/>
      <c r="O10" s="43"/>
      <c r="P10" s="43"/>
      <c r="Q10" s="43" t="s">
        <v>2321</v>
      </c>
      <c r="R10" s="43" t="s">
        <v>2314</v>
      </c>
      <c r="S10" s="43" t="s">
        <v>2315</v>
      </c>
      <c r="T10" s="213">
        <v>0</v>
      </c>
      <c r="U10" s="213">
        <v>0</v>
      </c>
      <c r="V10" s="213">
        <v>0</v>
      </c>
      <c r="W10" s="213">
        <v>0</v>
      </c>
      <c r="X10" s="213">
        <v>0</v>
      </c>
      <c r="Y10" s="213">
        <v>0</v>
      </c>
      <c r="Z10" s="213">
        <v>5000</v>
      </c>
      <c r="AA10" s="213">
        <v>5000</v>
      </c>
      <c r="AB10" s="213">
        <v>5000</v>
      </c>
      <c r="AC10" s="213">
        <v>5000</v>
      </c>
      <c r="AD10" s="213">
        <v>5000</v>
      </c>
      <c r="AE10" s="213">
        <v>5000</v>
      </c>
      <c r="AF10" s="213">
        <v>30000</v>
      </c>
      <c r="AG10" s="213">
        <v>4000000</v>
      </c>
      <c r="AH10" s="213">
        <v>4000000</v>
      </c>
      <c r="AI10" s="213">
        <v>4000000</v>
      </c>
      <c r="AJ10" s="213">
        <v>2970000</v>
      </c>
      <c r="AK10" s="213">
        <v>15000000</v>
      </c>
      <c r="AL10" s="213">
        <v>0</v>
      </c>
      <c r="AM10" s="213">
        <v>0</v>
      </c>
      <c r="AN10" s="213">
        <v>0</v>
      </c>
      <c r="AO10" s="213">
        <v>0</v>
      </c>
      <c r="AP10" s="213">
        <v>0</v>
      </c>
      <c r="AQ10" s="213">
        <v>15000000</v>
      </c>
      <c r="AR10" s="43">
        <v>175</v>
      </c>
      <c r="AS10" s="43" t="s">
        <v>2316</v>
      </c>
      <c r="AT10" s="181" t="s">
        <v>1772</v>
      </c>
      <c r="AU10" s="43" t="s">
        <v>2322</v>
      </c>
      <c r="AV10" s="43"/>
      <c r="AW10" s="43" t="s">
        <v>1603</v>
      </c>
      <c r="AX10" s="62" t="s">
        <v>2321</v>
      </c>
      <c r="AY10" s="62"/>
      <c r="AZ10" s="43" t="s">
        <v>2323</v>
      </c>
      <c r="BA10" s="43"/>
      <c r="BB10" s="43"/>
      <c r="BC10" s="43"/>
      <c r="BD10" s="43"/>
      <c r="BE10" s="43"/>
      <c r="BF10" s="43"/>
      <c r="BG10" s="43"/>
      <c r="BH10" s="43"/>
      <c r="BI10" s="43"/>
      <c r="BJ10" s="43"/>
      <c r="BK10" s="43"/>
      <c r="BL10" s="43"/>
      <c r="BM10" s="43"/>
      <c r="BN10" s="43"/>
      <c r="BO10" s="43"/>
      <c r="BP10" s="174">
        <f>IFERROR(VLOOKUP(_tPE26_29_Consolidada[[#This Row],[ID Financeiro]],'[4]PE 25-29'!$B:$AF,31,FALSE),0)</f>
        <v>0</v>
      </c>
      <c r="BQ10" s="174">
        <f>_tPE26_29_Consolidada[[#This Row],[2026]]*1000</f>
        <v>30000000</v>
      </c>
      <c r="BR10" s="176">
        <f>_tPE26_29_Consolidada[[#This Row],[Orçado 2026 (PE25-29)]]-_tPE26_29_Consolidada[[#This Row],[Orçado 2026 (PE26-30)]]</f>
        <v>-30000000</v>
      </c>
      <c r="BS10" s="175">
        <f>IFERROR(VLOOKUP(_tPE26_29_Consolidada[[#This Row],[ID Financeiro]],'[4]PE 25-29'!$B:$AT,45,FALSE),0)</f>
        <v>0</v>
      </c>
      <c r="BT10" s="175">
        <f>_tPE26_29_Consolidada[[#This Row],[2026-2030]]*1000</f>
        <v>15000000000</v>
      </c>
      <c r="BU10" s="175">
        <f>-_tPE26_29_Consolidada[[#This Row],[Orçado 26/30 (PE25-29)]]+_tPE26_29_Consolidada[[#This Row],[Orçado 26/30 (PE26-30)]]</f>
        <v>15000000000</v>
      </c>
      <c r="BV10" s="43">
        <f>IFERROR(_tPE26_29_Consolidada[[#This Row],[Dif2]]/_tPE26_29_Consolidada[[#This Row],[Orçado 26/30 (PE25-29)]],0)</f>
        <v>0</v>
      </c>
      <c r="CQ10" s="146"/>
      <c r="CR10" s="146"/>
      <c r="CS10" s="146"/>
      <c r="CT10" s="146"/>
      <c r="CU10" s="146"/>
      <c r="CV10" s="146"/>
      <c r="CW10" s="146"/>
      <c r="CX10" s="146"/>
      <c r="CY10" s="146"/>
      <c r="CZ10" s="146"/>
      <c r="DA10" s="146"/>
      <c r="DB10" s="146"/>
      <c r="DC10" s="146"/>
      <c r="DD10" s="146"/>
      <c r="DE10" s="146"/>
      <c r="DF10" s="146"/>
      <c r="DG10" s="146"/>
      <c r="DH10" s="146"/>
      <c r="DI10" s="146"/>
      <c r="DJ10" s="146"/>
      <c r="DK10" s="146"/>
      <c r="DL10" s="146"/>
      <c r="DM10" s="146"/>
      <c r="DN10" s="146"/>
      <c r="DO10" s="146"/>
      <c r="DP10" s="146"/>
      <c r="DQ10" s="146"/>
      <c r="DR10" s="146"/>
      <c r="DS10" s="146"/>
      <c r="DT10" s="146"/>
      <c r="DU10" s="146"/>
      <c r="DV10" s="146"/>
      <c r="DW10" s="146"/>
      <c r="DX10" s="146"/>
      <c r="DY10" s="146"/>
      <c r="DZ10" s="146"/>
      <c r="EA10" s="146"/>
      <c r="EB10" s="146"/>
      <c r="EC10" s="146"/>
      <c r="ED10" s="146"/>
      <c r="EE10" s="146"/>
      <c r="EF10" s="146"/>
      <c r="EG10" s="146"/>
      <c r="EH10" s="146"/>
      <c r="EI10" s="146"/>
      <c r="EJ10" s="146"/>
      <c r="EK10" s="146"/>
      <c r="EL10" s="146"/>
      <c r="EM10" s="146"/>
      <c r="EN10" s="146"/>
      <c r="EO10" s="146"/>
      <c r="EP10" s="146"/>
      <c r="EQ10" s="146"/>
      <c r="ER10" s="146"/>
      <c r="ES10" s="146"/>
      <c r="ET10" s="146"/>
      <c r="EU10" s="146"/>
      <c r="EV10" s="146"/>
      <c r="EW10" s="146"/>
      <c r="EX10" s="146"/>
      <c r="EY10" s="146"/>
      <c r="EZ10" s="146"/>
    </row>
    <row r="11" spans="1:156" ht="14.5" x14ac:dyDescent="0.35">
      <c r="A11" s="43"/>
      <c r="B11" s="75" t="b">
        <v>1</v>
      </c>
      <c r="C11" s="43" t="s">
        <v>2310</v>
      </c>
      <c r="D11" s="43" t="s">
        <v>439</v>
      </c>
      <c r="E11" s="43" t="s">
        <v>2281</v>
      </c>
      <c r="F11" s="43"/>
      <c r="G11" s="43" t="s">
        <v>2324</v>
      </c>
      <c r="H11" s="43" t="s">
        <v>506</v>
      </c>
      <c r="I11" s="43" t="s">
        <v>1015</v>
      </c>
      <c r="J11" s="43" t="s">
        <v>508</v>
      </c>
      <c r="K11" s="43" t="s">
        <v>1039</v>
      </c>
      <c r="L11" s="43" t="s">
        <v>1040</v>
      </c>
      <c r="M11" s="43" t="s">
        <v>2312</v>
      </c>
      <c r="N11" s="43"/>
      <c r="O11" s="43"/>
      <c r="P11" s="43"/>
      <c r="Q11" s="43" t="s">
        <v>2325</v>
      </c>
      <c r="R11" s="43" t="s">
        <v>2314</v>
      </c>
      <c r="S11" s="43" t="s">
        <v>2315</v>
      </c>
      <c r="T11" s="213">
        <v>20000</v>
      </c>
      <c r="U11" s="213">
        <v>20000</v>
      </c>
      <c r="V11" s="213">
        <v>20000</v>
      </c>
      <c r="W11" s="213">
        <v>20000</v>
      </c>
      <c r="X11" s="213">
        <v>20000</v>
      </c>
      <c r="Y11" s="213">
        <v>0</v>
      </c>
      <c r="Z11" s="213">
        <v>0</v>
      </c>
      <c r="AA11" s="213">
        <v>0</v>
      </c>
      <c r="AB11" s="213">
        <v>500000</v>
      </c>
      <c r="AC11" s="213">
        <v>100000</v>
      </c>
      <c r="AD11" s="213">
        <v>600000</v>
      </c>
      <c r="AE11" s="213">
        <v>200000</v>
      </c>
      <c r="AF11" s="213">
        <v>1500000</v>
      </c>
      <c r="AG11" s="213">
        <v>2800000</v>
      </c>
      <c r="AH11" s="213">
        <v>1200000</v>
      </c>
      <c r="AI11" s="213">
        <v>0</v>
      </c>
      <c r="AJ11" s="213">
        <v>0</v>
      </c>
      <c r="AK11" s="213">
        <v>5500000</v>
      </c>
      <c r="AL11" s="213">
        <v>0</v>
      </c>
      <c r="AM11" s="213">
        <v>0</v>
      </c>
      <c r="AN11" s="213">
        <v>0</v>
      </c>
      <c r="AO11" s="213">
        <v>0</v>
      </c>
      <c r="AP11" s="213">
        <v>0</v>
      </c>
      <c r="AQ11" s="213">
        <v>5500000</v>
      </c>
      <c r="AR11" s="43">
        <v>152</v>
      </c>
      <c r="AS11" s="43" t="s">
        <v>2316</v>
      </c>
      <c r="AT11" s="181" t="s">
        <v>1772</v>
      </c>
      <c r="AU11" s="43" t="s">
        <v>2326</v>
      </c>
      <c r="AV11" s="43"/>
      <c r="AW11" s="43" t="s">
        <v>1603</v>
      </c>
      <c r="AX11" s="62" t="s">
        <v>2327</v>
      </c>
      <c r="AY11" s="62"/>
      <c r="AZ11" s="43" t="s">
        <v>2328</v>
      </c>
      <c r="BA11" s="43"/>
      <c r="BB11" s="43"/>
      <c r="BC11" s="43"/>
      <c r="BD11" s="43"/>
      <c r="BE11" s="43"/>
      <c r="BF11" s="43"/>
      <c r="BG11" s="43"/>
      <c r="BH11" s="43"/>
      <c r="BI11" s="43"/>
      <c r="BJ11" s="43"/>
      <c r="BK11" s="43"/>
      <c r="BL11" s="43"/>
      <c r="BM11" s="43"/>
      <c r="BN11" s="43"/>
      <c r="BO11" s="43"/>
      <c r="BP11" s="174">
        <f>IFERROR(VLOOKUP(_tPE26_29_Consolidada[[#This Row],[ID Financeiro]],'[4]PE 25-29'!$B:$AF,31,FALSE),0)</f>
        <v>0</v>
      </c>
      <c r="BQ11" s="174">
        <f>_tPE26_29_Consolidada[[#This Row],[2026]]*1000</f>
        <v>1500000000</v>
      </c>
      <c r="BR11" s="176">
        <f>_tPE26_29_Consolidada[[#This Row],[Orçado 2026 (PE25-29)]]-_tPE26_29_Consolidada[[#This Row],[Orçado 2026 (PE26-30)]]</f>
        <v>-1500000000</v>
      </c>
      <c r="BS11" s="175">
        <f>IFERROR(VLOOKUP(_tPE26_29_Consolidada[[#This Row],[ID Financeiro]],'[4]PE 25-29'!$B:$AT,45,FALSE),0)</f>
        <v>0</v>
      </c>
      <c r="BT11" s="175">
        <f>_tPE26_29_Consolidada[[#This Row],[2026-2030]]*1000</f>
        <v>5500000000</v>
      </c>
      <c r="BU11" s="175">
        <f>-_tPE26_29_Consolidada[[#This Row],[Orçado 26/30 (PE25-29)]]+_tPE26_29_Consolidada[[#This Row],[Orçado 26/30 (PE26-30)]]</f>
        <v>5500000000</v>
      </c>
      <c r="BV11" s="43">
        <f>IFERROR(_tPE26_29_Consolidada[[#This Row],[Dif2]]/_tPE26_29_Consolidada[[#This Row],[Orçado 26/30 (PE25-29)]],0)</f>
        <v>0</v>
      </c>
      <c r="CQ11" s="146"/>
      <c r="CR11" s="146"/>
      <c r="CS11" s="146"/>
      <c r="CT11" s="146"/>
      <c r="CU11" s="146"/>
      <c r="CV11" s="146"/>
      <c r="CW11" s="146"/>
      <c r="CX11" s="146"/>
      <c r="CY11" s="146"/>
      <c r="CZ11" s="146"/>
      <c r="DA11" s="146"/>
      <c r="DB11" s="146"/>
      <c r="DC11" s="146"/>
      <c r="DD11" s="146"/>
      <c r="DE11" s="146"/>
      <c r="DF11" s="146"/>
      <c r="DG11" s="146"/>
      <c r="DH11" s="146"/>
      <c r="DI11" s="146"/>
      <c r="DJ11" s="146"/>
      <c r="DK11" s="146"/>
      <c r="DL11" s="146"/>
      <c r="DM11" s="146"/>
      <c r="DN11" s="146"/>
      <c r="DO11" s="146"/>
      <c r="DP11" s="146"/>
      <c r="DQ11" s="146"/>
      <c r="DR11" s="146"/>
      <c r="DS11" s="146"/>
      <c r="DT11" s="146"/>
      <c r="DU11" s="146"/>
      <c r="DV11" s="146"/>
      <c r="DW11" s="146"/>
      <c r="DX11" s="146"/>
      <c r="DY11" s="146"/>
      <c r="DZ11" s="146"/>
      <c r="EA11" s="146"/>
      <c r="EB11" s="146"/>
      <c r="EC11" s="146"/>
      <c r="ED11" s="146"/>
      <c r="EE11" s="146"/>
      <c r="EF11" s="146"/>
      <c r="EG11" s="146"/>
      <c r="EH11" s="146"/>
      <c r="EI11" s="146"/>
      <c r="EJ11" s="146"/>
      <c r="EK11" s="146"/>
      <c r="EL11" s="146"/>
      <c r="EM11" s="146"/>
      <c r="EN11" s="146"/>
      <c r="EO11" s="146"/>
      <c r="EP11" s="146"/>
      <c r="EQ11" s="146"/>
      <c r="ER11" s="146"/>
      <c r="ES11" s="146"/>
      <c r="ET11" s="146"/>
      <c r="EU11" s="146"/>
      <c r="EV11" s="146"/>
      <c r="EW11" s="146"/>
      <c r="EX11" s="146"/>
      <c r="EY11" s="146"/>
      <c r="EZ11" s="146"/>
    </row>
    <row r="12" spans="1:156" ht="14.5" x14ac:dyDescent="0.35">
      <c r="A12" s="43"/>
      <c r="B12" s="75" t="b">
        <v>1</v>
      </c>
      <c r="C12" s="43" t="s">
        <v>2310</v>
      </c>
      <c r="D12" s="43" t="s">
        <v>439</v>
      </c>
      <c r="E12" s="43" t="s">
        <v>2281</v>
      </c>
      <c r="F12" s="43"/>
      <c r="G12" s="43" t="s">
        <v>2329</v>
      </c>
      <c r="H12" s="43" t="s">
        <v>506</v>
      </c>
      <c r="I12" s="43" t="s">
        <v>1015</v>
      </c>
      <c r="J12" s="43" t="s">
        <v>508</v>
      </c>
      <c r="K12" s="43" t="s">
        <v>1039</v>
      </c>
      <c r="L12" s="43" t="s">
        <v>1040</v>
      </c>
      <c r="M12" s="43" t="s">
        <v>2312</v>
      </c>
      <c r="N12" s="43"/>
      <c r="O12" s="43"/>
      <c r="P12" s="43"/>
      <c r="Q12" s="43" t="s">
        <v>2330</v>
      </c>
      <c r="R12" s="43" t="s">
        <v>2314</v>
      </c>
      <c r="S12" s="43" t="s">
        <v>2315</v>
      </c>
      <c r="T12" s="213">
        <v>0</v>
      </c>
      <c r="U12" s="213">
        <v>10000</v>
      </c>
      <c r="V12" s="213">
        <v>10000</v>
      </c>
      <c r="W12" s="213">
        <v>10000</v>
      </c>
      <c r="X12" s="213">
        <v>10000</v>
      </c>
      <c r="Y12" s="213">
        <v>10000</v>
      </c>
      <c r="Z12" s="213">
        <v>0</v>
      </c>
      <c r="AA12" s="213">
        <v>0</v>
      </c>
      <c r="AB12" s="213">
        <v>250000</v>
      </c>
      <c r="AC12" s="213">
        <v>0</v>
      </c>
      <c r="AD12" s="213">
        <v>300000</v>
      </c>
      <c r="AE12" s="213">
        <v>0</v>
      </c>
      <c r="AF12" s="213">
        <v>600000</v>
      </c>
      <c r="AG12" s="213">
        <v>4400000</v>
      </c>
      <c r="AH12" s="213">
        <v>4000000</v>
      </c>
      <c r="AI12" s="213">
        <v>3000000</v>
      </c>
      <c r="AJ12" s="213">
        <v>0</v>
      </c>
      <c r="AK12" s="213">
        <v>12000000</v>
      </c>
      <c r="AL12" s="213">
        <v>0</v>
      </c>
      <c r="AM12" s="213">
        <v>0</v>
      </c>
      <c r="AN12" s="213">
        <v>0</v>
      </c>
      <c r="AO12" s="213">
        <v>0</v>
      </c>
      <c r="AP12" s="213">
        <v>0</v>
      </c>
      <c r="AQ12" s="213">
        <v>12000000</v>
      </c>
      <c r="AR12" s="43">
        <v>160</v>
      </c>
      <c r="AS12" s="43" t="s">
        <v>2316</v>
      </c>
      <c r="AT12" s="181" t="s">
        <v>1772</v>
      </c>
      <c r="AU12" s="43" t="s">
        <v>2331</v>
      </c>
      <c r="AV12" s="43"/>
      <c r="AW12" s="43" t="s">
        <v>1603</v>
      </c>
      <c r="AX12" s="62" t="s">
        <v>2330</v>
      </c>
      <c r="AY12" s="62"/>
      <c r="AZ12" s="43" t="s">
        <v>2319</v>
      </c>
      <c r="BA12" s="43"/>
      <c r="BB12" s="43"/>
      <c r="BC12" s="43"/>
      <c r="BD12" s="43"/>
      <c r="BE12" s="43"/>
      <c r="BF12" s="43"/>
      <c r="BG12" s="43"/>
      <c r="BH12" s="43"/>
      <c r="BI12" s="43"/>
      <c r="BJ12" s="43"/>
      <c r="BK12" s="43"/>
      <c r="BL12" s="43"/>
      <c r="BM12" s="43"/>
      <c r="BN12" s="43"/>
      <c r="BO12" s="43"/>
      <c r="BP12" s="174">
        <f>IFERROR(VLOOKUP(_tPE26_29_Consolidada[[#This Row],[ID Financeiro]],'[4]PE 25-29'!$B:$AF,31,FALSE),0)</f>
        <v>0</v>
      </c>
      <c r="BQ12" s="174">
        <f>_tPE26_29_Consolidada[[#This Row],[2026]]*1000</f>
        <v>600000000</v>
      </c>
      <c r="BR12" s="176">
        <f>_tPE26_29_Consolidada[[#This Row],[Orçado 2026 (PE25-29)]]-_tPE26_29_Consolidada[[#This Row],[Orçado 2026 (PE26-30)]]</f>
        <v>-600000000</v>
      </c>
      <c r="BS12" s="175">
        <f>IFERROR(VLOOKUP(_tPE26_29_Consolidada[[#This Row],[ID Financeiro]],'[4]PE 25-29'!$B:$AT,45,FALSE),0)</f>
        <v>0</v>
      </c>
      <c r="BT12" s="175">
        <f>_tPE26_29_Consolidada[[#This Row],[2026-2030]]*1000</f>
        <v>12000000000</v>
      </c>
      <c r="BU12" s="175">
        <f>-_tPE26_29_Consolidada[[#This Row],[Orçado 26/30 (PE25-29)]]+_tPE26_29_Consolidada[[#This Row],[Orçado 26/30 (PE26-30)]]</f>
        <v>12000000000</v>
      </c>
      <c r="BV12" s="43">
        <f>IFERROR(_tPE26_29_Consolidada[[#This Row],[Dif2]]/_tPE26_29_Consolidada[[#This Row],[Orçado 26/30 (PE25-29)]],0)</f>
        <v>0</v>
      </c>
      <c r="CQ12" s="146"/>
      <c r="CR12" s="146"/>
      <c r="CS12" s="146"/>
      <c r="CT12" s="146"/>
      <c r="CU12" s="146"/>
      <c r="CV12" s="146"/>
      <c r="CW12" s="146"/>
      <c r="CX12" s="146"/>
      <c r="CY12" s="146"/>
      <c r="CZ12" s="146"/>
      <c r="DA12" s="146"/>
      <c r="DB12" s="146"/>
      <c r="DC12" s="146"/>
      <c r="DD12" s="146"/>
      <c r="DE12" s="146"/>
      <c r="DF12" s="146"/>
      <c r="DG12" s="146"/>
      <c r="DH12" s="146"/>
      <c r="DI12" s="146"/>
      <c r="DJ12" s="146"/>
      <c r="DK12" s="146"/>
      <c r="DL12" s="146"/>
      <c r="DM12" s="146"/>
      <c r="DN12" s="146"/>
      <c r="DO12" s="146"/>
      <c r="DP12" s="146"/>
      <c r="DQ12" s="146"/>
      <c r="DR12" s="146"/>
      <c r="DS12" s="146"/>
      <c r="DT12" s="146"/>
      <c r="DU12" s="146"/>
      <c r="DV12" s="146"/>
      <c r="DW12" s="146"/>
      <c r="DX12" s="146"/>
      <c r="DY12" s="146"/>
      <c r="DZ12" s="146"/>
      <c r="EA12" s="146"/>
      <c r="EB12" s="146"/>
      <c r="EC12" s="146"/>
      <c r="ED12" s="146"/>
      <c r="EE12" s="146"/>
      <c r="EF12" s="146"/>
      <c r="EG12" s="146"/>
      <c r="EH12" s="146"/>
      <c r="EI12" s="146"/>
      <c r="EJ12" s="146"/>
      <c r="EK12" s="146"/>
      <c r="EL12" s="146"/>
      <c r="EM12" s="146"/>
      <c r="EN12" s="146"/>
      <c r="EO12" s="146"/>
      <c r="EP12" s="146"/>
      <c r="EQ12" s="146"/>
      <c r="ER12" s="146"/>
      <c r="ES12" s="146"/>
      <c r="ET12" s="146"/>
      <c r="EU12" s="146"/>
      <c r="EV12" s="146"/>
      <c r="EW12" s="146"/>
      <c r="EX12" s="146"/>
      <c r="EY12" s="146"/>
      <c r="EZ12" s="146"/>
    </row>
    <row r="13" spans="1:156" ht="14.5" x14ac:dyDescent="0.35">
      <c r="A13" s="43"/>
      <c r="B13" s="75" t="b">
        <v>1</v>
      </c>
      <c r="C13" s="43" t="s">
        <v>2310</v>
      </c>
      <c r="D13" s="43" t="s">
        <v>439</v>
      </c>
      <c r="E13" s="43" t="s">
        <v>2281</v>
      </c>
      <c r="F13" s="43"/>
      <c r="G13" s="43" t="s">
        <v>2332</v>
      </c>
      <c r="H13" s="43" t="s">
        <v>506</v>
      </c>
      <c r="I13" s="43" t="s">
        <v>1015</v>
      </c>
      <c r="J13" s="43" t="s">
        <v>508</v>
      </c>
      <c r="K13" s="43" t="s">
        <v>1039</v>
      </c>
      <c r="L13" s="43" t="s">
        <v>1040</v>
      </c>
      <c r="M13" s="43" t="s">
        <v>2312</v>
      </c>
      <c r="N13" s="43"/>
      <c r="O13" s="43"/>
      <c r="P13" s="43"/>
      <c r="Q13" s="43" t="s">
        <v>2333</v>
      </c>
      <c r="R13" s="43" t="s">
        <v>2314</v>
      </c>
      <c r="S13" s="43" t="s">
        <v>2315</v>
      </c>
      <c r="T13" s="213">
        <v>0</v>
      </c>
      <c r="U13" s="213">
        <v>0</v>
      </c>
      <c r="V13" s="213">
        <v>0</v>
      </c>
      <c r="W13" s="213">
        <v>140000</v>
      </c>
      <c r="X13" s="213">
        <v>100000</v>
      </c>
      <c r="Y13" s="213">
        <v>100000</v>
      </c>
      <c r="Z13" s="213">
        <v>200000</v>
      </c>
      <c r="AA13" s="213">
        <v>100000</v>
      </c>
      <c r="AB13" s="213">
        <v>270000</v>
      </c>
      <c r="AC13" s="213">
        <v>390000</v>
      </c>
      <c r="AD13" s="213">
        <v>265000</v>
      </c>
      <c r="AE13" s="213">
        <v>0</v>
      </c>
      <c r="AF13" s="213">
        <v>1565000</v>
      </c>
      <c r="AG13" s="213">
        <v>3000000</v>
      </c>
      <c r="AH13" s="213">
        <v>3000000</v>
      </c>
      <c r="AI13" s="213">
        <v>3000000</v>
      </c>
      <c r="AJ13" s="213">
        <v>3000000</v>
      </c>
      <c r="AK13" s="213">
        <v>13565000</v>
      </c>
      <c r="AL13" s="213">
        <v>3000000</v>
      </c>
      <c r="AM13" s="213">
        <v>3000000</v>
      </c>
      <c r="AN13" s="213">
        <v>3000000</v>
      </c>
      <c r="AO13" s="213">
        <v>3000000</v>
      </c>
      <c r="AP13" s="213">
        <v>3000000</v>
      </c>
      <c r="AQ13" s="213">
        <v>28565000</v>
      </c>
      <c r="AR13" s="43">
        <v>153</v>
      </c>
      <c r="AS13" s="43" t="s">
        <v>2316</v>
      </c>
      <c r="AT13" s="181" t="s">
        <v>1772</v>
      </c>
      <c r="AU13" s="43" t="s">
        <v>2334</v>
      </c>
      <c r="AV13" s="43"/>
      <c r="AW13" s="43" t="s">
        <v>1603</v>
      </c>
      <c r="AX13" s="62" t="s">
        <v>2333</v>
      </c>
      <c r="AY13" s="62"/>
      <c r="AZ13" s="43" t="s">
        <v>2335</v>
      </c>
      <c r="BA13" s="43"/>
      <c r="BB13" s="43"/>
      <c r="BC13" s="43"/>
      <c r="BD13" s="43"/>
      <c r="BE13" s="43"/>
      <c r="BF13" s="43"/>
      <c r="BG13" s="43"/>
      <c r="BH13" s="43"/>
      <c r="BI13" s="43"/>
      <c r="BJ13" s="43"/>
      <c r="BK13" s="43"/>
      <c r="BL13" s="43"/>
      <c r="BM13" s="43"/>
      <c r="BN13" s="43"/>
      <c r="BO13" s="43"/>
      <c r="BP13" s="174">
        <f>IFERROR(VLOOKUP(_tPE26_29_Consolidada[[#This Row],[ID Financeiro]],'[4]PE 25-29'!$B:$AF,31,FALSE),0)</f>
        <v>0</v>
      </c>
      <c r="BQ13" s="174">
        <f>_tPE26_29_Consolidada[[#This Row],[2026]]*1000</f>
        <v>1565000000</v>
      </c>
      <c r="BR13" s="176">
        <f>_tPE26_29_Consolidada[[#This Row],[Orçado 2026 (PE25-29)]]-_tPE26_29_Consolidada[[#This Row],[Orçado 2026 (PE26-30)]]</f>
        <v>-1565000000</v>
      </c>
      <c r="BS13" s="175">
        <f>IFERROR(VLOOKUP(_tPE26_29_Consolidada[[#This Row],[ID Financeiro]],'[4]PE 25-29'!$B:$AT,45,FALSE),0)</f>
        <v>0</v>
      </c>
      <c r="BT13" s="175">
        <f>_tPE26_29_Consolidada[[#This Row],[2026-2030]]*1000</f>
        <v>13565000000</v>
      </c>
      <c r="BU13" s="175">
        <f>-_tPE26_29_Consolidada[[#This Row],[Orçado 26/30 (PE25-29)]]+_tPE26_29_Consolidada[[#This Row],[Orçado 26/30 (PE26-30)]]</f>
        <v>13565000000</v>
      </c>
      <c r="BV13" s="43">
        <f>IFERROR(_tPE26_29_Consolidada[[#This Row],[Dif2]]/_tPE26_29_Consolidada[[#This Row],[Orçado 26/30 (PE25-29)]],0)</f>
        <v>0</v>
      </c>
      <c r="CQ13" s="146"/>
      <c r="CR13" s="146"/>
      <c r="CS13" s="146"/>
      <c r="CT13" s="146"/>
      <c r="CU13" s="146"/>
      <c r="CV13" s="146"/>
      <c r="CW13" s="146"/>
      <c r="CX13" s="146"/>
      <c r="CY13" s="146"/>
      <c r="CZ13" s="146"/>
      <c r="DA13" s="146"/>
      <c r="DB13" s="146"/>
      <c r="DC13" s="146"/>
      <c r="DD13" s="146"/>
      <c r="DE13" s="146"/>
      <c r="DF13" s="146"/>
      <c r="DG13" s="146"/>
      <c r="DH13" s="146"/>
      <c r="DI13" s="146"/>
      <c r="DJ13" s="146"/>
      <c r="DK13" s="146"/>
      <c r="DL13" s="146"/>
      <c r="DM13" s="146"/>
      <c r="DN13" s="146"/>
      <c r="DO13" s="146"/>
      <c r="DP13" s="146"/>
      <c r="DQ13" s="146"/>
      <c r="DR13" s="146"/>
      <c r="DS13" s="146"/>
      <c r="DT13" s="146"/>
      <c r="DU13" s="146"/>
      <c r="DV13" s="146"/>
      <c r="DW13" s="146"/>
      <c r="DX13" s="146"/>
      <c r="DY13" s="146"/>
      <c r="DZ13" s="146"/>
      <c r="EA13" s="146"/>
      <c r="EB13" s="146"/>
      <c r="EC13" s="146"/>
      <c r="ED13" s="146"/>
      <c r="EE13" s="146"/>
      <c r="EF13" s="146"/>
      <c r="EG13" s="146"/>
      <c r="EH13" s="146"/>
      <c r="EI13" s="146"/>
      <c r="EJ13" s="146"/>
      <c r="EK13" s="146"/>
      <c r="EL13" s="146"/>
      <c r="EM13" s="146"/>
      <c r="EN13" s="146"/>
      <c r="EO13" s="146"/>
      <c r="EP13" s="146"/>
      <c r="EQ13" s="146"/>
      <c r="ER13" s="146"/>
      <c r="ES13" s="146"/>
      <c r="ET13" s="146"/>
      <c r="EU13" s="146"/>
      <c r="EV13" s="146"/>
      <c r="EW13" s="146"/>
      <c r="EX13" s="146"/>
      <c r="EY13" s="146"/>
      <c r="EZ13" s="146"/>
    </row>
    <row r="14" spans="1:156" ht="14.5" x14ac:dyDescent="0.35">
      <c r="A14" s="43"/>
      <c r="B14" s="75" t="b">
        <v>1</v>
      </c>
      <c r="C14" s="43" t="s">
        <v>2310</v>
      </c>
      <c r="D14" s="43" t="s">
        <v>439</v>
      </c>
      <c r="E14" s="43" t="s">
        <v>2281</v>
      </c>
      <c r="F14" s="43"/>
      <c r="G14" s="43" t="s">
        <v>2336</v>
      </c>
      <c r="H14" s="43" t="s">
        <v>506</v>
      </c>
      <c r="I14" s="43" t="s">
        <v>1015</v>
      </c>
      <c r="J14" s="43" t="s">
        <v>508</v>
      </c>
      <c r="K14" s="43" t="s">
        <v>1039</v>
      </c>
      <c r="L14" s="43" t="s">
        <v>1040</v>
      </c>
      <c r="M14" s="43" t="s">
        <v>2312</v>
      </c>
      <c r="N14" s="43"/>
      <c r="O14" s="43"/>
      <c r="P14" s="43"/>
      <c r="Q14" s="43" t="s">
        <v>2337</v>
      </c>
      <c r="R14" s="43" t="s">
        <v>2314</v>
      </c>
      <c r="S14" s="43" t="s">
        <v>2338</v>
      </c>
      <c r="T14" s="213">
        <v>10000</v>
      </c>
      <c r="U14" s="213">
        <v>5000</v>
      </c>
      <c r="V14" s="213">
        <v>0</v>
      </c>
      <c r="W14" s="213">
        <v>0</v>
      </c>
      <c r="X14" s="213">
        <v>0</v>
      </c>
      <c r="Y14" s="213">
        <v>340000</v>
      </c>
      <c r="Z14" s="213">
        <v>20000</v>
      </c>
      <c r="AA14" s="213">
        <v>20000</v>
      </c>
      <c r="AB14" s="213">
        <v>20000</v>
      </c>
      <c r="AC14" s="213">
        <v>0</v>
      </c>
      <c r="AD14" s="213">
        <v>0</v>
      </c>
      <c r="AE14" s="213">
        <v>0</v>
      </c>
      <c r="AF14" s="213">
        <v>415000</v>
      </c>
      <c r="AG14" s="213">
        <v>0</v>
      </c>
      <c r="AH14" s="213">
        <v>0</v>
      </c>
      <c r="AI14" s="213">
        <v>0</v>
      </c>
      <c r="AJ14" s="213">
        <v>0</v>
      </c>
      <c r="AK14" s="213">
        <v>415000</v>
      </c>
      <c r="AL14" s="213">
        <v>0</v>
      </c>
      <c r="AM14" s="213">
        <v>0</v>
      </c>
      <c r="AN14" s="213">
        <v>0</v>
      </c>
      <c r="AO14" s="213">
        <v>0</v>
      </c>
      <c r="AP14" s="213">
        <v>0</v>
      </c>
      <c r="AQ14" s="213">
        <v>415000</v>
      </c>
      <c r="AR14" s="43">
        <v>162</v>
      </c>
      <c r="AS14" s="43" t="s">
        <v>2316</v>
      </c>
      <c r="AT14" s="181" t="s">
        <v>1772</v>
      </c>
      <c r="AU14" s="43" t="s">
        <v>2339</v>
      </c>
      <c r="AV14" s="43"/>
      <c r="AW14" s="43" t="s">
        <v>1603</v>
      </c>
      <c r="AX14" s="62" t="s">
        <v>2337</v>
      </c>
      <c r="AY14" s="62"/>
      <c r="AZ14" s="43" t="s">
        <v>2340</v>
      </c>
      <c r="BA14" s="43"/>
      <c r="BB14" s="43"/>
      <c r="BC14" s="43"/>
      <c r="BD14" s="43"/>
      <c r="BE14" s="43"/>
      <c r="BF14" s="43"/>
      <c r="BG14" s="43"/>
      <c r="BH14" s="43"/>
      <c r="BI14" s="43"/>
      <c r="BJ14" s="43"/>
      <c r="BK14" s="43"/>
      <c r="BL14" s="43"/>
      <c r="BM14" s="43"/>
      <c r="BN14" s="43"/>
      <c r="BO14" s="43"/>
      <c r="BP14" s="174">
        <f>IFERROR(VLOOKUP(_tPE26_29_Consolidada[[#This Row],[ID Financeiro]],'[4]PE 25-29'!$B:$AF,31,FALSE),0)</f>
        <v>0</v>
      </c>
      <c r="BQ14" s="174">
        <f>_tPE26_29_Consolidada[[#This Row],[2026]]*1000</f>
        <v>415000000</v>
      </c>
      <c r="BR14" s="176">
        <f>_tPE26_29_Consolidada[[#This Row],[Orçado 2026 (PE25-29)]]-_tPE26_29_Consolidada[[#This Row],[Orçado 2026 (PE26-30)]]</f>
        <v>-415000000</v>
      </c>
      <c r="BS14" s="175">
        <f>IFERROR(VLOOKUP(_tPE26_29_Consolidada[[#This Row],[ID Financeiro]],'[4]PE 25-29'!$B:$AT,45,FALSE),0)</f>
        <v>0</v>
      </c>
      <c r="BT14" s="175">
        <f>_tPE26_29_Consolidada[[#This Row],[2026-2030]]*1000</f>
        <v>415000000</v>
      </c>
      <c r="BU14" s="175">
        <f>-_tPE26_29_Consolidada[[#This Row],[Orçado 26/30 (PE25-29)]]+_tPE26_29_Consolidada[[#This Row],[Orçado 26/30 (PE26-30)]]</f>
        <v>415000000</v>
      </c>
      <c r="BV14" s="43">
        <f>IFERROR(_tPE26_29_Consolidada[[#This Row],[Dif2]]/_tPE26_29_Consolidada[[#This Row],[Orçado 26/30 (PE25-29)]],0)</f>
        <v>0</v>
      </c>
      <c r="CQ14" s="146"/>
      <c r="CR14" s="146"/>
      <c r="CS14" s="146"/>
      <c r="CT14" s="146"/>
      <c r="CU14" s="146"/>
      <c r="CV14" s="146"/>
      <c r="CW14" s="146"/>
      <c r="CX14" s="146"/>
      <c r="CY14" s="146"/>
      <c r="CZ14" s="146"/>
      <c r="DA14" s="146"/>
      <c r="DB14" s="146"/>
      <c r="DC14" s="146"/>
      <c r="DD14" s="146"/>
      <c r="DE14" s="146"/>
      <c r="DF14" s="146"/>
      <c r="DG14" s="146"/>
      <c r="DH14" s="146"/>
      <c r="DI14" s="146"/>
      <c r="DJ14" s="146"/>
      <c r="DK14" s="146"/>
      <c r="DL14" s="146"/>
      <c r="DM14" s="146"/>
      <c r="DN14" s="146"/>
      <c r="DO14" s="146"/>
      <c r="DP14" s="146"/>
      <c r="DQ14" s="146"/>
      <c r="DR14" s="146"/>
      <c r="DS14" s="146"/>
      <c r="DT14" s="146"/>
      <c r="DU14" s="146"/>
      <c r="DV14" s="146"/>
      <c r="DW14" s="146"/>
      <c r="DX14" s="146"/>
      <c r="DY14" s="146"/>
      <c r="DZ14" s="146"/>
      <c r="EA14" s="146"/>
      <c r="EB14" s="146"/>
      <c r="EC14" s="146"/>
      <c r="ED14" s="146"/>
      <c r="EE14" s="146"/>
      <c r="EF14" s="146"/>
      <c r="EG14" s="146"/>
      <c r="EH14" s="146"/>
      <c r="EI14" s="146"/>
      <c r="EJ14" s="146"/>
      <c r="EK14" s="146"/>
      <c r="EL14" s="146"/>
      <c r="EM14" s="146"/>
      <c r="EN14" s="146"/>
      <c r="EO14" s="146"/>
      <c r="EP14" s="146"/>
      <c r="EQ14" s="146"/>
      <c r="ER14" s="146"/>
      <c r="ES14" s="146"/>
      <c r="ET14" s="146"/>
      <c r="EU14" s="146"/>
      <c r="EV14" s="146"/>
      <c r="EW14" s="146"/>
      <c r="EX14" s="146"/>
      <c r="EY14" s="146"/>
      <c r="EZ14" s="146"/>
    </row>
    <row r="15" spans="1:156" ht="14.5" x14ac:dyDescent="0.35">
      <c r="A15" s="43"/>
      <c r="B15" s="75" t="b">
        <v>1</v>
      </c>
      <c r="C15" s="43" t="s">
        <v>2310</v>
      </c>
      <c r="D15" s="43" t="s">
        <v>439</v>
      </c>
      <c r="E15" s="43" t="s">
        <v>2281</v>
      </c>
      <c r="F15" s="43"/>
      <c r="G15" s="43" t="s">
        <v>2341</v>
      </c>
      <c r="H15" s="43" t="s">
        <v>506</v>
      </c>
      <c r="I15" s="43" t="s">
        <v>1015</v>
      </c>
      <c r="J15" s="43" t="s">
        <v>508</v>
      </c>
      <c r="K15" s="43" t="s">
        <v>1039</v>
      </c>
      <c r="L15" s="43" t="s">
        <v>1040</v>
      </c>
      <c r="M15" s="43" t="s">
        <v>2312</v>
      </c>
      <c r="N15" s="43"/>
      <c r="O15" s="43"/>
      <c r="P15" s="43"/>
      <c r="Q15" s="43" t="s">
        <v>2342</v>
      </c>
      <c r="R15" s="43" t="s">
        <v>2314</v>
      </c>
      <c r="S15" s="43" t="s">
        <v>2338</v>
      </c>
      <c r="T15" s="213">
        <v>2000</v>
      </c>
      <c r="U15" s="213">
        <v>1000</v>
      </c>
      <c r="V15" s="213">
        <v>0</v>
      </c>
      <c r="W15" s="213">
        <v>0</v>
      </c>
      <c r="X15" s="213">
        <v>0</v>
      </c>
      <c r="Y15" s="213">
        <v>100000</v>
      </c>
      <c r="Z15" s="213">
        <v>10000</v>
      </c>
      <c r="AA15" s="213">
        <v>20000</v>
      </c>
      <c r="AB15" s="213">
        <v>10000</v>
      </c>
      <c r="AC15" s="213">
        <v>0</v>
      </c>
      <c r="AD15" s="213">
        <v>0</v>
      </c>
      <c r="AE15" s="213">
        <v>0</v>
      </c>
      <c r="AF15" s="213">
        <v>143000</v>
      </c>
      <c r="AG15" s="213">
        <v>0</v>
      </c>
      <c r="AH15" s="213">
        <v>0</v>
      </c>
      <c r="AI15" s="213">
        <v>0</v>
      </c>
      <c r="AJ15" s="213">
        <v>0</v>
      </c>
      <c r="AK15" s="213">
        <v>143000</v>
      </c>
      <c r="AL15" s="213">
        <v>0</v>
      </c>
      <c r="AM15" s="213">
        <v>0</v>
      </c>
      <c r="AN15" s="213">
        <v>0</v>
      </c>
      <c r="AO15" s="213">
        <v>0</v>
      </c>
      <c r="AP15" s="213">
        <v>0</v>
      </c>
      <c r="AQ15" s="213">
        <v>143000</v>
      </c>
      <c r="AR15" s="43">
        <v>168</v>
      </c>
      <c r="AS15" s="43" t="s">
        <v>2316</v>
      </c>
      <c r="AT15" s="181" t="s">
        <v>1772</v>
      </c>
      <c r="AU15" s="43" t="s">
        <v>2343</v>
      </c>
      <c r="AV15" s="43"/>
      <c r="AW15" s="43" t="s">
        <v>1603</v>
      </c>
      <c r="AX15" s="62" t="s">
        <v>2342</v>
      </c>
      <c r="AY15" s="62"/>
      <c r="AZ15" s="43" t="s">
        <v>2340</v>
      </c>
      <c r="BA15" s="43"/>
      <c r="BB15" s="43"/>
      <c r="BC15" s="43"/>
      <c r="BD15" s="43"/>
      <c r="BE15" s="43"/>
      <c r="BF15" s="43"/>
      <c r="BG15" s="43"/>
      <c r="BH15" s="43"/>
      <c r="BI15" s="43"/>
      <c r="BJ15" s="43"/>
      <c r="BK15" s="43"/>
      <c r="BL15" s="43"/>
      <c r="BM15" s="43"/>
      <c r="BN15" s="43"/>
      <c r="BO15" s="43"/>
      <c r="BP15" s="174">
        <f>IFERROR(VLOOKUP(_tPE26_29_Consolidada[[#This Row],[ID Financeiro]],'[4]PE 25-29'!$B:$AF,31,FALSE),0)</f>
        <v>0</v>
      </c>
      <c r="BQ15" s="174">
        <f>_tPE26_29_Consolidada[[#This Row],[2026]]*1000</f>
        <v>143000000</v>
      </c>
      <c r="BR15" s="176">
        <f>_tPE26_29_Consolidada[[#This Row],[Orçado 2026 (PE25-29)]]-_tPE26_29_Consolidada[[#This Row],[Orçado 2026 (PE26-30)]]</f>
        <v>-143000000</v>
      </c>
      <c r="BS15" s="175">
        <f>IFERROR(VLOOKUP(_tPE26_29_Consolidada[[#This Row],[ID Financeiro]],'[4]PE 25-29'!$B:$AT,45,FALSE),0)</f>
        <v>0</v>
      </c>
      <c r="BT15" s="175">
        <f>_tPE26_29_Consolidada[[#This Row],[2026-2030]]*1000</f>
        <v>143000000</v>
      </c>
      <c r="BU15" s="175">
        <f>-_tPE26_29_Consolidada[[#This Row],[Orçado 26/30 (PE25-29)]]+_tPE26_29_Consolidada[[#This Row],[Orçado 26/30 (PE26-30)]]</f>
        <v>143000000</v>
      </c>
      <c r="BV15" s="43">
        <f>IFERROR(_tPE26_29_Consolidada[[#This Row],[Dif2]]/_tPE26_29_Consolidada[[#This Row],[Orçado 26/30 (PE25-29)]],0)</f>
        <v>0</v>
      </c>
      <c r="CQ15" s="146"/>
      <c r="CR15" s="146"/>
      <c r="CS15" s="146"/>
      <c r="CT15" s="146"/>
      <c r="CU15" s="146"/>
      <c r="CV15" s="146"/>
      <c r="CW15" s="146"/>
      <c r="CX15" s="146"/>
      <c r="CY15" s="146"/>
      <c r="CZ15" s="146"/>
      <c r="DA15" s="146"/>
      <c r="DB15" s="146"/>
      <c r="DC15" s="146"/>
      <c r="DD15" s="146"/>
      <c r="DE15" s="146"/>
      <c r="DF15" s="146"/>
      <c r="DG15" s="146"/>
      <c r="DH15" s="146"/>
      <c r="DI15" s="146"/>
      <c r="DJ15" s="146"/>
      <c r="DK15" s="146"/>
      <c r="DL15" s="146"/>
      <c r="DM15" s="146"/>
      <c r="DN15" s="146"/>
      <c r="DO15" s="146"/>
      <c r="DP15" s="146"/>
      <c r="DQ15" s="146"/>
      <c r="DR15" s="146"/>
      <c r="DS15" s="146"/>
      <c r="DT15" s="146"/>
      <c r="DU15" s="146"/>
      <c r="DV15" s="146"/>
      <c r="DW15" s="146"/>
      <c r="DX15" s="146"/>
      <c r="DY15" s="146"/>
      <c r="DZ15" s="146"/>
      <c r="EA15" s="146"/>
      <c r="EB15" s="146"/>
      <c r="EC15" s="146"/>
      <c r="ED15" s="146"/>
      <c r="EE15" s="146"/>
      <c r="EF15" s="146"/>
      <c r="EG15" s="146"/>
      <c r="EH15" s="146"/>
      <c r="EI15" s="146"/>
      <c r="EJ15" s="146"/>
      <c r="EK15" s="146"/>
      <c r="EL15" s="146"/>
      <c r="EM15" s="146"/>
      <c r="EN15" s="146"/>
      <c r="EO15" s="146"/>
      <c r="EP15" s="146"/>
      <c r="EQ15" s="146"/>
      <c r="ER15" s="146"/>
      <c r="ES15" s="146"/>
      <c r="ET15" s="146"/>
      <c r="EU15" s="146"/>
      <c r="EV15" s="146"/>
      <c r="EW15" s="146"/>
      <c r="EX15" s="146"/>
      <c r="EY15" s="146"/>
      <c r="EZ15" s="146"/>
    </row>
    <row r="16" spans="1:156" ht="14.5" x14ac:dyDescent="0.35">
      <c r="A16" s="43"/>
      <c r="B16" s="75" t="b">
        <v>1</v>
      </c>
      <c r="C16" s="43" t="s">
        <v>2310</v>
      </c>
      <c r="D16" s="43" t="s">
        <v>439</v>
      </c>
      <c r="E16" s="43" t="s">
        <v>2281</v>
      </c>
      <c r="F16" s="43"/>
      <c r="G16" s="43" t="s">
        <v>2344</v>
      </c>
      <c r="H16" s="43" t="s">
        <v>506</v>
      </c>
      <c r="I16" s="43" t="s">
        <v>1015</v>
      </c>
      <c r="J16" s="43" t="s">
        <v>508</v>
      </c>
      <c r="K16" s="43" t="s">
        <v>1039</v>
      </c>
      <c r="L16" s="43" t="s">
        <v>1040</v>
      </c>
      <c r="M16" s="43" t="s">
        <v>2312</v>
      </c>
      <c r="N16" s="43"/>
      <c r="O16" s="43"/>
      <c r="P16" s="43"/>
      <c r="Q16" s="43" t="s">
        <v>2345</v>
      </c>
      <c r="R16" s="43" t="s">
        <v>2314</v>
      </c>
      <c r="S16" s="43" t="s">
        <v>2338</v>
      </c>
      <c r="T16" s="213">
        <v>0</v>
      </c>
      <c r="U16" s="213">
        <v>0</v>
      </c>
      <c r="V16" s="213">
        <v>5000</v>
      </c>
      <c r="W16" s="213">
        <v>5000</v>
      </c>
      <c r="X16" s="213">
        <v>5000</v>
      </c>
      <c r="Y16" s="213">
        <v>0</v>
      </c>
      <c r="Z16" s="213">
        <v>0</v>
      </c>
      <c r="AA16" s="213">
        <v>0</v>
      </c>
      <c r="AB16" s="213">
        <v>0</v>
      </c>
      <c r="AC16" s="213">
        <v>0</v>
      </c>
      <c r="AD16" s="213">
        <v>5000</v>
      </c>
      <c r="AE16" s="213">
        <v>0</v>
      </c>
      <c r="AF16" s="213">
        <v>20000</v>
      </c>
      <c r="AG16" s="213">
        <v>1200000</v>
      </c>
      <c r="AH16" s="213">
        <v>0</v>
      </c>
      <c r="AI16" s="213">
        <v>0</v>
      </c>
      <c r="AJ16" s="213">
        <v>0</v>
      </c>
      <c r="AK16" s="213">
        <v>1220000</v>
      </c>
      <c r="AL16" s="213">
        <v>0</v>
      </c>
      <c r="AM16" s="213">
        <v>0</v>
      </c>
      <c r="AN16" s="213">
        <v>0</v>
      </c>
      <c r="AO16" s="213">
        <v>0</v>
      </c>
      <c r="AP16" s="213">
        <v>0</v>
      </c>
      <c r="AQ16" s="213">
        <v>1220000</v>
      </c>
      <c r="AR16" s="43">
        <v>176</v>
      </c>
      <c r="AS16" s="43" t="s">
        <v>2316</v>
      </c>
      <c r="AT16" s="181" t="s">
        <v>1772</v>
      </c>
      <c r="AU16" s="43" t="s">
        <v>2346</v>
      </c>
      <c r="AV16" s="43"/>
      <c r="AW16" s="43" t="s">
        <v>1603</v>
      </c>
      <c r="AX16" s="62" t="s">
        <v>2345</v>
      </c>
      <c r="AY16" s="62"/>
      <c r="AZ16" s="43" t="s">
        <v>2347</v>
      </c>
      <c r="BA16" s="43"/>
      <c r="BB16" s="43"/>
      <c r="BC16" s="43"/>
      <c r="BD16" s="43"/>
      <c r="BE16" s="43"/>
      <c r="BF16" s="43"/>
      <c r="BG16" s="43"/>
      <c r="BH16" s="43"/>
      <c r="BI16" s="43"/>
      <c r="BJ16" s="43"/>
      <c r="BK16" s="43"/>
      <c r="BL16" s="43"/>
      <c r="BM16" s="43"/>
      <c r="BN16" s="43"/>
      <c r="BO16" s="43"/>
      <c r="BP16" s="174">
        <f>IFERROR(VLOOKUP(_tPE26_29_Consolidada[[#This Row],[ID Financeiro]],'[4]PE 25-29'!$B:$AF,31,FALSE),0)</f>
        <v>0</v>
      </c>
      <c r="BQ16" s="174">
        <f>_tPE26_29_Consolidada[[#This Row],[2026]]*1000</f>
        <v>20000000</v>
      </c>
      <c r="BR16" s="176">
        <f>_tPE26_29_Consolidada[[#This Row],[Orçado 2026 (PE25-29)]]-_tPE26_29_Consolidada[[#This Row],[Orçado 2026 (PE26-30)]]</f>
        <v>-20000000</v>
      </c>
      <c r="BS16" s="175">
        <f>IFERROR(VLOOKUP(_tPE26_29_Consolidada[[#This Row],[ID Financeiro]],'[4]PE 25-29'!$B:$AT,45,FALSE),0)</f>
        <v>0</v>
      </c>
      <c r="BT16" s="175">
        <f>_tPE26_29_Consolidada[[#This Row],[2026-2030]]*1000</f>
        <v>1220000000</v>
      </c>
      <c r="BU16" s="175">
        <f>-_tPE26_29_Consolidada[[#This Row],[Orçado 26/30 (PE25-29)]]+_tPE26_29_Consolidada[[#This Row],[Orçado 26/30 (PE26-30)]]</f>
        <v>1220000000</v>
      </c>
      <c r="BV16" s="43">
        <f>IFERROR(_tPE26_29_Consolidada[[#This Row],[Dif2]]/_tPE26_29_Consolidada[[#This Row],[Orçado 26/30 (PE25-29)]],0)</f>
        <v>0</v>
      </c>
      <c r="CQ16" s="146"/>
      <c r="CR16" s="146"/>
      <c r="CS16" s="146"/>
      <c r="CT16" s="146"/>
      <c r="CU16" s="146"/>
      <c r="CV16" s="146"/>
      <c r="CW16" s="146"/>
      <c r="CX16" s="146"/>
      <c r="CY16" s="146"/>
      <c r="CZ16" s="146"/>
      <c r="DA16" s="146"/>
      <c r="DB16" s="146"/>
      <c r="DC16" s="146"/>
      <c r="DD16" s="146"/>
      <c r="DE16" s="146"/>
      <c r="DF16" s="146"/>
      <c r="DG16" s="146"/>
      <c r="DH16" s="146"/>
      <c r="DI16" s="146"/>
      <c r="DJ16" s="146"/>
      <c r="DK16" s="146"/>
      <c r="DL16" s="146"/>
      <c r="DM16" s="146"/>
      <c r="DN16" s="146"/>
      <c r="DO16" s="146"/>
      <c r="DP16" s="146"/>
      <c r="DQ16" s="146"/>
      <c r="DR16" s="146"/>
      <c r="DS16" s="146"/>
      <c r="DT16" s="146"/>
      <c r="DU16" s="146"/>
      <c r="DV16" s="146"/>
      <c r="DW16" s="146"/>
      <c r="DX16" s="146"/>
      <c r="DY16" s="146"/>
      <c r="DZ16" s="146"/>
      <c r="EA16" s="146"/>
      <c r="EB16" s="146"/>
      <c r="EC16" s="146"/>
      <c r="ED16" s="146"/>
      <c r="EE16" s="146"/>
      <c r="EF16" s="146"/>
      <c r="EG16" s="146"/>
      <c r="EH16" s="146"/>
      <c r="EI16" s="146"/>
      <c r="EJ16" s="146"/>
      <c r="EK16" s="146"/>
      <c r="EL16" s="146"/>
      <c r="EM16" s="146"/>
      <c r="EN16" s="146"/>
      <c r="EO16" s="146"/>
      <c r="EP16" s="146"/>
      <c r="EQ16" s="146"/>
      <c r="ER16" s="146"/>
      <c r="ES16" s="146"/>
      <c r="ET16" s="146"/>
      <c r="EU16" s="146"/>
      <c r="EV16" s="146"/>
      <c r="EW16" s="146"/>
      <c r="EX16" s="146"/>
      <c r="EY16" s="146"/>
      <c r="EZ16" s="146"/>
    </row>
    <row r="17" spans="1:156" ht="14.5" x14ac:dyDescent="0.35">
      <c r="A17" s="43"/>
      <c r="B17" s="75" t="b">
        <v>1</v>
      </c>
      <c r="C17" s="43" t="s">
        <v>2310</v>
      </c>
      <c r="D17" s="43" t="s">
        <v>439</v>
      </c>
      <c r="E17" s="43" t="s">
        <v>2281</v>
      </c>
      <c r="F17" s="43"/>
      <c r="G17" s="43" t="s">
        <v>2348</v>
      </c>
      <c r="H17" s="43" t="s">
        <v>506</v>
      </c>
      <c r="I17" s="43" t="s">
        <v>1015</v>
      </c>
      <c r="J17" s="43" t="s">
        <v>508</v>
      </c>
      <c r="K17" s="43" t="s">
        <v>1039</v>
      </c>
      <c r="L17" s="43" t="s">
        <v>1040</v>
      </c>
      <c r="M17" s="43" t="s">
        <v>2312</v>
      </c>
      <c r="N17" s="43"/>
      <c r="O17" s="43"/>
      <c r="P17" s="43"/>
      <c r="Q17" s="43" t="s">
        <v>2349</v>
      </c>
      <c r="R17" s="43" t="s">
        <v>2314</v>
      </c>
      <c r="S17" s="43" t="s">
        <v>2338</v>
      </c>
      <c r="T17" s="213">
        <v>0</v>
      </c>
      <c r="U17" s="213">
        <v>0</v>
      </c>
      <c r="V17" s="213">
        <v>10000</v>
      </c>
      <c r="W17" s="213">
        <v>10000</v>
      </c>
      <c r="X17" s="213">
        <v>10000</v>
      </c>
      <c r="Y17" s="213">
        <v>0</v>
      </c>
      <c r="Z17" s="213">
        <v>0</v>
      </c>
      <c r="AA17" s="213">
        <v>0</v>
      </c>
      <c r="AB17" s="213">
        <v>0</v>
      </c>
      <c r="AC17" s="213">
        <v>500000</v>
      </c>
      <c r="AD17" s="213">
        <v>50000</v>
      </c>
      <c r="AE17" s="213">
        <v>40000</v>
      </c>
      <c r="AF17" s="213">
        <v>0</v>
      </c>
      <c r="AG17" s="213">
        <v>620000</v>
      </c>
      <c r="AH17" s="213">
        <v>0</v>
      </c>
      <c r="AI17" s="213">
        <v>0</v>
      </c>
      <c r="AJ17" s="213">
        <v>0</v>
      </c>
      <c r="AK17" s="213">
        <v>620000</v>
      </c>
      <c r="AL17" s="213">
        <v>0</v>
      </c>
      <c r="AM17" s="213">
        <v>0</v>
      </c>
      <c r="AN17" s="213">
        <v>0</v>
      </c>
      <c r="AO17" s="213">
        <v>0</v>
      </c>
      <c r="AP17" s="213">
        <v>0</v>
      </c>
      <c r="AQ17" s="213">
        <v>620000</v>
      </c>
      <c r="AR17" s="43">
        <v>158</v>
      </c>
      <c r="AS17" s="43" t="s">
        <v>2316</v>
      </c>
      <c r="AT17" s="181" t="s">
        <v>1772</v>
      </c>
      <c r="AU17" s="43" t="s">
        <v>2350</v>
      </c>
      <c r="AV17" s="43"/>
      <c r="AW17" s="43" t="s">
        <v>1603</v>
      </c>
      <c r="AX17" s="62" t="s">
        <v>2349</v>
      </c>
      <c r="AY17" s="62"/>
      <c r="AZ17" s="43" t="s">
        <v>2340</v>
      </c>
      <c r="BA17" s="43"/>
      <c r="BB17" s="43"/>
      <c r="BC17" s="43"/>
      <c r="BD17" s="43"/>
      <c r="BE17" s="43"/>
      <c r="BF17" s="43"/>
      <c r="BG17" s="43"/>
      <c r="BH17" s="43"/>
      <c r="BI17" s="43"/>
      <c r="BJ17" s="43"/>
      <c r="BK17" s="43"/>
      <c r="BL17" s="43"/>
      <c r="BM17" s="43"/>
      <c r="BN17" s="43"/>
      <c r="BO17" s="43"/>
      <c r="BP17" s="174">
        <f>IFERROR(VLOOKUP(_tPE26_29_Consolidada[[#This Row],[ID Financeiro]],'[4]PE 25-29'!$B:$AF,31,FALSE),0)</f>
        <v>0</v>
      </c>
      <c r="BQ17" s="174">
        <f>_tPE26_29_Consolidada[[#This Row],[2026]]*1000</f>
        <v>0</v>
      </c>
      <c r="BR17" s="176">
        <f>_tPE26_29_Consolidada[[#This Row],[Orçado 2026 (PE25-29)]]-_tPE26_29_Consolidada[[#This Row],[Orçado 2026 (PE26-30)]]</f>
        <v>0</v>
      </c>
      <c r="BS17" s="175">
        <f>IFERROR(VLOOKUP(_tPE26_29_Consolidada[[#This Row],[ID Financeiro]],'[4]PE 25-29'!$B:$AT,45,FALSE),0)</f>
        <v>0</v>
      </c>
      <c r="BT17" s="175">
        <f>_tPE26_29_Consolidada[[#This Row],[2026-2030]]*1000</f>
        <v>620000000</v>
      </c>
      <c r="BU17" s="175">
        <f>-_tPE26_29_Consolidada[[#This Row],[Orçado 26/30 (PE25-29)]]+_tPE26_29_Consolidada[[#This Row],[Orçado 26/30 (PE26-30)]]</f>
        <v>620000000</v>
      </c>
      <c r="BV17" s="43">
        <f>IFERROR(_tPE26_29_Consolidada[[#This Row],[Dif2]]/_tPE26_29_Consolidada[[#This Row],[Orçado 26/30 (PE25-29)]],0)</f>
        <v>0</v>
      </c>
      <c r="CQ17" s="146"/>
      <c r="CR17" s="146"/>
      <c r="CS17" s="146"/>
      <c r="CT17" s="146"/>
      <c r="CU17" s="146"/>
      <c r="CV17" s="146"/>
      <c r="CW17" s="146"/>
      <c r="CX17" s="146"/>
      <c r="CY17" s="146"/>
      <c r="CZ17" s="146"/>
      <c r="DA17" s="146"/>
      <c r="DB17" s="146"/>
      <c r="DC17" s="146"/>
      <c r="DD17" s="146"/>
      <c r="DE17" s="146"/>
      <c r="DF17" s="146"/>
      <c r="DG17" s="146"/>
      <c r="DH17" s="146"/>
      <c r="DI17" s="146"/>
      <c r="DJ17" s="146"/>
      <c r="DK17" s="146"/>
      <c r="DL17" s="146"/>
      <c r="DM17" s="146"/>
      <c r="DN17" s="146"/>
      <c r="DO17" s="146"/>
      <c r="DP17" s="146"/>
      <c r="DQ17" s="146"/>
      <c r="DR17" s="146"/>
      <c r="DS17" s="146"/>
      <c r="DT17" s="146"/>
      <c r="DU17" s="146"/>
      <c r="DV17" s="146"/>
      <c r="DW17" s="146"/>
      <c r="DX17" s="146"/>
      <c r="DY17" s="146"/>
      <c r="DZ17" s="146"/>
      <c r="EA17" s="146"/>
      <c r="EB17" s="146"/>
      <c r="EC17" s="146"/>
      <c r="ED17" s="146"/>
      <c r="EE17" s="146"/>
      <c r="EF17" s="146"/>
      <c r="EG17" s="146"/>
      <c r="EH17" s="146"/>
      <c r="EI17" s="146"/>
      <c r="EJ17" s="146"/>
      <c r="EK17" s="146"/>
      <c r="EL17" s="146"/>
      <c r="EM17" s="146"/>
      <c r="EN17" s="146"/>
      <c r="EO17" s="146"/>
      <c r="EP17" s="146"/>
      <c r="EQ17" s="146"/>
      <c r="ER17" s="146"/>
      <c r="ES17" s="146"/>
      <c r="ET17" s="146"/>
      <c r="EU17" s="146"/>
      <c r="EV17" s="146"/>
      <c r="EW17" s="146"/>
      <c r="EX17" s="146"/>
      <c r="EY17" s="146"/>
      <c r="EZ17" s="146"/>
    </row>
    <row r="18" spans="1:156" ht="14.5" x14ac:dyDescent="0.35">
      <c r="A18" s="43"/>
      <c r="B18" s="75" t="b">
        <v>1</v>
      </c>
      <c r="C18" s="43" t="s">
        <v>2310</v>
      </c>
      <c r="D18" s="43" t="s">
        <v>439</v>
      </c>
      <c r="E18" s="43" t="s">
        <v>2281</v>
      </c>
      <c r="F18" s="43"/>
      <c r="G18" s="43" t="s">
        <v>2351</v>
      </c>
      <c r="H18" s="43" t="s">
        <v>506</v>
      </c>
      <c r="I18" s="43" t="s">
        <v>1015</v>
      </c>
      <c r="J18" s="43" t="s">
        <v>508</v>
      </c>
      <c r="K18" s="43" t="s">
        <v>1039</v>
      </c>
      <c r="L18" s="43" t="s">
        <v>1040</v>
      </c>
      <c r="M18" s="43" t="s">
        <v>2312</v>
      </c>
      <c r="N18" s="43"/>
      <c r="O18" s="43"/>
      <c r="P18" s="43"/>
      <c r="Q18" s="43" t="s">
        <v>2352</v>
      </c>
      <c r="R18" s="43" t="s">
        <v>2314</v>
      </c>
      <c r="S18" s="43" t="s">
        <v>1029</v>
      </c>
      <c r="T18" s="213">
        <v>0</v>
      </c>
      <c r="U18" s="213">
        <v>0</v>
      </c>
      <c r="V18" s="213">
        <v>0</v>
      </c>
      <c r="W18" s="213">
        <v>0</v>
      </c>
      <c r="X18" s="213">
        <v>0</v>
      </c>
      <c r="Y18" s="213">
        <v>50000</v>
      </c>
      <c r="Z18" s="213">
        <v>0</v>
      </c>
      <c r="AA18" s="213">
        <v>0</v>
      </c>
      <c r="AB18" s="213">
        <v>0</v>
      </c>
      <c r="AC18" s="213">
        <v>0</v>
      </c>
      <c r="AD18" s="213">
        <v>0</v>
      </c>
      <c r="AE18" s="213">
        <v>0</v>
      </c>
      <c r="AF18" s="213">
        <v>50000</v>
      </c>
      <c r="AG18" s="213">
        <v>950000</v>
      </c>
      <c r="AH18" s="213">
        <v>1000000</v>
      </c>
      <c r="AI18" s="213">
        <v>0</v>
      </c>
      <c r="AJ18" s="213">
        <v>0</v>
      </c>
      <c r="AK18" s="213">
        <v>2000000</v>
      </c>
      <c r="AL18" s="213">
        <v>0</v>
      </c>
      <c r="AM18" s="213">
        <v>0</v>
      </c>
      <c r="AN18" s="213">
        <v>0</v>
      </c>
      <c r="AO18" s="213">
        <v>0</v>
      </c>
      <c r="AP18" s="213">
        <v>0</v>
      </c>
      <c r="AQ18" s="213">
        <v>2000000</v>
      </c>
      <c r="AR18" s="43">
        <v>170</v>
      </c>
      <c r="AS18" s="43" t="s">
        <v>2316</v>
      </c>
      <c r="AT18" s="181" t="s">
        <v>1772</v>
      </c>
      <c r="AU18" s="43" t="s">
        <v>2353</v>
      </c>
      <c r="AV18" s="43"/>
      <c r="AW18" s="43" t="s">
        <v>1603</v>
      </c>
      <c r="AX18" s="62" t="s">
        <v>2352</v>
      </c>
      <c r="AY18" s="62"/>
      <c r="AZ18" s="43" t="s">
        <v>2347</v>
      </c>
      <c r="BA18" s="43"/>
      <c r="BB18" s="43"/>
      <c r="BC18" s="43"/>
      <c r="BD18" s="43"/>
      <c r="BE18" s="43"/>
      <c r="BF18" s="43"/>
      <c r="BG18" s="43"/>
      <c r="BH18" s="43"/>
      <c r="BI18" s="43"/>
      <c r="BJ18" s="43"/>
      <c r="BK18" s="43"/>
      <c r="BL18" s="43"/>
      <c r="BM18" s="43"/>
      <c r="BN18" s="43"/>
      <c r="BO18" s="43"/>
      <c r="BP18" s="174">
        <f>IFERROR(VLOOKUP(_tPE26_29_Consolidada[[#This Row],[ID Financeiro]],'[4]PE 25-29'!$B:$AF,31,FALSE),0)</f>
        <v>0</v>
      </c>
      <c r="BQ18" s="174">
        <f>_tPE26_29_Consolidada[[#This Row],[2026]]*1000</f>
        <v>50000000</v>
      </c>
      <c r="BR18" s="176">
        <f>_tPE26_29_Consolidada[[#This Row],[Orçado 2026 (PE25-29)]]-_tPE26_29_Consolidada[[#This Row],[Orçado 2026 (PE26-30)]]</f>
        <v>-50000000</v>
      </c>
      <c r="BS18" s="175">
        <f>IFERROR(VLOOKUP(_tPE26_29_Consolidada[[#This Row],[ID Financeiro]],'[4]PE 25-29'!$B:$AT,45,FALSE),0)</f>
        <v>0</v>
      </c>
      <c r="BT18" s="175">
        <f>_tPE26_29_Consolidada[[#This Row],[2026-2030]]*1000</f>
        <v>2000000000</v>
      </c>
      <c r="BU18" s="175">
        <f>-_tPE26_29_Consolidada[[#This Row],[Orçado 26/30 (PE25-29)]]+_tPE26_29_Consolidada[[#This Row],[Orçado 26/30 (PE26-30)]]</f>
        <v>2000000000</v>
      </c>
      <c r="BV18" s="43">
        <f>IFERROR(_tPE26_29_Consolidada[[#This Row],[Dif2]]/_tPE26_29_Consolidada[[#This Row],[Orçado 26/30 (PE25-29)]],0)</f>
        <v>0</v>
      </c>
      <c r="CQ18" s="146"/>
      <c r="CR18" s="146"/>
      <c r="CS18" s="146"/>
      <c r="CT18" s="146"/>
      <c r="CU18" s="146"/>
      <c r="CV18" s="146"/>
      <c r="CW18" s="146"/>
      <c r="CX18" s="146"/>
      <c r="CY18" s="146"/>
      <c r="CZ18" s="146"/>
      <c r="DA18" s="146"/>
      <c r="DB18" s="146"/>
      <c r="DC18" s="146"/>
      <c r="DD18" s="146"/>
      <c r="DE18" s="146"/>
      <c r="DF18" s="146"/>
      <c r="DG18" s="146"/>
      <c r="DH18" s="146"/>
      <c r="DI18" s="146"/>
      <c r="DJ18" s="146"/>
      <c r="DK18" s="146"/>
      <c r="DL18" s="146"/>
      <c r="DM18" s="146"/>
      <c r="DN18" s="146"/>
      <c r="DO18" s="146"/>
      <c r="DP18" s="146"/>
      <c r="DQ18" s="146"/>
      <c r="DR18" s="146"/>
      <c r="DS18" s="146"/>
      <c r="DT18" s="146"/>
      <c r="DU18" s="146"/>
      <c r="DV18" s="146"/>
      <c r="DW18" s="146"/>
      <c r="DX18" s="146"/>
      <c r="DY18" s="146"/>
      <c r="DZ18" s="146"/>
      <c r="EA18" s="146"/>
      <c r="EB18" s="146"/>
      <c r="EC18" s="146"/>
      <c r="ED18" s="146"/>
      <c r="EE18" s="146"/>
      <c r="EF18" s="146"/>
      <c r="EG18" s="146"/>
      <c r="EH18" s="146"/>
      <c r="EI18" s="146"/>
      <c r="EJ18" s="146"/>
      <c r="EK18" s="146"/>
      <c r="EL18" s="146"/>
      <c r="EM18" s="146"/>
      <c r="EN18" s="146"/>
      <c r="EO18" s="146"/>
      <c r="EP18" s="146"/>
      <c r="EQ18" s="146"/>
      <c r="ER18" s="146"/>
      <c r="ES18" s="146"/>
      <c r="ET18" s="146"/>
      <c r="EU18" s="146"/>
      <c r="EV18" s="146"/>
      <c r="EW18" s="146"/>
      <c r="EX18" s="146"/>
      <c r="EY18" s="146"/>
      <c r="EZ18" s="146"/>
    </row>
    <row r="19" spans="1:156" ht="14.5" x14ac:dyDescent="0.35">
      <c r="A19" s="43"/>
      <c r="B19" s="75" t="b">
        <v>1</v>
      </c>
      <c r="C19" s="43" t="s">
        <v>2310</v>
      </c>
      <c r="D19" s="43" t="s">
        <v>439</v>
      </c>
      <c r="E19" s="43" t="s">
        <v>2281</v>
      </c>
      <c r="F19" s="43"/>
      <c r="G19" s="43" t="s">
        <v>2354</v>
      </c>
      <c r="H19" s="43" t="s">
        <v>506</v>
      </c>
      <c r="I19" s="43" t="s">
        <v>1015</v>
      </c>
      <c r="J19" s="43" t="s">
        <v>508</v>
      </c>
      <c r="K19" s="43" t="s">
        <v>1039</v>
      </c>
      <c r="L19" s="43" t="s">
        <v>1040</v>
      </c>
      <c r="M19" s="43" t="s">
        <v>2312</v>
      </c>
      <c r="N19" s="43"/>
      <c r="O19" s="43"/>
      <c r="P19" s="43"/>
      <c r="Q19" s="43" t="s">
        <v>2355</v>
      </c>
      <c r="R19" s="43" t="s">
        <v>2314</v>
      </c>
      <c r="S19" s="43" t="s">
        <v>2315</v>
      </c>
      <c r="T19" s="213">
        <v>5000</v>
      </c>
      <c r="U19" s="213">
        <v>5000</v>
      </c>
      <c r="V19" s="213">
        <v>5000</v>
      </c>
      <c r="W19" s="213">
        <v>5000</v>
      </c>
      <c r="X19" s="213">
        <v>5000</v>
      </c>
      <c r="Y19" s="213">
        <v>5000</v>
      </c>
      <c r="Z19" s="213">
        <v>0</v>
      </c>
      <c r="AA19" s="213">
        <v>0</v>
      </c>
      <c r="AB19" s="213">
        <v>0</v>
      </c>
      <c r="AC19" s="213">
        <v>600000</v>
      </c>
      <c r="AD19" s="213">
        <v>10000</v>
      </c>
      <c r="AE19" s="213">
        <v>10000</v>
      </c>
      <c r="AF19" s="213">
        <v>650000</v>
      </c>
      <c r="AG19" s="213">
        <v>0</v>
      </c>
      <c r="AH19" s="213">
        <v>0</v>
      </c>
      <c r="AI19" s="213">
        <v>0</v>
      </c>
      <c r="AJ19" s="213">
        <v>0</v>
      </c>
      <c r="AK19" s="213">
        <v>650000</v>
      </c>
      <c r="AL19" s="213">
        <v>0</v>
      </c>
      <c r="AM19" s="213">
        <v>0</v>
      </c>
      <c r="AN19" s="213">
        <v>0</v>
      </c>
      <c r="AO19" s="213">
        <v>0</v>
      </c>
      <c r="AP19" s="213">
        <v>0</v>
      </c>
      <c r="AQ19" s="213">
        <v>650000</v>
      </c>
      <c r="AR19" s="43">
        <v>156</v>
      </c>
      <c r="AS19" s="43" t="s">
        <v>2316</v>
      </c>
      <c r="AT19" s="181" t="s">
        <v>1772</v>
      </c>
      <c r="AU19" s="43" t="s">
        <v>2356</v>
      </c>
      <c r="AV19" s="43"/>
      <c r="AW19" s="43" t="s">
        <v>1603</v>
      </c>
      <c r="AX19" s="62" t="s">
        <v>2355</v>
      </c>
      <c r="AY19" s="62"/>
      <c r="AZ19" s="43" t="s">
        <v>2323</v>
      </c>
      <c r="BA19" s="43"/>
      <c r="BB19" s="43"/>
      <c r="BC19" s="43"/>
      <c r="BD19" s="43"/>
      <c r="BE19" s="43"/>
      <c r="BF19" s="43"/>
      <c r="BG19" s="43"/>
      <c r="BH19" s="43"/>
      <c r="BI19" s="43"/>
      <c r="BJ19" s="43"/>
      <c r="BK19" s="43"/>
      <c r="BL19" s="43"/>
      <c r="BM19" s="43"/>
      <c r="BN19" s="43"/>
      <c r="BO19" s="43"/>
      <c r="BP19" s="174">
        <f>IFERROR(VLOOKUP(_tPE26_29_Consolidada[[#This Row],[ID Financeiro]],'[4]PE 25-29'!$B:$AF,31,FALSE),0)</f>
        <v>0</v>
      </c>
      <c r="BQ19" s="174">
        <f>_tPE26_29_Consolidada[[#This Row],[2026]]*1000</f>
        <v>650000000</v>
      </c>
      <c r="BR19" s="176">
        <f>_tPE26_29_Consolidada[[#This Row],[Orçado 2026 (PE25-29)]]-_tPE26_29_Consolidada[[#This Row],[Orçado 2026 (PE26-30)]]</f>
        <v>-650000000</v>
      </c>
      <c r="BS19" s="175">
        <f>IFERROR(VLOOKUP(_tPE26_29_Consolidada[[#This Row],[ID Financeiro]],'[4]PE 25-29'!$B:$AT,45,FALSE),0)</f>
        <v>0</v>
      </c>
      <c r="BT19" s="175">
        <f>_tPE26_29_Consolidada[[#This Row],[2026-2030]]*1000</f>
        <v>650000000</v>
      </c>
      <c r="BU19" s="175">
        <f>-_tPE26_29_Consolidada[[#This Row],[Orçado 26/30 (PE25-29)]]+_tPE26_29_Consolidada[[#This Row],[Orçado 26/30 (PE26-30)]]</f>
        <v>650000000</v>
      </c>
      <c r="BV19" s="43">
        <f>IFERROR(_tPE26_29_Consolidada[[#This Row],[Dif2]]/_tPE26_29_Consolidada[[#This Row],[Orçado 26/30 (PE25-29)]],0)</f>
        <v>0</v>
      </c>
      <c r="CQ19" s="146"/>
      <c r="CR19" s="146"/>
      <c r="CS19" s="146"/>
      <c r="CT19" s="146"/>
      <c r="CU19" s="146"/>
      <c r="CV19" s="146"/>
      <c r="CW19" s="146"/>
      <c r="CX19" s="146"/>
      <c r="CY19" s="146"/>
      <c r="CZ19" s="146"/>
      <c r="DA19" s="146"/>
      <c r="DB19" s="146"/>
      <c r="DC19" s="146"/>
      <c r="DD19" s="146"/>
      <c r="DE19" s="146"/>
      <c r="DF19" s="146"/>
      <c r="DG19" s="146"/>
      <c r="DH19" s="146"/>
      <c r="DI19" s="146"/>
      <c r="DJ19" s="146"/>
      <c r="DK19" s="146"/>
      <c r="DL19" s="146"/>
      <c r="DM19" s="146"/>
      <c r="DN19" s="146"/>
      <c r="DO19" s="146"/>
      <c r="DP19" s="146"/>
      <c r="DQ19" s="146"/>
      <c r="DR19" s="146"/>
      <c r="DS19" s="146"/>
      <c r="DT19" s="146"/>
      <c r="DU19" s="146"/>
      <c r="DV19" s="146"/>
      <c r="DW19" s="146"/>
      <c r="DX19" s="146"/>
      <c r="DY19" s="146"/>
      <c r="DZ19" s="146"/>
      <c r="EA19" s="146"/>
      <c r="EB19" s="146"/>
      <c r="EC19" s="146"/>
      <c r="ED19" s="146"/>
      <c r="EE19" s="146"/>
      <c r="EF19" s="146"/>
      <c r="EG19" s="146"/>
      <c r="EH19" s="146"/>
      <c r="EI19" s="146"/>
      <c r="EJ19" s="146"/>
      <c r="EK19" s="146"/>
      <c r="EL19" s="146"/>
      <c r="EM19" s="146"/>
      <c r="EN19" s="146"/>
      <c r="EO19" s="146"/>
      <c r="EP19" s="146"/>
      <c r="EQ19" s="146"/>
      <c r="ER19" s="146"/>
      <c r="ES19" s="146"/>
      <c r="ET19" s="146"/>
      <c r="EU19" s="146"/>
      <c r="EV19" s="146"/>
      <c r="EW19" s="146"/>
      <c r="EX19" s="146"/>
      <c r="EY19" s="146"/>
      <c r="EZ19" s="146"/>
    </row>
    <row r="20" spans="1:156" ht="14.5" x14ac:dyDescent="0.35">
      <c r="A20" s="43"/>
      <c r="B20" s="75" t="b">
        <v>1</v>
      </c>
      <c r="C20" s="43" t="s">
        <v>2310</v>
      </c>
      <c r="D20" s="43" t="s">
        <v>439</v>
      </c>
      <c r="E20" s="43" t="s">
        <v>2281</v>
      </c>
      <c r="F20" s="43"/>
      <c r="G20" s="43" t="s">
        <v>2357</v>
      </c>
      <c r="H20" s="43" t="s">
        <v>506</v>
      </c>
      <c r="I20" s="43" t="s">
        <v>1015</v>
      </c>
      <c r="J20" s="43" t="s">
        <v>508</v>
      </c>
      <c r="K20" s="43" t="s">
        <v>1039</v>
      </c>
      <c r="L20" s="43" t="s">
        <v>1040</v>
      </c>
      <c r="M20" s="43" t="s">
        <v>2312</v>
      </c>
      <c r="N20" s="43"/>
      <c r="O20" s="43"/>
      <c r="P20" s="43"/>
      <c r="Q20" s="43" t="s">
        <v>2358</v>
      </c>
      <c r="R20" s="43" t="s">
        <v>2314</v>
      </c>
      <c r="S20" s="43" t="s">
        <v>2359</v>
      </c>
      <c r="T20" s="213">
        <v>5000</v>
      </c>
      <c r="U20" s="213">
        <v>5000</v>
      </c>
      <c r="V20" s="213">
        <v>15000</v>
      </c>
      <c r="W20" s="213">
        <v>10000</v>
      </c>
      <c r="X20" s="213">
        <v>315000</v>
      </c>
      <c r="Y20" s="213">
        <v>230000</v>
      </c>
      <c r="Z20" s="213">
        <v>1265000</v>
      </c>
      <c r="AA20" s="213">
        <v>1265000</v>
      </c>
      <c r="AB20" s="213">
        <v>15000</v>
      </c>
      <c r="AC20" s="213">
        <v>15000</v>
      </c>
      <c r="AD20" s="213">
        <v>760000</v>
      </c>
      <c r="AE20" s="213">
        <v>0</v>
      </c>
      <c r="AF20" s="213">
        <v>3900000</v>
      </c>
      <c r="AG20" s="213">
        <v>800000</v>
      </c>
      <c r="AH20" s="213">
        <v>0</v>
      </c>
      <c r="AI20" s="213">
        <v>0</v>
      </c>
      <c r="AJ20" s="213">
        <v>0</v>
      </c>
      <c r="AK20" s="213">
        <v>4700000</v>
      </c>
      <c r="AL20" s="213">
        <v>0</v>
      </c>
      <c r="AM20" s="213">
        <v>0</v>
      </c>
      <c r="AN20" s="213">
        <v>0</v>
      </c>
      <c r="AO20" s="213">
        <v>0</v>
      </c>
      <c r="AP20" s="213">
        <v>0</v>
      </c>
      <c r="AQ20" s="213">
        <v>4700000</v>
      </c>
      <c r="AR20" s="43">
        <v>147</v>
      </c>
      <c r="AS20" s="43" t="s">
        <v>2316</v>
      </c>
      <c r="AT20" s="181" t="s">
        <v>1772</v>
      </c>
      <c r="AU20" s="43" t="s">
        <v>2360</v>
      </c>
      <c r="AV20" s="43"/>
      <c r="AW20" s="43" t="s">
        <v>1603</v>
      </c>
      <c r="AX20" s="62" t="s">
        <v>2358</v>
      </c>
      <c r="AY20" s="62"/>
      <c r="AZ20" s="43" t="s">
        <v>2361</v>
      </c>
      <c r="BA20" s="43"/>
      <c r="BB20" s="43"/>
      <c r="BC20" s="43"/>
      <c r="BD20" s="43"/>
      <c r="BE20" s="43"/>
      <c r="BF20" s="43"/>
      <c r="BG20" s="43"/>
      <c r="BH20" s="43"/>
      <c r="BI20" s="43"/>
      <c r="BJ20" s="43"/>
      <c r="BK20" s="43"/>
      <c r="BL20" s="43"/>
      <c r="BM20" s="43"/>
      <c r="BN20" s="43"/>
      <c r="BO20" s="43"/>
      <c r="BP20" s="174">
        <f>IFERROR(VLOOKUP(_tPE26_29_Consolidada[[#This Row],[ID Financeiro]],'[4]PE 25-29'!$B:$AF,31,FALSE),0)</f>
        <v>0</v>
      </c>
      <c r="BQ20" s="174">
        <f>_tPE26_29_Consolidada[[#This Row],[2026]]*1000</f>
        <v>3900000000</v>
      </c>
      <c r="BR20" s="176">
        <f>_tPE26_29_Consolidada[[#This Row],[Orçado 2026 (PE25-29)]]-_tPE26_29_Consolidada[[#This Row],[Orçado 2026 (PE26-30)]]</f>
        <v>-3900000000</v>
      </c>
      <c r="BS20" s="175">
        <f>IFERROR(VLOOKUP(_tPE26_29_Consolidada[[#This Row],[ID Financeiro]],'[4]PE 25-29'!$B:$AT,45,FALSE),0)</f>
        <v>0</v>
      </c>
      <c r="BT20" s="175">
        <f>_tPE26_29_Consolidada[[#This Row],[2026-2030]]*1000</f>
        <v>4700000000</v>
      </c>
      <c r="BU20" s="175">
        <f>-_tPE26_29_Consolidada[[#This Row],[Orçado 26/30 (PE25-29)]]+_tPE26_29_Consolidada[[#This Row],[Orçado 26/30 (PE26-30)]]</f>
        <v>4700000000</v>
      </c>
      <c r="BV20" s="43">
        <f>IFERROR(_tPE26_29_Consolidada[[#This Row],[Dif2]]/_tPE26_29_Consolidada[[#This Row],[Orçado 26/30 (PE25-29)]],0)</f>
        <v>0</v>
      </c>
      <c r="CQ20" s="146"/>
      <c r="CR20" s="146"/>
      <c r="CS20" s="146"/>
      <c r="CT20" s="146"/>
      <c r="CU20" s="146"/>
      <c r="CV20" s="146"/>
      <c r="CW20" s="146"/>
      <c r="CX20" s="146"/>
      <c r="CY20" s="146"/>
      <c r="CZ20" s="146"/>
      <c r="DA20" s="146"/>
      <c r="DB20" s="146"/>
      <c r="DC20" s="146"/>
      <c r="DD20" s="146"/>
      <c r="DE20" s="146"/>
      <c r="DF20" s="146"/>
      <c r="DG20" s="146"/>
      <c r="DH20" s="146"/>
      <c r="DI20" s="146"/>
      <c r="DJ20" s="146"/>
      <c r="DK20" s="146"/>
      <c r="DL20" s="146"/>
      <c r="DM20" s="146"/>
      <c r="DN20" s="146"/>
      <c r="DO20" s="146"/>
      <c r="DP20" s="146"/>
      <c r="DQ20" s="146"/>
      <c r="DR20" s="146"/>
      <c r="DS20" s="146"/>
      <c r="DT20" s="146"/>
      <c r="DU20" s="146"/>
      <c r="DV20" s="146"/>
      <c r="DW20" s="146"/>
      <c r="DX20" s="146"/>
      <c r="DY20" s="146"/>
      <c r="DZ20" s="146"/>
      <c r="EA20" s="146"/>
      <c r="EB20" s="146"/>
      <c r="EC20" s="146"/>
      <c r="ED20" s="146"/>
      <c r="EE20" s="146"/>
      <c r="EF20" s="146"/>
      <c r="EG20" s="146"/>
      <c r="EH20" s="146"/>
      <c r="EI20" s="146"/>
      <c r="EJ20" s="146"/>
      <c r="EK20" s="146"/>
      <c r="EL20" s="146"/>
      <c r="EM20" s="146"/>
      <c r="EN20" s="146"/>
      <c r="EO20" s="146"/>
      <c r="EP20" s="146"/>
      <c r="EQ20" s="146"/>
      <c r="ER20" s="146"/>
      <c r="ES20" s="146"/>
      <c r="ET20" s="146"/>
      <c r="EU20" s="146"/>
      <c r="EV20" s="146"/>
      <c r="EW20" s="146"/>
      <c r="EX20" s="146"/>
      <c r="EY20" s="146"/>
      <c r="EZ20" s="146"/>
    </row>
    <row r="21" spans="1:156" ht="14.5" x14ac:dyDescent="0.35">
      <c r="A21" s="43"/>
      <c r="B21" s="75" t="b">
        <v>1</v>
      </c>
      <c r="C21" s="43" t="s">
        <v>2310</v>
      </c>
      <c r="D21" s="43" t="s">
        <v>439</v>
      </c>
      <c r="E21" s="43" t="s">
        <v>2281</v>
      </c>
      <c r="F21" s="43"/>
      <c r="G21" s="43" t="s">
        <v>2362</v>
      </c>
      <c r="H21" s="43" t="s">
        <v>506</v>
      </c>
      <c r="I21" s="43" t="s">
        <v>1015</v>
      </c>
      <c r="J21" s="43" t="s">
        <v>508</v>
      </c>
      <c r="K21" s="43" t="s">
        <v>1039</v>
      </c>
      <c r="L21" s="43" t="s">
        <v>1040</v>
      </c>
      <c r="M21" s="43" t="s">
        <v>2312</v>
      </c>
      <c r="N21" s="43"/>
      <c r="O21" s="43"/>
      <c r="P21" s="43"/>
      <c r="Q21" s="43" t="s">
        <v>2363</v>
      </c>
      <c r="R21" s="43" t="s">
        <v>2314</v>
      </c>
      <c r="S21" s="43" t="s">
        <v>2359</v>
      </c>
      <c r="T21" s="213">
        <v>10000</v>
      </c>
      <c r="U21" s="213">
        <v>10000</v>
      </c>
      <c r="V21" s="213">
        <v>10000</v>
      </c>
      <c r="W21" s="213">
        <v>10000</v>
      </c>
      <c r="X21" s="213">
        <v>10000</v>
      </c>
      <c r="Y21" s="213">
        <v>10000</v>
      </c>
      <c r="Z21" s="213">
        <v>0</v>
      </c>
      <c r="AA21" s="213">
        <v>0</v>
      </c>
      <c r="AB21" s="213">
        <v>0</v>
      </c>
      <c r="AC21" s="213">
        <v>550000</v>
      </c>
      <c r="AD21" s="213">
        <v>30000</v>
      </c>
      <c r="AE21" s="213">
        <v>10000</v>
      </c>
      <c r="AF21" s="213">
        <v>650000</v>
      </c>
      <c r="AG21" s="213">
        <v>50000</v>
      </c>
      <c r="AH21" s="213">
        <v>0</v>
      </c>
      <c r="AI21" s="213">
        <v>0</v>
      </c>
      <c r="AJ21" s="213">
        <v>0</v>
      </c>
      <c r="AK21" s="213">
        <v>700000</v>
      </c>
      <c r="AL21" s="213">
        <v>0</v>
      </c>
      <c r="AM21" s="213">
        <v>0</v>
      </c>
      <c r="AN21" s="213">
        <v>0</v>
      </c>
      <c r="AO21" s="213">
        <v>0</v>
      </c>
      <c r="AP21" s="213">
        <v>0</v>
      </c>
      <c r="AQ21" s="213">
        <v>700000</v>
      </c>
      <c r="AR21" s="43">
        <v>157</v>
      </c>
      <c r="AS21" s="43" t="s">
        <v>2316</v>
      </c>
      <c r="AT21" s="181" t="s">
        <v>1772</v>
      </c>
      <c r="AU21" s="43" t="s">
        <v>2364</v>
      </c>
      <c r="AV21" s="43"/>
      <c r="AW21" s="43" t="s">
        <v>1603</v>
      </c>
      <c r="AX21" s="62" t="s">
        <v>2363</v>
      </c>
      <c r="AY21" s="62"/>
      <c r="AZ21" s="43" t="s">
        <v>2365</v>
      </c>
      <c r="BA21" s="43"/>
      <c r="BB21" s="43"/>
      <c r="BC21" s="43"/>
      <c r="BD21" s="43"/>
      <c r="BE21" s="43"/>
      <c r="BF21" s="43"/>
      <c r="BG21" s="43"/>
      <c r="BH21" s="43"/>
      <c r="BI21" s="43"/>
      <c r="BJ21" s="43"/>
      <c r="BK21" s="43"/>
      <c r="BL21" s="43"/>
      <c r="BM21" s="43"/>
      <c r="BN21" s="43"/>
      <c r="BO21" s="43"/>
      <c r="BP21" s="174">
        <f>IFERROR(VLOOKUP(_tPE26_29_Consolidada[[#This Row],[ID Financeiro]],'[4]PE 25-29'!$B:$AF,31,FALSE),0)</f>
        <v>0</v>
      </c>
      <c r="BQ21" s="174">
        <f>_tPE26_29_Consolidada[[#This Row],[2026]]*1000</f>
        <v>650000000</v>
      </c>
      <c r="BR21" s="176">
        <f>_tPE26_29_Consolidada[[#This Row],[Orçado 2026 (PE25-29)]]-_tPE26_29_Consolidada[[#This Row],[Orçado 2026 (PE26-30)]]</f>
        <v>-650000000</v>
      </c>
      <c r="BS21" s="175">
        <f>IFERROR(VLOOKUP(_tPE26_29_Consolidada[[#This Row],[ID Financeiro]],'[4]PE 25-29'!$B:$AT,45,FALSE),0)</f>
        <v>0</v>
      </c>
      <c r="BT21" s="175">
        <f>_tPE26_29_Consolidada[[#This Row],[2026-2030]]*1000</f>
        <v>700000000</v>
      </c>
      <c r="BU21" s="175">
        <f>-_tPE26_29_Consolidada[[#This Row],[Orçado 26/30 (PE25-29)]]+_tPE26_29_Consolidada[[#This Row],[Orçado 26/30 (PE26-30)]]</f>
        <v>700000000</v>
      </c>
      <c r="BV21" s="43">
        <f>IFERROR(_tPE26_29_Consolidada[[#This Row],[Dif2]]/_tPE26_29_Consolidada[[#This Row],[Orçado 26/30 (PE25-29)]],0)</f>
        <v>0</v>
      </c>
      <c r="CQ21" s="146"/>
      <c r="CR21" s="146"/>
      <c r="CS21" s="146"/>
      <c r="CT21" s="146"/>
      <c r="CU21" s="146"/>
      <c r="CV21" s="146"/>
      <c r="CW21" s="146"/>
      <c r="CX21" s="146"/>
      <c r="CY21" s="146"/>
      <c r="CZ21" s="146"/>
      <c r="DA21" s="146"/>
      <c r="DB21" s="146"/>
      <c r="DC21" s="146"/>
      <c r="DD21" s="146"/>
      <c r="DE21" s="146"/>
      <c r="DF21" s="146"/>
      <c r="DG21" s="146"/>
      <c r="DH21" s="146"/>
      <c r="DI21" s="146"/>
      <c r="DJ21" s="146"/>
      <c r="DK21" s="146"/>
      <c r="DL21" s="146"/>
      <c r="DM21" s="146"/>
      <c r="DN21" s="146"/>
      <c r="DO21" s="146"/>
      <c r="DP21" s="146"/>
      <c r="DQ21" s="146"/>
      <c r="DR21" s="146"/>
      <c r="DS21" s="146"/>
      <c r="DT21" s="146"/>
      <c r="DU21" s="146"/>
      <c r="DV21" s="146"/>
      <c r="DW21" s="146"/>
      <c r="DX21" s="146"/>
      <c r="DY21" s="146"/>
      <c r="DZ21" s="146"/>
      <c r="EA21" s="146"/>
      <c r="EB21" s="146"/>
      <c r="EC21" s="146"/>
      <c r="ED21" s="146"/>
      <c r="EE21" s="146"/>
      <c r="EF21" s="146"/>
      <c r="EG21" s="146"/>
      <c r="EH21" s="146"/>
      <c r="EI21" s="146"/>
      <c r="EJ21" s="146"/>
      <c r="EK21" s="146"/>
      <c r="EL21" s="146"/>
      <c r="EM21" s="146"/>
      <c r="EN21" s="146"/>
      <c r="EO21" s="146"/>
      <c r="EP21" s="146"/>
      <c r="EQ21" s="146"/>
      <c r="ER21" s="146"/>
      <c r="ES21" s="146"/>
      <c r="ET21" s="146"/>
      <c r="EU21" s="146"/>
      <c r="EV21" s="146"/>
      <c r="EW21" s="146"/>
      <c r="EX21" s="146"/>
      <c r="EY21" s="146"/>
      <c r="EZ21" s="146"/>
    </row>
    <row r="22" spans="1:156" ht="14.5" x14ac:dyDescent="0.35">
      <c r="A22" s="43"/>
      <c r="B22" s="75" t="b">
        <v>1</v>
      </c>
      <c r="C22" s="43" t="s">
        <v>2310</v>
      </c>
      <c r="D22" s="43" t="s">
        <v>439</v>
      </c>
      <c r="E22" s="43" t="s">
        <v>2281</v>
      </c>
      <c r="F22" s="43"/>
      <c r="G22" s="43" t="s">
        <v>2366</v>
      </c>
      <c r="H22" s="43" t="s">
        <v>506</v>
      </c>
      <c r="I22" s="43" t="s">
        <v>1015</v>
      </c>
      <c r="J22" s="43" t="s">
        <v>508</v>
      </c>
      <c r="K22" s="43" t="s">
        <v>1039</v>
      </c>
      <c r="L22" s="43" t="s">
        <v>1040</v>
      </c>
      <c r="M22" s="43" t="s">
        <v>2312</v>
      </c>
      <c r="N22" s="43"/>
      <c r="O22" s="43"/>
      <c r="P22" s="43"/>
      <c r="Q22" s="43" t="s">
        <v>2367</v>
      </c>
      <c r="R22" s="43" t="s">
        <v>2314</v>
      </c>
      <c r="S22" s="43" t="s">
        <v>2368</v>
      </c>
      <c r="T22" s="213">
        <v>200000</v>
      </c>
      <c r="U22" s="213">
        <v>1300000</v>
      </c>
      <c r="V22" s="213">
        <v>400000</v>
      </c>
      <c r="W22" s="213">
        <v>1000000</v>
      </c>
      <c r="X22" s="213">
        <v>1600000</v>
      </c>
      <c r="Y22" s="213">
        <v>600000</v>
      </c>
      <c r="Z22" s="213">
        <v>1500000</v>
      </c>
      <c r="AA22" s="213">
        <v>700000</v>
      </c>
      <c r="AB22" s="213">
        <v>600000</v>
      </c>
      <c r="AC22" s="213">
        <v>5000000</v>
      </c>
      <c r="AD22" s="213">
        <v>1500000</v>
      </c>
      <c r="AE22" s="213">
        <v>600000</v>
      </c>
      <c r="AF22" s="213">
        <v>15000000</v>
      </c>
      <c r="AG22" s="213">
        <v>20000000</v>
      </c>
      <c r="AH22" s="213">
        <v>0</v>
      </c>
      <c r="AI22" s="213">
        <v>0</v>
      </c>
      <c r="AJ22" s="213">
        <v>0</v>
      </c>
      <c r="AK22" s="213">
        <v>35000000</v>
      </c>
      <c r="AL22" s="213">
        <v>0</v>
      </c>
      <c r="AM22" s="213">
        <v>0</v>
      </c>
      <c r="AN22" s="213">
        <v>0</v>
      </c>
      <c r="AO22" s="213">
        <v>0</v>
      </c>
      <c r="AP22" s="213">
        <v>0</v>
      </c>
      <c r="AQ22" s="213">
        <v>35000000</v>
      </c>
      <c r="AR22" s="43">
        <v>159</v>
      </c>
      <c r="AS22" s="43" t="s">
        <v>2316</v>
      </c>
      <c r="AT22" s="181" t="s">
        <v>1772</v>
      </c>
      <c r="AU22" s="43" t="s">
        <v>2369</v>
      </c>
      <c r="AV22" s="43"/>
      <c r="AW22" s="43" t="s">
        <v>1049</v>
      </c>
      <c r="AX22" s="62" t="s">
        <v>2367</v>
      </c>
      <c r="AY22" s="62"/>
      <c r="AZ22" s="43" t="s">
        <v>2370</v>
      </c>
      <c r="BA22" s="43"/>
      <c r="BB22" s="43"/>
      <c r="BC22" s="43"/>
      <c r="BD22" s="43"/>
      <c r="BE22" s="43"/>
      <c r="BF22" s="43"/>
      <c r="BG22" s="43"/>
      <c r="BH22" s="43"/>
      <c r="BI22" s="43"/>
      <c r="BJ22" s="43"/>
      <c r="BK22" s="43"/>
      <c r="BL22" s="43"/>
      <c r="BM22" s="43"/>
      <c r="BN22" s="43"/>
      <c r="BO22" s="43"/>
      <c r="BP22" s="174">
        <f>IFERROR(VLOOKUP(_tPE26_29_Consolidada[[#This Row],[ID Financeiro]],'[4]PE 25-29'!$B:$AF,31,FALSE),0)</f>
        <v>0</v>
      </c>
      <c r="BQ22" s="174">
        <f>_tPE26_29_Consolidada[[#This Row],[2026]]*1000</f>
        <v>15000000000</v>
      </c>
      <c r="BR22" s="176">
        <f>_tPE26_29_Consolidada[[#This Row],[Orçado 2026 (PE25-29)]]-_tPE26_29_Consolidada[[#This Row],[Orçado 2026 (PE26-30)]]</f>
        <v>-15000000000</v>
      </c>
      <c r="BS22" s="175">
        <f>IFERROR(VLOOKUP(_tPE26_29_Consolidada[[#This Row],[ID Financeiro]],'[4]PE 25-29'!$B:$AT,45,FALSE),0)</f>
        <v>0</v>
      </c>
      <c r="BT22" s="175">
        <f>_tPE26_29_Consolidada[[#This Row],[2026-2030]]*1000</f>
        <v>35000000000</v>
      </c>
      <c r="BU22" s="175">
        <f>-_tPE26_29_Consolidada[[#This Row],[Orçado 26/30 (PE25-29)]]+_tPE26_29_Consolidada[[#This Row],[Orçado 26/30 (PE26-30)]]</f>
        <v>35000000000</v>
      </c>
      <c r="BV22" s="43">
        <f>IFERROR(_tPE26_29_Consolidada[[#This Row],[Dif2]]/_tPE26_29_Consolidada[[#This Row],[Orçado 26/30 (PE25-29)]],0)</f>
        <v>0</v>
      </c>
      <c r="CQ22" s="146"/>
      <c r="CR22" s="146"/>
      <c r="CS22" s="146"/>
      <c r="CT22" s="146"/>
      <c r="CU22" s="146"/>
      <c r="CV22" s="146"/>
      <c r="CW22" s="146"/>
      <c r="CX22" s="146"/>
      <c r="CY22" s="146"/>
      <c r="CZ22" s="146"/>
      <c r="DA22" s="146"/>
      <c r="DB22" s="146"/>
      <c r="DC22" s="146"/>
      <c r="DD22" s="146"/>
      <c r="DE22" s="146"/>
      <c r="DF22" s="146"/>
      <c r="DG22" s="146"/>
      <c r="DH22" s="146"/>
      <c r="DI22" s="146"/>
      <c r="DJ22" s="146"/>
      <c r="DK22" s="146"/>
      <c r="DL22" s="146"/>
      <c r="DM22" s="146"/>
      <c r="DN22" s="146"/>
      <c r="DO22" s="146"/>
      <c r="DP22" s="146"/>
      <c r="DQ22" s="146"/>
      <c r="DR22" s="146"/>
      <c r="DS22" s="146"/>
      <c r="DT22" s="146"/>
      <c r="DU22" s="146"/>
      <c r="DV22" s="146"/>
      <c r="DW22" s="146"/>
      <c r="DX22" s="146"/>
      <c r="DY22" s="146"/>
      <c r="DZ22" s="146"/>
      <c r="EA22" s="146"/>
      <c r="EB22" s="146"/>
      <c r="EC22" s="146"/>
      <c r="ED22" s="146"/>
      <c r="EE22" s="146"/>
      <c r="EF22" s="146"/>
      <c r="EG22" s="146"/>
      <c r="EH22" s="146"/>
      <c r="EI22" s="146"/>
      <c r="EJ22" s="146"/>
      <c r="EK22" s="146"/>
      <c r="EL22" s="146"/>
      <c r="EM22" s="146"/>
      <c r="EN22" s="146"/>
      <c r="EO22" s="146"/>
      <c r="EP22" s="146"/>
      <c r="EQ22" s="146"/>
      <c r="ER22" s="146"/>
      <c r="ES22" s="146"/>
      <c r="ET22" s="146"/>
      <c r="EU22" s="146"/>
      <c r="EV22" s="146"/>
      <c r="EW22" s="146"/>
      <c r="EX22" s="146"/>
      <c r="EY22" s="146"/>
      <c r="EZ22" s="146"/>
    </row>
    <row r="23" spans="1:156" ht="14.5" x14ac:dyDescent="0.35">
      <c r="A23" s="43"/>
      <c r="B23" s="75" t="b">
        <v>1</v>
      </c>
      <c r="C23" s="43" t="s">
        <v>2310</v>
      </c>
      <c r="D23" s="43" t="s">
        <v>439</v>
      </c>
      <c r="E23" s="43" t="s">
        <v>2281</v>
      </c>
      <c r="F23" s="43"/>
      <c r="G23" s="43" t="s">
        <v>2371</v>
      </c>
      <c r="H23" s="43" t="s">
        <v>506</v>
      </c>
      <c r="I23" s="43" t="s">
        <v>1015</v>
      </c>
      <c r="J23" s="43" t="s">
        <v>508</v>
      </c>
      <c r="K23" s="43" t="s">
        <v>1039</v>
      </c>
      <c r="L23" s="43" t="s">
        <v>1040</v>
      </c>
      <c r="M23" s="43" t="s">
        <v>2312</v>
      </c>
      <c r="N23" s="43"/>
      <c r="O23" s="43"/>
      <c r="P23" s="43"/>
      <c r="Q23" s="43" t="s">
        <v>2372</v>
      </c>
      <c r="R23" s="43" t="s">
        <v>2314</v>
      </c>
      <c r="S23" s="43" t="s">
        <v>2368</v>
      </c>
      <c r="T23" s="213">
        <v>0</v>
      </c>
      <c r="U23" s="213">
        <v>0</v>
      </c>
      <c r="V23" s="213">
        <v>0</v>
      </c>
      <c r="W23" s="213">
        <v>0</v>
      </c>
      <c r="X23" s="213">
        <v>0</v>
      </c>
      <c r="Y23" s="213">
        <v>0</v>
      </c>
      <c r="Z23" s="213">
        <v>10000</v>
      </c>
      <c r="AA23" s="213">
        <v>10000</v>
      </c>
      <c r="AB23" s="213">
        <v>10000</v>
      </c>
      <c r="AC23" s="213">
        <v>10000</v>
      </c>
      <c r="AD23" s="213">
        <v>10000</v>
      </c>
      <c r="AE23" s="213">
        <v>10000</v>
      </c>
      <c r="AF23" s="213">
        <v>60000</v>
      </c>
      <c r="AG23" s="213">
        <v>5000000</v>
      </c>
      <c r="AH23" s="213">
        <v>22000000</v>
      </c>
      <c r="AI23" s="213">
        <v>13000000</v>
      </c>
      <c r="AJ23" s="213">
        <v>0</v>
      </c>
      <c r="AK23" s="213">
        <v>40060000</v>
      </c>
      <c r="AL23" s="213">
        <v>0</v>
      </c>
      <c r="AM23" s="213">
        <v>0</v>
      </c>
      <c r="AN23" s="213">
        <v>0</v>
      </c>
      <c r="AO23" s="213">
        <v>0</v>
      </c>
      <c r="AP23" s="213">
        <v>0</v>
      </c>
      <c r="AQ23" s="213">
        <v>40060000</v>
      </c>
      <c r="AR23" s="43">
        <v>169</v>
      </c>
      <c r="AS23" s="43" t="s">
        <v>2316</v>
      </c>
      <c r="AT23" s="181" t="s">
        <v>1772</v>
      </c>
      <c r="AU23" s="43" t="s">
        <v>2373</v>
      </c>
      <c r="AV23" s="43"/>
      <c r="AW23" s="43" t="s">
        <v>1603</v>
      </c>
      <c r="AX23" s="62" t="s">
        <v>2372</v>
      </c>
      <c r="AY23" s="62"/>
      <c r="AZ23" s="43" t="s">
        <v>2370</v>
      </c>
      <c r="BA23" s="43"/>
      <c r="BB23" s="43"/>
      <c r="BC23" s="43"/>
      <c r="BD23" s="43"/>
      <c r="BE23" s="43"/>
      <c r="BF23" s="43"/>
      <c r="BG23" s="43"/>
      <c r="BH23" s="43"/>
      <c r="BI23" s="43"/>
      <c r="BJ23" s="43"/>
      <c r="BK23" s="43"/>
      <c r="BL23" s="43"/>
      <c r="BM23" s="43"/>
      <c r="BN23" s="43"/>
      <c r="BO23" s="43"/>
      <c r="BP23" s="174">
        <f>IFERROR(VLOOKUP(_tPE26_29_Consolidada[[#This Row],[ID Financeiro]],'[4]PE 25-29'!$B:$AF,31,FALSE),0)</f>
        <v>0</v>
      </c>
      <c r="BQ23" s="174">
        <f>_tPE26_29_Consolidada[[#This Row],[2026]]*1000</f>
        <v>60000000</v>
      </c>
      <c r="BR23" s="176">
        <f>_tPE26_29_Consolidada[[#This Row],[Orçado 2026 (PE25-29)]]-_tPE26_29_Consolidada[[#This Row],[Orçado 2026 (PE26-30)]]</f>
        <v>-60000000</v>
      </c>
      <c r="BS23" s="175">
        <f>IFERROR(VLOOKUP(_tPE26_29_Consolidada[[#This Row],[ID Financeiro]],'[4]PE 25-29'!$B:$AT,45,FALSE),0)</f>
        <v>0</v>
      </c>
      <c r="BT23" s="175">
        <f>_tPE26_29_Consolidada[[#This Row],[2026-2030]]*1000</f>
        <v>40060000000</v>
      </c>
      <c r="BU23" s="175">
        <f>-_tPE26_29_Consolidada[[#This Row],[Orçado 26/30 (PE25-29)]]+_tPE26_29_Consolidada[[#This Row],[Orçado 26/30 (PE26-30)]]</f>
        <v>40060000000</v>
      </c>
      <c r="BV23" s="43">
        <f>IFERROR(_tPE26_29_Consolidada[[#This Row],[Dif2]]/_tPE26_29_Consolidada[[#This Row],[Orçado 26/30 (PE25-29)]],0)</f>
        <v>0</v>
      </c>
      <c r="CQ23" s="146"/>
      <c r="CR23" s="146"/>
      <c r="CS23" s="146"/>
      <c r="CT23" s="146"/>
      <c r="CU23" s="146"/>
      <c r="CV23" s="146"/>
      <c r="CW23" s="146"/>
      <c r="CX23" s="146"/>
      <c r="CY23" s="146"/>
      <c r="CZ23" s="146"/>
      <c r="DA23" s="146"/>
      <c r="DB23" s="146"/>
      <c r="DC23" s="146"/>
      <c r="DD23" s="146"/>
      <c r="DE23" s="146"/>
      <c r="DF23" s="146"/>
      <c r="DG23" s="146"/>
      <c r="DH23" s="146"/>
      <c r="DI23" s="146"/>
      <c r="DJ23" s="146"/>
      <c r="DK23" s="146"/>
      <c r="DL23" s="146"/>
      <c r="DM23" s="146"/>
      <c r="DN23" s="146"/>
      <c r="DO23" s="146"/>
      <c r="DP23" s="146"/>
      <c r="DQ23" s="146"/>
      <c r="DR23" s="146"/>
      <c r="DS23" s="146"/>
      <c r="DT23" s="146"/>
      <c r="DU23" s="146"/>
      <c r="DV23" s="146"/>
      <c r="DW23" s="146"/>
      <c r="DX23" s="146"/>
      <c r="DY23" s="146"/>
      <c r="DZ23" s="146"/>
      <c r="EA23" s="146"/>
      <c r="EB23" s="146"/>
      <c r="EC23" s="146"/>
      <c r="ED23" s="146"/>
      <c r="EE23" s="146"/>
      <c r="EF23" s="146"/>
      <c r="EG23" s="146"/>
      <c r="EH23" s="146"/>
      <c r="EI23" s="146"/>
      <c r="EJ23" s="146"/>
      <c r="EK23" s="146"/>
      <c r="EL23" s="146"/>
      <c r="EM23" s="146"/>
      <c r="EN23" s="146"/>
      <c r="EO23" s="146"/>
      <c r="EP23" s="146"/>
      <c r="EQ23" s="146"/>
      <c r="ER23" s="146"/>
      <c r="ES23" s="146"/>
      <c r="ET23" s="146"/>
      <c r="EU23" s="146"/>
      <c r="EV23" s="146"/>
      <c r="EW23" s="146"/>
      <c r="EX23" s="146"/>
      <c r="EY23" s="146"/>
      <c r="EZ23" s="146"/>
    </row>
    <row r="24" spans="1:156" ht="14.5" x14ac:dyDescent="0.35">
      <c r="A24" s="43"/>
      <c r="B24" s="75" t="b">
        <v>1</v>
      </c>
      <c r="C24" s="43" t="s">
        <v>2310</v>
      </c>
      <c r="D24" s="43" t="s">
        <v>439</v>
      </c>
      <c r="E24" s="43" t="s">
        <v>2281</v>
      </c>
      <c r="F24" s="43"/>
      <c r="G24" s="43" t="s">
        <v>2374</v>
      </c>
      <c r="H24" s="43" t="s">
        <v>506</v>
      </c>
      <c r="I24" s="43" t="s">
        <v>1015</v>
      </c>
      <c r="J24" s="43" t="s">
        <v>508</v>
      </c>
      <c r="K24" s="43" t="s">
        <v>1039</v>
      </c>
      <c r="L24" s="43" t="s">
        <v>1040</v>
      </c>
      <c r="M24" s="43" t="s">
        <v>2312</v>
      </c>
      <c r="N24" s="43"/>
      <c r="O24" s="43"/>
      <c r="P24" s="43"/>
      <c r="Q24" s="43" t="s">
        <v>2375</v>
      </c>
      <c r="R24" s="43" t="s">
        <v>2314</v>
      </c>
      <c r="S24" s="43" t="s">
        <v>1020</v>
      </c>
      <c r="T24" s="213">
        <v>0</v>
      </c>
      <c r="U24" s="213">
        <v>0</v>
      </c>
      <c r="V24" s="213">
        <v>100000</v>
      </c>
      <c r="W24" s="213">
        <v>0</v>
      </c>
      <c r="X24" s="213">
        <v>900000</v>
      </c>
      <c r="Y24" s="213">
        <v>0</v>
      </c>
      <c r="Z24" s="213">
        <v>0</v>
      </c>
      <c r="AA24" s="213">
        <v>0</v>
      </c>
      <c r="AB24" s="213">
        <v>0</v>
      </c>
      <c r="AC24" s="213">
        <v>0</v>
      </c>
      <c r="AD24" s="213">
        <v>0</v>
      </c>
      <c r="AE24" s="213">
        <v>0</v>
      </c>
      <c r="AF24" s="213">
        <v>1000000</v>
      </c>
      <c r="AG24" s="213">
        <v>0</v>
      </c>
      <c r="AH24" s="213">
        <v>0</v>
      </c>
      <c r="AI24" s="213">
        <v>0</v>
      </c>
      <c r="AJ24" s="213">
        <v>0</v>
      </c>
      <c r="AK24" s="213">
        <v>1000000</v>
      </c>
      <c r="AL24" s="213">
        <v>0</v>
      </c>
      <c r="AM24" s="213">
        <v>0</v>
      </c>
      <c r="AN24" s="213">
        <v>0</v>
      </c>
      <c r="AO24" s="213">
        <v>0</v>
      </c>
      <c r="AP24" s="213">
        <v>0</v>
      </c>
      <c r="AQ24" s="213">
        <v>1000000</v>
      </c>
      <c r="AR24" s="43">
        <v>154</v>
      </c>
      <c r="AS24" s="43" t="s">
        <v>2316</v>
      </c>
      <c r="AT24" s="181" t="s">
        <v>1772</v>
      </c>
      <c r="AU24" s="43" t="s">
        <v>2376</v>
      </c>
      <c r="AV24" s="43"/>
      <c r="AW24" s="43" t="s">
        <v>1603</v>
      </c>
      <c r="AX24" s="62" t="s">
        <v>2375</v>
      </c>
      <c r="AY24" s="62"/>
      <c r="AZ24" s="43" t="s">
        <v>2377</v>
      </c>
      <c r="BA24" s="43"/>
      <c r="BB24" s="43"/>
      <c r="BC24" s="43"/>
      <c r="BD24" s="43"/>
      <c r="BE24" s="43"/>
      <c r="BF24" s="43"/>
      <c r="BG24" s="43"/>
      <c r="BH24" s="43"/>
      <c r="BI24" s="43"/>
      <c r="BJ24" s="43"/>
      <c r="BK24" s="43"/>
      <c r="BL24" s="43"/>
      <c r="BM24" s="43"/>
      <c r="BN24" s="43"/>
      <c r="BO24" s="43"/>
      <c r="BP24" s="174">
        <f>IFERROR(VLOOKUP(_tPE26_29_Consolidada[[#This Row],[ID Financeiro]],'[4]PE 25-29'!$B:$AF,31,FALSE),0)</f>
        <v>0</v>
      </c>
      <c r="BQ24" s="174">
        <f>_tPE26_29_Consolidada[[#This Row],[2026]]*1000</f>
        <v>1000000000</v>
      </c>
      <c r="BR24" s="176">
        <f>_tPE26_29_Consolidada[[#This Row],[Orçado 2026 (PE25-29)]]-_tPE26_29_Consolidada[[#This Row],[Orçado 2026 (PE26-30)]]</f>
        <v>-1000000000</v>
      </c>
      <c r="BS24" s="175">
        <f>IFERROR(VLOOKUP(_tPE26_29_Consolidada[[#This Row],[ID Financeiro]],'[4]PE 25-29'!$B:$AT,45,FALSE),0)</f>
        <v>0</v>
      </c>
      <c r="BT24" s="175">
        <f>_tPE26_29_Consolidada[[#This Row],[2026-2030]]*1000</f>
        <v>1000000000</v>
      </c>
      <c r="BU24" s="175">
        <f>-_tPE26_29_Consolidada[[#This Row],[Orçado 26/30 (PE25-29)]]+_tPE26_29_Consolidada[[#This Row],[Orçado 26/30 (PE26-30)]]</f>
        <v>1000000000</v>
      </c>
      <c r="BV24" s="43">
        <f>IFERROR(_tPE26_29_Consolidada[[#This Row],[Dif2]]/_tPE26_29_Consolidada[[#This Row],[Orçado 26/30 (PE25-29)]],0)</f>
        <v>0</v>
      </c>
      <c r="CQ24" s="146"/>
      <c r="CR24" s="146"/>
      <c r="CS24" s="146"/>
      <c r="CT24" s="146"/>
      <c r="CU24" s="146"/>
      <c r="CV24" s="146"/>
      <c r="CW24" s="146"/>
      <c r="CX24" s="146"/>
      <c r="CY24" s="146"/>
      <c r="CZ24" s="146"/>
      <c r="DA24" s="146"/>
      <c r="DB24" s="146"/>
      <c r="DC24" s="146"/>
      <c r="DD24" s="146"/>
      <c r="DE24" s="146"/>
      <c r="DF24" s="146"/>
      <c r="DG24" s="146"/>
      <c r="DH24" s="146"/>
      <c r="DI24" s="146"/>
      <c r="DJ24" s="146"/>
      <c r="DK24" s="146"/>
      <c r="DL24" s="146"/>
      <c r="DM24" s="146"/>
      <c r="DN24" s="146"/>
      <c r="DO24" s="146"/>
      <c r="DP24" s="146"/>
      <c r="DQ24" s="146"/>
      <c r="DR24" s="146"/>
      <c r="DS24" s="146"/>
      <c r="DT24" s="146"/>
      <c r="DU24" s="146"/>
      <c r="DV24" s="146"/>
      <c r="DW24" s="146"/>
      <c r="DX24" s="146"/>
      <c r="DY24" s="146"/>
      <c r="DZ24" s="146"/>
      <c r="EA24" s="146"/>
      <c r="EB24" s="146"/>
      <c r="EC24" s="146"/>
      <c r="ED24" s="146"/>
      <c r="EE24" s="146"/>
      <c r="EF24" s="146"/>
      <c r="EG24" s="146"/>
      <c r="EH24" s="146"/>
      <c r="EI24" s="146"/>
      <c r="EJ24" s="146"/>
      <c r="EK24" s="146"/>
      <c r="EL24" s="146"/>
      <c r="EM24" s="146"/>
      <c r="EN24" s="146"/>
      <c r="EO24" s="146"/>
      <c r="EP24" s="146"/>
      <c r="EQ24" s="146"/>
      <c r="ER24" s="146"/>
      <c r="ES24" s="146"/>
      <c r="ET24" s="146"/>
      <c r="EU24" s="146"/>
      <c r="EV24" s="146"/>
      <c r="EW24" s="146"/>
      <c r="EX24" s="146"/>
      <c r="EY24" s="146"/>
      <c r="EZ24" s="146"/>
    </row>
    <row r="25" spans="1:156" ht="14.5" x14ac:dyDescent="0.35">
      <c r="A25" s="43"/>
      <c r="B25" s="75" t="b">
        <v>1</v>
      </c>
      <c r="C25" s="43" t="s">
        <v>2310</v>
      </c>
      <c r="D25" s="43" t="s">
        <v>439</v>
      </c>
      <c r="E25" s="43" t="s">
        <v>2281</v>
      </c>
      <c r="F25" s="43"/>
      <c r="G25" s="43" t="s">
        <v>2378</v>
      </c>
      <c r="H25" s="43" t="s">
        <v>506</v>
      </c>
      <c r="I25" s="43" t="s">
        <v>1015</v>
      </c>
      <c r="J25" s="43" t="s">
        <v>508</v>
      </c>
      <c r="K25" s="43" t="s">
        <v>1039</v>
      </c>
      <c r="L25" s="43" t="s">
        <v>1040</v>
      </c>
      <c r="M25" s="43" t="s">
        <v>2312</v>
      </c>
      <c r="N25" s="43"/>
      <c r="O25" s="43"/>
      <c r="P25" s="43"/>
      <c r="Q25" s="43" t="s">
        <v>2379</v>
      </c>
      <c r="R25" s="43" t="s">
        <v>2314</v>
      </c>
      <c r="S25" s="43" t="s">
        <v>2380</v>
      </c>
      <c r="T25" s="213">
        <v>10000</v>
      </c>
      <c r="U25" s="213">
        <v>10000</v>
      </c>
      <c r="V25" s="213">
        <v>10000</v>
      </c>
      <c r="W25" s="213">
        <v>10000</v>
      </c>
      <c r="X25" s="213">
        <v>10000</v>
      </c>
      <c r="Y25" s="213">
        <v>10000</v>
      </c>
      <c r="Z25" s="213">
        <v>10000</v>
      </c>
      <c r="AA25" s="213">
        <v>10000</v>
      </c>
      <c r="AB25" s="213">
        <v>60000</v>
      </c>
      <c r="AC25" s="213">
        <v>10000</v>
      </c>
      <c r="AD25" s="213">
        <v>60000</v>
      </c>
      <c r="AE25" s="213">
        <v>10000</v>
      </c>
      <c r="AF25" s="213">
        <v>220000</v>
      </c>
      <c r="AG25" s="213">
        <v>30000</v>
      </c>
      <c r="AH25" s="213">
        <v>0</v>
      </c>
      <c r="AI25" s="213">
        <v>0</v>
      </c>
      <c r="AJ25" s="213">
        <v>0</v>
      </c>
      <c r="AK25" s="213">
        <v>250000</v>
      </c>
      <c r="AL25" s="213">
        <v>0</v>
      </c>
      <c r="AM25" s="213">
        <v>0</v>
      </c>
      <c r="AN25" s="213">
        <v>0</v>
      </c>
      <c r="AO25" s="213">
        <v>0</v>
      </c>
      <c r="AP25" s="213">
        <v>0</v>
      </c>
      <c r="AQ25" s="213">
        <v>250000</v>
      </c>
      <c r="AR25" s="43">
        <v>165</v>
      </c>
      <c r="AS25" s="43" t="s">
        <v>2316</v>
      </c>
      <c r="AT25" s="181" t="s">
        <v>1772</v>
      </c>
      <c r="AU25" s="43" t="s">
        <v>2381</v>
      </c>
      <c r="AV25" s="43"/>
      <c r="AW25" s="43" t="s">
        <v>1603</v>
      </c>
      <c r="AX25" s="62" t="s">
        <v>2379</v>
      </c>
      <c r="AY25" s="62"/>
      <c r="AZ25" s="43" t="s">
        <v>2382</v>
      </c>
      <c r="BA25" s="43"/>
      <c r="BB25" s="43"/>
      <c r="BC25" s="43"/>
      <c r="BD25" s="43"/>
      <c r="BE25" s="43"/>
      <c r="BF25" s="43"/>
      <c r="BG25" s="43"/>
      <c r="BH25" s="43"/>
      <c r="BI25" s="43"/>
      <c r="BJ25" s="43"/>
      <c r="BK25" s="43"/>
      <c r="BL25" s="43"/>
      <c r="BM25" s="43"/>
      <c r="BN25" s="43"/>
      <c r="BO25" s="43"/>
      <c r="BP25" s="174">
        <f>IFERROR(VLOOKUP(_tPE26_29_Consolidada[[#This Row],[ID Financeiro]],'[4]PE 25-29'!$B:$AF,31,FALSE),0)</f>
        <v>0</v>
      </c>
      <c r="BQ25" s="174">
        <f>_tPE26_29_Consolidada[[#This Row],[2026]]*1000</f>
        <v>220000000</v>
      </c>
      <c r="BR25" s="176">
        <f>_tPE26_29_Consolidada[[#This Row],[Orçado 2026 (PE25-29)]]-_tPE26_29_Consolidada[[#This Row],[Orçado 2026 (PE26-30)]]</f>
        <v>-220000000</v>
      </c>
      <c r="BS25" s="175">
        <f>IFERROR(VLOOKUP(_tPE26_29_Consolidada[[#This Row],[ID Financeiro]],'[4]PE 25-29'!$B:$AT,45,FALSE),0)</f>
        <v>0</v>
      </c>
      <c r="BT25" s="175">
        <f>_tPE26_29_Consolidada[[#This Row],[2026-2030]]*1000</f>
        <v>250000000</v>
      </c>
      <c r="BU25" s="175">
        <f>-_tPE26_29_Consolidada[[#This Row],[Orçado 26/30 (PE25-29)]]+_tPE26_29_Consolidada[[#This Row],[Orçado 26/30 (PE26-30)]]</f>
        <v>250000000</v>
      </c>
      <c r="BV25" s="43">
        <f>IFERROR(_tPE26_29_Consolidada[[#This Row],[Dif2]]/_tPE26_29_Consolidada[[#This Row],[Orçado 26/30 (PE25-29)]],0)</f>
        <v>0</v>
      </c>
      <c r="CQ25" s="146"/>
      <c r="CR25" s="146"/>
      <c r="CS25" s="146"/>
      <c r="CT25" s="146"/>
      <c r="CU25" s="146"/>
      <c r="CV25" s="146"/>
      <c r="CW25" s="146"/>
      <c r="CX25" s="146"/>
      <c r="CY25" s="146"/>
      <c r="CZ25" s="146"/>
      <c r="DA25" s="146"/>
      <c r="DB25" s="146"/>
      <c r="DC25" s="146"/>
      <c r="DD25" s="146"/>
      <c r="DE25" s="146"/>
      <c r="DF25" s="146"/>
      <c r="DG25" s="146"/>
      <c r="DH25" s="146"/>
      <c r="DI25" s="146"/>
      <c r="DJ25" s="146"/>
      <c r="DK25" s="146"/>
      <c r="DL25" s="146"/>
      <c r="DM25" s="146"/>
      <c r="DN25" s="146"/>
      <c r="DO25" s="146"/>
      <c r="DP25" s="146"/>
      <c r="DQ25" s="146"/>
      <c r="DR25" s="146"/>
      <c r="DS25" s="146"/>
      <c r="DT25" s="146"/>
      <c r="DU25" s="146"/>
      <c r="DV25" s="146"/>
      <c r="DW25" s="146"/>
      <c r="DX25" s="146"/>
      <c r="DY25" s="146"/>
      <c r="DZ25" s="146"/>
      <c r="EA25" s="146"/>
      <c r="EB25" s="146"/>
      <c r="EC25" s="146"/>
      <c r="ED25" s="146"/>
      <c r="EE25" s="146"/>
      <c r="EF25" s="146"/>
      <c r="EG25" s="146"/>
      <c r="EH25" s="146"/>
      <c r="EI25" s="146"/>
      <c r="EJ25" s="146"/>
      <c r="EK25" s="146"/>
      <c r="EL25" s="146"/>
      <c r="EM25" s="146"/>
      <c r="EN25" s="146"/>
      <c r="EO25" s="146"/>
      <c r="EP25" s="146"/>
      <c r="EQ25" s="146"/>
      <c r="ER25" s="146"/>
      <c r="ES25" s="146"/>
      <c r="ET25" s="146"/>
      <c r="EU25" s="146"/>
      <c r="EV25" s="146"/>
      <c r="EW25" s="146"/>
      <c r="EX25" s="146"/>
      <c r="EY25" s="146"/>
      <c r="EZ25" s="146"/>
    </row>
    <row r="26" spans="1:156" ht="14.5" x14ac:dyDescent="0.35">
      <c r="A26" s="43"/>
      <c r="B26" s="75" t="b">
        <v>1</v>
      </c>
      <c r="C26" s="43" t="s">
        <v>2310</v>
      </c>
      <c r="D26" s="43" t="s">
        <v>439</v>
      </c>
      <c r="E26" s="43" t="s">
        <v>2281</v>
      </c>
      <c r="F26" s="43"/>
      <c r="G26" s="43" t="s">
        <v>2383</v>
      </c>
      <c r="H26" s="43" t="s">
        <v>506</v>
      </c>
      <c r="I26" s="43" t="s">
        <v>1015</v>
      </c>
      <c r="J26" s="43" t="s">
        <v>508</v>
      </c>
      <c r="K26" s="43" t="s">
        <v>1039</v>
      </c>
      <c r="L26" s="43" t="s">
        <v>1040</v>
      </c>
      <c r="M26" s="43" t="s">
        <v>2312</v>
      </c>
      <c r="N26" s="43"/>
      <c r="O26" s="43"/>
      <c r="P26" s="43"/>
      <c r="Q26" s="43" t="s">
        <v>2384</v>
      </c>
      <c r="R26" s="43" t="s">
        <v>2314</v>
      </c>
      <c r="S26" s="43" t="s">
        <v>1016</v>
      </c>
      <c r="T26" s="213">
        <v>0</v>
      </c>
      <c r="U26" s="213">
        <v>0</v>
      </c>
      <c r="V26" s="213">
        <v>0</v>
      </c>
      <c r="W26" s="213">
        <v>0</v>
      </c>
      <c r="X26" s="213">
        <v>0</v>
      </c>
      <c r="Y26" s="213">
        <v>210000</v>
      </c>
      <c r="Z26" s="213">
        <v>40000</v>
      </c>
      <c r="AA26" s="213">
        <v>0</v>
      </c>
      <c r="AB26" s="213">
        <v>0</v>
      </c>
      <c r="AC26" s="213">
        <v>0</v>
      </c>
      <c r="AD26" s="213">
        <v>0</v>
      </c>
      <c r="AE26" s="213">
        <v>0</v>
      </c>
      <c r="AF26" s="213">
        <v>250000</v>
      </c>
      <c r="AG26" s="213">
        <v>0</v>
      </c>
      <c r="AH26" s="213">
        <v>0</v>
      </c>
      <c r="AI26" s="213">
        <v>0</v>
      </c>
      <c r="AJ26" s="213">
        <v>0</v>
      </c>
      <c r="AK26" s="213">
        <v>250000</v>
      </c>
      <c r="AL26" s="213">
        <v>0</v>
      </c>
      <c r="AM26" s="213">
        <v>0</v>
      </c>
      <c r="AN26" s="213">
        <v>0</v>
      </c>
      <c r="AO26" s="213">
        <v>0</v>
      </c>
      <c r="AP26" s="213">
        <v>0</v>
      </c>
      <c r="AQ26" s="213">
        <v>250000</v>
      </c>
      <c r="AR26" s="43">
        <v>164</v>
      </c>
      <c r="AS26" s="43" t="s">
        <v>2316</v>
      </c>
      <c r="AT26" s="181" t="s">
        <v>1772</v>
      </c>
      <c r="AU26" s="43" t="s">
        <v>2385</v>
      </c>
      <c r="AV26" s="43"/>
      <c r="AW26" s="43" t="s">
        <v>1603</v>
      </c>
      <c r="AX26" s="62" t="s">
        <v>2384</v>
      </c>
      <c r="AY26" s="62"/>
      <c r="AZ26" s="43" t="s">
        <v>2386</v>
      </c>
      <c r="BA26" s="43"/>
      <c r="BB26" s="43"/>
      <c r="BC26" s="43"/>
      <c r="BD26" s="43"/>
      <c r="BE26" s="43"/>
      <c r="BF26" s="43"/>
      <c r="BG26" s="43"/>
      <c r="BH26" s="43"/>
      <c r="BI26" s="43"/>
      <c r="BJ26" s="43"/>
      <c r="BK26" s="43"/>
      <c r="BL26" s="43"/>
      <c r="BM26" s="43"/>
      <c r="BN26" s="43"/>
      <c r="BO26" s="43"/>
      <c r="BP26" s="174">
        <f>IFERROR(VLOOKUP(_tPE26_29_Consolidada[[#This Row],[ID Financeiro]],'[4]PE 25-29'!$B:$AF,31,FALSE),0)</f>
        <v>0</v>
      </c>
      <c r="BQ26" s="174">
        <f>_tPE26_29_Consolidada[[#This Row],[2026]]*1000</f>
        <v>250000000</v>
      </c>
      <c r="BR26" s="176">
        <f>_tPE26_29_Consolidada[[#This Row],[Orçado 2026 (PE25-29)]]-_tPE26_29_Consolidada[[#This Row],[Orçado 2026 (PE26-30)]]</f>
        <v>-250000000</v>
      </c>
      <c r="BS26" s="175">
        <f>IFERROR(VLOOKUP(_tPE26_29_Consolidada[[#This Row],[ID Financeiro]],'[4]PE 25-29'!$B:$AT,45,FALSE),0)</f>
        <v>0</v>
      </c>
      <c r="BT26" s="175">
        <f>_tPE26_29_Consolidada[[#This Row],[2026-2030]]*1000</f>
        <v>250000000</v>
      </c>
      <c r="BU26" s="175">
        <f>-_tPE26_29_Consolidada[[#This Row],[Orçado 26/30 (PE25-29)]]+_tPE26_29_Consolidada[[#This Row],[Orçado 26/30 (PE26-30)]]</f>
        <v>250000000</v>
      </c>
      <c r="BV26" s="43">
        <f>IFERROR(_tPE26_29_Consolidada[[#This Row],[Dif2]]/_tPE26_29_Consolidada[[#This Row],[Orçado 26/30 (PE25-29)]],0)</f>
        <v>0</v>
      </c>
      <c r="CQ26" s="146"/>
      <c r="CR26" s="146"/>
      <c r="CS26" s="146"/>
      <c r="CT26" s="146"/>
      <c r="CU26" s="146"/>
      <c r="CV26" s="146"/>
      <c r="CW26" s="146"/>
      <c r="CX26" s="146"/>
      <c r="CY26" s="146"/>
      <c r="CZ26" s="146"/>
      <c r="DA26" s="146"/>
      <c r="DB26" s="146"/>
      <c r="DC26" s="146"/>
      <c r="DD26" s="146"/>
      <c r="DE26" s="146"/>
      <c r="DF26" s="146"/>
      <c r="DG26" s="146"/>
      <c r="DH26" s="146"/>
      <c r="DI26" s="146"/>
      <c r="DJ26" s="146"/>
      <c r="DK26" s="146"/>
      <c r="DL26" s="146"/>
      <c r="DM26" s="146"/>
      <c r="DN26" s="146"/>
      <c r="DO26" s="146"/>
      <c r="DP26" s="146"/>
      <c r="DQ26" s="146"/>
      <c r="DR26" s="146"/>
      <c r="DS26" s="146"/>
      <c r="DT26" s="146"/>
      <c r="DU26" s="146"/>
      <c r="DV26" s="146"/>
      <c r="DW26" s="146"/>
      <c r="DX26" s="146"/>
      <c r="DY26" s="146"/>
      <c r="DZ26" s="146"/>
      <c r="EA26" s="146"/>
      <c r="EB26" s="146"/>
      <c r="EC26" s="146"/>
      <c r="ED26" s="146"/>
      <c r="EE26" s="146"/>
      <c r="EF26" s="146"/>
      <c r="EG26" s="146"/>
      <c r="EH26" s="146"/>
      <c r="EI26" s="146"/>
      <c r="EJ26" s="146"/>
      <c r="EK26" s="146"/>
      <c r="EL26" s="146"/>
      <c r="EM26" s="146"/>
      <c r="EN26" s="146"/>
      <c r="EO26" s="146"/>
      <c r="EP26" s="146"/>
      <c r="EQ26" s="146"/>
      <c r="ER26" s="146"/>
      <c r="ES26" s="146"/>
      <c r="ET26" s="146"/>
      <c r="EU26" s="146"/>
      <c r="EV26" s="146"/>
      <c r="EW26" s="146"/>
      <c r="EX26" s="146"/>
      <c r="EY26" s="146"/>
      <c r="EZ26" s="146"/>
    </row>
    <row r="27" spans="1:156" ht="26" x14ac:dyDescent="0.35">
      <c r="A27" s="43"/>
      <c r="B27" s="75" t="b">
        <v>1</v>
      </c>
      <c r="C27" s="43" t="s">
        <v>2310</v>
      </c>
      <c r="D27" s="43" t="s">
        <v>439</v>
      </c>
      <c r="E27" s="43" t="s">
        <v>2281</v>
      </c>
      <c r="F27" s="43"/>
      <c r="G27" s="43" t="s">
        <v>2387</v>
      </c>
      <c r="H27" s="43" t="s">
        <v>506</v>
      </c>
      <c r="I27" s="43" t="s">
        <v>1015</v>
      </c>
      <c r="J27" s="43" t="s">
        <v>508</v>
      </c>
      <c r="K27" s="43" t="s">
        <v>1039</v>
      </c>
      <c r="L27" s="43" t="s">
        <v>1040</v>
      </c>
      <c r="M27" s="43" t="s">
        <v>2312</v>
      </c>
      <c r="N27" s="43"/>
      <c r="O27" s="43"/>
      <c r="P27" s="43"/>
      <c r="Q27" s="43" t="s">
        <v>2388</v>
      </c>
      <c r="R27" s="43" t="s">
        <v>2314</v>
      </c>
      <c r="S27" s="43" t="s">
        <v>1016</v>
      </c>
      <c r="T27" s="213">
        <v>0</v>
      </c>
      <c r="U27" s="213">
        <v>0</v>
      </c>
      <c r="V27" s="213">
        <v>0</v>
      </c>
      <c r="W27" s="213">
        <v>10000</v>
      </c>
      <c r="X27" s="213">
        <v>10000</v>
      </c>
      <c r="Y27" s="213">
        <v>10000</v>
      </c>
      <c r="Z27" s="213">
        <v>10000</v>
      </c>
      <c r="AA27" s="213">
        <v>10000</v>
      </c>
      <c r="AB27" s="213">
        <v>0</v>
      </c>
      <c r="AC27" s="213">
        <v>450000</v>
      </c>
      <c r="AD27" s="213">
        <v>0</v>
      </c>
      <c r="AE27" s="213">
        <v>500000</v>
      </c>
      <c r="AF27" s="213">
        <v>1000000</v>
      </c>
      <c r="AG27" s="213">
        <v>1500000</v>
      </c>
      <c r="AH27" s="213">
        <v>1500000</v>
      </c>
      <c r="AI27" s="213">
        <v>1000000</v>
      </c>
      <c r="AJ27" s="213">
        <v>1000000</v>
      </c>
      <c r="AK27" s="213">
        <v>6000000</v>
      </c>
      <c r="AL27" s="213">
        <v>0</v>
      </c>
      <c r="AM27" s="213">
        <v>0</v>
      </c>
      <c r="AN27" s="213">
        <v>0</v>
      </c>
      <c r="AO27" s="213">
        <v>0</v>
      </c>
      <c r="AP27" s="213">
        <v>0</v>
      </c>
      <c r="AQ27" s="213">
        <v>6000000</v>
      </c>
      <c r="AR27" s="43">
        <v>155</v>
      </c>
      <c r="AS27" s="43" t="s">
        <v>2316</v>
      </c>
      <c r="AT27" s="181" t="s">
        <v>1772</v>
      </c>
      <c r="AU27" s="43" t="s">
        <v>2389</v>
      </c>
      <c r="AV27" s="43"/>
      <c r="AW27" s="43" t="s">
        <v>1603</v>
      </c>
      <c r="AX27" s="62" t="s">
        <v>2388</v>
      </c>
      <c r="AY27" s="62" t="s">
        <v>2390</v>
      </c>
      <c r="AZ27" s="43" t="s">
        <v>2319</v>
      </c>
      <c r="BA27" s="43"/>
      <c r="BB27" s="43"/>
      <c r="BC27" s="43"/>
      <c r="BD27" s="43"/>
      <c r="BE27" s="43"/>
      <c r="BF27" s="43"/>
      <c r="BG27" s="43"/>
      <c r="BH27" s="43"/>
      <c r="BI27" s="43"/>
      <c r="BJ27" s="43"/>
      <c r="BK27" s="43"/>
      <c r="BL27" s="43"/>
      <c r="BM27" s="43"/>
      <c r="BN27" s="43"/>
      <c r="BO27" s="43"/>
      <c r="BP27" s="174">
        <f>IFERROR(VLOOKUP(_tPE26_29_Consolidada[[#This Row],[ID Financeiro]],'[4]PE 25-29'!$B:$AF,31,FALSE),0)</f>
        <v>0</v>
      </c>
      <c r="BQ27" s="174">
        <f>_tPE26_29_Consolidada[[#This Row],[2026]]*1000</f>
        <v>1000000000</v>
      </c>
      <c r="BR27" s="176">
        <f>_tPE26_29_Consolidada[[#This Row],[Orçado 2026 (PE25-29)]]-_tPE26_29_Consolidada[[#This Row],[Orçado 2026 (PE26-30)]]</f>
        <v>-1000000000</v>
      </c>
      <c r="BS27" s="175">
        <f>IFERROR(VLOOKUP(_tPE26_29_Consolidada[[#This Row],[ID Financeiro]],'[4]PE 25-29'!$B:$AT,45,FALSE),0)</f>
        <v>0</v>
      </c>
      <c r="BT27" s="175">
        <f>_tPE26_29_Consolidada[[#This Row],[2026-2030]]*1000</f>
        <v>6000000000</v>
      </c>
      <c r="BU27" s="175">
        <f>-_tPE26_29_Consolidada[[#This Row],[Orçado 26/30 (PE25-29)]]+_tPE26_29_Consolidada[[#This Row],[Orçado 26/30 (PE26-30)]]</f>
        <v>6000000000</v>
      </c>
      <c r="BV27" s="43">
        <f>IFERROR(_tPE26_29_Consolidada[[#This Row],[Dif2]]/_tPE26_29_Consolidada[[#This Row],[Orçado 26/30 (PE25-29)]],0)</f>
        <v>0</v>
      </c>
      <c r="CQ27" s="146"/>
      <c r="CR27" s="146"/>
      <c r="CS27" s="146"/>
      <c r="CT27" s="146"/>
      <c r="CU27" s="146"/>
      <c r="CV27" s="146"/>
      <c r="CW27" s="146"/>
      <c r="CX27" s="146"/>
      <c r="CY27" s="146"/>
      <c r="CZ27" s="146"/>
      <c r="DA27" s="146"/>
      <c r="DB27" s="146"/>
      <c r="DC27" s="146"/>
      <c r="DD27" s="146"/>
      <c r="DE27" s="146"/>
      <c r="DF27" s="146"/>
      <c r="DG27" s="146"/>
      <c r="DH27" s="146"/>
      <c r="DI27" s="146"/>
      <c r="DJ27" s="146"/>
      <c r="DK27" s="146"/>
      <c r="DL27" s="146"/>
      <c r="DM27" s="146"/>
      <c r="DN27" s="146"/>
      <c r="DO27" s="146"/>
      <c r="DP27" s="146"/>
      <c r="DQ27" s="146"/>
      <c r="DR27" s="146"/>
      <c r="DS27" s="146"/>
      <c r="DT27" s="146"/>
      <c r="DU27" s="146"/>
      <c r="DV27" s="146"/>
      <c r="DW27" s="146"/>
      <c r="DX27" s="146"/>
      <c r="DY27" s="146"/>
      <c r="DZ27" s="146"/>
      <c r="EA27" s="146"/>
      <c r="EB27" s="146"/>
      <c r="EC27" s="146"/>
      <c r="ED27" s="146"/>
      <c r="EE27" s="146"/>
      <c r="EF27" s="146"/>
      <c r="EG27" s="146"/>
      <c r="EH27" s="146"/>
      <c r="EI27" s="146"/>
      <c r="EJ27" s="146"/>
      <c r="EK27" s="146"/>
      <c r="EL27" s="146"/>
      <c r="EM27" s="146"/>
      <c r="EN27" s="146"/>
      <c r="EO27" s="146"/>
      <c r="EP27" s="146"/>
      <c r="EQ27" s="146"/>
      <c r="ER27" s="146"/>
      <c r="ES27" s="146"/>
      <c r="ET27" s="146"/>
      <c r="EU27" s="146"/>
      <c r="EV27" s="146"/>
      <c r="EW27" s="146"/>
      <c r="EX27" s="146"/>
      <c r="EY27" s="146"/>
      <c r="EZ27" s="146"/>
    </row>
    <row r="28" spans="1:156" ht="14.5" x14ac:dyDescent="0.35">
      <c r="A28" s="43"/>
      <c r="B28" s="75" t="b">
        <v>1</v>
      </c>
      <c r="C28" s="43" t="s">
        <v>2310</v>
      </c>
      <c r="D28" s="43" t="s">
        <v>439</v>
      </c>
      <c r="E28" s="43" t="s">
        <v>2281</v>
      </c>
      <c r="F28" s="43"/>
      <c r="G28" s="43" t="s">
        <v>2391</v>
      </c>
      <c r="H28" s="43" t="s">
        <v>506</v>
      </c>
      <c r="I28" s="43" t="s">
        <v>1015</v>
      </c>
      <c r="J28" s="43" t="s">
        <v>508</v>
      </c>
      <c r="K28" s="43" t="s">
        <v>1039</v>
      </c>
      <c r="L28" s="43" t="s">
        <v>1040</v>
      </c>
      <c r="M28" s="43" t="s">
        <v>2312</v>
      </c>
      <c r="N28" s="43"/>
      <c r="O28" s="43"/>
      <c r="P28" s="43"/>
      <c r="Q28" s="43" t="s">
        <v>2392</v>
      </c>
      <c r="R28" s="43" t="s">
        <v>2314</v>
      </c>
      <c r="S28" s="43" t="s">
        <v>1016</v>
      </c>
      <c r="T28" s="213">
        <v>0</v>
      </c>
      <c r="U28" s="213">
        <v>80000</v>
      </c>
      <c r="V28" s="213">
        <v>0</v>
      </c>
      <c r="W28" s="213">
        <v>1170000</v>
      </c>
      <c r="X28" s="213">
        <v>300000</v>
      </c>
      <c r="Y28" s="213">
        <v>250000</v>
      </c>
      <c r="Z28" s="213">
        <v>0</v>
      </c>
      <c r="AA28" s="213">
        <v>0</v>
      </c>
      <c r="AB28" s="213">
        <v>0</v>
      </c>
      <c r="AC28" s="213">
        <v>0</v>
      </c>
      <c r="AD28" s="213">
        <v>0</v>
      </c>
      <c r="AE28" s="213">
        <v>0</v>
      </c>
      <c r="AF28" s="213">
        <v>1800000</v>
      </c>
      <c r="AG28" s="213">
        <v>0</v>
      </c>
      <c r="AH28" s="213">
        <v>0</v>
      </c>
      <c r="AI28" s="213">
        <v>0</v>
      </c>
      <c r="AJ28" s="213">
        <v>0</v>
      </c>
      <c r="AK28" s="213">
        <v>1800000</v>
      </c>
      <c r="AL28" s="213">
        <v>0</v>
      </c>
      <c r="AM28" s="213">
        <v>0</v>
      </c>
      <c r="AN28" s="213">
        <v>0</v>
      </c>
      <c r="AO28" s="213">
        <v>0</v>
      </c>
      <c r="AP28" s="213">
        <v>0</v>
      </c>
      <c r="AQ28" s="213">
        <v>1800000</v>
      </c>
      <c r="AR28" s="43">
        <v>151</v>
      </c>
      <c r="AS28" s="43" t="s">
        <v>2316</v>
      </c>
      <c r="AT28" s="181" t="s">
        <v>1772</v>
      </c>
      <c r="AU28" s="43" t="s">
        <v>2393</v>
      </c>
      <c r="AV28" s="43"/>
      <c r="AW28" s="43" t="s">
        <v>1603</v>
      </c>
      <c r="AX28" s="62" t="s">
        <v>2392</v>
      </c>
      <c r="AY28" s="62" t="s">
        <v>2390</v>
      </c>
      <c r="AZ28" s="43" t="s">
        <v>2394</v>
      </c>
      <c r="BA28" s="43"/>
      <c r="BB28" s="43"/>
      <c r="BC28" s="43"/>
      <c r="BD28" s="43"/>
      <c r="BE28" s="43"/>
      <c r="BF28" s="43"/>
      <c r="BG28" s="43"/>
      <c r="BH28" s="43"/>
      <c r="BI28" s="43"/>
      <c r="BJ28" s="43"/>
      <c r="BK28" s="43"/>
      <c r="BL28" s="43"/>
      <c r="BM28" s="43"/>
      <c r="BN28" s="43"/>
      <c r="BO28" s="43"/>
      <c r="BP28" s="174">
        <f>IFERROR(VLOOKUP(_tPE26_29_Consolidada[[#This Row],[ID Financeiro]],'[4]PE 25-29'!$B:$AF,31,FALSE),0)</f>
        <v>0</v>
      </c>
      <c r="BQ28" s="174">
        <f>_tPE26_29_Consolidada[[#This Row],[2026]]*1000</f>
        <v>1800000000</v>
      </c>
      <c r="BR28" s="176">
        <f>_tPE26_29_Consolidada[[#This Row],[Orçado 2026 (PE25-29)]]-_tPE26_29_Consolidada[[#This Row],[Orçado 2026 (PE26-30)]]</f>
        <v>-1800000000</v>
      </c>
      <c r="BS28" s="175">
        <f>IFERROR(VLOOKUP(_tPE26_29_Consolidada[[#This Row],[ID Financeiro]],'[4]PE 25-29'!$B:$AT,45,FALSE),0)</f>
        <v>0</v>
      </c>
      <c r="BT28" s="175">
        <f>_tPE26_29_Consolidada[[#This Row],[2026-2030]]*1000</f>
        <v>1800000000</v>
      </c>
      <c r="BU28" s="175">
        <f>-_tPE26_29_Consolidada[[#This Row],[Orçado 26/30 (PE25-29)]]+_tPE26_29_Consolidada[[#This Row],[Orçado 26/30 (PE26-30)]]</f>
        <v>1800000000</v>
      </c>
      <c r="BV28" s="43">
        <f>IFERROR(_tPE26_29_Consolidada[[#This Row],[Dif2]]/_tPE26_29_Consolidada[[#This Row],[Orçado 26/30 (PE25-29)]],0)</f>
        <v>0</v>
      </c>
      <c r="CQ28" s="146"/>
      <c r="CR28" s="146"/>
      <c r="CS28" s="146"/>
      <c r="CT28" s="146"/>
      <c r="CU28" s="146"/>
      <c r="CV28" s="146"/>
      <c r="CW28" s="146"/>
      <c r="CX28" s="146"/>
      <c r="CY28" s="146"/>
      <c r="CZ28" s="146"/>
      <c r="DA28" s="146"/>
      <c r="DB28" s="146"/>
      <c r="DC28" s="146"/>
      <c r="DD28" s="146"/>
      <c r="DE28" s="146"/>
      <c r="DF28" s="146"/>
      <c r="DG28" s="146"/>
      <c r="DH28" s="146"/>
      <c r="DI28" s="146"/>
      <c r="DJ28" s="146"/>
      <c r="DK28" s="146"/>
      <c r="DL28" s="146"/>
      <c r="DM28" s="146"/>
      <c r="DN28" s="146"/>
      <c r="DO28" s="146"/>
      <c r="DP28" s="146"/>
      <c r="DQ28" s="146"/>
      <c r="DR28" s="146"/>
      <c r="DS28" s="146"/>
      <c r="DT28" s="146"/>
      <c r="DU28" s="146"/>
      <c r="DV28" s="146"/>
      <c r="DW28" s="146"/>
      <c r="DX28" s="146"/>
      <c r="DY28" s="146"/>
      <c r="DZ28" s="146"/>
      <c r="EA28" s="146"/>
      <c r="EB28" s="146"/>
      <c r="EC28" s="146"/>
      <c r="ED28" s="146"/>
      <c r="EE28" s="146"/>
      <c r="EF28" s="146"/>
      <c r="EG28" s="146"/>
      <c r="EH28" s="146"/>
      <c r="EI28" s="146"/>
      <c r="EJ28" s="146"/>
      <c r="EK28" s="146"/>
      <c r="EL28" s="146"/>
      <c r="EM28" s="146"/>
      <c r="EN28" s="146"/>
      <c r="EO28" s="146"/>
      <c r="EP28" s="146"/>
      <c r="EQ28" s="146"/>
      <c r="ER28" s="146"/>
      <c r="ES28" s="146"/>
      <c r="ET28" s="146"/>
      <c r="EU28" s="146"/>
      <c r="EV28" s="146"/>
      <c r="EW28" s="146"/>
      <c r="EX28" s="146"/>
      <c r="EY28" s="146"/>
      <c r="EZ28" s="146"/>
    </row>
    <row r="29" spans="1:156" ht="14.5" x14ac:dyDescent="0.35">
      <c r="A29" s="43"/>
      <c r="B29" s="75" t="b">
        <v>1</v>
      </c>
      <c r="C29" s="43" t="s">
        <v>2310</v>
      </c>
      <c r="D29" s="43" t="s">
        <v>439</v>
      </c>
      <c r="E29" s="43" t="s">
        <v>2281</v>
      </c>
      <c r="F29" s="43"/>
      <c r="G29" s="43" t="s">
        <v>2395</v>
      </c>
      <c r="H29" s="43" t="s">
        <v>506</v>
      </c>
      <c r="I29" s="43" t="s">
        <v>1015</v>
      </c>
      <c r="J29" s="43" t="s">
        <v>508</v>
      </c>
      <c r="K29" s="43" t="s">
        <v>1039</v>
      </c>
      <c r="L29" s="43" t="s">
        <v>1040</v>
      </c>
      <c r="M29" s="43" t="s">
        <v>2312</v>
      </c>
      <c r="N29" s="43"/>
      <c r="O29" s="43"/>
      <c r="P29" s="43"/>
      <c r="Q29" s="43" t="s">
        <v>2396</v>
      </c>
      <c r="R29" s="43" t="s">
        <v>2314</v>
      </c>
      <c r="S29" s="43" t="s">
        <v>1016</v>
      </c>
      <c r="T29" s="213">
        <v>5000</v>
      </c>
      <c r="U29" s="213">
        <v>5000</v>
      </c>
      <c r="V29" s="213">
        <v>5000</v>
      </c>
      <c r="W29" s="213">
        <v>5000</v>
      </c>
      <c r="X29" s="213">
        <v>5000</v>
      </c>
      <c r="Y29" s="213">
        <v>5000</v>
      </c>
      <c r="Z29" s="213">
        <v>0</v>
      </c>
      <c r="AA29" s="213">
        <v>0</v>
      </c>
      <c r="AB29" s="213">
        <v>0</v>
      </c>
      <c r="AC29" s="213">
        <v>2600000</v>
      </c>
      <c r="AD29" s="213">
        <v>470000</v>
      </c>
      <c r="AE29" s="213">
        <v>2000000</v>
      </c>
      <c r="AF29" s="213">
        <v>5100000</v>
      </c>
      <c r="AG29" s="213">
        <v>2000000</v>
      </c>
      <c r="AH29" s="213">
        <v>0</v>
      </c>
      <c r="AI29" s="213">
        <v>0</v>
      </c>
      <c r="AJ29" s="213">
        <v>0</v>
      </c>
      <c r="AK29" s="213">
        <v>7100000</v>
      </c>
      <c r="AL29" s="213">
        <v>0</v>
      </c>
      <c r="AM29" s="213">
        <v>0</v>
      </c>
      <c r="AN29" s="213">
        <v>0</v>
      </c>
      <c r="AO29" s="213">
        <v>0</v>
      </c>
      <c r="AP29" s="213">
        <v>0</v>
      </c>
      <c r="AQ29" s="213">
        <v>7100000</v>
      </c>
      <c r="AR29" s="43">
        <v>146</v>
      </c>
      <c r="AS29" s="43" t="s">
        <v>2316</v>
      </c>
      <c r="AT29" s="181" t="s">
        <v>1772</v>
      </c>
      <c r="AU29" s="43" t="s">
        <v>2397</v>
      </c>
      <c r="AV29" s="43"/>
      <c r="AW29" s="43" t="s">
        <v>1603</v>
      </c>
      <c r="AX29" s="62" t="s">
        <v>2396</v>
      </c>
      <c r="AY29" s="62" t="s">
        <v>2390</v>
      </c>
      <c r="AZ29" s="43" t="s">
        <v>2323</v>
      </c>
      <c r="BA29" s="43"/>
      <c r="BB29" s="43"/>
      <c r="BC29" s="43"/>
      <c r="BD29" s="43"/>
      <c r="BE29" s="43"/>
      <c r="BF29" s="43"/>
      <c r="BG29" s="43"/>
      <c r="BH29" s="43"/>
      <c r="BI29" s="43"/>
      <c r="BJ29" s="43"/>
      <c r="BK29" s="43"/>
      <c r="BL29" s="43"/>
      <c r="BM29" s="43"/>
      <c r="BN29" s="43"/>
      <c r="BO29" s="43"/>
      <c r="BP29" s="174">
        <f>IFERROR(VLOOKUP(_tPE26_29_Consolidada[[#This Row],[ID Financeiro]],'[4]PE 25-29'!$B:$AF,31,FALSE),0)</f>
        <v>0</v>
      </c>
      <c r="BQ29" s="174">
        <f>_tPE26_29_Consolidada[[#This Row],[2026]]*1000</f>
        <v>5100000000</v>
      </c>
      <c r="BR29" s="176">
        <f>_tPE26_29_Consolidada[[#This Row],[Orçado 2026 (PE25-29)]]-_tPE26_29_Consolidada[[#This Row],[Orçado 2026 (PE26-30)]]</f>
        <v>-5100000000</v>
      </c>
      <c r="BS29" s="175">
        <f>IFERROR(VLOOKUP(_tPE26_29_Consolidada[[#This Row],[ID Financeiro]],'[4]PE 25-29'!$B:$AT,45,FALSE),0)</f>
        <v>0</v>
      </c>
      <c r="BT29" s="175">
        <f>_tPE26_29_Consolidada[[#This Row],[2026-2030]]*1000</f>
        <v>7100000000</v>
      </c>
      <c r="BU29" s="175">
        <f>-_tPE26_29_Consolidada[[#This Row],[Orçado 26/30 (PE25-29)]]+_tPE26_29_Consolidada[[#This Row],[Orçado 26/30 (PE26-30)]]</f>
        <v>7100000000</v>
      </c>
      <c r="BV29" s="43">
        <f>IFERROR(_tPE26_29_Consolidada[[#This Row],[Dif2]]/_tPE26_29_Consolidada[[#This Row],[Orçado 26/30 (PE25-29)]],0)</f>
        <v>0</v>
      </c>
      <c r="CQ29" s="146"/>
      <c r="CR29" s="146"/>
      <c r="CS29" s="146"/>
      <c r="CT29" s="146"/>
      <c r="CU29" s="146"/>
      <c r="CV29" s="146"/>
      <c r="CW29" s="146"/>
      <c r="CX29" s="146"/>
      <c r="CY29" s="146"/>
      <c r="CZ29" s="146"/>
      <c r="DA29" s="146"/>
      <c r="DB29" s="146"/>
      <c r="DC29" s="146"/>
      <c r="DD29" s="146"/>
      <c r="DE29" s="146"/>
      <c r="DF29" s="146"/>
      <c r="DG29" s="146"/>
      <c r="DH29" s="146"/>
      <c r="DI29" s="146"/>
      <c r="DJ29" s="146"/>
      <c r="DK29" s="146"/>
      <c r="DL29" s="146"/>
      <c r="DM29" s="146"/>
      <c r="DN29" s="146"/>
      <c r="DO29" s="146"/>
      <c r="DP29" s="146"/>
      <c r="DQ29" s="146"/>
      <c r="DR29" s="146"/>
      <c r="DS29" s="146"/>
      <c r="DT29" s="146"/>
      <c r="DU29" s="146"/>
      <c r="DV29" s="146"/>
      <c r="DW29" s="146"/>
      <c r="DX29" s="146"/>
      <c r="DY29" s="146"/>
      <c r="DZ29" s="146"/>
      <c r="EA29" s="146"/>
      <c r="EB29" s="146"/>
      <c r="EC29" s="146"/>
      <c r="ED29" s="146"/>
      <c r="EE29" s="146"/>
      <c r="EF29" s="146"/>
      <c r="EG29" s="146"/>
      <c r="EH29" s="146"/>
      <c r="EI29" s="146"/>
      <c r="EJ29" s="146"/>
      <c r="EK29" s="146"/>
      <c r="EL29" s="146"/>
      <c r="EM29" s="146"/>
      <c r="EN29" s="146"/>
      <c r="EO29" s="146"/>
      <c r="EP29" s="146"/>
      <c r="EQ29" s="146"/>
      <c r="ER29" s="146"/>
      <c r="ES29" s="146"/>
      <c r="ET29" s="146"/>
      <c r="EU29" s="146"/>
      <c r="EV29" s="146"/>
      <c r="EW29" s="146"/>
      <c r="EX29" s="146"/>
      <c r="EY29" s="146"/>
      <c r="EZ29" s="146"/>
    </row>
    <row r="30" spans="1:156" ht="26" x14ac:dyDescent="0.35">
      <c r="A30" s="43"/>
      <c r="B30" s="75" t="b">
        <v>1</v>
      </c>
      <c r="C30" s="43" t="s">
        <v>2310</v>
      </c>
      <c r="D30" s="43" t="s">
        <v>439</v>
      </c>
      <c r="E30" s="43" t="s">
        <v>2281</v>
      </c>
      <c r="F30" s="43"/>
      <c r="G30" s="43" t="s">
        <v>2398</v>
      </c>
      <c r="H30" s="43" t="s">
        <v>506</v>
      </c>
      <c r="I30" s="43" t="s">
        <v>1015</v>
      </c>
      <c r="J30" s="43" t="s">
        <v>508</v>
      </c>
      <c r="K30" s="43" t="s">
        <v>1039</v>
      </c>
      <c r="L30" s="43" t="s">
        <v>1040</v>
      </c>
      <c r="M30" s="43" t="s">
        <v>2312</v>
      </c>
      <c r="N30" s="43"/>
      <c r="O30" s="43"/>
      <c r="P30" s="43"/>
      <c r="Q30" s="43" t="s">
        <v>2399</v>
      </c>
      <c r="R30" s="43" t="s">
        <v>2314</v>
      </c>
      <c r="S30" s="43" t="s">
        <v>1016</v>
      </c>
      <c r="T30" s="213">
        <v>0</v>
      </c>
      <c r="U30" s="213">
        <v>0</v>
      </c>
      <c r="V30" s="213">
        <v>0</v>
      </c>
      <c r="W30" s="213">
        <v>0</v>
      </c>
      <c r="X30" s="213">
        <v>0</v>
      </c>
      <c r="Y30" s="213">
        <v>0</v>
      </c>
      <c r="Z30" s="213">
        <v>0</v>
      </c>
      <c r="AA30" s="213">
        <v>0</v>
      </c>
      <c r="AB30" s="213">
        <v>0</v>
      </c>
      <c r="AC30" s="213">
        <v>200000</v>
      </c>
      <c r="AD30" s="213">
        <v>200000</v>
      </c>
      <c r="AE30" s="213">
        <v>0</v>
      </c>
      <c r="AF30" s="213">
        <v>400000</v>
      </c>
      <c r="AG30" s="213">
        <v>0</v>
      </c>
      <c r="AH30" s="213">
        <v>0</v>
      </c>
      <c r="AI30" s="213">
        <v>0</v>
      </c>
      <c r="AJ30" s="213">
        <v>0</v>
      </c>
      <c r="AK30" s="213">
        <v>400000</v>
      </c>
      <c r="AL30" s="213">
        <v>0</v>
      </c>
      <c r="AM30" s="213">
        <v>0</v>
      </c>
      <c r="AN30" s="213">
        <v>0</v>
      </c>
      <c r="AO30" s="213">
        <v>0</v>
      </c>
      <c r="AP30" s="213">
        <v>0</v>
      </c>
      <c r="AQ30" s="213">
        <v>400000</v>
      </c>
      <c r="AR30" s="43">
        <v>163</v>
      </c>
      <c r="AS30" s="43" t="s">
        <v>2316</v>
      </c>
      <c r="AT30" s="181" t="s">
        <v>1772</v>
      </c>
      <c r="AU30" s="43" t="s">
        <v>2400</v>
      </c>
      <c r="AV30" s="43"/>
      <c r="AW30" s="43" t="s">
        <v>1603</v>
      </c>
      <c r="AX30" s="62" t="s">
        <v>2399</v>
      </c>
      <c r="AY30" s="62" t="s">
        <v>2390</v>
      </c>
      <c r="AZ30" s="43" t="s">
        <v>2386</v>
      </c>
      <c r="BA30" s="43"/>
      <c r="BB30" s="43"/>
      <c r="BC30" s="43"/>
      <c r="BD30" s="43"/>
      <c r="BE30" s="43"/>
      <c r="BF30" s="43"/>
      <c r="BG30" s="43"/>
      <c r="BH30" s="43"/>
      <c r="BI30" s="43"/>
      <c r="BJ30" s="43"/>
      <c r="BK30" s="43"/>
      <c r="BL30" s="43"/>
      <c r="BM30" s="43"/>
      <c r="BN30" s="43"/>
      <c r="BO30" s="43"/>
      <c r="BP30" s="174">
        <f>IFERROR(VLOOKUP(_tPE26_29_Consolidada[[#This Row],[ID Financeiro]],'[4]PE 25-29'!$B:$AF,31,FALSE),0)</f>
        <v>0</v>
      </c>
      <c r="BQ30" s="174">
        <f>_tPE26_29_Consolidada[[#This Row],[2026]]*1000</f>
        <v>400000000</v>
      </c>
      <c r="BR30" s="176">
        <f>_tPE26_29_Consolidada[[#This Row],[Orçado 2026 (PE25-29)]]-_tPE26_29_Consolidada[[#This Row],[Orçado 2026 (PE26-30)]]</f>
        <v>-400000000</v>
      </c>
      <c r="BS30" s="175">
        <f>IFERROR(VLOOKUP(_tPE26_29_Consolidada[[#This Row],[ID Financeiro]],'[4]PE 25-29'!$B:$AT,45,FALSE),0)</f>
        <v>0</v>
      </c>
      <c r="BT30" s="175">
        <f>_tPE26_29_Consolidada[[#This Row],[2026-2030]]*1000</f>
        <v>400000000</v>
      </c>
      <c r="BU30" s="175">
        <f>-_tPE26_29_Consolidada[[#This Row],[Orçado 26/30 (PE25-29)]]+_tPE26_29_Consolidada[[#This Row],[Orçado 26/30 (PE26-30)]]</f>
        <v>400000000</v>
      </c>
      <c r="BV30" s="43">
        <f>IFERROR(_tPE26_29_Consolidada[[#This Row],[Dif2]]/_tPE26_29_Consolidada[[#This Row],[Orçado 26/30 (PE25-29)]],0)</f>
        <v>0</v>
      </c>
      <c r="CQ30" s="146"/>
      <c r="CR30" s="146"/>
      <c r="CS30" s="146"/>
      <c r="CT30" s="146"/>
      <c r="CU30" s="146"/>
      <c r="CV30" s="146"/>
      <c r="CW30" s="146"/>
      <c r="CX30" s="146"/>
      <c r="CY30" s="146"/>
      <c r="CZ30" s="146"/>
      <c r="DA30" s="146"/>
      <c r="DB30" s="146"/>
      <c r="DC30" s="146"/>
      <c r="DD30" s="146"/>
      <c r="DE30" s="146"/>
      <c r="DF30" s="146"/>
      <c r="DG30" s="146"/>
      <c r="DH30" s="146"/>
      <c r="DI30" s="146"/>
      <c r="DJ30" s="146"/>
      <c r="DK30" s="146"/>
      <c r="DL30" s="146"/>
      <c r="DM30" s="146"/>
      <c r="DN30" s="146"/>
      <c r="DO30" s="146"/>
      <c r="DP30" s="146"/>
      <c r="DQ30" s="146"/>
      <c r="DR30" s="146"/>
      <c r="DS30" s="146"/>
      <c r="DT30" s="146"/>
      <c r="DU30" s="146"/>
      <c r="DV30" s="146"/>
      <c r="DW30" s="146"/>
      <c r="DX30" s="146"/>
      <c r="DY30" s="146"/>
      <c r="DZ30" s="146"/>
      <c r="EA30" s="146"/>
      <c r="EB30" s="146"/>
      <c r="EC30" s="146"/>
      <c r="ED30" s="146"/>
      <c r="EE30" s="146"/>
      <c r="EF30" s="146"/>
      <c r="EG30" s="146"/>
      <c r="EH30" s="146"/>
      <c r="EI30" s="146"/>
      <c r="EJ30" s="146"/>
      <c r="EK30" s="146"/>
      <c r="EL30" s="146"/>
      <c r="EM30" s="146"/>
      <c r="EN30" s="146"/>
      <c r="EO30" s="146"/>
      <c r="EP30" s="146"/>
      <c r="EQ30" s="146"/>
      <c r="ER30" s="146"/>
      <c r="ES30" s="146"/>
      <c r="ET30" s="146"/>
      <c r="EU30" s="146"/>
      <c r="EV30" s="146"/>
      <c r="EW30" s="146"/>
      <c r="EX30" s="146"/>
      <c r="EY30" s="146"/>
      <c r="EZ30" s="146"/>
    </row>
    <row r="31" spans="1:156" ht="26" x14ac:dyDescent="0.35">
      <c r="A31" s="43"/>
      <c r="B31" s="75" t="b">
        <v>1</v>
      </c>
      <c r="C31" s="43" t="s">
        <v>2310</v>
      </c>
      <c r="D31" s="43" t="s">
        <v>439</v>
      </c>
      <c r="E31" s="43" t="s">
        <v>2281</v>
      </c>
      <c r="F31" s="43"/>
      <c r="G31" s="43" t="s">
        <v>2401</v>
      </c>
      <c r="H31" s="43" t="s">
        <v>506</v>
      </c>
      <c r="I31" s="43" t="s">
        <v>1015</v>
      </c>
      <c r="J31" s="43" t="s">
        <v>508</v>
      </c>
      <c r="K31" s="43" t="s">
        <v>1039</v>
      </c>
      <c r="L31" s="43" t="s">
        <v>1040</v>
      </c>
      <c r="M31" s="43" t="s">
        <v>2312</v>
      </c>
      <c r="N31" s="43"/>
      <c r="O31" s="43"/>
      <c r="P31" s="43"/>
      <c r="Q31" s="43" t="s">
        <v>2402</v>
      </c>
      <c r="R31" s="43" t="s">
        <v>2314</v>
      </c>
      <c r="S31" s="43" t="s">
        <v>1016</v>
      </c>
      <c r="T31" s="213">
        <v>0</v>
      </c>
      <c r="U31" s="213">
        <v>0</v>
      </c>
      <c r="V31" s="213">
        <v>0</v>
      </c>
      <c r="W31" s="213">
        <v>0</v>
      </c>
      <c r="X31" s="213">
        <v>0</v>
      </c>
      <c r="Y31" s="213">
        <v>0</v>
      </c>
      <c r="Z31" s="213">
        <v>0</v>
      </c>
      <c r="AA31" s="213">
        <v>0</v>
      </c>
      <c r="AB31" s="213">
        <v>0</v>
      </c>
      <c r="AC31" s="213">
        <v>0</v>
      </c>
      <c r="AD31" s="213">
        <v>0</v>
      </c>
      <c r="AE31" s="213">
        <v>2000000</v>
      </c>
      <c r="AF31" s="213">
        <v>2000000</v>
      </c>
      <c r="AG31" s="213">
        <v>6000000</v>
      </c>
      <c r="AH31" s="213">
        <v>0</v>
      </c>
      <c r="AI31" s="213">
        <v>0</v>
      </c>
      <c r="AJ31" s="213">
        <v>0</v>
      </c>
      <c r="AK31" s="213">
        <v>8000000</v>
      </c>
      <c r="AL31" s="213">
        <v>0</v>
      </c>
      <c r="AM31" s="213">
        <v>0</v>
      </c>
      <c r="AN31" s="213">
        <v>0</v>
      </c>
      <c r="AO31" s="213">
        <v>0</v>
      </c>
      <c r="AP31" s="213">
        <v>0</v>
      </c>
      <c r="AQ31" s="213">
        <v>8000000</v>
      </c>
      <c r="AR31" s="43">
        <v>149</v>
      </c>
      <c r="AS31" s="43" t="s">
        <v>2316</v>
      </c>
      <c r="AT31" s="181" t="s">
        <v>1772</v>
      </c>
      <c r="AU31" s="43" t="s">
        <v>2403</v>
      </c>
      <c r="AV31" s="43"/>
      <c r="AW31" s="43" t="s">
        <v>1603</v>
      </c>
      <c r="AX31" s="62" t="s">
        <v>2402</v>
      </c>
      <c r="AY31" s="62" t="s">
        <v>2390</v>
      </c>
      <c r="AZ31" s="43" t="s">
        <v>2386</v>
      </c>
      <c r="BA31" s="43"/>
      <c r="BB31" s="43"/>
      <c r="BC31" s="43"/>
      <c r="BD31" s="43"/>
      <c r="BE31" s="43"/>
      <c r="BF31" s="43"/>
      <c r="BG31" s="43"/>
      <c r="BH31" s="43"/>
      <c r="BI31" s="43"/>
      <c r="BJ31" s="43"/>
      <c r="BK31" s="43"/>
      <c r="BL31" s="43"/>
      <c r="BM31" s="43"/>
      <c r="BN31" s="43"/>
      <c r="BO31" s="43"/>
      <c r="BP31" s="174">
        <f>IFERROR(VLOOKUP(_tPE26_29_Consolidada[[#This Row],[ID Financeiro]],'[4]PE 25-29'!$B:$AF,31,FALSE),0)</f>
        <v>0</v>
      </c>
      <c r="BQ31" s="174">
        <f>_tPE26_29_Consolidada[[#This Row],[2026]]*1000</f>
        <v>2000000000</v>
      </c>
      <c r="BR31" s="176">
        <f>_tPE26_29_Consolidada[[#This Row],[Orçado 2026 (PE25-29)]]-_tPE26_29_Consolidada[[#This Row],[Orçado 2026 (PE26-30)]]</f>
        <v>-2000000000</v>
      </c>
      <c r="BS31" s="175">
        <f>IFERROR(VLOOKUP(_tPE26_29_Consolidada[[#This Row],[ID Financeiro]],'[4]PE 25-29'!$B:$AT,45,FALSE),0)</f>
        <v>0</v>
      </c>
      <c r="BT31" s="175">
        <f>_tPE26_29_Consolidada[[#This Row],[2026-2030]]*1000</f>
        <v>8000000000</v>
      </c>
      <c r="BU31" s="175">
        <f>-_tPE26_29_Consolidada[[#This Row],[Orçado 26/30 (PE25-29)]]+_tPE26_29_Consolidada[[#This Row],[Orçado 26/30 (PE26-30)]]</f>
        <v>8000000000</v>
      </c>
      <c r="BV31" s="43">
        <f>IFERROR(_tPE26_29_Consolidada[[#This Row],[Dif2]]/_tPE26_29_Consolidada[[#This Row],[Orçado 26/30 (PE25-29)]],0)</f>
        <v>0</v>
      </c>
      <c r="CQ31" s="146"/>
      <c r="CR31" s="146"/>
      <c r="CS31" s="146"/>
      <c r="CT31" s="146"/>
      <c r="CU31" s="146"/>
      <c r="CV31" s="146"/>
      <c r="CW31" s="146"/>
      <c r="CX31" s="146"/>
      <c r="CY31" s="146"/>
      <c r="CZ31" s="146"/>
      <c r="DA31" s="146"/>
      <c r="DB31" s="146"/>
      <c r="DC31" s="146"/>
      <c r="DD31" s="146"/>
      <c r="DE31" s="146"/>
      <c r="DF31" s="146"/>
      <c r="DG31" s="146"/>
      <c r="DH31" s="146"/>
      <c r="DI31" s="146"/>
      <c r="DJ31" s="146"/>
      <c r="DK31" s="146"/>
      <c r="DL31" s="146"/>
      <c r="DM31" s="146"/>
      <c r="DN31" s="146"/>
      <c r="DO31" s="146"/>
      <c r="DP31" s="146"/>
      <c r="DQ31" s="146"/>
      <c r="DR31" s="146"/>
      <c r="DS31" s="146"/>
      <c r="DT31" s="146"/>
      <c r="DU31" s="146"/>
      <c r="DV31" s="146"/>
      <c r="DW31" s="146"/>
      <c r="DX31" s="146"/>
      <c r="DY31" s="146"/>
      <c r="DZ31" s="146"/>
      <c r="EA31" s="146"/>
      <c r="EB31" s="146"/>
      <c r="EC31" s="146"/>
      <c r="ED31" s="146"/>
      <c r="EE31" s="146"/>
      <c r="EF31" s="146"/>
      <c r="EG31" s="146"/>
      <c r="EH31" s="146"/>
      <c r="EI31" s="146"/>
      <c r="EJ31" s="146"/>
      <c r="EK31" s="146"/>
      <c r="EL31" s="146"/>
      <c r="EM31" s="146"/>
      <c r="EN31" s="146"/>
      <c r="EO31" s="146"/>
      <c r="EP31" s="146"/>
      <c r="EQ31" s="146"/>
      <c r="ER31" s="146"/>
      <c r="ES31" s="146"/>
      <c r="ET31" s="146"/>
      <c r="EU31" s="146"/>
      <c r="EV31" s="146"/>
      <c r="EW31" s="146"/>
      <c r="EX31" s="146"/>
      <c r="EY31" s="146"/>
      <c r="EZ31" s="146"/>
    </row>
    <row r="32" spans="1:156" ht="26" x14ac:dyDescent="0.35">
      <c r="A32" s="43"/>
      <c r="B32" s="75" t="b">
        <v>1</v>
      </c>
      <c r="C32" s="43" t="s">
        <v>2310</v>
      </c>
      <c r="D32" s="43" t="s">
        <v>439</v>
      </c>
      <c r="E32" s="43" t="s">
        <v>2281</v>
      </c>
      <c r="F32" s="43"/>
      <c r="G32" s="43" t="s">
        <v>2404</v>
      </c>
      <c r="H32" s="43" t="s">
        <v>506</v>
      </c>
      <c r="I32" s="43" t="s">
        <v>1015</v>
      </c>
      <c r="J32" s="43" t="s">
        <v>508</v>
      </c>
      <c r="K32" s="43" t="s">
        <v>1039</v>
      </c>
      <c r="L32" s="43" t="s">
        <v>1040</v>
      </c>
      <c r="M32" s="43" t="s">
        <v>2312</v>
      </c>
      <c r="N32" s="43"/>
      <c r="O32" s="43"/>
      <c r="P32" s="43"/>
      <c r="Q32" s="43" t="s">
        <v>2405</v>
      </c>
      <c r="R32" s="43" t="s">
        <v>2406</v>
      </c>
      <c r="S32" s="43" t="s">
        <v>1016</v>
      </c>
      <c r="T32" s="213">
        <v>0</v>
      </c>
      <c r="U32" s="213">
        <v>0</v>
      </c>
      <c r="V32" s="213">
        <v>5000</v>
      </c>
      <c r="W32" s="213">
        <v>5000</v>
      </c>
      <c r="X32" s="213">
        <v>5000</v>
      </c>
      <c r="Y32" s="213">
        <v>5000</v>
      </c>
      <c r="Z32" s="213">
        <v>5000</v>
      </c>
      <c r="AA32" s="213">
        <v>5000</v>
      </c>
      <c r="AB32" s="213">
        <v>5000</v>
      </c>
      <c r="AC32" s="213">
        <v>5000</v>
      </c>
      <c r="AD32" s="213">
        <v>5000</v>
      </c>
      <c r="AE32" s="213">
        <v>5000</v>
      </c>
      <c r="AF32" s="213">
        <v>50000</v>
      </c>
      <c r="AG32" s="213">
        <v>500000</v>
      </c>
      <c r="AH32" s="213">
        <v>0</v>
      </c>
      <c r="AI32" s="213">
        <v>0</v>
      </c>
      <c r="AJ32" s="213">
        <v>0</v>
      </c>
      <c r="AK32" s="213">
        <v>550000</v>
      </c>
      <c r="AL32" s="213">
        <v>0</v>
      </c>
      <c r="AM32" s="213">
        <v>0</v>
      </c>
      <c r="AN32" s="213">
        <v>0</v>
      </c>
      <c r="AO32" s="213">
        <v>0</v>
      </c>
      <c r="AP32" s="213">
        <v>0</v>
      </c>
      <c r="AQ32" s="213">
        <v>550000</v>
      </c>
      <c r="AR32" s="43">
        <v>171</v>
      </c>
      <c r="AS32" s="43" t="s">
        <v>2407</v>
      </c>
      <c r="AT32" s="181" t="s">
        <v>1772</v>
      </c>
      <c r="AU32" s="43" t="s">
        <v>2408</v>
      </c>
      <c r="AV32" s="43"/>
      <c r="AW32" s="43" t="s">
        <v>1603</v>
      </c>
      <c r="AX32" s="62" t="s">
        <v>2405</v>
      </c>
      <c r="AY32" s="62" t="s">
        <v>2390</v>
      </c>
      <c r="AZ32" s="43" t="s">
        <v>2409</v>
      </c>
      <c r="BA32" s="43"/>
      <c r="BB32" s="43"/>
      <c r="BC32" s="43"/>
      <c r="BD32" s="43"/>
      <c r="BE32" s="43"/>
      <c r="BF32" s="43"/>
      <c r="BG32" s="43"/>
      <c r="BH32" s="43"/>
      <c r="BI32" s="43"/>
      <c r="BJ32" s="43"/>
      <c r="BK32" s="43"/>
      <c r="BL32" s="43"/>
      <c r="BM32" s="43"/>
      <c r="BN32" s="43"/>
      <c r="BO32" s="43"/>
      <c r="BP32" s="174">
        <f>IFERROR(VLOOKUP(_tPE26_29_Consolidada[[#This Row],[ID Financeiro]],'[4]PE 25-29'!$B:$AF,31,FALSE),0)</f>
        <v>0</v>
      </c>
      <c r="BQ32" s="174">
        <f>_tPE26_29_Consolidada[[#This Row],[2026]]*1000</f>
        <v>50000000</v>
      </c>
      <c r="BR32" s="176">
        <f>_tPE26_29_Consolidada[[#This Row],[Orçado 2026 (PE25-29)]]-_tPE26_29_Consolidada[[#This Row],[Orçado 2026 (PE26-30)]]</f>
        <v>-50000000</v>
      </c>
      <c r="BS32" s="175">
        <f>IFERROR(VLOOKUP(_tPE26_29_Consolidada[[#This Row],[ID Financeiro]],'[4]PE 25-29'!$B:$AT,45,FALSE),0)</f>
        <v>0</v>
      </c>
      <c r="BT32" s="175">
        <f>_tPE26_29_Consolidada[[#This Row],[2026-2030]]*1000</f>
        <v>550000000</v>
      </c>
      <c r="BU32" s="175">
        <f>-_tPE26_29_Consolidada[[#This Row],[Orçado 26/30 (PE25-29)]]+_tPE26_29_Consolidada[[#This Row],[Orçado 26/30 (PE26-30)]]</f>
        <v>550000000</v>
      </c>
      <c r="BV32" s="43">
        <f>IFERROR(_tPE26_29_Consolidada[[#This Row],[Dif2]]/_tPE26_29_Consolidada[[#This Row],[Orçado 26/30 (PE25-29)]],0)</f>
        <v>0</v>
      </c>
      <c r="CQ32" s="146"/>
      <c r="CR32" s="146"/>
      <c r="CS32" s="146"/>
      <c r="CT32" s="146"/>
      <c r="CU32" s="146"/>
      <c r="CV32" s="146"/>
      <c r="CW32" s="146"/>
      <c r="CX32" s="146"/>
      <c r="CY32" s="146"/>
      <c r="CZ32" s="146"/>
      <c r="DA32" s="146"/>
      <c r="DB32" s="146"/>
      <c r="DC32" s="146"/>
      <c r="DD32" s="146"/>
      <c r="DE32" s="146"/>
      <c r="DF32" s="146"/>
      <c r="DG32" s="146"/>
      <c r="DH32" s="146"/>
      <c r="DI32" s="146"/>
      <c r="DJ32" s="146"/>
      <c r="DK32" s="146"/>
      <c r="DL32" s="146"/>
      <c r="DM32" s="146"/>
      <c r="DN32" s="146"/>
      <c r="DO32" s="146"/>
      <c r="DP32" s="146"/>
      <c r="DQ32" s="146"/>
      <c r="DR32" s="146"/>
      <c r="DS32" s="146"/>
      <c r="DT32" s="146"/>
      <c r="DU32" s="146"/>
      <c r="DV32" s="146"/>
      <c r="DW32" s="146"/>
      <c r="DX32" s="146"/>
      <c r="DY32" s="146"/>
      <c r="DZ32" s="146"/>
      <c r="EA32" s="146"/>
      <c r="EB32" s="146"/>
      <c r="EC32" s="146"/>
      <c r="ED32" s="146"/>
      <c r="EE32" s="146"/>
      <c r="EF32" s="146"/>
      <c r="EG32" s="146"/>
      <c r="EH32" s="146"/>
      <c r="EI32" s="146"/>
      <c r="EJ32" s="146"/>
      <c r="EK32" s="146"/>
      <c r="EL32" s="146"/>
      <c r="EM32" s="146"/>
      <c r="EN32" s="146"/>
      <c r="EO32" s="146"/>
      <c r="EP32" s="146"/>
      <c r="EQ32" s="146"/>
      <c r="ER32" s="146"/>
      <c r="ES32" s="146"/>
      <c r="ET32" s="146"/>
      <c r="EU32" s="146"/>
      <c r="EV32" s="146"/>
      <c r="EW32" s="146"/>
      <c r="EX32" s="146"/>
      <c r="EY32" s="146"/>
      <c r="EZ32" s="146"/>
    </row>
    <row r="33" spans="1:156" ht="14.5" x14ac:dyDescent="0.35">
      <c r="A33" s="43"/>
      <c r="B33" s="75" t="b">
        <v>1</v>
      </c>
      <c r="C33" s="43" t="s">
        <v>2310</v>
      </c>
      <c r="D33" s="43" t="s">
        <v>439</v>
      </c>
      <c r="E33" s="43" t="s">
        <v>2281</v>
      </c>
      <c r="F33" s="43"/>
      <c r="G33" s="43" t="s">
        <v>2410</v>
      </c>
      <c r="H33" s="43" t="s">
        <v>506</v>
      </c>
      <c r="I33" s="43" t="s">
        <v>1015</v>
      </c>
      <c r="J33" s="43" t="s">
        <v>508</v>
      </c>
      <c r="K33" s="43" t="s">
        <v>1039</v>
      </c>
      <c r="L33" s="43" t="s">
        <v>1040</v>
      </c>
      <c r="M33" s="43" t="s">
        <v>2312</v>
      </c>
      <c r="N33" s="43"/>
      <c r="O33" s="43"/>
      <c r="P33" s="43"/>
      <c r="Q33" s="43" t="s">
        <v>2411</v>
      </c>
      <c r="R33" s="43" t="s">
        <v>2314</v>
      </c>
      <c r="S33" s="43" t="s">
        <v>1016</v>
      </c>
      <c r="T33" s="213">
        <v>0</v>
      </c>
      <c r="U33" s="213">
        <v>0</v>
      </c>
      <c r="V33" s="213">
        <v>0</v>
      </c>
      <c r="W33" s="213">
        <v>0</v>
      </c>
      <c r="X33" s="213">
        <v>0</v>
      </c>
      <c r="Y33" s="213">
        <v>0</v>
      </c>
      <c r="Z33" s="213">
        <v>0</v>
      </c>
      <c r="AA33" s="213">
        <v>10000</v>
      </c>
      <c r="AB33" s="213">
        <v>10000</v>
      </c>
      <c r="AC33" s="213">
        <v>10000</v>
      </c>
      <c r="AD33" s="213">
        <v>10000</v>
      </c>
      <c r="AE33" s="213">
        <v>10000</v>
      </c>
      <c r="AF33" s="213">
        <v>50000</v>
      </c>
      <c r="AG33" s="213">
        <v>1450000</v>
      </c>
      <c r="AH33" s="213">
        <v>0</v>
      </c>
      <c r="AI33" s="213">
        <v>0</v>
      </c>
      <c r="AJ33" s="213">
        <v>0</v>
      </c>
      <c r="AK33" s="213">
        <v>1500000</v>
      </c>
      <c r="AL33" s="213">
        <v>0</v>
      </c>
      <c r="AM33" s="213">
        <v>0</v>
      </c>
      <c r="AN33" s="213">
        <v>0</v>
      </c>
      <c r="AO33" s="213">
        <v>0</v>
      </c>
      <c r="AP33" s="213">
        <v>0</v>
      </c>
      <c r="AQ33" s="213">
        <v>1500000</v>
      </c>
      <c r="AR33" s="43">
        <v>172</v>
      </c>
      <c r="AS33" s="43" t="s">
        <v>2316</v>
      </c>
      <c r="AT33" s="181" t="s">
        <v>1772</v>
      </c>
      <c r="AU33" s="43" t="s">
        <v>2412</v>
      </c>
      <c r="AV33" s="43"/>
      <c r="AW33" s="43" t="s">
        <v>1603</v>
      </c>
      <c r="AX33" s="62" t="s">
        <v>2411</v>
      </c>
      <c r="AY33" s="62" t="s">
        <v>2390</v>
      </c>
      <c r="AZ33" s="43" t="s">
        <v>2409</v>
      </c>
      <c r="BA33" s="43"/>
      <c r="BB33" s="43"/>
      <c r="BC33" s="43"/>
      <c r="BD33" s="43"/>
      <c r="BE33" s="43"/>
      <c r="BF33" s="43"/>
      <c r="BG33" s="43"/>
      <c r="BH33" s="43"/>
      <c r="BI33" s="43"/>
      <c r="BJ33" s="43"/>
      <c r="BK33" s="43"/>
      <c r="BL33" s="43"/>
      <c r="BM33" s="43"/>
      <c r="BN33" s="43"/>
      <c r="BO33" s="43"/>
      <c r="BP33" s="174">
        <f>IFERROR(VLOOKUP(_tPE26_29_Consolidada[[#This Row],[ID Financeiro]],'[4]PE 25-29'!$B:$AF,31,FALSE),0)</f>
        <v>0</v>
      </c>
      <c r="BQ33" s="174">
        <f>_tPE26_29_Consolidada[[#This Row],[2026]]*1000</f>
        <v>50000000</v>
      </c>
      <c r="BR33" s="176">
        <f>_tPE26_29_Consolidada[[#This Row],[Orçado 2026 (PE25-29)]]-_tPE26_29_Consolidada[[#This Row],[Orçado 2026 (PE26-30)]]</f>
        <v>-50000000</v>
      </c>
      <c r="BS33" s="175">
        <f>IFERROR(VLOOKUP(_tPE26_29_Consolidada[[#This Row],[ID Financeiro]],'[4]PE 25-29'!$B:$AT,45,FALSE),0)</f>
        <v>0</v>
      </c>
      <c r="BT33" s="175">
        <f>_tPE26_29_Consolidada[[#This Row],[2026-2030]]*1000</f>
        <v>1500000000</v>
      </c>
      <c r="BU33" s="175">
        <f>-_tPE26_29_Consolidada[[#This Row],[Orçado 26/30 (PE25-29)]]+_tPE26_29_Consolidada[[#This Row],[Orçado 26/30 (PE26-30)]]</f>
        <v>1500000000</v>
      </c>
      <c r="BV33" s="43">
        <f>IFERROR(_tPE26_29_Consolidada[[#This Row],[Dif2]]/_tPE26_29_Consolidada[[#This Row],[Orçado 26/30 (PE25-29)]],0)</f>
        <v>0</v>
      </c>
      <c r="CQ33" s="146"/>
      <c r="CR33" s="146"/>
      <c r="CS33" s="146"/>
      <c r="CT33" s="146"/>
      <c r="CU33" s="146"/>
      <c r="CV33" s="146"/>
      <c r="CW33" s="146"/>
      <c r="CX33" s="146"/>
      <c r="CY33" s="146"/>
      <c r="CZ33" s="146"/>
      <c r="DA33" s="146"/>
      <c r="DB33" s="146"/>
      <c r="DC33" s="146"/>
      <c r="DD33" s="146"/>
      <c r="DE33" s="146"/>
      <c r="DF33" s="146"/>
      <c r="DG33" s="146"/>
      <c r="DH33" s="146"/>
      <c r="DI33" s="146"/>
      <c r="DJ33" s="146"/>
      <c r="DK33" s="146"/>
      <c r="DL33" s="146"/>
      <c r="DM33" s="146"/>
      <c r="DN33" s="146"/>
      <c r="DO33" s="146"/>
      <c r="DP33" s="146"/>
      <c r="DQ33" s="146"/>
      <c r="DR33" s="146"/>
      <c r="DS33" s="146"/>
      <c r="DT33" s="146"/>
      <c r="DU33" s="146"/>
      <c r="DV33" s="146"/>
      <c r="DW33" s="146"/>
      <c r="DX33" s="146"/>
      <c r="DY33" s="146"/>
      <c r="DZ33" s="146"/>
      <c r="EA33" s="146"/>
      <c r="EB33" s="146"/>
      <c r="EC33" s="146"/>
      <c r="ED33" s="146"/>
      <c r="EE33" s="146"/>
      <c r="EF33" s="146"/>
      <c r="EG33" s="146"/>
      <c r="EH33" s="146"/>
      <c r="EI33" s="146"/>
      <c r="EJ33" s="146"/>
      <c r="EK33" s="146"/>
      <c r="EL33" s="146"/>
      <c r="EM33" s="146"/>
      <c r="EN33" s="146"/>
      <c r="EO33" s="146"/>
      <c r="EP33" s="146"/>
      <c r="EQ33" s="146"/>
      <c r="ER33" s="146"/>
      <c r="ES33" s="146"/>
      <c r="ET33" s="146"/>
      <c r="EU33" s="146"/>
      <c r="EV33" s="146"/>
      <c r="EW33" s="146"/>
      <c r="EX33" s="146"/>
      <c r="EY33" s="146"/>
      <c r="EZ33" s="146"/>
    </row>
    <row r="34" spans="1:156" ht="26" x14ac:dyDescent="0.35">
      <c r="A34" s="43"/>
      <c r="B34" s="75" t="b">
        <v>1</v>
      </c>
      <c r="C34" s="43" t="s">
        <v>2310</v>
      </c>
      <c r="D34" s="43" t="s">
        <v>439</v>
      </c>
      <c r="E34" s="43" t="s">
        <v>2281</v>
      </c>
      <c r="F34" s="43"/>
      <c r="G34" s="43" t="s">
        <v>2413</v>
      </c>
      <c r="H34" s="43" t="s">
        <v>506</v>
      </c>
      <c r="I34" s="43" t="s">
        <v>1015</v>
      </c>
      <c r="J34" s="43" t="s">
        <v>508</v>
      </c>
      <c r="K34" s="43" t="s">
        <v>1039</v>
      </c>
      <c r="L34" s="43" t="s">
        <v>1040</v>
      </c>
      <c r="M34" s="43" t="s">
        <v>2312</v>
      </c>
      <c r="N34" s="43"/>
      <c r="O34" s="43"/>
      <c r="P34" s="43"/>
      <c r="Q34" s="43" t="s">
        <v>2414</v>
      </c>
      <c r="R34" s="43" t="s">
        <v>2406</v>
      </c>
      <c r="S34" s="43" t="s">
        <v>2315</v>
      </c>
      <c r="T34" s="213">
        <v>5000</v>
      </c>
      <c r="U34" s="213">
        <v>5000</v>
      </c>
      <c r="V34" s="213">
        <v>5000</v>
      </c>
      <c r="W34" s="213">
        <v>5000</v>
      </c>
      <c r="X34" s="213">
        <v>5000</v>
      </c>
      <c r="Y34" s="213">
        <v>5000</v>
      </c>
      <c r="Z34" s="213">
        <v>5000</v>
      </c>
      <c r="AA34" s="213">
        <v>5000</v>
      </c>
      <c r="AB34" s="213">
        <v>5000</v>
      </c>
      <c r="AC34" s="213">
        <v>5000</v>
      </c>
      <c r="AD34" s="213">
        <v>75000</v>
      </c>
      <c r="AE34" s="213">
        <v>75000</v>
      </c>
      <c r="AF34" s="213">
        <v>200000</v>
      </c>
      <c r="AG34" s="213">
        <v>3500000</v>
      </c>
      <c r="AH34" s="213">
        <v>4000000</v>
      </c>
      <c r="AI34" s="213">
        <v>0</v>
      </c>
      <c r="AJ34" s="213">
        <v>0</v>
      </c>
      <c r="AK34" s="213">
        <v>7700000</v>
      </c>
      <c r="AL34" s="213">
        <v>0</v>
      </c>
      <c r="AM34" s="213">
        <v>0</v>
      </c>
      <c r="AN34" s="213">
        <v>0</v>
      </c>
      <c r="AO34" s="213">
        <v>0</v>
      </c>
      <c r="AP34" s="213">
        <v>0</v>
      </c>
      <c r="AQ34" s="213">
        <v>7700000</v>
      </c>
      <c r="AR34" s="43">
        <v>166</v>
      </c>
      <c r="AS34" s="43" t="s">
        <v>2407</v>
      </c>
      <c r="AT34" s="181" t="s">
        <v>1772</v>
      </c>
      <c r="AU34" s="43" t="s">
        <v>2415</v>
      </c>
      <c r="AV34" s="43"/>
      <c r="AW34" s="43" t="s">
        <v>1603</v>
      </c>
      <c r="AX34" s="62" t="s">
        <v>2414</v>
      </c>
      <c r="AY34" s="62"/>
      <c r="AZ34" s="43" t="s">
        <v>2409</v>
      </c>
      <c r="BA34" s="43"/>
      <c r="BB34" s="43"/>
      <c r="BC34" s="43"/>
      <c r="BD34" s="43"/>
      <c r="BE34" s="43"/>
      <c r="BF34" s="43"/>
      <c r="BG34" s="43"/>
      <c r="BH34" s="43"/>
      <c r="BI34" s="43"/>
      <c r="BJ34" s="43"/>
      <c r="BK34" s="43"/>
      <c r="BL34" s="43"/>
      <c r="BM34" s="43"/>
      <c r="BN34" s="43"/>
      <c r="BO34" s="43"/>
      <c r="BP34" s="174">
        <f>IFERROR(VLOOKUP(_tPE26_29_Consolidada[[#This Row],[ID Financeiro]],'[4]PE 25-29'!$B:$AF,31,FALSE),0)</f>
        <v>0</v>
      </c>
      <c r="BQ34" s="174">
        <f>_tPE26_29_Consolidada[[#This Row],[2026]]*1000</f>
        <v>200000000</v>
      </c>
      <c r="BR34" s="176">
        <f>_tPE26_29_Consolidada[[#This Row],[Orçado 2026 (PE25-29)]]-_tPE26_29_Consolidada[[#This Row],[Orçado 2026 (PE26-30)]]</f>
        <v>-200000000</v>
      </c>
      <c r="BS34" s="175">
        <f>IFERROR(VLOOKUP(_tPE26_29_Consolidada[[#This Row],[ID Financeiro]],'[4]PE 25-29'!$B:$AT,45,FALSE),0)</f>
        <v>0</v>
      </c>
      <c r="BT34" s="175">
        <f>_tPE26_29_Consolidada[[#This Row],[2026-2030]]*1000</f>
        <v>7700000000</v>
      </c>
      <c r="BU34" s="175">
        <f>-_tPE26_29_Consolidada[[#This Row],[Orçado 26/30 (PE25-29)]]+_tPE26_29_Consolidada[[#This Row],[Orçado 26/30 (PE26-30)]]</f>
        <v>7700000000</v>
      </c>
      <c r="BV34" s="43">
        <f>IFERROR(_tPE26_29_Consolidada[[#This Row],[Dif2]]/_tPE26_29_Consolidada[[#This Row],[Orçado 26/30 (PE25-29)]],0)</f>
        <v>0</v>
      </c>
      <c r="CQ34" s="146"/>
      <c r="CR34" s="146"/>
      <c r="CS34" s="146"/>
      <c r="CT34" s="146"/>
      <c r="CU34" s="146"/>
      <c r="CV34" s="146"/>
      <c r="CW34" s="146"/>
      <c r="CX34" s="146"/>
      <c r="CY34" s="146"/>
      <c r="CZ34" s="146"/>
      <c r="DA34" s="146"/>
      <c r="DB34" s="146"/>
      <c r="DC34" s="146"/>
      <c r="DD34" s="146"/>
      <c r="DE34" s="146"/>
      <c r="DF34" s="146"/>
      <c r="DG34" s="146"/>
      <c r="DH34" s="146"/>
      <c r="DI34" s="146"/>
      <c r="DJ34" s="146"/>
      <c r="DK34" s="146"/>
      <c r="DL34" s="146"/>
      <c r="DM34" s="146"/>
      <c r="DN34" s="146"/>
      <c r="DO34" s="146"/>
      <c r="DP34" s="146"/>
      <c r="DQ34" s="146"/>
      <c r="DR34" s="146"/>
      <c r="DS34" s="146"/>
      <c r="DT34" s="146"/>
      <c r="DU34" s="146"/>
      <c r="DV34" s="146"/>
      <c r="DW34" s="146"/>
      <c r="DX34" s="146"/>
      <c r="DY34" s="146"/>
      <c r="DZ34" s="146"/>
      <c r="EA34" s="146"/>
      <c r="EB34" s="146"/>
      <c r="EC34" s="146"/>
      <c r="ED34" s="146"/>
      <c r="EE34" s="146"/>
      <c r="EF34" s="146"/>
      <c r="EG34" s="146"/>
      <c r="EH34" s="146"/>
      <c r="EI34" s="146"/>
      <c r="EJ34" s="146"/>
      <c r="EK34" s="146"/>
      <c r="EL34" s="146"/>
      <c r="EM34" s="146"/>
      <c r="EN34" s="146"/>
      <c r="EO34" s="146"/>
      <c r="EP34" s="146"/>
      <c r="EQ34" s="146"/>
      <c r="ER34" s="146"/>
      <c r="ES34" s="146"/>
      <c r="ET34" s="146"/>
      <c r="EU34" s="146"/>
      <c r="EV34" s="146"/>
      <c r="EW34" s="146"/>
      <c r="EX34" s="146"/>
      <c r="EY34" s="146"/>
      <c r="EZ34" s="146"/>
    </row>
    <row r="35" spans="1:156" ht="14.5" x14ac:dyDescent="0.35">
      <c r="A35" s="43"/>
      <c r="B35" s="75" t="b">
        <v>1</v>
      </c>
      <c r="C35" s="43" t="s">
        <v>2310</v>
      </c>
      <c r="D35" s="43" t="s">
        <v>439</v>
      </c>
      <c r="E35" s="43" t="s">
        <v>2281</v>
      </c>
      <c r="F35" s="43"/>
      <c r="G35" s="43" t="s">
        <v>2416</v>
      </c>
      <c r="H35" s="43" t="s">
        <v>506</v>
      </c>
      <c r="I35" s="43" t="s">
        <v>1015</v>
      </c>
      <c r="J35" s="43" t="s">
        <v>508</v>
      </c>
      <c r="K35" s="43" t="s">
        <v>1039</v>
      </c>
      <c r="L35" s="43" t="s">
        <v>1040</v>
      </c>
      <c r="M35" s="43" t="s">
        <v>2312</v>
      </c>
      <c r="N35" s="43"/>
      <c r="O35" s="43"/>
      <c r="P35" s="43"/>
      <c r="Q35" s="43" t="s">
        <v>2417</v>
      </c>
      <c r="R35" s="43" t="s">
        <v>2406</v>
      </c>
      <c r="S35" s="43" t="s">
        <v>2418</v>
      </c>
      <c r="T35" s="213">
        <v>5000</v>
      </c>
      <c r="U35" s="213">
        <v>5000</v>
      </c>
      <c r="V35" s="213">
        <v>5000</v>
      </c>
      <c r="W35" s="213">
        <v>5000</v>
      </c>
      <c r="X35" s="213">
        <v>5000</v>
      </c>
      <c r="Y35" s="213">
        <v>5000</v>
      </c>
      <c r="Z35" s="213">
        <v>5000</v>
      </c>
      <c r="AA35" s="213">
        <v>5000</v>
      </c>
      <c r="AB35" s="213">
        <v>5000</v>
      </c>
      <c r="AC35" s="213">
        <v>5000</v>
      </c>
      <c r="AD35" s="213">
        <v>75000</v>
      </c>
      <c r="AE35" s="213">
        <v>75000</v>
      </c>
      <c r="AF35" s="213">
        <v>200000</v>
      </c>
      <c r="AG35" s="213">
        <v>900000</v>
      </c>
      <c r="AH35" s="213">
        <v>0</v>
      </c>
      <c r="AI35" s="213">
        <v>0</v>
      </c>
      <c r="AJ35" s="213">
        <v>0</v>
      </c>
      <c r="AK35" s="213">
        <v>1100000</v>
      </c>
      <c r="AL35" s="213">
        <v>0</v>
      </c>
      <c r="AM35" s="213">
        <v>0</v>
      </c>
      <c r="AN35" s="213">
        <v>0</v>
      </c>
      <c r="AO35" s="213">
        <v>0</v>
      </c>
      <c r="AP35" s="213">
        <v>0</v>
      </c>
      <c r="AQ35" s="213">
        <v>1100000</v>
      </c>
      <c r="AR35" s="43">
        <v>167</v>
      </c>
      <c r="AS35" s="43" t="s">
        <v>2407</v>
      </c>
      <c r="AT35" s="181" t="s">
        <v>1772</v>
      </c>
      <c r="AU35" s="43" t="s">
        <v>2419</v>
      </c>
      <c r="AV35" s="43"/>
      <c r="AW35" s="43" t="s">
        <v>1603</v>
      </c>
      <c r="AX35" s="62" t="s">
        <v>2417</v>
      </c>
      <c r="AY35" s="62"/>
      <c r="AZ35" s="43" t="s">
        <v>2409</v>
      </c>
      <c r="BA35" s="43"/>
      <c r="BB35" s="43"/>
      <c r="BC35" s="43"/>
      <c r="BD35" s="43"/>
      <c r="BE35" s="43"/>
      <c r="BF35" s="43"/>
      <c r="BG35" s="43"/>
      <c r="BH35" s="43"/>
      <c r="BI35" s="43"/>
      <c r="BJ35" s="43"/>
      <c r="BK35" s="43"/>
      <c r="BL35" s="43"/>
      <c r="BM35" s="43"/>
      <c r="BN35" s="43"/>
      <c r="BO35" s="43"/>
      <c r="BP35" s="174">
        <f>IFERROR(VLOOKUP(_tPE26_29_Consolidada[[#This Row],[ID Financeiro]],'[4]PE 25-29'!$B:$AF,31,FALSE),0)</f>
        <v>0</v>
      </c>
      <c r="BQ35" s="174">
        <f>_tPE26_29_Consolidada[[#This Row],[2026]]*1000</f>
        <v>200000000</v>
      </c>
      <c r="BR35" s="176">
        <f>_tPE26_29_Consolidada[[#This Row],[Orçado 2026 (PE25-29)]]-_tPE26_29_Consolidada[[#This Row],[Orçado 2026 (PE26-30)]]</f>
        <v>-200000000</v>
      </c>
      <c r="BS35" s="175">
        <f>IFERROR(VLOOKUP(_tPE26_29_Consolidada[[#This Row],[ID Financeiro]],'[4]PE 25-29'!$B:$AT,45,FALSE),0)</f>
        <v>0</v>
      </c>
      <c r="BT35" s="175">
        <f>_tPE26_29_Consolidada[[#This Row],[2026-2030]]*1000</f>
        <v>1100000000</v>
      </c>
      <c r="BU35" s="175">
        <f>-_tPE26_29_Consolidada[[#This Row],[Orçado 26/30 (PE25-29)]]+_tPE26_29_Consolidada[[#This Row],[Orçado 26/30 (PE26-30)]]</f>
        <v>1100000000</v>
      </c>
      <c r="BV35" s="43">
        <f>IFERROR(_tPE26_29_Consolidada[[#This Row],[Dif2]]/_tPE26_29_Consolidada[[#This Row],[Orçado 26/30 (PE25-29)]],0)</f>
        <v>0</v>
      </c>
      <c r="CQ35" s="146"/>
      <c r="CR35" s="146"/>
      <c r="CS35" s="146"/>
      <c r="CT35" s="146"/>
      <c r="CU35" s="146"/>
      <c r="CV35" s="146"/>
      <c r="CW35" s="146"/>
      <c r="CX35" s="146"/>
      <c r="CY35" s="146"/>
      <c r="CZ35" s="146"/>
      <c r="DA35" s="146"/>
      <c r="DB35" s="146"/>
      <c r="DC35" s="146"/>
      <c r="DD35" s="146"/>
      <c r="DE35" s="146"/>
      <c r="DF35" s="146"/>
      <c r="DG35" s="146"/>
      <c r="DH35" s="146"/>
      <c r="DI35" s="146"/>
      <c r="DJ35" s="146"/>
      <c r="DK35" s="146"/>
      <c r="DL35" s="146"/>
      <c r="DM35" s="146"/>
      <c r="DN35" s="146"/>
      <c r="DO35" s="146"/>
      <c r="DP35" s="146"/>
      <c r="DQ35" s="146"/>
      <c r="DR35" s="146"/>
      <c r="DS35" s="146"/>
      <c r="DT35" s="146"/>
      <c r="DU35" s="146"/>
      <c r="DV35" s="146"/>
      <c r="DW35" s="146"/>
      <c r="DX35" s="146"/>
      <c r="DY35" s="146"/>
      <c r="DZ35" s="146"/>
      <c r="EA35" s="146"/>
      <c r="EB35" s="146"/>
      <c r="EC35" s="146"/>
      <c r="ED35" s="146"/>
      <c r="EE35" s="146"/>
      <c r="EF35" s="146"/>
      <c r="EG35" s="146"/>
      <c r="EH35" s="146"/>
      <c r="EI35" s="146"/>
      <c r="EJ35" s="146"/>
      <c r="EK35" s="146"/>
      <c r="EL35" s="146"/>
      <c r="EM35" s="146"/>
      <c r="EN35" s="146"/>
      <c r="EO35" s="146"/>
      <c r="EP35" s="146"/>
      <c r="EQ35" s="146"/>
      <c r="ER35" s="146"/>
      <c r="ES35" s="146"/>
      <c r="ET35" s="146"/>
      <c r="EU35" s="146"/>
      <c r="EV35" s="146"/>
      <c r="EW35" s="146"/>
      <c r="EX35" s="146"/>
      <c r="EY35" s="146"/>
      <c r="EZ35" s="146"/>
    </row>
    <row r="36" spans="1:156" ht="26" x14ac:dyDescent="0.35">
      <c r="A36" s="43"/>
      <c r="B36" s="75" t="b">
        <v>1</v>
      </c>
      <c r="C36" s="43" t="s">
        <v>2310</v>
      </c>
      <c r="D36" s="43" t="s">
        <v>439</v>
      </c>
      <c r="E36" s="43" t="s">
        <v>2281</v>
      </c>
      <c r="F36" s="43"/>
      <c r="G36" s="43" t="s">
        <v>2420</v>
      </c>
      <c r="H36" s="43" t="s">
        <v>506</v>
      </c>
      <c r="I36" s="43" t="s">
        <v>1015</v>
      </c>
      <c r="J36" s="43" t="s">
        <v>508</v>
      </c>
      <c r="K36" s="43" t="s">
        <v>1039</v>
      </c>
      <c r="L36" s="43" t="s">
        <v>1040</v>
      </c>
      <c r="M36" s="43" t="s">
        <v>2312</v>
      </c>
      <c r="N36" s="43"/>
      <c r="O36" s="43"/>
      <c r="P36" s="43"/>
      <c r="Q36" s="43" t="s">
        <v>2421</v>
      </c>
      <c r="R36" s="43" t="s">
        <v>2406</v>
      </c>
      <c r="S36" s="43" t="s">
        <v>2422</v>
      </c>
      <c r="T36" s="213">
        <v>0</v>
      </c>
      <c r="U36" s="213">
        <v>0</v>
      </c>
      <c r="V36" s="213">
        <v>5000</v>
      </c>
      <c r="W36" s="213">
        <v>5000</v>
      </c>
      <c r="X36" s="213">
        <v>5000</v>
      </c>
      <c r="Y36" s="213">
        <v>5000</v>
      </c>
      <c r="Z36" s="213">
        <v>5000</v>
      </c>
      <c r="AA36" s="213">
        <v>5000</v>
      </c>
      <c r="AB36" s="213">
        <v>5000</v>
      </c>
      <c r="AC36" s="213">
        <v>5000</v>
      </c>
      <c r="AD36" s="213">
        <v>5000</v>
      </c>
      <c r="AE36" s="213">
        <v>5000</v>
      </c>
      <c r="AF36" s="213">
        <v>50000</v>
      </c>
      <c r="AG36" s="213">
        <v>950000</v>
      </c>
      <c r="AH36" s="213">
        <v>1000000</v>
      </c>
      <c r="AI36" s="213">
        <v>0</v>
      </c>
      <c r="AJ36" s="213">
        <v>0</v>
      </c>
      <c r="AK36" s="213">
        <v>2000000</v>
      </c>
      <c r="AL36" s="213">
        <v>0</v>
      </c>
      <c r="AM36" s="213">
        <v>0</v>
      </c>
      <c r="AN36" s="213">
        <v>0</v>
      </c>
      <c r="AO36" s="213">
        <v>0</v>
      </c>
      <c r="AP36" s="213">
        <v>0</v>
      </c>
      <c r="AQ36" s="213">
        <v>2000000</v>
      </c>
      <c r="AR36" s="43">
        <v>173</v>
      </c>
      <c r="AS36" s="43" t="s">
        <v>2407</v>
      </c>
      <c r="AT36" s="181" t="s">
        <v>1772</v>
      </c>
      <c r="AU36" s="43" t="s">
        <v>2423</v>
      </c>
      <c r="AV36" s="43"/>
      <c r="AW36" s="43" t="s">
        <v>1603</v>
      </c>
      <c r="AX36" s="62" t="s">
        <v>2421</v>
      </c>
      <c r="AY36" s="62"/>
      <c r="AZ36" s="43" t="s">
        <v>2409</v>
      </c>
      <c r="BA36" s="43"/>
      <c r="BB36" s="43"/>
      <c r="BC36" s="43"/>
      <c r="BD36" s="43"/>
      <c r="BE36" s="43"/>
      <c r="BF36" s="43"/>
      <c r="BG36" s="43"/>
      <c r="BH36" s="43"/>
      <c r="BI36" s="43"/>
      <c r="BJ36" s="43"/>
      <c r="BK36" s="43"/>
      <c r="BL36" s="43"/>
      <c r="BM36" s="43"/>
      <c r="BN36" s="43"/>
      <c r="BO36" s="43"/>
      <c r="BP36" s="174">
        <f>IFERROR(VLOOKUP(_tPE26_29_Consolidada[[#This Row],[ID Financeiro]],'[4]PE 25-29'!$B:$AF,31,FALSE),0)</f>
        <v>0</v>
      </c>
      <c r="BQ36" s="174">
        <f>_tPE26_29_Consolidada[[#This Row],[2026]]*1000</f>
        <v>50000000</v>
      </c>
      <c r="BR36" s="176">
        <f>_tPE26_29_Consolidada[[#This Row],[Orçado 2026 (PE25-29)]]-_tPE26_29_Consolidada[[#This Row],[Orçado 2026 (PE26-30)]]</f>
        <v>-50000000</v>
      </c>
      <c r="BS36" s="175">
        <f>IFERROR(VLOOKUP(_tPE26_29_Consolidada[[#This Row],[ID Financeiro]],'[4]PE 25-29'!$B:$AT,45,FALSE),0)</f>
        <v>0</v>
      </c>
      <c r="BT36" s="175">
        <f>_tPE26_29_Consolidada[[#This Row],[2026-2030]]*1000</f>
        <v>2000000000</v>
      </c>
      <c r="BU36" s="175">
        <f>-_tPE26_29_Consolidada[[#This Row],[Orçado 26/30 (PE25-29)]]+_tPE26_29_Consolidada[[#This Row],[Orçado 26/30 (PE26-30)]]</f>
        <v>2000000000</v>
      </c>
      <c r="BV36" s="43">
        <f>IFERROR(_tPE26_29_Consolidada[[#This Row],[Dif2]]/_tPE26_29_Consolidada[[#This Row],[Orçado 26/30 (PE25-29)]],0)</f>
        <v>0</v>
      </c>
      <c r="CQ36" s="146"/>
      <c r="CR36" s="146"/>
      <c r="CS36" s="146"/>
      <c r="CT36" s="146"/>
      <c r="CU36" s="146"/>
      <c r="CV36" s="146"/>
      <c r="CW36" s="146"/>
      <c r="CX36" s="146"/>
      <c r="CY36" s="146"/>
      <c r="CZ36" s="146"/>
      <c r="DA36" s="146"/>
      <c r="DB36" s="146"/>
      <c r="DC36" s="146"/>
      <c r="DD36" s="146"/>
      <c r="DE36" s="146"/>
      <c r="DF36" s="146"/>
      <c r="DG36" s="146"/>
      <c r="DH36" s="146"/>
      <c r="DI36" s="146"/>
      <c r="DJ36" s="146"/>
      <c r="DK36" s="146"/>
      <c r="DL36" s="146"/>
      <c r="DM36" s="146"/>
      <c r="DN36" s="146"/>
      <c r="DO36" s="146"/>
      <c r="DP36" s="146"/>
      <c r="DQ36" s="146"/>
      <c r="DR36" s="146"/>
      <c r="DS36" s="146"/>
      <c r="DT36" s="146"/>
      <c r="DU36" s="146"/>
      <c r="DV36" s="146"/>
      <c r="DW36" s="146"/>
      <c r="DX36" s="146"/>
      <c r="DY36" s="146"/>
      <c r="DZ36" s="146"/>
      <c r="EA36" s="146"/>
      <c r="EB36" s="146"/>
      <c r="EC36" s="146"/>
      <c r="ED36" s="146"/>
      <c r="EE36" s="146"/>
      <c r="EF36" s="146"/>
      <c r="EG36" s="146"/>
      <c r="EH36" s="146"/>
      <c r="EI36" s="146"/>
      <c r="EJ36" s="146"/>
      <c r="EK36" s="146"/>
      <c r="EL36" s="146"/>
      <c r="EM36" s="146"/>
      <c r="EN36" s="146"/>
      <c r="EO36" s="146"/>
      <c r="EP36" s="146"/>
      <c r="EQ36" s="146"/>
      <c r="ER36" s="146"/>
      <c r="ES36" s="146"/>
      <c r="ET36" s="146"/>
      <c r="EU36" s="146"/>
      <c r="EV36" s="146"/>
      <c r="EW36" s="146"/>
      <c r="EX36" s="146"/>
      <c r="EY36" s="146"/>
      <c r="EZ36" s="146"/>
    </row>
    <row r="37" spans="1:156" ht="14.5" x14ac:dyDescent="0.35">
      <c r="A37" s="43"/>
      <c r="B37" s="75" t="b">
        <v>1</v>
      </c>
      <c r="C37" s="43" t="s">
        <v>2310</v>
      </c>
      <c r="D37" s="43" t="s">
        <v>439</v>
      </c>
      <c r="E37" s="43" t="s">
        <v>2281</v>
      </c>
      <c r="F37" s="43"/>
      <c r="G37" s="43" t="s">
        <v>2424</v>
      </c>
      <c r="H37" s="43" t="s">
        <v>506</v>
      </c>
      <c r="I37" s="43" t="s">
        <v>1015</v>
      </c>
      <c r="J37" s="43" t="s">
        <v>508</v>
      </c>
      <c r="K37" s="43" t="s">
        <v>1039</v>
      </c>
      <c r="L37" s="43" t="s">
        <v>1040</v>
      </c>
      <c r="M37" s="43" t="s">
        <v>2312</v>
      </c>
      <c r="N37" s="43"/>
      <c r="O37" s="43"/>
      <c r="P37" s="43"/>
      <c r="Q37" s="43" t="s">
        <v>2425</v>
      </c>
      <c r="R37" s="43" t="s">
        <v>2406</v>
      </c>
      <c r="S37" s="43" t="s">
        <v>2426</v>
      </c>
      <c r="T37" s="213">
        <v>0</v>
      </c>
      <c r="U37" s="213">
        <v>0</v>
      </c>
      <c r="V37" s="213">
        <v>5000</v>
      </c>
      <c r="W37" s="213">
        <v>5000</v>
      </c>
      <c r="X37" s="213">
        <v>5000</v>
      </c>
      <c r="Y37" s="213">
        <v>5000</v>
      </c>
      <c r="Z37" s="213">
        <v>5000</v>
      </c>
      <c r="AA37" s="213">
        <v>5000</v>
      </c>
      <c r="AB37" s="213">
        <v>5000</v>
      </c>
      <c r="AC37" s="213">
        <v>5000</v>
      </c>
      <c r="AD37" s="213">
        <v>5000</v>
      </c>
      <c r="AE37" s="213">
        <v>5000</v>
      </c>
      <c r="AF37" s="213">
        <v>50000</v>
      </c>
      <c r="AG37" s="213">
        <v>3800000</v>
      </c>
      <c r="AH37" s="213">
        <v>2150000</v>
      </c>
      <c r="AI37" s="213">
        <v>0</v>
      </c>
      <c r="AJ37" s="213">
        <v>0</v>
      </c>
      <c r="AK37" s="213">
        <v>6000000</v>
      </c>
      <c r="AL37" s="213">
        <v>0</v>
      </c>
      <c r="AM37" s="213">
        <v>0</v>
      </c>
      <c r="AN37" s="213">
        <v>0</v>
      </c>
      <c r="AO37" s="213">
        <v>0</v>
      </c>
      <c r="AP37" s="213">
        <v>0</v>
      </c>
      <c r="AQ37" s="213">
        <v>6000000</v>
      </c>
      <c r="AR37" s="43">
        <v>174</v>
      </c>
      <c r="AS37" s="43" t="s">
        <v>2407</v>
      </c>
      <c r="AT37" s="181" t="s">
        <v>1772</v>
      </c>
      <c r="AU37" s="43" t="s">
        <v>2427</v>
      </c>
      <c r="AV37" s="43"/>
      <c r="AW37" s="43" t="s">
        <v>1603</v>
      </c>
      <c r="AX37" s="62" t="s">
        <v>2425</v>
      </c>
      <c r="AY37" s="62"/>
      <c r="AZ37" s="43" t="s">
        <v>2409</v>
      </c>
      <c r="BA37" s="43"/>
      <c r="BB37" s="43"/>
      <c r="BC37" s="43"/>
      <c r="BD37" s="43"/>
      <c r="BE37" s="43"/>
      <c r="BF37" s="43"/>
      <c r="BG37" s="43"/>
      <c r="BH37" s="43"/>
      <c r="BI37" s="43"/>
      <c r="BJ37" s="43"/>
      <c r="BK37" s="43"/>
      <c r="BL37" s="43"/>
      <c r="BM37" s="43"/>
      <c r="BN37" s="43"/>
      <c r="BO37" s="43"/>
      <c r="BP37" s="174">
        <f>IFERROR(VLOOKUP(_tPE26_29_Consolidada[[#This Row],[ID Financeiro]],'[4]PE 25-29'!$B:$AF,31,FALSE),0)</f>
        <v>0</v>
      </c>
      <c r="BQ37" s="174">
        <f>_tPE26_29_Consolidada[[#This Row],[2026]]*1000</f>
        <v>50000000</v>
      </c>
      <c r="BR37" s="176">
        <f>_tPE26_29_Consolidada[[#This Row],[Orçado 2026 (PE25-29)]]-_tPE26_29_Consolidada[[#This Row],[Orçado 2026 (PE26-30)]]</f>
        <v>-50000000</v>
      </c>
      <c r="BS37" s="175">
        <f>IFERROR(VLOOKUP(_tPE26_29_Consolidada[[#This Row],[ID Financeiro]],'[4]PE 25-29'!$B:$AT,45,FALSE),0)</f>
        <v>0</v>
      </c>
      <c r="BT37" s="175">
        <f>_tPE26_29_Consolidada[[#This Row],[2026-2030]]*1000</f>
        <v>6000000000</v>
      </c>
      <c r="BU37" s="175">
        <f>-_tPE26_29_Consolidada[[#This Row],[Orçado 26/30 (PE25-29)]]+_tPE26_29_Consolidada[[#This Row],[Orçado 26/30 (PE26-30)]]</f>
        <v>6000000000</v>
      </c>
      <c r="BV37" s="43">
        <f>IFERROR(_tPE26_29_Consolidada[[#This Row],[Dif2]]/_tPE26_29_Consolidada[[#This Row],[Orçado 26/30 (PE25-29)]],0)</f>
        <v>0</v>
      </c>
      <c r="CQ37" s="146"/>
      <c r="CR37" s="146"/>
      <c r="CS37" s="146"/>
      <c r="CT37" s="146"/>
      <c r="CU37" s="146"/>
      <c r="CV37" s="146"/>
      <c r="CW37" s="146"/>
      <c r="CX37" s="146"/>
      <c r="CY37" s="146"/>
      <c r="CZ37" s="146"/>
      <c r="DA37" s="146"/>
      <c r="DB37" s="146"/>
      <c r="DC37" s="146"/>
      <c r="DD37" s="146"/>
      <c r="DE37" s="146"/>
      <c r="DF37" s="146"/>
      <c r="DG37" s="146"/>
      <c r="DH37" s="146"/>
      <c r="DI37" s="146"/>
      <c r="DJ37" s="146"/>
      <c r="DK37" s="146"/>
      <c r="DL37" s="146"/>
      <c r="DM37" s="146"/>
      <c r="DN37" s="146"/>
      <c r="DO37" s="146"/>
      <c r="DP37" s="146"/>
      <c r="DQ37" s="146"/>
      <c r="DR37" s="146"/>
      <c r="DS37" s="146"/>
      <c r="DT37" s="146"/>
      <c r="DU37" s="146"/>
      <c r="DV37" s="146"/>
      <c r="DW37" s="146"/>
      <c r="DX37" s="146"/>
      <c r="DY37" s="146"/>
      <c r="DZ37" s="146"/>
      <c r="EA37" s="146"/>
      <c r="EB37" s="146"/>
      <c r="EC37" s="146"/>
      <c r="ED37" s="146"/>
      <c r="EE37" s="146"/>
      <c r="EF37" s="146"/>
      <c r="EG37" s="146"/>
      <c r="EH37" s="146"/>
      <c r="EI37" s="146"/>
      <c r="EJ37" s="146"/>
      <c r="EK37" s="146"/>
      <c r="EL37" s="146"/>
      <c r="EM37" s="146"/>
      <c r="EN37" s="146"/>
      <c r="EO37" s="146"/>
      <c r="EP37" s="146"/>
      <c r="EQ37" s="146"/>
      <c r="ER37" s="146"/>
      <c r="ES37" s="146"/>
      <c r="ET37" s="146"/>
      <c r="EU37" s="146"/>
      <c r="EV37" s="146"/>
      <c r="EW37" s="146"/>
      <c r="EX37" s="146"/>
      <c r="EY37" s="146"/>
      <c r="EZ37" s="146"/>
    </row>
    <row r="38" spans="1:156" ht="14.5" x14ac:dyDescent="0.35">
      <c r="A38" s="43"/>
      <c r="B38" s="75" t="b">
        <v>1</v>
      </c>
      <c r="C38" s="43" t="s">
        <v>2310</v>
      </c>
      <c r="D38" s="43" t="s">
        <v>439</v>
      </c>
      <c r="E38" s="43" t="s">
        <v>2281</v>
      </c>
      <c r="F38" s="43"/>
      <c r="G38" s="43" t="s">
        <v>2428</v>
      </c>
      <c r="H38" s="43" t="s">
        <v>506</v>
      </c>
      <c r="I38" s="43" t="s">
        <v>1015</v>
      </c>
      <c r="J38" s="43" t="s">
        <v>508</v>
      </c>
      <c r="K38" s="43" t="s">
        <v>1039</v>
      </c>
      <c r="L38" s="43" t="s">
        <v>1040</v>
      </c>
      <c r="M38" s="43" t="s">
        <v>2312</v>
      </c>
      <c r="N38" s="43"/>
      <c r="O38" s="43"/>
      <c r="P38" s="43"/>
      <c r="Q38" s="43" t="s">
        <v>2429</v>
      </c>
      <c r="R38" s="43" t="s">
        <v>2314</v>
      </c>
      <c r="S38" s="43" t="s">
        <v>2338</v>
      </c>
      <c r="T38" s="213">
        <v>5000</v>
      </c>
      <c r="U38" s="213">
        <v>5000</v>
      </c>
      <c r="V38" s="213">
        <v>5000</v>
      </c>
      <c r="W38" s="213">
        <v>5000</v>
      </c>
      <c r="X38" s="213">
        <v>0</v>
      </c>
      <c r="Y38" s="213">
        <v>0</v>
      </c>
      <c r="Z38" s="213">
        <v>0</v>
      </c>
      <c r="AA38" s="213">
        <v>1100000</v>
      </c>
      <c r="AB38" s="213">
        <v>1100000</v>
      </c>
      <c r="AC38" s="213">
        <v>0</v>
      </c>
      <c r="AD38" s="213">
        <v>0</v>
      </c>
      <c r="AE38" s="213">
        <v>0</v>
      </c>
      <c r="AF38" s="213">
        <v>2220000</v>
      </c>
      <c r="AG38" s="213">
        <v>50000</v>
      </c>
      <c r="AH38" s="213">
        <v>0</v>
      </c>
      <c r="AI38" s="213">
        <v>0</v>
      </c>
      <c r="AJ38" s="213">
        <v>0</v>
      </c>
      <c r="AK38" s="213">
        <v>2270000</v>
      </c>
      <c r="AL38" s="213">
        <v>0</v>
      </c>
      <c r="AM38" s="213">
        <v>0</v>
      </c>
      <c r="AN38" s="213">
        <v>0</v>
      </c>
      <c r="AO38" s="213">
        <v>0</v>
      </c>
      <c r="AP38" s="213">
        <v>0</v>
      </c>
      <c r="AQ38" s="213">
        <v>2270000</v>
      </c>
      <c r="AR38" s="43">
        <v>148</v>
      </c>
      <c r="AS38" s="43" t="s">
        <v>2316</v>
      </c>
      <c r="AT38" s="181" t="s">
        <v>1772</v>
      </c>
      <c r="AU38" s="43" t="s">
        <v>2430</v>
      </c>
      <c r="AV38" s="43"/>
      <c r="AW38" s="43" t="s">
        <v>1603</v>
      </c>
      <c r="AX38" s="62" t="s">
        <v>2429</v>
      </c>
      <c r="AY38" s="62"/>
      <c r="AZ38" s="43" t="s">
        <v>2370</v>
      </c>
      <c r="BA38" s="43"/>
      <c r="BB38" s="43"/>
      <c r="BC38" s="43"/>
      <c r="BD38" s="43"/>
      <c r="BE38" s="43"/>
      <c r="BF38" s="43"/>
      <c r="BG38" s="43"/>
      <c r="BH38" s="43"/>
      <c r="BI38" s="43"/>
      <c r="BJ38" s="43"/>
      <c r="BK38" s="43"/>
      <c r="BL38" s="43"/>
      <c r="BM38" s="43"/>
      <c r="BN38" s="43"/>
      <c r="BO38" s="43"/>
      <c r="BP38" s="174">
        <f>IFERROR(VLOOKUP(_tPE26_29_Consolidada[[#This Row],[ID Financeiro]],'[4]PE 25-29'!$B:$AF,31,FALSE),0)</f>
        <v>0</v>
      </c>
      <c r="BQ38" s="174">
        <f>_tPE26_29_Consolidada[[#This Row],[2026]]*1000</f>
        <v>2220000000</v>
      </c>
      <c r="BR38" s="176">
        <f>_tPE26_29_Consolidada[[#This Row],[Orçado 2026 (PE25-29)]]-_tPE26_29_Consolidada[[#This Row],[Orçado 2026 (PE26-30)]]</f>
        <v>-2220000000</v>
      </c>
      <c r="BS38" s="175">
        <f>IFERROR(VLOOKUP(_tPE26_29_Consolidada[[#This Row],[ID Financeiro]],'[4]PE 25-29'!$B:$AT,45,FALSE),0)</f>
        <v>0</v>
      </c>
      <c r="BT38" s="175">
        <f>_tPE26_29_Consolidada[[#This Row],[2026-2030]]*1000</f>
        <v>2270000000</v>
      </c>
      <c r="BU38" s="175">
        <f>-_tPE26_29_Consolidada[[#This Row],[Orçado 26/30 (PE25-29)]]+_tPE26_29_Consolidada[[#This Row],[Orçado 26/30 (PE26-30)]]</f>
        <v>2270000000</v>
      </c>
      <c r="BV38" s="43">
        <f>IFERROR(_tPE26_29_Consolidada[[#This Row],[Dif2]]/_tPE26_29_Consolidada[[#This Row],[Orçado 26/30 (PE25-29)]],0)</f>
        <v>0</v>
      </c>
      <c r="CQ38" s="146"/>
      <c r="CR38" s="146"/>
      <c r="CS38" s="146"/>
      <c r="CT38" s="146"/>
      <c r="CU38" s="146"/>
      <c r="CV38" s="146"/>
      <c r="CW38" s="146"/>
      <c r="CX38" s="146"/>
      <c r="CY38" s="146"/>
      <c r="CZ38" s="146"/>
      <c r="DA38" s="146"/>
      <c r="DB38" s="146"/>
      <c r="DC38" s="146"/>
      <c r="DD38" s="146"/>
      <c r="DE38" s="146"/>
      <c r="DF38" s="146"/>
      <c r="DG38" s="146"/>
      <c r="DH38" s="146"/>
      <c r="DI38" s="146"/>
      <c r="DJ38" s="146"/>
      <c r="DK38" s="146"/>
      <c r="DL38" s="146"/>
      <c r="DM38" s="146"/>
      <c r="DN38" s="146"/>
      <c r="DO38" s="146"/>
      <c r="DP38" s="146"/>
      <c r="DQ38" s="146"/>
      <c r="DR38" s="146"/>
      <c r="DS38" s="146"/>
      <c r="DT38" s="146"/>
      <c r="DU38" s="146"/>
      <c r="DV38" s="146"/>
      <c r="DW38" s="146"/>
      <c r="DX38" s="146"/>
      <c r="DY38" s="146"/>
      <c r="DZ38" s="146"/>
      <c r="EA38" s="146"/>
      <c r="EB38" s="146"/>
      <c r="EC38" s="146"/>
      <c r="ED38" s="146"/>
      <c r="EE38" s="146"/>
      <c r="EF38" s="146"/>
      <c r="EG38" s="146"/>
      <c r="EH38" s="146"/>
      <c r="EI38" s="146"/>
      <c r="EJ38" s="146"/>
      <c r="EK38" s="146"/>
      <c r="EL38" s="146"/>
      <c r="EM38" s="146"/>
      <c r="EN38" s="146"/>
      <c r="EO38" s="146"/>
      <c r="EP38" s="146"/>
      <c r="EQ38" s="146"/>
      <c r="ER38" s="146"/>
      <c r="ES38" s="146"/>
      <c r="ET38" s="146"/>
      <c r="EU38" s="146"/>
      <c r="EV38" s="146"/>
      <c r="EW38" s="146"/>
      <c r="EX38" s="146"/>
      <c r="EY38" s="146"/>
      <c r="EZ38" s="146"/>
    </row>
    <row r="39" spans="1:156" ht="14.5" x14ac:dyDescent="0.35">
      <c r="A39" s="43"/>
      <c r="B39" s="75" t="b">
        <v>1</v>
      </c>
      <c r="C39" s="43" t="s">
        <v>2310</v>
      </c>
      <c r="D39" s="43" t="s">
        <v>439</v>
      </c>
      <c r="E39" s="43" t="s">
        <v>2281</v>
      </c>
      <c r="F39" s="43"/>
      <c r="G39" s="43" t="s">
        <v>2431</v>
      </c>
      <c r="H39" s="43" t="s">
        <v>506</v>
      </c>
      <c r="I39" s="43" t="s">
        <v>1015</v>
      </c>
      <c r="J39" s="43" t="s">
        <v>508</v>
      </c>
      <c r="K39" s="43" t="s">
        <v>1039</v>
      </c>
      <c r="L39" s="43" t="s">
        <v>1040</v>
      </c>
      <c r="M39" s="43" t="s">
        <v>2312</v>
      </c>
      <c r="N39" s="43"/>
      <c r="O39" s="43"/>
      <c r="P39" s="43"/>
      <c r="Q39" s="43" t="s">
        <v>2432</v>
      </c>
      <c r="R39" s="43" t="s">
        <v>2314</v>
      </c>
      <c r="S39" s="43" t="s">
        <v>1020</v>
      </c>
      <c r="T39" s="213">
        <v>0</v>
      </c>
      <c r="U39" s="213">
        <v>0</v>
      </c>
      <c r="V39" s="213">
        <v>0</v>
      </c>
      <c r="W39" s="213">
        <v>0</v>
      </c>
      <c r="X39" s="213">
        <v>0</v>
      </c>
      <c r="Y39" s="213">
        <v>0</v>
      </c>
      <c r="Z39" s="213">
        <v>300000</v>
      </c>
      <c r="AA39" s="213">
        <v>300000</v>
      </c>
      <c r="AB39" s="213">
        <v>300000</v>
      </c>
      <c r="AC39" s="213">
        <v>300000</v>
      </c>
      <c r="AD39" s="213">
        <v>300000</v>
      </c>
      <c r="AE39" s="213">
        <v>500000</v>
      </c>
      <c r="AF39" s="213">
        <v>2000000</v>
      </c>
      <c r="AG39" s="213">
        <v>0</v>
      </c>
      <c r="AH39" s="213">
        <v>0</v>
      </c>
      <c r="AI39" s="213">
        <v>0</v>
      </c>
      <c r="AJ39" s="213">
        <v>0</v>
      </c>
      <c r="AK39" s="213">
        <v>2000000</v>
      </c>
      <c r="AL39" s="213">
        <v>0</v>
      </c>
      <c r="AM39" s="213">
        <v>0</v>
      </c>
      <c r="AN39" s="213">
        <v>0</v>
      </c>
      <c r="AO39" s="213">
        <v>0</v>
      </c>
      <c r="AP39" s="213">
        <v>0</v>
      </c>
      <c r="AQ39" s="213">
        <v>2000000</v>
      </c>
      <c r="AR39" s="43">
        <v>150</v>
      </c>
      <c r="AS39" s="43" t="s">
        <v>2316</v>
      </c>
      <c r="AT39" s="181" t="s">
        <v>1772</v>
      </c>
      <c r="AU39" s="43" t="s">
        <v>2433</v>
      </c>
      <c r="AV39" s="43"/>
      <c r="AW39" s="43" t="s">
        <v>1603</v>
      </c>
      <c r="AX39" s="62" t="s">
        <v>2432</v>
      </c>
      <c r="AY39" s="62"/>
      <c r="AZ39" s="43" t="s">
        <v>2434</v>
      </c>
      <c r="BA39" s="43"/>
      <c r="BB39" s="43"/>
      <c r="BC39" s="43"/>
      <c r="BD39" s="43"/>
      <c r="BE39" s="43"/>
      <c r="BF39" s="43"/>
      <c r="BG39" s="43"/>
      <c r="BH39" s="43"/>
      <c r="BI39" s="43"/>
      <c r="BJ39" s="43"/>
      <c r="BK39" s="43"/>
      <c r="BL39" s="43"/>
      <c r="BM39" s="43"/>
      <c r="BN39" s="43"/>
      <c r="BO39" s="43"/>
      <c r="BP39" s="174">
        <f>IFERROR(VLOOKUP(_tPE26_29_Consolidada[[#This Row],[ID Financeiro]],'[4]PE 25-29'!$B:$AF,31,FALSE),0)</f>
        <v>0</v>
      </c>
      <c r="BQ39" s="174">
        <f>_tPE26_29_Consolidada[[#This Row],[2026]]*1000</f>
        <v>2000000000</v>
      </c>
      <c r="BR39" s="176">
        <f>_tPE26_29_Consolidada[[#This Row],[Orçado 2026 (PE25-29)]]-_tPE26_29_Consolidada[[#This Row],[Orçado 2026 (PE26-30)]]</f>
        <v>-2000000000</v>
      </c>
      <c r="BS39" s="175">
        <f>IFERROR(VLOOKUP(_tPE26_29_Consolidada[[#This Row],[ID Financeiro]],'[4]PE 25-29'!$B:$AT,45,FALSE),0)</f>
        <v>0</v>
      </c>
      <c r="BT39" s="175">
        <f>_tPE26_29_Consolidada[[#This Row],[2026-2030]]*1000</f>
        <v>2000000000</v>
      </c>
      <c r="BU39" s="175">
        <f>-_tPE26_29_Consolidada[[#This Row],[Orçado 26/30 (PE25-29)]]+_tPE26_29_Consolidada[[#This Row],[Orçado 26/30 (PE26-30)]]</f>
        <v>2000000000</v>
      </c>
      <c r="BV39" s="43">
        <f>IFERROR(_tPE26_29_Consolidada[[#This Row],[Dif2]]/_tPE26_29_Consolidada[[#This Row],[Orçado 26/30 (PE25-29)]],0)</f>
        <v>0</v>
      </c>
      <c r="CQ39" s="146"/>
      <c r="CR39" s="146"/>
      <c r="CS39" s="146"/>
      <c r="CT39" s="146"/>
      <c r="CU39" s="146"/>
      <c r="CV39" s="146"/>
      <c r="CW39" s="146"/>
      <c r="CX39" s="146"/>
      <c r="CY39" s="146"/>
      <c r="CZ39" s="146"/>
      <c r="DA39" s="146"/>
      <c r="DB39" s="146"/>
      <c r="DC39" s="146"/>
      <c r="DD39" s="146"/>
      <c r="DE39" s="146"/>
      <c r="DF39" s="146"/>
      <c r="DG39" s="146"/>
      <c r="DH39" s="146"/>
      <c r="DI39" s="146"/>
      <c r="DJ39" s="146"/>
      <c r="DK39" s="146"/>
      <c r="DL39" s="146"/>
      <c r="DM39" s="146"/>
      <c r="DN39" s="146"/>
      <c r="DO39" s="146"/>
      <c r="DP39" s="146"/>
      <c r="DQ39" s="146"/>
      <c r="DR39" s="146"/>
      <c r="DS39" s="146"/>
      <c r="DT39" s="146"/>
      <c r="DU39" s="146"/>
      <c r="DV39" s="146"/>
      <c r="DW39" s="146"/>
      <c r="DX39" s="146"/>
      <c r="DY39" s="146"/>
      <c r="DZ39" s="146"/>
      <c r="EA39" s="146"/>
      <c r="EB39" s="146"/>
      <c r="EC39" s="146"/>
      <c r="ED39" s="146"/>
      <c r="EE39" s="146"/>
      <c r="EF39" s="146"/>
      <c r="EG39" s="146"/>
      <c r="EH39" s="146"/>
      <c r="EI39" s="146"/>
      <c r="EJ39" s="146"/>
      <c r="EK39" s="146"/>
      <c r="EL39" s="146"/>
      <c r="EM39" s="146"/>
      <c r="EN39" s="146"/>
      <c r="EO39" s="146"/>
      <c r="EP39" s="146"/>
      <c r="EQ39" s="146"/>
      <c r="ER39" s="146"/>
      <c r="ES39" s="146"/>
      <c r="ET39" s="146"/>
      <c r="EU39" s="146"/>
      <c r="EV39" s="146"/>
      <c r="EW39" s="146"/>
      <c r="EX39" s="146"/>
      <c r="EY39" s="146"/>
      <c r="EZ39" s="146"/>
    </row>
    <row r="40" spans="1:156" ht="26" x14ac:dyDescent="0.35">
      <c r="A40" s="43"/>
      <c r="B40" s="75" t="b">
        <v>1</v>
      </c>
      <c r="C40" s="43" t="s">
        <v>2310</v>
      </c>
      <c r="D40" s="43" t="s">
        <v>439</v>
      </c>
      <c r="E40" s="43" t="s">
        <v>2281</v>
      </c>
      <c r="F40" s="43"/>
      <c r="G40" s="43" t="s">
        <v>2435</v>
      </c>
      <c r="H40" s="43" t="s">
        <v>506</v>
      </c>
      <c r="I40" s="43" t="s">
        <v>1015</v>
      </c>
      <c r="J40" s="43" t="s">
        <v>508</v>
      </c>
      <c r="K40" s="43" t="s">
        <v>1039</v>
      </c>
      <c r="L40" s="43" t="s">
        <v>1040</v>
      </c>
      <c r="M40" s="43" t="s">
        <v>2312</v>
      </c>
      <c r="N40" s="43"/>
      <c r="O40" s="43"/>
      <c r="P40" s="43"/>
      <c r="Q40" s="43" t="s">
        <v>2436</v>
      </c>
      <c r="R40" s="43" t="s">
        <v>2314</v>
      </c>
      <c r="S40" s="43" t="s">
        <v>1029</v>
      </c>
      <c r="T40" s="213">
        <v>0</v>
      </c>
      <c r="U40" s="213">
        <v>0</v>
      </c>
      <c r="V40" s="213">
        <v>0</v>
      </c>
      <c r="W40" s="213">
        <v>0</v>
      </c>
      <c r="X40" s="213">
        <v>0</v>
      </c>
      <c r="Y40" s="213">
        <v>0</v>
      </c>
      <c r="Z40" s="213">
        <v>0</v>
      </c>
      <c r="AA40" s="213">
        <v>0</v>
      </c>
      <c r="AB40" s="213">
        <v>0</v>
      </c>
      <c r="AC40" s="213">
        <v>0</v>
      </c>
      <c r="AD40" s="213">
        <v>0</v>
      </c>
      <c r="AE40" s="213">
        <v>0</v>
      </c>
      <c r="AF40" s="213">
        <v>0</v>
      </c>
      <c r="AG40" s="213">
        <v>300000</v>
      </c>
      <c r="AH40" s="213">
        <v>0</v>
      </c>
      <c r="AI40" s="213">
        <v>0</v>
      </c>
      <c r="AJ40" s="213">
        <v>0</v>
      </c>
      <c r="AK40" s="213">
        <v>300000</v>
      </c>
      <c r="AL40" s="213">
        <v>0</v>
      </c>
      <c r="AM40" s="213">
        <v>0</v>
      </c>
      <c r="AN40" s="213">
        <v>0</v>
      </c>
      <c r="AO40" s="213">
        <v>0</v>
      </c>
      <c r="AP40" s="213">
        <v>0</v>
      </c>
      <c r="AQ40" s="213">
        <v>300000</v>
      </c>
      <c r="AR40" s="43">
        <v>178</v>
      </c>
      <c r="AS40" s="43" t="s">
        <v>2316</v>
      </c>
      <c r="AT40" s="181">
        <v>2025</v>
      </c>
      <c r="AU40" s="43">
        <f>_xlfn.XLOOKUP(_tPE26_29_Consolidada[[#This Row],[ID Financeiro]],[5]Projetos!$K:$K,[5]Projetos!$A:$A,0,0)</f>
        <v>0</v>
      </c>
      <c r="AV40" s="43" t="s">
        <v>2437</v>
      </c>
      <c r="AW40" s="43" t="s">
        <v>1603</v>
      </c>
      <c r="AX40" s="62" t="s">
        <v>2436</v>
      </c>
      <c r="AY40" s="62"/>
      <c r="AZ40" s="43" t="s">
        <v>2438</v>
      </c>
      <c r="BA40" s="43"/>
      <c r="BB40" s="43"/>
      <c r="BC40" s="43"/>
      <c r="BD40" s="43"/>
      <c r="BE40" s="43"/>
      <c r="BF40" s="43"/>
      <c r="BG40" s="43"/>
      <c r="BH40" s="43"/>
      <c r="BI40" s="43"/>
      <c r="BJ40" s="43"/>
      <c r="BK40" s="43"/>
      <c r="BL40" s="43"/>
      <c r="BM40" s="43"/>
      <c r="BN40" s="43"/>
      <c r="BO40" s="43"/>
      <c r="BP40" s="174">
        <f>IFERROR(VLOOKUP(_tPE26_29_Consolidada[[#This Row],[ID Financeiro]],'[4]PE 25-29'!$B:$AF,31,FALSE),0)</f>
        <v>300000</v>
      </c>
      <c r="BQ40" s="174">
        <f>_tPE26_29_Consolidada[[#This Row],[2026]]*1000</f>
        <v>0</v>
      </c>
      <c r="BR40" s="176">
        <f>_tPE26_29_Consolidada[[#This Row],[Orçado 2026 (PE25-29)]]-_tPE26_29_Consolidada[[#This Row],[Orçado 2026 (PE26-30)]]</f>
        <v>300000</v>
      </c>
      <c r="BS40" s="175">
        <f>IFERROR(VLOOKUP(_tPE26_29_Consolidada[[#This Row],[ID Financeiro]],'[4]PE 25-29'!$B:$AT,45,FALSE),0)</f>
        <v>300000</v>
      </c>
      <c r="BT40" s="175">
        <f>_tPE26_29_Consolidada[[#This Row],[2026-2030]]*1000</f>
        <v>300000000</v>
      </c>
      <c r="BU40" s="175">
        <f>-_tPE26_29_Consolidada[[#This Row],[Orçado 26/30 (PE25-29)]]+_tPE26_29_Consolidada[[#This Row],[Orçado 26/30 (PE26-30)]]</f>
        <v>299700000</v>
      </c>
      <c r="BV40" s="177">
        <f>IFERROR(_tPE26_29_Consolidada[[#This Row],[Dif2]]/_tPE26_29_Consolidada[[#This Row],[Orçado 26/30 (PE25-29)]],0)</f>
        <v>999</v>
      </c>
      <c r="CQ40" s="146"/>
      <c r="CR40" s="146"/>
      <c r="CS40" s="146"/>
      <c r="CT40" s="146"/>
      <c r="CU40" s="146"/>
      <c r="CV40" s="146"/>
      <c r="CW40" s="146"/>
      <c r="CX40" s="146"/>
      <c r="CY40" s="146"/>
      <c r="CZ40" s="146"/>
      <c r="DA40" s="146"/>
      <c r="DB40" s="146"/>
      <c r="DC40" s="146"/>
      <c r="DD40" s="146"/>
      <c r="DE40" s="146"/>
      <c r="DF40" s="146"/>
      <c r="DG40" s="146"/>
      <c r="DH40" s="146"/>
      <c r="DI40" s="146"/>
      <c r="DJ40" s="146"/>
      <c r="DK40" s="146"/>
      <c r="DL40" s="146"/>
      <c r="DM40" s="146"/>
      <c r="DN40" s="146"/>
      <c r="DO40" s="146"/>
      <c r="DP40" s="146"/>
      <c r="DQ40" s="146"/>
      <c r="DR40" s="146"/>
      <c r="DS40" s="146"/>
      <c r="DT40" s="146"/>
      <c r="DU40" s="146"/>
      <c r="DV40" s="146"/>
      <c r="DW40" s="146"/>
      <c r="DX40" s="146"/>
      <c r="DY40" s="146"/>
      <c r="DZ40" s="146"/>
      <c r="EA40" s="146"/>
      <c r="EB40" s="146"/>
      <c r="EC40" s="146"/>
      <c r="ED40" s="146"/>
      <c r="EE40" s="146"/>
      <c r="EF40" s="146"/>
      <c r="EG40" s="146"/>
      <c r="EH40" s="146"/>
      <c r="EI40" s="146"/>
      <c r="EJ40" s="146"/>
      <c r="EK40" s="146"/>
      <c r="EL40" s="146"/>
      <c r="EM40" s="146"/>
      <c r="EN40" s="146"/>
      <c r="EO40" s="146"/>
      <c r="EP40" s="146"/>
      <c r="EQ40" s="146"/>
      <c r="ER40" s="146"/>
      <c r="ES40" s="146"/>
      <c r="ET40" s="146"/>
      <c r="EU40" s="146"/>
      <c r="EV40" s="146"/>
      <c r="EW40" s="146"/>
      <c r="EX40" s="146"/>
      <c r="EY40" s="146"/>
      <c r="EZ40" s="146"/>
    </row>
    <row r="41" spans="1:156" ht="14.5" x14ac:dyDescent="0.35">
      <c r="A41" s="43"/>
      <c r="B41" s="75" t="b">
        <v>1</v>
      </c>
      <c r="C41" s="43" t="s">
        <v>2310</v>
      </c>
      <c r="D41" s="43" t="s">
        <v>439</v>
      </c>
      <c r="E41" s="43" t="s">
        <v>2281</v>
      </c>
      <c r="F41" s="43"/>
      <c r="G41" s="43" t="s">
        <v>2439</v>
      </c>
      <c r="H41" s="43" t="s">
        <v>506</v>
      </c>
      <c r="I41" s="43" t="s">
        <v>1015</v>
      </c>
      <c r="J41" s="43" t="s">
        <v>508</v>
      </c>
      <c r="K41" s="43" t="s">
        <v>1039</v>
      </c>
      <c r="L41" s="43" t="s">
        <v>1040</v>
      </c>
      <c r="M41" s="43" t="s">
        <v>2312</v>
      </c>
      <c r="N41" s="43"/>
      <c r="O41" s="43"/>
      <c r="P41" s="43"/>
      <c r="Q41" s="43" t="s">
        <v>2440</v>
      </c>
      <c r="R41" s="43" t="s">
        <v>2314</v>
      </c>
      <c r="S41" s="43" t="s">
        <v>1029</v>
      </c>
      <c r="T41" s="213">
        <v>0</v>
      </c>
      <c r="U41" s="213">
        <v>0</v>
      </c>
      <c r="V41" s="213">
        <v>0</v>
      </c>
      <c r="W41" s="213">
        <v>0</v>
      </c>
      <c r="X41" s="213">
        <v>0</v>
      </c>
      <c r="Y41" s="213">
        <v>0</v>
      </c>
      <c r="Z41" s="213">
        <v>0</v>
      </c>
      <c r="AA41" s="213">
        <v>0</v>
      </c>
      <c r="AB41" s="213">
        <v>0</v>
      </c>
      <c r="AC41" s="213">
        <v>0</v>
      </c>
      <c r="AD41" s="213">
        <v>0</v>
      </c>
      <c r="AE41" s="213">
        <v>0</v>
      </c>
      <c r="AF41" s="213">
        <v>0</v>
      </c>
      <c r="AG41" s="213">
        <v>400000</v>
      </c>
      <c r="AH41" s="213">
        <v>0</v>
      </c>
      <c r="AI41" s="213">
        <v>0</v>
      </c>
      <c r="AJ41" s="213">
        <v>0</v>
      </c>
      <c r="AK41" s="213">
        <v>400000</v>
      </c>
      <c r="AL41" s="213">
        <v>0</v>
      </c>
      <c r="AM41" s="213">
        <v>0</v>
      </c>
      <c r="AN41" s="213">
        <v>0</v>
      </c>
      <c r="AO41" s="213">
        <v>0</v>
      </c>
      <c r="AP41" s="213">
        <v>0</v>
      </c>
      <c r="AQ41" s="213">
        <v>400000</v>
      </c>
      <c r="AR41" s="43">
        <v>179</v>
      </c>
      <c r="AS41" s="43" t="s">
        <v>2316</v>
      </c>
      <c r="AT41" s="181">
        <v>2025</v>
      </c>
      <c r="AU41" s="43">
        <f>_xlfn.XLOOKUP(_tPE26_29_Consolidada[[#This Row],[ID Financeiro]],[5]Projetos!$K:$K,[5]Projetos!$A:$A,0,0)</f>
        <v>0</v>
      </c>
      <c r="AV41" s="43" t="s">
        <v>2441</v>
      </c>
      <c r="AW41" s="43" t="s">
        <v>1603</v>
      </c>
      <c r="AX41" s="62" t="s">
        <v>2440</v>
      </c>
      <c r="AY41" s="62"/>
      <c r="AZ41" s="43" t="s">
        <v>2438</v>
      </c>
      <c r="BA41" s="43"/>
      <c r="BB41" s="43"/>
      <c r="BC41" s="43"/>
      <c r="BD41" s="43"/>
      <c r="BE41" s="43"/>
      <c r="BF41" s="43"/>
      <c r="BG41" s="43"/>
      <c r="BH41" s="43"/>
      <c r="BI41" s="43"/>
      <c r="BJ41" s="43"/>
      <c r="BK41" s="43"/>
      <c r="BL41" s="43"/>
      <c r="BM41" s="43"/>
      <c r="BN41" s="43"/>
      <c r="BO41" s="43"/>
      <c r="BP41" s="174">
        <f>IFERROR(VLOOKUP(_tPE26_29_Consolidada[[#This Row],[ID Financeiro]],'[4]PE 25-29'!$B:$AF,31,FALSE),0)</f>
        <v>350000</v>
      </c>
      <c r="BQ41" s="174">
        <f>_tPE26_29_Consolidada[[#This Row],[2026]]*1000</f>
        <v>0</v>
      </c>
      <c r="BR41" s="176">
        <f>_tPE26_29_Consolidada[[#This Row],[Orçado 2026 (PE25-29)]]-_tPE26_29_Consolidada[[#This Row],[Orçado 2026 (PE26-30)]]</f>
        <v>350000</v>
      </c>
      <c r="BS41" s="175">
        <f>IFERROR(VLOOKUP(_tPE26_29_Consolidada[[#This Row],[ID Financeiro]],'[4]PE 25-29'!$B:$AT,45,FALSE),0)</f>
        <v>350000</v>
      </c>
      <c r="BT41" s="175">
        <f>_tPE26_29_Consolidada[[#This Row],[2026-2030]]*1000</f>
        <v>400000000</v>
      </c>
      <c r="BU41" s="175">
        <f>-_tPE26_29_Consolidada[[#This Row],[Orçado 26/30 (PE25-29)]]+_tPE26_29_Consolidada[[#This Row],[Orçado 26/30 (PE26-30)]]</f>
        <v>399650000</v>
      </c>
      <c r="BV41" s="177">
        <f>IFERROR(_tPE26_29_Consolidada[[#This Row],[Dif2]]/_tPE26_29_Consolidada[[#This Row],[Orçado 26/30 (PE25-29)]],0)</f>
        <v>1141.8571428571429</v>
      </c>
      <c r="CQ41" s="146"/>
      <c r="CR41" s="146"/>
      <c r="CS41" s="146"/>
      <c r="CT41" s="146"/>
      <c r="CU41" s="146"/>
      <c r="CV41" s="146"/>
      <c r="CW41" s="146"/>
      <c r="CX41" s="146"/>
      <c r="CY41" s="146"/>
      <c r="CZ41" s="146"/>
      <c r="DA41" s="146"/>
      <c r="DB41" s="146"/>
      <c r="DC41" s="146"/>
      <c r="DD41" s="146"/>
      <c r="DE41" s="146"/>
      <c r="DF41" s="146"/>
      <c r="DG41" s="146"/>
      <c r="DH41" s="146"/>
      <c r="DI41" s="146"/>
      <c r="DJ41" s="146"/>
      <c r="DK41" s="146"/>
      <c r="DL41" s="146"/>
      <c r="DM41" s="146"/>
      <c r="DN41" s="146"/>
      <c r="DO41" s="146"/>
      <c r="DP41" s="146"/>
      <c r="DQ41" s="146"/>
      <c r="DR41" s="146"/>
      <c r="DS41" s="146"/>
      <c r="DT41" s="146"/>
      <c r="DU41" s="146"/>
      <c r="DV41" s="146"/>
      <c r="DW41" s="146"/>
      <c r="DX41" s="146"/>
      <c r="DY41" s="146"/>
      <c r="DZ41" s="146"/>
      <c r="EA41" s="146"/>
      <c r="EB41" s="146"/>
      <c r="EC41" s="146"/>
      <c r="ED41" s="146"/>
      <c r="EE41" s="146"/>
      <c r="EF41" s="146"/>
      <c r="EG41" s="146"/>
      <c r="EH41" s="146"/>
      <c r="EI41" s="146"/>
      <c r="EJ41" s="146"/>
      <c r="EK41" s="146"/>
      <c r="EL41" s="146"/>
      <c r="EM41" s="146"/>
      <c r="EN41" s="146"/>
      <c r="EO41" s="146"/>
      <c r="EP41" s="146"/>
      <c r="EQ41" s="146"/>
      <c r="ER41" s="146"/>
      <c r="ES41" s="146"/>
      <c r="ET41" s="146"/>
      <c r="EU41" s="146"/>
      <c r="EV41" s="146"/>
      <c r="EW41" s="146"/>
      <c r="EX41" s="146"/>
      <c r="EY41" s="146"/>
      <c r="EZ41" s="146"/>
    </row>
    <row r="42" spans="1:156" ht="14.5" x14ac:dyDescent="0.35">
      <c r="A42" s="43"/>
      <c r="B42" s="75" t="b">
        <v>1</v>
      </c>
      <c r="C42" s="43" t="s">
        <v>2310</v>
      </c>
      <c r="D42" s="43" t="s">
        <v>439</v>
      </c>
      <c r="E42" s="43" t="s">
        <v>2281</v>
      </c>
      <c r="F42" s="43"/>
      <c r="G42" s="43" t="s">
        <v>2442</v>
      </c>
      <c r="H42" s="43" t="s">
        <v>506</v>
      </c>
      <c r="I42" s="43" t="s">
        <v>1015</v>
      </c>
      <c r="J42" s="43" t="s">
        <v>508</v>
      </c>
      <c r="K42" s="43" t="s">
        <v>1039</v>
      </c>
      <c r="L42" s="43" t="s">
        <v>1040</v>
      </c>
      <c r="M42" s="43" t="s">
        <v>2312</v>
      </c>
      <c r="N42" s="43"/>
      <c r="O42" s="43"/>
      <c r="P42" s="43"/>
      <c r="Q42" s="43" t="s">
        <v>2443</v>
      </c>
      <c r="R42" s="43" t="s">
        <v>2406</v>
      </c>
      <c r="S42" s="43" t="s">
        <v>1020</v>
      </c>
      <c r="T42" s="213">
        <v>5000</v>
      </c>
      <c r="U42" s="213">
        <v>5000</v>
      </c>
      <c r="V42" s="213">
        <v>5000</v>
      </c>
      <c r="W42" s="213">
        <v>5000</v>
      </c>
      <c r="X42" s="213">
        <v>5000</v>
      </c>
      <c r="Y42" s="213">
        <v>5000</v>
      </c>
      <c r="Z42" s="213">
        <v>5000</v>
      </c>
      <c r="AA42" s="213">
        <v>193000</v>
      </c>
      <c r="AB42" s="213">
        <v>193000</v>
      </c>
      <c r="AC42" s="213">
        <v>243000</v>
      </c>
      <c r="AD42" s="213">
        <v>243000</v>
      </c>
      <c r="AE42" s="213">
        <v>193000</v>
      </c>
      <c r="AF42" s="213">
        <v>1100000</v>
      </c>
      <c r="AG42" s="213">
        <v>900000</v>
      </c>
      <c r="AH42" s="213">
        <v>0</v>
      </c>
      <c r="AI42" s="213">
        <v>0</v>
      </c>
      <c r="AJ42" s="213">
        <v>0</v>
      </c>
      <c r="AK42" s="213">
        <v>2000000</v>
      </c>
      <c r="AL42" s="213">
        <v>0</v>
      </c>
      <c r="AM42" s="213">
        <v>0</v>
      </c>
      <c r="AN42" s="213">
        <v>0</v>
      </c>
      <c r="AO42" s="213">
        <v>0</v>
      </c>
      <c r="AP42" s="213">
        <v>0</v>
      </c>
      <c r="AQ42" s="213">
        <v>2000000</v>
      </c>
      <c r="AR42" s="43">
        <v>180</v>
      </c>
      <c r="AS42" s="43" t="s">
        <v>2407</v>
      </c>
      <c r="AT42" s="181">
        <v>2025</v>
      </c>
      <c r="AU42" s="43">
        <f>_xlfn.XLOOKUP(_tPE26_29_Consolidada[[#This Row],[ID Financeiro]],[5]Projetos!$K:$K,[5]Projetos!$A:$A,0,0)</f>
        <v>0</v>
      </c>
      <c r="AV42" s="43" t="s">
        <v>2444</v>
      </c>
      <c r="AW42" s="43" t="s">
        <v>1854</v>
      </c>
      <c r="AX42" s="62" t="s">
        <v>2443</v>
      </c>
      <c r="AY42" s="62"/>
      <c r="AZ42" s="43" t="s">
        <v>2409</v>
      </c>
      <c r="BA42" s="43"/>
      <c r="BB42" s="43"/>
      <c r="BC42" s="43"/>
      <c r="BD42" s="43"/>
      <c r="BE42" s="43"/>
      <c r="BF42" s="43"/>
      <c r="BG42" s="43"/>
      <c r="BH42" s="43"/>
      <c r="BI42" s="43"/>
      <c r="BJ42" s="43"/>
      <c r="BK42" s="43"/>
      <c r="BL42" s="43"/>
      <c r="BM42" s="43"/>
      <c r="BN42" s="43"/>
      <c r="BO42" s="43"/>
      <c r="BP42" s="174">
        <f>IFERROR(VLOOKUP(_tPE26_29_Consolidada[[#This Row],[ID Financeiro]],'[4]PE 25-29'!$B:$AF,31,FALSE),0)</f>
        <v>1500000</v>
      </c>
      <c r="BQ42" s="174">
        <f>_tPE26_29_Consolidada[[#This Row],[2026]]*1000</f>
        <v>1100000000</v>
      </c>
      <c r="BR42" s="176">
        <f>_tPE26_29_Consolidada[[#This Row],[Orçado 2026 (PE25-29)]]-_tPE26_29_Consolidada[[#This Row],[Orçado 2026 (PE26-30)]]</f>
        <v>-1098500000</v>
      </c>
      <c r="BS42" s="175">
        <f>IFERROR(VLOOKUP(_tPE26_29_Consolidada[[#This Row],[ID Financeiro]],'[4]PE 25-29'!$B:$AT,45,FALSE),0)</f>
        <v>1500000</v>
      </c>
      <c r="BT42" s="175">
        <f>_tPE26_29_Consolidada[[#This Row],[2026-2030]]*1000</f>
        <v>2000000000</v>
      </c>
      <c r="BU42" s="175">
        <f>-_tPE26_29_Consolidada[[#This Row],[Orçado 26/30 (PE25-29)]]+_tPE26_29_Consolidada[[#This Row],[Orçado 26/30 (PE26-30)]]</f>
        <v>1998500000</v>
      </c>
      <c r="BV42" s="177">
        <f>IFERROR(_tPE26_29_Consolidada[[#This Row],[Dif2]]/_tPE26_29_Consolidada[[#This Row],[Orçado 26/30 (PE25-29)]],0)</f>
        <v>1332.3333333333333</v>
      </c>
      <c r="CQ42" s="146"/>
      <c r="CR42" s="146"/>
      <c r="CS42" s="146"/>
      <c r="CT42" s="146"/>
      <c r="CU42" s="146"/>
      <c r="CV42" s="146"/>
      <c r="CW42" s="146"/>
      <c r="CX42" s="146"/>
      <c r="CY42" s="146"/>
      <c r="CZ42" s="146"/>
      <c r="DA42" s="146"/>
      <c r="DB42" s="146"/>
      <c r="DC42" s="146"/>
      <c r="DD42" s="146"/>
      <c r="DE42" s="146"/>
      <c r="DF42" s="146"/>
      <c r="DG42" s="146"/>
      <c r="DH42" s="146"/>
      <c r="DI42" s="146"/>
      <c r="DJ42" s="146"/>
      <c r="DK42" s="146"/>
      <c r="DL42" s="146"/>
      <c r="DM42" s="146"/>
      <c r="DN42" s="146"/>
      <c r="DO42" s="146"/>
      <c r="DP42" s="146"/>
      <c r="DQ42" s="146"/>
      <c r="DR42" s="146"/>
      <c r="DS42" s="146"/>
      <c r="DT42" s="146"/>
      <c r="DU42" s="146"/>
      <c r="DV42" s="146"/>
      <c r="DW42" s="146"/>
      <c r="DX42" s="146"/>
      <c r="DY42" s="146"/>
      <c r="DZ42" s="146"/>
      <c r="EA42" s="146"/>
      <c r="EB42" s="146"/>
      <c r="EC42" s="146"/>
      <c r="ED42" s="146"/>
      <c r="EE42" s="146"/>
      <c r="EF42" s="146"/>
      <c r="EG42" s="146"/>
      <c r="EH42" s="146"/>
      <c r="EI42" s="146"/>
      <c r="EJ42" s="146"/>
      <c r="EK42" s="146"/>
      <c r="EL42" s="146"/>
      <c r="EM42" s="146"/>
      <c r="EN42" s="146"/>
      <c r="EO42" s="146"/>
      <c r="EP42" s="146"/>
      <c r="EQ42" s="146"/>
      <c r="ER42" s="146"/>
      <c r="ES42" s="146"/>
      <c r="ET42" s="146"/>
      <c r="EU42" s="146"/>
      <c r="EV42" s="146"/>
      <c r="EW42" s="146"/>
      <c r="EX42" s="146"/>
      <c r="EY42" s="146"/>
      <c r="EZ42" s="146"/>
    </row>
    <row r="43" spans="1:156" ht="14.5" x14ac:dyDescent="0.35">
      <c r="A43" s="43"/>
      <c r="B43" s="75" t="b">
        <v>1</v>
      </c>
      <c r="C43" s="43" t="s">
        <v>2310</v>
      </c>
      <c r="D43" s="43" t="s">
        <v>439</v>
      </c>
      <c r="E43" s="43" t="s">
        <v>2281</v>
      </c>
      <c r="F43" s="43"/>
      <c r="G43" s="43" t="s">
        <v>2445</v>
      </c>
      <c r="H43" s="43" t="s">
        <v>506</v>
      </c>
      <c r="I43" s="43" t="s">
        <v>1015</v>
      </c>
      <c r="J43" s="43" t="s">
        <v>508</v>
      </c>
      <c r="K43" s="43" t="s">
        <v>1039</v>
      </c>
      <c r="L43" s="43" t="s">
        <v>1040</v>
      </c>
      <c r="M43" s="43" t="s">
        <v>2312</v>
      </c>
      <c r="N43" s="43"/>
      <c r="O43" s="43"/>
      <c r="P43" s="43"/>
      <c r="Q43" s="43" t="s">
        <v>2446</v>
      </c>
      <c r="R43" s="43" t="s">
        <v>2314</v>
      </c>
      <c r="S43" s="43" t="s">
        <v>2447</v>
      </c>
      <c r="T43" s="213">
        <v>1000</v>
      </c>
      <c r="U43" s="213">
        <v>1000</v>
      </c>
      <c r="V43" s="213">
        <v>1000</v>
      </c>
      <c r="W43" s="213">
        <v>1000</v>
      </c>
      <c r="X43" s="213">
        <v>1000</v>
      </c>
      <c r="Y43" s="213">
        <v>1000</v>
      </c>
      <c r="Z43" s="213">
        <v>1000</v>
      </c>
      <c r="AA43" s="213">
        <v>1000</v>
      </c>
      <c r="AB43" s="213">
        <v>50000</v>
      </c>
      <c r="AC43" s="213">
        <v>10000</v>
      </c>
      <c r="AD43" s="213">
        <v>64000</v>
      </c>
      <c r="AE43" s="213">
        <v>10000</v>
      </c>
      <c r="AF43" s="213">
        <v>142000</v>
      </c>
      <c r="AG43" s="213">
        <v>8000</v>
      </c>
      <c r="AH43" s="213">
        <v>0</v>
      </c>
      <c r="AI43" s="213">
        <v>0</v>
      </c>
      <c r="AJ43" s="213">
        <v>0</v>
      </c>
      <c r="AK43" s="213">
        <v>150000</v>
      </c>
      <c r="AL43" s="213">
        <v>0</v>
      </c>
      <c r="AM43" s="213">
        <v>0</v>
      </c>
      <c r="AN43" s="213">
        <v>0</v>
      </c>
      <c r="AO43" s="213">
        <v>0</v>
      </c>
      <c r="AP43" s="213">
        <v>0</v>
      </c>
      <c r="AQ43" s="213">
        <v>150000</v>
      </c>
      <c r="AR43" s="43">
        <v>181</v>
      </c>
      <c r="AS43" s="43" t="s">
        <v>2316</v>
      </c>
      <c r="AT43" s="181">
        <v>2025</v>
      </c>
      <c r="AU43" s="43">
        <f>_xlfn.XLOOKUP(_tPE26_29_Consolidada[[#This Row],[ID Financeiro]],[5]Projetos!$K:$K,[5]Projetos!$A:$A,0,0)</f>
        <v>0</v>
      </c>
      <c r="AV43" s="43" t="s">
        <v>2448</v>
      </c>
      <c r="AW43" s="43" t="s">
        <v>1854</v>
      </c>
      <c r="AX43" s="62" t="s">
        <v>2446</v>
      </c>
      <c r="AY43" s="62"/>
      <c r="AZ43" s="43" t="s">
        <v>2382</v>
      </c>
      <c r="BA43" s="43"/>
      <c r="BB43" s="43"/>
      <c r="BC43" s="43"/>
      <c r="BD43" s="43"/>
      <c r="BE43" s="43"/>
      <c r="BF43" s="43"/>
      <c r="BG43" s="43"/>
      <c r="BH43" s="43"/>
      <c r="BI43" s="43"/>
      <c r="BJ43" s="43"/>
      <c r="BK43" s="43"/>
      <c r="BL43" s="43"/>
      <c r="BM43" s="43"/>
      <c r="BN43" s="43"/>
      <c r="BO43" s="43"/>
      <c r="BP43" s="174">
        <f>IFERROR(VLOOKUP(_tPE26_29_Consolidada[[#This Row],[ID Financeiro]],'[4]PE 25-29'!$B:$AF,31,FALSE),0)</f>
        <v>0</v>
      </c>
      <c r="BQ43" s="174">
        <f>_tPE26_29_Consolidada[[#This Row],[2026]]*1000</f>
        <v>142000000</v>
      </c>
      <c r="BR43" s="176">
        <f>_tPE26_29_Consolidada[[#This Row],[Orçado 2026 (PE25-29)]]-_tPE26_29_Consolidada[[#This Row],[Orçado 2026 (PE26-30)]]</f>
        <v>-142000000</v>
      </c>
      <c r="BS43" s="175">
        <f>IFERROR(VLOOKUP(_tPE26_29_Consolidada[[#This Row],[ID Financeiro]],'[4]PE 25-29'!$B:$AT,45,FALSE),0)</f>
        <v>0</v>
      </c>
      <c r="BT43" s="175">
        <f>_tPE26_29_Consolidada[[#This Row],[2026-2030]]*1000</f>
        <v>150000000</v>
      </c>
      <c r="BU43" s="175">
        <f>-_tPE26_29_Consolidada[[#This Row],[Orçado 26/30 (PE25-29)]]+_tPE26_29_Consolidada[[#This Row],[Orçado 26/30 (PE26-30)]]</f>
        <v>150000000</v>
      </c>
      <c r="BV43" s="177">
        <f>IFERROR(_tPE26_29_Consolidada[[#This Row],[Dif2]]/_tPE26_29_Consolidada[[#This Row],[Orçado 26/30 (PE25-29)]],0)</f>
        <v>0</v>
      </c>
      <c r="CQ43" s="146"/>
      <c r="CR43" s="146"/>
      <c r="CS43" s="146"/>
      <c r="CT43" s="146"/>
      <c r="CU43" s="146"/>
      <c r="CV43" s="146"/>
      <c r="CW43" s="146"/>
      <c r="CX43" s="146"/>
      <c r="CY43" s="146"/>
      <c r="CZ43" s="146"/>
      <c r="DA43" s="146"/>
      <c r="DB43" s="146"/>
      <c r="DC43" s="146"/>
      <c r="DD43" s="146"/>
      <c r="DE43" s="146"/>
      <c r="DF43" s="146"/>
      <c r="DG43" s="146"/>
      <c r="DH43" s="146"/>
      <c r="DI43" s="146"/>
      <c r="DJ43" s="146"/>
      <c r="DK43" s="146"/>
      <c r="DL43" s="146"/>
      <c r="DM43" s="146"/>
      <c r="DN43" s="146"/>
      <c r="DO43" s="146"/>
      <c r="DP43" s="146"/>
      <c r="DQ43" s="146"/>
      <c r="DR43" s="146"/>
      <c r="DS43" s="146"/>
      <c r="DT43" s="146"/>
      <c r="DU43" s="146"/>
      <c r="DV43" s="146"/>
      <c r="DW43" s="146"/>
      <c r="DX43" s="146"/>
      <c r="DY43" s="146"/>
      <c r="DZ43" s="146"/>
      <c r="EA43" s="146"/>
      <c r="EB43" s="146"/>
      <c r="EC43" s="146"/>
      <c r="ED43" s="146"/>
      <c r="EE43" s="146"/>
      <c r="EF43" s="146"/>
      <c r="EG43" s="146"/>
      <c r="EH43" s="146"/>
      <c r="EI43" s="146"/>
      <c r="EJ43" s="146"/>
      <c r="EK43" s="146"/>
      <c r="EL43" s="146"/>
      <c r="EM43" s="146"/>
      <c r="EN43" s="146"/>
      <c r="EO43" s="146"/>
      <c r="EP43" s="146"/>
      <c r="EQ43" s="146"/>
      <c r="ER43" s="146"/>
      <c r="ES43" s="146"/>
      <c r="ET43" s="146"/>
      <c r="EU43" s="146"/>
      <c r="EV43" s="146"/>
      <c r="EW43" s="146"/>
      <c r="EX43" s="146"/>
      <c r="EY43" s="146"/>
      <c r="EZ43" s="146"/>
    </row>
    <row r="44" spans="1:156" ht="14.5" x14ac:dyDescent="0.35">
      <c r="A44" s="43"/>
      <c r="B44" s="75" t="b">
        <v>1</v>
      </c>
      <c r="C44" s="43" t="s">
        <v>2310</v>
      </c>
      <c r="D44" s="43" t="s">
        <v>439</v>
      </c>
      <c r="E44" s="43" t="s">
        <v>2281</v>
      </c>
      <c r="F44" s="43"/>
      <c r="G44" s="43" t="s">
        <v>2449</v>
      </c>
      <c r="H44" s="43" t="s">
        <v>506</v>
      </c>
      <c r="I44" s="43" t="s">
        <v>1015</v>
      </c>
      <c r="J44" s="43" t="s">
        <v>508</v>
      </c>
      <c r="K44" s="43" t="s">
        <v>1039</v>
      </c>
      <c r="L44" s="43" t="s">
        <v>1040</v>
      </c>
      <c r="M44" s="43" t="s">
        <v>2312</v>
      </c>
      <c r="N44" s="43"/>
      <c r="O44" s="43"/>
      <c r="P44" s="43"/>
      <c r="Q44" s="43" t="s">
        <v>2450</v>
      </c>
      <c r="R44" s="43" t="s">
        <v>2314</v>
      </c>
      <c r="S44" s="43" t="s">
        <v>2380</v>
      </c>
      <c r="T44" s="213">
        <v>1000</v>
      </c>
      <c r="U44" s="213">
        <v>1000</v>
      </c>
      <c r="V44" s="213">
        <v>1000</v>
      </c>
      <c r="W44" s="213">
        <v>1000</v>
      </c>
      <c r="X44" s="213">
        <v>1000</v>
      </c>
      <c r="Y44" s="213">
        <v>1000</v>
      </c>
      <c r="Z44" s="213">
        <v>1000</v>
      </c>
      <c r="AA44" s="213">
        <v>1000</v>
      </c>
      <c r="AB44" s="213">
        <v>50000</v>
      </c>
      <c r="AC44" s="213">
        <v>10000</v>
      </c>
      <c r="AD44" s="213">
        <v>64000</v>
      </c>
      <c r="AE44" s="213">
        <v>10000</v>
      </c>
      <c r="AF44" s="213">
        <v>142000</v>
      </c>
      <c r="AG44" s="213">
        <v>8000</v>
      </c>
      <c r="AH44" s="213">
        <v>0</v>
      </c>
      <c r="AI44" s="213">
        <v>0</v>
      </c>
      <c r="AJ44" s="213">
        <v>0</v>
      </c>
      <c r="AK44" s="213">
        <v>150000</v>
      </c>
      <c r="AL44" s="213">
        <v>0</v>
      </c>
      <c r="AM44" s="213">
        <v>0</v>
      </c>
      <c r="AN44" s="213">
        <v>0</v>
      </c>
      <c r="AO44" s="213">
        <v>0</v>
      </c>
      <c r="AP44" s="213">
        <v>0</v>
      </c>
      <c r="AQ44" s="213">
        <v>150000</v>
      </c>
      <c r="AR44" s="43">
        <v>182</v>
      </c>
      <c r="AS44" s="43" t="s">
        <v>2316</v>
      </c>
      <c r="AT44" s="181">
        <v>2025</v>
      </c>
      <c r="AU44" s="43">
        <f>_xlfn.XLOOKUP(_tPE26_29_Consolidada[[#This Row],[ID Financeiro]],[5]Projetos!$K:$K,[5]Projetos!$A:$A,0,0)</f>
        <v>0</v>
      </c>
      <c r="AV44" s="43" t="s">
        <v>2451</v>
      </c>
      <c r="AW44" s="43" t="s">
        <v>1854</v>
      </c>
      <c r="AX44" s="62" t="s">
        <v>2450</v>
      </c>
      <c r="AY44" s="62"/>
      <c r="AZ44" s="43" t="s">
        <v>2382</v>
      </c>
      <c r="BA44" s="43"/>
      <c r="BB44" s="43"/>
      <c r="BC44" s="43"/>
      <c r="BD44" s="43"/>
      <c r="BE44" s="43"/>
      <c r="BF44" s="43"/>
      <c r="BG44" s="43"/>
      <c r="BH44" s="43"/>
      <c r="BI44" s="43"/>
      <c r="BJ44" s="43"/>
      <c r="BK44" s="43"/>
      <c r="BL44" s="43"/>
      <c r="BM44" s="43"/>
      <c r="BN44" s="43"/>
      <c r="BO44" s="43"/>
      <c r="BP44" s="174">
        <f>IFERROR(VLOOKUP(_tPE26_29_Consolidada[[#This Row],[ID Financeiro]],'[4]PE 25-29'!$B:$AF,31,FALSE),0)</f>
        <v>0</v>
      </c>
      <c r="BQ44" s="174">
        <f>_tPE26_29_Consolidada[[#This Row],[2026]]*1000</f>
        <v>142000000</v>
      </c>
      <c r="BR44" s="176">
        <f>_tPE26_29_Consolidada[[#This Row],[Orçado 2026 (PE25-29)]]-_tPE26_29_Consolidada[[#This Row],[Orçado 2026 (PE26-30)]]</f>
        <v>-142000000</v>
      </c>
      <c r="BS44" s="175">
        <f>IFERROR(VLOOKUP(_tPE26_29_Consolidada[[#This Row],[ID Financeiro]],'[4]PE 25-29'!$B:$AT,45,FALSE),0)</f>
        <v>0</v>
      </c>
      <c r="BT44" s="175">
        <f>_tPE26_29_Consolidada[[#This Row],[2026-2030]]*1000</f>
        <v>150000000</v>
      </c>
      <c r="BU44" s="175">
        <f>-_tPE26_29_Consolidada[[#This Row],[Orçado 26/30 (PE25-29)]]+_tPE26_29_Consolidada[[#This Row],[Orçado 26/30 (PE26-30)]]</f>
        <v>150000000</v>
      </c>
      <c r="BV44" s="177">
        <f>IFERROR(_tPE26_29_Consolidada[[#This Row],[Dif2]]/_tPE26_29_Consolidada[[#This Row],[Orçado 26/30 (PE25-29)]],0)</f>
        <v>0</v>
      </c>
      <c r="CQ44" s="146"/>
      <c r="CR44" s="146"/>
      <c r="CS44" s="146"/>
      <c r="CT44" s="146"/>
      <c r="CU44" s="146"/>
      <c r="CV44" s="146"/>
      <c r="CW44" s="146"/>
      <c r="CX44" s="146"/>
      <c r="CY44" s="146"/>
      <c r="CZ44" s="146"/>
      <c r="DA44" s="146"/>
      <c r="DB44" s="146"/>
      <c r="DC44" s="146"/>
      <c r="DD44" s="146"/>
      <c r="DE44" s="146"/>
      <c r="DF44" s="146"/>
      <c r="DG44" s="146"/>
      <c r="DH44" s="146"/>
      <c r="DI44" s="146"/>
      <c r="DJ44" s="146"/>
      <c r="DK44" s="146"/>
      <c r="DL44" s="146"/>
      <c r="DM44" s="146"/>
      <c r="DN44" s="146"/>
      <c r="DO44" s="146"/>
      <c r="DP44" s="146"/>
      <c r="DQ44" s="146"/>
      <c r="DR44" s="146"/>
      <c r="DS44" s="146"/>
      <c r="DT44" s="146"/>
      <c r="DU44" s="146"/>
      <c r="DV44" s="146"/>
      <c r="DW44" s="146"/>
      <c r="DX44" s="146"/>
      <c r="DY44" s="146"/>
      <c r="DZ44" s="146"/>
      <c r="EA44" s="146"/>
      <c r="EB44" s="146"/>
      <c r="EC44" s="146"/>
      <c r="ED44" s="146"/>
      <c r="EE44" s="146"/>
      <c r="EF44" s="146"/>
      <c r="EG44" s="146"/>
      <c r="EH44" s="146"/>
      <c r="EI44" s="146"/>
      <c r="EJ44" s="146"/>
      <c r="EK44" s="146"/>
      <c r="EL44" s="146"/>
      <c r="EM44" s="146"/>
      <c r="EN44" s="146"/>
      <c r="EO44" s="146"/>
      <c r="EP44" s="146"/>
      <c r="EQ44" s="146"/>
      <c r="ER44" s="146"/>
      <c r="ES44" s="146"/>
      <c r="ET44" s="146"/>
      <c r="EU44" s="146"/>
      <c r="EV44" s="146"/>
      <c r="EW44" s="146"/>
      <c r="EX44" s="146"/>
      <c r="EY44" s="146"/>
      <c r="EZ44" s="146"/>
    </row>
    <row r="45" spans="1:156" ht="14.5" x14ac:dyDescent="0.35">
      <c r="A45" s="43"/>
      <c r="B45" s="75" t="b">
        <v>1</v>
      </c>
      <c r="C45" s="43" t="s">
        <v>2310</v>
      </c>
      <c r="D45" s="43" t="s">
        <v>439</v>
      </c>
      <c r="E45" s="43" t="s">
        <v>2281</v>
      </c>
      <c r="F45" s="43"/>
      <c r="G45" s="43" t="s">
        <v>2452</v>
      </c>
      <c r="H45" s="43" t="s">
        <v>506</v>
      </c>
      <c r="I45" s="43" t="s">
        <v>1015</v>
      </c>
      <c r="J45" s="43" t="s">
        <v>508</v>
      </c>
      <c r="K45" s="43" t="s">
        <v>1039</v>
      </c>
      <c r="L45" s="43" t="s">
        <v>1040</v>
      </c>
      <c r="M45" s="43" t="s">
        <v>2312</v>
      </c>
      <c r="N45" s="43"/>
      <c r="O45" s="43"/>
      <c r="P45" s="43"/>
      <c r="Q45" s="43" t="s">
        <v>2453</v>
      </c>
      <c r="R45" s="43" t="s">
        <v>2314</v>
      </c>
      <c r="S45" s="43" t="s">
        <v>2380</v>
      </c>
      <c r="T45" s="213">
        <v>1000</v>
      </c>
      <c r="U45" s="213">
        <v>1000</v>
      </c>
      <c r="V45" s="213">
        <v>2000</v>
      </c>
      <c r="W45" s="213">
        <v>2000</v>
      </c>
      <c r="X45" s="213">
        <v>70000</v>
      </c>
      <c r="Y45" s="213">
        <v>4000</v>
      </c>
      <c r="Z45" s="213">
        <v>4000</v>
      </c>
      <c r="AA45" s="213">
        <v>4000</v>
      </c>
      <c r="AB45" s="213">
        <v>4000</v>
      </c>
      <c r="AC45" s="213">
        <v>0</v>
      </c>
      <c r="AD45" s="213">
        <v>0</v>
      </c>
      <c r="AE45" s="213">
        <v>0</v>
      </c>
      <c r="AF45" s="213">
        <v>92000</v>
      </c>
      <c r="AG45" s="213">
        <v>0</v>
      </c>
      <c r="AH45" s="213">
        <v>0</v>
      </c>
      <c r="AI45" s="213">
        <v>0</v>
      </c>
      <c r="AJ45" s="213">
        <v>0</v>
      </c>
      <c r="AK45" s="213">
        <v>92000</v>
      </c>
      <c r="AL45" s="213">
        <v>0</v>
      </c>
      <c r="AM45" s="213">
        <v>0</v>
      </c>
      <c r="AN45" s="213">
        <v>0</v>
      </c>
      <c r="AO45" s="213">
        <v>0</v>
      </c>
      <c r="AP45" s="213">
        <v>0</v>
      </c>
      <c r="AQ45" s="213">
        <v>92000</v>
      </c>
      <c r="AR45" s="43">
        <v>183</v>
      </c>
      <c r="AS45" s="43" t="s">
        <v>2316</v>
      </c>
      <c r="AT45" s="181">
        <v>2025</v>
      </c>
      <c r="AU45" s="43">
        <f>_xlfn.XLOOKUP(_tPE26_29_Consolidada[[#This Row],[ID Financeiro]],[5]Projetos!$K:$K,[5]Projetos!$A:$A,0,0)</f>
        <v>0</v>
      </c>
      <c r="AV45" s="43" t="s">
        <v>2454</v>
      </c>
      <c r="AW45" s="43" t="s">
        <v>1854</v>
      </c>
      <c r="AX45" s="62" t="s">
        <v>2453</v>
      </c>
      <c r="AY45" s="62"/>
      <c r="AZ45" s="43" t="s">
        <v>2382</v>
      </c>
      <c r="BA45" s="43"/>
      <c r="BB45" s="43"/>
      <c r="BC45" s="43"/>
      <c r="BD45" s="43"/>
      <c r="BE45" s="43"/>
      <c r="BF45" s="43"/>
      <c r="BG45" s="43"/>
      <c r="BH45" s="43"/>
      <c r="BI45" s="43"/>
      <c r="BJ45" s="43"/>
      <c r="BK45" s="43"/>
      <c r="BL45" s="43"/>
      <c r="BM45" s="43"/>
      <c r="BN45" s="43"/>
      <c r="BO45" s="43"/>
      <c r="BP45" s="174">
        <f>IFERROR(VLOOKUP(_tPE26_29_Consolidada[[#This Row],[ID Financeiro]],'[4]PE 25-29'!$B:$AF,31,FALSE),0)</f>
        <v>0</v>
      </c>
      <c r="BQ45" s="174">
        <f>_tPE26_29_Consolidada[[#This Row],[2026]]*1000</f>
        <v>92000000</v>
      </c>
      <c r="BR45" s="176">
        <f>_tPE26_29_Consolidada[[#This Row],[Orçado 2026 (PE25-29)]]-_tPE26_29_Consolidada[[#This Row],[Orçado 2026 (PE26-30)]]</f>
        <v>-92000000</v>
      </c>
      <c r="BS45" s="175">
        <f>IFERROR(VLOOKUP(_tPE26_29_Consolidada[[#This Row],[ID Financeiro]],'[4]PE 25-29'!$B:$AT,45,FALSE),0)</f>
        <v>0</v>
      </c>
      <c r="BT45" s="175">
        <f>_tPE26_29_Consolidada[[#This Row],[2026-2030]]*1000</f>
        <v>92000000</v>
      </c>
      <c r="BU45" s="175">
        <f>-_tPE26_29_Consolidada[[#This Row],[Orçado 26/30 (PE25-29)]]+_tPE26_29_Consolidada[[#This Row],[Orçado 26/30 (PE26-30)]]</f>
        <v>92000000</v>
      </c>
      <c r="BV45" s="177">
        <f>IFERROR(_tPE26_29_Consolidada[[#This Row],[Dif2]]/_tPE26_29_Consolidada[[#This Row],[Orçado 26/30 (PE25-29)]],0)</f>
        <v>0</v>
      </c>
      <c r="CQ45" s="146"/>
      <c r="CR45" s="146"/>
      <c r="CS45" s="146"/>
      <c r="CT45" s="146"/>
      <c r="CU45" s="146"/>
      <c r="CV45" s="146"/>
      <c r="CW45" s="146"/>
      <c r="CX45" s="146"/>
      <c r="CY45" s="146"/>
      <c r="CZ45" s="146"/>
      <c r="DA45" s="146"/>
      <c r="DB45" s="146"/>
      <c r="DC45" s="146"/>
      <c r="DD45" s="146"/>
      <c r="DE45" s="146"/>
      <c r="DF45" s="146"/>
      <c r="DG45" s="146"/>
      <c r="DH45" s="146"/>
      <c r="DI45" s="146"/>
      <c r="DJ45" s="146"/>
      <c r="DK45" s="146"/>
      <c r="DL45" s="146"/>
      <c r="DM45" s="146"/>
      <c r="DN45" s="146"/>
      <c r="DO45" s="146"/>
      <c r="DP45" s="146"/>
      <c r="DQ45" s="146"/>
      <c r="DR45" s="146"/>
      <c r="DS45" s="146"/>
      <c r="DT45" s="146"/>
      <c r="DU45" s="146"/>
      <c r="DV45" s="146"/>
      <c r="DW45" s="146"/>
      <c r="DX45" s="146"/>
      <c r="DY45" s="146"/>
      <c r="DZ45" s="146"/>
      <c r="EA45" s="146"/>
      <c r="EB45" s="146"/>
      <c r="EC45" s="146"/>
      <c r="ED45" s="146"/>
      <c r="EE45" s="146"/>
      <c r="EF45" s="146"/>
      <c r="EG45" s="146"/>
      <c r="EH45" s="146"/>
      <c r="EI45" s="146"/>
      <c r="EJ45" s="146"/>
      <c r="EK45" s="146"/>
      <c r="EL45" s="146"/>
      <c r="EM45" s="146"/>
      <c r="EN45" s="146"/>
      <c r="EO45" s="146"/>
      <c r="EP45" s="146"/>
      <c r="EQ45" s="146"/>
      <c r="ER45" s="146"/>
      <c r="ES45" s="146"/>
      <c r="ET45" s="146"/>
      <c r="EU45" s="146"/>
      <c r="EV45" s="146"/>
      <c r="EW45" s="146"/>
      <c r="EX45" s="146"/>
      <c r="EY45" s="146"/>
      <c r="EZ45" s="146"/>
    </row>
    <row r="46" spans="1:156" ht="14.5" x14ac:dyDescent="0.35">
      <c r="A46" s="43"/>
      <c r="B46" s="75" t="b">
        <v>1</v>
      </c>
      <c r="C46" s="43" t="s">
        <v>2310</v>
      </c>
      <c r="D46" s="43" t="s">
        <v>439</v>
      </c>
      <c r="E46" s="43" t="s">
        <v>2281</v>
      </c>
      <c r="F46" s="43"/>
      <c r="G46" s="43" t="s">
        <v>2455</v>
      </c>
      <c r="H46" s="43" t="s">
        <v>506</v>
      </c>
      <c r="I46" s="43" t="s">
        <v>1015</v>
      </c>
      <c r="J46" s="43" t="s">
        <v>508</v>
      </c>
      <c r="K46" s="43" t="s">
        <v>1039</v>
      </c>
      <c r="L46" s="43" t="s">
        <v>1040</v>
      </c>
      <c r="M46" s="43" t="s">
        <v>2312</v>
      </c>
      <c r="N46" s="43"/>
      <c r="O46" s="43"/>
      <c r="P46" s="43"/>
      <c r="Q46" s="43" t="s">
        <v>2456</v>
      </c>
      <c r="R46" s="43" t="s">
        <v>2314</v>
      </c>
      <c r="S46" s="43" t="s">
        <v>2315</v>
      </c>
      <c r="T46" s="213">
        <v>0</v>
      </c>
      <c r="U46" s="213">
        <v>1200000</v>
      </c>
      <c r="V46" s="213">
        <v>0</v>
      </c>
      <c r="W46" s="213">
        <v>3300000</v>
      </c>
      <c r="X46" s="213">
        <v>0</v>
      </c>
      <c r="Y46" s="213">
        <v>3300000</v>
      </c>
      <c r="Z46" s="213">
        <v>0</v>
      </c>
      <c r="AA46" s="213">
        <v>0</v>
      </c>
      <c r="AB46" s="213">
        <v>3300000</v>
      </c>
      <c r="AC46" s="213">
        <v>0</v>
      </c>
      <c r="AD46" s="213">
        <v>3300000</v>
      </c>
      <c r="AE46" s="213">
        <v>0</v>
      </c>
      <c r="AF46" s="213">
        <v>14400000</v>
      </c>
      <c r="AG46" s="213">
        <v>9600000</v>
      </c>
      <c r="AH46" s="213">
        <v>0</v>
      </c>
      <c r="AI46" s="213">
        <v>0</v>
      </c>
      <c r="AJ46" s="213">
        <v>0</v>
      </c>
      <c r="AK46" s="213">
        <v>24000000</v>
      </c>
      <c r="AL46" s="213">
        <v>0</v>
      </c>
      <c r="AM46" s="213">
        <v>0</v>
      </c>
      <c r="AN46" s="213">
        <v>0</v>
      </c>
      <c r="AO46" s="213">
        <v>0</v>
      </c>
      <c r="AP46" s="213">
        <v>0</v>
      </c>
      <c r="AQ46" s="213">
        <v>24000000</v>
      </c>
      <c r="AR46" s="43">
        <v>184</v>
      </c>
      <c r="AS46" s="43" t="s">
        <v>2316</v>
      </c>
      <c r="AT46" s="181">
        <v>2025</v>
      </c>
      <c r="AU46" s="43">
        <f>_xlfn.XLOOKUP(_tPE26_29_Consolidada[[#This Row],[ID Financeiro]],[5]Projetos!$K:$K,[5]Projetos!$A:$A,0,0)</f>
        <v>0</v>
      </c>
      <c r="AV46" s="43" t="s">
        <v>2457</v>
      </c>
      <c r="AW46" s="43" t="s">
        <v>1049</v>
      </c>
      <c r="AX46" s="62" t="s">
        <v>2458</v>
      </c>
      <c r="AY46" s="62"/>
      <c r="AZ46" s="43" t="s">
        <v>2459</v>
      </c>
      <c r="BA46" s="43"/>
      <c r="BB46" s="43"/>
      <c r="BC46" s="43"/>
      <c r="BD46" s="43"/>
      <c r="BE46" s="43"/>
      <c r="BF46" s="43"/>
      <c r="BG46" s="43"/>
      <c r="BH46" s="43"/>
      <c r="BI46" s="43"/>
      <c r="BJ46" s="43"/>
      <c r="BK46" s="43"/>
      <c r="BL46" s="43"/>
      <c r="BM46" s="43"/>
      <c r="BN46" s="43"/>
      <c r="BO46" s="43"/>
      <c r="BP46" s="174">
        <f>IFERROR(VLOOKUP(_tPE26_29_Consolidada[[#This Row],[ID Financeiro]],'[4]PE 25-29'!$B:$AF,31,FALSE),0)</f>
        <v>6000000</v>
      </c>
      <c r="BQ46" s="174">
        <f>_tPE26_29_Consolidada[[#This Row],[2026]]*1000</f>
        <v>14400000000</v>
      </c>
      <c r="BR46" s="176">
        <f>_tPE26_29_Consolidada[[#This Row],[Orçado 2026 (PE25-29)]]-_tPE26_29_Consolidada[[#This Row],[Orçado 2026 (PE26-30)]]</f>
        <v>-14394000000</v>
      </c>
      <c r="BS46" s="175">
        <f>IFERROR(VLOOKUP(_tPE26_29_Consolidada[[#This Row],[ID Financeiro]],'[4]PE 25-29'!$B:$AT,45,FALSE),0)</f>
        <v>18987498</v>
      </c>
      <c r="BT46" s="175">
        <f>_tPE26_29_Consolidada[[#This Row],[2026-2030]]*1000</f>
        <v>24000000000</v>
      </c>
      <c r="BU46" s="175">
        <f>-_tPE26_29_Consolidada[[#This Row],[Orçado 26/30 (PE25-29)]]+_tPE26_29_Consolidada[[#This Row],[Orçado 26/30 (PE26-30)]]</f>
        <v>23981012502</v>
      </c>
      <c r="BV46" s="177">
        <f>IFERROR(_tPE26_29_Consolidada[[#This Row],[Dif2]]/_tPE26_29_Consolidada[[#This Row],[Orçado 26/30 (PE25-29)]],0)</f>
        <v>1262.9895998935722</v>
      </c>
      <c r="CQ46" s="146"/>
      <c r="CR46" s="146"/>
      <c r="CS46" s="146"/>
      <c r="CT46" s="146"/>
      <c r="CU46" s="146"/>
      <c r="CV46" s="146"/>
      <c r="CW46" s="146"/>
      <c r="CX46" s="146"/>
      <c r="CY46" s="146"/>
      <c r="CZ46" s="146"/>
      <c r="DA46" s="146"/>
      <c r="DB46" s="146"/>
      <c r="DC46" s="146"/>
      <c r="DD46" s="146"/>
      <c r="DE46" s="146"/>
      <c r="DF46" s="146"/>
      <c r="DG46" s="146"/>
      <c r="DH46" s="146"/>
      <c r="DI46" s="146"/>
      <c r="DJ46" s="146"/>
      <c r="DK46" s="146"/>
      <c r="DL46" s="146"/>
      <c r="DM46" s="146"/>
      <c r="DN46" s="146"/>
      <c r="DO46" s="146"/>
      <c r="DP46" s="146"/>
      <c r="DQ46" s="146"/>
      <c r="DR46" s="146"/>
      <c r="DS46" s="146"/>
      <c r="DT46" s="146"/>
      <c r="DU46" s="146"/>
      <c r="DV46" s="146"/>
      <c r="DW46" s="146"/>
      <c r="DX46" s="146"/>
      <c r="DY46" s="146"/>
      <c r="DZ46" s="146"/>
      <c r="EA46" s="146"/>
      <c r="EB46" s="146"/>
      <c r="EC46" s="146"/>
      <c r="ED46" s="146"/>
      <c r="EE46" s="146"/>
      <c r="EF46" s="146"/>
      <c r="EG46" s="146"/>
      <c r="EH46" s="146"/>
      <c r="EI46" s="146"/>
      <c r="EJ46" s="146"/>
      <c r="EK46" s="146"/>
      <c r="EL46" s="146"/>
      <c r="EM46" s="146"/>
      <c r="EN46" s="146"/>
      <c r="EO46" s="146"/>
      <c r="EP46" s="146"/>
      <c r="EQ46" s="146"/>
      <c r="ER46" s="146"/>
      <c r="ES46" s="146"/>
      <c r="ET46" s="146"/>
      <c r="EU46" s="146"/>
      <c r="EV46" s="146"/>
      <c r="EW46" s="146"/>
      <c r="EX46" s="146"/>
      <c r="EY46" s="146"/>
      <c r="EZ46" s="146"/>
    </row>
    <row r="47" spans="1:156" ht="14.5" x14ac:dyDescent="0.35">
      <c r="A47" s="43"/>
      <c r="B47" s="75" t="b">
        <v>1</v>
      </c>
      <c r="C47" s="43" t="s">
        <v>2310</v>
      </c>
      <c r="D47" s="43" t="s">
        <v>439</v>
      </c>
      <c r="E47" s="43" t="s">
        <v>2281</v>
      </c>
      <c r="F47" s="43"/>
      <c r="G47" s="43" t="s">
        <v>2460</v>
      </c>
      <c r="H47" s="43" t="s">
        <v>506</v>
      </c>
      <c r="I47" s="43" t="s">
        <v>1015</v>
      </c>
      <c r="J47" s="43" t="s">
        <v>508</v>
      </c>
      <c r="K47" s="43" t="s">
        <v>1039</v>
      </c>
      <c r="L47" s="43" t="s">
        <v>1040</v>
      </c>
      <c r="M47" s="43" t="s">
        <v>2312</v>
      </c>
      <c r="N47" s="43"/>
      <c r="O47" s="43"/>
      <c r="P47" s="43"/>
      <c r="Q47" s="43" t="s">
        <v>2461</v>
      </c>
      <c r="R47" s="43" t="s">
        <v>2314</v>
      </c>
      <c r="S47" s="43" t="s">
        <v>2315</v>
      </c>
      <c r="T47" s="213">
        <v>0</v>
      </c>
      <c r="U47" s="213">
        <v>0</v>
      </c>
      <c r="V47" s="213">
        <v>0</v>
      </c>
      <c r="W47" s="213">
        <v>0</v>
      </c>
      <c r="X47" s="213">
        <v>0</v>
      </c>
      <c r="Y47" s="213">
        <v>0</v>
      </c>
      <c r="Z47" s="213">
        <v>0</v>
      </c>
      <c r="AA47" s="213">
        <v>0</v>
      </c>
      <c r="AB47" s="213">
        <v>0</v>
      </c>
      <c r="AC47" s="213">
        <v>350000</v>
      </c>
      <c r="AD47" s="213">
        <v>350000</v>
      </c>
      <c r="AE47" s="213">
        <v>350000</v>
      </c>
      <c r="AF47" s="213">
        <v>1050000</v>
      </c>
      <c r="AG47" s="213">
        <v>9250000</v>
      </c>
      <c r="AH47" s="213">
        <v>5000000</v>
      </c>
      <c r="AI47" s="213">
        <v>3500000</v>
      </c>
      <c r="AJ47" s="213">
        <v>1200000</v>
      </c>
      <c r="AK47" s="213">
        <v>20000000</v>
      </c>
      <c r="AL47" s="213">
        <v>0</v>
      </c>
      <c r="AM47" s="213">
        <v>0</v>
      </c>
      <c r="AN47" s="213">
        <v>0</v>
      </c>
      <c r="AO47" s="213">
        <v>0</v>
      </c>
      <c r="AP47" s="213">
        <v>0</v>
      </c>
      <c r="AQ47" s="213">
        <v>20000000</v>
      </c>
      <c r="AR47" s="43">
        <v>185</v>
      </c>
      <c r="AS47" s="43" t="s">
        <v>2316</v>
      </c>
      <c r="AT47" s="181">
        <v>2025</v>
      </c>
      <c r="AU47" s="43">
        <f>_xlfn.XLOOKUP(_tPE26_29_Consolidada[[#This Row],[ID Financeiro]],[5]Projetos!$K:$K,[5]Projetos!$A:$A,0,0)</f>
        <v>0</v>
      </c>
      <c r="AV47" s="43" t="s">
        <v>2462</v>
      </c>
      <c r="AW47" s="43" t="s">
        <v>1854</v>
      </c>
      <c r="AX47" s="62" t="s">
        <v>2461</v>
      </c>
      <c r="AY47" s="62"/>
      <c r="AZ47" s="43" t="s">
        <v>2347</v>
      </c>
      <c r="BA47" s="43"/>
      <c r="BB47" s="43"/>
      <c r="BC47" s="43"/>
      <c r="BD47" s="43"/>
      <c r="BE47" s="43"/>
      <c r="BF47" s="43"/>
      <c r="BG47" s="43"/>
      <c r="BH47" s="43"/>
      <c r="BI47" s="43"/>
      <c r="BJ47" s="43"/>
      <c r="BK47" s="43"/>
      <c r="BL47" s="43"/>
      <c r="BM47" s="43"/>
      <c r="BN47" s="43"/>
      <c r="BO47" s="43"/>
      <c r="BP47" s="174">
        <f>IFERROR(VLOOKUP(_tPE26_29_Consolidada[[#This Row],[ID Financeiro]],'[4]PE 25-29'!$B:$AF,31,FALSE),0)</f>
        <v>7027539</v>
      </c>
      <c r="BQ47" s="174">
        <f>_tPE26_29_Consolidada[[#This Row],[2026]]*1000</f>
        <v>1050000000</v>
      </c>
      <c r="BR47" s="176">
        <f>_tPE26_29_Consolidada[[#This Row],[Orçado 2026 (PE25-29)]]-_tPE26_29_Consolidada[[#This Row],[Orçado 2026 (PE26-30)]]</f>
        <v>-1042972461</v>
      </c>
      <c r="BS47" s="175">
        <f>IFERROR(VLOOKUP(_tPE26_29_Consolidada[[#This Row],[ID Financeiro]],'[4]PE 25-29'!$B:$AT,45,FALSE),0)</f>
        <v>12301539</v>
      </c>
      <c r="BT47" s="175">
        <f>_tPE26_29_Consolidada[[#This Row],[2026-2030]]*1000</f>
        <v>20000000000</v>
      </c>
      <c r="BU47" s="175">
        <f>-_tPE26_29_Consolidada[[#This Row],[Orçado 26/30 (PE25-29)]]+_tPE26_29_Consolidada[[#This Row],[Orçado 26/30 (PE26-30)]]</f>
        <v>19987698461</v>
      </c>
      <c r="BV47" s="177">
        <f>IFERROR(_tPE26_29_Consolidada[[#This Row],[Dif2]]/_tPE26_29_Consolidada[[#This Row],[Orçado 26/30 (PE25-29)]],0)</f>
        <v>1624.8128352883327</v>
      </c>
      <c r="CQ47" s="146"/>
      <c r="CR47" s="146"/>
      <c r="CS47" s="146"/>
      <c r="CT47" s="146"/>
      <c r="CU47" s="146"/>
      <c r="CV47" s="146"/>
      <c r="CW47" s="146"/>
      <c r="CX47" s="146"/>
      <c r="CY47" s="146"/>
      <c r="CZ47" s="146"/>
      <c r="DA47" s="146"/>
      <c r="DB47" s="146"/>
      <c r="DC47" s="146"/>
      <c r="DD47" s="146"/>
      <c r="DE47" s="146"/>
      <c r="DF47" s="146"/>
      <c r="DG47" s="146"/>
      <c r="DH47" s="146"/>
      <c r="DI47" s="146"/>
      <c r="DJ47" s="146"/>
      <c r="DK47" s="146"/>
      <c r="DL47" s="146"/>
      <c r="DM47" s="146"/>
      <c r="DN47" s="146"/>
      <c r="DO47" s="146"/>
      <c r="DP47" s="146"/>
      <c r="DQ47" s="146"/>
      <c r="DR47" s="146"/>
      <c r="DS47" s="146"/>
      <c r="DT47" s="146"/>
      <c r="DU47" s="146"/>
      <c r="DV47" s="146"/>
      <c r="DW47" s="146"/>
      <c r="DX47" s="146"/>
      <c r="DY47" s="146"/>
      <c r="DZ47" s="146"/>
      <c r="EA47" s="146"/>
      <c r="EB47" s="146"/>
      <c r="EC47" s="146"/>
      <c r="ED47" s="146"/>
      <c r="EE47" s="146"/>
      <c r="EF47" s="146"/>
      <c r="EG47" s="146"/>
      <c r="EH47" s="146"/>
      <c r="EI47" s="146"/>
      <c r="EJ47" s="146"/>
      <c r="EK47" s="146"/>
      <c r="EL47" s="146"/>
      <c r="EM47" s="146"/>
      <c r="EN47" s="146"/>
      <c r="EO47" s="146"/>
      <c r="EP47" s="146"/>
      <c r="EQ47" s="146"/>
      <c r="ER47" s="146"/>
      <c r="ES47" s="146"/>
      <c r="ET47" s="146"/>
      <c r="EU47" s="146"/>
      <c r="EV47" s="146"/>
      <c r="EW47" s="146"/>
      <c r="EX47" s="146"/>
      <c r="EY47" s="146"/>
      <c r="EZ47" s="146"/>
    </row>
    <row r="48" spans="1:156" ht="14.5" x14ac:dyDescent="0.35">
      <c r="A48" s="43"/>
      <c r="B48" s="75" t="b">
        <v>1</v>
      </c>
      <c r="C48" s="43" t="s">
        <v>2310</v>
      </c>
      <c r="D48" s="43" t="s">
        <v>439</v>
      </c>
      <c r="E48" s="43" t="s">
        <v>2281</v>
      </c>
      <c r="F48" s="43"/>
      <c r="G48" s="43" t="s">
        <v>2463</v>
      </c>
      <c r="H48" s="43" t="s">
        <v>506</v>
      </c>
      <c r="I48" s="43" t="s">
        <v>1015</v>
      </c>
      <c r="J48" s="43" t="s">
        <v>508</v>
      </c>
      <c r="K48" s="43" t="s">
        <v>1039</v>
      </c>
      <c r="L48" s="43" t="s">
        <v>1040</v>
      </c>
      <c r="M48" s="43" t="s">
        <v>2312</v>
      </c>
      <c r="N48" s="43"/>
      <c r="O48" s="43"/>
      <c r="P48" s="43"/>
      <c r="Q48" s="43" t="s">
        <v>2464</v>
      </c>
      <c r="R48" s="43" t="s">
        <v>2314</v>
      </c>
      <c r="S48" s="43" t="s">
        <v>1016</v>
      </c>
      <c r="T48" s="213">
        <v>0</v>
      </c>
      <c r="U48" s="213">
        <v>0</v>
      </c>
      <c r="V48" s="213">
        <v>0</v>
      </c>
      <c r="W48" s="213">
        <v>0</v>
      </c>
      <c r="X48" s="213">
        <v>0</v>
      </c>
      <c r="Y48" s="213">
        <v>0</v>
      </c>
      <c r="Z48" s="213">
        <v>0</v>
      </c>
      <c r="AA48" s="213">
        <v>0</v>
      </c>
      <c r="AB48" s="213">
        <v>25000</v>
      </c>
      <c r="AC48" s="213">
        <v>0</v>
      </c>
      <c r="AD48" s="213">
        <v>0</v>
      </c>
      <c r="AE48" s="213">
        <v>0</v>
      </c>
      <c r="AF48" s="213">
        <v>25000</v>
      </c>
      <c r="AG48" s="213">
        <v>0</v>
      </c>
      <c r="AH48" s="213">
        <v>0</v>
      </c>
      <c r="AI48" s="213">
        <v>0</v>
      </c>
      <c r="AJ48" s="213">
        <v>0</v>
      </c>
      <c r="AK48" s="213">
        <v>25000</v>
      </c>
      <c r="AL48" s="213">
        <v>0</v>
      </c>
      <c r="AM48" s="213">
        <v>0</v>
      </c>
      <c r="AN48" s="213">
        <v>0</v>
      </c>
      <c r="AO48" s="213">
        <v>0</v>
      </c>
      <c r="AP48" s="213">
        <v>0</v>
      </c>
      <c r="AQ48" s="213">
        <v>25000</v>
      </c>
      <c r="AR48" s="43">
        <v>186</v>
      </c>
      <c r="AS48" s="43" t="s">
        <v>2316</v>
      </c>
      <c r="AT48" s="181">
        <v>2025</v>
      </c>
      <c r="AU48" s="43">
        <f>_xlfn.XLOOKUP(_tPE26_29_Consolidada[[#This Row],[ID Financeiro]],[5]Projetos!$K:$K,[5]Projetos!$A:$A,0,0)</f>
        <v>0</v>
      </c>
      <c r="AV48" s="43" t="s">
        <v>2465</v>
      </c>
      <c r="AW48" s="43" t="s">
        <v>517</v>
      </c>
      <c r="AX48" s="62" t="s">
        <v>2464</v>
      </c>
      <c r="AY48" s="62"/>
      <c r="AZ48" s="43" t="s">
        <v>2386</v>
      </c>
      <c r="BA48" s="43"/>
      <c r="BB48" s="43"/>
      <c r="BC48" s="43"/>
      <c r="BD48" s="43"/>
      <c r="BE48" s="43"/>
      <c r="BF48" s="43"/>
      <c r="BG48" s="43"/>
      <c r="BH48" s="43"/>
      <c r="BI48" s="43"/>
      <c r="BJ48" s="43"/>
      <c r="BK48" s="43"/>
      <c r="BL48" s="43"/>
      <c r="BM48" s="43"/>
      <c r="BN48" s="43"/>
      <c r="BO48" s="43"/>
      <c r="BP48" s="174">
        <f>IFERROR(VLOOKUP(_tPE26_29_Consolidada[[#This Row],[ID Financeiro]],'[4]PE 25-29'!$B:$AF,31,FALSE),0)</f>
        <v>7500</v>
      </c>
      <c r="BQ48" s="174">
        <f>_tPE26_29_Consolidada[[#This Row],[2026]]*1000</f>
        <v>25000000</v>
      </c>
      <c r="BR48" s="176">
        <f>_tPE26_29_Consolidada[[#This Row],[Orçado 2026 (PE25-29)]]-_tPE26_29_Consolidada[[#This Row],[Orçado 2026 (PE26-30)]]</f>
        <v>-24992500</v>
      </c>
      <c r="BS48" s="175">
        <f>IFERROR(VLOOKUP(_tPE26_29_Consolidada[[#This Row],[ID Financeiro]],'[4]PE 25-29'!$B:$AT,45,FALSE),0)</f>
        <v>7500</v>
      </c>
      <c r="BT48" s="175">
        <f>_tPE26_29_Consolidada[[#This Row],[2026-2030]]*1000</f>
        <v>25000000</v>
      </c>
      <c r="BU48" s="175">
        <f>-_tPE26_29_Consolidada[[#This Row],[Orçado 26/30 (PE25-29)]]+_tPE26_29_Consolidada[[#This Row],[Orçado 26/30 (PE26-30)]]</f>
        <v>24992500</v>
      </c>
      <c r="BV48" s="177">
        <f>IFERROR(_tPE26_29_Consolidada[[#This Row],[Dif2]]/_tPE26_29_Consolidada[[#This Row],[Orçado 26/30 (PE25-29)]],0)</f>
        <v>3332.3333333333335</v>
      </c>
      <c r="CQ48" s="146"/>
      <c r="CR48" s="146"/>
      <c r="CS48" s="146"/>
      <c r="CT48" s="146"/>
      <c r="CU48" s="146"/>
      <c r="CV48" s="146"/>
      <c r="CW48" s="146"/>
      <c r="CX48" s="146"/>
      <c r="CY48" s="146"/>
      <c r="CZ48" s="146"/>
      <c r="DA48" s="146"/>
      <c r="DB48" s="146"/>
      <c r="DC48" s="146"/>
      <c r="DD48" s="146"/>
      <c r="DE48" s="146"/>
      <c r="DF48" s="146"/>
      <c r="DG48" s="146"/>
      <c r="DH48" s="146"/>
      <c r="DI48" s="146"/>
      <c r="DJ48" s="146"/>
      <c r="DK48" s="146"/>
      <c r="DL48" s="146"/>
      <c r="DM48" s="146"/>
      <c r="DN48" s="146"/>
      <c r="DO48" s="146"/>
      <c r="DP48" s="146"/>
      <c r="DQ48" s="146"/>
      <c r="DR48" s="146"/>
      <c r="DS48" s="146"/>
      <c r="DT48" s="146"/>
      <c r="DU48" s="146"/>
      <c r="DV48" s="146"/>
      <c r="DW48" s="146"/>
      <c r="DX48" s="146"/>
      <c r="DY48" s="146"/>
      <c r="DZ48" s="146"/>
      <c r="EA48" s="146"/>
      <c r="EB48" s="146"/>
      <c r="EC48" s="146"/>
      <c r="ED48" s="146"/>
      <c r="EE48" s="146"/>
      <c r="EF48" s="146"/>
      <c r="EG48" s="146"/>
      <c r="EH48" s="146"/>
      <c r="EI48" s="146"/>
      <c r="EJ48" s="146"/>
      <c r="EK48" s="146"/>
      <c r="EL48" s="146"/>
      <c r="EM48" s="146"/>
      <c r="EN48" s="146"/>
      <c r="EO48" s="146"/>
      <c r="EP48" s="146"/>
      <c r="EQ48" s="146"/>
      <c r="ER48" s="146"/>
      <c r="ES48" s="146"/>
      <c r="ET48" s="146"/>
      <c r="EU48" s="146"/>
      <c r="EV48" s="146"/>
      <c r="EW48" s="146"/>
      <c r="EX48" s="146"/>
      <c r="EY48" s="146"/>
      <c r="EZ48" s="146"/>
    </row>
    <row r="49" spans="1:156" ht="14.5" x14ac:dyDescent="0.35">
      <c r="A49" s="43"/>
      <c r="B49" s="75" t="b">
        <v>1</v>
      </c>
      <c r="C49" s="43" t="s">
        <v>2310</v>
      </c>
      <c r="D49" s="43" t="s">
        <v>439</v>
      </c>
      <c r="E49" s="43" t="s">
        <v>2281</v>
      </c>
      <c r="F49" s="43"/>
      <c r="G49" s="43" t="s">
        <v>2466</v>
      </c>
      <c r="H49" s="43" t="s">
        <v>506</v>
      </c>
      <c r="I49" s="43" t="s">
        <v>1015</v>
      </c>
      <c r="J49" s="43" t="s">
        <v>508</v>
      </c>
      <c r="K49" s="43" t="s">
        <v>1039</v>
      </c>
      <c r="L49" s="43" t="s">
        <v>1040</v>
      </c>
      <c r="M49" s="43" t="s">
        <v>2312</v>
      </c>
      <c r="N49" s="43"/>
      <c r="O49" s="43"/>
      <c r="P49" s="43"/>
      <c r="Q49" s="43" t="s">
        <v>2467</v>
      </c>
      <c r="R49" s="43" t="s">
        <v>2314</v>
      </c>
      <c r="S49" s="43" t="s">
        <v>2315</v>
      </c>
      <c r="T49" s="213">
        <v>0</v>
      </c>
      <c r="U49" s="213">
        <v>0</v>
      </c>
      <c r="V49" s="213">
        <v>0</v>
      </c>
      <c r="W49" s="213">
        <v>300000</v>
      </c>
      <c r="X49" s="213">
        <v>300000</v>
      </c>
      <c r="Y49" s="213">
        <v>300000</v>
      </c>
      <c r="Z49" s="213">
        <v>0</v>
      </c>
      <c r="AA49" s="213">
        <v>0</v>
      </c>
      <c r="AB49" s="213">
        <v>0</v>
      </c>
      <c r="AC49" s="213">
        <v>0</v>
      </c>
      <c r="AD49" s="213">
        <v>0</v>
      </c>
      <c r="AE49" s="213">
        <v>0</v>
      </c>
      <c r="AF49" s="213">
        <v>900000</v>
      </c>
      <c r="AG49" s="213">
        <v>0</v>
      </c>
      <c r="AH49" s="213">
        <v>0</v>
      </c>
      <c r="AI49" s="213">
        <v>0</v>
      </c>
      <c r="AJ49" s="213">
        <v>0</v>
      </c>
      <c r="AK49" s="213">
        <v>900000</v>
      </c>
      <c r="AL49" s="213">
        <v>0</v>
      </c>
      <c r="AM49" s="213">
        <v>0</v>
      </c>
      <c r="AN49" s="213">
        <v>0</v>
      </c>
      <c r="AO49" s="213">
        <v>0</v>
      </c>
      <c r="AP49" s="213">
        <v>0</v>
      </c>
      <c r="AQ49" s="213">
        <v>900000</v>
      </c>
      <c r="AR49" s="43">
        <v>187</v>
      </c>
      <c r="AS49" s="43" t="s">
        <v>2316</v>
      </c>
      <c r="AT49" s="181">
        <v>2025</v>
      </c>
      <c r="AU49" s="43">
        <f>_xlfn.XLOOKUP(_tPE26_29_Consolidada[[#This Row],[ID Financeiro]],[5]Projetos!$K:$K,[5]Projetos!$A:$A,0,0)</f>
        <v>0</v>
      </c>
      <c r="AV49" s="43" t="s">
        <v>2468</v>
      </c>
      <c r="AW49" s="43" t="s">
        <v>1854</v>
      </c>
      <c r="AX49" s="62" t="s">
        <v>2467</v>
      </c>
      <c r="AY49" s="62"/>
      <c r="AZ49" s="43" t="s">
        <v>2377</v>
      </c>
      <c r="BA49" s="43"/>
      <c r="BB49" s="43"/>
      <c r="BC49" s="43"/>
      <c r="BD49" s="43"/>
      <c r="BE49" s="43"/>
      <c r="BF49" s="43"/>
      <c r="BG49" s="43"/>
      <c r="BH49" s="43"/>
      <c r="BI49" s="43"/>
      <c r="BJ49" s="43"/>
      <c r="BK49" s="43"/>
      <c r="BL49" s="43"/>
      <c r="BM49" s="43"/>
      <c r="BN49" s="43"/>
      <c r="BO49" s="43"/>
      <c r="BP49" s="174">
        <f>IFERROR(VLOOKUP(_tPE26_29_Consolidada[[#This Row],[ID Financeiro]],'[4]PE 25-29'!$B:$AF,31,FALSE),0)</f>
        <v>900000</v>
      </c>
      <c r="BQ49" s="174">
        <f>_tPE26_29_Consolidada[[#This Row],[2026]]*1000</f>
        <v>900000000</v>
      </c>
      <c r="BR49" s="176">
        <f>_tPE26_29_Consolidada[[#This Row],[Orçado 2026 (PE25-29)]]-_tPE26_29_Consolidada[[#This Row],[Orçado 2026 (PE26-30)]]</f>
        <v>-899100000</v>
      </c>
      <c r="BS49" s="175">
        <f>IFERROR(VLOOKUP(_tPE26_29_Consolidada[[#This Row],[ID Financeiro]],'[4]PE 25-29'!$B:$AT,45,FALSE),0)</f>
        <v>900000</v>
      </c>
      <c r="BT49" s="175">
        <f>_tPE26_29_Consolidada[[#This Row],[2026-2030]]*1000</f>
        <v>900000000</v>
      </c>
      <c r="BU49" s="175">
        <f>-_tPE26_29_Consolidada[[#This Row],[Orçado 26/30 (PE25-29)]]+_tPE26_29_Consolidada[[#This Row],[Orçado 26/30 (PE26-30)]]</f>
        <v>899100000</v>
      </c>
      <c r="BV49" s="177">
        <f>IFERROR(_tPE26_29_Consolidada[[#This Row],[Dif2]]/_tPE26_29_Consolidada[[#This Row],[Orçado 26/30 (PE25-29)]],0)</f>
        <v>999</v>
      </c>
      <c r="CQ49" s="146"/>
      <c r="CR49" s="146"/>
      <c r="CS49" s="146"/>
      <c r="CT49" s="146"/>
      <c r="CU49" s="146"/>
      <c r="CV49" s="146"/>
      <c r="CW49" s="146"/>
      <c r="CX49" s="146"/>
      <c r="CY49" s="146"/>
      <c r="CZ49" s="146"/>
      <c r="DA49" s="146"/>
      <c r="DB49" s="146"/>
      <c r="DC49" s="146"/>
      <c r="DD49" s="146"/>
      <c r="DE49" s="146"/>
      <c r="DF49" s="146"/>
      <c r="DG49" s="146"/>
      <c r="DH49" s="146"/>
      <c r="DI49" s="146"/>
      <c r="DJ49" s="146"/>
      <c r="DK49" s="146"/>
      <c r="DL49" s="146"/>
      <c r="DM49" s="146"/>
      <c r="DN49" s="146"/>
      <c r="DO49" s="146"/>
      <c r="DP49" s="146"/>
      <c r="DQ49" s="146"/>
      <c r="DR49" s="146"/>
      <c r="DS49" s="146"/>
      <c r="DT49" s="146"/>
      <c r="DU49" s="146"/>
      <c r="DV49" s="146"/>
      <c r="DW49" s="146"/>
      <c r="DX49" s="146"/>
      <c r="DY49" s="146"/>
      <c r="DZ49" s="146"/>
      <c r="EA49" s="146"/>
      <c r="EB49" s="146"/>
      <c r="EC49" s="146"/>
      <c r="ED49" s="146"/>
      <c r="EE49" s="146"/>
      <c r="EF49" s="146"/>
      <c r="EG49" s="146"/>
      <c r="EH49" s="146"/>
      <c r="EI49" s="146"/>
      <c r="EJ49" s="146"/>
      <c r="EK49" s="146"/>
      <c r="EL49" s="146"/>
      <c r="EM49" s="146"/>
      <c r="EN49" s="146"/>
      <c r="EO49" s="146"/>
      <c r="EP49" s="146"/>
      <c r="EQ49" s="146"/>
      <c r="ER49" s="146"/>
      <c r="ES49" s="146"/>
      <c r="ET49" s="146"/>
      <c r="EU49" s="146"/>
      <c r="EV49" s="146"/>
      <c r="EW49" s="146"/>
      <c r="EX49" s="146"/>
      <c r="EY49" s="146"/>
      <c r="EZ49" s="146"/>
    </row>
    <row r="50" spans="1:156" ht="14.5" x14ac:dyDescent="0.35">
      <c r="A50" s="43"/>
      <c r="B50" s="75" t="b">
        <v>1</v>
      </c>
      <c r="C50" s="43" t="s">
        <v>2310</v>
      </c>
      <c r="D50" s="43" t="s">
        <v>439</v>
      </c>
      <c r="E50" s="43" t="s">
        <v>2281</v>
      </c>
      <c r="F50" s="43"/>
      <c r="G50" s="43" t="s">
        <v>2469</v>
      </c>
      <c r="H50" s="43" t="s">
        <v>506</v>
      </c>
      <c r="I50" s="43" t="s">
        <v>1015</v>
      </c>
      <c r="J50" s="43" t="s">
        <v>508</v>
      </c>
      <c r="K50" s="43" t="s">
        <v>1039</v>
      </c>
      <c r="L50" s="43" t="s">
        <v>1040</v>
      </c>
      <c r="M50" s="43" t="s">
        <v>2312</v>
      </c>
      <c r="N50" s="43"/>
      <c r="O50" s="43"/>
      <c r="P50" s="43"/>
      <c r="Q50" s="43" t="s">
        <v>2470</v>
      </c>
      <c r="R50" s="43" t="s">
        <v>2406</v>
      </c>
      <c r="S50" s="43" t="s">
        <v>2315</v>
      </c>
      <c r="T50" s="213">
        <v>0</v>
      </c>
      <c r="U50" s="213">
        <v>0</v>
      </c>
      <c r="V50" s="213">
        <v>450000</v>
      </c>
      <c r="W50" s="213">
        <v>350000</v>
      </c>
      <c r="X50" s="213">
        <v>350000</v>
      </c>
      <c r="Y50" s="213">
        <v>350000</v>
      </c>
      <c r="Z50" s="213">
        <v>350000</v>
      </c>
      <c r="AA50" s="213">
        <v>350000</v>
      </c>
      <c r="AB50" s="213">
        <v>350000</v>
      </c>
      <c r="AC50" s="213">
        <v>350000</v>
      </c>
      <c r="AD50" s="213">
        <v>350000</v>
      </c>
      <c r="AE50" s="213">
        <v>350000</v>
      </c>
      <c r="AF50" s="213">
        <v>3600000</v>
      </c>
      <c r="AG50" s="213">
        <v>2500000</v>
      </c>
      <c r="AH50" s="213">
        <v>0</v>
      </c>
      <c r="AI50" s="213">
        <v>0</v>
      </c>
      <c r="AJ50" s="213">
        <v>0</v>
      </c>
      <c r="AK50" s="213">
        <v>6100000</v>
      </c>
      <c r="AL50" s="213">
        <v>0</v>
      </c>
      <c r="AM50" s="213">
        <v>0</v>
      </c>
      <c r="AN50" s="213">
        <v>0</v>
      </c>
      <c r="AO50" s="213">
        <v>0</v>
      </c>
      <c r="AP50" s="213">
        <v>0</v>
      </c>
      <c r="AQ50" s="213">
        <v>6100000</v>
      </c>
      <c r="AR50" s="43">
        <v>188</v>
      </c>
      <c r="AS50" s="43" t="s">
        <v>2407</v>
      </c>
      <c r="AT50" s="181">
        <v>2025</v>
      </c>
      <c r="AU50" s="43">
        <f>_xlfn.XLOOKUP(_tPE26_29_Consolidada[[#This Row],[ID Financeiro]],[5]Projetos!$K:$K,[5]Projetos!$A:$A,0,0)</f>
        <v>0</v>
      </c>
      <c r="AV50" s="43" t="s">
        <v>2471</v>
      </c>
      <c r="AW50" s="43" t="s">
        <v>1049</v>
      </c>
      <c r="AX50" s="62" t="s">
        <v>2470</v>
      </c>
      <c r="AY50" s="62"/>
      <c r="AZ50" s="43" t="s">
        <v>2409</v>
      </c>
      <c r="BA50" s="43"/>
      <c r="BB50" s="43"/>
      <c r="BC50" s="43"/>
      <c r="BD50" s="43"/>
      <c r="BE50" s="43"/>
      <c r="BF50" s="43"/>
      <c r="BG50" s="43"/>
      <c r="BH50" s="43"/>
      <c r="BI50" s="43"/>
      <c r="BJ50" s="43"/>
      <c r="BK50" s="43"/>
      <c r="BL50" s="43"/>
      <c r="BM50" s="43"/>
      <c r="BN50" s="43"/>
      <c r="BO50" s="43"/>
      <c r="BP50" s="174">
        <f>IFERROR(VLOOKUP(_tPE26_29_Consolidada[[#This Row],[ID Financeiro]],'[4]PE 25-29'!$B:$AF,31,FALSE),0)</f>
        <v>790012</v>
      </c>
      <c r="BQ50" s="174">
        <f>_tPE26_29_Consolidada[[#This Row],[2026]]*1000</f>
        <v>3600000000</v>
      </c>
      <c r="BR50" s="176">
        <f>_tPE26_29_Consolidada[[#This Row],[Orçado 2026 (PE25-29)]]-_tPE26_29_Consolidada[[#This Row],[Orçado 2026 (PE26-30)]]</f>
        <v>-3599209988</v>
      </c>
      <c r="BS50" s="175">
        <f>IFERROR(VLOOKUP(_tPE26_29_Consolidada[[#This Row],[ID Financeiro]],'[4]PE 25-29'!$B:$AT,45,FALSE),0)</f>
        <v>790012</v>
      </c>
      <c r="BT50" s="175">
        <f>_tPE26_29_Consolidada[[#This Row],[2026-2030]]*1000</f>
        <v>6100000000</v>
      </c>
      <c r="BU50" s="175">
        <f>-_tPE26_29_Consolidada[[#This Row],[Orçado 26/30 (PE25-29)]]+_tPE26_29_Consolidada[[#This Row],[Orçado 26/30 (PE26-30)]]</f>
        <v>6099209988</v>
      </c>
      <c r="BV50" s="177">
        <f>IFERROR(_tPE26_29_Consolidada[[#This Row],[Dif2]]/_tPE26_29_Consolidada[[#This Row],[Orçado 26/30 (PE25-29)]],0)</f>
        <v>7720.4017002273386</v>
      </c>
      <c r="CQ50" s="146"/>
      <c r="CR50" s="146"/>
      <c r="CS50" s="146"/>
      <c r="CT50" s="146"/>
      <c r="CU50" s="146"/>
      <c r="CV50" s="146"/>
      <c r="CW50" s="146"/>
      <c r="CX50" s="146"/>
      <c r="CY50" s="146"/>
      <c r="CZ50" s="146"/>
      <c r="DA50" s="146"/>
      <c r="DB50" s="146"/>
      <c r="DC50" s="146"/>
      <c r="DD50" s="146"/>
      <c r="DE50" s="146"/>
      <c r="DF50" s="146"/>
      <c r="DG50" s="146"/>
      <c r="DH50" s="146"/>
      <c r="DI50" s="146"/>
      <c r="DJ50" s="146"/>
      <c r="DK50" s="146"/>
      <c r="DL50" s="146"/>
      <c r="DM50" s="146"/>
      <c r="DN50" s="146"/>
      <c r="DO50" s="146"/>
      <c r="DP50" s="146"/>
      <c r="DQ50" s="146"/>
      <c r="DR50" s="146"/>
      <c r="DS50" s="146"/>
      <c r="DT50" s="146"/>
      <c r="DU50" s="146"/>
      <c r="DV50" s="146"/>
      <c r="DW50" s="146"/>
      <c r="DX50" s="146"/>
      <c r="DY50" s="146"/>
      <c r="DZ50" s="146"/>
      <c r="EA50" s="146"/>
      <c r="EB50" s="146"/>
      <c r="EC50" s="146"/>
      <c r="ED50" s="146"/>
      <c r="EE50" s="146"/>
      <c r="EF50" s="146"/>
      <c r="EG50" s="146"/>
      <c r="EH50" s="146"/>
      <c r="EI50" s="146"/>
      <c r="EJ50" s="146"/>
      <c r="EK50" s="146"/>
      <c r="EL50" s="146"/>
      <c r="EM50" s="146"/>
      <c r="EN50" s="146"/>
      <c r="EO50" s="146"/>
      <c r="EP50" s="146"/>
      <c r="EQ50" s="146"/>
      <c r="ER50" s="146"/>
      <c r="ES50" s="146"/>
      <c r="ET50" s="146"/>
      <c r="EU50" s="146"/>
      <c r="EV50" s="146"/>
      <c r="EW50" s="146"/>
      <c r="EX50" s="146"/>
      <c r="EY50" s="146"/>
      <c r="EZ50" s="146"/>
    </row>
    <row r="51" spans="1:156" ht="14.5" x14ac:dyDescent="0.35">
      <c r="A51" s="43"/>
      <c r="B51" s="75" t="b">
        <v>1</v>
      </c>
      <c r="C51" s="43" t="s">
        <v>2310</v>
      </c>
      <c r="D51" s="43" t="s">
        <v>439</v>
      </c>
      <c r="E51" s="43" t="s">
        <v>2281</v>
      </c>
      <c r="F51" s="43"/>
      <c r="G51" s="43" t="s">
        <v>2472</v>
      </c>
      <c r="H51" s="43" t="s">
        <v>506</v>
      </c>
      <c r="I51" s="43" t="s">
        <v>1015</v>
      </c>
      <c r="J51" s="43" t="s">
        <v>508</v>
      </c>
      <c r="K51" s="43" t="s">
        <v>1039</v>
      </c>
      <c r="L51" s="43" t="s">
        <v>1040</v>
      </c>
      <c r="M51" s="43" t="s">
        <v>2312</v>
      </c>
      <c r="N51" s="43"/>
      <c r="O51" s="43"/>
      <c r="P51" s="43"/>
      <c r="Q51" s="43" t="s">
        <v>2473</v>
      </c>
      <c r="R51" s="43" t="s">
        <v>2406</v>
      </c>
      <c r="S51" s="43" t="s">
        <v>2426</v>
      </c>
      <c r="T51" s="213">
        <v>10000</v>
      </c>
      <c r="U51" s="213">
        <v>10000</v>
      </c>
      <c r="V51" s="213">
        <v>110000</v>
      </c>
      <c r="W51" s="213">
        <v>110000</v>
      </c>
      <c r="X51" s="213">
        <v>110000</v>
      </c>
      <c r="Y51" s="213">
        <v>110000</v>
      </c>
      <c r="Z51" s="213">
        <v>110000</v>
      </c>
      <c r="AA51" s="213">
        <v>110000</v>
      </c>
      <c r="AB51" s="213">
        <v>110000</v>
      </c>
      <c r="AC51" s="213">
        <v>110000</v>
      </c>
      <c r="AD51" s="213">
        <v>110000</v>
      </c>
      <c r="AE51" s="213">
        <v>110000</v>
      </c>
      <c r="AF51" s="213">
        <v>1120000</v>
      </c>
      <c r="AG51" s="213">
        <v>0</v>
      </c>
      <c r="AH51" s="213">
        <v>0</v>
      </c>
      <c r="AI51" s="213">
        <v>0</v>
      </c>
      <c r="AJ51" s="213">
        <v>0</v>
      </c>
      <c r="AK51" s="213">
        <v>1120000</v>
      </c>
      <c r="AL51" s="213">
        <v>0</v>
      </c>
      <c r="AM51" s="213">
        <v>0</v>
      </c>
      <c r="AN51" s="213">
        <v>0</v>
      </c>
      <c r="AO51" s="213">
        <v>0</v>
      </c>
      <c r="AP51" s="213">
        <v>0</v>
      </c>
      <c r="AQ51" s="213">
        <v>1120000</v>
      </c>
      <c r="AR51" s="43">
        <v>189</v>
      </c>
      <c r="AS51" s="43" t="s">
        <v>2407</v>
      </c>
      <c r="AT51" s="181">
        <v>2025</v>
      </c>
      <c r="AU51" s="43">
        <f>_xlfn.XLOOKUP(_tPE26_29_Consolidada[[#This Row],[ID Financeiro]],[5]Projetos!$K:$K,[5]Projetos!$A:$A,0,0)</f>
        <v>0</v>
      </c>
      <c r="AV51" s="43" t="s">
        <v>2474</v>
      </c>
      <c r="AW51" s="43" t="s">
        <v>1854</v>
      </c>
      <c r="AX51" s="62" t="s">
        <v>2473</v>
      </c>
      <c r="AY51" s="62"/>
      <c r="AZ51" s="43" t="s">
        <v>2409</v>
      </c>
      <c r="BA51" s="43"/>
      <c r="BB51" s="43"/>
      <c r="BC51" s="43"/>
      <c r="BD51" s="43"/>
      <c r="BE51" s="43"/>
      <c r="BF51" s="43"/>
      <c r="BG51" s="43"/>
      <c r="BH51" s="43"/>
      <c r="BI51" s="43"/>
      <c r="BJ51" s="43"/>
      <c r="BK51" s="43"/>
      <c r="BL51" s="43"/>
      <c r="BM51" s="43"/>
      <c r="BN51" s="43"/>
      <c r="BO51" s="43"/>
      <c r="BP51" s="174">
        <f>IFERROR(VLOOKUP(_tPE26_29_Consolidada[[#This Row],[ID Financeiro]],'[4]PE 25-29'!$B:$AF,31,FALSE),0)</f>
        <v>150000</v>
      </c>
      <c r="BQ51" s="174">
        <f>_tPE26_29_Consolidada[[#This Row],[2026]]*1000</f>
        <v>1120000000</v>
      </c>
      <c r="BR51" s="176">
        <f>_tPE26_29_Consolidada[[#This Row],[Orçado 2026 (PE25-29)]]-_tPE26_29_Consolidada[[#This Row],[Orçado 2026 (PE26-30)]]</f>
        <v>-1119850000</v>
      </c>
      <c r="BS51" s="175">
        <f>IFERROR(VLOOKUP(_tPE26_29_Consolidada[[#This Row],[ID Financeiro]],'[4]PE 25-29'!$B:$AT,45,FALSE),0)</f>
        <v>150000</v>
      </c>
      <c r="BT51" s="175">
        <f>_tPE26_29_Consolidada[[#This Row],[2026-2030]]*1000</f>
        <v>1120000000</v>
      </c>
      <c r="BU51" s="175">
        <f>-_tPE26_29_Consolidada[[#This Row],[Orçado 26/30 (PE25-29)]]+_tPE26_29_Consolidada[[#This Row],[Orçado 26/30 (PE26-30)]]</f>
        <v>1119850000</v>
      </c>
      <c r="BV51" s="177">
        <f>IFERROR(_tPE26_29_Consolidada[[#This Row],[Dif2]]/_tPE26_29_Consolidada[[#This Row],[Orçado 26/30 (PE25-29)]],0)</f>
        <v>7465.666666666667</v>
      </c>
      <c r="CQ51" s="146"/>
      <c r="CR51" s="146"/>
      <c r="CS51" s="146"/>
      <c r="CT51" s="146"/>
      <c r="CU51" s="146"/>
      <c r="CV51" s="146"/>
      <c r="CW51" s="146"/>
      <c r="CX51" s="146"/>
      <c r="CY51" s="146"/>
      <c r="CZ51" s="146"/>
      <c r="DA51" s="146"/>
      <c r="DB51" s="146"/>
      <c r="DC51" s="146"/>
      <c r="DD51" s="146"/>
      <c r="DE51" s="146"/>
      <c r="DF51" s="146"/>
      <c r="DG51" s="146"/>
      <c r="DH51" s="146"/>
      <c r="DI51" s="146"/>
      <c r="DJ51" s="146"/>
      <c r="DK51" s="146"/>
      <c r="DL51" s="146"/>
      <c r="DM51" s="146"/>
      <c r="DN51" s="146"/>
      <c r="DO51" s="146"/>
      <c r="DP51" s="146"/>
      <c r="DQ51" s="146"/>
      <c r="DR51" s="146"/>
      <c r="DS51" s="146"/>
      <c r="DT51" s="146"/>
      <c r="DU51" s="146"/>
      <c r="DV51" s="146"/>
      <c r="DW51" s="146"/>
      <c r="DX51" s="146"/>
      <c r="DY51" s="146"/>
      <c r="DZ51" s="146"/>
      <c r="EA51" s="146"/>
      <c r="EB51" s="146"/>
      <c r="EC51" s="146"/>
      <c r="ED51" s="146"/>
      <c r="EE51" s="146"/>
      <c r="EF51" s="146"/>
      <c r="EG51" s="146"/>
      <c r="EH51" s="146"/>
      <c r="EI51" s="146"/>
      <c r="EJ51" s="146"/>
      <c r="EK51" s="146"/>
      <c r="EL51" s="146"/>
      <c r="EM51" s="146"/>
      <c r="EN51" s="146"/>
      <c r="EO51" s="146"/>
      <c r="EP51" s="146"/>
      <c r="EQ51" s="146"/>
      <c r="ER51" s="146"/>
      <c r="ES51" s="146"/>
      <c r="ET51" s="146"/>
      <c r="EU51" s="146"/>
      <c r="EV51" s="146"/>
      <c r="EW51" s="146"/>
      <c r="EX51" s="146"/>
      <c r="EY51" s="146"/>
      <c r="EZ51" s="146"/>
    </row>
    <row r="52" spans="1:156" ht="14.5" x14ac:dyDescent="0.35">
      <c r="A52" s="43"/>
      <c r="B52" s="75" t="b">
        <v>1</v>
      </c>
      <c r="C52" s="43" t="s">
        <v>2310</v>
      </c>
      <c r="D52" s="43" t="s">
        <v>439</v>
      </c>
      <c r="E52" s="43" t="s">
        <v>2281</v>
      </c>
      <c r="F52" s="43"/>
      <c r="G52" s="43" t="s">
        <v>2475</v>
      </c>
      <c r="H52" s="43" t="s">
        <v>506</v>
      </c>
      <c r="I52" s="43" t="s">
        <v>1015</v>
      </c>
      <c r="J52" s="43" t="s">
        <v>508</v>
      </c>
      <c r="K52" s="43" t="s">
        <v>1039</v>
      </c>
      <c r="L52" s="43" t="s">
        <v>1040</v>
      </c>
      <c r="M52" s="43" t="s">
        <v>2312</v>
      </c>
      <c r="N52" s="43"/>
      <c r="O52" s="43"/>
      <c r="P52" s="43"/>
      <c r="Q52" s="43" t="s">
        <v>2476</v>
      </c>
      <c r="R52" s="43" t="s">
        <v>2314</v>
      </c>
      <c r="S52" s="43" t="s">
        <v>2315</v>
      </c>
      <c r="T52" s="213">
        <v>0</v>
      </c>
      <c r="U52" s="213">
        <v>0</v>
      </c>
      <c r="V52" s="213">
        <v>0</v>
      </c>
      <c r="W52" s="213">
        <v>300000</v>
      </c>
      <c r="X52" s="213">
        <v>20000</v>
      </c>
      <c r="Y52" s="213">
        <v>20000</v>
      </c>
      <c r="Z52" s="213">
        <v>20000</v>
      </c>
      <c r="AA52" s="213">
        <v>130000</v>
      </c>
      <c r="AB52" s="213">
        <v>300000</v>
      </c>
      <c r="AC52" s="213">
        <v>20000</v>
      </c>
      <c r="AD52" s="213">
        <v>20000</v>
      </c>
      <c r="AE52" s="213">
        <v>20000</v>
      </c>
      <c r="AF52" s="213">
        <v>850000</v>
      </c>
      <c r="AG52" s="213">
        <v>130000</v>
      </c>
      <c r="AH52" s="213">
        <v>0</v>
      </c>
      <c r="AI52" s="213">
        <v>0</v>
      </c>
      <c r="AJ52" s="213">
        <v>0</v>
      </c>
      <c r="AK52" s="213">
        <v>980000</v>
      </c>
      <c r="AL52" s="213">
        <v>0</v>
      </c>
      <c r="AM52" s="213">
        <v>0</v>
      </c>
      <c r="AN52" s="213">
        <v>0</v>
      </c>
      <c r="AO52" s="213">
        <v>0</v>
      </c>
      <c r="AP52" s="213">
        <v>0</v>
      </c>
      <c r="AQ52" s="213">
        <v>980000</v>
      </c>
      <c r="AR52" s="43">
        <v>190</v>
      </c>
      <c r="AS52" s="43" t="s">
        <v>2316</v>
      </c>
      <c r="AT52" s="181">
        <v>2025</v>
      </c>
      <c r="AU52" s="43">
        <f>_xlfn.XLOOKUP(_tPE26_29_Consolidada[[#This Row],[ID Financeiro]],[5]Projetos!$K:$K,[5]Projetos!$A:$A,0,0)</f>
        <v>0</v>
      </c>
      <c r="AV52" s="43" t="s">
        <v>2477</v>
      </c>
      <c r="AW52" s="43" t="s">
        <v>1049</v>
      </c>
      <c r="AX52" s="62" t="s">
        <v>2476</v>
      </c>
      <c r="AY52" s="62"/>
      <c r="AZ52" s="43" t="s">
        <v>2370</v>
      </c>
      <c r="BA52" s="43"/>
      <c r="BB52" s="43"/>
      <c r="BC52" s="43"/>
      <c r="BD52" s="43"/>
      <c r="BE52" s="43"/>
      <c r="BF52" s="43"/>
      <c r="BG52" s="43"/>
      <c r="BH52" s="43"/>
      <c r="BI52" s="43"/>
      <c r="BJ52" s="43"/>
      <c r="BK52" s="43"/>
      <c r="BL52" s="43"/>
      <c r="BM52" s="43"/>
      <c r="BN52" s="43"/>
      <c r="BO52" s="43"/>
      <c r="BP52" s="174">
        <f>IFERROR(VLOOKUP(_tPE26_29_Consolidada[[#This Row],[ID Financeiro]],'[4]PE 25-29'!$B:$AF,31,FALSE),0)</f>
        <v>0</v>
      </c>
      <c r="BQ52" s="174">
        <f>_tPE26_29_Consolidada[[#This Row],[2026]]*1000</f>
        <v>850000000</v>
      </c>
      <c r="BR52" s="176">
        <f>_tPE26_29_Consolidada[[#This Row],[Orçado 2026 (PE25-29)]]-_tPE26_29_Consolidada[[#This Row],[Orçado 2026 (PE26-30)]]</f>
        <v>-850000000</v>
      </c>
      <c r="BS52" s="175">
        <f>IFERROR(VLOOKUP(_tPE26_29_Consolidada[[#This Row],[ID Financeiro]],'[4]PE 25-29'!$B:$AT,45,FALSE),0)</f>
        <v>0</v>
      </c>
      <c r="BT52" s="175">
        <f>_tPE26_29_Consolidada[[#This Row],[2026-2030]]*1000</f>
        <v>980000000</v>
      </c>
      <c r="BU52" s="175">
        <f>-_tPE26_29_Consolidada[[#This Row],[Orçado 26/30 (PE25-29)]]+_tPE26_29_Consolidada[[#This Row],[Orçado 26/30 (PE26-30)]]</f>
        <v>980000000</v>
      </c>
      <c r="BV52" s="177">
        <f>IFERROR(_tPE26_29_Consolidada[[#This Row],[Dif2]]/_tPE26_29_Consolidada[[#This Row],[Orçado 26/30 (PE25-29)]],0)</f>
        <v>0</v>
      </c>
      <c r="CQ52" s="146"/>
      <c r="CR52" s="146"/>
      <c r="CS52" s="146"/>
      <c r="CT52" s="146"/>
      <c r="CU52" s="146"/>
      <c r="CV52" s="146"/>
      <c r="CW52" s="146"/>
      <c r="CX52" s="146"/>
      <c r="CY52" s="146"/>
      <c r="CZ52" s="146"/>
      <c r="DA52" s="146"/>
      <c r="DB52" s="146"/>
      <c r="DC52" s="146"/>
      <c r="DD52" s="146"/>
      <c r="DE52" s="146"/>
      <c r="DF52" s="146"/>
      <c r="DG52" s="146"/>
      <c r="DH52" s="146"/>
      <c r="DI52" s="146"/>
      <c r="DJ52" s="146"/>
      <c r="DK52" s="146"/>
      <c r="DL52" s="146"/>
      <c r="DM52" s="146"/>
      <c r="DN52" s="146"/>
      <c r="DO52" s="146"/>
      <c r="DP52" s="146"/>
      <c r="DQ52" s="146"/>
      <c r="DR52" s="146"/>
      <c r="DS52" s="146"/>
      <c r="DT52" s="146"/>
      <c r="DU52" s="146"/>
      <c r="DV52" s="146"/>
      <c r="DW52" s="146"/>
      <c r="DX52" s="146"/>
      <c r="DY52" s="146"/>
      <c r="DZ52" s="146"/>
      <c r="EA52" s="146"/>
      <c r="EB52" s="146"/>
      <c r="EC52" s="146"/>
      <c r="ED52" s="146"/>
      <c r="EE52" s="146"/>
      <c r="EF52" s="146"/>
      <c r="EG52" s="146"/>
      <c r="EH52" s="146"/>
      <c r="EI52" s="146"/>
      <c r="EJ52" s="146"/>
      <c r="EK52" s="146"/>
      <c r="EL52" s="146"/>
      <c r="EM52" s="146"/>
      <c r="EN52" s="146"/>
      <c r="EO52" s="146"/>
      <c r="EP52" s="146"/>
      <c r="EQ52" s="146"/>
      <c r="ER52" s="146"/>
      <c r="ES52" s="146"/>
      <c r="ET52" s="146"/>
      <c r="EU52" s="146"/>
      <c r="EV52" s="146"/>
      <c r="EW52" s="146"/>
      <c r="EX52" s="146"/>
      <c r="EY52" s="146"/>
      <c r="EZ52" s="146"/>
    </row>
    <row r="53" spans="1:156" ht="14.5" x14ac:dyDescent="0.35">
      <c r="A53" s="43"/>
      <c r="B53" s="75" t="b">
        <v>1</v>
      </c>
      <c r="C53" s="43" t="s">
        <v>2310</v>
      </c>
      <c r="D53" s="43" t="s">
        <v>439</v>
      </c>
      <c r="E53" s="43" t="s">
        <v>2281</v>
      </c>
      <c r="F53" s="43"/>
      <c r="G53" s="43" t="s">
        <v>2478</v>
      </c>
      <c r="H53" s="43" t="s">
        <v>506</v>
      </c>
      <c r="I53" s="43" t="s">
        <v>1015</v>
      </c>
      <c r="J53" s="43" t="s">
        <v>508</v>
      </c>
      <c r="K53" s="43" t="s">
        <v>1039</v>
      </c>
      <c r="L53" s="43" t="s">
        <v>1040</v>
      </c>
      <c r="M53" s="43" t="s">
        <v>2312</v>
      </c>
      <c r="N53" s="43"/>
      <c r="O53" s="43"/>
      <c r="P53" s="43"/>
      <c r="Q53" s="43" t="s">
        <v>2479</v>
      </c>
      <c r="R53" s="43" t="s">
        <v>2314</v>
      </c>
      <c r="S53" s="43" t="s">
        <v>2315</v>
      </c>
      <c r="T53" s="213">
        <v>216000</v>
      </c>
      <c r="U53" s="213">
        <v>96000</v>
      </c>
      <c r="V53" s="213">
        <v>216000</v>
      </c>
      <c r="W53" s="213">
        <v>96000</v>
      </c>
      <c r="X53" s="213">
        <v>96000</v>
      </c>
      <c r="Y53" s="213">
        <v>216000</v>
      </c>
      <c r="Z53" s="213">
        <v>96000</v>
      </c>
      <c r="AA53" s="213">
        <v>96000</v>
      </c>
      <c r="AB53" s="213">
        <v>0</v>
      </c>
      <c r="AC53" s="213">
        <v>0</v>
      </c>
      <c r="AD53" s="213">
        <v>0</v>
      </c>
      <c r="AE53" s="213">
        <v>0</v>
      </c>
      <c r="AF53" s="213">
        <v>1128000</v>
      </c>
      <c r="AG53" s="213">
        <v>0</v>
      </c>
      <c r="AH53" s="213">
        <v>0</v>
      </c>
      <c r="AI53" s="213">
        <v>0</v>
      </c>
      <c r="AJ53" s="213">
        <v>0</v>
      </c>
      <c r="AK53" s="213">
        <v>1128000</v>
      </c>
      <c r="AL53" s="213">
        <v>0</v>
      </c>
      <c r="AM53" s="213">
        <v>0</v>
      </c>
      <c r="AN53" s="213">
        <v>0</v>
      </c>
      <c r="AO53" s="213">
        <v>0</v>
      </c>
      <c r="AP53" s="213">
        <v>0</v>
      </c>
      <c r="AQ53" s="213">
        <v>1128000</v>
      </c>
      <c r="AR53" s="43">
        <v>191</v>
      </c>
      <c r="AS53" s="43" t="s">
        <v>2316</v>
      </c>
      <c r="AT53" s="181">
        <v>2025</v>
      </c>
      <c r="AU53" s="43">
        <f>_xlfn.XLOOKUP(_tPE26_29_Consolidada[[#This Row],[ID Financeiro]],[5]Projetos!$K:$K,[5]Projetos!$A:$A,0,0)</f>
        <v>0</v>
      </c>
      <c r="AV53" s="43" t="s">
        <v>2480</v>
      </c>
      <c r="AW53" s="43" t="s">
        <v>517</v>
      </c>
      <c r="AX53" s="62" t="s">
        <v>2479</v>
      </c>
      <c r="AY53" s="62"/>
      <c r="AZ53" s="43" t="s">
        <v>2370</v>
      </c>
      <c r="BA53" s="43"/>
      <c r="BB53" s="43"/>
      <c r="BC53" s="43"/>
      <c r="BD53" s="43"/>
      <c r="BE53" s="43"/>
      <c r="BF53" s="43"/>
      <c r="BG53" s="43"/>
      <c r="BH53" s="43"/>
      <c r="BI53" s="43"/>
      <c r="BJ53" s="43"/>
      <c r="BK53" s="43"/>
      <c r="BL53" s="43"/>
      <c r="BM53" s="43"/>
      <c r="BN53" s="43"/>
      <c r="BO53" s="43"/>
      <c r="BP53" s="174">
        <f>IFERROR(VLOOKUP(_tPE26_29_Consolidada[[#This Row],[ID Financeiro]],'[4]PE 25-29'!$B:$AF,31,FALSE),0)</f>
        <v>360000</v>
      </c>
      <c r="BQ53" s="174">
        <f>_tPE26_29_Consolidada[[#This Row],[2026]]*1000</f>
        <v>1128000000</v>
      </c>
      <c r="BR53" s="176">
        <f>_tPE26_29_Consolidada[[#This Row],[Orçado 2026 (PE25-29)]]-_tPE26_29_Consolidada[[#This Row],[Orçado 2026 (PE26-30)]]</f>
        <v>-1127640000</v>
      </c>
      <c r="BS53" s="175">
        <f>IFERROR(VLOOKUP(_tPE26_29_Consolidada[[#This Row],[ID Financeiro]],'[4]PE 25-29'!$B:$AT,45,FALSE),0)</f>
        <v>360000</v>
      </c>
      <c r="BT53" s="175">
        <f>_tPE26_29_Consolidada[[#This Row],[2026-2030]]*1000</f>
        <v>1128000000</v>
      </c>
      <c r="BU53" s="175">
        <f>-_tPE26_29_Consolidada[[#This Row],[Orçado 26/30 (PE25-29)]]+_tPE26_29_Consolidada[[#This Row],[Orçado 26/30 (PE26-30)]]</f>
        <v>1127640000</v>
      </c>
      <c r="BV53" s="177">
        <f>IFERROR(_tPE26_29_Consolidada[[#This Row],[Dif2]]/_tPE26_29_Consolidada[[#This Row],[Orçado 26/30 (PE25-29)]],0)</f>
        <v>3132.3333333333335</v>
      </c>
      <c r="CQ53" s="146"/>
      <c r="CR53" s="146"/>
      <c r="CS53" s="146"/>
      <c r="CT53" s="146"/>
      <c r="CU53" s="146"/>
      <c r="CV53" s="146"/>
      <c r="CW53" s="146"/>
      <c r="CX53" s="146"/>
      <c r="CY53" s="146"/>
      <c r="CZ53" s="146"/>
      <c r="DA53" s="146"/>
      <c r="DB53" s="146"/>
      <c r="DC53" s="146"/>
      <c r="DD53" s="146"/>
      <c r="DE53" s="146"/>
      <c r="DF53" s="146"/>
      <c r="DG53" s="146"/>
      <c r="DH53" s="146"/>
      <c r="DI53" s="146"/>
      <c r="DJ53" s="146"/>
      <c r="DK53" s="146"/>
      <c r="DL53" s="146"/>
      <c r="DM53" s="146"/>
      <c r="DN53" s="146"/>
      <c r="DO53" s="146"/>
      <c r="DP53" s="146"/>
      <c r="DQ53" s="146"/>
      <c r="DR53" s="146"/>
      <c r="DS53" s="146"/>
      <c r="DT53" s="146"/>
      <c r="DU53" s="146"/>
      <c r="DV53" s="146"/>
      <c r="DW53" s="146"/>
      <c r="DX53" s="146"/>
      <c r="DY53" s="146"/>
      <c r="DZ53" s="146"/>
      <c r="EA53" s="146"/>
      <c r="EB53" s="146"/>
      <c r="EC53" s="146"/>
      <c r="ED53" s="146"/>
      <c r="EE53" s="146"/>
      <c r="EF53" s="146"/>
      <c r="EG53" s="146"/>
      <c r="EH53" s="146"/>
      <c r="EI53" s="146"/>
      <c r="EJ53" s="146"/>
      <c r="EK53" s="146"/>
      <c r="EL53" s="146"/>
      <c r="EM53" s="146"/>
      <c r="EN53" s="146"/>
      <c r="EO53" s="146"/>
      <c r="EP53" s="146"/>
      <c r="EQ53" s="146"/>
      <c r="ER53" s="146"/>
      <c r="ES53" s="146"/>
      <c r="ET53" s="146"/>
      <c r="EU53" s="146"/>
      <c r="EV53" s="146"/>
      <c r="EW53" s="146"/>
      <c r="EX53" s="146"/>
      <c r="EY53" s="146"/>
      <c r="EZ53" s="146"/>
    </row>
    <row r="54" spans="1:156" ht="14.5" x14ac:dyDescent="0.35">
      <c r="A54" s="43"/>
      <c r="B54" s="75" t="b">
        <v>1</v>
      </c>
      <c r="C54" s="43" t="s">
        <v>2310</v>
      </c>
      <c r="D54" s="43" t="s">
        <v>439</v>
      </c>
      <c r="E54" s="43" t="s">
        <v>2281</v>
      </c>
      <c r="F54" s="43"/>
      <c r="G54" s="43" t="s">
        <v>2481</v>
      </c>
      <c r="H54" s="43" t="s">
        <v>506</v>
      </c>
      <c r="I54" s="43" t="s">
        <v>1015</v>
      </c>
      <c r="J54" s="43" t="s">
        <v>508</v>
      </c>
      <c r="K54" s="43" t="s">
        <v>1039</v>
      </c>
      <c r="L54" s="43" t="s">
        <v>1040</v>
      </c>
      <c r="M54" s="43" t="s">
        <v>2312</v>
      </c>
      <c r="N54" s="43"/>
      <c r="O54" s="43"/>
      <c r="P54" s="43"/>
      <c r="Q54" s="43" t="s">
        <v>2482</v>
      </c>
      <c r="R54" s="43" t="s">
        <v>2314</v>
      </c>
      <c r="S54" s="43" t="s">
        <v>2315</v>
      </c>
      <c r="T54" s="213">
        <v>0</v>
      </c>
      <c r="U54" s="213">
        <v>100000</v>
      </c>
      <c r="V54" s="213">
        <v>0</v>
      </c>
      <c r="W54" s="213">
        <v>100000</v>
      </c>
      <c r="X54" s="213">
        <v>0</v>
      </c>
      <c r="Y54" s="213">
        <v>100000</v>
      </c>
      <c r="Z54" s="213">
        <v>0</v>
      </c>
      <c r="AA54" s="213">
        <v>100000</v>
      </c>
      <c r="AB54" s="213">
        <v>0</v>
      </c>
      <c r="AC54" s="213">
        <v>100000</v>
      </c>
      <c r="AD54" s="213">
        <v>0</v>
      </c>
      <c r="AE54" s="213">
        <v>100000</v>
      </c>
      <c r="AF54" s="213">
        <v>600000</v>
      </c>
      <c r="AG54" s="213">
        <v>0</v>
      </c>
      <c r="AH54" s="213">
        <v>0</v>
      </c>
      <c r="AI54" s="213">
        <v>0</v>
      </c>
      <c r="AJ54" s="213">
        <v>0</v>
      </c>
      <c r="AK54" s="213">
        <v>600000</v>
      </c>
      <c r="AL54" s="213">
        <v>0</v>
      </c>
      <c r="AM54" s="213">
        <v>0</v>
      </c>
      <c r="AN54" s="213">
        <v>0</v>
      </c>
      <c r="AO54" s="213">
        <v>0</v>
      </c>
      <c r="AP54" s="213">
        <v>0</v>
      </c>
      <c r="AQ54" s="213">
        <v>600000</v>
      </c>
      <c r="AR54" s="43">
        <v>192</v>
      </c>
      <c r="AS54" s="43" t="s">
        <v>2316</v>
      </c>
      <c r="AT54" s="181">
        <v>2025</v>
      </c>
      <c r="AU54" s="43">
        <f>_xlfn.XLOOKUP(_tPE26_29_Consolidada[[#This Row],[ID Financeiro]],[5]Projetos!$K:$K,[5]Projetos!$A:$A,0,0)</f>
        <v>0</v>
      </c>
      <c r="AV54" s="43" t="s">
        <v>2483</v>
      </c>
      <c r="AW54" s="43" t="s">
        <v>517</v>
      </c>
      <c r="AX54" s="62" t="s">
        <v>2482</v>
      </c>
      <c r="AY54" s="62"/>
      <c r="AZ54" s="43" t="s">
        <v>2347</v>
      </c>
      <c r="BA54" s="43"/>
      <c r="BB54" s="43"/>
      <c r="BC54" s="43"/>
      <c r="BD54" s="43"/>
      <c r="BE54" s="43"/>
      <c r="BF54" s="43"/>
      <c r="BG54" s="43"/>
      <c r="BH54" s="43"/>
      <c r="BI54" s="43"/>
      <c r="BJ54" s="43"/>
      <c r="BK54" s="43"/>
      <c r="BL54" s="43"/>
      <c r="BM54" s="43"/>
      <c r="BN54" s="43"/>
      <c r="BO54" s="43"/>
      <c r="BP54" s="174">
        <f>IFERROR(VLOOKUP(_tPE26_29_Consolidada[[#This Row],[ID Financeiro]],'[4]PE 25-29'!$B:$AF,31,FALSE),0)</f>
        <v>0</v>
      </c>
      <c r="BQ54" s="174">
        <f>_tPE26_29_Consolidada[[#This Row],[2026]]*1000</f>
        <v>600000000</v>
      </c>
      <c r="BR54" s="176">
        <f>_tPE26_29_Consolidada[[#This Row],[Orçado 2026 (PE25-29)]]-_tPE26_29_Consolidada[[#This Row],[Orçado 2026 (PE26-30)]]</f>
        <v>-600000000</v>
      </c>
      <c r="BS54" s="175">
        <f>IFERROR(VLOOKUP(_tPE26_29_Consolidada[[#This Row],[ID Financeiro]],'[4]PE 25-29'!$B:$AT,45,FALSE),0)</f>
        <v>0</v>
      </c>
      <c r="BT54" s="175">
        <f>_tPE26_29_Consolidada[[#This Row],[2026-2030]]*1000</f>
        <v>600000000</v>
      </c>
      <c r="BU54" s="175">
        <f>-_tPE26_29_Consolidada[[#This Row],[Orçado 26/30 (PE25-29)]]+_tPE26_29_Consolidada[[#This Row],[Orçado 26/30 (PE26-30)]]</f>
        <v>600000000</v>
      </c>
      <c r="BV54" s="177">
        <f>IFERROR(_tPE26_29_Consolidada[[#This Row],[Dif2]]/_tPE26_29_Consolidada[[#This Row],[Orçado 26/30 (PE25-29)]],0)</f>
        <v>0</v>
      </c>
      <c r="CQ54" s="146"/>
      <c r="CR54" s="146"/>
      <c r="CS54" s="146"/>
      <c r="CT54" s="146"/>
      <c r="CU54" s="146"/>
      <c r="CV54" s="146"/>
      <c r="CW54" s="146"/>
      <c r="CX54" s="146"/>
      <c r="CY54" s="146"/>
      <c r="CZ54" s="146"/>
      <c r="DA54" s="146"/>
      <c r="DB54" s="146"/>
      <c r="DC54" s="146"/>
      <c r="DD54" s="146"/>
      <c r="DE54" s="146"/>
      <c r="DF54" s="146"/>
      <c r="DG54" s="146"/>
      <c r="DH54" s="146"/>
      <c r="DI54" s="146"/>
      <c r="DJ54" s="146"/>
      <c r="DK54" s="146"/>
      <c r="DL54" s="146"/>
      <c r="DM54" s="146"/>
      <c r="DN54" s="146"/>
      <c r="DO54" s="146"/>
      <c r="DP54" s="146"/>
      <c r="DQ54" s="146"/>
      <c r="DR54" s="146"/>
      <c r="DS54" s="146"/>
      <c r="DT54" s="146"/>
      <c r="DU54" s="146"/>
      <c r="DV54" s="146"/>
      <c r="DW54" s="146"/>
      <c r="DX54" s="146"/>
      <c r="DY54" s="146"/>
      <c r="DZ54" s="146"/>
      <c r="EA54" s="146"/>
      <c r="EB54" s="146"/>
      <c r="EC54" s="146"/>
      <c r="ED54" s="146"/>
      <c r="EE54" s="146"/>
      <c r="EF54" s="146"/>
      <c r="EG54" s="146"/>
      <c r="EH54" s="146"/>
      <c r="EI54" s="146"/>
      <c r="EJ54" s="146"/>
      <c r="EK54" s="146"/>
      <c r="EL54" s="146"/>
      <c r="EM54" s="146"/>
      <c r="EN54" s="146"/>
      <c r="EO54" s="146"/>
      <c r="EP54" s="146"/>
      <c r="EQ54" s="146"/>
      <c r="ER54" s="146"/>
      <c r="ES54" s="146"/>
      <c r="ET54" s="146"/>
      <c r="EU54" s="146"/>
      <c r="EV54" s="146"/>
      <c r="EW54" s="146"/>
      <c r="EX54" s="146"/>
      <c r="EY54" s="146"/>
      <c r="EZ54" s="146"/>
    </row>
    <row r="55" spans="1:156" ht="14.5" x14ac:dyDescent="0.35">
      <c r="A55" s="43"/>
      <c r="B55" s="75" t="b">
        <v>1</v>
      </c>
      <c r="C55" s="43" t="s">
        <v>2310</v>
      </c>
      <c r="D55" s="43" t="s">
        <v>439</v>
      </c>
      <c r="E55" s="43" t="s">
        <v>2281</v>
      </c>
      <c r="F55" s="43"/>
      <c r="G55" s="43" t="s">
        <v>2484</v>
      </c>
      <c r="H55" s="43" t="s">
        <v>506</v>
      </c>
      <c r="I55" s="43" t="s">
        <v>1015</v>
      </c>
      <c r="J55" s="43" t="s">
        <v>508</v>
      </c>
      <c r="K55" s="43" t="s">
        <v>1039</v>
      </c>
      <c r="L55" s="43" t="s">
        <v>1040</v>
      </c>
      <c r="M55" s="43" t="s">
        <v>2312</v>
      </c>
      <c r="N55" s="43"/>
      <c r="O55" s="43"/>
      <c r="P55" s="43"/>
      <c r="Q55" s="43" t="s">
        <v>2485</v>
      </c>
      <c r="R55" s="43" t="s">
        <v>2314</v>
      </c>
      <c r="S55" s="43" t="s">
        <v>2418</v>
      </c>
      <c r="T55" s="213">
        <v>40000</v>
      </c>
      <c r="U55" s="213">
        <v>3400000</v>
      </c>
      <c r="V55" s="213">
        <v>280000</v>
      </c>
      <c r="W55" s="213">
        <v>2400000</v>
      </c>
      <c r="X55" s="213">
        <v>160000</v>
      </c>
      <c r="Y55" s="213">
        <v>470000</v>
      </c>
      <c r="Z55" s="213">
        <v>0</v>
      </c>
      <c r="AA55" s="213">
        <v>0</v>
      </c>
      <c r="AB55" s="213">
        <v>0</v>
      </c>
      <c r="AC55" s="213">
        <v>0</v>
      </c>
      <c r="AD55" s="213">
        <v>0</v>
      </c>
      <c r="AE55" s="213">
        <v>0</v>
      </c>
      <c r="AF55" s="213">
        <v>6750000</v>
      </c>
      <c r="AG55" s="213">
        <v>0</v>
      </c>
      <c r="AH55" s="213">
        <v>0</v>
      </c>
      <c r="AI55" s="213">
        <v>0</v>
      </c>
      <c r="AJ55" s="213">
        <v>0</v>
      </c>
      <c r="AK55" s="213">
        <v>6750000</v>
      </c>
      <c r="AL55" s="213">
        <v>0</v>
      </c>
      <c r="AM55" s="213">
        <v>0</v>
      </c>
      <c r="AN55" s="213">
        <v>0</v>
      </c>
      <c r="AO55" s="213">
        <v>0</v>
      </c>
      <c r="AP55" s="213">
        <v>0</v>
      </c>
      <c r="AQ55" s="213">
        <v>6750000</v>
      </c>
      <c r="AR55" s="43">
        <v>193</v>
      </c>
      <c r="AS55" s="43" t="s">
        <v>2316</v>
      </c>
      <c r="AT55" s="181">
        <v>2025</v>
      </c>
      <c r="AU55" s="43">
        <f>_xlfn.XLOOKUP(_tPE26_29_Consolidada[[#This Row],[ID Financeiro]],[5]Projetos!$K:$K,[5]Projetos!$A:$A,0,0)</f>
        <v>0</v>
      </c>
      <c r="AV55" s="43" t="s">
        <v>2486</v>
      </c>
      <c r="AW55" s="43" t="s">
        <v>517</v>
      </c>
      <c r="AX55" s="62" t="s">
        <v>2485</v>
      </c>
      <c r="AY55" s="62"/>
      <c r="AZ55" s="43" t="s">
        <v>2394</v>
      </c>
      <c r="BA55" s="43"/>
      <c r="BB55" s="43"/>
      <c r="BC55" s="43"/>
      <c r="BD55" s="43"/>
      <c r="BE55" s="43"/>
      <c r="BF55" s="43"/>
      <c r="BG55" s="43"/>
      <c r="BH55" s="43"/>
      <c r="BI55" s="43"/>
      <c r="BJ55" s="43"/>
      <c r="BK55" s="43"/>
      <c r="BL55" s="43"/>
      <c r="BM55" s="43"/>
      <c r="BN55" s="43"/>
      <c r="BO55" s="43"/>
      <c r="BP55" s="174">
        <f>IFERROR(VLOOKUP(_tPE26_29_Consolidada[[#This Row],[ID Financeiro]],'[4]PE 25-29'!$B:$AF,31,FALSE),0)</f>
        <v>0</v>
      </c>
      <c r="BQ55" s="174">
        <f>_tPE26_29_Consolidada[[#This Row],[2026]]*1000</f>
        <v>6750000000</v>
      </c>
      <c r="BR55" s="176">
        <f>_tPE26_29_Consolidada[[#This Row],[Orçado 2026 (PE25-29)]]-_tPE26_29_Consolidada[[#This Row],[Orçado 2026 (PE26-30)]]</f>
        <v>-6750000000</v>
      </c>
      <c r="BS55" s="175">
        <f>IFERROR(VLOOKUP(_tPE26_29_Consolidada[[#This Row],[ID Financeiro]],'[4]PE 25-29'!$B:$AT,45,FALSE),0)</f>
        <v>0</v>
      </c>
      <c r="BT55" s="175">
        <f>_tPE26_29_Consolidada[[#This Row],[2026-2030]]*1000</f>
        <v>6750000000</v>
      </c>
      <c r="BU55" s="175">
        <f>-_tPE26_29_Consolidada[[#This Row],[Orçado 26/30 (PE25-29)]]+_tPE26_29_Consolidada[[#This Row],[Orçado 26/30 (PE26-30)]]</f>
        <v>6750000000</v>
      </c>
      <c r="BV55" s="177">
        <f>IFERROR(_tPE26_29_Consolidada[[#This Row],[Dif2]]/_tPE26_29_Consolidada[[#This Row],[Orçado 26/30 (PE25-29)]],0)</f>
        <v>0</v>
      </c>
      <c r="CQ55" s="146"/>
      <c r="CR55" s="146"/>
      <c r="CS55" s="146"/>
      <c r="CT55" s="146"/>
      <c r="CU55" s="146"/>
      <c r="CV55" s="146"/>
      <c r="CW55" s="146"/>
      <c r="CX55" s="146"/>
      <c r="CY55" s="146"/>
      <c r="CZ55" s="146"/>
      <c r="DA55" s="146"/>
      <c r="DB55" s="146"/>
      <c r="DC55" s="146"/>
      <c r="DD55" s="146"/>
      <c r="DE55" s="146"/>
      <c r="DF55" s="146"/>
      <c r="DG55" s="146"/>
      <c r="DH55" s="146"/>
      <c r="DI55" s="146"/>
      <c r="DJ55" s="146"/>
      <c r="DK55" s="146"/>
      <c r="DL55" s="146"/>
      <c r="DM55" s="146"/>
      <c r="DN55" s="146"/>
      <c r="DO55" s="146"/>
      <c r="DP55" s="146"/>
      <c r="DQ55" s="146"/>
      <c r="DR55" s="146"/>
      <c r="DS55" s="146"/>
      <c r="DT55" s="146"/>
      <c r="DU55" s="146"/>
      <c r="DV55" s="146"/>
      <c r="DW55" s="146"/>
      <c r="DX55" s="146"/>
      <c r="DY55" s="146"/>
      <c r="DZ55" s="146"/>
      <c r="EA55" s="146"/>
      <c r="EB55" s="146"/>
      <c r="EC55" s="146"/>
      <c r="ED55" s="146"/>
      <c r="EE55" s="146"/>
      <c r="EF55" s="146"/>
      <c r="EG55" s="146"/>
      <c r="EH55" s="146"/>
      <c r="EI55" s="146"/>
      <c r="EJ55" s="146"/>
      <c r="EK55" s="146"/>
      <c r="EL55" s="146"/>
      <c r="EM55" s="146"/>
      <c r="EN55" s="146"/>
      <c r="EO55" s="146"/>
      <c r="EP55" s="146"/>
      <c r="EQ55" s="146"/>
      <c r="ER55" s="146"/>
      <c r="ES55" s="146"/>
      <c r="ET55" s="146"/>
      <c r="EU55" s="146"/>
      <c r="EV55" s="146"/>
      <c r="EW55" s="146"/>
      <c r="EX55" s="146"/>
      <c r="EY55" s="146"/>
      <c r="EZ55" s="146"/>
    </row>
    <row r="56" spans="1:156" ht="14.5" x14ac:dyDescent="0.35">
      <c r="A56" s="43"/>
      <c r="B56" s="75" t="b">
        <v>1</v>
      </c>
      <c r="C56" s="43" t="s">
        <v>2310</v>
      </c>
      <c r="D56" s="43" t="s">
        <v>439</v>
      </c>
      <c r="E56" s="43" t="s">
        <v>2281</v>
      </c>
      <c r="F56" s="43"/>
      <c r="G56" s="43" t="s">
        <v>2487</v>
      </c>
      <c r="H56" s="43" t="s">
        <v>506</v>
      </c>
      <c r="I56" s="43" t="s">
        <v>1015</v>
      </c>
      <c r="J56" s="43" t="s">
        <v>508</v>
      </c>
      <c r="K56" s="43" t="s">
        <v>1039</v>
      </c>
      <c r="L56" s="43" t="s">
        <v>1040</v>
      </c>
      <c r="M56" s="43" t="s">
        <v>2312</v>
      </c>
      <c r="N56" s="43"/>
      <c r="O56" s="43"/>
      <c r="P56" s="43"/>
      <c r="Q56" s="43" t="s">
        <v>2488</v>
      </c>
      <c r="R56" s="43" t="s">
        <v>2314</v>
      </c>
      <c r="S56" s="43" t="s">
        <v>1029</v>
      </c>
      <c r="T56" s="213">
        <v>20000</v>
      </c>
      <c r="U56" s="213">
        <v>20000</v>
      </c>
      <c r="V56" s="213">
        <v>20000</v>
      </c>
      <c r="W56" s="213">
        <v>1400000</v>
      </c>
      <c r="X56" s="213">
        <v>250000</v>
      </c>
      <c r="Y56" s="213">
        <v>250000</v>
      </c>
      <c r="Z56" s="213">
        <v>250000</v>
      </c>
      <c r="AA56" s="213">
        <v>250000</v>
      </c>
      <c r="AB56" s="213">
        <v>1300000</v>
      </c>
      <c r="AC56" s="213">
        <v>20000</v>
      </c>
      <c r="AD56" s="213">
        <v>100000</v>
      </c>
      <c r="AE56" s="213">
        <v>120000</v>
      </c>
      <c r="AF56" s="213">
        <v>4000000</v>
      </c>
      <c r="AG56" s="213">
        <v>500000</v>
      </c>
      <c r="AH56" s="213">
        <v>0</v>
      </c>
      <c r="AI56" s="213">
        <v>0</v>
      </c>
      <c r="AJ56" s="213">
        <v>0</v>
      </c>
      <c r="AK56" s="213">
        <v>4500000</v>
      </c>
      <c r="AL56" s="213">
        <v>0</v>
      </c>
      <c r="AM56" s="213">
        <v>0</v>
      </c>
      <c r="AN56" s="213">
        <v>0</v>
      </c>
      <c r="AO56" s="213">
        <v>0</v>
      </c>
      <c r="AP56" s="213">
        <v>0</v>
      </c>
      <c r="AQ56" s="213">
        <v>4500000</v>
      </c>
      <c r="AR56" s="43">
        <v>194</v>
      </c>
      <c r="AS56" s="43" t="s">
        <v>2316</v>
      </c>
      <c r="AT56" s="181">
        <v>2025</v>
      </c>
      <c r="AU56" s="43">
        <f>_xlfn.XLOOKUP(_tPE26_29_Consolidada[[#This Row],[ID Financeiro]],[5]Projetos!$K:$K,[5]Projetos!$A:$A,0,0)</f>
        <v>0</v>
      </c>
      <c r="AV56" s="43" t="s">
        <v>2489</v>
      </c>
      <c r="AW56" s="43" t="s">
        <v>517</v>
      </c>
      <c r="AX56" s="62" t="s">
        <v>2488</v>
      </c>
      <c r="AY56" s="62"/>
      <c r="AZ56" s="43" t="s">
        <v>2323</v>
      </c>
      <c r="BA56" s="43"/>
      <c r="BB56" s="43"/>
      <c r="BC56" s="43"/>
      <c r="BD56" s="43"/>
      <c r="BE56" s="43"/>
      <c r="BF56" s="43"/>
      <c r="BG56" s="43"/>
      <c r="BH56" s="43"/>
      <c r="BI56" s="43"/>
      <c r="BJ56" s="43"/>
      <c r="BK56" s="43"/>
      <c r="BL56" s="43"/>
      <c r="BM56" s="43"/>
      <c r="BN56" s="43"/>
      <c r="BO56" s="43"/>
      <c r="BP56" s="174">
        <f>IFERROR(VLOOKUP(_tPE26_29_Consolidada[[#This Row],[ID Financeiro]],'[4]PE 25-29'!$B:$AF,31,FALSE),0)</f>
        <v>0</v>
      </c>
      <c r="BQ56" s="174">
        <f>_tPE26_29_Consolidada[[#This Row],[2026]]*1000</f>
        <v>4000000000</v>
      </c>
      <c r="BR56" s="176">
        <f>_tPE26_29_Consolidada[[#This Row],[Orçado 2026 (PE25-29)]]-_tPE26_29_Consolidada[[#This Row],[Orçado 2026 (PE26-30)]]</f>
        <v>-4000000000</v>
      </c>
      <c r="BS56" s="175">
        <f>IFERROR(VLOOKUP(_tPE26_29_Consolidada[[#This Row],[ID Financeiro]],'[4]PE 25-29'!$B:$AT,45,FALSE),0)</f>
        <v>0</v>
      </c>
      <c r="BT56" s="175">
        <f>_tPE26_29_Consolidada[[#This Row],[2026-2030]]*1000</f>
        <v>4500000000</v>
      </c>
      <c r="BU56" s="175">
        <f>-_tPE26_29_Consolidada[[#This Row],[Orçado 26/30 (PE25-29)]]+_tPE26_29_Consolidada[[#This Row],[Orçado 26/30 (PE26-30)]]</f>
        <v>4500000000</v>
      </c>
      <c r="BV56" s="177">
        <f>IFERROR(_tPE26_29_Consolidada[[#This Row],[Dif2]]/_tPE26_29_Consolidada[[#This Row],[Orçado 26/30 (PE25-29)]],0)</f>
        <v>0</v>
      </c>
      <c r="CQ56" s="146"/>
      <c r="CR56" s="146"/>
      <c r="CS56" s="146"/>
      <c r="CT56" s="146"/>
      <c r="CU56" s="146"/>
      <c r="CV56" s="146"/>
      <c r="CW56" s="146"/>
      <c r="CX56" s="146"/>
      <c r="CY56" s="146"/>
      <c r="CZ56" s="146"/>
      <c r="DA56" s="146"/>
      <c r="DB56" s="146"/>
      <c r="DC56" s="146"/>
      <c r="DD56" s="146"/>
      <c r="DE56" s="146"/>
      <c r="DF56" s="146"/>
      <c r="DG56" s="146"/>
      <c r="DH56" s="146"/>
      <c r="DI56" s="146"/>
      <c r="DJ56" s="146"/>
      <c r="DK56" s="146"/>
      <c r="DL56" s="146"/>
      <c r="DM56" s="146"/>
      <c r="DN56" s="146"/>
      <c r="DO56" s="146"/>
      <c r="DP56" s="146"/>
      <c r="DQ56" s="146"/>
      <c r="DR56" s="146"/>
      <c r="DS56" s="146"/>
      <c r="DT56" s="146"/>
      <c r="DU56" s="146"/>
      <c r="DV56" s="146"/>
      <c r="DW56" s="146"/>
      <c r="DX56" s="146"/>
      <c r="DY56" s="146"/>
      <c r="DZ56" s="146"/>
      <c r="EA56" s="146"/>
      <c r="EB56" s="146"/>
      <c r="EC56" s="146"/>
      <c r="ED56" s="146"/>
      <c r="EE56" s="146"/>
      <c r="EF56" s="146"/>
      <c r="EG56" s="146"/>
      <c r="EH56" s="146"/>
      <c r="EI56" s="146"/>
      <c r="EJ56" s="146"/>
      <c r="EK56" s="146"/>
      <c r="EL56" s="146"/>
      <c r="EM56" s="146"/>
      <c r="EN56" s="146"/>
      <c r="EO56" s="146"/>
      <c r="EP56" s="146"/>
      <c r="EQ56" s="146"/>
      <c r="ER56" s="146"/>
      <c r="ES56" s="146"/>
      <c r="ET56" s="146"/>
      <c r="EU56" s="146"/>
      <c r="EV56" s="146"/>
      <c r="EW56" s="146"/>
      <c r="EX56" s="146"/>
      <c r="EY56" s="146"/>
      <c r="EZ56" s="146"/>
    </row>
    <row r="57" spans="1:156" ht="14.5" x14ac:dyDescent="0.35">
      <c r="A57" s="43"/>
      <c r="B57" s="75" t="b">
        <v>1</v>
      </c>
      <c r="C57" s="43" t="s">
        <v>2310</v>
      </c>
      <c r="D57" s="43" t="s">
        <v>439</v>
      </c>
      <c r="E57" s="43" t="s">
        <v>2281</v>
      </c>
      <c r="F57" s="43"/>
      <c r="G57" s="43" t="s">
        <v>2490</v>
      </c>
      <c r="H57" s="43" t="s">
        <v>506</v>
      </c>
      <c r="I57" s="43" t="s">
        <v>1015</v>
      </c>
      <c r="J57" s="43" t="s">
        <v>508</v>
      </c>
      <c r="K57" s="43" t="s">
        <v>1039</v>
      </c>
      <c r="L57" s="43" t="s">
        <v>1040</v>
      </c>
      <c r="M57" s="43" t="s">
        <v>2312</v>
      </c>
      <c r="N57" s="43"/>
      <c r="O57" s="43"/>
      <c r="P57" s="43"/>
      <c r="Q57" s="43" t="s">
        <v>2491</v>
      </c>
      <c r="R57" s="43" t="s">
        <v>2314</v>
      </c>
      <c r="S57" s="43" t="s">
        <v>2315</v>
      </c>
      <c r="T57" s="213">
        <v>30000</v>
      </c>
      <c r="U57" s="213">
        <v>30000</v>
      </c>
      <c r="V57" s="213">
        <v>30000</v>
      </c>
      <c r="W57" s="213">
        <v>30000</v>
      </c>
      <c r="X57" s="213">
        <v>30000</v>
      </c>
      <c r="Y57" s="213">
        <v>30000</v>
      </c>
      <c r="Z57" s="213">
        <v>320000</v>
      </c>
      <c r="AA57" s="213">
        <v>2500000</v>
      </c>
      <c r="AB57" s="213">
        <v>1000000</v>
      </c>
      <c r="AC57" s="213">
        <v>1000000</v>
      </c>
      <c r="AD57" s="213">
        <v>1000000</v>
      </c>
      <c r="AE57" s="213">
        <v>1000000</v>
      </c>
      <c r="AF57" s="213">
        <v>7000000</v>
      </c>
      <c r="AG57" s="213">
        <v>60000000</v>
      </c>
      <c r="AH57" s="213">
        <v>60000000</v>
      </c>
      <c r="AI57" s="213">
        <v>68000000</v>
      </c>
      <c r="AJ57" s="213">
        <v>68900000</v>
      </c>
      <c r="AK57" s="213">
        <v>263900000</v>
      </c>
      <c r="AL57" s="213">
        <v>0</v>
      </c>
      <c r="AM57" s="213">
        <v>0</v>
      </c>
      <c r="AN57" s="213">
        <v>0</v>
      </c>
      <c r="AO57" s="213">
        <v>0</v>
      </c>
      <c r="AP57" s="213">
        <v>0</v>
      </c>
      <c r="AQ57" s="213">
        <v>263900000</v>
      </c>
      <c r="AR57" s="43">
        <v>195</v>
      </c>
      <c r="AS57" s="43" t="s">
        <v>2316</v>
      </c>
      <c r="AT57" s="181">
        <v>2025</v>
      </c>
      <c r="AU57" s="43">
        <f>_xlfn.XLOOKUP(_tPE26_29_Consolidada[[#This Row],[ID Financeiro]],[5]Projetos!$K:$K,[5]Projetos!$A:$A,0,0)</f>
        <v>0</v>
      </c>
      <c r="AV57" s="43" t="s">
        <v>2492</v>
      </c>
      <c r="AW57" s="43" t="s">
        <v>1854</v>
      </c>
      <c r="AX57" s="62" t="s">
        <v>2491</v>
      </c>
      <c r="AY57" s="62"/>
      <c r="AZ57" s="43" t="s">
        <v>2493</v>
      </c>
      <c r="BA57" s="43"/>
      <c r="BB57" s="43"/>
      <c r="BC57" s="43"/>
      <c r="BD57" s="43"/>
      <c r="BE57" s="43"/>
      <c r="BF57" s="43"/>
      <c r="BG57" s="43"/>
      <c r="BH57" s="43"/>
      <c r="BI57" s="43"/>
      <c r="BJ57" s="43"/>
      <c r="BK57" s="43"/>
      <c r="BL57" s="43"/>
      <c r="BM57" s="43"/>
      <c r="BN57" s="43"/>
      <c r="BO57" s="43"/>
      <c r="BP57" s="174">
        <f>IFERROR(VLOOKUP(_tPE26_29_Consolidada[[#This Row],[ID Financeiro]],'[4]PE 25-29'!$B:$AF,31,FALSE),0)</f>
        <v>45000000</v>
      </c>
      <c r="BQ57" s="174">
        <f>_tPE26_29_Consolidada[[#This Row],[2026]]*1000</f>
        <v>7000000000</v>
      </c>
      <c r="BR57" s="176">
        <f>_tPE26_29_Consolidada[[#This Row],[Orçado 2026 (PE25-29)]]-_tPE26_29_Consolidada[[#This Row],[Orçado 2026 (PE26-30)]]</f>
        <v>-6955000000</v>
      </c>
      <c r="BS57" s="175">
        <f>IFERROR(VLOOKUP(_tPE26_29_Consolidada[[#This Row],[ID Financeiro]],'[4]PE 25-29'!$B:$AT,45,FALSE),0)</f>
        <v>225000000</v>
      </c>
      <c r="BT57" s="175">
        <f>_tPE26_29_Consolidada[[#This Row],[2026-2030]]*1000</f>
        <v>263900000000</v>
      </c>
      <c r="BU57" s="175">
        <f>-_tPE26_29_Consolidada[[#This Row],[Orçado 26/30 (PE25-29)]]+_tPE26_29_Consolidada[[#This Row],[Orçado 26/30 (PE26-30)]]</f>
        <v>263675000000</v>
      </c>
      <c r="BV57" s="177">
        <f>IFERROR(_tPE26_29_Consolidada[[#This Row],[Dif2]]/_tPE26_29_Consolidada[[#This Row],[Orçado 26/30 (PE25-29)]],0)</f>
        <v>1171.8888888888889</v>
      </c>
      <c r="CQ57" s="146"/>
      <c r="CR57" s="146"/>
      <c r="CS57" s="146"/>
      <c r="CT57" s="146"/>
      <c r="CU57" s="146"/>
      <c r="CV57" s="146"/>
      <c r="CW57" s="146"/>
      <c r="CX57" s="146"/>
      <c r="CY57" s="146"/>
      <c r="CZ57" s="146"/>
      <c r="DA57" s="146"/>
      <c r="DB57" s="146"/>
      <c r="DC57" s="146"/>
      <c r="DD57" s="146"/>
      <c r="DE57" s="146"/>
      <c r="DF57" s="146"/>
      <c r="DG57" s="146"/>
      <c r="DH57" s="146"/>
      <c r="DI57" s="146"/>
      <c r="DJ57" s="146"/>
      <c r="DK57" s="146"/>
      <c r="DL57" s="146"/>
      <c r="DM57" s="146"/>
      <c r="DN57" s="146"/>
      <c r="DO57" s="146"/>
      <c r="DP57" s="146"/>
      <c r="DQ57" s="146"/>
      <c r="DR57" s="146"/>
      <c r="DS57" s="146"/>
      <c r="DT57" s="146"/>
      <c r="DU57" s="146"/>
      <c r="DV57" s="146"/>
      <c r="DW57" s="146"/>
      <c r="DX57" s="146"/>
      <c r="DY57" s="146"/>
      <c r="DZ57" s="146"/>
      <c r="EA57" s="146"/>
      <c r="EB57" s="146"/>
      <c r="EC57" s="146"/>
      <c r="ED57" s="146"/>
      <c r="EE57" s="146"/>
      <c r="EF57" s="146"/>
      <c r="EG57" s="146"/>
      <c r="EH57" s="146"/>
      <c r="EI57" s="146"/>
      <c r="EJ57" s="146"/>
      <c r="EK57" s="146"/>
      <c r="EL57" s="146"/>
      <c r="EM57" s="146"/>
      <c r="EN57" s="146"/>
      <c r="EO57" s="146"/>
      <c r="EP57" s="146"/>
      <c r="EQ57" s="146"/>
      <c r="ER57" s="146"/>
      <c r="ES57" s="146"/>
      <c r="ET57" s="146"/>
      <c r="EU57" s="146"/>
      <c r="EV57" s="146"/>
      <c r="EW57" s="146"/>
      <c r="EX57" s="146"/>
      <c r="EY57" s="146"/>
      <c r="EZ57" s="146"/>
    </row>
    <row r="58" spans="1:156" ht="14.5" x14ac:dyDescent="0.35">
      <c r="A58" s="43"/>
      <c r="B58" s="75" t="b">
        <v>1</v>
      </c>
      <c r="C58" s="43" t="s">
        <v>2310</v>
      </c>
      <c r="D58" s="43" t="s">
        <v>439</v>
      </c>
      <c r="E58" s="43" t="s">
        <v>2281</v>
      </c>
      <c r="F58" s="43"/>
      <c r="G58" s="43" t="s">
        <v>2494</v>
      </c>
      <c r="H58" s="43" t="s">
        <v>506</v>
      </c>
      <c r="I58" s="43" t="s">
        <v>1015</v>
      </c>
      <c r="J58" s="43" t="s">
        <v>508</v>
      </c>
      <c r="K58" s="43" t="s">
        <v>1039</v>
      </c>
      <c r="L58" s="43" t="s">
        <v>1040</v>
      </c>
      <c r="M58" s="43" t="s">
        <v>2495</v>
      </c>
      <c r="N58" s="43"/>
      <c r="O58" s="43"/>
      <c r="P58" s="43"/>
      <c r="Q58" s="43" t="s">
        <v>2496</v>
      </c>
      <c r="R58" s="43" t="s">
        <v>2497</v>
      </c>
      <c r="S58" s="43" t="s">
        <v>2315</v>
      </c>
      <c r="T58" s="213">
        <v>0</v>
      </c>
      <c r="U58" s="213">
        <v>0</v>
      </c>
      <c r="V58" s="213">
        <v>0</v>
      </c>
      <c r="W58" s="213">
        <v>190000</v>
      </c>
      <c r="X58" s="213">
        <v>190000</v>
      </c>
      <c r="Y58" s="213">
        <v>190000</v>
      </c>
      <c r="Z58" s="213">
        <v>0</v>
      </c>
      <c r="AA58" s="213">
        <v>0</v>
      </c>
      <c r="AB58" s="213">
        <v>0</v>
      </c>
      <c r="AC58" s="213">
        <v>0</v>
      </c>
      <c r="AD58" s="213">
        <v>0</v>
      </c>
      <c r="AE58" s="213">
        <v>0</v>
      </c>
      <c r="AF58" s="213">
        <v>570000</v>
      </c>
      <c r="AG58" s="213">
        <v>0</v>
      </c>
      <c r="AH58" s="213">
        <v>0</v>
      </c>
      <c r="AI58" s="213">
        <v>0</v>
      </c>
      <c r="AJ58" s="213">
        <v>0</v>
      </c>
      <c r="AK58" s="213">
        <v>570000</v>
      </c>
      <c r="AL58" s="213">
        <v>0</v>
      </c>
      <c r="AM58" s="213">
        <v>0</v>
      </c>
      <c r="AN58" s="213">
        <v>0</v>
      </c>
      <c r="AO58" s="213">
        <v>0</v>
      </c>
      <c r="AP58" s="213">
        <v>0</v>
      </c>
      <c r="AQ58" s="213">
        <v>570000</v>
      </c>
      <c r="AR58" s="43">
        <v>196</v>
      </c>
      <c r="AS58" s="43" t="s">
        <v>2498</v>
      </c>
      <c r="AT58" s="181">
        <v>2025</v>
      </c>
      <c r="AU58" s="43">
        <f>_xlfn.XLOOKUP(_tPE26_29_Consolidada[[#This Row],[ID Financeiro]],[5]Projetos!$K:$K,[5]Projetos!$A:$A,0,0)</f>
        <v>0</v>
      </c>
      <c r="AV58" s="43" t="s">
        <v>2499</v>
      </c>
      <c r="AW58" s="43" t="s">
        <v>1854</v>
      </c>
      <c r="AX58" s="62" t="s">
        <v>2496</v>
      </c>
      <c r="AY58" s="62"/>
      <c r="AZ58" s="43" t="s">
        <v>2500</v>
      </c>
      <c r="BA58" s="43"/>
      <c r="BB58" s="43"/>
      <c r="BC58" s="43"/>
      <c r="BD58" s="43"/>
      <c r="BE58" s="43"/>
      <c r="BF58" s="43"/>
      <c r="BG58" s="43"/>
      <c r="BH58" s="43"/>
      <c r="BI58" s="43"/>
      <c r="BJ58" s="43"/>
      <c r="BK58" s="43"/>
      <c r="BL58" s="43"/>
      <c r="BM58" s="43"/>
      <c r="BN58" s="43"/>
      <c r="BO58" s="43"/>
      <c r="BP58" s="174">
        <f>IFERROR(VLOOKUP(_tPE26_29_Consolidada[[#This Row],[ID Financeiro]],'[4]PE 25-29'!$B:$AF,31,FALSE),0)</f>
        <v>42000</v>
      </c>
      <c r="BQ58" s="174">
        <f>_tPE26_29_Consolidada[[#This Row],[2026]]*1000</f>
        <v>570000000</v>
      </c>
      <c r="BR58" s="176">
        <f>_tPE26_29_Consolidada[[#This Row],[Orçado 2026 (PE25-29)]]-_tPE26_29_Consolidada[[#This Row],[Orçado 2026 (PE26-30)]]</f>
        <v>-569958000</v>
      </c>
      <c r="BS58" s="175">
        <f>IFERROR(VLOOKUP(_tPE26_29_Consolidada[[#This Row],[ID Financeiro]],'[4]PE 25-29'!$B:$AT,45,FALSE),0)</f>
        <v>42000</v>
      </c>
      <c r="BT58" s="175">
        <f>_tPE26_29_Consolidada[[#This Row],[2026-2030]]*1000</f>
        <v>570000000</v>
      </c>
      <c r="BU58" s="175">
        <f>-_tPE26_29_Consolidada[[#This Row],[Orçado 26/30 (PE25-29)]]+_tPE26_29_Consolidada[[#This Row],[Orçado 26/30 (PE26-30)]]</f>
        <v>569958000</v>
      </c>
      <c r="BV58" s="177">
        <f>IFERROR(_tPE26_29_Consolidada[[#This Row],[Dif2]]/_tPE26_29_Consolidada[[#This Row],[Orçado 26/30 (PE25-29)]],0)</f>
        <v>13570.428571428571</v>
      </c>
      <c r="CQ58" s="146"/>
      <c r="CR58" s="146"/>
      <c r="CS58" s="146"/>
      <c r="CT58" s="146"/>
      <c r="CU58" s="146"/>
      <c r="CV58" s="146"/>
      <c r="CW58" s="146"/>
      <c r="CX58" s="146"/>
      <c r="CY58" s="146"/>
      <c r="CZ58" s="146"/>
      <c r="DA58" s="146"/>
      <c r="DB58" s="146"/>
      <c r="DC58" s="146"/>
      <c r="DD58" s="146"/>
      <c r="DE58" s="146"/>
      <c r="DF58" s="146"/>
      <c r="DG58" s="146"/>
      <c r="DH58" s="146"/>
      <c r="DI58" s="146"/>
      <c r="DJ58" s="146"/>
      <c r="DK58" s="146"/>
      <c r="DL58" s="146"/>
      <c r="DM58" s="146"/>
      <c r="DN58" s="146"/>
      <c r="DO58" s="146"/>
      <c r="DP58" s="146"/>
      <c r="DQ58" s="146"/>
      <c r="DR58" s="146"/>
      <c r="DS58" s="146"/>
      <c r="DT58" s="146"/>
      <c r="DU58" s="146"/>
      <c r="DV58" s="146"/>
      <c r="DW58" s="146"/>
      <c r="DX58" s="146"/>
      <c r="DY58" s="146"/>
      <c r="DZ58" s="146"/>
      <c r="EA58" s="146"/>
      <c r="EB58" s="146"/>
      <c r="EC58" s="146"/>
      <c r="ED58" s="146"/>
      <c r="EE58" s="146"/>
      <c r="EF58" s="146"/>
      <c r="EG58" s="146"/>
      <c r="EH58" s="146"/>
      <c r="EI58" s="146"/>
      <c r="EJ58" s="146"/>
      <c r="EK58" s="146"/>
      <c r="EL58" s="146"/>
      <c r="EM58" s="146"/>
      <c r="EN58" s="146"/>
      <c r="EO58" s="146"/>
      <c r="EP58" s="146"/>
      <c r="EQ58" s="146"/>
      <c r="ER58" s="146"/>
      <c r="ES58" s="146"/>
      <c r="ET58" s="146"/>
      <c r="EU58" s="146"/>
      <c r="EV58" s="146"/>
      <c r="EW58" s="146"/>
      <c r="EX58" s="146"/>
      <c r="EY58" s="146"/>
      <c r="EZ58" s="146"/>
    </row>
    <row r="59" spans="1:156" ht="14.5" x14ac:dyDescent="0.35">
      <c r="A59" s="43"/>
      <c r="B59" s="75" t="b">
        <v>1</v>
      </c>
      <c r="C59" s="43" t="s">
        <v>2310</v>
      </c>
      <c r="D59" s="43" t="s">
        <v>439</v>
      </c>
      <c r="E59" s="43" t="s">
        <v>2281</v>
      </c>
      <c r="F59" s="43"/>
      <c r="G59" s="43" t="s">
        <v>2501</v>
      </c>
      <c r="H59" s="43" t="s">
        <v>506</v>
      </c>
      <c r="I59" s="43" t="s">
        <v>1015</v>
      </c>
      <c r="J59" s="43" t="s">
        <v>508</v>
      </c>
      <c r="K59" s="43" t="s">
        <v>1039</v>
      </c>
      <c r="L59" s="43" t="s">
        <v>1040</v>
      </c>
      <c r="M59" s="43" t="s">
        <v>2312</v>
      </c>
      <c r="N59" s="43"/>
      <c r="O59" s="43"/>
      <c r="P59" s="43"/>
      <c r="Q59" s="43" t="s">
        <v>2502</v>
      </c>
      <c r="R59" s="43" t="s">
        <v>2314</v>
      </c>
      <c r="S59" s="43" t="s">
        <v>1029</v>
      </c>
      <c r="T59" s="213">
        <v>0</v>
      </c>
      <c r="U59" s="213">
        <v>0</v>
      </c>
      <c r="V59" s="213">
        <v>0</v>
      </c>
      <c r="W59" s="213">
        <v>0</v>
      </c>
      <c r="X59" s="213">
        <v>0</v>
      </c>
      <c r="Y59" s="213">
        <v>0</v>
      </c>
      <c r="Z59" s="213">
        <v>100000</v>
      </c>
      <c r="AA59" s="213">
        <v>0</v>
      </c>
      <c r="AB59" s="213">
        <v>0</v>
      </c>
      <c r="AC59" s="213">
        <v>0</v>
      </c>
      <c r="AD59" s="213">
        <v>0</v>
      </c>
      <c r="AE59" s="213">
        <v>100000</v>
      </c>
      <c r="AF59" s="213">
        <v>200000</v>
      </c>
      <c r="AG59" s="213">
        <v>0</v>
      </c>
      <c r="AH59" s="213">
        <v>0</v>
      </c>
      <c r="AI59" s="213">
        <v>0</v>
      </c>
      <c r="AJ59" s="213">
        <v>0</v>
      </c>
      <c r="AK59" s="213">
        <v>200000</v>
      </c>
      <c r="AL59" s="213">
        <v>0</v>
      </c>
      <c r="AM59" s="213">
        <v>0</v>
      </c>
      <c r="AN59" s="213">
        <v>0</v>
      </c>
      <c r="AO59" s="213">
        <v>0</v>
      </c>
      <c r="AP59" s="213">
        <v>0</v>
      </c>
      <c r="AQ59" s="213">
        <v>200000</v>
      </c>
      <c r="AR59" s="43">
        <v>197</v>
      </c>
      <c r="AS59" s="43" t="s">
        <v>2316</v>
      </c>
      <c r="AT59" s="181">
        <v>2025</v>
      </c>
      <c r="AU59" s="43">
        <f>_xlfn.XLOOKUP(_tPE26_29_Consolidada[[#This Row],[ID Financeiro]],[5]Projetos!$K:$K,[5]Projetos!$A:$A,0,0)</f>
        <v>0</v>
      </c>
      <c r="AV59" s="43" t="s">
        <v>2503</v>
      </c>
      <c r="AW59" s="43" t="s">
        <v>1854</v>
      </c>
      <c r="AX59" s="62" t="s">
        <v>2502</v>
      </c>
      <c r="AY59" s="62"/>
      <c r="AZ59" s="43" t="s">
        <v>2438</v>
      </c>
      <c r="BA59" s="43"/>
      <c r="BB59" s="43"/>
      <c r="BC59" s="43"/>
      <c r="BD59" s="43"/>
      <c r="BE59" s="43"/>
      <c r="BF59" s="43"/>
      <c r="BG59" s="43"/>
      <c r="BH59" s="43"/>
      <c r="BI59" s="43"/>
      <c r="BJ59" s="43"/>
      <c r="BK59" s="43"/>
      <c r="BL59" s="43"/>
      <c r="BM59" s="43"/>
      <c r="BN59" s="43"/>
      <c r="BO59" s="43"/>
      <c r="BP59" s="174">
        <f>IFERROR(VLOOKUP(_tPE26_29_Consolidada[[#This Row],[ID Financeiro]],'[4]PE 25-29'!$B:$AF,31,FALSE),0)</f>
        <v>9000</v>
      </c>
      <c r="BQ59" s="174">
        <f>_tPE26_29_Consolidada[[#This Row],[2026]]*1000</f>
        <v>200000000</v>
      </c>
      <c r="BR59" s="176">
        <f>_tPE26_29_Consolidada[[#This Row],[Orçado 2026 (PE25-29)]]-_tPE26_29_Consolidada[[#This Row],[Orçado 2026 (PE26-30)]]</f>
        <v>-199991000</v>
      </c>
      <c r="BS59" s="175">
        <f>IFERROR(VLOOKUP(_tPE26_29_Consolidada[[#This Row],[ID Financeiro]],'[4]PE 25-29'!$B:$AT,45,FALSE),0)</f>
        <v>9000</v>
      </c>
      <c r="BT59" s="175">
        <f>_tPE26_29_Consolidada[[#This Row],[2026-2030]]*1000</f>
        <v>200000000</v>
      </c>
      <c r="BU59" s="175">
        <f>-_tPE26_29_Consolidada[[#This Row],[Orçado 26/30 (PE25-29)]]+_tPE26_29_Consolidada[[#This Row],[Orçado 26/30 (PE26-30)]]</f>
        <v>199991000</v>
      </c>
      <c r="BV59" s="177">
        <f>IFERROR(_tPE26_29_Consolidada[[#This Row],[Dif2]]/_tPE26_29_Consolidada[[#This Row],[Orçado 26/30 (PE25-29)]],0)</f>
        <v>22221.222222222223</v>
      </c>
      <c r="CQ59" s="146"/>
      <c r="CR59" s="146"/>
      <c r="CS59" s="146"/>
      <c r="CT59" s="146"/>
      <c r="CU59" s="146"/>
      <c r="CV59" s="146"/>
      <c r="CW59" s="146"/>
      <c r="CX59" s="146"/>
      <c r="CY59" s="146"/>
      <c r="CZ59" s="146"/>
      <c r="DA59" s="146"/>
      <c r="DB59" s="146"/>
      <c r="DC59" s="146"/>
      <c r="DD59" s="146"/>
      <c r="DE59" s="146"/>
      <c r="DF59" s="146"/>
      <c r="DG59" s="146"/>
      <c r="DH59" s="146"/>
      <c r="DI59" s="146"/>
      <c r="DJ59" s="146"/>
      <c r="DK59" s="146"/>
      <c r="DL59" s="146"/>
      <c r="DM59" s="146"/>
      <c r="DN59" s="146"/>
      <c r="DO59" s="146"/>
      <c r="DP59" s="146"/>
      <c r="DQ59" s="146"/>
      <c r="DR59" s="146"/>
      <c r="DS59" s="146"/>
      <c r="DT59" s="146"/>
      <c r="DU59" s="146"/>
      <c r="DV59" s="146"/>
      <c r="DW59" s="146"/>
      <c r="DX59" s="146"/>
      <c r="DY59" s="146"/>
      <c r="DZ59" s="146"/>
      <c r="EA59" s="146"/>
      <c r="EB59" s="146"/>
      <c r="EC59" s="146"/>
      <c r="ED59" s="146"/>
      <c r="EE59" s="146"/>
      <c r="EF59" s="146"/>
      <c r="EG59" s="146"/>
      <c r="EH59" s="146"/>
      <c r="EI59" s="146"/>
      <c r="EJ59" s="146"/>
      <c r="EK59" s="146"/>
      <c r="EL59" s="146"/>
      <c r="EM59" s="146"/>
      <c r="EN59" s="146"/>
      <c r="EO59" s="146"/>
      <c r="EP59" s="146"/>
      <c r="EQ59" s="146"/>
      <c r="ER59" s="146"/>
      <c r="ES59" s="146"/>
      <c r="ET59" s="146"/>
      <c r="EU59" s="146"/>
      <c r="EV59" s="146"/>
      <c r="EW59" s="146"/>
      <c r="EX59" s="146"/>
      <c r="EY59" s="146"/>
      <c r="EZ59" s="146"/>
    </row>
    <row r="60" spans="1:156" ht="14.5" x14ac:dyDescent="0.35">
      <c r="A60" s="43"/>
      <c r="B60" s="75" t="b">
        <v>1</v>
      </c>
      <c r="C60" s="43" t="s">
        <v>2310</v>
      </c>
      <c r="D60" s="43" t="s">
        <v>439</v>
      </c>
      <c r="E60" s="43" t="s">
        <v>2281</v>
      </c>
      <c r="F60" s="43"/>
      <c r="G60" s="43" t="s">
        <v>2504</v>
      </c>
      <c r="H60" s="43" t="s">
        <v>506</v>
      </c>
      <c r="I60" s="43" t="s">
        <v>1015</v>
      </c>
      <c r="J60" s="43" t="s">
        <v>508</v>
      </c>
      <c r="K60" s="43" t="s">
        <v>1039</v>
      </c>
      <c r="L60" s="43" t="s">
        <v>1040</v>
      </c>
      <c r="M60" s="43" t="s">
        <v>2312</v>
      </c>
      <c r="N60" s="43"/>
      <c r="O60" s="43"/>
      <c r="P60" s="43"/>
      <c r="Q60" s="43" t="s">
        <v>2505</v>
      </c>
      <c r="R60" s="43" t="s">
        <v>2314</v>
      </c>
      <c r="S60" s="43" t="s">
        <v>2380</v>
      </c>
      <c r="T60" s="213">
        <v>30000</v>
      </c>
      <c r="U60" s="213">
        <v>30000</v>
      </c>
      <c r="V60" s="213">
        <v>130000</v>
      </c>
      <c r="W60" s="213">
        <v>10000</v>
      </c>
      <c r="X60" s="213">
        <v>10000</v>
      </c>
      <c r="Y60" s="213">
        <v>10000</v>
      </c>
      <c r="Z60" s="213">
        <v>10000</v>
      </c>
      <c r="AA60" s="213">
        <v>10000</v>
      </c>
      <c r="AB60" s="213">
        <v>10000</v>
      </c>
      <c r="AC60" s="213">
        <v>10000</v>
      </c>
      <c r="AD60" s="213">
        <v>10000</v>
      </c>
      <c r="AE60" s="213">
        <v>10000</v>
      </c>
      <c r="AF60" s="213">
        <v>280000</v>
      </c>
      <c r="AG60" s="213">
        <v>0</v>
      </c>
      <c r="AH60" s="213">
        <v>0</v>
      </c>
      <c r="AI60" s="213">
        <v>0</v>
      </c>
      <c r="AJ60" s="213">
        <v>0</v>
      </c>
      <c r="AK60" s="213">
        <v>280000</v>
      </c>
      <c r="AL60" s="213">
        <v>0</v>
      </c>
      <c r="AM60" s="213">
        <v>0</v>
      </c>
      <c r="AN60" s="213">
        <v>0</v>
      </c>
      <c r="AO60" s="213">
        <v>0</v>
      </c>
      <c r="AP60" s="213">
        <v>0</v>
      </c>
      <c r="AQ60" s="213">
        <v>280000</v>
      </c>
      <c r="AR60" s="43">
        <v>198</v>
      </c>
      <c r="AS60" s="43" t="s">
        <v>2316</v>
      </c>
      <c r="AT60" s="181">
        <v>2025</v>
      </c>
      <c r="AU60" s="43">
        <f>_xlfn.XLOOKUP(_tPE26_29_Consolidada[[#This Row],[ID Financeiro]],[5]Projetos!$K:$K,[5]Projetos!$A:$A,0,0)</f>
        <v>0</v>
      </c>
      <c r="AV60" s="43" t="s">
        <v>2506</v>
      </c>
      <c r="AW60" s="43" t="s">
        <v>1049</v>
      </c>
      <c r="AX60" s="62" t="s">
        <v>2505</v>
      </c>
      <c r="AY60" s="62"/>
      <c r="AZ60" s="43" t="s">
        <v>2382</v>
      </c>
      <c r="BA60" s="43"/>
      <c r="BB60" s="43"/>
      <c r="BC60" s="43"/>
      <c r="BD60" s="43"/>
      <c r="BE60" s="43"/>
      <c r="BF60" s="43"/>
      <c r="BG60" s="43"/>
      <c r="BH60" s="43"/>
      <c r="BI60" s="43"/>
      <c r="BJ60" s="43"/>
      <c r="BK60" s="43"/>
      <c r="BL60" s="43"/>
      <c r="BM60" s="43"/>
      <c r="BN60" s="43"/>
      <c r="BO60" s="43"/>
      <c r="BP60" s="174">
        <f>IFERROR(VLOOKUP(_tPE26_29_Consolidada[[#This Row],[ID Financeiro]],'[4]PE 25-29'!$B:$AF,31,FALSE),0)</f>
        <v>5250</v>
      </c>
      <c r="BQ60" s="174">
        <f>_tPE26_29_Consolidada[[#This Row],[2026]]*1000</f>
        <v>280000000</v>
      </c>
      <c r="BR60" s="176">
        <f>_tPE26_29_Consolidada[[#This Row],[Orçado 2026 (PE25-29)]]-_tPE26_29_Consolidada[[#This Row],[Orçado 2026 (PE26-30)]]</f>
        <v>-279994750</v>
      </c>
      <c r="BS60" s="175">
        <f>IFERROR(VLOOKUP(_tPE26_29_Consolidada[[#This Row],[ID Financeiro]],'[4]PE 25-29'!$B:$AT,45,FALSE),0)</f>
        <v>5250</v>
      </c>
      <c r="BT60" s="175">
        <f>_tPE26_29_Consolidada[[#This Row],[2026-2030]]*1000</f>
        <v>280000000</v>
      </c>
      <c r="BU60" s="175">
        <f>-_tPE26_29_Consolidada[[#This Row],[Orçado 26/30 (PE25-29)]]+_tPE26_29_Consolidada[[#This Row],[Orçado 26/30 (PE26-30)]]</f>
        <v>279994750</v>
      </c>
      <c r="BV60" s="177">
        <f>IFERROR(_tPE26_29_Consolidada[[#This Row],[Dif2]]/_tPE26_29_Consolidada[[#This Row],[Orçado 26/30 (PE25-29)]],0)</f>
        <v>53332.333333333336</v>
      </c>
      <c r="CQ60" s="146"/>
      <c r="CR60" s="146"/>
      <c r="CS60" s="146"/>
      <c r="CT60" s="146"/>
      <c r="CU60" s="146"/>
      <c r="CV60" s="146"/>
      <c r="CW60" s="146"/>
      <c r="CX60" s="146"/>
      <c r="CY60" s="146"/>
      <c r="CZ60" s="146"/>
      <c r="DA60" s="146"/>
      <c r="DB60" s="146"/>
      <c r="DC60" s="146"/>
      <c r="DD60" s="146"/>
      <c r="DE60" s="146"/>
      <c r="DF60" s="146"/>
      <c r="DG60" s="146"/>
      <c r="DH60" s="146"/>
      <c r="DI60" s="146"/>
      <c r="DJ60" s="146"/>
      <c r="DK60" s="146"/>
      <c r="DL60" s="146"/>
      <c r="DM60" s="146"/>
      <c r="DN60" s="146"/>
      <c r="DO60" s="146"/>
      <c r="DP60" s="146"/>
      <c r="DQ60" s="146"/>
      <c r="DR60" s="146"/>
      <c r="DS60" s="146"/>
      <c r="DT60" s="146"/>
      <c r="DU60" s="146"/>
      <c r="DV60" s="146"/>
      <c r="DW60" s="146"/>
      <c r="DX60" s="146"/>
      <c r="DY60" s="146"/>
      <c r="DZ60" s="146"/>
      <c r="EA60" s="146"/>
      <c r="EB60" s="146"/>
      <c r="EC60" s="146"/>
      <c r="ED60" s="146"/>
      <c r="EE60" s="146"/>
      <c r="EF60" s="146"/>
      <c r="EG60" s="146"/>
      <c r="EH60" s="146"/>
      <c r="EI60" s="146"/>
      <c r="EJ60" s="146"/>
      <c r="EK60" s="146"/>
      <c r="EL60" s="146"/>
      <c r="EM60" s="146"/>
      <c r="EN60" s="146"/>
      <c r="EO60" s="146"/>
      <c r="EP60" s="146"/>
      <c r="EQ60" s="146"/>
      <c r="ER60" s="146"/>
      <c r="ES60" s="146"/>
      <c r="ET60" s="146"/>
      <c r="EU60" s="146"/>
      <c r="EV60" s="146"/>
      <c r="EW60" s="146"/>
      <c r="EX60" s="146"/>
      <c r="EY60" s="146"/>
      <c r="EZ60" s="146"/>
    </row>
    <row r="61" spans="1:156" ht="14.5" x14ac:dyDescent="0.35">
      <c r="A61" s="43"/>
      <c r="B61" s="75" t="b">
        <v>1</v>
      </c>
      <c r="C61" s="43" t="s">
        <v>2310</v>
      </c>
      <c r="D61" s="43" t="s">
        <v>439</v>
      </c>
      <c r="E61" s="43" t="s">
        <v>2281</v>
      </c>
      <c r="F61" s="43"/>
      <c r="G61" s="43" t="s">
        <v>2507</v>
      </c>
      <c r="H61" s="43" t="s">
        <v>506</v>
      </c>
      <c r="I61" s="43" t="s">
        <v>1015</v>
      </c>
      <c r="J61" s="43" t="s">
        <v>508</v>
      </c>
      <c r="K61" s="43" t="s">
        <v>1039</v>
      </c>
      <c r="L61" s="43" t="s">
        <v>1040</v>
      </c>
      <c r="M61" s="43" t="s">
        <v>2312</v>
      </c>
      <c r="N61" s="43"/>
      <c r="O61" s="43"/>
      <c r="P61" s="43"/>
      <c r="Q61" s="43" t="s">
        <v>2508</v>
      </c>
      <c r="R61" s="43" t="s">
        <v>2314</v>
      </c>
      <c r="S61" s="43" t="s">
        <v>1029</v>
      </c>
      <c r="T61" s="213">
        <v>213000</v>
      </c>
      <c r="U61" s="213">
        <v>0</v>
      </c>
      <c r="V61" s="213">
        <v>950000</v>
      </c>
      <c r="W61" s="213">
        <v>0</v>
      </c>
      <c r="X61" s="213">
        <v>916000</v>
      </c>
      <c r="Y61" s="213">
        <v>0</v>
      </c>
      <c r="Z61" s="213">
        <v>0</v>
      </c>
      <c r="AA61" s="213">
        <v>47000</v>
      </c>
      <c r="AB61" s="213">
        <v>0</v>
      </c>
      <c r="AC61" s="213">
        <v>1800000</v>
      </c>
      <c r="AD61" s="213">
        <v>570000</v>
      </c>
      <c r="AE61" s="213">
        <v>1265000</v>
      </c>
      <c r="AF61" s="213">
        <v>5761000</v>
      </c>
      <c r="AG61" s="213">
        <v>0</v>
      </c>
      <c r="AH61" s="213">
        <v>0</v>
      </c>
      <c r="AI61" s="213">
        <v>0</v>
      </c>
      <c r="AJ61" s="213">
        <v>0</v>
      </c>
      <c r="AK61" s="213">
        <v>5761000</v>
      </c>
      <c r="AL61" s="213">
        <v>0</v>
      </c>
      <c r="AM61" s="213">
        <v>0</v>
      </c>
      <c r="AN61" s="213">
        <v>0</v>
      </c>
      <c r="AO61" s="213">
        <v>0</v>
      </c>
      <c r="AP61" s="213">
        <v>0</v>
      </c>
      <c r="AQ61" s="213">
        <v>5761000</v>
      </c>
      <c r="AR61" s="43">
        <v>199</v>
      </c>
      <c r="AS61" s="43" t="s">
        <v>2316</v>
      </c>
      <c r="AT61" s="181">
        <v>2025</v>
      </c>
      <c r="AU61" s="43">
        <f>_xlfn.XLOOKUP(_tPE26_29_Consolidada[[#This Row],[ID Financeiro]],[5]Projetos!$K:$K,[5]Projetos!$A:$A,0,0)</f>
        <v>0</v>
      </c>
      <c r="AV61" s="43" t="s">
        <v>2509</v>
      </c>
      <c r="AW61" s="43" t="s">
        <v>517</v>
      </c>
      <c r="AX61" s="62" t="s">
        <v>2508</v>
      </c>
      <c r="AY61" s="62"/>
      <c r="AZ61" s="43" t="s">
        <v>2370</v>
      </c>
      <c r="BA61" s="43"/>
      <c r="BB61" s="43"/>
      <c r="BC61" s="43"/>
      <c r="BD61" s="43"/>
      <c r="BE61" s="43"/>
      <c r="BF61" s="43"/>
      <c r="BG61" s="43"/>
      <c r="BH61" s="43"/>
      <c r="BI61" s="43"/>
      <c r="BJ61" s="43"/>
      <c r="BK61" s="43"/>
      <c r="BL61" s="43"/>
      <c r="BM61" s="43"/>
      <c r="BN61" s="43"/>
      <c r="BO61" s="43"/>
      <c r="BP61" s="174">
        <f>IFERROR(VLOOKUP(_tPE26_29_Consolidada[[#This Row],[ID Financeiro]],'[4]PE 25-29'!$B:$AF,31,FALSE),0)</f>
        <v>0</v>
      </c>
      <c r="BQ61" s="174">
        <f>_tPE26_29_Consolidada[[#This Row],[2026]]*1000</f>
        <v>5761000000</v>
      </c>
      <c r="BR61" s="176">
        <f>_tPE26_29_Consolidada[[#This Row],[Orçado 2026 (PE25-29)]]-_tPE26_29_Consolidada[[#This Row],[Orçado 2026 (PE26-30)]]</f>
        <v>-5761000000</v>
      </c>
      <c r="BS61" s="175">
        <f>IFERROR(VLOOKUP(_tPE26_29_Consolidada[[#This Row],[ID Financeiro]],'[4]PE 25-29'!$B:$AT,45,FALSE),0)</f>
        <v>0</v>
      </c>
      <c r="BT61" s="175">
        <f>_tPE26_29_Consolidada[[#This Row],[2026-2030]]*1000</f>
        <v>5761000000</v>
      </c>
      <c r="BU61" s="175">
        <f>-_tPE26_29_Consolidada[[#This Row],[Orçado 26/30 (PE25-29)]]+_tPE26_29_Consolidada[[#This Row],[Orçado 26/30 (PE26-30)]]</f>
        <v>5761000000</v>
      </c>
      <c r="BV61" s="177">
        <f>IFERROR(_tPE26_29_Consolidada[[#This Row],[Dif2]]/_tPE26_29_Consolidada[[#This Row],[Orçado 26/30 (PE25-29)]],0)</f>
        <v>0</v>
      </c>
      <c r="CQ61" s="146"/>
      <c r="CR61" s="146"/>
      <c r="CS61" s="146"/>
      <c r="CT61" s="146"/>
      <c r="CU61" s="146"/>
      <c r="CV61" s="146"/>
      <c r="CW61" s="146"/>
      <c r="CX61" s="146"/>
      <c r="CY61" s="146"/>
      <c r="CZ61" s="146"/>
      <c r="DA61" s="146"/>
      <c r="DB61" s="146"/>
      <c r="DC61" s="146"/>
      <c r="DD61" s="146"/>
      <c r="DE61" s="146"/>
      <c r="DF61" s="146"/>
      <c r="DG61" s="146"/>
      <c r="DH61" s="146"/>
      <c r="DI61" s="146"/>
      <c r="DJ61" s="146"/>
      <c r="DK61" s="146"/>
      <c r="DL61" s="146"/>
      <c r="DM61" s="146"/>
      <c r="DN61" s="146"/>
      <c r="DO61" s="146"/>
      <c r="DP61" s="146"/>
      <c r="DQ61" s="146"/>
      <c r="DR61" s="146"/>
      <c r="DS61" s="146"/>
      <c r="DT61" s="146"/>
      <c r="DU61" s="146"/>
      <c r="DV61" s="146"/>
      <c r="DW61" s="146"/>
      <c r="DX61" s="146"/>
      <c r="DY61" s="146"/>
      <c r="DZ61" s="146"/>
      <c r="EA61" s="146"/>
      <c r="EB61" s="146"/>
      <c r="EC61" s="146"/>
      <c r="ED61" s="146"/>
      <c r="EE61" s="146"/>
      <c r="EF61" s="146"/>
      <c r="EG61" s="146"/>
      <c r="EH61" s="146"/>
      <c r="EI61" s="146"/>
      <c r="EJ61" s="146"/>
      <c r="EK61" s="146"/>
      <c r="EL61" s="146"/>
      <c r="EM61" s="146"/>
      <c r="EN61" s="146"/>
      <c r="EO61" s="146"/>
      <c r="EP61" s="146"/>
      <c r="EQ61" s="146"/>
      <c r="ER61" s="146"/>
      <c r="ES61" s="146"/>
      <c r="ET61" s="146"/>
      <c r="EU61" s="146"/>
      <c r="EV61" s="146"/>
      <c r="EW61" s="146"/>
      <c r="EX61" s="146"/>
      <c r="EY61" s="146"/>
      <c r="EZ61" s="146"/>
    </row>
    <row r="62" spans="1:156" ht="14.5" x14ac:dyDescent="0.35">
      <c r="A62" s="43"/>
      <c r="B62" s="75" t="b">
        <v>1</v>
      </c>
      <c r="C62" s="43" t="s">
        <v>2310</v>
      </c>
      <c r="D62" s="43" t="s">
        <v>439</v>
      </c>
      <c r="E62" s="43" t="s">
        <v>2281</v>
      </c>
      <c r="F62" s="43"/>
      <c r="G62" s="43" t="s">
        <v>2510</v>
      </c>
      <c r="H62" s="43" t="s">
        <v>506</v>
      </c>
      <c r="I62" s="43" t="s">
        <v>1015</v>
      </c>
      <c r="J62" s="43" t="s">
        <v>508</v>
      </c>
      <c r="K62" s="43" t="s">
        <v>1039</v>
      </c>
      <c r="L62" s="43" t="s">
        <v>1040</v>
      </c>
      <c r="M62" s="43" t="s">
        <v>2312</v>
      </c>
      <c r="N62" s="43"/>
      <c r="O62" s="43"/>
      <c r="P62" s="43"/>
      <c r="Q62" s="43" t="s">
        <v>2511</v>
      </c>
      <c r="R62" s="43" t="s">
        <v>2314</v>
      </c>
      <c r="S62" s="43" t="s">
        <v>2315</v>
      </c>
      <c r="T62" s="213">
        <v>90000</v>
      </c>
      <c r="U62" s="213">
        <v>0</v>
      </c>
      <c r="V62" s="213">
        <v>0</v>
      </c>
      <c r="W62" s="213">
        <v>410000</v>
      </c>
      <c r="X62" s="213">
        <v>400000</v>
      </c>
      <c r="Y62" s="213">
        <v>416000</v>
      </c>
      <c r="Z62" s="213">
        <v>609000</v>
      </c>
      <c r="AA62" s="213">
        <v>525000</v>
      </c>
      <c r="AB62" s="213">
        <v>525000</v>
      </c>
      <c r="AC62" s="213">
        <v>525000</v>
      </c>
      <c r="AD62" s="213">
        <v>525000</v>
      </c>
      <c r="AE62" s="213">
        <v>525000</v>
      </c>
      <c r="AF62" s="213">
        <v>4550000</v>
      </c>
      <c r="AG62" s="213">
        <v>5450000</v>
      </c>
      <c r="AH62" s="213">
        <v>0</v>
      </c>
      <c r="AI62" s="213">
        <v>0</v>
      </c>
      <c r="AJ62" s="213">
        <v>0</v>
      </c>
      <c r="AK62" s="213">
        <v>10000000</v>
      </c>
      <c r="AL62" s="213">
        <v>0</v>
      </c>
      <c r="AM62" s="213">
        <v>0</v>
      </c>
      <c r="AN62" s="213">
        <v>0</v>
      </c>
      <c r="AO62" s="213">
        <v>0</v>
      </c>
      <c r="AP62" s="213">
        <v>0</v>
      </c>
      <c r="AQ62" s="213">
        <v>10000000</v>
      </c>
      <c r="AR62" s="43">
        <v>200</v>
      </c>
      <c r="AS62" s="43" t="s">
        <v>2316</v>
      </c>
      <c r="AT62" s="181">
        <v>2025</v>
      </c>
      <c r="AU62" s="43">
        <f>_xlfn.XLOOKUP(_tPE26_29_Consolidada[[#This Row],[ID Financeiro]],[5]Projetos!$K:$K,[5]Projetos!$A:$A,0,0)</f>
        <v>0</v>
      </c>
      <c r="AV62" s="43" t="s">
        <v>2512</v>
      </c>
      <c r="AW62" s="43" t="s">
        <v>1049</v>
      </c>
      <c r="AX62" s="62" t="s">
        <v>2513</v>
      </c>
      <c r="AY62" s="62"/>
      <c r="AZ62" s="43" t="s">
        <v>2370</v>
      </c>
      <c r="BA62" s="43"/>
      <c r="BB62" s="43"/>
      <c r="BC62" s="43"/>
      <c r="BD62" s="43"/>
      <c r="BE62" s="43"/>
      <c r="BF62" s="43"/>
      <c r="BG62" s="43"/>
      <c r="BH62" s="43"/>
      <c r="BI62" s="43"/>
      <c r="BJ62" s="43"/>
      <c r="BK62" s="43"/>
      <c r="BL62" s="43"/>
      <c r="BM62" s="43"/>
      <c r="BN62" s="43"/>
      <c r="BO62" s="43"/>
      <c r="BP62" s="174">
        <f>IFERROR(VLOOKUP(_tPE26_29_Consolidada[[#This Row],[ID Financeiro]],'[4]PE 25-29'!$B:$AF,31,FALSE),0)</f>
        <v>10340000</v>
      </c>
      <c r="BQ62" s="174">
        <f>_tPE26_29_Consolidada[[#This Row],[2026]]*1000</f>
        <v>4550000000</v>
      </c>
      <c r="BR62" s="176">
        <f>_tPE26_29_Consolidada[[#This Row],[Orçado 2026 (PE25-29)]]-_tPE26_29_Consolidada[[#This Row],[Orçado 2026 (PE26-30)]]</f>
        <v>-4539660000</v>
      </c>
      <c r="BS62" s="175">
        <f>IFERROR(VLOOKUP(_tPE26_29_Consolidada[[#This Row],[ID Financeiro]],'[4]PE 25-29'!$B:$AT,45,FALSE),0)</f>
        <v>24200000</v>
      </c>
      <c r="BT62" s="175">
        <f>_tPE26_29_Consolidada[[#This Row],[2026-2030]]*1000</f>
        <v>10000000000</v>
      </c>
      <c r="BU62" s="175">
        <f>-_tPE26_29_Consolidada[[#This Row],[Orçado 26/30 (PE25-29)]]+_tPE26_29_Consolidada[[#This Row],[Orçado 26/30 (PE26-30)]]</f>
        <v>9975800000</v>
      </c>
      <c r="BV62" s="177">
        <f>IFERROR(_tPE26_29_Consolidada[[#This Row],[Dif2]]/_tPE26_29_Consolidada[[#This Row],[Orçado 26/30 (PE25-29)]],0)</f>
        <v>412.22314049586777</v>
      </c>
      <c r="CQ62" s="146"/>
      <c r="CR62" s="146"/>
      <c r="CS62" s="146"/>
      <c r="CT62" s="146"/>
      <c r="CU62" s="146"/>
      <c r="CV62" s="146"/>
      <c r="CW62" s="146"/>
      <c r="CX62" s="146"/>
      <c r="CY62" s="146"/>
      <c r="CZ62" s="146"/>
      <c r="DA62" s="146"/>
      <c r="DB62" s="146"/>
      <c r="DC62" s="146"/>
      <c r="DD62" s="146"/>
      <c r="DE62" s="146"/>
      <c r="DF62" s="146"/>
      <c r="DG62" s="146"/>
      <c r="DH62" s="146"/>
      <c r="DI62" s="146"/>
      <c r="DJ62" s="146"/>
      <c r="DK62" s="146"/>
      <c r="DL62" s="146"/>
      <c r="DM62" s="146"/>
      <c r="DN62" s="146"/>
      <c r="DO62" s="146"/>
      <c r="DP62" s="146"/>
      <c r="DQ62" s="146"/>
      <c r="DR62" s="146"/>
      <c r="DS62" s="146"/>
      <c r="DT62" s="146"/>
      <c r="DU62" s="146"/>
      <c r="DV62" s="146"/>
      <c r="DW62" s="146"/>
      <c r="DX62" s="146"/>
      <c r="DY62" s="146"/>
      <c r="DZ62" s="146"/>
      <c r="EA62" s="146"/>
      <c r="EB62" s="146"/>
      <c r="EC62" s="146"/>
      <c r="ED62" s="146"/>
      <c r="EE62" s="146"/>
      <c r="EF62" s="146"/>
      <c r="EG62" s="146"/>
      <c r="EH62" s="146"/>
      <c r="EI62" s="146"/>
      <c r="EJ62" s="146"/>
      <c r="EK62" s="146"/>
      <c r="EL62" s="146"/>
      <c r="EM62" s="146"/>
      <c r="EN62" s="146"/>
      <c r="EO62" s="146"/>
      <c r="EP62" s="146"/>
      <c r="EQ62" s="146"/>
      <c r="ER62" s="146"/>
      <c r="ES62" s="146"/>
      <c r="ET62" s="146"/>
      <c r="EU62" s="146"/>
      <c r="EV62" s="146"/>
      <c r="EW62" s="146"/>
      <c r="EX62" s="146"/>
      <c r="EY62" s="146"/>
      <c r="EZ62" s="146"/>
    </row>
    <row r="63" spans="1:156" ht="14.5" x14ac:dyDescent="0.35">
      <c r="A63" s="43"/>
      <c r="B63" s="75" t="b">
        <v>1</v>
      </c>
      <c r="C63" s="43" t="s">
        <v>2310</v>
      </c>
      <c r="D63" s="43" t="s">
        <v>439</v>
      </c>
      <c r="E63" s="43" t="s">
        <v>2281</v>
      </c>
      <c r="F63" s="43"/>
      <c r="G63" s="43" t="s">
        <v>2514</v>
      </c>
      <c r="H63" s="43" t="s">
        <v>506</v>
      </c>
      <c r="I63" s="43" t="s">
        <v>1015</v>
      </c>
      <c r="J63" s="43" t="s">
        <v>508</v>
      </c>
      <c r="K63" s="43" t="s">
        <v>1039</v>
      </c>
      <c r="L63" s="43" t="s">
        <v>1040</v>
      </c>
      <c r="M63" s="43" t="s">
        <v>2312</v>
      </c>
      <c r="N63" s="43"/>
      <c r="O63" s="43"/>
      <c r="P63" s="43"/>
      <c r="Q63" s="43" t="s">
        <v>2515</v>
      </c>
      <c r="R63" s="43" t="s">
        <v>2314</v>
      </c>
      <c r="S63" s="43" t="s">
        <v>2338</v>
      </c>
      <c r="T63" s="213">
        <v>5000</v>
      </c>
      <c r="U63" s="213">
        <v>5000</v>
      </c>
      <c r="V63" s="213">
        <v>15000</v>
      </c>
      <c r="W63" s="213">
        <v>10000</v>
      </c>
      <c r="X63" s="213">
        <v>315000</v>
      </c>
      <c r="Y63" s="213">
        <v>220000</v>
      </c>
      <c r="Z63" s="213">
        <v>1015000</v>
      </c>
      <c r="AA63" s="213">
        <v>1015000</v>
      </c>
      <c r="AB63" s="213">
        <v>15000</v>
      </c>
      <c r="AC63" s="213">
        <v>15000</v>
      </c>
      <c r="AD63" s="213">
        <v>35000</v>
      </c>
      <c r="AE63" s="213">
        <v>35000</v>
      </c>
      <c r="AF63" s="213">
        <v>2700000</v>
      </c>
      <c r="AG63" s="213">
        <v>500000</v>
      </c>
      <c r="AH63" s="213">
        <v>0</v>
      </c>
      <c r="AI63" s="213">
        <v>0</v>
      </c>
      <c r="AJ63" s="213">
        <v>0</v>
      </c>
      <c r="AK63" s="213">
        <v>3200000</v>
      </c>
      <c r="AL63" s="213">
        <v>0</v>
      </c>
      <c r="AM63" s="213">
        <v>0</v>
      </c>
      <c r="AN63" s="213">
        <v>0</v>
      </c>
      <c r="AO63" s="213">
        <v>0</v>
      </c>
      <c r="AP63" s="213">
        <v>0</v>
      </c>
      <c r="AQ63" s="213">
        <v>3200000</v>
      </c>
      <c r="AR63" s="43">
        <v>201</v>
      </c>
      <c r="AS63" s="43" t="s">
        <v>2316</v>
      </c>
      <c r="AT63" s="181">
        <v>2025</v>
      </c>
      <c r="AU63" s="43">
        <f>_xlfn.XLOOKUP(_tPE26_29_Consolidada[[#This Row],[ID Financeiro]],[5]Projetos!$K:$K,[5]Projetos!$A:$A,0,0)</f>
        <v>0</v>
      </c>
      <c r="AV63" s="43" t="s">
        <v>2516</v>
      </c>
      <c r="AW63" s="43" t="s">
        <v>1854</v>
      </c>
      <c r="AX63" s="62" t="s">
        <v>2515</v>
      </c>
      <c r="AY63" s="62"/>
      <c r="AZ63" s="43" t="s">
        <v>2361</v>
      </c>
      <c r="BA63" s="43"/>
      <c r="BB63" s="43"/>
      <c r="BC63" s="43"/>
      <c r="BD63" s="43"/>
      <c r="BE63" s="43"/>
      <c r="BF63" s="43"/>
      <c r="BG63" s="43"/>
      <c r="BH63" s="43"/>
      <c r="BI63" s="43"/>
      <c r="BJ63" s="43"/>
      <c r="BK63" s="43"/>
      <c r="BL63" s="43"/>
      <c r="BM63" s="43"/>
      <c r="BN63" s="43"/>
      <c r="BO63" s="43"/>
      <c r="BP63" s="174">
        <f>IFERROR(VLOOKUP(_tPE26_29_Consolidada[[#This Row],[ID Financeiro]],'[4]PE 25-29'!$B:$AF,31,FALSE),0)</f>
        <v>2550000</v>
      </c>
      <c r="BQ63" s="174">
        <f>_tPE26_29_Consolidada[[#This Row],[2026]]*1000</f>
        <v>2700000000</v>
      </c>
      <c r="BR63" s="176">
        <f>_tPE26_29_Consolidada[[#This Row],[Orçado 2026 (PE25-29)]]-_tPE26_29_Consolidada[[#This Row],[Orçado 2026 (PE26-30)]]</f>
        <v>-2697450000</v>
      </c>
      <c r="BS63" s="175">
        <f>IFERROR(VLOOKUP(_tPE26_29_Consolidada[[#This Row],[ID Financeiro]],'[4]PE 25-29'!$B:$AT,45,FALSE),0)</f>
        <v>2550000</v>
      </c>
      <c r="BT63" s="175">
        <f>_tPE26_29_Consolidada[[#This Row],[2026-2030]]*1000</f>
        <v>3200000000</v>
      </c>
      <c r="BU63" s="175">
        <f>-_tPE26_29_Consolidada[[#This Row],[Orçado 26/30 (PE25-29)]]+_tPE26_29_Consolidada[[#This Row],[Orçado 26/30 (PE26-30)]]</f>
        <v>3197450000</v>
      </c>
      <c r="BV63" s="177">
        <f>IFERROR(_tPE26_29_Consolidada[[#This Row],[Dif2]]/_tPE26_29_Consolidada[[#This Row],[Orçado 26/30 (PE25-29)]],0)</f>
        <v>1253.9019607843138</v>
      </c>
      <c r="CQ63" s="146"/>
      <c r="CR63" s="146"/>
      <c r="CS63" s="146"/>
      <c r="CT63" s="146"/>
      <c r="CU63" s="146"/>
      <c r="CV63" s="146"/>
      <c r="CW63" s="146"/>
      <c r="CX63" s="146"/>
      <c r="CY63" s="146"/>
      <c r="CZ63" s="146"/>
      <c r="DA63" s="146"/>
      <c r="DB63" s="146"/>
      <c r="DC63" s="146"/>
      <c r="DD63" s="146"/>
      <c r="DE63" s="146"/>
      <c r="DF63" s="146"/>
      <c r="DG63" s="146"/>
      <c r="DH63" s="146"/>
      <c r="DI63" s="146"/>
      <c r="DJ63" s="146"/>
      <c r="DK63" s="146"/>
      <c r="DL63" s="146"/>
      <c r="DM63" s="146"/>
      <c r="DN63" s="146"/>
      <c r="DO63" s="146"/>
      <c r="DP63" s="146"/>
      <c r="DQ63" s="146"/>
      <c r="DR63" s="146"/>
      <c r="DS63" s="146"/>
      <c r="DT63" s="146"/>
      <c r="DU63" s="146"/>
      <c r="DV63" s="146"/>
      <c r="DW63" s="146"/>
      <c r="DX63" s="146"/>
      <c r="DY63" s="146"/>
      <c r="DZ63" s="146"/>
      <c r="EA63" s="146"/>
      <c r="EB63" s="146"/>
      <c r="EC63" s="146"/>
      <c r="ED63" s="146"/>
      <c r="EE63" s="146"/>
      <c r="EF63" s="146"/>
      <c r="EG63" s="146"/>
      <c r="EH63" s="146"/>
      <c r="EI63" s="146"/>
      <c r="EJ63" s="146"/>
      <c r="EK63" s="146"/>
      <c r="EL63" s="146"/>
      <c r="EM63" s="146"/>
      <c r="EN63" s="146"/>
      <c r="EO63" s="146"/>
      <c r="EP63" s="146"/>
      <c r="EQ63" s="146"/>
      <c r="ER63" s="146"/>
      <c r="ES63" s="146"/>
      <c r="ET63" s="146"/>
      <c r="EU63" s="146"/>
      <c r="EV63" s="146"/>
      <c r="EW63" s="146"/>
      <c r="EX63" s="146"/>
      <c r="EY63" s="146"/>
      <c r="EZ63" s="146"/>
    </row>
    <row r="64" spans="1:156" ht="14.5" x14ac:dyDescent="0.35">
      <c r="A64" s="43"/>
      <c r="B64" s="75" t="b">
        <v>1</v>
      </c>
      <c r="C64" s="43" t="s">
        <v>2310</v>
      </c>
      <c r="D64" s="43" t="s">
        <v>439</v>
      </c>
      <c r="E64" s="43" t="s">
        <v>2281</v>
      </c>
      <c r="F64" s="43"/>
      <c r="G64" s="43" t="s">
        <v>2517</v>
      </c>
      <c r="H64" s="43" t="s">
        <v>506</v>
      </c>
      <c r="I64" s="43" t="s">
        <v>1015</v>
      </c>
      <c r="J64" s="43" t="s">
        <v>508</v>
      </c>
      <c r="K64" s="43" t="s">
        <v>1039</v>
      </c>
      <c r="L64" s="43" t="s">
        <v>1040</v>
      </c>
      <c r="M64" s="43" t="s">
        <v>2312</v>
      </c>
      <c r="N64" s="43"/>
      <c r="O64" s="43"/>
      <c r="P64" s="43"/>
      <c r="Q64" s="43" t="s">
        <v>2518</v>
      </c>
      <c r="R64" s="43" t="s">
        <v>2314</v>
      </c>
      <c r="S64" s="43" t="s">
        <v>2315</v>
      </c>
      <c r="T64" s="213">
        <v>200000</v>
      </c>
      <c r="U64" s="213">
        <v>100000</v>
      </c>
      <c r="V64" s="213">
        <v>400000</v>
      </c>
      <c r="W64" s="213">
        <v>50000</v>
      </c>
      <c r="X64" s="213">
        <v>200000</v>
      </c>
      <c r="Y64" s="213">
        <v>200000</v>
      </c>
      <c r="Z64" s="213">
        <v>1500000</v>
      </c>
      <c r="AA64" s="213">
        <v>500000</v>
      </c>
      <c r="AB64" s="213">
        <v>500000</v>
      </c>
      <c r="AC64" s="213">
        <v>400000</v>
      </c>
      <c r="AD64" s="213">
        <v>400000</v>
      </c>
      <c r="AE64" s="213">
        <v>50000</v>
      </c>
      <c r="AF64" s="213">
        <v>4500000</v>
      </c>
      <c r="AG64" s="213">
        <v>1500000</v>
      </c>
      <c r="AH64" s="213">
        <v>0</v>
      </c>
      <c r="AI64" s="213">
        <v>0</v>
      </c>
      <c r="AJ64" s="213">
        <v>0</v>
      </c>
      <c r="AK64" s="213">
        <v>6000000</v>
      </c>
      <c r="AL64" s="213">
        <v>0</v>
      </c>
      <c r="AM64" s="213">
        <v>0</v>
      </c>
      <c r="AN64" s="213">
        <v>0</v>
      </c>
      <c r="AO64" s="213">
        <v>0</v>
      </c>
      <c r="AP64" s="213">
        <v>0</v>
      </c>
      <c r="AQ64" s="213">
        <v>6000000</v>
      </c>
      <c r="AR64" s="43">
        <v>202</v>
      </c>
      <c r="AS64" s="43" t="s">
        <v>2316</v>
      </c>
      <c r="AT64" s="181">
        <v>2025</v>
      </c>
      <c r="AU64" s="43">
        <f>_xlfn.XLOOKUP(_tPE26_29_Consolidada[[#This Row],[ID Financeiro]],[5]Projetos!$K:$K,[5]Projetos!$A:$A,0,0)</f>
        <v>0</v>
      </c>
      <c r="AV64" s="43" t="s">
        <v>2519</v>
      </c>
      <c r="AW64" s="43" t="s">
        <v>1049</v>
      </c>
      <c r="AX64" s="62" t="s">
        <v>2518</v>
      </c>
      <c r="AY64" s="62"/>
      <c r="AZ64" s="43" t="s">
        <v>2520</v>
      </c>
      <c r="BA64" s="43"/>
      <c r="BB64" s="43"/>
      <c r="BC64" s="43"/>
      <c r="BD64" s="43"/>
      <c r="BE64" s="43"/>
      <c r="BF64" s="43"/>
      <c r="BG64" s="43"/>
      <c r="BH64" s="43"/>
      <c r="BI64" s="43"/>
      <c r="BJ64" s="43"/>
      <c r="BK64" s="43"/>
      <c r="BL64" s="43"/>
      <c r="BM64" s="43"/>
      <c r="BN64" s="43"/>
      <c r="BO64" s="43"/>
      <c r="BP64" s="174">
        <f>IFERROR(VLOOKUP(_tPE26_29_Consolidada[[#This Row],[ID Financeiro]],'[4]PE 25-29'!$B:$AF,31,FALSE),0)</f>
        <v>1000000</v>
      </c>
      <c r="BQ64" s="174">
        <f>_tPE26_29_Consolidada[[#This Row],[2026]]*1000</f>
        <v>4500000000</v>
      </c>
      <c r="BR64" s="176">
        <f>_tPE26_29_Consolidada[[#This Row],[Orçado 2026 (PE25-29)]]-_tPE26_29_Consolidada[[#This Row],[Orçado 2026 (PE26-30)]]</f>
        <v>-4499000000</v>
      </c>
      <c r="BS64" s="175">
        <f>IFERROR(VLOOKUP(_tPE26_29_Consolidada[[#This Row],[ID Financeiro]],'[4]PE 25-29'!$B:$AT,45,FALSE),0)</f>
        <v>2000000</v>
      </c>
      <c r="BT64" s="175">
        <f>_tPE26_29_Consolidada[[#This Row],[2026-2030]]*1000</f>
        <v>6000000000</v>
      </c>
      <c r="BU64" s="175">
        <f>-_tPE26_29_Consolidada[[#This Row],[Orçado 26/30 (PE25-29)]]+_tPE26_29_Consolidada[[#This Row],[Orçado 26/30 (PE26-30)]]</f>
        <v>5998000000</v>
      </c>
      <c r="BV64" s="177">
        <f>IFERROR(_tPE26_29_Consolidada[[#This Row],[Dif2]]/_tPE26_29_Consolidada[[#This Row],[Orçado 26/30 (PE25-29)]],0)</f>
        <v>2999</v>
      </c>
      <c r="CQ64" s="146"/>
      <c r="CR64" s="146"/>
      <c r="CS64" s="146"/>
      <c r="CT64" s="146"/>
      <c r="CU64" s="146"/>
      <c r="CV64" s="146"/>
      <c r="CW64" s="146"/>
      <c r="CX64" s="146"/>
      <c r="CY64" s="146"/>
      <c r="CZ64" s="146"/>
      <c r="DA64" s="146"/>
      <c r="DB64" s="146"/>
      <c r="DC64" s="146"/>
      <c r="DD64" s="146"/>
      <c r="DE64" s="146"/>
      <c r="DF64" s="146"/>
      <c r="DG64" s="146"/>
      <c r="DH64" s="146"/>
      <c r="DI64" s="146"/>
      <c r="DJ64" s="146"/>
      <c r="DK64" s="146"/>
      <c r="DL64" s="146"/>
      <c r="DM64" s="146"/>
      <c r="DN64" s="146"/>
      <c r="DO64" s="146"/>
      <c r="DP64" s="146"/>
      <c r="DQ64" s="146"/>
      <c r="DR64" s="146"/>
      <c r="DS64" s="146"/>
      <c r="DT64" s="146"/>
      <c r="DU64" s="146"/>
      <c r="DV64" s="146"/>
      <c r="DW64" s="146"/>
      <c r="DX64" s="146"/>
      <c r="DY64" s="146"/>
      <c r="DZ64" s="146"/>
      <c r="EA64" s="146"/>
      <c r="EB64" s="146"/>
      <c r="EC64" s="146"/>
      <c r="ED64" s="146"/>
      <c r="EE64" s="146"/>
      <c r="EF64" s="146"/>
      <c r="EG64" s="146"/>
      <c r="EH64" s="146"/>
      <c r="EI64" s="146"/>
      <c r="EJ64" s="146"/>
      <c r="EK64" s="146"/>
      <c r="EL64" s="146"/>
      <c r="EM64" s="146"/>
      <c r="EN64" s="146"/>
      <c r="EO64" s="146"/>
      <c r="EP64" s="146"/>
      <c r="EQ64" s="146"/>
      <c r="ER64" s="146"/>
      <c r="ES64" s="146"/>
      <c r="ET64" s="146"/>
      <c r="EU64" s="146"/>
      <c r="EV64" s="146"/>
      <c r="EW64" s="146"/>
      <c r="EX64" s="146"/>
      <c r="EY64" s="146"/>
      <c r="EZ64" s="146"/>
    </row>
    <row r="65" spans="1:156" ht="14.5" x14ac:dyDescent="0.35">
      <c r="A65" s="43"/>
      <c r="B65" s="75" t="b">
        <v>1</v>
      </c>
      <c r="C65" s="43" t="s">
        <v>2310</v>
      </c>
      <c r="D65" s="43" t="s">
        <v>439</v>
      </c>
      <c r="E65" s="43" t="s">
        <v>2281</v>
      </c>
      <c r="F65" s="43"/>
      <c r="G65" s="43" t="s">
        <v>2521</v>
      </c>
      <c r="H65" s="43" t="s">
        <v>506</v>
      </c>
      <c r="I65" s="43" t="s">
        <v>1015</v>
      </c>
      <c r="J65" s="43" t="s">
        <v>508</v>
      </c>
      <c r="K65" s="43" t="s">
        <v>1039</v>
      </c>
      <c r="L65" s="43" t="s">
        <v>1040</v>
      </c>
      <c r="M65" s="43" t="s">
        <v>2312</v>
      </c>
      <c r="N65" s="43"/>
      <c r="O65" s="43"/>
      <c r="P65" s="43"/>
      <c r="Q65" s="43" t="s">
        <v>2522</v>
      </c>
      <c r="R65" s="43" t="s">
        <v>2314</v>
      </c>
      <c r="S65" s="43" t="s">
        <v>2315</v>
      </c>
      <c r="T65" s="213">
        <v>5000</v>
      </c>
      <c r="U65" s="213">
        <v>20000</v>
      </c>
      <c r="V65" s="213">
        <v>25000</v>
      </c>
      <c r="W65" s="213">
        <v>200000</v>
      </c>
      <c r="X65" s="213">
        <v>500000</v>
      </c>
      <c r="Y65" s="213">
        <v>50000</v>
      </c>
      <c r="Z65" s="213">
        <v>100000</v>
      </c>
      <c r="AA65" s="213">
        <v>200000</v>
      </c>
      <c r="AB65" s="213">
        <v>1000000</v>
      </c>
      <c r="AC65" s="213">
        <v>200000</v>
      </c>
      <c r="AD65" s="213">
        <v>200000</v>
      </c>
      <c r="AE65" s="213">
        <v>200000</v>
      </c>
      <c r="AF65" s="213">
        <v>2700000</v>
      </c>
      <c r="AG65" s="213">
        <v>2000000</v>
      </c>
      <c r="AH65" s="213">
        <v>1000000</v>
      </c>
      <c r="AI65" s="213">
        <v>500000</v>
      </c>
      <c r="AJ65" s="213">
        <v>0</v>
      </c>
      <c r="AK65" s="213">
        <v>6200000</v>
      </c>
      <c r="AL65" s="213">
        <v>0</v>
      </c>
      <c r="AM65" s="213">
        <v>0</v>
      </c>
      <c r="AN65" s="213">
        <v>0</v>
      </c>
      <c r="AO65" s="213">
        <v>0</v>
      </c>
      <c r="AP65" s="213">
        <v>0</v>
      </c>
      <c r="AQ65" s="213">
        <v>6200000</v>
      </c>
      <c r="AR65" s="43">
        <v>203</v>
      </c>
      <c r="AS65" s="43" t="s">
        <v>2316</v>
      </c>
      <c r="AT65" s="181">
        <v>2025</v>
      </c>
      <c r="AU65" s="43">
        <f>_xlfn.XLOOKUP(_tPE26_29_Consolidada[[#This Row],[ID Financeiro]],[5]Projetos!$K:$K,[5]Projetos!$A:$A,0,0)</f>
        <v>0</v>
      </c>
      <c r="AV65" s="43" t="s">
        <v>2523</v>
      </c>
      <c r="AW65" s="43" t="s">
        <v>1049</v>
      </c>
      <c r="AX65" s="62" t="s">
        <v>2522</v>
      </c>
      <c r="AY65" s="62"/>
      <c r="AZ65" s="43" t="s">
        <v>2520</v>
      </c>
      <c r="BA65" s="43"/>
      <c r="BB65" s="43"/>
      <c r="BC65" s="43"/>
      <c r="BD65" s="43"/>
      <c r="BE65" s="43"/>
      <c r="BF65" s="43"/>
      <c r="BG65" s="43"/>
      <c r="BH65" s="43"/>
      <c r="BI65" s="43"/>
      <c r="BJ65" s="43"/>
      <c r="BK65" s="43"/>
      <c r="BL65" s="43"/>
      <c r="BM65" s="43"/>
      <c r="BN65" s="43"/>
      <c r="BO65" s="43"/>
      <c r="BP65" s="174">
        <f>IFERROR(VLOOKUP(_tPE26_29_Consolidada[[#This Row],[ID Financeiro]],'[4]PE 25-29'!$B:$AF,31,FALSE),0)</f>
        <v>2677500</v>
      </c>
      <c r="BQ65" s="174">
        <f>_tPE26_29_Consolidada[[#This Row],[2026]]*1000</f>
        <v>2700000000</v>
      </c>
      <c r="BR65" s="176">
        <f>_tPE26_29_Consolidada[[#This Row],[Orçado 2026 (PE25-29)]]-_tPE26_29_Consolidada[[#This Row],[Orçado 2026 (PE26-30)]]</f>
        <v>-2697322500</v>
      </c>
      <c r="BS65" s="175">
        <f>IFERROR(VLOOKUP(_tPE26_29_Consolidada[[#This Row],[ID Financeiro]],'[4]PE 25-29'!$B:$AT,45,FALSE),0)</f>
        <v>4250000</v>
      </c>
      <c r="BT65" s="175">
        <f>_tPE26_29_Consolidada[[#This Row],[2026-2030]]*1000</f>
        <v>6200000000</v>
      </c>
      <c r="BU65" s="175">
        <f>-_tPE26_29_Consolidada[[#This Row],[Orçado 26/30 (PE25-29)]]+_tPE26_29_Consolidada[[#This Row],[Orçado 26/30 (PE26-30)]]</f>
        <v>6195750000</v>
      </c>
      <c r="BV65" s="177">
        <f>IFERROR(_tPE26_29_Consolidada[[#This Row],[Dif2]]/_tPE26_29_Consolidada[[#This Row],[Orçado 26/30 (PE25-29)]],0)</f>
        <v>1457.8235294117646</v>
      </c>
      <c r="CQ65" s="146"/>
      <c r="CR65" s="146"/>
      <c r="CS65" s="146"/>
      <c r="CT65" s="146"/>
      <c r="CU65" s="146"/>
      <c r="CV65" s="146"/>
      <c r="CW65" s="146"/>
      <c r="CX65" s="146"/>
      <c r="CY65" s="146"/>
      <c r="CZ65" s="146"/>
      <c r="DA65" s="146"/>
      <c r="DB65" s="146"/>
      <c r="DC65" s="146"/>
      <c r="DD65" s="146"/>
      <c r="DE65" s="146"/>
      <c r="DF65" s="146"/>
      <c r="DG65" s="146"/>
      <c r="DH65" s="146"/>
      <c r="DI65" s="146"/>
      <c r="DJ65" s="146"/>
      <c r="DK65" s="146"/>
      <c r="DL65" s="146"/>
      <c r="DM65" s="146"/>
      <c r="DN65" s="146"/>
      <c r="DO65" s="146"/>
      <c r="DP65" s="146"/>
      <c r="DQ65" s="146"/>
      <c r="DR65" s="146"/>
      <c r="DS65" s="146"/>
      <c r="DT65" s="146"/>
      <c r="DU65" s="146"/>
      <c r="DV65" s="146"/>
      <c r="DW65" s="146"/>
      <c r="DX65" s="146"/>
      <c r="DY65" s="146"/>
      <c r="DZ65" s="146"/>
      <c r="EA65" s="146"/>
      <c r="EB65" s="146"/>
      <c r="EC65" s="146"/>
      <c r="ED65" s="146"/>
      <c r="EE65" s="146"/>
      <c r="EF65" s="146"/>
      <c r="EG65" s="146"/>
      <c r="EH65" s="146"/>
      <c r="EI65" s="146"/>
      <c r="EJ65" s="146"/>
      <c r="EK65" s="146"/>
      <c r="EL65" s="146"/>
      <c r="EM65" s="146"/>
      <c r="EN65" s="146"/>
      <c r="EO65" s="146"/>
      <c r="EP65" s="146"/>
      <c r="EQ65" s="146"/>
      <c r="ER65" s="146"/>
      <c r="ES65" s="146"/>
      <c r="ET65" s="146"/>
      <c r="EU65" s="146"/>
      <c r="EV65" s="146"/>
      <c r="EW65" s="146"/>
      <c r="EX65" s="146"/>
      <c r="EY65" s="146"/>
      <c r="EZ65" s="146"/>
    </row>
    <row r="66" spans="1:156" ht="14.5" x14ac:dyDescent="0.35">
      <c r="A66" s="43"/>
      <c r="B66" s="75" t="b">
        <v>1</v>
      </c>
      <c r="C66" s="43" t="s">
        <v>2310</v>
      </c>
      <c r="D66" s="43" t="s">
        <v>439</v>
      </c>
      <c r="E66" s="43" t="s">
        <v>2281</v>
      </c>
      <c r="F66" s="43"/>
      <c r="G66" s="43" t="s">
        <v>2524</v>
      </c>
      <c r="H66" s="43" t="s">
        <v>506</v>
      </c>
      <c r="I66" s="43" t="s">
        <v>1015</v>
      </c>
      <c r="J66" s="43" t="s">
        <v>508</v>
      </c>
      <c r="K66" s="43" t="s">
        <v>1039</v>
      </c>
      <c r="L66" s="43" t="s">
        <v>1040</v>
      </c>
      <c r="M66" s="43" t="s">
        <v>2312</v>
      </c>
      <c r="N66" s="43"/>
      <c r="O66" s="43"/>
      <c r="P66" s="43"/>
      <c r="Q66" s="43" t="s">
        <v>2525</v>
      </c>
      <c r="R66" s="43" t="s">
        <v>2314</v>
      </c>
      <c r="S66" s="43" t="s">
        <v>2359</v>
      </c>
      <c r="T66" s="213">
        <v>2000</v>
      </c>
      <c r="U66" s="213">
        <v>2000</v>
      </c>
      <c r="V66" s="213">
        <v>2000</v>
      </c>
      <c r="W66" s="213">
        <v>2000</v>
      </c>
      <c r="X66" s="213">
        <v>2000</v>
      </c>
      <c r="Y66" s="213">
        <v>2000</v>
      </c>
      <c r="Z66" s="213">
        <v>50000</v>
      </c>
      <c r="AA66" s="213">
        <v>50000</v>
      </c>
      <c r="AB66" s="213">
        <v>200000</v>
      </c>
      <c r="AC66" s="213">
        <v>100000</v>
      </c>
      <c r="AD66" s="213">
        <v>0</v>
      </c>
      <c r="AE66" s="213">
        <v>0</v>
      </c>
      <c r="AF66" s="213">
        <v>412000</v>
      </c>
      <c r="AG66" s="213">
        <v>48000</v>
      </c>
      <c r="AH66" s="213">
        <v>0</v>
      </c>
      <c r="AI66" s="213">
        <v>0</v>
      </c>
      <c r="AJ66" s="213">
        <v>0</v>
      </c>
      <c r="AK66" s="213">
        <v>460000</v>
      </c>
      <c r="AL66" s="213">
        <v>0</v>
      </c>
      <c r="AM66" s="213">
        <v>0</v>
      </c>
      <c r="AN66" s="213">
        <v>0</v>
      </c>
      <c r="AO66" s="213">
        <v>0</v>
      </c>
      <c r="AP66" s="213">
        <v>0</v>
      </c>
      <c r="AQ66" s="213">
        <v>460000</v>
      </c>
      <c r="AR66" s="43">
        <v>204</v>
      </c>
      <c r="AS66" s="43" t="s">
        <v>2316</v>
      </c>
      <c r="AT66" s="181">
        <v>2025</v>
      </c>
      <c r="AU66" s="43">
        <f>_xlfn.XLOOKUP(_tPE26_29_Consolidada[[#This Row],[ID Financeiro]],[5]Projetos!$K:$K,[5]Projetos!$A:$A,0,0)</f>
        <v>0</v>
      </c>
      <c r="AV66" s="43" t="s">
        <v>2526</v>
      </c>
      <c r="AW66" s="43" t="s">
        <v>1854</v>
      </c>
      <c r="AX66" s="62" t="s">
        <v>2525</v>
      </c>
      <c r="AY66" s="62"/>
      <c r="AZ66" s="43" t="s">
        <v>2527</v>
      </c>
      <c r="BA66" s="43"/>
      <c r="BB66" s="43"/>
      <c r="BC66" s="43"/>
      <c r="BD66" s="43"/>
      <c r="BE66" s="43"/>
      <c r="BF66" s="43"/>
      <c r="BG66" s="43"/>
      <c r="BH66" s="43"/>
      <c r="BI66" s="43"/>
      <c r="BJ66" s="43"/>
      <c r="BK66" s="43"/>
      <c r="BL66" s="43"/>
      <c r="BM66" s="43"/>
      <c r="BN66" s="43"/>
      <c r="BO66" s="43"/>
      <c r="BP66" s="174">
        <f>IFERROR(VLOOKUP(_tPE26_29_Consolidada[[#This Row],[ID Financeiro]],'[4]PE 25-29'!$B:$AF,31,FALSE),0)</f>
        <v>0</v>
      </c>
      <c r="BQ66" s="174">
        <f>_tPE26_29_Consolidada[[#This Row],[2026]]*1000</f>
        <v>412000000</v>
      </c>
      <c r="BR66" s="176">
        <f>_tPE26_29_Consolidada[[#This Row],[Orçado 2026 (PE25-29)]]-_tPE26_29_Consolidada[[#This Row],[Orçado 2026 (PE26-30)]]</f>
        <v>-412000000</v>
      </c>
      <c r="BS66" s="175">
        <f>IFERROR(VLOOKUP(_tPE26_29_Consolidada[[#This Row],[ID Financeiro]],'[4]PE 25-29'!$B:$AT,45,FALSE),0)</f>
        <v>0</v>
      </c>
      <c r="BT66" s="175">
        <f>_tPE26_29_Consolidada[[#This Row],[2026-2030]]*1000</f>
        <v>460000000</v>
      </c>
      <c r="BU66" s="175">
        <f>-_tPE26_29_Consolidada[[#This Row],[Orçado 26/30 (PE25-29)]]+_tPE26_29_Consolidada[[#This Row],[Orçado 26/30 (PE26-30)]]</f>
        <v>460000000</v>
      </c>
      <c r="BV66" s="177">
        <f>IFERROR(_tPE26_29_Consolidada[[#This Row],[Dif2]]/_tPE26_29_Consolidada[[#This Row],[Orçado 26/30 (PE25-29)]],0)</f>
        <v>0</v>
      </c>
      <c r="CQ66" s="146"/>
      <c r="CR66" s="146"/>
      <c r="CS66" s="146"/>
      <c r="CT66" s="146"/>
      <c r="CU66" s="146"/>
      <c r="CV66" s="146"/>
      <c r="CW66" s="146"/>
      <c r="CX66" s="146"/>
      <c r="CY66" s="146"/>
      <c r="CZ66" s="146"/>
      <c r="DA66" s="146"/>
      <c r="DB66" s="146"/>
      <c r="DC66" s="146"/>
      <c r="DD66" s="146"/>
      <c r="DE66" s="146"/>
      <c r="DF66" s="146"/>
      <c r="DG66" s="146"/>
      <c r="DH66" s="146"/>
      <c r="DI66" s="146"/>
      <c r="DJ66" s="146"/>
      <c r="DK66" s="146"/>
      <c r="DL66" s="146"/>
      <c r="DM66" s="146"/>
      <c r="DN66" s="146"/>
      <c r="DO66" s="146"/>
      <c r="DP66" s="146"/>
      <c r="DQ66" s="146"/>
      <c r="DR66" s="146"/>
      <c r="DS66" s="146"/>
      <c r="DT66" s="146"/>
      <c r="DU66" s="146"/>
      <c r="DV66" s="146"/>
      <c r="DW66" s="146"/>
      <c r="DX66" s="146"/>
      <c r="DY66" s="146"/>
      <c r="DZ66" s="146"/>
      <c r="EA66" s="146"/>
      <c r="EB66" s="146"/>
      <c r="EC66" s="146"/>
      <c r="ED66" s="146"/>
      <c r="EE66" s="146"/>
      <c r="EF66" s="146"/>
      <c r="EG66" s="146"/>
      <c r="EH66" s="146"/>
      <c r="EI66" s="146"/>
      <c r="EJ66" s="146"/>
      <c r="EK66" s="146"/>
      <c r="EL66" s="146"/>
      <c r="EM66" s="146"/>
      <c r="EN66" s="146"/>
      <c r="EO66" s="146"/>
      <c r="EP66" s="146"/>
      <c r="EQ66" s="146"/>
      <c r="ER66" s="146"/>
      <c r="ES66" s="146"/>
      <c r="ET66" s="146"/>
      <c r="EU66" s="146"/>
      <c r="EV66" s="146"/>
      <c r="EW66" s="146"/>
      <c r="EX66" s="146"/>
      <c r="EY66" s="146"/>
      <c r="EZ66" s="146"/>
    </row>
    <row r="67" spans="1:156" ht="14.5" x14ac:dyDescent="0.35">
      <c r="A67" s="43"/>
      <c r="B67" s="75" t="b">
        <v>1</v>
      </c>
      <c r="C67" s="43" t="s">
        <v>2310</v>
      </c>
      <c r="D67" s="43" t="s">
        <v>439</v>
      </c>
      <c r="E67" s="43" t="s">
        <v>2281</v>
      </c>
      <c r="F67" s="43"/>
      <c r="G67" s="43" t="s">
        <v>2528</v>
      </c>
      <c r="H67" s="43" t="s">
        <v>506</v>
      </c>
      <c r="I67" s="43" t="s">
        <v>1015</v>
      </c>
      <c r="J67" s="43" t="s">
        <v>508</v>
      </c>
      <c r="K67" s="43" t="s">
        <v>1039</v>
      </c>
      <c r="L67" s="43" t="s">
        <v>1040</v>
      </c>
      <c r="M67" s="43" t="s">
        <v>2312</v>
      </c>
      <c r="N67" s="43"/>
      <c r="O67" s="43"/>
      <c r="P67" s="43"/>
      <c r="Q67" s="43" t="s">
        <v>2529</v>
      </c>
      <c r="R67" s="43" t="s">
        <v>2314</v>
      </c>
      <c r="S67" s="43" t="s">
        <v>2338</v>
      </c>
      <c r="T67" s="213">
        <v>100000</v>
      </c>
      <c r="U67" s="213">
        <v>250000</v>
      </c>
      <c r="V67" s="213">
        <v>0</v>
      </c>
      <c r="W67" s="213">
        <v>0</v>
      </c>
      <c r="X67" s="213">
        <v>0</v>
      </c>
      <c r="Y67" s="213">
        <v>0</v>
      </c>
      <c r="Z67" s="213">
        <v>0</v>
      </c>
      <c r="AA67" s="213">
        <v>0</v>
      </c>
      <c r="AB67" s="213">
        <v>0</v>
      </c>
      <c r="AC67" s="213">
        <v>0</v>
      </c>
      <c r="AD67" s="213">
        <v>0</v>
      </c>
      <c r="AE67" s="213">
        <v>0</v>
      </c>
      <c r="AF67" s="213">
        <v>350000</v>
      </c>
      <c r="AG67" s="213">
        <v>0</v>
      </c>
      <c r="AH67" s="213">
        <v>0</v>
      </c>
      <c r="AI67" s="213">
        <v>0</v>
      </c>
      <c r="AJ67" s="213">
        <v>0</v>
      </c>
      <c r="AK67" s="213">
        <v>350000</v>
      </c>
      <c r="AL67" s="213">
        <v>0</v>
      </c>
      <c r="AM67" s="213">
        <v>0</v>
      </c>
      <c r="AN67" s="213">
        <v>0</v>
      </c>
      <c r="AO67" s="213">
        <v>0</v>
      </c>
      <c r="AP67" s="213">
        <v>0</v>
      </c>
      <c r="AQ67" s="213">
        <v>350000</v>
      </c>
      <c r="AR67" s="43">
        <v>205</v>
      </c>
      <c r="AS67" s="43" t="s">
        <v>2316</v>
      </c>
      <c r="AT67" s="181">
        <v>2025</v>
      </c>
      <c r="AU67" s="43">
        <f>_xlfn.XLOOKUP(_tPE26_29_Consolidada[[#This Row],[ID Financeiro]],[5]Projetos!$K:$K,[5]Projetos!$A:$A,0,0)</f>
        <v>0</v>
      </c>
      <c r="AV67" s="43" t="s">
        <v>2530</v>
      </c>
      <c r="AW67" s="43" t="s">
        <v>517</v>
      </c>
      <c r="AX67" s="62" t="s">
        <v>2529</v>
      </c>
      <c r="AY67" s="62"/>
      <c r="AZ67" s="43" t="s">
        <v>2347</v>
      </c>
      <c r="BA67" s="43"/>
      <c r="BB67" s="43"/>
      <c r="BC67" s="43"/>
      <c r="BD67" s="43"/>
      <c r="BE67" s="43"/>
      <c r="BF67" s="43"/>
      <c r="BG67" s="43"/>
      <c r="BH67" s="43"/>
      <c r="BI67" s="43"/>
      <c r="BJ67" s="43"/>
      <c r="BK67" s="43"/>
      <c r="BL67" s="43"/>
      <c r="BM67" s="43"/>
      <c r="BN67" s="43"/>
      <c r="BO67" s="43"/>
      <c r="BP67" s="174">
        <f>IFERROR(VLOOKUP(_tPE26_29_Consolidada[[#This Row],[ID Financeiro]],'[4]PE 25-29'!$B:$AF,31,FALSE),0)</f>
        <v>40000.200000000004</v>
      </c>
      <c r="BQ67" s="174">
        <f>_tPE26_29_Consolidada[[#This Row],[2026]]*1000</f>
        <v>350000000</v>
      </c>
      <c r="BR67" s="176">
        <f>_tPE26_29_Consolidada[[#This Row],[Orçado 2026 (PE25-29)]]-_tPE26_29_Consolidada[[#This Row],[Orçado 2026 (PE26-30)]]</f>
        <v>-349959999.80000001</v>
      </c>
      <c r="BS67" s="175">
        <f>IFERROR(VLOOKUP(_tPE26_29_Consolidada[[#This Row],[ID Financeiro]],'[4]PE 25-29'!$B:$AT,45,FALSE),0)</f>
        <v>40000.200000000004</v>
      </c>
      <c r="BT67" s="175">
        <f>_tPE26_29_Consolidada[[#This Row],[2026-2030]]*1000</f>
        <v>350000000</v>
      </c>
      <c r="BU67" s="175">
        <f>-_tPE26_29_Consolidada[[#This Row],[Orçado 26/30 (PE25-29)]]+_tPE26_29_Consolidada[[#This Row],[Orçado 26/30 (PE26-30)]]</f>
        <v>349959999.80000001</v>
      </c>
      <c r="BV67" s="177">
        <f>IFERROR(_tPE26_29_Consolidada[[#This Row],[Dif2]]/_tPE26_29_Consolidada[[#This Row],[Orçado 26/30 (PE25-29)]],0)</f>
        <v>8748.9562502187491</v>
      </c>
      <c r="CQ67" s="146"/>
      <c r="CR67" s="146"/>
      <c r="CS67" s="146"/>
      <c r="CT67" s="146"/>
      <c r="CU67" s="146"/>
      <c r="CV67" s="146"/>
      <c r="CW67" s="146"/>
      <c r="CX67" s="146"/>
      <c r="CY67" s="146"/>
      <c r="CZ67" s="146"/>
      <c r="DA67" s="146"/>
      <c r="DB67" s="146"/>
      <c r="DC67" s="146"/>
      <c r="DD67" s="146"/>
      <c r="DE67" s="146"/>
      <c r="DF67" s="146"/>
      <c r="DG67" s="146"/>
      <c r="DH67" s="146"/>
      <c r="DI67" s="146"/>
      <c r="DJ67" s="146"/>
      <c r="DK67" s="146"/>
      <c r="DL67" s="146"/>
      <c r="DM67" s="146"/>
      <c r="DN67" s="146"/>
      <c r="DO67" s="146"/>
      <c r="DP67" s="146"/>
      <c r="DQ67" s="146"/>
      <c r="DR67" s="146"/>
      <c r="DS67" s="146"/>
      <c r="DT67" s="146"/>
      <c r="DU67" s="146"/>
      <c r="DV67" s="146"/>
      <c r="DW67" s="146"/>
      <c r="DX67" s="146"/>
      <c r="DY67" s="146"/>
      <c r="DZ67" s="146"/>
      <c r="EA67" s="146"/>
      <c r="EB67" s="146"/>
      <c r="EC67" s="146"/>
      <c r="ED67" s="146"/>
      <c r="EE67" s="146"/>
      <c r="EF67" s="146"/>
      <c r="EG67" s="146"/>
      <c r="EH67" s="146"/>
      <c r="EI67" s="146"/>
      <c r="EJ67" s="146"/>
      <c r="EK67" s="146"/>
      <c r="EL67" s="146"/>
      <c r="EM67" s="146"/>
      <c r="EN67" s="146"/>
      <c r="EO67" s="146"/>
      <c r="EP67" s="146"/>
      <c r="EQ67" s="146"/>
      <c r="ER67" s="146"/>
      <c r="ES67" s="146"/>
      <c r="ET67" s="146"/>
      <c r="EU67" s="146"/>
      <c r="EV67" s="146"/>
      <c r="EW67" s="146"/>
      <c r="EX67" s="146"/>
      <c r="EY67" s="146"/>
      <c r="EZ67" s="146"/>
    </row>
    <row r="68" spans="1:156" ht="14.5" x14ac:dyDescent="0.35">
      <c r="A68" s="43"/>
      <c r="B68" s="75" t="b">
        <v>1</v>
      </c>
      <c r="C68" s="43" t="s">
        <v>2310</v>
      </c>
      <c r="D68" s="43" t="s">
        <v>439</v>
      </c>
      <c r="E68" s="43" t="s">
        <v>2281</v>
      </c>
      <c r="F68" s="43"/>
      <c r="G68" s="43" t="s">
        <v>2531</v>
      </c>
      <c r="H68" s="43" t="s">
        <v>506</v>
      </c>
      <c r="I68" s="43" t="s">
        <v>1015</v>
      </c>
      <c r="J68" s="43" t="s">
        <v>508</v>
      </c>
      <c r="K68" s="43" t="s">
        <v>1039</v>
      </c>
      <c r="L68" s="43" t="s">
        <v>1040</v>
      </c>
      <c r="M68" s="43" t="s">
        <v>2312</v>
      </c>
      <c r="N68" s="43"/>
      <c r="O68" s="43"/>
      <c r="P68" s="43"/>
      <c r="Q68" s="43" t="s">
        <v>2532</v>
      </c>
      <c r="R68" s="43" t="s">
        <v>2314</v>
      </c>
      <c r="S68" s="43" t="s">
        <v>2315</v>
      </c>
      <c r="T68" s="213">
        <v>5000</v>
      </c>
      <c r="U68" s="213">
        <v>5000</v>
      </c>
      <c r="V68" s="213">
        <v>5000</v>
      </c>
      <c r="W68" s="213">
        <v>5000</v>
      </c>
      <c r="X68" s="213">
        <v>5000</v>
      </c>
      <c r="Y68" s="213">
        <v>5000</v>
      </c>
      <c r="Z68" s="213">
        <v>5000</v>
      </c>
      <c r="AA68" s="213">
        <v>5000</v>
      </c>
      <c r="AB68" s="213">
        <v>5000</v>
      </c>
      <c r="AC68" s="213">
        <v>5000</v>
      </c>
      <c r="AD68" s="213">
        <v>0</v>
      </c>
      <c r="AE68" s="213">
        <v>0</v>
      </c>
      <c r="AF68" s="213">
        <v>50000</v>
      </c>
      <c r="AG68" s="213">
        <v>2000000</v>
      </c>
      <c r="AH68" s="213">
        <v>1950000</v>
      </c>
      <c r="AI68" s="213">
        <v>0</v>
      </c>
      <c r="AJ68" s="213">
        <v>0</v>
      </c>
      <c r="AK68" s="213">
        <v>4000000</v>
      </c>
      <c r="AL68" s="213">
        <v>0</v>
      </c>
      <c r="AM68" s="213">
        <v>0</v>
      </c>
      <c r="AN68" s="213">
        <v>0</v>
      </c>
      <c r="AO68" s="213">
        <v>0</v>
      </c>
      <c r="AP68" s="213">
        <v>0</v>
      </c>
      <c r="AQ68" s="213">
        <v>4000000</v>
      </c>
      <c r="AR68" s="43">
        <v>206</v>
      </c>
      <c r="AS68" s="43" t="s">
        <v>2316</v>
      </c>
      <c r="AT68" s="181">
        <v>2025</v>
      </c>
      <c r="AU68" s="43">
        <f>_xlfn.XLOOKUP(_tPE26_29_Consolidada[[#This Row],[ID Financeiro]],[5]Projetos!$K:$K,[5]Projetos!$A:$A,0,0)</f>
        <v>0</v>
      </c>
      <c r="AV68" s="43" t="s">
        <v>2533</v>
      </c>
      <c r="AW68" s="43" t="s">
        <v>1854</v>
      </c>
      <c r="AX68" s="62" t="s">
        <v>2532</v>
      </c>
      <c r="AY68" s="62"/>
      <c r="AZ68" s="43" t="s">
        <v>2534</v>
      </c>
      <c r="BA68" s="43"/>
      <c r="BB68" s="43"/>
      <c r="BC68" s="43"/>
      <c r="BD68" s="43"/>
      <c r="BE68" s="43"/>
      <c r="BF68" s="43"/>
      <c r="BG68" s="43"/>
      <c r="BH68" s="43"/>
      <c r="BI68" s="43"/>
      <c r="BJ68" s="43"/>
      <c r="BK68" s="43"/>
      <c r="BL68" s="43"/>
      <c r="BM68" s="43"/>
      <c r="BN68" s="43"/>
      <c r="BO68" s="43"/>
      <c r="BP68" s="174">
        <f>IFERROR(VLOOKUP(_tPE26_29_Consolidada[[#This Row],[ID Financeiro]],'[4]PE 25-29'!$B:$AF,31,FALSE),0)</f>
        <v>1100000</v>
      </c>
      <c r="BQ68" s="174">
        <f>_tPE26_29_Consolidada[[#This Row],[2026]]*1000</f>
        <v>50000000</v>
      </c>
      <c r="BR68" s="176">
        <f>_tPE26_29_Consolidada[[#This Row],[Orçado 2026 (PE25-29)]]-_tPE26_29_Consolidada[[#This Row],[Orçado 2026 (PE26-30)]]</f>
        <v>-48900000</v>
      </c>
      <c r="BS68" s="175">
        <f>IFERROR(VLOOKUP(_tPE26_29_Consolidada[[#This Row],[ID Financeiro]],'[4]PE 25-29'!$B:$AT,45,FALSE),0)</f>
        <v>3900000</v>
      </c>
      <c r="BT68" s="175">
        <f>_tPE26_29_Consolidada[[#This Row],[2026-2030]]*1000</f>
        <v>4000000000</v>
      </c>
      <c r="BU68" s="175">
        <f>-_tPE26_29_Consolidada[[#This Row],[Orçado 26/30 (PE25-29)]]+_tPE26_29_Consolidada[[#This Row],[Orçado 26/30 (PE26-30)]]</f>
        <v>3996100000</v>
      </c>
      <c r="BV68" s="177">
        <f>IFERROR(_tPE26_29_Consolidada[[#This Row],[Dif2]]/_tPE26_29_Consolidada[[#This Row],[Orçado 26/30 (PE25-29)]],0)</f>
        <v>1024.6410256410256</v>
      </c>
      <c r="CQ68" s="146"/>
      <c r="CR68" s="146"/>
      <c r="CS68" s="146"/>
      <c r="CT68" s="146"/>
      <c r="CU68" s="146"/>
      <c r="CV68" s="146"/>
      <c r="CW68" s="146"/>
      <c r="CX68" s="146"/>
      <c r="CY68" s="146"/>
      <c r="CZ68" s="146"/>
      <c r="DA68" s="146"/>
      <c r="DB68" s="146"/>
      <c r="DC68" s="146"/>
      <c r="DD68" s="146"/>
      <c r="DE68" s="146"/>
      <c r="DF68" s="146"/>
      <c r="DG68" s="146"/>
      <c r="DH68" s="146"/>
      <c r="DI68" s="146"/>
      <c r="DJ68" s="146"/>
      <c r="DK68" s="146"/>
      <c r="DL68" s="146"/>
      <c r="DM68" s="146"/>
      <c r="DN68" s="146"/>
      <c r="DO68" s="146"/>
      <c r="DP68" s="146"/>
      <c r="DQ68" s="146"/>
      <c r="DR68" s="146"/>
      <c r="DS68" s="146"/>
      <c r="DT68" s="146"/>
      <c r="DU68" s="146"/>
      <c r="DV68" s="146"/>
      <c r="DW68" s="146"/>
      <c r="DX68" s="146"/>
      <c r="DY68" s="146"/>
      <c r="DZ68" s="146"/>
      <c r="EA68" s="146"/>
      <c r="EB68" s="146"/>
      <c r="EC68" s="146"/>
      <c r="ED68" s="146"/>
      <c r="EE68" s="146"/>
      <c r="EF68" s="146"/>
      <c r="EG68" s="146"/>
      <c r="EH68" s="146"/>
      <c r="EI68" s="146"/>
      <c r="EJ68" s="146"/>
      <c r="EK68" s="146"/>
      <c r="EL68" s="146"/>
      <c r="EM68" s="146"/>
      <c r="EN68" s="146"/>
      <c r="EO68" s="146"/>
      <c r="EP68" s="146"/>
      <c r="EQ68" s="146"/>
      <c r="ER68" s="146"/>
      <c r="ES68" s="146"/>
      <c r="ET68" s="146"/>
      <c r="EU68" s="146"/>
      <c r="EV68" s="146"/>
      <c r="EW68" s="146"/>
      <c r="EX68" s="146"/>
      <c r="EY68" s="146"/>
      <c r="EZ68" s="146"/>
    </row>
    <row r="69" spans="1:156" ht="14.5" x14ac:dyDescent="0.35">
      <c r="A69" s="43"/>
      <c r="B69" s="75" t="b">
        <v>1</v>
      </c>
      <c r="C69" s="43" t="s">
        <v>2310</v>
      </c>
      <c r="D69" s="43" t="s">
        <v>439</v>
      </c>
      <c r="E69" s="43" t="s">
        <v>2281</v>
      </c>
      <c r="F69" s="43"/>
      <c r="G69" s="43" t="s">
        <v>2535</v>
      </c>
      <c r="H69" s="43" t="s">
        <v>506</v>
      </c>
      <c r="I69" s="43" t="s">
        <v>1015</v>
      </c>
      <c r="J69" s="43" t="s">
        <v>508</v>
      </c>
      <c r="K69" s="43" t="s">
        <v>1039</v>
      </c>
      <c r="L69" s="43" t="s">
        <v>1040</v>
      </c>
      <c r="M69" s="43" t="s">
        <v>2312</v>
      </c>
      <c r="N69" s="43"/>
      <c r="O69" s="43"/>
      <c r="P69" s="43"/>
      <c r="Q69" s="43" t="s">
        <v>2536</v>
      </c>
      <c r="R69" s="43" t="s">
        <v>2314</v>
      </c>
      <c r="S69" s="43" t="s">
        <v>2380</v>
      </c>
      <c r="T69" s="213">
        <v>1000</v>
      </c>
      <c r="U69" s="213">
        <v>1000</v>
      </c>
      <c r="V69" s="213">
        <v>1000</v>
      </c>
      <c r="W69" s="213">
        <v>1000</v>
      </c>
      <c r="X69" s="213">
        <v>1000</v>
      </c>
      <c r="Y69" s="213">
        <v>1000</v>
      </c>
      <c r="Z69" s="213">
        <v>1000</v>
      </c>
      <c r="AA69" s="213">
        <v>1000</v>
      </c>
      <c r="AB69" s="213">
        <v>1000</v>
      </c>
      <c r="AC69" s="213">
        <v>1000</v>
      </c>
      <c r="AD69" s="213">
        <v>100000</v>
      </c>
      <c r="AE69" s="213">
        <v>15000</v>
      </c>
      <c r="AF69" s="213">
        <v>125000</v>
      </c>
      <c r="AG69" s="213">
        <v>120000</v>
      </c>
      <c r="AH69" s="213">
        <v>0</v>
      </c>
      <c r="AI69" s="213">
        <v>0</v>
      </c>
      <c r="AJ69" s="213">
        <v>0</v>
      </c>
      <c r="AK69" s="213">
        <v>245000</v>
      </c>
      <c r="AL69" s="213">
        <v>0</v>
      </c>
      <c r="AM69" s="213">
        <v>0</v>
      </c>
      <c r="AN69" s="213">
        <v>0</v>
      </c>
      <c r="AO69" s="213">
        <v>0</v>
      </c>
      <c r="AP69" s="213">
        <v>0</v>
      </c>
      <c r="AQ69" s="213">
        <v>245000</v>
      </c>
      <c r="AR69" s="43">
        <v>207</v>
      </c>
      <c r="AS69" s="43" t="s">
        <v>2316</v>
      </c>
      <c r="AT69" s="181">
        <v>2025</v>
      </c>
      <c r="AU69" s="43">
        <f>_xlfn.XLOOKUP(_tPE26_29_Consolidada[[#This Row],[ID Financeiro]],[5]Projetos!$K:$K,[5]Projetos!$A:$A,0,0)</f>
        <v>0</v>
      </c>
      <c r="AV69" s="43" t="s">
        <v>2537</v>
      </c>
      <c r="AW69" s="43" t="s">
        <v>1854</v>
      </c>
      <c r="AX69" s="62" t="s">
        <v>2536</v>
      </c>
      <c r="AY69" s="62"/>
      <c r="AZ69" s="43" t="s">
        <v>2382</v>
      </c>
      <c r="BA69" s="43"/>
      <c r="BB69" s="43"/>
      <c r="BC69" s="43"/>
      <c r="BD69" s="43"/>
      <c r="BE69" s="43"/>
      <c r="BF69" s="43"/>
      <c r="BG69" s="43"/>
      <c r="BH69" s="43"/>
      <c r="BI69" s="43"/>
      <c r="BJ69" s="43"/>
      <c r="BK69" s="43"/>
      <c r="BL69" s="43"/>
      <c r="BM69" s="43"/>
      <c r="BN69" s="43"/>
      <c r="BO69" s="43"/>
      <c r="BP69" s="174">
        <f>IFERROR(VLOOKUP(_tPE26_29_Consolidada[[#This Row],[ID Financeiro]],'[4]PE 25-29'!$B:$AF,31,FALSE),0)</f>
        <v>100000</v>
      </c>
      <c r="BQ69" s="174">
        <f>_tPE26_29_Consolidada[[#This Row],[2026]]*1000</f>
        <v>125000000</v>
      </c>
      <c r="BR69" s="176">
        <f>_tPE26_29_Consolidada[[#This Row],[Orçado 2026 (PE25-29)]]-_tPE26_29_Consolidada[[#This Row],[Orçado 2026 (PE26-30)]]</f>
        <v>-124900000</v>
      </c>
      <c r="BS69" s="175">
        <f>IFERROR(VLOOKUP(_tPE26_29_Consolidada[[#This Row],[ID Financeiro]],'[4]PE 25-29'!$B:$AT,45,FALSE),0)</f>
        <v>100000</v>
      </c>
      <c r="BT69" s="175">
        <f>_tPE26_29_Consolidada[[#This Row],[2026-2030]]*1000</f>
        <v>245000000</v>
      </c>
      <c r="BU69" s="175">
        <f>-_tPE26_29_Consolidada[[#This Row],[Orçado 26/30 (PE25-29)]]+_tPE26_29_Consolidada[[#This Row],[Orçado 26/30 (PE26-30)]]</f>
        <v>244900000</v>
      </c>
      <c r="BV69" s="177">
        <f>IFERROR(_tPE26_29_Consolidada[[#This Row],[Dif2]]/_tPE26_29_Consolidada[[#This Row],[Orçado 26/30 (PE25-29)]],0)</f>
        <v>2449</v>
      </c>
      <c r="CQ69" s="146"/>
      <c r="CR69" s="146"/>
      <c r="CS69" s="146"/>
      <c r="CT69" s="146"/>
      <c r="CU69" s="146"/>
      <c r="CV69" s="146"/>
      <c r="CW69" s="146"/>
      <c r="CX69" s="146"/>
      <c r="CY69" s="146"/>
      <c r="CZ69" s="146"/>
      <c r="DA69" s="146"/>
      <c r="DB69" s="146"/>
      <c r="DC69" s="146"/>
      <c r="DD69" s="146"/>
      <c r="DE69" s="146"/>
      <c r="DF69" s="146"/>
      <c r="DG69" s="146"/>
      <c r="DH69" s="146"/>
      <c r="DI69" s="146"/>
      <c r="DJ69" s="146"/>
      <c r="DK69" s="146"/>
      <c r="DL69" s="146"/>
      <c r="DM69" s="146"/>
      <c r="DN69" s="146"/>
      <c r="DO69" s="146"/>
      <c r="DP69" s="146"/>
      <c r="DQ69" s="146"/>
      <c r="DR69" s="146"/>
      <c r="DS69" s="146"/>
      <c r="DT69" s="146"/>
      <c r="DU69" s="146"/>
      <c r="DV69" s="146"/>
      <c r="DW69" s="146"/>
      <c r="DX69" s="146"/>
      <c r="DY69" s="146"/>
      <c r="DZ69" s="146"/>
      <c r="EA69" s="146"/>
      <c r="EB69" s="146"/>
      <c r="EC69" s="146"/>
      <c r="ED69" s="146"/>
      <c r="EE69" s="146"/>
      <c r="EF69" s="146"/>
      <c r="EG69" s="146"/>
      <c r="EH69" s="146"/>
      <c r="EI69" s="146"/>
      <c r="EJ69" s="146"/>
      <c r="EK69" s="146"/>
      <c r="EL69" s="146"/>
      <c r="EM69" s="146"/>
      <c r="EN69" s="146"/>
      <c r="EO69" s="146"/>
      <c r="EP69" s="146"/>
      <c r="EQ69" s="146"/>
      <c r="ER69" s="146"/>
      <c r="ES69" s="146"/>
      <c r="ET69" s="146"/>
      <c r="EU69" s="146"/>
      <c r="EV69" s="146"/>
      <c r="EW69" s="146"/>
      <c r="EX69" s="146"/>
      <c r="EY69" s="146"/>
      <c r="EZ69" s="146"/>
    </row>
    <row r="70" spans="1:156" ht="14.5" x14ac:dyDescent="0.35">
      <c r="A70" s="43"/>
      <c r="B70" s="75" t="b">
        <v>1</v>
      </c>
      <c r="C70" s="43" t="s">
        <v>2310</v>
      </c>
      <c r="D70" s="43" t="s">
        <v>439</v>
      </c>
      <c r="E70" s="43" t="s">
        <v>2281</v>
      </c>
      <c r="F70" s="43"/>
      <c r="G70" s="43" t="s">
        <v>2538</v>
      </c>
      <c r="H70" s="43" t="s">
        <v>506</v>
      </c>
      <c r="I70" s="43" t="s">
        <v>1015</v>
      </c>
      <c r="J70" s="43" t="s">
        <v>508</v>
      </c>
      <c r="K70" s="43" t="s">
        <v>1039</v>
      </c>
      <c r="L70" s="43" t="s">
        <v>1040</v>
      </c>
      <c r="M70" s="43" t="s">
        <v>2312</v>
      </c>
      <c r="N70" s="43"/>
      <c r="O70" s="43"/>
      <c r="P70" s="43"/>
      <c r="Q70" s="43" t="s">
        <v>2539</v>
      </c>
      <c r="R70" s="43" t="s">
        <v>2314</v>
      </c>
      <c r="S70" s="43" t="s">
        <v>1029</v>
      </c>
      <c r="T70" s="213">
        <v>0</v>
      </c>
      <c r="U70" s="213">
        <v>0</v>
      </c>
      <c r="V70" s="213">
        <v>0</v>
      </c>
      <c r="W70" s="213">
        <v>0</v>
      </c>
      <c r="X70" s="213">
        <v>0</v>
      </c>
      <c r="Y70" s="213">
        <v>0</v>
      </c>
      <c r="Z70" s="213">
        <v>0</v>
      </c>
      <c r="AA70" s="213">
        <v>0</v>
      </c>
      <c r="AB70" s="213">
        <v>175000</v>
      </c>
      <c r="AC70" s="213">
        <v>0</v>
      </c>
      <c r="AD70" s="213">
        <v>0</v>
      </c>
      <c r="AE70" s="213">
        <v>175000</v>
      </c>
      <c r="AF70" s="213">
        <v>350000</v>
      </c>
      <c r="AG70" s="213">
        <v>0</v>
      </c>
      <c r="AH70" s="213">
        <v>0</v>
      </c>
      <c r="AI70" s="213">
        <v>0</v>
      </c>
      <c r="AJ70" s="213">
        <v>0</v>
      </c>
      <c r="AK70" s="213">
        <v>350000</v>
      </c>
      <c r="AL70" s="213">
        <v>0</v>
      </c>
      <c r="AM70" s="213">
        <v>0</v>
      </c>
      <c r="AN70" s="213">
        <v>0</v>
      </c>
      <c r="AO70" s="213">
        <v>0</v>
      </c>
      <c r="AP70" s="213">
        <v>0</v>
      </c>
      <c r="AQ70" s="213">
        <v>350000</v>
      </c>
      <c r="AR70" s="43">
        <v>208</v>
      </c>
      <c r="AS70" s="43" t="s">
        <v>2316</v>
      </c>
      <c r="AT70" s="181">
        <v>2025</v>
      </c>
      <c r="AU70" s="43">
        <f>_xlfn.XLOOKUP(_tPE26_29_Consolidada[[#This Row],[ID Financeiro]],[5]Projetos!$K:$K,[5]Projetos!$A:$A,0,0)</f>
        <v>0</v>
      </c>
      <c r="AV70" s="43" t="s">
        <v>2540</v>
      </c>
      <c r="AW70" s="43" t="s">
        <v>1854</v>
      </c>
      <c r="AX70" s="62" t="s">
        <v>2539</v>
      </c>
      <c r="AY70" s="62"/>
      <c r="AZ70" s="43" t="s">
        <v>2438</v>
      </c>
      <c r="BA70" s="43"/>
      <c r="BB70" s="43"/>
      <c r="BC70" s="43"/>
      <c r="BD70" s="43"/>
      <c r="BE70" s="43"/>
      <c r="BF70" s="43"/>
      <c r="BG70" s="43"/>
      <c r="BH70" s="43"/>
      <c r="BI70" s="43"/>
      <c r="BJ70" s="43"/>
      <c r="BK70" s="43"/>
      <c r="BL70" s="43"/>
      <c r="BM70" s="43"/>
      <c r="BN70" s="43"/>
      <c r="BO70" s="43"/>
      <c r="BP70" s="174">
        <f>IFERROR(VLOOKUP(_tPE26_29_Consolidada[[#This Row],[ID Financeiro]],'[4]PE 25-29'!$B:$AF,31,FALSE),0)</f>
        <v>150000</v>
      </c>
      <c r="BQ70" s="174">
        <f>_tPE26_29_Consolidada[[#This Row],[2026]]*1000</f>
        <v>350000000</v>
      </c>
      <c r="BR70" s="176">
        <f>_tPE26_29_Consolidada[[#This Row],[Orçado 2026 (PE25-29)]]-_tPE26_29_Consolidada[[#This Row],[Orçado 2026 (PE26-30)]]</f>
        <v>-349850000</v>
      </c>
      <c r="BS70" s="175">
        <f>IFERROR(VLOOKUP(_tPE26_29_Consolidada[[#This Row],[ID Financeiro]],'[4]PE 25-29'!$B:$AT,45,FALSE),0)</f>
        <v>150000</v>
      </c>
      <c r="BT70" s="175">
        <f>_tPE26_29_Consolidada[[#This Row],[2026-2030]]*1000</f>
        <v>350000000</v>
      </c>
      <c r="BU70" s="175">
        <f>-_tPE26_29_Consolidada[[#This Row],[Orçado 26/30 (PE25-29)]]+_tPE26_29_Consolidada[[#This Row],[Orçado 26/30 (PE26-30)]]</f>
        <v>349850000</v>
      </c>
      <c r="BV70" s="177">
        <f>IFERROR(_tPE26_29_Consolidada[[#This Row],[Dif2]]/_tPE26_29_Consolidada[[#This Row],[Orçado 26/30 (PE25-29)]],0)</f>
        <v>2332.3333333333335</v>
      </c>
      <c r="CQ70" s="146"/>
      <c r="CR70" s="146"/>
      <c r="CS70" s="146"/>
      <c r="CT70" s="146"/>
      <c r="CU70" s="146"/>
      <c r="CV70" s="146"/>
      <c r="CW70" s="146"/>
      <c r="CX70" s="146"/>
      <c r="CY70" s="146"/>
      <c r="CZ70" s="146"/>
      <c r="DA70" s="146"/>
      <c r="DB70" s="146"/>
      <c r="DC70" s="146"/>
      <c r="DD70" s="146"/>
      <c r="DE70" s="146"/>
      <c r="DF70" s="146"/>
      <c r="DG70" s="146"/>
      <c r="DH70" s="146"/>
      <c r="DI70" s="146"/>
      <c r="DJ70" s="146"/>
      <c r="DK70" s="146"/>
      <c r="DL70" s="146"/>
      <c r="DM70" s="146"/>
      <c r="DN70" s="146"/>
      <c r="DO70" s="146"/>
      <c r="DP70" s="146"/>
      <c r="DQ70" s="146"/>
      <c r="DR70" s="146"/>
      <c r="DS70" s="146"/>
      <c r="DT70" s="146"/>
      <c r="DU70" s="146"/>
      <c r="DV70" s="146"/>
      <c r="DW70" s="146"/>
      <c r="DX70" s="146"/>
      <c r="DY70" s="146"/>
      <c r="DZ70" s="146"/>
      <c r="EA70" s="146"/>
      <c r="EB70" s="146"/>
      <c r="EC70" s="146"/>
      <c r="ED70" s="146"/>
      <c r="EE70" s="146"/>
      <c r="EF70" s="146"/>
      <c r="EG70" s="146"/>
      <c r="EH70" s="146"/>
      <c r="EI70" s="146"/>
      <c r="EJ70" s="146"/>
      <c r="EK70" s="146"/>
      <c r="EL70" s="146"/>
      <c r="EM70" s="146"/>
      <c r="EN70" s="146"/>
      <c r="EO70" s="146"/>
      <c r="EP70" s="146"/>
      <c r="EQ70" s="146"/>
      <c r="ER70" s="146"/>
      <c r="ES70" s="146"/>
      <c r="ET70" s="146"/>
      <c r="EU70" s="146"/>
      <c r="EV70" s="146"/>
      <c r="EW70" s="146"/>
      <c r="EX70" s="146"/>
      <c r="EY70" s="146"/>
      <c r="EZ70" s="146"/>
    </row>
    <row r="71" spans="1:156" ht="14.5" x14ac:dyDescent="0.35">
      <c r="A71" s="43"/>
      <c r="B71" s="75" t="b">
        <v>1</v>
      </c>
      <c r="C71" s="43" t="s">
        <v>2310</v>
      </c>
      <c r="D71" s="43" t="s">
        <v>439</v>
      </c>
      <c r="E71" s="43" t="s">
        <v>2281</v>
      </c>
      <c r="F71" s="43"/>
      <c r="G71" s="43" t="s">
        <v>2541</v>
      </c>
      <c r="H71" s="43" t="s">
        <v>506</v>
      </c>
      <c r="I71" s="43" t="s">
        <v>1015</v>
      </c>
      <c r="J71" s="43" t="s">
        <v>508</v>
      </c>
      <c r="K71" s="43" t="s">
        <v>1039</v>
      </c>
      <c r="L71" s="43" t="s">
        <v>1040</v>
      </c>
      <c r="M71" s="43" t="s">
        <v>2312</v>
      </c>
      <c r="N71" s="43"/>
      <c r="O71" s="43"/>
      <c r="P71" s="43"/>
      <c r="Q71" s="43" t="s">
        <v>2542</v>
      </c>
      <c r="R71" s="43" t="s">
        <v>2314</v>
      </c>
      <c r="S71" s="43" t="s">
        <v>2315</v>
      </c>
      <c r="T71" s="213">
        <v>0</v>
      </c>
      <c r="U71" s="213">
        <v>0</v>
      </c>
      <c r="V71" s="213">
        <v>1000000</v>
      </c>
      <c r="W71" s="213">
        <v>0</v>
      </c>
      <c r="X71" s="213">
        <v>0</v>
      </c>
      <c r="Y71" s="213">
        <v>0</v>
      </c>
      <c r="Z71" s="213">
        <v>0</v>
      </c>
      <c r="AA71" s="213">
        <v>800000</v>
      </c>
      <c r="AB71" s="213">
        <v>0</v>
      </c>
      <c r="AC71" s="213">
        <v>700000</v>
      </c>
      <c r="AD71" s="213">
        <v>0</v>
      </c>
      <c r="AE71" s="213">
        <v>100000</v>
      </c>
      <c r="AF71" s="213">
        <v>2600000</v>
      </c>
      <c r="AG71" s="213">
        <v>0</v>
      </c>
      <c r="AH71" s="213">
        <v>0</v>
      </c>
      <c r="AI71" s="213">
        <v>0</v>
      </c>
      <c r="AJ71" s="213">
        <v>0</v>
      </c>
      <c r="AK71" s="213">
        <v>2600000</v>
      </c>
      <c r="AL71" s="213">
        <v>0</v>
      </c>
      <c r="AM71" s="213">
        <v>0</v>
      </c>
      <c r="AN71" s="213">
        <v>0</v>
      </c>
      <c r="AO71" s="213">
        <v>0</v>
      </c>
      <c r="AP71" s="213">
        <v>0</v>
      </c>
      <c r="AQ71" s="213">
        <v>2600000</v>
      </c>
      <c r="AR71" s="43">
        <v>209</v>
      </c>
      <c r="AS71" s="43" t="s">
        <v>2316</v>
      </c>
      <c r="AT71" s="181">
        <v>2025</v>
      </c>
      <c r="AU71" s="43">
        <f>_xlfn.XLOOKUP(_tPE26_29_Consolidada[[#This Row],[ID Financeiro]],[5]Projetos!$K:$K,[5]Projetos!$A:$A,0,0)</f>
        <v>0</v>
      </c>
      <c r="AV71" s="43" t="s">
        <v>2543</v>
      </c>
      <c r="AW71" s="43" t="s">
        <v>1049</v>
      </c>
      <c r="AX71" s="62" t="s">
        <v>2542</v>
      </c>
      <c r="AY71" s="62"/>
      <c r="AZ71" s="43" t="s">
        <v>2319</v>
      </c>
      <c r="BA71" s="43"/>
      <c r="BB71" s="43"/>
      <c r="BC71" s="43"/>
      <c r="BD71" s="43"/>
      <c r="BE71" s="43"/>
      <c r="BF71" s="43"/>
      <c r="BG71" s="43"/>
      <c r="BH71" s="43"/>
      <c r="BI71" s="43"/>
      <c r="BJ71" s="43"/>
      <c r="BK71" s="43"/>
      <c r="BL71" s="43"/>
      <c r="BM71" s="43"/>
      <c r="BN71" s="43"/>
      <c r="BO71" s="43"/>
      <c r="BP71" s="174">
        <f>IFERROR(VLOOKUP(_tPE26_29_Consolidada[[#This Row],[ID Financeiro]],'[4]PE 25-29'!$B:$AF,31,FALSE),0)</f>
        <v>150000</v>
      </c>
      <c r="BQ71" s="174">
        <f>_tPE26_29_Consolidada[[#This Row],[2026]]*1000</f>
        <v>2600000000</v>
      </c>
      <c r="BR71" s="176">
        <f>_tPE26_29_Consolidada[[#This Row],[Orçado 2026 (PE25-29)]]-_tPE26_29_Consolidada[[#This Row],[Orçado 2026 (PE26-30)]]</f>
        <v>-2599850000</v>
      </c>
      <c r="BS71" s="175">
        <f>IFERROR(VLOOKUP(_tPE26_29_Consolidada[[#This Row],[ID Financeiro]],'[4]PE 25-29'!$B:$AT,45,FALSE),0)</f>
        <v>150000</v>
      </c>
      <c r="BT71" s="175">
        <f>_tPE26_29_Consolidada[[#This Row],[2026-2030]]*1000</f>
        <v>2600000000</v>
      </c>
      <c r="BU71" s="175">
        <f>-_tPE26_29_Consolidada[[#This Row],[Orçado 26/30 (PE25-29)]]+_tPE26_29_Consolidada[[#This Row],[Orçado 26/30 (PE26-30)]]</f>
        <v>2599850000</v>
      </c>
      <c r="BV71" s="177">
        <f>IFERROR(_tPE26_29_Consolidada[[#This Row],[Dif2]]/_tPE26_29_Consolidada[[#This Row],[Orçado 26/30 (PE25-29)]],0)</f>
        <v>17332.333333333332</v>
      </c>
      <c r="CQ71" s="146"/>
      <c r="CR71" s="146"/>
      <c r="CS71" s="146"/>
      <c r="CT71" s="146"/>
      <c r="CU71" s="146"/>
      <c r="CV71" s="146"/>
      <c r="CW71" s="146"/>
      <c r="CX71" s="146"/>
      <c r="CY71" s="146"/>
      <c r="CZ71" s="146"/>
      <c r="DA71" s="146"/>
      <c r="DB71" s="146"/>
      <c r="DC71" s="146"/>
      <c r="DD71" s="146"/>
      <c r="DE71" s="146"/>
      <c r="DF71" s="146"/>
      <c r="DG71" s="146"/>
      <c r="DH71" s="146"/>
      <c r="DI71" s="146"/>
      <c r="DJ71" s="146"/>
      <c r="DK71" s="146"/>
      <c r="DL71" s="146"/>
      <c r="DM71" s="146"/>
      <c r="DN71" s="146"/>
      <c r="DO71" s="146"/>
      <c r="DP71" s="146"/>
      <c r="DQ71" s="146"/>
      <c r="DR71" s="146"/>
      <c r="DS71" s="146"/>
      <c r="DT71" s="146"/>
      <c r="DU71" s="146"/>
      <c r="DV71" s="146"/>
      <c r="DW71" s="146"/>
      <c r="DX71" s="146"/>
      <c r="DY71" s="146"/>
      <c r="DZ71" s="146"/>
      <c r="EA71" s="146"/>
      <c r="EB71" s="146"/>
      <c r="EC71" s="146"/>
      <c r="ED71" s="146"/>
      <c r="EE71" s="146"/>
      <c r="EF71" s="146"/>
      <c r="EG71" s="146"/>
      <c r="EH71" s="146"/>
      <c r="EI71" s="146"/>
      <c r="EJ71" s="146"/>
      <c r="EK71" s="146"/>
      <c r="EL71" s="146"/>
      <c r="EM71" s="146"/>
      <c r="EN71" s="146"/>
      <c r="EO71" s="146"/>
      <c r="EP71" s="146"/>
      <c r="EQ71" s="146"/>
      <c r="ER71" s="146"/>
      <c r="ES71" s="146"/>
      <c r="ET71" s="146"/>
      <c r="EU71" s="146"/>
      <c r="EV71" s="146"/>
      <c r="EW71" s="146"/>
      <c r="EX71" s="146"/>
      <c r="EY71" s="146"/>
      <c r="EZ71" s="146"/>
    </row>
    <row r="72" spans="1:156" ht="14.5" x14ac:dyDescent="0.35">
      <c r="A72" s="43"/>
      <c r="B72" s="75" t="b">
        <v>1</v>
      </c>
      <c r="C72" s="43" t="s">
        <v>2310</v>
      </c>
      <c r="D72" s="43" t="s">
        <v>439</v>
      </c>
      <c r="E72" s="43" t="s">
        <v>2281</v>
      </c>
      <c r="F72" s="43"/>
      <c r="G72" s="43" t="s">
        <v>2544</v>
      </c>
      <c r="H72" s="43" t="s">
        <v>506</v>
      </c>
      <c r="I72" s="43" t="s">
        <v>1015</v>
      </c>
      <c r="J72" s="43" t="s">
        <v>508</v>
      </c>
      <c r="K72" s="43" t="s">
        <v>1039</v>
      </c>
      <c r="L72" s="43" t="s">
        <v>1040</v>
      </c>
      <c r="M72" s="43" t="s">
        <v>2495</v>
      </c>
      <c r="N72" s="43"/>
      <c r="O72" s="43"/>
      <c r="P72" s="43"/>
      <c r="Q72" s="43" t="s">
        <v>2545</v>
      </c>
      <c r="R72" s="43" t="s">
        <v>2497</v>
      </c>
      <c r="S72" s="43" t="s">
        <v>2315</v>
      </c>
      <c r="T72" s="213">
        <v>0</v>
      </c>
      <c r="U72" s="213">
        <v>0</v>
      </c>
      <c r="V72" s="213">
        <v>0</v>
      </c>
      <c r="W72" s="213">
        <v>0</v>
      </c>
      <c r="X72" s="213">
        <v>0</v>
      </c>
      <c r="Y72" s="213">
        <v>0</v>
      </c>
      <c r="Z72" s="213">
        <v>0</v>
      </c>
      <c r="AA72" s="213">
        <v>0</v>
      </c>
      <c r="AB72" s="213">
        <v>0</v>
      </c>
      <c r="AC72" s="213">
        <v>100000</v>
      </c>
      <c r="AD72" s="213">
        <v>100000</v>
      </c>
      <c r="AE72" s="213">
        <v>100000</v>
      </c>
      <c r="AF72" s="213">
        <v>300000</v>
      </c>
      <c r="AG72" s="213">
        <v>300000</v>
      </c>
      <c r="AH72" s="213">
        <v>0</v>
      </c>
      <c r="AI72" s="213">
        <v>0</v>
      </c>
      <c r="AJ72" s="213">
        <v>0</v>
      </c>
      <c r="AK72" s="213">
        <v>600000</v>
      </c>
      <c r="AL72" s="213">
        <v>0</v>
      </c>
      <c r="AM72" s="213">
        <v>0</v>
      </c>
      <c r="AN72" s="213">
        <v>0</v>
      </c>
      <c r="AO72" s="213">
        <v>0</v>
      </c>
      <c r="AP72" s="213">
        <v>0</v>
      </c>
      <c r="AQ72" s="213">
        <v>600000</v>
      </c>
      <c r="AR72" s="43">
        <v>210</v>
      </c>
      <c r="AS72" s="43" t="s">
        <v>2498</v>
      </c>
      <c r="AT72" s="181">
        <v>2025</v>
      </c>
      <c r="AU72" s="43">
        <f>_xlfn.XLOOKUP(_tPE26_29_Consolidada[[#This Row],[ID Financeiro]],[5]Projetos!$K:$K,[5]Projetos!$A:$A,0,0)</f>
        <v>0</v>
      </c>
      <c r="AV72" s="43" t="s">
        <v>2546</v>
      </c>
      <c r="AW72" s="43" t="s">
        <v>1854</v>
      </c>
      <c r="AX72" s="62" t="s">
        <v>2545</v>
      </c>
      <c r="AY72" s="62"/>
      <c r="AZ72" s="43" t="s">
        <v>2500</v>
      </c>
      <c r="BA72" s="43"/>
      <c r="BB72" s="43"/>
      <c r="BC72" s="43"/>
      <c r="BD72" s="43"/>
      <c r="BE72" s="43"/>
      <c r="BF72" s="43"/>
      <c r="BG72" s="43"/>
      <c r="BH72" s="43"/>
      <c r="BI72" s="43"/>
      <c r="BJ72" s="43"/>
      <c r="BK72" s="43"/>
      <c r="BL72" s="43"/>
      <c r="BM72" s="43"/>
      <c r="BN72" s="43"/>
      <c r="BO72" s="43"/>
      <c r="BP72" s="174">
        <f>IFERROR(VLOOKUP(_tPE26_29_Consolidada[[#This Row],[ID Financeiro]],'[4]PE 25-29'!$B:$AF,31,FALSE),0)</f>
        <v>19140</v>
      </c>
      <c r="BQ72" s="174">
        <f>_tPE26_29_Consolidada[[#This Row],[2026]]*1000</f>
        <v>300000000</v>
      </c>
      <c r="BR72" s="176">
        <f>_tPE26_29_Consolidada[[#This Row],[Orçado 2026 (PE25-29)]]-_tPE26_29_Consolidada[[#This Row],[Orçado 2026 (PE26-30)]]</f>
        <v>-299980860</v>
      </c>
      <c r="BS72" s="175">
        <f>IFERROR(VLOOKUP(_tPE26_29_Consolidada[[#This Row],[ID Financeiro]],'[4]PE 25-29'!$B:$AT,45,FALSE),0)</f>
        <v>19140</v>
      </c>
      <c r="BT72" s="175">
        <f>_tPE26_29_Consolidada[[#This Row],[2026-2030]]*1000</f>
        <v>600000000</v>
      </c>
      <c r="BU72" s="175">
        <f>-_tPE26_29_Consolidada[[#This Row],[Orçado 26/30 (PE25-29)]]+_tPE26_29_Consolidada[[#This Row],[Orçado 26/30 (PE26-30)]]</f>
        <v>599980860</v>
      </c>
      <c r="BV72" s="177">
        <f>IFERROR(_tPE26_29_Consolidada[[#This Row],[Dif2]]/_tPE26_29_Consolidada[[#This Row],[Orçado 26/30 (PE25-29)]],0)</f>
        <v>31346.962382445141</v>
      </c>
      <c r="CQ72" s="146"/>
      <c r="CR72" s="146"/>
      <c r="CS72" s="146"/>
      <c r="CT72" s="146"/>
      <c r="CU72" s="146"/>
      <c r="CV72" s="146"/>
      <c r="CW72" s="146"/>
      <c r="CX72" s="146"/>
      <c r="CY72" s="146"/>
      <c r="CZ72" s="146"/>
      <c r="DA72" s="146"/>
      <c r="DB72" s="146"/>
      <c r="DC72" s="146"/>
      <c r="DD72" s="146"/>
      <c r="DE72" s="146"/>
      <c r="DF72" s="146"/>
      <c r="DG72" s="146"/>
      <c r="DH72" s="146"/>
      <c r="DI72" s="146"/>
      <c r="DJ72" s="146"/>
      <c r="DK72" s="146"/>
      <c r="DL72" s="146"/>
      <c r="DM72" s="146"/>
      <c r="DN72" s="146"/>
      <c r="DO72" s="146"/>
      <c r="DP72" s="146"/>
      <c r="DQ72" s="146"/>
      <c r="DR72" s="146"/>
      <c r="DS72" s="146"/>
      <c r="DT72" s="146"/>
      <c r="DU72" s="146"/>
      <c r="DV72" s="146"/>
      <c r="DW72" s="146"/>
      <c r="DX72" s="146"/>
      <c r="DY72" s="146"/>
      <c r="DZ72" s="146"/>
      <c r="EA72" s="146"/>
      <c r="EB72" s="146"/>
      <c r="EC72" s="146"/>
      <c r="ED72" s="146"/>
      <c r="EE72" s="146"/>
      <c r="EF72" s="146"/>
      <c r="EG72" s="146"/>
      <c r="EH72" s="146"/>
      <c r="EI72" s="146"/>
      <c r="EJ72" s="146"/>
      <c r="EK72" s="146"/>
      <c r="EL72" s="146"/>
      <c r="EM72" s="146"/>
      <c r="EN72" s="146"/>
      <c r="EO72" s="146"/>
      <c r="EP72" s="146"/>
      <c r="EQ72" s="146"/>
      <c r="ER72" s="146"/>
      <c r="ES72" s="146"/>
      <c r="ET72" s="146"/>
      <c r="EU72" s="146"/>
      <c r="EV72" s="146"/>
      <c r="EW72" s="146"/>
      <c r="EX72" s="146"/>
      <c r="EY72" s="146"/>
      <c r="EZ72" s="146"/>
    </row>
    <row r="73" spans="1:156" ht="14.5" x14ac:dyDescent="0.35">
      <c r="A73" s="43"/>
      <c r="B73" s="75" t="b">
        <v>1</v>
      </c>
      <c r="C73" s="43" t="s">
        <v>2310</v>
      </c>
      <c r="D73" s="43" t="s">
        <v>439</v>
      </c>
      <c r="E73" s="43" t="s">
        <v>2281</v>
      </c>
      <c r="F73" s="43"/>
      <c r="G73" s="43" t="s">
        <v>2547</v>
      </c>
      <c r="H73" s="43" t="s">
        <v>506</v>
      </c>
      <c r="I73" s="43" t="s">
        <v>1015</v>
      </c>
      <c r="J73" s="43" t="s">
        <v>508</v>
      </c>
      <c r="K73" s="43" t="s">
        <v>1039</v>
      </c>
      <c r="L73" s="43" t="s">
        <v>1040</v>
      </c>
      <c r="M73" s="43" t="s">
        <v>2312</v>
      </c>
      <c r="N73" s="43"/>
      <c r="O73" s="43"/>
      <c r="P73" s="43"/>
      <c r="Q73" s="43" t="s">
        <v>1030</v>
      </c>
      <c r="R73" s="43" t="s">
        <v>2314</v>
      </c>
      <c r="S73" s="43" t="s">
        <v>1029</v>
      </c>
      <c r="T73" s="213">
        <v>10000</v>
      </c>
      <c r="U73" s="213">
        <v>1900000</v>
      </c>
      <c r="V73" s="213">
        <v>1800000</v>
      </c>
      <c r="W73" s="213">
        <v>4620000</v>
      </c>
      <c r="X73" s="213">
        <v>6500000</v>
      </c>
      <c r="Y73" s="213">
        <v>4320000</v>
      </c>
      <c r="Z73" s="213">
        <v>1600000</v>
      </c>
      <c r="AA73" s="213">
        <v>830000</v>
      </c>
      <c r="AB73" s="213">
        <v>560000</v>
      </c>
      <c r="AC73" s="213">
        <v>150000</v>
      </c>
      <c r="AD73" s="213">
        <v>6200000</v>
      </c>
      <c r="AE73" s="213">
        <v>10000</v>
      </c>
      <c r="AF73" s="213">
        <v>28500000</v>
      </c>
      <c r="AG73" s="213">
        <v>9000000</v>
      </c>
      <c r="AH73" s="213">
        <v>0</v>
      </c>
      <c r="AI73" s="213">
        <v>0</v>
      </c>
      <c r="AJ73" s="213">
        <v>0</v>
      </c>
      <c r="AK73" s="213">
        <v>37500000</v>
      </c>
      <c r="AL73" s="213">
        <v>0</v>
      </c>
      <c r="AM73" s="213">
        <v>0</v>
      </c>
      <c r="AN73" s="213">
        <v>0</v>
      </c>
      <c r="AO73" s="213">
        <v>0</v>
      </c>
      <c r="AP73" s="213">
        <v>0</v>
      </c>
      <c r="AQ73" s="213">
        <v>37500000</v>
      </c>
      <c r="AR73" s="43">
        <v>211</v>
      </c>
      <c r="AS73" s="43" t="s">
        <v>2316</v>
      </c>
      <c r="AT73" s="181">
        <v>2025</v>
      </c>
      <c r="AU73" s="43">
        <f>_xlfn.XLOOKUP(_tPE26_29_Consolidada[[#This Row],[ID Financeiro]],[5]Projetos!$K:$K,[5]Projetos!$A:$A,0,0)</f>
        <v>0</v>
      </c>
      <c r="AV73" s="43" t="s">
        <v>2548</v>
      </c>
      <c r="AW73" s="43" t="s">
        <v>517</v>
      </c>
      <c r="AX73" s="62" t="s">
        <v>1030</v>
      </c>
      <c r="AY73" s="62"/>
      <c r="AZ73" s="43" t="s">
        <v>2361</v>
      </c>
      <c r="BA73" s="43"/>
      <c r="BB73" s="43"/>
      <c r="BC73" s="43"/>
      <c r="BD73" s="43"/>
      <c r="BE73" s="43"/>
      <c r="BF73" s="43"/>
      <c r="BG73" s="43"/>
      <c r="BH73" s="43"/>
      <c r="BI73" s="43"/>
      <c r="BJ73" s="43"/>
      <c r="BK73" s="43"/>
      <c r="BL73" s="43"/>
      <c r="BM73" s="43"/>
      <c r="BN73" s="43"/>
      <c r="BO73" s="43"/>
      <c r="BP73" s="174">
        <f>IFERROR(VLOOKUP(_tPE26_29_Consolidada[[#This Row],[ID Financeiro]],'[4]PE 25-29'!$B:$AF,31,FALSE),0)</f>
        <v>21712862</v>
      </c>
      <c r="BQ73" s="174">
        <f>_tPE26_29_Consolidada[[#This Row],[2026]]*1000</f>
        <v>28500000000</v>
      </c>
      <c r="BR73" s="176">
        <f>_tPE26_29_Consolidada[[#This Row],[Orçado 2026 (PE25-29)]]-_tPE26_29_Consolidada[[#This Row],[Orçado 2026 (PE26-30)]]</f>
        <v>-28478287138</v>
      </c>
      <c r="BS73" s="175">
        <f>IFERROR(VLOOKUP(_tPE26_29_Consolidada[[#This Row],[ID Financeiro]],'[4]PE 25-29'!$B:$AT,45,FALSE),0)</f>
        <v>21712862</v>
      </c>
      <c r="BT73" s="175">
        <f>_tPE26_29_Consolidada[[#This Row],[2026-2030]]*1000</f>
        <v>37500000000</v>
      </c>
      <c r="BU73" s="175">
        <f>-_tPE26_29_Consolidada[[#This Row],[Orçado 26/30 (PE25-29)]]+_tPE26_29_Consolidada[[#This Row],[Orçado 26/30 (PE26-30)]]</f>
        <v>37478287138</v>
      </c>
      <c r="BV73" s="177">
        <f>IFERROR(_tPE26_29_Consolidada[[#This Row],[Dif2]]/_tPE26_29_Consolidada[[#This Row],[Orçado 26/30 (PE25-29)]],0)</f>
        <v>1726.0869220280588</v>
      </c>
      <c r="CQ73" s="146"/>
      <c r="CR73" s="146"/>
      <c r="CS73" s="146"/>
      <c r="CT73" s="146"/>
      <c r="CU73" s="146"/>
      <c r="CV73" s="146"/>
      <c r="CW73" s="146"/>
      <c r="CX73" s="146"/>
      <c r="CY73" s="146"/>
      <c r="CZ73" s="146"/>
      <c r="DA73" s="146"/>
      <c r="DB73" s="146"/>
      <c r="DC73" s="146"/>
      <c r="DD73" s="146"/>
      <c r="DE73" s="146"/>
      <c r="DF73" s="146"/>
      <c r="DG73" s="146"/>
      <c r="DH73" s="146"/>
      <c r="DI73" s="146"/>
      <c r="DJ73" s="146"/>
      <c r="DK73" s="146"/>
      <c r="DL73" s="146"/>
      <c r="DM73" s="146"/>
      <c r="DN73" s="146"/>
      <c r="DO73" s="146"/>
      <c r="DP73" s="146"/>
      <c r="DQ73" s="146"/>
      <c r="DR73" s="146"/>
      <c r="DS73" s="146"/>
      <c r="DT73" s="146"/>
      <c r="DU73" s="146"/>
      <c r="DV73" s="146"/>
      <c r="DW73" s="146"/>
      <c r="DX73" s="146"/>
      <c r="DY73" s="146"/>
      <c r="DZ73" s="146"/>
      <c r="EA73" s="146"/>
      <c r="EB73" s="146"/>
      <c r="EC73" s="146"/>
      <c r="ED73" s="146"/>
      <c r="EE73" s="146"/>
      <c r="EF73" s="146"/>
      <c r="EG73" s="146"/>
      <c r="EH73" s="146"/>
      <c r="EI73" s="146"/>
      <c r="EJ73" s="146"/>
      <c r="EK73" s="146"/>
      <c r="EL73" s="146"/>
      <c r="EM73" s="146"/>
      <c r="EN73" s="146"/>
      <c r="EO73" s="146"/>
      <c r="EP73" s="146"/>
      <c r="EQ73" s="146"/>
      <c r="ER73" s="146"/>
      <c r="ES73" s="146"/>
      <c r="ET73" s="146"/>
      <c r="EU73" s="146"/>
      <c r="EV73" s="146"/>
      <c r="EW73" s="146"/>
      <c r="EX73" s="146"/>
      <c r="EY73" s="146"/>
      <c r="EZ73" s="146"/>
    </row>
    <row r="74" spans="1:156" ht="14.5" x14ac:dyDescent="0.35">
      <c r="A74" s="43"/>
      <c r="B74" s="75" t="b">
        <v>1</v>
      </c>
      <c r="C74" s="43" t="s">
        <v>2310</v>
      </c>
      <c r="D74" s="43" t="s">
        <v>439</v>
      </c>
      <c r="E74" s="43" t="s">
        <v>2281</v>
      </c>
      <c r="F74" s="43"/>
      <c r="G74" s="43" t="s">
        <v>2549</v>
      </c>
      <c r="H74" s="43" t="s">
        <v>506</v>
      </c>
      <c r="I74" s="43" t="s">
        <v>1015</v>
      </c>
      <c r="J74" s="43" t="s">
        <v>508</v>
      </c>
      <c r="K74" s="43" t="s">
        <v>1039</v>
      </c>
      <c r="L74" s="43" t="s">
        <v>1040</v>
      </c>
      <c r="M74" s="43" t="s">
        <v>2312</v>
      </c>
      <c r="N74" s="43"/>
      <c r="O74" s="43"/>
      <c r="P74" s="43"/>
      <c r="Q74" s="43" t="s">
        <v>2550</v>
      </c>
      <c r="R74" s="43" t="s">
        <v>2314</v>
      </c>
      <c r="S74" s="43" t="s">
        <v>2338</v>
      </c>
      <c r="T74" s="213">
        <v>0</v>
      </c>
      <c r="U74" s="213">
        <v>0</v>
      </c>
      <c r="V74" s="213">
        <v>350000</v>
      </c>
      <c r="W74" s="213">
        <v>10000</v>
      </c>
      <c r="X74" s="213">
        <v>30000</v>
      </c>
      <c r="Y74" s="213">
        <v>0</v>
      </c>
      <c r="Z74" s="213">
        <v>30000</v>
      </c>
      <c r="AA74" s="213">
        <v>0</v>
      </c>
      <c r="AB74" s="213">
        <v>0</v>
      </c>
      <c r="AC74" s="213">
        <v>0</v>
      </c>
      <c r="AD74" s="213">
        <v>0</v>
      </c>
      <c r="AE74" s="213">
        <v>0</v>
      </c>
      <c r="AF74" s="213">
        <v>420000</v>
      </c>
      <c r="AG74" s="213">
        <v>0</v>
      </c>
      <c r="AH74" s="213">
        <v>0</v>
      </c>
      <c r="AI74" s="213">
        <v>0</v>
      </c>
      <c r="AJ74" s="213">
        <v>0</v>
      </c>
      <c r="AK74" s="213">
        <v>420000</v>
      </c>
      <c r="AL74" s="213">
        <v>0</v>
      </c>
      <c r="AM74" s="213">
        <v>0</v>
      </c>
      <c r="AN74" s="213">
        <v>0</v>
      </c>
      <c r="AO74" s="213">
        <v>0</v>
      </c>
      <c r="AP74" s="213">
        <v>0</v>
      </c>
      <c r="AQ74" s="213">
        <v>420000</v>
      </c>
      <c r="AR74" s="43">
        <v>212</v>
      </c>
      <c r="AS74" s="43" t="s">
        <v>2316</v>
      </c>
      <c r="AT74" s="181">
        <v>2025</v>
      </c>
      <c r="AU74" s="43">
        <f>_xlfn.XLOOKUP(_tPE26_29_Consolidada[[#This Row],[ID Financeiro]],[5]Projetos!$K:$K,[5]Projetos!$A:$A,0,0)</f>
        <v>0</v>
      </c>
      <c r="AV74" s="43" t="s">
        <v>2551</v>
      </c>
      <c r="AW74" s="43" t="s">
        <v>1049</v>
      </c>
      <c r="AX74" s="62" t="s">
        <v>2550</v>
      </c>
      <c r="AY74" s="62"/>
      <c r="AZ74" s="43" t="s">
        <v>2340</v>
      </c>
      <c r="BA74" s="43"/>
      <c r="BB74" s="43"/>
      <c r="BC74" s="43"/>
      <c r="BD74" s="43"/>
      <c r="BE74" s="43"/>
      <c r="BF74" s="43"/>
      <c r="BG74" s="43"/>
      <c r="BH74" s="43"/>
      <c r="BI74" s="43"/>
      <c r="BJ74" s="43"/>
      <c r="BK74" s="43"/>
      <c r="BL74" s="43"/>
      <c r="BM74" s="43"/>
      <c r="BN74" s="43"/>
      <c r="BO74" s="43"/>
      <c r="BP74" s="174">
        <f>IFERROR(VLOOKUP(_tPE26_29_Consolidada[[#This Row],[ID Financeiro]],'[4]PE 25-29'!$B:$AF,31,FALSE),0)</f>
        <v>0</v>
      </c>
      <c r="BQ74" s="174">
        <f>_tPE26_29_Consolidada[[#This Row],[2026]]*1000</f>
        <v>420000000</v>
      </c>
      <c r="BR74" s="176">
        <f>_tPE26_29_Consolidada[[#This Row],[Orçado 2026 (PE25-29)]]-_tPE26_29_Consolidada[[#This Row],[Orçado 2026 (PE26-30)]]</f>
        <v>-420000000</v>
      </c>
      <c r="BS74" s="175">
        <f>IFERROR(VLOOKUP(_tPE26_29_Consolidada[[#This Row],[ID Financeiro]],'[4]PE 25-29'!$B:$AT,45,FALSE),0)</f>
        <v>0</v>
      </c>
      <c r="BT74" s="175">
        <f>_tPE26_29_Consolidada[[#This Row],[2026-2030]]*1000</f>
        <v>420000000</v>
      </c>
      <c r="BU74" s="175">
        <f>-_tPE26_29_Consolidada[[#This Row],[Orçado 26/30 (PE25-29)]]+_tPE26_29_Consolidada[[#This Row],[Orçado 26/30 (PE26-30)]]</f>
        <v>420000000</v>
      </c>
      <c r="BV74" s="177">
        <f>IFERROR(_tPE26_29_Consolidada[[#This Row],[Dif2]]/_tPE26_29_Consolidada[[#This Row],[Orçado 26/30 (PE25-29)]],0)</f>
        <v>0</v>
      </c>
      <c r="CQ74" s="146"/>
      <c r="CR74" s="146"/>
      <c r="CS74" s="146"/>
      <c r="CT74" s="146"/>
      <c r="CU74" s="146"/>
      <c r="CV74" s="146"/>
      <c r="CW74" s="146"/>
      <c r="CX74" s="146"/>
      <c r="CY74" s="146"/>
      <c r="CZ74" s="146"/>
      <c r="DA74" s="146"/>
      <c r="DB74" s="146"/>
      <c r="DC74" s="146"/>
      <c r="DD74" s="146"/>
      <c r="DE74" s="146"/>
      <c r="DF74" s="146"/>
      <c r="DG74" s="146"/>
      <c r="DH74" s="146"/>
      <c r="DI74" s="146"/>
      <c r="DJ74" s="146"/>
      <c r="DK74" s="146"/>
      <c r="DL74" s="146"/>
      <c r="DM74" s="146"/>
      <c r="DN74" s="146"/>
      <c r="DO74" s="146"/>
      <c r="DP74" s="146"/>
      <c r="DQ74" s="146"/>
      <c r="DR74" s="146"/>
      <c r="DS74" s="146"/>
      <c r="DT74" s="146"/>
      <c r="DU74" s="146"/>
      <c r="DV74" s="146"/>
      <c r="DW74" s="146"/>
      <c r="DX74" s="146"/>
      <c r="DY74" s="146"/>
      <c r="DZ74" s="146"/>
      <c r="EA74" s="146"/>
      <c r="EB74" s="146"/>
      <c r="EC74" s="146"/>
      <c r="ED74" s="146"/>
      <c r="EE74" s="146"/>
      <c r="EF74" s="146"/>
      <c r="EG74" s="146"/>
      <c r="EH74" s="146"/>
      <c r="EI74" s="146"/>
      <c r="EJ74" s="146"/>
      <c r="EK74" s="146"/>
      <c r="EL74" s="146"/>
      <c r="EM74" s="146"/>
      <c r="EN74" s="146"/>
      <c r="EO74" s="146"/>
      <c r="EP74" s="146"/>
      <c r="EQ74" s="146"/>
      <c r="ER74" s="146"/>
      <c r="ES74" s="146"/>
      <c r="ET74" s="146"/>
      <c r="EU74" s="146"/>
      <c r="EV74" s="146"/>
      <c r="EW74" s="146"/>
      <c r="EX74" s="146"/>
      <c r="EY74" s="146"/>
      <c r="EZ74" s="146"/>
    </row>
    <row r="75" spans="1:156" ht="14.5" x14ac:dyDescent="0.35">
      <c r="A75" s="43"/>
      <c r="B75" s="75" t="b">
        <v>1</v>
      </c>
      <c r="C75" s="43" t="s">
        <v>2310</v>
      </c>
      <c r="D75" s="43" t="s">
        <v>439</v>
      </c>
      <c r="E75" s="43" t="s">
        <v>2281</v>
      </c>
      <c r="F75" s="43"/>
      <c r="G75" s="43" t="s">
        <v>2552</v>
      </c>
      <c r="H75" s="43" t="s">
        <v>506</v>
      </c>
      <c r="I75" s="43" t="s">
        <v>1015</v>
      </c>
      <c r="J75" s="43" t="s">
        <v>508</v>
      </c>
      <c r="K75" s="43" t="s">
        <v>1039</v>
      </c>
      <c r="L75" s="43" t="s">
        <v>1040</v>
      </c>
      <c r="M75" s="43" t="s">
        <v>2312</v>
      </c>
      <c r="N75" s="43"/>
      <c r="O75" s="43"/>
      <c r="P75" s="43"/>
      <c r="Q75" s="43" t="s">
        <v>2553</v>
      </c>
      <c r="R75" s="43" t="s">
        <v>2314</v>
      </c>
      <c r="S75" s="43" t="s">
        <v>1029</v>
      </c>
      <c r="T75" s="213">
        <v>0</v>
      </c>
      <c r="U75" s="213">
        <v>0</v>
      </c>
      <c r="V75" s="213">
        <v>0</v>
      </c>
      <c r="W75" s="213">
        <v>0</v>
      </c>
      <c r="X75" s="213">
        <v>0</v>
      </c>
      <c r="Y75" s="213">
        <v>0</v>
      </c>
      <c r="Z75" s="213">
        <v>0</v>
      </c>
      <c r="AA75" s="213">
        <v>0</v>
      </c>
      <c r="AB75" s="213">
        <v>0</v>
      </c>
      <c r="AC75" s="213">
        <v>0</v>
      </c>
      <c r="AD75" s="213">
        <v>0</v>
      </c>
      <c r="AE75" s="213">
        <v>0</v>
      </c>
      <c r="AF75" s="213">
        <v>0</v>
      </c>
      <c r="AG75" s="213">
        <v>150000</v>
      </c>
      <c r="AH75" s="213">
        <v>150000</v>
      </c>
      <c r="AI75" s="213">
        <v>0</v>
      </c>
      <c r="AJ75" s="213">
        <v>0</v>
      </c>
      <c r="AK75" s="213">
        <v>300000</v>
      </c>
      <c r="AL75" s="213">
        <v>0</v>
      </c>
      <c r="AM75" s="213">
        <v>0</v>
      </c>
      <c r="AN75" s="213">
        <v>0</v>
      </c>
      <c r="AO75" s="213">
        <v>0</v>
      </c>
      <c r="AP75" s="213">
        <v>0</v>
      </c>
      <c r="AQ75" s="213">
        <v>300000</v>
      </c>
      <c r="AR75" s="43">
        <v>213</v>
      </c>
      <c r="AS75" s="43" t="s">
        <v>2316</v>
      </c>
      <c r="AT75" s="181">
        <v>2025</v>
      </c>
      <c r="AU75" s="43">
        <f>_xlfn.XLOOKUP(_tPE26_29_Consolidada[[#This Row],[ID Financeiro]],[5]Projetos!$K:$K,[5]Projetos!$A:$A,0,0)</f>
        <v>0</v>
      </c>
      <c r="AV75" s="43" t="s">
        <v>2554</v>
      </c>
      <c r="AW75" s="43" t="s">
        <v>1854</v>
      </c>
      <c r="AX75" s="62" t="s">
        <v>2553</v>
      </c>
      <c r="AY75" s="62"/>
      <c r="AZ75" s="43" t="s">
        <v>2438</v>
      </c>
      <c r="BA75" s="43"/>
      <c r="BB75" s="43"/>
      <c r="BC75" s="43"/>
      <c r="BD75" s="43"/>
      <c r="BE75" s="43"/>
      <c r="BF75" s="43"/>
      <c r="BG75" s="43"/>
      <c r="BH75" s="43"/>
      <c r="BI75" s="43"/>
      <c r="BJ75" s="43"/>
      <c r="BK75" s="43"/>
      <c r="BL75" s="43"/>
      <c r="BM75" s="43"/>
      <c r="BN75" s="43"/>
      <c r="BO75" s="43"/>
      <c r="BP75" s="174">
        <f>IFERROR(VLOOKUP(_tPE26_29_Consolidada[[#This Row],[ID Financeiro]],'[4]PE 25-29'!$B:$AF,31,FALSE),0)</f>
        <v>12499.800000000001</v>
      </c>
      <c r="BQ75" s="174">
        <f>_tPE26_29_Consolidada[[#This Row],[2026]]*1000</f>
        <v>0</v>
      </c>
      <c r="BR75" s="176">
        <f>_tPE26_29_Consolidada[[#This Row],[Orçado 2026 (PE25-29)]]-_tPE26_29_Consolidada[[#This Row],[Orçado 2026 (PE26-30)]]</f>
        <v>12499.800000000001</v>
      </c>
      <c r="BS75" s="175">
        <f>IFERROR(VLOOKUP(_tPE26_29_Consolidada[[#This Row],[ID Financeiro]],'[4]PE 25-29'!$B:$AT,45,FALSE),0)</f>
        <v>12499.800000000001</v>
      </c>
      <c r="BT75" s="175">
        <f>_tPE26_29_Consolidada[[#This Row],[2026-2030]]*1000</f>
        <v>300000000</v>
      </c>
      <c r="BU75" s="175">
        <f>-_tPE26_29_Consolidada[[#This Row],[Orçado 26/30 (PE25-29)]]+_tPE26_29_Consolidada[[#This Row],[Orçado 26/30 (PE26-30)]]</f>
        <v>299987500.19999999</v>
      </c>
      <c r="BV75" s="177">
        <f>IFERROR(_tPE26_29_Consolidada[[#This Row],[Dif2]]/_tPE26_29_Consolidada[[#This Row],[Orçado 26/30 (PE25-29)]],0)</f>
        <v>23999.384006144097</v>
      </c>
      <c r="CQ75" s="146"/>
      <c r="CR75" s="146"/>
      <c r="CS75" s="146"/>
      <c r="CT75" s="146"/>
      <c r="CU75" s="146"/>
      <c r="CV75" s="146"/>
      <c r="CW75" s="146"/>
      <c r="CX75" s="146"/>
      <c r="CY75" s="146"/>
      <c r="CZ75" s="146"/>
      <c r="DA75" s="146"/>
      <c r="DB75" s="146"/>
      <c r="DC75" s="146"/>
      <c r="DD75" s="146"/>
      <c r="DE75" s="146"/>
      <c r="DF75" s="146"/>
      <c r="DG75" s="146"/>
      <c r="DH75" s="146"/>
      <c r="DI75" s="146"/>
      <c r="DJ75" s="146"/>
      <c r="DK75" s="146"/>
      <c r="DL75" s="146"/>
      <c r="DM75" s="146"/>
      <c r="DN75" s="146"/>
      <c r="DO75" s="146"/>
      <c r="DP75" s="146"/>
      <c r="DQ75" s="146"/>
      <c r="DR75" s="146"/>
      <c r="DS75" s="146"/>
      <c r="DT75" s="146"/>
      <c r="DU75" s="146"/>
      <c r="DV75" s="146"/>
      <c r="DW75" s="146"/>
      <c r="DX75" s="146"/>
      <c r="DY75" s="146"/>
      <c r="DZ75" s="146"/>
      <c r="EA75" s="146"/>
      <c r="EB75" s="146"/>
      <c r="EC75" s="146"/>
      <c r="ED75" s="146"/>
      <c r="EE75" s="146"/>
      <c r="EF75" s="146"/>
      <c r="EG75" s="146"/>
      <c r="EH75" s="146"/>
      <c r="EI75" s="146"/>
      <c r="EJ75" s="146"/>
      <c r="EK75" s="146"/>
      <c r="EL75" s="146"/>
      <c r="EM75" s="146"/>
      <c r="EN75" s="146"/>
      <c r="EO75" s="146"/>
      <c r="EP75" s="146"/>
      <c r="EQ75" s="146"/>
      <c r="ER75" s="146"/>
      <c r="ES75" s="146"/>
      <c r="ET75" s="146"/>
      <c r="EU75" s="146"/>
      <c r="EV75" s="146"/>
      <c r="EW75" s="146"/>
      <c r="EX75" s="146"/>
      <c r="EY75" s="146"/>
      <c r="EZ75" s="146"/>
    </row>
    <row r="76" spans="1:156" ht="14.5" x14ac:dyDescent="0.35">
      <c r="A76" s="43"/>
      <c r="B76" s="75" t="b">
        <v>1</v>
      </c>
      <c r="C76" s="43" t="s">
        <v>2310</v>
      </c>
      <c r="D76" s="43" t="s">
        <v>439</v>
      </c>
      <c r="E76" s="43" t="s">
        <v>2281</v>
      </c>
      <c r="F76" s="43"/>
      <c r="G76" s="43" t="s">
        <v>2555</v>
      </c>
      <c r="H76" s="43" t="s">
        <v>506</v>
      </c>
      <c r="I76" s="43" t="s">
        <v>1015</v>
      </c>
      <c r="J76" s="43" t="s">
        <v>508</v>
      </c>
      <c r="K76" s="43" t="s">
        <v>1039</v>
      </c>
      <c r="L76" s="43" t="s">
        <v>1040</v>
      </c>
      <c r="M76" s="43" t="s">
        <v>2312</v>
      </c>
      <c r="N76" s="43"/>
      <c r="O76" s="43"/>
      <c r="P76" s="43"/>
      <c r="Q76" s="43" t="s">
        <v>2556</v>
      </c>
      <c r="R76" s="43" t="s">
        <v>2314</v>
      </c>
      <c r="S76" s="43" t="s">
        <v>2315</v>
      </c>
      <c r="T76" s="213">
        <v>30000</v>
      </c>
      <c r="U76" s="213">
        <v>30000</v>
      </c>
      <c r="V76" s="213">
        <v>30000</v>
      </c>
      <c r="W76" s="213">
        <v>30000</v>
      </c>
      <c r="X76" s="213">
        <v>30000</v>
      </c>
      <c r="Y76" s="213">
        <v>30000</v>
      </c>
      <c r="Z76" s="213">
        <v>30000</v>
      </c>
      <c r="AA76" s="213">
        <v>30000</v>
      </c>
      <c r="AB76" s="213">
        <v>30000</v>
      </c>
      <c r="AC76" s="213">
        <v>30000</v>
      </c>
      <c r="AD76" s="213">
        <v>30000</v>
      </c>
      <c r="AE76" s="213">
        <v>30000</v>
      </c>
      <c r="AF76" s="213">
        <v>360000</v>
      </c>
      <c r="AG76" s="213">
        <v>0</v>
      </c>
      <c r="AH76" s="213">
        <v>0</v>
      </c>
      <c r="AI76" s="213">
        <v>0</v>
      </c>
      <c r="AJ76" s="213">
        <v>0</v>
      </c>
      <c r="AK76" s="213">
        <v>360000</v>
      </c>
      <c r="AL76" s="213">
        <v>0</v>
      </c>
      <c r="AM76" s="213">
        <v>0</v>
      </c>
      <c r="AN76" s="213">
        <v>0</v>
      </c>
      <c r="AO76" s="213">
        <v>0</v>
      </c>
      <c r="AP76" s="213">
        <v>0</v>
      </c>
      <c r="AQ76" s="213">
        <v>360000</v>
      </c>
      <c r="AR76" s="43">
        <v>214</v>
      </c>
      <c r="AS76" s="43" t="s">
        <v>2316</v>
      </c>
      <c r="AT76" s="181">
        <v>2025</v>
      </c>
      <c r="AU76" s="43">
        <f>_xlfn.XLOOKUP(_tPE26_29_Consolidada[[#This Row],[ID Financeiro]],[5]Projetos!$K:$K,[5]Projetos!$A:$A,0,0)</f>
        <v>0</v>
      </c>
      <c r="AV76" s="43" t="s">
        <v>2557</v>
      </c>
      <c r="AW76" s="43" t="s">
        <v>517</v>
      </c>
      <c r="AX76" s="62" t="s">
        <v>2556</v>
      </c>
      <c r="AY76" s="62"/>
      <c r="AZ76" s="43" t="s">
        <v>2558</v>
      </c>
      <c r="BA76" s="43"/>
      <c r="BB76" s="43"/>
      <c r="BC76" s="43"/>
      <c r="BD76" s="43"/>
      <c r="BE76" s="43"/>
      <c r="BF76" s="43"/>
      <c r="BG76" s="43"/>
      <c r="BH76" s="43"/>
      <c r="BI76" s="43"/>
      <c r="BJ76" s="43"/>
      <c r="BK76" s="43"/>
      <c r="BL76" s="43"/>
      <c r="BM76" s="43"/>
      <c r="BN76" s="43"/>
      <c r="BO76" s="43"/>
      <c r="BP76" s="174">
        <f>IFERROR(VLOOKUP(_tPE26_29_Consolidada[[#This Row],[ID Financeiro]],'[4]PE 25-29'!$B:$AF,31,FALSE),0)</f>
        <v>240000</v>
      </c>
      <c r="BQ76" s="174">
        <f>_tPE26_29_Consolidada[[#This Row],[2026]]*1000</f>
        <v>360000000</v>
      </c>
      <c r="BR76" s="176">
        <f>_tPE26_29_Consolidada[[#This Row],[Orçado 2026 (PE25-29)]]-_tPE26_29_Consolidada[[#This Row],[Orçado 2026 (PE26-30)]]</f>
        <v>-359760000</v>
      </c>
      <c r="BS76" s="175">
        <f>IFERROR(VLOOKUP(_tPE26_29_Consolidada[[#This Row],[ID Financeiro]],'[4]PE 25-29'!$B:$AT,45,FALSE),0)</f>
        <v>240000</v>
      </c>
      <c r="BT76" s="175">
        <f>_tPE26_29_Consolidada[[#This Row],[2026-2030]]*1000</f>
        <v>360000000</v>
      </c>
      <c r="BU76" s="175">
        <f>-_tPE26_29_Consolidada[[#This Row],[Orçado 26/30 (PE25-29)]]+_tPE26_29_Consolidada[[#This Row],[Orçado 26/30 (PE26-30)]]</f>
        <v>359760000</v>
      </c>
      <c r="BV76" s="177">
        <f>IFERROR(_tPE26_29_Consolidada[[#This Row],[Dif2]]/_tPE26_29_Consolidada[[#This Row],[Orçado 26/30 (PE25-29)]],0)</f>
        <v>1499</v>
      </c>
      <c r="CQ76" s="146"/>
      <c r="CR76" s="146"/>
      <c r="CS76" s="146"/>
      <c r="CT76" s="146"/>
      <c r="CU76" s="146"/>
      <c r="CV76" s="146"/>
      <c r="CW76" s="146"/>
      <c r="CX76" s="146"/>
      <c r="CY76" s="146"/>
      <c r="CZ76" s="146"/>
      <c r="DA76" s="146"/>
      <c r="DB76" s="146"/>
      <c r="DC76" s="146"/>
      <c r="DD76" s="146"/>
      <c r="DE76" s="146"/>
      <c r="DF76" s="146"/>
      <c r="DG76" s="146"/>
      <c r="DH76" s="146"/>
      <c r="DI76" s="146"/>
      <c r="DJ76" s="146"/>
      <c r="DK76" s="146"/>
      <c r="DL76" s="146"/>
      <c r="DM76" s="146"/>
      <c r="DN76" s="146"/>
      <c r="DO76" s="146"/>
      <c r="DP76" s="146"/>
      <c r="DQ76" s="146"/>
      <c r="DR76" s="146"/>
      <c r="DS76" s="146"/>
      <c r="DT76" s="146"/>
      <c r="DU76" s="146"/>
      <c r="DV76" s="146"/>
      <c r="DW76" s="146"/>
      <c r="DX76" s="146"/>
      <c r="DY76" s="146"/>
      <c r="DZ76" s="146"/>
      <c r="EA76" s="146"/>
      <c r="EB76" s="146"/>
      <c r="EC76" s="146"/>
      <c r="ED76" s="146"/>
      <c r="EE76" s="146"/>
      <c r="EF76" s="146"/>
      <c r="EG76" s="146"/>
      <c r="EH76" s="146"/>
      <c r="EI76" s="146"/>
      <c r="EJ76" s="146"/>
      <c r="EK76" s="146"/>
      <c r="EL76" s="146"/>
      <c r="EM76" s="146"/>
      <c r="EN76" s="146"/>
      <c r="EO76" s="146"/>
      <c r="EP76" s="146"/>
      <c r="EQ76" s="146"/>
      <c r="ER76" s="146"/>
      <c r="ES76" s="146"/>
      <c r="ET76" s="146"/>
      <c r="EU76" s="146"/>
      <c r="EV76" s="146"/>
      <c r="EW76" s="146"/>
      <c r="EX76" s="146"/>
      <c r="EY76" s="146"/>
      <c r="EZ76" s="146"/>
    </row>
    <row r="77" spans="1:156" ht="14.5" x14ac:dyDescent="0.35">
      <c r="A77" s="43"/>
      <c r="B77" s="75" t="b">
        <v>1</v>
      </c>
      <c r="C77" s="43" t="s">
        <v>2310</v>
      </c>
      <c r="D77" s="43" t="s">
        <v>439</v>
      </c>
      <c r="E77" s="43" t="s">
        <v>2281</v>
      </c>
      <c r="F77" s="43"/>
      <c r="G77" s="43" t="s">
        <v>2559</v>
      </c>
      <c r="H77" s="43" t="s">
        <v>506</v>
      </c>
      <c r="I77" s="43" t="s">
        <v>1015</v>
      </c>
      <c r="J77" s="43" t="s">
        <v>508</v>
      </c>
      <c r="K77" s="43" t="s">
        <v>1039</v>
      </c>
      <c r="L77" s="43" t="s">
        <v>1040</v>
      </c>
      <c r="M77" s="43" t="s">
        <v>2312</v>
      </c>
      <c r="N77" s="43"/>
      <c r="O77" s="43"/>
      <c r="P77" s="43"/>
      <c r="Q77" s="43" t="s">
        <v>2560</v>
      </c>
      <c r="R77" s="43" t="s">
        <v>2314</v>
      </c>
      <c r="S77" s="43" t="s">
        <v>2315</v>
      </c>
      <c r="T77" s="213">
        <v>10000</v>
      </c>
      <c r="U77" s="213">
        <v>20000</v>
      </c>
      <c r="V77" s="213">
        <v>20000</v>
      </c>
      <c r="W77" s="213">
        <v>0</v>
      </c>
      <c r="X77" s="213">
        <v>0</v>
      </c>
      <c r="Y77" s="213">
        <v>0</v>
      </c>
      <c r="Z77" s="213">
        <v>500000</v>
      </c>
      <c r="AA77" s="213">
        <v>0</v>
      </c>
      <c r="AB77" s="213">
        <v>50000</v>
      </c>
      <c r="AC77" s="213">
        <v>200000</v>
      </c>
      <c r="AD77" s="213">
        <v>200000</v>
      </c>
      <c r="AE77" s="213">
        <v>2000000</v>
      </c>
      <c r="AF77" s="213">
        <v>3000000</v>
      </c>
      <c r="AG77" s="213">
        <v>2000000</v>
      </c>
      <c r="AH77" s="213">
        <v>1000000</v>
      </c>
      <c r="AI77" s="213">
        <v>500000</v>
      </c>
      <c r="AJ77" s="213">
        <v>0</v>
      </c>
      <c r="AK77" s="213">
        <v>6500000</v>
      </c>
      <c r="AL77" s="213">
        <v>0</v>
      </c>
      <c r="AM77" s="213">
        <v>0</v>
      </c>
      <c r="AN77" s="213">
        <v>0</v>
      </c>
      <c r="AO77" s="213">
        <v>0</v>
      </c>
      <c r="AP77" s="213">
        <v>0</v>
      </c>
      <c r="AQ77" s="213">
        <v>6500000</v>
      </c>
      <c r="AR77" s="43">
        <v>215</v>
      </c>
      <c r="AS77" s="43" t="s">
        <v>2316</v>
      </c>
      <c r="AT77" s="181">
        <v>2025</v>
      </c>
      <c r="AU77" s="43">
        <f>_xlfn.XLOOKUP(_tPE26_29_Consolidada[[#This Row],[ID Financeiro]],[5]Projetos!$K:$K,[5]Projetos!$A:$A,0,0)</f>
        <v>0</v>
      </c>
      <c r="AV77" s="43" t="s">
        <v>2561</v>
      </c>
      <c r="AW77" s="43" t="s">
        <v>1854</v>
      </c>
      <c r="AX77" s="62" t="s">
        <v>2560</v>
      </c>
      <c r="AY77" s="62"/>
      <c r="AZ77" s="43" t="s">
        <v>2520</v>
      </c>
      <c r="BA77" s="43"/>
      <c r="BB77" s="43"/>
      <c r="BC77" s="43"/>
      <c r="BD77" s="43"/>
      <c r="BE77" s="43"/>
      <c r="BF77" s="43"/>
      <c r="BG77" s="43"/>
      <c r="BH77" s="43"/>
      <c r="BI77" s="43"/>
      <c r="BJ77" s="43"/>
      <c r="BK77" s="43"/>
      <c r="BL77" s="43"/>
      <c r="BM77" s="43"/>
      <c r="BN77" s="43"/>
      <c r="BO77" s="43"/>
      <c r="BP77" s="174">
        <f>IFERROR(VLOOKUP(_tPE26_29_Consolidada[[#This Row],[ID Financeiro]],'[4]PE 25-29'!$B:$AF,31,FALSE),0)</f>
        <v>3200000</v>
      </c>
      <c r="BQ77" s="174">
        <f>_tPE26_29_Consolidada[[#This Row],[2026]]*1000</f>
        <v>3000000000</v>
      </c>
      <c r="BR77" s="176">
        <f>_tPE26_29_Consolidada[[#This Row],[Orçado 2026 (PE25-29)]]-_tPE26_29_Consolidada[[#This Row],[Orçado 2026 (PE26-30)]]</f>
        <v>-2996800000</v>
      </c>
      <c r="BS77" s="175">
        <f>IFERROR(VLOOKUP(_tPE26_29_Consolidada[[#This Row],[ID Financeiro]],'[4]PE 25-29'!$B:$AT,45,FALSE),0)</f>
        <v>3200000</v>
      </c>
      <c r="BT77" s="175">
        <f>_tPE26_29_Consolidada[[#This Row],[2026-2030]]*1000</f>
        <v>6500000000</v>
      </c>
      <c r="BU77" s="175">
        <f>-_tPE26_29_Consolidada[[#This Row],[Orçado 26/30 (PE25-29)]]+_tPE26_29_Consolidada[[#This Row],[Orçado 26/30 (PE26-30)]]</f>
        <v>6496800000</v>
      </c>
      <c r="BV77" s="177">
        <f>IFERROR(_tPE26_29_Consolidada[[#This Row],[Dif2]]/_tPE26_29_Consolidada[[#This Row],[Orçado 26/30 (PE25-29)]],0)</f>
        <v>2030.25</v>
      </c>
      <c r="CQ77" s="146"/>
      <c r="CR77" s="146"/>
      <c r="CS77" s="146"/>
      <c r="CT77" s="146"/>
      <c r="CU77" s="146"/>
      <c r="CV77" s="146"/>
      <c r="CW77" s="146"/>
      <c r="CX77" s="146"/>
      <c r="CY77" s="146"/>
      <c r="CZ77" s="146"/>
      <c r="DA77" s="146"/>
      <c r="DB77" s="146"/>
      <c r="DC77" s="146"/>
      <c r="DD77" s="146"/>
      <c r="DE77" s="146"/>
      <c r="DF77" s="146"/>
      <c r="DG77" s="146"/>
      <c r="DH77" s="146"/>
      <c r="DI77" s="146"/>
      <c r="DJ77" s="146"/>
      <c r="DK77" s="146"/>
      <c r="DL77" s="146"/>
      <c r="DM77" s="146"/>
      <c r="DN77" s="146"/>
      <c r="DO77" s="146"/>
      <c r="DP77" s="146"/>
      <c r="DQ77" s="146"/>
      <c r="DR77" s="146"/>
      <c r="DS77" s="146"/>
      <c r="DT77" s="146"/>
      <c r="DU77" s="146"/>
      <c r="DV77" s="146"/>
      <c r="DW77" s="146"/>
      <c r="DX77" s="146"/>
      <c r="DY77" s="146"/>
      <c r="DZ77" s="146"/>
      <c r="EA77" s="146"/>
      <c r="EB77" s="146"/>
      <c r="EC77" s="146"/>
      <c r="ED77" s="146"/>
      <c r="EE77" s="146"/>
      <c r="EF77" s="146"/>
      <c r="EG77" s="146"/>
      <c r="EH77" s="146"/>
      <c r="EI77" s="146"/>
      <c r="EJ77" s="146"/>
      <c r="EK77" s="146"/>
      <c r="EL77" s="146"/>
      <c r="EM77" s="146"/>
      <c r="EN77" s="146"/>
      <c r="EO77" s="146"/>
      <c r="EP77" s="146"/>
      <c r="EQ77" s="146"/>
      <c r="ER77" s="146"/>
      <c r="ES77" s="146"/>
      <c r="ET77" s="146"/>
      <c r="EU77" s="146"/>
      <c r="EV77" s="146"/>
      <c r="EW77" s="146"/>
      <c r="EX77" s="146"/>
      <c r="EY77" s="146"/>
      <c r="EZ77" s="146"/>
    </row>
    <row r="78" spans="1:156" ht="14.5" x14ac:dyDescent="0.35">
      <c r="A78" s="43"/>
      <c r="B78" s="75" t="b">
        <v>1</v>
      </c>
      <c r="C78" s="43" t="s">
        <v>2310</v>
      </c>
      <c r="D78" s="43" t="s">
        <v>439</v>
      </c>
      <c r="E78" s="43" t="s">
        <v>2281</v>
      </c>
      <c r="F78" s="43"/>
      <c r="G78" s="43" t="s">
        <v>2562</v>
      </c>
      <c r="H78" s="43" t="s">
        <v>506</v>
      </c>
      <c r="I78" s="43" t="s">
        <v>1015</v>
      </c>
      <c r="J78" s="43" t="s">
        <v>508</v>
      </c>
      <c r="K78" s="43" t="s">
        <v>1039</v>
      </c>
      <c r="L78" s="43" t="s">
        <v>1040</v>
      </c>
      <c r="M78" s="43" t="s">
        <v>2312</v>
      </c>
      <c r="N78" s="43"/>
      <c r="O78" s="43"/>
      <c r="P78" s="43"/>
      <c r="Q78" s="43" t="s">
        <v>2563</v>
      </c>
      <c r="R78" s="43" t="s">
        <v>2314</v>
      </c>
      <c r="S78" s="43" t="s">
        <v>2315</v>
      </c>
      <c r="T78" s="213">
        <v>20000</v>
      </c>
      <c r="U78" s="213">
        <v>20000</v>
      </c>
      <c r="V78" s="213">
        <v>20000</v>
      </c>
      <c r="W78" s="213">
        <v>20000</v>
      </c>
      <c r="X78" s="213">
        <v>20000</v>
      </c>
      <c r="Y78" s="213">
        <v>400000</v>
      </c>
      <c r="Z78" s="213">
        <v>400000</v>
      </c>
      <c r="AA78" s="213">
        <v>50000</v>
      </c>
      <c r="AB78" s="213">
        <v>600000</v>
      </c>
      <c r="AC78" s="213">
        <v>1200000</v>
      </c>
      <c r="AD78" s="213">
        <v>800000</v>
      </c>
      <c r="AE78" s="213">
        <v>50000</v>
      </c>
      <c r="AF78" s="213">
        <v>3600000</v>
      </c>
      <c r="AG78" s="213">
        <v>11400000</v>
      </c>
      <c r="AH78" s="213">
        <v>11300000</v>
      </c>
      <c r="AI78" s="213">
        <v>4000000</v>
      </c>
      <c r="AJ78" s="213">
        <v>2800000</v>
      </c>
      <c r="AK78" s="213">
        <v>33100000</v>
      </c>
      <c r="AL78" s="213">
        <v>2800000</v>
      </c>
      <c r="AM78" s="213">
        <v>2800000</v>
      </c>
      <c r="AN78" s="213">
        <v>2300000</v>
      </c>
      <c r="AO78" s="213">
        <v>0</v>
      </c>
      <c r="AP78" s="213">
        <v>0</v>
      </c>
      <c r="AQ78" s="213">
        <v>41000000</v>
      </c>
      <c r="AR78" s="43">
        <v>216</v>
      </c>
      <c r="AS78" s="43" t="s">
        <v>2316</v>
      </c>
      <c r="AT78" s="181">
        <v>2025</v>
      </c>
      <c r="AU78" s="43">
        <f>_xlfn.XLOOKUP(_tPE26_29_Consolidada[[#This Row],[ID Financeiro]],[5]Projetos!$K:$K,[5]Projetos!$A:$A,0,0)</f>
        <v>0</v>
      </c>
      <c r="AV78" s="43" t="s">
        <v>2564</v>
      </c>
      <c r="AW78" s="43" t="s">
        <v>1854</v>
      </c>
      <c r="AX78" s="62" t="s">
        <v>2563</v>
      </c>
      <c r="AY78" s="62"/>
      <c r="AZ78" s="43" t="s">
        <v>2370</v>
      </c>
      <c r="BA78" s="43"/>
      <c r="BB78" s="43"/>
      <c r="BC78" s="43"/>
      <c r="BD78" s="43"/>
      <c r="BE78" s="43"/>
      <c r="BF78" s="43"/>
      <c r="BG78" s="43"/>
      <c r="BH78" s="43"/>
      <c r="BI78" s="43"/>
      <c r="BJ78" s="43"/>
      <c r="BK78" s="43"/>
      <c r="BL78" s="43"/>
      <c r="BM78" s="43"/>
      <c r="BN78" s="43"/>
      <c r="BO78" s="43"/>
      <c r="BP78" s="174">
        <f>IFERROR(VLOOKUP(_tPE26_29_Consolidada[[#This Row],[ID Financeiro]],'[4]PE 25-29'!$B:$AF,31,FALSE),0)</f>
        <v>4610000</v>
      </c>
      <c r="BQ78" s="174">
        <f>_tPE26_29_Consolidada[[#This Row],[2026]]*1000</f>
        <v>3600000000</v>
      </c>
      <c r="BR78" s="176">
        <f>_tPE26_29_Consolidada[[#This Row],[Orçado 2026 (PE25-29)]]-_tPE26_29_Consolidada[[#This Row],[Orçado 2026 (PE26-30)]]</f>
        <v>-3595390000</v>
      </c>
      <c r="BS78" s="175">
        <f>IFERROR(VLOOKUP(_tPE26_29_Consolidada[[#This Row],[ID Financeiro]],'[4]PE 25-29'!$B:$AT,45,FALSE),0)</f>
        <v>44320000</v>
      </c>
      <c r="BT78" s="175">
        <f>_tPE26_29_Consolidada[[#This Row],[2026-2030]]*1000</f>
        <v>33100000000</v>
      </c>
      <c r="BU78" s="175">
        <f>-_tPE26_29_Consolidada[[#This Row],[Orçado 26/30 (PE25-29)]]+_tPE26_29_Consolidada[[#This Row],[Orçado 26/30 (PE26-30)]]</f>
        <v>33055680000</v>
      </c>
      <c r="BV78" s="177">
        <f>IFERROR(_tPE26_29_Consolidada[[#This Row],[Dif2]]/_tPE26_29_Consolidada[[#This Row],[Orçado 26/30 (PE25-29)]],0)</f>
        <v>745.84115523465709</v>
      </c>
      <c r="CQ78" s="146"/>
      <c r="CR78" s="146"/>
      <c r="CS78" s="146"/>
      <c r="CT78" s="146"/>
      <c r="CU78" s="146"/>
      <c r="CV78" s="146"/>
      <c r="CW78" s="146"/>
      <c r="CX78" s="146"/>
      <c r="CY78" s="146"/>
      <c r="CZ78" s="146"/>
      <c r="DA78" s="146"/>
      <c r="DB78" s="146"/>
      <c r="DC78" s="146"/>
      <c r="DD78" s="146"/>
      <c r="DE78" s="146"/>
      <c r="DF78" s="146"/>
      <c r="DG78" s="146"/>
      <c r="DH78" s="146"/>
      <c r="DI78" s="146"/>
      <c r="DJ78" s="146"/>
      <c r="DK78" s="146"/>
      <c r="DL78" s="146"/>
      <c r="DM78" s="146"/>
      <c r="DN78" s="146"/>
      <c r="DO78" s="146"/>
      <c r="DP78" s="146"/>
      <c r="DQ78" s="146"/>
      <c r="DR78" s="146"/>
      <c r="DS78" s="146"/>
      <c r="DT78" s="146"/>
      <c r="DU78" s="146"/>
      <c r="DV78" s="146"/>
      <c r="DW78" s="146"/>
      <c r="DX78" s="146"/>
      <c r="DY78" s="146"/>
      <c r="DZ78" s="146"/>
      <c r="EA78" s="146"/>
      <c r="EB78" s="146"/>
      <c r="EC78" s="146"/>
      <c r="ED78" s="146"/>
      <c r="EE78" s="146"/>
      <c r="EF78" s="146"/>
      <c r="EG78" s="146"/>
      <c r="EH78" s="146"/>
      <c r="EI78" s="146"/>
      <c r="EJ78" s="146"/>
      <c r="EK78" s="146"/>
      <c r="EL78" s="146"/>
      <c r="EM78" s="146"/>
      <c r="EN78" s="146"/>
      <c r="EO78" s="146"/>
      <c r="EP78" s="146"/>
      <c r="EQ78" s="146"/>
      <c r="ER78" s="146"/>
      <c r="ES78" s="146"/>
      <c r="ET78" s="146"/>
      <c r="EU78" s="146"/>
      <c r="EV78" s="146"/>
      <c r="EW78" s="146"/>
      <c r="EX78" s="146"/>
      <c r="EY78" s="146"/>
      <c r="EZ78" s="146"/>
    </row>
    <row r="79" spans="1:156" ht="14.5" x14ac:dyDescent="0.35">
      <c r="A79" s="43"/>
      <c r="B79" s="75" t="b">
        <v>1</v>
      </c>
      <c r="C79" s="43" t="s">
        <v>2310</v>
      </c>
      <c r="D79" s="43" t="s">
        <v>439</v>
      </c>
      <c r="E79" s="43" t="s">
        <v>2281</v>
      </c>
      <c r="F79" s="43"/>
      <c r="G79" s="43" t="s">
        <v>2565</v>
      </c>
      <c r="H79" s="43" t="s">
        <v>506</v>
      </c>
      <c r="I79" s="43" t="s">
        <v>1015</v>
      </c>
      <c r="J79" s="43" t="s">
        <v>508</v>
      </c>
      <c r="K79" s="43" t="s">
        <v>1039</v>
      </c>
      <c r="L79" s="43" t="s">
        <v>1040</v>
      </c>
      <c r="M79" s="43" t="s">
        <v>2566</v>
      </c>
      <c r="N79" s="43"/>
      <c r="O79" s="43"/>
      <c r="P79" s="43"/>
      <c r="Q79" s="43" t="s">
        <v>2567</v>
      </c>
      <c r="R79" s="43" t="s">
        <v>2314</v>
      </c>
      <c r="S79" s="43" t="s">
        <v>2447</v>
      </c>
      <c r="T79" s="213">
        <v>80000</v>
      </c>
      <c r="U79" s="213">
        <v>80000</v>
      </c>
      <c r="V79" s="213">
        <v>60000</v>
      </c>
      <c r="W79" s="213">
        <v>60000</v>
      </c>
      <c r="X79" s="213">
        <v>60000</v>
      </c>
      <c r="Y79" s="213">
        <v>60000</v>
      </c>
      <c r="Z79" s="213">
        <v>60000</v>
      </c>
      <c r="AA79" s="213">
        <v>60000</v>
      </c>
      <c r="AB79" s="213">
        <v>60000</v>
      </c>
      <c r="AC79" s="213">
        <v>60000</v>
      </c>
      <c r="AD79" s="213">
        <v>60000</v>
      </c>
      <c r="AE79" s="213">
        <v>60000</v>
      </c>
      <c r="AF79" s="213">
        <v>760000</v>
      </c>
      <c r="AG79" s="213">
        <v>4725000</v>
      </c>
      <c r="AH79" s="213">
        <v>6500000</v>
      </c>
      <c r="AI79" s="213">
        <v>6500000</v>
      </c>
      <c r="AJ79" s="213">
        <v>6500000</v>
      </c>
      <c r="AK79" s="213">
        <v>24985000</v>
      </c>
      <c r="AL79" s="213">
        <v>0</v>
      </c>
      <c r="AM79" s="213">
        <v>0</v>
      </c>
      <c r="AN79" s="213">
        <v>0</v>
      </c>
      <c r="AO79" s="213">
        <v>0</v>
      </c>
      <c r="AP79" s="213">
        <v>0</v>
      </c>
      <c r="AQ79" s="213">
        <v>24985000</v>
      </c>
      <c r="AR79" s="43">
        <v>217</v>
      </c>
      <c r="AS79" s="43" t="s">
        <v>2316</v>
      </c>
      <c r="AT79" s="181">
        <v>2025</v>
      </c>
      <c r="AU79" s="43">
        <f>_xlfn.XLOOKUP(_tPE26_29_Consolidada[[#This Row],[ID Financeiro]],[5]Projetos!$K:$K,[5]Projetos!$A:$A,0,0)</f>
        <v>0</v>
      </c>
      <c r="AV79" s="43" t="s">
        <v>2568</v>
      </c>
      <c r="AW79" s="43" t="s">
        <v>1854</v>
      </c>
      <c r="AX79" s="62" t="s">
        <v>2567</v>
      </c>
      <c r="AY79" s="62"/>
      <c r="AZ79" s="43" t="s">
        <v>2382</v>
      </c>
      <c r="BA79" s="43"/>
      <c r="BB79" s="43"/>
      <c r="BC79" s="43"/>
      <c r="BD79" s="43"/>
      <c r="BE79" s="43"/>
      <c r="BF79" s="43"/>
      <c r="BG79" s="43"/>
      <c r="BH79" s="43"/>
      <c r="BI79" s="43"/>
      <c r="BJ79" s="43"/>
      <c r="BK79" s="43"/>
      <c r="BL79" s="43"/>
      <c r="BM79" s="43"/>
      <c r="BN79" s="43"/>
      <c r="BO79" s="43"/>
      <c r="BP79" s="174">
        <f>IFERROR(VLOOKUP(_tPE26_29_Consolidada[[#This Row],[ID Financeiro]],'[4]PE 25-29'!$B:$AF,31,FALSE),0)</f>
        <v>5000000</v>
      </c>
      <c r="BQ79" s="174">
        <f>_tPE26_29_Consolidada[[#This Row],[2026]]*1000</f>
        <v>760000000</v>
      </c>
      <c r="BR79" s="176">
        <f>_tPE26_29_Consolidada[[#This Row],[Orçado 2026 (PE25-29)]]-_tPE26_29_Consolidada[[#This Row],[Orçado 2026 (PE26-30)]]</f>
        <v>-755000000</v>
      </c>
      <c r="BS79" s="175">
        <f>IFERROR(VLOOKUP(_tPE26_29_Consolidada[[#This Row],[ID Financeiro]],'[4]PE 25-29'!$B:$AT,45,FALSE),0)</f>
        <v>23000000</v>
      </c>
      <c r="BT79" s="175">
        <f>_tPE26_29_Consolidada[[#This Row],[2026-2030]]*1000</f>
        <v>24985000000</v>
      </c>
      <c r="BU79" s="175">
        <f>-_tPE26_29_Consolidada[[#This Row],[Orçado 26/30 (PE25-29)]]+_tPE26_29_Consolidada[[#This Row],[Orçado 26/30 (PE26-30)]]</f>
        <v>24962000000</v>
      </c>
      <c r="BV79" s="177">
        <f>IFERROR(_tPE26_29_Consolidada[[#This Row],[Dif2]]/_tPE26_29_Consolidada[[#This Row],[Orçado 26/30 (PE25-29)]],0)</f>
        <v>1085.304347826087</v>
      </c>
      <c r="CQ79" s="146"/>
      <c r="CR79" s="146"/>
      <c r="CS79" s="146"/>
      <c r="CT79" s="146"/>
      <c r="CU79" s="146"/>
      <c r="CV79" s="146"/>
      <c r="CW79" s="146"/>
      <c r="CX79" s="146"/>
      <c r="CY79" s="146"/>
      <c r="CZ79" s="146"/>
      <c r="DA79" s="146"/>
      <c r="DB79" s="146"/>
      <c r="DC79" s="146"/>
      <c r="DD79" s="146"/>
      <c r="DE79" s="146"/>
      <c r="DF79" s="146"/>
      <c r="DG79" s="146"/>
      <c r="DH79" s="146"/>
      <c r="DI79" s="146"/>
      <c r="DJ79" s="146"/>
      <c r="DK79" s="146"/>
      <c r="DL79" s="146"/>
      <c r="DM79" s="146"/>
      <c r="DN79" s="146"/>
      <c r="DO79" s="146"/>
      <c r="DP79" s="146"/>
      <c r="DQ79" s="146"/>
      <c r="DR79" s="146"/>
      <c r="DS79" s="146"/>
      <c r="DT79" s="146"/>
      <c r="DU79" s="146"/>
      <c r="DV79" s="146"/>
      <c r="DW79" s="146"/>
      <c r="DX79" s="146"/>
      <c r="DY79" s="146"/>
      <c r="DZ79" s="146"/>
      <c r="EA79" s="146"/>
      <c r="EB79" s="146"/>
      <c r="EC79" s="146"/>
      <c r="ED79" s="146"/>
      <c r="EE79" s="146"/>
      <c r="EF79" s="146"/>
      <c r="EG79" s="146"/>
      <c r="EH79" s="146"/>
      <c r="EI79" s="146"/>
      <c r="EJ79" s="146"/>
      <c r="EK79" s="146"/>
      <c r="EL79" s="146"/>
      <c r="EM79" s="146"/>
      <c r="EN79" s="146"/>
      <c r="EO79" s="146"/>
      <c r="EP79" s="146"/>
      <c r="EQ79" s="146"/>
      <c r="ER79" s="146"/>
      <c r="ES79" s="146"/>
      <c r="ET79" s="146"/>
      <c r="EU79" s="146"/>
      <c r="EV79" s="146"/>
      <c r="EW79" s="146"/>
      <c r="EX79" s="146"/>
      <c r="EY79" s="146"/>
      <c r="EZ79" s="146"/>
    </row>
    <row r="80" spans="1:156" ht="14.5" x14ac:dyDescent="0.35">
      <c r="A80" s="43"/>
      <c r="B80" s="75" t="b">
        <v>1</v>
      </c>
      <c r="C80" s="43" t="s">
        <v>2310</v>
      </c>
      <c r="D80" s="43" t="s">
        <v>439</v>
      </c>
      <c r="E80" s="43" t="s">
        <v>2281</v>
      </c>
      <c r="F80" s="43"/>
      <c r="G80" s="43" t="s">
        <v>2569</v>
      </c>
      <c r="H80" s="43" t="s">
        <v>506</v>
      </c>
      <c r="I80" s="43" t="s">
        <v>1015</v>
      </c>
      <c r="J80" s="43" t="s">
        <v>508</v>
      </c>
      <c r="K80" s="43" t="s">
        <v>1039</v>
      </c>
      <c r="L80" s="43" t="s">
        <v>1040</v>
      </c>
      <c r="M80" s="43" t="s">
        <v>2312</v>
      </c>
      <c r="N80" s="43"/>
      <c r="O80" s="43"/>
      <c r="P80" s="43"/>
      <c r="Q80" s="43" t="s">
        <v>2570</v>
      </c>
      <c r="R80" s="43" t="s">
        <v>2314</v>
      </c>
      <c r="S80" s="43" t="s">
        <v>2422</v>
      </c>
      <c r="T80" s="213">
        <v>100000</v>
      </c>
      <c r="U80" s="213">
        <v>100000</v>
      </c>
      <c r="V80" s="213">
        <v>100000</v>
      </c>
      <c r="W80" s="213">
        <v>100000</v>
      </c>
      <c r="X80" s="213">
        <v>50000</v>
      </c>
      <c r="Y80" s="213">
        <v>50000</v>
      </c>
      <c r="Z80" s="213">
        <v>50000</v>
      </c>
      <c r="AA80" s="213">
        <v>50000</v>
      </c>
      <c r="AB80" s="213">
        <v>50000</v>
      </c>
      <c r="AC80" s="213">
        <v>50000</v>
      </c>
      <c r="AD80" s="213">
        <v>50000</v>
      </c>
      <c r="AE80" s="213">
        <v>50000</v>
      </c>
      <c r="AF80" s="213">
        <v>800000</v>
      </c>
      <c r="AG80" s="213">
        <v>20000000</v>
      </c>
      <c r="AH80" s="213">
        <v>70000000</v>
      </c>
      <c r="AI80" s="213">
        <v>70000000</v>
      </c>
      <c r="AJ80" s="213">
        <v>39100000</v>
      </c>
      <c r="AK80" s="213">
        <v>199900000</v>
      </c>
      <c r="AL80" s="213">
        <v>0</v>
      </c>
      <c r="AM80" s="213">
        <v>0</v>
      </c>
      <c r="AN80" s="213">
        <v>0</v>
      </c>
      <c r="AO80" s="213">
        <v>0</v>
      </c>
      <c r="AP80" s="213">
        <v>0</v>
      </c>
      <c r="AQ80" s="213">
        <v>199900000</v>
      </c>
      <c r="AR80" s="43">
        <v>218</v>
      </c>
      <c r="AS80" s="43" t="s">
        <v>2316</v>
      </c>
      <c r="AT80" s="181">
        <v>2025</v>
      </c>
      <c r="AU80" s="43">
        <f>_xlfn.XLOOKUP(_tPE26_29_Consolidada[[#This Row],[ID Financeiro]],[5]Projetos!$K:$K,[5]Projetos!$A:$A,0,0)</f>
        <v>0</v>
      </c>
      <c r="AV80" s="43" t="s">
        <v>2571</v>
      </c>
      <c r="AW80" s="43" t="s">
        <v>1854</v>
      </c>
      <c r="AX80" s="62" t="s">
        <v>2570</v>
      </c>
      <c r="AY80" s="62"/>
      <c r="AZ80" s="43" t="s">
        <v>2572</v>
      </c>
      <c r="BA80" s="43"/>
      <c r="BB80" s="43"/>
      <c r="BC80" s="43"/>
      <c r="BD80" s="43"/>
      <c r="BE80" s="43"/>
      <c r="BF80" s="43"/>
      <c r="BG80" s="43"/>
      <c r="BH80" s="43"/>
      <c r="BI80" s="43"/>
      <c r="BJ80" s="43"/>
      <c r="BK80" s="43"/>
      <c r="BL80" s="43"/>
      <c r="BM80" s="43"/>
      <c r="BN80" s="43"/>
      <c r="BO80" s="43"/>
      <c r="BP80" s="174">
        <f>IFERROR(VLOOKUP(_tPE26_29_Consolidada[[#This Row],[ID Financeiro]],'[4]PE 25-29'!$B:$AF,31,FALSE),0)</f>
        <v>1300000</v>
      </c>
      <c r="BQ80" s="174">
        <f>_tPE26_29_Consolidada[[#This Row],[2026]]*1000</f>
        <v>800000000</v>
      </c>
      <c r="BR80" s="176">
        <f>_tPE26_29_Consolidada[[#This Row],[Orçado 2026 (PE25-29)]]-_tPE26_29_Consolidada[[#This Row],[Orçado 2026 (PE26-30)]]</f>
        <v>-798700000</v>
      </c>
      <c r="BS80" s="175">
        <f>IFERROR(VLOOKUP(_tPE26_29_Consolidada[[#This Row],[ID Financeiro]],'[4]PE 25-29'!$B:$AT,45,FALSE),0)</f>
        <v>171300000</v>
      </c>
      <c r="BT80" s="175">
        <f>_tPE26_29_Consolidada[[#This Row],[2026-2030]]*1000</f>
        <v>199900000000</v>
      </c>
      <c r="BU80" s="175">
        <f>-_tPE26_29_Consolidada[[#This Row],[Orçado 26/30 (PE25-29)]]+_tPE26_29_Consolidada[[#This Row],[Orçado 26/30 (PE26-30)]]</f>
        <v>199728700000</v>
      </c>
      <c r="BV80" s="177">
        <f>IFERROR(_tPE26_29_Consolidada[[#This Row],[Dif2]]/_tPE26_29_Consolidada[[#This Row],[Orçado 26/30 (PE25-29)]],0)</f>
        <v>1165.958552247519</v>
      </c>
      <c r="CQ80" s="146"/>
      <c r="CR80" s="146"/>
      <c r="CS80" s="146"/>
      <c r="CT80" s="146"/>
      <c r="CU80" s="146"/>
      <c r="CV80" s="146"/>
      <c r="CW80" s="146"/>
      <c r="CX80" s="146"/>
      <c r="CY80" s="146"/>
      <c r="CZ80" s="146"/>
      <c r="DA80" s="146"/>
      <c r="DB80" s="146"/>
      <c r="DC80" s="146"/>
      <c r="DD80" s="146"/>
      <c r="DE80" s="146"/>
      <c r="DF80" s="146"/>
      <c r="DG80" s="146"/>
      <c r="DH80" s="146"/>
      <c r="DI80" s="146"/>
      <c r="DJ80" s="146"/>
      <c r="DK80" s="146"/>
      <c r="DL80" s="146"/>
      <c r="DM80" s="146"/>
      <c r="DN80" s="146"/>
      <c r="DO80" s="146"/>
      <c r="DP80" s="146"/>
      <c r="DQ80" s="146"/>
      <c r="DR80" s="146"/>
      <c r="DS80" s="146"/>
      <c r="DT80" s="146"/>
      <c r="DU80" s="146"/>
      <c r="DV80" s="146"/>
      <c r="DW80" s="146"/>
      <c r="DX80" s="146"/>
      <c r="DY80" s="146"/>
      <c r="DZ80" s="146"/>
      <c r="EA80" s="146"/>
      <c r="EB80" s="146"/>
      <c r="EC80" s="146"/>
      <c r="ED80" s="146"/>
      <c r="EE80" s="146"/>
      <c r="EF80" s="146"/>
      <c r="EG80" s="146"/>
      <c r="EH80" s="146"/>
      <c r="EI80" s="146"/>
      <c r="EJ80" s="146"/>
      <c r="EK80" s="146"/>
      <c r="EL80" s="146"/>
      <c r="EM80" s="146"/>
      <c r="EN80" s="146"/>
      <c r="EO80" s="146"/>
      <c r="EP80" s="146"/>
      <c r="EQ80" s="146"/>
      <c r="ER80" s="146"/>
      <c r="ES80" s="146"/>
      <c r="ET80" s="146"/>
      <c r="EU80" s="146"/>
      <c r="EV80" s="146"/>
      <c r="EW80" s="146"/>
      <c r="EX80" s="146"/>
      <c r="EY80" s="146"/>
      <c r="EZ80" s="146"/>
    </row>
    <row r="81" spans="1:156" ht="14.5" x14ac:dyDescent="0.35">
      <c r="A81" s="43"/>
      <c r="B81" s="75" t="b">
        <v>1</v>
      </c>
      <c r="C81" s="43" t="s">
        <v>2310</v>
      </c>
      <c r="D81" s="43" t="s">
        <v>439</v>
      </c>
      <c r="E81" s="43" t="s">
        <v>2281</v>
      </c>
      <c r="F81" s="43"/>
      <c r="G81" s="43" t="s">
        <v>2573</v>
      </c>
      <c r="H81" s="43" t="s">
        <v>506</v>
      </c>
      <c r="I81" s="43" t="s">
        <v>1015</v>
      </c>
      <c r="J81" s="43" t="s">
        <v>508</v>
      </c>
      <c r="K81" s="43" t="s">
        <v>1039</v>
      </c>
      <c r="L81" s="43" t="s">
        <v>1040</v>
      </c>
      <c r="M81" s="43" t="s">
        <v>2495</v>
      </c>
      <c r="N81" s="43"/>
      <c r="O81" s="43"/>
      <c r="P81" s="43"/>
      <c r="Q81" s="43" t="s">
        <v>2574</v>
      </c>
      <c r="R81" s="43" t="s">
        <v>2497</v>
      </c>
      <c r="S81" s="43" t="s">
        <v>2315</v>
      </c>
      <c r="T81" s="213">
        <v>130000</v>
      </c>
      <c r="U81" s="213">
        <v>130000</v>
      </c>
      <c r="V81" s="213">
        <v>130000</v>
      </c>
      <c r="W81" s="213">
        <v>0</v>
      </c>
      <c r="X81" s="213">
        <v>0</v>
      </c>
      <c r="Y81" s="213">
        <v>0</v>
      </c>
      <c r="Z81" s="213">
        <v>0</v>
      </c>
      <c r="AA81" s="213">
        <v>0</v>
      </c>
      <c r="AB81" s="213">
        <v>0</v>
      </c>
      <c r="AC81" s="213">
        <v>0</v>
      </c>
      <c r="AD81" s="213">
        <v>0</v>
      </c>
      <c r="AE81" s="213">
        <v>0</v>
      </c>
      <c r="AF81" s="213">
        <v>390000</v>
      </c>
      <c r="AG81" s="213">
        <v>0</v>
      </c>
      <c r="AH81" s="213">
        <v>0</v>
      </c>
      <c r="AI81" s="213">
        <v>0</v>
      </c>
      <c r="AJ81" s="213">
        <v>0</v>
      </c>
      <c r="AK81" s="213">
        <v>390000</v>
      </c>
      <c r="AL81" s="213">
        <v>0</v>
      </c>
      <c r="AM81" s="213">
        <v>0</v>
      </c>
      <c r="AN81" s="213">
        <v>0</v>
      </c>
      <c r="AO81" s="213">
        <v>0</v>
      </c>
      <c r="AP81" s="213">
        <v>0</v>
      </c>
      <c r="AQ81" s="213">
        <v>390000</v>
      </c>
      <c r="AR81" s="43">
        <v>219</v>
      </c>
      <c r="AS81" s="43" t="s">
        <v>2498</v>
      </c>
      <c r="AT81" s="181">
        <v>2025</v>
      </c>
      <c r="AU81" s="43">
        <f>_xlfn.XLOOKUP(_tPE26_29_Consolidada[[#This Row],[ID Financeiro]],[5]Projetos!$K:$K,[5]Projetos!$A:$A,0,0)</f>
        <v>0</v>
      </c>
      <c r="AV81" s="43" t="s">
        <v>2575</v>
      </c>
      <c r="AW81" s="43" t="s">
        <v>1049</v>
      </c>
      <c r="AX81" s="62" t="s">
        <v>2574</v>
      </c>
      <c r="AY81" s="62"/>
      <c r="AZ81" s="43" t="s">
        <v>2500</v>
      </c>
      <c r="BA81" s="43"/>
      <c r="BB81" s="43"/>
      <c r="BC81" s="43"/>
      <c r="BD81" s="43"/>
      <c r="BE81" s="43"/>
      <c r="BF81" s="43"/>
      <c r="BG81" s="43"/>
      <c r="BH81" s="43"/>
      <c r="BI81" s="43"/>
      <c r="BJ81" s="43"/>
      <c r="BK81" s="43"/>
      <c r="BL81" s="43"/>
      <c r="BM81" s="43"/>
      <c r="BN81" s="43"/>
      <c r="BO81" s="43"/>
      <c r="BP81" s="174">
        <f>IFERROR(VLOOKUP(_tPE26_29_Consolidada[[#This Row],[ID Financeiro]],'[4]PE 25-29'!$B:$AF,31,FALSE),0)</f>
        <v>7200</v>
      </c>
      <c r="BQ81" s="174">
        <f>_tPE26_29_Consolidada[[#This Row],[2026]]*1000</f>
        <v>390000000</v>
      </c>
      <c r="BR81" s="176">
        <f>_tPE26_29_Consolidada[[#This Row],[Orçado 2026 (PE25-29)]]-_tPE26_29_Consolidada[[#This Row],[Orçado 2026 (PE26-30)]]</f>
        <v>-389992800</v>
      </c>
      <c r="BS81" s="175">
        <f>IFERROR(VLOOKUP(_tPE26_29_Consolidada[[#This Row],[ID Financeiro]],'[4]PE 25-29'!$B:$AT,45,FALSE),0)</f>
        <v>7200</v>
      </c>
      <c r="BT81" s="175">
        <f>_tPE26_29_Consolidada[[#This Row],[2026-2030]]*1000</f>
        <v>390000000</v>
      </c>
      <c r="BU81" s="175">
        <f>-_tPE26_29_Consolidada[[#This Row],[Orçado 26/30 (PE25-29)]]+_tPE26_29_Consolidada[[#This Row],[Orçado 26/30 (PE26-30)]]</f>
        <v>389992800</v>
      </c>
      <c r="BV81" s="177">
        <f>IFERROR(_tPE26_29_Consolidada[[#This Row],[Dif2]]/_tPE26_29_Consolidada[[#This Row],[Orçado 26/30 (PE25-29)]],0)</f>
        <v>54165.666666666664</v>
      </c>
      <c r="CQ81" s="146"/>
      <c r="CR81" s="146"/>
      <c r="CS81" s="146"/>
      <c r="CT81" s="146"/>
      <c r="CU81" s="146"/>
      <c r="CV81" s="146"/>
      <c r="CW81" s="146"/>
      <c r="CX81" s="146"/>
      <c r="CY81" s="146"/>
      <c r="CZ81" s="146"/>
      <c r="DA81" s="146"/>
      <c r="DB81" s="146"/>
      <c r="DC81" s="146"/>
      <c r="DD81" s="146"/>
      <c r="DE81" s="146"/>
      <c r="DF81" s="146"/>
      <c r="DG81" s="146"/>
      <c r="DH81" s="146"/>
      <c r="DI81" s="146"/>
      <c r="DJ81" s="146"/>
      <c r="DK81" s="146"/>
      <c r="DL81" s="146"/>
      <c r="DM81" s="146"/>
      <c r="DN81" s="146"/>
      <c r="DO81" s="146"/>
      <c r="DP81" s="146"/>
      <c r="DQ81" s="146"/>
      <c r="DR81" s="146"/>
      <c r="DS81" s="146"/>
      <c r="DT81" s="146"/>
      <c r="DU81" s="146"/>
      <c r="DV81" s="146"/>
      <c r="DW81" s="146"/>
      <c r="DX81" s="146"/>
      <c r="DY81" s="146"/>
      <c r="DZ81" s="146"/>
      <c r="EA81" s="146"/>
      <c r="EB81" s="146"/>
      <c r="EC81" s="146"/>
      <c r="ED81" s="146"/>
      <c r="EE81" s="146"/>
      <c r="EF81" s="146"/>
      <c r="EG81" s="146"/>
      <c r="EH81" s="146"/>
      <c r="EI81" s="146"/>
      <c r="EJ81" s="146"/>
      <c r="EK81" s="146"/>
      <c r="EL81" s="146"/>
      <c r="EM81" s="146"/>
      <c r="EN81" s="146"/>
      <c r="EO81" s="146"/>
      <c r="EP81" s="146"/>
      <c r="EQ81" s="146"/>
      <c r="ER81" s="146"/>
      <c r="ES81" s="146"/>
      <c r="ET81" s="146"/>
      <c r="EU81" s="146"/>
      <c r="EV81" s="146"/>
      <c r="EW81" s="146"/>
      <c r="EX81" s="146"/>
      <c r="EY81" s="146"/>
      <c r="EZ81" s="146"/>
    </row>
    <row r="82" spans="1:156" ht="14.5" x14ac:dyDescent="0.35">
      <c r="A82" s="43"/>
      <c r="B82" s="75" t="b">
        <v>1</v>
      </c>
      <c r="C82" s="43" t="s">
        <v>2310</v>
      </c>
      <c r="D82" s="43" t="s">
        <v>439</v>
      </c>
      <c r="E82" s="43" t="s">
        <v>2281</v>
      </c>
      <c r="F82" s="43"/>
      <c r="G82" s="43" t="s">
        <v>2576</v>
      </c>
      <c r="H82" s="43" t="s">
        <v>506</v>
      </c>
      <c r="I82" s="43" t="s">
        <v>1015</v>
      </c>
      <c r="J82" s="43" t="s">
        <v>508</v>
      </c>
      <c r="K82" s="43" t="s">
        <v>1039</v>
      </c>
      <c r="L82" s="43" t="s">
        <v>1040</v>
      </c>
      <c r="M82" s="43" t="s">
        <v>2312</v>
      </c>
      <c r="N82" s="43"/>
      <c r="O82" s="43"/>
      <c r="P82" s="43"/>
      <c r="Q82" s="43" t="s">
        <v>2577</v>
      </c>
      <c r="R82" s="43" t="s">
        <v>2314</v>
      </c>
      <c r="S82" s="43" t="s">
        <v>1029</v>
      </c>
      <c r="T82" s="213">
        <v>0</v>
      </c>
      <c r="U82" s="213">
        <v>0</v>
      </c>
      <c r="V82" s="213">
        <v>0</v>
      </c>
      <c r="W82" s="213">
        <v>0</v>
      </c>
      <c r="X82" s="213">
        <v>0</v>
      </c>
      <c r="Y82" s="213">
        <v>0</v>
      </c>
      <c r="Z82" s="213">
        <v>0</v>
      </c>
      <c r="AA82" s="213">
        <v>0</v>
      </c>
      <c r="AB82" s="213">
        <v>0</v>
      </c>
      <c r="AC82" s="213">
        <v>200000</v>
      </c>
      <c r="AD82" s="213">
        <v>0</v>
      </c>
      <c r="AE82" s="213">
        <v>0</v>
      </c>
      <c r="AF82" s="213">
        <v>200000</v>
      </c>
      <c r="AG82" s="213">
        <v>100000</v>
      </c>
      <c r="AH82" s="213">
        <v>0</v>
      </c>
      <c r="AI82" s="213">
        <v>0</v>
      </c>
      <c r="AJ82" s="213">
        <v>0</v>
      </c>
      <c r="AK82" s="213">
        <v>300000</v>
      </c>
      <c r="AL82" s="213">
        <v>0</v>
      </c>
      <c r="AM82" s="213">
        <v>0</v>
      </c>
      <c r="AN82" s="213">
        <v>0</v>
      </c>
      <c r="AO82" s="213">
        <v>0</v>
      </c>
      <c r="AP82" s="213">
        <v>0</v>
      </c>
      <c r="AQ82" s="213">
        <v>300000</v>
      </c>
      <c r="AR82" s="43">
        <v>220</v>
      </c>
      <c r="AS82" s="43" t="s">
        <v>2316</v>
      </c>
      <c r="AT82" s="181">
        <v>2025</v>
      </c>
      <c r="AU82" s="43">
        <f>_xlfn.XLOOKUP(_tPE26_29_Consolidada[[#This Row],[ID Financeiro]],[5]Projetos!$K:$K,[5]Projetos!$A:$A,0,0)</f>
        <v>0</v>
      </c>
      <c r="AV82" s="43" t="s">
        <v>2578</v>
      </c>
      <c r="AW82" s="43" t="s">
        <v>1854</v>
      </c>
      <c r="AX82" s="62" t="s">
        <v>2577</v>
      </c>
      <c r="AY82" s="62"/>
      <c r="AZ82" s="43" t="s">
        <v>2438</v>
      </c>
      <c r="BA82" s="43"/>
      <c r="BB82" s="43"/>
      <c r="BC82" s="43"/>
      <c r="BD82" s="43"/>
      <c r="BE82" s="43"/>
      <c r="BF82" s="43"/>
      <c r="BG82" s="43"/>
      <c r="BH82" s="43"/>
      <c r="BI82" s="43"/>
      <c r="BJ82" s="43"/>
      <c r="BK82" s="43"/>
      <c r="BL82" s="43"/>
      <c r="BM82" s="43"/>
      <c r="BN82" s="43"/>
      <c r="BO82" s="43"/>
      <c r="BP82" s="174">
        <f>IFERROR(VLOOKUP(_tPE26_29_Consolidada[[#This Row],[ID Financeiro]],'[4]PE 25-29'!$B:$AF,31,FALSE),0)</f>
        <v>100000</v>
      </c>
      <c r="BQ82" s="174">
        <f>_tPE26_29_Consolidada[[#This Row],[2026]]*1000</f>
        <v>200000000</v>
      </c>
      <c r="BR82" s="176">
        <f>_tPE26_29_Consolidada[[#This Row],[Orçado 2026 (PE25-29)]]-_tPE26_29_Consolidada[[#This Row],[Orçado 2026 (PE26-30)]]</f>
        <v>-199900000</v>
      </c>
      <c r="BS82" s="175">
        <f>IFERROR(VLOOKUP(_tPE26_29_Consolidada[[#This Row],[ID Financeiro]],'[4]PE 25-29'!$B:$AT,45,FALSE),0)</f>
        <v>100000</v>
      </c>
      <c r="BT82" s="175">
        <f>_tPE26_29_Consolidada[[#This Row],[2026-2030]]*1000</f>
        <v>300000000</v>
      </c>
      <c r="BU82" s="175">
        <f>-_tPE26_29_Consolidada[[#This Row],[Orçado 26/30 (PE25-29)]]+_tPE26_29_Consolidada[[#This Row],[Orçado 26/30 (PE26-30)]]</f>
        <v>299900000</v>
      </c>
      <c r="BV82" s="177">
        <f>IFERROR(_tPE26_29_Consolidada[[#This Row],[Dif2]]/_tPE26_29_Consolidada[[#This Row],[Orçado 26/30 (PE25-29)]],0)</f>
        <v>2999</v>
      </c>
      <c r="CQ82" s="146"/>
      <c r="CR82" s="146"/>
      <c r="CS82" s="146"/>
      <c r="CT82" s="146"/>
      <c r="CU82" s="146"/>
      <c r="CV82" s="146"/>
      <c r="CW82" s="146"/>
      <c r="CX82" s="146"/>
      <c r="CY82" s="146"/>
      <c r="CZ82" s="146"/>
      <c r="DA82" s="146"/>
      <c r="DB82" s="146"/>
      <c r="DC82" s="146"/>
      <c r="DD82" s="146"/>
      <c r="DE82" s="146"/>
      <c r="DF82" s="146"/>
      <c r="DG82" s="146"/>
      <c r="DH82" s="146"/>
      <c r="DI82" s="146"/>
      <c r="DJ82" s="146"/>
      <c r="DK82" s="146"/>
      <c r="DL82" s="146"/>
      <c r="DM82" s="146"/>
      <c r="DN82" s="146"/>
      <c r="DO82" s="146"/>
      <c r="DP82" s="146"/>
      <c r="DQ82" s="146"/>
      <c r="DR82" s="146"/>
      <c r="DS82" s="146"/>
      <c r="DT82" s="146"/>
      <c r="DU82" s="146"/>
      <c r="DV82" s="146"/>
      <c r="DW82" s="146"/>
      <c r="DX82" s="146"/>
      <c r="DY82" s="146"/>
      <c r="DZ82" s="146"/>
      <c r="EA82" s="146"/>
      <c r="EB82" s="146"/>
      <c r="EC82" s="146"/>
      <c r="ED82" s="146"/>
      <c r="EE82" s="146"/>
      <c r="EF82" s="146"/>
      <c r="EG82" s="146"/>
      <c r="EH82" s="146"/>
      <c r="EI82" s="146"/>
      <c r="EJ82" s="146"/>
      <c r="EK82" s="146"/>
      <c r="EL82" s="146"/>
      <c r="EM82" s="146"/>
      <c r="EN82" s="146"/>
      <c r="EO82" s="146"/>
      <c r="EP82" s="146"/>
      <c r="EQ82" s="146"/>
      <c r="ER82" s="146"/>
      <c r="ES82" s="146"/>
      <c r="ET82" s="146"/>
      <c r="EU82" s="146"/>
      <c r="EV82" s="146"/>
      <c r="EW82" s="146"/>
      <c r="EX82" s="146"/>
      <c r="EY82" s="146"/>
      <c r="EZ82" s="146"/>
    </row>
    <row r="83" spans="1:156" ht="14.5" x14ac:dyDescent="0.35">
      <c r="A83" s="43"/>
      <c r="B83" s="75" t="b">
        <v>1</v>
      </c>
      <c r="C83" s="43" t="s">
        <v>2310</v>
      </c>
      <c r="D83" s="43" t="s">
        <v>439</v>
      </c>
      <c r="E83" s="43" t="s">
        <v>2281</v>
      </c>
      <c r="F83" s="43"/>
      <c r="G83" s="43" t="s">
        <v>2579</v>
      </c>
      <c r="H83" s="43" t="s">
        <v>506</v>
      </c>
      <c r="I83" s="43" t="s">
        <v>1015</v>
      </c>
      <c r="J83" s="43" t="s">
        <v>508</v>
      </c>
      <c r="K83" s="43" t="s">
        <v>1039</v>
      </c>
      <c r="L83" s="43" t="s">
        <v>1040</v>
      </c>
      <c r="M83" s="43" t="s">
        <v>2580</v>
      </c>
      <c r="N83" s="43"/>
      <c r="O83" s="43"/>
      <c r="P83" s="43"/>
      <c r="Q83" s="43" t="s">
        <v>2581</v>
      </c>
      <c r="R83" s="43" t="s">
        <v>2582</v>
      </c>
      <c r="S83" s="43" t="s">
        <v>2315</v>
      </c>
      <c r="T83" s="213">
        <v>660000</v>
      </c>
      <c r="U83" s="213">
        <v>740000</v>
      </c>
      <c r="V83" s="213">
        <v>660000</v>
      </c>
      <c r="W83" s="213">
        <v>660000</v>
      </c>
      <c r="X83" s="213">
        <v>660000</v>
      </c>
      <c r="Y83" s="213">
        <v>660000</v>
      </c>
      <c r="Z83" s="213">
        <v>660000</v>
      </c>
      <c r="AA83" s="213">
        <v>660000</v>
      </c>
      <c r="AB83" s="213">
        <v>660000</v>
      </c>
      <c r="AC83" s="213">
        <v>660000</v>
      </c>
      <c r="AD83" s="213">
        <v>660000</v>
      </c>
      <c r="AE83" s="213">
        <v>660000</v>
      </c>
      <c r="AF83" s="213">
        <v>8000000</v>
      </c>
      <c r="AG83" s="213">
        <v>8000000</v>
      </c>
      <c r="AH83" s="213">
        <v>8000000</v>
      </c>
      <c r="AI83" s="213">
        <v>8000000</v>
      </c>
      <c r="AJ83" s="213">
        <v>8000000</v>
      </c>
      <c r="AK83" s="213">
        <v>40000000</v>
      </c>
      <c r="AL83" s="213">
        <v>0</v>
      </c>
      <c r="AM83" s="213">
        <v>0</v>
      </c>
      <c r="AN83" s="213">
        <v>0</v>
      </c>
      <c r="AO83" s="213">
        <v>0</v>
      </c>
      <c r="AP83" s="213">
        <v>0</v>
      </c>
      <c r="AQ83" s="213">
        <v>40000000</v>
      </c>
      <c r="AR83" s="43">
        <v>221</v>
      </c>
      <c r="AS83" s="43" t="s">
        <v>2583</v>
      </c>
      <c r="AT83" s="181">
        <v>2025</v>
      </c>
      <c r="AU83" s="43">
        <f>_xlfn.XLOOKUP(_tPE26_29_Consolidada[[#This Row],[ID Financeiro]],[5]Projetos!$K:$K,[5]Projetos!$A:$A,0,0)</f>
        <v>0</v>
      </c>
      <c r="AV83" s="43" t="s">
        <v>2584</v>
      </c>
      <c r="AW83" s="43" t="s">
        <v>1049</v>
      </c>
      <c r="AX83" s="62" t="s">
        <v>2581</v>
      </c>
      <c r="AY83" s="62"/>
      <c r="AZ83" s="43" t="s">
        <v>2585</v>
      </c>
      <c r="BA83" s="43"/>
      <c r="BB83" s="43"/>
      <c r="BC83" s="43"/>
      <c r="BD83" s="43"/>
      <c r="BE83" s="43"/>
      <c r="BF83" s="43"/>
      <c r="BG83" s="43"/>
      <c r="BH83" s="43"/>
      <c r="BI83" s="43"/>
      <c r="BJ83" s="43"/>
      <c r="BK83" s="43"/>
      <c r="BL83" s="43"/>
      <c r="BM83" s="43"/>
      <c r="BN83" s="43"/>
      <c r="BO83" s="43"/>
      <c r="BP83" s="174">
        <f>IFERROR(VLOOKUP(_tPE26_29_Consolidada[[#This Row],[ID Financeiro]],'[4]PE 25-29'!$B:$AF,31,FALSE),0)</f>
        <v>9609716.8904924393</v>
      </c>
      <c r="BQ83" s="174">
        <f>_tPE26_29_Consolidada[[#This Row],[2026]]*1000</f>
        <v>8000000000</v>
      </c>
      <c r="BR83" s="176">
        <f>_tPE26_29_Consolidada[[#This Row],[Orçado 2026 (PE25-29)]]-_tPE26_29_Consolidada[[#This Row],[Orçado 2026 (PE26-30)]]</f>
        <v>-7990390283.1095076</v>
      </c>
      <c r="BS83" s="175">
        <f>IFERROR(VLOOKUP(_tPE26_29_Consolidada[[#This Row],[ID Financeiro]],'[4]PE 25-29'!$B:$AT,45,FALSE),0)</f>
        <v>9609716.8904924393</v>
      </c>
      <c r="BT83" s="175">
        <f>_tPE26_29_Consolidada[[#This Row],[2026-2030]]*1000</f>
        <v>40000000000</v>
      </c>
      <c r="BU83" s="175">
        <f>-_tPE26_29_Consolidada[[#This Row],[Orçado 26/30 (PE25-29)]]+_tPE26_29_Consolidada[[#This Row],[Orçado 26/30 (PE26-30)]]</f>
        <v>39990390283.109505</v>
      </c>
      <c r="BV83" s="177">
        <f>IFERROR(_tPE26_29_Consolidada[[#This Row],[Dif2]]/_tPE26_29_Consolidada[[#This Row],[Orçado 26/30 (PE25-29)]],0)</f>
        <v>4161.4535307148099</v>
      </c>
      <c r="CQ83" s="146"/>
      <c r="CR83" s="146"/>
      <c r="CS83" s="146"/>
      <c r="CT83" s="146"/>
      <c r="CU83" s="146"/>
      <c r="CV83" s="146"/>
      <c r="CW83" s="146"/>
      <c r="CX83" s="146"/>
      <c r="CY83" s="146"/>
      <c r="CZ83" s="146"/>
      <c r="DA83" s="146"/>
      <c r="DB83" s="146"/>
      <c r="DC83" s="146"/>
      <c r="DD83" s="146"/>
      <c r="DE83" s="146"/>
      <c r="DF83" s="146"/>
      <c r="DG83" s="146"/>
      <c r="DH83" s="146"/>
      <c r="DI83" s="146"/>
      <c r="DJ83" s="146"/>
      <c r="DK83" s="146"/>
      <c r="DL83" s="146"/>
      <c r="DM83" s="146"/>
      <c r="DN83" s="146"/>
      <c r="DO83" s="146"/>
      <c r="DP83" s="146"/>
      <c r="DQ83" s="146"/>
      <c r="DR83" s="146"/>
      <c r="DS83" s="146"/>
      <c r="DT83" s="146"/>
      <c r="DU83" s="146"/>
      <c r="DV83" s="146"/>
      <c r="DW83" s="146"/>
      <c r="DX83" s="146"/>
      <c r="DY83" s="146"/>
      <c r="DZ83" s="146"/>
      <c r="EA83" s="146"/>
      <c r="EB83" s="146"/>
      <c r="EC83" s="146"/>
      <c r="ED83" s="146"/>
      <c r="EE83" s="146"/>
      <c r="EF83" s="146"/>
      <c r="EG83" s="146"/>
      <c r="EH83" s="146"/>
      <c r="EI83" s="146"/>
      <c r="EJ83" s="146"/>
      <c r="EK83" s="146"/>
      <c r="EL83" s="146"/>
      <c r="EM83" s="146"/>
      <c r="EN83" s="146"/>
      <c r="EO83" s="146"/>
      <c r="EP83" s="146"/>
      <c r="EQ83" s="146"/>
      <c r="ER83" s="146"/>
      <c r="ES83" s="146"/>
      <c r="ET83" s="146"/>
      <c r="EU83" s="146"/>
      <c r="EV83" s="146"/>
      <c r="EW83" s="146"/>
      <c r="EX83" s="146"/>
      <c r="EY83" s="146"/>
      <c r="EZ83" s="146"/>
    </row>
    <row r="84" spans="1:156" ht="14.5" x14ac:dyDescent="0.35">
      <c r="A84" s="43"/>
      <c r="B84" s="75" t="b">
        <v>1</v>
      </c>
      <c r="C84" s="43" t="s">
        <v>2310</v>
      </c>
      <c r="D84" s="43" t="s">
        <v>439</v>
      </c>
      <c r="E84" s="43" t="s">
        <v>2281</v>
      </c>
      <c r="F84" s="43"/>
      <c r="G84" s="43" t="s">
        <v>2586</v>
      </c>
      <c r="H84" s="43" t="s">
        <v>506</v>
      </c>
      <c r="I84" s="43" t="s">
        <v>1015</v>
      </c>
      <c r="J84" s="43" t="s">
        <v>508</v>
      </c>
      <c r="K84" s="43" t="s">
        <v>1039</v>
      </c>
      <c r="L84" s="43" t="s">
        <v>1040</v>
      </c>
      <c r="M84" s="43" t="s">
        <v>2312</v>
      </c>
      <c r="N84" s="43"/>
      <c r="O84" s="43"/>
      <c r="P84" s="43"/>
      <c r="Q84" s="43" t="s">
        <v>2587</v>
      </c>
      <c r="R84" s="43" t="s">
        <v>2314</v>
      </c>
      <c r="S84" s="43" t="s">
        <v>2315</v>
      </c>
      <c r="T84" s="213">
        <v>50000</v>
      </c>
      <c r="U84" s="213">
        <v>50000</v>
      </c>
      <c r="V84" s="213">
        <v>75000</v>
      </c>
      <c r="W84" s="213">
        <v>50000</v>
      </c>
      <c r="X84" s="213">
        <v>50000</v>
      </c>
      <c r="Y84" s="213">
        <v>75000</v>
      </c>
      <c r="Z84" s="213">
        <v>50000</v>
      </c>
      <c r="AA84" s="213">
        <v>75000</v>
      </c>
      <c r="AB84" s="213">
        <v>50000</v>
      </c>
      <c r="AC84" s="213">
        <v>75000</v>
      </c>
      <c r="AD84" s="213">
        <v>50000</v>
      </c>
      <c r="AE84" s="213">
        <v>50000</v>
      </c>
      <c r="AF84" s="213">
        <v>700000</v>
      </c>
      <c r="AG84" s="213">
        <v>300000</v>
      </c>
      <c r="AH84" s="213">
        <v>0</v>
      </c>
      <c r="AI84" s="213">
        <v>0</v>
      </c>
      <c r="AJ84" s="213">
        <v>0</v>
      </c>
      <c r="AK84" s="213">
        <v>1000000</v>
      </c>
      <c r="AL84" s="213">
        <v>0</v>
      </c>
      <c r="AM84" s="213">
        <v>0</v>
      </c>
      <c r="AN84" s="213">
        <v>0</v>
      </c>
      <c r="AO84" s="213">
        <v>0</v>
      </c>
      <c r="AP84" s="213">
        <v>0</v>
      </c>
      <c r="AQ84" s="213">
        <v>1000000</v>
      </c>
      <c r="AR84" s="43">
        <v>222</v>
      </c>
      <c r="AS84" s="43" t="s">
        <v>2316</v>
      </c>
      <c r="AT84" s="181">
        <v>2025</v>
      </c>
      <c r="AU84" s="43">
        <f>_xlfn.XLOOKUP(_tPE26_29_Consolidada[[#This Row],[ID Financeiro]],[5]Projetos!$K:$K,[5]Projetos!$A:$A,0,0)</f>
        <v>0</v>
      </c>
      <c r="AV84" s="43" t="s">
        <v>2588</v>
      </c>
      <c r="AW84" s="43" t="s">
        <v>517</v>
      </c>
      <c r="AX84" s="62" t="s">
        <v>2587</v>
      </c>
      <c r="AY84" s="62"/>
      <c r="AZ84" s="43" t="s">
        <v>2589</v>
      </c>
      <c r="BA84" s="43"/>
      <c r="BB84" s="43"/>
      <c r="BC84" s="43"/>
      <c r="BD84" s="43"/>
      <c r="BE84" s="43"/>
      <c r="BF84" s="43"/>
      <c r="BG84" s="43"/>
      <c r="BH84" s="43"/>
      <c r="BI84" s="43"/>
      <c r="BJ84" s="43"/>
      <c r="BK84" s="43"/>
      <c r="BL84" s="43"/>
      <c r="BM84" s="43"/>
      <c r="BN84" s="43"/>
      <c r="BO84" s="43"/>
      <c r="BP84" s="174">
        <f>IFERROR(VLOOKUP(_tPE26_29_Consolidada[[#This Row],[ID Financeiro]],'[4]PE 25-29'!$B:$AF,31,FALSE),0)</f>
        <v>480000</v>
      </c>
      <c r="BQ84" s="174">
        <f>_tPE26_29_Consolidada[[#This Row],[2026]]*1000</f>
        <v>700000000</v>
      </c>
      <c r="BR84" s="176">
        <f>_tPE26_29_Consolidada[[#This Row],[Orçado 2026 (PE25-29)]]-_tPE26_29_Consolidada[[#This Row],[Orçado 2026 (PE26-30)]]</f>
        <v>-699520000</v>
      </c>
      <c r="BS84" s="175">
        <f>IFERROR(VLOOKUP(_tPE26_29_Consolidada[[#This Row],[ID Financeiro]],'[4]PE 25-29'!$B:$AT,45,FALSE),0)</f>
        <v>960000</v>
      </c>
      <c r="BT84" s="175">
        <f>_tPE26_29_Consolidada[[#This Row],[2026-2030]]*1000</f>
        <v>1000000000</v>
      </c>
      <c r="BU84" s="175">
        <f>-_tPE26_29_Consolidada[[#This Row],[Orçado 26/30 (PE25-29)]]+_tPE26_29_Consolidada[[#This Row],[Orçado 26/30 (PE26-30)]]</f>
        <v>999040000</v>
      </c>
      <c r="BV84" s="177">
        <f>IFERROR(_tPE26_29_Consolidada[[#This Row],[Dif2]]/_tPE26_29_Consolidada[[#This Row],[Orçado 26/30 (PE25-29)]],0)</f>
        <v>1040.6666666666667</v>
      </c>
      <c r="CQ84" s="146"/>
      <c r="CR84" s="146"/>
      <c r="CS84" s="146"/>
      <c r="CT84" s="146"/>
      <c r="CU84" s="146"/>
      <c r="CV84" s="146"/>
      <c r="CW84" s="146"/>
      <c r="CX84" s="146"/>
      <c r="CY84" s="146"/>
      <c r="CZ84" s="146"/>
      <c r="DA84" s="146"/>
      <c r="DB84" s="146"/>
      <c r="DC84" s="146"/>
      <c r="DD84" s="146"/>
      <c r="DE84" s="146"/>
      <c r="DF84" s="146"/>
      <c r="DG84" s="146"/>
      <c r="DH84" s="146"/>
      <c r="DI84" s="146"/>
      <c r="DJ84" s="146"/>
      <c r="DK84" s="146"/>
      <c r="DL84" s="146"/>
      <c r="DM84" s="146"/>
      <c r="DN84" s="146"/>
      <c r="DO84" s="146"/>
      <c r="DP84" s="146"/>
      <c r="DQ84" s="146"/>
      <c r="DR84" s="146"/>
      <c r="DS84" s="146"/>
      <c r="DT84" s="146"/>
      <c r="DU84" s="146"/>
      <c r="DV84" s="146"/>
      <c r="DW84" s="146"/>
      <c r="DX84" s="146"/>
      <c r="DY84" s="146"/>
      <c r="DZ84" s="146"/>
      <c r="EA84" s="146"/>
      <c r="EB84" s="146"/>
      <c r="EC84" s="146"/>
      <c r="ED84" s="146"/>
      <c r="EE84" s="146"/>
      <c r="EF84" s="146"/>
      <c r="EG84" s="146"/>
      <c r="EH84" s="146"/>
      <c r="EI84" s="146"/>
      <c r="EJ84" s="146"/>
      <c r="EK84" s="146"/>
      <c r="EL84" s="146"/>
      <c r="EM84" s="146"/>
      <c r="EN84" s="146"/>
      <c r="EO84" s="146"/>
      <c r="EP84" s="146"/>
      <c r="EQ84" s="146"/>
      <c r="ER84" s="146"/>
      <c r="ES84" s="146"/>
      <c r="ET84" s="146"/>
      <c r="EU84" s="146"/>
      <c r="EV84" s="146"/>
      <c r="EW84" s="146"/>
      <c r="EX84" s="146"/>
      <c r="EY84" s="146"/>
      <c r="EZ84" s="146"/>
    </row>
    <row r="85" spans="1:156" ht="14.5" x14ac:dyDescent="0.35">
      <c r="A85" s="43"/>
      <c r="B85" s="75" t="b">
        <v>1</v>
      </c>
      <c r="C85" s="43" t="s">
        <v>2310</v>
      </c>
      <c r="D85" s="43" t="s">
        <v>439</v>
      </c>
      <c r="E85" s="43" t="s">
        <v>2281</v>
      </c>
      <c r="F85" s="43"/>
      <c r="G85" s="43" t="s">
        <v>2590</v>
      </c>
      <c r="H85" s="43" t="s">
        <v>506</v>
      </c>
      <c r="I85" s="43" t="s">
        <v>1015</v>
      </c>
      <c r="J85" s="43" t="s">
        <v>508</v>
      </c>
      <c r="K85" s="43" t="s">
        <v>1039</v>
      </c>
      <c r="L85" s="43" t="s">
        <v>1040</v>
      </c>
      <c r="M85" s="43" t="s">
        <v>2312</v>
      </c>
      <c r="N85" s="43"/>
      <c r="O85" s="43"/>
      <c r="P85" s="43"/>
      <c r="Q85" s="43" t="s">
        <v>2591</v>
      </c>
      <c r="R85" s="43" t="s">
        <v>2406</v>
      </c>
      <c r="S85" s="43" t="s">
        <v>2315</v>
      </c>
      <c r="T85" s="213">
        <v>0</v>
      </c>
      <c r="U85" s="213">
        <v>0</v>
      </c>
      <c r="V85" s="213">
        <v>450000</v>
      </c>
      <c r="W85" s="213">
        <v>350000</v>
      </c>
      <c r="X85" s="213">
        <v>350000</v>
      </c>
      <c r="Y85" s="213">
        <v>350000</v>
      </c>
      <c r="Z85" s="213">
        <v>350000</v>
      </c>
      <c r="AA85" s="213">
        <v>350000</v>
      </c>
      <c r="AB85" s="213">
        <v>350000</v>
      </c>
      <c r="AC85" s="213">
        <v>350000</v>
      </c>
      <c r="AD85" s="213">
        <v>350000</v>
      </c>
      <c r="AE85" s="213">
        <v>350000</v>
      </c>
      <c r="AF85" s="213">
        <v>3600000</v>
      </c>
      <c r="AG85" s="213">
        <v>2500000</v>
      </c>
      <c r="AH85" s="213">
        <v>0</v>
      </c>
      <c r="AI85" s="213">
        <v>0</v>
      </c>
      <c r="AJ85" s="213">
        <v>0</v>
      </c>
      <c r="AK85" s="213">
        <v>6100000</v>
      </c>
      <c r="AL85" s="213">
        <v>0</v>
      </c>
      <c r="AM85" s="213">
        <v>0</v>
      </c>
      <c r="AN85" s="213">
        <v>0</v>
      </c>
      <c r="AO85" s="213">
        <v>0</v>
      </c>
      <c r="AP85" s="213">
        <v>0</v>
      </c>
      <c r="AQ85" s="213">
        <v>6100000</v>
      </c>
      <c r="AR85" s="43">
        <v>223</v>
      </c>
      <c r="AS85" s="43" t="s">
        <v>2407</v>
      </c>
      <c r="AT85" s="181">
        <v>2025</v>
      </c>
      <c r="AU85" s="43">
        <f>_xlfn.XLOOKUP(_tPE26_29_Consolidada[[#This Row],[ID Financeiro]],[5]Projetos!$K:$K,[5]Projetos!$A:$A,0,0)</f>
        <v>0</v>
      </c>
      <c r="AV85" s="43" t="s">
        <v>2592</v>
      </c>
      <c r="AW85" s="43" t="s">
        <v>1049</v>
      </c>
      <c r="AX85" s="62" t="s">
        <v>2591</v>
      </c>
      <c r="AY85" s="62"/>
      <c r="AZ85" s="43" t="s">
        <v>2409</v>
      </c>
      <c r="BA85" s="43"/>
      <c r="BB85" s="43"/>
      <c r="BC85" s="43"/>
      <c r="BD85" s="43"/>
      <c r="BE85" s="43"/>
      <c r="BF85" s="43"/>
      <c r="BG85" s="43"/>
      <c r="BH85" s="43"/>
      <c r="BI85" s="43"/>
      <c r="BJ85" s="43"/>
      <c r="BK85" s="43"/>
      <c r="BL85" s="43"/>
      <c r="BM85" s="43"/>
      <c r="BN85" s="43"/>
      <c r="BO85" s="43"/>
      <c r="BP85" s="174">
        <f>IFERROR(VLOOKUP(_tPE26_29_Consolidada[[#This Row],[ID Financeiro]],'[4]PE 25-29'!$B:$AF,31,FALSE),0)</f>
        <v>0</v>
      </c>
      <c r="BQ85" s="174">
        <f>_tPE26_29_Consolidada[[#This Row],[2026]]*1000</f>
        <v>3600000000</v>
      </c>
      <c r="BR85" s="176">
        <f>_tPE26_29_Consolidada[[#This Row],[Orçado 2026 (PE25-29)]]-_tPE26_29_Consolidada[[#This Row],[Orçado 2026 (PE26-30)]]</f>
        <v>-3600000000</v>
      </c>
      <c r="BS85" s="175">
        <f>IFERROR(VLOOKUP(_tPE26_29_Consolidada[[#This Row],[ID Financeiro]],'[4]PE 25-29'!$B:$AT,45,FALSE),0)</f>
        <v>0</v>
      </c>
      <c r="BT85" s="175">
        <f>_tPE26_29_Consolidada[[#This Row],[2026-2030]]*1000</f>
        <v>6100000000</v>
      </c>
      <c r="BU85" s="175">
        <f>-_tPE26_29_Consolidada[[#This Row],[Orçado 26/30 (PE25-29)]]+_tPE26_29_Consolidada[[#This Row],[Orçado 26/30 (PE26-30)]]</f>
        <v>6100000000</v>
      </c>
      <c r="BV85" s="177">
        <f>IFERROR(_tPE26_29_Consolidada[[#This Row],[Dif2]]/_tPE26_29_Consolidada[[#This Row],[Orçado 26/30 (PE25-29)]],0)</f>
        <v>0</v>
      </c>
      <c r="CQ85" s="146"/>
      <c r="CR85" s="146"/>
      <c r="CS85" s="146"/>
      <c r="CT85" s="146"/>
      <c r="CU85" s="146"/>
      <c r="CV85" s="146"/>
      <c r="CW85" s="146"/>
      <c r="CX85" s="146"/>
      <c r="CY85" s="146"/>
      <c r="CZ85" s="146"/>
      <c r="DA85" s="146"/>
      <c r="DB85" s="146"/>
      <c r="DC85" s="146"/>
      <c r="DD85" s="146"/>
      <c r="DE85" s="146"/>
      <c r="DF85" s="146"/>
      <c r="DG85" s="146"/>
      <c r="DH85" s="146"/>
      <c r="DI85" s="146"/>
      <c r="DJ85" s="146"/>
      <c r="DK85" s="146"/>
      <c r="DL85" s="146"/>
      <c r="DM85" s="146"/>
      <c r="DN85" s="146"/>
      <c r="DO85" s="146"/>
      <c r="DP85" s="146"/>
      <c r="DQ85" s="146"/>
      <c r="DR85" s="146"/>
      <c r="DS85" s="146"/>
      <c r="DT85" s="146"/>
      <c r="DU85" s="146"/>
      <c r="DV85" s="146"/>
      <c r="DW85" s="146"/>
      <c r="DX85" s="146"/>
      <c r="DY85" s="146"/>
      <c r="DZ85" s="146"/>
      <c r="EA85" s="146"/>
      <c r="EB85" s="146"/>
      <c r="EC85" s="146"/>
      <c r="ED85" s="146"/>
      <c r="EE85" s="146"/>
      <c r="EF85" s="146"/>
      <c r="EG85" s="146"/>
      <c r="EH85" s="146"/>
      <c r="EI85" s="146"/>
      <c r="EJ85" s="146"/>
      <c r="EK85" s="146"/>
      <c r="EL85" s="146"/>
      <c r="EM85" s="146"/>
      <c r="EN85" s="146"/>
      <c r="EO85" s="146"/>
      <c r="EP85" s="146"/>
      <c r="EQ85" s="146"/>
      <c r="ER85" s="146"/>
      <c r="ES85" s="146"/>
      <c r="ET85" s="146"/>
      <c r="EU85" s="146"/>
      <c r="EV85" s="146"/>
      <c r="EW85" s="146"/>
      <c r="EX85" s="146"/>
      <c r="EY85" s="146"/>
      <c r="EZ85" s="146"/>
    </row>
    <row r="86" spans="1:156" ht="52" x14ac:dyDescent="0.35">
      <c r="A86" s="43"/>
      <c r="B86" s="75" t="b">
        <v>1</v>
      </c>
      <c r="C86" s="43" t="s">
        <v>2310</v>
      </c>
      <c r="D86" s="43" t="s">
        <v>439</v>
      </c>
      <c r="E86" s="43" t="s">
        <v>2281</v>
      </c>
      <c r="F86" s="43"/>
      <c r="G86" s="43" t="s">
        <v>2593</v>
      </c>
      <c r="H86" s="43" t="s">
        <v>506</v>
      </c>
      <c r="I86" s="43" t="s">
        <v>1015</v>
      </c>
      <c r="J86" s="43" t="s">
        <v>508</v>
      </c>
      <c r="K86" s="43" t="s">
        <v>1039</v>
      </c>
      <c r="L86" s="43" t="s">
        <v>1040</v>
      </c>
      <c r="M86" s="43" t="s">
        <v>2594</v>
      </c>
      <c r="N86" s="43"/>
      <c r="O86" s="43"/>
      <c r="P86" s="43"/>
      <c r="Q86" s="43" t="s">
        <v>2595</v>
      </c>
      <c r="R86" s="43" t="s">
        <v>2596</v>
      </c>
      <c r="S86" s="43" t="s">
        <v>2315</v>
      </c>
      <c r="T86" s="213">
        <v>0</v>
      </c>
      <c r="U86" s="213">
        <v>0</v>
      </c>
      <c r="V86" s="213">
        <v>0</v>
      </c>
      <c r="W86" s="213">
        <v>0</v>
      </c>
      <c r="X86" s="213">
        <v>0</v>
      </c>
      <c r="Y86" s="213">
        <v>0</v>
      </c>
      <c r="Z86" s="213">
        <v>0</v>
      </c>
      <c r="AA86" s="213">
        <v>0</v>
      </c>
      <c r="AB86" s="213">
        <v>0</v>
      </c>
      <c r="AC86" s="213">
        <v>10000</v>
      </c>
      <c r="AD86" s="213">
        <v>10000</v>
      </c>
      <c r="AE86" s="213">
        <v>2185654.0099999998</v>
      </c>
      <c r="AF86" s="213">
        <v>2206000</v>
      </c>
      <c r="AG86" s="213">
        <v>1782677.77</v>
      </c>
      <c r="AH86" s="213">
        <v>0</v>
      </c>
      <c r="AI86" s="213">
        <v>0</v>
      </c>
      <c r="AJ86" s="213">
        <v>0</v>
      </c>
      <c r="AK86" s="213">
        <v>3988000</v>
      </c>
      <c r="AL86" s="213">
        <v>0</v>
      </c>
      <c r="AM86" s="213">
        <v>0</v>
      </c>
      <c r="AN86" s="213">
        <v>0</v>
      </c>
      <c r="AO86" s="213">
        <v>0</v>
      </c>
      <c r="AP86" s="213">
        <v>0</v>
      </c>
      <c r="AQ86" s="213">
        <v>3988000</v>
      </c>
      <c r="AR86" s="43">
        <v>224</v>
      </c>
      <c r="AS86" s="43" t="s">
        <v>2597</v>
      </c>
      <c r="AT86" s="181">
        <v>2025</v>
      </c>
      <c r="AU86" s="43">
        <f>_xlfn.XLOOKUP(_tPE26_29_Consolidada[[#This Row],[ID Financeiro]],[5]Projetos!$K:$K,[5]Projetos!$A:$A,0,0)</f>
        <v>0</v>
      </c>
      <c r="AV86" s="43" t="s">
        <v>2598</v>
      </c>
      <c r="AW86" s="43" t="s">
        <v>517</v>
      </c>
      <c r="AX86" s="62" t="s">
        <v>2599</v>
      </c>
      <c r="AY86" s="62"/>
      <c r="AZ86" s="43" t="s">
        <v>2600</v>
      </c>
      <c r="BA86" s="43"/>
      <c r="BB86" s="43"/>
      <c r="BC86" s="43"/>
      <c r="BD86" s="43"/>
      <c r="BE86" s="43"/>
      <c r="BF86" s="43"/>
      <c r="BG86" s="43"/>
      <c r="BH86" s="43"/>
      <c r="BI86" s="43"/>
      <c r="BJ86" s="43"/>
      <c r="BK86" s="43"/>
      <c r="BL86" s="43"/>
      <c r="BM86" s="43"/>
      <c r="BN86" s="43"/>
      <c r="BO86" s="43"/>
      <c r="BP86" s="174">
        <f>IFERROR(VLOOKUP(_tPE26_29_Consolidada[[#This Row],[ID Financeiro]],'[4]PE 25-29'!$B:$AF,31,FALSE),0)</f>
        <v>937200</v>
      </c>
      <c r="BQ86" s="174">
        <f>_tPE26_29_Consolidada[[#This Row],[2026]]*1000</f>
        <v>2206000000</v>
      </c>
      <c r="BR86" s="176">
        <f>_tPE26_29_Consolidada[[#This Row],[Orçado 2026 (PE25-29)]]-_tPE26_29_Consolidada[[#This Row],[Orçado 2026 (PE26-30)]]</f>
        <v>-2205062800</v>
      </c>
      <c r="BS86" s="175">
        <f>IFERROR(VLOOKUP(_tPE26_29_Consolidada[[#This Row],[ID Financeiro]],'[4]PE 25-29'!$B:$AT,45,FALSE),0)</f>
        <v>937200</v>
      </c>
      <c r="BT86" s="175">
        <f>_tPE26_29_Consolidada[[#This Row],[2026-2030]]*1000</f>
        <v>3988000000</v>
      </c>
      <c r="BU86" s="175">
        <f>-_tPE26_29_Consolidada[[#This Row],[Orçado 26/30 (PE25-29)]]+_tPE26_29_Consolidada[[#This Row],[Orçado 26/30 (PE26-30)]]</f>
        <v>3987062800</v>
      </c>
      <c r="BV86" s="177">
        <f>IFERROR(_tPE26_29_Consolidada[[#This Row],[Dif2]]/_tPE26_29_Consolidada[[#This Row],[Orçado 26/30 (PE25-29)]],0)</f>
        <v>4254.2283397353822</v>
      </c>
      <c r="CQ86" s="146"/>
      <c r="CR86" s="146"/>
      <c r="CS86" s="146"/>
      <c r="CT86" s="146"/>
      <c r="CU86" s="146"/>
      <c r="CV86" s="146"/>
      <c r="CW86" s="146"/>
      <c r="CX86" s="146"/>
      <c r="CY86" s="146"/>
      <c r="CZ86" s="146"/>
      <c r="DA86" s="146"/>
      <c r="DB86" s="146"/>
      <c r="DC86" s="146"/>
      <c r="DD86" s="146"/>
      <c r="DE86" s="146"/>
      <c r="DF86" s="146"/>
      <c r="DG86" s="146"/>
      <c r="DH86" s="146"/>
      <c r="DI86" s="146"/>
      <c r="DJ86" s="146"/>
      <c r="DK86" s="146"/>
      <c r="DL86" s="146"/>
      <c r="DM86" s="146"/>
      <c r="DN86" s="146"/>
      <c r="DO86" s="146"/>
      <c r="DP86" s="146"/>
      <c r="DQ86" s="146"/>
      <c r="DR86" s="146"/>
      <c r="DS86" s="146"/>
      <c r="DT86" s="146"/>
      <c r="DU86" s="146"/>
      <c r="DV86" s="146"/>
      <c r="DW86" s="146"/>
      <c r="DX86" s="146"/>
      <c r="DY86" s="146"/>
      <c r="DZ86" s="146"/>
      <c r="EA86" s="146"/>
      <c r="EB86" s="146"/>
      <c r="EC86" s="146"/>
      <c r="ED86" s="146"/>
      <c r="EE86" s="146"/>
      <c r="EF86" s="146"/>
      <c r="EG86" s="146"/>
      <c r="EH86" s="146"/>
      <c r="EI86" s="146"/>
      <c r="EJ86" s="146"/>
      <c r="EK86" s="146"/>
      <c r="EL86" s="146"/>
      <c r="EM86" s="146"/>
      <c r="EN86" s="146"/>
      <c r="EO86" s="146"/>
      <c r="EP86" s="146"/>
      <c r="EQ86" s="146"/>
      <c r="ER86" s="146"/>
      <c r="ES86" s="146"/>
      <c r="ET86" s="146"/>
      <c r="EU86" s="146"/>
      <c r="EV86" s="146"/>
      <c r="EW86" s="146"/>
      <c r="EX86" s="146"/>
      <c r="EY86" s="146"/>
      <c r="EZ86" s="146"/>
    </row>
    <row r="87" spans="1:156" ht="14.5" x14ac:dyDescent="0.35">
      <c r="A87" s="43"/>
      <c r="B87" s="75" t="b">
        <v>1</v>
      </c>
      <c r="C87" s="43" t="s">
        <v>2310</v>
      </c>
      <c r="D87" s="43" t="s">
        <v>439</v>
      </c>
      <c r="E87" s="43" t="s">
        <v>2281</v>
      </c>
      <c r="F87" s="43"/>
      <c r="G87" s="43" t="s">
        <v>2601</v>
      </c>
      <c r="H87" s="43" t="s">
        <v>506</v>
      </c>
      <c r="I87" s="43" t="s">
        <v>1015</v>
      </c>
      <c r="J87" s="43" t="s">
        <v>508</v>
      </c>
      <c r="K87" s="43" t="s">
        <v>1039</v>
      </c>
      <c r="L87" s="43" t="s">
        <v>1040</v>
      </c>
      <c r="M87" s="43" t="s">
        <v>2312</v>
      </c>
      <c r="N87" s="43"/>
      <c r="O87" s="43"/>
      <c r="P87" s="43"/>
      <c r="Q87" s="43" t="s">
        <v>2602</v>
      </c>
      <c r="R87" s="43" t="s">
        <v>2314</v>
      </c>
      <c r="S87" s="43" t="s">
        <v>2380</v>
      </c>
      <c r="T87" s="213">
        <v>10000</v>
      </c>
      <c r="U87" s="213">
        <v>10000</v>
      </c>
      <c r="V87" s="213">
        <v>10000</v>
      </c>
      <c r="W87" s="213">
        <v>10000</v>
      </c>
      <c r="X87" s="213">
        <v>300000</v>
      </c>
      <c r="Y87" s="213">
        <v>100000</v>
      </c>
      <c r="Z87" s="213">
        <v>100000</v>
      </c>
      <c r="AA87" s="213">
        <v>2000</v>
      </c>
      <c r="AB87" s="213">
        <v>2000</v>
      </c>
      <c r="AC87" s="213">
        <v>2000</v>
      </c>
      <c r="AD87" s="213">
        <v>2000</v>
      </c>
      <c r="AE87" s="213">
        <v>2000</v>
      </c>
      <c r="AF87" s="213">
        <v>550000</v>
      </c>
      <c r="AG87" s="213">
        <v>40000</v>
      </c>
      <c r="AH87" s="213">
        <v>0</v>
      </c>
      <c r="AI87" s="213">
        <v>0</v>
      </c>
      <c r="AJ87" s="213">
        <v>0</v>
      </c>
      <c r="AK87" s="213">
        <v>590000</v>
      </c>
      <c r="AL87" s="213">
        <v>0</v>
      </c>
      <c r="AM87" s="213">
        <v>0</v>
      </c>
      <c r="AN87" s="213">
        <v>0</v>
      </c>
      <c r="AO87" s="213">
        <v>0</v>
      </c>
      <c r="AP87" s="213">
        <v>0</v>
      </c>
      <c r="AQ87" s="213">
        <v>590000</v>
      </c>
      <c r="AR87" s="43">
        <v>225</v>
      </c>
      <c r="AS87" s="43" t="s">
        <v>2316</v>
      </c>
      <c r="AT87" s="181">
        <v>2025</v>
      </c>
      <c r="AU87" s="43">
        <f>_xlfn.XLOOKUP(_tPE26_29_Consolidada[[#This Row],[ID Financeiro]],[5]Projetos!$K:$K,[5]Projetos!$A:$A,0,0)</f>
        <v>0</v>
      </c>
      <c r="AV87" s="43" t="s">
        <v>2603</v>
      </c>
      <c r="AW87" s="43" t="s">
        <v>1854</v>
      </c>
      <c r="AX87" s="62" t="s">
        <v>2602</v>
      </c>
      <c r="AY87" s="62"/>
      <c r="AZ87" s="43" t="s">
        <v>2382</v>
      </c>
      <c r="BA87" s="43"/>
      <c r="BB87" s="43"/>
      <c r="BC87" s="43"/>
      <c r="BD87" s="43"/>
      <c r="BE87" s="43"/>
      <c r="BF87" s="43"/>
      <c r="BG87" s="43"/>
      <c r="BH87" s="43"/>
      <c r="BI87" s="43"/>
      <c r="BJ87" s="43"/>
      <c r="BK87" s="43"/>
      <c r="BL87" s="43"/>
      <c r="BM87" s="43"/>
      <c r="BN87" s="43"/>
      <c r="BO87" s="43"/>
      <c r="BP87" s="174">
        <f>IFERROR(VLOOKUP(_tPE26_29_Consolidada[[#This Row],[ID Financeiro]],'[4]PE 25-29'!$B:$AF,31,FALSE),0)</f>
        <v>25000.2</v>
      </c>
      <c r="BQ87" s="174">
        <f>_tPE26_29_Consolidada[[#This Row],[2026]]*1000</f>
        <v>550000000</v>
      </c>
      <c r="BR87" s="176">
        <f>_tPE26_29_Consolidada[[#This Row],[Orçado 2026 (PE25-29)]]-_tPE26_29_Consolidada[[#This Row],[Orçado 2026 (PE26-30)]]</f>
        <v>-549974999.79999995</v>
      </c>
      <c r="BS87" s="175">
        <f>IFERROR(VLOOKUP(_tPE26_29_Consolidada[[#This Row],[ID Financeiro]],'[4]PE 25-29'!$B:$AT,45,FALSE),0)</f>
        <v>25000.2</v>
      </c>
      <c r="BT87" s="175">
        <f>_tPE26_29_Consolidada[[#This Row],[2026-2030]]*1000</f>
        <v>590000000</v>
      </c>
      <c r="BU87" s="175">
        <f>-_tPE26_29_Consolidada[[#This Row],[Orçado 26/30 (PE25-29)]]+_tPE26_29_Consolidada[[#This Row],[Orçado 26/30 (PE26-30)]]</f>
        <v>589974999.79999995</v>
      </c>
      <c r="BV87" s="177">
        <f>IFERROR(_tPE26_29_Consolidada[[#This Row],[Dif2]]/_tPE26_29_Consolidada[[#This Row],[Orçado 26/30 (PE25-29)]],0)</f>
        <v>23598.811201510387</v>
      </c>
      <c r="CQ87" s="146"/>
      <c r="CR87" s="146"/>
      <c r="CS87" s="146"/>
      <c r="CT87" s="146"/>
      <c r="CU87" s="146"/>
      <c r="CV87" s="146"/>
      <c r="CW87" s="146"/>
      <c r="CX87" s="146"/>
      <c r="CY87" s="146"/>
      <c r="CZ87" s="146"/>
      <c r="DA87" s="146"/>
      <c r="DB87" s="146"/>
      <c r="DC87" s="146"/>
      <c r="DD87" s="146"/>
      <c r="DE87" s="146"/>
      <c r="DF87" s="146"/>
      <c r="DG87" s="146"/>
      <c r="DH87" s="146"/>
      <c r="DI87" s="146"/>
      <c r="DJ87" s="146"/>
      <c r="DK87" s="146"/>
      <c r="DL87" s="146"/>
      <c r="DM87" s="146"/>
      <c r="DN87" s="146"/>
      <c r="DO87" s="146"/>
      <c r="DP87" s="146"/>
      <c r="DQ87" s="146"/>
      <c r="DR87" s="146"/>
      <c r="DS87" s="146"/>
      <c r="DT87" s="146"/>
      <c r="DU87" s="146"/>
      <c r="DV87" s="146"/>
      <c r="DW87" s="146"/>
      <c r="DX87" s="146"/>
      <c r="DY87" s="146"/>
      <c r="DZ87" s="146"/>
      <c r="EA87" s="146"/>
      <c r="EB87" s="146"/>
      <c r="EC87" s="146"/>
      <c r="ED87" s="146"/>
      <c r="EE87" s="146"/>
      <c r="EF87" s="146"/>
      <c r="EG87" s="146"/>
      <c r="EH87" s="146"/>
      <c r="EI87" s="146"/>
      <c r="EJ87" s="146"/>
      <c r="EK87" s="146"/>
      <c r="EL87" s="146"/>
      <c r="EM87" s="146"/>
      <c r="EN87" s="146"/>
      <c r="EO87" s="146"/>
      <c r="EP87" s="146"/>
      <c r="EQ87" s="146"/>
      <c r="ER87" s="146"/>
      <c r="ES87" s="146"/>
      <c r="ET87" s="146"/>
      <c r="EU87" s="146"/>
      <c r="EV87" s="146"/>
      <c r="EW87" s="146"/>
      <c r="EX87" s="146"/>
      <c r="EY87" s="146"/>
      <c r="EZ87" s="146"/>
    </row>
    <row r="88" spans="1:156" ht="14.5" x14ac:dyDescent="0.35">
      <c r="A88" s="43"/>
      <c r="B88" s="75" t="b">
        <v>1</v>
      </c>
      <c r="C88" s="43" t="s">
        <v>2310</v>
      </c>
      <c r="D88" s="43" t="s">
        <v>439</v>
      </c>
      <c r="E88" s="43" t="s">
        <v>2281</v>
      </c>
      <c r="F88" s="43"/>
      <c r="G88" s="43" t="s">
        <v>2604</v>
      </c>
      <c r="H88" s="43" t="s">
        <v>506</v>
      </c>
      <c r="I88" s="43" t="s">
        <v>1015</v>
      </c>
      <c r="J88" s="43" t="s">
        <v>508</v>
      </c>
      <c r="K88" s="43" t="s">
        <v>1039</v>
      </c>
      <c r="L88" s="43" t="s">
        <v>1040</v>
      </c>
      <c r="M88" s="43" t="s">
        <v>2312</v>
      </c>
      <c r="N88" s="43"/>
      <c r="O88" s="43"/>
      <c r="P88" s="43"/>
      <c r="Q88" s="43" t="s">
        <v>2605</v>
      </c>
      <c r="R88" s="43" t="s">
        <v>2314</v>
      </c>
      <c r="S88" s="43" t="s">
        <v>2338</v>
      </c>
      <c r="T88" s="213">
        <v>0</v>
      </c>
      <c r="U88" s="213">
        <v>0</v>
      </c>
      <c r="V88" s="213">
        <v>0</v>
      </c>
      <c r="W88" s="213">
        <v>0</v>
      </c>
      <c r="X88" s="213">
        <v>0</v>
      </c>
      <c r="Y88" s="213">
        <v>0</v>
      </c>
      <c r="Z88" s="213">
        <v>10000</v>
      </c>
      <c r="AA88" s="213">
        <v>10000</v>
      </c>
      <c r="AB88" s="213">
        <v>10000</v>
      </c>
      <c r="AC88" s="213">
        <v>10000</v>
      </c>
      <c r="AD88" s="213">
        <v>10000</v>
      </c>
      <c r="AE88" s="213">
        <v>0</v>
      </c>
      <c r="AF88" s="213">
        <v>50000</v>
      </c>
      <c r="AG88" s="213">
        <v>350000</v>
      </c>
      <c r="AH88" s="213">
        <v>0</v>
      </c>
      <c r="AI88" s="213">
        <v>0</v>
      </c>
      <c r="AJ88" s="213">
        <v>0</v>
      </c>
      <c r="AK88" s="213">
        <v>400000</v>
      </c>
      <c r="AL88" s="213">
        <v>0</v>
      </c>
      <c r="AM88" s="213">
        <v>0</v>
      </c>
      <c r="AN88" s="213">
        <v>0</v>
      </c>
      <c r="AO88" s="213">
        <v>0</v>
      </c>
      <c r="AP88" s="213">
        <v>0</v>
      </c>
      <c r="AQ88" s="213">
        <v>400000</v>
      </c>
      <c r="AR88" s="43">
        <v>226</v>
      </c>
      <c r="AS88" s="43" t="s">
        <v>2316</v>
      </c>
      <c r="AT88" s="181">
        <v>2025</v>
      </c>
      <c r="AU88" s="43">
        <f>_xlfn.XLOOKUP(_tPE26_29_Consolidada[[#This Row],[ID Financeiro]],[5]Projetos!$K:$K,[5]Projetos!$A:$A,0,0)</f>
        <v>0</v>
      </c>
      <c r="AV88" s="43" t="s">
        <v>2606</v>
      </c>
      <c r="AW88" s="43" t="s">
        <v>1854</v>
      </c>
      <c r="AX88" s="62" t="s">
        <v>2605</v>
      </c>
      <c r="AY88" s="62"/>
      <c r="AZ88" s="43" t="s">
        <v>2319</v>
      </c>
      <c r="BA88" s="43"/>
      <c r="BB88" s="43"/>
      <c r="BC88" s="43"/>
      <c r="BD88" s="43"/>
      <c r="BE88" s="43"/>
      <c r="BF88" s="43"/>
      <c r="BG88" s="43"/>
      <c r="BH88" s="43"/>
      <c r="BI88" s="43"/>
      <c r="BJ88" s="43"/>
      <c r="BK88" s="43"/>
      <c r="BL88" s="43"/>
      <c r="BM88" s="43"/>
      <c r="BN88" s="43"/>
      <c r="BO88" s="43"/>
      <c r="BP88" s="174">
        <f>IFERROR(VLOOKUP(_tPE26_29_Consolidada[[#This Row],[ID Financeiro]],'[4]PE 25-29'!$B:$AF,31,FALSE),0)</f>
        <v>17500.2</v>
      </c>
      <c r="BQ88" s="174">
        <f>_tPE26_29_Consolidada[[#This Row],[2026]]*1000</f>
        <v>50000000</v>
      </c>
      <c r="BR88" s="176">
        <f>_tPE26_29_Consolidada[[#This Row],[Orçado 2026 (PE25-29)]]-_tPE26_29_Consolidada[[#This Row],[Orçado 2026 (PE26-30)]]</f>
        <v>-49982499.799999997</v>
      </c>
      <c r="BS88" s="175">
        <f>IFERROR(VLOOKUP(_tPE26_29_Consolidada[[#This Row],[ID Financeiro]],'[4]PE 25-29'!$B:$AT,45,FALSE),0)</f>
        <v>17500.2</v>
      </c>
      <c r="BT88" s="175">
        <f>_tPE26_29_Consolidada[[#This Row],[2026-2030]]*1000</f>
        <v>400000000</v>
      </c>
      <c r="BU88" s="175">
        <f>-_tPE26_29_Consolidada[[#This Row],[Orçado 26/30 (PE25-29)]]+_tPE26_29_Consolidada[[#This Row],[Orçado 26/30 (PE26-30)]]</f>
        <v>399982499.80000001</v>
      </c>
      <c r="BV88" s="177">
        <f>IFERROR(_tPE26_29_Consolidada[[#This Row],[Dif2]]/_tPE26_29_Consolidada[[#This Row],[Orçado 26/30 (PE25-29)]],0)</f>
        <v>22855.881635638449</v>
      </c>
      <c r="CQ88" s="146"/>
      <c r="CR88" s="146"/>
      <c r="CS88" s="146"/>
      <c r="CT88" s="146"/>
      <c r="CU88" s="146"/>
      <c r="CV88" s="146"/>
      <c r="CW88" s="146"/>
      <c r="CX88" s="146"/>
      <c r="CY88" s="146"/>
      <c r="CZ88" s="146"/>
      <c r="DA88" s="146"/>
      <c r="DB88" s="146"/>
      <c r="DC88" s="146"/>
      <c r="DD88" s="146"/>
      <c r="DE88" s="146"/>
      <c r="DF88" s="146"/>
      <c r="DG88" s="146"/>
      <c r="DH88" s="146"/>
      <c r="DI88" s="146"/>
      <c r="DJ88" s="146"/>
      <c r="DK88" s="146"/>
      <c r="DL88" s="146"/>
      <c r="DM88" s="146"/>
      <c r="DN88" s="146"/>
      <c r="DO88" s="146"/>
      <c r="DP88" s="146"/>
      <c r="DQ88" s="146"/>
      <c r="DR88" s="146"/>
      <c r="DS88" s="146"/>
      <c r="DT88" s="146"/>
      <c r="DU88" s="146"/>
      <c r="DV88" s="146"/>
      <c r="DW88" s="146"/>
      <c r="DX88" s="146"/>
      <c r="DY88" s="146"/>
      <c r="DZ88" s="146"/>
      <c r="EA88" s="146"/>
      <c r="EB88" s="146"/>
      <c r="EC88" s="146"/>
      <c r="ED88" s="146"/>
      <c r="EE88" s="146"/>
      <c r="EF88" s="146"/>
      <c r="EG88" s="146"/>
      <c r="EH88" s="146"/>
      <c r="EI88" s="146"/>
      <c r="EJ88" s="146"/>
      <c r="EK88" s="146"/>
      <c r="EL88" s="146"/>
      <c r="EM88" s="146"/>
      <c r="EN88" s="146"/>
      <c r="EO88" s="146"/>
      <c r="EP88" s="146"/>
      <c r="EQ88" s="146"/>
      <c r="ER88" s="146"/>
      <c r="ES88" s="146"/>
      <c r="ET88" s="146"/>
      <c r="EU88" s="146"/>
      <c r="EV88" s="146"/>
      <c r="EW88" s="146"/>
      <c r="EX88" s="146"/>
      <c r="EY88" s="146"/>
      <c r="EZ88" s="146"/>
    </row>
    <row r="89" spans="1:156" ht="14.5" x14ac:dyDescent="0.35">
      <c r="A89" s="43"/>
      <c r="B89" s="75" t="b">
        <v>1</v>
      </c>
      <c r="C89" s="43" t="s">
        <v>2310</v>
      </c>
      <c r="D89" s="43" t="s">
        <v>439</v>
      </c>
      <c r="E89" s="43" t="s">
        <v>2281</v>
      </c>
      <c r="F89" s="43"/>
      <c r="G89" s="43" t="s">
        <v>2607</v>
      </c>
      <c r="H89" s="43" t="s">
        <v>506</v>
      </c>
      <c r="I89" s="43" t="s">
        <v>1015</v>
      </c>
      <c r="J89" s="43" t="s">
        <v>508</v>
      </c>
      <c r="K89" s="43" t="s">
        <v>1039</v>
      </c>
      <c r="L89" s="43" t="s">
        <v>1040</v>
      </c>
      <c r="M89" s="43" t="s">
        <v>2312</v>
      </c>
      <c r="N89" s="43"/>
      <c r="O89" s="43"/>
      <c r="P89" s="43"/>
      <c r="Q89" s="43" t="s">
        <v>2608</v>
      </c>
      <c r="R89" s="43" t="s">
        <v>2314</v>
      </c>
      <c r="S89" s="43" t="s">
        <v>2422</v>
      </c>
      <c r="T89" s="213">
        <v>0</v>
      </c>
      <c r="U89" s="213">
        <v>0</v>
      </c>
      <c r="V89" s="213">
        <v>0</v>
      </c>
      <c r="W89" s="213">
        <v>0</v>
      </c>
      <c r="X89" s="213">
        <v>0</v>
      </c>
      <c r="Y89" s="213">
        <v>0</v>
      </c>
      <c r="Z89" s="213">
        <v>2000000</v>
      </c>
      <c r="AA89" s="213">
        <v>0</v>
      </c>
      <c r="AB89" s="213">
        <v>0</v>
      </c>
      <c r="AC89" s="213">
        <v>0</v>
      </c>
      <c r="AD89" s="213">
        <v>0</v>
      </c>
      <c r="AE89" s="213">
        <v>0</v>
      </c>
      <c r="AF89" s="213">
        <v>2000000</v>
      </c>
      <c r="AG89" s="213">
        <v>1000000</v>
      </c>
      <c r="AH89" s="213">
        <v>0</v>
      </c>
      <c r="AI89" s="213">
        <v>0</v>
      </c>
      <c r="AJ89" s="213">
        <v>0</v>
      </c>
      <c r="AK89" s="213">
        <v>3000000</v>
      </c>
      <c r="AL89" s="213">
        <v>0</v>
      </c>
      <c r="AM89" s="213">
        <v>0</v>
      </c>
      <c r="AN89" s="213">
        <v>0</v>
      </c>
      <c r="AO89" s="213">
        <v>0</v>
      </c>
      <c r="AP89" s="213">
        <v>0</v>
      </c>
      <c r="AQ89" s="213">
        <v>3000000</v>
      </c>
      <c r="AR89" s="43">
        <v>227</v>
      </c>
      <c r="AS89" s="43" t="s">
        <v>2316</v>
      </c>
      <c r="AT89" s="181">
        <v>2025</v>
      </c>
      <c r="AU89" s="43">
        <f>_xlfn.XLOOKUP(_tPE26_29_Consolidada[[#This Row],[ID Financeiro]],[5]Projetos!$K:$K,[5]Projetos!$A:$A,0,0)</f>
        <v>0</v>
      </c>
      <c r="AV89" s="43" t="s">
        <v>2609</v>
      </c>
      <c r="AW89" s="43" t="s">
        <v>1854</v>
      </c>
      <c r="AX89" s="62" t="s">
        <v>2608</v>
      </c>
      <c r="AY89" s="62"/>
      <c r="AZ89" s="43" t="s">
        <v>2347</v>
      </c>
      <c r="BA89" s="43"/>
      <c r="BB89" s="43"/>
      <c r="BC89" s="43"/>
      <c r="BD89" s="43"/>
      <c r="BE89" s="43"/>
      <c r="BF89" s="43"/>
      <c r="BG89" s="43"/>
      <c r="BH89" s="43"/>
      <c r="BI89" s="43"/>
      <c r="BJ89" s="43"/>
      <c r="BK89" s="43"/>
      <c r="BL89" s="43"/>
      <c r="BM89" s="43"/>
      <c r="BN89" s="43"/>
      <c r="BO89" s="43"/>
      <c r="BP89" s="174">
        <f>IFERROR(VLOOKUP(_tPE26_29_Consolidada[[#This Row],[ID Financeiro]],'[4]PE 25-29'!$B:$AF,31,FALSE),0)</f>
        <v>0</v>
      </c>
      <c r="BQ89" s="174">
        <f>_tPE26_29_Consolidada[[#This Row],[2026]]*1000</f>
        <v>2000000000</v>
      </c>
      <c r="BR89" s="176">
        <f>_tPE26_29_Consolidada[[#This Row],[Orçado 2026 (PE25-29)]]-_tPE26_29_Consolidada[[#This Row],[Orçado 2026 (PE26-30)]]</f>
        <v>-2000000000</v>
      </c>
      <c r="BS89" s="175">
        <f>IFERROR(VLOOKUP(_tPE26_29_Consolidada[[#This Row],[ID Financeiro]],'[4]PE 25-29'!$B:$AT,45,FALSE),0)</f>
        <v>0</v>
      </c>
      <c r="BT89" s="175">
        <f>_tPE26_29_Consolidada[[#This Row],[2026-2030]]*1000</f>
        <v>3000000000</v>
      </c>
      <c r="BU89" s="175">
        <f>-_tPE26_29_Consolidada[[#This Row],[Orçado 26/30 (PE25-29)]]+_tPE26_29_Consolidada[[#This Row],[Orçado 26/30 (PE26-30)]]</f>
        <v>3000000000</v>
      </c>
      <c r="BV89" s="177">
        <f>IFERROR(_tPE26_29_Consolidada[[#This Row],[Dif2]]/_tPE26_29_Consolidada[[#This Row],[Orçado 26/30 (PE25-29)]],0)</f>
        <v>0</v>
      </c>
      <c r="CQ89" s="146"/>
      <c r="CR89" s="146"/>
      <c r="CS89" s="146"/>
      <c r="CT89" s="146"/>
      <c r="CU89" s="146"/>
      <c r="CV89" s="146"/>
      <c r="CW89" s="146"/>
      <c r="CX89" s="146"/>
      <c r="CY89" s="146"/>
      <c r="CZ89" s="146"/>
      <c r="DA89" s="146"/>
      <c r="DB89" s="146"/>
      <c r="DC89" s="146"/>
      <c r="DD89" s="146"/>
      <c r="DE89" s="146"/>
      <c r="DF89" s="146"/>
      <c r="DG89" s="146"/>
      <c r="DH89" s="146"/>
      <c r="DI89" s="146"/>
      <c r="DJ89" s="146"/>
      <c r="DK89" s="146"/>
      <c r="DL89" s="146"/>
      <c r="DM89" s="146"/>
      <c r="DN89" s="146"/>
      <c r="DO89" s="146"/>
      <c r="DP89" s="146"/>
      <c r="DQ89" s="146"/>
      <c r="DR89" s="146"/>
      <c r="DS89" s="146"/>
      <c r="DT89" s="146"/>
      <c r="DU89" s="146"/>
      <c r="DV89" s="146"/>
      <c r="DW89" s="146"/>
      <c r="DX89" s="146"/>
      <c r="DY89" s="146"/>
      <c r="DZ89" s="146"/>
      <c r="EA89" s="146"/>
      <c r="EB89" s="146"/>
      <c r="EC89" s="146"/>
      <c r="ED89" s="146"/>
      <c r="EE89" s="146"/>
      <c r="EF89" s="146"/>
      <c r="EG89" s="146"/>
      <c r="EH89" s="146"/>
      <c r="EI89" s="146"/>
      <c r="EJ89" s="146"/>
      <c r="EK89" s="146"/>
      <c r="EL89" s="146"/>
      <c r="EM89" s="146"/>
      <c r="EN89" s="146"/>
      <c r="EO89" s="146"/>
      <c r="EP89" s="146"/>
      <c r="EQ89" s="146"/>
      <c r="ER89" s="146"/>
      <c r="ES89" s="146"/>
      <c r="ET89" s="146"/>
      <c r="EU89" s="146"/>
      <c r="EV89" s="146"/>
      <c r="EW89" s="146"/>
      <c r="EX89" s="146"/>
      <c r="EY89" s="146"/>
      <c r="EZ89" s="146"/>
    </row>
    <row r="90" spans="1:156" ht="14.5" x14ac:dyDescent="0.35">
      <c r="A90" s="43"/>
      <c r="B90" s="75" t="b">
        <v>1</v>
      </c>
      <c r="C90" s="43" t="s">
        <v>2310</v>
      </c>
      <c r="D90" s="43" t="s">
        <v>439</v>
      </c>
      <c r="E90" s="43" t="s">
        <v>2281</v>
      </c>
      <c r="F90" s="43"/>
      <c r="G90" s="43" t="s">
        <v>2610</v>
      </c>
      <c r="H90" s="43" t="s">
        <v>506</v>
      </c>
      <c r="I90" s="43" t="s">
        <v>1015</v>
      </c>
      <c r="J90" s="43" t="s">
        <v>508</v>
      </c>
      <c r="K90" s="43" t="s">
        <v>1039</v>
      </c>
      <c r="L90" s="43" t="s">
        <v>1040</v>
      </c>
      <c r="M90" s="43" t="s">
        <v>2312</v>
      </c>
      <c r="N90" s="43"/>
      <c r="O90" s="43"/>
      <c r="P90" s="43"/>
      <c r="Q90" s="43" t="s">
        <v>2611</v>
      </c>
      <c r="R90" s="43" t="s">
        <v>2314</v>
      </c>
      <c r="S90" s="43" t="s">
        <v>2368</v>
      </c>
      <c r="T90" s="213">
        <v>0</v>
      </c>
      <c r="U90" s="213">
        <v>20000</v>
      </c>
      <c r="V90" s="213">
        <v>20000</v>
      </c>
      <c r="W90" s="213">
        <v>0</v>
      </c>
      <c r="X90" s="213">
        <v>0</v>
      </c>
      <c r="Y90" s="213">
        <v>0</v>
      </c>
      <c r="Z90" s="213">
        <v>0</v>
      </c>
      <c r="AA90" s="213">
        <v>0</v>
      </c>
      <c r="AB90" s="213">
        <v>0</v>
      </c>
      <c r="AC90" s="213">
        <v>0</v>
      </c>
      <c r="AD90" s="213">
        <v>0</v>
      </c>
      <c r="AE90" s="213">
        <v>0</v>
      </c>
      <c r="AF90" s="213">
        <v>40000</v>
      </c>
      <c r="AG90" s="213">
        <v>0</v>
      </c>
      <c r="AH90" s="213">
        <v>0</v>
      </c>
      <c r="AI90" s="213">
        <v>0</v>
      </c>
      <c r="AJ90" s="213">
        <v>0</v>
      </c>
      <c r="AK90" s="213">
        <v>40000</v>
      </c>
      <c r="AL90" s="213">
        <v>0</v>
      </c>
      <c r="AM90" s="213">
        <v>0</v>
      </c>
      <c r="AN90" s="213">
        <v>0</v>
      </c>
      <c r="AO90" s="213">
        <v>0</v>
      </c>
      <c r="AP90" s="213">
        <v>0</v>
      </c>
      <c r="AQ90" s="213">
        <v>40000</v>
      </c>
      <c r="AR90" s="43">
        <v>228</v>
      </c>
      <c r="AS90" s="43" t="s">
        <v>2316</v>
      </c>
      <c r="AT90" s="181">
        <v>2025</v>
      </c>
      <c r="AU90" s="43">
        <f>_xlfn.XLOOKUP(_tPE26_29_Consolidada[[#This Row],[ID Financeiro]],[5]Projetos!$K:$K,[5]Projetos!$A:$A,0,0)</f>
        <v>0</v>
      </c>
      <c r="AV90" s="43" t="s">
        <v>2612</v>
      </c>
      <c r="AW90" s="43" t="s">
        <v>1049</v>
      </c>
      <c r="AX90" s="62" t="s">
        <v>2611</v>
      </c>
      <c r="AY90" s="62"/>
      <c r="AZ90" s="43" t="s">
        <v>2527</v>
      </c>
      <c r="BA90" s="43"/>
      <c r="BB90" s="43"/>
      <c r="BC90" s="43"/>
      <c r="BD90" s="43"/>
      <c r="BE90" s="43"/>
      <c r="BF90" s="43"/>
      <c r="BG90" s="43"/>
      <c r="BH90" s="43"/>
      <c r="BI90" s="43"/>
      <c r="BJ90" s="43"/>
      <c r="BK90" s="43"/>
      <c r="BL90" s="43"/>
      <c r="BM90" s="43"/>
      <c r="BN90" s="43"/>
      <c r="BO90" s="43"/>
      <c r="BP90" s="174">
        <f>IFERROR(VLOOKUP(_tPE26_29_Consolidada[[#This Row],[ID Financeiro]],'[4]PE 25-29'!$B:$AF,31,FALSE),0)</f>
        <v>19999.800000000003</v>
      </c>
      <c r="BQ90" s="174">
        <f>_tPE26_29_Consolidada[[#This Row],[2026]]*1000</f>
        <v>40000000</v>
      </c>
      <c r="BR90" s="176">
        <f>_tPE26_29_Consolidada[[#This Row],[Orçado 2026 (PE25-29)]]-_tPE26_29_Consolidada[[#This Row],[Orçado 2026 (PE26-30)]]</f>
        <v>-39980000.200000003</v>
      </c>
      <c r="BS90" s="175">
        <f>IFERROR(VLOOKUP(_tPE26_29_Consolidada[[#This Row],[ID Financeiro]],'[4]PE 25-29'!$B:$AT,45,FALSE),0)</f>
        <v>19999.800000000003</v>
      </c>
      <c r="BT90" s="175">
        <f>_tPE26_29_Consolidada[[#This Row],[2026-2030]]*1000</f>
        <v>40000000</v>
      </c>
      <c r="BU90" s="175">
        <f>-_tPE26_29_Consolidada[[#This Row],[Orçado 26/30 (PE25-29)]]+_tPE26_29_Consolidada[[#This Row],[Orçado 26/30 (PE26-30)]]</f>
        <v>39980000.200000003</v>
      </c>
      <c r="BV90" s="177">
        <f>IFERROR(_tPE26_29_Consolidada[[#This Row],[Dif2]]/_tPE26_29_Consolidada[[#This Row],[Orçado 26/30 (PE25-29)]],0)</f>
        <v>1999.020000200002</v>
      </c>
      <c r="CQ90" s="146"/>
      <c r="CR90" s="146"/>
      <c r="CS90" s="146"/>
      <c r="CT90" s="146"/>
      <c r="CU90" s="146"/>
      <c r="CV90" s="146"/>
      <c r="CW90" s="146"/>
      <c r="CX90" s="146"/>
      <c r="CY90" s="146"/>
      <c r="CZ90" s="146"/>
      <c r="DA90" s="146"/>
      <c r="DB90" s="146"/>
      <c r="DC90" s="146"/>
      <c r="DD90" s="146"/>
      <c r="DE90" s="146"/>
      <c r="DF90" s="146"/>
      <c r="DG90" s="146"/>
      <c r="DH90" s="146"/>
      <c r="DI90" s="146"/>
      <c r="DJ90" s="146"/>
      <c r="DK90" s="146"/>
      <c r="DL90" s="146"/>
      <c r="DM90" s="146"/>
      <c r="DN90" s="146"/>
      <c r="DO90" s="146"/>
      <c r="DP90" s="146"/>
      <c r="DQ90" s="146"/>
      <c r="DR90" s="146"/>
      <c r="DS90" s="146"/>
      <c r="DT90" s="146"/>
      <c r="DU90" s="146"/>
      <c r="DV90" s="146"/>
      <c r="DW90" s="146"/>
      <c r="DX90" s="146"/>
      <c r="DY90" s="146"/>
      <c r="DZ90" s="146"/>
      <c r="EA90" s="146"/>
      <c r="EB90" s="146"/>
      <c r="EC90" s="146"/>
      <c r="ED90" s="146"/>
      <c r="EE90" s="146"/>
      <c r="EF90" s="146"/>
      <c r="EG90" s="146"/>
      <c r="EH90" s="146"/>
      <c r="EI90" s="146"/>
      <c r="EJ90" s="146"/>
      <c r="EK90" s="146"/>
      <c r="EL90" s="146"/>
      <c r="EM90" s="146"/>
      <c r="EN90" s="146"/>
      <c r="EO90" s="146"/>
      <c r="EP90" s="146"/>
      <c r="EQ90" s="146"/>
      <c r="ER90" s="146"/>
      <c r="ES90" s="146"/>
      <c r="ET90" s="146"/>
      <c r="EU90" s="146"/>
      <c r="EV90" s="146"/>
      <c r="EW90" s="146"/>
      <c r="EX90" s="146"/>
      <c r="EY90" s="146"/>
      <c r="EZ90" s="146"/>
    </row>
    <row r="91" spans="1:156" ht="14.5" x14ac:dyDescent="0.35">
      <c r="A91" s="43"/>
      <c r="B91" s="75" t="b">
        <v>1</v>
      </c>
      <c r="C91" s="43" t="s">
        <v>2310</v>
      </c>
      <c r="D91" s="43" t="s">
        <v>439</v>
      </c>
      <c r="E91" s="43" t="s">
        <v>2281</v>
      </c>
      <c r="F91" s="43"/>
      <c r="G91" s="43" t="s">
        <v>2613</v>
      </c>
      <c r="H91" s="43" t="s">
        <v>506</v>
      </c>
      <c r="I91" s="43" t="s">
        <v>1015</v>
      </c>
      <c r="J91" s="43" t="s">
        <v>508</v>
      </c>
      <c r="K91" s="43" t="s">
        <v>1039</v>
      </c>
      <c r="L91" s="43" t="s">
        <v>1040</v>
      </c>
      <c r="M91" s="43" t="s">
        <v>2312</v>
      </c>
      <c r="N91" s="43"/>
      <c r="O91" s="43"/>
      <c r="P91" s="43"/>
      <c r="Q91" s="43" t="s">
        <v>2614</v>
      </c>
      <c r="R91" s="43" t="s">
        <v>2314</v>
      </c>
      <c r="S91" s="43" t="s">
        <v>2338</v>
      </c>
      <c r="T91" s="213">
        <v>0</v>
      </c>
      <c r="U91" s="213">
        <v>150000</v>
      </c>
      <c r="V91" s="213">
        <v>0</v>
      </c>
      <c r="W91" s="213">
        <v>30000</v>
      </c>
      <c r="X91" s="213">
        <v>20000</v>
      </c>
      <c r="Y91" s="213">
        <v>30000</v>
      </c>
      <c r="Z91" s="213">
        <v>0</v>
      </c>
      <c r="AA91" s="213">
        <v>0</v>
      </c>
      <c r="AB91" s="213">
        <v>0</v>
      </c>
      <c r="AC91" s="213">
        <v>0</v>
      </c>
      <c r="AD91" s="213">
        <v>0</v>
      </c>
      <c r="AE91" s="213">
        <v>0</v>
      </c>
      <c r="AF91" s="213">
        <v>230000</v>
      </c>
      <c r="AG91" s="213">
        <v>0</v>
      </c>
      <c r="AH91" s="213">
        <v>0</v>
      </c>
      <c r="AI91" s="213">
        <v>0</v>
      </c>
      <c r="AJ91" s="213">
        <v>0</v>
      </c>
      <c r="AK91" s="213">
        <v>230000</v>
      </c>
      <c r="AL91" s="213">
        <v>0</v>
      </c>
      <c r="AM91" s="213">
        <v>0</v>
      </c>
      <c r="AN91" s="213">
        <v>0</v>
      </c>
      <c r="AO91" s="213">
        <v>0</v>
      </c>
      <c r="AP91" s="213">
        <v>0</v>
      </c>
      <c r="AQ91" s="213">
        <v>230000</v>
      </c>
      <c r="AR91" s="43">
        <v>229</v>
      </c>
      <c r="AS91" s="43" t="s">
        <v>2316</v>
      </c>
      <c r="AT91" s="181">
        <v>2025</v>
      </c>
      <c r="AU91" s="43">
        <f>_xlfn.XLOOKUP(_tPE26_29_Consolidada[[#This Row],[ID Financeiro]],[5]Projetos!$K:$K,[5]Projetos!$A:$A,0,0)</f>
        <v>0</v>
      </c>
      <c r="AV91" s="43" t="s">
        <v>2615</v>
      </c>
      <c r="AW91" s="43" t="s">
        <v>1049</v>
      </c>
      <c r="AX91" s="62" t="s">
        <v>2614</v>
      </c>
      <c r="AY91" s="62"/>
      <c r="AZ91" s="43" t="s">
        <v>2340</v>
      </c>
      <c r="BA91" s="43"/>
      <c r="BB91" s="43"/>
      <c r="BC91" s="43"/>
      <c r="BD91" s="43"/>
      <c r="BE91" s="43"/>
      <c r="BF91" s="43"/>
      <c r="BG91" s="43"/>
      <c r="BH91" s="43"/>
      <c r="BI91" s="43"/>
      <c r="BJ91" s="43"/>
      <c r="BK91" s="43"/>
      <c r="BL91" s="43"/>
      <c r="BM91" s="43"/>
      <c r="BN91" s="43"/>
      <c r="BO91" s="43"/>
      <c r="BP91" s="174">
        <f>IFERROR(VLOOKUP(_tPE26_29_Consolidada[[#This Row],[ID Financeiro]],'[4]PE 25-29'!$B:$AF,31,FALSE),0)</f>
        <v>9000</v>
      </c>
      <c r="BQ91" s="174">
        <f>_tPE26_29_Consolidada[[#This Row],[2026]]*1000</f>
        <v>230000000</v>
      </c>
      <c r="BR91" s="176">
        <f>_tPE26_29_Consolidada[[#This Row],[Orçado 2026 (PE25-29)]]-_tPE26_29_Consolidada[[#This Row],[Orçado 2026 (PE26-30)]]</f>
        <v>-229991000</v>
      </c>
      <c r="BS91" s="175">
        <f>IFERROR(VLOOKUP(_tPE26_29_Consolidada[[#This Row],[ID Financeiro]],'[4]PE 25-29'!$B:$AT,45,FALSE),0)</f>
        <v>9000</v>
      </c>
      <c r="BT91" s="175">
        <f>_tPE26_29_Consolidada[[#This Row],[2026-2030]]*1000</f>
        <v>230000000</v>
      </c>
      <c r="BU91" s="175">
        <f>-_tPE26_29_Consolidada[[#This Row],[Orçado 26/30 (PE25-29)]]+_tPE26_29_Consolidada[[#This Row],[Orçado 26/30 (PE26-30)]]</f>
        <v>229991000</v>
      </c>
      <c r="BV91" s="177">
        <f>IFERROR(_tPE26_29_Consolidada[[#This Row],[Dif2]]/_tPE26_29_Consolidada[[#This Row],[Orçado 26/30 (PE25-29)]],0)</f>
        <v>25554.555555555555</v>
      </c>
      <c r="CQ91" s="146"/>
      <c r="CR91" s="146"/>
      <c r="CS91" s="146"/>
      <c r="CT91" s="146"/>
      <c r="CU91" s="146"/>
      <c r="CV91" s="146"/>
      <c r="CW91" s="146"/>
      <c r="CX91" s="146"/>
      <c r="CY91" s="146"/>
      <c r="CZ91" s="146"/>
      <c r="DA91" s="146"/>
      <c r="DB91" s="146"/>
      <c r="DC91" s="146"/>
      <c r="DD91" s="146"/>
      <c r="DE91" s="146"/>
      <c r="DF91" s="146"/>
      <c r="DG91" s="146"/>
      <c r="DH91" s="146"/>
      <c r="DI91" s="146"/>
      <c r="DJ91" s="146"/>
      <c r="DK91" s="146"/>
      <c r="DL91" s="146"/>
      <c r="DM91" s="146"/>
      <c r="DN91" s="146"/>
      <c r="DO91" s="146"/>
      <c r="DP91" s="146"/>
      <c r="DQ91" s="146"/>
      <c r="DR91" s="146"/>
      <c r="DS91" s="146"/>
      <c r="DT91" s="146"/>
      <c r="DU91" s="146"/>
      <c r="DV91" s="146"/>
      <c r="DW91" s="146"/>
      <c r="DX91" s="146"/>
      <c r="DY91" s="146"/>
      <c r="DZ91" s="146"/>
      <c r="EA91" s="146"/>
      <c r="EB91" s="146"/>
      <c r="EC91" s="146"/>
      <c r="ED91" s="146"/>
      <c r="EE91" s="146"/>
      <c r="EF91" s="146"/>
      <c r="EG91" s="146"/>
      <c r="EH91" s="146"/>
      <c r="EI91" s="146"/>
      <c r="EJ91" s="146"/>
      <c r="EK91" s="146"/>
      <c r="EL91" s="146"/>
      <c r="EM91" s="146"/>
      <c r="EN91" s="146"/>
      <c r="EO91" s="146"/>
      <c r="EP91" s="146"/>
      <c r="EQ91" s="146"/>
      <c r="ER91" s="146"/>
      <c r="ES91" s="146"/>
      <c r="ET91" s="146"/>
      <c r="EU91" s="146"/>
      <c r="EV91" s="146"/>
      <c r="EW91" s="146"/>
      <c r="EX91" s="146"/>
      <c r="EY91" s="146"/>
      <c r="EZ91" s="146"/>
    </row>
    <row r="92" spans="1:156" ht="14.5" x14ac:dyDescent="0.35">
      <c r="A92" s="43"/>
      <c r="B92" s="75" t="b">
        <v>1</v>
      </c>
      <c r="C92" s="43" t="s">
        <v>2310</v>
      </c>
      <c r="D92" s="43" t="s">
        <v>439</v>
      </c>
      <c r="E92" s="43" t="s">
        <v>2281</v>
      </c>
      <c r="F92" s="43"/>
      <c r="G92" s="43" t="s">
        <v>2616</v>
      </c>
      <c r="H92" s="43" t="s">
        <v>506</v>
      </c>
      <c r="I92" s="43" t="s">
        <v>1015</v>
      </c>
      <c r="J92" s="43" t="s">
        <v>508</v>
      </c>
      <c r="K92" s="43" t="s">
        <v>1039</v>
      </c>
      <c r="L92" s="43" t="s">
        <v>1040</v>
      </c>
      <c r="M92" s="43" t="s">
        <v>2312</v>
      </c>
      <c r="N92" s="43"/>
      <c r="O92" s="43"/>
      <c r="P92" s="43"/>
      <c r="Q92" s="43" t="s">
        <v>2617</v>
      </c>
      <c r="R92" s="43" t="s">
        <v>2314</v>
      </c>
      <c r="S92" s="43" t="s">
        <v>2380</v>
      </c>
      <c r="T92" s="213">
        <v>5000</v>
      </c>
      <c r="U92" s="213">
        <v>5000</v>
      </c>
      <c r="V92" s="213">
        <v>5000</v>
      </c>
      <c r="W92" s="213">
        <v>100000</v>
      </c>
      <c r="X92" s="213">
        <v>100000</v>
      </c>
      <c r="Y92" s="213">
        <v>5000</v>
      </c>
      <c r="Z92" s="213">
        <v>5000</v>
      </c>
      <c r="AA92" s="213">
        <v>5000</v>
      </c>
      <c r="AB92" s="213">
        <v>1000</v>
      </c>
      <c r="AC92" s="213">
        <v>1000</v>
      </c>
      <c r="AD92" s="213">
        <v>1000</v>
      </c>
      <c r="AE92" s="213">
        <v>1000</v>
      </c>
      <c r="AF92" s="213">
        <v>234000</v>
      </c>
      <c r="AG92" s="213">
        <v>6000</v>
      </c>
      <c r="AH92" s="213">
        <v>0</v>
      </c>
      <c r="AI92" s="213">
        <v>0</v>
      </c>
      <c r="AJ92" s="213">
        <v>0</v>
      </c>
      <c r="AK92" s="213">
        <v>240000</v>
      </c>
      <c r="AL92" s="213">
        <v>0</v>
      </c>
      <c r="AM92" s="213">
        <v>0</v>
      </c>
      <c r="AN92" s="213">
        <v>0</v>
      </c>
      <c r="AO92" s="213">
        <v>0</v>
      </c>
      <c r="AP92" s="213">
        <v>0</v>
      </c>
      <c r="AQ92" s="213">
        <v>240000</v>
      </c>
      <c r="AR92" s="43">
        <v>230</v>
      </c>
      <c r="AS92" s="43" t="s">
        <v>2316</v>
      </c>
      <c r="AT92" s="181">
        <v>2025</v>
      </c>
      <c r="AU92" s="43">
        <f>_xlfn.XLOOKUP(_tPE26_29_Consolidada[[#This Row],[ID Financeiro]],[5]Projetos!$K:$K,[5]Projetos!$A:$A,0,0)</f>
        <v>0</v>
      </c>
      <c r="AV92" s="43" t="s">
        <v>2618</v>
      </c>
      <c r="AW92" s="43" t="s">
        <v>1854</v>
      </c>
      <c r="AX92" s="62" t="s">
        <v>2617</v>
      </c>
      <c r="AY92" s="62"/>
      <c r="AZ92" s="43" t="s">
        <v>2382</v>
      </c>
      <c r="BA92" s="43"/>
      <c r="BB92" s="43"/>
      <c r="BC92" s="43"/>
      <c r="BD92" s="43"/>
      <c r="BE92" s="43"/>
      <c r="BF92" s="43"/>
      <c r="BG92" s="43"/>
      <c r="BH92" s="43"/>
      <c r="BI92" s="43"/>
      <c r="BJ92" s="43"/>
      <c r="BK92" s="43"/>
      <c r="BL92" s="43"/>
      <c r="BM92" s="43"/>
      <c r="BN92" s="43"/>
      <c r="BO92" s="43"/>
      <c r="BP92" s="174">
        <f>IFERROR(VLOOKUP(_tPE26_29_Consolidada[[#This Row],[ID Financeiro]],'[4]PE 25-29'!$B:$AF,31,FALSE),0)</f>
        <v>10000.200000000001</v>
      </c>
      <c r="BQ92" s="174">
        <f>_tPE26_29_Consolidada[[#This Row],[2026]]*1000</f>
        <v>234000000</v>
      </c>
      <c r="BR92" s="176">
        <f>_tPE26_29_Consolidada[[#This Row],[Orçado 2026 (PE25-29)]]-_tPE26_29_Consolidada[[#This Row],[Orçado 2026 (PE26-30)]]</f>
        <v>-233989999.80000001</v>
      </c>
      <c r="BS92" s="175">
        <f>IFERROR(VLOOKUP(_tPE26_29_Consolidada[[#This Row],[ID Financeiro]],'[4]PE 25-29'!$B:$AT,45,FALSE),0)</f>
        <v>10000.200000000001</v>
      </c>
      <c r="BT92" s="175">
        <f>_tPE26_29_Consolidada[[#This Row],[2026-2030]]*1000</f>
        <v>240000000</v>
      </c>
      <c r="BU92" s="175">
        <f>-_tPE26_29_Consolidada[[#This Row],[Orçado 26/30 (PE25-29)]]+_tPE26_29_Consolidada[[#This Row],[Orçado 26/30 (PE26-30)]]</f>
        <v>239989999.80000001</v>
      </c>
      <c r="BV92" s="177">
        <f>IFERROR(_tPE26_29_Consolidada[[#This Row],[Dif2]]/_tPE26_29_Consolidada[[#This Row],[Orçado 26/30 (PE25-29)]],0)</f>
        <v>23998.520009599808</v>
      </c>
      <c r="CQ92" s="146"/>
      <c r="CR92" s="146"/>
      <c r="CS92" s="146"/>
      <c r="CT92" s="146"/>
      <c r="CU92" s="146"/>
      <c r="CV92" s="146"/>
      <c r="CW92" s="146"/>
      <c r="CX92" s="146"/>
      <c r="CY92" s="146"/>
      <c r="CZ92" s="146"/>
      <c r="DA92" s="146"/>
      <c r="DB92" s="146"/>
      <c r="DC92" s="146"/>
      <c r="DD92" s="146"/>
      <c r="DE92" s="146"/>
      <c r="DF92" s="146"/>
      <c r="DG92" s="146"/>
      <c r="DH92" s="146"/>
      <c r="DI92" s="146"/>
      <c r="DJ92" s="146"/>
      <c r="DK92" s="146"/>
      <c r="DL92" s="146"/>
      <c r="DM92" s="146"/>
      <c r="DN92" s="146"/>
      <c r="DO92" s="146"/>
      <c r="DP92" s="146"/>
      <c r="DQ92" s="146"/>
      <c r="DR92" s="146"/>
      <c r="DS92" s="146"/>
      <c r="DT92" s="146"/>
      <c r="DU92" s="146"/>
      <c r="DV92" s="146"/>
      <c r="DW92" s="146"/>
      <c r="DX92" s="146"/>
      <c r="DY92" s="146"/>
      <c r="DZ92" s="146"/>
      <c r="EA92" s="146"/>
      <c r="EB92" s="146"/>
      <c r="EC92" s="146"/>
      <c r="ED92" s="146"/>
      <c r="EE92" s="146"/>
      <c r="EF92" s="146"/>
      <c r="EG92" s="146"/>
      <c r="EH92" s="146"/>
      <c r="EI92" s="146"/>
      <c r="EJ92" s="146"/>
      <c r="EK92" s="146"/>
      <c r="EL92" s="146"/>
      <c r="EM92" s="146"/>
      <c r="EN92" s="146"/>
      <c r="EO92" s="146"/>
      <c r="EP92" s="146"/>
      <c r="EQ92" s="146"/>
      <c r="ER92" s="146"/>
      <c r="ES92" s="146"/>
      <c r="ET92" s="146"/>
      <c r="EU92" s="146"/>
      <c r="EV92" s="146"/>
      <c r="EW92" s="146"/>
      <c r="EX92" s="146"/>
      <c r="EY92" s="146"/>
      <c r="EZ92" s="146"/>
    </row>
    <row r="93" spans="1:156" ht="14.5" x14ac:dyDescent="0.35">
      <c r="A93" s="43"/>
      <c r="B93" s="75" t="b">
        <v>1</v>
      </c>
      <c r="C93" s="43" t="s">
        <v>2310</v>
      </c>
      <c r="D93" s="43" t="s">
        <v>439</v>
      </c>
      <c r="E93" s="43" t="s">
        <v>2281</v>
      </c>
      <c r="F93" s="43"/>
      <c r="G93" s="43" t="s">
        <v>2619</v>
      </c>
      <c r="H93" s="43" t="s">
        <v>506</v>
      </c>
      <c r="I93" s="43" t="s">
        <v>1015</v>
      </c>
      <c r="J93" s="43" t="s">
        <v>508</v>
      </c>
      <c r="K93" s="43" t="s">
        <v>1039</v>
      </c>
      <c r="L93" s="43" t="s">
        <v>1040</v>
      </c>
      <c r="M93" s="43" t="s">
        <v>2312</v>
      </c>
      <c r="N93" s="43"/>
      <c r="O93" s="43"/>
      <c r="P93" s="43"/>
      <c r="Q93" s="43" t="s">
        <v>2620</v>
      </c>
      <c r="R93" s="43" t="s">
        <v>2314</v>
      </c>
      <c r="S93" s="43" t="s">
        <v>2447</v>
      </c>
      <c r="T93" s="213">
        <v>60000</v>
      </c>
      <c r="U93" s="213">
        <v>2000</v>
      </c>
      <c r="V93" s="213">
        <v>2000</v>
      </c>
      <c r="W93" s="213">
        <v>30000</v>
      </c>
      <c r="X93" s="213">
        <v>25000</v>
      </c>
      <c r="Y93" s="213">
        <v>2000</v>
      </c>
      <c r="Z93" s="213">
        <v>2000</v>
      </c>
      <c r="AA93" s="213">
        <v>2000</v>
      </c>
      <c r="AB93" s="213">
        <v>2000</v>
      </c>
      <c r="AC93" s="213">
        <v>1000</v>
      </c>
      <c r="AD93" s="213">
        <v>1000</v>
      </c>
      <c r="AE93" s="213">
        <v>1000</v>
      </c>
      <c r="AF93" s="213">
        <v>130000</v>
      </c>
      <c r="AG93" s="213">
        <v>0</v>
      </c>
      <c r="AH93" s="213">
        <v>0</v>
      </c>
      <c r="AI93" s="213">
        <v>0</v>
      </c>
      <c r="AJ93" s="213">
        <v>0</v>
      </c>
      <c r="AK93" s="213">
        <v>130000</v>
      </c>
      <c r="AL93" s="213">
        <v>0</v>
      </c>
      <c r="AM93" s="213">
        <v>0</v>
      </c>
      <c r="AN93" s="213">
        <v>0</v>
      </c>
      <c r="AO93" s="213">
        <v>0</v>
      </c>
      <c r="AP93" s="213">
        <v>0</v>
      </c>
      <c r="AQ93" s="213">
        <v>130000</v>
      </c>
      <c r="AR93" s="43">
        <v>231</v>
      </c>
      <c r="AS93" s="43" t="s">
        <v>2316</v>
      </c>
      <c r="AT93" s="181">
        <v>2025</v>
      </c>
      <c r="AU93" s="43">
        <f>_xlfn.XLOOKUP(_tPE26_29_Consolidada[[#This Row],[ID Financeiro]],[5]Projetos!$K:$K,[5]Projetos!$A:$A,0,0)</f>
        <v>0</v>
      </c>
      <c r="AV93" s="43" t="s">
        <v>2621</v>
      </c>
      <c r="AW93" s="43" t="s">
        <v>1049</v>
      </c>
      <c r="AX93" s="62" t="s">
        <v>2620</v>
      </c>
      <c r="AY93" s="62"/>
      <c r="AZ93" s="43" t="s">
        <v>2382</v>
      </c>
      <c r="BA93" s="43"/>
      <c r="BB93" s="43"/>
      <c r="BC93" s="43"/>
      <c r="BD93" s="43"/>
      <c r="BE93" s="43"/>
      <c r="BF93" s="43"/>
      <c r="BG93" s="43"/>
      <c r="BH93" s="43"/>
      <c r="BI93" s="43"/>
      <c r="BJ93" s="43"/>
      <c r="BK93" s="43"/>
      <c r="BL93" s="43"/>
      <c r="BM93" s="43"/>
      <c r="BN93" s="43"/>
      <c r="BO93" s="43"/>
      <c r="BP93" s="174">
        <f>IFERROR(VLOOKUP(_tPE26_29_Consolidada[[#This Row],[ID Financeiro]],'[4]PE 25-29'!$B:$AF,31,FALSE),0)</f>
        <v>10000.200000000001</v>
      </c>
      <c r="BQ93" s="174">
        <f>_tPE26_29_Consolidada[[#This Row],[2026]]*1000</f>
        <v>130000000</v>
      </c>
      <c r="BR93" s="176">
        <f>_tPE26_29_Consolidada[[#This Row],[Orçado 2026 (PE25-29)]]-_tPE26_29_Consolidada[[#This Row],[Orçado 2026 (PE26-30)]]</f>
        <v>-129989999.8</v>
      </c>
      <c r="BS93" s="175">
        <f>IFERROR(VLOOKUP(_tPE26_29_Consolidada[[#This Row],[ID Financeiro]],'[4]PE 25-29'!$B:$AT,45,FALSE),0)</f>
        <v>10000.200000000001</v>
      </c>
      <c r="BT93" s="175">
        <f>_tPE26_29_Consolidada[[#This Row],[2026-2030]]*1000</f>
        <v>130000000</v>
      </c>
      <c r="BU93" s="175">
        <f>-_tPE26_29_Consolidada[[#This Row],[Orçado 26/30 (PE25-29)]]+_tPE26_29_Consolidada[[#This Row],[Orçado 26/30 (PE26-30)]]</f>
        <v>129989999.8</v>
      </c>
      <c r="BV93" s="177">
        <f>IFERROR(_tPE26_29_Consolidada[[#This Row],[Dif2]]/_tPE26_29_Consolidada[[#This Row],[Orçado 26/30 (PE25-29)]],0)</f>
        <v>12998.740005199894</v>
      </c>
      <c r="CQ93" s="146"/>
      <c r="CR93" s="146"/>
      <c r="CS93" s="146"/>
      <c r="CT93" s="146"/>
      <c r="CU93" s="146"/>
      <c r="CV93" s="146"/>
      <c r="CW93" s="146"/>
      <c r="CX93" s="146"/>
      <c r="CY93" s="146"/>
      <c r="CZ93" s="146"/>
      <c r="DA93" s="146"/>
      <c r="DB93" s="146"/>
      <c r="DC93" s="146"/>
      <c r="DD93" s="146"/>
      <c r="DE93" s="146"/>
      <c r="DF93" s="146"/>
      <c r="DG93" s="146"/>
      <c r="DH93" s="146"/>
      <c r="DI93" s="146"/>
      <c r="DJ93" s="146"/>
      <c r="DK93" s="146"/>
      <c r="DL93" s="146"/>
      <c r="DM93" s="146"/>
      <c r="DN93" s="146"/>
      <c r="DO93" s="146"/>
      <c r="DP93" s="146"/>
      <c r="DQ93" s="146"/>
      <c r="DR93" s="146"/>
      <c r="DS93" s="146"/>
      <c r="DT93" s="146"/>
      <c r="DU93" s="146"/>
      <c r="DV93" s="146"/>
      <c r="DW93" s="146"/>
      <c r="DX93" s="146"/>
      <c r="DY93" s="146"/>
      <c r="DZ93" s="146"/>
      <c r="EA93" s="146"/>
      <c r="EB93" s="146"/>
      <c r="EC93" s="146"/>
      <c r="ED93" s="146"/>
      <c r="EE93" s="146"/>
      <c r="EF93" s="146"/>
      <c r="EG93" s="146"/>
      <c r="EH93" s="146"/>
      <c r="EI93" s="146"/>
      <c r="EJ93" s="146"/>
      <c r="EK93" s="146"/>
      <c r="EL93" s="146"/>
      <c r="EM93" s="146"/>
      <c r="EN93" s="146"/>
      <c r="EO93" s="146"/>
      <c r="EP93" s="146"/>
      <c r="EQ93" s="146"/>
      <c r="ER93" s="146"/>
      <c r="ES93" s="146"/>
      <c r="ET93" s="146"/>
      <c r="EU93" s="146"/>
      <c r="EV93" s="146"/>
      <c r="EW93" s="146"/>
      <c r="EX93" s="146"/>
      <c r="EY93" s="146"/>
      <c r="EZ93" s="146"/>
    </row>
    <row r="94" spans="1:156" ht="14.5" x14ac:dyDescent="0.35">
      <c r="A94" s="43"/>
      <c r="B94" s="75" t="b">
        <v>1</v>
      </c>
      <c r="C94" s="43" t="s">
        <v>2310</v>
      </c>
      <c r="D94" s="43" t="s">
        <v>439</v>
      </c>
      <c r="E94" s="43" t="s">
        <v>2281</v>
      </c>
      <c r="F94" s="43"/>
      <c r="G94" s="43" t="s">
        <v>2622</v>
      </c>
      <c r="H94" s="43" t="s">
        <v>506</v>
      </c>
      <c r="I94" s="43" t="s">
        <v>1015</v>
      </c>
      <c r="J94" s="43" t="s">
        <v>508</v>
      </c>
      <c r="K94" s="43" t="s">
        <v>1039</v>
      </c>
      <c r="L94" s="43" t="s">
        <v>1040</v>
      </c>
      <c r="M94" s="43" t="s">
        <v>2312</v>
      </c>
      <c r="N94" s="43"/>
      <c r="O94" s="43"/>
      <c r="P94" s="43"/>
      <c r="Q94" s="43" t="s">
        <v>2623</v>
      </c>
      <c r="R94" s="43" t="s">
        <v>2314</v>
      </c>
      <c r="S94" s="43" t="s">
        <v>2447</v>
      </c>
      <c r="T94" s="213">
        <v>5000</v>
      </c>
      <c r="U94" s="213">
        <v>5000</v>
      </c>
      <c r="V94" s="213">
        <v>5000</v>
      </c>
      <c r="W94" s="213">
        <v>5000</v>
      </c>
      <c r="X94" s="213">
        <v>5000</v>
      </c>
      <c r="Y94" s="213">
        <v>60000</v>
      </c>
      <c r="Z94" s="213">
        <v>70000</v>
      </c>
      <c r="AA94" s="213">
        <v>5000</v>
      </c>
      <c r="AB94" s="213">
        <v>5000</v>
      </c>
      <c r="AC94" s="213">
        <v>5000</v>
      </c>
      <c r="AD94" s="213">
        <v>55000</v>
      </c>
      <c r="AE94" s="213">
        <v>5000</v>
      </c>
      <c r="AF94" s="213">
        <v>230000</v>
      </c>
      <c r="AG94" s="213">
        <v>15000</v>
      </c>
      <c r="AH94" s="213">
        <v>0</v>
      </c>
      <c r="AI94" s="213">
        <v>0</v>
      </c>
      <c r="AJ94" s="213">
        <v>0</v>
      </c>
      <c r="AK94" s="213">
        <v>245000</v>
      </c>
      <c r="AL94" s="213">
        <v>0</v>
      </c>
      <c r="AM94" s="213">
        <v>0</v>
      </c>
      <c r="AN94" s="213">
        <v>0</v>
      </c>
      <c r="AO94" s="213">
        <v>0</v>
      </c>
      <c r="AP94" s="213">
        <v>0</v>
      </c>
      <c r="AQ94" s="213">
        <v>245000</v>
      </c>
      <c r="AR94" s="43">
        <v>232</v>
      </c>
      <c r="AS94" s="43" t="s">
        <v>2316</v>
      </c>
      <c r="AT94" s="181">
        <v>2025</v>
      </c>
      <c r="AU94" s="43">
        <f>_xlfn.XLOOKUP(_tPE26_29_Consolidada[[#This Row],[ID Financeiro]],[5]Projetos!$K:$K,[5]Projetos!$A:$A,0,0)</f>
        <v>0</v>
      </c>
      <c r="AV94" s="43" t="s">
        <v>2624</v>
      </c>
      <c r="AW94" s="43" t="s">
        <v>1854</v>
      </c>
      <c r="AX94" s="62" t="s">
        <v>2623</v>
      </c>
      <c r="AY94" s="62"/>
      <c r="AZ94" s="43" t="s">
        <v>2382</v>
      </c>
      <c r="BA94" s="43"/>
      <c r="BB94" s="43"/>
      <c r="BC94" s="43"/>
      <c r="BD94" s="43"/>
      <c r="BE94" s="43"/>
      <c r="BF94" s="43"/>
      <c r="BG94" s="43"/>
      <c r="BH94" s="43"/>
      <c r="BI94" s="43"/>
      <c r="BJ94" s="43"/>
      <c r="BK94" s="43"/>
      <c r="BL94" s="43"/>
      <c r="BM94" s="43"/>
      <c r="BN94" s="43"/>
      <c r="BO94" s="43"/>
      <c r="BP94" s="174">
        <f>IFERROR(VLOOKUP(_tPE26_29_Consolidada[[#This Row],[ID Financeiro]],'[4]PE 25-29'!$B:$AF,31,FALSE),0)</f>
        <v>10000.200000000001</v>
      </c>
      <c r="BQ94" s="174">
        <f>_tPE26_29_Consolidada[[#This Row],[2026]]*1000</f>
        <v>230000000</v>
      </c>
      <c r="BR94" s="176">
        <f>_tPE26_29_Consolidada[[#This Row],[Orçado 2026 (PE25-29)]]-_tPE26_29_Consolidada[[#This Row],[Orçado 2026 (PE26-30)]]</f>
        <v>-229989999.80000001</v>
      </c>
      <c r="BS94" s="175">
        <f>IFERROR(VLOOKUP(_tPE26_29_Consolidada[[#This Row],[ID Financeiro]],'[4]PE 25-29'!$B:$AT,45,FALSE),0)</f>
        <v>10000.200000000001</v>
      </c>
      <c r="BT94" s="175">
        <f>_tPE26_29_Consolidada[[#This Row],[2026-2030]]*1000</f>
        <v>245000000</v>
      </c>
      <c r="BU94" s="175">
        <f>-_tPE26_29_Consolidada[[#This Row],[Orçado 26/30 (PE25-29)]]+_tPE26_29_Consolidada[[#This Row],[Orçado 26/30 (PE26-30)]]</f>
        <v>244989999.80000001</v>
      </c>
      <c r="BV94" s="177">
        <f>IFERROR(_tPE26_29_Consolidada[[#This Row],[Dif2]]/_tPE26_29_Consolidada[[#This Row],[Orçado 26/30 (PE25-29)]],0)</f>
        <v>24498.510009799804</v>
      </c>
      <c r="CQ94" s="146"/>
      <c r="CR94" s="146"/>
      <c r="CS94" s="146"/>
      <c r="CT94" s="146"/>
      <c r="CU94" s="146"/>
      <c r="CV94" s="146"/>
      <c r="CW94" s="146"/>
      <c r="CX94" s="146"/>
      <c r="CY94" s="146"/>
      <c r="CZ94" s="146"/>
      <c r="DA94" s="146"/>
      <c r="DB94" s="146"/>
      <c r="DC94" s="146"/>
      <c r="DD94" s="146"/>
      <c r="DE94" s="146"/>
      <c r="DF94" s="146"/>
      <c r="DG94" s="146"/>
      <c r="DH94" s="146"/>
      <c r="DI94" s="146"/>
      <c r="DJ94" s="146"/>
      <c r="DK94" s="146"/>
      <c r="DL94" s="146"/>
      <c r="DM94" s="146"/>
      <c r="DN94" s="146"/>
      <c r="DO94" s="146"/>
      <c r="DP94" s="146"/>
      <c r="DQ94" s="146"/>
      <c r="DR94" s="146"/>
      <c r="DS94" s="146"/>
      <c r="DT94" s="146"/>
      <c r="DU94" s="146"/>
      <c r="DV94" s="146"/>
      <c r="DW94" s="146"/>
      <c r="DX94" s="146"/>
      <c r="DY94" s="146"/>
      <c r="DZ94" s="146"/>
      <c r="EA94" s="146"/>
      <c r="EB94" s="146"/>
      <c r="EC94" s="146"/>
      <c r="ED94" s="146"/>
      <c r="EE94" s="146"/>
      <c r="EF94" s="146"/>
      <c r="EG94" s="146"/>
      <c r="EH94" s="146"/>
      <c r="EI94" s="146"/>
      <c r="EJ94" s="146"/>
      <c r="EK94" s="146"/>
      <c r="EL94" s="146"/>
      <c r="EM94" s="146"/>
      <c r="EN94" s="146"/>
      <c r="EO94" s="146"/>
      <c r="EP94" s="146"/>
      <c r="EQ94" s="146"/>
      <c r="ER94" s="146"/>
      <c r="ES94" s="146"/>
      <c r="ET94" s="146"/>
      <c r="EU94" s="146"/>
      <c r="EV94" s="146"/>
      <c r="EW94" s="146"/>
      <c r="EX94" s="146"/>
      <c r="EY94" s="146"/>
      <c r="EZ94" s="146"/>
    </row>
    <row r="95" spans="1:156" ht="14.5" x14ac:dyDescent="0.35">
      <c r="A95" s="43"/>
      <c r="B95" s="75" t="b">
        <v>1</v>
      </c>
      <c r="C95" s="43" t="s">
        <v>2310</v>
      </c>
      <c r="D95" s="43" t="s">
        <v>439</v>
      </c>
      <c r="E95" s="43" t="s">
        <v>2281</v>
      </c>
      <c r="F95" s="43"/>
      <c r="G95" s="43" t="s">
        <v>2625</v>
      </c>
      <c r="H95" s="43" t="s">
        <v>506</v>
      </c>
      <c r="I95" s="43" t="s">
        <v>1015</v>
      </c>
      <c r="J95" s="43" t="s">
        <v>508</v>
      </c>
      <c r="K95" s="43" t="s">
        <v>1039</v>
      </c>
      <c r="L95" s="43" t="s">
        <v>1040</v>
      </c>
      <c r="M95" s="43" t="s">
        <v>2312</v>
      </c>
      <c r="N95" s="43"/>
      <c r="O95" s="43"/>
      <c r="P95" s="43"/>
      <c r="Q95" s="43" t="s">
        <v>2626</v>
      </c>
      <c r="R95" s="43" t="s">
        <v>2314</v>
      </c>
      <c r="S95" s="43" t="s">
        <v>2368</v>
      </c>
      <c r="T95" s="213">
        <v>10000</v>
      </c>
      <c r="U95" s="213">
        <v>100000</v>
      </c>
      <c r="V95" s="213">
        <v>0</v>
      </c>
      <c r="W95" s="213">
        <v>100000</v>
      </c>
      <c r="X95" s="213">
        <v>40000</v>
      </c>
      <c r="Y95" s="213">
        <v>0</v>
      </c>
      <c r="Z95" s="213">
        <v>0</v>
      </c>
      <c r="AA95" s="213">
        <v>0</v>
      </c>
      <c r="AB95" s="213">
        <v>0</v>
      </c>
      <c r="AC95" s="213">
        <v>0</v>
      </c>
      <c r="AD95" s="213">
        <v>0</v>
      </c>
      <c r="AE95" s="213">
        <v>0</v>
      </c>
      <c r="AF95" s="213">
        <v>250000</v>
      </c>
      <c r="AG95" s="213">
        <v>15000000</v>
      </c>
      <c r="AH95" s="213">
        <v>15000000</v>
      </c>
      <c r="AI95" s="213">
        <v>15000000</v>
      </c>
      <c r="AJ95" s="213">
        <v>15750000</v>
      </c>
      <c r="AK95" s="213">
        <v>61000000</v>
      </c>
      <c r="AL95" s="213">
        <v>0</v>
      </c>
      <c r="AM95" s="213">
        <v>0</v>
      </c>
      <c r="AN95" s="213">
        <v>0</v>
      </c>
      <c r="AO95" s="213">
        <v>0</v>
      </c>
      <c r="AP95" s="213">
        <v>0</v>
      </c>
      <c r="AQ95" s="213">
        <v>61000000</v>
      </c>
      <c r="AR95" s="43">
        <v>233</v>
      </c>
      <c r="AS95" s="43" t="s">
        <v>2316</v>
      </c>
      <c r="AT95" s="181">
        <v>2025</v>
      </c>
      <c r="AU95" s="43">
        <f>_xlfn.XLOOKUP(_tPE26_29_Consolidada[[#This Row],[ID Financeiro]],[5]Projetos!$K:$K,[5]Projetos!$A:$A,0,0)</f>
        <v>0</v>
      </c>
      <c r="AV95" s="43" t="s">
        <v>2627</v>
      </c>
      <c r="AW95" s="43" t="s">
        <v>1854</v>
      </c>
      <c r="AX95" s="62" t="s">
        <v>2626</v>
      </c>
      <c r="AY95" s="62"/>
      <c r="AZ95" s="43" t="s">
        <v>2319</v>
      </c>
      <c r="BA95" s="43"/>
      <c r="BB95" s="43"/>
      <c r="BC95" s="43"/>
      <c r="BD95" s="43"/>
      <c r="BE95" s="43"/>
      <c r="BF95" s="43"/>
      <c r="BG95" s="43"/>
      <c r="BH95" s="43"/>
      <c r="BI95" s="43"/>
      <c r="BJ95" s="43"/>
      <c r="BK95" s="43"/>
      <c r="BL95" s="43"/>
      <c r="BM95" s="43"/>
      <c r="BN95" s="43"/>
      <c r="BO95" s="43"/>
      <c r="BP95" s="174">
        <f>IFERROR(VLOOKUP(_tPE26_29_Consolidada[[#This Row],[ID Financeiro]],'[4]PE 25-29'!$B:$AF,31,FALSE),0)</f>
        <v>20000000</v>
      </c>
      <c r="BQ95" s="174">
        <f>_tPE26_29_Consolidada[[#This Row],[2026]]*1000</f>
        <v>250000000</v>
      </c>
      <c r="BR95" s="176">
        <f>_tPE26_29_Consolidada[[#This Row],[Orçado 2026 (PE25-29)]]-_tPE26_29_Consolidada[[#This Row],[Orçado 2026 (PE26-30)]]</f>
        <v>-230000000</v>
      </c>
      <c r="BS95" s="175">
        <f>IFERROR(VLOOKUP(_tPE26_29_Consolidada[[#This Row],[ID Financeiro]],'[4]PE 25-29'!$B:$AT,45,FALSE),0)</f>
        <v>60000000</v>
      </c>
      <c r="BT95" s="175">
        <f>_tPE26_29_Consolidada[[#This Row],[2026-2030]]*1000</f>
        <v>61000000000</v>
      </c>
      <c r="BU95" s="175">
        <f>-_tPE26_29_Consolidada[[#This Row],[Orçado 26/30 (PE25-29)]]+_tPE26_29_Consolidada[[#This Row],[Orçado 26/30 (PE26-30)]]</f>
        <v>60940000000</v>
      </c>
      <c r="BV95" s="177">
        <f>IFERROR(_tPE26_29_Consolidada[[#This Row],[Dif2]]/_tPE26_29_Consolidada[[#This Row],[Orçado 26/30 (PE25-29)]],0)</f>
        <v>1015.6666666666666</v>
      </c>
      <c r="CQ95" s="146"/>
      <c r="CR95" s="146"/>
      <c r="CS95" s="146"/>
      <c r="CT95" s="146"/>
      <c r="CU95" s="146"/>
      <c r="CV95" s="146"/>
      <c r="CW95" s="146"/>
      <c r="CX95" s="146"/>
      <c r="CY95" s="146"/>
      <c r="CZ95" s="146"/>
      <c r="DA95" s="146"/>
      <c r="DB95" s="146"/>
      <c r="DC95" s="146"/>
      <c r="DD95" s="146"/>
      <c r="DE95" s="146"/>
      <c r="DF95" s="146"/>
      <c r="DG95" s="146"/>
      <c r="DH95" s="146"/>
      <c r="DI95" s="146"/>
      <c r="DJ95" s="146"/>
      <c r="DK95" s="146"/>
      <c r="DL95" s="146"/>
      <c r="DM95" s="146"/>
      <c r="DN95" s="146"/>
      <c r="DO95" s="146"/>
      <c r="DP95" s="146"/>
      <c r="DQ95" s="146"/>
      <c r="DR95" s="146"/>
      <c r="DS95" s="146"/>
      <c r="DT95" s="146"/>
      <c r="DU95" s="146"/>
      <c r="DV95" s="146"/>
      <c r="DW95" s="146"/>
      <c r="DX95" s="146"/>
      <c r="DY95" s="146"/>
      <c r="DZ95" s="146"/>
      <c r="EA95" s="146"/>
      <c r="EB95" s="146"/>
      <c r="EC95" s="146"/>
      <c r="ED95" s="146"/>
      <c r="EE95" s="146"/>
      <c r="EF95" s="146"/>
      <c r="EG95" s="146"/>
      <c r="EH95" s="146"/>
      <c r="EI95" s="146"/>
      <c r="EJ95" s="146"/>
      <c r="EK95" s="146"/>
      <c r="EL95" s="146"/>
      <c r="EM95" s="146"/>
      <c r="EN95" s="146"/>
      <c r="EO95" s="146"/>
      <c r="EP95" s="146"/>
      <c r="EQ95" s="146"/>
      <c r="ER95" s="146"/>
      <c r="ES95" s="146"/>
      <c r="ET95" s="146"/>
      <c r="EU95" s="146"/>
      <c r="EV95" s="146"/>
      <c r="EW95" s="146"/>
      <c r="EX95" s="146"/>
      <c r="EY95" s="146"/>
      <c r="EZ95" s="146"/>
    </row>
    <row r="96" spans="1:156" ht="14.5" x14ac:dyDescent="0.35">
      <c r="A96" s="43"/>
      <c r="B96" s="75" t="b">
        <v>1</v>
      </c>
      <c r="C96" s="43" t="s">
        <v>2310</v>
      </c>
      <c r="D96" s="43" t="s">
        <v>439</v>
      </c>
      <c r="E96" s="43" t="s">
        <v>2281</v>
      </c>
      <c r="F96" s="43"/>
      <c r="G96" s="43" t="s">
        <v>2628</v>
      </c>
      <c r="H96" s="43" t="s">
        <v>506</v>
      </c>
      <c r="I96" s="43" t="s">
        <v>1015</v>
      </c>
      <c r="J96" s="43" t="s">
        <v>508</v>
      </c>
      <c r="K96" s="43" t="s">
        <v>1039</v>
      </c>
      <c r="L96" s="43" t="s">
        <v>1040</v>
      </c>
      <c r="M96" s="43" t="s">
        <v>2312</v>
      </c>
      <c r="N96" s="43"/>
      <c r="O96" s="43"/>
      <c r="P96" s="43"/>
      <c r="Q96" s="43" t="s">
        <v>2629</v>
      </c>
      <c r="R96" s="43" t="s">
        <v>2314</v>
      </c>
      <c r="S96" s="43" t="s">
        <v>1016</v>
      </c>
      <c r="T96" s="213">
        <v>0</v>
      </c>
      <c r="U96" s="213">
        <v>850000</v>
      </c>
      <c r="V96" s="213">
        <v>0</v>
      </c>
      <c r="W96" s="213">
        <v>5000</v>
      </c>
      <c r="X96" s="213">
        <v>0</v>
      </c>
      <c r="Y96" s="213">
        <v>850000</v>
      </c>
      <c r="Z96" s="213">
        <v>0</v>
      </c>
      <c r="AA96" s="213">
        <v>5000</v>
      </c>
      <c r="AB96" s="213">
        <v>0</v>
      </c>
      <c r="AC96" s="213">
        <v>0</v>
      </c>
      <c r="AD96" s="213">
        <v>0</v>
      </c>
      <c r="AE96" s="213">
        <v>0</v>
      </c>
      <c r="AF96" s="213">
        <v>1710000</v>
      </c>
      <c r="AG96" s="213">
        <v>0</v>
      </c>
      <c r="AH96" s="213">
        <v>0</v>
      </c>
      <c r="AI96" s="213">
        <v>0</v>
      </c>
      <c r="AJ96" s="213">
        <v>0</v>
      </c>
      <c r="AK96" s="213">
        <v>1710000</v>
      </c>
      <c r="AL96" s="213">
        <v>0</v>
      </c>
      <c r="AM96" s="213">
        <v>0</v>
      </c>
      <c r="AN96" s="213">
        <v>0</v>
      </c>
      <c r="AO96" s="213">
        <v>0</v>
      </c>
      <c r="AP96" s="213">
        <v>0</v>
      </c>
      <c r="AQ96" s="213">
        <v>1710000</v>
      </c>
      <c r="AR96" s="43">
        <v>234</v>
      </c>
      <c r="AS96" s="43" t="s">
        <v>2316</v>
      </c>
      <c r="AT96" s="181">
        <v>2025</v>
      </c>
      <c r="AU96" s="43">
        <f>_xlfn.XLOOKUP(_tPE26_29_Consolidada[[#This Row],[ID Financeiro]],[5]Projetos!$K:$K,[5]Projetos!$A:$A,0,0)</f>
        <v>0</v>
      </c>
      <c r="AV96" s="43" t="s">
        <v>2630</v>
      </c>
      <c r="AW96" s="43" t="s">
        <v>1854</v>
      </c>
      <c r="AX96" s="62" t="s">
        <v>2629</v>
      </c>
      <c r="AY96" s="62"/>
      <c r="AZ96" s="43" t="s">
        <v>2347</v>
      </c>
      <c r="BA96" s="43"/>
      <c r="BB96" s="43"/>
      <c r="BC96" s="43"/>
      <c r="BD96" s="43"/>
      <c r="BE96" s="43"/>
      <c r="BF96" s="43"/>
      <c r="BG96" s="43"/>
      <c r="BH96" s="43"/>
      <c r="BI96" s="43"/>
      <c r="BJ96" s="43"/>
      <c r="BK96" s="43"/>
      <c r="BL96" s="43"/>
      <c r="BM96" s="43"/>
      <c r="BN96" s="43"/>
      <c r="BO96" s="43"/>
      <c r="BP96" s="174">
        <f>IFERROR(VLOOKUP(_tPE26_29_Consolidada[[#This Row],[ID Financeiro]],'[4]PE 25-29'!$B:$AF,31,FALSE),0)</f>
        <v>7500</v>
      </c>
      <c r="BQ96" s="174">
        <f>_tPE26_29_Consolidada[[#This Row],[2026]]*1000</f>
        <v>1710000000</v>
      </c>
      <c r="BR96" s="176">
        <f>_tPE26_29_Consolidada[[#This Row],[Orçado 2026 (PE25-29)]]-_tPE26_29_Consolidada[[#This Row],[Orçado 2026 (PE26-30)]]</f>
        <v>-1709992500</v>
      </c>
      <c r="BS96" s="175">
        <f>IFERROR(VLOOKUP(_tPE26_29_Consolidada[[#This Row],[ID Financeiro]],'[4]PE 25-29'!$B:$AT,45,FALSE),0)</f>
        <v>7500</v>
      </c>
      <c r="BT96" s="175">
        <f>_tPE26_29_Consolidada[[#This Row],[2026-2030]]*1000</f>
        <v>1710000000</v>
      </c>
      <c r="BU96" s="175">
        <f>-_tPE26_29_Consolidada[[#This Row],[Orçado 26/30 (PE25-29)]]+_tPE26_29_Consolidada[[#This Row],[Orçado 26/30 (PE26-30)]]</f>
        <v>1709992500</v>
      </c>
      <c r="BV96" s="177">
        <f>IFERROR(_tPE26_29_Consolidada[[#This Row],[Dif2]]/_tPE26_29_Consolidada[[#This Row],[Orçado 26/30 (PE25-29)]],0)</f>
        <v>227999</v>
      </c>
      <c r="CQ96" s="146"/>
      <c r="CR96" s="146"/>
      <c r="CS96" s="146"/>
      <c r="CT96" s="146"/>
      <c r="CU96" s="146"/>
      <c r="CV96" s="146"/>
      <c r="CW96" s="146"/>
      <c r="CX96" s="146"/>
      <c r="CY96" s="146"/>
      <c r="CZ96" s="146"/>
      <c r="DA96" s="146"/>
      <c r="DB96" s="146"/>
      <c r="DC96" s="146"/>
      <c r="DD96" s="146"/>
      <c r="DE96" s="146"/>
      <c r="DF96" s="146"/>
      <c r="DG96" s="146"/>
      <c r="DH96" s="146"/>
      <c r="DI96" s="146"/>
      <c r="DJ96" s="146"/>
      <c r="DK96" s="146"/>
      <c r="DL96" s="146"/>
      <c r="DM96" s="146"/>
      <c r="DN96" s="146"/>
      <c r="DO96" s="146"/>
      <c r="DP96" s="146"/>
      <c r="DQ96" s="146"/>
      <c r="DR96" s="146"/>
      <c r="DS96" s="146"/>
      <c r="DT96" s="146"/>
      <c r="DU96" s="146"/>
      <c r="DV96" s="146"/>
      <c r="DW96" s="146"/>
      <c r="DX96" s="146"/>
      <c r="DY96" s="146"/>
      <c r="DZ96" s="146"/>
      <c r="EA96" s="146"/>
      <c r="EB96" s="146"/>
      <c r="EC96" s="146"/>
      <c r="ED96" s="146"/>
      <c r="EE96" s="146"/>
      <c r="EF96" s="146"/>
      <c r="EG96" s="146"/>
      <c r="EH96" s="146"/>
      <c r="EI96" s="146"/>
      <c r="EJ96" s="146"/>
      <c r="EK96" s="146"/>
      <c r="EL96" s="146"/>
      <c r="EM96" s="146"/>
      <c r="EN96" s="146"/>
      <c r="EO96" s="146"/>
      <c r="EP96" s="146"/>
      <c r="EQ96" s="146"/>
      <c r="ER96" s="146"/>
      <c r="ES96" s="146"/>
      <c r="ET96" s="146"/>
      <c r="EU96" s="146"/>
      <c r="EV96" s="146"/>
      <c r="EW96" s="146"/>
      <c r="EX96" s="146"/>
      <c r="EY96" s="146"/>
      <c r="EZ96" s="146"/>
    </row>
    <row r="97" spans="1:156" ht="14.5" x14ac:dyDescent="0.35">
      <c r="A97" s="43"/>
      <c r="B97" s="75" t="b">
        <v>1</v>
      </c>
      <c r="C97" s="43" t="s">
        <v>2310</v>
      </c>
      <c r="D97" s="43" t="s">
        <v>439</v>
      </c>
      <c r="E97" s="43" t="s">
        <v>2281</v>
      </c>
      <c r="F97" s="43"/>
      <c r="G97" s="43" t="s">
        <v>2631</v>
      </c>
      <c r="H97" s="43" t="s">
        <v>506</v>
      </c>
      <c r="I97" s="43" t="s">
        <v>1015</v>
      </c>
      <c r="J97" s="43" t="s">
        <v>508</v>
      </c>
      <c r="K97" s="43" t="s">
        <v>1039</v>
      </c>
      <c r="L97" s="43" t="s">
        <v>1040</v>
      </c>
      <c r="M97" s="43" t="s">
        <v>2312</v>
      </c>
      <c r="N97" s="43"/>
      <c r="O97" s="43"/>
      <c r="P97" s="43"/>
      <c r="Q97" s="43" t="s">
        <v>2632</v>
      </c>
      <c r="R97" s="43" t="s">
        <v>2314</v>
      </c>
      <c r="S97" s="43" t="s">
        <v>1020</v>
      </c>
      <c r="T97" s="213">
        <v>0</v>
      </c>
      <c r="U97" s="213">
        <v>0</v>
      </c>
      <c r="V97" s="213">
        <v>0</v>
      </c>
      <c r="W97" s="213">
        <v>0</v>
      </c>
      <c r="X97" s="213">
        <v>0</v>
      </c>
      <c r="Y97" s="213">
        <v>0</v>
      </c>
      <c r="Z97" s="213">
        <v>0</v>
      </c>
      <c r="AA97" s="213">
        <v>0</v>
      </c>
      <c r="AB97" s="213">
        <v>250000</v>
      </c>
      <c r="AC97" s="213">
        <v>250000</v>
      </c>
      <c r="AD97" s="213">
        <v>250000</v>
      </c>
      <c r="AE97" s="213">
        <v>250000</v>
      </c>
      <c r="AF97" s="213">
        <v>1000000</v>
      </c>
      <c r="AG97" s="213">
        <v>3500000</v>
      </c>
      <c r="AH97" s="213">
        <v>500000</v>
      </c>
      <c r="AI97" s="213">
        <v>0</v>
      </c>
      <c r="AJ97" s="213">
        <v>0</v>
      </c>
      <c r="AK97" s="213">
        <v>5000000</v>
      </c>
      <c r="AL97" s="213">
        <v>0</v>
      </c>
      <c r="AM97" s="213">
        <v>0</v>
      </c>
      <c r="AN97" s="213">
        <v>0</v>
      </c>
      <c r="AO97" s="213">
        <v>0</v>
      </c>
      <c r="AP97" s="213">
        <v>0</v>
      </c>
      <c r="AQ97" s="213">
        <v>5000000</v>
      </c>
      <c r="AR97" s="43">
        <v>235</v>
      </c>
      <c r="AS97" s="43" t="s">
        <v>2316</v>
      </c>
      <c r="AT97" s="181">
        <v>2025</v>
      </c>
      <c r="AU97" s="43">
        <f>_xlfn.XLOOKUP(_tPE26_29_Consolidada[[#This Row],[ID Financeiro]],[5]Projetos!$K:$K,[5]Projetos!$A:$A,0,0)</f>
        <v>0</v>
      </c>
      <c r="AV97" s="43" t="s">
        <v>2633</v>
      </c>
      <c r="AW97" s="43" t="s">
        <v>1049</v>
      </c>
      <c r="AX97" s="62" t="s">
        <v>2632</v>
      </c>
      <c r="AY97" s="62"/>
      <c r="AZ97" s="43" t="s">
        <v>2319</v>
      </c>
      <c r="BA97" s="43"/>
      <c r="BB97" s="43"/>
      <c r="BC97" s="43"/>
      <c r="BD97" s="43"/>
      <c r="BE97" s="43"/>
      <c r="BF97" s="43"/>
      <c r="BG97" s="43"/>
      <c r="BH97" s="43"/>
      <c r="BI97" s="43"/>
      <c r="BJ97" s="43"/>
      <c r="BK97" s="43"/>
      <c r="BL97" s="43"/>
      <c r="BM97" s="43"/>
      <c r="BN97" s="43"/>
      <c r="BO97" s="43"/>
      <c r="BP97" s="174">
        <f>IFERROR(VLOOKUP(_tPE26_29_Consolidada[[#This Row],[ID Financeiro]],'[4]PE 25-29'!$B:$AF,31,FALSE),0)</f>
        <v>150000</v>
      </c>
      <c r="BQ97" s="174">
        <f>_tPE26_29_Consolidada[[#This Row],[2026]]*1000</f>
        <v>1000000000</v>
      </c>
      <c r="BR97" s="176">
        <f>_tPE26_29_Consolidada[[#This Row],[Orçado 2026 (PE25-29)]]-_tPE26_29_Consolidada[[#This Row],[Orçado 2026 (PE26-30)]]</f>
        <v>-999850000</v>
      </c>
      <c r="BS97" s="175">
        <f>IFERROR(VLOOKUP(_tPE26_29_Consolidada[[#This Row],[ID Financeiro]],'[4]PE 25-29'!$B:$AT,45,FALSE),0)</f>
        <v>150000</v>
      </c>
      <c r="BT97" s="175">
        <f>_tPE26_29_Consolidada[[#This Row],[2026-2030]]*1000</f>
        <v>5000000000</v>
      </c>
      <c r="BU97" s="175">
        <f>-_tPE26_29_Consolidada[[#This Row],[Orçado 26/30 (PE25-29)]]+_tPE26_29_Consolidada[[#This Row],[Orçado 26/30 (PE26-30)]]</f>
        <v>4999850000</v>
      </c>
      <c r="BV97" s="177">
        <f>IFERROR(_tPE26_29_Consolidada[[#This Row],[Dif2]]/_tPE26_29_Consolidada[[#This Row],[Orçado 26/30 (PE25-29)]],0)</f>
        <v>33332.333333333336</v>
      </c>
      <c r="CQ97" s="146"/>
      <c r="CR97" s="146"/>
      <c r="CS97" s="146"/>
      <c r="CT97" s="146"/>
      <c r="CU97" s="146"/>
      <c r="CV97" s="146"/>
      <c r="CW97" s="146"/>
      <c r="CX97" s="146"/>
      <c r="CY97" s="146"/>
      <c r="CZ97" s="146"/>
      <c r="DA97" s="146"/>
      <c r="DB97" s="146"/>
      <c r="DC97" s="146"/>
      <c r="DD97" s="146"/>
      <c r="DE97" s="146"/>
      <c r="DF97" s="146"/>
      <c r="DG97" s="146"/>
      <c r="DH97" s="146"/>
      <c r="DI97" s="146"/>
      <c r="DJ97" s="146"/>
      <c r="DK97" s="146"/>
      <c r="DL97" s="146"/>
      <c r="DM97" s="146"/>
      <c r="DN97" s="146"/>
      <c r="DO97" s="146"/>
      <c r="DP97" s="146"/>
      <c r="DQ97" s="146"/>
      <c r="DR97" s="146"/>
      <c r="DS97" s="146"/>
      <c r="DT97" s="146"/>
      <c r="DU97" s="146"/>
      <c r="DV97" s="146"/>
      <c r="DW97" s="146"/>
      <c r="DX97" s="146"/>
      <c r="DY97" s="146"/>
      <c r="DZ97" s="146"/>
      <c r="EA97" s="146"/>
      <c r="EB97" s="146"/>
      <c r="EC97" s="146"/>
      <c r="ED97" s="146"/>
      <c r="EE97" s="146"/>
      <c r="EF97" s="146"/>
      <c r="EG97" s="146"/>
      <c r="EH97" s="146"/>
      <c r="EI97" s="146"/>
      <c r="EJ97" s="146"/>
      <c r="EK97" s="146"/>
      <c r="EL97" s="146"/>
      <c r="EM97" s="146"/>
      <c r="EN97" s="146"/>
      <c r="EO97" s="146"/>
      <c r="EP97" s="146"/>
      <c r="EQ97" s="146"/>
      <c r="ER97" s="146"/>
      <c r="ES97" s="146"/>
      <c r="ET97" s="146"/>
      <c r="EU97" s="146"/>
      <c r="EV97" s="146"/>
      <c r="EW97" s="146"/>
      <c r="EX97" s="146"/>
      <c r="EY97" s="146"/>
      <c r="EZ97" s="146"/>
    </row>
    <row r="98" spans="1:156" ht="14.5" x14ac:dyDescent="0.35">
      <c r="A98" s="43"/>
      <c r="B98" s="75" t="b">
        <v>1</v>
      </c>
      <c r="C98" s="43" t="s">
        <v>2310</v>
      </c>
      <c r="D98" s="43" t="s">
        <v>439</v>
      </c>
      <c r="E98" s="43" t="s">
        <v>2281</v>
      </c>
      <c r="F98" s="43"/>
      <c r="G98" s="43" t="s">
        <v>2634</v>
      </c>
      <c r="H98" s="43" t="s">
        <v>506</v>
      </c>
      <c r="I98" s="43" t="s">
        <v>1015</v>
      </c>
      <c r="J98" s="43" t="s">
        <v>508</v>
      </c>
      <c r="K98" s="43" t="s">
        <v>1039</v>
      </c>
      <c r="L98" s="43" t="s">
        <v>1040</v>
      </c>
      <c r="M98" s="43" t="s">
        <v>2312</v>
      </c>
      <c r="N98" s="43"/>
      <c r="O98" s="43"/>
      <c r="P98" s="43"/>
      <c r="Q98" s="43" t="s">
        <v>2635</v>
      </c>
      <c r="R98" s="43" t="s">
        <v>2314</v>
      </c>
      <c r="S98" s="43" t="s">
        <v>2338</v>
      </c>
      <c r="T98" s="213">
        <v>0</v>
      </c>
      <c r="U98" s="213">
        <v>0</v>
      </c>
      <c r="V98" s="213">
        <v>0</v>
      </c>
      <c r="W98" s="213">
        <v>0</v>
      </c>
      <c r="X98" s="213">
        <v>0</v>
      </c>
      <c r="Y98" s="213">
        <v>0</v>
      </c>
      <c r="Z98" s="213">
        <v>0</v>
      </c>
      <c r="AA98" s="213">
        <v>10000</v>
      </c>
      <c r="AB98" s="213">
        <v>5000</v>
      </c>
      <c r="AC98" s="213">
        <v>2000000</v>
      </c>
      <c r="AD98" s="213">
        <v>50000</v>
      </c>
      <c r="AE98" s="213">
        <v>40000</v>
      </c>
      <c r="AF98" s="213">
        <v>2105000</v>
      </c>
      <c r="AG98" s="213">
        <v>0</v>
      </c>
      <c r="AH98" s="213">
        <v>0</v>
      </c>
      <c r="AI98" s="213">
        <v>0</v>
      </c>
      <c r="AJ98" s="213">
        <v>0</v>
      </c>
      <c r="AK98" s="213">
        <v>2105000</v>
      </c>
      <c r="AL98" s="213">
        <v>0</v>
      </c>
      <c r="AM98" s="213">
        <v>0</v>
      </c>
      <c r="AN98" s="213">
        <v>0</v>
      </c>
      <c r="AO98" s="213">
        <v>0</v>
      </c>
      <c r="AP98" s="213">
        <v>0</v>
      </c>
      <c r="AQ98" s="213">
        <v>2105000</v>
      </c>
      <c r="AR98" s="43">
        <v>236</v>
      </c>
      <c r="AS98" s="43" t="s">
        <v>2316</v>
      </c>
      <c r="AT98" s="181">
        <v>2025</v>
      </c>
      <c r="AU98" s="43">
        <f>_xlfn.XLOOKUP(_tPE26_29_Consolidada[[#This Row],[ID Financeiro]],[5]Projetos!$K:$K,[5]Projetos!$A:$A,0,0)</f>
        <v>0</v>
      </c>
      <c r="AV98" s="43" t="s">
        <v>2636</v>
      </c>
      <c r="AW98" s="43" t="s">
        <v>1854</v>
      </c>
      <c r="AX98" s="62" t="s">
        <v>2635</v>
      </c>
      <c r="AY98" s="62"/>
      <c r="AZ98" s="43" t="s">
        <v>2340</v>
      </c>
      <c r="BA98" s="43"/>
      <c r="BB98" s="43"/>
      <c r="BC98" s="43"/>
      <c r="BD98" s="43"/>
      <c r="BE98" s="43"/>
      <c r="BF98" s="43"/>
      <c r="BG98" s="43"/>
      <c r="BH98" s="43"/>
      <c r="BI98" s="43"/>
      <c r="BJ98" s="43"/>
      <c r="BK98" s="43"/>
      <c r="BL98" s="43"/>
      <c r="BM98" s="43"/>
      <c r="BN98" s="43"/>
      <c r="BO98" s="43"/>
      <c r="BP98" s="174">
        <f>IFERROR(VLOOKUP(_tPE26_29_Consolidada[[#This Row],[ID Financeiro]],'[4]PE 25-29'!$B:$AF,31,FALSE),0)</f>
        <v>10000.200000000001</v>
      </c>
      <c r="BQ98" s="174">
        <f>_tPE26_29_Consolidada[[#This Row],[2026]]*1000</f>
        <v>2105000000</v>
      </c>
      <c r="BR98" s="176">
        <f>_tPE26_29_Consolidada[[#This Row],[Orçado 2026 (PE25-29)]]-_tPE26_29_Consolidada[[#This Row],[Orçado 2026 (PE26-30)]]</f>
        <v>-2104989999.8</v>
      </c>
      <c r="BS98" s="175">
        <f>IFERROR(VLOOKUP(_tPE26_29_Consolidada[[#This Row],[ID Financeiro]],'[4]PE 25-29'!$B:$AT,45,FALSE),0)</f>
        <v>10000.200000000001</v>
      </c>
      <c r="BT98" s="175">
        <f>_tPE26_29_Consolidada[[#This Row],[2026-2030]]*1000</f>
        <v>2105000000</v>
      </c>
      <c r="BU98" s="175">
        <f>-_tPE26_29_Consolidada[[#This Row],[Orçado 26/30 (PE25-29)]]+_tPE26_29_Consolidada[[#This Row],[Orçado 26/30 (PE26-30)]]</f>
        <v>2104989999.8</v>
      </c>
      <c r="BV98" s="177">
        <f>IFERROR(_tPE26_29_Consolidada[[#This Row],[Dif2]]/_tPE26_29_Consolidada[[#This Row],[Orçado 26/30 (PE25-29)]],0)</f>
        <v>210494.79008419829</v>
      </c>
      <c r="CQ98" s="146"/>
      <c r="CR98" s="146"/>
      <c r="CS98" s="146"/>
      <c r="CT98" s="146"/>
      <c r="CU98" s="146"/>
      <c r="CV98" s="146"/>
      <c r="CW98" s="146"/>
      <c r="CX98" s="146"/>
      <c r="CY98" s="146"/>
      <c r="CZ98" s="146"/>
      <c r="DA98" s="146"/>
      <c r="DB98" s="146"/>
      <c r="DC98" s="146"/>
      <c r="DD98" s="146"/>
      <c r="DE98" s="146"/>
      <c r="DF98" s="146"/>
      <c r="DG98" s="146"/>
      <c r="DH98" s="146"/>
      <c r="DI98" s="146"/>
      <c r="DJ98" s="146"/>
      <c r="DK98" s="146"/>
      <c r="DL98" s="146"/>
      <c r="DM98" s="146"/>
      <c r="DN98" s="146"/>
      <c r="DO98" s="146"/>
      <c r="DP98" s="146"/>
      <c r="DQ98" s="146"/>
      <c r="DR98" s="146"/>
      <c r="DS98" s="146"/>
      <c r="DT98" s="146"/>
      <c r="DU98" s="146"/>
      <c r="DV98" s="146"/>
      <c r="DW98" s="146"/>
      <c r="DX98" s="146"/>
      <c r="DY98" s="146"/>
      <c r="DZ98" s="146"/>
      <c r="EA98" s="146"/>
      <c r="EB98" s="146"/>
      <c r="EC98" s="146"/>
      <c r="ED98" s="146"/>
      <c r="EE98" s="146"/>
      <c r="EF98" s="146"/>
      <c r="EG98" s="146"/>
      <c r="EH98" s="146"/>
      <c r="EI98" s="146"/>
      <c r="EJ98" s="146"/>
      <c r="EK98" s="146"/>
      <c r="EL98" s="146"/>
      <c r="EM98" s="146"/>
      <c r="EN98" s="146"/>
      <c r="EO98" s="146"/>
      <c r="EP98" s="146"/>
      <c r="EQ98" s="146"/>
      <c r="ER98" s="146"/>
      <c r="ES98" s="146"/>
      <c r="ET98" s="146"/>
      <c r="EU98" s="146"/>
      <c r="EV98" s="146"/>
      <c r="EW98" s="146"/>
      <c r="EX98" s="146"/>
      <c r="EY98" s="146"/>
      <c r="EZ98" s="146"/>
    </row>
    <row r="99" spans="1:156" ht="14.5" x14ac:dyDescent="0.35">
      <c r="A99" s="43"/>
      <c r="B99" s="75" t="b">
        <v>1</v>
      </c>
      <c r="C99" s="43" t="s">
        <v>2310</v>
      </c>
      <c r="D99" s="43" t="s">
        <v>439</v>
      </c>
      <c r="E99" s="43" t="s">
        <v>2281</v>
      </c>
      <c r="F99" s="43"/>
      <c r="G99" s="43" t="s">
        <v>2637</v>
      </c>
      <c r="H99" s="43" t="s">
        <v>506</v>
      </c>
      <c r="I99" s="43" t="s">
        <v>1015</v>
      </c>
      <c r="J99" s="43" t="s">
        <v>508</v>
      </c>
      <c r="K99" s="43" t="s">
        <v>1039</v>
      </c>
      <c r="L99" s="43" t="s">
        <v>1040</v>
      </c>
      <c r="M99" s="43" t="s">
        <v>2312</v>
      </c>
      <c r="N99" s="43"/>
      <c r="O99" s="43"/>
      <c r="P99" s="43"/>
      <c r="Q99" s="43" t="s">
        <v>2638</v>
      </c>
      <c r="R99" s="43" t="s">
        <v>2314</v>
      </c>
      <c r="S99" s="43" t="s">
        <v>1029</v>
      </c>
      <c r="T99" s="213">
        <v>0</v>
      </c>
      <c r="U99" s="213">
        <v>0</v>
      </c>
      <c r="V99" s="213">
        <v>0</v>
      </c>
      <c r="W99" s="213">
        <v>0</v>
      </c>
      <c r="X99" s="213">
        <v>0</v>
      </c>
      <c r="Y99" s="213">
        <v>0</v>
      </c>
      <c r="Z99" s="213">
        <v>0</v>
      </c>
      <c r="AA99" s="213">
        <v>175000</v>
      </c>
      <c r="AB99" s="213">
        <v>0</v>
      </c>
      <c r="AC99" s="213">
        <v>0</v>
      </c>
      <c r="AD99" s="213">
        <v>0</v>
      </c>
      <c r="AE99" s="213">
        <v>175000</v>
      </c>
      <c r="AF99" s="213">
        <v>350000</v>
      </c>
      <c r="AG99" s="213">
        <v>0</v>
      </c>
      <c r="AH99" s="213">
        <v>0</v>
      </c>
      <c r="AI99" s="213">
        <v>0</v>
      </c>
      <c r="AJ99" s="213">
        <v>0</v>
      </c>
      <c r="AK99" s="213">
        <v>350000</v>
      </c>
      <c r="AL99" s="213">
        <v>0</v>
      </c>
      <c r="AM99" s="213">
        <v>0</v>
      </c>
      <c r="AN99" s="213">
        <v>0</v>
      </c>
      <c r="AO99" s="213">
        <v>0</v>
      </c>
      <c r="AP99" s="213">
        <v>0</v>
      </c>
      <c r="AQ99" s="213">
        <v>350000</v>
      </c>
      <c r="AR99" s="43">
        <v>237</v>
      </c>
      <c r="AS99" s="43" t="s">
        <v>2316</v>
      </c>
      <c r="AT99" s="181">
        <v>2025</v>
      </c>
      <c r="AU99" s="43">
        <f>_xlfn.XLOOKUP(_tPE26_29_Consolidada[[#This Row],[ID Financeiro]],[5]Projetos!$K:$K,[5]Projetos!$A:$A,0,0)</f>
        <v>0</v>
      </c>
      <c r="AV99" s="43" t="s">
        <v>2639</v>
      </c>
      <c r="AW99" s="43" t="s">
        <v>1854</v>
      </c>
      <c r="AX99" s="62" t="s">
        <v>2638</v>
      </c>
      <c r="AY99" s="62"/>
      <c r="AZ99" s="43" t="s">
        <v>2438</v>
      </c>
      <c r="BA99" s="43"/>
      <c r="BB99" s="43"/>
      <c r="BC99" s="43"/>
      <c r="BD99" s="43"/>
      <c r="BE99" s="43"/>
      <c r="BF99" s="43"/>
      <c r="BG99" s="43"/>
      <c r="BH99" s="43"/>
      <c r="BI99" s="43"/>
      <c r="BJ99" s="43"/>
      <c r="BK99" s="43"/>
      <c r="BL99" s="43"/>
      <c r="BM99" s="43"/>
      <c r="BN99" s="43"/>
      <c r="BO99" s="43"/>
      <c r="BP99" s="174">
        <f>IFERROR(VLOOKUP(_tPE26_29_Consolidada[[#This Row],[ID Financeiro]],'[4]PE 25-29'!$B:$AF,31,FALSE),0)</f>
        <v>15000</v>
      </c>
      <c r="BQ99" s="174">
        <f>_tPE26_29_Consolidada[[#This Row],[2026]]*1000</f>
        <v>350000000</v>
      </c>
      <c r="BR99" s="176">
        <f>_tPE26_29_Consolidada[[#This Row],[Orçado 2026 (PE25-29)]]-_tPE26_29_Consolidada[[#This Row],[Orçado 2026 (PE26-30)]]</f>
        <v>-349985000</v>
      </c>
      <c r="BS99" s="175">
        <f>IFERROR(VLOOKUP(_tPE26_29_Consolidada[[#This Row],[ID Financeiro]],'[4]PE 25-29'!$B:$AT,45,FALSE),0)</f>
        <v>15000</v>
      </c>
      <c r="BT99" s="175">
        <f>_tPE26_29_Consolidada[[#This Row],[2026-2030]]*1000</f>
        <v>350000000</v>
      </c>
      <c r="BU99" s="175">
        <f>-_tPE26_29_Consolidada[[#This Row],[Orçado 26/30 (PE25-29)]]+_tPE26_29_Consolidada[[#This Row],[Orçado 26/30 (PE26-30)]]</f>
        <v>349985000</v>
      </c>
      <c r="BV99" s="177">
        <f>IFERROR(_tPE26_29_Consolidada[[#This Row],[Dif2]]/_tPE26_29_Consolidada[[#This Row],[Orçado 26/30 (PE25-29)]],0)</f>
        <v>23332.333333333332</v>
      </c>
      <c r="CQ99" s="146"/>
      <c r="CR99" s="146"/>
      <c r="CS99" s="146"/>
      <c r="CT99" s="146"/>
      <c r="CU99" s="146"/>
      <c r="CV99" s="146"/>
      <c r="CW99" s="146"/>
      <c r="CX99" s="146"/>
      <c r="CY99" s="146"/>
      <c r="CZ99" s="146"/>
      <c r="DA99" s="146"/>
      <c r="DB99" s="146"/>
      <c r="DC99" s="146"/>
      <c r="DD99" s="146"/>
      <c r="DE99" s="146"/>
      <c r="DF99" s="146"/>
      <c r="DG99" s="146"/>
      <c r="DH99" s="146"/>
      <c r="DI99" s="146"/>
      <c r="DJ99" s="146"/>
      <c r="DK99" s="146"/>
      <c r="DL99" s="146"/>
      <c r="DM99" s="146"/>
      <c r="DN99" s="146"/>
      <c r="DO99" s="146"/>
      <c r="DP99" s="146"/>
      <c r="DQ99" s="146"/>
      <c r="DR99" s="146"/>
      <c r="DS99" s="146"/>
      <c r="DT99" s="146"/>
      <c r="DU99" s="146"/>
      <c r="DV99" s="146"/>
      <c r="DW99" s="146"/>
      <c r="DX99" s="146"/>
      <c r="DY99" s="146"/>
      <c r="DZ99" s="146"/>
      <c r="EA99" s="146"/>
      <c r="EB99" s="146"/>
      <c r="EC99" s="146"/>
      <c r="ED99" s="146"/>
      <c r="EE99" s="146"/>
      <c r="EF99" s="146"/>
      <c r="EG99" s="146"/>
      <c r="EH99" s="146"/>
      <c r="EI99" s="146"/>
      <c r="EJ99" s="146"/>
      <c r="EK99" s="146"/>
      <c r="EL99" s="146"/>
      <c r="EM99" s="146"/>
      <c r="EN99" s="146"/>
      <c r="EO99" s="146"/>
      <c r="EP99" s="146"/>
      <c r="EQ99" s="146"/>
      <c r="ER99" s="146"/>
      <c r="ES99" s="146"/>
      <c r="ET99" s="146"/>
      <c r="EU99" s="146"/>
      <c r="EV99" s="146"/>
      <c r="EW99" s="146"/>
      <c r="EX99" s="146"/>
      <c r="EY99" s="146"/>
      <c r="EZ99" s="146"/>
    </row>
    <row r="100" spans="1:156" ht="14.5" x14ac:dyDescent="0.35">
      <c r="A100" s="43"/>
      <c r="B100" s="75" t="b">
        <v>1</v>
      </c>
      <c r="C100" s="43" t="s">
        <v>2310</v>
      </c>
      <c r="D100" s="43" t="s">
        <v>439</v>
      </c>
      <c r="E100" s="43" t="s">
        <v>2281</v>
      </c>
      <c r="F100" s="43"/>
      <c r="G100" s="43" t="s">
        <v>2640</v>
      </c>
      <c r="H100" s="43" t="s">
        <v>506</v>
      </c>
      <c r="I100" s="43" t="s">
        <v>1015</v>
      </c>
      <c r="J100" s="43" t="s">
        <v>508</v>
      </c>
      <c r="K100" s="43" t="s">
        <v>1039</v>
      </c>
      <c r="L100" s="43" t="s">
        <v>1040</v>
      </c>
      <c r="M100" s="43" t="s">
        <v>2312</v>
      </c>
      <c r="N100" s="43"/>
      <c r="O100" s="43"/>
      <c r="P100" s="43"/>
      <c r="Q100" s="43" t="s">
        <v>2641</v>
      </c>
      <c r="R100" s="43" t="s">
        <v>2406</v>
      </c>
      <c r="S100" s="43" t="s">
        <v>2315</v>
      </c>
      <c r="T100" s="213">
        <v>5000</v>
      </c>
      <c r="U100" s="213">
        <v>5000</v>
      </c>
      <c r="V100" s="213">
        <v>5000</v>
      </c>
      <c r="W100" s="213">
        <v>200000</v>
      </c>
      <c r="X100" s="213">
        <v>200000</v>
      </c>
      <c r="Y100" s="213">
        <v>200000</v>
      </c>
      <c r="Z100" s="213">
        <v>265000</v>
      </c>
      <c r="AA100" s="213">
        <v>0</v>
      </c>
      <c r="AB100" s="213">
        <v>0</v>
      </c>
      <c r="AC100" s="213">
        <v>0</v>
      </c>
      <c r="AD100" s="213">
        <v>0</v>
      </c>
      <c r="AE100" s="213">
        <v>0</v>
      </c>
      <c r="AF100" s="213">
        <v>880000</v>
      </c>
      <c r="AG100" s="213">
        <v>0</v>
      </c>
      <c r="AH100" s="213">
        <v>0</v>
      </c>
      <c r="AI100" s="213">
        <v>0</v>
      </c>
      <c r="AJ100" s="213">
        <v>0</v>
      </c>
      <c r="AK100" s="213">
        <v>880000</v>
      </c>
      <c r="AL100" s="213">
        <v>0</v>
      </c>
      <c r="AM100" s="213">
        <v>0</v>
      </c>
      <c r="AN100" s="213">
        <v>0</v>
      </c>
      <c r="AO100" s="213">
        <v>0</v>
      </c>
      <c r="AP100" s="213">
        <v>0</v>
      </c>
      <c r="AQ100" s="213">
        <v>880000</v>
      </c>
      <c r="AR100" s="43">
        <v>238</v>
      </c>
      <c r="AS100" s="43" t="s">
        <v>2407</v>
      </c>
      <c r="AT100" s="181">
        <v>2025</v>
      </c>
      <c r="AU100" s="43">
        <f>_xlfn.XLOOKUP(_tPE26_29_Consolidada[[#This Row],[ID Financeiro]],[5]Projetos!$K:$K,[5]Projetos!$A:$A,0,0)</f>
        <v>0</v>
      </c>
      <c r="AV100" s="43" t="s">
        <v>2642</v>
      </c>
      <c r="AW100" s="43" t="s">
        <v>1854</v>
      </c>
      <c r="AX100" s="62" t="s">
        <v>2641</v>
      </c>
      <c r="AY100" s="62"/>
      <c r="AZ100" s="43" t="s">
        <v>2409</v>
      </c>
      <c r="BA100" s="43"/>
      <c r="BB100" s="43"/>
      <c r="BC100" s="43"/>
      <c r="BD100" s="43"/>
      <c r="BE100" s="43"/>
      <c r="BF100" s="43"/>
      <c r="BG100" s="43"/>
      <c r="BH100" s="43"/>
      <c r="BI100" s="43"/>
      <c r="BJ100" s="43"/>
      <c r="BK100" s="43"/>
      <c r="BL100" s="43"/>
      <c r="BM100" s="43"/>
      <c r="BN100" s="43"/>
      <c r="BO100" s="43"/>
      <c r="BP100" s="174">
        <f>IFERROR(VLOOKUP(_tPE26_29_Consolidada[[#This Row],[ID Financeiro]],'[4]PE 25-29'!$B:$AF,31,FALSE),0)</f>
        <v>116000</v>
      </c>
      <c r="BQ100" s="174">
        <f>_tPE26_29_Consolidada[[#This Row],[2026]]*1000</f>
        <v>880000000</v>
      </c>
      <c r="BR100" s="176">
        <f>_tPE26_29_Consolidada[[#This Row],[Orçado 2026 (PE25-29)]]-_tPE26_29_Consolidada[[#This Row],[Orçado 2026 (PE26-30)]]</f>
        <v>-879884000</v>
      </c>
      <c r="BS100" s="175">
        <f>IFERROR(VLOOKUP(_tPE26_29_Consolidada[[#This Row],[ID Financeiro]],'[4]PE 25-29'!$B:$AT,45,FALSE),0)</f>
        <v>116000</v>
      </c>
      <c r="BT100" s="175">
        <f>_tPE26_29_Consolidada[[#This Row],[2026-2030]]*1000</f>
        <v>880000000</v>
      </c>
      <c r="BU100" s="175">
        <f>-_tPE26_29_Consolidada[[#This Row],[Orçado 26/30 (PE25-29)]]+_tPE26_29_Consolidada[[#This Row],[Orçado 26/30 (PE26-30)]]</f>
        <v>879884000</v>
      </c>
      <c r="BV100" s="177">
        <f>IFERROR(_tPE26_29_Consolidada[[#This Row],[Dif2]]/_tPE26_29_Consolidada[[#This Row],[Orçado 26/30 (PE25-29)]],0)</f>
        <v>7585.2068965517237</v>
      </c>
      <c r="CQ100" s="146"/>
      <c r="CR100" s="146"/>
      <c r="CS100" s="146"/>
      <c r="CT100" s="146"/>
      <c r="CU100" s="146"/>
      <c r="CV100" s="146"/>
      <c r="CW100" s="146"/>
      <c r="CX100" s="146"/>
      <c r="CY100" s="146"/>
      <c r="CZ100" s="146"/>
      <c r="DA100" s="146"/>
      <c r="DB100" s="146"/>
      <c r="DC100" s="146"/>
      <c r="DD100" s="146"/>
      <c r="DE100" s="146"/>
      <c r="DF100" s="146"/>
      <c r="DG100" s="146"/>
      <c r="DH100" s="146"/>
      <c r="DI100" s="146"/>
      <c r="DJ100" s="146"/>
      <c r="DK100" s="146"/>
      <c r="DL100" s="146"/>
      <c r="DM100" s="146"/>
      <c r="DN100" s="146"/>
      <c r="DO100" s="146"/>
      <c r="DP100" s="146"/>
      <c r="DQ100" s="146"/>
      <c r="DR100" s="146"/>
      <c r="DS100" s="146"/>
      <c r="DT100" s="146"/>
      <c r="DU100" s="146"/>
      <c r="DV100" s="146"/>
      <c r="DW100" s="146"/>
      <c r="DX100" s="146"/>
      <c r="DY100" s="146"/>
      <c r="DZ100" s="146"/>
      <c r="EA100" s="146"/>
      <c r="EB100" s="146"/>
      <c r="EC100" s="146"/>
      <c r="ED100" s="146"/>
      <c r="EE100" s="146"/>
      <c r="EF100" s="146"/>
      <c r="EG100" s="146"/>
      <c r="EH100" s="146"/>
      <c r="EI100" s="146"/>
      <c r="EJ100" s="146"/>
      <c r="EK100" s="146"/>
      <c r="EL100" s="146"/>
      <c r="EM100" s="146"/>
      <c r="EN100" s="146"/>
      <c r="EO100" s="146"/>
      <c r="EP100" s="146"/>
      <c r="EQ100" s="146"/>
      <c r="ER100" s="146"/>
      <c r="ES100" s="146"/>
      <c r="ET100" s="146"/>
      <c r="EU100" s="146"/>
      <c r="EV100" s="146"/>
      <c r="EW100" s="146"/>
      <c r="EX100" s="146"/>
      <c r="EY100" s="146"/>
      <c r="EZ100" s="146"/>
    </row>
    <row r="101" spans="1:156" ht="14.5" x14ac:dyDescent="0.35">
      <c r="A101" s="43"/>
      <c r="B101" s="75" t="b">
        <v>1</v>
      </c>
      <c r="C101" s="43" t="s">
        <v>2310</v>
      </c>
      <c r="D101" s="43" t="s">
        <v>439</v>
      </c>
      <c r="E101" s="43" t="s">
        <v>2281</v>
      </c>
      <c r="F101" s="43"/>
      <c r="G101" s="43" t="s">
        <v>2643</v>
      </c>
      <c r="H101" s="43" t="s">
        <v>506</v>
      </c>
      <c r="I101" s="43" t="s">
        <v>1015</v>
      </c>
      <c r="J101" s="43" t="s">
        <v>508</v>
      </c>
      <c r="K101" s="43" t="s">
        <v>1039</v>
      </c>
      <c r="L101" s="43" t="s">
        <v>1040</v>
      </c>
      <c r="M101" s="43" t="s">
        <v>2312</v>
      </c>
      <c r="N101" s="43"/>
      <c r="O101" s="43"/>
      <c r="P101" s="43"/>
      <c r="Q101" s="43" t="s">
        <v>2644</v>
      </c>
      <c r="R101" s="43" t="s">
        <v>2314</v>
      </c>
      <c r="S101" s="43" t="s">
        <v>2338</v>
      </c>
      <c r="T101" s="213">
        <v>20000</v>
      </c>
      <c r="U101" s="213">
        <v>20000</v>
      </c>
      <c r="V101" s="213">
        <v>0</v>
      </c>
      <c r="W101" s="213">
        <v>0</v>
      </c>
      <c r="X101" s="213">
        <v>0</v>
      </c>
      <c r="Y101" s="213">
        <v>0</v>
      </c>
      <c r="Z101" s="213">
        <v>0</v>
      </c>
      <c r="AA101" s="213">
        <v>0</v>
      </c>
      <c r="AB101" s="213">
        <v>0</v>
      </c>
      <c r="AC101" s="213">
        <v>0</v>
      </c>
      <c r="AD101" s="213">
        <v>0</v>
      </c>
      <c r="AE101" s="213">
        <v>0</v>
      </c>
      <c r="AF101" s="213">
        <v>40000</v>
      </c>
      <c r="AG101" s="213">
        <v>0</v>
      </c>
      <c r="AH101" s="213">
        <v>0</v>
      </c>
      <c r="AI101" s="213">
        <v>0</v>
      </c>
      <c r="AJ101" s="213">
        <v>0</v>
      </c>
      <c r="AK101" s="213">
        <v>40000</v>
      </c>
      <c r="AL101" s="213">
        <v>0</v>
      </c>
      <c r="AM101" s="213">
        <v>0</v>
      </c>
      <c r="AN101" s="213">
        <v>0</v>
      </c>
      <c r="AO101" s="213">
        <v>0</v>
      </c>
      <c r="AP101" s="213">
        <v>0</v>
      </c>
      <c r="AQ101" s="213">
        <v>40000</v>
      </c>
      <c r="AR101" s="43">
        <v>239</v>
      </c>
      <c r="AS101" s="43" t="s">
        <v>2316</v>
      </c>
      <c r="AT101" s="181">
        <v>2025</v>
      </c>
      <c r="AU101" s="43">
        <f>_xlfn.XLOOKUP(_tPE26_29_Consolidada[[#This Row],[ID Financeiro]],[5]Projetos!$K:$K,[5]Projetos!$A:$A,0,0)</f>
        <v>0</v>
      </c>
      <c r="AV101" s="43" t="s">
        <v>2645</v>
      </c>
      <c r="AW101" s="43" t="s">
        <v>517</v>
      </c>
      <c r="AX101" s="62" t="s">
        <v>2644</v>
      </c>
      <c r="AY101" s="62"/>
      <c r="AZ101" s="43" t="s">
        <v>2323</v>
      </c>
      <c r="BA101" s="43"/>
      <c r="BB101" s="43"/>
      <c r="BC101" s="43"/>
      <c r="BD101" s="43"/>
      <c r="BE101" s="43"/>
      <c r="BF101" s="43"/>
      <c r="BG101" s="43"/>
      <c r="BH101" s="43"/>
      <c r="BI101" s="43"/>
      <c r="BJ101" s="43"/>
      <c r="BK101" s="43"/>
      <c r="BL101" s="43"/>
      <c r="BM101" s="43"/>
      <c r="BN101" s="43"/>
      <c r="BO101" s="43"/>
      <c r="BP101" s="174">
        <f>IFERROR(VLOOKUP(_tPE26_29_Consolidada[[#This Row],[ID Financeiro]],'[4]PE 25-29'!$B:$AF,31,FALSE),0)</f>
        <v>16800</v>
      </c>
      <c r="BQ101" s="174">
        <f>_tPE26_29_Consolidada[[#This Row],[2026]]*1000</f>
        <v>40000000</v>
      </c>
      <c r="BR101" s="176">
        <f>_tPE26_29_Consolidada[[#This Row],[Orçado 2026 (PE25-29)]]-_tPE26_29_Consolidada[[#This Row],[Orçado 2026 (PE26-30)]]</f>
        <v>-39983200</v>
      </c>
      <c r="BS101" s="175">
        <f>IFERROR(VLOOKUP(_tPE26_29_Consolidada[[#This Row],[ID Financeiro]],'[4]PE 25-29'!$B:$AT,45,FALSE),0)</f>
        <v>16800</v>
      </c>
      <c r="BT101" s="175">
        <f>_tPE26_29_Consolidada[[#This Row],[2026-2030]]*1000</f>
        <v>40000000</v>
      </c>
      <c r="BU101" s="175">
        <f>-_tPE26_29_Consolidada[[#This Row],[Orçado 26/30 (PE25-29)]]+_tPE26_29_Consolidada[[#This Row],[Orçado 26/30 (PE26-30)]]</f>
        <v>39983200</v>
      </c>
      <c r="BV101" s="177">
        <f>IFERROR(_tPE26_29_Consolidada[[#This Row],[Dif2]]/_tPE26_29_Consolidada[[#This Row],[Orçado 26/30 (PE25-29)]],0)</f>
        <v>2379.9523809523807</v>
      </c>
      <c r="CQ101" s="146"/>
      <c r="CR101" s="146"/>
      <c r="CS101" s="146"/>
      <c r="CT101" s="146"/>
      <c r="CU101" s="146"/>
      <c r="CV101" s="146"/>
      <c r="CW101" s="146"/>
      <c r="CX101" s="146"/>
      <c r="CY101" s="146"/>
      <c r="CZ101" s="146"/>
      <c r="DA101" s="146"/>
      <c r="DB101" s="146"/>
      <c r="DC101" s="146"/>
      <c r="DD101" s="146"/>
      <c r="DE101" s="146"/>
      <c r="DF101" s="146"/>
      <c r="DG101" s="146"/>
      <c r="DH101" s="146"/>
      <c r="DI101" s="146"/>
      <c r="DJ101" s="146"/>
      <c r="DK101" s="146"/>
      <c r="DL101" s="146"/>
      <c r="DM101" s="146"/>
      <c r="DN101" s="146"/>
      <c r="DO101" s="146"/>
      <c r="DP101" s="146"/>
      <c r="DQ101" s="146"/>
      <c r="DR101" s="146"/>
      <c r="DS101" s="146"/>
      <c r="DT101" s="146"/>
      <c r="DU101" s="146"/>
      <c r="DV101" s="146"/>
      <c r="DW101" s="146"/>
      <c r="DX101" s="146"/>
      <c r="DY101" s="146"/>
      <c r="DZ101" s="146"/>
      <c r="EA101" s="146"/>
      <c r="EB101" s="146"/>
      <c r="EC101" s="146"/>
      <c r="ED101" s="146"/>
      <c r="EE101" s="146"/>
      <c r="EF101" s="146"/>
      <c r="EG101" s="146"/>
      <c r="EH101" s="146"/>
      <c r="EI101" s="146"/>
      <c r="EJ101" s="146"/>
      <c r="EK101" s="146"/>
      <c r="EL101" s="146"/>
      <c r="EM101" s="146"/>
      <c r="EN101" s="146"/>
      <c r="EO101" s="146"/>
      <c r="EP101" s="146"/>
      <c r="EQ101" s="146"/>
      <c r="ER101" s="146"/>
      <c r="ES101" s="146"/>
      <c r="ET101" s="146"/>
      <c r="EU101" s="146"/>
      <c r="EV101" s="146"/>
      <c r="EW101" s="146"/>
      <c r="EX101" s="146"/>
      <c r="EY101" s="146"/>
      <c r="EZ101" s="146"/>
    </row>
    <row r="102" spans="1:156" ht="14.5" x14ac:dyDescent="0.35">
      <c r="A102" s="43"/>
      <c r="B102" s="75" t="b">
        <v>1</v>
      </c>
      <c r="C102" s="43" t="s">
        <v>2310</v>
      </c>
      <c r="D102" s="43" t="s">
        <v>439</v>
      </c>
      <c r="E102" s="43" t="s">
        <v>2281</v>
      </c>
      <c r="F102" s="43"/>
      <c r="G102" s="43" t="s">
        <v>2646</v>
      </c>
      <c r="H102" s="43" t="s">
        <v>506</v>
      </c>
      <c r="I102" s="43" t="s">
        <v>1015</v>
      </c>
      <c r="J102" s="43" t="s">
        <v>508</v>
      </c>
      <c r="K102" s="43" t="s">
        <v>1039</v>
      </c>
      <c r="L102" s="43" t="s">
        <v>1040</v>
      </c>
      <c r="M102" s="43" t="s">
        <v>2312</v>
      </c>
      <c r="N102" s="43"/>
      <c r="O102" s="43"/>
      <c r="P102" s="43"/>
      <c r="Q102" s="43" t="s">
        <v>2647</v>
      </c>
      <c r="R102" s="43" t="s">
        <v>2314</v>
      </c>
      <c r="S102" s="43" t="s">
        <v>2368</v>
      </c>
      <c r="T102" s="213">
        <v>0</v>
      </c>
      <c r="U102" s="213">
        <v>0</v>
      </c>
      <c r="V102" s="213">
        <v>0</v>
      </c>
      <c r="W102" s="213">
        <v>0</v>
      </c>
      <c r="X102" s="213">
        <v>0</v>
      </c>
      <c r="Y102" s="213">
        <v>0</v>
      </c>
      <c r="Z102" s="213">
        <v>0</v>
      </c>
      <c r="AA102" s="213">
        <v>0</v>
      </c>
      <c r="AB102" s="213">
        <v>0</v>
      </c>
      <c r="AC102" s="213">
        <v>0</v>
      </c>
      <c r="AD102" s="213">
        <v>0</v>
      </c>
      <c r="AE102" s="213">
        <v>0</v>
      </c>
      <c r="AF102" s="213">
        <v>0</v>
      </c>
      <c r="AG102" s="213">
        <v>0</v>
      </c>
      <c r="AH102" s="213">
        <v>1800000</v>
      </c>
      <c r="AI102" s="213">
        <v>2000000</v>
      </c>
      <c r="AJ102" s="213">
        <v>0</v>
      </c>
      <c r="AK102" s="213">
        <v>3800000</v>
      </c>
      <c r="AL102" s="213">
        <v>0</v>
      </c>
      <c r="AM102" s="213">
        <v>0</v>
      </c>
      <c r="AN102" s="213">
        <v>0</v>
      </c>
      <c r="AO102" s="213">
        <v>0</v>
      </c>
      <c r="AP102" s="213">
        <v>0</v>
      </c>
      <c r="AQ102" s="213">
        <v>3800000</v>
      </c>
      <c r="AR102" s="43">
        <v>243</v>
      </c>
      <c r="AS102" s="43" t="s">
        <v>2316</v>
      </c>
      <c r="AT102" s="181">
        <v>2025</v>
      </c>
      <c r="AU102" s="43">
        <f>_xlfn.XLOOKUP(_tPE26_29_Consolidada[[#This Row],[ID Financeiro]],[5]Projetos!$K:$K,[5]Projetos!$A:$A,0,0)</f>
        <v>0</v>
      </c>
      <c r="AV102" s="43" t="s">
        <v>2648</v>
      </c>
      <c r="AW102" s="43" t="s">
        <v>1603</v>
      </c>
      <c r="AX102" s="62" t="s">
        <v>2647</v>
      </c>
      <c r="AY102" s="62"/>
      <c r="AZ102" s="43" t="s">
        <v>2361</v>
      </c>
      <c r="BA102" s="43"/>
      <c r="BB102" s="43"/>
      <c r="BC102" s="43"/>
      <c r="BD102" s="43"/>
      <c r="BE102" s="43"/>
      <c r="BF102" s="43"/>
      <c r="BG102" s="43"/>
      <c r="BH102" s="43"/>
      <c r="BI102" s="43"/>
      <c r="BJ102" s="43"/>
      <c r="BK102" s="43"/>
      <c r="BL102" s="43"/>
      <c r="BM102" s="43"/>
      <c r="BN102" s="43"/>
      <c r="BO102" s="43"/>
      <c r="BP102" s="174">
        <f>IFERROR(VLOOKUP(_tPE26_29_Consolidada[[#This Row],[ID Financeiro]],'[4]PE 25-29'!$B:$AF,31,FALSE),0)</f>
        <v>0</v>
      </c>
      <c r="BQ102" s="174">
        <f>_tPE26_29_Consolidada[[#This Row],[2026]]*1000</f>
        <v>0</v>
      </c>
      <c r="BR102" s="176">
        <f>_tPE26_29_Consolidada[[#This Row],[Orçado 2026 (PE25-29)]]-_tPE26_29_Consolidada[[#This Row],[Orçado 2026 (PE26-30)]]</f>
        <v>0</v>
      </c>
      <c r="BS102" s="175">
        <f>IFERROR(VLOOKUP(_tPE26_29_Consolidada[[#This Row],[ID Financeiro]],'[4]PE 25-29'!$B:$AT,45,FALSE),0)</f>
        <v>3500000</v>
      </c>
      <c r="BT102" s="175">
        <f>_tPE26_29_Consolidada[[#This Row],[2026-2030]]*1000</f>
        <v>3800000000</v>
      </c>
      <c r="BU102" s="175">
        <f>-_tPE26_29_Consolidada[[#This Row],[Orçado 26/30 (PE25-29)]]+_tPE26_29_Consolidada[[#This Row],[Orçado 26/30 (PE26-30)]]</f>
        <v>3796500000</v>
      </c>
      <c r="BV102" s="177">
        <f>IFERROR(_tPE26_29_Consolidada[[#This Row],[Dif2]]/_tPE26_29_Consolidada[[#This Row],[Orçado 26/30 (PE25-29)]],0)</f>
        <v>1084.7142857142858</v>
      </c>
      <c r="CQ102" s="146"/>
      <c r="CR102" s="146"/>
      <c r="CS102" s="146"/>
      <c r="CT102" s="146"/>
      <c r="CU102" s="146"/>
      <c r="CV102" s="146"/>
      <c r="CW102" s="146"/>
      <c r="CX102" s="146"/>
      <c r="CY102" s="146"/>
      <c r="CZ102" s="146"/>
      <c r="DA102" s="146"/>
      <c r="DB102" s="146"/>
      <c r="DC102" s="146"/>
      <c r="DD102" s="146"/>
      <c r="DE102" s="146"/>
      <c r="DF102" s="146"/>
      <c r="DG102" s="146"/>
      <c r="DH102" s="146"/>
      <c r="DI102" s="146"/>
      <c r="DJ102" s="146"/>
      <c r="DK102" s="146"/>
      <c r="DL102" s="146"/>
      <c r="DM102" s="146"/>
      <c r="DN102" s="146"/>
      <c r="DO102" s="146"/>
      <c r="DP102" s="146"/>
      <c r="DQ102" s="146"/>
      <c r="DR102" s="146"/>
      <c r="DS102" s="146"/>
      <c r="DT102" s="146"/>
      <c r="DU102" s="146"/>
      <c r="DV102" s="146"/>
      <c r="DW102" s="146"/>
      <c r="DX102" s="146"/>
      <c r="DY102" s="146"/>
      <c r="DZ102" s="146"/>
      <c r="EA102" s="146"/>
      <c r="EB102" s="146"/>
      <c r="EC102" s="146"/>
      <c r="ED102" s="146"/>
      <c r="EE102" s="146"/>
      <c r="EF102" s="146"/>
      <c r="EG102" s="146"/>
      <c r="EH102" s="146"/>
      <c r="EI102" s="146"/>
      <c r="EJ102" s="146"/>
      <c r="EK102" s="146"/>
      <c r="EL102" s="146"/>
      <c r="EM102" s="146"/>
      <c r="EN102" s="146"/>
      <c r="EO102" s="146"/>
      <c r="EP102" s="146"/>
      <c r="EQ102" s="146"/>
      <c r="ER102" s="146"/>
      <c r="ES102" s="146"/>
      <c r="ET102" s="146"/>
      <c r="EU102" s="146"/>
      <c r="EV102" s="146"/>
      <c r="EW102" s="146"/>
      <c r="EX102" s="146"/>
      <c r="EY102" s="146"/>
      <c r="EZ102" s="146"/>
    </row>
    <row r="103" spans="1:156" ht="14.5" x14ac:dyDescent="0.35">
      <c r="A103" s="43"/>
      <c r="B103" s="75" t="b">
        <v>1</v>
      </c>
      <c r="C103" s="43" t="s">
        <v>2310</v>
      </c>
      <c r="D103" s="43" t="s">
        <v>439</v>
      </c>
      <c r="E103" s="43" t="s">
        <v>2281</v>
      </c>
      <c r="F103" s="43"/>
      <c r="G103" s="43" t="s">
        <v>2649</v>
      </c>
      <c r="H103" s="43" t="s">
        <v>506</v>
      </c>
      <c r="I103" s="43" t="s">
        <v>1015</v>
      </c>
      <c r="J103" s="43" t="s">
        <v>508</v>
      </c>
      <c r="K103" s="43" t="s">
        <v>1741</v>
      </c>
      <c r="L103" s="43" t="s">
        <v>1741</v>
      </c>
      <c r="M103" s="43" t="s">
        <v>2650</v>
      </c>
      <c r="N103" s="43"/>
      <c r="O103" s="43"/>
      <c r="P103" s="43"/>
      <c r="Q103" s="43" t="s">
        <v>2651</v>
      </c>
      <c r="R103" s="43" t="s">
        <v>2652</v>
      </c>
      <c r="S103" s="43" t="s">
        <v>2653</v>
      </c>
      <c r="T103" s="213">
        <v>0</v>
      </c>
      <c r="U103" s="213">
        <v>0</v>
      </c>
      <c r="V103" s="213">
        <v>0</v>
      </c>
      <c r="W103" s="213">
        <v>0</v>
      </c>
      <c r="X103" s="213">
        <v>0</v>
      </c>
      <c r="Y103" s="213">
        <v>0</v>
      </c>
      <c r="Z103" s="213">
        <v>0</v>
      </c>
      <c r="AA103" s="213">
        <v>0</v>
      </c>
      <c r="AB103" s="213">
        <v>0</v>
      </c>
      <c r="AC103" s="213">
        <v>0</v>
      </c>
      <c r="AD103" s="213">
        <v>5000</v>
      </c>
      <c r="AE103" s="213">
        <v>5000</v>
      </c>
      <c r="AF103" s="213">
        <v>10000</v>
      </c>
      <c r="AG103" s="213">
        <v>1990000</v>
      </c>
      <c r="AH103" s="213">
        <v>3000000</v>
      </c>
      <c r="AI103" s="213">
        <v>0</v>
      </c>
      <c r="AJ103" s="213">
        <v>0</v>
      </c>
      <c r="AK103" s="213">
        <v>5000000</v>
      </c>
      <c r="AL103" s="213">
        <v>0</v>
      </c>
      <c r="AM103" s="213">
        <v>0</v>
      </c>
      <c r="AN103" s="213">
        <v>0</v>
      </c>
      <c r="AO103" s="213">
        <v>0</v>
      </c>
      <c r="AP103" s="213">
        <v>0</v>
      </c>
      <c r="AQ103" s="213">
        <v>5000000</v>
      </c>
      <c r="AR103" s="43">
        <v>177</v>
      </c>
      <c r="AS103" s="43" t="s">
        <v>2407</v>
      </c>
      <c r="AT103" s="181">
        <v>2025</v>
      </c>
      <c r="AU103" s="43"/>
      <c r="AV103" s="43" t="s">
        <v>2654</v>
      </c>
      <c r="AW103" s="43" t="s">
        <v>1603</v>
      </c>
      <c r="AX103" s="62" t="s">
        <v>2651</v>
      </c>
      <c r="AY103" s="62"/>
      <c r="AZ103" s="43" t="s">
        <v>2409</v>
      </c>
      <c r="BA103" s="43"/>
      <c r="BB103" s="43"/>
      <c r="BC103" s="43"/>
      <c r="BD103" s="43"/>
      <c r="BE103" s="43"/>
      <c r="BF103" s="43"/>
      <c r="BG103" s="43"/>
      <c r="BH103" s="43"/>
      <c r="BI103" s="43"/>
      <c r="BJ103" s="43"/>
      <c r="BK103" s="43"/>
      <c r="BL103" s="43"/>
      <c r="BM103" s="43"/>
      <c r="BN103" s="43"/>
      <c r="BO103" s="43"/>
      <c r="BP103" s="43">
        <f>IFERROR(VLOOKUP(_tPE26_29_Consolidada[[#This Row],[ID Financeiro]],'[4]PE 25-29'!$B:$AF,31,FALSE),0)</f>
        <v>0</v>
      </c>
      <c r="BQ103" s="148">
        <f>_tPE26_29_Consolidada[[#This Row],[2026]]*1000</f>
        <v>10000000</v>
      </c>
      <c r="BR103" s="176">
        <f>_tPE26_29_Consolidada[[#This Row],[Orçado 2026 (PE25-29)]]-_tPE26_29_Consolidada[[#This Row],[Orçado 2026 (PE26-30)]]</f>
        <v>-10000000</v>
      </c>
      <c r="BS103" s="43">
        <f>IFERROR(VLOOKUP(_tPE26_29_Consolidada[[#This Row],[ID Financeiro]],'[4]PE 25-29'!$B:$AT,45,FALSE),0)</f>
        <v>0</v>
      </c>
      <c r="BT103" s="148">
        <f>_tPE26_29_Consolidada[[#This Row],[2026-2030]]*1000</f>
        <v>5000000000</v>
      </c>
      <c r="BU103" s="148">
        <f>-_tPE26_29_Consolidada[[#This Row],[Orçado 26/30 (PE25-29)]]+_tPE26_29_Consolidada[[#This Row],[Orçado 26/30 (PE26-30)]]</f>
        <v>5000000000</v>
      </c>
      <c r="BV103" s="43">
        <f>IFERROR(_tPE26_29_Consolidada[[#This Row],[Dif2]]/_tPE26_29_Consolidada[[#This Row],[Orçado 26/30 (PE25-29)]],0)</f>
        <v>0</v>
      </c>
      <c r="CQ103" s="146"/>
      <c r="CR103" s="146"/>
      <c r="CS103" s="146"/>
      <c r="CT103" s="146"/>
      <c r="CU103" s="146"/>
      <c r="CV103" s="146"/>
      <c r="CW103" s="146"/>
      <c r="CX103" s="146"/>
      <c r="CY103" s="146"/>
      <c r="CZ103" s="146"/>
      <c r="DA103" s="146"/>
      <c r="DB103" s="146"/>
      <c r="DC103" s="146"/>
      <c r="DD103" s="146"/>
      <c r="DE103" s="146"/>
      <c r="DF103" s="146"/>
      <c r="DG103" s="146"/>
      <c r="DH103" s="146"/>
      <c r="DI103" s="146"/>
      <c r="DJ103" s="146"/>
      <c r="DK103" s="146"/>
      <c r="DL103" s="146"/>
      <c r="DM103" s="146"/>
      <c r="DN103" s="146"/>
      <c r="DO103" s="146"/>
      <c r="DP103" s="146"/>
      <c r="DQ103" s="146"/>
      <c r="DR103" s="146"/>
      <c r="DS103" s="146"/>
      <c r="DT103" s="146"/>
      <c r="DU103" s="146"/>
      <c r="DV103" s="146"/>
      <c r="DW103" s="146"/>
      <c r="DX103" s="146"/>
      <c r="DY103" s="146"/>
      <c r="DZ103" s="146"/>
      <c r="EA103" s="146"/>
      <c r="EB103" s="146"/>
      <c r="EC103" s="146"/>
      <c r="ED103" s="146"/>
      <c r="EE103" s="146"/>
      <c r="EF103" s="146"/>
      <c r="EG103" s="146"/>
      <c r="EH103" s="146"/>
      <c r="EI103" s="146"/>
      <c r="EJ103" s="146"/>
      <c r="EK103" s="146"/>
      <c r="EL103" s="146"/>
      <c r="EM103" s="146"/>
      <c r="EN103" s="146"/>
      <c r="EO103" s="146"/>
      <c r="EP103" s="146"/>
      <c r="EQ103" s="146"/>
      <c r="ER103" s="146"/>
      <c r="ES103" s="146"/>
      <c r="ET103" s="146"/>
      <c r="EU103" s="146"/>
      <c r="EV103" s="146"/>
      <c r="EW103" s="146"/>
      <c r="EX103" s="146"/>
      <c r="EY103" s="146"/>
      <c r="EZ103" s="146"/>
    </row>
    <row r="104" spans="1:156" ht="14.5" x14ac:dyDescent="0.35">
      <c r="A104" s="43"/>
      <c r="B104" s="75" t="b">
        <v>1</v>
      </c>
      <c r="C104" s="43" t="s">
        <v>2310</v>
      </c>
      <c r="D104" s="43" t="s">
        <v>439</v>
      </c>
      <c r="E104" s="43" t="s">
        <v>2281</v>
      </c>
      <c r="F104" s="43"/>
      <c r="G104" s="43" t="s">
        <v>2655</v>
      </c>
      <c r="H104" s="43" t="s">
        <v>506</v>
      </c>
      <c r="I104" s="43" t="s">
        <v>1015</v>
      </c>
      <c r="J104" s="43" t="s">
        <v>508</v>
      </c>
      <c r="K104" s="43" t="s">
        <v>1741</v>
      </c>
      <c r="L104" s="43" t="s">
        <v>1741</v>
      </c>
      <c r="M104" s="43" t="s">
        <v>2650</v>
      </c>
      <c r="N104" s="43"/>
      <c r="O104" s="43"/>
      <c r="P104" s="43"/>
      <c r="Q104" s="43" t="s">
        <v>2656</v>
      </c>
      <c r="R104" s="43" t="s">
        <v>2652</v>
      </c>
      <c r="S104" s="43" t="s">
        <v>1029</v>
      </c>
      <c r="T104" s="213">
        <v>0</v>
      </c>
      <c r="U104" s="213">
        <v>0</v>
      </c>
      <c r="V104" s="213">
        <v>5000</v>
      </c>
      <c r="W104" s="213">
        <v>5000</v>
      </c>
      <c r="X104" s="213">
        <v>5000</v>
      </c>
      <c r="Y104" s="213">
        <v>5000</v>
      </c>
      <c r="Z104" s="213">
        <v>5000</v>
      </c>
      <c r="AA104" s="213">
        <v>5000</v>
      </c>
      <c r="AB104" s="213">
        <v>5000</v>
      </c>
      <c r="AC104" s="213">
        <v>5000</v>
      </c>
      <c r="AD104" s="213">
        <v>5000</v>
      </c>
      <c r="AE104" s="213">
        <v>5000</v>
      </c>
      <c r="AF104" s="213">
        <v>50000</v>
      </c>
      <c r="AG104" s="213">
        <v>2000000</v>
      </c>
      <c r="AH104" s="213">
        <v>2950000</v>
      </c>
      <c r="AI104" s="213">
        <v>0</v>
      </c>
      <c r="AJ104" s="213">
        <v>0</v>
      </c>
      <c r="AK104" s="213">
        <v>5000000</v>
      </c>
      <c r="AL104" s="213">
        <v>0</v>
      </c>
      <c r="AM104" s="213">
        <v>0</v>
      </c>
      <c r="AN104" s="213">
        <v>0</v>
      </c>
      <c r="AO104" s="213">
        <v>0</v>
      </c>
      <c r="AP104" s="213">
        <v>0</v>
      </c>
      <c r="AQ104" s="213">
        <v>5000000</v>
      </c>
      <c r="AR104" s="43">
        <v>240</v>
      </c>
      <c r="AS104" s="43" t="s">
        <v>2407</v>
      </c>
      <c r="AT104" s="181">
        <v>2025</v>
      </c>
      <c r="AU104" s="43"/>
      <c r="AV104" s="43" t="s">
        <v>2657</v>
      </c>
      <c r="AW104" s="43" t="s">
        <v>1854</v>
      </c>
      <c r="AX104" s="62" t="s">
        <v>2656</v>
      </c>
      <c r="AY104" s="62"/>
      <c r="AZ104" s="43" t="s">
        <v>2409</v>
      </c>
      <c r="BA104" s="43"/>
      <c r="BB104" s="43"/>
      <c r="BC104" s="43"/>
      <c r="BD104" s="43"/>
      <c r="BE104" s="43"/>
      <c r="BF104" s="43"/>
      <c r="BG104" s="43"/>
      <c r="BH104" s="43"/>
      <c r="BI104" s="43"/>
      <c r="BJ104" s="43"/>
      <c r="BK104" s="43"/>
      <c r="BL104" s="43"/>
      <c r="BM104" s="43"/>
      <c r="BN104" s="43"/>
      <c r="BO104" s="43"/>
      <c r="BP104" s="43">
        <f>IFERROR(VLOOKUP(_tPE26_29_Consolidada[[#This Row],[ID Financeiro]],'[4]PE 25-29'!$B:$AF,31,FALSE),0)</f>
        <v>0</v>
      </c>
      <c r="BQ104" s="148">
        <f>_tPE26_29_Consolidada[[#This Row],[2026]]*1000</f>
        <v>50000000</v>
      </c>
      <c r="BR104" s="176">
        <f>_tPE26_29_Consolidada[[#This Row],[Orçado 2026 (PE25-29)]]-_tPE26_29_Consolidada[[#This Row],[Orçado 2026 (PE26-30)]]</f>
        <v>-50000000</v>
      </c>
      <c r="BS104" s="43">
        <f>IFERROR(VLOOKUP(_tPE26_29_Consolidada[[#This Row],[ID Financeiro]],'[4]PE 25-29'!$B:$AT,45,FALSE),0)</f>
        <v>0</v>
      </c>
      <c r="BT104" s="148">
        <f>_tPE26_29_Consolidada[[#This Row],[2026-2030]]*1000</f>
        <v>5000000000</v>
      </c>
      <c r="BU104" s="148">
        <f>-_tPE26_29_Consolidada[[#This Row],[Orçado 26/30 (PE25-29)]]+_tPE26_29_Consolidada[[#This Row],[Orçado 26/30 (PE26-30)]]</f>
        <v>5000000000</v>
      </c>
      <c r="BV104" s="43">
        <f>IFERROR(_tPE26_29_Consolidada[[#This Row],[Dif2]]/_tPE26_29_Consolidada[[#This Row],[Orçado 26/30 (PE25-29)]],0)</f>
        <v>0</v>
      </c>
      <c r="CQ104" s="146"/>
      <c r="CR104" s="146"/>
      <c r="CS104" s="146"/>
      <c r="CT104" s="146"/>
      <c r="CU104" s="146"/>
      <c r="CV104" s="146"/>
      <c r="CW104" s="146"/>
      <c r="CX104" s="146"/>
      <c r="CY104" s="146"/>
      <c r="CZ104" s="146"/>
      <c r="DA104" s="146"/>
      <c r="DB104" s="146"/>
      <c r="DC104" s="146"/>
      <c r="DD104" s="146"/>
      <c r="DE104" s="146"/>
      <c r="DF104" s="146"/>
      <c r="DG104" s="146"/>
      <c r="DH104" s="146"/>
      <c r="DI104" s="146"/>
      <c r="DJ104" s="146"/>
      <c r="DK104" s="146"/>
      <c r="DL104" s="146"/>
      <c r="DM104" s="146"/>
      <c r="DN104" s="146"/>
      <c r="DO104" s="146"/>
      <c r="DP104" s="146"/>
      <c r="DQ104" s="146"/>
      <c r="DR104" s="146"/>
      <c r="DS104" s="146"/>
      <c r="DT104" s="146"/>
      <c r="DU104" s="146"/>
      <c r="DV104" s="146"/>
      <c r="DW104" s="146"/>
      <c r="DX104" s="146"/>
      <c r="DY104" s="146"/>
      <c r="DZ104" s="146"/>
      <c r="EA104" s="146"/>
      <c r="EB104" s="146"/>
      <c r="EC104" s="146"/>
      <c r="ED104" s="146"/>
      <c r="EE104" s="146"/>
      <c r="EF104" s="146"/>
      <c r="EG104" s="146"/>
      <c r="EH104" s="146"/>
      <c r="EI104" s="146"/>
      <c r="EJ104" s="146"/>
      <c r="EK104" s="146"/>
      <c r="EL104" s="146"/>
      <c r="EM104" s="146"/>
      <c r="EN104" s="146"/>
      <c r="EO104" s="146"/>
      <c r="EP104" s="146"/>
      <c r="EQ104" s="146"/>
      <c r="ER104" s="146"/>
      <c r="ES104" s="146"/>
      <c r="ET104" s="146"/>
      <c r="EU104" s="146"/>
      <c r="EV104" s="146"/>
      <c r="EW104" s="146"/>
      <c r="EX104" s="146"/>
      <c r="EY104" s="146"/>
      <c r="EZ104" s="146"/>
    </row>
    <row r="105" spans="1:156" ht="14.5" x14ac:dyDescent="0.35">
      <c r="A105" s="43"/>
      <c r="B105" s="75" t="b">
        <v>1</v>
      </c>
      <c r="C105" s="43" t="s">
        <v>2310</v>
      </c>
      <c r="D105" s="43" t="s">
        <v>439</v>
      </c>
      <c r="E105" s="43" t="s">
        <v>2281</v>
      </c>
      <c r="F105" s="43"/>
      <c r="G105" s="43" t="s">
        <v>2658</v>
      </c>
      <c r="H105" s="43" t="s">
        <v>506</v>
      </c>
      <c r="I105" s="43" t="s">
        <v>1015</v>
      </c>
      <c r="J105" s="43" t="s">
        <v>508</v>
      </c>
      <c r="K105" s="43" t="s">
        <v>1741</v>
      </c>
      <c r="L105" s="43" t="s">
        <v>1741</v>
      </c>
      <c r="M105" s="43" t="s">
        <v>2650</v>
      </c>
      <c r="N105" s="43"/>
      <c r="O105" s="43"/>
      <c r="P105" s="43"/>
      <c r="Q105" s="43" t="s">
        <v>2659</v>
      </c>
      <c r="R105" s="43" t="s">
        <v>2652</v>
      </c>
      <c r="S105" s="43" t="s">
        <v>1029</v>
      </c>
      <c r="T105" s="213">
        <v>5000</v>
      </c>
      <c r="U105" s="213">
        <v>5000</v>
      </c>
      <c r="V105" s="213">
        <v>5000</v>
      </c>
      <c r="W105" s="213">
        <v>5000</v>
      </c>
      <c r="X105" s="213">
        <v>5000</v>
      </c>
      <c r="Y105" s="213">
        <v>5000</v>
      </c>
      <c r="Z105" s="213">
        <v>50000</v>
      </c>
      <c r="AA105" s="213">
        <v>50000</v>
      </c>
      <c r="AB105" s="213">
        <v>100000</v>
      </c>
      <c r="AC105" s="213">
        <v>100000</v>
      </c>
      <c r="AD105" s="213">
        <v>100000</v>
      </c>
      <c r="AE105" s="213">
        <v>100000</v>
      </c>
      <c r="AF105" s="213">
        <v>530000</v>
      </c>
      <c r="AG105" s="213">
        <v>10000</v>
      </c>
      <c r="AH105" s="213">
        <v>0</v>
      </c>
      <c r="AI105" s="213">
        <v>0</v>
      </c>
      <c r="AJ105" s="213">
        <v>0</v>
      </c>
      <c r="AK105" s="213">
        <v>540000</v>
      </c>
      <c r="AL105" s="213">
        <v>0</v>
      </c>
      <c r="AM105" s="213">
        <v>0</v>
      </c>
      <c r="AN105" s="213">
        <v>0</v>
      </c>
      <c r="AO105" s="213">
        <v>0</v>
      </c>
      <c r="AP105" s="213">
        <v>0</v>
      </c>
      <c r="AQ105" s="213">
        <v>540000</v>
      </c>
      <c r="AR105" s="43">
        <v>241</v>
      </c>
      <c r="AS105" s="43" t="s">
        <v>2407</v>
      </c>
      <c r="AT105" s="181">
        <v>2025</v>
      </c>
      <c r="AU105" s="43"/>
      <c r="AV105" s="43" t="s">
        <v>2660</v>
      </c>
      <c r="AW105" s="43" t="s">
        <v>1854</v>
      </c>
      <c r="AX105" s="62" t="s">
        <v>2659</v>
      </c>
      <c r="AY105" s="62"/>
      <c r="AZ105" s="43" t="s">
        <v>2409</v>
      </c>
      <c r="BA105" s="43"/>
      <c r="BB105" s="43"/>
      <c r="BC105" s="43"/>
      <c r="BD105" s="43"/>
      <c r="BE105" s="43"/>
      <c r="BF105" s="43"/>
      <c r="BG105" s="43"/>
      <c r="BH105" s="43"/>
      <c r="BI105" s="43"/>
      <c r="BJ105" s="43"/>
      <c r="BK105" s="43"/>
      <c r="BL105" s="43"/>
      <c r="BM105" s="43"/>
      <c r="BN105" s="43"/>
      <c r="BO105" s="43"/>
      <c r="BP105" s="43">
        <f>IFERROR(VLOOKUP(_tPE26_29_Consolidada[[#This Row],[ID Financeiro]],'[4]PE 25-29'!$B:$AF,31,FALSE),0)</f>
        <v>0</v>
      </c>
      <c r="BQ105" s="148">
        <f>_tPE26_29_Consolidada[[#This Row],[2026]]*1000</f>
        <v>530000000</v>
      </c>
      <c r="BR105" s="176">
        <f>_tPE26_29_Consolidada[[#This Row],[Orçado 2026 (PE25-29)]]-_tPE26_29_Consolidada[[#This Row],[Orçado 2026 (PE26-30)]]</f>
        <v>-530000000</v>
      </c>
      <c r="BS105" s="43">
        <f>IFERROR(VLOOKUP(_tPE26_29_Consolidada[[#This Row],[ID Financeiro]],'[4]PE 25-29'!$B:$AT,45,FALSE),0)</f>
        <v>0</v>
      </c>
      <c r="BT105" s="148">
        <f>_tPE26_29_Consolidada[[#This Row],[2026-2030]]*1000</f>
        <v>540000000</v>
      </c>
      <c r="BU105" s="148">
        <f>-_tPE26_29_Consolidada[[#This Row],[Orçado 26/30 (PE25-29)]]+_tPE26_29_Consolidada[[#This Row],[Orçado 26/30 (PE26-30)]]</f>
        <v>540000000</v>
      </c>
      <c r="BV105" s="43">
        <f>IFERROR(_tPE26_29_Consolidada[[#This Row],[Dif2]]/_tPE26_29_Consolidada[[#This Row],[Orçado 26/30 (PE25-29)]],0)</f>
        <v>0</v>
      </c>
      <c r="CQ105" s="146"/>
      <c r="CR105" s="146"/>
      <c r="CS105" s="146"/>
      <c r="CT105" s="146"/>
      <c r="CU105" s="146"/>
      <c r="CV105" s="146"/>
      <c r="CW105" s="146"/>
      <c r="CX105" s="146"/>
      <c r="CY105" s="146"/>
      <c r="CZ105" s="146"/>
      <c r="DA105" s="146"/>
      <c r="DB105" s="146"/>
      <c r="DC105" s="146"/>
      <c r="DD105" s="146"/>
      <c r="DE105" s="146"/>
      <c r="DF105" s="146"/>
      <c r="DG105" s="146"/>
      <c r="DH105" s="146"/>
      <c r="DI105" s="146"/>
      <c r="DJ105" s="146"/>
      <c r="DK105" s="146"/>
      <c r="DL105" s="146"/>
      <c r="DM105" s="146"/>
      <c r="DN105" s="146"/>
      <c r="DO105" s="146"/>
      <c r="DP105" s="146"/>
      <c r="DQ105" s="146"/>
      <c r="DR105" s="146"/>
      <c r="DS105" s="146"/>
      <c r="DT105" s="146"/>
      <c r="DU105" s="146"/>
      <c r="DV105" s="146"/>
      <c r="DW105" s="146"/>
      <c r="DX105" s="146"/>
      <c r="DY105" s="146"/>
      <c r="DZ105" s="146"/>
      <c r="EA105" s="146"/>
      <c r="EB105" s="146"/>
      <c r="EC105" s="146"/>
      <c r="ED105" s="146"/>
      <c r="EE105" s="146"/>
      <c r="EF105" s="146"/>
      <c r="EG105" s="146"/>
      <c r="EH105" s="146"/>
      <c r="EI105" s="146"/>
      <c r="EJ105" s="146"/>
      <c r="EK105" s="146"/>
      <c r="EL105" s="146"/>
      <c r="EM105" s="146"/>
      <c r="EN105" s="146"/>
      <c r="EO105" s="146"/>
      <c r="EP105" s="146"/>
      <c r="EQ105" s="146"/>
      <c r="ER105" s="146"/>
      <c r="ES105" s="146"/>
      <c r="ET105" s="146"/>
      <c r="EU105" s="146"/>
      <c r="EV105" s="146"/>
      <c r="EW105" s="146"/>
      <c r="EX105" s="146"/>
      <c r="EY105" s="146"/>
      <c r="EZ105" s="146"/>
    </row>
    <row r="106" spans="1:156" ht="26" x14ac:dyDescent="0.35">
      <c r="A106" s="43"/>
      <c r="B106" s="75" t="b">
        <v>1</v>
      </c>
      <c r="C106" s="43" t="s">
        <v>2310</v>
      </c>
      <c r="D106" s="43" t="s">
        <v>439</v>
      </c>
      <c r="E106" s="43" t="s">
        <v>2281</v>
      </c>
      <c r="F106" s="43"/>
      <c r="G106" s="43" t="s">
        <v>2661</v>
      </c>
      <c r="H106" s="43" t="s">
        <v>506</v>
      </c>
      <c r="I106" s="43" t="s">
        <v>1015</v>
      </c>
      <c r="J106" s="43" t="s">
        <v>508</v>
      </c>
      <c r="K106" s="43" t="s">
        <v>1741</v>
      </c>
      <c r="L106" s="43" t="s">
        <v>1741</v>
      </c>
      <c r="M106" s="43" t="s">
        <v>2650</v>
      </c>
      <c r="N106" s="43"/>
      <c r="O106" s="43"/>
      <c r="P106" s="43"/>
      <c r="Q106" s="43" t="s">
        <v>2662</v>
      </c>
      <c r="R106" s="43" t="s">
        <v>2652</v>
      </c>
      <c r="S106" s="43" t="s">
        <v>2315</v>
      </c>
      <c r="T106" s="213">
        <v>200000</v>
      </c>
      <c r="U106" s="213">
        <v>150000</v>
      </c>
      <c r="V106" s="213">
        <v>150000</v>
      </c>
      <c r="W106" s="213">
        <v>100000</v>
      </c>
      <c r="X106" s="213">
        <v>50000</v>
      </c>
      <c r="Y106" s="213">
        <v>50000</v>
      </c>
      <c r="Z106" s="213">
        <v>50000</v>
      </c>
      <c r="AA106" s="213">
        <v>50000</v>
      </c>
      <c r="AB106" s="213">
        <v>50000</v>
      </c>
      <c r="AC106" s="213">
        <v>50000</v>
      </c>
      <c r="AD106" s="213">
        <v>50000</v>
      </c>
      <c r="AE106" s="213">
        <v>50000</v>
      </c>
      <c r="AF106" s="213">
        <v>1000000</v>
      </c>
      <c r="AG106" s="213">
        <v>1000000</v>
      </c>
      <c r="AH106" s="213">
        <v>1000000</v>
      </c>
      <c r="AI106" s="213">
        <v>1000000</v>
      </c>
      <c r="AJ106" s="213">
        <v>1000000</v>
      </c>
      <c r="AK106" s="213">
        <v>5000000</v>
      </c>
      <c r="AL106" s="213">
        <v>0</v>
      </c>
      <c r="AM106" s="213">
        <v>0</v>
      </c>
      <c r="AN106" s="213">
        <v>0</v>
      </c>
      <c r="AO106" s="213">
        <v>0</v>
      </c>
      <c r="AP106" s="213">
        <v>0</v>
      </c>
      <c r="AQ106" s="213">
        <v>5000000</v>
      </c>
      <c r="AR106" s="43">
        <v>242</v>
      </c>
      <c r="AS106" s="43" t="s">
        <v>2407</v>
      </c>
      <c r="AT106" s="181">
        <v>2025</v>
      </c>
      <c r="AU106" s="43"/>
      <c r="AV106" s="43" t="s">
        <v>2663</v>
      </c>
      <c r="AW106" s="43" t="s">
        <v>517</v>
      </c>
      <c r="AX106" s="62" t="s">
        <v>2662</v>
      </c>
      <c r="AY106" s="62" t="s">
        <v>2664</v>
      </c>
      <c r="AZ106" s="43" t="s">
        <v>2409</v>
      </c>
      <c r="BA106" s="43"/>
      <c r="BB106" s="43"/>
      <c r="BC106" s="43"/>
      <c r="BD106" s="43"/>
      <c r="BE106" s="43"/>
      <c r="BF106" s="43"/>
      <c r="BG106" s="43"/>
      <c r="BH106" s="43"/>
      <c r="BI106" s="43"/>
      <c r="BJ106" s="43"/>
      <c r="BK106" s="43"/>
      <c r="BL106" s="43"/>
      <c r="BM106" s="43"/>
      <c r="BN106" s="43"/>
      <c r="BO106" s="43"/>
      <c r="BP106" s="43">
        <f>IFERROR(VLOOKUP(_tPE26_29_Consolidada[[#This Row],[ID Financeiro]],'[4]PE 25-29'!$B:$AF,31,FALSE),0)</f>
        <v>0</v>
      </c>
      <c r="BQ106" s="148">
        <f>_tPE26_29_Consolidada[[#This Row],[2026]]*1000</f>
        <v>1000000000</v>
      </c>
      <c r="BR106" s="176">
        <f>_tPE26_29_Consolidada[[#This Row],[Orçado 2026 (PE25-29)]]-_tPE26_29_Consolidada[[#This Row],[Orçado 2026 (PE26-30)]]</f>
        <v>-1000000000</v>
      </c>
      <c r="BS106" s="43">
        <f>IFERROR(VLOOKUP(_tPE26_29_Consolidada[[#This Row],[ID Financeiro]],'[4]PE 25-29'!$B:$AT,45,FALSE),0)</f>
        <v>0</v>
      </c>
      <c r="BT106" s="148">
        <f>_tPE26_29_Consolidada[[#This Row],[2026-2030]]*1000</f>
        <v>5000000000</v>
      </c>
      <c r="BU106" s="148">
        <f>-_tPE26_29_Consolidada[[#This Row],[Orçado 26/30 (PE25-29)]]+_tPE26_29_Consolidada[[#This Row],[Orçado 26/30 (PE26-30)]]</f>
        <v>5000000000</v>
      </c>
      <c r="BV106" s="43">
        <f>IFERROR(_tPE26_29_Consolidada[[#This Row],[Dif2]]/_tPE26_29_Consolidada[[#This Row],[Orçado 26/30 (PE25-29)]],0)</f>
        <v>0</v>
      </c>
      <c r="CQ106" s="146"/>
      <c r="CR106" s="146"/>
      <c r="CS106" s="146"/>
      <c r="CT106" s="146"/>
      <c r="CU106" s="146"/>
      <c r="CV106" s="146"/>
      <c r="CW106" s="146"/>
      <c r="CX106" s="146"/>
      <c r="CY106" s="146"/>
      <c r="CZ106" s="146"/>
      <c r="DA106" s="146"/>
      <c r="DB106" s="146"/>
      <c r="DC106" s="146"/>
      <c r="DD106" s="146"/>
      <c r="DE106" s="146"/>
      <c r="DF106" s="146"/>
      <c r="DG106" s="146"/>
      <c r="DH106" s="146"/>
      <c r="DI106" s="146"/>
      <c r="DJ106" s="146"/>
      <c r="DK106" s="146"/>
      <c r="DL106" s="146"/>
      <c r="DM106" s="146"/>
      <c r="DN106" s="146"/>
      <c r="DO106" s="146"/>
      <c r="DP106" s="146"/>
      <c r="DQ106" s="146"/>
      <c r="DR106" s="146"/>
      <c r="DS106" s="146"/>
      <c r="DT106" s="146"/>
      <c r="DU106" s="146"/>
      <c r="DV106" s="146"/>
      <c r="DW106" s="146"/>
      <c r="DX106" s="146"/>
      <c r="DY106" s="146"/>
      <c r="DZ106" s="146"/>
      <c r="EA106" s="146"/>
      <c r="EB106" s="146"/>
      <c r="EC106" s="146"/>
      <c r="ED106" s="146"/>
      <c r="EE106" s="146"/>
      <c r="EF106" s="146"/>
      <c r="EG106" s="146"/>
      <c r="EH106" s="146"/>
      <c r="EI106" s="146"/>
      <c r="EJ106" s="146"/>
      <c r="EK106" s="146"/>
      <c r="EL106" s="146"/>
      <c r="EM106" s="146"/>
      <c r="EN106" s="146"/>
      <c r="EO106" s="146"/>
      <c r="EP106" s="146"/>
      <c r="EQ106" s="146"/>
      <c r="ER106" s="146"/>
      <c r="ES106" s="146"/>
      <c r="ET106" s="146"/>
      <c r="EU106" s="146"/>
      <c r="EV106" s="146"/>
      <c r="EW106" s="146"/>
      <c r="EX106" s="146"/>
      <c r="EY106" s="146"/>
      <c r="EZ106" s="146"/>
    </row>
    <row r="107" spans="1:156" ht="14.5" x14ac:dyDescent="0.35">
      <c r="A107" s="43"/>
      <c r="B107" s="75" t="b">
        <v>1</v>
      </c>
      <c r="C107" s="43" t="s">
        <v>2310</v>
      </c>
      <c r="D107" s="43" t="s">
        <v>439</v>
      </c>
      <c r="E107" s="43" t="s">
        <v>2281</v>
      </c>
      <c r="F107" s="43"/>
      <c r="G107" s="43" t="s">
        <v>2665</v>
      </c>
      <c r="H107" s="43" t="s">
        <v>506</v>
      </c>
      <c r="I107" s="43" t="s">
        <v>1015</v>
      </c>
      <c r="J107" s="43" t="s">
        <v>508</v>
      </c>
      <c r="K107" s="43" t="s">
        <v>1741</v>
      </c>
      <c r="L107" s="43" t="s">
        <v>1741</v>
      </c>
      <c r="M107" s="43" t="s">
        <v>2650</v>
      </c>
      <c r="N107" s="43"/>
      <c r="O107" s="43"/>
      <c r="P107" s="43"/>
      <c r="Q107" s="43" t="s">
        <v>2666</v>
      </c>
      <c r="R107" s="43" t="s">
        <v>2652</v>
      </c>
      <c r="S107" s="43" t="s">
        <v>1016</v>
      </c>
      <c r="T107" s="213">
        <v>1650000</v>
      </c>
      <c r="U107" s="213">
        <v>1650000</v>
      </c>
      <c r="V107" s="213">
        <v>1700000</v>
      </c>
      <c r="W107" s="213">
        <v>0</v>
      </c>
      <c r="X107" s="213">
        <v>0</v>
      </c>
      <c r="Y107" s="213">
        <v>0</v>
      </c>
      <c r="Z107" s="213">
        <v>0</v>
      </c>
      <c r="AA107" s="213">
        <v>0</v>
      </c>
      <c r="AB107" s="213">
        <v>0</v>
      </c>
      <c r="AC107" s="213">
        <v>0</v>
      </c>
      <c r="AD107" s="213">
        <v>0</v>
      </c>
      <c r="AE107" s="213">
        <v>0</v>
      </c>
      <c r="AF107" s="213">
        <v>5000000</v>
      </c>
      <c r="AG107" s="213">
        <v>0</v>
      </c>
      <c r="AH107" s="213">
        <v>0</v>
      </c>
      <c r="AI107" s="213">
        <v>0</v>
      </c>
      <c r="AJ107" s="213">
        <v>0</v>
      </c>
      <c r="AK107" s="213">
        <v>5000000</v>
      </c>
      <c r="AL107" s="213">
        <v>0</v>
      </c>
      <c r="AM107" s="213">
        <v>0</v>
      </c>
      <c r="AN107" s="213">
        <v>0</v>
      </c>
      <c r="AO107" s="213">
        <v>0</v>
      </c>
      <c r="AP107" s="213">
        <v>0</v>
      </c>
      <c r="AQ107" s="213">
        <v>5000000</v>
      </c>
      <c r="AR107" s="43">
        <v>244</v>
      </c>
      <c r="AS107" s="43" t="s">
        <v>2407</v>
      </c>
      <c r="AT107" s="181">
        <v>2025</v>
      </c>
      <c r="AU107" s="43"/>
      <c r="AV107" s="43" t="s">
        <v>2667</v>
      </c>
      <c r="AW107" s="43" t="s">
        <v>517</v>
      </c>
      <c r="AX107" s="62" t="s">
        <v>2666</v>
      </c>
      <c r="AY107" s="62"/>
      <c r="AZ107" s="43" t="s">
        <v>2409</v>
      </c>
      <c r="BA107" s="43"/>
      <c r="BB107" s="43"/>
      <c r="BC107" s="43"/>
      <c r="BD107" s="43"/>
      <c r="BE107" s="43"/>
      <c r="BF107" s="43"/>
      <c r="BG107" s="43"/>
      <c r="BH107" s="43"/>
      <c r="BI107" s="43"/>
      <c r="BJ107" s="43"/>
      <c r="BK107" s="43"/>
      <c r="BL107" s="43"/>
      <c r="BM107" s="43"/>
      <c r="BN107" s="43"/>
      <c r="BO107" s="43"/>
      <c r="BP107" s="43">
        <f>IFERROR(VLOOKUP(_tPE26_29_Consolidada[[#This Row],[ID Financeiro]],'[4]PE 25-29'!$B:$AF,31,FALSE),0)</f>
        <v>0</v>
      </c>
      <c r="BQ107" s="148">
        <f>_tPE26_29_Consolidada[[#This Row],[2026]]*1000</f>
        <v>5000000000</v>
      </c>
      <c r="BR107" s="176">
        <f>_tPE26_29_Consolidada[[#This Row],[Orçado 2026 (PE25-29)]]-_tPE26_29_Consolidada[[#This Row],[Orçado 2026 (PE26-30)]]</f>
        <v>-5000000000</v>
      </c>
      <c r="BS107" s="43">
        <f>IFERROR(VLOOKUP(_tPE26_29_Consolidada[[#This Row],[ID Financeiro]],'[4]PE 25-29'!$B:$AT,45,FALSE),0)</f>
        <v>0</v>
      </c>
      <c r="BT107" s="148">
        <f>_tPE26_29_Consolidada[[#This Row],[2026-2030]]*1000</f>
        <v>5000000000</v>
      </c>
      <c r="BU107" s="148">
        <f>-_tPE26_29_Consolidada[[#This Row],[Orçado 26/30 (PE25-29)]]+_tPE26_29_Consolidada[[#This Row],[Orçado 26/30 (PE26-30)]]</f>
        <v>5000000000</v>
      </c>
      <c r="BV107" s="43">
        <f>IFERROR(_tPE26_29_Consolidada[[#This Row],[Dif2]]/_tPE26_29_Consolidada[[#This Row],[Orçado 26/30 (PE25-29)]],0)</f>
        <v>0</v>
      </c>
      <c r="CQ107" s="146"/>
      <c r="CR107" s="146"/>
      <c r="CS107" s="146"/>
      <c r="CT107" s="146"/>
      <c r="CU107" s="146"/>
      <c r="CV107" s="146"/>
      <c r="CW107" s="146"/>
      <c r="CX107" s="146"/>
      <c r="CY107" s="146"/>
      <c r="CZ107" s="146"/>
      <c r="DA107" s="146"/>
      <c r="DB107" s="146"/>
      <c r="DC107" s="146"/>
      <c r="DD107" s="146"/>
      <c r="DE107" s="146"/>
      <c r="DF107" s="146"/>
      <c r="DG107" s="146"/>
      <c r="DH107" s="146"/>
      <c r="DI107" s="146"/>
      <c r="DJ107" s="146"/>
      <c r="DK107" s="146"/>
      <c r="DL107" s="146"/>
      <c r="DM107" s="146"/>
      <c r="DN107" s="146"/>
      <c r="DO107" s="146"/>
      <c r="DP107" s="146"/>
      <c r="DQ107" s="146"/>
      <c r="DR107" s="146"/>
      <c r="DS107" s="146"/>
      <c r="DT107" s="146"/>
      <c r="DU107" s="146"/>
      <c r="DV107" s="146"/>
      <c r="DW107" s="146"/>
      <c r="DX107" s="146"/>
      <c r="DY107" s="146"/>
      <c r="DZ107" s="146"/>
      <c r="EA107" s="146"/>
      <c r="EB107" s="146"/>
      <c r="EC107" s="146"/>
      <c r="ED107" s="146"/>
      <c r="EE107" s="146"/>
      <c r="EF107" s="146"/>
      <c r="EG107" s="146"/>
      <c r="EH107" s="146"/>
      <c r="EI107" s="146"/>
      <c r="EJ107" s="146"/>
      <c r="EK107" s="146"/>
      <c r="EL107" s="146"/>
      <c r="EM107" s="146"/>
      <c r="EN107" s="146"/>
      <c r="EO107" s="146"/>
      <c r="EP107" s="146"/>
      <c r="EQ107" s="146"/>
      <c r="ER107" s="146"/>
      <c r="ES107" s="146"/>
      <c r="ET107" s="146"/>
      <c r="EU107" s="146"/>
      <c r="EV107" s="146"/>
      <c r="EW107" s="146"/>
      <c r="EX107" s="146"/>
      <c r="EY107" s="146"/>
      <c r="EZ107" s="146"/>
    </row>
    <row r="108" spans="1:156" ht="14.5" x14ac:dyDescent="0.35">
      <c r="A108" s="43"/>
      <c r="B108" s="75" t="b">
        <v>1</v>
      </c>
      <c r="C108" s="43" t="s">
        <v>2310</v>
      </c>
      <c r="D108" s="43" t="s">
        <v>439</v>
      </c>
      <c r="E108" s="43" t="s">
        <v>2281</v>
      </c>
      <c r="F108" s="43"/>
      <c r="G108" s="43" t="s">
        <v>2668</v>
      </c>
      <c r="H108" s="43" t="s">
        <v>506</v>
      </c>
      <c r="I108" s="43" t="s">
        <v>1015</v>
      </c>
      <c r="J108" s="43" t="s">
        <v>508</v>
      </c>
      <c r="K108" s="43" t="s">
        <v>1741</v>
      </c>
      <c r="L108" s="43" t="s">
        <v>1741</v>
      </c>
      <c r="M108" s="43" t="s">
        <v>2650</v>
      </c>
      <c r="N108" s="43"/>
      <c r="O108" s="43"/>
      <c r="P108" s="43"/>
      <c r="Q108" s="43" t="s">
        <v>2669</v>
      </c>
      <c r="R108" s="43" t="s">
        <v>2652</v>
      </c>
      <c r="S108" s="43" t="s">
        <v>2315</v>
      </c>
      <c r="T108" s="213">
        <v>0</v>
      </c>
      <c r="U108" s="213">
        <v>0</v>
      </c>
      <c r="V108" s="213">
        <v>500000</v>
      </c>
      <c r="W108" s="213">
        <v>500000</v>
      </c>
      <c r="X108" s="213">
        <v>500000</v>
      </c>
      <c r="Y108" s="213">
        <v>500000</v>
      </c>
      <c r="Z108" s="213">
        <v>500000</v>
      </c>
      <c r="AA108" s="213">
        <v>500000</v>
      </c>
      <c r="AB108" s="213">
        <v>500000</v>
      </c>
      <c r="AC108" s="213">
        <v>500000</v>
      </c>
      <c r="AD108" s="213">
        <v>500000</v>
      </c>
      <c r="AE108" s="213">
        <v>500000</v>
      </c>
      <c r="AF108" s="213">
        <v>5000000</v>
      </c>
      <c r="AG108" s="213">
        <v>0</v>
      </c>
      <c r="AH108" s="213">
        <v>0</v>
      </c>
      <c r="AI108" s="213">
        <v>0</v>
      </c>
      <c r="AJ108" s="213">
        <v>0</v>
      </c>
      <c r="AK108" s="213">
        <v>5000000</v>
      </c>
      <c r="AL108" s="213">
        <v>0</v>
      </c>
      <c r="AM108" s="213">
        <v>0</v>
      </c>
      <c r="AN108" s="213">
        <v>0</v>
      </c>
      <c r="AO108" s="213">
        <v>0</v>
      </c>
      <c r="AP108" s="213">
        <v>0</v>
      </c>
      <c r="AQ108" s="213">
        <v>5000000</v>
      </c>
      <c r="AR108" s="43">
        <v>245</v>
      </c>
      <c r="AS108" s="43" t="s">
        <v>2407</v>
      </c>
      <c r="AT108" s="181">
        <v>2025</v>
      </c>
      <c r="AU108" s="43"/>
      <c r="AV108" s="43" t="s">
        <v>2670</v>
      </c>
      <c r="AW108" s="43" t="s">
        <v>1854</v>
      </c>
      <c r="AX108" s="62" t="s">
        <v>2669</v>
      </c>
      <c r="AY108" s="62"/>
      <c r="AZ108" s="43" t="s">
        <v>2409</v>
      </c>
      <c r="BA108" s="43"/>
      <c r="BB108" s="43"/>
      <c r="BC108" s="43"/>
      <c r="BD108" s="43"/>
      <c r="BE108" s="43"/>
      <c r="BF108" s="43"/>
      <c r="BG108" s="43"/>
      <c r="BH108" s="43"/>
      <c r="BI108" s="43"/>
      <c r="BJ108" s="43"/>
      <c r="BK108" s="43"/>
      <c r="BL108" s="43"/>
      <c r="BM108" s="43"/>
      <c r="BN108" s="43"/>
      <c r="BO108" s="43"/>
      <c r="BP108" s="43">
        <f>IFERROR(VLOOKUP(_tPE26_29_Consolidada[[#This Row],[ID Financeiro]],'[4]PE 25-29'!$B:$AF,31,FALSE),0)</f>
        <v>0</v>
      </c>
      <c r="BQ108" s="148">
        <f>_tPE26_29_Consolidada[[#This Row],[2026]]*1000</f>
        <v>5000000000</v>
      </c>
      <c r="BR108" s="176">
        <f>_tPE26_29_Consolidada[[#This Row],[Orçado 2026 (PE25-29)]]-_tPE26_29_Consolidada[[#This Row],[Orçado 2026 (PE26-30)]]</f>
        <v>-5000000000</v>
      </c>
      <c r="BS108" s="43">
        <f>IFERROR(VLOOKUP(_tPE26_29_Consolidada[[#This Row],[ID Financeiro]],'[4]PE 25-29'!$B:$AT,45,FALSE),0)</f>
        <v>0</v>
      </c>
      <c r="BT108" s="148">
        <f>_tPE26_29_Consolidada[[#This Row],[2026-2030]]*1000</f>
        <v>5000000000</v>
      </c>
      <c r="BU108" s="148">
        <f>-_tPE26_29_Consolidada[[#This Row],[Orçado 26/30 (PE25-29)]]+_tPE26_29_Consolidada[[#This Row],[Orçado 26/30 (PE26-30)]]</f>
        <v>5000000000</v>
      </c>
      <c r="BV108" s="43">
        <f>IFERROR(_tPE26_29_Consolidada[[#This Row],[Dif2]]/_tPE26_29_Consolidada[[#This Row],[Orçado 26/30 (PE25-29)]],0)</f>
        <v>0</v>
      </c>
      <c r="CQ108" s="146"/>
      <c r="CR108" s="146"/>
      <c r="CS108" s="146"/>
      <c r="CT108" s="146"/>
      <c r="CU108" s="146"/>
      <c r="CV108" s="146"/>
      <c r="CW108" s="146"/>
      <c r="CX108" s="146"/>
      <c r="CY108" s="146"/>
      <c r="CZ108" s="146"/>
      <c r="DA108" s="146"/>
      <c r="DB108" s="146"/>
      <c r="DC108" s="146"/>
      <c r="DD108" s="146"/>
      <c r="DE108" s="146"/>
      <c r="DF108" s="146"/>
      <c r="DG108" s="146"/>
      <c r="DH108" s="146"/>
      <c r="DI108" s="146"/>
      <c r="DJ108" s="146"/>
      <c r="DK108" s="146"/>
      <c r="DL108" s="146"/>
      <c r="DM108" s="146"/>
      <c r="DN108" s="146"/>
      <c r="DO108" s="146"/>
      <c r="DP108" s="146"/>
      <c r="DQ108" s="146"/>
      <c r="DR108" s="146"/>
      <c r="DS108" s="146"/>
      <c r="DT108" s="146"/>
      <c r="DU108" s="146"/>
      <c r="DV108" s="146"/>
      <c r="DW108" s="146"/>
      <c r="DX108" s="146"/>
      <c r="DY108" s="146"/>
      <c r="DZ108" s="146"/>
      <c r="EA108" s="146"/>
      <c r="EB108" s="146"/>
      <c r="EC108" s="146"/>
      <c r="ED108" s="146"/>
      <c r="EE108" s="146"/>
      <c r="EF108" s="146"/>
      <c r="EG108" s="146"/>
      <c r="EH108" s="146"/>
      <c r="EI108" s="146"/>
      <c r="EJ108" s="146"/>
      <c r="EK108" s="146"/>
      <c r="EL108" s="146"/>
      <c r="EM108" s="146"/>
      <c r="EN108" s="146"/>
      <c r="EO108" s="146"/>
      <c r="EP108" s="146"/>
      <c r="EQ108" s="146"/>
      <c r="ER108" s="146"/>
      <c r="ES108" s="146"/>
      <c r="ET108" s="146"/>
      <c r="EU108" s="146"/>
      <c r="EV108" s="146"/>
      <c r="EW108" s="146"/>
      <c r="EX108" s="146"/>
      <c r="EY108" s="146"/>
      <c r="EZ108" s="146"/>
    </row>
    <row r="109" spans="1:156" ht="14.5" x14ac:dyDescent="0.35">
      <c r="A109" s="43"/>
      <c r="B109" s="75" t="b">
        <v>1</v>
      </c>
      <c r="C109" s="43" t="s">
        <v>2310</v>
      </c>
      <c r="D109" s="43" t="s">
        <v>439</v>
      </c>
      <c r="E109" s="43" t="s">
        <v>2281</v>
      </c>
      <c r="F109" s="43"/>
      <c r="G109" s="43" t="s">
        <v>2671</v>
      </c>
      <c r="H109" s="43" t="s">
        <v>506</v>
      </c>
      <c r="I109" s="43" t="s">
        <v>1015</v>
      </c>
      <c r="J109" s="43" t="s">
        <v>508</v>
      </c>
      <c r="K109" s="43" t="s">
        <v>1741</v>
      </c>
      <c r="L109" s="43" t="s">
        <v>1741</v>
      </c>
      <c r="M109" s="43" t="s">
        <v>2650</v>
      </c>
      <c r="N109" s="43"/>
      <c r="O109" s="43"/>
      <c r="P109" s="43"/>
      <c r="Q109" s="43" t="s">
        <v>2672</v>
      </c>
      <c r="R109" s="43" t="s">
        <v>2652</v>
      </c>
      <c r="S109" s="43" t="s">
        <v>2315</v>
      </c>
      <c r="T109" s="213">
        <v>300000</v>
      </c>
      <c r="U109" s="213">
        <v>300000</v>
      </c>
      <c r="V109" s="213">
        <v>500000</v>
      </c>
      <c r="W109" s="213">
        <v>300000</v>
      </c>
      <c r="X109" s="213">
        <v>300000</v>
      </c>
      <c r="Y109" s="213">
        <v>500000</v>
      </c>
      <c r="Z109" s="213">
        <v>600000</v>
      </c>
      <c r="AA109" s="213">
        <v>300000</v>
      </c>
      <c r="AB109" s="213">
        <v>500000</v>
      </c>
      <c r="AC109" s="213">
        <v>500000</v>
      </c>
      <c r="AD109" s="213">
        <v>500000</v>
      </c>
      <c r="AE109" s="213">
        <v>500000</v>
      </c>
      <c r="AF109" s="213">
        <v>5100000</v>
      </c>
      <c r="AG109" s="213">
        <v>0</v>
      </c>
      <c r="AH109" s="213">
        <v>0</v>
      </c>
      <c r="AI109" s="213">
        <v>0</v>
      </c>
      <c r="AJ109" s="213">
        <v>0</v>
      </c>
      <c r="AK109" s="213">
        <v>5100000</v>
      </c>
      <c r="AL109" s="213">
        <v>0</v>
      </c>
      <c r="AM109" s="213">
        <v>0</v>
      </c>
      <c r="AN109" s="213">
        <v>0</v>
      </c>
      <c r="AO109" s="213">
        <v>0</v>
      </c>
      <c r="AP109" s="213">
        <v>0</v>
      </c>
      <c r="AQ109" s="213">
        <v>5100000</v>
      </c>
      <c r="AR109" s="43">
        <v>246</v>
      </c>
      <c r="AS109" s="43" t="s">
        <v>2407</v>
      </c>
      <c r="AT109" s="181">
        <v>2025</v>
      </c>
      <c r="AU109" s="43"/>
      <c r="AV109" s="43" t="s">
        <v>2673</v>
      </c>
      <c r="AW109" s="43" t="s">
        <v>1854</v>
      </c>
      <c r="AX109" s="62" t="s">
        <v>2672</v>
      </c>
      <c r="AY109" s="62"/>
      <c r="AZ109" s="43" t="s">
        <v>2409</v>
      </c>
      <c r="BA109" s="43"/>
      <c r="BB109" s="43"/>
      <c r="BC109" s="43"/>
      <c r="BD109" s="43"/>
      <c r="BE109" s="43"/>
      <c r="BF109" s="43"/>
      <c r="BG109" s="43"/>
      <c r="BH109" s="43"/>
      <c r="BI109" s="43"/>
      <c r="BJ109" s="43"/>
      <c r="BK109" s="43"/>
      <c r="BL109" s="43"/>
      <c r="BM109" s="43"/>
      <c r="BN109" s="43"/>
      <c r="BO109" s="43"/>
      <c r="BP109" s="43">
        <f>IFERROR(VLOOKUP(_tPE26_29_Consolidada[[#This Row],[ID Financeiro]],'[4]PE 25-29'!$B:$AF,31,FALSE),0)</f>
        <v>0</v>
      </c>
      <c r="BQ109" s="148">
        <f>_tPE26_29_Consolidada[[#This Row],[2026]]*1000</f>
        <v>5100000000</v>
      </c>
      <c r="BR109" s="176">
        <f>_tPE26_29_Consolidada[[#This Row],[Orçado 2026 (PE25-29)]]-_tPE26_29_Consolidada[[#This Row],[Orçado 2026 (PE26-30)]]</f>
        <v>-5100000000</v>
      </c>
      <c r="BS109" s="43">
        <f>IFERROR(VLOOKUP(_tPE26_29_Consolidada[[#This Row],[ID Financeiro]],'[4]PE 25-29'!$B:$AT,45,FALSE),0)</f>
        <v>0</v>
      </c>
      <c r="BT109" s="148">
        <f>_tPE26_29_Consolidada[[#This Row],[2026-2030]]*1000</f>
        <v>5100000000</v>
      </c>
      <c r="BU109" s="148">
        <f>-_tPE26_29_Consolidada[[#This Row],[Orçado 26/30 (PE25-29)]]+_tPE26_29_Consolidada[[#This Row],[Orçado 26/30 (PE26-30)]]</f>
        <v>5100000000</v>
      </c>
      <c r="BV109" s="43">
        <f>IFERROR(_tPE26_29_Consolidada[[#This Row],[Dif2]]/_tPE26_29_Consolidada[[#This Row],[Orçado 26/30 (PE25-29)]],0)</f>
        <v>0</v>
      </c>
      <c r="CQ109" s="146"/>
      <c r="CR109" s="146"/>
      <c r="CS109" s="146"/>
      <c r="CT109" s="146"/>
      <c r="CU109" s="146"/>
      <c r="CV109" s="146"/>
      <c r="CW109" s="146"/>
      <c r="CX109" s="146"/>
      <c r="CY109" s="146"/>
      <c r="CZ109" s="146"/>
      <c r="DA109" s="146"/>
      <c r="DB109" s="146"/>
      <c r="DC109" s="146"/>
      <c r="DD109" s="146"/>
      <c r="DE109" s="146"/>
      <c r="DF109" s="146"/>
      <c r="DG109" s="146"/>
      <c r="DH109" s="146"/>
      <c r="DI109" s="146"/>
      <c r="DJ109" s="146"/>
      <c r="DK109" s="146"/>
      <c r="DL109" s="146"/>
      <c r="DM109" s="146"/>
      <c r="DN109" s="146"/>
      <c r="DO109" s="146"/>
      <c r="DP109" s="146"/>
      <c r="DQ109" s="146"/>
      <c r="DR109" s="146"/>
      <c r="DS109" s="146"/>
      <c r="DT109" s="146"/>
      <c r="DU109" s="146"/>
      <c r="DV109" s="146"/>
      <c r="DW109" s="146"/>
      <c r="DX109" s="146"/>
      <c r="DY109" s="146"/>
      <c r="DZ109" s="146"/>
      <c r="EA109" s="146"/>
      <c r="EB109" s="146"/>
      <c r="EC109" s="146"/>
      <c r="ED109" s="146"/>
      <c r="EE109" s="146"/>
      <c r="EF109" s="146"/>
      <c r="EG109" s="146"/>
      <c r="EH109" s="146"/>
      <c r="EI109" s="146"/>
      <c r="EJ109" s="146"/>
      <c r="EK109" s="146"/>
      <c r="EL109" s="146"/>
      <c r="EM109" s="146"/>
      <c r="EN109" s="146"/>
      <c r="EO109" s="146"/>
      <c r="EP109" s="146"/>
      <c r="EQ109" s="146"/>
      <c r="ER109" s="146"/>
      <c r="ES109" s="146"/>
      <c r="ET109" s="146"/>
      <c r="EU109" s="146"/>
      <c r="EV109" s="146"/>
      <c r="EW109" s="146"/>
      <c r="EX109" s="146"/>
      <c r="EY109" s="146"/>
      <c r="EZ109" s="146"/>
    </row>
    <row r="110" spans="1:156" ht="14.5" x14ac:dyDescent="0.35">
      <c r="A110" s="43"/>
      <c r="B110" s="75" t="b">
        <v>1</v>
      </c>
      <c r="C110" s="43" t="s">
        <v>2310</v>
      </c>
      <c r="D110" s="43" t="s">
        <v>439</v>
      </c>
      <c r="E110" s="43" t="s">
        <v>2281</v>
      </c>
      <c r="F110" s="43"/>
      <c r="G110" s="43" t="s">
        <v>2674</v>
      </c>
      <c r="H110" s="43" t="s">
        <v>506</v>
      </c>
      <c r="I110" s="43" t="s">
        <v>1015</v>
      </c>
      <c r="J110" s="43" t="s">
        <v>508</v>
      </c>
      <c r="K110" s="43" t="s">
        <v>1741</v>
      </c>
      <c r="L110" s="43" t="s">
        <v>1741</v>
      </c>
      <c r="M110" s="43" t="s">
        <v>2675</v>
      </c>
      <c r="N110" s="43"/>
      <c r="O110" s="43"/>
      <c r="P110" s="43"/>
      <c r="Q110" s="43" t="s">
        <v>2676</v>
      </c>
      <c r="R110" s="43" t="s">
        <v>2652</v>
      </c>
      <c r="S110" s="43" t="s">
        <v>2315</v>
      </c>
      <c r="T110" s="213">
        <v>450000</v>
      </c>
      <c r="U110" s="213">
        <v>450000</v>
      </c>
      <c r="V110" s="213">
        <v>450000</v>
      </c>
      <c r="W110" s="213">
        <v>450000</v>
      </c>
      <c r="X110" s="213">
        <v>120000</v>
      </c>
      <c r="Y110" s="213">
        <v>0</v>
      </c>
      <c r="Z110" s="213">
        <v>0</v>
      </c>
      <c r="AA110" s="213">
        <v>0</v>
      </c>
      <c r="AB110" s="213">
        <v>0</v>
      </c>
      <c r="AC110" s="213">
        <v>0</v>
      </c>
      <c r="AD110" s="213">
        <v>0</v>
      </c>
      <c r="AE110" s="213">
        <v>0</v>
      </c>
      <c r="AF110" s="213">
        <v>1920000</v>
      </c>
      <c r="AG110" s="213">
        <v>0</v>
      </c>
      <c r="AH110" s="213">
        <v>0</v>
      </c>
      <c r="AI110" s="213">
        <v>0</v>
      </c>
      <c r="AJ110" s="213">
        <v>0</v>
      </c>
      <c r="AK110" s="213">
        <v>1920000</v>
      </c>
      <c r="AL110" s="213">
        <v>0</v>
      </c>
      <c r="AM110" s="213">
        <v>0</v>
      </c>
      <c r="AN110" s="213">
        <v>0</v>
      </c>
      <c r="AO110" s="213">
        <v>0</v>
      </c>
      <c r="AP110" s="213">
        <v>0</v>
      </c>
      <c r="AQ110" s="213">
        <v>1920000</v>
      </c>
      <c r="AR110" s="43">
        <v>247</v>
      </c>
      <c r="AS110" s="43" t="s">
        <v>2407</v>
      </c>
      <c r="AT110" s="181" t="s">
        <v>1772</v>
      </c>
      <c r="AU110" s="43"/>
      <c r="AV110" s="43" t="s">
        <v>2677</v>
      </c>
      <c r="AW110" s="43" t="s">
        <v>1854</v>
      </c>
      <c r="AX110" s="62" t="s">
        <v>2676</v>
      </c>
      <c r="AY110" s="62"/>
      <c r="AZ110" s="43" t="s">
        <v>2409</v>
      </c>
      <c r="BA110" s="43"/>
      <c r="BB110" s="43"/>
      <c r="BC110" s="43"/>
      <c r="BD110" s="43"/>
      <c r="BE110" s="43"/>
      <c r="BF110" s="43"/>
      <c r="BG110" s="43"/>
      <c r="BH110" s="43"/>
      <c r="BI110" s="43"/>
      <c r="BJ110" s="43"/>
      <c r="BK110" s="43"/>
      <c r="BL110" s="43"/>
      <c r="BM110" s="43"/>
      <c r="BN110" s="43"/>
      <c r="BO110" s="43"/>
      <c r="BP110" s="43">
        <f>IFERROR(VLOOKUP(_tPE26_29_Consolidada[[#This Row],[ID Financeiro]],'[4]PE 25-29'!$B:$AF,31,FALSE),0)</f>
        <v>0</v>
      </c>
      <c r="BQ110" s="148">
        <f>_tPE26_29_Consolidada[[#This Row],[2026]]*1000</f>
        <v>1920000000</v>
      </c>
      <c r="BR110" s="176">
        <f>_tPE26_29_Consolidada[[#This Row],[Orçado 2026 (PE25-29)]]-_tPE26_29_Consolidada[[#This Row],[Orçado 2026 (PE26-30)]]</f>
        <v>-1920000000</v>
      </c>
      <c r="BS110" s="43">
        <f>IFERROR(VLOOKUP(_tPE26_29_Consolidada[[#This Row],[ID Financeiro]],'[4]PE 25-29'!$B:$AT,45,FALSE),0)</f>
        <v>0</v>
      </c>
      <c r="BT110" s="148">
        <f>_tPE26_29_Consolidada[[#This Row],[2026-2030]]*1000</f>
        <v>1920000000</v>
      </c>
      <c r="BU110" s="148">
        <f>-_tPE26_29_Consolidada[[#This Row],[Orçado 26/30 (PE25-29)]]+_tPE26_29_Consolidada[[#This Row],[Orçado 26/30 (PE26-30)]]</f>
        <v>1920000000</v>
      </c>
      <c r="BV110" s="43">
        <f>IFERROR(_tPE26_29_Consolidada[[#This Row],[Dif2]]/_tPE26_29_Consolidada[[#This Row],[Orçado 26/30 (PE25-29)]],0)</f>
        <v>0</v>
      </c>
      <c r="CQ110" s="146"/>
      <c r="CR110" s="146"/>
      <c r="CS110" s="146"/>
      <c r="CT110" s="146"/>
      <c r="CU110" s="146"/>
      <c r="CV110" s="146"/>
      <c r="CW110" s="146"/>
      <c r="CX110" s="146"/>
      <c r="CY110" s="146"/>
      <c r="CZ110" s="146"/>
      <c r="DA110" s="146"/>
      <c r="DB110" s="146"/>
      <c r="DC110" s="146"/>
      <c r="DD110" s="146"/>
      <c r="DE110" s="146"/>
      <c r="DF110" s="146"/>
      <c r="DG110" s="146"/>
      <c r="DH110" s="146"/>
      <c r="DI110" s="146"/>
      <c r="DJ110" s="146"/>
      <c r="DK110" s="146"/>
      <c r="DL110" s="146"/>
      <c r="DM110" s="146"/>
      <c r="DN110" s="146"/>
      <c r="DO110" s="146"/>
      <c r="DP110" s="146"/>
      <c r="DQ110" s="146"/>
      <c r="DR110" s="146"/>
      <c r="DS110" s="146"/>
      <c r="DT110" s="146"/>
      <c r="DU110" s="146"/>
      <c r="DV110" s="146"/>
      <c r="DW110" s="146"/>
      <c r="DX110" s="146"/>
      <c r="DY110" s="146"/>
      <c r="DZ110" s="146"/>
      <c r="EA110" s="146"/>
      <c r="EB110" s="146"/>
      <c r="EC110" s="146"/>
      <c r="ED110" s="146"/>
      <c r="EE110" s="146"/>
      <c r="EF110" s="146"/>
      <c r="EG110" s="146"/>
      <c r="EH110" s="146"/>
      <c r="EI110" s="146"/>
      <c r="EJ110" s="146"/>
      <c r="EK110" s="146"/>
      <c r="EL110" s="146"/>
      <c r="EM110" s="146"/>
      <c r="EN110" s="146"/>
      <c r="EO110" s="146"/>
      <c r="EP110" s="146"/>
      <c r="EQ110" s="146"/>
      <c r="ER110" s="146"/>
      <c r="ES110" s="146"/>
      <c r="ET110" s="146"/>
      <c r="EU110" s="146"/>
      <c r="EV110" s="146"/>
      <c r="EW110" s="146"/>
      <c r="EX110" s="146"/>
      <c r="EY110" s="146"/>
      <c r="EZ110" s="146"/>
    </row>
    <row r="111" spans="1:156" ht="14.5" x14ac:dyDescent="0.35">
      <c r="A111" s="43"/>
      <c r="B111" s="75" t="b">
        <v>1</v>
      </c>
      <c r="C111" s="43" t="s">
        <v>2310</v>
      </c>
      <c r="D111" s="43" t="s">
        <v>439</v>
      </c>
      <c r="E111" s="43" t="s">
        <v>2281</v>
      </c>
      <c r="F111" s="43"/>
      <c r="G111" s="43" t="s">
        <v>2678</v>
      </c>
      <c r="H111" s="43" t="s">
        <v>506</v>
      </c>
      <c r="I111" s="43" t="s">
        <v>1015</v>
      </c>
      <c r="J111" s="43" t="s">
        <v>508</v>
      </c>
      <c r="K111" s="43" t="s">
        <v>1039</v>
      </c>
      <c r="L111" s="43" t="s">
        <v>622</v>
      </c>
      <c r="M111" s="43" t="s">
        <v>2679</v>
      </c>
      <c r="N111" s="43"/>
      <c r="O111" s="43"/>
      <c r="P111" s="43"/>
      <c r="Q111" s="43" t="s">
        <v>2680</v>
      </c>
      <c r="R111" s="43" t="s">
        <v>622</v>
      </c>
      <c r="S111" s="43" t="s">
        <v>2315</v>
      </c>
      <c r="T111" s="213">
        <v>180000</v>
      </c>
      <c r="U111" s="213">
        <v>180000</v>
      </c>
      <c r="V111" s="213">
        <v>180000</v>
      </c>
      <c r="W111" s="213">
        <v>180000</v>
      </c>
      <c r="X111" s="213">
        <v>180000</v>
      </c>
      <c r="Y111" s="213">
        <v>180000</v>
      </c>
      <c r="Z111" s="213">
        <v>180000</v>
      </c>
      <c r="AA111" s="213">
        <v>180000</v>
      </c>
      <c r="AB111" s="213">
        <v>180000</v>
      </c>
      <c r="AC111" s="213">
        <v>180000</v>
      </c>
      <c r="AD111" s="213">
        <v>180000</v>
      </c>
      <c r="AE111" s="213">
        <v>180000</v>
      </c>
      <c r="AF111" s="213">
        <v>2160000</v>
      </c>
      <c r="AG111" s="213">
        <v>1500000</v>
      </c>
      <c r="AH111" s="213">
        <v>1000000</v>
      </c>
      <c r="AI111" s="213">
        <v>0</v>
      </c>
      <c r="AJ111" s="213">
        <v>0</v>
      </c>
      <c r="AK111" s="213">
        <v>4660000</v>
      </c>
      <c r="AL111" s="213">
        <v>0</v>
      </c>
      <c r="AM111" s="213">
        <v>0</v>
      </c>
      <c r="AN111" s="213">
        <v>0</v>
      </c>
      <c r="AO111" s="213">
        <v>0</v>
      </c>
      <c r="AP111" s="213">
        <v>0</v>
      </c>
      <c r="AQ111" s="213">
        <v>4660000</v>
      </c>
      <c r="AR111" s="43">
        <v>344</v>
      </c>
      <c r="AS111" s="43" t="s">
        <v>2681</v>
      </c>
      <c r="AT111" s="43">
        <v>2024</v>
      </c>
      <c r="AU111" s="43"/>
      <c r="AV111" s="43" t="s">
        <v>2682</v>
      </c>
      <c r="AW111" s="43" t="s">
        <v>517</v>
      </c>
      <c r="AX111" s="62" t="s">
        <v>2683</v>
      </c>
      <c r="AY111" s="62"/>
      <c r="AZ111" s="43"/>
      <c r="BA111" s="43"/>
      <c r="BB111" s="43"/>
      <c r="BC111" s="43"/>
      <c r="BD111" s="43"/>
      <c r="BE111" s="43"/>
      <c r="BF111" s="43"/>
      <c r="BG111" s="43"/>
      <c r="BH111" s="43"/>
      <c r="BI111" s="43"/>
      <c r="BJ111" s="43"/>
      <c r="BK111" s="43"/>
      <c r="BL111" s="43"/>
      <c r="BM111" s="43"/>
      <c r="BN111" s="43"/>
      <c r="BO111" s="43"/>
      <c r="BP111" s="43">
        <f>IFERROR(VLOOKUP(_tPE26_29_Consolidada[[#This Row],[ID Financeiro]],'[4]PE 25-29'!$B:$AF,31,FALSE),0)</f>
        <v>0</v>
      </c>
      <c r="BQ111" s="148">
        <f>_tPE26_29_Consolidada[[#This Row],[2026]]*1000</f>
        <v>2160000000</v>
      </c>
      <c r="BR111" s="176">
        <f>_tPE26_29_Consolidada[[#This Row],[Orçado 2026 (PE25-29)]]-_tPE26_29_Consolidada[[#This Row],[Orçado 2026 (PE26-30)]]</f>
        <v>-2160000000</v>
      </c>
      <c r="BS111" s="43">
        <f>IFERROR(VLOOKUP(_tPE26_29_Consolidada[[#This Row],[ID Financeiro]],'[4]PE 25-29'!$B:$AT,45,FALSE),0)</f>
        <v>0</v>
      </c>
      <c r="BT111" s="148">
        <f>_tPE26_29_Consolidada[[#This Row],[2026-2030]]*1000</f>
        <v>4660000000</v>
      </c>
      <c r="BU111" s="148">
        <f>-_tPE26_29_Consolidada[[#This Row],[Orçado 26/30 (PE25-29)]]+_tPE26_29_Consolidada[[#This Row],[Orçado 26/30 (PE26-30)]]</f>
        <v>4660000000</v>
      </c>
      <c r="BV111" s="43">
        <f>IFERROR(_tPE26_29_Consolidada[[#This Row],[Dif2]]/_tPE26_29_Consolidada[[#This Row],[Orçado 26/30 (PE25-29)]],0)</f>
        <v>0</v>
      </c>
      <c r="CQ111" s="146"/>
      <c r="CR111" s="146"/>
      <c r="CS111" s="146"/>
      <c r="CT111" s="146"/>
      <c r="CU111" s="146"/>
      <c r="CV111" s="146"/>
      <c r="CW111" s="146"/>
      <c r="CX111" s="146"/>
      <c r="CY111" s="146"/>
      <c r="CZ111" s="146"/>
      <c r="DA111" s="146"/>
      <c r="DB111" s="146"/>
      <c r="DC111" s="146"/>
      <c r="DD111" s="146"/>
      <c r="DE111" s="146"/>
      <c r="DF111" s="146"/>
      <c r="DG111" s="146"/>
      <c r="DH111" s="146"/>
      <c r="DI111" s="146"/>
      <c r="DJ111" s="146"/>
      <c r="DK111" s="146"/>
      <c r="DL111" s="146"/>
      <c r="DM111" s="146"/>
      <c r="DN111" s="146"/>
      <c r="DO111" s="146"/>
      <c r="DP111" s="146"/>
      <c r="DQ111" s="146"/>
      <c r="DR111" s="146"/>
      <c r="DS111" s="146"/>
      <c r="DT111" s="146"/>
      <c r="DU111" s="146"/>
      <c r="DV111" s="146"/>
      <c r="DW111" s="146"/>
      <c r="DX111" s="146"/>
      <c r="DY111" s="146"/>
      <c r="DZ111" s="146"/>
      <c r="EA111" s="146"/>
      <c r="EB111" s="146"/>
      <c r="EC111" s="146"/>
      <c r="ED111" s="146"/>
      <c r="EE111" s="146"/>
      <c r="EF111" s="146"/>
      <c r="EG111" s="146"/>
      <c r="EH111" s="146"/>
      <c r="EI111" s="146"/>
      <c r="EJ111" s="146"/>
      <c r="EK111" s="146"/>
      <c r="EL111" s="146"/>
      <c r="EM111" s="146"/>
      <c r="EN111" s="146"/>
      <c r="EO111" s="146"/>
      <c r="EP111" s="146"/>
      <c r="EQ111" s="146"/>
      <c r="ER111" s="146"/>
      <c r="ES111" s="146"/>
      <c r="ET111" s="146"/>
      <c r="EU111" s="146"/>
      <c r="EV111" s="146"/>
      <c r="EW111" s="146"/>
      <c r="EX111" s="146"/>
      <c r="EY111" s="146"/>
      <c r="EZ111" s="146"/>
    </row>
    <row r="112" spans="1:156" ht="14.5" x14ac:dyDescent="0.35">
      <c r="A112" s="43"/>
      <c r="B112" s="75" t="b">
        <v>1</v>
      </c>
      <c r="C112" s="43" t="s">
        <v>2310</v>
      </c>
      <c r="D112" s="43" t="s">
        <v>439</v>
      </c>
      <c r="E112" s="43" t="s">
        <v>2281</v>
      </c>
      <c r="F112" s="43"/>
      <c r="G112" s="43" t="s">
        <v>2684</v>
      </c>
      <c r="H112" s="43" t="s">
        <v>506</v>
      </c>
      <c r="I112" s="43" t="s">
        <v>1015</v>
      </c>
      <c r="J112" s="43" t="s">
        <v>508</v>
      </c>
      <c r="K112" s="43" t="s">
        <v>509</v>
      </c>
      <c r="L112" s="43" t="s">
        <v>622</v>
      </c>
      <c r="M112" s="43" t="s">
        <v>2685</v>
      </c>
      <c r="N112" s="43"/>
      <c r="O112" s="43"/>
      <c r="P112" s="43"/>
      <c r="Q112" s="43" t="s">
        <v>2686</v>
      </c>
      <c r="R112" s="43" t="s">
        <v>622</v>
      </c>
      <c r="S112" s="43" t="s">
        <v>2315</v>
      </c>
      <c r="T112" s="213">
        <v>0</v>
      </c>
      <c r="U112" s="213">
        <v>133000</v>
      </c>
      <c r="V112" s="213">
        <v>13000</v>
      </c>
      <c r="W112" s="213">
        <v>5000</v>
      </c>
      <c r="X112" s="213">
        <v>5000</v>
      </c>
      <c r="Y112" s="213">
        <v>125000</v>
      </c>
      <c r="Z112" s="213">
        <v>0</v>
      </c>
      <c r="AA112" s="213">
        <v>0</v>
      </c>
      <c r="AB112" s="213">
        <v>0</v>
      </c>
      <c r="AC112" s="213">
        <v>100000</v>
      </c>
      <c r="AD112" s="213">
        <v>94000</v>
      </c>
      <c r="AE112" s="213">
        <v>0</v>
      </c>
      <c r="AF112" s="213">
        <v>475000</v>
      </c>
      <c r="AG112" s="213">
        <v>53000</v>
      </c>
      <c r="AH112" s="213">
        <v>0</v>
      </c>
      <c r="AI112" s="213">
        <v>0</v>
      </c>
      <c r="AJ112" s="213">
        <v>0</v>
      </c>
      <c r="AK112" s="213">
        <v>528000</v>
      </c>
      <c r="AL112" s="213">
        <v>0</v>
      </c>
      <c r="AM112" s="213">
        <v>0</v>
      </c>
      <c r="AN112" s="213">
        <v>0</v>
      </c>
      <c r="AO112" s="213">
        <v>0</v>
      </c>
      <c r="AP112" s="213">
        <v>0</v>
      </c>
      <c r="AQ112" s="213">
        <v>528000</v>
      </c>
      <c r="AR112" s="43">
        <v>347</v>
      </c>
      <c r="AS112" s="43" t="s">
        <v>2681</v>
      </c>
      <c r="AT112" s="43">
        <v>2025</v>
      </c>
      <c r="AU112" s="43"/>
      <c r="AV112" s="43" t="s">
        <v>2687</v>
      </c>
      <c r="AW112" s="43" t="s">
        <v>1854</v>
      </c>
      <c r="AX112" s="62" t="s">
        <v>2688</v>
      </c>
      <c r="AY112" s="62"/>
      <c r="AZ112" s="43"/>
      <c r="BA112" s="43"/>
      <c r="BB112" s="43"/>
      <c r="BC112" s="43"/>
      <c r="BD112" s="43"/>
      <c r="BE112" s="43"/>
      <c r="BF112" s="43"/>
      <c r="BG112" s="43"/>
      <c r="BH112" s="43"/>
      <c r="BI112" s="43"/>
      <c r="BJ112" s="43"/>
      <c r="BK112" s="43"/>
      <c r="BL112" s="43"/>
      <c r="BM112" s="43"/>
      <c r="BN112" s="43"/>
      <c r="BO112" s="43"/>
      <c r="BP112" s="43">
        <f>IFERROR(VLOOKUP(_tPE26_29_Consolidada[[#This Row],[ID Financeiro]],'[4]PE 25-29'!$B:$AF,31,FALSE),0)</f>
        <v>0</v>
      </c>
      <c r="BQ112" s="148">
        <f>_tPE26_29_Consolidada[[#This Row],[2026]]*1000</f>
        <v>475000000</v>
      </c>
      <c r="BR112" s="176">
        <f>_tPE26_29_Consolidada[[#This Row],[Orçado 2026 (PE25-29)]]-_tPE26_29_Consolidada[[#This Row],[Orçado 2026 (PE26-30)]]</f>
        <v>-475000000</v>
      </c>
      <c r="BS112" s="43">
        <f>IFERROR(VLOOKUP(_tPE26_29_Consolidada[[#This Row],[ID Financeiro]],'[4]PE 25-29'!$B:$AT,45,FALSE),0)</f>
        <v>0</v>
      </c>
      <c r="BT112" s="148">
        <f>_tPE26_29_Consolidada[[#This Row],[2026-2030]]*1000</f>
        <v>528000000</v>
      </c>
      <c r="BU112" s="148">
        <f>-_tPE26_29_Consolidada[[#This Row],[Orçado 26/30 (PE25-29)]]+_tPE26_29_Consolidada[[#This Row],[Orçado 26/30 (PE26-30)]]</f>
        <v>528000000</v>
      </c>
      <c r="BV112" s="43">
        <f>IFERROR(_tPE26_29_Consolidada[[#This Row],[Dif2]]/_tPE26_29_Consolidada[[#This Row],[Orçado 26/30 (PE25-29)]],0)</f>
        <v>0</v>
      </c>
      <c r="CQ112" s="146"/>
      <c r="CR112" s="146"/>
      <c r="CS112" s="146"/>
      <c r="CT112" s="146"/>
      <c r="CU112" s="146"/>
      <c r="CV112" s="146"/>
      <c r="CW112" s="146"/>
      <c r="CX112" s="146"/>
      <c r="CY112" s="146"/>
      <c r="CZ112" s="146"/>
      <c r="DA112" s="146"/>
      <c r="DB112" s="146"/>
      <c r="DC112" s="146"/>
      <c r="DD112" s="146"/>
      <c r="DE112" s="146"/>
      <c r="DF112" s="146"/>
      <c r="DG112" s="146"/>
      <c r="DH112" s="146"/>
      <c r="DI112" s="146"/>
      <c r="DJ112" s="146"/>
      <c r="DK112" s="146"/>
      <c r="DL112" s="146"/>
      <c r="DM112" s="146"/>
      <c r="DN112" s="146"/>
      <c r="DO112" s="146"/>
      <c r="DP112" s="146"/>
      <c r="DQ112" s="146"/>
      <c r="DR112" s="146"/>
      <c r="DS112" s="146"/>
      <c r="DT112" s="146"/>
      <c r="DU112" s="146"/>
      <c r="DV112" s="146"/>
      <c r="DW112" s="146"/>
      <c r="DX112" s="146"/>
      <c r="DY112" s="146"/>
      <c r="DZ112" s="146"/>
      <c r="EA112" s="146"/>
      <c r="EB112" s="146"/>
      <c r="EC112" s="146"/>
      <c r="ED112" s="146"/>
      <c r="EE112" s="146"/>
      <c r="EF112" s="146"/>
      <c r="EG112" s="146"/>
      <c r="EH112" s="146"/>
      <c r="EI112" s="146"/>
      <c r="EJ112" s="146"/>
      <c r="EK112" s="146"/>
      <c r="EL112" s="146"/>
      <c r="EM112" s="146"/>
      <c r="EN112" s="146"/>
      <c r="EO112" s="146"/>
      <c r="EP112" s="146"/>
      <c r="EQ112" s="146"/>
      <c r="ER112" s="146"/>
      <c r="ES112" s="146"/>
      <c r="ET112" s="146"/>
      <c r="EU112" s="146"/>
      <c r="EV112" s="146"/>
      <c r="EW112" s="146"/>
      <c r="EX112" s="146"/>
      <c r="EY112" s="146"/>
      <c r="EZ112" s="146"/>
    </row>
    <row r="113" spans="1:162" ht="14.5" x14ac:dyDescent="0.35">
      <c r="A113" s="43"/>
      <c r="B113" s="75" t="b">
        <v>1</v>
      </c>
      <c r="C113" s="43" t="s">
        <v>2310</v>
      </c>
      <c r="D113" s="43" t="s">
        <v>439</v>
      </c>
      <c r="E113" s="43" t="s">
        <v>2281</v>
      </c>
      <c r="F113" s="43"/>
      <c r="G113" s="43" t="s">
        <v>2689</v>
      </c>
      <c r="H113" s="43" t="s">
        <v>506</v>
      </c>
      <c r="I113" s="43" t="s">
        <v>1015</v>
      </c>
      <c r="J113" s="43" t="s">
        <v>508</v>
      </c>
      <c r="K113" s="43" t="s">
        <v>1039</v>
      </c>
      <c r="L113" s="43" t="s">
        <v>1040</v>
      </c>
      <c r="M113" s="43" t="s">
        <v>2312</v>
      </c>
      <c r="N113" s="43"/>
      <c r="O113" s="43"/>
      <c r="P113" s="43"/>
      <c r="Q113" s="43" t="s">
        <v>2690</v>
      </c>
      <c r="R113" s="43" t="s">
        <v>2314</v>
      </c>
      <c r="S113" s="43" t="s">
        <v>2315</v>
      </c>
      <c r="T113" s="213">
        <v>0</v>
      </c>
      <c r="U113" s="213">
        <v>0</v>
      </c>
      <c r="V113" s="213">
        <v>0</v>
      </c>
      <c r="W113" s="213">
        <v>0</v>
      </c>
      <c r="X113" s="213">
        <v>0</v>
      </c>
      <c r="Y113" s="213">
        <v>5000</v>
      </c>
      <c r="Z113" s="213">
        <v>5000</v>
      </c>
      <c r="AA113" s="213">
        <v>5000</v>
      </c>
      <c r="AB113" s="213">
        <v>5000</v>
      </c>
      <c r="AC113" s="213">
        <v>0</v>
      </c>
      <c r="AD113" s="213">
        <v>0</v>
      </c>
      <c r="AE113" s="213">
        <v>0</v>
      </c>
      <c r="AF113" s="213">
        <v>20000</v>
      </c>
      <c r="AG113" s="213">
        <v>980000</v>
      </c>
      <c r="AH113" s="213">
        <v>0</v>
      </c>
      <c r="AI113" s="213">
        <v>0</v>
      </c>
      <c r="AJ113" s="213">
        <v>0</v>
      </c>
      <c r="AK113" s="213">
        <v>1000000</v>
      </c>
      <c r="AL113" s="213">
        <v>0</v>
      </c>
      <c r="AM113" s="213">
        <v>0</v>
      </c>
      <c r="AN113" s="213">
        <v>0</v>
      </c>
      <c r="AO113" s="213">
        <v>0</v>
      </c>
      <c r="AP113" s="213">
        <v>0</v>
      </c>
      <c r="AQ113" s="213">
        <v>1000000</v>
      </c>
      <c r="AR113" s="43">
        <v>348</v>
      </c>
      <c r="AS113" s="43" t="s">
        <v>2691</v>
      </c>
      <c r="AT113" s="181" t="s">
        <v>1772</v>
      </c>
      <c r="AU113" s="43" t="str">
        <f>_xlfn.XLOOKUP(_tPE26_29_Consolidada[[#This Row],[ID Financeiro]],[5]Projetos!$K:$K,[5]Projetos!$A:$A,0,0)</f>
        <v>Código de Projeto
(Respeitar Regra de Formação)</v>
      </c>
      <c r="AV113" s="43"/>
      <c r="AW113" s="43" t="s">
        <v>1603</v>
      </c>
      <c r="AX113" s="62" t="s">
        <v>2692</v>
      </c>
      <c r="AY113" s="62"/>
      <c r="AZ113" s="43" t="s">
        <v>2438</v>
      </c>
      <c r="BA113" s="43"/>
      <c r="BB113" s="43"/>
      <c r="BC113" s="43"/>
      <c r="BD113" s="43"/>
      <c r="BE113" s="43"/>
      <c r="BF113" s="43"/>
      <c r="BG113" s="43"/>
      <c r="BH113" s="43"/>
      <c r="BI113" s="43"/>
      <c r="BJ113" s="43"/>
      <c r="BK113" s="43"/>
      <c r="BL113" s="43"/>
      <c r="BM113" s="43"/>
      <c r="BN113" s="43"/>
      <c r="BO113" s="43"/>
      <c r="BP113" s="43">
        <f>IFERROR(VLOOKUP(_tPE26_29_Consolidada[[#This Row],[ID Financeiro]],'[4]PE 25-29'!$B:$AF,31,FALSE),0)</f>
        <v>0</v>
      </c>
      <c r="BQ113" s="148">
        <f>_tPE26_29_Consolidada[[#This Row],[2026]]*1000</f>
        <v>20000000</v>
      </c>
      <c r="BR113" s="176">
        <f>_tPE26_29_Consolidada[[#This Row],[Orçado 2026 (PE25-29)]]-_tPE26_29_Consolidada[[#This Row],[Orçado 2026 (PE26-30)]]</f>
        <v>-20000000</v>
      </c>
      <c r="BS113" s="43">
        <f>IFERROR(VLOOKUP(_tPE26_29_Consolidada[[#This Row],[ID Financeiro]],'[4]PE 25-29'!$B:$AT,45,FALSE),0)</f>
        <v>0</v>
      </c>
      <c r="BT113" s="148">
        <f>_tPE26_29_Consolidada[[#This Row],[2026-2030]]*1000</f>
        <v>1000000000</v>
      </c>
      <c r="BU113" s="176">
        <f>-_tPE26_29_Consolidada[[#This Row],[Orçado 26/30 (PE25-29)]]+_tPE26_29_Consolidada[[#This Row],[Orçado 26/30 (PE26-30)]]</f>
        <v>1000000000</v>
      </c>
      <c r="BV113" s="43">
        <f>IFERROR(_tPE26_29_Consolidada[[#This Row],[Dif2]]/_tPE26_29_Consolidada[[#This Row],[Orçado 26/30 (PE25-29)]],0)</f>
        <v>0</v>
      </c>
      <c r="CQ113" s="146"/>
      <c r="CR113" s="146"/>
      <c r="CS113" s="146"/>
      <c r="CT113" s="146"/>
      <c r="CU113" s="146"/>
      <c r="CV113" s="146"/>
      <c r="CW113" s="146"/>
      <c r="CX113" s="146"/>
      <c r="CY113" s="146"/>
      <c r="CZ113" s="146"/>
      <c r="DA113" s="146"/>
      <c r="DB113" s="146"/>
      <c r="DC113" s="146"/>
      <c r="DD113" s="146"/>
      <c r="DE113" s="146"/>
      <c r="DF113" s="146"/>
      <c r="DG113" s="146"/>
      <c r="DH113" s="146"/>
      <c r="DI113" s="146"/>
      <c r="DJ113" s="146"/>
      <c r="DK113" s="146"/>
      <c r="DL113" s="146"/>
      <c r="DM113" s="146"/>
      <c r="DN113" s="146"/>
      <c r="DO113" s="146"/>
      <c r="DP113" s="146"/>
      <c r="DQ113" s="146"/>
      <c r="DR113" s="146"/>
      <c r="DS113" s="146"/>
      <c r="DT113" s="146"/>
      <c r="DU113" s="146"/>
      <c r="DV113" s="146"/>
      <c r="DW113" s="146"/>
      <c r="DX113" s="146"/>
      <c r="DY113" s="146"/>
      <c r="DZ113" s="146"/>
      <c r="EA113" s="146"/>
      <c r="EB113" s="146"/>
      <c r="EC113" s="146"/>
      <c r="ED113" s="146"/>
      <c r="EE113" s="146"/>
      <c r="EF113" s="146"/>
      <c r="EG113" s="146"/>
      <c r="EH113" s="146"/>
      <c r="EI113" s="146"/>
      <c r="EJ113" s="146"/>
      <c r="EK113" s="146"/>
      <c r="EL113" s="146"/>
      <c r="EM113" s="146"/>
      <c r="EN113" s="146"/>
      <c r="EO113" s="146"/>
      <c r="EP113" s="146"/>
      <c r="EQ113" s="146"/>
      <c r="ER113" s="146"/>
      <c r="ES113" s="146"/>
      <c r="ET113" s="146"/>
      <c r="EU113" s="146"/>
      <c r="EV113" s="146"/>
      <c r="EW113" s="146"/>
      <c r="EX113" s="146"/>
      <c r="EY113" s="146"/>
      <c r="EZ113" s="146"/>
    </row>
    <row r="114" spans="1:162" ht="14.5" x14ac:dyDescent="0.35">
      <c r="A114" s="43" t="s">
        <v>974</v>
      </c>
      <c r="B114" s="227"/>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c r="AD114" s="43"/>
      <c r="AE114" s="43"/>
      <c r="AF114" s="228">
        <f>SUBTOTAL(109,_tPE26_29_Consolidada[2026])</f>
        <v>193620000</v>
      </c>
      <c r="AG114" s="228">
        <f>SUBTOTAL(109,_tPE26_29_Consolidada[2027])</f>
        <v>247415677.77000001</v>
      </c>
      <c r="AH114" s="228">
        <f>SUBTOTAL(109,_tPE26_29_Consolidada[2028])</f>
        <v>235000000</v>
      </c>
      <c r="AI114" s="228">
        <f>SUBTOTAL(109,_tPE26_29_Consolidada[2029])</f>
        <v>203000000</v>
      </c>
      <c r="AJ114" s="228">
        <f>SUBTOTAL(109,_tPE26_29_Consolidada[2030])</f>
        <v>150220000</v>
      </c>
      <c r="AK114" s="43"/>
      <c r="AL114" s="43"/>
      <c r="AM114" s="43"/>
      <c r="AN114" s="43"/>
      <c r="AO114" s="43"/>
      <c r="AP114" s="43"/>
      <c r="AQ114" s="43"/>
      <c r="AR114" s="43"/>
      <c r="AS114" s="43"/>
      <c r="AT114" s="43"/>
      <c r="AU114" s="43"/>
      <c r="AV114" s="43"/>
      <c r="AW114" s="43"/>
      <c r="AX114" s="62"/>
      <c r="AY114" s="62"/>
      <c r="AZ114" s="43"/>
      <c r="BA114" s="43"/>
      <c r="BB114" s="43"/>
      <c r="BC114" s="43"/>
      <c r="BD114" s="43"/>
      <c r="BE114" s="43"/>
      <c r="BF114" s="43"/>
      <c r="BG114" s="43"/>
      <c r="BH114" s="43"/>
      <c r="BI114" s="43"/>
      <c r="BJ114" s="43"/>
      <c r="BK114" s="43"/>
      <c r="BL114" s="43"/>
      <c r="BM114" s="43"/>
      <c r="BN114" s="43"/>
      <c r="BO114" s="43"/>
      <c r="BP114" s="43"/>
      <c r="BQ114" s="43"/>
      <c r="BR114" s="43"/>
      <c r="BS114" s="43"/>
      <c r="BT114" s="43"/>
      <c r="BU114" s="43"/>
      <c r="BV114" s="176">
        <f>SUBTOTAL(109,_tPE26_29_Consolidada[Dif2 %])</f>
        <v>930264.65150198783</v>
      </c>
      <c r="CS114" s="146"/>
      <c r="CT114" s="146"/>
      <c r="CU114" s="146"/>
      <c r="CV114" s="146"/>
      <c r="CW114" s="146"/>
      <c r="CX114" s="146"/>
      <c r="CY114" s="146"/>
      <c r="CZ114" s="146"/>
      <c r="DA114" s="146"/>
      <c r="DB114" s="146"/>
      <c r="DC114" s="146"/>
      <c r="DD114" s="146"/>
      <c r="DE114" s="146"/>
      <c r="DF114" s="146"/>
      <c r="DG114" s="146"/>
      <c r="DH114" s="146"/>
      <c r="DI114" s="146"/>
      <c r="DJ114" s="146"/>
      <c r="DK114" s="146"/>
      <c r="DL114" s="146"/>
      <c r="DM114" s="146"/>
      <c r="DN114" s="146"/>
      <c r="DO114" s="146"/>
      <c r="DP114" s="146"/>
      <c r="DQ114" s="146"/>
      <c r="DR114" s="146"/>
      <c r="DS114" s="146"/>
      <c r="DT114" s="146"/>
      <c r="DU114" s="146"/>
      <c r="DV114" s="146"/>
      <c r="DW114" s="146"/>
      <c r="DX114" s="146"/>
      <c r="DY114" s="146"/>
      <c r="DZ114" s="146"/>
      <c r="EA114" s="146"/>
      <c r="EB114" s="146"/>
      <c r="EC114" s="146"/>
      <c r="ED114" s="146"/>
      <c r="EE114" s="146"/>
      <c r="EF114" s="146"/>
      <c r="EG114" s="146"/>
      <c r="EH114" s="146"/>
      <c r="EI114" s="146"/>
      <c r="EJ114" s="146"/>
      <c r="EK114" s="146"/>
      <c r="EL114" s="146"/>
      <c r="EM114" s="146"/>
      <c r="EN114" s="146"/>
      <c r="EO114" s="146"/>
      <c r="EP114" s="146"/>
      <c r="EQ114" s="146"/>
      <c r="ER114" s="146"/>
      <c r="ES114" s="146"/>
      <c r="ET114" s="146"/>
      <c r="EU114" s="146"/>
      <c r="EV114" s="146"/>
      <c r="EW114" s="146"/>
      <c r="EX114" s="146"/>
      <c r="EY114" s="146"/>
      <c r="EZ114" s="146"/>
      <c r="FA114" s="146"/>
      <c r="FB114" s="146"/>
      <c r="FC114" s="146"/>
      <c r="FD114" s="146"/>
      <c r="FE114" s="146"/>
      <c r="FF114" s="146"/>
    </row>
    <row r="115" spans="1:162" ht="14.5" x14ac:dyDescent="0.35">
      <c r="CS115" s="146"/>
      <c r="CT115" s="146"/>
      <c r="CU115" s="146"/>
      <c r="CV115" s="146"/>
      <c r="CW115" s="146"/>
      <c r="CX115" s="146"/>
      <c r="CY115" s="146"/>
      <c r="CZ115" s="146"/>
      <c r="DA115" s="146"/>
      <c r="DB115" s="146"/>
      <c r="DC115" s="146"/>
      <c r="DD115" s="146"/>
      <c r="DE115" s="146"/>
      <c r="DF115" s="146"/>
      <c r="DG115" s="146"/>
      <c r="DH115" s="146"/>
      <c r="DI115" s="146"/>
      <c r="DJ115" s="146"/>
      <c r="DK115" s="146"/>
      <c r="DL115" s="146"/>
      <c r="DM115" s="146"/>
      <c r="DN115" s="146"/>
      <c r="DO115" s="146"/>
      <c r="DP115" s="146"/>
      <c r="DQ115" s="146"/>
      <c r="DR115" s="146"/>
      <c r="DS115" s="146"/>
      <c r="DT115" s="146"/>
      <c r="DU115" s="146"/>
      <c r="DV115" s="146"/>
      <c r="DW115" s="146"/>
      <c r="DX115" s="146"/>
      <c r="DY115" s="146"/>
      <c r="DZ115" s="146"/>
      <c r="EA115" s="146"/>
      <c r="EB115" s="146"/>
      <c r="EC115" s="146"/>
      <c r="ED115" s="146"/>
      <c r="EE115" s="146"/>
      <c r="EF115" s="146"/>
      <c r="EG115" s="146"/>
      <c r="EH115" s="146"/>
      <c r="EI115" s="146"/>
      <c r="EJ115" s="146"/>
      <c r="EK115" s="146"/>
      <c r="EL115" s="146"/>
      <c r="EM115" s="146"/>
      <c r="EN115" s="146"/>
      <c r="EO115" s="146"/>
      <c r="EP115" s="146"/>
      <c r="EQ115" s="146"/>
      <c r="ER115" s="146"/>
      <c r="ES115" s="146"/>
      <c r="ET115" s="146"/>
      <c r="EU115" s="146"/>
      <c r="EV115" s="146"/>
      <c r="EW115" s="146"/>
      <c r="EX115" s="146"/>
      <c r="EY115" s="146"/>
      <c r="EZ115" s="146"/>
      <c r="FA115" s="146"/>
      <c r="FB115" s="146"/>
      <c r="FC115" s="146"/>
      <c r="FD115" s="146"/>
      <c r="FE115" s="146"/>
      <c r="FF115" s="146"/>
    </row>
    <row r="116" spans="1:162" ht="14.5" x14ac:dyDescent="0.35">
      <c r="CS116" s="146"/>
      <c r="CT116" s="146"/>
      <c r="CU116" s="146"/>
      <c r="CV116" s="146"/>
      <c r="CW116" s="146"/>
      <c r="CX116" s="146"/>
      <c r="CY116" s="146"/>
      <c r="CZ116" s="146"/>
      <c r="DA116" s="146"/>
      <c r="DB116" s="146"/>
      <c r="DC116" s="146"/>
      <c r="DD116" s="146"/>
      <c r="DE116" s="146"/>
      <c r="DF116" s="146"/>
      <c r="DG116" s="146"/>
      <c r="DH116" s="146"/>
      <c r="DI116" s="146"/>
      <c r="DJ116" s="146"/>
      <c r="DK116" s="146"/>
      <c r="DL116" s="146"/>
      <c r="DM116" s="146"/>
      <c r="DN116" s="146"/>
      <c r="DO116" s="146"/>
      <c r="DP116" s="146"/>
      <c r="DQ116" s="146"/>
      <c r="DR116" s="146"/>
      <c r="DS116" s="146"/>
      <c r="DT116" s="146"/>
      <c r="DU116" s="146"/>
      <c r="DV116" s="146"/>
      <c r="DW116" s="146"/>
      <c r="DX116" s="146"/>
      <c r="DY116" s="146"/>
      <c r="DZ116" s="146"/>
      <c r="EA116" s="146"/>
      <c r="EB116" s="146"/>
      <c r="EC116" s="146"/>
      <c r="ED116" s="146"/>
      <c r="EE116" s="146"/>
      <c r="EF116" s="146"/>
      <c r="EG116" s="146"/>
      <c r="EH116" s="146"/>
      <c r="EI116" s="146"/>
      <c r="EJ116" s="146"/>
      <c r="EK116" s="146"/>
      <c r="EL116" s="146"/>
      <c r="EM116" s="146"/>
      <c r="EN116" s="146"/>
      <c r="EO116" s="146"/>
      <c r="EP116" s="146"/>
      <c r="EQ116" s="146"/>
      <c r="ER116" s="146"/>
      <c r="ES116" s="146"/>
      <c r="ET116" s="146"/>
      <c r="EU116" s="146"/>
      <c r="EV116" s="146"/>
      <c r="EW116" s="146"/>
      <c r="EX116" s="146"/>
      <c r="EY116" s="146"/>
      <c r="EZ116" s="146"/>
      <c r="FA116" s="146"/>
      <c r="FB116" s="146"/>
      <c r="FC116" s="146"/>
      <c r="FD116" s="146"/>
      <c r="FE116" s="146"/>
      <c r="FF116" s="146"/>
    </row>
    <row r="117" spans="1:162" ht="14.5" x14ac:dyDescent="0.35">
      <c r="CS117" s="146"/>
      <c r="CT117" s="146"/>
      <c r="CU117" s="146"/>
      <c r="CV117" s="146"/>
      <c r="CW117" s="146"/>
      <c r="CX117" s="146"/>
      <c r="CY117" s="146"/>
      <c r="CZ117" s="146"/>
      <c r="DA117" s="146"/>
      <c r="DB117" s="146"/>
      <c r="DC117" s="146"/>
      <c r="DD117" s="146"/>
      <c r="DE117" s="146"/>
      <c r="DF117" s="146"/>
      <c r="DG117" s="146"/>
      <c r="DH117" s="146"/>
      <c r="DI117" s="146"/>
      <c r="DJ117" s="146"/>
      <c r="DK117" s="146"/>
      <c r="DL117" s="146"/>
      <c r="DM117" s="146"/>
      <c r="DN117" s="146"/>
      <c r="DO117" s="146"/>
      <c r="DP117" s="146"/>
      <c r="DQ117" s="146"/>
      <c r="DR117" s="146"/>
      <c r="DS117" s="146"/>
      <c r="DT117" s="146"/>
      <c r="DU117" s="146"/>
      <c r="DV117" s="146"/>
      <c r="DW117" s="146"/>
      <c r="DX117" s="146"/>
      <c r="DY117" s="146"/>
      <c r="DZ117" s="146"/>
      <c r="EA117" s="146"/>
      <c r="EB117" s="146"/>
      <c r="EC117" s="146"/>
      <c r="ED117" s="146"/>
      <c r="EE117" s="146"/>
      <c r="EF117" s="146"/>
      <c r="EG117" s="146"/>
      <c r="EH117" s="146"/>
      <c r="EI117" s="146"/>
      <c r="EJ117" s="146"/>
      <c r="EK117" s="146"/>
      <c r="EL117" s="146"/>
      <c r="EM117" s="146"/>
      <c r="EN117" s="146"/>
      <c r="EO117" s="146"/>
      <c r="EP117" s="146"/>
      <c r="EQ117" s="146"/>
      <c r="ER117" s="146"/>
      <c r="ES117" s="146"/>
      <c r="ET117" s="146"/>
      <c r="EU117" s="146"/>
      <c r="EV117" s="146"/>
      <c r="EW117" s="146"/>
      <c r="EX117" s="146"/>
      <c r="EY117" s="146"/>
      <c r="EZ117" s="146"/>
      <c r="FA117" s="146"/>
      <c r="FB117" s="146"/>
      <c r="FC117" s="146"/>
      <c r="FD117" s="146"/>
      <c r="FE117" s="146"/>
      <c r="FF117" s="146"/>
    </row>
    <row r="118" spans="1:162" ht="14.5" x14ac:dyDescent="0.35">
      <c r="CS118" s="146"/>
      <c r="CT118" s="146"/>
      <c r="CU118" s="146"/>
      <c r="CV118" s="146"/>
      <c r="CW118" s="146"/>
      <c r="CX118" s="146"/>
      <c r="CY118" s="146"/>
      <c r="CZ118" s="146"/>
      <c r="DA118" s="146"/>
      <c r="DB118" s="146"/>
      <c r="DC118" s="146"/>
      <c r="DD118" s="146"/>
      <c r="DE118" s="146"/>
      <c r="DF118" s="146"/>
      <c r="DG118" s="146"/>
      <c r="DH118" s="146"/>
      <c r="DI118" s="146"/>
      <c r="DJ118" s="146"/>
      <c r="DK118" s="146"/>
      <c r="DL118" s="146"/>
      <c r="DM118" s="146"/>
      <c r="DN118" s="146"/>
      <c r="DO118" s="146"/>
      <c r="DP118" s="146"/>
      <c r="DQ118" s="146"/>
      <c r="DR118" s="146"/>
      <c r="DS118" s="146"/>
      <c r="DT118" s="146"/>
      <c r="DU118" s="146"/>
      <c r="DV118" s="146"/>
      <c r="DW118" s="146"/>
      <c r="DX118" s="146"/>
      <c r="DY118" s="146"/>
      <c r="DZ118" s="146"/>
      <c r="EA118" s="146"/>
      <c r="EB118" s="146"/>
      <c r="EC118" s="146"/>
      <c r="ED118" s="146"/>
      <c r="EE118" s="146"/>
      <c r="EF118" s="146"/>
      <c r="EG118" s="146"/>
      <c r="EH118" s="146"/>
      <c r="EI118" s="146"/>
      <c r="EJ118" s="146"/>
      <c r="EK118" s="146"/>
      <c r="EL118" s="146"/>
      <c r="EM118" s="146"/>
      <c r="EN118" s="146"/>
      <c r="EO118" s="146"/>
      <c r="EP118" s="146"/>
      <c r="EQ118" s="146"/>
      <c r="ER118" s="146"/>
      <c r="ES118" s="146"/>
      <c r="ET118" s="146"/>
      <c r="EU118" s="146"/>
      <c r="EV118" s="146"/>
      <c r="EW118" s="146"/>
      <c r="EX118" s="146"/>
      <c r="EY118" s="146"/>
      <c r="EZ118" s="146"/>
      <c r="FA118" s="146"/>
      <c r="FB118" s="146"/>
      <c r="FC118" s="146"/>
      <c r="FD118" s="146"/>
      <c r="FE118" s="146"/>
      <c r="FF118" s="146"/>
    </row>
    <row r="119" spans="1:162" ht="14.5" x14ac:dyDescent="0.35">
      <c r="CS119" s="146"/>
      <c r="CT119" s="146"/>
      <c r="CU119" s="146"/>
      <c r="CV119" s="146"/>
      <c r="CW119" s="146"/>
      <c r="CX119" s="146"/>
      <c r="CY119" s="146"/>
      <c r="CZ119" s="146"/>
      <c r="DA119" s="146"/>
      <c r="DB119" s="146"/>
      <c r="DC119" s="146"/>
      <c r="DD119" s="146"/>
      <c r="DE119" s="146"/>
      <c r="DF119" s="146"/>
      <c r="DG119" s="146"/>
      <c r="DH119" s="146"/>
      <c r="DI119" s="146"/>
      <c r="DJ119" s="146"/>
      <c r="DK119" s="146"/>
      <c r="DL119" s="146"/>
      <c r="DM119" s="146"/>
      <c r="DN119" s="146"/>
      <c r="DO119" s="146"/>
      <c r="DP119" s="146"/>
      <c r="DQ119" s="146"/>
      <c r="DR119" s="146"/>
      <c r="DS119" s="146"/>
      <c r="DT119" s="146"/>
      <c r="DU119" s="146"/>
      <c r="DV119" s="146"/>
      <c r="DW119" s="146"/>
      <c r="DX119" s="146"/>
      <c r="DY119" s="146"/>
      <c r="DZ119" s="146"/>
      <c r="EA119" s="146"/>
      <c r="EB119" s="146"/>
      <c r="EC119" s="146"/>
      <c r="ED119" s="146"/>
      <c r="EE119" s="146"/>
      <c r="EF119" s="146"/>
      <c r="EG119" s="146"/>
      <c r="EH119" s="146"/>
      <c r="EI119" s="146"/>
      <c r="EJ119" s="146"/>
      <c r="EK119" s="146"/>
      <c r="EL119" s="146"/>
      <c r="EM119" s="146"/>
      <c r="EN119" s="146"/>
      <c r="EO119" s="146"/>
      <c r="EP119" s="146"/>
      <c r="EQ119" s="146"/>
      <c r="ER119" s="146"/>
      <c r="ES119" s="146"/>
      <c r="ET119" s="146"/>
      <c r="EU119" s="146"/>
      <c r="EV119" s="146"/>
      <c r="EW119" s="146"/>
      <c r="EX119" s="146"/>
      <c r="EY119" s="146"/>
      <c r="EZ119" s="146"/>
      <c r="FA119" s="146"/>
      <c r="FB119" s="146"/>
      <c r="FC119" s="146"/>
      <c r="FD119" s="146"/>
      <c r="FE119" s="146"/>
      <c r="FF119" s="146"/>
    </row>
    <row r="120" spans="1:162" ht="14.5" x14ac:dyDescent="0.35">
      <c r="CS120" s="146"/>
      <c r="CT120" s="146"/>
      <c r="CU120" s="146"/>
      <c r="CV120" s="146"/>
      <c r="CW120" s="146"/>
      <c r="CX120" s="146"/>
      <c r="CY120" s="146"/>
      <c r="CZ120" s="146"/>
      <c r="DA120" s="146"/>
      <c r="DB120" s="146"/>
      <c r="DC120" s="146"/>
      <c r="DD120" s="146"/>
      <c r="DE120" s="146"/>
      <c r="DF120" s="146"/>
      <c r="DG120" s="146"/>
      <c r="DH120" s="146"/>
      <c r="DI120" s="146"/>
      <c r="DJ120" s="146"/>
      <c r="DK120" s="146"/>
      <c r="DL120" s="146"/>
      <c r="DM120" s="146"/>
      <c r="DN120" s="146"/>
      <c r="DO120" s="146"/>
      <c r="DP120" s="146"/>
      <c r="DQ120" s="146"/>
      <c r="DR120" s="146"/>
      <c r="DS120" s="146"/>
      <c r="DT120" s="146"/>
      <c r="DU120" s="146"/>
      <c r="DV120" s="146"/>
      <c r="DW120" s="146"/>
      <c r="DX120" s="146"/>
      <c r="DY120" s="146"/>
      <c r="DZ120" s="146"/>
      <c r="EA120" s="146"/>
      <c r="EB120" s="146"/>
      <c r="EC120" s="146"/>
      <c r="ED120" s="146"/>
      <c r="EE120" s="146"/>
      <c r="EF120" s="146"/>
      <c r="EG120" s="146"/>
      <c r="EH120" s="146"/>
      <c r="EI120" s="146"/>
      <c r="EJ120" s="146"/>
      <c r="EK120" s="146"/>
      <c r="EL120" s="146"/>
      <c r="EM120" s="146"/>
      <c r="EN120" s="146"/>
      <c r="EO120" s="146"/>
      <c r="EP120" s="146"/>
      <c r="EQ120" s="146"/>
      <c r="ER120" s="146"/>
      <c r="ES120" s="146"/>
      <c r="ET120" s="146"/>
      <c r="EU120" s="146"/>
      <c r="EV120" s="146"/>
      <c r="EW120" s="146"/>
      <c r="EX120" s="146"/>
      <c r="EY120" s="146"/>
      <c r="EZ120" s="146"/>
      <c r="FA120" s="146"/>
      <c r="FB120" s="146"/>
      <c r="FC120" s="146"/>
      <c r="FD120" s="146"/>
      <c r="FE120" s="146"/>
      <c r="FF120" s="146"/>
    </row>
    <row r="121" spans="1:162" ht="14.5" x14ac:dyDescent="0.35">
      <c r="CS121" s="146"/>
      <c r="CT121" s="146"/>
      <c r="CU121" s="146"/>
      <c r="CV121" s="146"/>
      <c r="CW121" s="146"/>
      <c r="CX121" s="146"/>
      <c r="CY121" s="146"/>
      <c r="CZ121" s="146"/>
      <c r="DA121" s="146"/>
      <c r="DB121" s="146"/>
      <c r="DC121" s="146"/>
      <c r="DD121" s="146"/>
      <c r="DE121" s="146"/>
      <c r="DF121" s="146"/>
      <c r="DG121" s="146"/>
      <c r="DH121" s="146"/>
      <c r="DI121" s="146"/>
      <c r="DJ121" s="146"/>
      <c r="DK121" s="146"/>
      <c r="DL121" s="146"/>
      <c r="DM121" s="146"/>
      <c r="DN121" s="146"/>
      <c r="DO121" s="146"/>
      <c r="DP121" s="146"/>
      <c r="DQ121" s="146"/>
      <c r="DR121" s="146"/>
      <c r="DS121" s="146"/>
      <c r="DT121" s="146"/>
      <c r="DU121" s="146"/>
      <c r="DV121" s="146"/>
      <c r="DW121" s="146"/>
      <c r="DX121" s="146"/>
      <c r="DY121" s="146"/>
      <c r="DZ121" s="146"/>
      <c r="EA121" s="146"/>
      <c r="EB121" s="146"/>
      <c r="EC121" s="146"/>
      <c r="ED121" s="146"/>
      <c r="EE121" s="146"/>
      <c r="EF121" s="146"/>
      <c r="EG121" s="146"/>
      <c r="EH121" s="146"/>
      <c r="EI121" s="146"/>
      <c r="EJ121" s="146"/>
      <c r="EK121" s="146"/>
      <c r="EL121" s="146"/>
      <c r="EM121" s="146"/>
      <c r="EN121" s="146"/>
      <c r="EO121" s="146"/>
      <c r="EP121" s="146"/>
      <c r="EQ121" s="146"/>
      <c r="ER121" s="146"/>
      <c r="ES121" s="146"/>
      <c r="ET121" s="146"/>
      <c r="EU121" s="146"/>
      <c r="EV121" s="146"/>
      <c r="EW121" s="146"/>
      <c r="EX121" s="146"/>
      <c r="EY121" s="146"/>
      <c r="EZ121" s="146"/>
      <c r="FA121" s="146"/>
      <c r="FB121" s="146"/>
      <c r="FC121" s="146"/>
      <c r="FD121" s="146"/>
      <c r="FE121" s="146"/>
      <c r="FF121" s="146"/>
    </row>
    <row r="122" spans="1:162" ht="14.5" x14ac:dyDescent="0.35">
      <c r="CS122" s="146"/>
      <c r="CT122" s="146"/>
      <c r="CU122" s="146"/>
      <c r="CV122" s="146"/>
      <c r="CW122" s="146"/>
      <c r="CX122" s="146"/>
      <c r="CY122" s="146"/>
      <c r="CZ122" s="146"/>
      <c r="DA122" s="146"/>
      <c r="DB122" s="146"/>
      <c r="DC122" s="146"/>
      <c r="DD122" s="146"/>
      <c r="DE122" s="146"/>
      <c r="DF122" s="146"/>
      <c r="DG122" s="146"/>
      <c r="DH122" s="146"/>
      <c r="DI122" s="146"/>
      <c r="DJ122" s="146"/>
      <c r="DK122" s="146"/>
      <c r="DL122" s="146"/>
      <c r="DM122" s="146"/>
      <c r="DN122" s="146"/>
      <c r="DO122" s="146"/>
      <c r="DP122" s="146"/>
      <c r="DQ122" s="146"/>
      <c r="DR122" s="146"/>
      <c r="DS122" s="146"/>
      <c r="DT122" s="146"/>
      <c r="DU122" s="146"/>
      <c r="DV122" s="146"/>
      <c r="DW122" s="146"/>
      <c r="DX122" s="146"/>
      <c r="DY122" s="146"/>
      <c r="DZ122" s="146"/>
      <c r="EA122" s="146"/>
      <c r="EB122" s="146"/>
      <c r="EC122" s="146"/>
      <c r="ED122" s="146"/>
      <c r="EE122" s="146"/>
      <c r="EF122" s="146"/>
      <c r="EG122" s="146"/>
      <c r="EH122" s="146"/>
      <c r="EI122" s="146"/>
      <c r="EJ122" s="146"/>
      <c r="EK122" s="146"/>
      <c r="EL122" s="146"/>
      <c r="EM122" s="146"/>
      <c r="EN122" s="146"/>
      <c r="EO122" s="146"/>
      <c r="EP122" s="146"/>
      <c r="EQ122" s="146"/>
      <c r="ER122" s="146"/>
      <c r="ES122" s="146"/>
      <c r="ET122" s="146"/>
      <c r="EU122" s="146"/>
      <c r="EV122" s="146"/>
      <c r="EW122" s="146"/>
      <c r="EX122" s="146"/>
      <c r="EY122" s="146"/>
      <c r="EZ122" s="146"/>
      <c r="FA122" s="146"/>
      <c r="FB122" s="146"/>
      <c r="FC122" s="146"/>
      <c r="FD122" s="146"/>
      <c r="FE122" s="146"/>
      <c r="FF122" s="146"/>
    </row>
    <row r="123" spans="1:162" ht="14.5" x14ac:dyDescent="0.35">
      <c r="CS123" s="146"/>
      <c r="CT123" s="146"/>
      <c r="CU123" s="146"/>
      <c r="CV123" s="146"/>
      <c r="CW123" s="146"/>
      <c r="CX123" s="146"/>
      <c r="CY123" s="146"/>
      <c r="CZ123" s="146"/>
      <c r="DA123" s="146"/>
      <c r="DB123" s="146"/>
      <c r="DC123" s="146"/>
      <c r="DD123" s="146"/>
      <c r="DE123" s="146"/>
      <c r="DF123" s="146"/>
      <c r="DG123" s="146"/>
      <c r="DH123" s="146"/>
      <c r="DI123" s="146"/>
      <c r="DJ123" s="146"/>
      <c r="DK123" s="146"/>
      <c r="DL123" s="146"/>
      <c r="DM123" s="146"/>
      <c r="DN123" s="146"/>
      <c r="DO123" s="146"/>
      <c r="DP123" s="146"/>
      <c r="DQ123" s="146"/>
      <c r="DR123" s="146"/>
      <c r="DS123" s="146"/>
      <c r="DT123" s="146"/>
      <c r="DU123" s="146"/>
      <c r="DV123" s="146"/>
      <c r="DW123" s="146"/>
      <c r="DX123" s="146"/>
      <c r="DY123" s="146"/>
      <c r="DZ123" s="146"/>
      <c r="EA123" s="146"/>
      <c r="EB123" s="146"/>
      <c r="EC123" s="146"/>
      <c r="ED123" s="146"/>
      <c r="EE123" s="146"/>
      <c r="EF123" s="146"/>
      <c r="EG123" s="146"/>
      <c r="EH123" s="146"/>
      <c r="EI123" s="146"/>
      <c r="EJ123" s="146"/>
      <c r="EK123" s="146"/>
      <c r="EL123" s="146"/>
      <c r="EM123" s="146"/>
      <c r="EN123" s="146"/>
      <c r="EO123" s="146"/>
      <c r="EP123" s="146"/>
      <c r="EQ123" s="146"/>
      <c r="ER123" s="146"/>
      <c r="ES123" s="146"/>
      <c r="ET123" s="146"/>
      <c r="EU123" s="146"/>
      <c r="EV123" s="146"/>
      <c r="EW123" s="146"/>
      <c r="EX123" s="146"/>
      <c r="EY123" s="146"/>
      <c r="EZ123" s="146"/>
      <c r="FA123" s="146"/>
      <c r="FB123" s="146"/>
      <c r="FC123" s="146"/>
      <c r="FD123" s="146"/>
      <c r="FE123" s="146"/>
      <c r="FF123" s="146"/>
    </row>
    <row r="124" spans="1:162" ht="14.5" x14ac:dyDescent="0.35">
      <c r="CS124" s="146"/>
      <c r="CT124" s="146"/>
      <c r="CU124" s="146"/>
      <c r="CV124" s="146"/>
      <c r="CW124" s="146"/>
      <c r="CX124" s="146"/>
      <c r="CY124" s="146"/>
      <c r="CZ124" s="146"/>
      <c r="DA124" s="146"/>
      <c r="DB124" s="146"/>
      <c r="DC124" s="146"/>
      <c r="DD124" s="146"/>
      <c r="DE124" s="146"/>
      <c r="DF124" s="146"/>
      <c r="DG124" s="146"/>
      <c r="DH124" s="146"/>
      <c r="DI124" s="146"/>
      <c r="DJ124" s="146"/>
      <c r="DK124" s="146"/>
      <c r="DL124" s="146"/>
      <c r="DM124" s="146"/>
      <c r="DN124" s="146"/>
      <c r="DO124" s="146"/>
      <c r="DP124" s="146"/>
      <c r="DQ124" s="146"/>
      <c r="DR124" s="146"/>
      <c r="DS124" s="146"/>
      <c r="DT124" s="146"/>
      <c r="DU124" s="146"/>
      <c r="DV124" s="146"/>
      <c r="DW124" s="146"/>
      <c r="DX124" s="146"/>
      <c r="DY124" s="146"/>
      <c r="DZ124" s="146"/>
      <c r="EA124" s="146"/>
      <c r="EB124" s="146"/>
      <c r="EC124" s="146"/>
      <c r="ED124" s="146"/>
      <c r="EE124" s="146"/>
      <c r="EF124" s="146"/>
      <c r="EG124" s="146"/>
      <c r="EH124" s="146"/>
      <c r="EI124" s="146"/>
      <c r="EJ124" s="146"/>
      <c r="EK124" s="146"/>
      <c r="EL124" s="146"/>
      <c r="EM124" s="146"/>
      <c r="EN124" s="146"/>
      <c r="EO124" s="146"/>
      <c r="EP124" s="146"/>
      <c r="EQ124" s="146"/>
      <c r="ER124" s="146"/>
      <c r="ES124" s="146"/>
      <c r="ET124" s="146"/>
      <c r="EU124" s="146"/>
      <c r="EV124" s="146"/>
      <c r="EW124" s="146"/>
      <c r="EX124" s="146"/>
      <c r="EY124" s="146"/>
      <c r="EZ124" s="146"/>
      <c r="FA124" s="146"/>
      <c r="FB124" s="146"/>
      <c r="FC124" s="146"/>
      <c r="FD124" s="146"/>
      <c r="FE124" s="146"/>
      <c r="FF124" s="146"/>
    </row>
    <row r="125" spans="1:162" ht="14.5" x14ac:dyDescent="0.35">
      <c r="CS125" s="146"/>
      <c r="CT125" s="146"/>
      <c r="CU125" s="146"/>
      <c r="CV125" s="146"/>
      <c r="CW125" s="146"/>
      <c r="CX125" s="146"/>
      <c r="CY125" s="146"/>
      <c r="CZ125" s="146"/>
      <c r="DA125" s="146"/>
      <c r="DB125" s="146"/>
      <c r="DC125" s="146"/>
      <c r="DD125" s="146"/>
      <c r="DE125" s="146"/>
      <c r="DF125" s="146"/>
      <c r="DG125" s="146"/>
      <c r="DH125" s="146"/>
      <c r="DI125" s="146"/>
      <c r="DJ125" s="146"/>
      <c r="DK125" s="146"/>
      <c r="DL125" s="146"/>
      <c r="DM125" s="146"/>
      <c r="DN125" s="146"/>
      <c r="DO125" s="146"/>
      <c r="DP125" s="146"/>
      <c r="DQ125" s="146"/>
      <c r="DR125" s="146"/>
      <c r="DS125" s="146"/>
      <c r="DT125" s="146"/>
      <c r="DU125" s="146"/>
      <c r="DV125" s="146"/>
      <c r="DW125" s="146"/>
      <c r="DX125" s="146"/>
      <c r="DY125" s="146"/>
      <c r="DZ125" s="146"/>
      <c r="EA125" s="146"/>
      <c r="EB125" s="146"/>
      <c r="EC125" s="146"/>
      <c r="ED125" s="146"/>
      <c r="EE125" s="146"/>
      <c r="EF125" s="146"/>
      <c r="EG125" s="146"/>
      <c r="EH125" s="146"/>
      <c r="EI125" s="146"/>
      <c r="EJ125" s="146"/>
      <c r="EK125" s="146"/>
      <c r="EL125" s="146"/>
      <c r="EM125" s="146"/>
      <c r="EN125" s="146"/>
      <c r="EO125" s="146"/>
      <c r="EP125" s="146"/>
      <c r="EQ125" s="146"/>
      <c r="ER125" s="146"/>
      <c r="ES125" s="146"/>
      <c r="ET125" s="146"/>
      <c r="EU125" s="146"/>
      <c r="EV125" s="146"/>
      <c r="EW125" s="146"/>
      <c r="EX125" s="146"/>
      <c r="EY125" s="146"/>
      <c r="EZ125" s="146"/>
      <c r="FA125" s="146"/>
      <c r="FB125" s="146"/>
      <c r="FC125" s="146"/>
      <c r="FD125" s="146"/>
      <c r="FE125" s="146"/>
      <c r="FF125" s="146"/>
    </row>
    <row r="126" spans="1:162" ht="14.5" x14ac:dyDescent="0.35">
      <c r="CS126" s="146"/>
      <c r="CT126" s="146"/>
      <c r="CU126" s="146"/>
      <c r="CV126" s="146"/>
      <c r="CW126" s="146"/>
      <c r="CX126" s="146"/>
      <c r="CY126" s="146"/>
      <c r="CZ126" s="146"/>
      <c r="DA126" s="146"/>
      <c r="DB126" s="146"/>
      <c r="DC126" s="146"/>
      <c r="DD126" s="146"/>
      <c r="DE126" s="146"/>
      <c r="DF126" s="146"/>
      <c r="DG126" s="146"/>
      <c r="DH126" s="146"/>
      <c r="DI126" s="146"/>
      <c r="DJ126" s="146"/>
      <c r="DK126" s="146"/>
      <c r="DL126" s="146"/>
      <c r="DM126" s="146"/>
      <c r="DN126" s="146"/>
      <c r="DO126" s="146"/>
      <c r="DP126" s="146"/>
      <c r="DQ126" s="146"/>
      <c r="DR126" s="146"/>
      <c r="DS126" s="146"/>
      <c r="DT126" s="146"/>
      <c r="DU126" s="146"/>
      <c r="DV126" s="146"/>
      <c r="DW126" s="146"/>
      <c r="DX126" s="146"/>
      <c r="DY126" s="146"/>
      <c r="DZ126" s="146"/>
      <c r="EA126" s="146"/>
      <c r="EB126" s="146"/>
      <c r="EC126" s="146"/>
      <c r="ED126" s="146"/>
      <c r="EE126" s="146"/>
      <c r="EF126" s="146"/>
      <c r="EG126" s="146"/>
      <c r="EH126" s="146"/>
      <c r="EI126" s="146"/>
      <c r="EJ126" s="146"/>
      <c r="EK126" s="146"/>
      <c r="EL126" s="146"/>
      <c r="EM126" s="146"/>
      <c r="EN126" s="146"/>
      <c r="EO126" s="146"/>
      <c r="EP126" s="146"/>
      <c r="EQ126" s="146"/>
      <c r="ER126" s="146"/>
      <c r="ES126" s="146"/>
      <c r="ET126" s="146"/>
      <c r="EU126" s="146"/>
      <c r="EV126" s="146"/>
      <c r="EW126" s="146"/>
      <c r="EX126" s="146"/>
      <c r="EY126" s="146"/>
      <c r="EZ126" s="146"/>
      <c r="FA126" s="146"/>
      <c r="FB126" s="146"/>
      <c r="FC126" s="146"/>
      <c r="FD126" s="146"/>
      <c r="FE126" s="146"/>
      <c r="FF126" s="146"/>
    </row>
    <row r="127" spans="1:162" ht="14.5" x14ac:dyDescent="0.35">
      <c r="CS127" s="146"/>
      <c r="CT127" s="146"/>
      <c r="CU127" s="146"/>
      <c r="CV127" s="146"/>
      <c r="CW127" s="146"/>
      <c r="CX127" s="146"/>
      <c r="CY127" s="146"/>
      <c r="CZ127" s="146"/>
      <c r="DA127" s="146"/>
      <c r="DB127" s="146"/>
      <c r="DC127" s="146"/>
      <c r="DD127" s="146"/>
      <c r="DE127" s="146"/>
      <c r="DF127" s="146"/>
      <c r="DG127" s="146"/>
      <c r="DH127" s="146"/>
      <c r="DI127" s="146"/>
      <c r="DJ127" s="146"/>
      <c r="DK127" s="146"/>
      <c r="DL127" s="146"/>
      <c r="DM127" s="146"/>
      <c r="DN127" s="146"/>
      <c r="DO127" s="146"/>
      <c r="DP127" s="146"/>
      <c r="DQ127" s="146"/>
      <c r="DR127" s="146"/>
      <c r="DS127" s="146"/>
      <c r="DT127" s="146"/>
      <c r="DU127" s="146"/>
      <c r="DV127" s="146"/>
      <c r="DW127" s="146"/>
      <c r="DX127" s="146"/>
      <c r="DY127" s="146"/>
      <c r="DZ127" s="146"/>
      <c r="EA127" s="146"/>
      <c r="EB127" s="146"/>
      <c r="EC127" s="146"/>
      <c r="ED127" s="146"/>
      <c r="EE127" s="146"/>
      <c r="EF127" s="146"/>
      <c r="EG127" s="146"/>
      <c r="EH127" s="146"/>
      <c r="EI127" s="146"/>
      <c r="EJ127" s="146"/>
      <c r="EK127" s="146"/>
      <c r="EL127" s="146"/>
      <c r="EM127" s="146"/>
      <c r="EN127" s="146"/>
      <c r="EO127" s="146"/>
      <c r="EP127" s="146"/>
      <c r="EQ127" s="146"/>
      <c r="ER127" s="146"/>
      <c r="ES127" s="146"/>
      <c r="ET127" s="146"/>
      <c r="EU127" s="146"/>
      <c r="EV127" s="146"/>
      <c r="EW127" s="146"/>
      <c r="EX127" s="146"/>
      <c r="EY127" s="146"/>
      <c r="EZ127" s="146"/>
      <c r="FA127" s="146"/>
      <c r="FB127" s="146"/>
      <c r="FC127" s="146"/>
      <c r="FD127" s="146"/>
      <c r="FE127" s="146"/>
      <c r="FF127" s="146"/>
    </row>
    <row r="128" spans="1:162" ht="14.5" x14ac:dyDescent="0.35">
      <c r="CS128" s="146"/>
      <c r="CT128" s="146"/>
      <c r="CU128" s="146"/>
      <c r="CV128" s="146"/>
      <c r="CW128" s="146"/>
      <c r="CX128" s="146"/>
      <c r="CY128" s="146"/>
      <c r="CZ128" s="146"/>
      <c r="DA128" s="146"/>
      <c r="DB128" s="146"/>
      <c r="DC128" s="146"/>
      <c r="DD128" s="146"/>
      <c r="DE128" s="146"/>
      <c r="DF128" s="146"/>
      <c r="DG128" s="146"/>
      <c r="DH128" s="146"/>
      <c r="DI128" s="146"/>
      <c r="DJ128" s="146"/>
      <c r="DK128" s="146"/>
      <c r="DL128" s="146"/>
      <c r="DM128" s="146"/>
      <c r="DN128" s="146"/>
      <c r="DO128" s="146"/>
      <c r="DP128" s="146"/>
      <c r="DQ128" s="146"/>
      <c r="DR128" s="146"/>
      <c r="DS128" s="146"/>
      <c r="DT128" s="146"/>
      <c r="DU128" s="146"/>
      <c r="DV128" s="146"/>
      <c r="DW128" s="146"/>
      <c r="DX128" s="146"/>
      <c r="DY128" s="146"/>
      <c r="DZ128" s="146"/>
      <c r="EA128" s="146"/>
      <c r="EB128" s="146"/>
      <c r="EC128" s="146"/>
      <c r="ED128" s="146"/>
      <c r="EE128" s="146"/>
      <c r="EF128" s="146"/>
      <c r="EG128" s="146"/>
      <c r="EH128" s="146"/>
      <c r="EI128" s="146"/>
      <c r="EJ128" s="146"/>
      <c r="EK128" s="146"/>
      <c r="EL128" s="146"/>
      <c r="EM128" s="146"/>
      <c r="EN128" s="146"/>
      <c r="EO128" s="146"/>
      <c r="EP128" s="146"/>
      <c r="EQ128" s="146"/>
      <c r="ER128" s="146"/>
      <c r="ES128" s="146"/>
      <c r="ET128" s="146"/>
      <c r="EU128" s="146"/>
      <c r="EV128" s="146"/>
      <c r="EW128" s="146"/>
      <c r="EX128" s="146"/>
      <c r="EY128" s="146"/>
      <c r="EZ128" s="146"/>
      <c r="FA128" s="146"/>
      <c r="FB128" s="146"/>
      <c r="FC128" s="146"/>
      <c r="FD128" s="146"/>
      <c r="FE128" s="146"/>
      <c r="FF128" s="146"/>
    </row>
    <row r="129" spans="97:162" ht="14.5" x14ac:dyDescent="0.35">
      <c r="CS129" s="146"/>
      <c r="CT129" s="146"/>
      <c r="CU129" s="146"/>
      <c r="CV129" s="146"/>
      <c r="CW129" s="146"/>
      <c r="CX129" s="146"/>
      <c r="CY129" s="146"/>
      <c r="CZ129" s="146"/>
      <c r="DA129" s="146"/>
      <c r="DB129" s="146"/>
      <c r="DC129" s="146"/>
      <c r="DD129" s="146"/>
      <c r="DE129" s="146"/>
      <c r="DF129" s="146"/>
      <c r="DG129" s="146"/>
      <c r="DH129" s="146"/>
      <c r="DI129" s="146"/>
      <c r="DJ129" s="146"/>
      <c r="DK129" s="146"/>
      <c r="DL129" s="146"/>
      <c r="DM129" s="146"/>
      <c r="DN129" s="146"/>
      <c r="DO129" s="146"/>
      <c r="DP129" s="146"/>
      <c r="DQ129" s="146"/>
      <c r="DR129" s="146"/>
      <c r="DS129" s="146"/>
      <c r="DT129" s="146"/>
      <c r="DU129" s="146"/>
      <c r="DV129" s="146"/>
      <c r="DW129" s="146"/>
      <c r="DX129" s="146"/>
      <c r="DY129" s="146"/>
      <c r="DZ129" s="146"/>
      <c r="EA129" s="146"/>
      <c r="EB129" s="146"/>
      <c r="EC129" s="146"/>
      <c r="ED129" s="146"/>
      <c r="EE129" s="146"/>
      <c r="EF129" s="146"/>
      <c r="EG129" s="146"/>
      <c r="EH129" s="146"/>
      <c r="EI129" s="146"/>
      <c r="EJ129" s="146"/>
      <c r="EK129" s="146"/>
      <c r="EL129" s="146"/>
      <c r="EM129" s="146"/>
      <c r="EN129" s="146"/>
      <c r="EO129" s="146"/>
      <c r="EP129" s="146"/>
      <c r="EQ129" s="146"/>
      <c r="ER129" s="146"/>
      <c r="ES129" s="146"/>
      <c r="ET129" s="146"/>
      <c r="EU129" s="146"/>
      <c r="EV129" s="146"/>
      <c r="EW129" s="146"/>
      <c r="EX129" s="146"/>
      <c r="EY129" s="146"/>
      <c r="EZ129" s="146"/>
      <c r="FA129" s="146"/>
      <c r="FB129" s="146"/>
      <c r="FC129" s="146"/>
      <c r="FD129" s="146"/>
      <c r="FE129" s="146"/>
      <c r="FF129" s="146"/>
    </row>
    <row r="130" spans="97:162" ht="14.5" x14ac:dyDescent="0.35">
      <c r="CS130" s="146"/>
      <c r="CT130" s="146"/>
      <c r="CU130" s="146"/>
      <c r="CV130" s="146"/>
      <c r="CW130" s="146"/>
      <c r="CX130" s="146"/>
      <c r="CY130" s="146"/>
      <c r="CZ130" s="146"/>
      <c r="DA130" s="146"/>
      <c r="DB130" s="146"/>
      <c r="DC130" s="146"/>
      <c r="DD130" s="146"/>
      <c r="DE130" s="146"/>
      <c r="DF130" s="146"/>
      <c r="DG130" s="146"/>
      <c r="DH130" s="146"/>
      <c r="DI130" s="146"/>
      <c r="DJ130" s="146"/>
      <c r="DK130" s="146"/>
      <c r="DL130" s="146"/>
      <c r="DM130" s="146"/>
      <c r="DN130" s="146"/>
      <c r="DO130" s="146"/>
      <c r="DP130" s="146"/>
      <c r="DQ130" s="146"/>
      <c r="DR130" s="146"/>
      <c r="DS130" s="146"/>
      <c r="DT130" s="146"/>
      <c r="DU130" s="146"/>
      <c r="DV130" s="146"/>
      <c r="DW130" s="146"/>
      <c r="DX130" s="146"/>
      <c r="DY130" s="146"/>
      <c r="DZ130" s="146"/>
      <c r="EA130" s="146"/>
      <c r="EB130" s="146"/>
      <c r="EC130" s="146"/>
      <c r="ED130" s="146"/>
      <c r="EE130" s="146"/>
      <c r="EF130" s="146"/>
      <c r="EG130" s="146"/>
      <c r="EH130" s="146"/>
      <c r="EI130" s="146"/>
      <c r="EJ130" s="146"/>
      <c r="EK130" s="146"/>
      <c r="EL130" s="146"/>
      <c r="EM130" s="146"/>
      <c r="EN130" s="146"/>
      <c r="EO130" s="146"/>
      <c r="EP130" s="146"/>
      <c r="EQ130" s="146"/>
      <c r="ER130" s="146"/>
      <c r="ES130" s="146"/>
      <c r="ET130" s="146"/>
      <c r="EU130" s="146"/>
      <c r="EV130" s="146"/>
      <c r="EW130" s="146"/>
      <c r="EX130" s="146"/>
      <c r="EY130" s="146"/>
      <c r="EZ130" s="146"/>
      <c r="FA130" s="146"/>
      <c r="FB130" s="146"/>
      <c r="FC130" s="146"/>
      <c r="FD130" s="146"/>
      <c r="FE130" s="146"/>
      <c r="FF130" s="146"/>
    </row>
    <row r="131" spans="97:162" ht="14.5" x14ac:dyDescent="0.35">
      <c r="CS131" s="146"/>
      <c r="CT131" s="146"/>
      <c r="CU131" s="146"/>
      <c r="CV131" s="146"/>
      <c r="CW131" s="146"/>
      <c r="CX131" s="146"/>
      <c r="CY131" s="146"/>
      <c r="CZ131" s="146"/>
      <c r="DA131" s="146"/>
      <c r="DB131" s="146"/>
      <c r="DC131" s="146"/>
      <c r="DD131" s="146"/>
      <c r="DE131" s="146"/>
      <c r="DF131" s="146"/>
      <c r="DG131" s="146"/>
      <c r="DH131" s="146"/>
      <c r="DI131" s="146"/>
      <c r="DJ131" s="146"/>
      <c r="DK131" s="146"/>
      <c r="DL131" s="146"/>
      <c r="DM131" s="146"/>
      <c r="DN131" s="146"/>
      <c r="DO131" s="146"/>
      <c r="DP131" s="146"/>
      <c r="DQ131" s="146"/>
      <c r="DR131" s="146"/>
      <c r="DS131" s="146"/>
      <c r="DT131" s="146"/>
      <c r="DU131" s="146"/>
      <c r="DV131" s="146"/>
      <c r="DW131" s="146"/>
      <c r="DX131" s="146"/>
      <c r="DY131" s="146"/>
      <c r="DZ131" s="146"/>
      <c r="EA131" s="146"/>
      <c r="EB131" s="146"/>
      <c r="EC131" s="146"/>
      <c r="ED131" s="146"/>
      <c r="EE131" s="146"/>
      <c r="EF131" s="146"/>
      <c r="EG131" s="146"/>
      <c r="EH131" s="146"/>
      <c r="EI131" s="146"/>
      <c r="EJ131" s="146"/>
      <c r="EK131" s="146"/>
      <c r="EL131" s="146"/>
      <c r="EM131" s="146"/>
      <c r="EN131" s="146"/>
      <c r="EO131" s="146"/>
      <c r="EP131" s="146"/>
      <c r="EQ131" s="146"/>
      <c r="ER131" s="146"/>
      <c r="ES131" s="146"/>
      <c r="ET131" s="146"/>
      <c r="EU131" s="146"/>
      <c r="EV131" s="146"/>
      <c r="EW131" s="146"/>
      <c r="EX131" s="146"/>
      <c r="EY131" s="146"/>
      <c r="EZ131" s="146"/>
      <c r="FA131" s="146"/>
      <c r="FB131" s="146"/>
      <c r="FC131" s="146"/>
      <c r="FD131" s="146"/>
      <c r="FE131" s="146"/>
      <c r="FF131" s="146"/>
    </row>
    <row r="132" spans="97:162" ht="14.5" x14ac:dyDescent="0.35">
      <c r="CS132" s="146"/>
      <c r="CT132" s="146"/>
      <c r="CU132" s="146"/>
      <c r="CV132" s="146"/>
      <c r="CW132" s="146"/>
      <c r="CX132" s="146"/>
      <c r="CY132" s="146"/>
      <c r="CZ132" s="146"/>
      <c r="DA132" s="146"/>
      <c r="DB132" s="146"/>
      <c r="DC132" s="146"/>
      <c r="DD132" s="146"/>
      <c r="DE132" s="146"/>
      <c r="DF132" s="146"/>
      <c r="DG132" s="146"/>
      <c r="DH132" s="146"/>
      <c r="DI132" s="146"/>
      <c r="DJ132" s="146"/>
      <c r="DK132" s="146"/>
      <c r="DL132" s="146"/>
      <c r="DM132" s="146"/>
      <c r="DN132" s="146"/>
      <c r="DO132" s="146"/>
      <c r="DP132" s="146"/>
      <c r="DQ132" s="146"/>
      <c r="DR132" s="146"/>
      <c r="DS132" s="146"/>
      <c r="DT132" s="146"/>
      <c r="DU132" s="146"/>
      <c r="DV132" s="146"/>
      <c r="DW132" s="146"/>
      <c r="DX132" s="146"/>
      <c r="DY132" s="146"/>
      <c r="DZ132" s="146"/>
      <c r="EA132" s="146"/>
      <c r="EB132" s="146"/>
      <c r="EC132" s="146"/>
      <c r="ED132" s="146"/>
      <c r="EE132" s="146"/>
      <c r="EF132" s="146"/>
      <c r="EG132" s="146"/>
      <c r="EH132" s="146"/>
      <c r="EI132" s="146"/>
      <c r="EJ132" s="146"/>
      <c r="EK132" s="146"/>
      <c r="EL132" s="146"/>
      <c r="EM132" s="146"/>
      <c r="EN132" s="146"/>
      <c r="EO132" s="146"/>
      <c r="EP132" s="146"/>
      <c r="EQ132" s="146"/>
      <c r="ER132" s="146"/>
      <c r="ES132" s="146"/>
      <c r="ET132" s="146"/>
      <c r="EU132" s="146"/>
      <c r="EV132" s="146"/>
      <c r="EW132" s="146"/>
      <c r="EX132" s="146"/>
      <c r="EY132" s="146"/>
      <c r="EZ132" s="146"/>
      <c r="FA132" s="146"/>
      <c r="FB132" s="146"/>
      <c r="FC132" s="146"/>
      <c r="FD132" s="146"/>
      <c r="FE132" s="146"/>
      <c r="FF132" s="146"/>
    </row>
    <row r="133" spans="97:162" ht="14.5" x14ac:dyDescent="0.35">
      <c r="CS133" s="146"/>
      <c r="CT133" s="146"/>
      <c r="CU133" s="146"/>
      <c r="CV133" s="146"/>
      <c r="CW133" s="146"/>
      <c r="CX133" s="146"/>
      <c r="CY133" s="146"/>
      <c r="CZ133" s="146"/>
      <c r="DA133" s="146"/>
      <c r="DB133" s="146"/>
      <c r="DC133" s="146"/>
      <c r="DD133" s="146"/>
      <c r="DE133" s="146"/>
      <c r="DF133" s="146"/>
      <c r="DG133" s="146"/>
      <c r="DH133" s="146"/>
      <c r="DI133" s="146"/>
      <c r="DJ133" s="146"/>
      <c r="DK133" s="146"/>
      <c r="DL133" s="146"/>
      <c r="DM133" s="146"/>
      <c r="DN133" s="146"/>
      <c r="DO133" s="146"/>
      <c r="DP133" s="146"/>
      <c r="DQ133" s="146"/>
      <c r="DR133" s="146"/>
      <c r="DS133" s="146"/>
      <c r="DT133" s="146"/>
      <c r="DU133" s="146"/>
      <c r="DV133" s="146"/>
      <c r="DW133" s="146"/>
      <c r="DX133" s="146"/>
      <c r="DY133" s="146"/>
      <c r="DZ133" s="146"/>
      <c r="EA133" s="146"/>
      <c r="EB133" s="146"/>
      <c r="EC133" s="146"/>
      <c r="ED133" s="146"/>
      <c r="EE133" s="146"/>
      <c r="EF133" s="146"/>
      <c r="EG133" s="146"/>
      <c r="EH133" s="146"/>
      <c r="EI133" s="146"/>
      <c r="EJ133" s="146"/>
      <c r="EK133" s="146"/>
      <c r="EL133" s="146"/>
      <c r="EM133" s="146"/>
      <c r="EN133" s="146"/>
      <c r="EO133" s="146"/>
      <c r="EP133" s="146"/>
      <c r="EQ133" s="146"/>
      <c r="ER133" s="146"/>
      <c r="ES133" s="146"/>
      <c r="ET133" s="146"/>
      <c r="EU133" s="146"/>
      <c r="EV133" s="146"/>
      <c r="EW133" s="146"/>
      <c r="EX133" s="146"/>
      <c r="EY133" s="146"/>
      <c r="EZ133" s="146"/>
      <c r="FA133" s="146"/>
      <c r="FB133" s="146"/>
      <c r="FC133" s="146"/>
      <c r="FD133" s="146"/>
      <c r="FE133" s="146"/>
      <c r="FF133" s="146"/>
    </row>
    <row r="134" spans="97:162" ht="14.5" x14ac:dyDescent="0.35">
      <c r="CS134" s="146"/>
      <c r="CT134" s="146"/>
      <c r="CU134" s="146"/>
      <c r="CV134" s="146"/>
      <c r="CW134" s="146"/>
      <c r="CX134" s="146"/>
      <c r="CY134" s="146"/>
      <c r="CZ134" s="146"/>
      <c r="DA134" s="146"/>
      <c r="DB134" s="146"/>
      <c r="DC134" s="146"/>
      <c r="DD134" s="146"/>
      <c r="DE134" s="146"/>
      <c r="DF134" s="146"/>
      <c r="DG134" s="146"/>
      <c r="DH134" s="146"/>
      <c r="DI134" s="146"/>
      <c r="DJ134" s="146"/>
      <c r="DK134" s="146"/>
      <c r="DL134" s="146"/>
      <c r="DM134" s="146"/>
      <c r="DN134" s="146"/>
      <c r="DO134" s="146"/>
      <c r="DP134" s="146"/>
      <c r="DQ134" s="146"/>
      <c r="DR134" s="146"/>
      <c r="DS134" s="146"/>
      <c r="DT134" s="146"/>
      <c r="DU134" s="146"/>
      <c r="DV134" s="146"/>
      <c r="DW134" s="146"/>
      <c r="DX134" s="146"/>
      <c r="DY134" s="146"/>
      <c r="DZ134" s="146"/>
      <c r="EA134" s="146"/>
      <c r="EB134" s="146"/>
      <c r="EC134" s="146"/>
      <c r="ED134" s="146"/>
      <c r="EE134" s="146"/>
      <c r="EF134" s="146"/>
      <c r="EG134" s="146"/>
      <c r="EH134" s="146"/>
      <c r="EI134" s="146"/>
      <c r="EJ134" s="146"/>
      <c r="EK134" s="146"/>
      <c r="EL134" s="146"/>
      <c r="EM134" s="146"/>
      <c r="EN134" s="146"/>
      <c r="EO134" s="146"/>
      <c r="EP134" s="146"/>
      <c r="EQ134" s="146"/>
      <c r="ER134" s="146"/>
      <c r="ES134" s="146"/>
      <c r="ET134" s="146"/>
      <c r="EU134" s="146"/>
      <c r="EV134" s="146"/>
      <c r="EW134" s="146"/>
      <c r="EX134" s="146"/>
      <c r="EY134" s="146"/>
      <c r="EZ134" s="146"/>
      <c r="FA134" s="146"/>
      <c r="FB134" s="146"/>
      <c r="FC134" s="146"/>
      <c r="FD134" s="146"/>
      <c r="FE134" s="146"/>
      <c r="FF134" s="146"/>
    </row>
    <row r="135" spans="97:162" ht="14.5" x14ac:dyDescent="0.35">
      <c r="CS135" s="146"/>
      <c r="CT135" s="146"/>
      <c r="CU135" s="146"/>
      <c r="CV135" s="146"/>
      <c r="CW135" s="146"/>
      <c r="CX135" s="146"/>
      <c r="CY135" s="146"/>
      <c r="CZ135" s="146"/>
      <c r="DA135" s="146"/>
      <c r="DB135" s="146"/>
      <c r="DC135" s="146"/>
      <c r="DD135" s="146"/>
      <c r="DE135" s="146"/>
      <c r="DF135" s="146"/>
      <c r="DG135" s="146"/>
      <c r="DH135" s="146"/>
      <c r="DI135" s="146"/>
      <c r="DJ135" s="146"/>
      <c r="DK135" s="146"/>
      <c r="DL135" s="146"/>
      <c r="DM135" s="146"/>
      <c r="DN135" s="146"/>
      <c r="DO135" s="146"/>
      <c r="DP135" s="146"/>
      <c r="DQ135" s="146"/>
      <c r="DR135" s="146"/>
      <c r="DS135" s="146"/>
      <c r="DT135" s="146"/>
      <c r="DU135" s="146"/>
      <c r="DV135" s="146"/>
      <c r="DW135" s="146"/>
      <c r="DX135" s="146"/>
      <c r="DY135" s="146"/>
      <c r="DZ135" s="146"/>
      <c r="EA135" s="146"/>
      <c r="EB135" s="146"/>
      <c r="EC135" s="146"/>
      <c r="ED135" s="146"/>
      <c r="EE135" s="146"/>
      <c r="EF135" s="146"/>
      <c r="EG135" s="146"/>
      <c r="EH135" s="146"/>
      <c r="EI135" s="146"/>
      <c r="EJ135" s="146"/>
      <c r="EK135" s="146"/>
      <c r="EL135" s="146"/>
      <c r="EM135" s="146"/>
      <c r="EN135" s="146"/>
      <c r="EO135" s="146"/>
      <c r="EP135" s="146"/>
      <c r="EQ135" s="146"/>
      <c r="ER135" s="146"/>
      <c r="ES135" s="146"/>
      <c r="ET135" s="146"/>
      <c r="EU135" s="146"/>
      <c r="EV135" s="146"/>
      <c r="EW135" s="146"/>
      <c r="EX135" s="146"/>
      <c r="EY135" s="146"/>
      <c r="EZ135" s="146"/>
      <c r="FA135" s="146"/>
      <c r="FB135" s="146"/>
      <c r="FC135" s="146"/>
      <c r="FD135" s="146"/>
      <c r="FE135" s="146"/>
      <c r="FF135" s="146"/>
    </row>
    <row r="136" spans="97:162" ht="14.5" x14ac:dyDescent="0.35">
      <c r="CS136" s="146"/>
      <c r="CT136" s="146"/>
      <c r="CU136" s="146"/>
      <c r="CV136" s="146"/>
      <c r="CW136" s="146"/>
      <c r="CX136" s="146"/>
      <c r="CY136" s="146"/>
      <c r="CZ136" s="146"/>
      <c r="DA136" s="146"/>
      <c r="DB136" s="146"/>
      <c r="DC136" s="146"/>
      <c r="DD136" s="146"/>
      <c r="DE136" s="146"/>
      <c r="DF136" s="146"/>
      <c r="DG136" s="146"/>
      <c r="DH136" s="146"/>
      <c r="DI136" s="146"/>
      <c r="DJ136" s="146"/>
      <c r="DK136" s="146"/>
      <c r="DL136" s="146"/>
      <c r="DM136" s="146"/>
      <c r="DN136" s="146"/>
      <c r="DO136" s="146"/>
      <c r="DP136" s="146"/>
      <c r="DQ136" s="146"/>
      <c r="DR136" s="146"/>
      <c r="DS136" s="146"/>
      <c r="DT136" s="146"/>
      <c r="DU136" s="146"/>
      <c r="DV136" s="146"/>
      <c r="DW136" s="146"/>
      <c r="DX136" s="146"/>
      <c r="DY136" s="146"/>
      <c r="DZ136" s="146"/>
      <c r="EA136" s="146"/>
      <c r="EB136" s="146"/>
      <c r="EC136" s="146"/>
      <c r="ED136" s="146"/>
      <c r="EE136" s="146"/>
      <c r="EF136" s="146"/>
      <c r="EG136" s="146"/>
      <c r="EH136" s="146"/>
      <c r="EI136" s="146"/>
      <c r="EJ136" s="146"/>
      <c r="EK136" s="146"/>
      <c r="EL136" s="146"/>
      <c r="EM136" s="146"/>
      <c r="EN136" s="146"/>
      <c r="EO136" s="146"/>
      <c r="EP136" s="146"/>
      <c r="EQ136" s="146"/>
      <c r="ER136" s="146"/>
      <c r="ES136" s="146"/>
      <c r="ET136" s="146"/>
      <c r="EU136" s="146"/>
      <c r="EV136" s="146"/>
      <c r="EW136" s="146"/>
      <c r="EX136" s="146"/>
      <c r="EY136" s="146"/>
      <c r="EZ136" s="146"/>
      <c r="FA136" s="146"/>
      <c r="FB136" s="146"/>
      <c r="FC136" s="146"/>
      <c r="FD136" s="146"/>
      <c r="FE136" s="146"/>
      <c r="FF136" s="146"/>
    </row>
    <row r="137" spans="97:162" ht="14.5" x14ac:dyDescent="0.35">
      <c r="CS137" s="146"/>
      <c r="CT137" s="146"/>
      <c r="CU137" s="146"/>
      <c r="CV137" s="146"/>
      <c r="CW137" s="146"/>
      <c r="CX137" s="146"/>
      <c r="CY137" s="146"/>
      <c r="CZ137" s="146"/>
      <c r="DA137" s="146"/>
      <c r="DB137" s="146"/>
      <c r="DC137" s="146"/>
      <c r="DD137" s="146"/>
      <c r="DE137" s="146"/>
      <c r="DF137" s="146"/>
      <c r="DG137" s="146"/>
      <c r="DH137" s="146"/>
      <c r="DI137" s="146"/>
      <c r="DJ137" s="146"/>
      <c r="DK137" s="146"/>
      <c r="DL137" s="146"/>
      <c r="DM137" s="146"/>
      <c r="DN137" s="146"/>
      <c r="DO137" s="146"/>
      <c r="DP137" s="146"/>
      <c r="DQ137" s="146"/>
      <c r="DR137" s="146"/>
      <c r="DS137" s="146"/>
      <c r="DT137" s="146"/>
      <c r="DU137" s="146"/>
      <c r="DV137" s="146"/>
      <c r="DW137" s="146"/>
      <c r="DX137" s="146"/>
      <c r="DY137" s="146"/>
      <c r="DZ137" s="146"/>
      <c r="EA137" s="146"/>
      <c r="EB137" s="146"/>
      <c r="EC137" s="146"/>
      <c r="ED137" s="146"/>
      <c r="EE137" s="146"/>
      <c r="EF137" s="146"/>
      <c r="EG137" s="146"/>
      <c r="EH137" s="146"/>
      <c r="EI137" s="146"/>
      <c r="EJ137" s="146"/>
      <c r="EK137" s="146"/>
      <c r="EL137" s="146"/>
      <c r="EM137" s="146"/>
      <c r="EN137" s="146"/>
      <c r="EO137" s="146"/>
      <c r="EP137" s="146"/>
      <c r="EQ137" s="146"/>
      <c r="ER137" s="146"/>
      <c r="ES137" s="146"/>
      <c r="ET137" s="146"/>
      <c r="EU137" s="146"/>
      <c r="EV137" s="146"/>
      <c r="EW137" s="146"/>
      <c r="EX137" s="146"/>
      <c r="EY137" s="146"/>
      <c r="EZ137" s="146"/>
      <c r="FA137" s="146"/>
      <c r="FB137" s="146"/>
      <c r="FC137" s="146"/>
      <c r="FD137" s="146"/>
      <c r="FE137" s="146"/>
      <c r="FF137" s="146"/>
    </row>
    <row r="138" spans="97:162" ht="14.5" x14ac:dyDescent="0.35">
      <c r="CS138" s="146"/>
      <c r="CT138" s="146"/>
      <c r="CU138" s="146"/>
      <c r="CV138" s="146"/>
      <c r="CW138" s="146"/>
      <c r="CX138" s="146"/>
      <c r="CY138" s="146"/>
      <c r="CZ138" s="146"/>
      <c r="DA138" s="146"/>
      <c r="DB138" s="146"/>
      <c r="DC138" s="146"/>
      <c r="DD138" s="146"/>
      <c r="DE138" s="146"/>
      <c r="DF138" s="146"/>
      <c r="DG138" s="146"/>
      <c r="DH138" s="146"/>
      <c r="DI138" s="146"/>
      <c r="DJ138" s="146"/>
      <c r="DK138" s="146"/>
      <c r="DL138" s="146"/>
      <c r="DM138" s="146"/>
      <c r="DN138" s="146"/>
      <c r="DO138" s="146"/>
      <c r="DP138" s="146"/>
      <c r="DQ138" s="146"/>
      <c r="DR138" s="146"/>
      <c r="DS138" s="146"/>
      <c r="DT138" s="146"/>
      <c r="DU138" s="146"/>
      <c r="DV138" s="146"/>
      <c r="DW138" s="146"/>
      <c r="DX138" s="146"/>
      <c r="DY138" s="146"/>
      <c r="DZ138" s="146"/>
      <c r="EA138" s="146"/>
      <c r="EB138" s="146"/>
      <c r="EC138" s="146"/>
      <c r="ED138" s="146"/>
      <c r="EE138" s="146"/>
      <c r="EF138" s="146"/>
      <c r="EG138" s="146"/>
      <c r="EH138" s="146"/>
      <c r="EI138" s="146"/>
      <c r="EJ138" s="146"/>
      <c r="EK138" s="146"/>
      <c r="EL138" s="146"/>
      <c r="EM138" s="146"/>
      <c r="EN138" s="146"/>
      <c r="EO138" s="146"/>
      <c r="EP138" s="146"/>
      <c r="EQ138" s="146"/>
      <c r="ER138" s="146"/>
      <c r="ES138" s="146"/>
      <c r="ET138" s="146"/>
      <c r="EU138" s="146"/>
      <c r="EV138" s="146"/>
      <c r="EW138" s="146"/>
      <c r="EX138" s="146"/>
      <c r="EY138" s="146"/>
      <c r="EZ138" s="146"/>
      <c r="FA138" s="146"/>
      <c r="FB138" s="146"/>
      <c r="FC138" s="146"/>
      <c r="FD138" s="146"/>
      <c r="FE138" s="146"/>
      <c r="FF138" s="146"/>
    </row>
    <row r="139" spans="97:162" ht="14.5" x14ac:dyDescent="0.35">
      <c r="CS139" s="146"/>
      <c r="CT139" s="146"/>
      <c r="CU139" s="146"/>
      <c r="CV139" s="146"/>
      <c r="CW139" s="146"/>
      <c r="CX139" s="146"/>
      <c r="CY139" s="146"/>
      <c r="CZ139" s="146"/>
      <c r="DA139" s="146"/>
      <c r="DB139" s="146"/>
      <c r="DC139" s="146"/>
      <c r="DD139" s="146"/>
      <c r="DE139" s="146"/>
      <c r="DF139" s="146"/>
      <c r="DG139" s="146"/>
      <c r="DH139" s="146"/>
      <c r="DI139" s="146"/>
      <c r="DJ139" s="146"/>
      <c r="DK139" s="146"/>
      <c r="DL139" s="146"/>
      <c r="DM139" s="146"/>
      <c r="DN139" s="146"/>
      <c r="DO139" s="146"/>
      <c r="DP139" s="146"/>
      <c r="DQ139" s="146"/>
      <c r="DR139" s="146"/>
      <c r="DS139" s="146"/>
      <c r="DT139" s="146"/>
      <c r="DU139" s="146"/>
      <c r="DV139" s="146"/>
      <c r="DW139" s="146"/>
      <c r="DX139" s="146"/>
      <c r="DY139" s="146"/>
      <c r="DZ139" s="146"/>
      <c r="EA139" s="146"/>
      <c r="EB139" s="146"/>
      <c r="EC139" s="146"/>
      <c r="ED139" s="146"/>
      <c r="EE139" s="146"/>
      <c r="EF139" s="146"/>
      <c r="EG139" s="146"/>
      <c r="EH139" s="146"/>
      <c r="EI139" s="146"/>
      <c r="EJ139" s="146"/>
      <c r="EK139" s="146"/>
      <c r="EL139" s="146"/>
      <c r="EM139" s="146"/>
      <c r="EN139" s="146"/>
      <c r="EO139" s="146"/>
      <c r="EP139" s="146"/>
      <c r="EQ139" s="146"/>
      <c r="ER139" s="146"/>
      <c r="ES139" s="146"/>
      <c r="ET139" s="146"/>
      <c r="EU139" s="146"/>
      <c r="EV139" s="146"/>
      <c r="EW139" s="146"/>
      <c r="EX139" s="146"/>
      <c r="EY139" s="146"/>
      <c r="EZ139" s="146"/>
      <c r="FA139" s="146"/>
      <c r="FB139" s="146"/>
      <c r="FC139" s="146"/>
      <c r="FD139" s="146"/>
      <c r="FE139" s="146"/>
      <c r="FF139" s="146"/>
    </row>
    <row r="140" spans="97:162" ht="14.5" x14ac:dyDescent="0.35">
      <c r="CS140" s="146"/>
      <c r="CT140" s="146"/>
      <c r="CU140" s="146"/>
      <c r="CV140" s="146"/>
      <c r="CW140" s="146"/>
      <c r="CX140" s="146"/>
      <c r="CY140" s="146"/>
      <c r="CZ140" s="146"/>
      <c r="DA140" s="146"/>
      <c r="DB140" s="146"/>
      <c r="DC140" s="146"/>
      <c r="DD140" s="146"/>
      <c r="DE140" s="146"/>
      <c r="DF140" s="146"/>
      <c r="DG140" s="146"/>
      <c r="DH140" s="146"/>
      <c r="DI140" s="146"/>
      <c r="DJ140" s="146"/>
      <c r="DK140" s="146"/>
      <c r="DL140" s="146"/>
      <c r="DM140" s="146"/>
      <c r="DN140" s="146"/>
      <c r="DO140" s="146"/>
      <c r="DP140" s="146"/>
      <c r="DQ140" s="146"/>
      <c r="DR140" s="146"/>
      <c r="DS140" s="146"/>
      <c r="DT140" s="146"/>
      <c r="DU140" s="146"/>
      <c r="DV140" s="146"/>
      <c r="DW140" s="146"/>
      <c r="DX140" s="146"/>
      <c r="DY140" s="146"/>
      <c r="DZ140" s="146"/>
      <c r="EA140" s="146"/>
      <c r="EB140" s="146"/>
      <c r="EC140" s="146"/>
      <c r="ED140" s="146"/>
      <c r="EE140" s="146"/>
      <c r="EF140" s="146"/>
      <c r="EG140" s="146"/>
      <c r="EH140" s="146"/>
      <c r="EI140" s="146"/>
      <c r="EJ140" s="146"/>
      <c r="EK140" s="146"/>
      <c r="EL140" s="146"/>
      <c r="EM140" s="146"/>
      <c r="EN140" s="146"/>
      <c r="EO140" s="146"/>
      <c r="EP140" s="146"/>
      <c r="EQ140" s="146"/>
      <c r="ER140" s="146"/>
      <c r="ES140" s="146"/>
      <c r="ET140" s="146"/>
      <c r="EU140" s="146"/>
      <c r="EV140" s="146"/>
      <c r="EW140" s="146"/>
      <c r="EX140" s="146"/>
      <c r="EY140" s="146"/>
      <c r="EZ140" s="146"/>
      <c r="FA140" s="146"/>
      <c r="FB140" s="146"/>
      <c r="FC140" s="146"/>
      <c r="FD140" s="146"/>
      <c r="FE140" s="146"/>
      <c r="FF140" s="146"/>
    </row>
    <row r="141" spans="97:162" ht="14.5" x14ac:dyDescent="0.35">
      <c r="CS141" s="146"/>
      <c r="CT141" s="146"/>
      <c r="CU141" s="146"/>
      <c r="CV141" s="146"/>
      <c r="CW141" s="146"/>
      <c r="CX141" s="146"/>
      <c r="CY141" s="146"/>
      <c r="CZ141" s="146"/>
      <c r="DA141" s="146"/>
      <c r="DB141" s="146"/>
      <c r="DC141" s="146"/>
      <c r="DD141" s="146"/>
      <c r="DE141" s="146"/>
      <c r="DF141" s="146"/>
      <c r="DG141" s="146"/>
      <c r="DH141" s="146"/>
      <c r="DI141" s="146"/>
      <c r="DJ141" s="146"/>
      <c r="DK141" s="146"/>
      <c r="DL141" s="146"/>
      <c r="DM141" s="146"/>
      <c r="DN141" s="146"/>
      <c r="DO141" s="146"/>
      <c r="DP141" s="146"/>
      <c r="DQ141" s="146"/>
      <c r="DR141" s="146"/>
      <c r="DS141" s="146"/>
      <c r="DT141" s="146"/>
      <c r="DU141" s="146"/>
      <c r="DV141" s="146"/>
      <c r="DW141" s="146"/>
      <c r="DX141" s="146"/>
      <c r="DY141" s="146"/>
      <c r="DZ141" s="146"/>
      <c r="EA141" s="146"/>
      <c r="EB141" s="146"/>
      <c r="EC141" s="146"/>
      <c r="ED141" s="146"/>
      <c r="EE141" s="146"/>
      <c r="EF141" s="146"/>
      <c r="EG141" s="146"/>
      <c r="EH141" s="146"/>
      <c r="EI141" s="146"/>
      <c r="EJ141" s="146"/>
      <c r="EK141" s="146"/>
      <c r="EL141" s="146"/>
      <c r="EM141" s="146"/>
      <c r="EN141" s="146"/>
      <c r="EO141" s="146"/>
      <c r="EP141" s="146"/>
      <c r="EQ141" s="146"/>
      <c r="ER141" s="146"/>
      <c r="ES141" s="146"/>
      <c r="ET141" s="146"/>
      <c r="EU141" s="146"/>
      <c r="EV141" s="146"/>
      <c r="EW141" s="146"/>
      <c r="EX141" s="146"/>
      <c r="EY141" s="146"/>
      <c r="EZ141" s="146"/>
      <c r="FA141" s="146"/>
      <c r="FB141" s="146"/>
      <c r="FC141" s="146"/>
      <c r="FD141" s="146"/>
      <c r="FE141" s="146"/>
      <c r="FF141" s="146"/>
    </row>
    <row r="142" spans="97:162" ht="14.5" x14ac:dyDescent="0.35">
      <c r="CS142" s="146"/>
      <c r="CT142" s="146"/>
      <c r="CU142" s="146"/>
      <c r="CV142" s="146"/>
      <c r="CW142" s="146"/>
      <c r="CX142" s="146"/>
      <c r="CY142" s="146"/>
      <c r="CZ142" s="146"/>
      <c r="DA142" s="146"/>
      <c r="DB142" s="146"/>
      <c r="DC142" s="146"/>
      <c r="DD142" s="146"/>
      <c r="DE142" s="146"/>
      <c r="DF142" s="146"/>
      <c r="DG142" s="146"/>
      <c r="DH142" s="146"/>
      <c r="DI142" s="146"/>
      <c r="DJ142" s="146"/>
      <c r="DK142" s="146"/>
      <c r="DL142" s="146"/>
      <c r="DM142" s="146"/>
      <c r="DN142" s="146"/>
      <c r="DO142" s="146"/>
      <c r="DP142" s="146"/>
      <c r="DQ142" s="146"/>
      <c r="DR142" s="146"/>
      <c r="DS142" s="146"/>
      <c r="DT142" s="146"/>
      <c r="DU142" s="146"/>
      <c r="DV142" s="146"/>
      <c r="DW142" s="146"/>
      <c r="DX142" s="146"/>
      <c r="DY142" s="146"/>
      <c r="DZ142" s="146"/>
      <c r="EA142" s="146"/>
      <c r="EB142" s="146"/>
      <c r="EC142" s="146"/>
      <c r="ED142" s="146"/>
      <c r="EE142" s="146"/>
      <c r="EF142" s="146"/>
      <c r="EG142" s="146"/>
      <c r="EH142" s="146"/>
      <c r="EI142" s="146"/>
      <c r="EJ142" s="146"/>
      <c r="EK142" s="146"/>
      <c r="EL142" s="146"/>
      <c r="EM142" s="146"/>
      <c r="EN142" s="146"/>
      <c r="EO142" s="146"/>
      <c r="EP142" s="146"/>
      <c r="EQ142" s="146"/>
      <c r="ER142" s="146"/>
      <c r="ES142" s="146"/>
      <c r="ET142" s="146"/>
      <c r="EU142" s="146"/>
      <c r="EV142" s="146"/>
      <c r="EW142" s="146"/>
      <c r="EX142" s="146"/>
      <c r="EY142" s="146"/>
      <c r="EZ142" s="146"/>
      <c r="FA142" s="146"/>
      <c r="FB142" s="146"/>
      <c r="FC142" s="146"/>
      <c r="FD142" s="146"/>
      <c r="FE142" s="146"/>
      <c r="FF142" s="146"/>
    </row>
    <row r="143" spans="97:162" ht="14.5" x14ac:dyDescent="0.35">
      <c r="CS143" s="146"/>
      <c r="CT143" s="146"/>
      <c r="CU143" s="146"/>
      <c r="CV143" s="146"/>
      <c r="CW143" s="146"/>
      <c r="CX143" s="146"/>
      <c r="CY143" s="146"/>
      <c r="CZ143" s="146"/>
      <c r="DA143" s="146"/>
      <c r="DB143" s="146"/>
      <c r="DC143" s="146"/>
      <c r="DD143" s="146"/>
      <c r="DE143" s="146"/>
      <c r="DF143" s="146"/>
      <c r="DG143" s="146"/>
      <c r="DH143" s="146"/>
      <c r="DI143" s="146"/>
      <c r="DJ143" s="146"/>
      <c r="DK143" s="146"/>
      <c r="DL143" s="146"/>
      <c r="DM143" s="146"/>
      <c r="DN143" s="146"/>
      <c r="DO143" s="146"/>
      <c r="DP143" s="146"/>
      <c r="DQ143" s="146"/>
      <c r="DR143" s="146"/>
      <c r="DS143" s="146"/>
      <c r="DT143" s="146"/>
      <c r="DU143" s="146"/>
      <c r="DV143" s="146"/>
      <c r="DW143" s="146"/>
      <c r="DX143" s="146"/>
      <c r="DY143" s="146"/>
      <c r="DZ143" s="146"/>
      <c r="EA143" s="146"/>
      <c r="EB143" s="146"/>
      <c r="EC143" s="146"/>
      <c r="ED143" s="146"/>
      <c r="EE143" s="146"/>
      <c r="EF143" s="146"/>
      <c r="EG143" s="146"/>
      <c r="EH143" s="146"/>
      <c r="EI143" s="146"/>
      <c r="EJ143" s="146"/>
      <c r="EK143" s="146"/>
      <c r="EL143" s="146"/>
      <c r="EM143" s="146"/>
      <c r="EN143" s="146"/>
      <c r="EO143" s="146"/>
      <c r="EP143" s="146"/>
      <c r="EQ143" s="146"/>
      <c r="ER143" s="146"/>
      <c r="ES143" s="146"/>
      <c r="ET143" s="146"/>
      <c r="EU143" s="146"/>
      <c r="EV143" s="146"/>
      <c r="EW143" s="146"/>
      <c r="EX143" s="146"/>
      <c r="EY143" s="146"/>
      <c r="EZ143" s="146"/>
      <c r="FA143" s="146"/>
      <c r="FB143" s="146"/>
      <c r="FC143" s="146"/>
      <c r="FD143" s="146"/>
      <c r="FE143" s="146"/>
      <c r="FF143" s="146"/>
    </row>
    <row r="144" spans="97:162" ht="14.5" x14ac:dyDescent="0.35">
      <c r="CS144" s="146"/>
      <c r="CT144" s="146"/>
      <c r="CU144" s="146"/>
      <c r="CV144" s="146"/>
      <c r="CW144" s="146"/>
      <c r="CX144" s="146"/>
      <c r="CY144" s="146"/>
      <c r="CZ144" s="146"/>
      <c r="DA144" s="146"/>
      <c r="DB144" s="146"/>
      <c r="DC144" s="146"/>
      <c r="DD144" s="146"/>
      <c r="DE144" s="146"/>
      <c r="DF144" s="146"/>
      <c r="DG144" s="146"/>
      <c r="DH144" s="146"/>
      <c r="DI144" s="146"/>
      <c r="DJ144" s="146"/>
      <c r="DK144" s="146"/>
      <c r="DL144" s="146"/>
      <c r="DM144" s="146"/>
      <c r="DN144" s="146"/>
      <c r="DO144" s="146"/>
      <c r="DP144" s="146"/>
      <c r="DQ144" s="146"/>
      <c r="DR144" s="146"/>
      <c r="DS144" s="146"/>
      <c r="DT144" s="146"/>
      <c r="DU144" s="146"/>
      <c r="DV144" s="146"/>
      <c r="DW144" s="146"/>
      <c r="DX144" s="146"/>
      <c r="DY144" s="146"/>
      <c r="DZ144" s="146"/>
      <c r="EA144" s="146"/>
      <c r="EB144" s="146"/>
      <c r="EC144" s="146"/>
      <c r="ED144" s="146"/>
      <c r="EE144" s="146"/>
      <c r="EF144" s="146"/>
      <c r="EG144" s="146"/>
      <c r="EH144" s="146"/>
      <c r="EI144" s="146"/>
      <c r="EJ144" s="146"/>
      <c r="EK144" s="146"/>
      <c r="EL144" s="146"/>
      <c r="EM144" s="146"/>
      <c r="EN144" s="146"/>
      <c r="EO144" s="146"/>
      <c r="EP144" s="146"/>
      <c r="EQ144" s="146"/>
      <c r="ER144" s="146"/>
      <c r="ES144" s="146"/>
      <c r="ET144" s="146"/>
      <c r="EU144" s="146"/>
      <c r="EV144" s="146"/>
      <c r="EW144" s="146"/>
      <c r="EX144" s="146"/>
      <c r="EY144" s="146"/>
      <c r="EZ144" s="146"/>
      <c r="FA144" s="146"/>
      <c r="FB144" s="146"/>
      <c r="FC144" s="146"/>
      <c r="FD144" s="146"/>
      <c r="FE144" s="146"/>
      <c r="FF144" s="146"/>
    </row>
    <row r="145" spans="97:162" ht="14.5" x14ac:dyDescent="0.35">
      <c r="CS145" s="146"/>
      <c r="CT145" s="146"/>
      <c r="CU145" s="146"/>
      <c r="CV145" s="146"/>
      <c r="CW145" s="146"/>
      <c r="CX145" s="146"/>
      <c r="CY145" s="146"/>
      <c r="CZ145" s="146"/>
      <c r="DA145" s="146"/>
      <c r="DB145" s="146"/>
      <c r="DC145" s="146"/>
      <c r="DD145" s="146"/>
      <c r="DE145" s="146"/>
      <c r="DF145" s="146"/>
      <c r="DG145" s="146"/>
      <c r="DH145" s="146"/>
      <c r="DI145" s="146"/>
      <c r="DJ145" s="146"/>
      <c r="DK145" s="146"/>
      <c r="DL145" s="146"/>
      <c r="DM145" s="146"/>
      <c r="DN145" s="146"/>
      <c r="DO145" s="146"/>
      <c r="DP145" s="146"/>
      <c r="DQ145" s="146"/>
      <c r="DR145" s="146"/>
      <c r="DS145" s="146"/>
      <c r="DT145" s="146"/>
      <c r="DU145" s="146"/>
      <c r="DV145" s="146"/>
      <c r="DW145" s="146"/>
      <c r="DX145" s="146"/>
      <c r="DY145" s="146"/>
      <c r="DZ145" s="146"/>
      <c r="EA145" s="146"/>
      <c r="EB145" s="146"/>
      <c r="EC145" s="146"/>
      <c r="ED145" s="146"/>
      <c r="EE145" s="146"/>
      <c r="EF145" s="146"/>
      <c r="EG145" s="146"/>
      <c r="EH145" s="146"/>
      <c r="EI145" s="146"/>
      <c r="EJ145" s="146"/>
      <c r="EK145" s="146"/>
      <c r="EL145" s="146"/>
      <c r="EM145" s="146"/>
      <c r="EN145" s="146"/>
      <c r="EO145" s="146"/>
      <c r="EP145" s="146"/>
      <c r="EQ145" s="146"/>
      <c r="ER145" s="146"/>
      <c r="ES145" s="146"/>
      <c r="ET145" s="146"/>
      <c r="EU145" s="146"/>
      <c r="EV145" s="146"/>
      <c r="EW145" s="146"/>
      <c r="EX145" s="146"/>
      <c r="EY145" s="146"/>
      <c r="EZ145" s="146"/>
      <c r="FA145" s="146"/>
      <c r="FB145" s="146"/>
      <c r="FC145" s="146"/>
      <c r="FD145" s="146"/>
      <c r="FE145" s="146"/>
      <c r="FF145" s="146"/>
    </row>
    <row r="146" spans="97:162" ht="14.5" x14ac:dyDescent="0.35">
      <c r="CS146" s="146"/>
      <c r="CT146" s="146"/>
      <c r="CU146" s="146"/>
      <c r="CV146" s="146"/>
      <c r="CW146" s="146"/>
      <c r="CX146" s="146"/>
      <c r="CY146" s="146"/>
      <c r="CZ146" s="146"/>
      <c r="DA146" s="146"/>
      <c r="DB146" s="146"/>
      <c r="DC146" s="146"/>
      <c r="DD146" s="146"/>
      <c r="DE146" s="146"/>
      <c r="DF146" s="146"/>
      <c r="DG146" s="146"/>
      <c r="DH146" s="146"/>
      <c r="DI146" s="146"/>
      <c r="DJ146" s="146"/>
      <c r="DK146" s="146"/>
      <c r="DL146" s="146"/>
      <c r="DM146" s="146"/>
      <c r="DN146" s="146"/>
      <c r="DO146" s="146"/>
      <c r="DP146" s="146"/>
      <c r="DQ146" s="146"/>
      <c r="DR146" s="146"/>
      <c r="DS146" s="146"/>
      <c r="DT146" s="146"/>
      <c r="DU146" s="146"/>
      <c r="DV146" s="146"/>
      <c r="DW146" s="146"/>
      <c r="DX146" s="146"/>
      <c r="DY146" s="146"/>
      <c r="DZ146" s="146"/>
      <c r="EA146" s="146"/>
      <c r="EB146" s="146"/>
      <c r="EC146" s="146"/>
      <c r="ED146" s="146"/>
      <c r="EE146" s="146"/>
      <c r="EF146" s="146"/>
      <c r="EG146" s="146"/>
      <c r="EH146" s="146"/>
      <c r="EI146" s="146"/>
      <c r="EJ146" s="146"/>
      <c r="EK146" s="146"/>
      <c r="EL146" s="146"/>
      <c r="EM146" s="146"/>
      <c r="EN146" s="146"/>
      <c r="EO146" s="146"/>
      <c r="EP146" s="146"/>
      <c r="EQ146" s="146"/>
      <c r="ER146" s="146"/>
      <c r="ES146" s="146"/>
      <c r="ET146" s="146"/>
      <c r="EU146" s="146"/>
      <c r="EV146" s="146"/>
      <c r="EW146" s="146"/>
      <c r="EX146" s="146"/>
      <c r="EY146" s="146"/>
      <c r="EZ146" s="146"/>
      <c r="FA146" s="146"/>
      <c r="FB146" s="146"/>
      <c r="FC146" s="146"/>
      <c r="FD146" s="146"/>
      <c r="FE146" s="146"/>
      <c r="FF146" s="146"/>
    </row>
    <row r="147" spans="97:162" ht="14.5" x14ac:dyDescent="0.35">
      <c r="CS147" s="146"/>
      <c r="CT147" s="146"/>
      <c r="CU147" s="146"/>
      <c r="CV147" s="146"/>
      <c r="CW147" s="146"/>
      <c r="CX147" s="146"/>
      <c r="CY147" s="146"/>
      <c r="CZ147" s="146"/>
      <c r="DA147" s="146"/>
      <c r="DB147" s="146"/>
      <c r="DC147" s="146"/>
      <c r="DD147" s="146"/>
      <c r="DE147" s="146"/>
      <c r="DF147" s="146"/>
      <c r="DG147" s="146"/>
      <c r="DH147" s="146"/>
      <c r="DI147" s="146"/>
      <c r="DJ147" s="146"/>
      <c r="DK147" s="146"/>
      <c r="DL147" s="146"/>
      <c r="DM147" s="146"/>
      <c r="DN147" s="146"/>
      <c r="DO147" s="146"/>
      <c r="DP147" s="146"/>
      <c r="DQ147" s="146"/>
      <c r="DR147" s="146"/>
      <c r="DS147" s="146"/>
      <c r="DT147" s="146"/>
      <c r="DU147" s="146"/>
      <c r="DV147" s="146"/>
      <c r="DW147" s="146"/>
      <c r="DX147" s="146"/>
      <c r="DY147" s="146"/>
      <c r="DZ147" s="146"/>
      <c r="EA147" s="146"/>
      <c r="EB147" s="146"/>
      <c r="EC147" s="146"/>
      <c r="ED147" s="146"/>
      <c r="EE147" s="146"/>
      <c r="EF147" s="146"/>
      <c r="EG147" s="146"/>
      <c r="EH147" s="146"/>
      <c r="EI147" s="146"/>
      <c r="EJ147" s="146"/>
      <c r="EK147" s="146"/>
      <c r="EL147" s="146"/>
      <c r="EM147" s="146"/>
      <c r="EN147" s="146"/>
      <c r="EO147" s="146"/>
      <c r="EP147" s="146"/>
      <c r="EQ147" s="146"/>
      <c r="ER147" s="146"/>
      <c r="ES147" s="146"/>
      <c r="ET147" s="146"/>
      <c r="EU147" s="146"/>
      <c r="EV147" s="146"/>
      <c r="EW147" s="146"/>
      <c r="EX147" s="146"/>
      <c r="EY147" s="146"/>
      <c r="EZ147" s="146"/>
      <c r="FA147" s="146"/>
      <c r="FB147" s="146"/>
      <c r="FC147" s="146"/>
      <c r="FD147" s="146"/>
      <c r="FE147" s="146"/>
      <c r="FF147" s="146"/>
    </row>
    <row r="148" spans="97:162" ht="14.5" x14ac:dyDescent="0.35">
      <c r="CS148" s="146"/>
      <c r="CT148" s="146"/>
      <c r="CU148" s="146"/>
      <c r="CV148" s="146"/>
      <c r="CW148" s="146"/>
      <c r="CX148" s="146"/>
      <c r="CY148" s="146"/>
      <c r="CZ148" s="146"/>
      <c r="DA148" s="146"/>
      <c r="DB148" s="146"/>
      <c r="DC148" s="146"/>
      <c r="DD148" s="146"/>
      <c r="DE148" s="146"/>
      <c r="DF148" s="146"/>
      <c r="DG148" s="146"/>
      <c r="DH148" s="146"/>
      <c r="DI148" s="146"/>
      <c r="DJ148" s="146"/>
      <c r="DK148" s="146"/>
      <c r="DL148" s="146"/>
      <c r="DM148" s="146"/>
      <c r="DN148" s="146"/>
      <c r="DO148" s="146"/>
      <c r="DP148" s="146"/>
      <c r="DQ148" s="146"/>
      <c r="DR148" s="146"/>
      <c r="DS148" s="146"/>
      <c r="DT148" s="146"/>
      <c r="DU148" s="146"/>
      <c r="DV148" s="146"/>
      <c r="DW148" s="146"/>
      <c r="DX148" s="146"/>
      <c r="DY148" s="146"/>
      <c r="DZ148" s="146"/>
      <c r="EA148" s="146"/>
      <c r="EB148" s="146"/>
      <c r="EC148" s="146"/>
      <c r="ED148" s="146"/>
      <c r="EE148" s="146"/>
      <c r="EF148" s="146"/>
      <c r="EG148" s="146"/>
      <c r="EH148" s="146"/>
      <c r="EI148" s="146"/>
      <c r="EJ148" s="146"/>
      <c r="EK148" s="146"/>
      <c r="EL148" s="146"/>
      <c r="EM148" s="146"/>
      <c r="EN148" s="146"/>
      <c r="EO148" s="146"/>
      <c r="EP148" s="146"/>
      <c r="EQ148" s="146"/>
      <c r="ER148" s="146"/>
      <c r="ES148" s="146"/>
      <c r="ET148" s="146"/>
      <c r="EU148" s="146"/>
      <c r="EV148" s="146"/>
      <c r="EW148" s="146"/>
      <c r="EX148" s="146"/>
      <c r="EY148" s="146"/>
      <c r="EZ148" s="146"/>
      <c r="FA148" s="146"/>
      <c r="FB148" s="146"/>
      <c r="FC148" s="146"/>
      <c r="FD148" s="146"/>
      <c r="FE148" s="146"/>
      <c r="FF148" s="146"/>
    </row>
    <row r="149" spans="97:162" ht="14.5" x14ac:dyDescent="0.35">
      <c r="CS149" s="146"/>
      <c r="CT149" s="146"/>
      <c r="CU149" s="146"/>
      <c r="CV149" s="146"/>
      <c r="CW149" s="146"/>
      <c r="CX149" s="146"/>
      <c r="CY149" s="146"/>
      <c r="CZ149" s="146"/>
      <c r="DA149" s="146"/>
      <c r="DB149" s="146"/>
      <c r="DC149" s="146"/>
      <c r="DD149" s="146"/>
      <c r="DE149" s="146"/>
      <c r="DF149" s="146"/>
      <c r="DG149" s="146"/>
      <c r="DH149" s="146"/>
      <c r="DI149" s="146"/>
      <c r="DJ149" s="146"/>
      <c r="DK149" s="146"/>
      <c r="DL149" s="146"/>
      <c r="DM149" s="146"/>
      <c r="DN149" s="146"/>
      <c r="DO149" s="146"/>
      <c r="DP149" s="146"/>
      <c r="DQ149" s="146"/>
      <c r="DR149" s="146"/>
      <c r="DS149" s="146"/>
      <c r="DT149" s="146"/>
      <c r="DU149" s="146"/>
      <c r="DV149" s="146"/>
      <c r="DW149" s="146"/>
      <c r="DX149" s="146"/>
      <c r="DY149" s="146"/>
      <c r="DZ149" s="146"/>
      <c r="EA149" s="146"/>
      <c r="EB149" s="146"/>
      <c r="EC149" s="146"/>
      <c r="ED149" s="146"/>
      <c r="EE149" s="146"/>
      <c r="EF149" s="146"/>
      <c r="EG149" s="146"/>
      <c r="EH149" s="146"/>
      <c r="EI149" s="146"/>
      <c r="EJ149" s="146"/>
      <c r="EK149" s="146"/>
      <c r="EL149" s="146"/>
      <c r="EM149" s="146"/>
      <c r="EN149" s="146"/>
      <c r="EO149" s="146"/>
      <c r="EP149" s="146"/>
      <c r="EQ149" s="146"/>
      <c r="ER149" s="146"/>
      <c r="ES149" s="146"/>
      <c r="ET149" s="146"/>
      <c r="EU149" s="146"/>
      <c r="EV149" s="146"/>
      <c r="EW149" s="146"/>
      <c r="EX149" s="146"/>
      <c r="EY149" s="146"/>
      <c r="EZ149" s="146"/>
      <c r="FA149" s="146"/>
      <c r="FB149" s="146"/>
      <c r="FC149" s="146"/>
      <c r="FD149" s="146"/>
      <c r="FE149" s="146"/>
      <c r="FF149" s="146"/>
    </row>
    <row r="150" spans="97:162" ht="14.5" x14ac:dyDescent="0.35">
      <c r="CS150" s="146"/>
      <c r="CT150" s="146"/>
      <c r="CU150" s="146"/>
      <c r="CV150" s="146"/>
      <c r="CW150" s="146"/>
      <c r="CX150" s="146"/>
      <c r="CY150" s="146"/>
      <c r="CZ150" s="146"/>
      <c r="DA150" s="146"/>
      <c r="DB150" s="146"/>
      <c r="DC150" s="146"/>
      <c r="DD150" s="146"/>
      <c r="DE150" s="146"/>
      <c r="DF150" s="146"/>
      <c r="DG150" s="146"/>
      <c r="DH150" s="146"/>
      <c r="DI150" s="146"/>
      <c r="DJ150" s="146"/>
      <c r="DK150" s="146"/>
      <c r="DL150" s="146"/>
      <c r="DM150" s="146"/>
      <c r="DN150" s="146"/>
      <c r="DO150" s="146"/>
      <c r="DP150" s="146"/>
      <c r="DQ150" s="146"/>
      <c r="DR150" s="146"/>
      <c r="DS150" s="146"/>
      <c r="DT150" s="146"/>
      <c r="DU150" s="146"/>
      <c r="DV150" s="146"/>
      <c r="DW150" s="146"/>
      <c r="DX150" s="146"/>
      <c r="DY150" s="146"/>
      <c r="DZ150" s="146"/>
      <c r="EA150" s="146"/>
      <c r="EB150" s="146"/>
      <c r="EC150" s="146"/>
      <c r="ED150" s="146"/>
      <c r="EE150" s="146"/>
      <c r="EF150" s="146"/>
      <c r="EG150" s="146"/>
      <c r="EH150" s="146"/>
      <c r="EI150" s="146"/>
      <c r="EJ150" s="146"/>
      <c r="EK150" s="146"/>
      <c r="EL150" s="146"/>
      <c r="EM150" s="146"/>
      <c r="EN150" s="146"/>
      <c r="EO150" s="146"/>
      <c r="EP150" s="146"/>
      <c r="EQ150" s="146"/>
      <c r="ER150" s="146"/>
      <c r="ES150" s="146"/>
      <c r="ET150" s="146"/>
      <c r="EU150" s="146"/>
      <c r="EV150" s="146"/>
      <c r="EW150" s="146"/>
      <c r="EX150" s="146"/>
      <c r="EY150" s="146"/>
      <c r="EZ150" s="146"/>
      <c r="FA150" s="146"/>
      <c r="FB150" s="146"/>
      <c r="FC150" s="146"/>
      <c r="FD150" s="146"/>
      <c r="FE150" s="146"/>
      <c r="FF150" s="146"/>
    </row>
    <row r="151" spans="97:162" ht="14.5" x14ac:dyDescent="0.35">
      <c r="CS151" s="146"/>
      <c r="CT151" s="146"/>
      <c r="CU151" s="146"/>
      <c r="CV151" s="146"/>
      <c r="CW151" s="146"/>
      <c r="CX151" s="146"/>
      <c r="CY151" s="146"/>
      <c r="CZ151" s="146"/>
      <c r="DA151" s="146"/>
      <c r="DB151" s="146"/>
      <c r="DC151" s="146"/>
      <c r="DD151" s="146"/>
      <c r="DE151" s="146"/>
      <c r="DF151" s="146"/>
      <c r="DG151" s="146"/>
      <c r="DH151" s="146"/>
      <c r="DI151" s="146"/>
      <c r="DJ151" s="146"/>
      <c r="DK151" s="146"/>
      <c r="DL151" s="146"/>
      <c r="DM151" s="146"/>
      <c r="DN151" s="146"/>
      <c r="DO151" s="146"/>
      <c r="DP151" s="146"/>
      <c r="DQ151" s="146"/>
      <c r="DR151" s="146"/>
      <c r="DS151" s="146"/>
      <c r="DT151" s="146"/>
      <c r="DU151" s="146"/>
      <c r="DV151" s="146"/>
      <c r="DW151" s="146"/>
      <c r="DX151" s="146"/>
      <c r="DY151" s="146"/>
      <c r="DZ151" s="146"/>
      <c r="EA151" s="146"/>
      <c r="EB151" s="146"/>
      <c r="EC151" s="146"/>
      <c r="ED151" s="146"/>
      <c r="EE151" s="146"/>
      <c r="EF151" s="146"/>
      <c r="EG151" s="146"/>
      <c r="EH151" s="146"/>
      <c r="EI151" s="146"/>
      <c r="EJ151" s="146"/>
      <c r="EK151" s="146"/>
      <c r="EL151" s="146"/>
      <c r="EM151" s="146"/>
      <c r="EN151" s="146"/>
      <c r="EO151" s="146"/>
      <c r="EP151" s="146"/>
      <c r="EQ151" s="146"/>
      <c r="ER151" s="146"/>
      <c r="ES151" s="146"/>
      <c r="ET151" s="146"/>
      <c r="EU151" s="146"/>
      <c r="EV151" s="146"/>
      <c r="EW151" s="146"/>
      <c r="EX151" s="146"/>
      <c r="EY151" s="146"/>
      <c r="EZ151" s="146"/>
      <c r="FA151" s="146"/>
      <c r="FB151" s="146"/>
      <c r="FC151" s="146"/>
      <c r="FD151" s="146"/>
      <c r="FE151" s="146"/>
      <c r="FF151" s="146"/>
    </row>
    <row r="152" spans="97:162" ht="14.5" x14ac:dyDescent="0.35">
      <c r="CS152" s="146"/>
      <c r="CT152" s="146"/>
      <c r="CU152" s="146"/>
      <c r="CV152" s="146"/>
      <c r="CW152" s="146"/>
      <c r="CX152" s="146"/>
      <c r="CY152" s="146"/>
      <c r="CZ152" s="146"/>
      <c r="DA152" s="146"/>
      <c r="DB152" s="146"/>
      <c r="DC152" s="146"/>
      <c r="DD152" s="146"/>
      <c r="DE152" s="146"/>
      <c r="DF152" s="146"/>
      <c r="DG152" s="146"/>
      <c r="DH152" s="146"/>
      <c r="DI152" s="146"/>
      <c r="DJ152" s="146"/>
      <c r="DK152" s="146"/>
      <c r="DL152" s="146"/>
      <c r="DM152" s="146"/>
      <c r="DN152" s="146"/>
      <c r="DO152" s="146"/>
      <c r="DP152" s="146"/>
      <c r="DQ152" s="146"/>
      <c r="DR152" s="146"/>
      <c r="DS152" s="146"/>
      <c r="DT152" s="146"/>
      <c r="DU152" s="146"/>
      <c r="DV152" s="146"/>
      <c r="DW152" s="146"/>
      <c r="DX152" s="146"/>
      <c r="DY152" s="146"/>
      <c r="DZ152" s="146"/>
      <c r="EA152" s="146"/>
      <c r="EB152" s="146"/>
      <c r="EC152" s="146"/>
      <c r="ED152" s="146"/>
      <c r="EE152" s="146"/>
      <c r="EF152" s="146"/>
      <c r="EG152" s="146"/>
      <c r="EH152" s="146"/>
      <c r="EI152" s="146"/>
      <c r="EJ152" s="146"/>
      <c r="EK152" s="146"/>
      <c r="EL152" s="146"/>
      <c r="EM152" s="146"/>
      <c r="EN152" s="146"/>
      <c r="EO152" s="146"/>
      <c r="EP152" s="146"/>
      <c r="EQ152" s="146"/>
      <c r="ER152" s="146"/>
      <c r="ES152" s="146"/>
      <c r="ET152" s="146"/>
      <c r="EU152" s="146"/>
      <c r="EV152" s="146"/>
      <c r="EW152" s="146"/>
      <c r="EX152" s="146"/>
      <c r="EY152" s="146"/>
      <c r="EZ152" s="146"/>
      <c r="FA152" s="146"/>
      <c r="FB152" s="146"/>
      <c r="FC152" s="146"/>
      <c r="FD152" s="146"/>
      <c r="FE152" s="146"/>
      <c r="FF152" s="146"/>
    </row>
    <row r="153" spans="97:162" ht="14.5" x14ac:dyDescent="0.35">
      <c r="CS153" s="146"/>
      <c r="CT153" s="146"/>
      <c r="CU153" s="146"/>
      <c r="CV153" s="146"/>
      <c r="CW153" s="146"/>
      <c r="CX153" s="146"/>
      <c r="CY153" s="146"/>
      <c r="CZ153" s="146"/>
      <c r="DA153" s="146"/>
      <c r="DB153" s="146"/>
      <c r="DC153" s="146"/>
      <c r="DD153" s="146"/>
      <c r="DE153" s="146"/>
      <c r="DF153" s="146"/>
      <c r="DG153" s="146"/>
      <c r="DH153" s="146"/>
      <c r="DI153" s="146"/>
      <c r="DJ153" s="146"/>
      <c r="DK153" s="146"/>
      <c r="DL153" s="146"/>
      <c r="DM153" s="146"/>
      <c r="DN153" s="146"/>
      <c r="DO153" s="146"/>
      <c r="DP153" s="146"/>
      <c r="DQ153" s="146"/>
      <c r="DR153" s="146"/>
      <c r="DS153" s="146"/>
      <c r="DT153" s="146"/>
      <c r="DU153" s="146"/>
      <c r="DV153" s="146"/>
      <c r="DW153" s="146"/>
      <c r="DX153" s="146"/>
      <c r="DY153" s="146"/>
      <c r="DZ153" s="146"/>
      <c r="EA153" s="146"/>
      <c r="EB153" s="146"/>
      <c r="EC153" s="146"/>
      <c r="ED153" s="146"/>
      <c r="EE153" s="146"/>
      <c r="EF153" s="146"/>
      <c r="EG153" s="146"/>
      <c r="EH153" s="146"/>
      <c r="EI153" s="146"/>
      <c r="EJ153" s="146"/>
      <c r="EK153" s="146"/>
      <c r="EL153" s="146"/>
      <c r="EM153" s="146"/>
      <c r="EN153" s="146"/>
      <c r="EO153" s="146"/>
      <c r="EP153" s="146"/>
      <c r="EQ153" s="146"/>
      <c r="ER153" s="146"/>
      <c r="ES153" s="146"/>
      <c r="ET153" s="146"/>
      <c r="EU153" s="146"/>
      <c r="EV153" s="146"/>
      <c r="EW153" s="146"/>
      <c r="EX153" s="146"/>
      <c r="EY153" s="146"/>
      <c r="EZ153" s="146"/>
      <c r="FA153" s="146"/>
      <c r="FB153" s="146"/>
      <c r="FC153" s="146"/>
      <c r="FD153" s="146"/>
      <c r="FE153" s="146"/>
      <c r="FF153" s="146"/>
    </row>
    <row r="154" spans="97:162" ht="14.5" x14ac:dyDescent="0.35">
      <c r="CS154" s="146"/>
      <c r="CT154" s="146"/>
      <c r="CU154" s="146"/>
      <c r="CV154" s="146"/>
      <c r="CW154" s="146"/>
      <c r="CX154" s="146"/>
      <c r="CY154" s="146"/>
      <c r="CZ154" s="146"/>
      <c r="DA154" s="146"/>
      <c r="DB154" s="146"/>
      <c r="DC154" s="146"/>
      <c r="DD154" s="146"/>
      <c r="DE154" s="146"/>
      <c r="DF154" s="146"/>
      <c r="DG154" s="146"/>
      <c r="DH154" s="146"/>
      <c r="DI154" s="146"/>
      <c r="DJ154" s="146"/>
      <c r="DK154" s="146"/>
      <c r="DL154" s="146"/>
      <c r="DM154" s="146"/>
      <c r="DN154" s="146"/>
      <c r="DO154" s="146"/>
      <c r="DP154" s="146"/>
      <c r="DQ154" s="146"/>
      <c r="DR154" s="146"/>
      <c r="DS154" s="146"/>
      <c r="DT154" s="146"/>
      <c r="DU154" s="146"/>
      <c r="DV154" s="146"/>
      <c r="DW154" s="146"/>
      <c r="DX154" s="146"/>
      <c r="DY154" s="146"/>
      <c r="DZ154" s="146"/>
      <c r="EA154" s="146"/>
      <c r="EB154" s="146"/>
      <c r="EC154" s="146"/>
      <c r="ED154" s="146"/>
      <c r="EE154" s="146"/>
      <c r="EF154" s="146"/>
      <c r="EG154" s="146"/>
      <c r="EH154" s="146"/>
      <c r="EI154" s="146"/>
      <c r="EJ154" s="146"/>
      <c r="EK154" s="146"/>
      <c r="EL154" s="146"/>
      <c r="EM154" s="146"/>
      <c r="EN154" s="146"/>
      <c r="EO154" s="146"/>
      <c r="EP154" s="146"/>
      <c r="EQ154" s="146"/>
      <c r="ER154" s="146"/>
      <c r="ES154" s="146"/>
      <c r="ET154" s="146"/>
      <c r="EU154" s="146"/>
      <c r="EV154" s="146"/>
      <c r="EW154" s="146"/>
      <c r="EX154" s="146"/>
      <c r="EY154" s="146"/>
      <c r="EZ154" s="146"/>
      <c r="FA154" s="146"/>
      <c r="FB154" s="146"/>
      <c r="FC154" s="146"/>
      <c r="FD154" s="146"/>
      <c r="FE154" s="146"/>
      <c r="FF154" s="146"/>
    </row>
    <row r="155" spans="97:162" ht="14.5" x14ac:dyDescent="0.35">
      <c r="CS155" s="146"/>
      <c r="CT155" s="146"/>
      <c r="CU155" s="146"/>
      <c r="CV155" s="146"/>
      <c r="CW155" s="146"/>
      <c r="CX155" s="146"/>
      <c r="CY155" s="146"/>
      <c r="CZ155" s="146"/>
      <c r="DA155" s="146"/>
      <c r="DB155" s="146"/>
      <c r="DC155" s="146"/>
      <c r="DD155" s="146"/>
      <c r="DE155" s="146"/>
      <c r="DF155" s="146"/>
      <c r="DG155" s="146"/>
      <c r="DH155" s="146"/>
      <c r="DI155" s="146"/>
      <c r="DJ155" s="146"/>
      <c r="DK155" s="146"/>
      <c r="DL155" s="146"/>
      <c r="DM155" s="146"/>
      <c r="DN155" s="146"/>
      <c r="DO155" s="146"/>
      <c r="DP155" s="146"/>
      <c r="DQ155" s="146"/>
      <c r="DR155" s="146"/>
      <c r="DS155" s="146"/>
      <c r="DT155" s="146"/>
      <c r="DU155" s="146"/>
      <c r="DV155" s="146"/>
      <c r="DW155" s="146"/>
      <c r="DX155" s="146"/>
      <c r="DY155" s="146"/>
      <c r="DZ155" s="146"/>
      <c r="EA155" s="146"/>
      <c r="EB155" s="146"/>
      <c r="EC155" s="146"/>
      <c r="ED155" s="146"/>
      <c r="EE155" s="146"/>
      <c r="EF155" s="146"/>
      <c r="EG155" s="146"/>
      <c r="EH155" s="146"/>
      <c r="EI155" s="146"/>
      <c r="EJ155" s="146"/>
      <c r="EK155" s="146"/>
      <c r="EL155" s="146"/>
      <c r="EM155" s="146"/>
      <c r="EN155" s="146"/>
      <c r="EO155" s="146"/>
      <c r="EP155" s="146"/>
      <c r="EQ155" s="146"/>
      <c r="ER155" s="146"/>
      <c r="ES155" s="146"/>
      <c r="ET155" s="146"/>
      <c r="EU155" s="146"/>
      <c r="EV155" s="146"/>
      <c r="EW155" s="146"/>
      <c r="EX155" s="146"/>
      <c r="EY155" s="146"/>
      <c r="EZ155" s="146"/>
      <c r="FA155" s="146"/>
      <c r="FB155" s="146"/>
      <c r="FC155" s="146"/>
      <c r="FD155" s="146"/>
      <c r="FE155" s="146"/>
      <c r="FF155" s="146"/>
    </row>
    <row r="156" spans="97:162" ht="14.5" x14ac:dyDescent="0.35">
      <c r="CS156" s="146"/>
      <c r="CT156" s="146"/>
      <c r="CU156" s="146"/>
      <c r="CV156" s="146"/>
      <c r="CW156" s="146"/>
      <c r="CX156" s="146"/>
      <c r="CY156" s="146"/>
      <c r="CZ156" s="146"/>
      <c r="DA156" s="146"/>
      <c r="DB156" s="146"/>
      <c r="DC156" s="146"/>
      <c r="DD156" s="146"/>
      <c r="DE156" s="146"/>
      <c r="DF156" s="146"/>
      <c r="DG156" s="146"/>
      <c r="DH156" s="146"/>
      <c r="DI156" s="146"/>
      <c r="DJ156" s="146"/>
      <c r="DK156" s="146"/>
      <c r="DL156" s="146"/>
      <c r="DM156" s="146"/>
      <c r="DN156" s="146"/>
      <c r="DO156" s="146"/>
      <c r="DP156" s="146"/>
      <c r="DQ156" s="146"/>
      <c r="DR156" s="146"/>
      <c r="DS156" s="146"/>
      <c r="DT156" s="146"/>
      <c r="DU156" s="146"/>
      <c r="DV156" s="146"/>
      <c r="DW156" s="146"/>
      <c r="DX156" s="146"/>
      <c r="DY156" s="146"/>
      <c r="DZ156" s="146"/>
      <c r="EA156" s="146"/>
      <c r="EB156" s="146"/>
      <c r="EC156" s="146"/>
      <c r="ED156" s="146"/>
      <c r="EE156" s="146"/>
      <c r="EF156" s="146"/>
      <c r="EG156" s="146"/>
      <c r="EH156" s="146"/>
      <c r="EI156" s="146"/>
      <c r="EJ156" s="146"/>
      <c r="EK156" s="146"/>
      <c r="EL156" s="146"/>
      <c r="EM156" s="146"/>
      <c r="EN156" s="146"/>
      <c r="EO156" s="146"/>
      <c r="EP156" s="146"/>
      <c r="EQ156" s="146"/>
      <c r="ER156" s="146"/>
      <c r="ES156" s="146"/>
      <c r="ET156" s="146"/>
      <c r="EU156" s="146"/>
      <c r="EV156" s="146"/>
      <c r="EW156" s="146"/>
      <c r="EX156" s="146"/>
      <c r="EY156" s="146"/>
      <c r="EZ156" s="146"/>
      <c r="FA156" s="146"/>
      <c r="FB156" s="146"/>
      <c r="FC156" s="146"/>
      <c r="FD156" s="146"/>
      <c r="FE156" s="146"/>
      <c r="FF156" s="146"/>
    </row>
    <row r="157" spans="97:162" ht="14.5" x14ac:dyDescent="0.35">
      <c r="CS157" s="146"/>
      <c r="CT157" s="146"/>
      <c r="CU157" s="146"/>
      <c r="CV157" s="146"/>
      <c r="CW157" s="146"/>
      <c r="CX157" s="146"/>
      <c r="CY157" s="146"/>
      <c r="CZ157" s="146"/>
      <c r="DA157" s="146"/>
      <c r="DB157" s="146"/>
      <c r="DC157" s="146"/>
      <c r="DD157" s="146"/>
      <c r="DE157" s="146"/>
      <c r="DF157" s="146"/>
      <c r="DG157" s="146"/>
      <c r="DH157" s="146"/>
      <c r="DI157" s="146"/>
      <c r="DJ157" s="146"/>
      <c r="DK157" s="146"/>
      <c r="DL157" s="146"/>
      <c r="DM157" s="146"/>
      <c r="DN157" s="146"/>
      <c r="DO157" s="146"/>
      <c r="DP157" s="146"/>
      <c r="DQ157" s="146"/>
      <c r="DR157" s="146"/>
      <c r="DS157" s="146"/>
      <c r="DT157" s="146"/>
      <c r="DU157" s="146"/>
      <c r="DV157" s="146"/>
      <c r="DW157" s="146"/>
      <c r="DX157" s="146"/>
      <c r="DY157" s="146"/>
      <c r="DZ157" s="146"/>
      <c r="EA157" s="146"/>
      <c r="EB157" s="146"/>
      <c r="EC157" s="146"/>
      <c r="ED157" s="146"/>
      <c r="EE157" s="146"/>
      <c r="EF157" s="146"/>
      <c r="EG157" s="146"/>
      <c r="EH157" s="146"/>
      <c r="EI157" s="146"/>
      <c r="EJ157" s="146"/>
      <c r="EK157" s="146"/>
      <c r="EL157" s="146"/>
      <c r="EM157" s="146"/>
      <c r="EN157" s="146"/>
      <c r="EO157" s="146"/>
      <c r="EP157" s="146"/>
      <c r="EQ157" s="146"/>
      <c r="ER157" s="146"/>
      <c r="ES157" s="146"/>
      <c r="ET157" s="146"/>
      <c r="EU157" s="146"/>
      <c r="EV157" s="146"/>
      <c r="EW157" s="146"/>
      <c r="EX157" s="146"/>
      <c r="EY157" s="146"/>
      <c r="EZ157" s="146"/>
      <c r="FA157" s="146"/>
      <c r="FB157" s="146"/>
      <c r="FC157" s="146"/>
      <c r="FD157" s="146"/>
      <c r="FE157" s="146"/>
      <c r="FF157" s="146"/>
    </row>
    <row r="158" spans="97:162" ht="14.5" x14ac:dyDescent="0.35">
      <c r="CS158" s="146"/>
      <c r="CT158" s="146"/>
      <c r="CU158" s="146"/>
      <c r="CV158" s="146"/>
      <c r="CW158" s="146"/>
      <c r="CX158" s="146"/>
      <c r="CY158" s="146"/>
      <c r="CZ158" s="146"/>
      <c r="DA158" s="146"/>
      <c r="DB158" s="146"/>
      <c r="DC158" s="146"/>
      <c r="DD158" s="146"/>
      <c r="DE158" s="146"/>
      <c r="DF158" s="146"/>
      <c r="DG158" s="146"/>
      <c r="DH158" s="146"/>
      <c r="DI158" s="146"/>
      <c r="DJ158" s="146"/>
      <c r="DK158" s="146"/>
      <c r="DL158" s="146"/>
      <c r="DM158" s="146"/>
      <c r="DN158" s="146"/>
      <c r="DO158" s="146"/>
      <c r="DP158" s="146"/>
      <c r="DQ158" s="146"/>
      <c r="DR158" s="146"/>
      <c r="DS158" s="146"/>
      <c r="DT158" s="146"/>
      <c r="DU158" s="146"/>
      <c r="DV158" s="146"/>
      <c r="DW158" s="146"/>
      <c r="DX158" s="146"/>
      <c r="DY158" s="146"/>
      <c r="DZ158" s="146"/>
      <c r="EA158" s="146"/>
      <c r="EB158" s="146"/>
      <c r="EC158" s="146"/>
      <c r="ED158" s="146"/>
      <c r="EE158" s="146"/>
      <c r="EF158" s="146"/>
      <c r="EG158" s="146"/>
      <c r="EH158" s="146"/>
      <c r="EI158" s="146"/>
      <c r="EJ158" s="146"/>
      <c r="EK158" s="146"/>
      <c r="EL158" s="146"/>
      <c r="EM158" s="146"/>
      <c r="EN158" s="146"/>
      <c r="EO158" s="146"/>
      <c r="EP158" s="146"/>
      <c r="EQ158" s="146"/>
      <c r="ER158" s="146"/>
      <c r="ES158" s="146"/>
      <c r="ET158" s="146"/>
      <c r="EU158" s="146"/>
      <c r="EV158" s="146"/>
      <c r="EW158" s="146"/>
      <c r="EX158" s="146"/>
      <c r="EY158" s="146"/>
      <c r="EZ158" s="146"/>
      <c r="FA158" s="146"/>
      <c r="FB158" s="146"/>
      <c r="FC158" s="146"/>
      <c r="FD158" s="146"/>
      <c r="FE158" s="146"/>
      <c r="FF158" s="146"/>
    </row>
    <row r="159" spans="97:162" ht="14.5" x14ac:dyDescent="0.35">
      <c r="CS159" s="146"/>
      <c r="CT159" s="146"/>
      <c r="CU159" s="146"/>
      <c r="CV159" s="146"/>
      <c r="CW159" s="146"/>
      <c r="CX159" s="146"/>
      <c r="CY159" s="146"/>
      <c r="CZ159" s="146"/>
      <c r="DA159" s="146"/>
      <c r="DB159" s="146"/>
      <c r="DC159" s="146"/>
      <c r="DD159" s="146"/>
      <c r="DE159" s="146"/>
      <c r="DF159" s="146"/>
      <c r="DG159" s="146"/>
      <c r="DH159" s="146"/>
      <c r="DI159" s="146"/>
      <c r="DJ159" s="146"/>
      <c r="DK159" s="146"/>
      <c r="DL159" s="146"/>
      <c r="DM159" s="146"/>
      <c r="DN159" s="146"/>
      <c r="DO159" s="146"/>
      <c r="DP159" s="146"/>
      <c r="DQ159" s="146"/>
      <c r="DR159" s="146"/>
      <c r="DS159" s="146"/>
      <c r="DT159" s="146"/>
      <c r="DU159" s="146"/>
      <c r="DV159" s="146"/>
      <c r="DW159" s="146"/>
      <c r="DX159" s="146"/>
      <c r="DY159" s="146"/>
      <c r="DZ159" s="146"/>
      <c r="EA159" s="146"/>
      <c r="EB159" s="146"/>
      <c r="EC159" s="146"/>
      <c r="ED159" s="146"/>
      <c r="EE159" s="146"/>
      <c r="EF159" s="146"/>
      <c r="EG159" s="146"/>
      <c r="EH159" s="146"/>
      <c r="EI159" s="146"/>
      <c r="EJ159" s="146"/>
      <c r="EK159" s="146"/>
      <c r="EL159" s="146"/>
      <c r="EM159" s="146"/>
      <c r="EN159" s="146"/>
      <c r="EO159" s="146"/>
      <c r="EP159" s="146"/>
      <c r="EQ159" s="146"/>
      <c r="ER159" s="146"/>
      <c r="ES159" s="146"/>
      <c r="ET159" s="146"/>
      <c r="EU159" s="146"/>
      <c r="EV159" s="146"/>
      <c r="EW159" s="146"/>
      <c r="EX159" s="146"/>
      <c r="EY159" s="146"/>
      <c r="EZ159" s="146"/>
      <c r="FA159" s="146"/>
      <c r="FB159" s="146"/>
      <c r="FC159" s="146"/>
      <c r="FD159" s="146"/>
      <c r="FE159" s="146"/>
      <c r="FF159" s="146"/>
    </row>
    <row r="160" spans="97:162" ht="14.5" x14ac:dyDescent="0.35">
      <c r="CS160" s="146"/>
      <c r="CT160" s="146"/>
      <c r="CU160" s="146"/>
      <c r="CV160" s="146"/>
      <c r="CW160" s="146"/>
      <c r="CX160" s="146"/>
      <c r="CY160" s="146"/>
      <c r="CZ160" s="146"/>
      <c r="DA160" s="146"/>
      <c r="DB160" s="146"/>
      <c r="DC160" s="146"/>
      <c r="DD160" s="146"/>
      <c r="DE160" s="146"/>
      <c r="DF160" s="146"/>
      <c r="DG160" s="146"/>
      <c r="DH160" s="146"/>
      <c r="DI160" s="146"/>
      <c r="DJ160" s="146"/>
      <c r="DK160" s="146"/>
      <c r="DL160" s="146"/>
      <c r="DM160" s="146"/>
      <c r="DN160" s="146"/>
      <c r="DO160" s="146"/>
      <c r="DP160" s="146"/>
      <c r="DQ160" s="146"/>
      <c r="DR160" s="146"/>
      <c r="DS160" s="146"/>
      <c r="DT160" s="146"/>
      <c r="DU160" s="146"/>
      <c r="DV160" s="146"/>
      <c r="DW160" s="146"/>
      <c r="DX160" s="146"/>
      <c r="DY160" s="146"/>
      <c r="DZ160" s="146"/>
      <c r="EA160" s="146"/>
      <c r="EB160" s="146"/>
      <c r="EC160" s="146"/>
      <c r="ED160" s="146"/>
      <c r="EE160" s="146"/>
      <c r="EF160" s="146"/>
      <c r="EG160" s="146"/>
      <c r="EH160" s="146"/>
      <c r="EI160" s="146"/>
      <c r="EJ160" s="146"/>
      <c r="EK160" s="146"/>
      <c r="EL160" s="146"/>
      <c r="EM160" s="146"/>
      <c r="EN160" s="146"/>
      <c r="EO160" s="146"/>
      <c r="EP160" s="146"/>
      <c r="EQ160" s="146"/>
      <c r="ER160" s="146"/>
      <c r="ES160" s="146"/>
      <c r="ET160" s="146"/>
      <c r="EU160" s="146"/>
      <c r="EV160" s="146"/>
      <c r="EW160" s="146"/>
      <c r="EX160" s="146"/>
      <c r="EY160" s="146"/>
      <c r="EZ160" s="146"/>
      <c r="FA160" s="146"/>
      <c r="FB160" s="146"/>
      <c r="FC160" s="146"/>
      <c r="FD160" s="146"/>
      <c r="FE160" s="146"/>
      <c r="FF160" s="146"/>
    </row>
    <row r="161" spans="97:162" ht="14.5" x14ac:dyDescent="0.35">
      <c r="CS161" s="146"/>
      <c r="CT161" s="146"/>
      <c r="CU161" s="146"/>
      <c r="CV161" s="146"/>
      <c r="CW161" s="146"/>
      <c r="CX161" s="146"/>
      <c r="CY161" s="146"/>
      <c r="CZ161" s="146"/>
      <c r="DA161" s="146"/>
      <c r="DB161" s="146"/>
      <c r="DC161" s="146"/>
      <c r="DD161" s="146"/>
      <c r="DE161" s="146"/>
      <c r="DF161" s="146"/>
      <c r="DG161" s="146"/>
      <c r="DH161" s="146"/>
      <c r="DI161" s="146"/>
      <c r="DJ161" s="146"/>
      <c r="DK161" s="146"/>
      <c r="DL161" s="146"/>
      <c r="DM161" s="146"/>
      <c r="DN161" s="146"/>
      <c r="DO161" s="146"/>
      <c r="DP161" s="146"/>
      <c r="DQ161" s="146"/>
      <c r="DR161" s="146"/>
      <c r="DS161" s="146"/>
      <c r="DT161" s="146"/>
      <c r="DU161" s="146"/>
      <c r="DV161" s="146"/>
      <c r="DW161" s="146"/>
      <c r="DX161" s="146"/>
      <c r="DY161" s="146"/>
      <c r="DZ161" s="146"/>
      <c r="EA161" s="146"/>
      <c r="EB161" s="146"/>
      <c r="EC161" s="146"/>
      <c r="ED161" s="146"/>
      <c r="EE161" s="146"/>
      <c r="EF161" s="146"/>
      <c r="EG161" s="146"/>
      <c r="EH161" s="146"/>
      <c r="EI161" s="146"/>
      <c r="EJ161" s="146"/>
      <c r="EK161" s="146"/>
      <c r="EL161" s="146"/>
      <c r="EM161" s="146"/>
      <c r="EN161" s="146"/>
      <c r="EO161" s="146"/>
      <c r="EP161" s="146"/>
      <c r="EQ161" s="146"/>
      <c r="ER161" s="146"/>
      <c r="ES161" s="146"/>
      <c r="ET161" s="146"/>
      <c r="EU161" s="146"/>
      <c r="EV161" s="146"/>
      <c r="EW161" s="146"/>
      <c r="EX161" s="146"/>
      <c r="EY161" s="146"/>
      <c r="EZ161" s="146"/>
      <c r="FA161" s="146"/>
      <c r="FB161" s="146"/>
      <c r="FC161" s="146"/>
      <c r="FD161" s="146"/>
      <c r="FE161" s="146"/>
      <c r="FF161" s="146"/>
    </row>
    <row r="162" spans="97:162" ht="14.5" x14ac:dyDescent="0.35">
      <c r="CS162" s="146"/>
      <c r="CT162" s="146"/>
      <c r="CU162" s="146"/>
      <c r="CV162" s="146"/>
      <c r="CW162" s="146"/>
      <c r="CX162" s="146"/>
      <c r="CY162" s="146"/>
      <c r="CZ162" s="146"/>
      <c r="DA162" s="146"/>
      <c r="DB162" s="146"/>
      <c r="DC162" s="146"/>
      <c r="DD162" s="146"/>
      <c r="DE162" s="146"/>
      <c r="DF162" s="146"/>
      <c r="DG162" s="146"/>
      <c r="DH162" s="146"/>
      <c r="DI162" s="146"/>
      <c r="DJ162" s="146"/>
      <c r="DK162" s="146"/>
      <c r="DL162" s="146"/>
      <c r="DM162" s="146"/>
      <c r="DN162" s="146"/>
      <c r="DO162" s="146"/>
      <c r="DP162" s="146"/>
      <c r="DQ162" s="146"/>
      <c r="DR162" s="146"/>
      <c r="DS162" s="146"/>
      <c r="DT162" s="146"/>
      <c r="DU162" s="146"/>
      <c r="DV162" s="146"/>
      <c r="DW162" s="146"/>
      <c r="DX162" s="146"/>
      <c r="DY162" s="146"/>
      <c r="DZ162" s="146"/>
      <c r="EA162" s="146"/>
      <c r="EB162" s="146"/>
      <c r="EC162" s="146"/>
      <c r="ED162" s="146"/>
      <c r="EE162" s="146"/>
      <c r="EF162" s="146"/>
      <c r="EG162" s="146"/>
      <c r="EH162" s="146"/>
      <c r="EI162" s="146"/>
      <c r="EJ162" s="146"/>
      <c r="EK162" s="146"/>
      <c r="EL162" s="146"/>
      <c r="EM162" s="146"/>
      <c r="EN162" s="146"/>
      <c r="EO162" s="146"/>
      <c r="EP162" s="146"/>
      <c r="EQ162" s="146"/>
      <c r="ER162" s="146"/>
      <c r="ES162" s="146"/>
      <c r="ET162" s="146"/>
      <c r="EU162" s="146"/>
      <c r="EV162" s="146"/>
      <c r="EW162" s="146"/>
      <c r="EX162" s="146"/>
      <c r="EY162" s="146"/>
      <c r="EZ162" s="146"/>
      <c r="FA162" s="146"/>
      <c r="FB162" s="146"/>
      <c r="FC162" s="146"/>
      <c r="FD162" s="146"/>
      <c r="FE162" s="146"/>
      <c r="FF162" s="146"/>
    </row>
    <row r="163" spans="97:162" ht="14.5" x14ac:dyDescent="0.35">
      <c r="CS163" s="146"/>
      <c r="CT163" s="146"/>
      <c r="CU163" s="146"/>
      <c r="CV163" s="146"/>
      <c r="CW163" s="146"/>
      <c r="CX163" s="146"/>
      <c r="CY163" s="146"/>
      <c r="CZ163" s="146"/>
      <c r="DA163" s="146"/>
      <c r="DB163" s="146"/>
      <c r="DC163" s="146"/>
      <c r="DD163" s="146"/>
      <c r="DE163" s="146"/>
      <c r="DF163" s="146"/>
      <c r="DG163" s="146"/>
      <c r="DH163" s="146"/>
      <c r="DI163" s="146"/>
      <c r="DJ163" s="146"/>
      <c r="DK163" s="146"/>
      <c r="DL163" s="146"/>
      <c r="DM163" s="146"/>
      <c r="DN163" s="146"/>
      <c r="DO163" s="146"/>
      <c r="DP163" s="146"/>
      <c r="DQ163" s="146"/>
      <c r="DR163" s="146"/>
      <c r="DS163" s="146"/>
      <c r="DT163" s="146"/>
      <c r="DU163" s="146"/>
      <c r="DV163" s="146"/>
      <c r="DW163" s="146"/>
      <c r="DX163" s="146"/>
      <c r="DY163" s="146"/>
      <c r="DZ163" s="146"/>
      <c r="EA163" s="146"/>
      <c r="EB163" s="146"/>
      <c r="EC163" s="146"/>
      <c r="ED163" s="146"/>
      <c r="EE163" s="146"/>
      <c r="EF163" s="146"/>
      <c r="EG163" s="146"/>
      <c r="EH163" s="146"/>
      <c r="EI163" s="146"/>
      <c r="EJ163" s="146"/>
      <c r="EK163" s="146"/>
      <c r="EL163" s="146"/>
      <c r="EM163" s="146"/>
      <c r="EN163" s="146"/>
      <c r="EO163" s="146"/>
      <c r="EP163" s="146"/>
      <c r="EQ163" s="146"/>
      <c r="ER163" s="146"/>
      <c r="ES163" s="146"/>
      <c r="ET163" s="146"/>
      <c r="EU163" s="146"/>
      <c r="EV163" s="146"/>
      <c r="EW163" s="146"/>
      <c r="EX163" s="146"/>
      <c r="EY163" s="146"/>
      <c r="EZ163" s="146"/>
      <c r="FA163" s="146"/>
      <c r="FB163" s="146"/>
      <c r="FC163" s="146"/>
      <c r="FD163" s="146"/>
      <c r="FE163" s="146"/>
      <c r="FF163" s="146"/>
    </row>
    <row r="164" spans="97:162" ht="14.5" x14ac:dyDescent="0.35">
      <c r="CS164" s="146"/>
      <c r="CT164" s="146"/>
      <c r="CU164" s="146"/>
      <c r="CV164" s="146"/>
      <c r="CW164" s="146"/>
      <c r="CX164" s="146"/>
      <c r="CY164" s="146"/>
      <c r="CZ164" s="146"/>
      <c r="DA164" s="146"/>
      <c r="DB164" s="146"/>
      <c r="DC164" s="146"/>
      <c r="DD164" s="146"/>
      <c r="DE164" s="146"/>
      <c r="DF164" s="146"/>
      <c r="DG164" s="146"/>
      <c r="DH164" s="146"/>
      <c r="DI164" s="146"/>
      <c r="DJ164" s="146"/>
      <c r="DK164" s="146"/>
      <c r="DL164" s="146"/>
      <c r="DM164" s="146"/>
      <c r="DN164" s="146"/>
      <c r="DO164" s="146"/>
      <c r="DP164" s="146"/>
      <c r="DQ164" s="146"/>
      <c r="DR164" s="146"/>
      <c r="DS164" s="146"/>
      <c r="DT164" s="146"/>
      <c r="DU164" s="146"/>
      <c r="DV164" s="146"/>
      <c r="DW164" s="146"/>
      <c r="DX164" s="146"/>
      <c r="DY164" s="146"/>
      <c r="DZ164" s="146"/>
      <c r="EA164" s="146"/>
      <c r="EB164" s="146"/>
      <c r="EC164" s="146"/>
      <c r="ED164" s="146"/>
      <c r="EE164" s="146"/>
      <c r="EF164" s="146"/>
      <c r="EG164" s="146"/>
      <c r="EH164" s="146"/>
      <c r="EI164" s="146"/>
      <c r="EJ164" s="146"/>
      <c r="EK164" s="146"/>
      <c r="EL164" s="146"/>
      <c r="EM164" s="146"/>
      <c r="EN164" s="146"/>
      <c r="EO164" s="146"/>
      <c r="EP164" s="146"/>
      <c r="EQ164" s="146"/>
      <c r="ER164" s="146"/>
      <c r="ES164" s="146"/>
      <c r="ET164" s="146"/>
      <c r="EU164" s="146"/>
      <c r="EV164" s="146"/>
      <c r="EW164" s="146"/>
      <c r="EX164" s="146"/>
      <c r="EY164" s="146"/>
      <c r="EZ164" s="146"/>
      <c r="FA164" s="146"/>
      <c r="FB164" s="146"/>
      <c r="FC164" s="146"/>
      <c r="FD164" s="146"/>
      <c r="FE164" s="146"/>
      <c r="FF164" s="146"/>
    </row>
    <row r="165" spans="97:162" ht="14.5" x14ac:dyDescent="0.35">
      <c r="CS165" s="146"/>
      <c r="CT165" s="146"/>
      <c r="CU165" s="146"/>
      <c r="CV165" s="146"/>
      <c r="CW165" s="146"/>
      <c r="CX165" s="146"/>
      <c r="CY165" s="146"/>
      <c r="CZ165" s="146"/>
      <c r="DA165" s="146"/>
      <c r="DB165" s="146"/>
      <c r="DC165" s="146"/>
      <c r="DD165" s="146"/>
      <c r="DE165" s="146"/>
      <c r="DF165" s="146"/>
      <c r="DG165" s="146"/>
      <c r="DH165" s="146"/>
      <c r="DI165" s="146"/>
      <c r="DJ165" s="146"/>
      <c r="DK165" s="146"/>
      <c r="DL165" s="146"/>
      <c r="DM165" s="146"/>
      <c r="DN165" s="146"/>
      <c r="DO165" s="146"/>
      <c r="DP165" s="146"/>
      <c r="DQ165" s="146"/>
      <c r="DR165" s="146"/>
      <c r="DS165" s="146"/>
      <c r="DT165" s="146"/>
      <c r="DU165" s="146"/>
      <c r="DV165" s="146"/>
      <c r="DW165" s="146"/>
      <c r="DX165" s="146"/>
      <c r="DY165" s="146"/>
      <c r="DZ165" s="146"/>
      <c r="EA165" s="146"/>
      <c r="EB165" s="146"/>
      <c r="EC165" s="146"/>
      <c r="ED165" s="146"/>
      <c r="EE165" s="146"/>
      <c r="EF165" s="146"/>
      <c r="EG165" s="146"/>
      <c r="EH165" s="146"/>
      <c r="EI165" s="146"/>
      <c r="EJ165" s="146"/>
      <c r="EK165" s="146"/>
      <c r="EL165" s="146"/>
      <c r="EM165" s="146"/>
      <c r="EN165" s="146"/>
      <c r="EO165" s="146"/>
      <c r="EP165" s="146"/>
      <c r="EQ165" s="146"/>
      <c r="ER165" s="146"/>
      <c r="ES165" s="146"/>
      <c r="ET165" s="146"/>
      <c r="EU165" s="146"/>
      <c r="EV165" s="146"/>
      <c r="EW165" s="146"/>
      <c r="EX165" s="146"/>
      <c r="EY165" s="146"/>
      <c r="EZ165" s="146"/>
      <c r="FA165" s="146"/>
      <c r="FB165" s="146"/>
      <c r="FC165" s="146"/>
      <c r="FD165" s="146"/>
      <c r="FE165" s="146"/>
      <c r="FF165" s="146"/>
    </row>
    <row r="166" spans="97:162" ht="14.5" x14ac:dyDescent="0.35">
      <c r="CS166" s="146"/>
      <c r="CT166" s="146"/>
      <c r="CU166" s="146"/>
      <c r="CV166" s="146"/>
      <c r="CW166" s="146"/>
      <c r="CX166" s="146"/>
      <c r="CY166" s="146"/>
      <c r="CZ166" s="146"/>
      <c r="DA166" s="146"/>
      <c r="DB166" s="146"/>
      <c r="DC166" s="146"/>
      <c r="DD166" s="146"/>
      <c r="DE166" s="146"/>
      <c r="DF166" s="146"/>
      <c r="DG166" s="146"/>
      <c r="DH166" s="146"/>
      <c r="DI166" s="146"/>
      <c r="DJ166" s="146"/>
      <c r="DK166" s="146"/>
      <c r="DL166" s="146"/>
      <c r="DM166" s="146"/>
      <c r="DN166" s="146"/>
      <c r="DO166" s="146"/>
      <c r="DP166" s="146"/>
      <c r="DQ166" s="146"/>
      <c r="DR166" s="146"/>
      <c r="DS166" s="146"/>
      <c r="DT166" s="146"/>
      <c r="DU166" s="146"/>
      <c r="DV166" s="146"/>
      <c r="DW166" s="146"/>
      <c r="DX166" s="146"/>
      <c r="DY166" s="146"/>
      <c r="DZ166" s="146"/>
      <c r="EA166" s="146"/>
      <c r="EB166" s="146"/>
      <c r="EC166" s="146"/>
      <c r="ED166" s="146"/>
      <c r="EE166" s="146"/>
      <c r="EF166" s="146"/>
      <c r="EG166" s="146"/>
      <c r="EH166" s="146"/>
      <c r="EI166" s="146"/>
      <c r="EJ166" s="146"/>
      <c r="EK166" s="146"/>
      <c r="EL166" s="146"/>
      <c r="EM166" s="146"/>
      <c r="EN166" s="146"/>
      <c r="EO166" s="146"/>
      <c r="EP166" s="146"/>
      <c r="EQ166" s="146"/>
      <c r="ER166" s="146"/>
      <c r="ES166" s="146"/>
      <c r="ET166" s="146"/>
      <c r="EU166" s="146"/>
      <c r="EV166" s="146"/>
      <c r="EW166" s="146"/>
      <c r="EX166" s="146"/>
      <c r="EY166" s="146"/>
      <c r="EZ166" s="146"/>
      <c r="FA166" s="146"/>
      <c r="FB166" s="146"/>
      <c r="FC166" s="146"/>
      <c r="FD166" s="146"/>
      <c r="FE166" s="146"/>
      <c r="FF166" s="146"/>
    </row>
    <row r="167" spans="97:162" ht="14.5" x14ac:dyDescent="0.35">
      <c r="CS167" s="146"/>
      <c r="CT167" s="146"/>
      <c r="CU167" s="146"/>
      <c r="CV167" s="146"/>
      <c r="CW167" s="146"/>
      <c r="CX167" s="146"/>
      <c r="CY167" s="146"/>
      <c r="CZ167" s="146"/>
      <c r="DA167" s="146"/>
      <c r="DB167" s="146"/>
      <c r="DC167" s="146"/>
      <c r="DD167" s="146"/>
      <c r="DE167" s="146"/>
      <c r="DF167" s="146"/>
      <c r="DG167" s="146"/>
      <c r="DH167" s="146"/>
      <c r="DI167" s="146"/>
      <c r="DJ167" s="146"/>
      <c r="DK167" s="146"/>
      <c r="DL167" s="146"/>
      <c r="DM167" s="146"/>
      <c r="DN167" s="146"/>
      <c r="DO167" s="146"/>
      <c r="DP167" s="146"/>
      <c r="DQ167" s="146"/>
      <c r="DR167" s="146"/>
      <c r="DS167" s="146"/>
      <c r="DT167" s="146"/>
      <c r="DU167" s="146"/>
      <c r="DV167" s="146"/>
      <c r="DW167" s="146"/>
      <c r="DX167" s="146"/>
      <c r="DY167" s="146"/>
      <c r="DZ167" s="146"/>
      <c r="EA167" s="146"/>
      <c r="EB167" s="146"/>
      <c r="EC167" s="146"/>
      <c r="ED167" s="146"/>
      <c r="EE167" s="146"/>
      <c r="EF167" s="146"/>
      <c r="EG167" s="146"/>
      <c r="EH167" s="146"/>
      <c r="EI167" s="146"/>
      <c r="EJ167" s="146"/>
      <c r="EK167" s="146"/>
      <c r="EL167" s="146"/>
      <c r="EM167" s="146"/>
      <c r="EN167" s="146"/>
      <c r="EO167" s="146"/>
      <c r="EP167" s="146"/>
      <c r="EQ167" s="146"/>
      <c r="ER167" s="146"/>
      <c r="ES167" s="146"/>
      <c r="ET167" s="146"/>
      <c r="EU167" s="146"/>
      <c r="EV167" s="146"/>
      <c r="EW167" s="146"/>
      <c r="EX167" s="146"/>
      <c r="EY167" s="146"/>
      <c r="EZ167" s="146"/>
      <c r="FA167" s="146"/>
      <c r="FB167" s="146"/>
      <c r="FC167" s="146"/>
      <c r="FD167" s="146"/>
      <c r="FE167" s="146"/>
      <c r="FF167" s="146"/>
    </row>
    <row r="168" spans="97:162" ht="14.5" x14ac:dyDescent="0.35">
      <c r="CS168" s="146"/>
      <c r="CT168" s="146"/>
      <c r="CU168" s="146"/>
      <c r="CV168" s="146"/>
      <c r="CW168" s="146"/>
      <c r="CX168" s="146"/>
      <c r="CY168" s="146"/>
      <c r="CZ168" s="146"/>
      <c r="DA168" s="146"/>
      <c r="DB168" s="146"/>
      <c r="DC168" s="146"/>
      <c r="DD168" s="146"/>
      <c r="DE168" s="146"/>
      <c r="DF168" s="146"/>
      <c r="DG168" s="146"/>
      <c r="DH168" s="146"/>
      <c r="DI168" s="146"/>
      <c r="DJ168" s="146"/>
      <c r="DK168" s="146"/>
      <c r="DL168" s="146"/>
      <c r="DM168" s="146"/>
      <c r="DN168" s="146"/>
      <c r="DO168" s="146"/>
      <c r="DP168" s="146"/>
      <c r="DQ168" s="146"/>
      <c r="DR168" s="146"/>
      <c r="DS168" s="146"/>
      <c r="DT168" s="146"/>
      <c r="DU168" s="146"/>
      <c r="DV168" s="146"/>
      <c r="DW168" s="146"/>
      <c r="DX168" s="146"/>
      <c r="DY168" s="146"/>
      <c r="DZ168" s="146"/>
      <c r="EA168" s="146"/>
      <c r="EB168" s="146"/>
      <c r="EC168" s="146"/>
      <c r="ED168" s="146"/>
      <c r="EE168" s="146"/>
      <c r="EF168" s="146"/>
      <c r="EG168" s="146"/>
      <c r="EH168" s="146"/>
      <c r="EI168" s="146"/>
      <c r="EJ168" s="146"/>
      <c r="EK168" s="146"/>
      <c r="EL168" s="146"/>
      <c r="EM168" s="146"/>
      <c r="EN168" s="146"/>
      <c r="EO168" s="146"/>
      <c r="EP168" s="146"/>
      <c r="EQ168" s="146"/>
      <c r="ER168" s="146"/>
      <c r="ES168" s="146"/>
      <c r="ET168" s="146"/>
      <c r="EU168" s="146"/>
      <c r="EV168" s="146"/>
      <c r="EW168" s="146"/>
      <c r="EX168" s="146"/>
      <c r="EY168" s="146"/>
      <c r="EZ168" s="146"/>
      <c r="FA168" s="146"/>
      <c r="FB168" s="146"/>
      <c r="FC168" s="146"/>
      <c r="FD168" s="146"/>
      <c r="FE168" s="146"/>
      <c r="FF168" s="146"/>
    </row>
    <row r="169" spans="97:162" ht="14.5" x14ac:dyDescent="0.35">
      <c r="CS169" s="146"/>
      <c r="CT169" s="146"/>
      <c r="CU169" s="146"/>
      <c r="CV169" s="146"/>
      <c r="CW169" s="146"/>
      <c r="CX169" s="146"/>
      <c r="CY169" s="146"/>
      <c r="CZ169" s="146"/>
      <c r="DA169" s="146"/>
      <c r="DB169" s="146"/>
      <c r="DC169" s="146"/>
      <c r="DD169" s="146"/>
      <c r="DE169" s="146"/>
      <c r="DF169" s="146"/>
      <c r="DG169" s="146"/>
      <c r="DH169" s="146"/>
      <c r="DI169" s="146"/>
      <c r="DJ169" s="146"/>
      <c r="DK169" s="146"/>
      <c r="DL169" s="146"/>
      <c r="DM169" s="146"/>
      <c r="DN169" s="146"/>
      <c r="DO169" s="146"/>
      <c r="DP169" s="146"/>
      <c r="DQ169" s="146"/>
      <c r="DR169" s="146"/>
      <c r="DS169" s="146"/>
      <c r="DT169" s="146"/>
      <c r="DU169" s="146"/>
      <c r="DV169" s="146"/>
      <c r="DW169" s="146"/>
      <c r="DX169" s="146"/>
      <c r="DY169" s="146"/>
      <c r="DZ169" s="146"/>
      <c r="EA169" s="146"/>
      <c r="EB169" s="146"/>
      <c r="EC169" s="146"/>
      <c r="ED169" s="146"/>
      <c r="EE169" s="146"/>
      <c r="EF169" s="146"/>
      <c r="EG169" s="146"/>
      <c r="EH169" s="146"/>
      <c r="EI169" s="146"/>
      <c r="EJ169" s="146"/>
      <c r="EK169" s="146"/>
      <c r="EL169" s="146"/>
      <c r="EM169" s="146"/>
      <c r="EN169" s="146"/>
      <c r="EO169" s="146"/>
      <c r="EP169" s="146"/>
      <c r="EQ169" s="146"/>
      <c r="ER169" s="146"/>
      <c r="ES169" s="146"/>
      <c r="ET169" s="146"/>
      <c r="EU169" s="146"/>
      <c r="EV169" s="146"/>
      <c r="EW169" s="146"/>
      <c r="EX169" s="146"/>
      <c r="EY169" s="146"/>
      <c r="EZ169" s="146"/>
      <c r="FA169" s="146"/>
      <c r="FB169" s="146"/>
      <c r="FC169" s="146"/>
      <c r="FD169" s="146"/>
      <c r="FE169" s="146"/>
      <c r="FF169" s="146"/>
    </row>
    <row r="170" spans="97:162" ht="14.5" x14ac:dyDescent="0.35">
      <c r="CS170" s="146"/>
      <c r="CT170" s="146"/>
      <c r="CU170" s="146"/>
      <c r="CV170" s="146"/>
      <c r="CW170" s="146"/>
      <c r="CX170" s="146"/>
      <c r="CY170" s="146"/>
      <c r="CZ170" s="146"/>
      <c r="DA170" s="146"/>
      <c r="DB170" s="146"/>
      <c r="DC170" s="146"/>
      <c r="DD170" s="146"/>
      <c r="DE170" s="146"/>
      <c r="DF170" s="146"/>
      <c r="DG170" s="146"/>
      <c r="DH170" s="146"/>
      <c r="DI170" s="146"/>
      <c r="DJ170" s="146"/>
      <c r="DK170" s="146"/>
      <c r="DL170" s="146"/>
      <c r="DM170" s="146"/>
      <c r="DN170" s="146"/>
      <c r="DO170" s="146"/>
      <c r="DP170" s="146"/>
      <c r="DQ170" s="146"/>
      <c r="DR170" s="146"/>
      <c r="DS170" s="146"/>
      <c r="DT170" s="146"/>
      <c r="DU170" s="146"/>
      <c r="DV170" s="146"/>
      <c r="DW170" s="146"/>
      <c r="DX170" s="146"/>
      <c r="DY170" s="146"/>
      <c r="DZ170" s="146"/>
      <c r="EA170" s="146"/>
      <c r="EB170" s="146"/>
      <c r="EC170" s="146"/>
      <c r="ED170" s="146"/>
      <c r="EE170" s="146"/>
      <c r="EF170" s="146"/>
      <c r="EG170" s="146"/>
      <c r="EH170" s="146"/>
      <c r="EI170" s="146"/>
      <c r="EJ170" s="146"/>
      <c r="EK170" s="146"/>
      <c r="EL170" s="146"/>
      <c r="EM170" s="146"/>
      <c r="EN170" s="146"/>
      <c r="EO170" s="146"/>
      <c r="EP170" s="146"/>
      <c r="EQ170" s="146"/>
      <c r="ER170" s="146"/>
      <c r="ES170" s="146"/>
      <c r="ET170" s="146"/>
      <c r="EU170" s="146"/>
      <c r="EV170" s="146"/>
      <c r="EW170" s="146"/>
      <c r="EX170" s="146"/>
      <c r="EY170" s="146"/>
      <c r="EZ170" s="146"/>
      <c r="FA170" s="146"/>
      <c r="FB170" s="146"/>
      <c r="FC170" s="146"/>
      <c r="FD170" s="146"/>
      <c r="FE170" s="146"/>
      <c r="FF170" s="146"/>
    </row>
    <row r="171" spans="97:162" ht="14.5" x14ac:dyDescent="0.35">
      <c r="CS171" s="146"/>
      <c r="CT171" s="146"/>
      <c r="CU171" s="146"/>
      <c r="CV171" s="146"/>
      <c r="CW171" s="146"/>
      <c r="CX171" s="146"/>
      <c r="CY171" s="146"/>
      <c r="CZ171" s="146"/>
      <c r="DA171" s="146"/>
      <c r="DB171" s="146"/>
      <c r="DC171" s="146"/>
      <c r="DD171" s="146"/>
      <c r="DE171" s="146"/>
      <c r="DF171" s="146"/>
      <c r="DG171" s="146"/>
      <c r="DH171" s="146"/>
      <c r="DI171" s="146"/>
      <c r="DJ171" s="146"/>
      <c r="DK171" s="146"/>
      <c r="DL171" s="146"/>
      <c r="DM171" s="146"/>
      <c r="DN171" s="146"/>
      <c r="DO171" s="146"/>
      <c r="DP171" s="146"/>
      <c r="DQ171" s="146"/>
      <c r="DR171" s="146"/>
      <c r="DS171" s="146"/>
      <c r="DT171" s="146"/>
      <c r="DU171" s="146"/>
      <c r="DV171" s="146"/>
      <c r="DW171" s="146"/>
      <c r="DX171" s="146"/>
      <c r="DY171" s="146"/>
      <c r="DZ171" s="146"/>
      <c r="EA171" s="146"/>
      <c r="EB171" s="146"/>
      <c r="EC171" s="146"/>
      <c r="ED171" s="146"/>
      <c r="EE171" s="146"/>
      <c r="EF171" s="146"/>
      <c r="EG171" s="146"/>
      <c r="EH171" s="146"/>
      <c r="EI171" s="146"/>
      <c r="EJ171" s="146"/>
      <c r="EK171" s="146"/>
      <c r="EL171" s="146"/>
      <c r="EM171" s="146"/>
      <c r="EN171" s="146"/>
      <c r="EO171" s="146"/>
      <c r="EP171" s="146"/>
      <c r="EQ171" s="146"/>
      <c r="ER171" s="146"/>
      <c r="ES171" s="146"/>
      <c r="ET171" s="146"/>
      <c r="EU171" s="146"/>
      <c r="EV171" s="146"/>
      <c r="EW171" s="146"/>
      <c r="EX171" s="146"/>
      <c r="EY171" s="146"/>
      <c r="EZ171" s="146"/>
      <c r="FA171" s="146"/>
      <c r="FB171" s="146"/>
      <c r="FC171" s="146"/>
      <c r="FD171" s="146"/>
      <c r="FE171" s="146"/>
      <c r="FF171" s="146"/>
    </row>
    <row r="172" spans="97:162" ht="14.5" x14ac:dyDescent="0.35">
      <c r="CS172" s="146"/>
      <c r="CT172" s="146"/>
      <c r="CU172" s="146"/>
      <c r="CV172" s="146"/>
      <c r="CW172" s="146"/>
      <c r="CX172" s="146"/>
      <c r="CY172" s="146"/>
      <c r="CZ172" s="146"/>
      <c r="DA172" s="146"/>
      <c r="DB172" s="146"/>
      <c r="DC172" s="146"/>
      <c r="DD172" s="146"/>
      <c r="DE172" s="146"/>
      <c r="DF172" s="146"/>
      <c r="DG172" s="146"/>
      <c r="DH172" s="146"/>
      <c r="DI172" s="146"/>
      <c r="DJ172" s="146"/>
      <c r="DK172" s="146"/>
      <c r="DL172" s="146"/>
      <c r="DM172" s="146"/>
      <c r="DN172" s="146"/>
      <c r="DO172" s="146"/>
      <c r="DP172" s="146"/>
      <c r="DQ172" s="146"/>
      <c r="DR172" s="146"/>
      <c r="DS172" s="146"/>
      <c r="DT172" s="146"/>
      <c r="DU172" s="146"/>
      <c r="DV172" s="146"/>
      <c r="DW172" s="146"/>
      <c r="DX172" s="146"/>
      <c r="DY172" s="146"/>
      <c r="DZ172" s="146"/>
      <c r="EA172" s="146"/>
      <c r="EB172" s="146"/>
      <c r="EC172" s="146"/>
      <c r="ED172" s="146"/>
      <c r="EE172" s="146"/>
      <c r="EF172" s="146"/>
      <c r="EG172" s="146"/>
      <c r="EH172" s="146"/>
      <c r="EI172" s="146"/>
      <c r="EJ172" s="146"/>
      <c r="EK172" s="146"/>
      <c r="EL172" s="146"/>
      <c r="EM172" s="146"/>
      <c r="EN172" s="146"/>
      <c r="EO172" s="146"/>
      <c r="EP172" s="146"/>
      <c r="EQ172" s="146"/>
      <c r="ER172" s="146"/>
      <c r="ES172" s="146"/>
      <c r="ET172" s="146"/>
      <c r="EU172" s="146"/>
      <c r="EV172" s="146"/>
      <c r="EW172" s="146"/>
      <c r="EX172" s="146"/>
      <c r="EY172" s="146"/>
      <c r="EZ172" s="146"/>
      <c r="FA172" s="146"/>
      <c r="FB172" s="146"/>
      <c r="FC172" s="146"/>
      <c r="FD172" s="146"/>
      <c r="FE172" s="146"/>
      <c r="FF172" s="146"/>
    </row>
    <row r="173" spans="97:162" ht="14.5" x14ac:dyDescent="0.35">
      <c r="CS173" s="146"/>
      <c r="CT173" s="146"/>
      <c r="CU173" s="146"/>
      <c r="CV173" s="146"/>
      <c r="CW173" s="146"/>
      <c r="CX173" s="146"/>
      <c r="CY173" s="146"/>
      <c r="CZ173" s="146"/>
      <c r="DA173" s="146"/>
      <c r="DB173" s="146"/>
      <c r="DC173" s="146"/>
      <c r="DD173" s="146"/>
      <c r="DE173" s="146"/>
      <c r="DF173" s="146"/>
      <c r="DG173" s="146"/>
      <c r="DH173" s="146"/>
      <c r="DI173" s="146"/>
      <c r="DJ173" s="146"/>
      <c r="DK173" s="146"/>
      <c r="DL173" s="146"/>
      <c r="DM173" s="146"/>
      <c r="DN173" s="146"/>
      <c r="DO173" s="146"/>
      <c r="DP173" s="146"/>
      <c r="DQ173" s="146"/>
      <c r="DR173" s="146"/>
      <c r="DS173" s="146"/>
      <c r="DT173" s="146"/>
      <c r="DU173" s="146"/>
      <c r="DV173" s="146"/>
      <c r="DW173" s="146"/>
      <c r="DX173" s="146"/>
      <c r="DY173" s="146"/>
      <c r="DZ173" s="146"/>
      <c r="EA173" s="146"/>
      <c r="EB173" s="146"/>
      <c r="EC173" s="146"/>
      <c r="ED173" s="146"/>
      <c r="EE173" s="146"/>
      <c r="EF173" s="146"/>
      <c r="EG173" s="146"/>
      <c r="EH173" s="146"/>
      <c r="EI173" s="146"/>
      <c r="EJ173" s="146"/>
      <c r="EK173" s="146"/>
      <c r="EL173" s="146"/>
      <c r="EM173" s="146"/>
      <c r="EN173" s="146"/>
      <c r="EO173" s="146"/>
      <c r="EP173" s="146"/>
      <c r="EQ173" s="146"/>
      <c r="ER173" s="146"/>
      <c r="ES173" s="146"/>
      <c r="ET173" s="146"/>
      <c r="EU173" s="146"/>
      <c r="EV173" s="146"/>
      <c r="EW173" s="146"/>
      <c r="EX173" s="146"/>
      <c r="EY173" s="146"/>
      <c r="EZ173" s="146"/>
      <c r="FA173" s="146"/>
      <c r="FB173" s="146"/>
      <c r="FC173" s="146"/>
      <c r="FD173" s="146"/>
      <c r="FE173" s="146"/>
      <c r="FF173" s="146"/>
    </row>
    <row r="174" spans="97:162" ht="14.5" x14ac:dyDescent="0.35">
      <c r="CS174" s="146"/>
      <c r="CT174" s="146"/>
      <c r="CU174" s="146"/>
      <c r="CV174" s="146"/>
      <c r="CW174" s="146"/>
      <c r="CX174" s="146"/>
      <c r="CY174" s="146"/>
      <c r="CZ174" s="146"/>
      <c r="DA174" s="146"/>
      <c r="DB174" s="146"/>
      <c r="DC174" s="146"/>
      <c r="DD174" s="146"/>
      <c r="DE174" s="146"/>
      <c r="DF174" s="146"/>
      <c r="DG174" s="146"/>
      <c r="DH174" s="146"/>
      <c r="DI174" s="146"/>
      <c r="DJ174" s="146"/>
      <c r="DK174" s="146"/>
      <c r="DL174" s="146"/>
      <c r="DM174" s="146"/>
      <c r="DN174" s="146"/>
      <c r="DO174" s="146"/>
      <c r="DP174" s="146"/>
      <c r="DQ174" s="146"/>
      <c r="DR174" s="146"/>
      <c r="DS174" s="146"/>
      <c r="DT174" s="146"/>
      <c r="DU174" s="146"/>
      <c r="DV174" s="146"/>
      <c r="DW174" s="146"/>
      <c r="DX174" s="146"/>
      <c r="DY174" s="146"/>
      <c r="DZ174" s="146"/>
      <c r="EA174" s="146"/>
      <c r="EB174" s="146"/>
      <c r="EC174" s="146"/>
      <c r="ED174" s="146"/>
      <c r="EE174" s="146"/>
      <c r="EF174" s="146"/>
      <c r="EG174" s="146"/>
      <c r="EH174" s="146"/>
      <c r="EI174" s="146"/>
      <c r="EJ174" s="146"/>
      <c r="EK174" s="146"/>
      <c r="EL174" s="146"/>
      <c r="EM174" s="146"/>
      <c r="EN174" s="146"/>
      <c r="EO174" s="146"/>
      <c r="EP174" s="146"/>
      <c r="EQ174" s="146"/>
      <c r="ER174" s="146"/>
      <c r="ES174" s="146"/>
      <c r="ET174" s="146"/>
      <c r="EU174" s="146"/>
      <c r="EV174" s="146"/>
      <c r="EW174" s="146"/>
      <c r="EX174" s="146"/>
      <c r="EY174" s="146"/>
      <c r="EZ174" s="146"/>
      <c r="FA174" s="146"/>
      <c r="FB174" s="146"/>
      <c r="FC174" s="146"/>
      <c r="FD174" s="146"/>
      <c r="FE174" s="146"/>
      <c r="FF174" s="146"/>
    </row>
    <row r="175" spans="97:162" ht="14.5" x14ac:dyDescent="0.35">
      <c r="CS175" s="146"/>
      <c r="CT175" s="146"/>
      <c r="CU175" s="146"/>
      <c r="CV175" s="146"/>
      <c r="CW175" s="146"/>
      <c r="CX175" s="146"/>
      <c r="CY175" s="146"/>
      <c r="CZ175" s="146"/>
      <c r="DA175" s="146"/>
      <c r="DB175" s="146"/>
      <c r="DC175" s="146"/>
      <c r="DD175" s="146"/>
      <c r="DE175" s="146"/>
      <c r="DF175" s="146"/>
      <c r="DG175" s="146"/>
      <c r="DH175" s="146"/>
      <c r="DI175" s="146"/>
      <c r="DJ175" s="146"/>
      <c r="DK175" s="146"/>
      <c r="DL175" s="146"/>
      <c r="DM175" s="146"/>
      <c r="DN175" s="146"/>
      <c r="DO175" s="146"/>
      <c r="DP175" s="146"/>
      <c r="DQ175" s="146"/>
      <c r="DR175" s="146"/>
      <c r="DS175" s="146"/>
      <c r="DT175" s="146"/>
      <c r="DU175" s="146"/>
      <c r="DV175" s="146"/>
      <c r="DW175" s="146"/>
      <c r="DX175" s="146"/>
      <c r="DY175" s="146"/>
      <c r="DZ175" s="146"/>
      <c r="EA175" s="146"/>
      <c r="EB175" s="146"/>
      <c r="EC175" s="146"/>
      <c r="ED175" s="146"/>
      <c r="EE175" s="146"/>
      <c r="EF175" s="146"/>
      <c r="EG175" s="146"/>
      <c r="EH175" s="146"/>
      <c r="EI175" s="146"/>
      <c r="EJ175" s="146"/>
      <c r="EK175" s="146"/>
      <c r="EL175" s="146"/>
      <c r="EM175" s="146"/>
      <c r="EN175" s="146"/>
      <c r="EO175" s="146"/>
      <c r="EP175" s="146"/>
      <c r="EQ175" s="146"/>
      <c r="ER175" s="146"/>
      <c r="ES175" s="146"/>
      <c r="ET175" s="146"/>
      <c r="EU175" s="146"/>
      <c r="EV175" s="146"/>
      <c r="EW175" s="146"/>
      <c r="EX175" s="146"/>
      <c r="EY175" s="146"/>
      <c r="EZ175" s="146"/>
      <c r="FA175" s="146"/>
      <c r="FB175" s="146"/>
      <c r="FC175" s="146"/>
      <c r="FD175" s="146"/>
      <c r="FE175" s="146"/>
      <c r="FF175" s="146"/>
    </row>
    <row r="176" spans="97:162" ht="14.5" x14ac:dyDescent="0.35">
      <c r="CS176" s="146"/>
      <c r="CT176" s="146"/>
      <c r="CU176" s="146"/>
      <c r="CV176" s="146"/>
      <c r="CW176" s="146"/>
      <c r="CX176" s="146"/>
      <c r="CY176" s="146"/>
      <c r="CZ176" s="146"/>
      <c r="DA176" s="146"/>
      <c r="DB176" s="146"/>
      <c r="DC176" s="146"/>
      <c r="DD176" s="146"/>
      <c r="DE176" s="146"/>
      <c r="DF176" s="146"/>
      <c r="DG176" s="146"/>
      <c r="DH176" s="146"/>
      <c r="DI176" s="146"/>
      <c r="DJ176" s="146"/>
      <c r="DK176" s="146"/>
      <c r="DL176" s="146"/>
      <c r="DM176" s="146"/>
      <c r="DN176" s="146"/>
      <c r="DO176" s="146"/>
      <c r="DP176" s="146"/>
      <c r="DQ176" s="146"/>
      <c r="DR176" s="146"/>
      <c r="DS176" s="146"/>
      <c r="DT176" s="146"/>
      <c r="DU176" s="146"/>
      <c r="DV176" s="146"/>
      <c r="DW176" s="146"/>
      <c r="DX176" s="146"/>
      <c r="DY176" s="146"/>
      <c r="DZ176" s="146"/>
      <c r="EA176" s="146"/>
      <c r="EB176" s="146"/>
      <c r="EC176" s="146"/>
      <c r="ED176" s="146"/>
      <c r="EE176" s="146"/>
      <c r="EF176" s="146"/>
      <c r="EG176" s="146"/>
      <c r="EH176" s="146"/>
      <c r="EI176" s="146"/>
      <c r="EJ176" s="146"/>
      <c r="EK176" s="146"/>
      <c r="EL176" s="146"/>
      <c r="EM176" s="146"/>
      <c r="EN176" s="146"/>
      <c r="EO176" s="146"/>
      <c r="EP176" s="146"/>
      <c r="EQ176" s="146"/>
      <c r="ER176" s="146"/>
      <c r="ES176" s="146"/>
      <c r="ET176" s="146"/>
      <c r="EU176" s="146"/>
      <c r="EV176" s="146"/>
      <c r="EW176" s="146"/>
      <c r="EX176" s="146"/>
      <c r="EY176" s="146"/>
      <c r="EZ176" s="146"/>
      <c r="FA176" s="146"/>
      <c r="FB176" s="146"/>
      <c r="FC176" s="146"/>
      <c r="FD176" s="146"/>
      <c r="FE176" s="146"/>
      <c r="FF176" s="146"/>
    </row>
    <row r="177" spans="97:162" ht="14.5" x14ac:dyDescent="0.35">
      <c r="CS177" s="146"/>
      <c r="CT177" s="146"/>
      <c r="CU177" s="146"/>
      <c r="CV177" s="146"/>
      <c r="CW177" s="146"/>
      <c r="CX177" s="146"/>
      <c r="CY177" s="146"/>
      <c r="CZ177" s="146"/>
      <c r="DA177" s="146"/>
      <c r="DB177" s="146"/>
      <c r="DC177" s="146"/>
      <c r="DD177" s="146"/>
      <c r="DE177" s="146"/>
      <c r="DF177" s="146"/>
      <c r="DG177" s="146"/>
      <c r="DH177" s="146"/>
      <c r="DI177" s="146"/>
      <c r="DJ177" s="146"/>
      <c r="DK177" s="146"/>
      <c r="DL177" s="146"/>
      <c r="DM177" s="146"/>
      <c r="DN177" s="146"/>
      <c r="DO177" s="146"/>
      <c r="DP177" s="146"/>
      <c r="DQ177" s="146"/>
      <c r="DR177" s="146"/>
      <c r="DS177" s="146"/>
      <c r="DT177" s="146"/>
      <c r="DU177" s="146"/>
      <c r="DV177" s="146"/>
      <c r="DW177" s="146"/>
      <c r="DX177" s="146"/>
      <c r="DY177" s="146"/>
      <c r="DZ177" s="146"/>
      <c r="EA177" s="146"/>
      <c r="EB177" s="146"/>
      <c r="EC177" s="146"/>
      <c r="ED177" s="146"/>
      <c r="EE177" s="146"/>
      <c r="EF177" s="146"/>
      <c r="EG177" s="146"/>
      <c r="EH177" s="146"/>
      <c r="EI177" s="146"/>
      <c r="EJ177" s="146"/>
      <c r="EK177" s="146"/>
      <c r="EL177" s="146"/>
      <c r="EM177" s="146"/>
      <c r="EN177" s="146"/>
      <c r="EO177" s="146"/>
      <c r="EP177" s="146"/>
      <c r="EQ177" s="146"/>
      <c r="ER177" s="146"/>
      <c r="ES177" s="146"/>
      <c r="ET177" s="146"/>
      <c r="EU177" s="146"/>
      <c r="EV177" s="146"/>
      <c r="EW177" s="146"/>
      <c r="EX177" s="146"/>
      <c r="EY177" s="146"/>
      <c r="EZ177" s="146"/>
      <c r="FA177" s="146"/>
      <c r="FB177" s="146"/>
      <c r="FC177" s="146"/>
      <c r="FD177" s="146"/>
      <c r="FE177" s="146"/>
      <c r="FF177" s="146"/>
    </row>
    <row r="178" spans="97:162" ht="14.5" x14ac:dyDescent="0.35">
      <c r="CS178" s="146"/>
      <c r="CT178" s="146"/>
      <c r="CU178" s="146"/>
      <c r="CV178" s="146"/>
      <c r="CW178" s="146"/>
      <c r="CX178" s="146"/>
      <c r="CY178" s="146"/>
      <c r="CZ178" s="146"/>
      <c r="DA178" s="146"/>
      <c r="DB178" s="146"/>
      <c r="DC178" s="146"/>
      <c r="DD178" s="146"/>
      <c r="DE178" s="146"/>
      <c r="DF178" s="146"/>
      <c r="DG178" s="146"/>
      <c r="DH178" s="146"/>
      <c r="DI178" s="146"/>
      <c r="DJ178" s="146"/>
      <c r="DK178" s="146"/>
      <c r="DL178" s="146"/>
      <c r="DM178" s="146"/>
      <c r="DN178" s="146"/>
      <c r="DO178" s="146"/>
      <c r="DP178" s="146"/>
      <c r="DQ178" s="146"/>
      <c r="DR178" s="146"/>
      <c r="DS178" s="146"/>
      <c r="DT178" s="146"/>
      <c r="DU178" s="146"/>
      <c r="DV178" s="146"/>
      <c r="DW178" s="146"/>
      <c r="DX178" s="146"/>
      <c r="DY178" s="146"/>
      <c r="DZ178" s="146"/>
      <c r="EA178" s="146"/>
      <c r="EB178" s="146"/>
      <c r="EC178" s="146"/>
      <c r="ED178" s="146"/>
      <c r="EE178" s="146"/>
      <c r="EF178" s="146"/>
      <c r="EG178" s="146"/>
      <c r="EH178" s="146"/>
      <c r="EI178" s="146"/>
      <c r="EJ178" s="146"/>
      <c r="EK178" s="146"/>
      <c r="EL178" s="146"/>
      <c r="EM178" s="146"/>
      <c r="EN178" s="146"/>
      <c r="EO178" s="146"/>
      <c r="EP178" s="146"/>
      <c r="EQ178" s="146"/>
      <c r="ER178" s="146"/>
      <c r="ES178" s="146"/>
      <c r="ET178" s="146"/>
      <c r="EU178" s="146"/>
      <c r="EV178" s="146"/>
      <c r="EW178" s="146"/>
      <c r="EX178" s="146"/>
      <c r="EY178" s="146"/>
      <c r="EZ178" s="146"/>
      <c r="FA178" s="146"/>
      <c r="FB178" s="146"/>
      <c r="FC178" s="146"/>
      <c r="FD178" s="146"/>
      <c r="FE178" s="146"/>
      <c r="FF178" s="146"/>
    </row>
    <row r="179" spans="97:162" ht="14.5" x14ac:dyDescent="0.35">
      <c r="CS179" s="146"/>
      <c r="CT179" s="146"/>
      <c r="CU179" s="146"/>
      <c r="CV179" s="146"/>
      <c r="CW179" s="146"/>
      <c r="CX179" s="146"/>
      <c r="CY179" s="146"/>
      <c r="CZ179" s="146"/>
      <c r="DA179" s="146"/>
      <c r="DB179" s="146"/>
      <c r="DC179" s="146"/>
      <c r="DD179" s="146"/>
      <c r="DE179" s="146"/>
      <c r="DF179" s="146"/>
      <c r="DG179" s="146"/>
      <c r="DH179" s="146"/>
      <c r="DI179" s="146"/>
      <c r="DJ179" s="146"/>
      <c r="DK179" s="146"/>
      <c r="DL179" s="146"/>
      <c r="DM179" s="146"/>
      <c r="DN179" s="146"/>
      <c r="DO179" s="146"/>
      <c r="DP179" s="146"/>
      <c r="DQ179" s="146"/>
      <c r="DR179" s="146"/>
      <c r="DS179" s="146"/>
      <c r="DT179" s="146"/>
      <c r="DU179" s="146"/>
      <c r="DV179" s="146"/>
      <c r="DW179" s="146"/>
      <c r="DX179" s="146"/>
      <c r="DY179" s="146"/>
      <c r="DZ179" s="146"/>
      <c r="EA179" s="146"/>
      <c r="EB179" s="146"/>
      <c r="EC179" s="146"/>
      <c r="ED179" s="146"/>
      <c r="EE179" s="146"/>
      <c r="EF179" s="146"/>
      <c r="EG179" s="146"/>
      <c r="EH179" s="146"/>
      <c r="EI179" s="146"/>
      <c r="EJ179" s="146"/>
      <c r="EK179" s="146"/>
      <c r="EL179" s="146"/>
      <c r="EM179" s="146"/>
      <c r="EN179" s="146"/>
      <c r="EO179" s="146"/>
      <c r="EP179" s="146"/>
      <c r="EQ179" s="146"/>
      <c r="ER179" s="146"/>
      <c r="ES179" s="146"/>
      <c r="ET179" s="146"/>
      <c r="EU179" s="146"/>
      <c r="EV179" s="146"/>
      <c r="EW179" s="146"/>
      <c r="EX179" s="146"/>
      <c r="EY179" s="146"/>
      <c r="EZ179" s="146"/>
      <c r="FA179" s="146"/>
      <c r="FB179" s="146"/>
      <c r="FC179" s="146"/>
      <c r="FD179" s="146"/>
      <c r="FE179" s="146"/>
      <c r="FF179" s="146"/>
    </row>
    <row r="180" spans="97:162" ht="14.5" x14ac:dyDescent="0.35">
      <c r="CS180" s="146"/>
      <c r="CT180" s="146"/>
      <c r="CU180" s="146"/>
      <c r="CV180" s="146"/>
      <c r="CW180" s="146"/>
      <c r="CX180" s="146"/>
      <c r="CY180" s="146"/>
      <c r="CZ180" s="146"/>
      <c r="DA180" s="146"/>
      <c r="DB180" s="146"/>
      <c r="DC180" s="146"/>
      <c r="DD180" s="146"/>
      <c r="DE180" s="146"/>
      <c r="DF180" s="146"/>
      <c r="DG180" s="146"/>
      <c r="DH180" s="146"/>
      <c r="DI180" s="146"/>
      <c r="DJ180" s="146"/>
      <c r="DK180" s="146"/>
      <c r="DL180" s="146"/>
      <c r="DM180" s="146"/>
      <c r="DN180" s="146"/>
      <c r="DO180" s="146"/>
      <c r="DP180" s="146"/>
      <c r="DQ180" s="146"/>
      <c r="DR180" s="146"/>
      <c r="DS180" s="146"/>
      <c r="DT180" s="146"/>
      <c r="DU180" s="146"/>
      <c r="DV180" s="146"/>
      <c r="DW180" s="146"/>
      <c r="DX180" s="146"/>
      <c r="DY180" s="146"/>
      <c r="DZ180" s="146"/>
      <c r="EA180" s="146"/>
      <c r="EB180" s="146"/>
      <c r="EC180" s="146"/>
      <c r="ED180" s="146"/>
      <c r="EE180" s="146"/>
      <c r="EF180" s="146"/>
      <c r="EG180" s="146"/>
      <c r="EH180" s="146"/>
      <c r="EI180" s="146"/>
      <c r="EJ180" s="146"/>
      <c r="EK180" s="146"/>
      <c r="EL180" s="146"/>
      <c r="EM180" s="146"/>
      <c r="EN180" s="146"/>
      <c r="EO180" s="146"/>
      <c r="EP180" s="146"/>
      <c r="EQ180" s="146"/>
      <c r="ER180" s="146"/>
      <c r="ES180" s="146"/>
      <c r="ET180" s="146"/>
      <c r="EU180" s="146"/>
      <c r="EV180" s="146"/>
      <c r="EW180" s="146"/>
      <c r="EX180" s="146"/>
      <c r="EY180" s="146"/>
      <c r="EZ180" s="146"/>
      <c r="FA180" s="146"/>
      <c r="FB180" s="146"/>
      <c r="FC180" s="146"/>
      <c r="FD180" s="146"/>
      <c r="FE180" s="146"/>
      <c r="FF180" s="146"/>
    </row>
    <row r="181" spans="97:162" ht="14.5" x14ac:dyDescent="0.35">
      <c r="CS181" s="146"/>
      <c r="CT181" s="146"/>
      <c r="CU181" s="146"/>
      <c r="CV181" s="146"/>
      <c r="CW181" s="146"/>
      <c r="CX181" s="146"/>
      <c r="CY181" s="146"/>
      <c r="CZ181" s="146"/>
      <c r="DA181" s="146"/>
      <c r="DB181" s="146"/>
      <c r="DC181" s="146"/>
      <c r="DD181" s="146"/>
      <c r="DE181" s="146"/>
      <c r="DF181" s="146"/>
      <c r="DG181" s="146"/>
      <c r="DH181" s="146"/>
      <c r="DI181" s="146"/>
      <c r="DJ181" s="146"/>
      <c r="DK181" s="146"/>
      <c r="DL181" s="146"/>
      <c r="DM181" s="146"/>
      <c r="DN181" s="146"/>
      <c r="DO181" s="146"/>
      <c r="DP181" s="146"/>
      <c r="DQ181" s="146"/>
      <c r="DR181" s="146"/>
      <c r="DS181" s="146"/>
      <c r="DT181" s="146"/>
      <c r="DU181" s="146"/>
      <c r="DV181" s="146"/>
      <c r="DW181" s="146"/>
      <c r="DX181" s="146"/>
      <c r="DY181" s="146"/>
      <c r="DZ181" s="146"/>
      <c r="EA181" s="146"/>
      <c r="EB181" s="146"/>
      <c r="EC181" s="146"/>
      <c r="ED181" s="146"/>
      <c r="EE181" s="146"/>
      <c r="EF181" s="146"/>
      <c r="EG181" s="146"/>
      <c r="EH181" s="146"/>
      <c r="EI181" s="146"/>
      <c r="EJ181" s="146"/>
      <c r="EK181" s="146"/>
      <c r="EL181" s="146"/>
      <c r="EM181" s="146"/>
      <c r="EN181" s="146"/>
      <c r="EO181" s="146"/>
      <c r="EP181" s="146"/>
      <c r="EQ181" s="146"/>
      <c r="ER181" s="146"/>
      <c r="ES181" s="146"/>
      <c r="ET181" s="146"/>
      <c r="EU181" s="146"/>
      <c r="EV181" s="146"/>
      <c r="EW181" s="146"/>
      <c r="EX181" s="146"/>
      <c r="EY181" s="146"/>
      <c r="EZ181" s="146"/>
      <c r="FA181" s="146"/>
      <c r="FB181" s="146"/>
      <c r="FC181" s="146"/>
      <c r="FD181" s="146"/>
      <c r="FE181" s="146"/>
      <c r="FF181" s="146"/>
    </row>
    <row r="182" spans="97:162" ht="14.5" x14ac:dyDescent="0.35">
      <c r="CS182" s="146"/>
      <c r="CT182" s="146"/>
      <c r="CU182" s="146"/>
      <c r="CV182" s="146"/>
      <c r="CW182" s="146"/>
      <c r="CX182" s="146"/>
      <c r="CY182" s="146"/>
      <c r="CZ182" s="146"/>
      <c r="DA182" s="146"/>
      <c r="DB182" s="146"/>
      <c r="DC182" s="146"/>
      <c r="DD182" s="146"/>
      <c r="DE182" s="146"/>
      <c r="DF182" s="146"/>
      <c r="DG182" s="146"/>
      <c r="DH182" s="146"/>
      <c r="DI182" s="146"/>
      <c r="DJ182" s="146"/>
      <c r="DK182" s="146"/>
      <c r="DL182" s="146"/>
      <c r="DM182" s="146"/>
      <c r="DN182" s="146"/>
      <c r="DO182" s="146"/>
      <c r="DP182" s="146"/>
      <c r="DQ182" s="146"/>
      <c r="DR182" s="146"/>
      <c r="DS182" s="146"/>
      <c r="DT182" s="146"/>
      <c r="DU182" s="146"/>
      <c r="DV182" s="146"/>
      <c r="DW182" s="146"/>
      <c r="DX182" s="146"/>
      <c r="DY182" s="146"/>
      <c r="DZ182" s="146"/>
      <c r="EA182" s="146"/>
      <c r="EB182" s="146"/>
      <c r="EC182" s="146"/>
      <c r="ED182" s="146"/>
      <c r="EE182" s="146"/>
      <c r="EF182" s="146"/>
      <c r="EG182" s="146"/>
      <c r="EH182" s="146"/>
      <c r="EI182" s="146"/>
      <c r="EJ182" s="146"/>
      <c r="EK182" s="146"/>
      <c r="EL182" s="146"/>
      <c r="EM182" s="146"/>
      <c r="EN182" s="146"/>
      <c r="EO182" s="146"/>
      <c r="EP182" s="146"/>
      <c r="EQ182" s="146"/>
      <c r="ER182" s="146"/>
      <c r="ES182" s="146"/>
      <c r="ET182" s="146"/>
      <c r="EU182" s="146"/>
      <c r="EV182" s="146"/>
      <c r="EW182" s="146"/>
      <c r="EX182" s="146"/>
      <c r="EY182" s="146"/>
      <c r="EZ182" s="146"/>
      <c r="FA182" s="146"/>
      <c r="FB182" s="146"/>
      <c r="FC182" s="146"/>
      <c r="FD182" s="146"/>
      <c r="FE182" s="146"/>
      <c r="FF182" s="146"/>
    </row>
    <row r="183" spans="97:162" ht="14.5" x14ac:dyDescent="0.35">
      <c r="CS183" s="146"/>
      <c r="CT183" s="146"/>
      <c r="CU183" s="146"/>
      <c r="CV183" s="146"/>
      <c r="CW183" s="146"/>
      <c r="CX183" s="146"/>
      <c r="CY183" s="146"/>
      <c r="CZ183" s="146"/>
      <c r="DA183" s="146"/>
      <c r="DB183" s="146"/>
      <c r="DC183" s="146"/>
      <c r="DD183" s="146"/>
      <c r="DE183" s="146"/>
      <c r="DF183" s="146"/>
      <c r="DG183" s="146"/>
      <c r="DH183" s="146"/>
      <c r="DI183" s="146"/>
      <c r="DJ183" s="146"/>
      <c r="DK183" s="146"/>
      <c r="DL183" s="146"/>
      <c r="DM183" s="146"/>
      <c r="DN183" s="146"/>
      <c r="DO183" s="146"/>
      <c r="DP183" s="146"/>
      <c r="DQ183" s="146"/>
      <c r="DR183" s="146"/>
      <c r="DS183" s="146"/>
      <c r="DT183" s="146"/>
      <c r="DU183" s="146"/>
      <c r="DV183" s="146"/>
      <c r="DW183" s="146"/>
      <c r="DX183" s="146"/>
      <c r="DY183" s="146"/>
      <c r="DZ183" s="146"/>
      <c r="EA183" s="146"/>
      <c r="EB183" s="146"/>
      <c r="EC183" s="146"/>
      <c r="ED183" s="146"/>
      <c r="EE183" s="146"/>
      <c r="EF183" s="146"/>
      <c r="EG183" s="146"/>
      <c r="EH183" s="146"/>
      <c r="EI183" s="146"/>
      <c r="EJ183" s="146"/>
      <c r="EK183" s="146"/>
      <c r="EL183" s="146"/>
      <c r="EM183" s="146"/>
      <c r="EN183" s="146"/>
      <c r="EO183" s="146"/>
      <c r="EP183" s="146"/>
      <c r="EQ183" s="146"/>
      <c r="ER183" s="146"/>
      <c r="ES183" s="146"/>
      <c r="ET183" s="146"/>
      <c r="EU183" s="146"/>
      <c r="EV183" s="146"/>
      <c r="EW183" s="146"/>
      <c r="EX183" s="146"/>
      <c r="EY183" s="146"/>
      <c r="EZ183" s="146"/>
      <c r="FA183" s="146"/>
      <c r="FB183" s="146"/>
      <c r="FC183" s="146"/>
      <c r="FD183" s="146"/>
      <c r="FE183" s="146"/>
      <c r="FF183" s="146"/>
    </row>
    <row r="184" spans="97:162" ht="14.5" x14ac:dyDescent="0.35">
      <c r="CS184" s="146"/>
      <c r="CT184" s="146"/>
      <c r="CU184" s="146"/>
      <c r="CV184" s="146"/>
      <c r="CW184" s="146"/>
      <c r="CX184" s="146"/>
      <c r="CY184" s="146"/>
      <c r="CZ184" s="146"/>
      <c r="DA184" s="146"/>
      <c r="DB184" s="146"/>
      <c r="DC184" s="146"/>
      <c r="DD184" s="146"/>
      <c r="DE184" s="146"/>
      <c r="DF184" s="146"/>
      <c r="DG184" s="146"/>
      <c r="DH184" s="146"/>
      <c r="DI184" s="146"/>
      <c r="DJ184" s="146"/>
      <c r="DK184" s="146"/>
      <c r="DL184" s="146"/>
      <c r="DM184" s="146"/>
      <c r="DN184" s="146"/>
      <c r="DO184" s="146"/>
      <c r="DP184" s="146"/>
      <c r="DQ184" s="146"/>
      <c r="DR184" s="146"/>
      <c r="DS184" s="146"/>
      <c r="DT184" s="146"/>
      <c r="DU184" s="146"/>
      <c r="DV184" s="146"/>
      <c r="DW184" s="146"/>
      <c r="DX184" s="146"/>
      <c r="DY184" s="146"/>
      <c r="DZ184" s="146"/>
      <c r="EA184" s="146"/>
      <c r="EB184" s="146"/>
      <c r="EC184" s="146"/>
      <c r="ED184" s="146"/>
      <c r="EE184" s="146"/>
      <c r="EF184" s="146"/>
      <c r="EG184" s="146"/>
      <c r="EH184" s="146"/>
      <c r="EI184" s="146"/>
      <c r="EJ184" s="146"/>
      <c r="EK184" s="146"/>
      <c r="EL184" s="146"/>
      <c r="EM184" s="146"/>
      <c r="EN184" s="146"/>
      <c r="EO184" s="146"/>
      <c r="EP184" s="146"/>
      <c r="EQ184" s="146"/>
      <c r="ER184" s="146"/>
      <c r="ES184" s="146"/>
      <c r="ET184" s="146"/>
      <c r="EU184" s="146"/>
      <c r="EV184" s="146"/>
      <c r="EW184" s="146"/>
      <c r="EX184" s="146"/>
      <c r="EY184" s="146"/>
      <c r="EZ184" s="146"/>
      <c r="FA184" s="146"/>
      <c r="FB184" s="146"/>
      <c r="FC184" s="146"/>
      <c r="FD184" s="146"/>
      <c r="FE184" s="146"/>
      <c r="FF184" s="146"/>
    </row>
    <row r="185" spans="97:162" ht="14.5" x14ac:dyDescent="0.35">
      <c r="CS185" s="146"/>
      <c r="CT185" s="146"/>
      <c r="CU185" s="146"/>
      <c r="CV185" s="146"/>
      <c r="CW185" s="146"/>
      <c r="CX185" s="146"/>
      <c r="CY185" s="146"/>
      <c r="CZ185" s="146"/>
      <c r="DA185" s="146"/>
      <c r="DB185" s="146"/>
      <c r="DC185" s="146"/>
      <c r="DD185" s="146"/>
      <c r="DE185" s="146"/>
      <c r="DF185" s="146"/>
      <c r="DG185" s="146"/>
      <c r="DH185" s="146"/>
      <c r="DI185" s="146"/>
      <c r="DJ185" s="146"/>
      <c r="DK185" s="146"/>
      <c r="DL185" s="146"/>
      <c r="DM185" s="146"/>
      <c r="DN185" s="146"/>
      <c r="DO185" s="146"/>
      <c r="DP185" s="146"/>
      <c r="DQ185" s="146"/>
      <c r="DR185" s="146"/>
      <c r="DS185" s="146"/>
      <c r="DT185" s="146"/>
      <c r="DU185" s="146"/>
      <c r="DV185" s="146"/>
      <c r="DW185" s="146"/>
      <c r="DX185" s="146"/>
      <c r="DY185" s="146"/>
      <c r="DZ185" s="146"/>
      <c r="EA185" s="146"/>
      <c r="EB185" s="146"/>
      <c r="EC185" s="146"/>
      <c r="ED185" s="146"/>
      <c r="EE185" s="146"/>
      <c r="EF185" s="146"/>
      <c r="EG185" s="146"/>
      <c r="EH185" s="146"/>
      <c r="EI185" s="146"/>
      <c r="EJ185" s="146"/>
      <c r="EK185" s="146"/>
      <c r="EL185" s="146"/>
      <c r="EM185" s="146"/>
      <c r="EN185" s="146"/>
      <c r="EO185" s="146"/>
      <c r="EP185" s="146"/>
      <c r="EQ185" s="146"/>
      <c r="ER185" s="146"/>
      <c r="ES185" s="146"/>
      <c r="ET185" s="146"/>
      <c r="EU185" s="146"/>
      <c r="EV185" s="146"/>
      <c r="EW185" s="146"/>
      <c r="EX185" s="146"/>
      <c r="EY185" s="146"/>
      <c r="EZ185" s="146"/>
      <c r="FA185" s="146"/>
      <c r="FB185" s="146"/>
      <c r="FC185" s="146"/>
      <c r="FD185" s="146"/>
      <c r="FE185" s="146"/>
      <c r="FF185" s="146"/>
    </row>
    <row r="186" spans="97:162" ht="14.5" x14ac:dyDescent="0.35">
      <c r="CS186" s="146"/>
      <c r="CT186" s="146"/>
      <c r="CU186" s="146"/>
      <c r="CV186" s="146"/>
      <c r="CW186" s="146"/>
      <c r="CX186" s="146"/>
      <c r="CY186" s="146"/>
      <c r="CZ186" s="146"/>
      <c r="DA186" s="146"/>
      <c r="DB186" s="146"/>
      <c r="DC186" s="146"/>
      <c r="DD186" s="146"/>
      <c r="DE186" s="146"/>
      <c r="DF186" s="146"/>
      <c r="DG186" s="146"/>
      <c r="DH186" s="146"/>
      <c r="DI186" s="146"/>
      <c r="DJ186" s="146"/>
      <c r="DK186" s="146"/>
      <c r="DL186" s="146"/>
      <c r="DM186" s="146"/>
      <c r="DN186" s="146"/>
      <c r="DO186" s="146"/>
      <c r="DP186" s="146"/>
      <c r="DQ186" s="146"/>
      <c r="DR186" s="146"/>
      <c r="DS186" s="146"/>
      <c r="DT186" s="146"/>
      <c r="DU186" s="146"/>
      <c r="DV186" s="146"/>
      <c r="DW186" s="146"/>
      <c r="DX186" s="146"/>
      <c r="DY186" s="146"/>
      <c r="DZ186" s="146"/>
      <c r="EA186" s="146"/>
      <c r="EB186" s="146"/>
      <c r="EC186" s="146"/>
      <c r="ED186" s="146"/>
      <c r="EE186" s="146"/>
      <c r="EF186" s="146"/>
      <c r="EG186" s="146"/>
      <c r="EH186" s="146"/>
      <c r="EI186" s="146"/>
      <c r="EJ186" s="146"/>
      <c r="EK186" s="146"/>
      <c r="EL186" s="146"/>
      <c r="EM186" s="146"/>
      <c r="EN186" s="146"/>
      <c r="EO186" s="146"/>
      <c r="EP186" s="146"/>
      <c r="EQ186" s="146"/>
      <c r="ER186" s="146"/>
      <c r="ES186" s="146"/>
      <c r="ET186" s="146"/>
      <c r="EU186" s="146"/>
      <c r="EV186" s="146"/>
      <c r="EW186" s="146"/>
      <c r="EX186" s="146"/>
      <c r="EY186" s="146"/>
      <c r="EZ186" s="146"/>
      <c r="FA186" s="146"/>
      <c r="FB186" s="146"/>
      <c r="FC186" s="146"/>
      <c r="FD186" s="146"/>
      <c r="FE186" s="146"/>
      <c r="FF186" s="146"/>
    </row>
    <row r="187" spans="97:162" ht="14.5" x14ac:dyDescent="0.35">
      <c r="CS187" s="146"/>
      <c r="CT187" s="146"/>
      <c r="CU187" s="146"/>
      <c r="CV187" s="146"/>
      <c r="CW187" s="146"/>
      <c r="CX187" s="146"/>
      <c r="CY187" s="146"/>
      <c r="CZ187" s="146"/>
      <c r="DA187" s="146"/>
      <c r="DB187" s="146"/>
      <c r="DC187" s="146"/>
      <c r="DD187" s="146"/>
      <c r="DE187" s="146"/>
      <c r="DF187" s="146"/>
      <c r="DG187" s="146"/>
      <c r="DH187" s="146"/>
      <c r="DI187" s="146"/>
      <c r="DJ187" s="146"/>
      <c r="DK187" s="146"/>
      <c r="DL187" s="146"/>
      <c r="DM187" s="146"/>
      <c r="DN187" s="146"/>
      <c r="DO187" s="146"/>
      <c r="DP187" s="146"/>
      <c r="DQ187" s="146"/>
      <c r="DR187" s="146"/>
      <c r="DS187" s="146"/>
      <c r="DT187" s="146"/>
      <c r="DU187" s="146"/>
      <c r="DV187" s="146"/>
      <c r="DW187" s="146"/>
      <c r="DX187" s="146"/>
      <c r="DY187" s="146"/>
      <c r="DZ187" s="146"/>
      <c r="EA187" s="146"/>
      <c r="EB187" s="146"/>
      <c r="EC187" s="146"/>
      <c r="ED187" s="146"/>
      <c r="EE187" s="146"/>
      <c r="EF187" s="146"/>
      <c r="EG187" s="146"/>
      <c r="EH187" s="146"/>
      <c r="EI187" s="146"/>
      <c r="EJ187" s="146"/>
      <c r="EK187" s="146"/>
      <c r="EL187" s="146"/>
      <c r="EM187" s="146"/>
      <c r="EN187" s="146"/>
      <c r="EO187" s="146"/>
      <c r="EP187" s="146"/>
      <c r="EQ187" s="146"/>
      <c r="ER187" s="146"/>
      <c r="ES187" s="146"/>
      <c r="ET187" s="146"/>
      <c r="EU187" s="146"/>
      <c r="EV187" s="146"/>
      <c r="EW187" s="146"/>
      <c r="EX187" s="146"/>
      <c r="EY187" s="146"/>
      <c r="EZ187" s="146"/>
      <c r="FA187" s="146"/>
      <c r="FB187" s="146"/>
      <c r="FC187" s="146"/>
      <c r="FD187" s="146"/>
      <c r="FE187" s="146"/>
      <c r="FF187" s="146"/>
    </row>
    <row r="188" spans="97:162" ht="14.5" x14ac:dyDescent="0.35">
      <c r="CS188" s="146"/>
      <c r="CT188" s="146"/>
      <c r="CU188" s="146"/>
      <c r="CV188" s="146"/>
      <c r="CW188" s="146"/>
      <c r="CX188" s="146"/>
      <c r="CY188" s="146"/>
      <c r="CZ188" s="146"/>
      <c r="DA188" s="146"/>
      <c r="DB188" s="146"/>
      <c r="DC188" s="146"/>
      <c r="DD188" s="146"/>
      <c r="DE188" s="146"/>
      <c r="DF188" s="146"/>
      <c r="DG188" s="146"/>
      <c r="DH188" s="146"/>
      <c r="DI188" s="146"/>
      <c r="DJ188" s="146"/>
      <c r="DK188" s="146"/>
      <c r="DL188" s="146"/>
      <c r="DM188" s="146"/>
      <c r="DN188" s="146"/>
      <c r="DO188" s="146"/>
      <c r="DP188" s="146"/>
      <c r="DQ188" s="146"/>
      <c r="DR188" s="146"/>
      <c r="DS188" s="146"/>
      <c r="DT188" s="146"/>
      <c r="DU188" s="146"/>
      <c r="DV188" s="146"/>
      <c r="DW188" s="146"/>
      <c r="DX188" s="146"/>
      <c r="DY188" s="146"/>
      <c r="DZ188" s="146"/>
      <c r="EA188" s="146"/>
      <c r="EB188" s="146"/>
      <c r="EC188" s="146"/>
      <c r="ED188" s="146"/>
      <c r="EE188" s="146"/>
      <c r="EF188" s="146"/>
      <c r="EG188" s="146"/>
      <c r="EH188" s="146"/>
      <c r="EI188" s="146"/>
      <c r="EJ188" s="146"/>
      <c r="EK188" s="146"/>
      <c r="EL188" s="146"/>
      <c r="EM188" s="146"/>
      <c r="EN188" s="146"/>
      <c r="EO188" s="146"/>
      <c r="EP188" s="146"/>
      <c r="EQ188" s="146"/>
      <c r="ER188" s="146"/>
      <c r="ES188" s="146"/>
      <c r="ET188" s="146"/>
      <c r="EU188" s="146"/>
      <c r="EV188" s="146"/>
      <c r="EW188" s="146"/>
      <c r="EX188" s="146"/>
      <c r="EY188" s="146"/>
      <c r="EZ188" s="146"/>
      <c r="FA188" s="146"/>
      <c r="FB188" s="146"/>
      <c r="FC188" s="146"/>
      <c r="FD188" s="146"/>
      <c r="FE188" s="146"/>
      <c r="FF188" s="146"/>
    </row>
    <row r="189" spans="97:162" ht="14.5" x14ac:dyDescent="0.35">
      <c r="CS189" s="146"/>
      <c r="CT189" s="146"/>
      <c r="CU189" s="146"/>
      <c r="CV189" s="146"/>
      <c r="CW189" s="146"/>
      <c r="CX189" s="146"/>
      <c r="CY189" s="146"/>
      <c r="CZ189" s="146"/>
      <c r="DA189" s="146"/>
      <c r="DB189" s="146"/>
      <c r="DC189" s="146"/>
      <c r="DD189" s="146"/>
      <c r="DE189" s="146"/>
      <c r="DF189" s="146"/>
      <c r="DG189" s="146"/>
      <c r="DH189" s="146"/>
      <c r="DI189" s="146"/>
      <c r="DJ189" s="146"/>
      <c r="DK189" s="146"/>
      <c r="DL189" s="146"/>
      <c r="DM189" s="146"/>
      <c r="DN189" s="146"/>
      <c r="DO189" s="146"/>
      <c r="DP189" s="146"/>
      <c r="DQ189" s="146"/>
      <c r="DR189" s="146"/>
      <c r="DS189" s="146"/>
      <c r="DT189" s="146"/>
      <c r="DU189" s="146"/>
      <c r="DV189" s="146"/>
      <c r="DW189" s="146"/>
      <c r="DX189" s="146"/>
      <c r="DY189" s="146"/>
      <c r="DZ189" s="146"/>
      <c r="EA189" s="146"/>
      <c r="EB189" s="146"/>
      <c r="EC189" s="146"/>
      <c r="ED189" s="146"/>
      <c r="EE189" s="146"/>
      <c r="EF189" s="146"/>
      <c r="EG189" s="146"/>
      <c r="EH189" s="146"/>
      <c r="EI189" s="146"/>
      <c r="EJ189" s="146"/>
      <c r="EK189" s="146"/>
      <c r="EL189" s="146"/>
      <c r="EM189" s="146"/>
      <c r="EN189" s="146"/>
      <c r="EO189" s="146"/>
      <c r="EP189" s="146"/>
      <c r="EQ189" s="146"/>
      <c r="ER189" s="146"/>
      <c r="ES189" s="146"/>
      <c r="ET189" s="146"/>
      <c r="EU189" s="146"/>
      <c r="EV189" s="146"/>
      <c r="EW189" s="146"/>
      <c r="EX189" s="146"/>
      <c r="EY189" s="146"/>
      <c r="EZ189" s="146"/>
      <c r="FA189" s="146"/>
      <c r="FB189" s="146"/>
      <c r="FC189" s="146"/>
      <c r="FD189" s="146"/>
      <c r="FE189" s="146"/>
      <c r="FF189" s="146"/>
    </row>
    <row r="190" spans="97:162" ht="14.5" x14ac:dyDescent="0.35">
      <c r="CS190" s="146"/>
      <c r="CT190" s="146"/>
      <c r="CU190" s="146"/>
      <c r="CV190" s="146"/>
      <c r="CW190" s="146"/>
      <c r="CX190" s="146"/>
      <c r="CY190" s="146"/>
      <c r="CZ190" s="146"/>
      <c r="DA190" s="146"/>
      <c r="DB190" s="146"/>
      <c r="DC190" s="146"/>
      <c r="DD190" s="146"/>
      <c r="DE190" s="146"/>
      <c r="DF190" s="146"/>
      <c r="DG190" s="146"/>
      <c r="DH190" s="146"/>
      <c r="DI190" s="146"/>
      <c r="DJ190" s="146"/>
      <c r="DK190" s="146"/>
      <c r="DL190" s="146"/>
      <c r="DM190" s="146"/>
      <c r="DN190" s="146"/>
      <c r="DO190" s="146"/>
      <c r="DP190" s="146"/>
      <c r="DQ190" s="146"/>
      <c r="DR190" s="146"/>
      <c r="DS190" s="146"/>
      <c r="DT190" s="146"/>
      <c r="DU190" s="146"/>
      <c r="DV190" s="146"/>
      <c r="DW190" s="146"/>
      <c r="DX190" s="146"/>
      <c r="DY190" s="146"/>
      <c r="DZ190" s="146"/>
      <c r="EA190" s="146"/>
      <c r="EB190" s="146"/>
      <c r="EC190" s="146"/>
      <c r="ED190" s="146"/>
      <c r="EE190" s="146"/>
      <c r="EF190" s="146"/>
      <c r="EG190" s="146"/>
      <c r="EH190" s="146"/>
      <c r="EI190" s="146"/>
      <c r="EJ190" s="146"/>
      <c r="EK190" s="146"/>
      <c r="EL190" s="146"/>
      <c r="EM190" s="146"/>
      <c r="EN190" s="146"/>
      <c r="EO190" s="146"/>
      <c r="EP190" s="146"/>
      <c r="EQ190" s="146"/>
      <c r="ER190" s="146"/>
      <c r="ES190" s="146"/>
      <c r="ET190" s="146"/>
      <c r="EU190" s="146"/>
      <c r="EV190" s="146"/>
      <c r="EW190" s="146"/>
      <c r="EX190" s="146"/>
      <c r="EY190" s="146"/>
      <c r="EZ190" s="146"/>
      <c r="FA190" s="146"/>
      <c r="FB190" s="146"/>
      <c r="FC190" s="146"/>
      <c r="FD190" s="146"/>
      <c r="FE190" s="146"/>
      <c r="FF190" s="146"/>
    </row>
    <row r="191" spans="97:162" ht="14.5" x14ac:dyDescent="0.35">
      <c r="CS191" s="146"/>
      <c r="CT191" s="146"/>
      <c r="CU191" s="146"/>
      <c r="CV191" s="146"/>
      <c r="CW191" s="146"/>
      <c r="CX191" s="146"/>
      <c r="CY191" s="146"/>
      <c r="CZ191" s="146"/>
      <c r="DA191" s="146"/>
      <c r="DB191" s="146"/>
      <c r="DC191" s="146"/>
      <c r="DD191" s="146"/>
      <c r="DE191" s="146"/>
      <c r="DF191" s="146"/>
      <c r="DG191" s="146"/>
      <c r="DH191" s="146"/>
      <c r="DI191" s="146"/>
      <c r="DJ191" s="146"/>
      <c r="DK191" s="146"/>
      <c r="DL191" s="146"/>
      <c r="DM191" s="146"/>
      <c r="DN191" s="146"/>
      <c r="DO191" s="146"/>
      <c r="DP191" s="146"/>
      <c r="DQ191" s="146"/>
      <c r="DR191" s="146"/>
      <c r="DS191" s="146"/>
      <c r="DT191" s="146"/>
      <c r="DU191" s="146"/>
      <c r="DV191" s="146"/>
      <c r="DW191" s="146"/>
      <c r="DX191" s="146"/>
      <c r="DY191" s="146"/>
      <c r="DZ191" s="146"/>
      <c r="EA191" s="146"/>
      <c r="EB191" s="146"/>
      <c r="EC191" s="146"/>
      <c r="ED191" s="146"/>
      <c r="EE191" s="146"/>
      <c r="EF191" s="146"/>
      <c r="EG191" s="146"/>
      <c r="EH191" s="146"/>
      <c r="EI191" s="146"/>
      <c r="EJ191" s="146"/>
      <c r="EK191" s="146"/>
      <c r="EL191" s="146"/>
      <c r="EM191" s="146"/>
      <c r="EN191" s="146"/>
      <c r="EO191" s="146"/>
      <c r="EP191" s="146"/>
      <c r="EQ191" s="146"/>
      <c r="ER191" s="146"/>
      <c r="ES191" s="146"/>
      <c r="ET191" s="146"/>
      <c r="EU191" s="146"/>
      <c r="EV191" s="146"/>
      <c r="EW191" s="146"/>
      <c r="EX191" s="146"/>
      <c r="EY191" s="146"/>
      <c r="EZ191" s="146"/>
      <c r="FA191" s="146"/>
      <c r="FB191" s="146"/>
      <c r="FC191" s="146"/>
      <c r="FD191" s="146"/>
      <c r="FE191" s="146"/>
      <c r="FF191" s="146"/>
    </row>
    <row r="192" spans="97:162" ht="14.5" x14ac:dyDescent="0.35">
      <c r="CS192" s="146"/>
      <c r="CT192" s="146"/>
      <c r="CU192" s="146"/>
      <c r="CV192" s="146"/>
      <c r="CW192" s="146"/>
      <c r="CX192" s="146"/>
      <c r="CY192" s="146"/>
      <c r="CZ192" s="146"/>
      <c r="DA192" s="146"/>
      <c r="DB192" s="146"/>
      <c r="DC192" s="146"/>
      <c r="DD192" s="146"/>
      <c r="DE192" s="146"/>
      <c r="DF192" s="146"/>
      <c r="DG192" s="146"/>
      <c r="DH192" s="146"/>
      <c r="DI192" s="146"/>
      <c r="DJ192" s="146"/>
      <c r="DK192" s="146"/>
      <c r="DL192" s="146"/>
      <c r="DM192" s="146"/>
      <c r="DN192" s="146"/>
      <c r="DO192" s="146"/>
      <c r="DP192" s="146"/>
      <c r="DQ192" s="146"/>
      <c r="DR192" s="146"/>
      <c r="DS192" s="146"/>
      <c r="DT192" s="146"/>
      <c r="DU192" s="146"/>
      <c r="DV192" s="146"/>
      <c r="DW192" s="146"/>
      <c r="DX192" s="146"/>
      <c r="DY192" s="146"/>
      <c r="DZ192" s="146"/>
      <c r="EA192" s="146"/>
      <c r="EB192" s="146"/>
      <c r="EC192" s="146"/>
      <c r="ED192" s="146"/>
      <c r="EE192" s="146"/>
      <c r="EF192" s="146"/>
      <c r="EG192" s="146"/>
      <c r="EH192" s="146"/>
      <c r="EI192" s="146"/>
      <c r="EJ192" s="146"/>
      <c r="EK192" s="146"/>
      <c r="EL192" s="146"/>
      <c r="EM192" s="146"/>
      <c r="EN192" s="146"/>
      <c r="EO192" s="146"/>
      <c r="EP192" s="146"/>
      <c r="EQ192" s="146"/>
      <c r="ER192" s="146"/>
      <c r="ES192" s="146"/>
      <c r="ET192" s="146"/>
      <c r="EU192" s="146"/>
      <c r="EV192" s="146"/>
      <c r="EW192" s="146"/>
      <c r="EX192" s="146"/>
      <c r="EY192" s="146"/>
      <c r="EZ192" s="146"/>
      <c r="FA192" s="146"/>
      <c r="FB192" s="146"/>
      <c r="FC192" s="146"/>
      <c r="FD192" s="146"/>
      <c r="FE192" s="146"/>
      <c r="FF192" s="146"/>
    </row>
    <row r="193" spans="97:162" ht="14.5" x14ac:dyDescent="0.35">
      <c r="CS193" s="146"/>
      <c r="CT193" s="146"/>
      <c r="CU193" s="146"/>
      <c r="CV193" s="146"/>
      <c r="CW193" s="146"/>
      <c r="CX193" s="146"/>
      <c r="CY193" s="146"/>
      <c r="CZ193" s="146"/>
      <c r="DA193" s="146"/>
      <c r="DB193" s="146"/>
      <c r="DC193" s="146"/>
      <c r="DD193" s="146"/>
      <c r="DE193" s="146"/>
      <c r="DF193" s="146"/>
      <c r="DG193" s="146"/>
      <c r="DH193" s="146"/>
      <c r="DI193" s="146"/>
      <c r="DJ193" s="146"/>
      <c r="DK193" s="146"/>
      <c r="DL193" s="146"/>
      <c r="DM193" s="146"/>
      <c r="DN193" s="146"/>
      <c r="DO193" s="146"/>
      <c r="DP193" s="146"/>
      <c r="DQ193" s="146"/>
      <c r="DR193" s="146"/>
      <c r="DS193" s="146"/>
      <c r="DT193" s="146"/>
      <c r="DU193" s="146"/>
      <c r="DV193" s="146"/>
      <c r="DW193" s="146"/>
      <c r="DX193" s="146"/>
      <c r="DY193" s="146"/>
      <c r="DZ193" s="146"/>
      <c r="EA193" s="146"/>
      <c r="EB193" s="146"/>
      <c r="EC193" s="146"/>
      <c r="ED193" s="146"/>
      <c r="EE193" s="146"/>
      <c r="EF193" s="146"/>
      <c r="EG193" s="146"/>
      <c r="EH193" s="146"/>
      <c r="EI193" s="146"/>
      <c r="EJ193" s="146"/>
      <c r="EK193" s="146"/>
      <c r="EL193" s="146"/>
      <c r="EM193" s="146"/>
      <c r="EN193" s="146"/>
      <c r="EO193" s="146"/>
      <c r="EP193" s="146"/>
      <c r="EQ193" s="146"/>
      <c r="ER193" s="146"/>
      <c r="ES193" s="146"/>
      <c r="ET193" s="146"/>
      <c r="EU193" s="146"/>
      <c r="EV193" s="146"/>
      <c r="EW193" s="146"/>
      <c r="EX193" s="146"/>
      <c r="EY193" s="146"/>
      <c r="EZ193" s="146"/>
      <c r="FA193" s="146"/>
      <c r="FB193" s="146"/>
      <c r="FC193" s="146"/>
      <c r="FD193" s="146"/>
      <c r="FE193" s="146"/>
      <c r="FF193" s="146"/>
    </row>
    <row r="194" spans="97:162" ht="14.5" x14ac:dyDescent="0.35">
      <c r="CS194" s="146"/>
      <c r="CT194" s="146"/>
      <c r="CU194" s="146"/>
      <c r="CV194" s="146"/>
      <c r="CW194" s="146"/>
      <c r="CX194" s="146"/>
      <c r="CY194" s="146"/>
      <c r="CZ194" s="146"/>
      <c r="DA194" s="146"/>
      <c r="DB194" s="146"/>
      <c r="DC194" s="146"/>
      <c r="DD194" s="146"/>
      <c r="DE194" s="146"/>
      <c r="DF194" s="146"/>
      <c r="DG194" s="146"/>
      <c r="DH194" s="146"/>
      <c r="DI194" s="146"/>
      <c r="DJ194" s="146"/>
      <c r="DK194" s="146"/>
      <c r="DL194" s="146"/>
      <c r="DM194" s="146"/>
      <c r="DN194" s="146"/>
      <c r="DO194" s="146"/>
      <c r="DP194" s="146"/>
      <c r="DQ194" s="146"/>
      <c r="DR194" s="146"/>
      <c r="DS194" s="146"/>
      <c r="DT194" s="146"/>
      <c r="DU194" s="146"/>
      <c r="DV194" s="146"/>
      <c r="DW194" s="146"/>
      <c r="DX194" s="146"/>
      <c r="DY194" s="146"/>
      <c r="DZ194" s="146"/>
      <c r="EA194" s="146"/>
      <c r="EB194" s="146"/>
      <c r="EC194" s="146"/>
      <c r="ED194" s="146"/>
      <c r="EE194" s="146"/>
      <c r="EF194" s="146"/>
      <c r="EG194" s="146"/>
      <c r="EH194" s="146"/>
      <c r="EI194" s="146"/>
      <c r="EJ194" s="146"/>
      <c r="EK194" s="146"/>
      <c r="EL194" s="146"/>
      <c r="EM194" s="146"/>
      <c r="EN194" s="146"/>
      <c r="EO194" s="146"/>
      <c r="EP194" s="146"/>
      <c r="EQ194" s="146"/>
      <c r="ER194" s="146"/>
      <c r="ES194" s="146"/>
      <c r="ET194" s="146"/>
      <c r="EU194" s="146"/>
      <c r="EV194" s="146"/>
      <c r="EW194" s="146"/>
      <c r="EX194" s="146"/>
      <c r="EY194" s="146"/>
      <c r="EZ194" s="146"/>
      <c r="FA194" s="146"/>
      <c r="FB194" s="146"/>
      <c r="FC194" s="146"/>
      <c r="FD194" s="146"/>
      <c r="FE194" s="146"/>
      <c r="FF194" s="146"/>
    </row>
    <row r="195" spans="97:162" ht="14.5" x14ac:dyDescent="0.35">
      <c r="CS195" s="146"/>
      <c r="CT195" s="146"/>
      <c r="CU195" s="146"/>
      <c r="CV195" s="146"/>
      <c r="CW195" s="146"/>
      <c r="CX195" s="146"/>
      <c r="CY195" s="146"/>
      <c r="CZ195" s="146"/>
      <c r="DA195" s="146"/>
      <c r="DB195" s="146"/>
      <c r="DC195" s="146"/>
      <c r="DD195" s="146"/>
      <c r="DE195" s="146"/>
      <c r="DF195" s="146"/>
      <c r="DG195" s="146"/>
      <c r="DH195" s="146"/>
      <c r="DI195" s="146"/>
      <c r="DJ195" s="146"/>
      <c r="DK195" s="146"/>
      <c r="DL195" s="146"/>
      <c r="DM195" s="146"/>
      <c r="DN195" s="146"/>
      <c r="DO195" s="146"/>
      <c r="DP195" s="146"/>
      <c r="DQ195" s="146"/>
      <c r="DR195" s="146"/>
      <c r="DS195" s="146"/>
      <c r="DT195" s="146"/>
      <c r="DU195" s="146"/>
      <c r="DV195" s="146"/>
      <c r="DW195" s="146"/>
      <c r="DX195" s="146"/>
      <c r="DY195" s="146"/>
      <c r="DZ195" s="146"/>
      <c r="EA195" s="146"/>
      <c r="EB195" s="146"/>
      <c r="EC195" s="146"/>
      <c r="ED195" s="146"/>
      <c r="EE195" s="146"/>
      <c r="EF195" s="146"/>
      <c r="EG195" s="146"/>
      <c r="EH195" s="146"/>
      <c r="EI195" s="146"/>
      <c r="EJ195" s="146"/>
      <c r="EK195" s="146"/>
      <c r="EL195" s="146"/>
      <c r="EM195" s="146"/>
      <c r="EN195" s="146"/>
      <c r="EO195" s="146"/>
      <c r="EP195" s="146"/>
      <c r="EQ195" s="146"/>
      <c r="ER195" s="146"/>
      <c r="ES195" s="146"/>
      <c r="ET195" s="146"/>
      <c r="EU195" s="146"/>
      <c r="EV195" s="146"/>
      <c r="EW195" s="146"/>
      <c r="EX195" s="146"/>
      <c r="EY195" s="146"/>
      <c r="EZ195" s="146"/>
      <c r="FA195" s="146"/>
      <c r="FB195" s="146"/>
      <c r="FC195" s="146"/>
      <c r="FD195" s="146"/>
      <c r="FE195" s="146"/>
      <c r="FF195" s="146"/>
    </row>
    <row r="196" spans="97:162" ht="14.5" x14ac:dyDescent="0.35">
      <c r="CS196" s="146"/>
      <c r="CT196" s="146"/>
      <c r="CU196" s="146"/>
      <c r="CV196" s="146"/>
      <c r="CW196" s="146"/>
      <c r="CX196" s="146"/>
      <c r="CY196" s="146"/>
      <c r="CZ196" s="146"/>
      <c r="DA196" s="146"/>
      <c r="DB196" s="146"/>
      <c r="DC196" s="146"/>
      <c r="DD196" s="146"/>
      <c r="DE196" s="146"/>
      <c r="DF196" s="146"/>
      <c r="DG196" s="146"/>
      <c r="DH196" s="146"/>
      <c r="DI196" s="146"/>
      <c r="DJ196" s="146"/>
      <c r="DK196" s="146"/>
      <c r="DL196" s="146"/>
      <c r="DM196" s="146"/>
      <c r="DN196" s="146"/>
      <c r="DO196" s="146"/>
      <c r="DP196" s="146"/>
      <c r="DQ196" s="146"/>
      <c r="DR196" s="146"/>
      <c r="DS196" s="146"/>
      <c r="DT196" s="146"/>
      <c r="DU196" s="146"/>
      <c r="DV196" s="146"/>
      <c r="DW196" s="146"/>
      <c r="DX196" s="146"/>
      <c r="DY196" s="146"/>
      <c r="DZ196" s="146"/>
      <c r="EA196" s="146"/>
      <c r="EB196" s="146"/>
      <c r="EC196" s="146"/>
      <c r="ED196" s="146"/>
      <c r="EE196" s="146"/>
      <c r="EF196" s="146"/>
      <c r="EG196" s="146"/>
      <c r="EH196" s="146"/>
      <c r="EI196" s="146"/>
      <c r="EJ196" s="146"/>
      <c r="EK196" s="146"/>
      <c r="EL196" s="146"/>
      <c r="EM196" s="146"/>
      <c r="EN196" s="146"/>
      <c r="EO196" s="146"/>
      <c r="EP196" s="146"/>
      <c r="EQ196" s="146"/>
      <c r="ER196" s="146"/>
      <c r="ES196" s="146"/>
      <c r="ET196" s="146"/>
      <c r="EU196" s="146"/>
      <c r="EV196" s="146"/>
      <c r="EW196" s="146"/>
      <c r="EX196" s="146"/>
      <c r="EY196" s="146"/>
      <c r="EZ196" s="146"/>
      <c r="FA196" s="146"/>
      <c r="FB196" s="146"/>
      <c r="FC196" s="146"/>
      <c r="FD196" s="146"/>
      <c r="FE196" s="146"/>
      <c r="FF196" s="146"/>
    </row>
    <row r="197" spans="97:162" ht="14.5" x14ac:dyDescent="0.35">
      <c r="CS197" s="146"/>
      <c r="CT197" s="146"/>
      <c r="CU197" s="146"/>
      <c r="CV197" s="146"/>
      <c r="CW197" s="146"/>
      <c r="CX197" s="146"/>
      <c r="CY197" s="146"/>
      <c r="CZ197" s="146"/>
      <c r="DA197" s="146"/>
      <c r="DB197" s="146"/>
      <c r="DC197" s="146"/>
      <c r="DD197" s="146"/>
      <c r="DE197" s="146"/>
      <c r="DF197" s="146"/>
      <c r="DG197" s="146"/>
      <c r="DH197" s="146"/>
      <c r="DI197" s="146"/>
      <c r="DJ197" s="146"/>
      <c r="DK197" s="146"/>
      <c r="DL197" s="146"/>
      <c r="DM197" s="146"/>
      <c r="DN197" s="146"/>
      <c r="DO197" s="146"/>
      <c r="DP197" s="146"/>
      <c r="DQ197" s="146"/>
      <c r="DR197" s="146"/>
      <c r="DS197" s="146"/>
      <c r="DT197" s="146"/>
      <c r="DU197" s="146"/>
      <c r="DV197" s="146"/>
      <c r="DW197" s="146"/>
      <c r="DX197" s="146"/>
      <c r="DY197" s="146"/>
      <c r="DZ197" s="146"/>
      <c r="EA197" s="146"/>
      <c r="EB197" s="146"/>
      <c r="EC197" s="146"/>
      <c r="ED197" s="146"/>
      <c r="EE197" s="146"/>
      <c r="EF197" s="146"/>
      <c r="EG197" s="146"/>
      <c r="EH197" s="146"/>
      <c r="EI197" s="146"/>
      <c r="EJ197" s="146"/>
      <c r="EK197" s="146"/>
      <c r="EL197" s="146"/>
      <c r="EM197" s="146"/>
      <c r="EN197" s="146"/>
      <c r="EO197" s="146"/>
      <c r="EP197" s="146"/>
      <c r="EQ197" s="146"/>
      <c r="ER197" s="146"/>
      <c r="ES197" s="146"/>
      <c r="ET197" s="146"/>
      <c r="EU197" s="146"/>
      <c r="EV197" s="146"/>
      <c r="EW197" s="146"/>
      <c r="EX197" s="146"/>
      <c r="EY197" s="146"/>
      <c r="EZ197" s="146"/>
      <c r="FA197" s="146"/>
      <c r="FB197" s="146"/>
      <c r="FC197" s="146"/>
      <c r="FD197" s="146"/>
      <c r="FE197" s="146"/>
      <c r="FF197" s="146"/>
    </row>
    <row r="198" spans="97:162" ht="14.5" x14ac:dyDescent="0.35">
      <c r="CS198" s="146"/>
      <c r="CT198" s="146"/>
      <c r="CU198" s="146"/>
      <c r="CV198" s="146"/>
      <c r="CW198" s="146"/>
      <c r="CX198" s="146"/>
      <c r="CY198" s="146"/>
      <c r="CZ198" s="146"/>
      <c r="DA198" s="146"/>
      <c r="DB198" s="146"/>
      <c r="DC198" s="146"/>
      <c r="DD198" s="146"/>
      <c r="DE198" s="146"/>
      <c r="DF198" s="146"/>
      <c r="DG198" s="146"/>
      <c r="DH198" s="146"/>
      <c r="DI198" s="146"/>
      <c r="DJ198" s="146"/>
      <c r="DK198" s="146"/>
      <c r="DL198" s="146"/>
      <c r="DM198" s="146"/>
      <c r="DN198" s="146"/>
      <c r="DO198" s="146"/>
      <c r="DP198" s="146"/>
      <c r="DQ198" s="146"/>
      <c r="DR198" s="146"/>
      <c r="DS198" s="146"/>
      <c r="DT198" s="146"/>
      <c r="DU198" s="146"/>
      <c r="DV198" s="146"/>
      <c r="DW198" s="146"/>
      <c r="DX198" s="146"/>
      <c r="DY198" s="146"/>
      <c r="DZ198" s="146"/>
      <c r="EA198" s="146"/>
      <c r="EB198" s="146"/>
      <c r="EC198" s="146"/>
      <c r="ED198" s="146"/>
      <c r="EE198" s="146"/>
      <c r="EF198" s="146"/>
      <c r="EG198" s="146"/>
      <c r="EH198" s="146"/>
      <c r="EI198" s="146"/>
      <c r="EJ198" s="146"/>
      <c r="EK198" s="146"/>
      <c r="EL198" s="146"/>
      <c r="EM198" s="146"/>
      <c r="EN198" s="146"/>
      <c r="EO198" s="146"/>
      <c r="EP198" s="146"/>
      <c r="EQ198" s="146"/>
      <c r="ER198" s="146"/>
      <c r="ES198" s="146"/>
      <c r="ET198" s="146"/>
      <c r="EU198" s="146"/>
      <c r="EV198" s="146"/>
      <c r="EW198" s="146"/>
      <c r="EX198" s="146"/>
      <c r="EY198" s="146"/>
      <c r="EZ198" s="146"/>
      <c r="FA198" s="146"/>
      <c r="FB198" s="146"/>
      <c r="FC198" s="146"/>
      <c r="FD198" s="146"/>
      <c r="FE198" s="146"/>
      <c r="FF198" s="146"/>
    </row>
    <row r="199" spans="97:162" ht="14.5" x14ac:dyDescent="0.35">
      <c r="CS199" s="146"/>
      <c r="CT199" s="146"/>
      <c r="CU199" s="146"/>
      <c r="CV199" s="146"/>
      <c r="CW199" s="146"/>
      <c r="CX199" s="146"/>
      <c r="CY199" s="146"/>
      <c r="CZ199" s="146"/>
      <c r="DA199" s="146"/>
      <c r="DB199" s="146"/>
      <c r="DC199" s="146"/>
      <c r="DD199" s="146"/>
      <c r="DE199" s="146"/>
      <c r="DF199" s="146"/>
      <c r="DG199" s="146"/>
      <c r="DH199" s="146"/>
      <c r="DI199" s="146"/>
      <c r="DJ199" s="146"/>
      <c r="DK199" s="146"/>
      <c r="DL199" s="146"/>
      <c r="DM199" s="146"/>
      <c r="DN199" s="146"/>
      <c r="DO199" s="146"/>
      <c r="DP199" s="146"/>
      <c r="DQ199" s="146"/>
      <c r="DR199" s="146"/>
      <c r="DS199" s="146"/>
      <c r="DT199" s="146"/>
      <c r="DU199" s="146"/>
      <c r="DV199" s="146"/>
      <c r="DW199" s="146"/>
      <c r="DX199" s="146"/>
      <c r="DY199" s="146"/>
      <c r="DZ199" s="146"/>
      <c r="EA199" s="146"/>
      <c r="EB199" s="146"/>
      <c r="EC199" s="146"/>
      <c r="ED199" s="146"/>
      <c r="EE199" s="146"/>
      <c r="EF199" s="146"/>
      <c r="EG199" s="146"/>
      <c r="EH199" s="146"/>
      <c r="EI199" s="146"/>
      <c r="EJ199" s="146"/>
      <c r="EK199" s="146"/>
      <c r="EL199" s="146"/>
      <c r="EM199" s="146"/>
      <c r="EN199" s="146"/>
      <c r="EO199" s="146"/>
      <c r="EP199" s="146"/>
      <c r="EQ199" s="146"/>
      <c r="ER199" s="146"/>
      <c r="ES199" s="146"/>
      <c r="ET199" s="146"/>
      <c r="EU199" s="146"/>
      <c r="EV199" s="146"/>
      <c r="EW199" s="146"/>
      <c r="EX199" s="146"/>
      <c r="EY199" s="146"/>
      <c r="EZ199" s="146"/>
      <c r="FA199" s="146"/>
      <c r="FB199" s="146"/>
      <c r="FC199" s="146"/>
      <c r="FD199" s="146"/>
      <c r="FE199" s="146"/>
      <c r="FF199" s="146"/>
    </row>
    <row r="200" spans="97:162" ht="14.5" x14ac:dyDescent="0.35">
      <c r="CS200" s="146"/>
      <c r="CT200" s="146"/>
      <c r="CU200" s="146"/>
      <c r="CV200" s="146"/>
      <c r="CW200" s="146"/>
      <c r="CX200" s="146"/>
      <c r="CY200" s="146"/>
      <c r="CZ200" s="146"/>
      <c r="DA200" s="146"/>
      <c r="DB200" s="146"/>
      <c r="DC200" s="146"/>
      <c r="DD200" s="146"/>
      <c r="DE200" s="146"/>
      <c r="DF200" s="146"/>
      <c r="DG200" s="146"/>
      <c r="DH200" s="146"/>
      <c r="DI200" s="146"/>
      <c r="DJ200" s="146"/>
      <c r="DK200" s="146"/>
      <c r="DL200" s="146"/>
      <c r="DM200" s="146"/>
      <c r="DN200" s="146"/>
      <c r="DO200" s="146"/>
      <c r="DP200" s="146"/>
      <c r="DQ200" s="146"/>
      <c r="DR200" s="146"/>
      <c r="DS200" s="146"/>
      <c r="DT200" s="146"/>
      <c r="DU200" s="146"/>
      <c r="DV200" s="146"/>
      <c r="DW200" s="146"/>
      <c r="DX200" s="146"/>
      <c r="DY200" s="146"/>
      <c r="DZ200" s="146"/>
      <c r="EA200" s="146"/>
      <c r="EB200" s="146"/>
      <c r="EC200" s="146"/>
      <c r="ED200" s="146"/>
      <c r="EE200" s="146"/>
      <c r="EF200" s="146"/>
      <c r="EG200" s="146"/>
      <c r="EH200" s="146"/>
      <c r="EI200" s="146"/>
      <c r="EJ200" s="146"/>
      <c r="EK200" s="146"/>
      <c r="EL200" s="146"/>
      <c r="EM200" s="146"/>
      <c r="EN200" s="146"/>
      <c r="EO200" s="146"/>
      <c r="EP200" s="146"/>
      <c r="EQ200" s="146"/>
      <c r="ER200" s="146"/>
      <c r="ES200" s="146"/>
      <c r="ET200" s="146"/>
      <c r="EU200" s="146"/>
      <c r="EV200" s="146"/>
      <c r="EW200" s="146"/>
      <c r="EX200" s="146"/>
      <c r="EY200" s="146"/>
      <c r="EZ200" s="146"/>
      <c r="FA200" s="146"/>
      <c r="FB200" s="146"/>
      <c r="FC200" s="146"/>
      <c r="FD200" s="146"/>
      <c r="FE200" s="146"/>
      <c r="FF200" s="146"/>
    </row>
    <row r="201" spans="97:162" ht="14.5" x14ac:dyDescent="0.35">
      <c r="CS201" s="146"/>
      <c r="CT201" s="146"/>
      <c r="CU201" s="146"/>
      <c r="CV201" s="146"/>
      <c r="CW201" s="146"/>
      <c r="CX201" s="146"/>
      <c r="CY201" s="146"/>
      <c r="CZ201" s="146"/>
      <c r="DA201" s="146"/>
      <c r="DB201" s="146"/>
      <c r="DC201" s="146"/>
      <c r="DD201" s="146"/>
      <c r="DE201" s="146"/>
      <c r="DF201" s="146"/>
      <c r="DG201" s="146"/>
      <c r="DH201" s="146"/>
      <c r="DI201" s="146"/>
      <c r="DJ201" s="146"/>
      <c r="DK201" s="146"/>
      <c r="DL201" s="146"/>
      <c r="DM201" s="146"/>
      <c r="DN201" s="146"/>
      <c r="DO201" s="146"/>
      <c r="DP201" s="146"/>
      <c r="DQ201" s="146"/>
      <c r="DR201" s="146"/>
      <c r="DS201" s="146"/>
      <c r="DT201" s="146"/>
      <c r="DU201" s="146"/>
      <c r="DV201" s="146"/>
      <c r="DW201" s="146"/>
      <c r="DX201" s="146"/>
      <c r="DY201" s="146"/>
      <c r="DZ201" s="146"/>
      <c r="EA201" s="146"/>
      <c r="EB201" s="146"/>
      <c r="EC201" s="146"/>
      <c r="ED201" s="146"/>
      <c r="EE201" s="146"/>
      <c r="EF201" s="146"/>
      <c r="EG201" s="146"/>
      <c r="EH201" s="146"/>
      <c r="EI201" s="146"/>
      <c r="EJ201" s="146"/>
      <c r="EK201" s="146"/>
      <c r="EL201" s="146"/>
      <c r="EM201" s="146"/>
      <c r="EN201" s="146"/>
      <c r="EO201" s="146"/>
      <c r="EP201" s="146"/>
      <c r="EQ201" s="146"/>
      <c r="ER201" s="146"/>
      <c r="ES201" s="146"/>
      <c r="ET201" s="146"/>
      <c r="EU201" s="146"/>
      <c r="EV201" s="146"/>
      <c r="EW201" s="146"/>
      <c r="EX201" s="146"/>
      <c r="EY201" s="146"/>
      <c r="EZ201" s="146"/>
      <c r="FA201" s="146"/>
      <c r="FB201" s="146"/>
      <c r="FC201" s="146"/>
      <c r="FD201" s="146"/>
      <c r="FE201" s="146"/>
      <c r="FF201" s="146"/>
    </row>
    <row r="202" spans="97:162" ht="14.5" x14ac:dyDescent="0.35">
      <c r="CS202" s="146"/>
      <c r="CT202" s="146"/>
      <c r="CU202" s="146"/>
      <c r="CV202" s="146"/>
      <c r="CW202" s="146"/>
      <c r="CX202" s="146"/>
      <c r="CY202" s="146"/>
      <c r="CZ202" s="146"/>
      <c r="DA202" s="146"/>
      <c r="DB202" s="146"/>
      <c r="DC202" s="146"/>
      <c r="DD202" s="146"/>
      <c r="DE202" s="146"/>
      <c r="DF202" s="146"/>
      <c r="DG202" s="146"/>
      <c r="DH202" s="146"/>
      <c r="DI202" s="146"/>
      <c r="DJ202" s="146"/>
      <c r="DK202" s="146"/>
      <c r="DL202" s="146"/>
      <c r="DM202" s="146"/>
      <c r="DN202" s="146"/>
      <c r="DO202" s="146"/>
      <c r="DP202" s="146"/>
      <c r="DQ202" s="146"/>
      <c r="DR202" s="146"/>
      <c r="DS202" s="146"/>
      <c r="DT202" s="146"/>
      <c r="DU202" s="146"/>
      <c r="DV202" s="146"/>
      <c r="DW202" s="146"/>
      <c r="DX202" s="146"/>
      <c r="DY202" s="146"/>
      <c r="DZ202" s="146"/>
      <c r="EA202" s="146"/>
      <c r="EB202" s="146"/>
      <c r="EC202" s="146"/>
      <c r="ED202" s="146"/>
      <c r="EE202" s="146"/>
      <c r="EF202" s="146"/>
      <c r="EG202" s="146"/>
      <c r="EH202" s="146"/>
      <c r="EI202" s="146"/>
      <c r="EJ202" s="146"/>
      <c r="EK202" s="146"/>
      <c r="EL202" s="146"/>
      <c r="EM202" s="146"/>
      <c r="EN202" s="146"/>
      <c r="EO202" s="146"/>
      <c r="EP202" s="146"/>
      <c r="EQ202" s="146"/>
      <c r="ER202" s="146"/>
      <c r="ES202" s="146"/>
      <c r="ET202" s="146"/>
      <c r="EU202" s="146"/>
      <c r="EV202" s="146"/>
      <c r="EW202" s="146"/>
      <c r="EX202" s="146"/>
      <c r="EY202" s="146"/>
      <c r="EZ202" s="146"/>
      <c r="FA202" s="146"/>
      <c r="FB202" s="146"/>
      <c r="FC202" s="146"/>
      <c r="FD202" s="146"/>
      <c r="FE202" s="146"/>
      <c r="FF202" s="146"/>
    </row>
    <row r="203" spans="97:162" ht="14.5" x14ac:dyDescent="0.35">
      <c r="CS203" s="146"/>
      <c r="CT203" s="146"/>
      <c r="CU203" s="146"/>
      <c r="CV203" s="146"/>
      <c r="CW203" s="146"/>
      <c r="CX203" s="146"/>
      <c r="CY203" s="146"/>
      <c r="CZ203" s="146"/>
      <c r="DA203" s="146"/>
      <c r="DB203" s="146"/>
      <c r="DC203" s="146"/>
      <c r="DD203" s="146"/>
      <c r="DE203" s="146"/>
      <c r="DF203" s="146"/>
      <c r="DG203" s="146"/>
      <c r="DH203" s="146"/>
      <c r="DI203" s="146"/>
      <c r="DJ203" s="146"/>
      <c r="DK203" s="146"/>
      <c r="DL203" s="146"/>
      <c r="DM203" s="146"/>
      <c r="DN203" s="146"/>
      <c r="DO203" s="146"/>
      <c r="DP203" s="146"/>
      <c r="DQ203" s="146"/>
      <c r="DR203" s="146"/>
      <c r="DS203" s="146"/>
      <c r="DT203" s="146"/>
      <c r="DU203" s="146"/>
      <c r="DV203" s="146"/>
      <c r="DW203" s="146"/>
      <c r="DX203" s="146"/>
      <c r="DY203" s="146"/>
      <c r="DZ203" s="146"/>
      <c r="EA203" s="146"/>
      <c r="EB203" s="146"/>
      <c r="EC203" s="146"/>
      <c r="ED203" s="146"/>
      <c r="EE203" s="146"/>
      <c r="EF203" s="146"/>
      <c r="EG203" s="146"/>
      <c r="EH203" s="146"/>
      <c r="EI203" s="146"/>
      <c r="EJ203" s="146"/>
      <c r="EK203" s="146"/>
      <c r="EL203" s="146"/>
      <c r="EM203" s="146"/>
      <c r="EN203" s="146"/>
      <c r="EO203" s="146"/>
      <c r="EP203" s="146"/>
      <c r="EQ203" s="146"/>
      <c r="ER203" s="146"/>
      <c r="ES203" s="146"/>
      <c r="ET203" s="146"/>
      <c r="EU203" s="146"/>
      <c r="EV203" s="146"/>
      <c r="EW203" s="146"/>
      <c r="EX203" s="146"/>
      <c r="EY203" s="146"/>
      <c r="EZ203" s="146"/>
      <c r="FA203" s="146"/>
      <c r="FB203" s="146"/>
      <c r="FC203" s="146"/>
      <c r="FD203" s="146"/>
      <c r="FE203" s="146"/>
      <c r="FF203" s="146"/>
    </row>
    <row r="204" spans="97:162" ht="14.5" x14ac:dyDescent="0.35">
      <c r="CS204" s="146"/>
      <c r="CT204" s="146"/>
      <c r="CU204" s="146"/>
      <c r="CV204" s="146"/>
      <c r="CW204" s="146"/>
      <c r="CX204" s="146"/>
      <c r="CY204" s="146"/>
      <c r="CZ204" s="146"/>
      <c r="DA204" s="146"/>
      <c r="DB204" s="146"/>
      <c r="DC204" s="146"/>
      <c r="DD204" s="146"/>
      <c r="DE204" s="146"/>
      <c r="DF204" s="146"/>
      <c r="DG204" s="146"/>
      <c r="DH204" s="146"/>
      <c r="DI204" s="146"/>
      <c r="DJ204" s="146"/>
      <c r="DK204" s="146"/>
      <c r="DL204" s="146"/>
      <c r="DM204" s="146"/>
      <c r="DN204" s="146"/>
      <c r="DO204" s="146"/>
      <c r="DP204" s="146"/>
      <c r="DQ204" s="146"/>
      <c r="DR204" s="146"/>
      <c r="DS204" s="146"/>
      <c r="DT204" s="146"/>
      <c r="DU204" s="146"/>
      <c r="DV204" s="146"/>
      <c r="DW204" s="146"/>
      <c r="DX204" s="146"/>
      <c r="DY204" s="146"/>
      <c r="DZ204" s="146"/>
      <c r="EA204" s="146"/>
      <c r="EB204" s="146"/>
      <c r="EC204" s="146"/>
      <c r="ED204" s="146"/>
      <c r="EE204" s="146"/>
      <c r="EF204" s="146"/>
      <c r="EG204" s="146"/>
      <c r="EH204" s="146"/>
      <c r="EI204" s="146"/>
      <c r="EJ204" s="146"/>
      <c r="EK204" s="146"/>
      <c r="EL204" s="146"/>
      <c r="EM204" s="146"/>
      <c r="EN204" s="146"/>
      <c r="EO204" s="146"/>
      <c r="EP204" s="146"/>
      <c r="EQ204" s="146"/>
      <c r="ER204" s="146"/>
      <c r="ES204" s="146"/>
      <c r="ET204" s="146"/>
      <c r="EU204" s="146"/>
      <c r="EV204" s="146"/>
      <c r="EW204" s="146"/>
      <c r="EX204" s="146"/>
      <c r="EY204" s="146"/>
      <c r="EZ204" s="146"/>
      <c r="FA204" s="146"/>
      <c r="FB204" s="146"/>
      <c r="FC204" s="146"/>
      <c r="FD204" s="146"/>
      <c r="FE204" s="146"/>
      <c r="FF204" s="146"/>
    </row>
    <row r="205" spans="97:162" ht="14.5" x14ac:dyDescent="0.35">
      <c r="CS205" s="146"/>
      <c r="CT205" s="146"/>
      <c r="CU205" s="146"/>
      <c r="CV205" s="146"/>
      <c r="CW205" s="146"/>
      <c r="CX205" s="146"/>
      <c r="CY205" s="146"/>
      <c r="CZ205" s="146"/>
      <c r="DA205" s="146"/>
      <c r="DB205" s="146"/>
      <c r="DC205" s="146"/>
      <c r="DD205" s="146"/>
      <c r="DE205" s="146"/>
      <c r="DF205" s="146"/>
      <c r="DG205" s="146"/>
      <c r="DH205" s="146"/>
      <c r="DI205" s="146"/>
      <c r="DJ205" s="146"/>
      <c r="DK205" s="146"/>
      <c r="DL205" s="146"/>
      <c r="DM205" s="146"/>
      <c r="DN205" s="146"/>
      <c r="DO205" s="146"/>
      <c r="DP205" s="146"/>
      <c r="DQ205" s="146"/>
      <c r="DR205" s="146"/>
      <c r="DS205" s="146"/>
      <c r="DT205" s="146"/>
      <c r="DU205" s="146"/>
      <c r="DV205" s="146"/>
      <c r="DW205" s="146"/>
      <c r="DX205" s="146"/>
      <c r="DY205" s="146"/>
      <c r="DZ205" s="146"/>
      <c r="EA205" s="146"/>
      <c r="EB205" s="146"/>
      <c r="EC205" s="146"/>
      <c r="ED205" s="146"/>
      <c r="EE205" s="146"/>
      <c r="EF205" s="146"/>
      <c r="EG205" s="146"/>
      <c r="EH205" s="146"/>
      <c r="EI205" s="146"/>
      <c r="EJ205" s="146"/>
      <c r="EK205" s="146"/>
      <c r="EL205" s="146"/>
      <c r="EM205" s="146"/>
      <c r="EN205" s="146"/>
      <c r="EO205" s="146"/>
      <c r="EP205" s="146"/>
      <c r="EQ205" s="146"/>
      <c r="ER205" s="146"/>
      <c r="ES205" s="146"/>
      <c r="ET205" s="146"/>
      <c r="EU205" s="146"/>
      <c r="EV205" s="146"/>
      <c r="EW205" s="146"/>
      <c r="EX205" s="146"/>
      <c r="EY205" s="146"/>
      <c r="EZ205" s="146"/>
      <c r="FA205" s="146"/>
      <c r="FB205" s="146"/>
      <c r="FC205" s="146"/>
      <c r="FD205" s="146"/>
      <c r="FE205" s="146"/>
      <c r="FF205" s="146"/>
    </row>
    <row r="206" spans="97:162" ht="14.5" x14ac:dyDescent="0.35">
      <c r="CS206" s="146"/>
      <c r="CT206" s="146"/>
      <c r="CU206" s="146"/>
      <c r="CV206" s="146"/>
      <c r="CW206" s="146"/>
      <c r="CX206" s="146"/>
      <c r="CY206" s="146"/>
      <c r="CZ206" s="146"/>
      <c r="DA206" s="146"/>
      <c r="DB206" s="146"/>
      <c r="DC206" s="146"/>
      <c r="DD206" s="146"/>
      <c r="DE206" s="146"/>
      <c r="DF206" s="146"/>
      <c r="DG206" s="146"/>
      <c r="DH206" s="146"/>
      <c r="DI206" s="146"/>
      <c r="DJ206" s="146"/>
      <c r="DK206" s="146"/>
      <c r="DL206" s="146"/>
      <c r="DM206" s="146"/>
      <c r="DN206" s="146"/>
      <c r="DO206" s="146"/>
      <c r="DP206" s="146"/>
      <c r="DQ206" s="146"/>
      <c r="DR206" s="146"/>
      <c r="DS206" s="146"/>
      <c r="DT206" s="146"/>
      <c r="DU206" s="146"/>
      <c r="DV206" s="146"/>
      <c r="DW206" s="146"/>
      <c r="DX206" s="146"/>
      <c r="DY206" s="146"/>
      <c r="DZ206" s="146"/>
      <c r="EA206" s="146"/>
      <c r="EB206" s="146"/>
      <c r="EC206" s="146"/>
      <c r="ED206" s="146"/>
      <c r="EE206" s="146"/>
      <c r="EF206" s="146"/>
      <c r="EG206" s="146"/>
      <c r="EH206" s="146"/>
      <c r="EI206" s="146"/>
      <c r="EJ206" s="146"/>
      <c r="EK206" s="146"/>
      <c r="EL206" s="146"/>
      <c r="EM206" s="146"/>
      <c r="EN206" s="146"/>
      <c r="EO206" s="146"/>
      <c r="EP206" s="146"/>
      <c r="EQ206" s="146"/>
      <c r="ER206" s="146"/>
      <c r="ES206" s="146"/>
      <c r="ET206" s="146"/>
      <c r="EU206" s="146"/>
      <c r="EV206" s="146"/>
      <c r="EW206" s="146"/>
      <c r="EX206" s="146"/>
      <c r="EY206" s="146"/>
      <c r="EZ206" s="146"/>
      <c r="FA206" s="146"/>
      <c r="FB206" s="146"/>
      <c r="FC206" s="146"/>
      <c r="FD206" s="146"/>
      <c r="FE206" s="146"/>
      <c r="FF206" s="146"/>
    </row>
    <row r="207" spans="97:162" ht="14.5" x14ac:dyDescent="0.35">
      <c r="CS207" s="146"/>
      <c r="CT207" s="146"/>
      <c r="CU207" s="146"/>
      <c r="CV207" s="146"/>
      <c r="CW207" s="146"/>
      <c r="CX207" s="146"/>
      <c r="CY207" s="146"/>
      <c r="CZ207" s="146"/>
      <c r="DA207" s="146"/>
      <c r="DB207" s="146"/>
      <c r="DC207" s="146"/>
      <c r="DD207" s="146"/>
      <c r="DE207" s="146"/>
      <c r="DF207" s="146"/>
      <c r="DG207" s="146"/>
      <c r="DH207" s="146"/>
      <c r="DI207" s="146"/>
      <c r="DJ207" s="146"/>
      <c r="DK207" s="146"/>
      <c r="DL207" s="146"/>
      <c r="DM207" s="146"/>
      <c r="DN207" s="146"/>
      <c r="DO207" s="146"/>
      <c r="DP207" s="146"/>
      <c r="DQ207" s="146"/>
      <c r="DR207" s="146"/>
      <c r="DS207" s="146"/>
      <c r="DT207" s="146"/>
      <c r="DU207" s="146"/>
      <c r="DV207" s="146"/>
      <c r="DW207" s="146"/>
      <c r="DX207" s="146"/>
      <c r="DY207" s="146"/>
      <c r="DZ207" s="146"/>
      <c r="EA207" s="146"/>
      <c r="EB207" s="146"/>
      <c r="EC207" s="146"/>
      <c r="ED207" s="146"/>
      <c r="EE207" s="146"/>
      <c r="EF207" s="146"/>
      <c r="EG207" s="146"/>
      <c r="EH207" s="146"/>
      <c r="EI207" s="146"/>
      <c r="EJ207" s="146"/>
      <c r="EK207" s="146"/>
      <c r="EL207" s="146"/>
      <c r="EM207" s="146"/>
      <c r="EN207" s="146"/>
      <c r="EO207" s="146"/>
      <c r="EP207" s="146"/>
      <c r="EQ207" s="146"/>
      <c r="ER207" s="146"/>
      <c r="ES207" s="146"/>
      <c r="ET207" s="146"/>
      <c r="EU207" s="146"/>
      <c r="EV207" s="146"/>
      <c r="EW207" s="146"/>
      <c r="EX207" s="146"/>
      <c r="EY207" s="146"/>
      <c r="EZ207" s="146"/>
      <c r="FA207" s="146"/>
      <c r="FB207" s="146"/>
      <c r="FC207" s="146"/>
      <c r="FD207" s="146"/>
      <c r="FE207" s="146"/>
      <c r="FF207" s="146"/>
    </row>
    <row r="208" spans="97:162" ht="14.5" x14ac:dyDescent="0.35">
      <c r="CS208" s="146"/>
      <c r="CT208" s="146"/>
      <c r="CU208" s="146"/>
      <c r="CV208" s="146"/>
      <c r="CW208" s="146"/>
      <c r="CX208" s="146"/>
      <c r="CY208" s="146"/>
      <c r="CZ208" s="146"/>
      <c r="DA208" s="146"/>
      <c r="DB208" s="146"/>
      <c r="DC208" s="146"/>
      <c r="DD208" s="146"/>
      <c r="DE208" s="146"/>
      <c r="DF208" s="146"/>
      <c r="DG208" s="146"/>
      <c r="DH208" s="146"/>
      <c r="DI208" s="146"/>
      <c r="DJ208" s="146"/>
      <c r="DK208" s="146"/>
      <c r="DL208" s="146"/>
      <c r="DM208" s="146"/>
      <c r="DN208" s="146"/>
      <c r="DO208" s="146"/>
      <c r="DP208" s="146"/>
      <c r="DQ208" s="146"/>
      <c r="DR208" s="146"/>
      <c r="DS208" s="146"/>
      <c r="DT208" s="146"/>
      <c r="DU208" s="146"/>
      <c r="DV208" s="146"/>
      <c r="DW208" s="146"/>
      <c r="DX208" s="146"/>
      <c r="DY208" s="146"/>
      <c r="DZ208" s="146"/>
      <c r="EA208" s="146"/>
      <c r="EB208" s="146"/>
      <c r="EC208" s="146"/>
      <c r="ED208" s="146"/>
      <c r="EE208" s="146"/>
      <c r="EF208" s="146"/>
      <c r="EG208" s="146"/>
      <c r="EH208" s="146"/>
      <c r="EI208" s="146"/>
      <c r="EJ208" s="146"/>
      <c r="EK208" s="146"/>
      <c r="EL208" s="146"/>
      <c r="EM208" s="146"/>
      <c r="EN208" s="146"/>
      <c r="EO208" s="146"/>
      <c r="EP208" s="146"/>
      <c r="EQ208" s="146"/>
      <c r="ER208" s="146"/>
      <c r="ES208" s="146"/>
      <c r="ET208" s="146"/>
      <c r="EU208" s="146"/>
      <c r="EV208" s="146"/>
      <c r="EW208" s="146"/>
      <c r="EX208" s="146"/>
      <c r="EY208" s="146"/>
      <c r="EZ208" s="146"/>
      <c r="FA208" s="146"/>
      <c r="FB208" s="146"/>
      <c r="FC208" s="146"/>
      <c r="FD208" s="146"/>
      <c r="FE208" s="146"/>
      <c r="FF208" s="146"/>
    </row>
    <row r="209" spans="97:162" ht="14.5" x14ac:dyDescent="0.35">
      <c r="CS209" s="146"/>
      <c r="CT209" s="146"/>
      <c r="CU209" s="146"/>
      <c r="CV209" s="146"/>
      <c r="CW209" s="146"/>
      <c r="CX209" s="146"/>
      <c r="CY209" s="146"/>
      <c r="CZ209" s="146"/>
      <c r="DA209" s="146"/>
      <c r="DB209" s="146"/>
      <c r="DC209" s="146"/>
      <c r="DD209" s="146"/>
      <c r="DE209" s="146"/>
      <c r="DF209" s="146"/>
      <c r="DG209" s="146"/>
      <c r="DH209" s="146"/>
      <c r="DI209" s="146"/>
      <c r="DJ209" s="146"/>
      <c r="DK209" s="146"/>
      <c r="DL209" s="146"/>
      <c r="DM209" s="146"/>
      <c r="DN209" s="146"/>
      <c r="DO209" s="146"/>
      <c r="DP209" s="146"/>
      <c r="DQ209" s="146"/>
      <c r="DR209" s="146"/>
      <c r="DS209" s="146"/>
      <c r="DT209" s="146"/>
      <c r="DU209" s="146"/>
      <c r="DV209" s="146"/>
      <c r="DW209" s="146"/>
      <c r="DX209" s="146"/>
      <c r="DY209" s="146"/>
      <c r="DZ209" s="146"/>
      <c r="EA209" s="146"/>
      <c r="EB209" s="146"/>
      <c r="EC209" s="146"/>
      <c r="ED209" s="146"/>
      <c r="EE209" s="146"/>
      <c r="EF209" s="146"/>
      <c r="EG209" s="146"/>
      <c r="EH209" s="146"/>
      <c r="EI209" s="146"/>
      <c r="EJ209" s="146"/>
      <c r="EK209" s="146"/>
      <c r="EL209" s="146"/>
      <c r="EM209" s="146"/>
      <c r="EN209" s="146"/>
      <c r="EO209" s="146"/>
      <c r="EP209" s="146"/>
      <c r="EQ209" s="146"/>
      <c r="ER209" s="146"/>
      <c r="ES209" s="146"/>
      <c r="ET209" s="146"/>
      <c r="EU209" s="146"/>
      <c r="EV209" s="146"/>
      <c r="EW209" s="146"/>
      <c r="EX209" s="146"/>
      <c r="EY209" s="146"/>
      <c r="EZ209" s="146"/>
      <c r="FA209" s="146"/>
      <c r="FB209" s="146"/>
      <c r="FC209" s="146"/>
      <c r="FD209" s="146"/>
      <c r="FE209" s="146"/>
      <c r="FF209" s="146"/>
    </row>
    <row r="210" spans="97:162" ht="14.5" x14ac:dyDescent="0.35">
      <c r="CS210" s="146"/>
      <c r="CT210" s="146"/>
      <c r="CU210" s="146"/>
      <c r="CV210" s="146"/>
      <c r="CW210" s="146"/>
      <c r="CX210" s="146"/>
      <c r="CY210" s="146"/>
      <c r="CZ210" s="146"/>
      <c r="DA210" s="146"/>
      <c r="DB210" s="146"/>
      <c r="DC210" s="146"/>
      <c r="DD210" s="146"/>
      <c r="DE210" s="146"/>
      <c r="DF210" s="146"/>
      <c r="DG210" s="146"/>
      <c r="DH210" s="146"/>
      <c r="DI210" s="146"/>
      <c r="DJ210" s="146"/>
      <c r="DK210" s="146"/>
      <c r="DL210" s="146"/>
      <c r="DM210" s="146"/>
      <c r="DN210" s="146"/>
      <c r="DO210" s="146"/>
      <c r="DP210" s="146"/>
      <c r="DQ210" s="146"/>
      <c r="DR210" s="146"/>
      <c r="DS210" s="146"/>
      <c r="DT210" s="146"/>
      <c r="DU210" s="146"/>
      <c r="DV210" s="146"/>
      <c r="DW210" s="146"/>
      <c r="DX210" s="146"/>
      <c r="DY210" s="146"/>
      <c r="DZ210" s="146"/>
      <c r="EA210" s="146"/>
      <c r="EB210" s="146"/>
      <c r="EC210" s="146"/>
      <c r="ED210" s="146"/>
      <c r="EE210" s="146"/>
      <c r="EF210" s="146"/>
      <c r="EG210" s="146"/>
      <c r="EH210" s="146"/>
      <c r="EI210" s="146"/>
      <c r="EJ210" s="146"/>
      <c r="EK210" s="146"/>
      <c r="EL210" s="146"/>
      <c r="EM210" s="146"/>
      <c r="EN210" s="146"/>
      <c r="EO210" s="146"/>
      <c r="EP210" s="146"/>
      <c r="EQ210" s="146"/>
      <c r="ER210" s="146"/>
      <c r="ES210" s="146"/>
      <c r="ET210" s="146"/>
      <c r="EU210" s="146"/>
      <c r="EV210" s="146"/>
      <c r="EW210" s="146"/>
      <c r="EX210" s="146"/>
      <c r="EY210" s="146"/>
      <c r="EZ210" s="146"/>
      <c r="FA210" s="146"/>
      <c r="FB210" s="146"/>
      <c r="FC210" s="146"/>
      <c r="FD210" s="146"/>
      <c r="FE210" s="146"/>
      <c r="FF210" s="146"/>
    </row>
    <row r="211" spans="97:162" ht="14.5" x14ac:dyDescent="0.35">
      <c r="CS211" s="146"/>
      <c r="CT211" s="146"/>
      <c r="CU211" s="146"/>
      <c r="CV211" s="146"/>
      <c r="CW211" s="146"/>
      <c r="CX211" s="146"/>
      <c r="CY211" s="146"/>
      <c r="CZ211" s="146"/>
      <c r="DA211" s="146"/>
      <c r="DB211" s="146"/>
      <c r="DC211" s="146"/>
      <c r="DD211" s="146"/>
      <c r="DE211" s="146"/>
      <c r="DF211" s="146"/>
      <c r="DG211" s="146"/>
      <c r="DH211" s="146"/>
      <c r="DI211" s="146"/>
      <c r="DJ211" s="146"/>
      <c r="DK211" s="146"/>
      <c r="DL211" s="146"/>
      <c r="DM211" s="146"/>
      <c r="DN211" s="146"/>
      <c r="DO211" s="146"/>
      <c r="DP211" s="146"/>
      <c r="DQ211" s="146"/>
      <c r="DR211" s="146"/>
      <c r="DS211" s="146"/>
      <c r="DT211" s="146"/>
      <c r="DU211" s="146"/>
      <c r="DV211" s="146"/>
      <c r="DW211" s="146"/>
      <c r="DX211" s="146"/>
      <c r="DY211" s="146"/>
      <c r="DZ211" s="146"/>
      <c r="EA211" s="146"/>
      <c r="EB211" s="146"/>
      <c r="EC211" s="146"/>
      <c r="ED211" s="146"/>
      <c r="EE211" s="146"/>
      <c r="EF211" s="146"/>
      <c r="EG211" s="146"/>
      <c r="EH211" s="146"/>
      <c r="EI211" s="146"/>
      <c r="EJ211" s="146"/>
      <c r="EK211" s="146"/>
      <c r="EL211" s="146"/>
      <c r="EM211" s="146"/>
      <c r="EN211" s="146"/>
      <c r="EO211" s="146"/>
      <c r="EP211" s="146"/>
      <c r="EQ211" s="146"/>
      <c r="ER211" s="146"/>
      <c r="ES211" s="146"/>
      <c r="ET211" s="146"/>
      <c r="EU211" s="146"/>
      <c r="EV211" s="146"/>
      <c r="EW211" s="146"/>
      <c r="EX211" s="146"/>
      <c r="EY211" s="146"/>
      <c r="EZ211" s="146"/>
      <c r="FA211" s="146"/>
      <c r="FB211" s="146"/>
      <c r="FC211" s="146"/>
      <c r="FD211" s="146"/>
      <c r="FE211" s="146"/>
      <c r="FF211" s="146"/>
    </row>
    <row r="212" spans="97:162" ht="14.5" x14ac:dyDescent="0.35">
      <c r="CS212" s="146"/>
      <c r="CT212" s="146"/>
      <c r="CU212" s="146"/>
      <c r="CV212" s="146"/>
      <c r="CW212" s="146"/>
      <c r="CX212" s="146"/>
      <c r="CY212" s="146"/>
      <c r="CZ212" s="146"/>
      <c r="DA212" s="146"/>
      <c r="DB212" s="146"/>
      <c r="DC212" s="146"/>
      <c r="DD212" s="146"/>
      <c r="DE212" s="146"/>
      <c r="DF212" s="146"/>
      <c r="DG212" s="146"/>
      <c r="DH212" s="146"/>
      <c r="DI212" s="146"/>
      <c r="DJ212" s="146"/>
      <c r="DK212" s="146"/>
      <c r="DL212" s="146"/>
      <c r="DM212" s="146"/>
      <c r="DN212" s="146"/>
      <c r="DO212" s="146"/>
      <c r="DP212" s="146"/>
      <c r="DQ212" s="146"/>
      <c r="DR212" s="146"/>
      <c r="DS212" s="146"/>
      <c r="DT212" s="146"/>
      <c r="DU212" s="146"/>
      <c r="DV212" s="146"/>
      <c r="DW212" s="146"/>
      <c r="DX212" s="146"/>
      <c r="DY212" s="146"/>
      <c r="DZ212" s="146"/>
      <c r="EA212" s="146"/>
      <c r="EB212" s="146"/>
      <c r="EC212" s="146"/>
      <c r="ED212" s="146"/>
      <c r="EE212" s="146"/>
      <c r="EF212" s="146"/>
      <c r="EG212" s="146"/>
      <c r="EH212" s="146"/>
      <c r="EI212" s="146"/>
      <c r="EJ212" s="146"/>
      <c r="EK212" s="146"/>
      <c r="EL212" s="146"/>
      <c r="EM212" s="146"/>
      <c r="EN212" s="146"/>
      <c r="EO212" s="146"/>
      <c r="EP212" s="146"/>
      <c r="EQ212" s="146"/>
      <c r="ER212" s="146"/>
      <c r="ES212" s="146"/>
      <c r="ET212" s="146"/>
      <c r="EU212" s="146"/>
      <c r="EV212" s="146"/>
      <c r="EW212" s="146"/>
      <c r="EX212" s="146"/>
      <c r="EY212" s="146"/>
      <c r="EZ212" s="146"/>
      <c r="FA212" s="146"/>
      <c r="FB212" s="146"/>
      <c r="FC212" s="146"/>
      <c r="FD212" s="146"/>
      <c r="FE212" s="146"/>
      <c r="FF212" s="146"/>
    </row>
    <row r="213" spans="97:162" ht="14.5" x14ac:dyDescent="0.35">
      <c r="CS213" s="146"/>
      <c r="CT213" s="146"/>
      <c r="CU213" s="146"/>
      <c r="CV213" s="146"/>
      <c r="CW213" s="146"/>
      <c r="CX213" s="146"/>
      <c r="CY213" s="146"/>
      <c r="CZ213" s="146"/>
      <c r="DA213" s="146"/>
      <c r="DB213" s="146"/>
      <c r="DC213" s="146"/>
      <c r="DD213" s="146"/>
      <c r="DE213" s="146"/>
      <c r="DF213" s="146"/>
      <c r="DG213" s="146"/>
      <c r="DH213" s="146"/>
      <c r="DI213" s="146"/>
      <c r="DJ213" s="146"/>
      <c r="DK213" s="146"/>
      <c r="DL213" s="146"/>
      <c r="DM213" s="146"/>
      <c r="DN213" s="146"/>
      <c r="DO213" s="146"/>
      <c r="DP213" s="146"/>
      <c r="DQ213" s="146"/>
      <c r="DR213" s="146"/>
      <c r="DS213" s="146"/>
      <c r="DT213" s="146"/>
      <c r="DU213" s="146"/>
      <c r="DV213" s="146"/>
      <c r="DW213" s="146"/>
      <c r="DX213" s="146"/>
      <c r="DY213" s="146"/>
      <c r="DZ213" s="146"/>
      <c r="EA213" s="146"/>
      <c r="EB213" s="146"/>
      <c r="EC213" s="146"/>
      <c r="ED213" s="146"/>
      <c r="EE213" s="146"/>
      <c r="EF213" s="146"/>
      <c r="EG213" s="146"/>
      <c r="EH213" s="146"/>
      <c r="EI213" s="146"/>
      <c r="EJ213" s="146"/>
      <c r="EK213" s="146"/>
      <c r="EL213" s="146"/>
      <c r="EM213" s="146"/>
      <c r="EN213" s="146"/>
      <c r="EO213" s="146"/>
      <c r="EP213" s="146"/>
      <c r="EQ213" s="146"/>
      <c r="ER213" s="146"/>
      <c r="ES213" s="146"/>
      <c r="ET213" s="146"/>
      <c r="EU213" s="146"/>
      <c r="EV213" s="146"/>
      <c r="EW213" s="146"/>
      <c r="EX213" s="146"/>
      <c r="EY213" s="146"/>
      <c r="EZ213" s="146"/>
      <c r="FA213" s="146"/>
      <c r="FB213" s="146"/>
      <c r="FC213" s="146"/>
      <c r="FD213" s="146"/>
      <c r="FE213" s="146"/>
      <c r="FF213" s="146"/>
    </row>
    <row r="214" spans="97:162" ht="14.5" x14ac:dyDescent="0.35">
      <c r="CS214" s="146"/>
      <c r="CT214" s="146"/>
      <c r="CU214" s="146"/>
      <c r="CV214" s="146"/>
      <c r="CW214" s="146"/>
      <c r="CX214" s="146"/>
      <c r="CY214" s="146"/>
      <c r="CZ214" s="146"/>
      <c r="DA214" s="146"/>
      <c r="DB214" s="146"/>
      <c r="DC214" s="146"/>
      <c r="DD214" s="146"/>
      <c r="DE214" s="146"/>
      <c r="DF214" s="146"/>
      <c r="DG214" s="146"/>
      <c r="DH214" s="146"/>
      <c r="DI214" s="146"/>
      <c r="DJ214" s="146"/>
      <c r="DK214" s="146"/>
      <c r="DL214" s="146"/>
      <c r="DM214" s="146"/>
      <c r="DN214" s="146"/>
      <c r="DO214" s="146"/>
      <c r="DP214" s="146"/>
      <c r="DQ214" s="146"/>
      <c r="DR214" s="146"/>
      <c r="DS214" s="146"/>
      <c r="DT214" s="146"/>
      <c r="DU214" s="146"/>
      <c r="DV214" s="146"/>
      <c r="DW214" s="146"/>
      <c r="DX214" s="146"/>
      <c r="DY214" s="146"/>
      <c r="DZ214" s="146"/>
      <c r="EA214" s="146"/>
      <c r="EB214" s="146"/>
      <c r="EC214" s="146"/>
      <c r="ED214" s="146"/>
      <c r="EE214" s="146"/>
      <c r="EF214" s="146"/>
      <c r="EG214" s="146"/>
      <c r="EH214" s="146"/>
      <c r="EI214" s="146"/>
      <c r="EJ214" s="146"/>
      <c r="EK214" s="146"/>
      <c r="EL214" s="146"/>
      <c r="EM214" s="146"/>
      <c r="EN214" s="146"/>
      <c r="EO214" s="146"/>
      <c r="EP214" s="146"/>
      <c r="EQ214" s="146"/>
      <c r="ER214" s="146"/>
      <c r="ES214" s="146"/>
      <c r="ET214" s="146"/>
      <c r="EU214" s="146"/>
      <c r="EV214" s="146"/>
      <c r="EW214" s="146"/>
      <c r="EX214" s="146"/>
      <c r="EY214" s="146"/>
      <c r="EZ214" s="146"/>
      <c r="FA214" s="146"/>
      <c r="FB214" s="146"/>
      <c r="FC214" s="146"/>
      <c r="FD214" s="146"/>
      <c r="FE214" s="146"/>
      <c r="FF214" s="146"/>
    </row>
    <row r="215" spans="97:162" ht="14.5" x14ac:dyDescent="0.35">
      <c r="CS215" s="146"/>
      <c r="CT215" s="146"/>
      <c r="CU215" s="146"/>
      <c r="CV215" s="146"/>
      <c r="CW215" s="146"/>
      <c r="CX215" s="146"/>
      <c r="CY215" s="146"/>
      <c r="CZ215" s="146"/>
      <c r="DA215" s="146"/>
      <c r="DB215" s="146"/>
      <c r="DC215" s="146"/>
      <c r="DD215" s="146"/>
      <c r="DE215" s="146"/>
      <c r="DF215" s="146"/>
      <c r="DG215" s="146"/>
      <c r="DH215" s="146"/>
      <c r="DI215" s="146"/>
      <c r="DJ215" s="146"/>
      <c r="DK215" s="146"/>
      <c r="DL215" s="146"/>
      <c r="DM215" s="146"/>
      <c r="DN215" s="146"/>
      <c r="DO215" s="146"/>
      <c r="DP215" s="146"/>
      <c r="DQ215" s="146"/>
      <c r="DR215" s="146"/>
      <c r="DS215" s="146"/>
      <c r="DT215" s="146"/>
      <c r="DU215" s="146"/>
      <c r="DV215" s="146"/>
      <c r="DW215" s="146"/>
      <c r="DX215" s="146"/>
      <c r="DY215" s="146"/>
      <c r="DZ215" s="146"/>
      <c r="EA215" s="146"/>
      <c r="EB215" s="146"/>
      <c r="EC215" s="146"/>
      <c r="ED215" s="146"/>
      <c r="EE215" s="146"/>
      <c r="EF215" s="146"/>
      <c r="EG215" s="146"/>
      <c r="EH215" s="146"/>
      <c r="EI215" s="146"/>
      <c r="EJ215" s="146"/>
      <c r="EK215" s="146"/>
      <c r="EL215" s="146"/>
      <c r="EM215" s="146"/>
      <c r="EN215" s="146"/>
      <c r="EO215" s="146"/>
      <c r="EP215" s="146"/>
      <c r="EQ215" s="146"/>
      <c r="ER215" s="146"/>
      <c r="ES215" s="146"/>
      <c r="ET215" s="146"/>
      <c r="EU215" s="146"/>
      <c r="EV215" s="146"/>
      <c r="EW215" s="146"/>
      <c r="EX215" s="146"/>
      <c r="EY215" s="146"/>
      <c r="EZ215" s="146"/>
      <c r="FA215" s="146"/>
      <c r="FB215" s="146"/>
      <c r="FC215" s="146"/>
      <c r="FD215" s="146"/>
      <c r="FE215" s="146"/>
      <c r="FF215" s="146"/>
    </row>
    <row r="216" spans="97:162" ht="14.5" x14ac:dyDescent="0.35">
      <c r="CS216" s="146"/>
      <c r="CT216" s="146"/>
      <c r="CU216" s="146"/>
      <c r="CV216" s="146"/>
      <c r="CW216" s="146"/>
      <c r="CX216" s="146"/>
      <c r="CY216" s="146"/>
      <c r="CZ216" s="146"/>
      <c r="DA216" s="146"/>
      <c r="DB216" s="146"/>
      <c r="DC216" s="146"/>
      <c r="DD216" s="146"/>
      <c r="DE216" s="146"/>
      <c r="DF216" s="146"/>
      <c r="DG216" s="146"/>
      <c r="DH216" s="146"/>
      <c r="DI216" s="146"/>
      <c r="DJ216" s="146"/>
      <c r="DK216" s="146"/>
      <c r="DL216" s="146"/>
      <c r="DM216" s="146"/>
      <c r="DN216" s="146"/>
      <c r="DO216" s="146"/>
      <c r="DP216" s="146"/>
      <c r="DQ216" s="146"/>
      <c r="DR216" s="146"/>
      <c r="DS216" s="146"/>
      <c r="DT216" s="146"/>
      <c r="DU216" s="146"/>
      <c r="DV216" s="146"/>
      <c r="DW216" s="146"/>
      <c r="DX216" s="146"/>
      <c r="DY216" s="146"/>
      <c r="DZ216" s="146"/>
      <c r="EA216" s="146"/>
      <c r="EB216" s="146"/>
      <c r="EC216" s="146"/>
      <c r="ED216" s="146"/>
      <c r="EE216" s="146"/>
      <c r="EF216" s="146"/>
      <c r="EG216" s="146"/>
      <c r="EH216" s="146"/>
      <c r="EI216" s="146"/>
      <c r="EJ216" s="146"/>
      <c r="EK216" s="146"/>
      <c r="EL216" s="146"/>
      <c r="EM216" s="146"/>
      <c r="EN216" s="146"/>
      <c r="EO216" s="146"/>
      <c r="EP216" s="146"/>
      <c r="EQ216" s="146"/>
      <c r="ER216" s="146"/>
      <c r="ES216" s="146"/>
      <c r="ET216" s="146"/>
      <c r="EU216" s="146"/>
      <c r="EV216" s="146"/>
      <c r="EW216" s="146"/>
      <c r="EX216" s="146"/>
      <c r="EY216" s="146"/>
      <c r="EZ216" s="146"/>
      <c r="FA216" s="146"/>
      <c r="FB216" s="146"/>
      <c r="FC216" s="146"/>
      <c r="FD216" s="146"/>
      <c r="FE216" s="146"/>
      <c r="FF216" s="146"/>
    </row>
    <row r="217" spans="97:162" ht="14.5" x14ac:dyDescent="0.35">
      <c r="CS217" s="146"/>
      <c r="CT217" s="146"/>
      <c r="CU217" s="146"/>
      <c r="CV217" s="146"/>
      <c r="CW217" s="146"/>
      <c r="CX217" s="146"/>
      <c r="CY217" s="146"/>
      <c r="CZ217" s="146"/>
      <c r="DA217" s="146"/>
      <c r="DB217" s="146"/>
      <c r="DC217" s="146"/>
      <c r="DD217" s="146"/>
      <c r="DE217" s="146"/>
      <c r="DF217" s="146"/>
      <c r="DG217" s="146"/>
      <c r="DH217" s="146"/>
      <c r="DI217" s="146"/>
      <c r="DJ217" s="146"/>
      <c r="DK217" s="146"/>
      <c r="DL217" s="146"/>
      <c r="DM217" s="146"/>
      <c r="DN217" s="146"/>
      <c r="DO217" s="146"/>
      <c r="DP217" s="146"/>
      <c r="DQ217" s="146"/>
      <c r="DR217" s="146"/>
      <c r="DS217" s="146"/>
      <c r="DT217" s="146"/>
      <c r="DU217" s="146"/>
      <c r="DV217" s="146"/>
      <c r="DW217" s="146"/>
      <c r="DX217" s="146"/>
      <c r="DY217" s="146"/>
      <c r="DZ217" s="146"/>
      <c r="EA217" s="146"/>
      <c r="EB217" s="146"/>
      <c r="EC217" s="146"/>
      <c r="ED217" s="146"/>
      <c r="EE217" s="146"/>
      <c r="EF217" s="146"/>
      <c r="EG217" s="146"/>
      <c r="EH217" s="146"/>
      <c r="EI217" s="146"/>
      <c r="EJ217" s="146"/>
      <c r="EK217" s="146"/>
      <c r="EL217" s="146"/>
      <c r="EM217" s="146"/>
      <c r="EN217" s="146"/>
      <c r="EO217" s="146"/>
      <c r="EP217" s="146"/>
      <c r="EQ217" s="146"/>
      <c r="ER217" s="146"/>
      <c r="ES217" s="146"/>
      <c r="ET217" s="146"/>
      <c r="EU217" s="146"/>
      <c r="EV217" s="146"/>
      <c r="EW217" s="146"/>
      <c r="EX217" s="146"/>
      <c r="EY217" s="146"/>
      <c r="EZ217" s="146"/>
      <c r="FA217" s="146"/>
      <c r="FB217" s="146"/>
      <c r="FC217" s="146"/>
      <c r="FD217" s="146"/>
      <c r="FE217" s="146"/>
      <c r="FF217" s="146"/>
    </row>
    <row r="218" spans="97:162" ht="14.5" x14ac:dyDescent="0.35">
      <c r="CS218" s="146"/>
      <c r="CT218" s="146"/>
      <c r="CU218" s="146"/>
      <c r="CV218" s="146"/>
      <c r="CW218" s="146"/>
      <c r="CX218" s="146"/>
      <c r="CY218" s="146"/>
      <c r="CZ218" s="146"/>
      <c r="DA218" s="146"/>
      <c r="DB218" s="146"/>
      <c r="DC218" s="146"/>
      <c r="DD218" s="146"/>
      <c r="DE218" s="146"/>
      <c r="DF218" s="146"/>
      <c r="DG218" s="146"/>
      <c r="DH218" s="146"/>
      <c r="DI218" s="146"/>
      <c r="DJ218" s="146"/>
      <c r="DK218" s="146"/>
      <c r="DL218" s="146"/>
      <c r="DM218" s="146"/>
      <c r="DN218" s="146"/>
      <c r="DO218" s="146"/>
      <c r="DP218" s="146"/>
      <c r="DQ218" s="146"/>
      <c r="DR218" s="146"/>
      <c r="DS218" s="146"/>
      <c r="DT218" s="146"/>
      <c r="DU218" s="146"/>
      <c r="DV218" s="146"/>
      <c r="DW218" s="146"/>
      <c r="DX218" s="146"/>
      <c r="DY218" s="146"/>
      <c r="DZ218" s="146"/>
      <c r="EA218" s="146"/>
      <c r="EB218" s="146"/>
      <c r="EC218" s="146"/>
      <c r="ED218" s="146"/>
      <c r="EE218" s="146"/>
      <c r="EF218" s="146"/>
      <c r="EG218" s="146"/>
      <c r="EH218" s="146"/>
      <c r="EI218" s="146"/>
      <c r="EJ218" s="146"/>
      <c r="EK218" s="146"/>
      <c r="EL218" s="146"/>
      <c r="EM218" s="146"/>
      <c r="EN218" s="146"/>
      <c r="EO218" s="146"/>
      <c r="EP218" s="146"/>
      <c r="EQ218" s="146"/>
      <c r="ER218" s="146"/>
      <c r="ES218" s="146"/>
      <c r="ET218" s="146"/>
      <c r="EU218" s="146"/>
      <c r="EV218" s="146"/>
      <c r="EW218" s="146"/>
      <c r="EX218" s="146"/>
      <c r="EY218" s="146"/>
      <c r="EZ218" s="146"/>
      <c r="FA218" s="146"/>
      <c r="FB218" s="146"/>
      <c r="FC218" s="146"/>
      <c r="FD218" s="146"/>
      <c r="FE218" s="146"/>
      <c r="FF218" s="146"/>
    </row>
    <row r="219" spans="97:162" ht="14.5" x14ac:dyDescent="0.35">
      <c r="CS219" s="146"/>
      <c r="CT219" s="146"/>
      <c r="CU219" s="146"/>
      <c r="CV219" s="146"/>
      <c r="CW219" s="146"/>
      <c r="CX219" s="146"/>
      <c r="CY219" s="146"/>
      <c r="CZ219" s="146"/>
      <c r="DA219" s="146"/>
      <c r="DB219" s="146"/>
      <c r="DC219" s="146"/>
      <c r="DD219" s="146"/>
      <c r="DE219" s="146"/>
      <c r="DF219" s="146"/>
      <c r="DG219" s="146"/>
      <c r="DH219" s="146"/>
      <c r="DI219" s="146"/>
      <c r="DJ219" s="146"/>
      <c r="DK219" s="146"/>
      <c r="DL219" s="146"/>
      <c r="DM219" s="146"/>
      <c r="DN219" s="146"/>
      <c r="DO219" s="146"/>
      <c r="DP219" s="146"/>
      <c r="DQ219" s="146"/>
      <c r="DR219" s="146"/>
      <c r="DS219" s="146"/>
      <c r="DT219" s="146"/>
      <c r="DU219" s="146"/>
      <c r="DV219" s="146"/>
      <c r="DW219" s="146"/>
      <c r="DX219" s="146"/>
      <c r="DY219" s="146"/>
      <c r="DZ219" s="146"/>
      <c r="EA219" s="146"/>
      <c r="EB219" s="146"/>
      <c r="EC219" s="146"/>
      <c r="ED219" s="146"/>
      <c r="EE219" s="146"/>
      <c r="EF219" s="146"/>
      <c r="EG219" s="146"/>
      <c r="EH219" s="146"/>
      <c r="EI219" s="146"/>
      <c r="EJ219" s="146"/>
      <c r="EK219" s="146"/>
      <c r="EL219" s="146"/>
      <c r="EM219" s="146"/>
      <c r="EN219" s="146"/>
      <c r="EO219" s="146"/>
      <c r="EP219" s="146"/>
      <c r="EQ219" s="146"/>
      <c r="ER219" s="146"/>
      <c r="ES219" s="146"/>
      <c r="ET219" s="146"/>
      <c r="EU219" s="146"/>
      <c r="EV219" s="146"/>
      <c r="EW219" s="146"/>
      <c r="EX219" s="146"/>
      <c r="EY219" s="146"/>
      <c r="EZ219" s="146"/>
      <c r="FA219" s="146"/>
      <c r="FB219" s="146"/>
      <c r="FC219" s="146"/>
      <c r="FD219" s="146"/>
      <c r="FE219" s="146"/>
      <c r="FF219" s="146"/>
    </row>
    <row r="220" spans="97:162" ht="14.5" x14ac:dyDescent="0.35">
      <c r="CS220" s="146"/>
      <c r="CT220" s="146"/>
      <c r="CU220" s="146"/>
      <c r="CV220" s="146"/>
      <c r="CW220" s="146"/>
      <c r="CX220" s="146"/>
      <c r="CY220" s="146"/>
      <c r="CZ220" s="146"/>
      <c r="DA220" s="146"/>
      <c r="DB220" s="146"/>
      <c r="DC220" s="146"/>
      <c r="DD220" s="146"/>
      <c r="DE220" s="146"/>
      <c r="DF220" s="146"/>
      <c r="DG220" s="146"/>
      <c r="DH220" s="146"/>
      <c r="DI220" s="146"/>
      <c r="DJ220" s="146"/>
      <c r="DK220" s="146"/>
      <c r="DL220" s="146"/>
      <c r="DM220" s="146"/>
      <c r="DN220" s="146"/>
      <c r="DO220" s="146"/>
      <c r="DP220" s="146"/>
      <c r="DQ220" s="146"/>
      <c r="DR220" s="146"/>
      <c r="DS220" s="146"/>
      <c r="DT220" s="146"/>
      <c r="DU220" s="146"/>
      <c r="DV220" s="146"/>
      <c r="DW220" s="146"/>
      <c r="DX220" s="146"/>
      <c r="DY220" s="146"/>
      <c r="DZ220" s="146"/>
      <c r="EA220" s="146"/>
      <c r="EB220" s="146"/>
      <c r="EC220" s="146"/>
      <c r="ED220" s="146"/>
      <c r="EE220" s="146"/>
      <c r="EF220" s="146"/>
      <c r="EG220" s="146"/>
      <c r="EH220" s="146"/>
      <c r="EI220" s="146"/>
      <c r="EJ220" s="146"/>
      <c r="EK220" s="146"/>
      <c r="EL220" s="146"/>
      <c r="EM220" s="146"/>
      <c r="EN220" s="146"/>
      <c r="EO220" s="146"/>
      <c r="EP220" s="146"/>
      <c r="EQ220" s="146"/>
      <c r="ER220" s="146"/>
      <c r="ES220" s="146"/>
      <c r="ET220" s="146"/>
      <c r="EU220" s="146"/>
      <c r="EV220" s="146"/>
      <c r="EW220" s="146"/>
      <c r="EX220" s="146"/>
      <c r="EY220" s="146"/>
      <c r="EZ220" s="146"/>
      <c r="FA220" s="146"/>
      <c r="FB220" s="146"/>
      <c r="FC220" s="146"/>
      <c r="FD220" s="146"/>
      <c r="FE220" s="146"/>
      <c r="FF220" s="146"/>
    </row>
    <row r="221" spans="97:162" ht="14.5" x14ac:dyDescent="0.35">
      <c r="CS221" s="146"/>
      <c r="CT221" s="146"/>
      <c r="CU221" s="146"/>
      <c r="CV221" s="146"/>
      <c r="CW221" s="146"/>
      <c r="CX221" s="146"/>
      <c r="CY221" s="146"/>
      <c r="CZ221" s="146"/>
      <c r="DA221" s="146"/>
      <c r="DB221" s="146"/>
      <c r="DC221" s="146"/>
      <c r="DD221" s="146"/>
      <c r="DE221" s="146"/>
      <c r="DF221" s="146"/>
      <c r="DG221" s="146"/>
      <c r="DH221" s="146"/>
      <c r="DI221" s="146"/>
      <c r="DJ221" s="146"/>
      <c r="DK221" s="146"/>
      <c r="DL221" s="146"/>
      <c r="DM221" s="146"/>
      <c r="DN221" s="146"/>
      <c r="DO221" s="146"/>
      <c r="DP221" s="146"/>
      <c r="DQ221" s="146"/>
      <c r="DR221" s="146"/>
      <c r="DS221" s="146"/>
      <c r="DT221" s="146"/>
      <c r="DU221" s="146"/>
      <c r="DV221" s="146"/>
      <c r="DW221" s="146"/>
      <c r="DX221" s="146"/>
      <c r="DY221" s="146"/>
      <c r="DZ221" s="146"/>
      <c r="EA221" s="146"/>
      <c r="EB221" s="146"/>
      <c r="EC221" s="146"/>
      <c r="ED221" s="146"/>
      <c r="EE221" s="146"/>
      <c r="EF221" s="146"/>
      <c r="EG221" s="146"/>
      <c r="EH221" s="146"/>
      <c r="EI221" s="146"/>
      <c r="EJ221" s="146"/>
      <c r="EK221" s="146"/>
      <c r="EL221" s="146"/>
      <c r="EM221" s="146"/>
      <c r="EN221" s="146"/>
      <c r="EO221" s="146"/>
      <c r="EP221" s="146"/>
      <c r="EQ221" s="146"/>
      <c r="ER221" s="146"/>
      <c r="ES221" s="146"/>
      <c r="ET221" s="146"/>
      <c r="EU221" s="146"/>
      <c r="EV221" s="146"/>
      <c r="EW221" s="146"/>
      <c r="EX221" s="146"/>
      <c r="EY221" s="146"/>
      <c r="EZ221" s="146"/>
      <c r="FA221" s="146"/>
      <c r="FB221" s="146"/>
      <c r="FC221" s="146"/>
      <c r="FD221" s="146"/>
      <c r="FE221" s="146"/>
      <c r="FF221" s="146"/>
    </row>
    <row r="222" spans="97:162" ht="14.5" x14ac:dyDescent="0.35">
      <c r="CS222" s="146"/>
      <c r="CT222" s="146"/>
      <c r="CU222" s="146"/>
      <c r="CV222" s="146"/>
      <c r="CW222" s="146"/>
      <c r="CX222" s="146"/>
      <c r="CY222" s="146"/>
      <c r="CZ222" s="146"/>
      <c r="DA222" s="146"/>
      <c r="DB222" s="146"/>
      <c r="DC222" s="146"/>
      <c r="DD222" s="146"/>
      <c r="DE222" s="146"/>
      <c r="DF222" s="146"/>
      <c r="DG222" s="146"/>
      <c r="DH222" s="146"/>
      <c r="DI222" s="146"/>
      <c r="DJ222" s="146"/>
      <c r="DK222" s="146"/>
      <c r="DL222" s="146"/>
      <c r="DM222" s="146"/>
      <c r="DN222" s="146"/>
      <c r="DO222" s="146"/>
      <c r="DP222" s="146"/>
      <c r="DQ222" s="146"/>
      <c r="DR222" s="146"/>
      <c r="DS222" s="146"/>
      <c r="DT222" s="146"/>
      <c r="DU222" s="146"/>
      <c r="DV222" s="146"/>
      <c r="DW222" s="146"/>
      <c r="DX222" s="146"/>
      <c r="DY222" s="146"/>
      <c r="DZ222" s="146"/>
      <c r="EA222" s="146"/>
      <c r="EB222" s="146"/>
      <c r="EC222" s="146"/>
      <c r="ED222" s="146"/>
      <c r="EE222" s="146"/>
      <c r="EF222" s="146"/>
      <c r="EG222" s="146"/>
      <c r="EH222" s="146"/>
      <c r="EI222" s="146"/>
      <c r="EJ222" s="146"/>
      <c r="EK222" s="146"/>
      <c r="EL222" s="146"/>
      <c r="EM222" s="146"/>
      <c r="EN222" s="146"/>
      <c r="EO222" s="146"/>
      <c r="EP222" s="146"/>
      <c r="EQ222" s="146"/>
      <c r="ER222" s="146"/>
      <c r="ES222" s="146"/>
      <c r="ET222" s="146"/>
      <c r="EU222" s="146"/>
      <c r="EV222" s="146"/>
      <c r="EW222" s="146"/>
      <c r="EX222" s="146"/>
      <c r="EY222" s="146"/>
      <c r="EZ222" s="146"/>
      <c r="FA222" s="146"/>
      <c r="FB222" s="146"/>
      <c r="FC222" s="146"/>
      <c r="FD222" s="146"/>
      <c r="FE222" s="146"/>
      <c r="FF222" s="146"/>
    </row>
    <row r="223" spans="97:162" ht="14.5" x14ac:dyDescent="0.35">
      <c r="CS223" s="146"/>
      <c r="CT223" s="146"/>
      <c r="CU223" s="146"/>
      <c r="CV223" s="146"/>
      <c r="CW223" s="146"/>
      <c r="CX223" s="146"/>
      <c r="CY223" s="146"/>
      <c r="CZ223" s="146"/>
      <c r="DA223" s="146"/>
      <c r="DB223" s="146"/>
      <c r="DC223" s="146"/>
      <c r="DD223" s="146"/>
      <c r="DE223" s="146"/>
      <c r="DF223" s="146"/>
      <c r="DG223" s="146"/>
      <c r="DH223" s="146"/>
      <c r="DI223" s="146"/>
      <c r="DJ223" s="146"/>
      <c r="DK223" s="146"/>
      <c r="DL223" s="146"/>
      <c r="DM223" s="146"/>
      <c r="DN223" s="146"/>
      <c r="DO223" s="146"/>
      <c r="DP223" s="146"/>
      <c r="DQ223" s="146"/>
      <c r="DR223" s="146"/>
      <c r="DS223" s="146"/>
      <c r="DT223" s="146"/>
      <c r="DU223" s="146"/>
      <c r="DV223" s="146"/>
      <c r="DW223" s="146"/>
      <c r="DX223" s="146"/>
      <c r="DY223" s="146"/>
      <c r="DZ223" s="146"/>
      <c r="EA223" s="146"/>
      <c r="EB223" s="146"/>
      <c r="EC223" s="146"/>
      <c r="ED223" s="146"/>
      <c r="EE223" s="146"/>
      <c r="EF223" s="146"/>
      <c r="EG223" s="146"/>
      <c r="EH223" s="146"/>
      <c r="EI223" s="146"/>
      <c r="EJ223" s="146"/>
      <c r="EK223" s="146"/>
      <c r="EL223" s="146"/>
      <c r="EM223" s="146"/>
      <c r="EN223" s="146"/>
      <c r="EO223" s="146"/>
      <c r="EP223" s="146"/>
      <c r="EQ223" s="146"/>
      <c r="ER223" s="146"/>
      <c r="ES223" s="146"/>
      <c r="ET223" s="146"/>
      <c r="EU223" s="146"/>
      <c r="EV223" s="146"/>
      <c r="EW223" s="146"/>
      <c r="EX223" s="146"/>
      <c r="EY223" s="146"/>
      <c r="EZ223" s="146"/>
      <c r="FA223" s="146"/>
      <c r="FB223" s="146"/>
      <c r="FC223" s="146"/>
      <c r="FD223" s="146"/>
      <c r="FE223" s="146"/>
      <c r="FF223" s="146"/>
    </row>
    <row r="224" spans="97:162" ht="14.5" x14ac:dyDescent="0.35">
      <c r="CS224" s="146"/>
      <c r="CT224" s="146"/>
      <c r="CU224" s="146"/>
      <c r="CV224" s="146"/>
      <c r="CW224" s="146"/>
      <c r="CX224" s="146"/>
      <c r="CY224" s="146"/>
      <c r="CZ224" s="146"/>
      <c r="DA224" s="146"/>
      <c r="DB224" s="146"/>
      <c r="DC224" s="146"/>
      <c r="DD224" s="146"/>
      <c r="DE224" s="146"/>
      <c r="DF224" s="146"/>
      <c r="DG224" s="146"/>
      <c r="DH224" s="146"/>
      <c r="DI224" s="146"/>
      <c r="DJ224" s="146"/>
      <c r="DK224" s="146"/>
      <c r="DL224" s="146"/>
      <c r="DM224" s="146"/>
      <c r="DN224" s="146"/>
      <c r="DO224" s="146"/>
      <c r="DP224" s="146"/>
      <c r="DQ224" s="146"/>
      <c r="DR224" s="146"/>
      <c r="DS224" s="146"/>
      <c r="DT224" s="146"/>
      <c r="DU224" s="146"/>
      <c r="DV224" s="146"/>
      <c r="DW224" s="146"/>
      <c r="DX224" s="146"/>
      <c r="DY224" s="146"/>
      <c r="DZ224" s="146"/>
      <c r="EA224" s="146"/>
      <c r="EB224" s="146"/>
      <c r="EC224" s="146"/>
      <c r="ED224" s="146"/>
      <c r="EE224" s="146"/>
      <c r="EF224" s="146"/>
      <c r="EG224" s="146"/>
      <c r="EH224" s="146"/>
      <c r="EI224" s="146"/>
      <c r="EJ224" s="146"/>
      <c r="EK224" s="146"/>
      <c r="EL224" s="146"/>
      <c r="EM224" s="146"/>
      <c r="EN224" s="146"/>
      <c r="EO224" s="146"/>
      <c r="EP224" s="146"/>
      <c r="EQ224" s="146"/>
      <c r="ER224" s="146"/>
      <c r="ES224" s="146"/>
      <c r="ET224" s="146"/>
      <c r="EU224" s="146"/>
      <c r="EV224" s="146"/>
      <c r="EW224" s="146"/>
      <c r="EX224" s="146"/>
      <c r="EY224" s="146"/>
      <c r="EZ224" s="146"/>
      <c r="FA224" s="146"/>
      <c r="FB224" s="146"/>
      <c r="FC224" s="146"/>
      <c r="FD224" s="146"/>
      <c r="FE224" s="146"/>
      <c r="FF224" s="146"/>
    </row>
    <row r="225" spans="97:162" ht="14.5" x14ac:dyDescent="0.35">
      <c r="CS225" s="146"/>
      <c r="CT225" s="146"/>
      <c r="CU225" s="146"/>
      <c r="CV225" s="146"/>
      <c r="CW225" s="146"/>
      <c r="CX225" s="146"/>
      <c r="CY225" s="146"/>
      <c r="CZ225" s="146"/>
      <c r="DA225" s="146"/>
      <c r="DB225" s="146"/>
      <c r="DC225" s="146"/>
      <c r="DD225" s="146"/>
      <c r="DE225" s="146"/>
      <c r="DF225" s="146"/>
      <c r="DG225" s="146"/>
      <c r="DH225" s="146"/>
      <c r="DI225" s="146"/>
      <c r="DJ225" s="146"/>
      <c r="DK225" s="146"/>
      <c r="DL225" s="146"/>
      <c r="DM225" s="146"/>
      <c r="DN225" s="146"/>
      <c r="DO225" s="146"/>
      <c r="DP225" s="146"/>
      <c r="DQ225" s="146"/>
      <c r="DR225" s="146"/>
      <c r="DS225" s="146"/>
      <c r="DT225" s="146"/>
      <c r="DU225" s="146"/>
      <c r="DV225" s="146"/>
      <c r="DW225" s="146"/>
      <c r="DX225" s="146"/>
      <c r="DY225" s="146"/>
      <c r="DZ225" s="146"/>
      <c r="EA225" s="146"/>
      <c r="EB225" s="146"/>
      <c r="EC225" s="146"/>
      <c r="ED225" s="146"/>
      <c r="EE225" s="146"/>
      <c r="EF225" s="146"/>
      <c r="EG225" s="146"/>
      <c r="EH225" s="146"/>
      <c r="EI225" s="146"/>
      <c r="EJ225" s="146"/>
      <c r="EK225" s="146"/>
      <c r="EL225" s="146"/>
      <c r="EM225" s="146"/>
      <c r="EN225" s="146"/>
      <c r="EO225" s="146"/>
      <c r="EP225" s="146"/>
      <c r="EQ225" s="146"/>
      <c r="ER225" s="146"/>
      <c r="ES225" s="146"/>
      <c r="ET225" s="146"/>
      <c r="EU225" s="146"/>
      <c r="EV225" s="146"/>
      <c r="EW225" s="146"/>
      <c r="EX225" s="146"/>
      <c r="EY225" s="146"/>
      <c r="EZ225" s="146"/>
      <c r="FA225" s="146"/>
      <c r="FB225" s="146"/>
      <c r="FC225" s="146"/>
      <c r="FD225" s="146"/>
      <c r="FE225" s="146"/>
      <c r="FF225" s="146"/>
    </row>
    <row r="226" spans="97:162" ht="14.5" x14ac:dyDescent="0.35">
      <c r="CS226" s="146"/>
      <c r="CT226" s="146"/>
      <c r="CU226" s="146"/>
      <c r="CV226" s="146"/>
      <c r="CW226" s="146"/>
      <c r="CX226" s="146"/>
      <c r="CY226" s="146"/>
      <c r="CZ226" s="146"/>
      <c r="DA226" s="146"/>
      <c r="DB226" s="146"/>
      <c r="DC226" s="146"/>
      <c r="DD226" s="146"/>
      <c r="DE226" s="146"/>
      <c r="DF226" s="146"/>
      <c r="DG226" s="146"/>
      <c r="DH226" s="146"/>
      <c r="DI226" s="146"/>
      <c r="DJ226" s="146"/>
      <c r="DK226" s="146"/>
      <c r="DL226" s="146"/>
      <c r="DM226" s="146"/>
      <c r="DN226" s="146"/>
      <c r="DO226" s="146"/>
      <c r="DP226" s="146"/>
      <c r="DQ226" s="146"/>
      <c r="DR226" s="146"/>
      <c r="DS226" s="146"/>
      <c r="DT226" s="146"/>
      <c r="DU226" s="146"/>
      <c r="DV226" s="146"/>
      <c r="DW226" s="146"/>
      <c r="DX226" s="146"/>
      <c r="DY226" s="146"/>
      <c r="DZ226" s="146"/>
      <c r="EA226" s="146"/>
      <c r="EB226" s="146"/>
      <c r="EC226" s="146"/>
      <c r="ED226" s="146"/>
      <c r="EE226" s="146"/>
      <c r="EF226" s="146"/>
      <c r="EG226" s="146"/>
      <c r="EH226" s="146"/>
      <c r="EI226" s="146"/>
      <c r="EJ226" s="146"/>
      <c r="EK226" s="146"/>
      <c r="EL226" s="146"/>
      <c r="EM226" s="146"/>
      <c r="EN226" s="146"/>
      <c r="EO226" s="146"/>
      <c r="EP226" s="146"/>
      <c r="EQ226" s="146"/>
      <c r="ER226" s="146"/>
      <c r="ES226" s="146"/>
      <c r="ET226" s="146"/>
      <c r="EU226" s="146"/>
      <c r="EV226" s="146"/>
      <c r="EW226" s="146"/>
      <c r="EX226" s="146"/>
      <c r="EY226" s="146"/>
      <c r="EZ226" s="146"/>
      <c r="FA226" s="146"/>
      <c r="FB226" s="146"/>
      <c r="FC226" s="146"/>
      <c r="FD226" s="146"/>
      <c r="FE226" s="146"/>
      <c r="FF226" s="146"/>
    </row>
    <row r="227" spans="97:162" ht="14.5" x14ac:dyDescent="0.35">
      <c r="CS227" s="146"/>
      <c r="CT227" s="146"/>
      <c r="CU227" s="146"/>
      <c r="CV227" s="146"/>
      <c r="CW227" s="146"/>
      <c r="CX227" s="146"/>
      <c r="CY227" s="146"/>
      <c r="CZ227" s="146"/>
      <c r="DA227" s="146"/>
      <c r="DB227" s="146"/>
      <c r="DC227" s="146"/>
      <c r="DD227" s="146"/>
      <c r="DE227" s="146"/>
      <c r="DF227" s="146"/>
      <c r="DG227" s="146"/>
      <c r="DH227" s="146"/>
      <c r="DI227" s="146"/>
      <c r="DJ227" s="146"/>
      <c r="DK227" s="146"/>
      <c r="DL227" s="146"/>
      <c r="DM227" s="146"/>
      <c r="DN227" s="146"/>
      <c r="DO227" s="146"/>
      <c r="DP227" s="146"/>
      <c r="DQ227" s="146"/>
      <c r="DR227" s="146"/>
      <c r="DS227" s="146"/>
      <c r="DT227" s="146"/>
      <c r="DU227" s="146"/>
      <c r="DV227" s="146"/>
      <c r="DW227" s="146"/>
      <c r="DX227" s="146"/>
      <c r="DY227" s="146"/>
      <c r="DZ227" s="146"/>
      <c r="EA227" s="146"/>
      <c r="EB227" s="146"/>
      <c r="EC227" s="146"/>
      <c r="ED227" s="146"/>
      <c r="EE227" s="146"/>
      <c r="EF227" s="146"/>
      <c r="EG227" s="146"/>
      <c r="EH227" s="146"/>
      <c r="EI227" s="146"/>
      <c r="EJ227" s="146"/>
      <c r="EK227" s="146"/>
      <c r="EL227" s="146"/>
      <c r="EM227" s="146"/>
      <c r="EN227" s="146"/>
      <c r="EO227" s="146"/>
      <c r="EP227" s="146"/>
      <c r="EQ227" s="146"/>
      <c r="ER227" s="146"/>
      <c r="ES227" s="146"/>
      <c r="ET227" s="146"/>
      <c r="EU227" s="146"/>
      <c r="EV227" s="146"/>
      <c r="EW227" s="146"/>
      <c r="EX227" s="146"/>
      <c r="EY227" s="146"/>
      <c r="EZ227" s="146"/>
      <c r="FA227" s="146"/>
      <c r="FB227" s="146"/>
      <c r="FC227" s="146"/>
      <c r="FD227" s="146"/>
      <c r="FE227" s="146"/>
      <c r="FF227" s="146"/>
    </row>
    <row r="228" spans="97:162" ht="14.5" x14ac:dyDescent="0.35">
      <c r="CS228" s="146"/>
      <c r="CT228" s="146"/>
      <c r="CU228" s="146"/>
      <c r="CV228" s="146"/>
      <c r="CW228" s="146"/>
      <c r="CX228" s="146"/>
      <c r="CY228" s="146"/>
      <c r="CZ228" s="146"/>
      <c r="DA228" s="146"/>
      <c r="DB228" s="146"/>
      <c r="DC228" s="146"/>
      <c r="DD228" s="146"/>
      <c r="DE228" s="146"/>
      <c r="DF228" s="146"/>
      <c r="DG228" s="146"/>
      <c r="DH228" s="146"/>
      <c r="DI228" s="146"/>
      <c r="DJ228" s="146"/>
      <c r="DK228" s="146"/>
      <c r="DL228" s="146"/>
      <c r="DM228" s="146"/>
      <c r="DN228" s="146"/>
      <c r="DO228" s="146"/>
      <c r="DP228" s="146"/>
      <c r="DQ228" s="146"/>
      <c r="DR228" s="146"/>
      <c r="DS228" s="146"/>
      <c r="DT228" s="146"/>
      <c r="DU228" s="146"/>
      <c r="DV228" s="146"/>
      <c r="DW228" s="146"/>
      <c r="DX228" s="146"/>
      <c r="DY228" s="146"/>
      <c r="DZ228" s="146"/>
      <c r="EA228" s="146"/>
      <c r="EB228" s="146"/>
      <c r="EC228" s="146"/>
      <c r="ED228" s="146"/>
      <c r="EE228" s="146"/>
      <c r="EF228" s="146"/>
      <c r="EG228" s="146"/>
      <c r="EH228" s="146"/>
      <c r="EI228" s="146"/>
      <c r="EJ228" s="146"/>
      <c r="EK228" s="146"/>
      <c r="EL228" s="146"/>
      <c r="EM228" s="146"/>
      <c r="EN228" s="146"/>
      <c r="EO228" s="146"/>
      <c r="EP228" s="146"/>
      <c r="EQ228" s="146"/>
      <c r="ER228" s="146"/>
      <c r="ES228" s="146"/>
      <c r="ET228" s="146"/>
      <c r="EU228" s="146"/>
      <c r="EV228" s="146"/>
      <c r="EW228" s="146"/>
      <c r="EX228" s="146"/>
      <c r="EY228" s="146"/>
      <c r="EZ228" s="146"/>
      <c r="FA228" s="146"/>
      <c r="FB228" s="146"/>
      <c r="FC228" s="146"/>
      <c r="FD228" s="146"/>
      <c r="FE228" s="146"/>
      <c r="FF228" s="146"/>
    </row>
    <row r="229" spans="97:162" ht="14.5" x14ac:dyDescent="0.35">
      <c r="CS229" s="146"/>
      <c r="CT229" s="146"/>
      <c r="CU229" s="146"/>
      <c r="CV229" s="146"/>
      <c r="CW229" s="146"/>
      <c r="CX229" s="146"/>
      <c r="CY229" s="146"/>
      <c r="CZ229" s="146"/>
      <c r="DA229" s="146"/>
      <c r="DB229" s="146"/>
      <c r="DC229" s="146"/>
      <c r="DD229" s="146"/>
      <c r="DE229" s="146"/>
      <c r="DF229" s="146"/>
      <c r="DG229" s="146"/>
      <c r="DH229" s="146"/>
      <c r="DI229" s="146"/>
      <c r="DJ229" s="146"/>
      <c r="DK229" s="146"/>
      <c r="DL229" s="146"/>
      <c r="DM229" s="146"/>
      <c r="DN229" s="146"/>
      <c r="DO229" s="146"/>
      <c r="DP229" s="146"/>
      <c r="DQ229" s="146"/>
      <c r="DR229" s="146"/>
      <c r="DS229" s="146"/>
      <c r="DT229" s="146"/>
      <c r="DU229" s="146"/>
      <c r="DV229" s="146"/>
      <c r="DW229" s="146"/>
      <c r="DX229" s="146"/>
      <c r="DY229" s="146"/>
      <c r="DZ229" s="146"/>
      <c r="EA229" s="146"/>
      <c r="EB229" s="146"/>
      <c r="EC229" s="146"/>
      <c r="ED229" s="146"/>
      <c r="EE229" s="146"/>
      <c r="EF229" s="146"/>
      <c r="EG229" s="146"/>
      <c r="EH229" s="146"/>
      <c r="EI229" s="146"/>
      <c r="EJ229" s="146"/>
      <c r="EK229" s="146"/>
      <c r="EL229" s="146"/>
      <c r="EM229" s="146"/>
      <c r="EN229" s="146"/>
      <c r="EO229" s="146"/>
      <c r="EP229" s="146"/>
      <c r="EQ229" s="146"/>
      <c r="ER229" s="146"/>
      <c r="ES229" s="146"/>
      <c r="ET229" s="146"/>
      <c r="EU229" s="146"/>
      <c r="EV229" s="146"/>
      <c r="EW229" s="146"/>
      <c r="EX229" s="146"/>
      <c r="EY229" s="146"/>
      <c r="EZ229" s="146"/>
      <c r="FA229" s="146"/>
      <c r="FB229" s="146"/>
      <c r="FC229" s="146"/>
      <c r="FD229" s="146"/>
      <c r="FE229" s="146"/>
      <c r="FF229" s="146"/>
    </row>
    <row r="230" spans="97:162" ht="14.5" x14ac:dyDescent="0.35">
      <c r="CS230" s="146"/>
      <c r="CT230" s="146"/>
      <c r="CU230" s="146"/>
      <c r="CV230" s="146"/>
      <c r="CW230" s="146"/>
      <c r="CX230" s="146"/>
      <c r="CY230" s="146"/>
      <c r="CZ230" s="146"/>
      <c r="DA230" s="146"/>
      <c r="DB230" s="146"/>
      <c r="DC230" s="146"/>
      <c r="DD230" s="146"/>
      <c r="DE230" s="146"/>
      <c r="DF230" s="146"/>
      <c r="DG230" s="146"/>
      <c r="DH230" s="146"/>
      <c r="DI230" s="146"/>
      <c r="DJ230" s="146"/>
      <c r="DK230" s="146"/>
      <c r="DL230" s="146"/>
      <c r="DM230" s="146"/>
      <c r="DN230" s="146"/>
      <c r="DO230" s="146"/>
      <c r="DP230" s="146"/>
      <c r="DQ230" s="146"/>
      <c r="DR230" s="146"/>
      <c r="DS230" s="146"/>
      <c r="DT230" s="146"/>
      <c r="DU230" s="146"/>
      <c r="DV230" s="146"/>
      <c r="DW230" s="146"/>
      <c r="DX230" s="146"/>
      <c r="DY230" s="146"/>
      <c r="DZ230" s="146"/>
      <c r="EA230" s="146"/>
      <c r="EB230" s="146"/>
      <c r="EC230" s="146"/>
      <c r="ED230" s="146"/>
      <c r="EE230" s="146"/>
      <c r="EF230" s="146"/>
      <c r="EG230" s="146"/>
      <c r="EH230" s="146"/>
      <c r="EI230" s="146"/>
      <c r="EJ230" s="146"/>
      <c r="EK230" s="146"/>
      <c r="EL230" s="146"/>
      <c r="EM230" s="146"/>
      <c r="EN230" s="146"/>
      <c r="EO230" s="146"/>
      <c r="EP230" s="146"/>
      <c r="EQ230" s="146"/>
      <c r="ER230" s="146"/>
      <c r="ES230" s="146"/>
      <c r="ET230" s="146"/>
      <c r="EU230" s="146"/>
      <c r="EV230" s="146"/>
      <c r="EW230" s="146"/>
      <c r="EX230" s="146"/>
      <c r="EY230" s="146"/>
      <c r="EZ230" s="146"/>
      <c r="FA230" s="146"/>
      <c r="FB230" s="146"/>
      <c r="FC230" s="146"/>
      <c r="FD230" s="146"/>
      <c r="FE230" s="146"/>
      <c r="FF230" s="146"/>
    </row>
    <row r="231" spans="97:162" ht="14.5" x14ac:dyDescent="0.35">
      <c r="CS231" s="146"/>
      <c r="CT231" s="146"/>
      <c r="CU231" s="146"/>
      <c r="CV231" s="146"/>
      <c r="CW231" s="146"/>
      <c r="CX231" s="146"/>
      <c r="CY231" s="146"/>
      <c r="CZ231" s="146"/>
      <c r="DA231" s="146"/>
      <c r="DB231" s="146"/>
      <c r="DC231" s="146"/>
      <c r="DD231" s="146"/>
      <c r="DE231" s="146"/>
      <c r="DF231" s="146"/>
      <c r="DG231" s="146"/>
      <c r="DH231" s="146"/>
      <c r="DI231" s="146"/>
      <c r="DJ231" s="146"/>
      <c r="DK231" s="146"/>
      <c r="DL231" s="146"/>
      <c r="DM231" s="146"/>
      <c r="DN231" s="146"/>
      <c r="DO231" s="146"/>
      <c r="DP231" s="146"/>
      <c r="DQ231" s="146"/>
      <c r="DR231" s="146"/>
      <c r="DS231" s="146"/>
      <c r="DT231" s="146"/>
      <c r="DU231" s="146"/>
      <c r="DV231" s="146"/>
      <c r="DW231" s="146"/>
      <c r="DX231" s="146"/>
      <c r="DY231" s="146"/>
      <c r="DZ231" s="146"/>
      <c r="EA231" s="146"/>
      <c r="EB231" s="146"/>
      <c r="EC231" s="146"/>
      <c r="ED231" s="146"/>
      <c r="EE231" s="146"/>
      <c r="EF231" s="146"/>
      <c r="EG231" s="146"/>
      <c r="EH231" s="146"/>
      <c r="EI231" s="146"/>
      <c r="EJ231" s="146"/>
      <c r="EK231" s="146"/>
      <c r="EL231" s="146"/>
      <c r="EM231" s="146"/>
      <c r="EN231" s="146"/>
      <c r="EO231" s="146"/>
      <c r="EP231" s="146"/>
      <c r="EQ231" s="146"/>
      <c r="ER231" s="146"/>
      <c r="ES231" s="146"/>
      <c r="ET231" s="146"/>
      <c r="EU231" s="146"/>
      <c r="EV231" s="146"/>
      <c r="EW231" s="146"/>
      <c r="EX231" s="146"/>
      <c r="EY231" s="146"/>
      <c r="EZ231" s="146"/>
      <c r="FA231" s="146"/>
      <c r="FB231" s="146"/>
      <c r="FC231" s="146"/>
      <c r="FD231" s="146"/>
      <c r="FE231" s="146"/>
      <c r="FF231" s="146"/>
    </row>
    <row r="232" spans="97:162" ht="14.5" x14ac:dyDescent="0.35">
      <c r="CS232" s="146"/>
      <c r="CT232" s="146"/>
      <c r="CU232" s="146"/>
      <c r="CV232" s="146"/>
      <c r="CW232" s="146"/>
      <c r="CX232" s="146"/>
      <c r="CY232" s="146"/>
      <c r="CZ232" s="146"/>
      <c r="DA232" s="146"/>
      <c r="DB232" s="146"/>
      <c r="DC232" s="146"/>
      <c r="DD232" s="146"/>
      <c r="DE232" s="146"/>
      <c r="DF232" s="146"/>
      <c r="DG232" s="146"/>
      <c r="DH232" s="146"/>
      <c r="DI232" s="146"/>
      <c r="DJ232" s="146"/>
      <c r="DK232" s="146"/>
      <c r="DL232" s="146"/>
      <c r="DM232" s="146"/>
      <c r="DN232" s="146"/>
      <c r="DO232" s="146"/>
      <c r="DP232" s="146"/>
      <c r="DQ232" s="146"/>
      <c r="DR232" s="146"/>
      <c r="DS232" s="146"/>
      <c r="DT232" s="146"/>
      <c r="DU232" s="146"/>
      <c r="DV232" s="146"/>
      <c r="DW232" s="146"/>
      <c r="DX232" s="146"/>
      <c r="DY232" s="146"/>
      <c r="DZ232" s="146"/>
      <c r="EA232" s="146"/>
      <c r="EB232" s="146"/>
      <c r="EC232" s="146"/>
      <c r="ED232" s="146"/>
      <c r="EE232" s="146"/>
      <c r="EF232" s="146"/>
      <c r="EG232" s="146"/>
      <c r="EH232" s="146"/>
      <c r="EI232" s="146"/>
      <c r="EJ232" s="146"/>
      <c r="EK232" s="146"/>
      <c r="EL232" s="146"/>
      <c r="EM232" s="146"/>
      <c r="EN232" s="146"/>
      <c r="EO232" s="146"/>
      <c r="EP232" s="146"/>
      <c r="EQ232" s="146"/>
      <c r="ER232" s="146"/>
      <c r="ES232" s="146"/>
      <c r="ET232" s="146"/>
      <c r="EU232" s="146"/>
      <c r="EV232" s="146"/>
      <c r="EW232" s="146"/>
      <c r="EX232" s="146"/>
      <c r="EY232" s="146"/>
      <c r="EZ232" s="146"/>
      <c r="FA232" s="146"/>
      <c r="FB232" s="146"/>
      <c r="FC232" s="146"/>
      <c r="FD232" s="146"/>
      <c r="FE232" s="146"/>
      <c r="FF232" s="146"/>
    </row>
    <row r="233" spans="97:162" ht="14.5" x14ac:dyDescent="0.35">
      <c r="CS233" s="146"/>
      <c r="CT233" s="146"/>
      <c r="CU233" s="146"/>
      <c r="CV233" s="146"/>
      <c r="CW233" s="146"/>
      <c r="CX233" s="146"/>
      <c r="CY233" s="146"/>
      <c r="CZ233" s="146"/>
      <c r="DA233" s="146"/>
      <c r="DB233" s="146"/>
      <c r="DC233" s="146"/>
      <c r="DD233" s="146"/>
      <c r="DE233" s="146"/>
      <c r="DF233" s="146"/>
      <c r="DG233" s="146"/>
      <c r="DH233" s="146"/>
      <c r="DI233" s="146"/>
      <c r="DJ233" s="146"/>
      <c r="DK233" s="146"/>
      <c r="DL233" s="146"/>
      <c r="DM233" s="146"/>
      <c r="DN233" s="146"/>
      <c r="DO233" s="146"/>
      <c r="DP233" s="146"/>
      <c r="DQ233" s="146"/>
      <c r="DR233" s="146"/>
      <c r="DS233" s="146"/>
      <c r="DT233" s="146"/>
      <c r="DU233" s="146"/>
      <c r="DV233" s="146"/>
      <c r="DW233" s="146"/>
      <c r="DX233" s="146"/>
      <c r="DY233" s="146"/>
      <c r="DZ233" s="146"/>
      <c r="EA233" s="146"/>
      <c r="EB233" s="146"/>
      <c r="EC233" s="146"/>
      <c r="ED233" s="146"/>
      <c r="EE233" s="146"/>
      <c r="EF233" s="146"/>
      <c r="EG233" s="146"/>
      <c r="EH233" s="146"/>
      <c r="EI233" s="146"/>
      <c r="EJ233" s="146"/>
      <c r="EK233" s="146"/>
      <c r="EL233" s="146"/>
      <c r="EM233" s="146"/>
      <c r="EN233" s="146"/>
      <c r="EO233" s="146"/>
      <c r="EP233" s="146"/>
      <c r="EQ233" s="146"/>
      <c r="ER233" s="146"/>
      <c r="ES233" s="146"/>
      <c r="ET233" s="146"/>
      <c r="EU233" s="146"/>
      <c r="EV233" s="146"/>
      <c r="EW233" s="146"/>
      <c r="EX233" s="146"/>
      <c r="EY233" s="146"/>
      <c r="EZ233" s="146"/>
      <c r="FA233" s="146"/>
      <c r="FB233" s="146"/>
      <c r="FC233" s="146"/>
      <c r="FD233" s="146"/>
      <c r="FE233" s="146"/>
      <c r="FF233" s="146"/>
    </row>
  </sheetData>
  <mergeCells count="3">
    <mergeCell ref="L2:L6"/>
    <mergeCell ref="M2:O6"/>
    <mergeCell ref="BC7:BH7"/>
  </mergeCells>
  <phoneticPr fontId="24" type="noConversion"/>
  <conditionalFormatting sqref="A5">
    <cfRule type="cellIs" dxfId="3" priority="4" operator="equal">
      <formula>TRUE</formula>
    </cfRule>
  </conditionalFormatting>
  <conditionalFormatting sqref="B9:B113">
    <cfRule type="cellIs" dxfId="2" priority="1" operator="equal">
      <formula>TRUE</formula>
    </cfRule>
  </conditionalFormatting>
  <conditionalFormatting sqref="H2">
    <cfRule type="cellIs" dxfId="1" priority="3" operator="equal">
      <formula>TRUE</formula>
    </cfRule>
  </conditionalFormatting>
  <conditionalFormatting sqref="M2:N2">
    <cfRule type="duplicateValues" dxfId="0" priority="2"/>
  </conditionalFormatting>
  <dataValidations disablePrompts="1" count="1">
    <dataValidation type="list" allowBlank="1" showInputMessage="1" showErrorMessage="1" sqref="H3" xr:uid="{5EA4B389-588D-4ED8-A425-8DB957994FEA}">
      <formula1>_VP</formula1>
    </dataValidation>
  </dataValidations>
  <pageMargins left="0.511811024" right="0.511811024" top="0.78740157499999996" bottom="0.78740157499999996" header="0.31496062000000002" footer="0.31496062000000002"/>
  <headerFooter>
    <oddFooter>&amp;C_x000D_&amp;1#&amp;"Calibri"&amp;10&amp;K0000FF Classificação: Interna</oddFooter>
  </headerFooter>
  <legacyDrawing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0599C-2DBA-4AF6-8B1A-1AB4E8CF5321}">
  <dimension ref="B3:H355"/>
  <sheetViews>
    <sheetView topLeftCell="A25" workbookViewId="0">
      <selection activeCell="F33" sqref="F33"/>
    </sheetView>
  </sheetViews>
  <sheetFormatPr defaultRowHeight="13" x14ac:dyDescent="0.3"/>
  <cols>
    <col min="4" max="4" width="41.3984375" bestFit="1" customWidth="1"/>
    <col min="5" max="5" width="14.8984375" bestFit="1" customWidth="1"/>
    <col min="6" max="6" width="15.296875" bestFit="1" customWidth="1"/>
  </cols>
  <sheetData>
    <row r="3" spans="2:8" x14ac:dyDescent="0.3">
      <c r="B3" s="105" t="s">
        <v>12</v>
      </c>
      <c r="C3" s="105" t="s">
        <v>19</v>
      </c>
      <c r="D3" s="105" t="s">
        <v>455</v>
      </c>
      <c r="E3" s="105" t="s">
        <v>2693</v>
      </c>
      <c r="F3" s="105" t="s">
        <v>2694</v>
      </c>
      <c r="G3" s="105" t="s">
        <v>2695</v>
      </c>
      <c r="H3" s="105" t="s">
        <v>2292</v>
      </c>
    </row>
    <row r="4" spans="2:8" x14ac:dyDescent="0.3">
      <c r="B4" s="106" t="s">
        <v>508</v>
      </c>
      <c r="C4" s="106" t="s">
        <v>135</v>
      </c>
      <c r="D4" s="106" t="s">
        <v>2696</v>
      </c>
      <c r="E4" s="107">
        <v>45123</v>
      </c>
      <c r="F4" s="107">
        <v>46584</v>
      </c>
      <c r="G4" s="106" t="s">
        <v>2697</v>
      </c>
      <c r="H4" s="106" t="s">
        <v>1044</v>
      </c>
    </row>
    <row r="5" spans="2:8" x14ac:dyDescent="0.3">
      <c r="B5" s="106" t="s">
        <v>508</v>
      </c>
      <c r="C5" s="106" t="s">
        <v>135</v>
      </c>
      <c r="D5" s="106" t="s">
        <v>2698</v>
      </c>
      <c r="E5" s="107">
        <v>45370</v>
      </c>
      <c r="F5" s="107">
        <v>47561</v>
      </c>
      <c r="G5" s="106" t="s">
        <v>2697</v>
      </c>
      <c r="H5" s="106" t="s">
        <v>2699</v>
      </c>
    </row>
    <row r="6" spans="2:8" x14ac:dyDescent="0.3">
      <c r="B6" s="106" t="s">
        <v>508</v>
      </c>
      <c r="C6" s="106" t="s">
        <v>135</v>
      </c>
      <c r="D6" s="106" t="s">
        <v>2700</v>
      </c>
      <c r="E6" s="107">
        <v>42465</v>
      </c>
      <c r="F6" s="107">
        <v>46117</v>
      </c>
      <c r="G6" s="106" t="s">
        <v>2697</v>
      </c>
      <c r="H6" s="106" t="s">
        <v>2701</v>
      </c>
    </row>
    <row r="7" spans="2:8" x14ac:dyDescent="0.3">
      <c r="B7" s="106" t="s">
        <v>508</v>
      </c>
      <c r="C7" s="106" t="s">
        <v>135</v>
      </c>
      <c r="D7" s="106" t="s">
        <v>2702</v>
      </c>
      <c r="E7" s="107">
        <v>43809</v>
      </c>
      <c r="F7" s="107">
        <v>46731</v>
      </c>
      <c r="G7" s="106" t="s">
        <v>2697</v>
      </c>
      <c r="H7" s="106" t="s">
        <v>1034</v>
      </c>
    </row>
    <row r="8" spans="2:8" x14ac:dyDescent="0.3">
      <c r="B8" s="106" t="s">
        <v>508</v>
      </c>
      <c r="C8" s="106" t="s">
        <v>135</v>
      </c>
      <c r="D8" s="106" t="s">
        <v>2703</v>
      </c>
      <c r="E8" s="107">
        <v>45370</v>
      </c>
      <c r="F8" s="107">
        <v>49022</v>
      </c>
      <c r="G8" s="106" t="s">
        <v>2697</v>
      </c>
      <c r="H8" s="106" t="s">
        <v>2704</v>
      </c>
    </row>
    <row r="9" spans="2:8" x14ac:dyDescent="0.3">
      <c r="B9" s="106" t="s">
        <v>508</v>
      </c>
      <c r="C9" s="106" t="s">
        <v>135</v>
      </c>
      <c r="D9" s="106" t="s">
        <v>2705</v>
      </c>
      <c r="E9" s="107">
        <v>45030</v>
      </c>
      <c r="F9" s="107">
        <v>46491</v>
      </c>
      <c r="G9" s="106" t="s">
        <v>2697</v>
      </c>
      <c r="H9" s="106" t="s">
        <v>1054</v>
      </c>
    </row>
    <row r="10" spans="2:8" x14ac:dyDescent="0.3">
      <c r="B10" s="106" t="s">
        <v>508</v>
      </c>
      <c r="C10" s="106" t="s">
        <v>135</v>
      </c>
      <c r="D10" s="106" t="s">
        <v>2706</v>
      </c>
      <c r="E10" s="107">
        <v>45154</v>
      </c>
      <c r="F10" s="107">
        <v>46377</v>
      </c>
      <c r="G10" s="106" t="s">
        <v>2697</v>
      </c>
      <c r="H10" s="106" t="s">
        <v>1060</v>
      </c>
    </row>
    <row r="11" spans="2:8" x14ac:dyDescent="0.3">
      <c r="B11" s="106" t="s">
        <v>508</v>
      </c>
      <c r="C11" s="106" t="s">
        <v>135</v>
      </c>
      <c r="D11" s="106" t="s">
        <v>2707</v>
      </c>
      <c r="E11" s="107">
        <v>45135</v>
      </c>
      <c r="F11" s="107">
        <v>46964</v>
      </c>
      <c r="G11" s="106" t="s">
        <v>2697</v>
      </c>
      <c r="H11" s="106" t="s">
        <v>2708</v>
      </c>
    </row>
    <row r="12" spans="2:8" x14ac:dyDescent="0.3">
      <c r="B12" s="106" t="s">
        <v>508</v>
      </c>
      <c r="C12" s="106" t="s">
        <v>1015</v>
      </c>
      <c r="D12" s="106" t="s">
        <v>2709</v>
      </c>
      <c r="E12" s="107">
        <v>45728</v>
      </c>
      <c r="F12" s="107">
        <v>46093</v>
      </c>
      <c r="G12" s="106" t="s">
        <v>2697</v>
      </c>
      <c r="H12" s="106" t="s">
        <v>2710</v>
      </c>
    </row>
    <row r="13" spans="2:8" x14ac:dyDescent="0.3">
      <c r="B13" s="106" t="s">
        <v>508</v>
      </c>
      <c r="C13" s="106" t="s">
        <v>1015</v>
      </c>
      <c r="D13" s="106" t="s">
        <v>2711</v>
      </c>
      <c r="E13" s="107">
        <v>45715</v>
      </c>
      <c r="F13" s="107">
        <v>49367</v>
      </c>
      <c r="G13" s="106" t="s">
        <v>2697</v>
      </c>
      <c r="H13" s="106" t="s">
        <v>2712</v>
      </c>
    </row>
    <row r="14" spans="2:8" x14ac:dyDescent="0.3">
      <c r="B14" s="106" t="s">
        <v>508</v>
      </c>
      <c r="C14" s="106" t="s">
        <v>1015</v>
      </c>
      <c r="D14" s="106" t="s">
        <v>2713</v>
      </c>
      <c r="E14" s="107">
        <v>45145</v>
      </c>
      <c r="F14" s="107">
        <v>46970</v>
      </c>
      <c r="G14" s="106" t="s">
        <v>2697</v>
      </c>
      <c r="H14" s="106" t="s">
        <v>2714</v>
      </c>
    </row>
    <row r="15" spans="2:8" x14ac:dyDescent="0.3">
      <c r="B15" s="106" t="s">
        <v>508</v>
      </c>
      <c r="C15" s="106" t="s">
        <v>1015</v>
      </c>
      <c r="D15" s="106" t="s">
        <v>2715</v>
      </c>
      <c r="E15" s="107">
        <v>45667</v>
      </c>
      <c r="F15" s="107">
        <v>49319</v>
      </c>
      <c r="G15" s="106" t="s">
        <v>2697</v>
      </c>
      <c r="H15" s="106" t="s">
        <v>2716</v>
      </c>
    </row>
    <row r="16" spans="2:8" x14ac:dyDescent="0.3">
      <c r="B16" s="106" t="s">
        <v>508</v>
      </c>
      <c r="C16" s="106" t="s">
        <v>1015</v>
      </c>
      <c r="D16" s="106" t="s">
        <v>2717</v>
      </c>
      <c r="E16" s="107">
        <v>44189</v>
      </c>
      <c r="F16" s="107">
        <v>47841</v>
      </c>
      <c r="G16" s="106" t="s">
        <v>2697</v>
      </c>
      <c r="H16" s="106" t="s">
        <v>2718</v>
      </c>
    </row>
    <row r="17" spans="2:8" x14ac:dyDescent="0.3">
      <c r="B17" s="106" t="s">
        <v>508</v>
      </c>
      <c r="C17" s="106" t="s">
        <v>1015</v>
      </c>
      <c r="D17" s="106" t="s">
        <v>2719</v>
      </c>
      <c r="E17" s="107">
        <v>44884</v>
      </c>
      <c r="F17" s="107">
        <v>46345</v>
      </c>
      <c r="G17" s="106" t="s">
        <v>2697</v>
      </c>
      <c r="H17" s="106" t="s">
        <v>2720</v>
      </c>
    </row>
    <row r="18" spans="2:8" x14ac:dyDescent="0.3">
      <c r="B18" s="106" t="s">
        <v>508</v>
      </c>
      <c r="C18" s="106" t="s">
        <v>1015</v>
      </c>
      <c r="D18" s="106" t="s">
        <v>2721</v>
      </c>
      <c r="E18" s="107">
        <v>42502</v>
      </c>
      <c r="F18" s="107">
        <v>46154</v>
      </c>
      <c r="G18" s="106" t="s">
        <v>2697</v>
      </c>
      <c r="H18" s="106" t="s">
        <v>2722</v>
      </c>
    </row>
    <row r="19" spans="2:8" x14ac:dyDescent="0.3">
      <c r="B19" s="106" t="s">
        <v>508</v>
      </c>
      <c r="C19" s="106" t="s">
        <v>1015</v>
      </c>
      <c r="D19" s="106" t="s">
        <v>2723</v>
      </c>
      <c r="E19" s="107">
        <v>43686</v>
      </c>
      <c r="F19" s="107">
        <v>45513</v>
      </c>
      <c r="G19" s="106" t="s">
        <v>2724</v>
      </c>
      <c r="H19" s="106" t="s">
        <v>2725</v>
      </c>
    </row>
    <row r="20" spans="2:8" x14ac:dyDescent="0.3">
      <c r="B20" s="106" t="s">
        <v>508</v>
      </c>
      <c r="C20" s="106" t="s">
        <v>1015</v>
      </c>
      <c r="D20" s="106" t="s">
        <v>2726</v>
      </c>
      <c r="E20" s="107">
        <v>43551</v>
      </c>
      <c r="F20" s="107">
        <v>45378</v>
      </c>
      <c r="G20" s="106" t="s">
        <v>2724</v>
      </c>
      <c r="H20" s="106" t="s">
        <v>2727</v>
      </c>
    </row>
    <row r="21" spans="2:8" x14ac:dyDescent="0.3">
      <c r="B21" s="106" t="s">
        <v>508</v>
      </c>
      <c r="C21" s="106" t="s">
        <v>1015</v>
      </c>
      <c r="D21" s="106" t="s">
        <v>2728</v>
      </c>
      <c r="E21" s="107">
        <v>43063</v>
      </c>
      <c r="F21" s="107">
        <v>44889</v>
      </c>
      <c r="G21" s="106" t="s">
        <v>2724</v>
      </c>
      <c r="H21" s="106" t="s">
        <v>2729</v>
      </c>
    </row>
    <row r="22" spans="2:8" x14ac:dyDescent="0.3">
      <c r="B22" s="106" t="s">
        <v>508</v>
      </c>
      <c r="C22" s="106" t="s">
        <v>1015</v>
      </c>
      <c r="D22" s="106" t="s">
        <v>2730</v>
      </c>
      <c r="E22" s="107">
        <v>44147</v>
      </c>
      <c r="F22" s="107">
        <v>45973</v>
      </c>
      <c r="G22" s="106" t="s">
        <v>2724</v>
      </c>
      <c r="H22" s="106" t="s">
        <v>2731</v>
      </c>
    </row>
    <row r="23" spans="2:8" x14ac:dyDescent="0.3">
      <c r="B23" s="106" t="s">
        <v>508</v>
      </c>
      <c r="C23" s="106" t="s">
        <v>1015</v>
      </c>
      <c r="D23" s="106" t="s">
        <v>2732</v>
      </c>
      <c r="E23" s="107">
        <v>43495</v>
      </c>
      <c r="F23" s="107">
        <v>45321</v>
      </c>
      <c r="G23" s="106" t="s">
        <v>2724</v>
      </c>
      <c r="H23" s="106" t="s">
        <v>2733</v>
      </c>
    </row>
    <row r="24" spans="2:8" x14ac:dyDescent="0.3">
      <c r="B24" s="106" t="s">
        <v>508</v>
      </c>
      <c r="C24" s="106" t="s">
        <v>1015</v>
      </c>
      <c r="D24" s="106" t="s">
        <v>2734</v>
      </c>
      <c r="E24" s="107">
        <v>43635</v>
      </c>
      <c r="F24" s="107">
        <v>45462</v>
      </c>
      <c r="G24" s="106" t="s">
        <v>2724</v>
      </c>
      <c r="H24" s="106" t="s">
        <v>2735</v>
      </c>
    </row>
    <row r="25" spans="2:8" x14ac:dyDescent="0.3">
      <c r="B25" s="106" t="s">
        <v>508</v>
      </c>
      <c r="C25" s="106" t="s">
        <v>1015</v>
      </c>
      <c r="D25" s="106" t="s">
        <v>2736</v>
      </c>
      <c r="E25" s="107">
        <v>44051</v>
      </c>
      <c r="F25" s="107">
        <v>45878</v>
      </c>
      <c r="G25" s="106" t="s">
        <v>2724</v>
      </c>
      <c r="H25" s="106" t="s">
        <v>2737</v>
      </c>
    </row>
    <row r="26" spans="2:8" x14ac:dyDescent="0.3">
      <c r="B26" s="106" t="s">
        <v>508</v>
      </c>
      <c r="C26" s="106" t="s">
        <v>1015</v>
      </c>
      <c r="D26" s="106" t="s">
        <v>2738</v>
      </c>
      <c r="E26" s="107">
        <v>43783</v>
      </c>
      <c r="F26" s="107">
        <v>45611</v>
      </c>
      <c r="G26" s="106" t="s">
        <v>2724</v>
      </c>
      <c r="H26" s="106" t="s">
        <v>2739</v>
      </c>
    </row>
    <row r="27" spans="2:8" x14ac:dyDescent="0.3">
      <c r="B27" s="106" t="s">
        <v>508</v>
      </c>
      <c r="C27" s="106" t="s">
        <v>1015</v>
      </c>
      <c r="D27" s="106" t="s">
        <v>2740</v>
      </c>
      <c r="E27" s="107">
        <v>43783</v>
      </c>
      <c r="F27" s="107">
        <v>45611</v>
      </c>
      <c r="G27" s="106" t="s">
        <v>2724</v>
      </c>
      <c r="H27" s="106" t="s">
        <v>2741</v>
      </c>
    </row>
    <row r="28" spans="2:8" x14ac:dyDescent="0.3">
      <c r="B28" s="106" t="s">
        <v>508</v>
      </c>
      <c r="C28" s="106" t="s">
        <v>1015</v>
      </c>
      <c r="D28" s="106" t="s">
        <v>2742</v>
      </c>
      <c r="E28" s="107">
        <v>43839</v>
      </c>
      <c r="F28" s="107">
        <v>45667</v>
      </c>
      <c r="G28" s="106" t="s">
        <v>2724</v>
      </c>
      <c r="H28" s="106" t="s">
        <v>2743</v>
      </c>
    </row>
    <row r="29" spans="2:8" x14ac:dyDescent="0.3">
      <c r="B29" s="106" t="s">
        <v>508</v>
      </c>
      <c r="C29" s="106" t="s">
        <v>1015</v>
      </c>
      <c r="D29" s="106" t="s">
        <v>2744</v>
      </c>
      <c r="E29" s="107">
        <v>44665</v>
      </c>
      <c r="F29" s="107">
        <v>45973</v>
      </c>
      <c r="G29" s="106" t="s">
        <v>2724</v>
      </c>
      <c r="H29" s="106" t="s">
        <v>2745</v>
      </c>
    </row>
    <row r="30" spans="2:8" x14ac:dyDescent="0.3">
      <c r="B30" s="106" t="s">
        <v>508</v>
      </c>
      <c r="C30" s="106" t="s">
        <v>1015</v>
      </c>
      <c r="D30" s="106" t="s">
        <v>2746</v>
      </c>
      <c r="E30" s="107">
        <v>43063</v>
      </c>
      <c r="F30" s="107">
        <v>44889</v>
      </c>
      <c r="G30" s="106" t="s">
        <v>2724</v>
      </c>
      <c r="H30" s="106" t="s">
        <v>2747</v>
      </c>
    </row>
    <row r="31" spans="2:8" x14ac:dyDescent="0.3">
      <c r="B31" s="106" t="s">
        <v>508</v>
      </c>
      <c r="C31" s="106" t="s">
        <v>1015</v>
      </c>
      <c r="D31" s="106" t="s">
        <v>2748</v>
      </c>
      <c r="E31" s="107">
        <v>37259</v>
      </c>
      <c r="F31" s="107">
        <v>39081</v>
      </c>
      <c r="G31" s="106" t="s">
        <v>2724</v>
      </c>
      <c r="H31" s="106" t="s">
        <v>2749</v>
      </c>
    </row>
    <row r="32" spans="2:8" x14ac:dyDescent="0.3">
      <c r="B32" s="106" t="s">
        <v>508</v>
      </c>
      <c r="C32" s="106" t="s">
        <v>1015</v>
      </c>
      <c r="D32" s="106" t="s">
        <v>2750</v>
      </c>
      <c r="E32" s="107">
        <v>43868</v>
      </c>
      <c r="F32" s="107">
        <v>45696</v>
      </c>
      <c r="G32" s="106" t="s">
        <v>2724</v>
      </c>
      <c r="H32" s="106" t="s">
        <v>2751</v>
      </c>
    </row>
    <row r="33" spans="2:8" x14ac:dyDescent="0.3">
      <c r="B33" s="106" t="s">
        <v>508</v>
      </c>
      <c r="C33" s="106" t="s">
        <v>1015</v>
      </c>
      <c r="D33" s="106" t="s">
        <v>2752</v>
      </c>
      <c r="E33" s="107">
        <v>43872</v>
      </c>
      <c r="F33" s="107">
        <v>45700</v>
      </c>
      <c r="G33" s="106" t="s">
        <v>2724</v>
      </c>
      <c r="H33" s="106" t="s">
        <v>2753</v>
      </c>
    </row>
    <row r="34" spans="2:8" x14ac:dyDescent="0.3">
      <c r="B34" s="106" t="s">
        <v>508</v>
      </c>
      <c r="C34" s="106" t="s">
        <v>1015</v>
      </c>
      <c r="D34" s="106" t="s">
        <v>2754</v>
      </c>
      <c r="E34" s="107">
        <v>43843</v>
      </c>
      <c r="F34" s="107">
        <v>45671</v>
      </c>
      <c r="G34" s="106" t="s">
        <v>2724</v>
      </c>
      <c r="H34" s="106" t="s">
        <v>2755</v>
      </c>
    </row>
    <row r="35" spans="2:8" x14ac:dyDescent="0.3">
      <c r="B35" s="106" t="s">
        <v>508</v>
      </c>
      <c r="C35" s="106" t="s">
        <v>1015</v>
      </c>
      <c r="D35" s="106" t="s">
        <v>2756</v>
      </c>
      <c r="E35" s="107">
        <v>41459</v>
      </c>
      <c r="F35" s="107">
        <v>45111</v>
      </c>
      <c r="G35" s="106" t="s">
        <v>2724</v>
      </c>
      <c r="H35" s="106" t="s">
        <v>2757</v>
      </c>
    </row>
    <row r="36" spans="2:8" x14ac:dyDescent="0.3">
      <c r="B36" s="106" t="s">
        <v>508</v>
      </c>
      <c r="C36" s="106" t="s">
        <v>507</v>
      </c>
      <c r="D36" s="106" t="s">
        <v>2758</v>
      </c>
      <c r="E36" s="107">
        <v>45345</v>
      </c>
      <c r="F36" s="107">
        <v>46076</v>
      </c>
      <c r="G36" s="106" t="s">
        <v>2697</v>
      </c>
      <c r="H36" s="106" t="s">
        <v>2759</v>
      </c>
    </row>
    <row r="37" spans="2:8" x14ac:dyDescent="0.3">
      <c r="B37" s="106" t="s">
        <v>508</v>
      </c>
      <c r="C37" s="106" t="s">
        <v>507</v>
      </c>
      <c r="D37" s="106" t="s">
        <v>617</v>
      </c>
      <c r="E37" s="107">
        <v>44869</v>
      </c>
      <c r="F37" s="107">
        <v>46694</v>
      </c>
      <c r="G37" s="106" t="s">
        <v>2697</v>
      </c>
      <c r="H37" s="106" t="s">
        <v>2760</v>
      </c>
    </row>
    <row r="38" spans="2:8" x14ac:dyDescent="0.3">
      <c r="B38" s="106" t="s">
        <v>508</v>
      </c>
      <c r="C38" s="106" t="s">
        <v>507</v>
      </c>
      <c r="D38" s="106" t="s">
        <v>2761</v>
      </c>
      <c r="E38" s="107">
        <v>45502</v>
      </c>
      <c r="F38" s="107">
        <v>46232</v>
      </c>
      <c r="G38" s="106" t="s">
        <v>2697</v>
      </c>
      <c r="H38" s="106" t="s">
        <v>2762</v>
      </c>
    </row>
    <row r="39" spans="2:8" x14ac:dyDescent="0.3">
      <c r="B39" s="106" t="s">
        <v>508</v>
      </c>
      <c r="C39" s="106" t="s">
        <v>507</v>
      </c>
      <c r="D39" s="106" t="s">
        <v>2763</v>
      </c>
      <c r="E39" s="107">
        <v>45545</v>
      </c>
      <c r="F39" s="107">
        <v>46275</v>
      </c>
      <c r="G39" s="106" t="s">
        <v>2697</v>
      </c>
      <c r="H39" s="106" t="s">
        <v>2764</v>
      </c>
    </row>
    <row r="40" spans="2:8" x14ac:dyDescent="0.3">
      <c r="B40" s="106" t="s">
        <v>508</v>
      </c>
      <c r="C40" s="106" t="s">
        <v>507</v>
      </c>
      <c r="D40" s="106" t="s">
        <v>2765</v>
      </c>
      <c r="E40" s="107">
        <v>45722</v>
      </c>
      <c r="F40" s="107">
        <v>46452</v>
      </c>
      <c r="G40" s="106" t="s">
        <v>2697</v>
      </c>
      <c r="H40" s="106" t="s">
        <v>2766</v>
      </c>
    </row>
    <row r="41" spans="2:8" x14ac:dyDescent="0.3">
      <c r="B41" s="106" t="s">
        <v>508</v>
      </c>
      <c r="C41" s="106" t="s">
        <v>507</v>
      </c>
      <c r="D41" s="106">
        <v>157189</v>
      </c>
      <c r="E41" s="107">
        <v>45075</v>
      </c>
      <c r="F41" s="107">
        <v>46536</v>
      </c>
      <c r="G41" s="106" t="s">
        <v>2697</v>
      </c>
      <c r="H41" s="106" t="s">
        <v>2767</v>
      </c>
    </row>
    <row r="42" spans="2:8" x14ac:dyDescent="0.3">
      <c r="B42" s="106" t="s">
        <v>508</v>
      </c>
      <c r="C42" s="106" t="s">
        <v>507</v>
      </c>
      <c r="D42" s="106" t="s">
        <v>511</v>
      </c>
      <c r="E42" s="107">
        <v>44762</v>
      </c>
      <c r="F42" s="107">
        <v>46431</v>
      </c>
      <c r="G42" s="106" t="s">
        <v>2697</v>
      </c>
      <c r="H42" s="106" t="s">
        <v>344</v>
      </c>
    </row>
    <row r="43" spans="2:8" x14ac:dyDescent="0.3">
      <c r="B43" s="106" t="s">
        <v>508</v>
      </c>
      <c r="C43" s="106" t="s">
        <v>507</v>
      </c>
      <c r="D43" s="106" t="s">
        <v>2768</v>
      </c>
      <c r="E43" s="107">
        <v>45351</v>
      </c>
      <c r="F43" s="107">
        <v>46812</v>
      </c>
      <c r="G43" s="106" t="s">
        <v>2697</v>
      </c>
      <c r="H43" s="106" t="s">
        <v>2769</v>
      </c>
    </row>
    <row r="44" spans="2:8" x14ac:dyDescent="0.3">
      <c r="B44" s="106" t="s">
        <v>508</v>
      </c>
      <c r="C44" s="106" t="s">
        <v>507</v>
      </c>
      <c r="D44" s="106" t="s">
        <v>2770</v>
      </c>
      <c r="E44" s="107">
        <v>44959</v>
      </c>
      <c r="F44" s="107">
        <v>45690</v>
      </c>
      <c r="G44" s="106" t="s">
        <v>2724</v>
      </c>
      <c r="H44" s="106" t="s">
        <v>2771</v>
      </c>
    </row>
    <row r="45" spans="2:8" x14ac:dyDescent="0.3">
      <c r="B45" s="106" t="s">
        <v>508</v>
      </c>
      <c r="C45" s="106" t="s">
        <v>507</v>
      </c>
      <c r="D45" s="106" t="s">
        <v>2772</v>
      </c>
      <c r="E45" s="107">
        <v>45049</v>
      </c>
      <c r="F45" s="107">
        <v>45780</v>
      </c>
      <c r="G45" s="106" t="s">
        <v>2724</v>
      </c>
      <c r="H45" s="106" t="s">
        <v>2773</v>
      </c>
    </row>
    <row r="46" spans="2:8" x14ac:dyDescent="0.3">
      <c r="B46" s="106" t="s">
        <v>508</v>
      </c>
      <c r="C46" s="106" t="s">
        <v>507</v>
      </c>
      <c r="D46" s="106" t="s">
        <v>612</v>
      </c>
      <c r="E46" s="107">
        <v>42732</v>
      </c>
      <c r="F46" s="107">
        <v>44923</v>
      </c>
      <c r="G46" s="106" t="s">
        <v>2724</v>
      </c>
      <c r="H46" s="106" t="s">
        <v>2774</v>
      </c>
    </row>
    <row r="47" spans="2:8" x14ac:dyDescent="0.3">
      <c r="B47" s="106" t="s">
        <v>508</v>
      </c>
      <c r="C47" s="106" t="s">
        <v>507</v>
      </c>
      <c r="D47" s="106" t="s">
        <v>587</v>
      </c>
      <c r="E47" s="107">
        <v>45114</v>
      </c>
      <c r="F47" s="107">
        <v>45480</v>
      </c>
      <c r="G47" s="106" t="s">
        <v>2724</v>
      </c>
      <c r="H47" s="106" t="s">
        <v>154</v>
      </c>
    </row>
    <row r="48" spans="2:8" x14ac:dyDescent="0.3">
      <c r="B48" s="106" t="s">
        <v>508</v>
      </c>
      <c r="C48" s="106" t="s">
        <v>2775</v>
      </c>
      <c r="D48" s="106" t="s">
        <v>2776</v>
      </c>
      <c r="E48" s="107">
        <v>45821</v>
      </c>
      <c r="F48" s="107">
        <v>49473</v>
      </c>
      <c r="G48" s="106" t="s">
        <v>2697</v>
      </c>
      <c r="H48" s="106" t="s">
        <v>1025</v>
      </c>
    </row>
    <row r="49" spans="2:8" x14ac:dyDescent="0.3">
      <c r="B49" s="106" t="s">
        <v>508</v>
      </c>
      <c r="C49" s="106" t="s">
        <v>2775</v>
      </c>
      <c r="D49" s="106" t="s">
        <v>2777</v>
      </c>
      <c r="E49" s="107">
        <v>42905</v>
      </c>
      <c r="F49" s="107">
        <v>46557</v>
      </c>
      <c r="G49" s="106" t="s">
        <v>2697</v>
      </c>
      <c r="H49" s="106" t="s">
        <v>1921</v>
      </c>
    </row>
    <row r="50" spans="2:8" x14ac:dyDescent="0.3">
      <c r="B50" s="106" t="s">
        <v>508</v>
      </c>
      <c r="C50" s="106" t="s">
        <v>2775</v>
      </c>
      <c r="D50" s="106" t="s">
        <v>2778</v>
      </c>
      <c r="E50" s="107">
        <v>45124</v>
      </c>
      <c r="F50" s="107">
        <v>48777</v>
      </c>
      <c r="G50" s="106" t="s">
        <v>2697</v>
      </c>
      <c r="H50" s="106" t="s">
        <v>2779</v>
      </c>
    </row>
    <row r="51" spans="2:8" x14ac:dyDescent="0.3">
      <c r="B51" s="106" t="s">
        <v>508</v>
      </c>
      <c r="C51" s="106" t="s">
        <v>2775</v>
      </c>
      <c r="D51" s="106" t="s">
        <v>2780</v>
      </c>
      <c r="E51" s="107">
        <v>42797</v>
      </c>
      <c r="F51" s="107">
        <v>46449</v>
      </c>
      <c r="G51" s="106" t="s">
        <v>2697</v>
      </c>
      <c r="H51" s="106" t="s">
        <v>1861</v>
      </c>
    </row>
    <row r="52" spans="2:8" x14ac:dyDescent="0.3">
      <c r="B52" s="106" t="s">
        <v>508</v>
      </c>
      <c r="C52" s="106" t="s">
        <v>2775</v>
      </c>
      <c r="D52" s="106" t="s">
        <v>2781</v>
      </c>
      <c r="E52" s="107">
        <v>43223</v>
      </c>
      <c r="F52" s="107">
        <v>46876</v>
      </c>
      <c r="G52" s="106" t="s">
        <v>2697</v>
      </c>
      <c r="H52" s="106" t="s">
        <v>2054</v>
      </c>
    </row>
    <row r="53" spans="2:8" x14ac:dyDescent="0.3">
      <c r="B53" s="106" t="s">
        <v>508</v>
      </c>
      <c r="C53" s="106" t="s">
        <v>2775</v>
      </c>
      <c r="D53" s="106" t="s">
        <v>2782</v>
      </c>
      <c r="E53" s="107">
        <v>45105</v>
      </c>
      <c r="F53" s="107">
        <v>47297</v>
      </c>
      <c r="G53" s="106" t="s">
        <v>2697</v>
      </c>
      <c r="H53" s="106" t="s">
        <v>2783</v>
      </c>
    </row>
    <row r="54" spans="2:8" x14ac:dyDescent="0.3">
      <c r="B54" s="106" t="s">
        <v>508</v>
      </c>
      <c r="C54" s="106" t="s">
        <v>2775</v>
      </c>
      <c r="D54" s="106" t="s">
        <v>2784</v>
      </c>
      <c r="E54" s="107">
        <v>45383</v>
      </c>
      <c r="F54" s="107">
        <v>49035</v>
      </c>
      <c r="G54" s="106" t="s">
        <v>2697</v>
      </c>
      <c r="H54" s="106" t="s">
        <v>1958</v>
      </c>
    </row>
    <row r="55" spans="2:8" x14ac:dyDescent="0.3">
      <c r="B55" s="106" t="s">
        <v>508</v>
      </c>
      <c r="C55" s="106" t="s">
        <v>2775</v>
      </c>
      <c r="D55" s="106" t="s">
        <v>2785</v>
      </c>
      <c r="E55" s="107">
        <v>37610</v>
      </c>
      <c r="F55" s="107">
        <v>39436</v>
      </c>
      <c r="G55" s="106" t="s">
        <v>2724</v>
      </c>
      <c r="H55" s="106" t="s">
        <v>2786</v>
      </c>
    </row>
    <row r="56" spans="2:8" x14ac:dyDescent="0.3">
      <c r="B56" s="106" t="s">
        <v>508</v>
      </c>
      <c r="C56" s="106" t="s">
        <v>2775</v>
      </c>
      <c r="D56" s="106" t="s">
        <v>2787</v>
      </c>
      <c r="E56" s="107">
        <v>44138</v>
      </c>
      <c r="F56" s="107">
        <v>45599</v>
      </c>
      <c r="G56" s="106" t="s">
        <v>2724</v>
      </c>
      <c r="H56" s="106" t="s">
        <v>2040</v>
      </c>
    </row>
    <row r="57" spans="2:8" x14ac:dyDescent="0.3">
      <c r="B57" s="106" t="s">
        <v>508</v>
      </c>
      <c r="C57" s="106" t="s">
        <v>2775</v>
      </c>
      <c r="D57" s="106" t="s">
        <v>2788</v>
      </c>
      <c r="E57" s="107">
        <v>40711</v>
      </c>
      <c r="F57" s="107">
        <v>44364</v>
      </c>
      <c r="G57" s="106" t="s">
        <v>2724</v>
      </c>
      <c r="H57" s="106" t="s">
        <v>1840</v>
      </c>
    </row>
    <row r="58" spans="2:8" x14ac:dyDescent="0.3">
      <c r="B58" s="106" t="s">
        <v>508</v>
      </c>
      <c r="C58" s="106" t="s">
        <v>2775</v>
      </c>
      <c r="D58" s="106" t="s">
        <v>2789</v>
      </c>
      <c r="E58" s="107">
        <v>42536</v>
      </c>
      <c r="F58" s="107">
        <v>43772</v>
      </c>
      <c r="G58" s="106" t="s">
        <v>2724</v>
      </c>
      <c r="H58" s="106" t="s">
        <v>1870</v>
      </c>
    </row>
    <row r="59" spans="2:8" x14ac:dyDescent="0.3">
      <c r="B59" s="106" t="s">
        <v>508</v>
      </c>
      <c r="C59" s="106" t="s">
        <v>2775</v>
      </c>
      <c r="D59" s="106" t="s">
        <v>2790</v>
      </c>
      <c r="E59" s="107">
        <v>43489</v>
      </c>
      <c r="F59" s="107">
        <v>45314</v>
      </c>
      <c r="G59" s="106" t="s">
        <v>2724</v>
      </c>
      <c r="H59" s="106" t="s">
        <v>2791</v>
      </c>
    </row>
    <row r="60" spans="2:8" x14ac:dyDescent="0.3">
      <c r="B60" s="106" t="s">
        <v>508</v>
      </c>
      <c r="C60" s="106" t="s">
        <v>2792</v>
      </c>
      <c r="D60" s="106" t="s">
        <v>2793</v>
      </c>
      <c r="E60" s="107">
        <v>42507</v>
      </c>
      <c r="F60" s="107">
        <v>46159</v>
      </c>
      <c r="G60" s="106" t="s">
        <v>2697</v>
      </c>
      <c r="H60" s="106" t="s">
        <v>2794</v>
      </c>
    </row>
    <row r="61" spans="2:8" x14ac:dyDescent="0.3">
      <c r="B61" s="106" t="s">
        <v>508</v>
      </c>
      <c r="C61" s="106" t="s">
        <v>2792</v>
      </c>
      <c r="D61" s="106" t="s">
        <v>2795</v>
      </c>
      <c r="E61" s="107">
        <v>45772</v>
      </c>
      <c r="F61" s="107">
        <v>49424</v>
      </c>
      <c r="G61" s="106" t="s">
        <v>2697</v>
      </c>
      <c r="H61" s="106" t="s">
        <v>2796</v>
      </c>
    </row>
    <row r="62" spans="2:8" x14ac:dyDescent="0.3">
      <c r="B62" s="106" t="s">
        <v>508</v>
      </c>
      <c r="C62" s="106" t="s">
        <v>2792</v>
      </c>
      <c r="D62" s="106" t="s">
        <v>2797</v>
      </c>
      <c r="E62" s="107">
        <v>40231</v>
      </c>
      <c r="F62" s="107">
        <v>41692</v>
      </c>
      <c r="G62" s="106" t="s">
        <v>2724</v>
      </c>
      <c r="H62" s="106" t="s">
        <v>2798</v>
      </c>
    </row>
    <row r="63" spans="2:8" x14ac:dyDescent="0.3">
      <c r="B63" s="106" t="s">
        <v>1796</v>
      </c>
      <c r="C63" s="106" t="s">
        <v>1015</v>
      </c>
      <c r="D63" s="106" t="s">
        <v>2799</v>
      </c>
      <c r="E63" s="107">
        <v>43238</v>
      </c>
      <c r="F63" s="107">
        <v>45430</v>
      </c>
      <c r="G63" s="106" t="s">
        <v>2724</v>
      </c>
      <c r="H63" s="106"/>
    </row>
    <row r="64" spans="2:8" x14ac:dyDescent="0.3">
      <c r="B64" s="106" t="s">
        <v>1796</v>
      </c>
      <c r="C64" s="106" t="s">
        <v>135</v>
      </c>
      <c r="D64" s="106" t="s">
        <v>2800</v>
      </c>
      <c r="E64" s="107">
        <v>44998</v>
      </c>
      <c r="F64" s="107">
        <v>46825</v>
      </c>
      <c r="G64" s="106" t="s">
        <v>2697</v>
      </c>
      <c r="H64" s="106" t="s">
        <v>2801</v>
      </c>
    </row>
    <row r="65" spans="2:8" x14ac:dyDescent="0.3">
      <c r="B65" s="106" t="s">
        <v>1796</v>
      </c>
      <c r="C65" s="106" t="s">
        <v>135</v>
      </c>
      <c r="D65" s="106" t="s">
        <v>2802</v>
      </c>
      <c r="E65" s="107">
        <v>44901</v>
      </c>
      <c r="F65" s="107">
        <v>46362</v>
      </c>
      <c r="G65" s="106" t="s">
        <v>2697</v>
      </c>
      <c r="H65" s="106" t="s">
        <v>2803</v>
      </c>
    </row>
    <row r="66" spans="2:8" x14ac:dyDescent="0.3">
      <c r="B66" s="106" t="s">
        <v>1796</v>
      </c>
      <c r="C66" s="106" t="s">
        <v>135</v>
      </c>
      <c r="D66" s="106" t="s">
        <v>2804</v>
      </c>
      <c r="E66" s="107">
        <v>44873</v>
      </c>
      <c r="F66" s="107">
        <v>46334</v>
      </c>
      <c r="G66" s="106" t="s">
        <v>2697</v>
      </c>
      <c r="H66" s="106" t="s">
        <v>2805</v>
      </c>
    </row>
    <row r="67" spans="2:8" x14ac:dyDescent="0.3">
      <c r="B67" s="106" t="s">
        <v>1796</v>
      </c>
      <c r="C67" s="106" t="s">
        <v>135</v>
      </c>
      <c r="D67" s="106" t="s">
        <v>2806</v>
      </c>
      <c r="E67" s="107">
        <v>44571</v>
      </c>
      <c r="F67" s="107">
        <v>46032</v>
      </c>
      <c r="G67" s="106" t="s">
        <v>2697</v>
      </c>
      <c r="H67" s="106" t="s">
        <v>2807</v>
      </c>
    </row>
    <row r="68" spans="2:8" x14ac:dyDescent="0.3">
      <c r="B68" s="106" t="s">
        <v>1796</v>
      </c>
      <c r="C68" s="106" t="s">
        <v>135</v>
      </c>
      <c r="D68" s="106" t="s">
        <v>2808</v>
      </c>
      <c r="E68" s="107">
        <v>44749</v>
      </c>
      <c r="F68" s="107">
        <v>46941</v>
      </c>
      <c r="G68" s="106" t="s">
        <v>2697</v>
      </c>
      <c r="H68" s="106" t="s">
        <v>2809</v>
      </c>
    </row>
    <row r="69" spans="2:8" x14ac:dyDescent="0.3">
      <c r="B69" s="106" t="s">
        <v>1796</v>
      </c>
      <c r="C69" s="106" t="s">
        <v>135</v>
      </c>
      <c r="D69" s="106" t="s">
        <v>2810</v>
      </c>
      <c r="E69" s="107">
        <v>45392</v>
      </c>
      <c r="F69" s="107">
        <v>46852</v>
      </c>
      <c r="G69" s="106" t="s">
        <v>2697</v>
      </c>
      <c r="H69" s="106" t="s">
        <v>2811</v>
      </c>
    </row>
    <row r="70" spans="2:8" x14ac:dyDescent="0.3">
      <c r="B70" s="106" t="s">
        <v>1796</v>
      </c>
      <c r="C70" s="106" t="s">
        <v>135</v>
      </c>
      <c r="D70" s="106" t="s">
        <v>2812</v>
      </c>
      <c r="E70" s="107">
        <v>43525</v>
      </c>
      <c r="F70" s="107">
        <v>47178</v>
      </c>
      <c r="G70" s="106" t="s">
        <v>2697</v>
      </c>
      <c r="H70" s="106" t="s">
        <v>2813</v>
      </c>
    </row>
    <row r="71" spans="2:8" x14ac:dyDescent="0.3">
      <c r="B71" s="106" t="s">
        <v>1796</v>
      </c>
      <c r="C71" s="106" t="s">
        <v>135</v>
      </c>
      <c r="D71" s="106" t="s">
        <v>2814</v>
      </c>
      <c r="E71" s="107">
        <v>44005</v>
      </c>
      <c r="F71" s="107">
        <v>47657</v>
      </c>
      <c r="G71" s="106" t="s">
        <v>2697</v>
      </c>
      <c r="H71" s="106" t="s">
        <v>2815</v>
      </c>
    </row>
    <row r="72" spans="2:8" x14ac:dyDescent="0.3">
      <c r="B72" s="106" t="s">
        <v>1796</v>
      </c>
      <c r="C72" s="106" t="s">
        <v>135</v>
      </c>
      <c r="D72" s="106" t="s">
        <v>2816</v>
      </c>
      <c r="E72" s="107">
        <v>44078</v>
      </c>
      <c r="F72" s="107">
        <v>47730</v>
      </c>
      <c r="G72" s="106" t="s">
        <v>2697</v>
      </c>
      <c r="H72" s="106" t="s">
        <v>2817</v>
      </c>
    </row>
    <row r="73" spans="2:8" x14ac:dyDescent="0.3">
      <c r="B73" s="106" t="s">
        <v>1796</v>
      </c>
      <c r="C73" s="106" t="s">
        <v>135</v>
      </c>
      <c r="D73" s="106" t="s">
        <v>2818</v>
      </c>
      <c r="E73" s="107">
        <v>45537</v>
      </c>
      <c r="F73" s="107">
        <v>49189</v>
      </c>
      <c r="G73" s="106" t="s">
        <v>2697</v>
      </c>
      <c r="H73" s="106" t="s">
        <v>2819</v>
      </c>
    </row>
    <row r="74" spans="2:8" x14ac:dyDescent="0.3">
      <c r="B74" s="106" t="s">
        <v>1796</v>
      </c>
      <c r="C74" s="106" t="s">
        <v>135</v>
      </c>
      <c r="D74" s="106" t="s">
        <v>2820</v>
      </c>
      <c r="E74" s="107">
        <v>44922</v>
      </c>
      <c r="F74" s="107">
        <v>48575</v>
      </c>
      <c r="G74" s="106" t="s">
        <v>2697</v>
      </c>
      <c r="H74" s="106" t="s">
        <v>2821</v>
      </c>
    </row>
    <row r="75" spans="2:8" x14ac:dyDescent="0.3">
      <c r="B75" s="106" t="s">
        <v>1796</v>
      </c>
      <c r="C75" s="106" t="s">
        <v>135</v>
      </c>
      <c r="D75" s="106" t="s">
        <v>2822</v>
      </c>
      <c r="E75" s="107">
        <v>44929</v>
      </c>
      <c r="F75" s="107">
        <v>48582</v>
      </c>
      <c r="G75" s="106" t="s">
        <v>2697</v>
      </c>
      <c r="H75" s="106" t="s">
        <v>2823</v>
      </c>
    </row>
    <row r="76" spans="2:8" x14ac:dyDescent="0.3">
      <c r="B76" s="106" t="s">
        <v>1796</v>
      </c>
      <c r="C76" s="106" t="s">
        <v>135</v>
      </c>
      <c r="D76" s="106" t="s">
        <v>2824</v>
      </c>
      <c r="E76" s="107">
        <v>45097</v>
      </c>
      <c r="F76" s="107">
        <v>46193</v>
      </c>
      <c r="G76" s="106" t="s">
        <v>2697</v>
      </c>
      <c r="H76" s="106" t="s">
        <v>2825</v>
      </c>
    </row>
    <row r="77" spans="2:8" x14ac:dyDescent="0.3">
      <c r="B77" s="106" t="s">
        <v>1796</v>
      </c>
      <c r="C77" s="106" t="s">
        <v>135</v>
      </c>
      <c r="D77" s="106" t="s">
        <v>2826</v>
      </c>
      <c r="E77" s="107">
        <v>43294</v>
      </c>
      <c r="F77" s="107">
        <v>46947</v>
      </c>
      <c r="G77" s="106" t="s">
        <v>2697</v>
      </c>
      <c r="H77" s="106" t="s">
        <v>2827</v>
      </c>
    </row>
    <row r="78" spans="2:8" x14ac:dyDescent="0.3">
      <c r="B78" s="106" t="s">
        <v>1796</v>
      </c>
      <c r="C78" s="106" t="s">
        <v>135</v>
      </c>
      <c r="D78" s="106" t="s">
        <v>2828</v>
      </c>
      <c r="E78" s="107">
        <v>45363</v>
      </c>
      <c r="F78" s="107">
        <v>49015</v>
      </c>
      <c r="G78" s="106" t="s">
        <v>2697</v>
      </c>
      <c r="H78" s="106" t="s">
        <v>2829</v>
      </c>
    </row>
    <row r="79" spans="2:8" x14ac:dyDescent="0.3">
      <c r="B79" s="106" t="s">
        <v>1796</v>
      </c>
      <c r="C79" s="106" t="s">
        <v>135</v>
      </c>
      <c r="D79" s="106" t="s">
        <v>2830</v>
      </c>
      <c r="E79" s="107">
        <v>45551</v>
      </c>
      <c r="F79" s="107">
        <v>48473</v>
      </c>
      <c r="G79" s="106" t="s">
        <v>2697</v>
      </c>
      <c r="H79" s="106" t="s">
        <v>2831</v>
      </c>
    </row>
    <row r="80" spans="2:8" x14ac:dyDescent="0.3">
      <c r="B80" s="106" t="s">
        <v>1796</v>
      </c>
      <c r="C80" s="106" t="s">
        <v>135</v>
      </c>
      <c r="D80" s="106" t="s">
        <v>2832</v>
      </c>
      <c r="E80" s="107">
        <v>45159</v>
      </c>
      <c r="F80" s="107">
        <v>46986</v>
      </c>
      <c r="G80" s="106" t="s">
        <v>2697</v>
      </c>
      <c r="H80" s="106" t="s">
        <v>2833</v>
      </c>
    </row>
    <row r="81" spans="2:8" x14ac:dyDescent="0.3">
      <c r="B81" s="106" t="s">
        <v>1796</v>
      </c>
      <c r="C81" s="106" t="s">
        <v>135</v>
      </c>
      <c r="D81" s="106" t="s">
        <v>2834</v>
      </c>
      <c r="E81" s="107">
        <v>45287</v>
      </c>
      <c r="F81" s="107">
        <v>48940</v>
      </c>
      <c r="G81" s="106" t="s">
        <v>2697</v>
      </c>
      <c r="H81" s="106" t="s">
        <v>2835</v>
      </c>
    </row>
    <row r="82" spans="2:8" x14ac:dyDescent="0.3">
      <c r="B82" s="106" t="s">
        <v>1796</v>
      </c>
      <c r="C82" s="106" t="s">
        <v>135</v>
      </c>
      <c r="D82" s="106" t="s">
        <v>2836</v>
      </c>
      <c r="E82" s="107">
        <v>45365</v>
      </c>
      <c r="F82" s="107">
        <v>47192</v>
      </c>
      <c r="G82" s="106" t="s">
        <v>2697</v>
      </c>
      <c r="H82" s="106" t="s">
        <v>2837</v>
      </c>
    </row>
    <row r="83" spans="2:8" x14ac:dyDescent="0.3">
      <c r="B83" s="106" t="s">
        <v>1796</v>
      </c>
      <c r="C83" s="106" t="s">
        <v>135</v>
      </c>
      <c r="D83" s="106" t="s">
        <v>2838</v>
      </c>
      <c r="E83" s="107">
        <v>44377</v>
      </c>
      <c r="F83" s="107">
        <v>47817</v>
      </c>
      <c r="G83" s="106" t="s">
        <v>2697</v>
      </c>
      <c r="H83" s="106" t="s">
        <v>2839</v>
      </c>
    </row>
    <row r="84" spans="2:8" x14ac:dyDescent="0.3">
      <c r="B84" s="106" t="s">
        <v>1796</v>
      </c>
      <c r="C84" s="106" t="s">
        <v>135</v>
      </c>
      <c r="D84" s="106" t="s">
        <v>2840</v>
      </c>
      <c r="E84" s="107">
        <v>45523</v>
      </c>
      <c r="F84" s="107">
        <v>47349</v>
      </c>
      <c r="G84" s="106" t="s">
        <v>2697</v>
      </c>
      <c r="H84" s="106" t="s">
        <v>2841</v>
      </c>
    </row>
    <row r="85" spans="2:8" x14ac:dyDescent="0.3">
      <c r="B85" s="106" t="s">
        <v>1796</v>
      </c>
      <c r="C85" s="106" t="s">
        <v>135</v>
      </c>
      <c r="D85" s="106" t="s">
        <v>2842</v>
      </c>
      <c r="E85" s="107">
        <v>44858</v>
      </c>
      <c r="F85" s="107">
        <v>48511</v>
      </c>
      <c r="G85" s="106" t="s">
        <v>2697</v>
      </c>
      <c r="H85" s="106" t="s">
        <v>2843</v>
      </c>
    </row>
    <row r="86" spans="2:8" x14ac:dyDescent="0.3">
      <c r="B86" s="106" t="s">
        <v>1796</v>
      </c>
      <c r="C86" s="106" t="s">
        <v>135</v>
      </c>
      <c r="D86" s="106" t="s">
        <v>2844</v>
      </c>
      <c r="E86" s="107">
        <v>44475</v>
      </c>
      <c r="F86" s="107">
        <v>48127</v>
      </c>
      <c r="G86" s="106" t="s">
        <v>2697</v>
      </c>
      <c r="H86" s="106" t="s">
        <v>2845</v>
      </c>
    </row>
    <row r="87" spans="2:8" x14ac:dyDescent="0.3">
      <c r="B87" s="106" t="s">
        <v>1796</v>
      </c>
      <c r="C87" s="106" t="s">
        <v>135</v>
      </c>
      <c r="D87" s="106" t="s">
        <v>2846</v>
      </c>
      <c r="E87" s="107">
        <v>43530</v>
      </c>
      <c r="F87" s="107">
        <v>46811</v>
      </c>
      <c r="G87" s="106" t="s">
        <v>2697</v>
      </c>
      <c r="H87" s="106" t="s">
        <v>2847</v>
      </c>
    </row>
    <row r="88" spans="2:8" x14ac:dyDescent="0.3">
      <c r="B88" s="106" t="s">
        <v>1796</v>
      </c>
      <c r="C88" s="106" t="s">
        <v>135</v>
      </c>
      <c r="D88" s="106" t="s">
        <v>2848</v>
      </c>
      <c r="E88" s="107">
        <v>42632</v>
      </c>
      <c r="F88" s="107">
        <v>46284</v>
      </c>
      <c r="G88" s="106" t="s">
        <v>2697</v>
      </c>
      <c r="H88" s="106" t="s">
        <v>2849</v>
      </c>
    </row>
    <row r="89" spans="2:8" x14ac:dyDescent="0.3">
      <c r="B89" s="106" t="s">
        <v>1796</v>
      </c>
      <c r="C89" s="106" t="s">
        <v>135</v>
      </c>
      <c r="D89" s="106" t="s">
        <v>2850</v>
      </c>
      <c r="E89" s="107">
        <v>44327</v>
      </c>
      <c r="F89" s="107">
        <v>47980</v>
      </c>
      <c r="G89" s="106" t="s">
        <v>2697</v>
      </c>
      <c r="H89" s="106" t="s">
        <v>2851</v>
      </c>
    </row>
    <row r="90" spans="2:8" x14ac:dyDescent="0.3">
      <c r="B90" s="106" t="s">
        <v>1796</v>
      </c>
      <c r="C90" s="106" t="s">
        <v>135</v>
      </c>
      <c r="D90" s="106" t="s">
        <v>2852</v>
      </c>
      <c r="E90" s="107">
        <v>45350</v>
      </c>
      <c r="F90" s="107">
        <v>47177</v>
      </c>
      <c r="G90" s="106" t="s">
        <v>2697</v>
      </c>
      <c r="H90" s="106" t="s">
        <v>2853</v>
      </c>
    </row>
    <row r="91" spans="2:8" x14ac:dyDescent="0.3">
      <c r="B91" s="106" t="s">
        <v>1796</v>
      </c>
      <c r="C91" s="106" t="s">
        <v>135</v>
      </c>
      <c r="D91" s="106" t="s">
        <v>2854</v>
      </c>
      <c r="E91" s="107">
        <v>45092</v>
      </c>
      <c r="F91" s="107">
        <v>46553</v>
      </c>
      <c r="G91" s="106" t="s">
        <v>2697</v>
      </c>
      <c r="H91" s="106" t="s">
        <v>2855</v>
      </c>
    </row>
    <row r="92" spans="2:8" x14ac:dyDescent="0.3">
      <c r="B92" s="106" t="s">
        <v>1796</v>
      </c>
      <c r="C92" s="106" t="s">
        <v>135</v>
      </c>
      <c r="D92" s="106" t="s">
        <v>2856</v>
      </c>
      <c r="E92" s="107">
        <v>44998</v>
      </c>
      <c r="F92" s="107">
        <v>48651</v>
      </c>
      <c r="G92" s="106" t="s">
        <v>2697</v>
      </c>
      <c r="H92" s="106" t="s">
        <v>2857</v>
      </c>
    </row>
    <row r="93" spans="2:8" x14ac:dyDescent="0.3">
      <c r="B93" s="106" t="s">
        <v>1796</v>
      </c>
      <c r="C93" s="106" t="s">
        <v>135</v>
      </c>
      <c r="D93" s="106" t="s">
        <v>2858</v>
      </c>
      <c r="E93" s="107">
        <v>45470</v>
      </c>
      <c r="F93" s="107">
        <v>47297</v>
      </c>
      <c r="G93" s="106" t="s">
        <v>2697</v>
      </c>
      <c r="H93" s="106" t="s">
        <v>2859</v>
      </c>
    </row>
    <row r="94" spans="2:8" x14ac:dyDescent="0.3">
      <c r="B94" s="106" t="s">
        <v>1796</v>
      </c>
      <c r="C94" s="106" t="s">
        <v>135</v>
      </c>
      <c r="D94" s="106" t="s">
        <v>2860</v>
      </c>
      <c r="E94" s="107">
        <v>44337</v>
      </c>
      <c r="F94" s="107">
        <v>47989</v>
      </c>
      <c r="G94" s="106" t="s">
        <v>2697</v>
      </c>
      <c r="H94" s="106" t="s">
        <v>2861</v>
      </c>
    </row>
    <row r="95" spans="2:8" x14ac:dyDescent="0.3">
      <c r="B95" s="106" t="s">
        <v>1796</v>
      </c>
      <c r="C95" s="106" t="s">
        <v>135</v>
      </c>
      <c r="D95" s="106" t="s">
        <v>2862</v>
      </c>
      <c r="E95" s="107">
        <v>42632</v>
      </c>
      <c r="F95" s="107">
        <v>46283</v>
      </c>
      <c r="G95" s="106" t="s">
        <v>2697</v>
      </c>
      <c r="H95" s="106" t="s">
        <v>2863</v>
      </c>
    </row>
    <row r="96" spans="2:8" x14ac:dyDescent="0.3">
      <c r="B96" s="106" t="s">
        <v>1796</v>
      </c>
      <c r="C96" s="106" t="s">
        <v>135</v>
      </c>
      <c r="D96" s="106" t="s">
        <v>2864</v>
      </c>
      <c r="E96" s="107">
        <v>42577</v>
      </c>
      <c r="F96" s="107">
        <v>44403</v>
      </c>
      <c r="G96" s="106" t="s">
        <v>2724</v>
      </c>
      <c r="H96" s="106" t="s">
        <v>2865</v>
      </c>
    </row>
    <row r="97" spans="2:8" x14ac:dyDescent="0.3">
      <c r="B97" s="106" t="s">
        <v>1796</v>
      </c>
      <c r="C97" s="106" t="s">
        <v>135</v>
      </c>
      <c r="D97" s="106" t="s">
        <v>2866</v>
      </c>
      <c r="E97" s="107">
        <v>43765</v>
      </c>
      <c r="F97" s="107">
        <v>45957</v>
      </c>
      <c r="G97" s="106" t="s">
        <v>2724</v>
      </c>
      <c r="H97" s="106" t="s">
        <v>2867</v>
      </c>
    </row>
    <row r="98" spans="2:8" x14ac:dyDescent="0.3">
      <c r="B98" s="106" t="s">
        <v>1796</v>
      </c>
      <c r="C98" s="106" t="s">
        <v>135</v>
      </c>
      <c r="D98" s="106" t="s">
        <v>2868</v>
      </c>
      <c r="E98" s="107">
        <v>43797</v>
      </c>
      <c r="F98" s="107">
        <v>45258</v>
      </c>
      <c r="G98" s="106" t="s">
        <v>2724</v>
      </c>
      <c r="H98" s="106" t="s">
        <v>2869</v>
      </c>
    </row>
    <row r="99" spans="2:8" x14ac:dyDescent="0.3">
      <c r="B99" s="106" t="s">
        <v>1796</v>
      </c>
      <c r="C99" s="106" t="s">
        <v>135</v>
      </c>
      <c r="D99" s="106" t="s">
        <v>2870</v>
      </c>
      <c r="E99" s="107">
        <v>41914</v>
      </c>
      <c r="F99" s="107">
        <v>44106</v>
      </c>
      <c r="G99" s="106" t="s">
        <v>2724</v>
      </c>
      <c r="H99" s="106" t="s">
        <v>2871</v>
      </c>
    </row>
    <row r="100" spans="2:8" x14ac:dyDescent="0.3">
      <c r="B100" s="106" t="s">
        <v>1796</v>
      </c>
      <c r="C100" s="106" t="s">
        <v>135</v>
      </c>
      <c r="D100" s="106" t="s">
        <v>2872</v>
      </c>
      <c r="E100" s="107">
        <v>41914</v>
      </c>
      <c r="F100" s="107">
        <v>45567</v>
      </c>
      <c r="G100" s="106" t="s">
        <v>2724</v>
      </c>
      <c r="H100" s="106" t="s">
        <v>2873</v>
      </c>
    </row>
    <row r="101" spans="2:8" x14ac:dyDescent="0.3">
      <c r="B101" s="106" t="s">
        <v>1796</v>
      </c>
      <c r="C101" s="106" t="s">
        <v>135</v>
      </c>
      <c r="D101" s="106" t="s">
        <v>2874</v>
      </c>
      <c r="E101" s="107">
        <v>45726</v>
      </c>
      <c r="F101" s="107">
        <v>47552</v>
      </c>
      <c r="G101" s="106" t="s">
        <v>2724</v>
      </c>
      <c r="H101" s="106" t="s">
        <v>2875</v>
      </c>
    </row>
    <row r="102" spans="2:8" x14ac:dyDescent="0.3">
      <c r="B102" s="106" t="s">
        <v>1796</v>
      </c>
      <c r="C102" s="106" t="s">
        <v>135</v>
      </c>
      <c r="D102" s="106" t="s">
        <v>2876</v>
      </c>
      <c r="E102" s="107">
        <v>44530</v>
      </c>
      <c r="F102" s="107">
        <v>45991</v>
      </c>
      <c r="G102" s="106" t="s">
        <v>2724</v>
      </c>
      <c r="H102" s="106" t="s">
        <v>2877</v>
      </c>
    </row>
    <row r="103" spans="2:8" x14ac:dyDescent="0.3">
      <c r="B103" s="106" t="s">
        <v>1796</v>
      </c>
      <c r="C103" s="106" t="s">
        <v>1015</v>
      </c>
      <c r="D103" s="106" t="s">
        <v>2878</v>
      </c>
      <c r="E103" s="107">
        <v>45414</v>
      </c>
      <c r="F103" s="107">
        <v>46144</v>
      </c>
      <c r="G103" s="106" t="s">
        <v>2697</v>
      </c>
      <c r="H103" s="106" t="s">
        <v>2879</v>
      </c>
    </row>
    <row r="104" spans="2:8" x14ac:dyDescent="0.3">
      <c r="B104" s="106" t="s">
        <v>1796</v>
      </c>
      <c r="C104" s="106" t="s">
        <v>1015</v>
      </c>
      <c r="D104" s="106" t="s">
        <v>2880</v>
      </c>
      <c r="E104" s="107">
        <v>44291</v>
      </c>
      <c r="F104" s="107">
        <v>46116</v>
      </c>
      <c r="G104" s="106" t="s">
        <v>2697</v>
      </c>
      <c r="H104" s="106" t="s">
        <v>2881</v>
      </c>
    </row>
    <row r="105" spans="2:8" x14ac:dyDescent="0.3">
      <c r="B105" s="106" t="s">
        <v>1796</v>
      </c>
      <c r="C105" s="106" t="s">
        <v>1015</v>
      </c>
      <c r="D105" s="106" t="s">
        <v>2882</v>
      </c>
      <c r="E105" s="107">
        <v>45173</v>
      </c>
      <c r="F105" s="107">
        <v>46269</v>
      </c>
      <c r="G105" s="106" t="s">
        <v>2697</v>
      </c>
      <c r="H105" s="106" t="s">
        <v>2883</v>
      </c>
    </row>
    <row r="106" spans="2:8" x14ac:dyDescent="0.3">
      <c r="B106" s="106" t="s">
        <v>1796</v>
      </c>
      <c r="C106" s="106" t="s">
        <v>1015</v>
      </c>
      <c r="D106" s="106" t="s">
        <v>2884</v>
      </c>
      <c r="E106" s="107">
        <v>45541</v>
      </c>
      <c r="F106" s="107">
        <v>46271</v>
      </c>
      <c r="G106" s="106" t="s">
        <v>2697</v>
      </c>
      <c r="H106" s="106" t="s">
        <v>2885</v>
      </c>
    </row>
    <row r="107" spans="2:8" x14ac:dyDescent="0.3">
      <c r="B107" s="106" t="s">
        <v>1796</v>
      </c>
      <c r="C107" s="106" t="s">
        <v>1015</v>
      </c>
      <c r="D107" s="106" t="s">
        <v>2886</v>
      </c>
      <c r="E107" s="107">
        <v>44263</v>
      </c>
      <c r="F107" s="107">
        <v>46088</v>
      </c>
      <c r="G107" s="106" t="s">
        <v>2697</v>
      </c>
      <c r="H107" s="106" t="s">
        <v>2887</v>
      </c>
    </row>
    <row r="108" spans="2:8" x14ac:dyDescent="0.3">
      <c r="B108" s="106" t="s">
        <v>1796</v>
      </c>
      <c r="C108" s="106" t="s">
        <v>1015</v>
      </c>
      <c r="D108" s="106" t="s">
        <v>2888</v>
      </c>
      <c r="E108" s="107">
        <v>44263</v>
      </c>
      <c r="F108" s="107">
        <v>46088</v>
      </c>
      <c r="G108" s="106" t="s">
        <v>2697</v>
      </c>
      <c r="H108" s="106" t="s">
        <v>2889</v>
      </c>
    </row>
    <row r="109" spans="2:8" x14ac:dyDescent="0.3">
      <c r="B109" s="106" t="s">
        <v>1796</v>
      </c>
      <c r="C109" s="106" t="s">
        <v>1015</v>
      </c>
      <c r="D109" s="106" t="s">
        <v>2890</v>
      </c>
      <c r="E109" s="107">
        <v>44263</v>
      </c>
      <c r="F109" s="107">
        <v>46088</v>
      </c>
      <c r="G109" s="106" t="s">
        <v>2697</v>
      </c>
      <c r="H109" s="106" t="s">
        <v>2891</v>
      </c>
    </row>
    <row r="110" spans="2:8" x14ac:dyDescent="0.3">
      <c r="B110" s="106" t="s">
        <v>1796</v>
      </c>
      <c r="C110" s="106" t="s">
        <v>1015</v>
      </c>
      <c r="D110" s="106" t="s">
        <v>2892</v>
      </c>
      <c r="E110" s="107">
        <v>45090</v>
      </c>
      <c r="F110" s="107">
        <v>46185</v>
      </c>
      <c r="G110" s="106" t="s">
        <v>2697</v>
      </c>
      <c r="H110" s="106" t="s">
        <v>2893</v>
      </c>
    </row>
    <row r="111" spans="2:8" x14ac:dyDescent="0.3">
      <c r="B111" s="106" t="s">
        <v>1796</v>
      </c>
      <c r="C111" s="106" t="s">
        <v>1015</v>
      </c>
      <c r="D111" s="106" t="s">
        <v>2894</v>
      </c>
      <c r="E111" s="107">
        <v>45457</v>
      </c>
      <c r="F111" s="107">
        <v>49109</v>
      </c>
      <c r="G111" s="106" t="s">
        <v>2697</v>
      </c>
      <c r="H111" s="106" t="s">
        <v>2895</v>
      </c>
    </row>
    <row r="112" spans="2:8" x14ac:dyDescent="0.3">
      <c r="B112" s="106" t="s">
        <v>1796</v>
      </c>
      <c r="C112" s="106" t="s">
        <v>1015</v>
      </c>
      <c r="D112" s="106" t="s">
        <v>2896</v>
      </c>
      <c r="E112" s="107">
        <v>44760</v>
      </c>
      <c r="F112" s="107">
        <v>46952</v>
      </c>
      <c r="G112" s="106" t="s">
        <v>2697</v>
      </c>
      <c r="H112" s="106" t="s">
        <v>2897</v>
      </c>
    </row>
    <row r="113" spans="2:8" x14ac:dyDescent="0.3">
      <c r="B113" s="106" t="s">
        <v>1796</v>
      </c>
      <c r="C113" s="106" t="s">
        <v>1015</v>
      </c>
      <c r="D113" s="106" t="s">
        <v>2898</v>
      </c>
      <c r="E113" s="107">
        <v>43958</v>
      </c>
      <c r="F113" s="107">
        <v>46149</v>
      </c>
      <c r="G113" s="106" t="s">
        <v>2697</v>
      </c>
      <c r="H113" s="106" t="s">
        <v>2899</v>
      </c>
    </row>
    <row r="114" spans="2:8" x14ac:dyDescent="0.3">
      <c r="B114" s="106" t="s">
        <v>1796</v>
      </c>
      <c r="C114" s="106" t="s">
        <v>1015</v>
      </c>
      <c r="D114" s="106" t="s">
        <v>2900</v>
      </c>
      <c r="E114" s="107">
        <v>44267</v>
      </c>
      <c r="F114" s="107">
        <v>46092</v>
      </c>
      <c r="G114" s="106" t="s">
        <v>2697</v>
      </c>
      <c r="H114" s="106" t="s">
        <v>2901</v>
      </c>
    </row>
    <row r="115" spans="2:8" x14ac:dyDescent="0.3">
      <c r="B115" s="106" t="s">
        <v>1796</v>
      </c>
      <c r="C115" s="106" t="s">
        <v>1015</v>
      </c>
      <c r="D115" s="106" t="s">
        <v>2902</v>
      </c>
      <c r="E115" s="107">
        <v>44755</v>
      </c>
      <c r="F115" s="107">
        <v>46215</v>
      </c>
      <c r="G115" s="106" t="s">
        <v>2697</v>
      </c>
      <c r="H115" s="106" t="s">
        <v>2903</v>
      </c>
    </row>
    <row r="116" spans="2:8" x14ac:dyDescent="0.3">
      <c r="B116" s="106" t="s">
        <v>1796</v>
      </c>
      <c r="C116" s="106" t="s">
        <v>1015</v>
      </c>
      <c r="D116" s="106" t="s">
        <v>2904</v>
      </c>
      <c r="E116" s="107">
        <v>45321</v>
      </c>
      <c r="F116" s="107">
        <v>46782</v>
      </c>
      <c r="G116" s="106" t="s">
        <v>2697</v>
      </c>
      <c r="H116" s="106" t="s">
        <v>2905</v>
      </c>
    </row>
    <row r="117" spans="2:8" x14ac:dyDescent="0.3">
      <c r="B117" s="106" t="s">
        <v>1796</v>
      </c>
      <c r="C117" s="106" t="s">
        <v>1015</v>
      </c>
      <c r="D117" s="106" t="s">
        <v>2906</v>
      </c>
      <c r="E117" s="107">
        <v>45227</v>
      </c>
      <c r="F117" s="107">
        <v>47419</v>
      </c>
      <c r="G117" s="106" t="s">
        <v>2697</v>
      </c>
      <c r="H117" s="106" t="s">
        <v>2907</v>
      </c>
    </row>
    <row r="118" spans="2:8" x14ac:dyDescent="0.3">
      <c r="B118" s="106" t="s">
        <v>1796</v>
      </c>
      <c r="C118" s="106" t="s">
        <v>1015</v>
      </c>
      <c r="D118" s="106" t="s">
        <v>2908</v>
      </c>
      <c r="E118" s="107">
        <v>44264</v>
      </c>
      <c r="F118" s="107">
        <v>46089</v>
      </c>
      <c r="G118" s="106" t="s">
        <v>2697</v>
      </c>
      <c r="H118" s="106" t="s">
        <v>2909</v>
      </c>
    </row>
    <row r="119" spans="2:8" x14ac:dyDescent="0.3">
      <c r="B119" s="106" t="s">
        <v>1796</v>
      </c>
      <c r="C119" s="106" t="s">
        <v>1015</v>
      </c>
      <c r="D119" s="106" t="s">
        <v>2910</v>
      </c>
      <c r="E119" s="107">
        <v>43901</v>
      </c>
      <c r="F119" s="107">
        <v>46091</v>
      </c>
      <c r="G119" s="106" t="s">
        <v>2697</v>
      </c>
      <c r="H119" s="106" t="s">
        <v>2911</v>
      </c>
    </row>
    <row r="120" spans="2:8" x14ac:dyDescent="0.3">
      <c r="B120" s="106" t="s">
        <v>1796</v>
      </c>
      <c r="C120" s="106" t="s">
        <v>1015</v>
      </c>
      <c r="D120" s="106" t="s">
        <v>2912</v>
      </c>
      <c r="E120" s="107">
        <v>43963</v>
      </c>
      <c r="F120" s="107">
        <v>46153</v>
      </c>
      <c r="G120" s="106" t="s">
        <v>2697</v>
      </c>
      <c r="H120" s="106" t="s">
        <v>2913</v>
      </c>
    </row>
    <row r="121" spans="2:8" x14ac:dyDescent="0.3">
      <c r="B121" s="106" t="s">
        <v>1796</v>
      </c>
      <c r="C121" s="106" t="s">
        <v>1015</v>
      </c>
      <c r="D121" s="106" t="s">
        <v>2914</v>
      </c>
      <c r="E121" s="107">
        <v>45517</v>
      </c>
      <c r="F121" s="107">
        <v>47708</v>
      </c>
      <c r="G121" s="106" t="s">
        <v>2697</v>
      </c>
      <c r="H121" s="106" t="s">
        <v>2915</v>
      </c>
    </row>
    <row r="122" spans="2:8" x14ac:dyDescent="0.3">
      <c r="B122" s="106" t="s">
        <v>1796</v>
      </c>
      <c r="C122" s="106" t="s">
        <v>1015</v>
      </c>
      <c r="D122" s="106" t="s">
        <v>2916</v>
      </c>
      <c r="E122" s="107">
        <v>44778</v>
      </c>
      <c r="F122" s="107">
        <v>46603</v>
      </c>
      <c r="G122" s="106" t="s">
        <v>2697</v>
      </c>
      <c r="H122" s="106" t="s">
        <v>2917</v>
      </c>
    </row>
    <row r="123" spans="2:8" x14ac:dyDescent="0.3">
      <c r="B123" s="106" t="s">
        <v>1796</v>
      </c>
      <c r="C123" s="106" t="s">
        <v>1015</v>
      </c>
      <c r="D123" s="106" t="s">
        <v>2918</v>
      </c>
      <c r="E123" s="107">
        <v>45238</v>
      </c>
      <c r="F123" s="107">
        <v>46699</v>
      </c>
      <c r="G123" s="106" t="s">
        <v>2697</v>
      </c>
      <c r="H123" s="106" t="s">
        <v>2919</v>
      </c>
    </row>
    <row r="124" spans="2:8" x14ac:dyDescent="0.3">
      <c r="B124" s="106" t="s">
        <v>1796</v>
      </c>
      <c r="C124" s="106" t="s">
        <v>1015</v>
      </c>
      <c r="D124" s="106" t="s">
        <v>2920</v>
      </c>
      <c r="E124" s="107">
        <v>44314</v>
      </c>
      <c r="F124" s="107">
        <v>46517</v>
      </c>
      <c r="G124" s="106" t="s">
        <v>2697</v>
      </c>
      <c r="H124" s="106" t="s">
        <v>2921</v>
      </c>
    </row>
    <row r="125" spans="2:8" x14ac:dyDescent="0.3">
      <c r="B125" s="106" t="s">
        <v>1796</v>
      </c>
      <c r="C125" s="106" t="s">
        <v>1015</v>
      </c>
      <c r="D125" s="106" t="s">
        <v>2922</v>
      </c>
      <c r="E125" s="107">
        <v>45323</v>
      </c>
      <c r="F125" s="107">
        <v>46784</v>
      </c>
      <c r="G125" s="106" t="s">
        <v>2697</v>
      </c>
      <c r="H125" s="106" t="s">
        <v>2923</v>
      </c>
    </row>
    <row r="126" spans="2:8" x14ac:dyDescent="0.3">
      <c r="B126" s="106" t="s">
        <v>1796</v>
      </c>
      <c r="C126" s="106" t="s">
        <v>1015</v>
      </c>
      <c r="D126" s="106" t="s">
        <v>2924</v>
      </c>
      <c r="E126" s="107">
        <v>44125</v>
      </c>
      <c r="F126" s="107">
        <v>46316</v>
      </c>
      <c r="G126" s="106" t="s">
        <v>2697</v>
      </c>
      <c r="H126" s="106" t="s">
        <v>2925</v>
      </c>
    </row>
    <row r="127" spans="2:8" x14ac:dyDescent="0.3">
      <c r="B127" s="106" t="s">
        <v>1796</v>
      </c>
      <c r="C127" s="106" t="s">
        <v>1015</v>
      </c>
      <c r="D127" s="106" t="s">
        <v>2926</v>
      </c>
      <c r="E127" s="107">
        <v>44309</v>
      </c>
      <c r="F127" s="107">
        <v>46500</v>
      </c>
      <c r="G127" s="106" t="s">
        <v>2697</v>
      </c>
      <c r="H127" s="106" t="s">
        <v>2927</v>
      </c>
    </row>
    <row r="128" spans="2:8" x14ac:dyDescent="0.3">
      <c r="B128" s="106" t="s">
        <v>1796</v>
      </c>
      <c r="C128" s="106" t="s">
        <v>1015</v>
      </c>
      <c r="D128" s="106" t="s">
        <v>2928</v>
      </c>
      <c r="E128" s="107">
        <v>45801</v>
      </c>
      <c r="F128" s="107">
        <v>46897</v>
      </c>
      <c r="G128" s="106" t="s">
        <v>2697</v>
      </c>
      <c r="H128" s="106" t="s">
        <v>2929</v>
      </c>
    </row>
    <row r="129" spans="2:8" x14ac:dyDescent="0.3">
      <c r="B129" s="106" t="s">
        <v>1796</v>
      </c>
      <c r="C129" s="106" t="s">
        <v>1015</v>
      </c>
      <c r="D129" s="106" t="s">
        <v>2930</v>
      </c>
      <c r="E129" s="107">
        <v>45600</v>
      </c>
      <c r="F129" s="107">
        <v>46695</v>
      </c>
      <c r="G129" s="106" t="s">
        <v>2697</v>
      </c>
      <c r="H129" s="106" t="s">
        <v>2931</v>
      </c>
    </row>
    <row r="130" spans="2:8" x14ac:dyDescent="0.3">
      <c r="B130" s="106" t="s">
        <v>1796</v>
      </c>
      <c r="C130" s="106" t="s">
        <v>1015</v>
      </c>
      <c r="D130" s="106" t="s">
        <v>2932</v>
      </c>
      <c r="E130" s="107">
        <v>45636</v>
      </c>
      <c r="F130" s="107">
        <v>46573</v>
      </c>
      <c r="G130" s="106" t="s">
        <v>2697</v>
      </c>
      <c r="H130" s="106" t="s">
        <v>2933</v>
      </c>
    </row>
    <row r="131" spans="2:8" x14ac:dyDescent="0.3">
      <c r="B131" s="106" t="s">
        <v>1796</v>
      </c>
      <c r="C131" s="106" t="s">
        <v>1015</v>
      </c>
      <c r="D131" s="106" t="s">
        <v>2934</v>
      </c>
      <c r="E131" s="107">
        <v>45299</v>
      </c>
      <c r="F131" s="107">
        <v>46394</v>
      </c>
      <c r="G131" s="106" t="s">
        <v>2697</v>
      </c>
      <c r="H131" s="106" t="s">
        <v>2935</v>
      </c>
    </row>
    <row r="132" spans="2:8" x14ac:dyDescent="0.3">
      <c r="B132" s="106" t="s">
        <v>1796</v>
      </c>
      <c r="C132" s="106" t="s">
        <v>1015</v>
      </c>
      <c r="D132" s="106" t="s">
        <v>2936</v>
      </c>
      <c r="E132" s="107">
        <v>44782</v>
      </c>
      <c r="F132" s="107">
        <v>46607</v>
      </c>
      <c r="G132" s="106" t="s">
        <v>2697</v>
      </c>
      <c r="H132" s="106" t="s">
        <v>2937</v>
      </c>
    </row>
    <row r="133" spans="2:8" x14ac:dyDescent="0.3">
      <c r="B133" s="106" t="s">
        <v>1796</v>
      </c>
      <c r="C133" s="106" t="s">
        <v>1015</v>
      </c>
      <c r="D133" s="106" t="s">
        <v>2938</v>
      </c>
      <c r="E133" s="107">
        <v>45604</v>
      </c>
      <c r="F133" s="107">
        <v>46699</v>
      </c>
      <c r="G133" s="106" t="s">
        <v>2697</v>
      </c>
      <c r="H133" s="106" t="s">
        <v>2939</v>
      </c>
    </row>
    <row r="134" spans="2:8" x14ac:dyDescent="0.3">
      <c r="B134" s="106" t="s">
        <v>1796</v>
      </c>
      <c r="C134" s="106" t="s">
        <v>1015</v>
      </c>
      <c r="D134" s="106" t="s">
        <v>2940</v>
      </c>
      <c r="E134" s="107">
        <v>44782</v>
      </c>
      <c r="F134" s="107">
        <v>46608</v>
      </c>
      <c r="G134" s="106" t="s">
        <v>2697</v>
      </c>
      <c r="H134" s="106" t="s">
        <v>2941</v>
      </c>
    </row>
    <row r="135" spans="2:8" x14ac:dyDescent="0.3">
      <c r="B135" s="106" t="s">
        <v>1796</v>
      </c>
      <c r="C135" s="106" t="s">
        <v>1015</v>
      </c>
      <c r="D135" s="106" t="s">
        <v>2942</v>
      </c>
      <c r="E135" s="107">
        <v>45327</v>
      </c>
      <c r="F135" s="107">
        <v>46788</v>
      </c>
      <c r="G135" s="106" t="s">
        <v>2697</v>
      </c>
      <c r="H135" s="106" t="s">
        <v>2943</v>
      </c>
    </row>
    <row r="136" spans="2:8" x14ac:dyDescent="0.3">
      <c r="B136" s="106" t="s">
        <v>1796</v>
      </c>
      <c r="C136" s="106" t="s">
        <v>1015</v>
      </c>
      <c r="D136" s="106" t="s">
        <v>2944</v>
      </c>
      <c r="E136" s="107">
        <v>42929</v>
      </c>
      <c r="F136" s="107">
        <v>46581</v>
      </c>
      <c r="G136" s="106" t="s">
        <v>2697</v>
      </c>
      <c r="H136" s="106" t="s">
        <v>2945</v>
      </c>
    </row>
    <row r="137" spans="2:8" x14ac:dyDescent="0.3">
      <c r="B137" s="106" t="s">
        <v>1796</v>
      </c>
      <c r="C137" s="106" t="s">
        <v>1015</v>
      </c>
      <c r="D137" s="106" t="s">
        <v>2946</v>
      </c>
      <c r="E137" s="107">
        <v>45258</v>
      </c>
      <c r="F137" s="107">
        <v>46704</v>
      </c>
      <c r="G137" s="106" t="s">
        <v>2697</v>
      </c>
      <c r="H137" s="106" t="s">
        <v>2947</v>
      </c>
    </row>
    <row r="138" spans="2:8" x14ac:dyDescent="0.3">
      <c r="B138" s="106" t="s">
        <v>1796</v>
      </c>
      <c r="C138" s="106" t="s">
        <v>1015</v>
      </c>
      <c r="D138" s="106" t="s">
        <v>2948</v>
      </c>
      <c r="E138" s="107">
        <v>45567</v>
      </c>
      <c r="F138" s="107">
        <v>46048</v>
      </c>
      <c r="G138" s="106" t="s">
        <v>2697</v>
      </c>
      <c r="H138" s="106" t="s">
        <v>2949</v>
      </c>
    </row>
    <row r="139" spans="2:8" x14ac:dyDescent="0.3">
      <c r="B139" s="106" t="s">
        <v>1796</v>
      </c>
      <c r="C139" s="106" t="s">
        <v>1015</v>
      </c>
      <c r="D139" s="106" t="s">
        <v>2950</v>
      </c>
      <c r="E139" s="107">
        <v>45292</v>
      </c>
      <c r="F139" s="107">
        <v>47114</v>
      </c>
      <c r="G139" s="106" t="s">
        <v>2697</v>
      </c>
      <c r="H139" s="106" t="s">
        <v>2951</v>
      </c>
    </row>
    <row r="140" spans="2:8" x14ac:dyDescent="0.3">
      <c r="B140" s="106" t="s">
        <v>1796</v>
      </c>
      <c r="C140" s="106" t="s">
        <v>1015</v>
      </c>
      <c r="D140" s="106" t="s">
        <v>2952</v>
      </c>
      <c r="E140" s="107">
        <v>45300</v>
      </c>
      <c r="F140" s="107">
        <v>47034</v>
      </c>
      <c r="G140" s="106" t="s">
        <v>2697</v>
      </c>
      <c r="H140" s="106" t="s">
        <v>2953</v>
      </c>
    </row>
    <row r="141" spans="2:8" x14ac:dyDescent="0.3">
      <c r="B141" s="106" t="s">
        <v>1796</v>
      </c>
      <c r="C141" s="106" t="s">
        <v>1015</v>
      </c>
      <c r="D141" s="106" t="s">
        <v>2954</v>
      </c>
      <c r="E141" s="107">
        <v>44637</v>
      </c>
      <c r="F141" s="107">
        <v>46462</v>
      </c>
      <c r="G141" s="106" t="s">
        <v>2697</v>
      </c>
      <c r="H141" s="106" t="s">
        <v>2955</v>
      </c>
    </row>
    <row r="142" spans="2:8" x14ac:dyDescent="0.3">
      <c r="B142" s="106" t="s">
        <v>1796</v>
      </c>
      <c r="C142" s="106" t="s">
        <v>1015</v>
      </c>
      <c r="D142" s="106" t="s">
        <v>2956</v>
      </c>
      <c r="E142" s="107">
        <v>45315</v>
      </c>
      <c r="F142" s="107">
        <v>46441</v>
      </c>
      <c r="G142" s="106" t="s">
        <v>2697</v>
      </c>
      <c r="H142" s="106" t="s">
        <v>2957</v>
      </c>
    </row>
    <row r="143" spans="2:8" x14ac:dyDescent="0.3">
      <c r="B143" s="106" t="s">
        <v>1796</v>
      </c>
      <c r="C143" s="106" t="s">
        <v>1015</v>
      </c>
      <c r="D143" s="106" t="s">
        <v>2958</v>
      </c>
      <c r="E143" s="107">
        <v>45715</v>
      </c>
      <c r="F143" s="107">
        <v>46791</v>
      </c>
      <c r="G143" s="106" t="s">
        <v>2697</v>
      </c>
      <c r="H143" s="106" t="s">
        <v>2959</v>
      </c>
    </row>
    <row r="144" spans="2:8" x14ac:dyDescent="0.3">
      <c r="B144" s="106" t="s">
        <v>1796</v>
      </c>
      <c r="C144" s="106" t="s">
        <v>1015</v>
      </c>
      <c r="D144" s="106" t="s">
        <v>2960</v>
      </c>
      <c r="E144" s="107">
        <v>45772</v>
      </c>
      <c r="F144" s="107">
        <v>47232</v>
      </c>
      <c r="G144" s="106" t="s">
        <v>2697</v>
      </c>
      <c r="H144" s="106" t="s">
        <v>2961</v>
      </c>
    </row>
    <row r="145" spans="2:8" x14ac:dyDescent="0.3">
      <c r="B145" s="106" t="s">
        <v>1796</v>
      </c>
      <c r="C145" s="106" t="s">
        <v>1015</v>
      </c>
      <c r="D145" s="106" t="s">
        <v>2962</v>
      </c>
      <c r="E145" s="107">
        <v>45776</v>
      </c>
      <c r="F145" s="107">
        <v>49426</v>
      </c>
      <c r="G145" s="106" t="s">
        <v>2697</v>
      </c>
      <c r="H145" s="106" t="s">
        <v>2963</v>
      </c>
    </row>
    <row r="146" spans="2:8" x14ac:dyDescent="0.3">
      <c r="B146" s="106" t="s">
        <v>1796</v>
      </c>
      <c r="C146" s="106" t="s">
        <v>1015</v>
      </c>
      <c r="D146" s="106" t="s">
        <v>2964</v>
      </c>
      <c r="E146" s="107">
        <v>45772</v>
      </c>
      <c r="F146" s="107">
        <v>49422</v>
      </c>
      <c r="G146" s="106" t="s">
        <v>2697</v>
      </c>
      <c r="H146" s="106" t="s">
        <v>2965</v>
      </c>
    </row>
    <row r="147" spans="2:8" x14ac:dyDescent="0.3">
      <c r="B147" s="106" t="s">
        <v>1796</v>
      </c>
      <c r="C147" s="106" t="s">
        <v>1015</v>
      </c>
      <c r="D147" s="106" t="s">
        <v>2966</v>
      </c>
      <c r="E147" s="107">
        <v>45776</v>
      </c>
      <c r="F147" s="107">
        <v>49426</v>
      </c>
      <c r="G147" s="106" t="s">
        <v>2697</v>
      </c>
      <c r="H147" s="106" t="s">
        <v>2967</v>
      </c>
    </row>
    <row r="148" spans="2:8" x14ac:dyDescent="0.3">
      <c r="B148" s="106" t="s">
        <v>1796</v>
      </c>
      <c r="C148" s="106" t="s">
        <v>1015</v>
      </c>
      <c r="D148" s="106" t="s">
        <v>2968</v>
      </c>
      <c r="E148" s="107">
        <v>45782</v>
      </c>
      <c r="F148" s="107">
        <v>47238</v>
      </c>
      <c r="G148" s="106" t="s">
        <v>2697</v>
      </c>
      <c r="H148" s="106" t="s">
        <v>2969</v>
      </c>
    </row>
    <row r="149" spans="2:8" x14ac:dyDescent="0.3">
      <c r="B149" s="106" t="s">
        <v>1796</v>
      </c>
      <c r="C149" s="106" t="s">
        <v>1015</v>
      </c>
      <c r="D149" s="106" t="s">
        <v>2970</v>
      </c>
      <c r="E149" s="107">
        <v>45797</v>
      </c>
      <c r="F149" s="107">
        <v>46527</v>
      </c>
      <c r="G149" s="106" t="s">
        <v>2697</v>
      </c>
      <c r="H149" s="106" t="s">
        <v>2971</v>
      </c>
    </row>
    <row r="150" spans="2:8" x14ac:dyDescent="0.3">
      <c r="B150" s="106" t="s">
        <v>1796</v>
      </c>
      <c r="C150" s="106" t="s">
        <v>1015</v>
      </c>
      <c r="D150" s="106" t="s">
        <v>2972</v>
      </c>
      <c r="E150" s="107">
        <v>45798</v>
      </c>
      <c r="F150" s="107">
        <v>46528</v>
      </c>
      <c r="G150" s="106" t="s">
        <v>2697</v>
      </c>
      <c r="H150" s="106" t="s">
        <v>2973</v>
      </c>
    </row>
    <row r="151" spans="2:8" x14ac:dyDescent="0.3">
      <c r="B151" s="106" t="s">
        <v>1796</v>
      </c>
      <c r="C151" s="106" t="s">
        <v>1015</v>
      </c>
      <c r="D151" s="106" t="s">
        <v>2974</v>
      </c>
      <c r="E151" s="107">
        <v>45800</v>
      </c>
      <c r="F151" s="107">
        <v>47569</v>
      </c>
      <c r="G151" s="106" t="s">
        <v>2697</v>
      </c>
      <c r="H151" s="106" t="s">
        <v>2975</v>
      </c>
    </row>
    <row r="152" spans="2:8" x14ac:dyDescent="0.3">
      <c r="B152" s="106" t="s">
        <v>1796</v>
      </c>
      <c r="C152" s="106" t="s">
        <v>1015</v>
      </c>
      <c r="D152" s="106" t="s">
        <v>2976</v>
      </c>
      <c r="E152" s="107">
        <v>42406</v>
      </c>
      <c r="F152" s="107">
        <v>47423</v>
      </c>
      <c r="G152" s="106" t="s">
        <v>2697</v>
      </c>
      <c r="H152" s="106" t="s">
        <v>2977</v>
      </c>
    </row>
    <row r="153" spans="2:8" x14ac:dyDescent="0.3">
      <c r="B153" s="106" t="s">
        <v>1796</v>
      </c>
      <c r="C153" s="106" t="s">
        <v>1015</v>
      </c>
      <c r="D153" s="106" t="s">
        <v>2978</v>
      </c>
      <c r="E153" s="107">
        <v>44201</v>
      </c>
      <c r="F153" s="107">
        <v>47853</v>
      </c>
      <c r="G153" s="106" t="s">
        <v>2697</v>
      </c>
      <c r="H153" s="106" t="s">
        <v>2979</v>
      </c>
    </row>
    <row r="154" spans="2:8" x14ac:dyDescent="0.3">
      <c r="B154" s="106" t="s">
        <v>1796</v>
      </c>
      <c r="C154" s="106" t="s">
        <v>1015</v>
      </c>
      <c r="D154" s="106" t="s">
        <v>2980</v>
      </c>
      <c r="E154" s="107">
        <v>45188</v>
      </c>
      <c r="F154" s="107">
        <v>46616</v>
      </c>
      <c r="G154" s="106" t="s">
        <v>2697</v>
      </c>
      <c r="H154" s="106" t="s">
        <v>2981</v>
      </c>
    </row>
    <row r="155" spans="2:8" x14ac:dyDescent="0.3">
      <c r="B155" s="106" t="s">
        <v>1796</v>
      </c>
      <c r="C155" s="106" t="s">
        <v>1015</v>
      </c>
      <c r="D155" s="106" t="s">
        <v>2982</v>
      </c>
      <c r="E155" s="107">
        <v>40128</v>
      </c>
      <c r="F155" s="107">
        <v>47433</v>
      </c>
      <c r="G155" s="106" t="s">
        <v>2697</v>
      </c>
      <c r="H155" s="106" t="s">
        <v>2983</v>
      </c>
    </row>
    <row r="156" spans="2:8" x14ac:dyDescent="0.3">
      <c r="B156" s="106" t="s">
        <v>1796</v>
      </c>
      <c r="C156" s="106" t="s">
        <v>1015</v>
      </c>
      <c r="D156" s="106" t="s">
        <v>2984</v>
      </c>
      <c r="E156" s="107">
        <v>45499</v>
      </c>
      <c r="F156" s="107">
        <v>46960</v>
      </c>
      <c r="G156" s="106" t="s">
        <v>2697</v>
      </c>
      <c r="H156" s="106" t="s">
        <v>2985</v>
      </c>
    </row>
    <row r="157" spans="2:8" x14ac:dyDescent="0.3">
      <c r="B157" s="106" t="s">
        <v>1796</v>
      </c>
      <c r="C157" s="106" t="s">
        <v>1015</v>
      </c>
      <c r="D157" s="106">
        <v>3675453</v>
      </c>
      <c r="E157" s="107">
        <v>45499</v>
      </c>
      <c r="F157" s="107">
        <v>46960</v>
      </c>
      <c r="G157" s="106" t="s">
        <v>2697</v>
      </c>
      <c r="H157" s="106" t="s">
        <v>2986</v>
      </c>
    </row>
    <row r="158" spans="2:8" x14ac:dyDescent="0.3">
      <c r="B158" s="106" t="s">
        <v>1796</v>
      </c>
      <c r="C158" s="106" t="s">
        <v>1015</v>
      </c>
      <c r="D158" s="106" t="s">
        <v>2987</v>
      </c>
      <c r="E158" s="107">
        <v>44708</v>
      </c>
      <c r="F158" s="107">
        <v>46169</v>
      </c>
      <c r="G158" s="106" t="s">
        <v>2697</v>
      </c>
      <c r="H158" s="106" t="s">
        <v>2988</v>
      </c>
    </row>
    <row r="159" spans="2:8" x14ac:dyDescent="0.3">
      <c r="B159" s="106" t="s">
        <v>1796</v>
      </c>
      <c r="C159" s="106" t="s">
        <v>1015</v>
      </c>
      <c r="D159" s="106" t="s">
        <v>2989</v>
      </c>
      <c r="E159" s="107">
        <v>45643</v>
      </c>
      <c r="F159" s="107">
        <v>46373</v>
      </c>
      <c r="G159" s="106" t="s">
        <v>2697</v>
      </c>
      <c r="H159" s="106" t="s">
        <v>2990</v>
      </c>
    </row>
    <row r="160" spans="2:8" x14ac:dyDescent="0.3">
      <c r="B160" s="106" t="s">
        <v>1796</v>
      </c>
      <c r="C160" s="106" t="s">
        <v>1015</v>
      </c>
      <c r="D160" s="106" t="s">
        <v>2991</v>
      </c>
      <c r="E160" s="107">
        <v>45684</v>
      </c>
      <c r="F160" s="107">
        <v>47145</v>
      </c>
      <c r="G160" s="106" t="s">
        <v>2697</v>
      </c>
      <c r="H160" s="106" t="s">
        <v>2992</v>
      </c>
    </row>
    <row r="161" spans="2:8" x14ac:dyDescent="0.3">
      <c r="B161" s="106" t="s">
        <v>1796</v>
      </c>
      <c r="C161" s="106" t="s">
        <v>1015</v>
      </c>
      <c r="D161" s="106" t="s">
        <v>2993</v>
      </c>
      <c r="E161" s="107">
        <v>45726</v>
      </c>
      <c r="F161" s="107">
        <v>46822</v>
      </c>
      <c r="G161" s="106" t="s">
        <v>2697</v>
      </c>
      <c r="H161" s="106" t="s">
        <v>2994</v>
      </c>
    </row>
    <row r="162" spans="2:8" x14ac:dyDescent="0.3">
      <c r="B162" s="106" t="s">
        <v>1796</v>
      </c>
      <c r="C162" s="106" t="s">
        <v>1015</v>
      </c>
      <c r="D162" s="106" t="s">
        <v>2995</v>
      </c>
      <c r="E162" s="107">
        <v>45030</v>
      </c>
      <c r="F162" s="107">
        <v>46855</v>
      </c>
      <c r="G162" s="106" t="s">
        <v>2697</v>
      </c>
      <c r="H162" s="106" t="s">
        <v>2996</v>
      </c>
    </row>
    <row r="163" spans="2:8" x14ac:dyDescent="0.3">
      <c r="B163" s="106" t="s">
        <v>1796</v>
      </c>
      <c r="C163" s="106" t="s">
        <v>1015</v>
      </c>
      <c r="D163" s="106" t="s">
        <v>2997</v>
      </c>
      <c r="E163" s="107">
        <v>45734</v>
      </c>
      <c r="F163" s="107">
        <v>47184</v>
      </c>
      <c r="G163" s="106" t="s">
        <v>2697</v>
      </c>
      <c r="H163" s="106" t="s">
        <v>2998</v>
      </c>
    </row>
    <row r="164" spans="2:8" x14ac:dyDescent="0.3">
      <c r="B164" s="106" t="s">
        <v>1796</v>
      </c>
      <c r="C164" s="106" t="s">
        <v>1015</v>
      </c>
      <c r="D164" s="106" t="s">
        <v>2999</v>
      </c>
      <c r="E164" s="107">
        <v>45691</v>
      </c>
      <c r="F164" s="107">
        <v>47882</v>
      </c>
      <c r="G164" s="106" t="s">
        <v>2697</v>
      </c>
      <c r="H164" s="106" t="s">
        <v>3000</v>
      </c>
    </row>
    <row r="165" spans="2:8" x14ac:dyDescent="0.3">
      <c r="B165" s="106" t="s">
        <v>1796</v>
      </c>
      <c r="C165" s="106" t="s">
        <v>1015</v>
      </c>
      <c r="D165" s="106" t="s">
        <v>3001</v>
      </c>
      <c r="E165" s="107">
        <v>45691</v>
      </c>
      <c r="F165" s="107">
        <v>47882</v>
      </c>
      <c r="G165" s="106" t="s">
        <v>2697</v>
      </c>
      <c r="H165" s="106" t="s">
        <v>3002</v>
      </c>
    </row>
    <row r="166" spans="2:8" x14ac:dyDescent="0.3">
      <c r="B166" s="106" t="s">
        <v>1796</v>
      </c>
      <c r="C166" s="106" t="s">
        <v>1015</v>
      </c>
      <c r="D166" s="106" t="s">
        <v>3003</v>
      </c>
      <c r="E166" s="107">
        <v>45723</v>
      </c>
      <c r="F166" s="107">
        <v>47914</v>
      </c>
      <c r="G166" s="106" t="s">
        <v>2697</v>
      </c>
      <c r="H166" s="106" t="s">
        <v>3004</v>
      </c>
    </row>
    <row r="167" spans="2:8" x14ac:dyDescent="0.3">
      <c r="B167" s="106" t="s">
        <v>1796</v>
      </c>
      <c r="C167" s="106" t="s">
        <v>1015</v>
      </c>
      <c r="D167" s="106" t="s">
        <v>3005</v>
      </c>
      <c r="E167" s="107">
        <v>44028</v>
      </c>
      <c r="F167" s="107">
        <v>46218</v>
      </c>
      <c r="G167" s="106" t="s">
        <v>2697</v>
      </c>
      <c r="H167" s="106" t="s">
        <v>3006</v>
      </c>
    </row>
    <row r="168" spans="2:8" x14ac:dyDescent="0.3">
      <c r="B168" s="106" t="s">
        <v>1796</v>
      </c>
      <c r="C168" s="106" t="s">
        <v>1015</v>
      </c>
      <c r="D168" s="106" t="s">
        <v>3007</v>
      </c>
      <c r="E168" s="107">
        <v>42069</v>
      </c>
      <c r="F168" s="107">
        <v>47376</v>
      </c>
      <c r="G168" s="106" t="s">
        <v>2697</v>
      </c>
      <c r="H168" s="106" t="s">
        <v>3008</v>
      </c>
    </row>
    <row r="169" spans="2:8" x14ac:dyDescent="0.3">
      <c r="B169" s="106" t="s">
        <v>1796</v>
      </c>
      <c r="C169" s="106" t="s">
        <v>1015</v>
      </c>
      <c r="D169" s="106" t="s">
        <v>3009</v>
      </c>
      <c r="E169" s="107">
        <v>43937</v>
      </c>
      <c r="F169" s="107">
        <v>46127</v>
      </c>
      <c r="G169" s="106" t="s">
        <v>2697</v>
      </c>
      <c r="H169" s="106" t="s">
        <v>3010</v>
      </c>
    </row>
    <row r="170" spans="2:8" x14ac:dyDescent="0.3">
      <c r="B170" s="106" t="s">
        <v>1796</v>
      </c>
      <c r="C170" s="106" t="s">
        <v>1015</v>
      </c>
      <c r="D170" s="106" t="s">
        <v>3011</v>
      </c>
      <c r="E170" s="107">
        <v>44118</v>
      </c>
      <c r="F170" s="107">
        <v>46308</v>
      </c>
      <c r="G170" s="106" t="s">
        <v>2697</v>
      </c>
      <c r="H170" s="106" t="s">
        <v>3012</v>
      </c>
    </row>
    <row r="171" spans="2:8" x14ac:dyDescent="0.3">
      <c r="B171" s="106" t="s">
        <v>1796</v>
      </c>
      <c r="C171" s="106" t="s">
        <v>1015</v>
      </c>
      <c r="D171" s="106" t="s">
        <v>3013</v>
      </c>
      <c r="E171" s="107">
        <v>45705</v>
      </c>
      <c r="F171" s="107">
        <v>46800</v>
      </c>
      <c r="G171" s="106" t="s">
        <v>2697</v>
      </c>
      <c r="H171" s="106" t="s">
        <v>3014</v>
      </c>
    </row>
    <row r="172" spans="2:8" x14ac:dyDescent="0.3">
      <c r="B172" s="106" t="s">
        <v>1796</v>
      </c>
      <c r="C172" s="106" t="s">
        <v>1015</v>
      </c>
      <c r="D172" s="106" t="s">
        <v>3015</v>
      </c>
      <c r="E172" s="107">
        <v>43323</v>
      </c>
      <c r="F172" s="107">
        <v>47037</v>
      </c>
      <c r="G172" s="106" t="s">
        <v>2697</v>
      </c>
      <c r="H172" s="106" t="s">
        <v>3016</v>
      </c>
    </row>
    <row r="173" spans="2:8" x14ac:dyDescent="0.3">
      <c r="B173" s="106" t="s">
        <v>1796</v>
      </c>
      <c r="C173" s="106" t="s">
        <v>1015</v>
      </c>
      <c r="D173" s="106" t="s">
        <v>3017</v>
      </c>
      <c r="E173" s="107">
        <v>45736</v>
      </c>
      <c r="F173" s="107">
        <v>46832</v>
      </c>
      <c r="G173" s="106" t="s">
        <v>2697</v>
      </c>
      <c r="H173" s="106" t="s">
        <v>3018</v>
      </c>
    </row>
    <row r="174" spans="2:8" x14ac:dyDescent="0.3">
      <c r="B174" s="106" t="s">
        <v>1796</v>
      </c>
      <c r="C174" s="106" t="s">
        <v>1015</v>
      </c>
      <c r="D174" s="106" t="s">
        <v>3019</v>
      </c>
      <c r="E174" s="107">
        <v>45154</v>
      </c>
      <c r="F174" s="107">
        <v>46615</v>
      </c>
      <c r="G174" s="106" t="s">
        <v>2697</v>
      </c>
      <c r="H174" s="106" t="s">
        <v>3020</v>
      </c>
    </row>
    <row r="175" spans="2:8" x14ac:dyDescent="0.3">
      <c r="B175" s="106" t="s">
        <v>1796</v>
      </c>
      <c r="C175" s="106" t="s">
        <v>1015</v>
      </c>
      <c r="D175" s="106" t="s">
        <v>3021</v>
      </c>
      <c r="E175" s="107">
        <v>43501</v>
      </c>
      <c r="F175" s="107">
        <v>47154</v>
      </c>
      <c r="G175" s="106" t="s">
        <v>2697</v>
      </c>
      <c r="H175" s="106" t="s">
        <v>3022</v>
      </c>
    </row>
    <row r="176" spans="2:8" x14ac:dyDescent="0.3">
      <c r="B176" s="106" t="s">
        <v>1796</v>
      </c>
      <c r="C176" s="106" t="s">
        <v>1015</v>
      </c>
      <c r="D176" s="106" t="s">
        <v>3023</v>
      </c>
      <c r="E176" s="107">
        <v>44505</v>
      </c>
      <c r="F176" s="107">
        <v>46293</v>
      </c>
      <c r="G176" s="106" t="s">
        <v>2697</v>
      </c>
      <c r="H176" s="106" t="s">
        <v>3024</v>
      </c>
    </row>
    <row r="177" spans="2:8" x14ac:dyDescent="0.3">
      <c r="B177" s="106" t="s">
        <v>1796</v>
      </c>
      <c r="C177" s="106" t="s">
        <v>1015</v>
      </c>
      <c r="D177" s="106" t="s">
        <v>3025</v>
      </c>
      <c r="E177" s="107">
        <v>42452</v>
      </c>
      <c r="F177" s="107">
        <v>46104</v>
      </c>
      <c r="G177" s="106" t="s">
        <v>2697</v>
      </c>
      <c r="H177" s="106" t="s">
        <v>3026</v>
      </c>
    </row>
    <row r="178" spans="2:8" x14ac:dyDescent="0.3">
      <c r="B178" s="106" t="s">
        <v>1796</v>
      </c>
      <c r="C178" s="106" t="s">
        <v>1015</v>
      </c>
      <c r="D178" s="106" t="s">
        <v>3027</v>
      </c>
      <c r="E178" s="107">
        <v>45847</v>
      </c>
      <c r="F178" s="107">
        <v>48038</v>
      </c>
      <c r="G178" s="106" t="s">
        <v>2697</v>
      </c>
      <c r="H178" s="106" t="s">
        <v>3028</v>
      </c>
    </row>
    <row r="179" spans="2:8" x14ac:dyDescent="0.3">
      <c r="B179" s="106" t="s">
        <v>1796</v>
      </c>
      <c r="C179" s="106" t="s">
        <v>1015</v>
      </c>
      <c r="D179" s="106" t="s">
        <v>3029</v>
      </c>
      <c r="E179" s="107">
        <v>44888</v>
      </c>
      <c r="F179" s="107">
        <v>48541</v>
      </c>
      <c r="G179" s="106" t="s">
        <v>2697</v>
      </c>
      <c r="H179" s="106" t="s">
        <v>3030</v>
      </c>
    </row>
    <row r="180" spans="2:8" x14ac:dyDescent="0.3">
      <c r="B180" s="106" t="s">
        <v>1796</v>
      </c>
      <c r="C180" s="106" t="s">
        <v>1015</v>
      </c>
      <c r="D180" s="108">
        <v>45809</v>
      </c>
      <c r="E180" s="107">
        <v>45681</v>
      </c>
      <c r="F180" s="107">
        <v>47141</v>
      </c>
      <c r="G180" s="106" t="s">
        <v>2697</v>
      </c>
      <c r="H180" s="106" t="s">
        <v>3031</v>
      </c>
    </row>
    <row r="181" spans="2:8" x14ac:dyDescent="0.3">
      <c r="B181" s="106" t="s">
        <v>1796</v>
      </c>
      <c r="C181" s="106" t="s">
        <v>1015</v>
      </c>
      <c r="D181" s="106" t="s">
        <v>3032</v>
      </c>
      <c r="E181" s="107">
        <v>45609</v>
      </c>
      <c r="F181" s="107">
        <v>46704</v>
      </c>
      <c r="G181" s="106" t="s">
        <v>2697</v>
      </c>
      <c r="H181" s="106" t="s">
        <v>3033</v>
      </c>
    </row>
    <row r="182" spans="2:8" x14ac:dyDescent="0.3">
      <c r="B182" s="106" t="s">
        <v>1796</v>
      </c>
      <c r="C182" s="106" t="s">
        <v>1015</v>
      </c>
      <c r="D182" s="106" t="s">
        <v>3034</v>
      </c>
      <c r="E182" s="107">
        <v>45337</v>
      </c>
      <c r="F182" s="107">
        <v>48987</v>
      </c>
      <c r="G182" s="106" t="s">
        <v>2697</v>
      </c>
      <c r="H182" s="106" t="s">
        <v>3035</v>
      </c>
    </row>
    <row r="183" spans="2:8" x14ac:dyDescent="0.3">
      <c r="B183" s="106" t="s">
        <v>1796</v>
      </c>
      <c r="C183" s="106" t="s">
        <v>1015</v>
      </c>
      <c r="D183" s="106" t="s">
        <v>3036</v>
      </c>
      <c r="E183" s="107">
        <v>45198</v>
      </c>
      <c r="F183" s="107">
        <v>48851</v>
      </c>
      <c r="G183" s="106" t="s">
        <v>2697</v>
      </c>
      <c r="H183" s="106" t="s">
        <v>3037</v>
      </c>
    </row>
    <row r="184" spans="2:8" x14ac:dyDescent="0.3">
      <c r="B184" s="106" t="s">
        <v>1796</v>
      </c>
      <c r="C184" s="106" t="s">
        <v>1015</v>
      </c>
      <c r="D184" s="106" t="s">
        <v>3038</v>
      </c>
      <c r="E184" s="107">
        <v>45566</v>
      </c>
      <c r="F184" s="107">
        <v>49216</v>
      </c>
      <c r="G184" s="106" t="s">
        <v>2697</v>
      </c>
      <c r="H184" s="106" t="s">
        <v>3039</v>
      </c>
    </row>
    <row r="185" spans="2:8" x14ac:dyDescent="0.3">
      <c r="B185" s="106" t="s">
        <v>1796</v>
      </c>
      <c r="C185" s="106" t="s">
        <v>1015</v>
      </c>
      <c r="D185" s="106" t="s">
        <v>3040</v>
      </c>
      <c r="E185" s="107">
        <v>45184</v>
      </c>
      <c r="F185" s="107">
        <v>47009</v>
      </c>
      <c r="G185" s="106" t="s">
        <v>2697</v>
      </c>
      <c r="H185" s="106" t="s">
        <v>3041</v>
      </c>
    </row>
    <row r="186" spans="2:8" x14ac:dyDescent="0.3">
      <c r="B186" s="106" t="s">
        <v>1796</v>
      </c>
      <c r="C186" s="106" t="s">
        <v>1015</v>
      </c>
      <c r="D186" s="106" t="s">
        <v>3042</v>
      </c>
      <c r="E186" s="107">
        <v>44224</v>
      </c>
      <c r="F186" s="107">
        <v>46049</v>
      </c>
      <c r="G186" s="106" t="s">
        <v>2697</v>
      </c>
      <c r="H186" s="106" t="s">
        <v>3043</v>
      </c>
    </row>
    <row r="187" spans="2:8" x14ac:dyDescent="0.3">
      <c r="B187" s="106" t="s">
        <v>1796</v>
      </c>
      <c r="C187" s="106" t="s">
        <v>1015</v>
      </c>
      <c r="D187" s="106" t="s">
        <v>3044</v>
      </c>
      <c r="E187" s="107">
        <v>44739</v>
      </c>
      <c r="F187" s="107">
        <v>48389</v>
      </c>
      <c r="G187" s="106" t="s">
        <v>2697</v>
      </c>
      <c r="H187" s="106" t="s">
        <v>3045</v>
      </c>
    </row>
    <row r="188" spans="2:8" x14ac:dyDescent="0.3">
      <c r="B188" s="106" t="s">
        <v>1796</v>
      </c>
      <c r="C188" s="106" t="s">
        <v>1015</v>
      </c>
      <c r="D188" s="106" t="s">
        <v>3046</v>
      </c>
      <c r="E188" s="107">
        <v>45148</v>
      </c>
      <c r="F188" s="107">
        <v>48801</v>
      </c>
      <c r="G188" s="106" t="s">
        <v>2697</v>
      </c>
      <c r="H188" s="106" t="s">
        <v>3047</v>
      </c>
    </row>
    <row r="189" spans="2:8" x14ac:dyDescent="0.3">
      <c r="B189" s="106" t="s">
        <v>1796</v>
      </c>
      <c r="C189" s="106" t="s">
        <v>1015</v>
      </c>
      <c r="D189" s="106" t="s">
        <v>3048</v>
      </c>
      <c r="E189" s="107">
        <v>45224</v>
      </c>
      <c r="F189" s="107">
        <v>48874</v>
      </c>
      <c r="G189" s="106" t="s">
        <v>2697</v>
      </c>
      <c r="H189" s="106" t="s">
        <v>3049</v>
      </c>
    </row>
    <row r="190" spans="2:8" x14ac:dyDescent="0.3">
      <c r="B190" s="106" t="s">
        <v>1796</v>
      </c>
      <c r="C190" s="106" t="s">
        <v>1015</v>
      </c>
      <c r="D190" s="106" t="s">
        <v>3050</v>
      </c>
      <c r="E190" s="107">
        <v>45210</v>
      </c>
      <c r="F190" s="107">
        <v>48860</v>
      </c>
      <c r="G190" s="106" t="s">
        <v>2697</v>
      </c>
      <c r="H190" s="106" t="s">
        <v>3051</v>
      </c>
    </row>
    <row r="191" spans="2:8" x14ac:dyDescent="0.3">
      <c r="B191" s="106" t="s">
        <v>1796</v>
      </c>
      <c r="C191" s="106" t="s">
        <v>1015</v>
      </c>
      <c r="D191" s="106" t="s">
        <v>3052</v>
      </c>
      <c r="E191" s="107">
        <v>45553</v>
      </c>
      <c r="F191" s="107">
        <v>47378</v>
      </c>
      <c r="G191" s="106" t="s">
        <v>2697</v>
      </c>
      <c r="H191" s="106" t="s">
        <v>3053</v>
      </c>
    </row>
    <row r="192" spans="2:8" x14ac:dyDescent="0.3">
      <c r="B192" s="106" t="s">
        <v>1796</v>
      </c>
      <c r="C192" s="106" t="s">
        <v>1015</v>
      </c>
      <c r="D192" s="106" t="s">
        <v>3054</v>
      </c>
      <c r="E192" s="107">
        <v>42452</v>
      </c>
      <c r="F192" s="107">
        <v>46141</v>
      </c>
      <c r="G192" s="106" t="s">
        <v>2697</v>
      </c>
      <c r="H192" s="106" t="s">
        <v>3055</v>
      </c>
    </row>
    <row r="193" spans="2:8" x14ac:dyDescent="0.3">
      <c r="B193" s="106" t="s">
        <v>1796</v>
      </c>
      <c r="C193" s="106" t="s">
        <v>1015</v>
      </c>
      <c r="D193" s="106" t="s">
        <v>3056</v>
      </c>
      <c r="E193" s="107">
        <v>45554</v>
      </c>
      <c r="F193" s="107">
        <v>47745</v>
      </c>
      <c r="G193" s="106" t="s">
        <v>2697</v>
      </c>
      <c r="H193" s="106" t="s">
        <v>3057</v>
      </c>
    </row>
    <row r="194" spans="2:8" x14ac:dyDescent="0.3">
      <c r="B194" s="106" t="s">
        <v>1796</v>
      </c>
      <c r="C194" s="106" t="s">
        <v>1015</v>
      </c>
      <c r="D194" s="106" t="s">
        <v>3058</v>
      </c>
      <c r="E194" s="107">
        <v>42998</v>
      </c>
      <c r="F194" s="107">
        <v>46650</v>
      </c>
      <c r="G194" s="106" t="s">
        <v>2697</v>
      </c>
      <c r="H194" s="106" t="s">
        <v>3059</v>
      </c>
    </row>
    <row r="195" spans="2:8" x14ac:dyDescent="0.3">
      <c r="B195" s="106" t="s">
        <v>1796</v>
      </c>
      <c r="C195" s="106" t="s">
        <v>1015</v>
      </c>
      <c r="D195" s="106" t="s">
        <v>3060</v>
      </c>
      <c r="E195" s="107">
        <v>45678</v>
      </c>
      <c r="F195" s="107">
        <v>47138</v>
      </c>
      <c r="G195" s="106" t="s">
        <v>2697</v>
      </c>
      <c r="H195" s="106" t="s">
        <v>3061</v>
      </c>
    </row>
    <row r="196" spans="2:8" x14ac:dyDescent="0.3">
      <c r="B196" s="106" t="s">
        <v>1796</v>
      </c>
      <c r="C196" s="106" t="s">
        <v>1015</v>
      </c>
      <c r="D196" s="106" t="s">
        <v>3062</v>
      </c>
      <c r="E196" s="107">
        <v>44516</v>
      </c>
      <c r="F196" s="107">
        <v>46341</v>
      </c>
      <c r="G196" s="106" t="s">
        <v>2697</v>
      </c>
      <c r="H196" s="106" t="s">
        <v>3063</v>
      </c>
    </row>
    <row r="197" spans="2:8" x14ac:dyDescent="0.3">
      <c r="B197" s="106" t="s">
        <v>1796</v>
      </c>
      <c r="C197" s="106" t="s">
        <v>1015</v>
      </c>
      <c r="D197" s="106" t="s">
        <v>3064</v>
      </c>
      <c r="E197" s="107">
        <v>45328</v>
      </c>
      <c r="F197" s="107">
        <v>48978</v>
      </c>
      <c r="G197" s="106" t="s">
        <v>2697</v>
      </c>
      <c r="H197" s="106" t="s">
        <v>3065</v>
      </c>
    </row>
    <row r="198" spans="2:8" x14ac:dyDescent="0.3">
      <c r="B198" s="106" t="s">
        <v>1796</v>
      </c>
      <c r="C198" s="106" t="s">
        <v>1015</v>
      </c>
      <c r="D198" s="106" t="s">
        <v>3066</v>
      </c>
      <c r="E198" s="107">
        <v>45078</v>
      </c>
      <c r="F198" s="107">
        <v>46903</v>
      </c>
      <c r="G198" s="106" t="s">
        <v>2697</v>
      </c>
      <c r="H198" s="106" t="s">
        <v>3067</v>
      </c>
    </row>
    <row r="199" spans="2:8" x14ac:dyDescent="0.3">
      <c r="B199" s="106" t="s">
        <v>1796</v>
      </c>
      <c r="C199" s="106" t="s">
        <v>1015</v>
      </c>
      <c r="D199" s="106" t="s">
        <v>3068</v>
      </c>
      <c r="E199" s="107">
        <v>45709</v>
      </c>
      <c r="F199" s="107">
        <v>46804</v>
      </c>
      <c r="G199" s="106" t="s">
        <v>2697</v>
      </c>
      <c r="H199" s="106" t="s">
        <v>3069</v>
      </c>
    </row>
    <row r="200" spans="2:8" x14ac:dyDescent="0.3">
      <c r="B200" s="106" t="s">
        <v>1796</v>
      </c>
      <c r="C200" s="106" t="s">
        <v>1015</v>
      </c>
      <c r="D200" s="106" t="s">
        <v>3070</v>
      </c>
      <c r="E200" s="107">
        <v>45565</v>
      </c>
      <c r="F200" s="107">
        <v>46660</v>
      </c>
      <c r="G200" s="106" t="s">
        <v>2697</v>
      </c>
      <c r="H200" s="106" t="s">
        <v>3071</v>
      </c>
    </row>
    <row r="201" spans="2:8" x14ac:dyDescent="0.3">
      <c r="B201" s="106" t="s">
        <v>1796</v>
      </c>
      <c r="C201" s="106" t="s">
        <v>1015</v>
      </c>
      <c r="D201" s="106" t="s">
        <v>3072</v>
      </c>
      <c r="E201" s="107">
        <v>44400</v>
      </c>
      <c r="F201" s="107">
        <v>46225</v>
      </c>
      <c r="G201" s="106" t="s">
        <v>2697</v>
      </c>
      <c r="H201" s="106" t="s">
        <v>3073</v>
      </c>
    </row>
    <row r="202" spans="2:8" x14ac:dyDescent="0.3">
      <c r="B202" s="106" t="s">
        <v>1796</v>
      </c>
      <c r="C202" s="106" t="s">
        <v>1015</v>
      </c>
      <c r="D202" s="106" t="s">
        <v>3074</v>
      </c>
      <c r="E202" s="107">
        <v>45609</v>
      </c>
      <c r="F202" s="107">
        <v>46704</v>
      </c>
      <c r="G202" s="106" t="s">
        <v>2697</v>
      </c>
      <c r="H202" s="106" t="s">
        <v>3075</v>
      </c>
    </row>
    <row r="203" spans="2:8" x14ac:dyDescent="0.3">
      <c r="B203" s="106" t="s">
        <v>1796</v>
      </c>
      <c r="C203" s="106" t="s">
        <v>1015</v>
      </c>
      <c r="D203" s="106" t="s">
        <v>3076</v>
      </c>
      <c r="E203" s="107">
        <v>44316</v>
      </c>
      <c r="F203" s="107">
        <v>46141</v>
      </c>
      <c r="G203" s="106" t="s">
        <v>2697</v>
      </c>
      <c r="H203" s="106" t="s">
        <v>3077</v>
      </c>
    </row>
    <row r="204" spans="2:8" x14ac:dyDescent="0.3">
      <c r="B204" s="106" t="s">
        <v>1796</v>
      </c>
      <c r="C204" s="106" t="s">
        <v>1015</v>
      </c>
      <c r="D204" s="106" t="s">
        <v>3078</v>
      </c>
      <c r="E204" s="107">
        <v>45519</v>
      </c>
      <c r="F204" s="107">
        <v>46614</v>
      </c>
      <c r="G204" s="106" t="s">
        <v>2697</v>
      </c>
      <c r="H204" s="106" t="s">
        <v>3079</v>
      </c>
    </row>
    <row r="205" spans="2:8" x14ac:dyDescent="0.3">
      <c r="B205" s="106" t="s">
        <v>1796</v>
      </c>
      <c r="C205" s="106" t="s">
        <v>1015</v>
      </c>
      <c r="D205" s="106" t="s">
        <v>3080</v>
      </c>
      <c r="E205" s="107">
        <v>44271</v>
      </c>
      <c r="F205" s="107">
        <v>45945</v>
      </c>
      <c r="G205" s="106" t="s">
        <v>2724</v>
      </c>
      <c r="H205" s="106" t="s">
        <v>3081</v>
      </c>
    </row>
    <row r="206" spans="2:8" x14ac:dyDescent="0.3">
      <c r="B206" s="106" t="s">
        <v>1796</v>
      </c>
      <c r="C206" s="106" t="s">
        <v>1015</v>
      </c>
      <c r="D206" s="106" t="s">
        <v>3082</v>
      </c>
      <c r="E206" s="107">
        <v>43395</v>
      </c>
      <c r="F206" s="107">
        <v>44060</v>
      </c>
      <c r="G206" s="106" t="s">
        <v>2724</v>
      </c>
      <c r="H206" s="106" t="s">
        <v>3083</v>
      </c>
    </row>
    <row r="207" spans="2:8" x14ac:dyDescent="0.3">
      <c r="B207" s="106" t="s">
        <v>1796</v>
      </c>
      <c r="C207" s="106" t="s">
        <v>1015</v>
      </c>
      <c r="D207" s="106" t="s">
        <v>3084</v>
      </c>
      <c r="E207" s="107">
        <v>43517</v>
      </c>
      <c r="F207" s="107">
        <v>45709</v>
      </c>
      <c r="G207" s="106" t="s">
        <v>2724</v>
      </c>
      <c r="H207" s="106" t="s">
        <v>3085</v>
      </c>
    </row>
    <row r="208" spans="2:8" x14ac:dyDescent="0.3">
      <c r="B208" s="106" t="s">
        <v>1796</v>
      </c>
      <c r="C208" s="106" t="s">
        <v>1015</v>
      </c>
      <c r="D208" s="106" t="s">
        <v>3086</v>
      </c>
      <c r="E208" s="107">
        <v>41960</v>
      </c>
      <c r="F208" s="107">
        <v>43428</v>
      </c>
      <c r="G208" s="106" t="s">
        <v>2724</v>
      </c>
      <c r="H208" s="106" t="s">
        <v>3087</v>
      </c>
    </row>
    <row r="209" spans="2:8" x14ac:dyDescent="0.3">
      <c r="B209" s="106" t="s">
        <v>1796</v>
      </c>
      <c r="C209" s="106" t="s">
        <v>1015</v>
      </c>
      <c r="D209" s="106" t="s">
        <v>3088</v>
      </c>
      <c r="E209" s="107">
        <v>44557</v>
      </c>
      <c r="F209" s="107">
        <v>45630</v>
      </c>
      <c r="G209" s="106" t="s">
        <v>2724</v>
      </c>
      <c r="H209" s="106" t="s">
        <v>3089</v>
      </c>
    </row>
    <row r="210" spans="2:8" x14ac:dyDescent="0.3">
      <c r="B210" s="106" t="s">
        <v>1796</v>
      </c>
      <c r="C210" s="106" t="s">
        <v>1015</v>
      </c>
      <c r="D210" s="106" t="s">
        <v>3090</v>
      </c>
      <c r="E210" s="107">
        <v>42927</v>
      </c>
      <c r="F210" s="107">
        <v>44242</v>
      </c>
      <c r="G210" s="106" t="s">
        <v>2724</v>
      </c>
      <c r="H210" s="106" t="s">
        <v>3091</v>
      </c>
    </row>
    <row r="211" spans="2:8" x14ac:dyDescent="0.3">
      <c r="B211" s="106" t="s">
        <v>1796</v>
      </c>
      <c r="C211" s="106" t="s">
        <v>1015</v>
      </c>
      <c r="D211" s="106" t="s">
        <v>3092</v>
      </c>
      <c r="E211" s="107">
        <v>43154</v>
      </c>
      <c r="F211" s="107">
        <v>44615</v>
      </c>
      <c r="G211" s="106" t="s">
        <v>2724</v>
      </c>
      <c r="H211" s="106" t="s">
        <v>2923</v>
      </c>
    </row>
    <row r="212" spans="2:8" x14ac:dyDescent="0.3">
      <c r="B212" s="106" t="s">
        <v>1796</v>
      </c>
      <c r="C212" s="106" t="s">
        <v>1015</v>
      </c>
      <c r="D212" s="106" t="s">
        <v>3093</v>
      </c>
      <c r="E212" s="107">
        <v>45184</v>
      </c>
      <c r="F212" s="107">
        <v>45915</v>
      </c>
      <c r="G212" s="106" t="s">
        <v>2724</v>
      </c>
      <c r="H212" s="106" t="s">
        <v>3094</v>
      </c>
    </row>
    <row r="213" spans="2:8" x14ac:dyDescent="0.3">
      <c r="B213" s="106" t="s">
        <v>1796</v>
      </c>
      <c r="C213" s="106" t="s">
        <v>1015</v>
      </c>
      <c r="D213" s="106" t="s">
        <v>3095</v>
      </c>
      <c r="E213" s="107">
        <v>45174</v>
      </c>
      <c r="F213" s="107">
        <v>45905</v>
      </c>
      <c r="G213" s="106" t="s">
        <v>2724</v>
      </c>
      <c r="H213" s="106" t="s">
        <v>3096</v>
      </c>
    </row>
    <row r="214" spans="2:8" x14ac:dyDescent="0.3">
      <c r="B214" s="106" t="s">
        <v>1796</v>
      </c>
      <c r="C214" s="106" t="s">
        <v>1015</v>
      </c>
      <c r="D214" s="106" t="s">
        <v>3097</v>
      </c>
      <c r="E214" s="107">
        <v>43796</v>
      </c>
      <c r="F214" s="107">
        <v>45988</v>
      </c>
      <c r="G214" s="106" t="s">
        <v>2724</v>
      </c>
      <c r="H214" s="106" t="s">
        <v>3098</v>
      </c>
    </row>
    <row r="215" spans="2:8" x14ac:dyDescent="0.3">
      <c r="B215" s="106" t="s">
        <v>1796</v>
      </c>
      <c r="C215" s="106" t="s">
        <v>1015</v>
      </c>
      <c r="D215" s="106" t="s">
        <v>3099</v>
      </c>
      <c r="E215" s="107">
        <v>45184</v>
      </c>
      <c r="F215" s="107">
        <v>45915</v>
      </c>
      <c r="G215" s="106" t="s">
        <v>2724</v>
      </c>
      <c r="H215" s="106" t="s">
        <v>3100</v>
      </c>
    </row>
    <row r="216" spans="2:8" x14ac:dyDescent="0.3">
      <c r="B216" s="106" t="s">
        <v>1796</v>
      </c>
      <c r="C216" s="106" t="s">
        <v>1015</v>
      </c>
      <c r="D216" s="106" t="s">
        <v>3101</v>
      </c>
      <c r="E216" s="107">
        <v>45174</v>
      </c>
      <c r="F216" s="107">
        <v>45905</v>
      </c>
      <c r="G216" s="106" t="s">
        <v>2724</v>
      </c>
      <c r="H216" s="106" t="s">
        <v>3102</v>
      </c>
    </row>
    <row r="217" spans="2:8" x14ac:dyDescent="0.3">
      <c r="B217" s="106" t="s">
        <v>1796</v>
      </c>
      <c r="C217" s="106" t="s">
        <v>1015</v>
      </c>
      <c r="D217" s="106" t="s">
        <v>3103</v>
      </c>
      <c r="E217" s="107">
        <v>45194</v>
      </c>
      <c r="F217" s="107">
        <v>45925</v>
      </c>
      <c r="G217" s="106" t="s">
        <v>2724</v>
      </c>
      <c r="H217" s="106" t="s">
        <v>3104</v>
      </c>
    </row>
    <row r="218" spans="2:8" x14ac:dyDescent="0.3">
      <c r="B218" s="106" t="s">
        <v>1796</v>
      </c>
      <c r="C218" s="106" t="s">
        <v>1015</v>
      </c>
      <c r="D218" s="106" t="s">
        <v>3105</v>
      </c>
      <c r="E218" s="107">
        <v>41781</v>
      </c>
      <c r="F218" s="107">
        <v>45497</v>
      </c>
      <c r="G218" s="106" t="s">
        <v>2724</v>
      </c>
      <c r="H218" s="106" t="s">
        <v>3106</v>
      </c>
    </row>
    <row r="219" spans="2:8" x14ac:dyDescent="0.3">
      <c r="B219" s="106" t="s">
        <v>1796</v>
      </c>
      <c r="C219" s="106" t="s">
        <v>1015</v>
      </c>
      <c r="D219" s="106" t="s">
        <v>3107</v>
      </c>
      <c r="E219" s="107">
        <v>45440</v>
      </c>
      <c r="F219" s="107">
        <v>46080</v>
      </c>
      <c r="G219" s="106" t="s">
        <v>2724</v>
      </c>
      <c r="H219" s="106" t="s">
        <v>3108</v>
      </c>
    </row>
    <row r="220" spans="2:8" x14ac:dyDescent="0.3">
      <c r="B220" s="106" t="s">
        <v>1796</v>
      </c>
      <c r="C220" s="106" t="s">
        <v>1015</v>
      </c>
      <c r="D220" s="106" t="s">
        <v>3109</v>
      </c>
      <c r="E220" s="107">
        <v>44988</v>
      </c>
      <c r="F220" s="107">
        <v>45954</v>
      </c>
      <c r="G220" s="106" t="s">
        <v>2724</v>
      </c>
      <c r="H220" s="106" t="s">
        <v>3110</v>
      </c>
    </row>
    <row r="221" spans="2:8" x14ac:dyDescent="0.3">
      <c r="B221" s="106" t="s">
        <v>1796</v>
      </c>
      <c r="C221" s="106" t="s">
        <v>1015</v>
      </c>
      <c r="D221" s="106" t="s">
        <v>3111</v>
      </c>
      <c r="E221" s="107">
        <v>42514</v>
      </c>
      <c r="F221" s="107">
        <v>44340</v>
      </c>
      <c r="G221" s="106" t="s">
        <v>2724</v>
      </c>
      <c r="H221" s="106" t="s">
        <v>3112</v>
      </c>
    </row>
    <row r="222" spans="2:8" x14ac:dyDescent="0.3">
      <c r="B222" s="106" t="s">
        <v>1796</v>
      </c>
      <c r="C222" s="106" t="s">
        <v>1015</v>
      </c>
      <c r="D222" s="106" t="s">
        <v>3113</v>
      </c>
      <c r="E222" s="107">
        <v>44138</v>
      </c>
      <c r="F222" s="107">
        <v>45233</v>
      </c>
      <c r="G222" s="106" t="s">
        <v>2724</v>
      </c>
      <c r="H222" s="106" t="s">
        <v>3114</v>
      </c>
    </row>
    <row r="223" spans="2:8" x14ac:dyDescent="0.3">
      <c r="B223" s="106" t="s">
        <v>1796</v>
      </c>
      <c r="C223" s="106" t="s">
        <v>1015</v>
      </c>
      <c r="D223" s="106" t="s">
        <v>3115</v>
      </c>
      <c r="E223" s="107">
        <v>44442</v>
      </c>
      <c r="F223" s="107">
        <v>45902</v>
      </c>
      <c r="G223" s="106" t="s">
        <v>2724</v>
      </c>
      <c r="H223" s="106" t="s">
        <v>3116</v>
      </c>
    </row>
    <row r="224" spans="2:8" x14ac:dyDescent="0.3">
      <c r="B224" s="106" t="s">
        <v>1796</v>
      </c>
      <c r="C224" s="106" t="s">
        <v>1015</v>
      </c>
      <c r="D224" s="106" t="s">
        <v>3117</v>
      </c>
      <c r="E224" s="107">
        <v>44490</v>
      </c>
      <c r="F224" s="107">
        <v>45951</v>
      </c>
      <c r="G224" s="106" t="s">
        <v>2724</v>
      </c>
      <c r="H224" s="106" t="s">
        <v>3118</v>
      </c>
    </row>
    <row r="225" spans="2:8" x14ac:dyDescent="0.3">
      <c r="B225" s="106" t="s">
        <v>1796</v>
      </c>
      <c r="C225" s="106" t="s">
        <v>1015</v>
      </c>
      <c r="D225" s="106" t="s">
        <v>3119</v>
      </c>
      <c r="E225" s="107">
        <v>44523</v>
      </c>
      <c r="F225" s="107">
        <v>45862</v>
      </c>
      <c r="G225" s="106" t="s">
        <v>2724</v>
      </c>
      <c r="H225" s="106" t="s">
        <v>3120</v>
      </c>
    </row>
    <row r="226" spans="2:8" x14ac:dyDescent="0.3">
      <c r="B226" s="106" t="s">
        <v>1796</v>
      </c>
      <c r="C226" s="106" t="s">
        <v>1015</v>
      </c>
      <c r="D226" s="106" t="s">
        <v>3121</v>
      </c>
      <c r="E226" s="107">
        <v>44242</v>
      </c>
      <c r="F226" s="107">
        <v>45702</v>
      </c>
      <c r="G226" s="106" t="s">
        <v>2724</v>
      </c>
      <c r="H226" s="106" t="s">
        <v>3122</v>
      </c>
    </row>
    <row r="227" spans="2:8" x14ac:dyDescent="0.3">
      <c r="B227" s="106" t="s">
        <v>1796</v>
      </c>
      <c r="C227" s="106" t="s">
        <v>1015</v>
      </c>
      <c r="D227" s="106" t="s">
        <v>3123</v>
      </c>
      <c r="E227" s="107">
        <v>43360</v>
      </c>
      <c r="F227" s="107">
        <v>43920</v>
      </c>
      <c r="G227" s="106" t="s">
        <v>2724</v>
      </c>
      <c r="H227" s="106" t="s">
        <v>3124</v>
      </c>
    </row>
    <row r="228" spans="2:8" x14ac:dyDescent="0.3">
      <c r="B228" s="106" t="s">
        <v>1796</v>
      </c>
      <c r="C228" s="106" t="s">
        <v>1015</v>
      </c>
      <c r="D228" s="106" t="s">
        <v>3125</v>
      </c>
      <c r="E228" s="107">
        <v>44008</v>
      </c>
      <c r="F228" s="107">
        <v>45833</v>
      </c>
      <c r="G228" s="106" t="s">
        <v>2724</v>
      </c>
      <c r="H228" s="106" t="s">
        <v>3126</v>
      </c>
    </row>
    <row r="229" spans="2:8" x14ac:dyDescent="0.3">
      <c r="B229" s="106" t="s">
        <v>1796</v>
      </c>
      <c r="C229" s="106" t="s">
        <v>1015</v>
      </c>
      <c r="D229" s="106" t="s">
        <v>3127</v>
      </c>
      <c r="E229" s="107">
        <v>44049</v>
      </c>
      <c r="F229" s="107">
        <v>45874</v>
      </c>
      <c r="G229" s="106" t="s">
        <v>2724</v>
      </c>
      <c r="H229" s="106" t="s">
        <v>3128</v>
      </c>
    </row>
    <row r="230" spans="2:8" x14ac:dyDescent="0.3">
      <c r="B230" s="106" t="s">
        <v>1796</v>
      </c>
      <c r="C230" s="106" t="s">
        <v>1015</v>
      </c>
      <c r="D230" s="106" t="s">
        <v>3129</v>
      </c>
      <c r="E230" s="107">
        <v>45188</v>
      </c>
      <c r="F230" s="107">
        <v>45919</v>
      </c>
      <c r="G230" s="106" t="s">
        <v>2724</v>
      </c>
      <c r="H230" s="106" t="s">
        <v>3130</v>
      </c>
    </row>
    <row r="231" spans="2:8" x14ac:dyDescent="0.3">
      <c r="B231" s="106" t="s">
        <v>1796</v>
      </c>
      <c r="C231" s="106" t="s">
        <v>1015</v>
      </c>
      <c r="D231" s="106" t="s">
        <v>3131</v>
      </c>
      <c r="E231" s="107">
        <v>41669</v>
      </c>
      <c r="F231" s="107">
        <v>42731</v>
      </c>
      <c r="G231" s="106" t="s">
        <v>2724</v>
      </c>
      <c r="H231" s="106" t="s">
        <v>3132</v>
      </c>
    </row>
    <row r="232" spans="2:8" x14ac:dyDescent="0.3">
      <c r="B232" s="106" t="s">
        <v>1796</v>
      </c>
      <c r="C232" s="106" t="s">
        <v>1015</v>
      </c>
      <c r="D232" s="106" t="s">
        <v>3133</v>
      </c>
      <c r="E232" s="107">
        <v>45000</v>
      </c>
      <c r="F232" s="107">
        <v>45981</v>
      </c>
      <c r="G232" s="106" t="s">
        <v>2724</v>
      </c>
      <c r="H232" s="106" t="s">
        <v>3134</v>
      </c>
    </row>
    <row r="233" spans="2:8" x14ac:dyDescent="0.3">
      <c r="B233" s="106" t="s">
        <v>1796</v>
      </c>
      <c r="C233" s="106" t="s">
        <v>1015</v>
      </c>
      <c r="D233" s="106" t="s">
        <v>3135</v>
      </c>
      <c r="E233" s="107">
        <v>42789</v>
      </c>
      <c r="F233" s="107">
        <v>43884</v>
      </c>
      <c r="G233" s="106" t="s">
        <v>2724</v>
      </c>
      <c r="H233" s="106" t="s">
        <v>2959</v>
      </c>
    </row>
    <row r="234" spans="2:8" x14ac:dyDescent="0.3">
      <c r="B234" s="106" t="s">
        <v>1796</v>
      </c>
      <c r="C234" s="106" t="s">
        <v>1015</v>
      </c>
      <c r="D234" s="106" t="s">
        <v>3136</v>
      </c>
      <c r="E234" s="107">
        <v>43448</v>
      </c>
      <c r="F234" s="107">
        <v>45640</v>
      </c>
      <c r="G234" s="106" t="s">
        <v>2724</v>
      </c>
      <c r="H234" s="106" t="s">
        <v>3137</v>
      </c>
    </row>
    <row r="235" spans="2:8" x14ac:dyDescent="0.3">
      <c r="B235" s="106" t="s">
        <v>1796</v>
      </c>
      <c r="C235" s="106" t="s">
        <v>1015</v>
      </c>
      <c r="D235" s="106" t="s">
        <v>3138</v>
      </c>
      <c r="E235" s="107">
        <v>43165</v>
      </c>
      <c r="F235" s="107">
        <v>44991</v>
      </c>
      <c r="G235" s="106" t="s">
        <v>3139</v>
      </c>
      <c r="H235" s="106" t="s">
        <v>3140</v>
      </c>
    </row>
    <row r="236" spans="2:8" x14ac:dyDescent="0.3">
      <c r="B236" s="106" t="s">
        <v>1796</v>
      </c>
      <c r="C236" s="106" t="s">
        <v>1015</v>
      </c>
      <c r="D236" s="106" t="s">
        <v>3141</v>
      </c>
      <c r="E236" s="107">
        <v>39657</v>
      </c>
      <c r="F236" s="107">
        <v>40775</v>
      </c>
      <c r="G236" s="106" t="s">
        <v>3139</v>
      </c>
      <c r="H236" s="106" t="s">
        <v>3142</v>
      </c>
    </row>
    <row r="237" spans="2:8" x14ac:dyDescent="0.3">
      <c r="B237" s="106" t="s">
        <v>1796</v>
      </c>
      <c r="C237" s="106" t="s">
        <v>507</v>
      </c>
      <c r="D237" s="106" t="s">
        <v>3143</v>
      </c>
      <c r="E237" s="107">
        <v>45324</v>
      </c>
      <c r="F237" s="107">
        <v>46785</v>
      </c>
      <c r="G237" s="106" t="s">
        <v>2697</v>
      </c>
      <c r="H237" s="106" t="s">
        <v>3144</v>
      </c>
    </row>
    <row r="238" spans="2:8" x14ac:dyDescent="0.3">
      <c r="B238" s="106" t="s">
        <v>1796</v>
      </c>
      <c r="C238" s="106" t="s">
        <v>507</v>
      </c>
      <c r="D238" s="106" t="s">
        <v>3145</v>
      </c>
      <c r="E238" s="107">
        <v>45089</v>
      </c>
      <c r="F238" s="107">
        <v>46914</v>
      </c>
      <c r="G238" s="106" t="s">
        <v>2697</v>
      </c>
      <c r="H238" s="106" t="s">
        <v>3146</v>
      </c>
    </row>
    <row r="239" spans="2:8" x14ac:dyDescent="0.3">
      <c r="B239" s="106" t="s">
        <v>1796</v>
      </c>
      <c r="C239" s="106" t="s">
        <v>507</v>
      </c>
      <c r="D239" s="106" t="s">
        <v>3147</v>
      </c>
      <c r="E239" s="107">
        <v>44644</v>
      </c>
      <c r="F239" s="107">
        <v>46105</v>
      </c>
      <c r="G239" s="106" t="s">
        <v>2697</v>
      </c>
      <c r="H239" s="106" t="s">
        <v>3148</v>
      </c>
    </row>
    <row r="240" spans="2:8" x14ac:dyDescent="0.3">
      <c r="B240" s="106" t="s">
        <v>1796</v>
      </c>
      <c r="C240" s="106" t="s">
        <v>507</v>
      </c>
      <c r="D240" s="106" t="s">
        <v>3149</v>
      </c>
      <c r="E240" s="107">
        <v>45105</v>
      </c>
      <c r="F240" s="107">
        <v>46566</v>
      </c>
      <c r="G240" s="106" t="s">
        <v>2697</v>
      </c>
      <c r="H240" s="106" t="s">
        <v>3150</v>
      </c>
    </row>
    <row r="241" spans="2:8" x14ac:dyDescent="0.3">
      <c r="B241" s="106" t="s">
        <v>1796</v>
      </c>
      <c r="C241" s="106" t="s">
        <v>507</v>
      </c>
      <c r="D241" s="106" t="s">
        <v>3151</v>
      </c>
      <c r="E241" s="107">
        <v>45317</v>
      </c>
      <c r="F241" s="107">
        <v>46778</v>
      </c>
      <c r="G241" s="106" t="s">
        <v>2697</v>
      </c>
      <c r="H241" s="106" t="s">
        <v>3152</v>
      </c>
    </row>
    <row r="242" spans="2:8" x14ac:dyDescent="0.3">
      <c r="B242" s="106" t="s">
        <v>1796</v>
      </c>
      <c r="C242" s="106" t="s">
        <v>507</v>
      </c>
      <c r="D242" s="106" t="s">
        <v>3153</v>
      </c>
      <c r="E242" s="107">
        <v>44236</v>
      </c>
      <c r="F242" s="107">
        <v>46061</v>
      </c>
      <c r="G242" s="106" t="s">
        <v>2697</v>
      </c>
      <c r="H242" s="106" t="s">
        <v>3154</v>
      </c>
    </row>
    <row r="243" spans="2:8" x14ac:dyDescent="0.3">
      <c r="B243" s="106" t="s">
        <v>1796</v>
      </c>
      <c r="C243" s="106" t="s">
        <v>507</v>
      </c>
      <c r="D243" s="106" t="s">
        <v>3155</v>
      </c>
      <c r="E243" s="107">
        <v>45202</v>
      </c>
      <c r="F243" s="107">
        <v>46663</v>
      </c>
      <c r="G243" s="106" t="s">
        <v>2697</v>
      </c>
      <c r="H243" s="106" t="s">
        <v>3156</v>
      </c>
    </row>
    <row r="244" spans="2:8" x14ac:dyDescent="0.3">
      <c r="B244" s="106" t="s">
        <v>1796</v>
      </c>
      <c r="C244" s="106" t="s">
        <v>507</v>
      </c>
      <c r="D244" s="106" t="s">
        <v>3157</v>
      </c>
      <c r="E244" s="107">
        <v>45369</v>
      </c>
      <c r="F244" s="107">
        <v>46813</v>
      </c>
      <c r="G244" s="106" t="s">
        <v>2697</v>
      </c>
      <c r="H244" s="106" t="s">
        <v>3158</v>
      </c>
    </row>
    <row r="245" spans="2:8" x14ac:dyDescent="0.3">
      <c r="B245" s="106" t="s">
        <v>1796</v>
      </c>
      <c r="C245" s="106" t="s">
        <v>507</v>
      </c>
      <c r="D245" s="106" t="s">
        <v>3159</v>
      </c>
      <c r="E245" s="107">
        <v>45371</v>
      </c>
      <c r="F245" s="107">
        <v>46813</v>
      </c>
      <c r="G245" s="106" t="s">
        <v>2697</v>
      </c>
      <c r="H245" s="106" t="s">
        <v>3160</v>
      </c>
    </row>
    <row r="246" spans="2:8" x14ac:dyDescent="0.3">
      <c r="B246" s="106" t="s">
        <v>1796</v>
      </c>
      <c r="C246" s="106" t="s">
        <v>507</v>
      </c>
      <c r="D246" s="106" t="s">
        <v>3161</v>
      </c>
      <c r="E246" s="107">
        <v>45324</v>
      </c>
      <c r="F246" s="107">
        <v>46785</v>
      </c>
      <c r="G246" s="106" t="s">
        <v>2697</v>
      </c>
      <c r="H246" s="106" t="s">
        <v>3162</v>
      </c>
    </row>
    <row r="247" spans="2:8" x14ac:dyDescent="0.3">
      <c r="B247" s="106" t="s">
        <v>1796</v>
      </c>
      <c r="C247" s="106" t="s">
        <v>507</v>
      </c>
      <c r="D247" s="106" t="s">
        <v>3163</v>
      </c>
      <c r="E247" s="107">
        <v>45236</v>
      </c>
      <c r="F247" s="107">
        <v>47061</v>
      </c>
      <c r="G247" s="106" t="s">
        <v>2697</v>
      </c>
      <c r="H247" s="106" t="s">
        <v>3164</v>
      </c>
    </row>
    <row r="248" spans="2:8" x14ac:dyDescent="0.3">
      <c r="B248" s="106" t="s">
        <v>1796</v>
      </c>
      <c r="C248" s="106" t="s">
        <v>507</v>
      </c>
      <c r="D248" s="106" t="s">
        <v>3165</v>
      </c>
      <c r="E248" s="107">
        <v>45404</v>
      </c>
      <c r="F248" s="107">
        <v>49056</v>
      </c>
      <c r="G248" s="106" t="s">
        <v>2697</v>
      </c>
      <c r="H248" s="106" t="s">
        <v>3166</v>
      </c>
    </row>
    <row r="249" spans="2:8" x14ac:dyDescent="0.3">
      <c r="B249" s="106" t="s">
        <v>1796</v>
      </c>
      <c r="C249" s="106" t="s">
        <v>507</v>
      </c>
      <c r="D249" s="106" t="s">
        <v>3167</v>
      </c>
      <c r="E249" s="107">
        <v>45324</v>
      </c>
      <c r="F249" s="107">
        <v>46785</v>
      </c>
      <c r="G249" s="106" t="s">
        <v>2697</v>
      </c>
      <c r="H249" s="106" t="s">
        <v>3168</v>
      </c>
    </row>
    <row r="250" spans="2:8" x14ac:dyDescent="0.3">
      <c r="B250" s="106" t="s">
        <v>1796</v>
      </c>
      <c r="C250" s="106" t="s">
        <v>507</v>
      </c>
      <c r="D250" s="106" t="s">
        <v>3169</v>
      </c>
      <c r="E250" s="107">
        <v>45608</v>
      </c>
      <c r="F250" s="107">
        <v>47069</v>
      </c>
      <c r="G250" s="106" t="s">
        <v>2697</v>
      </c>
      <c r="H250" s="106" t="s">
        <v>3170</v>
      </c>
    </row>
    <row r="251" spans="2:8" x14ac:dyDescent="0.3">
      <c r="B251" s="106" t="s">
        <v>1796</v>
      </c>
      <c r="C251" s="106" t="s">
        <v>507</v>
      </c>
      <c r="D251" s="106" t="s">
        <v>3171</v>
      </c>
      <c r="E251" s="107">
        <v>44936</v>
      </c>
      <c r="F251" s="107">
        <v>47126</v>
      </c>
      <c r="G251" s="106" t="s">
        <v>2697</v>
      </c>
      <c r="H251" s="106" t="s">
        <v>3172</v>
      </c>
    </row>
    <row r="252" spans="2:8" x14ac:dyDescent="0.3">
      <c r="B252" s="106" t="s">
        <v>1796</v>
      </c>
      <c r="C252" s="106" t="s">
        <v>507</v>
      </c>
      <c r="D252" s="106" t="s">
        <v>3173</v>
      </c>
      <c r="E252" s="107">
        <v>44071</v>
      </c>
      <c r="F252" s="107">
        <v>47723</v>
      </c>
      <c r="G252" s="106" t="s">
        <v>2697</v>
      </c>
      <c r="H252" s="106" t="s">
        <v>3174</v>
      </c>
    </row>
    <row r="253" spans="2:8" x14ac:dyDescent="0.3">
      <c r="B253" s="106" t="s">
        <v>1796</v>
      </c>
      <c r="C253" s="106" t="s">
        <v>507</v>
      </c>
      <c r="D253" s="106" t="s">
        <v>3175</v>
      </c>
      <c r="E253" s="107">
        <v>45533</v>
      </c>
      <c r="F253" s="107">
        <v>47724</v>
      </c>
      <c r="G253" s="106" t="s">
        <v>2697</v>
      </c>
      <c r="H253" s="106" t="s">
        <v>3176</v>
      </c>
    </row>
    <row r="254" spans="2:8" x14ac:dyDescent="0.3">
      <c r="B254" s="106" t="s">
        <v>1796</v>
      </c>
      <c r="C254" s="106" t="s">
        <v>507</v>
      </c>
      <c r="D254" s="106" t="s">
        <v>3177</v>
      </c>
      <c r="E254" s="107">
        <v>45548</v>
      </c>
      <c r="F254" s="107">
        <v>47738</v>
      </c>
      <c r="G254" s="106" t="s">
        <v>2697</v>
      </c>
      <c r="H254" s="106" t="s">
        <v>3178</v>
      </c>
    </row>
    <row r="255" spans="2:8" x14ac:dyDescent="0.3">
      <c r="B255" s="106" t="s">
        <v>1796</v>
      </c>
      <c r="C255" s="106" t="s">
        <v>507</v>
      </c>
      <c r="D255" s="106" t="s">
        <v>3179</v>
      </c>
      <c r="E255" s="107">
        <v>45512</v>
      </c>
      <c r="F255" s="107">
        <v>49164</v>
      </c>
      <c r="G255" s="106" t="s">
        <v>2697</v>
      </c>
      <c r="H255" s="106" t="s">
        <v>3180</v>
      </c>
    </row>
    <row r="256" spans="2:8" x14ac:dyDescent="0.3">
      <c r="B256" s="106" t="s">
        <v>1796</v>
      </c>
      <c r="C256" s="106" t="s">
        <v>507</v>
      </c>
      <c r="D256" s="106" t="s">
        <v>3181</v>
      </c>
      <c r="E256" s="107">
        <v>45009</v>
      </c>
      <c r="F256" s="107">
        <v>47206</v>
      </c>
      <c r="G256" s="106" t="s">
        <v>2697</v>
      </c>
      <c r="H256" s="106" t="s">
        <v>3182</v>
      </c>
    </row>
    <row r="257" spans="2:8" x14ac:dyDescent="0.3">
      <c r="B257" s="106" t="s">
        <v>1796</v>
      </c>
      <c r="C257" s="106" t="s">
        <v>507</v>
      </c>
      <c r="D257" s="106" t="s">
        <v>3183</v>
      </c>
      <c r="E257" s="107">
        <v>45533</v>
      </c>
      <c r="F257" s="107">
        <v>47723</v>
      </c>
      <c r="G257" s="106" t="s">
        <v>2697</v>
      </c>
      <c r="H257" s="106" t="s">
        <v>3184</v>
      </c>
    </row>
    <row r="258" spans="2:8" x14ac:dyDescent="0.3">
      <c r="B258" s="106" t="s">
        <v>1796</v>
      </c>
      <c r="C258" s="106" t="s">
        <v>507</v>
      </c>
      <c r="D258" s="106" t="s">
        <v>3185</v>
      </c>
      <c r="E258" s="107">
        <v>44943</v>
      </c>
      <c r="F258" s="107">
        <v>46765</v>
      </c>
      <c r="G258" s="106" t="s">
        <v>2697</v>
      </c>
      <c r="H258" s="106" t="s">
        <v>3186</v>
      </c>
    </row>
    <row r="259" spans="2:8" x14ac:dyDescent="0.3">
      <c r="B259" s="106" t="s">
        <v>1796</v>
      </c>
      <c r="C259" s="106" t="s">
        <v>507</v>
      </c>
      <c r="D259" s="106" t="s">
        <v>3187</v>
      </c>
      <c r="E259" s="107">
        <v>44028</v>
      </c>
      <c r="F259" s="107">
        <v>45853</v>
      </c>
      <c r="G259" s="106" t="s">
        <v>2724</v>
      </c>
      <c r="H259" s="106" t="s">
        <v>3188</v>
      </c>
    </row>
    <row r="260" spans="2:8" x14ac:dyDescent="0.3">
      <c r="B260" s="106" t="s">
        <v>1796</v>
      </c>
      <c r="C260" s="106" t="s">
        <v>507</v>
      </c>
      <c r="D260" s="106" t="s">
        <v>3189</v>
      </c>
      <c r="E260" s="107">
        <v>42634</v>
      </c>
      <c r="F260" s="107">
        <v>43349</v>
      </c>
      <c r="G260" s="106" t="s">
        <v>2724</v>
      </c>
      <c r="H260" s="106" t="s">
        <v>3190</v>
      </c>
    </row>
    <row r="261" spans="2:8" x14ac:dyDescent="0.3">
      <c r="B261" s="106" t="s">
        <v>1796</v>
      </c>
      <c r="C261" s="106" t="s">
        <v>507</v>
      </c>
      <c r="D261" s="106" t="s">
        <v>3191</v>
      </c>
      <c r="E261" s="107">
        <v>41430</v>
      </c>
      <c r="F261" s="107">
        <v>44260</v>
      </c>
      <c r="G261" s="106" t="s">
        <v>2724</v>
      </c>
      <c r="H261" s="106" t="s">
        <v>3192</v>
      </c>
    </row>
    <row r="262" spans="2:8" x14ac:dyDescent="0.3">
      <c r="B262" s="106" t="s">
        <v>1796</v>
      </c>
      <c r="C262" s="106" t="s">
        <v>507</v>
      </c>
      <c r="D262" s="106" t="s">
        <v>3193</v>
      </c>
      <c r="E262" s="107">
        <v>41430</v>
      </c>
      <c r="F262" s="107">
        <v>44260</v>
      </c>
      <c r="G262" s="106" t="s">
        <v>2724</v>
      </c>
      <c r="H262" s="106" t="s">
        <v>3194</v>
      </c>
    </row>
    <row r="263" spans="2:8" x14ac:dyDescent="0.3">
      <c r="B263" s="106" t="s">
        <v>1796</v>
      </c>
      <c r="C263" s="106" t="s">
        <v>507</v>
      </c>
      <c r="D263" s="106" t="s">
        <v>3195</v>
      </c>
      <c r="E263" s="107">
        <v>44083</v>
      </c>
      <c r="F263" s="107">
        <v>45908</v>
      </c>
      <c r="G263" s="106" t="s">
        <v>2724</v>
      </c>
      <c r="H263" s="106" t="s">
        <v>3196</v>
      </c>
    </row>
    <row r="264" spans="2:8" x14ac:dyDescent="0.3">
      <c r="B264" s="106" t="s">
        <v>1796</v>
      </c>
      <c r="C264" s="106" t="s">
        <v>507</v>
      </c>
      <c r="D264" s="106" t="s">
        <v>3197</v>
      </c>
      <c r="E264" s="107">
        <v>37519</v>
      </c>
      <c r="F264" s="107">
        <v>38980</v>
      </c>
      <c r="G264" s="106" t="s">
        <v>2724</v>
      </c>
      <c r="H264" s="106" t="s">
        <v>3198</v>
      </c>
    </row>
    <row r="265" spans="2:8" x14ac:dyDescent="0.3">
      <c r="B265" s="106" t="s">
        <v>1796</v>
      </c>
      <c r="C265" s="106" t="s">
        <v>507</v>
      </c>
      <c r="D265" s="106" t="s">
        <v>3199</v>
      </c>
      <c r="E265" s="107">
        <v>41331</v>
      </c>
      <c r="F265" s="107">
        <v>44253</v>
      </c>
      <c r="G265" s="106" t="s">
        <v>2724</v>
      </c>
      <c r="H265" s="106" t="s">
        <v>3200</v>
      </c>
    </row>
    <row r="266" spans="2:8" x14ac:dyDescent="0.3">
      <c r="B266" s="106" t="s">
        <v>1796</v>
      </c>
      <c r="C266" s="106" t="s">
        <v>507</v>
      </c>
      <c r="D266" s="106" t="s">
        <v>3201</v>
      </c>
      <c r="E266" s="107">
        <v>42509</v>
      </c>
      <c r="F266" s="107">
        <v>44335</v>
      </c>
      <c r="G266" s="106" t="s">
        <v>2724</v>
      </c>
      <c r="H266" s="106" t="s">
        <v>3202</v>
      </c>
    </row>
    <row r="267" spans="2:8" x14ac:dyDescent="0.3">
      <c r="B267" s="106" t="s">
        <v>1796</v>
      </c>
      <c r="C267" s="106" t="s">
        <v>507</v>
      </c>
      <c r="D267" s="106" t="s">
        <v>3203</v>
      </c>
      <c r="E267" s="107">
        <v>41333</v>
      </c>
      <c r="F267" s="107">
        <v>44255</v>
      </c>
      <c r="G267" s="106" t="s">
        <v>2724</v>
      </c>
      <c r="H267" s="106" t="s">
        <v>3204</v>
      </c>
    </row>
    <row r="268" spans="2:8" x14ac:dyDescent="0.3">
      <c r="B268" s="106" t="s">
        <v>1796</v>
      </c>
      <c r="C268" s="106" t="s">
        <v>507</v>
      </c>
      <c r="D268" s="106" t="s">
        <v>3205</v>
      </c>
      <c r="E268" s="107">
        <v>44438</v>
      </c>
      <c r="F268" s="107">
        <v>45899</v>
      </c>
      <c r="G268" s="106" t="s">
        <v>2724</v>
      </c>
      <c r="H268" s="106" t="s">
        <v>3206</v>
      </c>
    </row>
    <row r="269" spans="2:8" x14ac:dyDescent="0.3">
      <c r="B269" s="106" t="s">
        <v>1796</v>
      </c>
      <c r="C269" s="106" t="s">
        <v>507</v>
      </c>
      <c r="D269" s="106" t="s">
        <v>3207</v>
      </c>
      <c r="E269" s="107">
        <v>42177</v>
      </c>
      <c r="F269" s="107">
        <v>43637</v>
      </c>
      <c r="G269" s="106" t="s">
        <v>2724</v>
      </c>
      <c r="H269" s="106" t="s">
        <v>3208</v>
      </c>
    </row>
    <row r="270" spans="2:8" x14ac:dyDescent="0.3">
      <c r="B270" s="106" t="s">
        <v>1796</v>
      </c>
      <c r="C270" s="106" t="s">
        <v>507</v>
      </c>
      <c r="D270" s="106" t="s">
        <v>3209</v>
      </c>
      <c r="E270" s="107">
        <v>43978</v>
      </c>
      <c r="F270" s="107">
        <v>45439</v>
      </c>
      <c r="G270" s="106" t="s">
        <v>2724</v>
      </c>
      <c r="H270" s="106" t="s">
        <v>3210</v>
      </c>
    </row>
    <row r="271" spans="2:8" x14ac:dyDescent="0.3">
      <c r="B271" s="106" t="s">
        <v>1796</v>
      </c>
      <c r="C271" s="106" t="s">
        <v>507</v>
      </c>
      <c r="D271" s="106" t="s">
        <v>3211</v>
      </c>
      <c r="E271" s="107">
        <v>45457</v>
      </c>
      <c r="F271" s="107">
        <v>45922</v>
      </c>
      <c r="G271" s="106" t="s">
        <v>2724</v>
      </c>
      <c r="H271" s="106" t="s">
        <v>3212</v>
      </c>
    </row>
    <row r="272" spans="2:8" x14ac:dyDescent="0.3">
      <c r="B272" s="106" t="s">
        <v>1796</v>
      </c>
      <c r="C272" s="106" t="s">
        <v>507</v>
      </c>
      <c r="D272" s="106" t="s">
        <v>3213</v>
      </c>
      <c r="E272" s="107">
        <v>41884</v>
      </c>
      <c r="F272" s="107">
        <v>44959</v>
      </c>
      <c r="G272" s="106" t="s">
        <v>2724</v>
      </c>
      <c r="H272" s="106" t="s">
        <v>3214</v>
      </c>
    </row>
    <row r="273" spans="2:8" x14ac:dyDescent="0.3">
      <c r="B273" s="106" t="s">
        <v>1796</v>
      </c>
      <c r="C273" s="106" t="s">
        <v>507</v>
      </c>
      <c r="D273" s="106" t="s">
        <v>3215</v>
      </c>
      <c r="E273" s="107">
        <v>40805</v>
      </c>
      <c r="F273" s="107">
        <v>44458</v>
      </c>
      <c r="G273" s="106" t="s">
        <v>2724</v>
      </c>
      <c r="H273" s="106" t="s">
        <v>3216</v>
      </c>
    </row>
    <row r="274" spans="2:8" x14ac:dyDescent="0.3">
      <c r="B274" s="106" t="s">
        <v>1796</v>
      </c>
      <c r="C274" s="106" t="s">
        <v>507</v>
      </c>
      <c r="D274" s="106" t="s">
        <v>3217</v>
      </c>
      <c r="E274" s="107">
        <v>42587</v>
      </c>
      <c r="F274" s="107">
        <v>44412</v>
      </c>
      <c r="G274" s="106" t="s">
        <v>2724</v>
      </c>
      <c r="H274" s="106" t="s">
        <v>3218</v>
      </c>
    </row>
    <row r="275" spans="2:8" x14ac:dyDescent="0.3">
      <c r="B275" s="106" t="s">
        <v>1796</v>
      </c>
      <c r="C275" s="106" t="s">
        <v>507</v>
      </c>
      <c r="D275" s="106" t="s">
        <v>3219</v>
      </c>
      <c r="E275" s="107">
        <v>43256</v>
      </c>
      <c r="F275" s="107">
        <v>44716</v>
      </c>
      <c r="G275" s="106" t="s">
        <v>2724</v>
      </c>
      <c r="H275" s="106" t="s">
        <v>3220</v>
      </c>
    </row>
    <row r="276" spans="2:8" x14ac:dyDescent="0.3">
      <c r="B276" s="106" t="s">
        <v>1796</v>
      </c>
      <c r="C276" s="106" t="s">
        <v>507</v>
      </c>
      <c r="D276" s="106" t="s">
        <v>3221</v>
      </c>
      <c r="E276" s="107">
        <v>41723</v>
      </c>
      <c r="F276" s="107">
        <v>44099</v>
      </c>
      <c r="G276" s="106" t="s">
        <v>2724</v>
      </c>
      <c r="H276" s="106" t="s">
        <v>3222</v>
      </c>
    </row>
    <row r="277" spans="2:8" x14ac:dyDescent="0.3">
      <c r="B277" s="106" t="s">
        <v>1796</v>
      </c>
      <c r="C277" s="106" t="s">
        <v>507</v>
      </c>
      <c r="D277" s="106" t="s">
        <v>3223</v>
      </c>
      <c r="E277" s="107">
        <v>44368</v>
      </c>
      <c r="F277" s="107">
        <v>45824</v>
      </c>
      <c r="G277" s="106" t="s">
        <v>2724</v>
      </c>
      <c r="H277" s="106" t="s">
        <v>3224</v>
      </c>
    </row>
    <row r="278" spans="2:8" x14ac:dyDescent="0.3">
      <c r="B278" s="106" t="s">
        <v>1796</v>
      </c>
      <c r="C278" s="106" t="s">
        <v>507</v>
      </c>
      <c r="D278" s="106" t="s">
        <v>3225</v>
      </c>
      <c r="E278" s="107">
        <v>44438</v>
      </c>
      <c r="F278" s="107">
        <v>45899</v>
      </c>
      <c r="G278" s="106" t="s">
        <v>2724</v>
      </c>
      <c r="H278" s="106" t="s">
        <v>3226</v>
      </c>
    </row>
    <row r="279" spans="2:8" x14ac:dyDescent="0.3">
      <c r="B279" s="106" t="s">
        <v>1796</v>
      </c>
      <c r="C279" s="106" t="s">
        <v>2775</v>
      </c>
      <c r="D279" s="106" t="s">
        <v>3227</v>
      </c>
      <c r="E279" s="107">
        <v>44760</v>
      </c>
      <c r="F279" s="107">
        <v>46220</v>
      </c>
      <c r="G279" s="106" t="s">
        <v>2697</v>
      </c>
      <c r="H279" s="106" t="s">
        <v>3228</v>
      </c>
    </row>
    <row r="280" spans="2:8" x14ac:dyDescent="0.3">
      <c r="B280" s="106" t="s">
        <v>1796</v>
      </c>
      <c r="C280" s="106" t="s">
        <v>2775</v>
      </c>
      <c r="D280" s="106" t="s">
        <v>3229</v>
      </c>
      <c r="E280" s="107">
        <v>45622</v>
      </c>
      <c r="F280" s="107">
        <v>47813</v>
      </c>
      <c r="G280" s="106" t="s">
        <v>2697</v>
      </c>
      <c r="H280" s="106" t="s">
        <v>3230</v>
      </c>
    </row>
    <row r="281" spans="2:8" x14ac:dyDescent="0.3">
      <c r="B281" s="106" t="s">
        <v>1796</v>
      </c>
      <c r="C281" s="106" t="s">
        <v>2775</v>
      </c>
      <c r="D281" s="106" t="s">
        <v>3231</v>
      </c>
      <c r="E281" s="107">
        <v>44616</v>
      </c>
      <c r="F281" s="107">
        <v>46442</v>
      </c>
      <c r="G281" s="106" t="s">
        <v>2697</v>
      </c>
      <c r="H281" s="106" t="s">
        <v>3232</v>
      </c>
    </row>
    <row r="282" spans="2:8" x14ac:dyDescent="0.3">
      <c r="B282" s="106" t="s">
        <v>1796</v>
      </c>
      <c r="C282" s="106" t="s">
        <v>2775</v>
      </c>
      <c r="D282" s="106" t="s">
        <v>3233</v>
      </c>
      <c r="E282" s="107">
        <v>43977</v>
      </c>
      <c r="F282" s="107">
        <v>47629</v>
      </c>
      <c r="G282" s="106" t="s">
        <v>2697</v>
      </c>
      <c r="H282" s="106" t="s">
        <v>3234</v>
      </c>
    </row>
    <row r="283" spans="2:8" x14ac:dyDescent="0.3">
      <c r="B283" s="106" t="s">
        <v>1796</v>
      </c>
      <c r="C283" s="106" t="s">
        <v>2775</v>
      </c>
      <c r="D283" s="106" t="s">
        <v>3235</v>
      </c>
      <c r="E283" s="107">
        <v>45131</v>
      </c>
      <c r="F283" s="107">
        <v>46591</v>
      </c>
      <c r="G283" s="106" t="s">
        <v>2697</v>
      </c>
      <c r="H283" s="106" t="s">
        <v>3236</v>
      </c>
    </row>
    <row r="284" spans="2:8" x14ac:dyDescent="0.3">
      <c r="B284" s="106" t="s">
        <v>1796</v>
      </c>
      <c r="C284" s="106" t="s">
        <v>2775</v>
      </c>
      <c r="D284" s="106" t="s">
        <v>3237</v>
      </c>
      <c r="E284" s="107">
        <v>44532</v>
      </c>
      <c r="F284" s="107">
        <v>46358</v>
      </c>
      <c r="G284" s="106" t="s">
        <v>2697</v>
      </c>
      <c r="H284" s="106" t="s">
        <v>3238</v>
      </c>
    </row>
    <row r="285" spans="2:8" x14ac:dyDescent="0.3">
      <c r="B285" s="106" t="s">
        <v>1796</v>
      </c>
      <c r="C285" s="106" t="s">
        <v>2775</v>
      </c>
      <c r="D285" s="106">
        <v>1405</v>
      </c>
      <c r="E285" s="107">
        <v>45595</v>
      </c>
      <c r="F285" s="107">
        <v>49247</v>
      </c>
      <c r="G285" s="106" t="s">
        <v>2697</v>
      </c>
      <c r="H285" s="106" t="s">
        <v>3239</v>
      </c>
    </row>
    <row r="286" spans="2:8" x14ac:dyDescent="0.3">
      <c r="B286" s="106" t="s">
        <v>1796</v>
      </c>
      <c r="C286" s="106" t="s">
        <v>2775</v>
      </c>
      <c r="D286" s="106">
        <v>1702</v>
      </c>
      <c r="E286" s="107">
        <v>45595</v>
      </c>
      <c r="F286" s="107">
        <v>49247</v>
      </c>
      <c r="G286" s="106" t="s">
        <v>2697</v>
      </c>
      <c r="H286" s="106" t="s">
        <v>3240</v>
      </c>
    </row>
    <row r="287" spans="2:8" x14ac:dyDescent="0.3">
      <c r="B287" s="106" t="s">
        <v>1796</v>
      </c>
      <c r="C287" s="106" t="s">
        <v>2775</v>
      </c>
      <c r="D287" s="106">
        <v>1406</v>
      </c>
      <c r="E287" s="107">
        <v>45595</v>
      </c>
      <c r="F287" s="107">
        <v>49247</v>
      </c>
      <c r="G287" s="106" t="s">
        <v>2697</v>
      </c>
      <c r="H287" s="106" t="s">
        <v>3241</v>
      </c>
    </row>
    <row r="288" spans="2:8" x14ac:dyDescent="0.3">
      <c r="B288" s="106" t="s">
        <v>1796</v>
      </c>
      <c r="C288" s="106" t="s">
        <v>2775</v>
      </c>
      <c r="D288" s="106" t="s">
        <v>3242</v>
      </c>
      <c r="E288" s="107">
        <v>41536</v>
      </c>
      <c r="F288" s="107">
        <v>2557064</v>
      </c>
      <c r="G288" s="106" t="s">
        <v>2697</v>
      </c>
      <c r="H288" s="106" t="s">
        <v>3243</v>
      </c>
    </row>
    <row r="289" spans="2:8" x14ac:dyDescent="0.3">
      <c r="B289" s="106" t="s">
        <v>1796</v>
      </c>
      <c r="C289" s="106" t="s">
        <v>2775</v>
      </c>
      <c r="D289" s="106" t="s">
        <v>3244</v>
      </c>
      <c r="E289" s="107">
        <v>44662</v>
      </c>
      <c r="F289" s="107">
        <v>46488</v>
      </c>
      <c r="G289" s="106" t="s">
        <v>2697</v>
      </c>
      <c r="H289" s="106" t="s">
        <v>3245</v>
      </c>
    </row>
    <row r="290" spans="2:8" x14ac:dyDescent="0.3">
      <c r="B290" s="106" t="s">
        <v>1796</v>
      </c>
      <c r="C290" s="106" t="s">
        <v>2775</v>
      </c>
      <c r="D290" s="106" t="s">
        <v>3246</v>
      </c>
      <c r="E290" s="107">
        <v>44250</v>
      </c>
      <c r="F290" s="107">
        <v>47902</v>
      </c>
      <c r="G290" s="106" t="s">
        <v>2697</v>
      </c>
      <c r="H290" s="106" t="s">
        <v>3247</v>
      </c>
    </row>
    <row r="291" spans="2:8" x14ac:dyDescent="0.3">
      <c r="B291" s="106" t="s">
        <v>1796</v>
      </c>
      <c r="C291" s="106" t="s">
        <v>2775</v>
      </c>
      <c r="D291" s="106" t="s">
        <v>3248</v>
      </c>
      <c r="E291" s="107">
        <v>45128</v>
      </c>
      <c r="F291" s="107">
        <v>46148</v>
      </c>
      <c r="G291" s="106" t="s">
        <v>2697</v>
      </c>
      <c r="H291" s="106" t="s">
        <v>3249</v>
      </c>
    </row>
    <row r="292" spans="2:8" x14ac:dyDescent="0.3">
      <c r="B292" s="106" t="s">
        <v>1796</v>
      </c>
      <c r="C292" s="106" t="s">
        <v>2775</v>
      </c>
      <c r="D292" s="106" t="s">
        <v>3250</v>
      </c>
      <c r="E292" s="107">
        <v>41191</v>
      </c>
      <c r="F292" s="107">
        <v>2557064</v>
      </c>
      <c r="G292" s="106" t="s">
        <v>2697</v>
      </c>
      <c r="H292" s="106" t="s">
        <v>3251</v>
      </c>
    </row>
    <row r="293" spans="2:8" x14ac:dyDescent="0.3">
      <c r="B293" s="106" t="s">
        <v>1796</v>
      </c>
      <c r="C293" s="106" t="s">
        <v>2775</v>
      </c>
      <c r="D293" s="106" t="s">
        <v>3252</v>
      </c>
      <c r="E293" s="107">
        <v>40473</v>
      </c>
      <c r="F293" s="107">
        <v>2557064</v>
      </c>
      <c r="G293" s="106" t="s">
        <v>2697</v>
      </c>
      <c r="H293" s="106" t="s">
        <v>3253</v>
      </c>
    </row>
    <row r="294" spans="2:8" x14ac:dyDescent="0.3">
      <c r="B294" s="106" t="s">
        <v>1796</v>
      </c>
      <c r="C294" s="106" t="s">
        <v>2775</v>
      </c>
      <c r="D294" s="106" t="s">
        <v>3254</v>
      </c>
      <c r="E294" s="107">
        <v>40473</v>
      </c>
      <c r="F294" s="107">
        <v>2557064</v>
      </c>
      <c r="G294" s="106" t="s">
        <v>2697</v>
      </c>
      <c r="H294" s="106" t="s">
        <v>3255</v>
      </c>
    </row>
    <row r="295" spans="2:8" x14ac:dyDescent="0.3">
      <c r="B295" s="106" t="s">
        <v>1796</v>
      </c>
      <c r="C295" s="106" t="s">
        <v>2775</v>
      </c>
      <c r="D295" s="106" t="s">
        <v>3256</v>
      </c>
      <c r="E295" s="107">
        <v>40473</v>
      </c>
      <c r="F295" s="107">
        <v>2557064</v>
      </c>
      <c r="G295" s="106" t="s">
        <v>2697</v>
      </c>
      <c r="H295" s="106" t="s">
        <v>3257</v>
      </c>
    </row>
    <row r="296" spans="2:8" x14ac:dyDescent="0.3">
      <c r="B296" s="106" t="s">
        <v>1796</v>
      </c>
      <c r="C296" s="106" t="s">
        <v>2775</v>
      </c>
      <c r="D296" s="106" t="s">
        <v>3258</v>
      </c>
      <c r="E296" s="107">
        <v>40473</v>
      </c>
      <c r="F296" s="107">
        <v>2557064</v>
      </c>
      <c r="G296" s="106" t="s">
        <v>2697</v>
      </c>
      <c r="H296" s="106" t="s">
        <v>3259</v>
      </c>
    </row>
    <row r="297" spans="2:8" x14ac:dyDescent="0.3">
      <c r="B297" s="106" t="s">
        <v>1796</v>
      </c>
      <c r="C297" s="106" t="s">
        <v>2775</v>
      </c>
      <c r="D297" s="106" t="s">
        <v>3260</v>
      </c>
      <c r="E297" s="107">
        <v>40473</v>
      </c>
      <c r="F297" s="107">
        <v>2557064</v>
      </c>
      <c r="G297" s="106" t="s">
        <v>2697</v>
      </c>
      <c r="H297" s="106" t="s">
        <v>3261</v>
      </c>
    </row>
    <row r="298" spans="2:8" x14ac:dyDescent="0.3">
      <c r="B298" s="106" t="s">
        <v>1796</v>
      </c>
      <c r="C298" s="106" t="s">
        <v>2775</v>
      </c>
      <c r="D298" s="106" t="s">
        <v>3262</v>
      </c>
      <c r="E298" s="107">
        <v>40473</v>
      </c>
      <c r="F298" s="107">
        <v>2557064</v>
      </c>
      <c r="G298" s="106" t="s">
        <v>2697</v>
      </c>
      <c r="H298" s="106" t="s">
        <v>3263</v>
      </c>
    </row>
    <row r="299" spans="2:8" x14ac:dyDescent="0.3">
      <c r="B299" s="106" t="s">
        <v>1796</v>
      </c>
      <c r="C299" s="106" t="s">
        <v>2775</v>
      </c>
      <c r="D299" s="106" t="s">
        <v>3264</v>
      </c>
      <c r="E299" s="107">
        <v>40473</v>
      </c>
      <c r="F299" s="107">
        <v>2557064</v>
      </c>
      <c r="G299" s="106" t="s">
        <v>2697</v>
      </c>
      <c r="H299" s="106" t="s">
        <v>3265</v>
      </c>
    </row>
    <row r="300" spans="2:8" x14ac:dyDescent="0.3">
      <c r="B300" s="106" t="s">
        <v>1796</v>
      </c>
      <c r="C300" s="106" t="s">
        <v>2775</v>
      </c>
      <c r="D300" s="106" t="s">
        <v>3266</v>
      </c>
      <c r="E300" s="107">
        <v>41186</v>
      </c>
      <c r="F300" s="107">
        <v>2557064</v>
      </c>
      <c r="G300" s="106" t="s">
        <v>2697</v>
      </c>
      <c r="H300" s="106" t="s">
        <v>3267</v>
      </c>
    </row>
    <row r="301" spans="2:8" x14ac:dyDescent="0.3">
      <c r="B301" s="106" t="s">
        <v>1796</v>
      </c>
      <c r="C301" s="106" t="s">
        <v>2775</v>
      </c>
      <c r="D301" s="106" t="s">
        <v>3268</v>
      </c>
      <c r="E301" s="107">
        <v>41186</v>
      </c>
      <c r="F301" s="107">
        <v>2557064</v>
      </c>
      <c r="G301" s="106" t="s">
        <v>2697</v>
      </c>
      <c r="H301" s="106" t="s">
        <v>3269</v>
      </c>
    </row>
    <row r="302" spans="2:8" x14ac:dyDescent="0.3">
      <c r="B302" s="106" t="s">
        <v>1796</v>
      </c>
      <c r="C302" s="106" t="s">
        <v>2775</v>
      </c>
      <c r="D302" s="106" t="s">
        <v>3270</v>
      </c>
      <c r="E302" s="107">
        <v>44825</v>
      </c>
      <c r="F302" s="107">
        <v>48478</v>
      </c>
      <c r="G302" s="106" t="s">
        <v>2697</v>
      </c>
      <c r="H302" s="106" t="s">
        <v>3271</v>
      </c>
    </row>
    <row r="303" spans="2:8" x14ac:dyDescent="0.3">
      <c r="B303" s="106" t="s">
        <v>1796</v>
      </c>
      <c r="C303" s="106" t="s">
        <v>2775</v>
      </c>
      <c r="D303" s="106" t="s">
        <v>3272</v>
      </c>
      <c r="E303" s="107">
        <v>40514</v>
      </c>
      <c r="F303" s="107">
        <v>2557064</v>
      </c>
      <c r="G303" s="106" t="s">
        <v>2697</v>
      </c>
      <c r="H303" s="106" t="s">
        <v>3273</v>
      </c>
    </row>
    <row r="304" spans="2:8" x14ac:dyDescent="0.3">
      <c r="B304" s="106" t="s">
        <v>1796</v>
      </c>
      <c r="C304" s="106" t="s">
        <v>2775</v>
      </c>
      <c r="D304" s="106">
        <v>310905</v>
      </c>
      <c r="E304" s="107">
        <v>45265</v>
      </c>
      <c r="F304" s="107">
        <v>47092</v>
      </c>
      <c r="G304" s="106" t="s">
        <v>2697</v>
      </c>
      <c r="H304" s="106" t="s">
        <v>3274</v>
      </c>
    </row>
    <row r="305" spans="2:8" x14ac:dyDescent="0.3">
      <c r="B305" s="106" t="s">
        <v>1796</v>
      </c>
      <c r="C305" s="106" t="s">
        <v>2775</v>
      </c>
      <c r="D305" s="106" t="s">
        <v>3275</v>
      </c>
      <c r="E305" s="107">
        <v>45015</v>
      </c>
      <c r="F305" s="107">
        <v>48668</v>
      </c>
      <c r="G305" s="106" t="s">
        <v>2697</v>
      </c>
      <c r="H305" s="106" t="s">
        <v>3276</v>
      </c>
    </row>
    <row r="306" spans="2:8" x14ac:dyDescent="0.3">
      <c r="B306" s="106" t="s">
        <v>1796</v>
      </c>
      <c r="C306" s="106" t="s">
        <v>2775</v>
      </c>
      <c r="D306" s="106" t="s">
        <v>3277</v>
      </c>
      <c r="E306" s="107">
        <v>45188</v>
      </c>
      <c r="F306" s="107">
        <v>48841</v>
      </c>
      <c r="G306" s="106" t="s">
        <v>2697</v>
      </c>
      <c r="H306" s="106" t="s">
        <v>3278</v>
      </c>
    </row>
    <row r="307" spans="2:8" x14ac:dyDescent="0.3">
      <c r="B307" s="106" t="s">
        <v>1796</v>
      </c>
      <c r="C307" s="106" t="s">
        <v>2775</v>
      </c>
      <c r="D307" s="106" t="s">
        <v>3279</v>
      </c>
      <c r="E307" s="107">
        <v>45061</v>
      </c>
      <c r="F307" s="107">
        <v>47983</v>
      </c>
      <c r="G307" s="106" t="s">
        <v>2697</v>
      </c>
      <c r="H307" s="106" t="s">
        <v>3280</v>
      </c>
    </row>
    <row r="308" spans="2:8" x14ac:dyDescent="0.3">
      <c r="B308" s="106" t="s">
        <v>1796</v>
      </c>
      <c r="C308" s="106" t="s">
        <v>2775</v>
      </c>
      <c r="D308" s="106" t="s">
        <v>3281</v>
      </c>
      <c r="E308" s="107">
        <v>43416</v>
      </c>
      <c r="F308" s="107">
        <v>47069</v>
      </c>
      <c r="G308" s="106" t="s">
        <v>2697</v>
      </c>
      <c r="H308" s="106" t="s">
        <v>3282</v>
      </c>
    </row>
    <row r="309" spans="2:8" x14ac:dyDescent="0.3">
      <c r="B309" s="106" t="s">
        <v>1796</v>
      </c>
      <c r="C309" s="106" t="s">
        <v>2775</v>
      </c>
      <c r="D309" s="108">
        <v>43556</v>
      </c>
      <c r="E309" s="107">
        <v>43587</v>
      </c>
      <c r="F309" s="107">
        <v>47240</v>
      </c>
      <c r="G309" s="106" t="s">
        <v>2697</v>
      </c>
      <c r="H309" s="106" t="s">
        <v>3283</v>
      </c>
    </row>
    <row r="310" spans="2:8" x14ac:dyDescent="0.3">
      <c r="B310" s="106" t="s">
        <v>1796</v>
      </c>
      <c r="C310" s="106" t="s">
        <v>2775</v>
      </c>
      <c r="D310" s="106" t="s">
        <v>3284</v>
      </c>
      <c r="E310" s="107">
        <v>44470</v>
      </c>
      <c r="F310" s="107">
        <v>47220</v>
      </c>
      <c r="G310" s="106" t="s">
        <v>2697</v>
      </c>
      <c r="H310" s="106" t="s">
        <v>3285</v>
      </c>
    </row>
    <row r="311" spans="2:8" x14ac:dyDescent="0.3">
      <c r="B311" s="106" t="s">
        <v>1796</v>
      </c>
      <c r="C311" s="106" t="s">
        <v>2775</v>
      </c>
      <c r="D311" s="106" t="s">
        <v>3286</v>
      </c>
      <c r="E311" s="107">
        <v>45638</v>
      </c>
      <c r="F311" s="107">
        <v>49290</v>
      </c>
      <c r="G311" s="106" t="s">
        <v>2697</v>
      </c>
      <c r="H311" s="106" t="s">
        <v>3287</v>
      </c>
    </row>
    <row r="312" spans="2:8" x14ac:dyDescent="0.3">
      <c r="B312" s="106" t="s">
        <v>1796</v>
      </c>
      <c r="C312" s="106" t="s">
        <v>2775</v>
      </c>
      <c r="D312" s="106" t="s">
        <v>3288</v>
      </c>
      <c r="E312" s="107">
        <v>45687</v>
      </c>
      <c r="F312" s="107">
        <v>49339</v>
      </c>
      <c r="G312" s="106" t="s">
        <v>2697</v>
      </c>
      <c r="H312" s="106" t="s">
        <v>3289</v>
      </c>
    </row>
    <row r="313" spans="2:8" x14ac:dyDescent="0.3">
      <c r="B313" s="106" t="s">
        <v>1796</v>
      </c>
      <c r="C313" s="106" t="s">
        <v>2775</v>
      </c>
      <c r="D313" s="106" t="s">
        <v>3290</v>
      </c>
      <c r="E313" s="107">
        <v>43580</v>
      </c>
      <c r="F313" s="107">
        <v>47233</v>
      </c>
      <c r="G313" s="106" t="s">
        <v>2697</v>
      </c>
      <c r="H313" s="106" t="s">
        <v>3291</v>
      </c>
    </row>
    <row r="314" spans="2:8" x14ac:dyDescent="0.3">
      <c r="B314" s="106" t="s">
        <v>1796</v>
      </c>
      <c r="C314" s="106" t="s">
        <v>2775</v>
      </c>
      <c r="D314" s="106" t="s">
        <v>3292</v>
      </c>
      <c r="E314" s="107">
        <v>45653</v>
      </c>
      <c r="F314" s="107">
        <v>47479</v>
      </c>
      <c r="G314" s="106" t="s">
        <v>2697</v>
      </c>
      <c r="H314" s="106" t="s">
        <v>3293</v>
      </c>
    </row>
    <row r="315" spans="2:8" x14ac:dyDescent="0.3">
      <c r="B315" s="106" t="s">
        <v>1796</v>
      </c>
      <c r="C315" s="106" t="s">
        <v>2775</v>
      </c>
      <c r="D315" s="106" t="s">
        <v>3294</v>
      </c>
      <c r="E315" s="107">
        <v>45586</v>
      </c>
      <c r="F315" s="107">
        <v>49238</v>
      </c>
      <c r="G315" s="106" t="s">
        <v>2697</v>
      </c>
      <c r="H315" s="106" t="s">
        <v>3295</v>
      </c>
    </row>
    <row r="316" spans="2:8" x14ac:dyDescent="0.3">
      <c r="B316" s="106" t="s">
        <v>1796</v>
      </c>
      <c r="C316" s="106" t="s">
        <v>2775</v>
      </c>
      <c r="D316" s="106" t="s">
        <v>3296</v>
      </c>
      <c r="E316" s="107">
        <v>42612</v>
      </c>
      <c r="F316" s="107">
        <v>46264</v>
      </c>
      <c r="G316" s="106" t="s">
        <v>2697</v>
      </c>
      <c r="H316" s="106" t="s">
        <v>3297</v>
      </c>
    </row>
    <row r="317" spans="2:8" x14ac:dyDescent="0.3">
      <c r="B317" s="106" t="s">
        <v>1796</v>
      </c>
      <c r="C317" s="106" t="s">
        <v>2775</v>
      </c>
      <c r="D317" s="106" t="s">
        <v>3298</v>
      </c>
      <c r="E317" s="107">
        <v>40514</v>
      </c>
      <c r="F317" s="107">
        <v>2557064</v>
      </c>
      <c r="G317" s="106" t="s">
        <v>2697</v>
      </c>
      <c r="H317" s="106" t="s">
        <v>3299</v>
      </c>
    </row>
    <row r="318" spans="2:8" x14ac:dyDescent="0.3">
      <c r="B318" s="106" t="s">
        <v>1796</v>
      </c>
      <c r="C318" s="106" t="s">
        <v>2775</v>
      </c>
      <c r="D318" s="106" t="s">
        <v>3300</v>
      </c>
      <c r="E318" s="107">
        <v>40473</v>
      </c>
      <c r="F318" s="107">
        <v>2557064</v>
      </c>
      <c r="G318" s="106" t="s">
        <v>2697</v>
      </c>
      <c r="H318" s="106" t="s">
        <v>3301</v>
      </c>
    </row>
    <row r="319" spans="2:8" x14ac:dyDescent="0.3">
      <c r="B319" s="106" t="s">
        <v>1796</v>
      </c>
      <c r="C319" s="106" t="s">
        <v>2775</v>
      </c>
      <c r="D319" s="106" t="s">
        <v>3302</v>
      </c>
      <c r="E319" s="107">
        <v>40514</v>
      </c>
      <c r="F319" s="107">
        <v>2557064</v>
      </c>
      <c r="G319" s="106" t="s">
        <v>2697</v>
      </c>
      <c r="H319" s="106" t="s">
        <v>3303</v>
      </c>
    </row>
    <row r="320" spans="2:8" x14ac:dyDescent="0.3">
      <c r="B320" s="106" t="s">
        <v>1796</v>
      </c>
      <c r="C320" s="106" t="s">
        <v>2775</v>
      </c>
      <c r="D320" s="106" t="s">
        <v>3304</v>
      </c>
      <c r="E320" s="107">
        <v>45301</v>
      </c>
      <c r="F320" s="107">
        <v>46009</v>
      </c>
      <c r="G320" s="106" t="s">
        <v>2697</v>
      </c>
      <c r="H320" s="106" t="s">
        <v>3305</v>
      </c>
    </row>
    <row r="321" spans="2:8" x14ac:dyDescent="0.3">
      <c r="B321" s="106" t="s">
        <v>1796</v>
      </c>
      <c r="C321" s="106" t="s">
        <v>2775</v>
      </c>
      <c r="D321" s="106" t="s">
        <v>3306</v>
      </c>
      <c r="E321" s="107">
        <v>44109</v>
      </c>
      <c r="F321" s="107">
        <v>46300</v>
      </c>
      <c r="G321" s="106" t="s">
        <v>2697</v>
      </c>
      <c r="H321" s="106" t="s">
        <v>3307</v>
      </c>
    </row>
    <row r="322" spans="2:8" x14ac:dyDescent="0.3">
      <c r="B322" s="106" t="s">
        <v>1796</v>
      </c>
      <c r="C322" s="106" t="s">
        <v>2775</v>
      </c>
      <c r="D322" s="106" t="s">
        <v>3308</v>
      </c>
      <c r="E322" s="107">
        <v>44476</v>
      </c>
      <c r="F322" s="107">
        <v>46301</v>
      </c>
      <c r="G322" s="106" t="s">
        <v>2697</v>
      </c>
      <c r="H322" s="106" t="s">
        <v>3309</v>
      </c>
    </row>
    <row r="323" spans="2:8" x14ac:dyDescent="0.3">
      <c r="B323" s="106" t="s">
        <v>1796</v>
      </c>
      <c r="C323" s="106" t="s">
        <v>2775</v>
      </c>
      <c r="D323" s="106" t="s">
        <v>3310</v>
      </c>
      <c r="E323" s="107">
        <v>40647</v>
      </c>
      <c r="F323" s="107">
        <v>2557064</v>
      </c>
      <c r="G323" s="106" t="s">
        <v>2697</v>
      </c>
      <c r="H323" s="106" t="s">
        <v>3311</v>
      </c>
    </row>
    <row r="324" spans="2:8" x14ac:dyDescent="0.3">
      <c r="B324" s="106" t="s">
        <v>1796</v>
      </c>
      <c r="C324" s="106" t="s">
        <v>2775</v>
      </c>
      <c r="D324" s="106" t="s">
        <v>3312</v>
      </c>
      <c r="E324" s="107">
        <v>40514</v>
      </c>
      <c r="F324" s="107">
        <v>2557064</v>
      </c>
      <c r="G324" s="106" t="s">
        <v>2697</v>
      </c>
      <c r="H324" s="106" t="s">
        <v>3313</v>
      </c>
    </row>
    <row r="325" spans="2:8" x14ac:dyDescent="0.3">
      <c r="B325" s="106" t="s">
        <v>1796</v>
      </c>
      <c r="C325" s="106" t="s">
        <v>2775</v>
      </c>
      <c r="D325" s="106" t="s">
        <v>3314</v>
      </c>
      <c r="E325" s="107">
        <v>40514</v>
      </c>
      <c r="F325" s="107">
        <v>2557064</v>
      </c>
      <c r="G325" s="106" t="s">
        <v>2697</v>
      </c>
      <c r="H325" s="106" t="s">
        <v>3315</v>
      </c>
    </row>
    <row r="326" spans="2:8" x14ac:dyDescent="0.3">
      <c r="B326" s="106" t="s">
        <v>1796</v>
      </c>
      <c r="C326" s="106" t="s">
        <v>2775</v>
      </c>
      <c r="D326" s="106" t="s">
        <v>3316</v>
      </c>
      <c r="E326" s="107">
        <v>40504</v>
      </c>
      <c r="F326" s="107">
        <v>2557064</v>
      </c>
      <c r="G326" s="106" t="s">
        <v>2697</v>
      </c>
      <c r="H326" s="106" t="s">
        <v>3317</v>
      </c>
    </row>
    <row r="327" spans="2:8" x14ac:dyDescent="0.3">
      <c r="B327" s="106" t="s">
        <v>1796</v>
      </c>
      <c r="C327" s="106" t="s">
        <v>2775</v>
      </c>
      <c r="D327" s="106" t="s">
        <v>3318</v>
      </c>
      <c r="E327" s="107">
        <v>40514</v>
      </c>
      <c r="F327" s="107">
        <v>2557064</v>
      </c>
      <c r="G327" s="106" t="s">
        <v>2697</v>
      </c>
      <c r="H327" s="106" t="s">
        <v>3319</v>
      </c>
    </row>
    <row r="328" spans="2:8" x14ac:dyDescent="0.3">
      <c r="B328" s="106" t="s">
        <v>1796</v>
      </c>
      <c r="C328" s="106" t="s">
        <v>2775</v>
      </c>
      <c r="D328" s="106" t="s">
        <v>3320</v>
      </c>
      <c r="E328" s="107">
        <v>42975</v>
      </c>
      <c r="F328" s="107">
        <v>46627</v>
      </c>
      <c r="G328" s="106" t="s">
        <v>2697</v>
      </c>
      <c r="H328" s="106" t="s">
        <v>3321</v>
      </c>
    </row>
    <row r="329" spans="2:8" x14ac:dyDescent="0.3">
      <c r="B329" s="106" t="s">
        <v>1796</v>
      </c>
      <c r="C329" s="106" t="s">
        <v>2775</v>
      </c>
      <c r="D329" s="106" t="s">
        <v>3322</v>
      </c>
      <c r="E329" s="107">
        <v>41186</v>
      </c>
      <c r="F329" s="107">
        <v>2557064</v>
      </c>
      <c r="G329" s="106" t="s">
        <v>2697</v>
      </c>
      <c r="H329" s="106" t="s">
        <v>3323</v>
      </c>
    </row>
    <row r="330" spans="2:8" x14ac:dyDescent="0.3">
      <c r="B330" s="106" t="s">
        <v>1796</v>
      </c>
      <c r="C330" s="106" t="s">
        <v>2775</v>
      </c>
      <c r="D330" s="106" t="s">
        <v>3324</v>
      </c>
      <c r="E330" s="107">
        <v>43803</v>
      </c>
      <c r="F330" s="107">
        <v>47456</v>
      </c>
      <c r="G330" s="106" t="s">
        <v>2697</v>
      </c>
      <c r="H330" s="106" t="s">
        <v>3325</v>
      </c>
    </row>
    <row r="331" spans="2:8" x14ac:dyDescent="0.3">
      <c r="B331" s="106" t="s">
        <v>1796</v>
      </c>
      <c r="C331" s="106" t="s">
        <v>2775</v>
      </c>
      <c r="D331" s="106" t="s">
        <v>3326</v>
      </c>
      <c r="E331" s="107">
        <v>43481</v>
      </c>
      <c r="F331" s="107">
        <v>47134</v>
      </c>
      <c r="G331" s="106" t="s">
        <v>2697</v>
      </c>
      <c r="H331" s="106" t="s">
        <v>3327</v>
      </c>
    </row>
    <row r="332" spans="2:8" x14ac:dyDescent="0.3">
      <c r="B332" s="106" t="s">
        <v>1796</v>
      </c>
      <c r="C332" s="106" t="s">
        <v>2775</v>
      </c>
      <c r="D332" s="106" t="s">
        <v>3328</v>
      </c>
      <c r="E332" s="107">
        <v>40533</v>
      </c>
      <c r="F332" s="107">
        <v>2557064</v>
      </c>
      <c r="G332" s="106" t="s">
        <v>2697</v>
      </c>
      <c r="H332" s="106" t="s">
        <v>3329</v>
      </c>
    </row>
    <row r="333" spans="2:8" x14ac:dyDescent="0.3">
      <c r="B333" s="106" t="s">
        <v>1796</v>
      </c>
      <c r="C333" s="106" t="s">
        <v>2775</v>
      </c>
      <c r="D333" s="106" t="s">
        <v>3330</v>
      </c>
      <c r="E333" s="107">
        <v>43781</v>
      </c>
      <c r="F333" s="107">
        <v>47431</v>
      </c>
      <c r="G333" s="106" t="s">
        <v>2697</v>
      </c>
      <c r="H333" s="106" t="s">
        <v>3331</v>
      </c>
    </row>
    <row r="334" spans="2:8" x14ac:dyDescent="0.3">
      <c r="B334" s="106" t="s">
        <v>1796</v>
      </c>
      <c r="C334" s="106" t="s">
        <v>2775</v>
      </c>
      <c r="D334" s="106" t="s">
        <v>3332</v>
      </c>
      <c r="E334" s="107">
        <v>41186</v>
      </c>
      <c r="F334" s="107">
        <v>401680</v>
      </c>
      <c r="G334" s="106" t="s">
        <v>2697</v>
      </c>
      <c r="H334" s="106" t="s">
        <v>3333</v>
      </c>
    </row>
    <row r="335" spans="2:8" x14ac:dyDescent="0.3">
      <c r="B335" s="106" t="s">
        <v>1796</v>
      </c>
      <c r="C335" s="106" t="s">
        <v>2775</v>
      </c>
      <c r="D335" s="106" t="s">
        <v>3334</v>
      </c>
      <c r="E335" s="107">
        <v>40647</v>
      </c>
      <c r="F335" s="107">
        <v>2557064</v>
      </c>
      <c r="G335" s="106" t="s">
        <v>2697</v>
      </c>
      <c r="H335" s="106" t="s">
        <v>3335</v>
      </c>
    </row>
    <row r="336" spans="2:8" x14ac:dyDescent="0.3">
      <c r="B336" s="106" t="s">
        <v>1796</v>
      </c>
      <c r="C336" s="106" t="s">
        <v>2775</v>
      </c>
      <c r="D336" s="106" t="s">
        <v>3336</v>
      </c>
      <c r="E336" s="107">
        <v>44869</v>
      </c>
      <c r="F336" s="107">
        <v>47791</v>
      </c>
      <c r="G336" s="106" t="s">
        <v>2697</v>
      </c>
      <c r="H336" s="106" t="s">
        <v>3337</v>
      </c>
    </row>
    <row r="337" spans="2:8" x14ac:dyDescent="0.3">
      <c r="B337" s="106" t="s">
        <v>1796</v>
      </c>
      <c r="C337" s="106" t="s">
        <v>2775</v>
      </c>
      <c r="D337" s="106" t="s">
        <v>3338</v>
      </c>
      <c r="E337" s="107">
        <v>44684</v>
      </c>
      <c r="F337" s="107">
        <v>49067</v>
      </c>
      <c r="G337" s="106" t="s">
        <v>2697</v>
      </c>
      <c r="H337" s="106" t="s">
        <v>3339</v>
      </c>
    </row>
    <row r="338" spans="2:8" x14ac:dyDescent="0.3">
      <c r="B338" s="106" t="s">
        <v>1796</v>
      </c>
      <c r="C338" s="106" t="s">
        <v>2775</v>
      </c>
      <c r="D338" s="106" t="s">
        <v>3340</v>
      </c>
      <c r="E338" s="107">
        <v>40647</v>
      </c>
      <c r="F338" s="107">
        <v>2557064</v>
      </c>
      <c r="G338" s="106" t="s">
        <v>2697</v>
      </c>
      <c r="H338" s="106" t="s">
        <v>3341</v>
      </c>
    </row>
    <row r="339" spans="2:8" x14ac:dyDescent="0.3">
      <c r="B339" s="106" t="s">
        <v>1796</v>
      </c>
      <c r="C339" s="106" t="s">
        <v>2775</v>
      </c>
      <c r="D339" s="106" t="s">
        <v>3342</v>
      </c>
      <c r="E339" s="107">
        <v>41186</v>
      </c>
      <c r="F339" s="107">
        <v>2557064</v>
      </c>
      <c r="G339" s="106" t="s">
        <v>2697</v>
      </c>
      <c r="H339" s="106" t="s">
        <v>3343</v>
      </c>
    </row>
    <row r="340" spans="2:8" x14ac:dyDescent="0.3">
      <c r="B340" s="106" t="s">
        <v>1796</v>
      </c>
      <c r="C340" s="106" t="s">
        <v>2775</v>
      </c>
      <c r="D340" s="106" t="s">
        <v>3344</v>
      </c>
      <c r="E340" s="107">
        <v>41087</v>
      </c>
      <c r="F340" s="107">
        <v>2557064</v>
      </c>
      <c r="G340" s="106" t="s">
        <v>2697</v>
      </c>
      <c r="H340" s="106" t="s">
        <v>3345</v>
      </c>
    </row>
    <row r="341" spans="2:8" x14ac:dyDescent="0.3">
      <c r="B341" s="106" t="s">
        <v>1796</v>
      </c>
      <c r="C341" s="106" t="s">
        <v>2775</v>
      </c>
      <c r="D341" s="106" t="s">
        <v>3346</v>
      </c>
      <c r="E341" s="107">
        <v>43783</v>
      </c>
      <c r="F341" s="107">
        <v>47433</v>
      </c>
      <c r="G341" s="106" t="s">
        <v>2697</v>
      </c>
      <c r="H341" s="106" t="s">
        <v>3347</v>
      </c>
    </row>
    <row r="342" spans="2:8" x14ac:dyDescent="0.3">
      <c r="B342" s="106" t="s">
        <v>1796</v>
      </c>
      <c r="C342" s="106" t="s">
        <v>2775</v>
      </c>
      <c r="D342" s="106">
        <v>2262</v>
      </c>
      <c r="E342" s="107">
        <v>42003</v>
      </c>
      <c r="F342" s="107">
        <v>45656</v>
      </c>
      <c r="G342" s="106" t="s">
        <v>2724</v>
      </c>
      <c r="H342" s="106" t="s">
        <v>3348</v>
      </c>
    </row>
    <row r="343" spans="2:8" x14ac:dyDescent="0.3">
      <c r="B343" s="106" t="s">
        <v>1796</v>
      </c>
      <c r="C343" s="106" t="s">
        <v>2775</v>
      </c>
      <c r="D343" s="106" t="s">
        <v>3349</v>
      </c>
      <c r="E343" s="107">
        <v>41660</v>
      </c>
      <c r="F343" s="107">
        <v>44582</v>
      </c>
      <c r="G343" s="106" t="s">
        <v>2724</v>
      </c>
      <c r="H343" s="106" t="s">
        <v>3350</v>
      </c>
    </row>
    <row r="344" spans="2:8" x14ac:dyDescent="0.3">
      <c r="B344" s="106" t="s">
        <v>1796</v>
      </c>
      <c r="C344" s="106" t="s">
        <v>2775</v>
      </c>
      <c r="D344" s="106" t="s">
        <v>3351</v>
      </c>
      <c r="E344" s="107">
        <v>43994</v>
      </c>
      <c r="F344" s="107">
        <v>45820</v>
      </c>
      <c r="G344" s="106" t="s">
        <v>2724</v>
      </c>
      <c r="H344" s="106" t="s">
        <v>3352</v>
      </c>
    </row>
    <row r="345" spans="2:8" x14ac:dyDescent="0.3">
      <c r="B345" s="106" t="s">
        <v>1796</v>
      </c>
      <c r="C345" s="106" t="s">
        <v>2775</v>
      </c>
      <c r="D345" s="106" t="s">
        <v>3353</v>
      </c>
      <c r="E345" s="107">
        <v>44104</v>
      </c>
      <c r="F345" s="107">
        <v>45581</v>
      </c>
      <c r="G345" s="106" t="s">
        <v>2724</v>
      </c>
      <c r="H345" s="106" t="s">
        <v>3354</v>
      </c>
    </row>
    <row r="346" spans="2:8" x14ac:dyDescent="0.3">
      <c r="B346" s="106" t="s">
        <v>1796</v>
      </c>
      <c r="C346" s="106" t="s">
        <v>2775</v>
      </c>
      <c r="D346" s="106" t="s">
        <v>3355</v>
      </c>
      <c r="E346" s="107">
        <v>37256</v>
      </c>
      <c r="F346" s="107">
        <v>38717</v>
      </c>
      <c r="G346" s="106" t="s">
        <v>2724</v>
      </c>
      <c r="H346" s="106" t="s">
        <v>3356</v>
      </c>
    </row>
    <row r="347" spans="2:8" x14ac:dyDescent="0.3">
      <c r="B347" s="106" t="s">
        <v>1796</v>
      </c>
      <c r="C347" s="106" t="s">
        <v>2775</v>
      </c>
      <c r="D347" s="106" t="s">
        <v>3357</v>
      </c>
      <c r="E347" s="107">
        <v>37907</v>
      </c>
      <c r="F347" s="107">
        <v>39368</v>
      </c>
      <c r="G347" s="106" t="s">
        <v>2724</v>
      </c>
      <c r="H347" s="106" t="s">
        <v>3358</v>
      </c>
    </row>
    <row r="348" spans="2:8" x14ac:dyDescent="0.3">
      <c r="B348" s="106" t="s">
        <v>1796</v>
      </c>
      <c r="C348" s="106" t="s">
        <v>2775</v>
      </c>
      <c r="D348" s="106" t="s">
        <v>3359</v>
      </c>
      <c r="E348" s="107">
        <v>42304</v>
      </c>
      <c r="F348" s="107">
        <v>44131</v>
      </c>
      <c r="G348" s="106" t="s">
        <v>2724</v>
      </c>
      <c r="H348" s="106" t="s">
        <v>3360</v>
      </c>
    </row>
    <row r="349" spans="2:8" x14ac:dyDescent="0.3">
      <c r="B349" s="106" t="s">
        <v>1796</v>
      </c>
      <c r="C349" s="106" t="s">
        <v>2775</v>
      </c>
      <c r="D349" s="106" t="s">
        <v>3361</v>
      </c>
      <c r="E349" s="107">
        <v>41768</v>
      </c>
      <c r="F349" s="107">
        <v>45421</v>
      </c>
      <c r="G349" s="106" t="s">
        <v>2724</v>
      </c>
      <c r="H349" s="106" t="s">
        <v>3362</v>
      </c>
    </row>
    <row r="350" spans="2:8" x14ac:dyDescent="0.3">
      <c r="B350" s="106" t="s">
        <v>1796</v>
      </c>
      <c r="C350" s="106" t="s">
        <v>2775</v>
      </c>
      <c r="D350" s="106" t="s">
        <v>3363</v>
      </c>
      <c r="E350" s="107">
        <v>43263</v>
      </c>
      <c r="F350" s="107">
        <v>45453</v>
      </c>
      <c r="G350" s="106" t="s">
        <v>2724</v>
      </c>
      <c r="H350" s="106" t="s">
        <v>3364</v>
      </c>
    </row>
    <row r="351" spans="2:8" x14ac:dyDescent="0.3">
      <c r="B351" s="106" t="s">
        <v>1796</v>
      </c>
      <c r="C351" s="106" t="s">
        <v>2775</v>
      </c>
      <c r="D351" s="106">
        <v>2091</v>
      </c>
      <c r="E351" s="107">
        <v>41165</v>
      </c>
      <c r="F351" s="107">
        <v>44817</v>
      </c>
      <c r="G351" s="106" t="s">
        <v>2724</v>
      </c>
      <c r="H351" s="106" t="s">
        <v>3365</v>
      </c>
    </row>
    <row r="352" spans="2:8" x14ac:dyDescent="0.3">
      <c r="B352" s="106" t="s">
        <v>1796</v>
      </c>
      <c r="C352" s="106" t="s">
        <v>2775</v>
      </c>
      <c r="D352" s="106">
        <v>26005833</v>
      </c>
      <c r="E352" s="107">
        <v>43602</v>
      </c>
      <c r="F352" s="107">
        <v>45063</v>
      </c>
      <c r="G352" s="106" t="s">
        <v>2724</v>
      </c>
      <c r="H352" s="106" t="s">
        <v>3366</v>
      </c>
    </row>
    <row r="353" spans="2:8" x14ac:dyDescent="0.3">
      <c r="B353" s="106" t="s">
        <v>1796</v>
      </c>
      <c r="C353" s="106" t="s">
        <v>2775</v>
      </c>
      <c r="D353" s="106" t="s">
        <v>3367</v>
      </c>
      <c r="E353" s="107">
        <v>38126</v>
      </c>
      <c r="F353" s="107">
        <v>39587</v>
      </c>
      <c r="G353" s="106" t="s">
        <v>2724</v>
      </c>
      <c r="H353" s="106" t="s">
        <v>3368</v>
      </c>
    </row>
    <row r="354" spans="2:8" x14ac:dyDescent="0.3">
      <c r="B354" s="106" t="s">
        <v>1796</v>
      </c>
      <c r="C354" s="106" t="s">
        <v>2775</v>
      </c>
      <c r="D354" s="106" t="s">
        <v>3369</v>
      </c>
      <c r="E354" s="107">
        <v>44138</v>
      </c>
      <c r="F354" s="107">
        <v>45599</v>
      </c>
      <c r="G354" s="106" t="s">
        <v>2724</v>
      </c>
      <c r="H354" s="106" t="s">
        <v>3370</v>
      </c>
    </row>
    <row r="355" spans="2:8" x14ac:dyDescent="0.3">
      <c r="B355" s="106" t="s">
        <v>1796</v>
      </c>
      <c r="C355" s="106" t="s">
        <v>2775</v>
      </c>
      <c r="D355" s="106" t="s">
        <v>3371</v>
      </c>
      <c r="E355" s="107">
        <v>41695</v>
      </c>
      <c r="F355" s="107">
        <v>43886</v>
      </c>
      <c r="G355" s="106" t="s">
        <v>3139</v>
      </c>
      <c r="H355" s="106" t="s">
        <v>3372</v>
      </c>
    </row>
  </sheetData>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53391-5C4A-47A8-AA04-0391BE642780}">
  <dimension ref="B3:Q1473"/>
  <sheetViews>
    <sheetView topLeftCell="A3" workbookViewId="0">
      <pane ySplit="1" topLeftCell="A4" activePane="bottomLeft" state="frozen"/>
      <selection activeCell="A3" sqref="A3"/>
      <selection pane="bottomLeft" activeCell="G7" sqref="G7"/>
    </sheetView>
  </sheetViews>
  <sheetFormatPr defaultRowHeight="13" x14ac:dyDescent="0.3"/>
  <cols>
    <col min="2" max="2" width="22.09765625" bestFit="1" customWidth="1"/>
    <col min="3" max="3" width="25.59765625" customWidth="1"/>
    <col min="4" max="4" width="24.296875" customWidth="1"/>
    <col min="5" max="5" width="25.59765625" customWidth="1"/>
    <col min="6" max="6" width="14.09765625" bestFit="1" customWidth="1"/>
    <col min="7" max="7" width="79.296875" customWidth="1"/>
    <col min="8" max="8" width="34.3984375" customWidth="1"/>
  </cols>
  <sheetData>
    <row r="3" spans="2:17" ht="26" x14ac:dyDescent="0.3">
      <c r="B3" s="104" t="s">
        <v>3373</v>
      </c>
      <c r="C3" s="104" t="s">
        <v>21</v>
      </c>
      <c r="D3" s="104" t="s">
        <v>3374</v>
      </c>
      <c r="E3" s="104" t="s">
        <v>3375</v>
      </c>
      <c r="F3" s="104" t="s">
        <v>19</v>
      </c>
      <c r="G3" s="104" t="s">
        <v>3376</v>
      </c>
      <c r="H3" s="104" t="s">
        <v>3377</v>
      </c>
    </row>
    <row r="4" spans="2:17" x14ac:dyDescent="0.3">
      <c r="B4" t="s">
        <v>3378</v>
      </c>
      <c r="C4" t="s">
        <v>1796</v>
      </c>
      <c r="D4" t="s">
        <v>506</v>
      </c>
      <c r="E4" t="s">
        <v>3379</v>
      </c>
      <c r="F4" t="s">
        <v>3380</v>
      </c>
      <c r="G4" t="s">
        <v>3381</v>
      </c>
    </row>
    <row r="5" spans="2:17" x14ac:dyDescent="0.3">
      <c r="B5" t="s">
        <v>3382</v>
      </c>
      <c r="C5" t="s">
        <v>1796</v>
      </c>
      <c r="D5" t="s">
        <v>506</v>
      </c>
      <c r="E5" t="s">
        <v>3379</v>
      </c>
      <c r="F5" t="s">
        <v>3383</v>
      </c>
      <c r="G5" t="s">
        <v>3384</v>
      </c>
    </row>
    <row r="6" spans="2:17" x14ac:dyDescent="0.3">
      <c r="B6" t="s">
        <v>3385</v>
      </c>
      <c r="C6" t="s">
        <v>1796</v>
      </c>
      <c r="D6" t="s">
        <v>506</v>
      </c>
      <c r="E6" t="s">
        <v>3379</v>
      </c>
      <c r="F6" t="s">
        <v>3380</v>
      </c>
      <c r="G6" t="s">
        <v>3386</v>
      </c>
    </row>
    <row r="7" spans="2:17" x14ac:dyDescent="0.3">
      <c r="B7" t="s">
        <v>3387</v>
      </c>
      <c r="C7" t="s">
        <v>1796</v>
      </c>
      <c r="D7" t="s">
        <v>506</v>
      </c>
      <c r="E7" t="s">
        <v>3379</v>
      </c>
      <c r="F7" t="s">
        <v>3388</v>
      </c>
      <c r="G7" t="s">
        <v>3389</v>
      </c>
    </row>
    <row r="8" spans="2:17" x14ac:dyDescent="0.3">
      <c r="B8" t="s">
        <v>3390</v>
      </c>
      <c r="C8" t="s">
        <v>1796</v>
      </c>
      <c r="D8" t="s">
        <v>506</v>
      </c>
      <c r="E8" t="s">
        <v>3379</v>
      </c>
      <c r="F8" t="s">
        <v>3388</v>
      </c>
      <c r="G8" t="s">
        <v>3391</v>
      </c>
    </row>
    <row r="9" spans="2:17" x14ac:dyDescent="0.3">
      <c r="B9" t="s">
        <v>3392</v>
      </c>
      <c r="C9" t="s">
        <v>1796</v>
      </c>
      <c r="D9" t="s">
        <v>506</v>
      </c>
      <c r="E9" t="s">
        <v>3379</v>
      </c>
      <c r="F9" t="s">
        <v>3388</v>
      </c>
      <c r="G9" t="s">
        <v>3393</v>
      </c>
    </row>
    <row r="10" spans="2:17" x14ac:dyDescent="0.3">
      <c r="B10" t="s">
        <v>3394</v>
      </c>
      <c r="C10" t="s">
        <v>1796</v>
      </c>
      <c r="D10" t="s">
        <v>506</v>
      </c>
      <c r="E10" t="s">
        <v>3379</v>
      </c>
      <c r="F10" t="s">
        <v>3388</v>
      </c>
      <c r="G10" t="s">
        <v>3395</v>
      </c>
    </row>
    <row r="11" spans="2:17" x14ac:dyDescent="0.3">
      <c r="B11" t="s">
        <v>3396</v>
      </c>
      <c r="C11" t="s">
        <v>1796</v>
      </c>
      <c r="D11" t="s">
        <v>506</v>
      </c>
      <c r="E11" t="s">
        <v>3379</v>
      </c>
      <c r="F11" t="s">
        <v>3397</v>
      </c>
      <c r="G11" t="s">
        <v>3398</v>
      </c>
      <c r="K11" t="str" cm="1">
        <f t="array" ref="K11:Q158">_xlfn._xlws.FILTER(RMGDE[],RMGDE[Categoria do Investimento]="RGP","")</f>
        <v>T2023-201</v>
      </c>
      <c r="L11" t="str">
        <v>Transmissão</v>
      </c>
      <c r="M11" t="str">
        <v>Corporativo</v>
      </c>
      <c r="N11" t="str">
        <v>RGP</v>
      </c>
      <c r="O11" t="str">
        <v>CGT ELETROSUL</v>
      </c>
      <c r="P11" t="str">
        <v>Reforço na SE Anastácio: Instalação do 2º reator de barra de 27 Mvar em 230 Kv</v>
      </c>
      <c r="Q11">
        <v>0</v>
      </c>
    </row>
    <row r="12" spans="2:17" x14ac:dyDescent="0.3">
      <c r="B12" t="s">
        <v>3399</v>
      </c>
      <c r="C12" t="s">
        <v>1796</v>
      </c>
      <c r="D12" t="s">
        <v>506</v>
      </c>
      <c r="E12" t="s">
        <v>3379</v>
      </c>
      <c r="F12" t="s">
        <v>3397</v>
      </c>
      <c r="G12" t="s">
        <v>3400</v>
      </c>
      <c r="K12" t="str">
        <v>T2023-104</v>
      </c>
      <c r="L12" t="str">
        <v>Transmissão</v>
      </c>
      <c r="M12" t="str">
        <v>Corporativo</v>
      </c>
      <c r="N12" t="str">
        <v>RGP</v>
      </c>
      <c r="O12" t="str">
        <v>ELETRONORTE</v>
      </c>
      <c r="P12" t="str">
        <v>Reforço na SE Sorriso: Instalação do 4º TF 230/69/13,8 kV, 1 x 60 MVA trifásico</v>
      </c>
      <c r="Q12">
        <v>0</v>
      </c>
    </row>
    <row r="13" spans="2:17" x14ac:dyDescent="0.3">
      <c r="B13" t="s">
        <v>3401</v>
      </c>
      <c r="C13" t="s">
        <v>1796</v>
      </c>
      <c r="D13" t="s">
        <v>506</v>
      </c>
      <c r="E13" t="s">
        <v>3379</v>
      </c>
      <c r="F13" t="s">
        <v>3380</v>
      </c>
      <c r="G13" t="s">
        <v>3402</v>
      </c>
      <c r="K13" t="str">
        <v>T2023-142</v>
      </c>
      <c r="L13" t="str">
        <v>Transmissão</v>
      </c>
      <c r="M13" t="str">
        <v>Corporativo</v>
      </c>
      <c r="N13" t="str">
        <v>RGP</v>
      </c>
      <c r="O13" t="str">
        <v>CGT ELETROSUL</v>
      </c>
      <c r="P13" t="str">
        <v>Reforço SE Joinville: substituição TF1 138/69 kV - 50 MVA por TF de 138/69 kV – 66 MVA</v>
      </c>
      <c r="Q13">
        <v>0</v>
      </c>
    </row>
    <row r="14" spans="2:17" x14ac:dyDescent="0.3">
      <c r="B14" t="s">
        <v>3403</v>
      </c>
      <c r="C14" t="s">
        <v>1796</v>
      </c>
      <c r="D14" t="s">
        <v>506</v>
      </c>
      <c r="E14" t="s">
        <v>3379</v>
      </c>
      <c r="F14" t="s">
        <v>3383</v>
      </c>
      <c r="G14" t="s">
        <v>3404</v>
      </c>
      <c r="K14" t="str">
        <v>T2023-160</v>
      </c>
      <c r="L14" t="str">
        <v>Transmissão</v>
      </c>
      <c r="M14" t="str">
        <v>Corporativo</v>
      </c>
      <c r="N14" t="str">
        <v>RGP</v>
      </c>
      <c r="O14" t="str">
        <v>CHESF</v>
      </c>
      <c r="P14" t="str">
        <v>Reforço na SE Açu II: Substituição do TR4 230/69 kV - 39 MVA para 100 MVA</v>
      </c>
      <c r="Q14">
        <v>0</v>
      </c>
    </row>
    <row r="15" spans="2:17" x14ac:dyDescent="0.3">
      <c r="B15" t="s">
        <v>3405</v>
      </c>
      <c r="C15" t="s">
        <v>1796</v>
      </c>
      <c r="D15" t="s">
        <v>506</v>
      </c>
      <c r="E15" t="s">
        <v>3379</v>
      </c>
      <c r="F15" t="s">
        <v>3383</v>
      </c>
      <c r="G15" t="s">
        <v>3406</v>
      </c>
      <c r="K15" t="str">
        <v>T2023-159</v>
      </c>
      <c r="L15" t="str">
        <v>Transmissão</v>
      </c>
      <c r="M15" t="str">
        <v>Corporativo</v>
      </c>
      <c r="N15" t="str">
        <v>RGP</v>
      </c>
      <c r="O15" t="str">
        <v>CHESF</v>
      </c>
      <c r="P15" t="str">
        <v>Reforço na SE Bom Jesus da Lapa: Substituição do TR2 230/69 kV - 33 MVA para 100 MVA</v>
      </c>
      <c r="Q15">
        <v>0</v>
      </c>
    </row>
    <row r="16" spans="2:17" x14ac:dyDescent="0.3">
      <c r="B16" t="s">
        <v>3407</v>
      </c>
      <c r="C16" t="s">
        <v>1796</v>
      </c>
      <c r="D16" t="s">
        <v>506</v>
      </c>
      <c r="E16" t="s">
        <v>3379</v>
      </c>
      <c r="F16" t="s">
        <v>3388</v>
      </c>
      <c r="G16" t="s">
        <v>3408</v>
      </c>
      <c r="K16" t="str">
        <v>T2023-161</v>
      </c>
      <c r="L16" t="str">
        <v>Transmissão</v>
      </c>
      <c r="M16" t="str">
        <v>Corporativo</v>
      </c>
      <c r="N16" t="str">
        <v>RGP</v>
      </c>
      <c r="O16" t="str">
        <v>CHESF</v>
      </c>
      <c r="P16" t="str">
        <v>Reforço na SE Irecê: Substituição do TR2 e TR3 230/69 kV - 33 MVA por dois TRs de 100 MVA</v>
      </c>
      <c r="Q16">
        <v>0</v>
      </c>
    </row>
    <row r="17" spans="2:17" x14ac:dyDescent="0.3">
      <c r="B17" t="s">
        <v>3409</v>
      </c>
      <c r="C17" t="s">
        <v>1796</v>
      </c>
      <c r="D17" t="s">
        <v>506</v>
      </c>
      <c r="E17" t="s">
        <v>3410</v>
      </c>
      <c r="F17" t="s">
        <v>3380</v>
      </c>
      <c r="G17" t="s">
        <v>3411</v>
      </c>
      <c r="K17" t="str">
        <v>T2023-181</v>
      </c>
      <c r="L17" t="str">
        <v>Transmissão</v>
      </c>
      <c r="M17" t="str">
        <v>Corporativo</v>
      </c>
      <c r="N17" t="str">
        <v>RGP</v>
      </c>
      <c r="O17" t="str">
        <v>CHESF</v>
      </c>
      <c r="P17" t="str">
        <v>Reforço na SE Olindina: Instalação do 3º banco de reatores de barra de 3 x 50 Mvar em 500 kV</v>
      </c>
      <c r="Q17">
        <v>0</v>
      </c>
    </row>
    <row r="18" spans="2:17" x14ac:dyDescent="0.3">
      <c r="B18" t="s">
        <v>3412</v>
      </c>
      <c r="C18" t="s">
        <v>1796</v>
      </c>
      <c r="D18" t="s">
        <v>506</v>
      </c>
      <c r="E18" t="s">
        <v>3410</v>
      </c>
      <c r="F18" t="s">
        <v>3380</v>
      </c>
      <c r="G18" t="s">
        <v>3413</v>
      </c>
      <c r="K18" t="str">
        <v>T2023-167</v>
      </c>
      <c r="L18" t="str">
        <v>Transmissão</v>
      </c>
      <c r="M18" t="str">
        <v>Corporativo</v>
      </c>
      <c r="N18" t="str">
        <v>RGP</v>
      </c>
      <c r="O18" t="str">
        <v>FURNAS</v>
      </c>
      <c r="P18" t="str">
        <v>Reforço na SE Resende: Instalação do 1º RTB 500 kV - (3+1)x66,66 Mvar</v>
      </c>
      <c r="Q18">
        <v>0</v>
      </c>
    </row>
    <row r="19" spans="2:17" x14ac:dyDescent="0.3">
      <c r="B19" t="s">
        <v>3414</v>
      </c>
      <c r="C19" t="s">
        <v>1796</v>
      </c>
      <c r="D19" t="s">
        <v>506</v>
      </c>
      <c r="E19" t="s">
        <v>3410</v>
      </c>
      <c r="F19" t="s">
        <v>3380</v>
      </c>
      <c r="G19" t="s">
        <v>3415</v>
      </c>
      <c r="K19" t="str">
        <v>T2023-167-A</v>
      </c>
      <c r="L19" t="str">
        <v>Transmissão</v>
      </c>
      <c r="M19" t="str">
        <v>Corporativo</v>
      </c>
      <c r="N19" t="str">
        <v>RGP</v>
      </c>
      <c r="O19" t="str">
        <v>FURNAS</v>
      </c>
      <c r="P19" t="str">
        <v>Instalação da fase reserva para o 1º RTB 500 kV - (3+1)x66,66 Mvar, na SE Resende.</v>
      </c>
      <c r="Q19">
        <v>0</v>
      </c>
    </row>
    <row r="20" spans="2:17" x14ac:dyDescent="0.3">
      <c r="B20" t="s">
        <v>3416</v>
      </c>
      <c r="C20" t="s">
        <v>1796</v>
      </c>
      <c r="D20" t="s">
        <v>506</v>
      </c>
      <c r="E20" t="s">
        <v>3410</v>
      </c>
      <c r="F20" t="s">
        <v>3380</v>
      </c>
      <c r="G20" t="s">
        <v>3417</v>
      </c>
      <c r="K20" t="str">
        <v>T2023-149</v>
      </c>
      <c r="L20" t="str">
        <v>Transmissão</v>
      </c>
      <c r="M20" t="str">
        <v>Corporativo</v>
      </c>
      <c r="N20" t="str">
        <v>RGP</v>
      </c>
      <c r="O20" t="str">
        <v>CGT ELETROSUL</v>
      </c>
      <c r="P20" t="str">
        <v>Reforço na SE Jorge Lacerda A: substituição do TF9 - 138/69 kV - 50 MVA existente, por TF de 60 MVA</v>
      </c>
      <c r="Q20">
        <v>0</v>
      </c>
    </row>
    <row r="21" spans="2:17" x14ac:dyDescent="0.3">
      <c r="B21" t="s">
        <v>3418</v>
      </c>
      <c r="C21" t="s">
        <v>1796</v>
      </c>
      <c r="D21" t="s">
        <v>506</v>
      </c>
      <c r="E21" t="s">
        <v>3410</v>
      </c>
      <c r="F21" t="s">
        <v>3380</v>
      </c>
      <c r="G21" t="s">
        <v>3419</v>
      </c>
      <c r="K21" t="str">
        <v>T2023-134</v>
      </c>
      <c r="L21" t="str">
        <v>Transmissão</v>
      </c>
      <c r="M21" t="str">
        <v>Corporativo</v>
      </c>
      <c r="N21" t="str">
        <v>RGP</v>
      </c>
      <c r="O21" t="str">
        <v>ELETRONORTE</v>
      </c>
      <c r="P21" t="str">
        <v>Reforço na SE Presidente Dutra: substituição do TR1 500/230 kV, (3+1)x100 MVA, por (3+1)x150 MVA.</v>
      </c>
      <c r="Q21">
        <v>0</v>
      </c>
    </row>
    <row r="22" spans="2:17" x14ac:dyDescent="0.3">
      <c r="B22" t="s">
        <v>3420</v>
      </c>
      <c r="C22" t="s">
        <v>1796</v>
      </c>
      <c r="D22" t="s">
        <v>506</v>
      </c>
      <c r="E22" t="s">
        <v>3410</v>
      </c>
      <c r="F22" t="s">
        <v>3380</v>
      </c>
      <c r="G22" t="s">
        <v>3421</v>
      </c>
      <c r="K22" t="str">
        <v>T2023-114</v>
      </c>
      <c r="L22" t="str">
        <v>Transmissão</v>
      </c>
      <c r="M22" t="str">
        <v>Corporativo</v>
      </c>
      <c r="N22" t="str">
        <v>RGP</v>
      </c>
      <c r="O22" t="str">
        <v>ELETRONORTE</v>
      </c>
      <c r="P22" t="str">
        <v>Reforço na SE Pimenta Bueno: Instalação do 3° Autotransformador 230/138 kV, 55 MVA.</v>
      </c>
      <c r="Q22">
        <v>0</v>
      </c>
    </row>
    <row r="23" spans="2:17" x14ac:dyDescent="0.3">
      <c r="B23" t="s">
        <v>3422</v>
      </c>
      <c r="C23" t="s">
        <v>1796</v>
      </c>
      <c r="D23" t="s">
        <v>506</v>
      </c>
      <c r="E23" t="s">
        <v>3410</v>
      </c>
      <c r="F23" t="s">
        <v>3380</v>
      </c>
      <c r="G23" t="s">
        <v>3423</v>
      </c>
      <c r="K23" t="str">
        <v>T2023-109</v>
      </c>
      <c r="L23" t="str">
        <v>Transmissão</v>
      </c>
      <c r="M23" t="str">
        <v>Corporativo</v>
      </c>
      <c r="N23" t="str">
        <v>RGP</v>
      </c>
      <c r="O23" t="str">
        <v>CHESF</v>
      </c>
      <c r="P23" t="str">
        <v>Reforço na SE Bom Nome: Instalação do 4º TF 230/138 kV - 100 MVA</v>
      </c>
      <c r="Q23">
        <v>0</v>
      </c>
    </row>
    <row r="24" spans="2:17" x14ac:dyDescent="0.3">
      <c r="B24" t="s">
        <v>3424</v>
      </c>
      <c r="C24" t="s">
        <v>1796</v>
      </c>
      <c r="D24" t="s">
        <v>506</v>
      </c>
      <c r="E24" t="s">
        <v>3410</v>
      </c>
      <c r="F24" t="s">
        <v>3380</v>
      </c>
      <c r="G24" t="s">
        <v>3425</v>
      </c>
      <c r="K24" t="str">
        <v>T2023-136</v>
      </c>
      <c r="L24" t="str">
        <v>Transmissão</v>
      </c>
      <c r="M24" t="str">
        <v>Corporativo</v>
      </c>
      <c r="N24" t="str">
        <v>RGP</v>
      </c>
      <c r="O24" t="str">
        <v>ELETRONORTE</v>
      </c>
      <c r="P24" t="str">
        <v>Reforço na SE Marabá: substituição do TR1 500/230 kV, 3x100 MVA, por 3x150 MVA.</v>
      </c>
      <c r="Q24">
        <v>0</v>
      </c>
    </row>
    <row r="25" spans="2:17" x14ac:dyDescent="0.3">
      <c r="B25" t="s">
        <v>3426</v>
      </c>
      <c r="C25" t="s">
        <v>1796</v>
      </c>
      <c r="D25" t="s">
        <v>506</v>
      </c>
      <c r="E25" t="s">
        <v>3410</v>
      </c>
      <c r="F25" t="s">
        <v>3380</v>
      </c>
      <c r="G25" t="s">
        <v>3427</v>
      </c>
      <c r="K25" t="str">
        <v>T2023-162</v>
      </c>
      <c r="L25" t="str">
        <v>Transmissão</v>
      </c>
      <c r="M25" t="str">
        <v>Corporativo</v>
      </c>
      <c r="N25" t="str">
        <v>RGP</v>
      </c>
      <c r="O25" t="str">
        <v>CHESF</v>
      </c>
      <c r="P25" t="str">
        <v>Reforço na SE Itabaiana: Substituição do 1º e 2º TR 230/69 kV - 100 MVA para 150 MVA</v>
      </c>
      <c r="Q25">
        <v>0</v>
      </c>
    </row>
    <row r="26" spans="2:17" x14ac:dyDescent="0.3">
      <c r="B26" t="s">
        <v>3428</v>
      </c>
      <c r="C26" t="s">
        <v>1796</v>
      </c>
      <c r="D26" t="s">
        <v>506</v>
      </c>
      <c r="E26" t="s">
        <v>3410</v>
      </c>
      <c r="F26" t="s">
        <v>3380</v>
      </c>
      <c r="G26" t="s">
        <v>3429</v>
      </c>
      <c r="K26" t="str">
        <v>T2022-069</v>
      </c>
      <c r="L26" t="str">
        <v>Transmissão</v>
      </c>
      <c r="M26" t="str">
        <v>Corporativo</v>
      </c>
      <c r="N26" t="str">
        <v>RGP</v>
      </c>
      <c r="O26" t="str">
        <v>CGT ELETROSUL</v>
      </c>
      <c r="P26" t="str">
        <v>Reforço na SE Gravataí - Instalação de banco de reatores de barra 525 kV, (3+1R)x50 Mvar e conexões</v>
      </c>
      <c r="Q26">
        <v>0</v>
      </c>
    </row>
    <row r="27" spans="2:17" x14ac:dyDescent="0.3">
      <c r="B27" t="s">
        <v>3430</v>
      </c>
      <c r="C27" t="s">
        <v>1796</v>
      </c>
      <c r="D27" t="s">
        <v>506</v>
      </c>
      <c r="E27" t="s">
        <v>3410</v>
      </c>
      <c r="F27" t="s">
        <v>3380</v>
      </c>
      <c r="G27" t="s">
        <v>3431</v>
      </c>
      <c r="K27" t="str">
        <v>T2024-005</v>
      </c>
      <c r="L27" t="str">
        <v>Transmissão</v>
      </c>
      <c r="M27" t="str">
        <v>Corporativo</v>
      </c>
      <c r="N27" t="str">
        <v>RGP</v>
      </c>
      <c r="O27" t="str">
        <v>CGT ELETROSUL</v>
      </c>
      <c r="P27" t="str">
        <v>SE GRAVATAÍ 3: Instalação do 2º Transformador 230/69 kV, 3x 55 MVA, na SE Gravataí 3.</v>
      </c>
      <c r="Q27">
        <v>0</v>
      </c>
    </row>
    <row r="28" spans="2:17" x14ac:dyDescent="0.3">
      <c r="B28" t="s">
        <v>3432</v>
      </c>
      <c r="C28" t="s">
        <v>1796</v>
      </c>
      <c r="D28" t="s">
        <v>506</v>
      </c>
      <c r="E28" t="s">
        <v>3410</v>
      </c>
      <c r="F28" t="s">
        <v>3380</v>
      </c>
      <c r="G28" t="s">
        <v>3433</v>
      </c>
      <c r="K28" t="str">
        <v>T2023-190</v>
      </c>
      <c r="L28" t="str">
        <v>Transmissão</v>
      </c>
      <c r="M28" t="str">
        <v>Corporativo</v>
      </c>
      <c r="N28" t="str">
        <v>RGP</v>
      </c>
      <c r="O28" t="str">
        <v>FURNAS</v>
      </c>
      <c r="P28" t="str">
        <v xml:space="preserve">Reforço na SE Vitória: Substituição do ATR1 345/138 kV por novo banco (3+1)x133,33MVA. </v>
      </c>
      <c r="Q28">
        <v>0</v>
      </c>
    </row>
    <row r="29" spans="2:17" x14ac:dyDescent="0.3">
      <c r="B29" t="s">
        <v>3434</v>
      </c>
      <c r="C29" t="s">
        <v>1796</v>
      </c>
      <c r="D29" t="s">
        <v>506</v>
      </c>
      <c r="E29" t="s">
        <v>3410</v>
      </c>
      <c r="F29" t="s">
        <v>3380</v>
      </c>
      <c r="G29" t="s">
        <v>3435</v>
      </c>
      <c r="K29" t="str">
        <v>T2023-169</v>
      </c>
      <c r="L29" t="str">
        <v>Transmissão</v>
      </c>
      <c r="M29" t="str">
        <v>Corporativo</v>
      </c>
      <c r="N29" t="str">
        <v>RGP</v>
      </c>
      <c r="O29" t="str">
        <v>FURNAS</v>
      </c>
      <c r="P29" t="str">
        <v>Reforço na SE Ibiúna: Instalação do 1º RTB 345 kV - 3x44 Mvar</v>
      </c>
      <c r="Q29">
        <v>0</v>
      </c>
    </row>
    <row r="30" spans="2:17" x14ac:dyDescent="0.3">
      <c r="B30" t="s">
        <v>3436</v>
      </c>
      <c r="C30" t="s">
        <v>1796</v>
      </c>
      <c r="D30" t="s">
        <v>506</v>
      </c>
      <c r="E30" t="s">
        <v>3410</v>
      </c>
      <c r="F30" t="s">
        <v>3380</v>
      </c>
      <c r="G30" t="s">
        <v>3437</v>
      </c>
      <c r="K30" t="str">
        <v>T2023-169-A</v>
      </c>
      <c r="L30" t="str">
        <v>Transmissão</v>
      </c>
      <c r="M30" t="str">
        <v>Corporativo</v>
      </c>
      <c r="N30" t="str">
        <v>RGP</v>
      </c>
      <c r="O30" t="str">
        <v>FURNAS</v>
      </c>
      <c r="P30" t="str">
        <v>Instalação da fase reserva para o 1º RTB 345 kV - (3+1)x44 Mvar, na SE Ibiúna.</v>
      </c>
      <c r="Q30">
        <v>0</v>
      </c>
    </row>
    <row r="31" spans="2:17" x14ac:dyDescent="0.3">
      <c r="B31" t="s">
        <v>3438</v>
      </c>
      <c r="C31" t="s">
        <v>1796</v>
      </c>
      <c r="D31" t="s">
        <v>506</v>
      </c>
      <c r="E31" t="s">
        <v>3410</v>
      </c>
      <c r="F31" t="s">
        <v>3380</v>
      </c>
      <c r="G31" t="s">
        <v>3439</v>
      </c>
      <c r="K31" t="str">
        <v>T2023-171</v>
      </c>
      <c r="L31" t="str">
        <v>Transmissão</v>
      </c>
      <c r="M31" t="str">
        <v>Corporativo</v>
      </c>
      <c r="N31" t="str">
        <v>RGP</v>
      </c>
      <c r="O31" t="str">
        <v>FURNAS</v>
      </c>
      <c r="P31" t="str">
        <v>Reforço na SE Ibiúna: Instalação do 2º RTB 345 kV - 3x44 Mvar</v>
      </c>
      <c r="Q31">
        <v>0</v>
      </c>
    </row>
    <row r="32" spans="2:17" x14ac:dyDescent="0.3">
      <c r="B32" t="s">
        <v>3440</v>
      </c>
      <c r="C32" t="s">
        <v>1796</v>
      </c>
      <c r="D32" t="s">
        <v>506</v>
      </c>
      <c r="E32" t="s">
        <v>3410</v>
      </c>
      <c r="F32" t="s">
        <v>3383</v>
      </c>
      <c r="G32" t="s">
        <v>3441</v>
      </c>
      <c r="K32" t="str">
        <v>T2023-171-A</v>
      </c>
      <c r="L32" t="str">
        <v>Transmissão</v>
      </c>
      <c r="M32" t="str">
        <v>Corporativo</v>
      </c>
      <c r="N32" t="str">
        <v>RGP</v>
      </c>
      <c r="O32" t="str">
        <v>FURNAS</v>
      </c>
      <c r="P32" t="str">
        <v>Instalação da fase reserva para o 2º RTB 345 kV - (3+1)x44 Mvar, na SE Ibiúna</v>
      </c>
      <c r="Q32">
        <v>0</v>
      </c>
    </row>
    <row r="33" spans="2:17" x14ac:dyDescent="0.3">
      <c r="B33" t="s">
        <v>3442</v>
      </c>
      <c r="C33" t="s">
        <v>1796</v>
      </c>
      <c r="D33" t="s">
        <v>506</v>
      </c>
      <c r="E33" t="s">
        <v>3410</v>
      </c>
      <c r="F33" t="s">
        <v>3383</v>
      </c>
      <c r="G33" t="s">
        <v>3443</v>
      </c>
      <c r="K33" t="str">
        <v>T2024-001</v>
      </c>
      <c r="L33" t="str">
        <v>Transmissão</v>
      </c>
      <c r="M33" t="str">
        <v>Corporativo</v>
      </c>
      <c r="N33" t="str">
        <v>RGP</v>
      </c>
      <c r="O33" t="str">
        <v>FURNAS</v>
      </c>
      <c r="P33" t="str">
        <v>SE Guarulhos: Instalação do primeiro banco de reatores de barras em 345 kV</v>
      </c>
      <c r="Q33">
        <v>0</v>
      </c>
    </row>
    <row r="34" spans="2:17" x14ac:dyDescent="0.3">
      <c r="B34" t="s">
        <v>3444</v>
      </c>
      <c r="C34" t="s">
        <v>1796</v>
      </c>
      <c r="D34" t="s">
        <v>506</v>
      </c>
      <c r="E34" t="s">
        <v>3379</v>
      </c>
      <c r="F34" t="s">
        <v>3383</v>
      </c>
      <c r="G34" t="s">
        <v>3445</v>
      </c>
      <c r="K34" t="str">
        <v>T2024-002</v>
      </c>
      <c r="L34" t="str">
        <v>Transmissão</v>
      </c>
      <c r="M34" t="str">
        <v>Corporativo</v>
      </c>
      <c r="N34" t="str">
        <v>RGP</v>
      </c>
      <c r="O34" t="str">
        <v>FURNAS</v>
      </c>
      <c r="P34" t="str">
        <v>SE Guarulhos: Instalação de uma fase reserva para o RT1, 345 kV, 44MVar</v>
      </c>
      <c r="Q34">
        <v>0</v>
      </c>
    </row>
    <row r="35" spans="2:17" x14ac:dyDescent="0.3">
      <c r="B35" t="s">
        <v>3446</v>
      </c>
      <c r="C35" t="s">
        <v>1796</v>
      </c>
      <c r="D35" t="s">
        <v>506</v>
      </c>
      <c r="E35" t="s">
        <v>3410</v>
      </c>
      <c r="F35" t="s">
        <v>3397</v>
      </c>
      <c r="G35" t="s">
        <v>3447</v>
      </c>
      <c r="K35" t="str">
        <v>T2024-003</v>
      </c>
      <c r="L35" t="str">
        <v>Transmissão</v>
      </c>
      <c r="M35" t="str">
        <v>Corporativo</v>
      </c>
      <c r="N35" t="str">
        <v>RGP</v>
      </c>
      <c r="O35" t="str">
        <v>FURNAS</v>
      </c>
      <c r="P35" t="str">
        <v>SE Guarulhos: Instalação do segundo banco de reatores de barras, 345 kV, 3x44MVar</v>
      </c>
      <c r="Q35">
        <v>0</v>
      </c>
    </row>
    <row r="36" spans="2:17" x14ac:dyDescent="0.3">
      <c r="B36" t="s">
        <v>3448</v>
      </c>
      <c r="C36" t="s">
        <v>1796</v>
      </c>
      <c r="D36" t="s">
        <v>506</v>
      </c>
      <c r="E36" t="s">
        <v>3379</v>
      </c>
      <c r="F36" t="s">
        <v>3388</v>
      </c>
      <c r="G36" t="s">
        <v>3449</v>
      </c>
      <c r="K36" t="str">
        <v>T2024-004</v>
      </c>
      <c r="L36" t="str">
        <v>Transmissão</v>
      </c>
      <c r="M36" t="str">
        <v>Corporativo</v>
      </c>
      <c r="N36" t="str">
        <v>RGP</v>
      </c>
      <c r="O36" t="str">
        <v>FURNAS</v>
      </c>
      <c r="P36" t="str">
        <v>SE Guarulhos: Instalação de uma fase reserva para o RT2, 345 kV, 44MVar</v>
      </c>
      <c r="Q36">
        <v>0</v>
      </c>
    </row>
    <row r="37" spans="2:17" x14ac:dyDescent="0.3">
      <c r="B37" t="s">
        <v>3450</v>
      </c>
      <c r="C37" t="s">
        <v>1796</v>
      </c>
      <c r="D37" t="s">
        <v>506</v>
      </c>
      <c r="E37" t="s">
        <v>3410</v>
      </c>
      <c r="F37" t="s">
        <v>3383</v>
      </c>
      <c r="G37" t="s">
        <v>3451</v>
      </c>
      <c r="K37" t="str">
        <v>T2024-122</v>
      </c>
      <c r="L37" t="str">
        <v>Transmissão</v>
      </c>
      <c r="M37" t="str">
        <v>Corporativo</v>
      </c>
      <c r="N37" t="str">
        <v>RGP</v>
      </c>
      <c r="O37" t="str">
        <v>FURNAS</v>
      </c>
      <c r="P37" t="str">
        <v>Reforço na SE Campinas: Substituição do banco de autotransformadores TR1, de 345/138 kV</v>
      </c>
      <c r="Q37">
        <v>0</v>
      </c>
    </row>
    <row r="38" spans="2:17" x14ac:dyDescent="0.3">
      <c r="B38" t="s">
        <v>3452</v>
      </c>
      <c r="C38" t="s">
        <v>1796</v>
      </c>
      <c r="D38" t="s">
        <v>506</v>
      </c>
      <c r="E38" t="s">
        <v>3410</v>
      </c>
      <c r="F38" t="s">
        <v>3383</v>
      </c>
      <c r="G38" t="s">
        <v>3453</v>
      </c>
      <c r="K38" t="str">
        <v>T2024-123</v>
      </c>
      <c r="L38" t="str">
        <v>Transmissão</v>
      </c>
      <c r="M38" t="str">
        <v>Corporativo</v>
      </c>
      <c r="N38" t="str">
        <v>RGP</v>
      </c>
      <c r="O38" t="str">
        <v>FURNAS</v>
      </c>
      <c r="P38" t="str">
        <v>Reforço na SE Campinas: Substituição do autotransformador reserva 345/138 kV, de 50MVA para 100 MVA</v>
      </c>
      <c r="Q38">
        <v>0</v>
      </c>
    </row>
    <row r="39" spans="2:17" x14ac:dyDescent="0.3">
      <c r="B39" t="s">
        <v>3454</v>
      </c>
      <c r="C39" t="s">
        <v>1796</v>
      </c>
      <c r="D39" t="s">
        <v>506</v>
      </c>
      <c r="E39" t="s">
        <v>3410</v>
      </c>
      <c r="F39" t="s">
        <v>3383</v>
      </c>
      <c r="G39" t="s">
        <v>3455</v>
      </c>
      <c r="K39" t="str">
        <v>T2024-133</v>
      </c>
      <c r="L39" t="str">
        <v>Transmissão</v>
      </c>
      <c r="M39" t="str">
        <v>Corporativo</v>
      </c>
      <c r="N39" t="str">
        <v>RGP</v>
      </c>
      <c r="O39" t="str">
        <v>FURNAS</v>
      </c>
      <c r="P39" t="str">
        <v>Reforço na SE Campinas: Substituição do banco de autotransformadores TR2, de 345/138 kV</v>
      </c>
      <c r="Q39">
        <v>0</v>
      </c>
    </row>
    <row r="40" spans="2:17" x14ac:dyDescent="0.3">
      <c r="B40" t="s">
        <v>3456</v>
      </c>
      <c r="C40" t="s">
        <v>1796</v>
      </c>
      <c r="D40" t="s">
        <v>506</v>
      </c>
      <c r="E40" t="s">
        <v>3410</v>
      </c>
      <c r="F40" t="s">
        <v>3397</v>
      </c>
      <c r="G40" t="s">
        <v>3457</v>
      </c>
      <c r="K40" t="str">
        <v>T2024-134</v>
      </c>
      <c r="L40" t="str">
        <v>Transmissão</v>
      </c>
      <c r="M40" t="str">
        <v>Corporativo</v>
      </c>
      <c r="N40" t="str">
        <v>RGP</v>
      </c>
      <c r="O40" t="str">
        <v>FURNAS</v>
      </c>
      <c r="P40" t="str">
        <v>Reforço na SE Campinas: Substituição do banco de autotransformadores TR3, de 345/138 kV</v>
      </c>
      <c r="Q40">
        <v>0</v>
      </c>
    </row>
    <row r="41" spans="2:17" x14ac:dyDescent="0.3">
      <c r="B41" t="s">
        <v>3458</v>
      </c>
      <c r="C41" t="s">
        <v>1796</v>
      </c>
      <c r="D41" t="s">
        <v>506</v>
      </c>
      <c r="E41" t="s">
        <v>3410</v>
      </c>
      <c r="F41" t="s">
        <v>3397</v>
      </c>
      <c r="G41" t="s">
        <v>3459</v>
      </c>
      <c r="K41" t="str">
        <v>T2024-135</v>
      </c>
      <c r="L41" t="str">
        <v>Transmissão</v>
      </c>
      <c r="M41" t="str">
        <v>Corporativo</v>
      </c>
      <c r="N41" t="str">
        <v>RGP</v>
      </c>
      <c r="O41" t="str">
        <v>FURNAS</v>
      </c>
      <c r="P41" t="str">
        <v>Reforço na SE Campinas: Substituição do banco de autotransformadores TR4, de 345/138 kV</v>
      </c>
      <c r="Q41">
        <v>0</v>
      </c>
    </row>
    <row r="42" spans="2:17" x14ac:dyDescent="0.3">
      <c r="B42" t="s">
        <v>3460</v>
      </c>
      <c r="C42" t="s">
        <v>1796</v>
      </c>
      <c r="D42" t="s">
        <v>506</v>
      </c>
      <c r="E42" t="s">
        <v>3410</v>
      </c>
      <c r="F42" t="s">
        <v>3397</v>
      </c>
      <c r="G42" t="s">
        <v>3461</v>
      </c>
      <c r="K42" t="str">
        <v>T2023-131</v>
      </c>
      <c r="L42" t="str">
        <v>Transmissão</v>
      </c>
      <c r="M42" t="str">
        <v>Corporativo</v>
      </c>
      <c r="N42" t="str">
        <v>RGP</v>
      </c>
      <c r="O42" t="str">
        <v>CHESF</v>
      </c>
      <c r="P42" t="str">
        <v>Reforço - Seccionamento da LT P.Afonso III-Floresta II C1 na SE Tacaratu.</v>
      </c>
      <c r="Q42">
        <v>0</v>
      </c>
    </row>
    <row r="43" spans="2:17" x14ac:dyDescent="0.3">
      <c r="B43" t="s">
        <v>3462</v>
      </c>
      <c r="C43" t="s">
        <v>1796</v>
      </c>
      <c r="D43" t="s">
        <v>506</v>
      </c>
      <c r="E43" t="s">
        <v>3410</v>
      </c>
      <c r="F43" t="s">
        <v>3397</v>
      </c>
      <c r="G43" t="s">
        <v>3463</v>
      </c>
      <c r="K43" t="str">
        <v>T2021-026</v>
      </c>
      <c r="L43" t="str">
        <v>Transmissão</v>
      </c>
      <c r="M43" t="str">
        <v>Corporativo</v>
      </c>
      <c r="N43" t="str">
        <v>RGP</v>
      </c>
      <c r="O43" t="str">
        <v>CHESF</v>
      </c>
      <c r="P43" t="str">
        <v>SE Angelim II 500 kV - instalação do 2º banco de reatores de barra 500 kV</v>
      </c>
      <c r="Q43">
        <v>0</v>
      </c>
    </row>
    <row r="44" spans="2:17" x14ac:dyDescent="0.3">
      <c r="B44" t="s">
        <v>3464</v>
      </c>
      <c r="C44" t="s">
        <v>1796</v>
      </c>
      <c r="D44" t="s">
        <v>506</v>
      </c>
      <c r="E44" t="s">
        <v>3410</v>
      </c>
      <c r="F44" t="s">
        <v>3383</v>
      </c>
      <c r="G44" t="s">
        <v>3465</v>
      </c>
      <c r="K44" t="str">
        <v>T2021-028</v>
      </c>
      <c r="L44" t="str">
        <v>Transmissão</v>
      </c>
      <c r="M44" t="str">
        <v>Corporativo</v>
      </c>
      <c r="N44" t="str">
        <v>RGP</v>
      </c>
      <c r="O44" t="str">
        <v>CHESF</v>
      </c>
      <c r="P44" t="str">
        <v>SE Olindina - instalação do segundo banco de reator de barra 500kV</v>
      </c>
      <c r="Q44">
        <v>0</v>
      </c>
    </row>
    <row r="45" spans="2:17" x14ac:dyDescent="0.3">
      <c r="B45" t="s">
        <v>3466</v>
      </c>
      <c r="C45" t="s">
        <v>1796</v>
      </c>
      <c r="D45" t="s">
        <v>506</v>
      </c>
      <c r="E45" t="s">
        <v>3410</v>
      </c>
      <c r="F45" t="s">
        <v>3383</v>
      </c>
      <c r="G45" t="s">
        <v>3467</v>
      </c>
      <c r="K45" t="str">
        <v>T2023-129</v>
      </c>
      <c r="L45" t="str">
        <v>Transmissão</v>
      </c>
      <c r="M45" t="str">
        <v>Corporativo</v>
      </c>
      <c r="N45" t="str">
        <v>RGP</v>
      </c>
      <c r="O45" t="str">
        <v>CHESF</v>
      </c>
      <c r="P45" t="str">
        <v>Reforço - Seccionamento da LT P.Afonso III-Bom Nome C3 na SE Floresta II.</v>
      </c>
      <c r="Q45">
        <v>0</v>
      </c>
    </row>
    <row r="46" spans="2:17" x14ac:dyDescent="0.3">
      <c r="B46" t="s">
        <v>3468</v>
      </c>
      <c r="C46" t="s">
        <v>1796</v>
      </c>
      <c r="D46" t="s">
        <v>506</v>
      </c>
      <c r="E46" t="s">
        <v>3410</v>
      </c>
      <c r="F46" t="s">
        <v>3383</v>
      </c>
      <c r="G46" t="s">
        <v>3469</v>
      </c>
      <c r="K46" t="str">
        <v>T2023-128</v>
      </c>
      <c r="L46" t="str">
        <v>Transmissão</v>
      </c>
      <c r="M46" t="str">
        <v>Corporativo</v>
      </c>
      <c r="N46" t="str">
        <v>RGP</v>
      </c>
      <c r="O46" t="str">
        <v>CHESF</v>
      </c>
      <c r="P46" t="str">
        <v>Reforço - Seccionamento da LT Banabuiú-Milagres C2 na SE Icó.</v>
      </c>
      <c r="Q46">
        <v>0</v>
      </c>
    </row>
    <row r="47" spans="2:17" x14ac:dyDescent="0.3">
      <c r="B47" t="s">
        <v>3470</v>
      </c>
      <c r="C47" t="s">
        <v>1796</v>
      </c>
      <c r="D47" t="s">
        <v>506</v>
      </c>
      <c r="E47" t="s">
        <v>3410</v>
      </c>
      <c r="F47" t="s">
        <v>3383</v>
      </c>
      <c r="G47" t="s">
        <v>3471</v>
      </c>
      <c r="K47" t="str">
        <v>T2023-137</v>
      </c>
      <c r="L47" t="str">
        <v>Transmissão</v>
      </c>
      <c r="M47" t="str">
        <v>Corporativo</v>
      </c>
      <c r="N47" t="str">
        <v>RGP</v>
      </c>
      <c r="O47" t="str">
        <v>ELETRONORTE</v>
      </c>
      <c r="P47" t="str">
        <v>Reforço na SE Marabá: substituição do TF3 230/69 kV, 33 MVA, por nova unidade de 100 MVA.</v>
      </c>
      <c r="Q47">
        <v>0</v>
      </c>
    </row>
    <row r="48" spans="2:17" x14ac:dyDescent="0.3">
      <c r="B48" t="s">
        <v>3472</v>
      </c>
      <c r="C48" t="s">
        <v>1796</v>
      </c>
      <c r="D48" t="s">
        <v>506</v>
      </c>
      <c r="E48" t="s">
        <v>3410</v>
      </c>
      <c r="F48" t="s">
        <v>3383</v>
      </c>
      <c r="G48" t="s">
        <v>3473</v>
      </c>
      <c r="K48" t="str">
        <v>T2019-074</v>
      </c>
      <c r="L48" t="str">
        <v>Transmissão</v>
      </c>
      <c r="M48" t="str">
        <v>Corporativo</v>
      </c>
      <c r="N48" t="str">
        <v>RGP</v>
      </c>
      <c r="O48" t="str">
        <v>CHESF</v>
      </c>
      <c r="P48" t="str">
        <v>Seccionamento da LT 500 kV Sobradinho - Luiz Gonzaga C2 na SE Juazeiro III</v>
      </c>
      <c r="Q48">
        <v>0</v>
      </c>
    </row>
    <row r="49" spans="2:17" x14ac:dyDescent="0.3">
      <c r="B49" t="s">
        <v>3474</v>
      </c>
      <c r="C49" t="s">
        <v>1796</v>
      </c>
      <c r="D49" t="s">
        <v>506</v>
      </c>
      <c r="E49" t="s">
        <v>3410</v>
      </c>
      <c r="F49" t="s">
        <v>3397</v>
      </c>
      <c r="G49" t="s">
        <v>3475</v>
      </c>
      <c r="K49" t="str">
        <v>T2022-028</v>
      </c>
      <c r="L49" t="str">
        <v>Transmissão</v>
      </c>
      <c r="M49" t="str">
        <v>Corporativo</v>
      </c>
      <c r="N49" t="str">
        <v>RGP</v>
      </c>
      <c r="O49" t="str">
        <v>CHESF</v>
      </c>
      <c r="P49" t="str">
        <v>SE Campina Grande III - instalação de banco de reatores de barra 500kV - 3x50Mvar</v>
      </c>
      <c r="Q49">
        <v>0</v>
      </c>
    </row>
    <row r="50" spans="2:17" x14ac:dyDescent="0.3">
      <c r="B50" t="s">
        <v>3476</v>
      </c>
      <c r="C50" t="s">
        <v>1796</v>
      </c>
      <c r="D50" t="s">
        <v>506</v>
      </c>
      <c r="E50" t="s">
        <v>3410</v>
      </c>
      <c r="F50" t="s">
        <v>3380</v>
      </c>
      <c r="G50" t="s">
        <v>3477</v>
      </c>
      <c r="K50" t="str">
        <v>T2024-006</v>
      </c>
      <c r="L50" t="str">
        <v>Transmissão</v>
      </c>
      <c r="M50" t="str">
        <v>Corporativo</v>
      </c>
      <c r="N50" t="str">
        <v>RGP</v>
      </c>
      <c r="O50" t="str">
        <v>CHESF</v>
      </c>
      <c r="P50" t="str">
        <v>SE MOSSORÓ IV: Instalação do 2º Transformador de 230/69 kV</v>
      </c>
      <c r="Q50">
        <v>0</v>
      </c>
    </row>
    <row r="51" spans="2:17" x14ac:dyDescent="0.3">
      <c r="B51" t="s">
        <v>3478</v>
      </c>
      <c r="C51" t="s">
        <v>1796</v>
      </c>
      <c r="D51" t="s">
        <v>506</v>
      </c>
      <c r="E51" t="s">
        <v>3410</v>
      </c>
      <c r="F51" t="s">
        <v>3380</v>
      </c>
      <c r="G51" t="s">
        <v>3479</v>
      </c>
      <c r="K51" t="str">
        <v>T2019-090</v>
      </c>
      <c r="L51" t="str">
        <v>Transmissão</v>
      </c>
      <c r="M51" t="str">
        <v>Corporativo</v>
      </c>
      <c r="N51" t="str">
        <v>RGP</v>
      </c>
      <c r="O51" t="str">
        <v>CHESF</v>
      </c>
      <c r="P51" t="str">
        <v>Seccionamento da LT 500 kV Luiz Gonzaga - Milagres C1 na SE Milagres II</v>
      </c>
      <c r="Q51">
        <v>0</v>
      </c>
    </row>
    <row r="52" spans="2:17" x14ac:dyDescent="0.3">
      <c r="B52" t="s">
        <v>3480</v>
      </c>
      <c r="C52" t="s">
        <v>1796</v>
      </c>
      <c r="D52" t="s">
        <v>506</v>
      </c>
      <c r="E52" t="s">
        <v>3410</v>
      </c>
      <c r="F52" t="s">
        <v>3380</v>
      </c>
      <c r="G52" t="s">
        <v>3481</v>
      </c>
      <c r="K52" t="str">
        <v>T2022-112</v>
      </c>
      <c r="L52" t="str">
        <v>Transmissão</v>
      </c>
      <c r="M52" t="str">
        <v>Corporativo</v>
      </c>
      <c r="N52" t="str">
        <v>RGP</v>
      </c>
      <c r="O52" t="str">
        <v>FURNAS</v>
      </c>
      <c r="P52" t="str">
        <v>Seccionamento da LT 345 kV Venda das Pedras – Macaé C1 na SE Lagos</v>
      </c>
      <c r="Q52">
        <v>0</v>
      </c>
    </row>
    <row r="53" spans="2:17" x14ac:dyDescent="0.3">
      <c r="B53" t="s">
        <v>3482</v>
      </c>
      <c r="C53" t="s">
        <v>1796</v>
      </c>
      <c r="D53" t="s">
        <v>506</v>
      </c>
      <c r="E53" t="s">
        <v>3410</v>
      </c>
      <c r="F53" t="s">
        <v>3380</v>
      </c>
      <c r="G53" t="s">
        <v>3483</v>
      </c>
      <c r="K53" t="str">
        <v>T2023-202</v>
      </c>
      <c r="L53" t="str">
        <v>Transmissão</v>
      </c>
      <c r="M53" t="str">
        <v>Corporativo</v>
      </c>
      <c r="N53" t="str">
        <v>RGP</v>
      </c>
      <c r="O53" t="str">
        <v>CGT ELETROSUL</v>
      </c>
      <c r="P53" t="str">
        <v>Reforço na SE Dourados: Substituição do Reator de Barra 1 de 27 Mvar por 1x50Mvar, 230 kV</v>
      </c>
      <c r="Q53">
        <v>0</v>
      </c>
    </row>
    <row r="54" spans="2:17" x14ac:dyDescent="0.3">
      <c r="B54" t="s">
        <v>3484</v>
      </c>
      <c r="C54" t="s">
        <v>1796</v>
      </c>
      <c r="D54" t="s">
        <v>506</v>
      </c>
      <c r="E54" t="s">
        <v>3410</v>
      </c>
      <c r="F54" t="s">
        <v>3380</v>
      </c>
      <c r="G54" t="s">
        <v>3485</v>
      </c>
      <c r="K54" t="str">
        <v>T2022-113</v>
      </c>
      <c r="L54" t="str">
        <v>Transmissão</v>
      </c>
      <c r="M54" t="str">
        <v>Corporativo</v>
      </c>
      <c r="N54" t="str">
        <v>RGP</v>
      </c>
      <c r="O54" t="str">
        <v>CHESF</v>
      </c>
      <c r="P54" t="str">
        <v>Seccionamento da LT 230 kV OLINDINA – CATU C1 na SE ALAGOINHAS II</v>
      </c>
      <c r="Q54">
        <v>0</v>
      </c>
    </row>
    <row r="55" spans="2:17" x14ac:dyDescent="0.3">
      <c r="B55" t="s">
        <v>3486</v>
      </c>
      <c r="C55" t="s">
        <v>1796</v>
      </c>
      <c r="D55" t="s">
        <v>506</v>
      </c>
      <c r="E55" t="s">
        <v>3410</v>
      </c>
      <c r="F55" t="s">
        <v>3380</v>
      </c>
      <c r="G55" t="s">
        <v>3487</v>
      </c>
      <c r="K55" t="str">
        <v>T2023-130</v>
      </c>
      <c r="L55" t="str">
        <v>Transmissão</v>
      </c>
      <c r="M55" t="str">
        <v>Corporativo</v>
      </c>
      <c r="N55" t="str">
        <v>RGP</v>
      </c>
      <c r="O55" t="str">
        <v>CHESF</v>
      </c>
      <c r="P55" t="str">
        <v xml:space="preserve">Reforço - Seccionamento da LT P.Afonso III-Bom Nome C2 na SE Tacaratu. </v>
      </c>
      <c r="Q55">
        <v>0</v>
      </c>
    </row>
    <row r="56" spans="2:17" x14ac:dyDescent="0.3">
      <c r="B56" t="s">
        <v>3488</v>
      </c>
      <c r="C56" t="s">
        <v>1796</v>
      </c>
      <c r="D56" t="s">
        <v>506</v>
      </c>
      <c r="E56" t="s">
        <v>3410</v>
      </c>
      <c r="F56" t="s">
        <v>3380</v>
      </c>
      <c r="G56" t="s">
        <v>3489</v>
      </c>
      <c r="K56" t="str">
        <v>T2023-187</v>
      </c>
      <c r="L56" t="str">
        <v>Transmissão</v>
      </c>
      <c r="M56" t="str">
        <v>Corporativo</v>
      </c>
      <c r="N56" t="str">
        <v>RGP</v>
      </c>
      <c r="O56" t="str">
        <v>FURNAS</v>
      </c>
      <c r="P56" t="str">
        <v>SE 138/13,8 kV Angra - Transformação 138/13,8 kV - 15 MVA.</v>
      </c>
      <c r="Q56">
        <v>0</v>
      </c>
    </row>
    <row r="57" spans="2:17" x14ac:dyDescent="0.3">
      <c r="B57" t="s">
        <v>3490</v>
      </c>
      <c r="C57" t="s">
        <v>1796</v>
      </c>
      <c r="D57" t="s">
        <v>506</v>
      </c>
      <c r="E57" t="s">
        <v>3379</v>
      </c>
      <c r="F57" t="s">
        <v>3380</v>
      </c>
      <c r="G57" t="s">
        <v>3491</v>
      </c>
      <c r="K57" t="str">
        <v>T2023-154</v>
      </c>
      <c r="L57" t="str">
        <v>Transmissão</v>
      </c>
      <c r="M57" t="str">
        <v>Corporativo</v>
      </c>
      <c r="N57" t="str">
        <v>RGP</v>
      </c>
      <c r="O57" t="str">
        <v>ELETRONORTE</v>
      </c>
      <c r="P57" t="str">
        <v>SE Imperatriz- Substituição BC1 500 kV, 390MVAr, da LT Imperatriz-PDutra, por outro de 543MVAr.</v>
      </c>
      <c r="Q57">
        <v>0</v>
      </c>
    </row>
    <row r="58" spans="2:17" x14ac:dyDescent="0.3">
      <c r="B58" t="s">
        <v>3492</v>
      </c>
      <c r="C58" t="s">
        <v>1796</v>
      </c>
      <c r="D58" t="s">
        <v>506</v>
      </c>
      <c r="E58" t="s">
        <v>3410</v>
      </c>
      <c r="F58" t="s">
        <v>3380</v>
      </c>
      <c r="G58" t="s">
        <v>3493</v>
      </c>
      <c r="K58" t="str">
        <v>T2023-153</v>
      </c>
      <c r="L58" t="str">
        <v>Transmissão</v>
      </c>
      <c r="M58" t="str">
        <v>Corporativo</v>
      </c>
      <c r="N58" t="str">
        <v>RGP</v>
      </c>
      <c r="O58" t="str">
        <v>ELETRONORTE</v>
      </c>
      <c r="P58" t="str">
        <v>SE P. Dutra- Substituição do BC1 500 kV, 390MVAr, da LT Imperatriz-PDutra, por outro de 543MVAr.</v>
      </c>
      <c r="Q58">
        <v>0</v>
      </c>
    </row>
    <row r="59" spans="2:17" x14ac:dyDescent="0.3">
      <c r="B59" t="s">
        <v>3494</v>
      </c>
      <c r="C59" t="s">
        <v>1796</v>
      </c>
      <c r="D59" t="s">
        <v>506</v>
      </c>
      <c r="E59" t="s">
        <v>3379</v>
      </c>
      <c r="F59" t="s">
        <v>3380</v>
      </c>
      <c r="G59" t="s">
        <v>3495</v>
      </c>
      <c r="K59" t="str">
        <v>T2023-138</v>
      </c>
      <c r="L59" t="str">
        <v>Transmissão</v>
      </c>
      <c r="M59" t="str">
        <v>Corporativo</v>
      </c>
      <c r="N59" t="str">
        <v>RGP</v>
      </c>
      <c r="O59" t="str">
        <v>CGT ELETROSUL</v>
      </c>
      <c r="P59" t="str">
        <v>Reforço SE Jorge Lacerda A: substituição TF5 230/138 kV - 79 MVA por TF de 230/138 kV – 120 MVA</v>
      </c>
      <c r="Q59">
        <v>0</v>
      </c>
    </row>
    <row r="60" spans="2:17" x14ac:dyDescent="0.3">
      <c r="B60" t="s">
        <v>3496</v>
      </c>
      <c r="C60" t="s">
        <v>1796</v>
      </c>
      <c r="D60" t="s">
        <v>506</v>
      </c>
      <c r="E60" t="s">
        <v>3379</v>
      </c>
      <c r="F60" t="s">
        <v>3397</v>
      </c>
      <c r="G60" t="s">
        <v>3497</v>
      </c>
      <c r="K60" t="str">
        <v>T2023-145</v>
      </c>
      <c r="L60" t="str">
        <v>Transmissão</v>
      </c>
      <c r="M60" t="str">
        <v>Corporativo</v>
      </c>
      <c r="N60" t="str">
        <v>RGP</v>
      </c>
      <c r="O60" t="str">
        <v>CGT ELETROSUL</v>
      </c>
      <c r="P60" t="str">
        <v>Reforço na SE Jorge Lacerda A: substituição do TF7 230/138 kV - 79 MVA, por TR de 120 MVA</v>
      </c>
      <c r="Q60">
        <v>0</v>
      </c>
    </row>
    <row r="61" spans="2:17" x14ac:dyDescent="0.3">
      <c r="B61" t="s">
        <v>3498</v>
      </c>
      <c r="C61" t="s">
        <v>1796</v>
      </c>
      <c r="D61" t="s">
        <v>506</v>
      </c>
      <c r="E61" t="s">
        <v>3379</v>
      </c>
      <c r="F61" t="s">
        <v>3397</v>
      </c>
      <c r="G61" t="s">
        <v>3499</v>
      </c>
      <c r="K61" t="str">
        <v>T2023-148</v>
      </c>
      <c r="L61" t="str">
        <v>Transmissão</v>
      </c>
      <c r="M61" t="str">
        <v>Corporativo</v>
      </c>
      <c r="N61" t="str">
        <v>RGP</v>
      </c>
      <c r="O61" t="str">
        <v>CGT ELETROSUL</v>
      </c>
      <c r="P61" t="str">
        <v>Reforço na SE Jorge Lacerda A: substituição do TF8 138/69 kV - 25 MVA existente, por TF de 60 MVA</v>
      </c>
      <c r="Q61">
        <v>0</v>
      </c>
    </row>
    <row r="62" spans="2:17" x14ac:dyDescent="0.3">
      <c r="B62" t="s">
        <v>3500</v>
      </c>
      <c r="C62" t="s">
        <v>1796</v>
      </c>
      <c r="D62" t="s">
        <v>506</v>
      </c>
      <c r="E62" t="s">
        <v>3379</v>
      </c>
      <c r="F62" t="s">
        <v>3397</v>
      </c>
      <c r="G62" t="s">
        <v>3501</v>
      </c>
      <c r="K62" t="str">
        <v>T2023-166-A</v>
      </c>
      <c r="L62" t="str">
        <v>Transmissão</v>
      </c>
      <c r="M62" t="str">
        <v>Corporativo</v>
      </c>
      <c r="N62" t="str">
        <v>RGP</v>
      </c>
      <c r="O62" t="str">
        <v>FURNAS</v>
      </c>
      <c r="P62" t="str">
        <v>Instalação da fase reserva para o 2º RTB 765 kV - (3+1)x66,66 Mvar, na SE Ivaiporã</v>
      </c>
      <c r="Q62">
        <v>0</v>
      </c>
    </row>
    <row r="63" spans="2:17" x14ac:dyDescent="0.3">
      <c r="B63" t="s">
        <v>3502</v>
      </c>
      <c r="C63" t="s">
        <v>1796</v>
      </c>
      <c r="D63" t="s">
        <v>506</v>
      </c>
      <c r="E63" t="s">
        <v>3379</v>
      </c>
      <c r="F63" t="s">
        <v>3397</v>
      </c>
      <c r="G63" t="s">
        <v>3503</v>
      </c>
      <c r="K63" t="str">
        <v>T2023-166</v>
      </c>
      <c r="L63" t="str">
        <v>Transmissão</v>
      </c>
      <c r="M63" t="str">
        <v>Corporativo</v>
      </c>
      <c r="N63" t="str">
        <v>RGP</v>
      </c>
      <c r="O63" t="str">
        <v>FURNAS</v>
      </c>
      <c r="P63" t="str">
        <v>Reforço na SE Ivaiporã: Instalação do 2º RTB 765 kV - 3x110 Mvar</v>
      </c>
      <c r="Q63">
        <v>0</v>
      </c>
    </row>
    <row r="64" spans="2:17" x14ac:dyDescent="0.3">
      <c r="B64" t="s">
        <v>3504</v>
      </c>
      <c r="C64" t="s">
        <v>1796</v>
      </c>
      <c r="D64" t="s">
        <v>506</v>
      </c>
      <c r="E64" t="s">
        <v>3379</v>
      </c>
      <c r="F64" t="s">
        <v>3397</v>
      </c>
      <c r="G64" t="s">
        <v>3505</v>
      </c>
      <c r="K64" t="str">
        <v>T2023-168-A</v>
      </c>
      <c r="L64" t="str">
        <v>Transmissão</v>
      </c>
      <c r="M64" t="str">
        <v>Corporativo</v>
      </c>
      <c r="N64" t="str">
        <v>RGP</v>
      </c>
      <c r="O64" t="str">
        <v>FURNAS</v>
      </c>
      <c r="P64" t="str">
        <v>Instalação da fase reserva para o 1º RTB 500 kV - (3+1)x66,66 Mvar, na SE Baixada Fluminense</v>
      </c>
      <c r="Q64">
        <v>0</v>
      </c>
    </row>
    <row r="65" spans="2:17" x14ac:dyDescent="0.3">
      <c r="B65" t="s">
        <v>3506</v>
      </c>
      <c r="C65" t="s">
        <v>1796</v>
      </c>
      <c r="D65" t="s">
        <v>506</v>
      </c>
      <c r="E65" t="s">
        <v>3379</v>
      </c>
      <c r="F65" t="s">
        <v>3397</v>
      </c>
      <c r="G65" t="s">
        <v>3507</v>
      </c>
      <c r="K65" t="str">
        <v>T2023-168</v>
      </c>
      <c r="L65" t="str">
        <v>Transmissão</v>
      </c>
      <c r="M65" t="str">
        <v>Corporativo</v>
      </c>
      <c r="N65" t="str">
        <v>RGP</v>
      </c>
      <c r="O65" t="str">
        <v>FURNAS</v>
      </c>
      <c r="P65" t="str">
        <v>Reforço na SE Baixada Fluminense: Instalação do 1º RTB 500 kV - (3+1)x66,66 Mvar</v>
      </c>
      <c r="Q65">
        <v>0</v>
      </c>
    </row>
    <row r="66" spans="2:17" x14ac:dyDescent="0.3">
      <c r="B66" t="s">
        <v>3508</v>
      </c>
      <c r="C66" t="s">
        <v>1796</v>
      </c>
      <c r="D66" t="s">
        <v>506</v>
      </c>
      <c r="E66" t="s">
        <v>3379</v>
      </c>
      <c r="F66" t="s">
        <v>3397</v>
      </c>
      <c r="G66" t="s">
        <v>3509</v>
      </c>
      <c r="K66" t="str">
        <v>T2024-011</v>
      </c>
      <c r="L66" t="str">
        <v>Transmissão</v>
      </c>
      <c r="M66" t="str">
        <v>Corporativo</v>
      </c>
      <c r="N66" t="str">
        <v>RGP</v>
      </c>
      <c r="O66" t="str">
        <v>CHESF</v>
      </c>
      <c r="P66" t="str">
        <v>Reforço na SE Camaçari IV: Instalação do 1º Banco de Reatores de Barra em 500 kV</v>
      </c>
      <c r="Q66">
        <v>0</v>
      </c>
    </row>
    <row r="67" spans="2:17" x14ac:dyDescent="0.3">
      <c r="B67" t="s">
        <v>3510</v>
      </c>
      <c r="C67" t="s">
        <v>1796</v>
      </c>
      <c r="D67" t="s">
        <v>506</v>
      </c>
      <c r="E67" t="s">
        <v>3379</v>
      </c>
      <c r="F67" t="s">
        <v>3397</v>
      </c>
      <c r="G67" t="s">
        <v>3511</v>
      </c>
      <c r="K67" t="str">
        <v>T2024-103</v>
      </c>
      <c r="L67" t="str">
        <v>Transmissão</v>
      </c>
      <c r="M67" t="str">
        <v>Corporativo</v>
      </c>
      <c r="N67" t="str">
        <v>RGP</v>
      </c>
      <c r="O67" t="str">
        <v>CHESF</v>
      </c>
      <c r="P67" t="str">
        <v xml:space="preserve">Reforço na SE Coremas: Instalação do 4º TR 230/69 kV </v>
      </c>
      <c r="Q67">
        <v>0</v>
      </c>
    </row>
    <row r="68" spans="2:17" x14ac:dyDescent="0.3">
      <c r="B68" t="s">
        <v>3512</v>
      </c>
      <c r="C68" t="s">
        <v>1796</v>
      </c>
      <c r="D68" t="s">
        <v>506</v>
      </c>
      <c r="E68" t="s">
        <v>3379</v>
      </c>
      <c r="F68" t="s">
        <v>3397</v>
      </c>
      <c r="G68" t="s">
        <v>3513</v>
      </c>
      <c r="K68" t="str">
        <v>T2024-034</v>
      </c>
      <c r="L68" t="str">
        <v>Transmissão</v>
      </c>
      <c r="M68" t="str">
        <v>Corporativo</v>
      </c>
      <c r="N68" t="str">
        <v>RGP</v>
      </c>
      <c r="O68" t="str">
        <v>CHESF</v>
      </c>
      <c r="P68" t="str">
        <v>Reforço na SE Zebu: Instalação do 4º TF 230/69</v>
      </c>
      <c r="Q68">
        <v>0</v>
      </c>
    </row>
    <row r="69" spans="2:17" x14ac:dyDescent="0.3">
      <c r="B69" t="s">
        <v>3514</v>
      </c>
      <c r="C69" t="s">
        <v>1796</v>
      </c>
      <c r="D69" t="s">
        <v>506</v>
      </c>
      <c r="E69" t="s">
        <v>3379</v>
      </c>
      <c r="F69" t="s">
        <v>3397</v>
      </c>
      <c r="G69" t="s">
        <v>3515</v>
      </c>
      <c r="K69" t="str">
        <v>T2024-127</v>
      </c>
      <c r="L69" t="str">
        <v>Transmissão</v>
      </c>
      <c r="M69" t="str">
        <v>Corporativo</v>
      </c>
      <c r="N69" t="str">
        <v>RGP</v>
      </c>
      <c r="O69" t="str">
        <v>ELETRONORTE</v>
      </c>
      <c r="P69" t="str">
        <v>Reforço na SE Rondonópolis: substituição do transformador RPAT6-02 230/138/13,8 kV</v>
      </c>
      <c r="Q69">
        <v>0</v>
      </c>
    </row>
    <row r="70" spans="2:17" x14ac:dyDescent="0.3">
      <c r="B70" t="s">
        <v>3516</v>
      </c>
      <c r="C70" t="s">
        <v>1796</v>
      </c>
      <c r="D70" t="s">
        <v>506</v>
      </c>
      <c r="E70" t="s">
        <v>3379</v>
      </c>
      <c r="F70" t="s">
        <v>3397</v>
      </c>
      <c r="G70" t="s">
        <v>3517</v>
      </c>
      <c r="K70" t="str">
        <v>T2024-119</v>
      </c>
      <c r="L70" t="str">
        <v>Transmissão</v>
      </c>
      <c r="M70" t="str">
        <v>Corporativo</v>
      </c>
      <c r="N70" t="str">
        <v>RGP</v>
      </c>
      <c r="O70" t="str">
        <v>ELETRONORTE</v>
      </c>
      <c r="P70" t="str">
        <v>Reforço na SE Rondonópolis: substituição do transformador RPAT6-01 230/138/13,8 kV</v>
      </c>
      <c r="Q70">
        <v>0</v>
      </c>
    </row>
    <row r="71" spans="2:17" x14ac:dyDescent="0.3">
      <c r="B71" t="s">
        <v>3518</v>
      </c>
      <c r="C71" t="s">
        <v>1796</v>
      </c>
      <c r="D71" t="s">
        <v>506</v>
      </c>
      <c r="E71" t="s">
        <v>3379</v>
      </c>
      <c r="F71" t="s">
        <v>3397</v>
      </c>
      <c r="G71" t="s">
        <v>3519</v>
      </c>
      <c r="K71" t="str">
        <v>T2015-048</v>
      </c>
      <c r="L71" t="str">
        <v>Transmissão</v>
      </c>
      <c r="M71" t="str">
        <v>Corporativo</v>
      </c>
      <c r="N71" t="str">
        <v>RGP</v>
      </c>
      <c r="O71" t="str">
        <v>FURNAS</v>
      </c>
      <c r="P71" t="str">
        <v>LT 138kV ANGRA/ANGRA (AMPLA) - Reconstrução do circuito simples, substituindo cabo 397MCM por 954MCM</v>
      </c>
      <c r="Q71">
        <v>0</v>
      </c>
    </row>
    <row r="72" spans="2:17" x14ac:dyDescent="0.3">
      <c r="B72" t="s">
        <v>3520</v>
      </c>
      <c r="C72" t="s">
        <v>1796</v>
      </c>
      <c r="D72" t="s">
        <v>506</v>
      </c>
      <c r="E72" t="s">
        <v>3379</v>
      </c>
      <c r="F72" t="s">
        <v>3397</v>
      </c>
      <c r="G72" t="s">
        <v>3521</v>
      </c>
      <c r="K72" t="str">
        <v>T2021-046</v>
      </c>
      <c r="L72" t="str">
        <v>Transmissão</v>
      </c>
      <c r="M72" t="str">
        <v>Corporativo</v>
      </c>
      <c r="N72" t="str">
        <v>RGP</v>
      </c>
      <c r="O72" t="str">
        <v>FURNAS</v>
      </c>
      <c r="P72" t="str">
        <v>SE Itaberá - Instalação 3° reator de barra 765kV, (3+1)x110 MVAr e um IB.</v>
      </c>
      <c r="Q72">
        <v>0</v>
      </c>
    </row>
    <row r="73" spans="2:17" x14ac:dyDescent="0.3">
      <c r="B73" t="s">
        <v>3522</v>
      </c>
      <c r="C73" t="s">
        <v>1796</v>
      </c>
      <c r="D73" t="s">
        <v>506</v>
      </c>
      <c r="E73" t="s">
        <v>3379</v>
      </c>
      <c r="F73" t="s">
        <v>3397</v>
      </c>
      <c r="G73" t="s">
        <v>3523</v>
      </c>
      <c r="K73" t="str">
        <v>T2021-052</v>
      </c>
      <c r="L73" t="str">
        <v>Transmissão</v>
      </c>
      <c r="M73" t="str">
        <v>Corporativo</v>
      </c>
      <c r="N73" t="str">
        <v>RGP</v>
      </c>
      <c r="O73" t="str">
        <v>FURNAS</v>
      </c>
      <c r="P73" t="str">
        <v>SE Adrianópolis - instalação do 1º banco de reatores de barra em 500 kV,  (3+1) x 45,3 Mvar</v>
      </c>
      <c r="Q73">
        <v>0</v>
      </c>
    </row>
    <row r="74" spans="2:17" x14ac:dyDescent="0.3">
      <c r="B74" t="s">
        <v>3524</v>
      </c>
      <c r="C74" t="s">
        <v>1796</v>
      </c>
      <c r="D74" t="s">
        <v>506</v>
      </c>
      <c r="E74" t="s">
        <v>3410</v>
      </c>
      <c r="F74" t="s">
        <v>3397</v>
      </c>
      <c r="G74" t="s">
        <v>3525</v>
      </c>
      <c r="K74" t="str">
        <v>T2022-099</v>
      </c>
      <c r="L74" t="str">
        <v>Transmissão</v>
      </c>
      <c r="M74" t="str">
        <v>Corporativo</v>
      </c>
      <c r="N74" t="str">
        <v>RGP</v>
      </c>
      <c r="O74" t="str">
        <v>CHESF</v>
      </c>
      <c r="P74" t="str">
        <v>SE Camaçari IV - Instalação do 1° Capacitor em Derivação 230 kV, 1 x 100 Mvar trifásico</v>
      </c>
      <c r="Q74">
        <v>0</v>
      </c>
    </row>
    <row r="75" spans="2:17" x14ac:dyDescent="0.3">
      <c r="B75" t="s">
        <v>3526</v>
      </c>
      <c r="C75" t="s">
        <v>1796</v>
      </c>
      <c r="D75" t="s">
        <v>506</v>
      </c>
      <c r="E75" t="s">
        <v>3410</v>
      </c>
      <c r="F75" t="s">
        <v>3397</v>
      </c>
      <c r="G75" t="s">
        <v>3527</v>
      </c>
      <c r="K75" t="str">
        <v>T2022-032</v>
      </c>
      <c r="L75" t="str">
        <v>Transmissão</v>
      </c>
      <c r="M75" t="str">
        <v>Corporativo</v>
      </c>
      <c r="N75" t="str">
        <v>RGP</v>
      </c>
      <c r="O75" t="str">
        <v>CHESF</v>
      </c>
      <c r="P75" t="str">
        <v>SE Bongi - Instalação do 5ª transformador  e substituição de três transformadores</v>
      </c>
      <c r="Q75">
        <v>0</v>
      </c>
    </row>
    <row r="76" spans="2:17" x14ac:dyDescent="0.3">
      <c r="B76" t="s">
        <v>3528</v>
      </c>
      <c r="C76" t="s">
        <v>1796</v>
      </c>
      <c r="D76" t="s">
        <v>506</v>
      </c>
      <c r="E76" t="s">
        <v>3410</v>
      </c>
      <c r="F76" t="s">
        <v>3397</v>
      </c>
      <c r="G76" t="s">
        <v>3529</v>
      </c>
      <c r="K76" t="str">
        <v>T2017-068</v>
      </c>
      <c r="L76" t="str">
        <v>Transmissão</v>
      </c>
      <c r="M76" t="str">
        <v>Corporativo</v>
      </c>
      <c r="N76" t="str">
        <v>RGP</v>
      </c>
      <c r="O76" t="str">
        <v>FURNAS</v>
      </c>
      <c r="P76" t="str">
        <v>SE ANGRA - remanejamento de vãos 500 kV</v>
      </c>
      <c r="Q76">
        <v>0</v>
      </c>
    </row>
    <row r="77" spans="2:17" x14ac:dyDescent="0.3">
      <c r="B77" t="s">
        <v>3530</v>
      </c>
      <c r="C77" t="s">
        <v>1796</v>
      </c>
      <c r="D77" t="s">
        <v>506</v>
      </c>
      <c r="E77" t="s">
        <v>3410</v>
      </c>
      <c r="F77" t="s">
        <v>3397</v>
      </c>
      <c r="G77" t="s">
        <v>3531</v>
      </c>
      <c r="K77" t="str">
        <v>T2021-065</v>
      </c>
      <c r="L77" t="str">
        <v>Transmissão</v>
      </c>
      <c r="M77" t="str">
        <v>Corporativo</v>
      </c>
      <c r="N77" t="str">
        <v>RGP</v>
      </c>
      <c r="O77" t="str">
        <v>CHESF</v>
      </c>
      <c r="P77" t="str">
        <v>SE Poções II - Instalação do 3° transformador 230/138 kV, 100 MVA.</v>
      </c>
      <c r="Q77">
        <v>0</v>
      </c>
    </row>
    <row r="78" spans="2:17" x14ac:dyDescent="0.3">
      <c r="B78" t="s">
        <v>3532</v>
      </c>
      <c r="C78" t="s">
        <v>1796</v>
      </c>
      <c r="D78" t="s">
        <v>506</v>
      </c>
      <c r="E78" t="s">
        <v>3379</v>
      </c>
      <c r="F78" t="s">
        <v>3388</v>
      </c>
      <c r="G78" t="s">
        <v>3533</v>
      </c>
      <c r="K78" t="str">
        <v>T2019-029</v>
      </c>
      <c r="L78" t="str">
        <v>Transmissão</v>
      </c>
      <c r="M78" t="str">
        <v>Corporativo</v>
      </c>
      <c r="N78" t="str">
        <v>RGP</v>
      </c>
      <c r="O78" t="str">
        <v>CHESF</v>
      </c>
      <c r="P78" t="str">
        <v>SE São João do Piauí - Instalação do segundo autotransformador 500/230 kV, 300 MVA e conexões.</v>
      </c>
      <c r="Q78">
        <v>0</v>
      </c>
    </row>
    <row r="79" spans="2:17" x14ac:dyDescent="0.3">
      <c r="B79" t="s">
        <v>3534</v>
      </c>
      <c r="C79" t="s">
        <v>1796</v>
      </c>
      <c r="D79" t="s">
        <v>506</v>
      </c>
      <c r="E79" t="s">
        <v>3410</v>
      </c>
      <c r="F79" t="s">
        <v>3383</v>
      </c>
      <c r="G79" t="s">
        <v>3535</v>
      </c>
      <c r="K79" t="str">
        <v>T2021-072</v>
      </c>
      <c r="L79" t="str">
        <v>Transmissão</v>
      </c>
      <c r="M79" t="str">
        <v>Corporativo</v>
      </c>
      <c r="N79" t="str">
        <v>RGP</v>
      </c>
      <c r="O79" t="str">
        <v>ELETRONORTE</v>
      </c>
      <c r="P79" t="str">
        <v>Seccionamento da LT 138kV Rondonópolis-Couto Magalhães na SE Petrovina</v>
      </c>
      <c r="Q79">
        <v>0</v>
      </c>
    </row>
    <row r="80" spans="2:17" x14ac:dyDescent="0.3">
      <c r="B80" t="s">
        <v>3536</v>
      </c>
      <c r="C80" t="s">
        <v>1796</v>
      </c>
      <c r="D80" t="s">
        <v>506</v>
      </c>
      <c r="E80" t="s">
        <v>3410</v>
      </c>
      <c r="F80" t="s">
        <v>3383</v>
      </c>
      <c r="G80" t="s">
        <v>3537</v>
      </c>
      <c r="K80" t="str">
        <v>T2020-031</v>
      </c>
      <c r="L80" t="str">
        <v>Transmissão</v>
      </c>
      <c r="M80" t="str">
        <v>Corporativo</v>
      </c>
      <c r="N80" t="str">
        <v>RGP</v>
      </c>
      <c r="O80" t="str">
        <v>ELETRONORTE</v>
      </c>
      <c r="P80" t="str">
        <v>SE Porto Velho: Instalação de 2 reatores de barra 500 kV, (6 + 1R) x 50 Mvar e módulos de conexão</v>
      </c>
      <c r="Q80">
        <v>0</v>
      </c>
    </row>
    <row r="81" spans="2:17" x14ac:dyDescent="0.3">
      <c r="B81" t="s">
        <v>3538</v>
      </c>
      <c r="C81" t="s">
        <v>1796</v>
      </c>
      <c r="D81" t="s">
        <v>506</v>
      </c>
      <c r="E81" t="s">
        <v>3410</v>
      </c>
      <c r="F81" t="s">
        <v>3383</v>
      </c>
      <c r="G81" t="s">
        <v>3539</v>
      </c>
      <c r="K81" t="str">
        <v>T2021-053</v>
      </c>
      <c r="L81" t="str">
        <v>Transmissão</v>
      </c>
      <c r="M81" t="str">
        <v>Corporativo</v>
      </c>
      <c r="N81" t="str">
        <v>RGP</v>
      </c>
      <c r="O81" t="str">
        <v>FURNAS</v>
      </c>
      <c r="P81" t="str">
        <v>SE Campinas - instalação do 1º reator de barra 500 kV e remanejamento de um reator de linha.</v>
      </c>
      <c r="Q81">
        <v>0</v>
      </c>
    </row>
    <row r="82" spans="2:17" x14ac:dyDescent="0.3">
      <c r="B82" t="s">
        <v>3540</v>
      </c>
      <c r="C82" t="s">
        <v>1796</v>
      </c>
      <c r="D82" t="s">
        <v>506</v>
      </c>
      <c r="E82" t="s">
        <v>3410</v>
      </c>
      <c r="F82" t="s">
        <v>3383</v>
      </c>
      <c r="G82" t="s">
        <v>3541</v>
      </c>
      <c r="K82" t="str">
        <v>T2021-075</v>
      </c>
      <c r="L82" t="str">
        <v>Transmissão</v>
      </c>
      <c r="M82" t="str">
        <v>Corporativo</v>
      </c>
      <c r="N82" t="str">
        <v>RGP</v>
      </c>
      <c r="O82" t="str">
        <v>FURNAS</v>
      </c>
      <c r="P82" t="str">
        <v>SE Poços de Caldas - substituição do transformador 500/345 kV</v>
      </c>
      <c r="Q82">
        <v>0</v>
      </c>
    </row>
    <row r="83" spans="2:17" x14ac:dyDescent="0.3">
      <c r="B83" t="s">
        <v>3542</v>
      </c>
      <c r="C83" t="s">
        <v>1796</v>
      </c>
      <c r="D83" t="s">
        <v>506</v>
      </c>
      <c r="E83" t="s">
        <v>3410</v>
      </c>
      <c r="F83" t="s">
        <v>3383</v>
      </c>
      <c r="G83" t="s">
        <v>3543</v>
      </c>
      <c r="K83" t="str">
        <v>T2022-066</v>
      </c>
      <c r="L83" t="str">
        <v>Transmissão</v>
      </c>
      <c r="M83" t="str">
        <v>Corporativo</v>
      </c>
      <c r="N83" t="str">
        <v>RGP</v>
      </c>
      <c r="O83" t="str">
        <v>FURNAS</v>
      </c>
      <c r="P83" t="str">
        <v>Reforço na SE Viana - instalação do 1º banco de reatores de barra (3+1)x20 Mvar, 345 kV</v>
      </c>
      <c r="Q83">
        <v>0</v>
      </c>
    </row>
    <row r="84" spans="2:17" x14ac:dyDescent="0.3">
      <c r="B84" t="s">
        <v>3544</v>
      </c>
      <c r="C84" t="s">
        <v>1796</v>
      </c>
      <c r="D84" t="s">
        <v>506</v>
      </c>
      <c r="E84" t="s">
        <v>3410</v>
      </c>
      <c r="F84" t="s">
        <v>3388</v>
      </c>
      <c r="G84" t="s">
        <v>3545</v>
      </c>
      <c r="K84" t="str">
        <v>T2019-073</v>
      </c>
      <c r="L84" t="str">
        <v>Transmissão</v>
      </c>
      <c r="M84" t="str">
        <v>Corporativo</v>
      </c>
      <c r="N84" t="str">
        <v>RGP</v>
      </c>
      <c r="O84" t="str">
        <v>CHESF</v>
      </c>
      <c r="P84" t="str">
        <v>Secc. LT 500 kV Angelim II - Recife II na SE Suape II.</v>
      </c>
      <c r="Q84">
        <v>0</v>
      </c>
    </row>
    <row r="85" spans="2:17" x14ac:dyDescent="0.3">
      <c r="B85" t="s">
        <v>3546</v>
      </c>
      <c r="C85" t="s">
        <v>1796</v>
      </c>
      <c r="D85" t="s">
        <v>506</v>
      </c>
      <c r="E85" t="s">
        <v>3379</v>
      </c>
      <c r="F85" t="s">
        <v>3388</v>
      </c>
      <c r="G85" t="s">
        <v>3547</v>
      </c>
      <c r="K85" t="str">
        <v>T2019-032</v>
      </c>
      <c r="L85" t="str">
        <v>Transmissão</v>
      </c>
      <c r="M85" t="str">
        <v>Corporativo</v>
      </c>
      <c r="N85" t="str">
        <v>RGP</v>
      </c>
      <c r="O85" t="str">
        <v>CHESF</v>
      </c>
      <c r="P85" t="str">
        <v>SE Milagres - Instalação do quarto transformador 230/69 kV, 100 MVA e conexões</v>
      </c>
      <c r="Q85">
        <v>0</v>
      </c>
    </row>
    <row r="86" spans="2:17" x14ac:dyDescent="0.3">
      <c r="B86" t="s">
        <v>3548</v>
      </c>
      <c r="C86" t="s">
        <v>1796</v>
      </c>
      <c r="D86" t="s">
        <v>506</v>
      </c>
      <c r="E86" t="s">
        <v>3379</v>
      </c>
      <c r="F86" t="s">
        <v>3388</v>
      </c>
      <c r="G86" t="s">
        <v>3549</v>
      </c>
      <c r="K86" t="str">
        <v>T2019-072</v>
      </c>
      <c r="L86" t="str">
        <v>Transmissão</v>
      </c>
      <c r="M86" t="str">
        <v>Corporativo</v>
      </c>
      <c r="N86" t="str">
        <v>RGP</v>
      </c>
      <c r="O86" t="str">
        <v>CHESF</v>
      </c>
      <c r="P86" t="str">
        <v>Instalação do 1° Banco de Reatores de Barra 500 kV - 3X50 MVA na SE Sobral III</v>
      </c>
      <c r="Q86">
        <v>0</v>
      </c>
    </row>
    <row r="87" spans="2:17" x14ac:dyDescent="0.3">
      <c r="B87" t="s">
        <v>3550</v>
      </c>
      <c r="C87" t="s">
        <v>1796</v>
      </c>
      <c r="D87" t="s">
        <v>506</v>
      </c>
      <c r="E87" t="s">
        <v>3379</v>
      </c>
      <c r="F87" t="s">
        <v>3388</v>
      </c>
      <c r="G87" t="s">
        <v>3551</v>
      </c>
      <c r="K87" t="str">
        <v>T2022-065</v>
      </c>
      <c r="L87" t="str">
        <v>Transmissão</v>
      </c>
      <c r="M87" t="str">
        <v>Corporativo</v>
      </c>
      <c r="N87" t="str">
        <v>RGP</v>
      </c>
      <c r="O87" t="str">
        <v>CHESF</v>
      </c>
      <c r="P87" t="str">
        <v>Reforço na SE Teresina II - Instalação do 2º banco de reatores de barra 500 kV (3+1)x66,6 Mvar</v>
      </c>
      <c r="Q87">
        <v>0</v>
      </c>
    </row>
    <row r="88" spans="2:17" x14ac:dyDescent="0.3">
      <c r="B88" t="s">
        <v>3552</v>
      </c>
      <c r="C88" t="s">
        <v>1796</v>
      </c>
      <c r="D88" t="s">
        <v>506</v>
      </c>
      <c r="E88" t="s">
        <v>3379</v>
      </c>
      <c r="F88" t="s">
        <v>3388</v>
      </c>
      <c r="G88" t="s">
        <v>3553</v>
      </c>
      <c r="K88" t="str">
        <v>T2019-066</v>
      </c>
      <c r="L88" t="str">
        <v>Transmissão</v>
      </c>
      <c r="M88" t="str">
        <v>Corporativo</v>
      </c>
      <c r="N88" t="str">
        <v>RGP</v>
      </c>
      <c r="O88" t="str">
        <v>FURNAS</v>
      </c>
      <c r="P88" t="str">
        <v>Seccionamento na SE Iriri da LT 138 kV Rocha Leão – Campos C1</v>
      </c>
      <c r="Q88">
        <v>0</v>
      </c>
    </row>
    <row r="89" spans="2:17" x14ac:dyDescent="0.3">
      <c r="B89" t="s">
        <v>3554</v>
      </c>
      <c r="C89" t="s">
        <v>1796</v>
      </c>
      <c r="D89" t="s">
        <v>506</v>
      </c>
      <c r="E89" t="s">
        <v>3379</v>
      </c>
      <c r="F89" t="s">
        <v>3383</v>
      </c>
      <c r="G89" t="s">
        <v>3555</v>
      </c>
      <c r="K89" t="str">
        <v>T2017-073</v>
      </c>
      <c r="L89" t="str">
        <v>Transmissão</v>
      </c>
      <c r="M89" t="str">
        <v>Corporativo</v>
      </c>
      <c r="N89" t="str">
        <v>RGP</v>
      </c>
      <c r="O89" t="str">
        <v>FURNAS</v>
      </c>
      <c r="P89" t="str">
        <v>SE Campos - adequação do setor de 138 kV</v>
      </c>
      <c r="Q89">
        <v>0</v>
      </c>
    </row>
    <row r="90" spans="2:17" x14ac:dyDescent="0.3">
      <c r="B90" t="s">
        <v>3556</v>
      </c>
      <c r="C90" t="s">
        <v>1796</v>
      </c>
      <c r="D90" t="s">
        <v>506</v>
      </c>
      <c r="E90" t="s">
        <v>3379</v>
      </c>
      <c r="F90" t="s">
        <v>3388</v>
      </c>
      <c r="G90" t="s">
        <v>3557</v>
      </c>
      <c r="K90" t="str">
        <v>T2022-070</v>
      </c>
      <c r="L90" t="str">
        <v>Transmissão</v>
      </c>
      <c r="M90" t="str">
        <v>Corporativo</v>
      </c>
      <c r="N90" t="str">
        <v>RGP</v>
      </c>
      <c r="O90" t="str">
        <v>FURNAS</v>
      </c>
      <c r="P90" t="str">
        <v>Reforço na SE Vitória - Instalação do 1º banco de reatores de barra 345 kV, (3+1)x20 Mvar</v>
      </c>
      <c r="Q90">
        <v>0</v>
      </c>
    </row>
    <row r="91" spans="2:17" x14ac:dyDescent="0.3">
      <c r="B91" t="s">
        <v>3558</v>
      </c>
      <c r="C91" t="s">
        <v>1796</v>
      </c>
      <c r="D91" t="s">
        <v>506</v>
      </c>
      <c r="E91" t="s">
        <v>3410</v>
      </c>
      <c r="F91" t="s">
        <v>3388</v>
      </c>
      <c r="G91" t="s">
        <v>3559</v>
      </c>
      <c r="K91" t="str">
        <v>T2022-134</v>
      </c>
      <c r="L91" t="str">
        <v>Transmissão</v>
      </c>
      <c r="M91" t="str">
        <v>Corporativo</v>
      </c>
      <c r="N91" t="str">
        <v>RGP</v>
      </c>
      <c r="O91" t="str">
        <v>FURNAS</v>
      </c>
      <c r="P91" t="str">
        <v>SE USI CAMPOS - substituição do AT03 de 67 MVA pelo TR03 de 73 MVA</v>
      </c>
      <c r="Q91">
        <v>0</v>
      </c>
    </row>
    <row r="92" spans="2:17" x14ac:dyDescent="0.3">
      <c r="B92" t="s">
        <v>3560</v>
      </c>
      <c r="C92" t="s">
        <v>1796</v>
      </c>
      <c r="D92" t="s">
        <v>506</v>
      </c>
      <c r="E92" t="s">
        <v>3410</v>
      </c>
      <c r="F92" t="s">
        <v>3388</v>
      </c>
      <c r="G92" t="s">
        <v>3561</v>
      </c>
      <c r="K92" t="str">
        <v>T2022-101</v>
      </c>
      <c r="L92" t="str">
        <v>Transmissão</v>
      </c>
      <c r="M92" t="str">
        <v>Corporativo</v>
      </c>
      <c r="N92" t="str">
        <v>RGP</v>
      </c>
      <c r="O92" t="str">
        <v>CHESF</v>
      </c>
      <c r="P92" t="str">
        <v>SE São João do Piauí - Instalação do terceiro autotransformador 500/230 kV, 3X100 MVA e conexões.</v>
      </c>
      <c r="Q92">
        <v>0</v>
      </c>
    </row>
    <row r="93" spans="2:17" x14ac:dyDescent="0.3">
      <c r="B93" t="s">
        <v>3562</v>
      </c>
      <c r="C93" t="s">
        <v>1796</v>
      </c>
      <c r="D93" t="s">
        <v>506</v>
      </c>
      <c r="E93" t="s">
        <v>3379</v>
      </c>
      <c r="F93" t="s">
        <v>3388</v>
      </c>
      <c r="G93" t="s">
        <v>3563</v>
      </c>
      <c r="K93" t="str">
        <v>T2022-133</v>
      </c>
      <c r="L93" t="str">
        <v>Transmissão</v>
      </c>
      <c r="M93" t="str">
        <v>Corporativo</v>
      </c>
      <c r="N93" t="str">
        <v>RGP</v>
      </c>
      <c r="O93" t="str">
        <v>FURNAS</v>
      </c>
      <c r="P93" t="str">
        <v>SE USI CAMPOS - substituição do AT01 de 20 MVA pelo TR01 de 73 MVA</v>
      </c>
      <c r="Q93">
        <v>0</v>
      </c>
    </row>
    <row r="94" spans="2:17" x14ac:dyDescent="0.3">
      <c r="B94" t="s">
        <v>3564</v>
      </c>
      <c r="C94" t="s">
        <v>1796</v>
      </c>
      <c r="D94" t="s">
        <v>506</v>
      </c>
      <c r="E94" t="s">
        <v>3379</v>
      </c>
      <c r="F94" t="s">
        <v>3388</v>
      </c>
      <c r="G94" t="s">
        <v>3565</v>
      </c>
      <c r="K94" t="str">
        <v>T2023-110</v>
      </c>
      <c r="L94" t="str">
        <v>Transmissão</v>
      </c>
      <c r="M94" t="str">
        <v>Corporativo</v>
      </c>
      <c r="N94" t="str">
        <v>RGP</v>
      </c>
      <c r="O94" t="str">
        <v>CHESF</v>
      </c>
      <c r="P94" t="str">
        <v>Reforço na SE Bom Jesus da Lapa: substituição do TR3 230/69 kV</v>
      </c>
      <c r="Q94">
        <v>0</v>
      </c>
    </row>
    <row r="95" spans="2:17" x14ac:dyDescent="0.3">
      <c r="B95" t="s">
        <v>3566</v>
      </c>
      <c r="C95" t="s">
        <v>1796</v>
      </c>
      <c r="D95" t="s">
        <v>506</v>
      </c>
      <c r="E95" t="s">
        <v>3379</v>
      </c>
      <c r="F95" t="s">
        <v>3388</v>
      </c>
      <c r="G95" t="s">
        <v>3567</v>
      </c>
      <c r="K95" t="str">
        <v>T2023-113</v>
      </c>
      <c r="L95" t="str">
        <v>Transmissão</v>
      </c>
      <c r="M95" t="str">
        <v>Corporativo</v>
      </c>
      <c r="N95" t="str">
        <v>RGP</v>
      </c>
      <c r="O95" t="str">
        <v>CHESF</v>
      </c>
      <c r="P95" t="str">
        <v>Reforço na SE S. João do Piauí: substituição do TR4 230/69 kV 33 MVA por 100 MVA</v>
      </c>
      <c r="Q95">
        <v>0</v>
      </c>
    </row>
    <row r="96" spans="2:17" x14ac:dyDescent="0.3">
      <c r="B96" t="s">
        <v>3568</v>
      </c>
      <c r="C96" t="s">
        <v>1796</v>
      </c>
      <c r="D96" t="s">
        <v>506</v>
      </c>
      <c r="E96" t="s">
        <v>3410</v>
      </c>
      <c r="F96" t="s">
        <v>3380</v>
      </c>
      <c r="G96" t="s">
        <v>3569</v>
      </c>
      <c r="K96" t="str">
        <v>T2023-107</v>
      </c>
      <c r="L96" t="str">
        <v>Transmissão</v>
      </c>
      <c r="M96" t="str">
        <v>Corporativo</v>
      </c>
      <c r="N96" t="str">
        <v>RGP</v>
      </c>
      <c r="O96" t="str">
        <v>CHESF</v>
      </c>
      <c r="P96" t="str">
        <v>Reforço na SE Boa Esperança: substituição do banco ATR1 500/230 kV</v>
      </c>
      <c r="Q96">
        <v>0</v>
      </c>
    </row>
    <row r="97" spans="2:17" x14ac:dyDescent="0.3">
      <c r="B97" t="s">
        <v>3570</v>
      </c>
      <c r="C97" t="s">
        <v>1796</v>
      </c>
      <c r="D97" t="s">
        <v>506</v>
      </c>
      <c r="E97" t="s">
        <v>3379</v>
      </c>
      <c r="F97" t="s">
        <v>3397</v>
      </c>
      <c r="G97" t="s">
        <v>3571</v>
      </c>
      <c r="K97" t="str">
        <v>T2023-108</v>
      </c>
      <c r="L97" t="str">
        <v>Transmissão</v>
      </c>
      <c r="M97" t="str">
        <v>Corporativo</v>
      </c>
      <c r="N97" t="str">
        <v>RGP</v>
      </c>
      <c r="O97" t="str">
        <v>CHESF</v>
      </c>
      <c r="P97" t="str">
        <v>Reforço na SE Boa Esprança: substituição da fase reserva do ATR1 500/230 kV</v>
      </c>
      <c r="Q97">
        <v>0</v>
      </c>
    </row>
    <row r="98" spans="2:17" x14ac:dyDescent="0.3">
      <c r="B98" t="s">
        <v>3572</v>
      </c>
      <c r="C98" t="s">
        <v>1796</v>
      </c>
      <c r="D98" t="s">
        <v>506</v>
      </c>
      <c r="E98" t="s">
        <v>3379</v>
      </c>
      <c r="F98" t="s">
        <v>3380</v>
      </c>
      <c r="G98" t="s">
        <v>3573</v>
      </c>
      <c r="K98" t="str">
        <v>T2023-112</v>
      </c>
      <c r="L98" t="str">
        <v>Transmissão</v>
      </c>
      <c r="M98" t="str">
        <v>Corporativo</v>
      </c>
      <c r="N98" t="str">
        <v>RGP</v>
      </c>
      <c r="O98" t="str">
        <v>CHESF</v>
      </c>
      <c r="P98" t="str">
        <v>Reforço na SE S. João do Piauí: substituição do TR3 230/69 kV 33 MVA por 100 MVA</v>
      </c>
      <c r="Q98">
        <v>0</v>
      </c>
    </row>
    <row r="99" spans="2:17" x14ac:dyDescent="0.3">
      <c r="B99" t="s">
        <v>3574</v>
      </c>
      <c r="C99" t="s">
        <v>1796</v>
      </c>
      <c r="D99" t="s">
        <v>506</v>
      </c>
      <c r="E99" t="s">
        <v>3410</v>
      </c>
      <c r="F99" t="s">
        <v>3397</v>
      </c>
      <c r="G99" t="s">
        <v>3575</v>
      </c>
      <c r="K99" t="str">
        <v>T2023-080</v>
      </c>
      <c r="L99" t="str">
        <v>Transmissão</v>
      </c>
      <c r="M99" t="str">
        <v>Corporativo</v>
      </c>
      <c r="N99" t="str">
        <v>RGP</v>
      </c>
      <c r="O99" t="str">
        <v>CHESF</v>
      </c>
      <c r="P99" t="str">
        <v>Reforço na SE Barreiras: instalação do TR3, 230/138 kV, de 100 MVA.</v>
      </c>
      <c r="Q99">
        <v>0</v>
      </c>
    </row>
    <row r="100" spans="2:17" x14ac:dyDescent="0.3">
      <c r="B100" t="s">
        <v>3576</v>
      </c>
      <c r="C100" t="s">
        <v>1796</v>
      </c>
      <c r="D100" t="s">
        <v>506</v>
      </c>
      <c r="E100" t="s">
        <v>3379</v>
      </c>
      <c r="F100" t="s">
        <v>3388</v>
      </c>
      <c r="G100" t="s">
        <v>3577</v>
      </c>
      <c r="K100" t="str">
        <v>T2022-102</v>
      </c>
      <c r="L100" t="str">
        <v>Transmissão</v>
      </c>
      <c r="M100" t="str">
        <v>Corporativo</v>
      </c>
      <c r="N100" t="str">
        <v>RGP</v>
      </c>
      <c r="O100" t="str">
        <v>ELETRONORTE</v>
      </c>
      <c r="P100" t="str">
        <v>SE Imperatriz - Substituição do Banco de Capacitores Série.</v>
      </c>
      <c r="Q100">
        <v>0</v>
      </c>
    </row>
    <row r="101" spans="2:17" x14ac:dyDescent="0.3">
      <c r="B101" t="s">
        <v>3578</v>
      </c>
      <c r="C101" t="s">
        <v>1796</v>
      </c>
      <c r="D101" t="s">
        <v>506</v>
      </c>
      <c r="E101" t="s">
        <v>3379</v>
      </c>
      <c r="F101" t="s">
        <v>3388</v>
      </c>
      <c r="G101" t="s">
        <v>3579</v>
      </c>
      <c r="K101" t="str">
        <v>T2019-030</v>
      </c>
      <c r="L101" t="str">
        <v>Transmissão</v>
      </c>
      <c r="M101" t="str">
        <v>Corporativo</v>
      </c>
      <c r="N101" t="str">
        <v>RGP</v>
      </c>
      <c r="O101" t="str">
        <v>CHESF</v>
      </c>
      <c r="P101" t="str">
        <v>SE Morro do Chapéu II - Instalação do segundo transformador 230/69 kV, 150 MVA e conexões.</v>
      </c>
      <c r="Q101">
        <v>0</v>
      </c>
    </row>
    <row r="102" spans="2:17" x14ac:dyDescent="0.3">
      <c r="B102" t="s">
        <v>3580</v>
      </c>
      <c r="C102" t="s">
        <v>1796</v>
      </c>
      <c r="D102" t="s">
        <v>506</v>
      </c>
      <c r="E102" t="s">
        <v>3379</v>
      </c>
      <c r="F102" t="s">
        <v>3397</v>
      </c>
      <c r="G102" t="s">
        <v>3581</v>
      </c>
      <c r="K102" t="str">
        <v>T2019-031</v>
      </c>
      <c r="L102" t="str">
        <v>Transmissão</v>
      </c>
      <c r="M102" t="str">
        <v>Corporativo</v>
      </c>
      <c r="N102" t="str">
        <v>RGP</v>
      </c>
      <c r="O102" t="str">
        <v>CHESF</v>
      </c>
      <c r="P102" t="str">
        <v>SE Icó - Instalação do terceiro transformador, 230/69 kV, 100 MVA e conexões.</v>
      </c>
      <c r="Q102">
        <v>0</v>
      </c>
    </row>
    <row r="103" spans="2:17" x14ac:dyDescent="0.3">
      <c r="B103" t="s">
        <v>3582</v>
      </c>
      <c r="C103" t="s">
        <v>1796</v>
      </c>
      <c r="D103" t="s">
        <v>506</v>
      </c>
      <c r="E103" t="s">
        <v>3379</v>
      </c>
      <c r="F103" t="s">
        <v>3383</v>
      </c>
      <c r="G103" t="s">
        <v>3583</v>
      </c>
      <c r="K103" t="str">
        <v>T2019-068</v>
      </c>
      <c r="L103" t="str">
        <v>Transmissão</v>
      </c>
      <c r="M103" t="str">
        <v>Corporativo</v>
      </c>
      <c r="N103" t="str">
        <v>RGP</v>
      </c>
      <c r="O103" t="str">
        <v>CHESF</v>
      </c>
      <c r="P103" t="str">
        <v>SE Eunápolis - instalação do primeiro banco de capacitores em derivação trifásico 230 kV - 20 MVar</v>
      </c>
      <c r="Q103">
        <v>0</v>
      </c>
    </row>
    <row r="104" spans="2:17" x14ac:dyDescent="0.3">
      <c r="B104" t="s">
        <v>3584</v>
      </c>
      <c r="C104" t="s">
        <v>1796</v>
      </c>
      <c r="D104" t="s">
        <v>506</v>
      </c>
      <c r="E104" t="s">
        <v>3379</v>
      </c>
      <c r="F104" t="s">
        <v>3383</v>
      </c>
      <c r="G104" t="s">
        <v>3585</v>
      </c>
      <c r="K104" t="str">
        <v>T2019-067</v>
      </c>
      <c r="L104" t="str">
        <v>Transmissão</v>
      </c>
      <c r="M104" t="str">
        <v>Corporativo</v>
      </c>
      <c r="N104" t="str">
        <v>RGP</v>
      </c>
      <c r="O104" t="str">
        <v>CHESF</v>
      </c>
      <c r="P104" t="str">
        <v>3° BANCO DE AUTORANSFORMADOR 500/230-13,8 kV, 3x200 MVA e conexões, na SE Messias.</v>
      </c>
      <c r="Q104">
        <v>0</v>
      </c>
    </row>
    <row r="105" spans="2:17" x14ac:dyDescent="0.3">
      <c r="B105" t="s">
        <v>3586</v>
      </c>
      <c r="C105" t="s">
        <v>1796</v>
      </c>
      <c r="D105" t="s">
        <v>506</v>
      </c>
      <c r="E105" t="s">
        <v>3410</v>
      </c>
      <c r="F105" t="s">
        <v>3380</v>
      </c>
      <c r="G105" t="s">
        <v>3587</v>
      </c>
      <c r="K105" t="str">
        <v>T2016-048</v>
      </c>
      <c r="L105" t="str">
        <v>Transmissão</v>
      </c>
      <c r="M105" t="str">
        <v>Corporativo</v>
      </c>
      <c r="N105" t="str">
        <v>RGP</v>
      </c>
      <c r="O105" t="str">
        <v>CHESF</v>
      </c>
      <c r="P105" t="str">
        <v>LT 230 kV PIRIPIRI / SOBRAL - recapacitação da capacidade de curta duração de 595 A para 630 A.</v>
      </c>
      <c r="Q105">
        <v>0</v>
      </c>
    </row>
    <row r="106" spans="2:17" x14ac:dyDescent="0.3">
      <c r="B106" t="s">
        <v>3588</v>
      </c>
      <c r="C106" t="s">
        <v>1796</v>
      </c>
      <c r="D106" t="s">
        <v>506</v>
      </c>
      <c r="E106" t="s">
        <v>3410</v>
      </c>
      <c r="F106" t="s">
        <v>3380</v>
      </c>
      <c r="G106" t="s">
        <v>3589</v>
      </c>
      <c r="K106" t="str">
        <v>T2016-062</v>
      </c>
      <c r="L106" t="str">
        <v>Transmissão</v>
      </c>
      <c r="M106" t="str">
        <v>Corporativo</v>
      </c>
      <c r="N106" t="str">
        <v>RGP</v>
      </c>
      <c r="O106" t="str">
        <v>CHESF</v>
      </c>
      <c r="P106" t="str">
        <v>SE Fortaleza - instalação do quinto transformador 230/69 kV</v>
      </c>
      <c r="Q106">
        <v>0</v>
      </c>
    </row>
    <row r="107" spans="2:17" x14ac:dyDescent="0.3">
      <c r="B107" t="s">
        <v>3590</v>
      </c>
      <c r="C107" t="s">
        <v>1796</v>
      </c>
      <c r="D107" t="s">
        <v>506</v>
      </c>
      <c r="E107" t="s">
        <v>3410</v>
      </c>
      <c r="F107" t="s">
        <v>3380</v>
      </c>
      <c r="G107" t="s">
        <v>3591</v>
      </c>
      <c r="K107" t="str">
        <v>T2016-088</v>
      </c>
      <c r="L107" t="str">
        <v>Transmissão</v>
      </c>
      <c r="M107" t="str">
        <v>Corporativo</v>
      </c>
      <c r="N107" t="str">
        <v>RGP</v>
      </c>
      <c r="O107" t="str">
        <v>CHESF</v>
      </c>
      <c r="P107" t="str">
        <v>SE Camaçari II - Seccionamento longitudinal das barras de 230 kV e adequações associadas.</v>
      </c>
      <c r="Q107">
        <v>0</v>
      </c>
    </row>
    <row r="108" spans="2:17" x14ac:dyDescent="0.3">
      <c r="B108" t="s">
        <v>3592</v>
      </c>
      <c r="C108" t="s">
        <v>1796</v>
      </c>
      <c r="D108" t="s">
        <v>506</v>
      </c>
      <c r="E108" t="s">
        <v>3379</v>
      </c>
      <c r="F108" t="s">
        <v>3380</v>
      </c>
      <c r="G108" t="s">
        <v>3593</v>
      </c>
      <c r="K108" t="str">
        <v>T2016-087</v>
      </c>
      <c r="L108" t="str">
        <v>Transmissão</v>
      </c>
      <c r="M108" t="str">
        <v>Corporativo</v>
      </c>
      <c r="N108" t="str">
        <v>RGP</v>
      </c>
      <c r="O108" t="str">
        <v>CHESF</v>
      </c>
      <c r="P108" t="str">
        <v>SE Recife II - Seccionamento longitudinal das barras de 230 kV e adequações associadas.</v>
      </c>
      <c r="Q108">
        <v>0</v>
      </c>
    </row>
    <row r="109" spans="2:17" x14ac:dyDescent="0.3">
      <c r="B109" t="s">
        <v>3594</v>
      </c>
      <c r="C109" t="s">
        <v>1796</v>
      </c>
      <c r="D109" t="s">
        <v>506</v>
      </c>
      <c r="E109" t="s">
        <v>3379</v>
      </c>
      <c r="F109" t="s">
        <v>3380</v>
      </c>
      <c r="G109" t="s">
        <v>3595</v>
      </c>
      <c r="K109" t="str">
        <v>T2020-030</v>
      </c>
      <c r="L109" t="str">
        <v>Transmissão</v>
      </c>
      <c r="M109" t="str">
        <v>Corporativo</v>
      </c>
      <c r="N109" t="str">
        <v>RGP</v>
      </c>
      <c r="O109" t="str">
        <v>CGT ELETROSUL</v>
      </c>
      <c r="P109" t="str">
        <v>LT Cascavel Oeste - Guaíra: alteração da tensão operativa de 230kV para 500kV.</v>
      </c>
      <c r="Q109">
        <v>0</v>
      </c>
    </row>
    <row r="110" spans="2:17" x14ac:dyDescent="0.3">
      <c r="B110" t="s">
        <v>3596</v>
      </c>
      <c r="C110" t="s">
        <v>1796</v>
      </c>
      <c r="D110" t="s">
        <v>506</v>
      </c>
      <c r="E110" t="s">
        <v>3379</v>
      </c>
      <c r="F110" t="s">
        <v>3380</v>
      </c>
      <c r="G110" t="s">
        <v>3597</v>
      </c>
      <c r="K110" t="str">
        <v>T2020-024</v>
      </c>
      <c r="L110" t="str">
        <v>Transmissão</v>
      </c>
      <c r="M110" t="str">
        <v>Corporativo</v>
      </c>
      <c r="N110" t="str">
        <v>RGP</v>
      </c>
      <c r="O110" t="str">
        <v>CGT ELETROSUL</v>
      </c>
      <c r="P110" t="str">
        <v>Seccionamento da LT 230kV Londrina ESUL-Maringá na SE Sarandi</v>
      </c>
      <c r="Q110">
        <v>0</v>
      </c>
    </row>
    <row r="111" spans="2:17" x14ac:dyDescent="0.3">
      <c r="B111" t="s">
        <v>3598</v>
      </c>
      <c r="C111" t="s">
        <v>1796</v>
      </c>
      <c r="D111" t="s">
        <v>506</v>
      </c>
      <c r="E111" t="s">
        <v>3410</v>
      </c>
      <c r="F111" t="s">
        <v>3397</v>
      </c>
      <c r="G111" t="s">
        <v>3599</v>
      </c>
      <c r="K111" t="str">
        <v>T2019-005</v>
      </c>
      <c r="L111" t="str">
        <v>Transmissão</v>
      </c>
      <c r="M111" t="str">
        <v>Corporativo</v>
      </c>
      <c r="N111" t="str">
        <v>RGP</v>
      </c>
      <c r="O111" t="str">
        <v>FURNAS</v>
      </c>
      <c r="P111" t="str">
        <v>SE Itumbiara - Instalação dos módulos de conexão 345 e 230 kV para o 4º TR 345/230 kV – 225 MVA</v>
      </c>
      <c r="Q111">
        <v>0</v>
      </c>
    </row>
    <row r="112" spans="2:17" x14ac:dyDescent="0.3">
      <c r="B112" t="s">
        <v>3600</v>
      </c>
      <c r="C112" t="s">
        <v>1796</v>
      </c>
      <c r="D112" t="s">
        <v>506</v>
      </c>
      <c r="E112" t="s">
        <v>3379</v>
      </c>
      <c r="F112" t="s">
        <v>3397</v>
      </c>
      <c r="G112" t="s">
        <v>3601</v>
      </c>
      <c r="K112" t="str">
        <v>T2019-004</v>
      </c>
      <c r="L112" t="str">
        <v>Transmissão</v>
      </c>
      <c r="M112" t="str">
        <v>Corporativo</v>
      </c>
      <c r="N112" t="str">
        <v>RGP</v>
      </c>
      <c r="O112" t="str">
        <v>FURNAS</v>
      </c>
      <c r="P112" t="str">
        <v>SE Itumbiara - Instalar dois novos disjuntores nos vãos do TR 53 e da LT para Marimbondo</v>
      </c>
      <c r="Q112">
        <v>0</v>
      </c>
    </row>
    <row r="113" spans="2:17" x14ac:dyDescent="0.3">
      <c r="B113" t="s">
        <v>3602</v>
      </c>
      <c r="C113" t="s">
        <v>1796</v>
      </c>
      <c r="D113" t="s">
        <v>506</v>
      </c>
      <c r="E113" t="s">
        <v>3379</v>
      </c>
      <c r="F113" t="s">
        <v>3397</v>
      </c>
      <c r="G113" t="s">
        <v>3603</v>
      </c>
      <c r="K113" t="str">
        <v>T2019-065</v>
      </c>
      <c r="L113" t="str">
        <v>Transmissão</v>
      </c>
      <c r="M113" t="str">
        <v>Corporativo</v>
      </c>
      <c r="N113" t="str">
        <v>RGP</v>
      </c>
      <c r="O113" t="str">
        <v>FURNAS</v>
      </c>
      <c r="P113" t="str">
        <v>SE Barreiro 1: Adequação da entrada de linha para a SE Pimenta (345KV - BDDD.)</v>
      </c>
      <c r="Q113">
        <v>0</v>
      </c>
    </row>
    <row r="114" spans="2:17" x14ac:dyDescent="0.3">
      <c r="B114" t="s">
        <v>3604</v>
      </c>
      <c r="C114" t="s">
        <v>1796</v>
      </c>
      <c r="D114" t="s">
        <v>506</v>
      </c>
      <c r="E114" t="s">
        <v>3379</v>
      </c>
      <c r="F114" t="s">
        <v>3397</v>
      </c>
      <c r="G114" t="s">
        <v>3605</v>
      </c>
      <c r="K114" t="str">
        <v>T2014-061</v>
      </c>
      <c r="L114" t="str">
        <v>Transmissão</v>
      </c>
      <c r="M114" t="str">
        <v>Corporativo</v>
      </c>
      <c r="N114" t="str">
        <v>RGP</v>
      </c>
      <c r="O114" t="str">
        <v>CHESF</v>
      </c>
      <c r="P114" t="str">
        <v>Instalação na SE Aquiraz II do 4º Transformador Trifásico e do 2º Transformador de Aterramento</v>
      </c>
      <c r="Q114">
        <v>0</v>
      </c>
    </row>
    <row r="115" spans="2:17" x14ac:dyDescent="0.3">
      <c r="B115" t="s">
        <v>3606</v>
      </c>
      <c r="C115" t="s">
        <v>1796</v>
      </c>
      <c r="D115" t="s">
        <v>506</v>
      </c>
      <c r="E115" t="s">
        <v>3379</v>
      </c>
      <c r="F115" t="s">
        <v>3397</v>
      </c>
      <c r="G115" t="s">
        <v>3607</v>
      </c>
      <c r="K115" t="str">
        <v>T2020-063</v>
      </c>
      <c r="L115" t="str">
        <v>Transmissão</v>
      </c>
      <c r="M115" t="str">
        <v>Corporativo</v>
      </c>
      <c r="N115" t="str">
        <v>RGP</v>
      </c>
      <c r="O115" t="str">
        <v>FURNAS</v>
      </c>
      <c r="P115" t="str">
        <v>Instalação do 2º ATF 500/138-13,8 kV, 3 x 300 MVA, na SE Zona Oeste</v>
      </c>
      <c r="Q115">
        <v>0</v>
      </c>
    </row>
    <row r="116" spans="2:17" x14ac:dyDescent="0.3">
      <c r="B116" t="s">
        <v>3608</v>
      </c>
      <c r="C116" t="s">
        <v>1796</v>
      </c>
      <c r="D116" t="s">
        <v>506</v>
      </c>
      <c r="E116" t="s">
        <v>3379</v>
      </c>
      <c r="F116" t="s">
        <v>3388</v>
      </c>
      <c r="G116" t="s">
        <v>3609</v>
      </c>
      <c r="K116" t="str">
        <v>T2021-002</v>
      </c>
      <c r="L116" t="str">
        <v>Transmissão</v>
      </c>
      <c r="M116" t="str">
        <v>Corporativo</v>
      </c>
      <c r="N116" t="str">
        <v>RGP</v>
      </c>
      <c r="O116" t="str">
        <v>CGT ELETROSUL</v>
      </c>
      <c r="P116" t="str">
        <v>Recapacitação LT 230kV Blumenau - Joinville Norte</v>
      </c>
      <c r="Q116">
        <v>0</v>
      </c>
    </row>
    <row r="117" spans="2:17" x14ac:dyDescent="0.3">
      <c r="B117" t="s">
        <v>3610</v>
      </c>
      <c r="C117" t="s">
        <v>1796</v>
      </c>
      <c r="D117" t="s">
        <v>506</v>
      </c>
      <c r="E117" t="s">
        <v>3410</v>
      </c>
      <c r="F117" t="s">
        <v>3397</v>
      </c>
      <c r="G117" t="s">
        <v>3611</v>
      </c>
      <c r="K117" t="str">
        <v>T2021-004</v>
      </c>
      <c r="L117" t="str">
        <v>Transmissão</v>
      </c>
      <c r="M117" t="str">
        <v>Corporativo</v>
      </c>
      <c r="N117" t="str">
        <v>RGP</v>
      </c>
      <c r="O117" t="str">
        <v>CGT ELETROSUL</v>
      </c>
      <c r="P117" t="str">
        <v>Recapacitação LT 230 kV Blumenau - Joinville</v>
      </c>
      <c r="Q117">
        <v>0</v>
      </c>
    </row>
    <row r="118" spans="2:17" x14ac:dyDescent="0.3">
      <c r="B118" t="s">
        <v>3612</v>
      </c>
      <c r="C118" t="s">
        <v>1796</v>
      </c>
      <c r="D118" t="s">
        <v>506</v>
      </c>
      <c r="E118" t="s">
        <v>3410</v>
      </c>
      <c r="F118" t="s">
        <v>3397</v>
      </c>
      <c r="G118" t="s">
        <v>3613</v>
      </c>
      <c r="K118" t="str">
        <v>T2020-022</v>
      </c>
      <c r="L118" t="str">
        <v>Transmissão</v>
      </c>
      <c r="M118" t="str">
        <v>Corporativo</v>
      </c>
      <c r="N118" t="str">
        <v>RGP</v>
      </c>
      <c r="O118" t="str">
        <v>ELETRONORTE</v>
      </c>
      <c r="P118" t="str">
        <v>SE Miranda II - Instalação do TR3 230/69 kV, 100MVA.</v>
      </c>
      <c r="Q118">
        <v>0</v>
      </c>
    </row>
    <row r="119" spans="2:17" x14ac:dyDescent="0.3">
      <c r="B119" t="s">
        <v>3614</v>
      </c>
      <c r="C119" t="s">
        <v>1796</v>
      </c>
      <c r="D119" t="s">
        <v>506</v>
      </c>
      <c r="E119" t="s">
        <v>3379</v>
      </c>
      <c r="F119" t="s">
        <v>3388</v>
      </c>
      <c r="G119" t="s">
        <v>3615</v>
      </c>
      <c r="K119" t="str">
        <v>T2021-031</v>
      </c>
      <c r="L119" t="str">
        <v>Transmissão</v>
      </c>
      <c r="M119" t="str">
        <v>Corporativo</v>
      </c>
      <c r="N119" t="str">
        <v>RGP</v>
      </c>
      <c r="O119" t="str">
        <v>ELETRONORTE</v>
      </c>
      <c r="P119" t="str">
        <v>SE Vilhena - instalação de um reator de barra 230kV</v>
      </c>
      <c r="Q119">
        <v>0</v>
      </c>
    </row>
    <row r="120" spans="2:17" x14ac:dyDescent="0.3">
      <c r="B120" t="s">
        <v>3616</v>
      </c>
      <c r="C120" t="s">
        <v>1796</v>
      </c>
      <c r="D120" t="s">
        <v>506</v>
      </c>
      <c r="E120" t="s">
        <v>3410</v>
      </c>
      <c r="F120" t="s">
        <v>3388</v>
      </c>
      <c r="G120" t="s">
        <v>3617</v>
      </c>
      <c r="K120" t="str">
        <v>T2021-051</v>
      </c>
      <c r="L120" t="str">
        <v>Transmissão</v>
      </c>
      <c r="M120" t="str">
        <v>Corporativo</v>
      </c>
      <c r="N120" t="str">
        <v>RGP</v>
      </c>
      <c r="O120" t="str">
        <v>ELETRONORTE</v>
      </c>
      <c r="P120" t="str">
        <v>SE Vilhena - instalação de um reator de barra 230kV.</v>
      </c>
      <c r="Q120">
        <v>0</v>
      </c>
    </row>
    <row r="121" spans="2:17" x14ac:dyDescent="0.3">
      <c r="B121" t="s">
        <v>3618</v>
      </c>
      <c r="C121" t="s">
        <v>1796</v>
      </c>
      <c r="D121" t="s">
        <v>506</v>
      </c>
      <c r="E121" t="s">
        <v>3379</v>
      </c>
      <c r="F121" t="s">
        <v>3388</v>
      </c>
      <c r="G121" t="s">
        <v>3619</v>
      </c>
      <c r="K121" t="str">
        <v>T2021-079</v>
      </c>
      <c r="L121" t="str">
        <v>Transmissão</v>
      </c>
      <c r="M121" t="str">
        <v>Corporativo</v>
      </c>
      <c r="N121" t="str">
        <v>RGP</v>
      </c>
      <c r="O121" t="str">
        <v>FURNAS</v>
      </c>
      <c r="P121" t="str">
        <v>SE Rio Verde - instalação de um banco de capacitores de 80 Mvar, 138 kV.</v>
      </c>
      <c r="Q121">
        <v>0</v>
      </c>
    </row>
    <row r="122" spans="2:17" x14ac:dyDescent="0.3">
      <c r="B122" t="s">
        <v>3620</v>
      </c>
      <c r="C122" t="s">
        <v>1796</v>
      </c>
      <c r="D122" t="s">
        <v>506</v>
      </c>
      <c r="E122" t="s">
        <v>3410</v>
      </c>
      <c r="F122" t="s">
        <v>3397</v>
      </c>
      <c r="G122" t="s">
        <v>3621</v>
      </c>
      <c r="K122" t="str">
        <v>T2021-080</v>
      </c>
      <c r="L122" t="str">
        <v>Transmissão</v>
      </c>
      <c r="M122" t="str">
        <v>Corporativo</v>
      </c>
      <c r="N122" t="str">
        <v>RGP</v>
      </c>
      <c r="O122" t="str">
        <v>CGT ELETROSUL</v>
      </c>
      <c r="P122" t="str">
        <v>Instalação do 1º reator de barra 230kV na SE Anastácio</v>
      </c>
      <c r="Q122">
        <v>0</v>
      </c>
    </row>
    <row r="123" spans="2:17" x14ac:dyDescent="0.3">
      <c r="B123" t="s">
        <v>3622</v>
      </c>
      <c r="C123" t="s">
        <v>1796</v>
      </c>
      <c r="D123" t="s">
        <v>506</v>
      </c>
      <c r="E123" t="s">
        <v>3410</v>
      </c>
      <c r="F123" t="s">
        <v>3388</v>
      </c>
      <c r="G123" t="s">
        <v>3623</v>
      </c>
      <c r="K123" t="str">
        <v>T2020-071</v>
      </c>
      <c r="L123" t="str">
        <v>Transmissão</v>
      </c>
      <c r="M123" t="str">
        <v>Corporativo</v>
      </c>
      <c r="N123" t="str">
        <v>RGP</v>
      </c>
      <c r="O123" t="str">
        <v>ELETRONORTE</v>
      </c>
      <c r="P123" t="str">
        <v>SE Marabá: Substituição TF2 230/69 kV, 33MVA, por unidade de 100 MVA.</v>
      </c>
      <c r="Q123">
        <v>0</v>
      </c>
    </row>
    <row r="124" spans="2:17" x14ac:dyDescent="0.3">
      <c r="B124" t="s">
        <v>3624</v>
      </c>
      <c r="C124" t="s">
        <v>1796</v>
      </c>
      <c r="D124" t="s">
        <v>506</v>
      </c>
      <c r="E124" t="s">
        <v>3410</v>
      </c>
      <c r="F124" t="s">
        <v>3388</v>
      </c>
      <c r="G124" t="s">
        <v>3625</v>
      </c>
      <c r="K124" t="str">
        <v>T2021-078</v>
      </c>
      <c r="L124" t="str">
        <v>Transmissão</v>
      </c>
      <c r="M124" t="str">
        <v>Corporativo</v>
      </c>
      <c r="N124" t="str">
        <v>RGP</v>
      </c>
      <c r="O124" t="str">
        <v>FURNAS</v>
      </c>
      <c r="P124" t="str">
        <v>SE Bandeirantes - instalação de fase reserva para o AT05</v>
      </c>
      <c r="Q124">
        <v>0</v>
      </c>
    </row>
    <row r="125" spans="2:17" x14ac:dyDescent="0.3">
      <c r="B125" t="s">
        <v>3626</v>
      </c>
      <c r="C125" t="s">
        <v>1796</v>
      </c>
      <c r="D125" t="s">
        <v>506</v>
      </c>
      <c r="E125" t="s">
        <v>3410</v>
      </c>
      <c r="F125" t="s">
        <v>3388</v>
      </c>
      <c r="G125" t="s">
        <v>3627</v>
      </c>
      <c r="K125" t="str">
        <v>T2024-191</v>
      </c>
      <c r="L125" t="str">
        <v>Transmissão</v>
      </c>
      <c r="M125" t="str">
        <v>Corporativo</v>
      </c>
      <c r="N125" t="str">
        <v>RGP</v>
      </c>
      <c r="O125" t="str">
        <v>CHESF</v>
      </c>
      <c r="P125" t="str">
        <v>Reforço na SE Arapiraca III: Instalação do 3º Transformador de Potência Trifásico de 230/69 kV</v>
      </c>
      <c r="Q125">
        <v>0</v>
      </c>
    </row>
    <row r="126" spans="2:17" x14ac:dyDescent="0.3">
      <c r="B126" t="s">
        <v>3628</v>
      </c>
      <c r="C126" t="s">
        <v>1796</v>
      </c>
      <c r="D126" t="s">
        <v>506</v>
      </c>
      <c r="E126" t="s">
        <v>3410</v>
      </c>
      <c r="F126" t="s">
        <v>3388</v>
      </c>
      <c r="G126" t="s">
        <v>3629</v>
      </c>
      <c r="K126" t="str">
        <v>T2024-192</v>
      </c>
      <c r="L126" t="str">
        <v>Transmissão</v>
      </c>
      <c r="M126" t="str">
        <v>Corporativo</v>
      </c>
      <c r="N126" t="str">
        <v>RGP</v>
      </c>
      <c r="O126" t="str">
        <v>CHESF</v>
      </c>
      <c r="P126" t="str">
        <v>Reforço na SE Teixeira de Freitas II: Instalação do 3º AT Monofásico de 230/138 kV - 3 x 33,33 MVA</v>
      </c>
      <c r="Q126">
        <v>0</v>
      </c>
    </row>
    <row r="127" spans="2:17" x14ac:dyDescent="0.3">
      <c r="B127" t="s">
        <v>3630</v>
      </c>
      <c r="C127" t="s">
        <v>1796</v>
      </c>
      <c r="D127" t="s">
        <v>506</v>
      </c>
      <c r="E127" t="s">
        <v>3410</v>
      </c>
      <c r="F127" t="s">
        <v>3397</v>
      </c>
      <c r="G127" t="s">
        <v>3631</v>
      </c>
      <c r="K127" t="str">
        <v>T2024-151</v>
      </c>
      <c r="L127" t="str">
        <v>Transmissão</v>
      </c>
      <c r="M127" t="str">
        <v>Corporativo</v>
      </c>
      <c r="N127" t="str">
        <v>RGP</v>
      </c>
      <c r="O127" t="str">
        <v>ELETRONORTE</v>
      </c>
      <c r="P127" t="str">
        <v xml:space="preserve">Reforço na SE Imperatriz: Instalação do 4º TR230/69 kV - 100 MVA e conexões </v>
      </c>
      <c r="Q127">
        <v>0</v>
      </c>
    </row>
    <row r="128" spans="2:17" x14ac:dyDescent="0.3">
      <c r="B128" t="s">
        <v>3632</v>
      </c>
      <c r="C128" t="s">
        <v>1796</v>
      </c>
      <c r="D128" t="s">
        <v>506</v>
      </c>
      <c r="E128" t="s">
        <v>3410</v>
      </c>
      <c r="F128" t="s">
        <v>3397</v>
      </c>
      <c r="G128" t="s">
        <v>3633</v>
      </c>
      <c r="K128" t="str">
        <v>T2024-152</v>
      </c>
      <c r="L128" t="str">
        <v>Transmissão</v>
      </c>
      <c r="M128" t="str">
        <v>Corporativo</v>
      </c>
      <c r="N128" t="str">
        <v>RGP</v>
      </c>
      <c r="O128" t="str">
        <v>ELETRONORTE</v>
      </c>
      <c r="P128" t="str">
        <v>Reforço na SE Ji-Paraná: Substituição do TR1 230/69 kV de 60 MVA por 100 MVA</v>
      </c>
      <c r="Q128">
        <v>0</v>
      </c>
    </row>
    <row r="129" spans="2:17" x14ac:dyDescent="0.3">
      <c r="B129" t="s">
        <v>3634</v>
      </c>
      <c r="C129" t="s">
        <v>1796</v>
      </c>
      <c r="D129" t="s">
        <v>506</v>
      </c>
      <c r="E129" t="s">
        <v>3410</v>
      </c>
      <c r="F129" t="s">
        <v>3397</v>
      </c>
      <c r="G129" t="s">
        <v>3635</v>
      </c>
      <c r="K129" t="str">
        <v>T2024-153</v>
      </c>
      <c r="L129" t="str">
        <v>Transmissão</v>
      </c>
      <c r="M129" t="str">
        <v>Corporativo</v>
      </c>
      <c r="N129" t="str">
        <v>RGP</v>
      </c>
      <c r="O129" t="str">
        <v>ELETRONORTE</v>
      </c>
      <c r="P129" t="str">
        <v xml:space="preserve">Reforço na SE Ji-Paraná: Instalação do 3º TF 230/138/13,8 kV </v>
      </c>
      <c r="Q129">
        <v>0</v>
      </c>
    </row>
    <row r="130" spans="2:17" x14ac:dyDescent="0.3">
      <c r="B130" t="s">
        <v>3636</v>
      </c>
      <c r="C130" t="s">
        <v>1796</v>
      </c>
      <c r="D130" t="s">
        <v>506</v>
      </c>
      <c r="E130" t="s">
        <v>3410</v>
      </c>
      <c r="F130" t="s">
        <v>3397</v>
      </c>
      <c r="G130" t="s">
        <v>3637</v>
      </c>
      <c r="K130" t="str">
        <v>T2024-156</v>
      </c>
      <c r="L130" t="str">
        <v>Transmissão</v>
      </c>
      <c r="M130" t="str">
        <v>Corporativo</v>
      </c>
      <c r="N130" t="str">
        <v>RGP</v>
      </c>
      <c r="O130" t="str">
        <v>ELETRONORTE</v>
      </c>
      <c r="P130" t="str">
        <v>Reforço na SE Presidente Dutra: Fase reserva  reator de barra 50 MVar - 550 kV</v>
      </c>
      <c r="Q130">
        <v>0</v>
      </c>
    </row>
    <row r="131" spans="2:17" x14ac:dyDescent="0.3">
      <c r="B131" t="s">
        <v>3638</v>
      </c>
      <c r="C131" t="s">
        <v>1796</v>
      </c>
      <c r="D131" t="s">
        <v>506</v>
      </c>
      <c r="E131" t="s">
        <v>3410</v>
      </c>
      <c r="F131" t="s">
        <v>3397</v>
      </c>
      <c r="G131" t="s">
        <v>3639</v>
      </c>
      <c r="K131" t="str">
        <v>T2024-157</v>
      </c>
      <c r="L131" t="str">
        <v>Transmissão</v>
      </c>
      <c r="M131" t="str">
        <v>Corporativo</v>
      </c>
      <c r="N131" t="str">
        <v>RGP</v>
      </c>
      <c r="O131" t="str">
        <v>ELETRONORTE</v>
      </c>
      <c r="P131" t="str">
        <v>Reforço na SE Vilhena: 3° TF 230/69/13,8 kV</v>
      </c>
      <c r="Q131">
        <v>0</v>
      </c>
    </row>
    <row r="132" spans="2:17" x14ac:dyDescent="0.3">
      <c r="B132" t="s">
        <v>3640</v>
      </c>
      <c r="C132" t="s">
        <v>1796</v>
      </c>
      <c r="D132" t="s">
        <v>506</v>
      </c>
      <c r="E132" t="s">
        <v>3410</v>
      </c>
      <c r="F132" t="s">
        <v>3397</v>
      </c>
      <c r="G132" t="s">
        <v>3641</v>
      </c>
      <c r="K132" t="str">
        <v>T2024-215</v>
      </c>
      <c r="L132" t="str">
        <v>Transmissão</v>
      </c>
      <c r="M132" t="str">
        <v>Corporativo</v>
      </c>
      <c r="N132" t="str">
        <v>RGP</v>
      </c>
      <c r="O132" t="str">
        <v>ELETRONORTE</v>
      </c>
      <c r="P132" t="str">
        <v>Reforço na SE Ji-Paraná: Substituição do TR2 230/69 kV de 60 MVA por 100 MVA</v>
      </c>
      <c r="Q132">
        <v>0</v>
      </c>
    </row>
    <row r="133" spans="2:17" x14ac:dyDescent="0.3">
      <c r="B133" t="s">
        <v>3642</v>
      </c>
      <c r="C133" t="s">
        <v>1796</v>
      </c>
      <c r="D133" t="s">
        <v>506</v>
      </c>
      <c r="E133" t="s">
        <v>3410</v>
      </c>
      <c r="F133" t="s">
        <v>3397</v>
      </c>
      <c r="G133" t="s">
        <v>3643</v>
      </c>
      <c r="K133" t="str">
        <v>T2024-154</v>
      </c>
      <c r="L133" t="str">
        <v>Transmissão</v>
      </c>
      <c r="M133" t="str">
        <v>Corporativo</v>
      </c>
      <c r="N133" t="str">
        <v>RGP</v>
      </c>
      <c r="O133" t="str">
        <v>ELETRONORTE</v>
      </c>
      <c r="P133" t="str">
        <v>Reforço na SE Nobres: Instalação do 3º TF 230/138/13,8 kV</v>
      </c>
      <c r="Q133">
        <v>0</v>
      </c>
    </row>
    <row r="134" spans="2:17" x14ac:dyDescent="0.3">
      <c r="B134" t="s">
        <v>3644</v>
      </c>
      <c r="C134" t="s">
        <v>1796</v>
      </c>
      <c r="D134" t="s">
        <v>506</v>
      </c>
      <c r="E134" t="s">
        <v>3410</v>
      </c>
      <c r="F134" t="s">
        <v>3397</v>
      </c>
      <c r="G134" t="s">
        <v>3645</v>
      </c>
      <c r="K134" t="str">
        <v>T2024-155</v>
      </c>
      <c r="L134" t="str">
        <v>Transmissão</v>
      </c>
      <c r="M134" t="str">
        <v>Corporativo</v>
      </c>
      <c r="N134" t="str">
        <v>RGP</v>
      </c>
      <c r="O134" t="str">
        <v>ELETRONORTE</v>
      </c>
      <c r="P134" t="str">
        <v>Reforço na SE Porto Franco: 4º TR 230/69/13,8 kV - 100 MVA e conexões</v>
      </c>
      <c r="Q134">
        <v>0</v>
      </c>
    </row>
    <row r="135" spans="2:17" x14ac:dyDescent="0.3">
      <c r="B135" t="s">
        <v>3646</v>
      </c>
      <c r="C135" t="s">
        <v>1796</v>
      </c>
      <c r="D135" t="s">
        <v>506</v>
      </c>
      <c r="E135" t="s">
        <v>3410</v>
      </c>
      <c r="F135" t="s">
        <v>3397</v>
      </c>
      <c r="G135" t="s">
        <v>3647</v>
      </c>
      <c r="K135" t="str">
        <v>T2024-228</v>
      </c>
      <c r="L135" t="str">
        <v>Transmissão</v>
      </c>
      <c r="M135" t="str">
        <v>Corporativo</v>
      </c>
      <c r="N135" t="str">
        <v>RGP</v>
      </c>
      <c r="O135" t="str">
        <v>ELETRONORTE</v>
      </c>
      <c r="P135" t="str">
        <v>Reforço na SE Porto Velho: Instalação do 5º TF 230/69 kV – 1 x 150 MVA e Conexoes</v>
      </c>
      <c r="Q135">
        <v>0</v>
      </c>
    </row>
    <row r="136" spans="2:17" x14ac:dyDescent="0.3">
      <c r="B136" t="s">
        <v>3648</v>
      </c>
      <c r="C136" t="s">
        <v>1796</v>
      </c>
      <c r="D136" t="s">
        <v>506</v>
      </c>
      <c r="E136" t="s">
        <v>3410</v>
      </c>
      <c r="F136" t="s">
        <v>3397</v>
      </c>
      <c r="G136" t="s">
        <v>3649</v>
      </c>
      <c r="K136" t="str">
        <v>T2024-230</v>
      </c>
      <c r="L136" t="str">
        <v>Transmissão</v>
      </c>
      <c r="M136" t="str">
        <v>Corporativo</v>
      </c>
      <c r="N136" t="str">
        <v>RGP</v>
      </c>
      <c r="O136" t="str">
        <v>CHESF</v>
      </c>
      <c r="P136" t="str">
        <v>Reforço na SE IBICOARA: Instalação do 3° ATF 230/138 kV, 1 x 100 MVA 3? e conexões</v>
      </c>
      <c r="Q136">
        <v>0</v>
      </c>
    </row>
    <row r="137" spans="2:17" x14ac:dyDescent="0.3">
      <c r="B137" t="s">
        <v>3650</v>
      </c>
      <c r="C137" t="s">
        <v>1796</v>
      </c>
      <c r="D137" t="s">
        <v>506</v>
      </c>
      <c r="E137" t="s">
        <v>3410</v>
      </c>
      <c r="F137" t="s">
        <v>3397</v>
      </c>
      <c r="G137" t="s">
        <v>3651</v>
      </c>
      <c r="K137" t="str">
        <v>T2024-237</v>
      </c>
      <c r="L137" t="str">
        <v>Transmissão</v>
      </c>
      <c r="M137" t="str">
        <v>Corporativo</v>
      </c>
      <c r="N137" t="str">
        <v>RGP</v>
      </c>
      <c r="O137" t="str">
        <v>CHESF</v>
      </c>
      <c r="P137" t="str">
        <v>Reforço: Seccionamento da LT 230kV Bom Nome-PauloAfonso III C3 na SE Zebu III</v>
      </c>
      <c r="Q137">
        <v>0</v>
      </c>
    </row>
    <row r="138" spans="2:17" x14ac:dyDescent="0.3">
      <c r="B138" t="s">
        <v>3652</v>
      </c>
      <c r="C138" t="s">
        <v>1796</v>
      </c>
      <c r="D138" t="s">
        <v>506</v>
      </c>
      <c r="E138" t="s">
        <v>3410</v>
      </c>
      <c r="F138" t="s">
        <v>3383</v>
      </c>
      <c r="G138" t="s">
        <v>3653</v>
      </c>
      <c r="K138" t="str">
        <v>T2024-238</v>
      </c>
      <c r="L138" t="str">
        <v>Transmissão</v>
      </c>
      <c r="M138" t="str">
        <v>Corporativo</v>
      </c>
      <c r="N138" t="str">
        <v>RGP</v>
      </c>
      <c r="O138" t="str">
        <v>CHESF</v>
      </c>
      <c r="P138" t="str">
        <v>Reforço: Seccionamento da LT 230kV Floresta II-PauloAfonso III C2 na SE Zebu III.</v>
      </c>
      <c r="Q138">
        <v>0</v>
      </c>
    </row>
    <row r="139" spans="2:17" x14ac:dyDescent="0.3">
      <c r="B139" t="s">
        <v>3654</v>
      </c>
      <c r="C139" t="s">
        <v>1796</v>
      </c>
      <c r="D139" t="s">
        <v>506</v>
      </c>
      <c r="E139" t="s">
        <v>3410</v>
      </c>
      <c r="F139" t="s">
        <v>3397</v>
      </c>
      <c r="G139" t="s">
        <v>3655</v>
      </c>
      <c r="K139" t="str">
        <v>T2024-225</v>
      </c>
      <c r="L139" t="str">
        <v>Transmissão</v>
      </c>
      <c r="M139" t="str">
        <v>Corporativo</v>
      </c>
      <c r="N139" t="str">
        <v>RGP</v>
      </c>
      <c r="O139" t="str">
        <v>Eletrobras</v>
      </c>
      <c r="P139" t="str">
        <v>Reforço na SE São José: Substituição do TR11 pelo TF 500/138kV, 3 x 300 MVA</v>
      </c>
      <c r="Q139">
        <v>0</v>
      </c>
    </row>
    <row r="140" spans="2:17" x14ac:dyDescent="0.3">
      <c r="B140" t="s">
        <v>3656</v>
      </c>
      <c r="C140" t="s">
        <v>1796</v>
      </c>
      <c r="D140" t="s">
        <v>506</v>
      </c>
      <c r="E140" t="s">
        <v>3410</v>
      </c>
      <c r="F140" t="s">
        <v>3397</v>
      </c>
      <c r="G140" t="s">
        <v>3657</v>
      </c>
      <c r="K140" t="str">
        <v>T2024-226</v>
      </c>
      <c r="L140" t="str">
        <v>Transmissão</v>
      </c>
      <c r="M140" t="str">
        <v>Corporativo</v>
      </c>
      <c r="N140" t="str">
        <v>RGP</v>
      </c>
      <c r="O140" t="str">
        <v>Eletrobras</v>
      </c>
      <c r="P140" t="str">
        <v>Reforço na SE São José: Substituição do TR12 pelo TF 500/138kV, 3 x 300 MVA</v>
      </c>
      <c r="Q140">
        <v>0</v>
      </c>
    </row>
    <row r="141" spans="2:17" x14ac:dyDescent="0.3">
      <c r="B141" t="s">
        <v>3658</v>
      </c>
      <c r="C141" t="s">
        <v>1796</v>
      </c>
      <c r="D141" t="s">
        <v>506</v>
      </c>
      <c r="E141" t="s">
        <v>3410</v>
      </c>
      <c r="F141" t="s">
        <v>3397</v>
      </c>
      <c r="G141" t="s">
        <v>3659</v>
      </c>
      <c r="K141" t="str">
        <v>T2024-227</v>
      </c>
      <c r="L141" t="str">
        <v>Transmissão</v>
      </c>
      <c r="M141" t="str">
        <v>Corporativo</v>
      </c>
      <c r="N141" t="str">
        <v>RGP</v>
      </c>
      <c r="O141" t="str">
        <v>Eletrobras</v>
      </c>
      <c r="P141" t="str">
        <v>Reforço na SE São José: Substituição da Fase Reserva para o TR11 e TR12 - TF 500/138kV, 1 x 300 MVA</v>
      </c>
      <c r="Q141">
        <v>0</v>
      </c>
    </row>
    <row r="142" spans="2:17" x14ac:dyDescent="0.3">
      <c r="B142" t="s">
        <v>3660</v>
      </c>
      <c r="C142" t="s">
        <v>1796</v>
      </c>
      <c r="D142" t="s">
        <v>506</v>
      </c>
      <c r="E142" t="s">
        <v>3410</v>
      </c>
      <c r="F142" t="s">
        <v>3397</v>
      </c>
      <c r="G142" t="s">
        <v>3661</v>
      </c>
      <c r="K142" t="str">
        <v>T2025-001</v>
      </c>
      <c r="L142" t="str">
        <v>Transmissão</v>
      </c>
      <c r="M142" t="str">
        <v>Corporativo</v>
      </c>
      <c r="N142" t="str">
        <v>RGP</v>
      </c>
      <c r="O142" t="str">
        <v>CHESF</v>
      </c>
      <c r="P142" t="str">
        <v>Reforço: Recondutoramento LT 230 kVSAPEAÇU - SANTO ANTONIO DE JESUS C-1.</v>
      </c>
      <c r="Q142">
        <v>0</v>
      </c>
    </row>
    <row r="143" spans="2:17" x14ac:dyDescent="0.3">
      <c r="B143" t="s">
        <v>3662</v>
      </c>
      <c r="C143" t="s">
        <v>1796</v>
      </c>
      <c r="D143" t="s">
        <v>506</v>
      </c>
      <c r="E143" t="s">
        <v>3410</v>
      </c>
      <c r="F143" t="s">
        <v>3397</v>
      </c>
      <c r="G143" t="s">
        <v>3663</v>
      </c>
      <c r="K143" t="str">
        <v>T2025-002</v>
      </c>
      <c r="L143" t="str">
        <v>Transmissão</v>
      </c>
      <c r="M143" t="str">
        <v>Corporativo</v>
      </c>
      <c r="N143" t="str">
        <v>RGP</v>
      </c>
      <c r="O143" t="str">
        <v>CHESF</v>
      </c>
      <c r="P143" t="str">
        <v>Reforço: Recondutoramento LT 230 kVSAPEAÇU - SANTO ANTONIO DE JESUS C-2.</v>
      </c>
      <c r="Q143">
        <v>0</v>
      </c>
    </row>
    <row r="144" spans="2:17" x14ac:dyDescent="0.3">
      <c r="B144" t="s">
        <v>3664</v>
      </c>
      <c r="C144" t="s">
        <v>1796</v>
      </c>
      <c r="D144" t="s">
        <v>506</v>
      </c>
      <c r="E144" t="s">
        <v>3410</v>
      </c>
      <c r="F144" t="s">
        <v>3397</v>
      </c>
      <c r="G144" t="s">
        <v>3665</v>
      </c>
      <c r="K144" t="str">
        <v>T2025-004</v>
      </c>
      <c r="L144" t="str">
        <v>Transmissão</v>
      </c>
      <c r="M144" t="str">
        <v>Corporativo</v>
      </c>
      <c r="N144" t="str">
        <v>RGP</v>
      </c>
      <c r="O144" t="str">
        <v>ELETRONORTE</v>
      </c>
      <c r="P144" t="str">
        <v>Reforço SE Rondonopolis: Instalação do 3º ATF 230/138 kV – 150 MVA (5° unidade da subestação).</v>
      </c>
      <c r="Q144">
        <v>0</v>
      </c>
    </row>
    <row r="145" spans="2:17" x14ac:dyDescent="0.3">
      <c r="B145" t="s">
        <v>3666</v>
      </c>
      <c r="C145" t="s">
        <v>1796</v>
      </c>
      <c r="D145" t="s">
        <v>506</v>
      </c>
      <c r="E145" t="s">
        <v>3410</v>
      </c>
      <c r="F145" t="s">
        <v>3383</v>
      </c>
      <c r="G145" t="s">
        <v>3667</v>
      </c>
      <c r="K145" t="str">
        <v>T2025-005</v>
      </c>
      <c r="L145" t="str">
        <v>Transmissão</v>
      </c>
      <c r="M145" t="str">
        <v>Corporativo</v>
      </c>
      <c r="N145" t="str">
        <v>RGP</v>
      </c>
      <c r="O145" t="str">
        <v>ELETRONORTE</v>
      </c>
      <c r="P145" t="str">
        <v>Reforço SE Sinop: Instalação do 4º ATF 230/138 kV – 150 MVA.</v>
      </c>
      <c r="Q145">
        <v>0</v>
      </c>
    </row>
    <row r="146" spans="2:17" x14ac:dyDescent="0.3">
      <c r="B146" t="s">
        <v>3668</v>
      </c>
      <c r="C146" t="s">
        <v>1796</v>
      </c>
      <c r="D146" t="s">
        <v>506</v>
      </c>
      <c r="E146" t="s">
        <v>3410</v>
      </c>
      <c r="F146" t="s">
        <v>3383</v>
      </c>
      <c r="G146" t="s">
        <v>3669</v>
      </c>
      <c r="K146" t="str">
        <v>T2025-006</v>
      </c>
      <c r="L146" t="str">
        <v>Transmissão</v>
      </c>
      <c r="M146" t="str">
        <v>Corporativo</v>
      </c>
      <c r="N146" t="str">
        <v>RGP</v>
      </c>
      <c r="O146" t="str">
        <v>ELETRONORTE</v>
      </c>
      <c r="P146" t="str">
        <v>Reforço SE Nova Mutum: Instalação do 4º ATF 230/69 kV – 75 MVA.</v>
      </c>
      <c r="Q146">
        <v>0</v>
      </c>
    </row>
    <row r="147" spans="2:17" x14ac:dyDescent="0.3">
      <c r="B147" t="s">
        <v>3670</v>
      </c>
      <c r="C147" t="s">
        <v>1796</v>
      </c>
      <c r="D147" t="s">
        <v>506</v>
      </c>
      <c r="E147" t="s">
        <v>3410</v>
      </c>
      <c r="F147" t="s">
        <v>3383</v>
      </c>
      <c r="G147" t="s">
        <v>3671</v>
      </c>
      <c r="K147" t="str">
        <v>T2025-007</v>
      </c>
      <c r="L147" t="str">
        <v>Transmissão</v>
      </c>
      <c r="M147" t="str">
        <v>Corporativo</v>
      </c>
      <c r="N147" t="str">
        <v>RGP</v>
      </c>
      <c r="O147" t="str">
        <v>ELETRONORTE</v>
      </c>
      <c r="P147" t="str">
        <v>Reforço SE Nova Mutum: Substituição TF1 230/69 kV.</v>
      </c>
      <c r="Q147">
        <v>0</v>
      </c>
    </row>
    <row r="148" spans="2:17" x14ac:dyDescent="0.3">
      <c r="B148" t="s">
        <v>3672</v>
      </c>
      <c r="C148" t="s">
        <v>1796</v>
      </c>
      <c r="D148" t="s">
        <v>506</v>
      </c>
      <c r="E148" t="s">
        <v>3410</v>
      </c>
      <c r="F148" t="s">
        <v>3383</v>
      </c>
      <c r="G148" t="s">
        <v>3673</v>
      </c>
      <c r="K148" t="str">
        <v>T2024-242</v>
      </c>
      <c r="L148" t="str">
        <v>Transmissão</v>
      </c>
      <c r="M148" t="str">
        <v>Corporativo</v>
      </c>
      <c r="N148" t="str">
        <v>RGP</v>
      </c>
      <c r="O148" t="str">
        <v>CHESF</v>
      </c>
      <c r="P148" t="str">
        <v>Reforço: Recondutoramento LT 230 kV ITAPEBI /EUNAPOLIS C-1 BA.</v>
      </c>
      <c r="Q148">
        <v>0</v>
      </c>
    </row>
    <row r="149" spans="2:17" x14ac:dyDescent="0.3">
      <c r="B149" t="s">
        <v>3674</v>
      </c>
      <c r="C149" t="s">
        <v>1796</v>
      </c>
      <c r="D149" t="s">
        <v>506</v>
      </c>
      <c r="E149" t="s">
        <v>3410</v>
      </c>
      <c r="F149" t="s">
        <v>3383</v>
      </c>
      <c r="G149" t="s">
        <v>3675</v>
      </c>
      <c r="K149" t="str">
        <v>T2024-243</v>
      </c>
      <c r="L149" t="str">
        <v>Transmissão</v>
      </c>
      <c r="M149" t="str">
        <v>Corporativo</v>
      </c>
      <c r="N149" t="str">
        <v>RGP</v>
      </c>
      <c r="O149" t="str">
        <v>CHESF</v>
      </c>
      <c r="P149" t="str">
        <v xml:space="preserve">Reforço: Recondutoramento LT 230 kV ITAPEBI /EUNAPOLIS C2 BA </v>
      </c>
      <c r="Q149">
        <v>0</v>
      </c>
    </row>
    <row r="150" spans="2:17" x14ac:dyDescent="0.3">
      <c r="B150" t="s">
        <v>3676</v>
      </c>
      <c r="C150" t="s">
        <v>1796</v>
      </c>
      <c r="D150" t="s">
        <v>506</v>
      </c>
      <c r="E150" t="s">
        <v>3379</v>
      </c>
      <c r="F150" t="s">
        <v>3383</v>
      </c>
      <c r="G150" t="s">
        <v>3677</v>
      </c>
      <c r="K150" t="str">
        <v>T2025-032</v>
      </c>
      <c r="L150" t="str">
        <v>Transmissão</v>
      </c>
      <c r="M150" t="str">
        <v>Corporativo</v>
      </c>
      <c r="N150" t="str">
        <v>RGP</v>
      </c>
      <c r="O150" t="str">
        <v>ELETROBRAS</v>
      </c>
      <c r="P150" t="str">
        <v>Reforço na SE Poços de Caldas: Instalação do 2° ATF 500/345 kV, 3 x 200 MVA.</v>
      </c>
      <c r="Q150">
        <v>0</v>
      </c>
    </row>
    <row r="151" spans="2:17" x14ac:dyDescent="0.3">
      <c r="B151" t="s">
        <v>3678</v>
      </c>
      <c r="C151" t="s">
        <v>1796</v>
      </c>
      <c r="D151" t="s">
        <v>506</v>
      </c>
      <c r="E151" t="s">
        <v>3379</v>
      </c>
      <c r="F151" t="s">
        <v>3383</v>
      </c>
      <c r="G151" t="s">
        <v>3679</v>
      </c>
      <c r="K151" t="str">
        <v>T2025-036</v>
      </c>
      <c r="L151" t="str">
        <v>Transmissão</v>
      </c>
      <c r="M151" t="str">
        <v>Corporativo</v>
      </c>
      <c r="N151" t="str">
        <v>RGP</v>
      </c>
      <c r="O151" t="str">
        <v>CHESF</v>
      </c>
      <c r="P151" t="str">
        <v>Reforço na SE 230/69 kV Mirueira: Substituição do transformador 04TR3 (100 MVA)</v>
      </c>
      <c r="Q151">
        <v>0</v>
      </c>
    </row>
    <row r="152" spans="2:17" x14ac:dyDescent="0.3">
      <c r="B152" t="s">
        <v>3680</v>
      </c>
      <c r="C152" t="s">
        <v>1796</v>
      </c>
      <c r="D152" t="s">
        <v>506</v>
      </c>
      <c r="E152" t="s">
        <v>3410</v>
      </c>
      <c r="F152" t="s">
        <v>3397</v>
      </c>
      <c r="G152" t="s">
        <v>3681</v>
      </c>
      <c r="K152" t="str">
        <v>T2025-037</v>
      </c>
      <c r="L152" t="str">
        <v>Transmissão</v>
      </c>
      <c r="M152" t="str">
        <v>Corporativo</v>
      </c>
      <c r="N152" t="str">
        <v>RGP</v>
      </c>
      <c r="O152" t="str">
        <v>CHESF</v>
      </c>
      <c r="P152" t="str">
        <v>Reforço na SE 230/69 kV Mirueira: Substituição do transformador 04TR4 (100 MVA)</v>
      </c>
      <c r="Q152">
        <v>0</v>
      </c>
    </row>
    <row r="153" spans="2:17" x14ac:dyDescent="0.3">
      <c r="B153" t="s">
        <v>3682</v>
      </c>
      <c r="C153" t="s">
        <v>1796</v>
      </c>
      <c r="D153" t="s">
        <v>506</v>
      </c>
      <c r="E153" t="s">
        <v>3379</v>
      </c>
      <c r="F153" t="s">
        <v>3397</v>
      </c>
      <c r="G153" t="s">
        <v>3683</v>
      </c>
      <c r="K153" t="str">
        <v>T2025-041</v>
      </c>
      <c r="L153" t="str">
        <v>Transmissão</v>
      </c>
      <c r="M153" t="str">
        <v>Corporativo</v>
      </c>
      <c r="N153" t="str">
        <v>RGP</v>
      </c>
      <c r="O153" t="str">
        <v>ELETRONORTE</v>
      </c>
      <c r="P153" t="str">
        <v>Reforço na SE Sorriso: Substituição do TF 230/69 kV, T-01, 1 x 30 MVA por uma 1 x 100 MVA</v>
      </c>
      <c r="Q153">
        <v>0</v>
      </c>
    </row>
    <row r="154" spans="2:17" x14ac:dyDescent="0.3">
      <c r="B154" t="s">
        <v>3684</v>
      </c>
      <c r="C154" t="s">
        <v>1796</v>
      </c>
      <c r="D154" t="s">
        <v>506</v>
      </c>
      <c r="E154" t="s">
        <v>3410</v>
      </c>
      <c r="F154" t="s">
        <v>3397</v>
      </c>
      <c r="G154" t="s">
        <v>3685</v>
      </c>
      <c r="K154" t="str">
        <v>T2025-042</v>
      </c>
      <c r="L154" t="str">
        <v>Transmissão</v>
      </c>
      <c r="M154" t="str">
        <v>Corporativo</v>
      </c>
      <c r="N154" t="str">
        <v>RGP</v>
      </c>
      <c r="O154" t="str">
        <v>ELETRONORTE</v>
      </c>
      <c r="P154" t="str">
        <v>Reforço na SE Sorriso: instalação do 5° TF 230/69 kV, 1 x 100 MVA</v>
      </c>
      <c r="Q154">
        <v>0</v>
      </c>
    </row>
    <row r="155" spans="2:17" x14ac:dyDescent="0.3">
      <c r="B155" t="s">
        <v>3686</v>
      </c>
      <c r="C155" t="s">
        <v>1796</v>
      </c>
      <c r="D155" t="s">
        <v>506</v>
      </c>
      <c r="E155" t="s">
        <v>3410</v>
      </c>
      <c r="F155" t="s">
        <v>3380</v>
      </c>
      <c r="G155" t="s">
        <v>3687</v>
      </c>
      <c r="K155" t="str">
        <v>T2025-045</v>
      </c>
      <c r="L155" t="str">
        <v>Transmissão</v>
      </c>
      <c r="M155" t="str">
        <v>Corporativo</v>
      </c>
      <c r="N155" t="str">
        <v>RGP</v>
      </c>
      <c r="O155" t="str">
        <v>ELETROBRAS</v>
      </c>
      <c r="P155" t="str">
        <v>Reforço na SE Jacarepaguá: Instalação do 1º reator de barra trifásico - 30 Mvar/138 kV</v>
      </c>
      <c r="Q155">
        <v>0</v>
      </c>
    </row>
    <row r="156" spans="2:17" x14ac:dyDescent="0.3">
      <c r="B156" t="s">
        <v>3688</v>
      </c>
      <c r="C156" t="s">
        <v>1796</v>
      </c>
      <c r="D156" t="s">
        <v>506</v>
      </c>
      <c r="E156" t="s">
        <v>3379</v>
      </c>
      <c r="F156" t="s">
        <v>3397</v>
      </c>
      <c r="G156" t="s">
        <v>3689</v>
      </c>
      <c r="K156" t="str">
        <v>T2025-047</v>
      </c>
      <c r="L156" t="str">
        <v>Transmissão</v>
      </c>
      <c r="M156" t="str">
        <v>Corporativo</v>
      </c>
      <c r="N156" t="str">
        <v>RGP</v>
      </c>
      <c r="O156" t="str">
        <v>CHESF</v>
      </c>
      <c r="P156" t="str">
        <v>Reforço na SE Mirueira II: Instalação do 3° TF 230/69 kV, 1 x 150 MVA</v>
      </c>
      <c r="Q156">
        <v>0</v>
      </c>
    </row>
    <row r="157" spans="2:17" x14ac:dyDescent="0.3">
      <c r="B157" t="s">
        <v>3690</v>
      </c>
      <c r="C157" t="s">
        <v>1796</v>
      </c>
      <c r="D157" t="s">
        <v>506</v>
      </c>
      <c r="E157" t="s">
        <v>3379</v>
      </c>
      <c r="F157" t="s">
        <v>3397</v>
      </c>
      <c r="G157" t="s">
        <v>3691</v>
      </c>
      <c r="K157" t="str">
        <v>T2025-050</v>
      </c>
      <c r="L157" t="str">
        <v>Transmissão</v>
      </c>
      <c r="M157" t="str">
        <v>Corporativo</v>
      </c>
      <c r="N157" t="str">
        <v>RGP</v>
      </c>
      <c r="O157" t="str">
        <v>ELETRONORTE</v>
      </c>
      <c r="P157" t="str">
        <v>Reforço na SE Lucas do Rio Verde: instalação do 3° ATF 230/138 kV, 3 x 25 MVA</v>
      </c>
      <c r="Q157">
        <v>0</v>
      </c>
    </row>
    <row r="158" spans="2:17" x14ac:dyDescent="0.3">
      <c r="B158" t="s">
        <v>3692</v>
      </c>
      <c r="C158" t="s">
        <v>1796</v>
      </c>
      <c r="D158" t="s">
        <v>506</v>
      </c>
      <c r="E158" t="s">
        <v>3379</v>
      </c>
      <c r="F158" t="s">
        <v>3388</v>
      </c>
      <c r="G158" t="s">
        <v>3693</v>
      </c>
      <c r="K158" t="str">
        <v>T2025-052</v>
      </c>
      <c r="L158" t="str">
        <v>Transmissão</v>
      </c>
      <c r="M158" t="str">
        <v>Corporativo</v>
      </c>
      <c r="N158" t="str">
        <v>RGP</v>
      </c>
      <c r="O158" t="str">
        <v>CGT ELETROSUL</v>
      </c>
      <c r="P158" t="str">
        <v>Reforço na SE Siderópolis: instalação do 4º TF 230/69 kV – 150 MVA</v>
      </c>
      <c r="Q158">
        <v>0</v>
      </c>
    </row>
    <row r="159" spans="2:17" x14ac:dyDescent="0.3">
      <c r="B159" t="s">
        <v>3694</v>
      </c>
      <c r="C159" t="s">
        <v>1796</v>
      </c>
      <c r="D159" t="s">
        <v>506</v>
      </c>
      <c r="E159" t="s">
        <v>3379</v>
      </c>
      <c r="F159" t="s">
        <v>3388</v>
      </c>
      <c r="G159" t="s">
        <v>3695</v>
      </c>
    </row>
    <row r="160" spans="2:17" x14ac:dyDescent="0.3">
      <c r="B160" t="s">
        <v>3696</v>
      </c>
      <c r="C160" t="s">
        <v>1796</v>
      </c>
      <c r="D160" t="s">
        <v>506</v>
      </c>
      <c r="E160" t="s">
        <v>3410</v>
      </c>
      <c r="F160" t="s">
        <v>3397</v>
      </c>
      <c r="G160" t="s">
        <v>3697</v>
      </c>
    </row>
    <row r="161" spans="2:7" x14ac:dyDescent="0.3">
      <c r="B161" t="s">
        <v>3698</v>
      </c>
      <c r="C161" t="s">
        <v>1796</v>
      </c>
      <c r="D161" t="s">
        <v>506</v>
      </c>
      <c r="E161" t="s">
        <v>3379</v>
      </c>
      <c r="F161" t="s">
        <v>3397</v>
      </c>
      <c r="G161" t="s">
        <v>3699</v>
      </c>
    </row>
    <row r="162" spans="2:7" x14ac:dyDescent="0.3">
      <c r="B162" t="s">
        <v>3700</v>
      </c>
      <c r="C162" t="s">
        <v>1796</v>
      </c>
      <c r="D162" t="s">
        <v>506</v>
      </c>
      <c r="E162" t="s">
        <v>3379</v>
      </c>
      <c r="F162" t="s">
        <v>3388</v>
      </c>
      <c r="G162" t="s">
        <v>3701</v>
      </c>
    </row>
    <row r="163" spans="2:7" x14ac:dyDescent="0.3">
      <c r="B163" t="s">
        <v>3702</v>
      </c>
      <c r="C163" t="s">
        <v>1796</v>
      </c>
      <c r="D163" t="s">
        <v>506</v>
      </c>
      <c r="E163" t="s">
        <v>3379</v>
      </c>
      <c r="F163" t="s">
        <v>3388</v>
      </c>
      <c r="G163" t="s">
        <v>3703</v>
      </c>
    </row>
    <row r="164" spans="2:7" x14ac:dyDescent="0.3">
      <c r="B164" t="s">
        <v>3704</v>
      </c>
      <c r="C164" t="s">
        <v>1796</v>
      </c>
      <c r="D164" t="s">
        <v>506</v>
      </c>
      <c r="E164" t="s">
        <v>3379</v>
      </c>
      <c r="F164" t="s">
        <v>3383</v>
      </c>
      <c r="G164" t="s">
        <v>3705</v>
      </c>
    </row>
    <row r="165" spans="2:7" x14ac:dyDescent="0.3">
      <c r="B165" t="s">
        <v>3706</v>
      </c>
      <c r="C165" t="s">
        <v>1796</v>
      </c>
      <c r="D165" t="s">
        <v>506</v>
      </c>
      <c r="E165" t="s">
        <v>3410</v>
      </c>
      <c r="F165" t="s">
        <v>3397</v>
      </c>
      <c r="G165" t="s">
        <v>3707</v>
      </c>
    </row>
    <row r="166" spans="2:7" x14ac:dyDescent="0.3">
      <c r="B166" t="s">
        <v>3708</v>
      </c>
      <c r="C166" t="s">
        <v>1796</v>
      </c>
      <c r="D166" t="s">
        <v>506</v>
      </c>
      <c r="E166" t="s">
        <v>3410</v>
      </c>
      <c r="F166" t="s">
        <v>3397</v>
      </c>
      <c r="G166" t="s">
        <v>3709</v>
      </c>
    </row>
    <row r="167" spans="2:7" x14ac:dyDescent="0.3">
      <c r="B167" t="s">
        <v>3710</v>
      </c>
      <c r="C167" t="s">
        <v>1796</v>
      </c>
      <c r="D167" t="s">
        <v>506</v>
      </c>
      <c r="E167" t="s">
        <v>3410</v>
      </c>
      <c r="F167" t="s">
        <v>3397</v>
      </c>
      <c r="G167" t="s">
        <v>3711</v>
      </c>
    </row>
    <row r="168" spans="2:7" x14ac:dyDescent="0.3">
      <c r="B168" t="s">
        <v>3712</v>
      </c>
      <c r="C168" t="s">
        <v>1796</v>
      </c>
      <c r="D168" t="s">
        <v>506</v>
      </c>
      <c r="E168" t="s">
        <v>3410</v>
      </c>
      <c r="F168" t="s">
        <v>3397</v>
      </c>
      <c r="G168" t="s">
        <v>3713</v>
      </c>
    </row>
    <row r="169" spans="2:7" x14ac:dyDescent="0.3">
      <c r="B169" t="s">
        <v>3714</v>
      </c>
      <c r="C169" t="s">
        <v>1796</v>
      </c>
      <c r="D169" t="s">
        <v>506</v>
      </c>
      <c r="E169" t="s">
        <v>3379</v>
      </c>
      <c r="F169" t="s">
        <v>3383</v>
      </c>
      <c r="G169" t="s">
        <v>3715</v>
      </c>
    </row>
    <row r="170" spans="2:7" x14ac:dyDescent="0.3">
      <c r="B170" t="s">
        <v>3716</v>
      </c>
      <c r="C170" t="s">
        <v>1796</v>
      </c>
      <c r="D170" t="s">
        <v>506</v>
      </c>
      <c r="E170" t="s">
        <v>3379</v>
      </c>
      <c r="F170" t="s">
        <v>3397</v>
      </c>
      <c r="G170" t="s">
        <v>3717</v>
      </c>
    </row>
    <row r="171" spans="2:7" x14ac:dyDescent="0.3">
      <c r="B171" t="s">
        <v>3718</v>
      </c>
      <c r="C171" t="s">
        <v>1796</v>
      </c>
      <c r="D171" t="s">
        <v>506</v>
      </c>
      <c r="E171" t="s">
        <v>3410</v>
      </c>
      <c r="F171" t="s">
        <v>3388</v>
      </c>
      <c r="G171" t="s">
        <v>3719</v>
      </c>
    </row>
    <row r="172" spans="2:7" x14ac:dyDescent="0.3">
      <c r="B172" t="s">
        <v>3720</v>
      </c>
      <c r="C172" t="s">
        <v>1796</v>
      </c>
      <c r="D172" t="s">
        <v>506</v>
      </c>
      <c r="E172" t="s">
        <v>3379</v>
      </c>
      <c r="F172" t="s">
        <v>3397</v>
      </c>
      <c r="G172" t="s">
        <v>3721</v>
      </c>
    </row>
    <row r="173" spans="2:7" x14ac:dyDescent="0.3">
      <c r="B173" t="s">
        <v>3722</v>
      </c>
      <c r="C173" t="s">
        <v>1796</v>
      </c>
      <c r="D173" t="s">
        <v>506</v>
      </c>
      <c r="E173" t="s">
        <v>3410</v>
      </c>
      <c r="F173" t="s">
        <v>3397</v>
      </c>
      <c r="G173" t="s">
        <v>3723</v>
      </c>
    </row>
    <row r="174" spans="2:7" x14ac:dyDescent="0.3">
      <c r="B174" t="s">
        <v>3724</v>
      </c>
      <c r="C174" t="s">
        <v>1796</v>
      </c>
      <c r="D174" t="s">
        <v>506</v>
      </c>
      <c r="E174" t="s">
        <v>3379</v>
      </c>
      <c r="F174" t="s">
        <v>3397</v>
      </c>
      <c r="G174" t="s">
        <v>3725</v>
      </c>
    </row>
    <row r="175" spans="2:7" x14ac:dyDescent="0.3">
      <c r="B175" t="s">
        <v>3726</v>
      </c>
      <c r="C175" t="s">
        <v>1796</v>
      </c>
      <c r="D175" t="s">
        <v>506</v>
      </c>
      <c r="E175" t="s">
        <v>3410</v>
      </c>
      <c r="F175" t="s">
        <v>3397</v>
      </c>
      <c r="G175" t="s">
        <v>3727</v>
      </c>
    </row>
    <row r="176" spans="2:7" x14ac:dyDescent="0.3">
      <c r="B176" t="s">
        <v>3728</v>
      </c>
      <c r="C176" t="s">
        <v>1796</v>
      </c>
      <c r="D176" t="s">
        <v>506</v>
      </c>
      <c r="E176" t="s">
        <v>3410</v>
      </c>
      <c r="F176" t="s">
        <v>3383</v>
      </c>
      <c r="G176" t="s">
        <v>3729</v>
      </c>
    </row>
    <row r="177" spans="2:7" x14ac:dyDescent="0.3">
      <c r="B177" t="s">
        <v>3730</v>
      </c>
      <c r="C177" t="s">
        <v>1796</v>
      </c>
      <c r="D177" t="s">
        <v>506</v>
      </c>
      <c r="E177" t="s">
        <v>3410</v>
      </c>
      <c r="F177" t="s">
        <v>3380</v>
      </c>
      <c r="G177" t="s">
        <v>3731</v>
      </c>
    </row>
    <row r="178" spans="2:7" x14ac:dyDescent="0.3">
      <c r="B178" t="s">
        <v>3732</v>
      </c>
      <c r="C178" t="s">
        <v>1796</v>
      </c>
      <c r="D178" t="s">
        <v>506</v>
      </c>
      <c r="E178" t="s">
        <v>3410</v>
      </c>
      <c r="F178" t="s">
        <v>3397</v>
      </c>
      <c r="G178" t="s">
        <v>3733</v>
      </c>
    </row>
    <row r="179" spans="2:7" x14ac:dyDescent="0.3">
      <c r="B179" t="s">
        <v>3734</v>
      </c>
      <c r="C179" t="s">
        <v>1796</v>
      </c>
      <c r="D179" t="s">
        <v>506</v>
      </c>
      <c r="E179" t="s">
        <v>3410</v>
      </c>
      <c r="F179" t="s">
        <v>3380</v>
      </c>
      <c r="G179" t="s">
        <v>3735</v>
      </c>
    </row>
    <row r="180" spans="2:7" x14ac:dyDescent="0.3">
      <c r="B180" t="s">
        <v>3736</v>
      </c>
      <c r="C180" t="s">
        <v>1796</v>
      </c>
      <c r="D180" t="s">
        <v>506</v>
      </c>
      <c r="E180" t="s">
        <v>3410</v>
      </c>
      <c r="F180" t="s">
        <v>3383</v>
      </c>
      <c r="G180" t="s">
        <v>3737</v>
      </c>
    </row>
    <row r="181" spans="2:7" x14ac:dyDescent="0.3">
      <c r="B181" t="s">
        <v>3738</v>
      </c>
      <c r="C181" t="s">
        <v>1796</v>
      </c>
      <c r="D181" t="s">
        <v>506</v>
      </c>
      <c r="E181" t="s">
        <v>3410</v>
      </c>
      <c r="F181" t="s">
        <v>3397</v>
      </c>
      <c r="G181" t="s">
        <v>3739</v>
      </c>
    </row>
    <row r="182" spans="2:7" x14ac:dyDescent="0.3">
      <c r="B182" t="s">
        <v>3740</v>
      </c>
      <c r="C182" t="s">
        <v>1796</v>
      </c>
      <c r="D182" t="s">
        <v>506</v>
      </c>
      <c r="E182" t="s">
        <v>3410</v>
      </c>
      <c r="F182" t="s">
        <v>3397</v>
      </c>
      <c r="G182" t="s">
        <v>3741</v>
      </c>
    </row>
    <row r="183" spans="2:7" x14ac:dyDescent="0.3">
      <c r="B183" t="s">
        <v>3742</v>
      </c>
      <c r="C183" t="s">
        <v>1796</v>
      </c>
      <c r="D183" t="s">
        <v>506</v>
      </c>
      <c r="E183" t="s">
        <v>3410</v>
      </c>
      <c r="F183" t="s">
        <v>3397</v>
      </c>
      <c r="G183" t="s">
        <v>3743</v>
      </c>
    </row>
    <row r="184" spans="2:7" x14ac:dyDescent="0.3">
      <c r="B184" t="s">
        <v>3744</v>
      </c>
      <c r="C184" t="s">
        <v>1796</v>
      </c>
      <c r="D184" t="s">
        <v>506</v>
      </c>
      <c r="E184" t="s">
        <v>3410</v>
      </c>
      <c r="F184" t="s">
        <v>3380</v>
      </c>
      <c r="G184" t="s">
        <v>3745</v>
      </c>
    </row>
    <row r="185" spans="2:7" x14ac:dyDescent="0.3">
      <c r="B185" t="s">
        <v>3746</v>
      </c>
      <c r="C185" t="s">
        <v>1796</v>
      </c>
      <c r="D185" t="s">
        <v>506</v>
      </c>
      <c r="E185" t="s">
        <v>3410</v>
      </c>
      <c r="F185" t="s">
        <v>3397</v>
      </c>
      <c r="G185" t="s">
        <v>3747</v>
      </c>
    </row>
    <row r="186" spans="2:7" x14ac:dyDescent="0.3">
      <c r="B186" t="s">
        <v>3748</v>
      </c>
      <c r="C186" t="s">
        <v>1796</v>
      </c>
      <c r="D186" t="s">
        <v>506</v>
      </c>
      <c r="E186" t="s">
        <v>3379</v>
      </c>
      <c r="F186" t="s">
        <v>3388</v>
      </c>
      <c r="G186" t="s">
        <v>3749</v>
      </c>
    </row>
    <row r="187" spans="2:7" x14ac:dyDescent="0.3">
      <c r="B187" t="s">
        <v>3750</v>
      </c>
      <c r="C187" t="s">
        <v>1796</v>
      </c>
      <c r="D187" t="s">
        <v>506</v>
      </c>
      <c r="E187" t="s">
        <v>3379</v>
      </c>
      <c r="F187" t="s">
        <v>3388</v>
      </c>
      <c r="G187" t="s">
        <v>3751</v>
      </c>
    </row>
    <row r="188" spans="2:7" x14ac:dyDescent="0.3">
      <c r="B188" t="s">
        <v>3752</v>
      </c>
      <c r="C188" t="s">
        <v>1796</v>
      </c>
      <c r="D188" t="s">
        <v>506</v>
      </c>
      <c r="E188" t="s">
        <v>3410</v>
      </c>
      <c r="F188" t="s">
        <v>3380</v>
      </c>
      <c r="G188" t="s">
        <v>3753</v>
      </c>
    </row>
    <row r="189" spans="2:7" x14ac:dyDescent="0.3">
      <c r="B189" t="s">
        <v>3754</v>
      </c>
      <c r="C189" t="s">
        <v>1796</v>
      </c>
      <c r="D189" t="s">
        <v>506</v>
      </c>
      <c r="E189" t="s">
        <v>3410</v>
      </c>
      <c r="F189" t="s">
        <v>3397</v>
      </c>
      <c r="G189" t="s">
        <v>3755</v>
      </c>
    </row>
    <row r="190" spans="2:7" x14ac:dyDescent="0.3">
      <c r="B190" t="s">
        <v>3756</v>
      </c>
      <c r="C190" t="s">
        <v>1796</v>
      </c>
      <c r="D190" t="s">
        <v>506</v>
      </c>
      <c r="E190" t="s">
        <v>3410</v>
      </c>
      <c r="F190" t="s">
        <v>3397</v>
      </c>
      <c r="G190" t="s">
        <v>3757</v>
      </c>
    </row>
    <row r="191" spans="2:7" x14ac:dyDescent="0.3">
      <c r="B191" t="s">
        <v>3758</v>
      </c>
      <c r="C191" t="s">
        <v>1796</v>
      </c>
      <c r="D191" t="s">
        <v>506</v>
      </c>
      <c r="E191" t="s">
        <v>3410</v>
      </c>
      <c r="F191" t="s">
        <v>3397</v>
      </c>
      <c r="G191" t="s">
        <v>3759</v>
      </c>
    </row>
    <row r="192" spans="2:7" x14ac:dyDescent="0.3">
      <c r="B192" t="s">
        <v>3760</v>
      </c>
      <c r="C192" t="s">
        <v>1796</v>
      </c>
      <c r="D192" t="s">
        <v>506</v>
      </c>
      <c r="E192" t="s">
        <v>3410</v>
      </c>
      <c r="F192" t="s">
        <v>3397</v>
      </c>
      <c r="G192" t="s">
        <v>3761</v>
      </c>
    </row>
    <row r="193" spans="2:7" x14ac:dyDescent="0.3">
      <c r="B193" t="s">
        <v>3762</v>
      </c>
      <c r="C193" t="s">
        <v>1796</v>
      </c>
      <c r="D193" t="s">
        <v>506</v>
      </c>
      <c r="E193" t="s">
        <v>3379</v>
      </c>
      <c r="F193" t="s">
        <v>3388</v>
      </c>
      <c r="G193" t="s">
        <v>3763</v>
      </c>
    </row>
    <row r="194" spans="2:7" x14ac:dyDescent="0.3">
      <c r="B194" t="s">
        <v>3764</v>
      </c>
      <c r="C194" t="s">
        <v>1796</v>
      </c>
      <c r="D194" t="s">
        <v>506</v>
      </c>
      <c r="E194" t="s">
        <v>3379</v>
      </c>
      <c r="F194" t="s">
        <v>3388</v>
      </c>
      <c r="G194" t="s">
        <v>3765</v>
      </c>
    </row>
    <row r="195" spans="2:7" x14ac:dyDescent="0.3">
      <c r="B195" t="s">
        <v>3766</v>
      </c>
      <c r="C195" t="s">
        <v>1796</v>
      </c>
      <c r="D195" t="s">
        <v>506</v>
      </c>
      <c r="E195" t="s">
        <v>3410</v>
      </c>
      <c r="F195" t="s">
        <v>3397</v>
      </c>
      <c r="G195" t="s">
        <v>3767</v>
      </c>
    </row>
    <row r="196" spans="2:7" x14ac:dyDescent="0.3">
      <c r="B196" t="s">
        <v>3768</v>
      </c>
      <c r="C196" t="s">
        <v>1796</v>
      </c>
      <c r="D196" t="s">
        <v>506</v>
      </c>
      <c r="E196" t="s">
        <v>3379</v>
      </c>
      <c r="F196" t="s">
        <v>3397</v>
      </c>
      <c r="G196" t="s">
        <v>3769</v>
      </c>
    </row>
    <row r="197" spans="2:7" x14ac:dyDescent="0.3">
      <c r="B197" t="s">
        <v>3770</v>
      </c>
      <c r="C197" t="s">
        <v>1796</v>
      </c>
      <c r="D197" t="s">
        <v>506</v>
      </c>
      <c r="E197" t="s">
        <v>3410</v>
      </c>
      <c r="F197" t="s">
        <v>3397</v>
      </c>
      <c r="G197" t="s">
        <v>3771</v>
      </c>
    </row>
    <row r="198" spans="2:7" x14ac:dyDescent="0.3">
      <c r="B198" t="s">
        <v>3772</v>
      </c>
      <c r="C198" t="s">
        <v>1796</v>
      </c>
      <c r="D198" t="s">
        <v>506</v>
      </c>
      <c r="E198" t="s">
        <v>3410</v>
      </c>
      <c r="F198" t="s">
        <v>3397</v>
      </c>
      <c r="G198" t="s">
        <v>3773</v>
      </c>
    </row>
    <row r="199" spans="2:7" x14ac:dyDescent="0.3">
      <c r="B199" t="s">
        <v>3774</v>
      </c>
      <c r="C199" t="s">
        <v>1796</v>
      </c>
      <c r="D199" t="s">
        <v>506</v>
      </c>
      <c r="E199" t="s">
        <v>3379</v>
      </c>
      <c r="F199" t="s">
        <v>3397</v>
      </c>
      <c r="G199" t="s">
        <v>3775</v>
      </c>
    </row>
    <row r="200" spans="2:7" x14ac:dyDescent="0.3">
      <c r="B200" t="s">
        <v>3776</v>
      </c>
      <c r="C200" t="s">
        <v>1796</v>
      </c>
      <c r="D200" t="s">
        <v>506</v>
      </c>
      <c r="E200" t="s">
        <v>3410</v>
      </c>
      <c r="F200" t="s">
        <v>3383</v>
      </c>
      <c r="G200" t="s">
        <v>3777</v>
      </c>
    </row>
    <row r="201" spans="2:7" x14ac:dyDescent="0.3">
      <c r="B201" t="s">
        <v>3778</v>
      </c>
      <c r="C201" t="s">
        <v>1796</v>
      </c>
      <c r="D201" t="s">
        <v>506</v>
      </c>
      <c r="E201" t="s">
        <v>3379</v>
      </c>
      <c r="F201" t="s">
        <v>3397</v>
      </c>
      <c r="G201" t="s">
        <v>3779</v>
      </c>
    </row>
    <row r="202" spans="2:7" x14ac:dyDescent="0.3">
      <c r="B202" t="s">
        <v>3780</v>
      </c>
      <c r="C202" t="s">
        <v>1796</v>
      </c>
      <c r="D202" t="s">
        <v>506</v>
      </c>
      <c r="E202" t="s">
        <v>3410</v>
      </c>
      <c r="F202" t="s">
        <v>3397</v>
      </c>
      <c r="G202" t="s">
        <v>3781</v>
      </c>
    </row>
    <row r="203" spans="2:7" x14ac:dyDescent="0.3">
      <c r="B203" t="s">
        <v>3782</v>
      </c>
      <c r="C203" t="s">
        <v>1796</v>
      </c>
      <c r="D203" t="s">
        <v>506</v>
      </c>
      <c r="E203" t="s">
        <v>3410</v>
      </c>
      <c r="F203" t="s">
        <v>3397</v>
      </c>
      <c r="G203" t="s">
        <v>3783</v>
      </c>
    </row>
    <row r="204" spans="2:7" x14ac:dyDescent="0.3">
      <c r="B204" t="s">
        <v>3784</v>
      </c>
      <c r="C204" t="s">
        <v>1796</v>
      </c>
      <c r="D204" t="s">
        <v>506</v>
      </c>
      <c r="E204" t="s">
        <v>3410</v>
      </c>
      <c r="F204" t="s">
        <v>3380</v>
      </c>
      <c r="G204" t="s">
        <v>3785</v>
      </c>
    </row>
    <row r="205" spans="2:7" x14ac:dyDescent="0.3">
      <c r="B205" t="s">
        <v>3786</v>
      </c>
      <c r="C205" t="s">
        <v>1796</v>
      </c>
      <c r="D205" t="s">
        <v>506</v>
      </c>
      <c r="E205" t="s">
        <v>3410</v>
      </c>
      <c r="F205" t="s">
        <v>3380</v>
      </c>
      <c r="G205" t="s">
        <v>3787</v>
      </c>
    </row>
    <row r="206" spans="2:7" x14ac:dyDescent="0.3">
      <c r="B206" t="s">
        <v>3788</v>
      </c>
      <c r="C206" t="s">
        <v>1796</v>
      </c>
      <c r="D206" t="s">
        <v>506</v>
      </c>
      <c r="E206" t="s">
        <v>3379</v>
      </c>
      <c r="F206" t="s">
        <v>3397</v>
      </c>
      <c r="G206" t="s">
        <v>3789</v>
      </c>
    </row>
    <row r="207" spans="2:7" x14ac:dyDescent="0.3">
      <c r="B207" t="s">
        <v>3790</v>
      </c>
      <c r="C207" t="s">
        <v>1796</v>
      </c>
      <c r="D207" t="s">
        <v>506</v>
      </c>
      <c r="E207" t="s">
        <v>3410</v>
      </c>
      <c r="F207" t="s">
        <v>3380</v>
      </c>
      <c r="G207" t="s">
        <v>3791</v>
      </c>
    </row>
    <row r="208" spans="2:7" x14ac:dyDescent="0.3">
      <c r="B208" t="s">
        <v>3792</v>
      </c>
      <c r="C208" t="s">
        <v>1796</v>
      </c>
      <c r="D208" t="s">
        <v>506</v>
      </c>
      <c r="E208" t="s">
        <v>3410</v>
      </c>
      <c r="F208" t="s">
        <v>3383</v>
      </c>
      <c r="G208" t="s">
        <v>3793</v>
      </c>
    </row>
    <row r="209" spans="2:7" x14ac:dyDescent="0.3">
      <c r="B209" t="s">
        <v>3794</v>
      </c>
      <c r="C209" t="s">
        <v>1796</v>
      </c>
      <c r="D209" t="s">
        <v>506</v>
      </c>
      <c r="E209" t="s">
        <v>3410</v>
      </c>
      <c r="F209" t="s">
        <v>3383</v>
      </c>
      <c r="G209" t="s">
        <v>3795</v>
      </c>
    </row>
    <row r="210" spans="2:7" x14ac:dyDescent="0.3">
      <c r="B210" t="s">
        <v>3796</v>
      </c>
      <c r="C210" t="s">
        <v>1796</v>
      </c>
      <c r="D210" t="s">
        <v>506</v>
      </c>
      <c r="E210" t="s">
        <v>3410</v>
      </c>
      <c r="F210" t="s">
        <v>3383</v>
      </c>
      <c r="G210" t="s">
        <v>3797</v>
      </c>
    </row>
    <row r="211" spans="2:7" x14ac:dyDescent="0.3">
      <c r="B211" t="s">
        <v>3798</v>
      </c>
      <c r="C211" t="s">
        <v>1796</v>
      </c>
      <c r="D211" t="s">
        <v>506</v>
      </c>
      <c r="E211" t="s">
        <v>3410</v>
      </c>
      <c r="F211" t="s">
        <v>3383</v>
      </c>
      <c r="G211" t="s">
        <v>3799</v>
      </c>
    </row>
    <row r="212" spans="2:7" x14ac:dyDescent="0.3">
      <c r="B212" t="s">
        <v>3800</v>
      </c>
      <c r="C212" t="s">
        <v>1796</v>
      </c>
      <c r="D212" t="s">
        <v>506</v>
      </c>
      <c r="E212" t="s">
        <v>3410</v>
      </c>
      <c r="F212" t="s">
        <v>3397</v>
      </c>
      <c r="G212" t="s">
        <v>3801</v>
      </c>
    </row>
    <row r="213" spans="2:7" x14ac:dyDescent="0.3">
      <c r="B213" t="s">
        <v>3802</v>
      </c>
      <c r="C213" t="s">
        <v>1796</v>
      </c>
      <c r="D213" t="s">
        <v>506</v>
      </c>
      <c r="E213" t="s">
        <v>3410</v>
      </c>
      <c r="F213" t="s">
        <v>3388</v>
      </c>
      <c r="G213" t="s">
        <v>3803</v>
      </c>
    </row>
    <row r="214" spans="2:7" x14ac:dyDescent="0.3">
      <c r="B214" t="s">
        <v>3804</v>
      </c>
      <c r="C214" t="s">
        <v>1796</v>
      </c>
      <c r="D214" t="s">
        <v>506</v>
      </c>
      <c r="E214" t="s">
        <v>3379</v>
      </c>
      <c r="F214" t="s">
        <v>3388</v>
      </c>
      <c r="G214" t="s">
        <v>3805</v>
      </c>
    </row>
    <row r="215" spans="2:7" x14ac:dyDescent="0.3">
      <c r="B215" t="s">
        <v>3806</v>
      </c>
      <c r="C215" t="s">
        <v>1796</v>
      </c>
      <c r="D215" t="s">
        <v>506</v>
      </c>
      <c r="E215" t="s">
        <v>3379</v>
      </c>
      <c r="F215" t="s">
        <v>3397</v>
      </c>
      <c r="G215" t="s">
        <v>3807</v>
      </c>
    </row>
    <row r="216" spans="2:7" x14ac:dyDescent="0.3">
      <c r="B216" t="s">
        <v>3808</v>
      </c>
      <c r="C216" t="s">
        <v>1796</v>
      </c>
      <c r="D216" t="s">
        <v>506</v>
      </c>
      <c r="E216" t="s">
        <v>3410</v>
      </c>
      <c r="F216" t="s">
        <v>3388</v>
      </c>
      <c r="G216" t="s">
        <v>3809</v>
      </c>
    </row>
    <row r="217" spans="2:7" x14ac:dyDescent="0.3">
      <c r="B217" t="s">
        <v>3810</v>
      </c>
      <c r="C217" t="s">
        <v>1796</v>
      </c>
      <c r="D217" t="s">
        <v>506</v>
      </c>
      <c r="E217" t="s">
        <v>3410</v>
      </c>
      <c r="F217" t="s">
        <v>3388</v>
      </c>
      <c r="G217" t="s">
        <v>3811</v>
      </c>
    </row>
    <row r="218" spans="2:7" x14ac:dyDescent="0.3">
      <c r="B218" t="s">
        <v>3812</v>
      </c>
      <c r="C218" t="s">
        <v>1796</v>
      </c>
      <c r="D218" t="s">
        <v>506</v>
      </c>
      <c r="E218" t="s">
        <v>3410</v>
      </c>
      <c r="F218" t="s">
        <v>3388</v>
      </c>
      <c r="G218" t="s">
        <v>3813</v>
      </c>
    </row>
    <row r="219" spans="2:7" x14ac:dyDescent="0.3">
      <c r="B219" t="s">
        <v>3814</v>
      </c>
      <c r="C219" t="s">
        <v>1796</v>
      </c>
      <c r="D219" t="s">
        <v>506</v>
      </c>
      <c r="E219" t="s">
        <v>3410</v>
      </c>
      <c r="F219" t="s">
        <v>3388</v>
      </c>
      <c r="G219" t="s">
        <v>3815</v>
      </c>
    </row>
    <row r="220" spans="2:7" x14ac:dyDescent="0.3">
      <c r="B220" t="s">
        <v>3816</v>
      </c>
      <c r="C220" t="s">
        <v>1796</v>
      </c>
      <c r="D220" t="s">
        <v>506</v>
      </c>
      <c r="E220" t="s">
        <v>3410</v>
      </c>
      <c r="F220" t="s">
        <v>3383</v>
      </c>
      <c r="G220" t="s">
        <v>3817</v>
      </c>
    </row>
    <row r="221" spans="2:7" x14ac:dyDescent="0.3">
      <c r="B221" t="s">
        <v>3818</v>
      </c>
      <c r="C221" t="s">
        <v>1796</v>
      </c>
      <c r="D221" t="s">
        <v>506</v>
      </c>
      <c r="E221" t="s">
        <v>3379</v>
      </c>
      <c r="F221" t="s">
        <v>3388</v>
      </c>
      <c r="G221" t="s">
        <v>3819</v>
      </c>
    </row>
    <row r="222" spans="2:7" x14ac:dyDescent="0.3">
      <c r="B222" t="s">
        <v>3820</v>
      </c>
      <c r="C222" t="s">
        <v>1796</v>
      </c>
      <c r="D222" t="s">
        <v>506</v>
      </c>
      <c r="E222" t="s">
        <v>3379</v>
      </c>
      <c r="F222" t="s">
        <v>3388</v>
      </c>
      <c r="G222" t="s">
        <v>3821</v>
      </c>
    </row>
    <row r="223" spans="2:7" x14ac:dyDescent="0.3">
      <c r="B223" t="s">
        <v>3822</v>
      </c>
      <c r="C223" t="s">
        <v>1796</v>
      </c>
      <c r="D223" t="s">
        <v>506</v>
      </c>
      <c r="E223" t="s">
        <v>3379</v>
      </c>
      <c r="F223" t="s">
        <v>3388</v>
      </c>
      <c r="G223" t="s">
        <v>3823</v>
      </c>
    </row>
    <row r="224" spans="2:7" x14ac:dyDescent="0.3">
      <c r="B224" t="s">
        <v>3824</v>
      </c>
      <c r="C224" t="s">
        <v>1796</v>
      </c>
      <c r="D224" t="s">
        <v>506</v>
      </c>
      <c r="E224" t="s">
        <v>3379</v>
      </c>
      <c r="F224" t="s">
        <v>3388</v>
      </c>
      <c r="G224" t="s">
        <v>3825</v>
      </c>
    </row>
    <row r="225" spans="2:7" x14ac:dyDescent="0.3">
      <c r="B225" t="s">
        <v>3826</v>
      </c>
      <c r="C225" t="s">
        <v>1796</v>
      </c>
      <c r="D225" t="s">
        <v>506</v>
      </c>
      <c r="E225" t="s">
        <v>3379</v>
      </c>
      <c r="F225" t="s">
        <v>3388</v>
      </c>
      <c r="G225" t="s">
        <v>3827</v>
      </c>
    </row>
    <row r="226" spans="2:7" x14ac:dyDescent="0.3">
      <c r="B226" t="s">
        <v>3828</v>
      </c>
      <c r="C226" t="s">
        <v>1796</v>
      </c>
      <c r="D226" t="s">
        <v>506</v>
      </c>
      <c r="E226" t="s">
        <v>3410</v>
      </c>
      <c r="F226" t="s">
        <v>3383</v>
      </c>
      <c r="G226" t="s">
        <v>3829</v>
      </c>
    </row>
    <row r="227" spans="2:7" x14ac:dyDescent="0.3">
      <c r="B227" t="s">
        <v>3830</v>
      </c>
      <c r="C227" t="s">
        <v>1796</v>
      </c>
      <c r="D227" t="s">
        <v>506</v>
      </c>
      <c r="E227" t="s">
        <v>3379</v>
      </c>
      <c r="F227" t="s">
        <v>3388</v>
      </c>
      <c r="G227" t="s">
        <v>3831</v>
      </c>
    </row>
    <row r="228" spans="2:7" x14ac:dyDescent="0.3">
      <c r="B228" t="s">
        <v>3832</v>
      </c>
      <c r="C228" t="s">
        <v>1796</v>
      </c>
      <c r="D228" t="s">
        <v>506</v>
      </c>
      <c r="E228" t="s">
        <v>3410</v>
      </c>
      <c r="F228" t="s">
        <v>3388</v>
      </c>
      <c r="G228" t="s">
        <v>3833</v>
      </c>
    </row>
    <row r="229" spans="2:7" x14ac:dyDescent="0.3">
      <c r="B229" t="s">
        <v>3834</v>
      </c>
      <c r="C229" t="s">
        <v>1796</v>
      </c>
      <c r="D229" t="s">
        <v>506</v>
      </c>
      <c r="E229" t="s">
        <v>3410</v>
      </c>
      <c r="F229" t="s">
        <v>3388</v>
      </c>
      <c r="G229" t="s">
        <v>3835</v>
      </c>
    </row>
    <row r="230" spans="2:7" x14ac:dyDescent="0.3">
      <c r="B230" t="s">
        <v>3836</v>
      </c>
      <c r="C230" t="s">
        <v>1796</v>
      </c>
      <c r="D230" t="s">
        <v>506</v>
      </c>
      <c r="E230" t="s">
        <v>3410</v>
      </c>
      <c r="F230" t="s">
        <v>3388</v>
      </c>
      <c r="G230" t="s">
        <v>3837</v>
      </c>
    </row>
    <row r="231" spans="2:7" x14ac:dyDescent="0.3">
      <c r="B231" t="s">
        <v>3838</v>
      </c>
      <c r="C231" t="s">
        <v>1796</v>
      </c>
      <c r="D231" t="s">
        <v>506</v>
      </c>
      <c r="E231" t="s">
        <v>3410</v>
      </c>
      <c r="F231" t="s">
        <v>3380</v>
      </c>
      <c r="G231" t="s">
        <v>3839</v>
      </c>
    </row>
    <row r="232" spans="2:7" x14ac:dyDescent="0.3">
      <c r="B232" t="s">
        <v>3840</v>
      </c>
      <c r="C232" t="s">
        <v>1796</v>
      </c>
      <c r="D232" t="s">
        <v>506</v>
      </c>
      <c r="E232" t="s">
        <v>3410</v>
      </c>
      <c r="F232" t="s">
        <v>3383</v>
      </c>
      <c r="G232" t="s">
        <v>3841</v>
      </c>
    </row>
    <row r="233" spans="2:7" x14ac:dyDescent="0.3">
      <c r="B233" t="s">
        <v>3842</v>
      </c>
      <c r="C233" t="s">
        <v>1796</v>
      </c>
      <c r="D233" t="s">
        <v>506</v>
      </c>
      <c r="E233" t="s">
        <v>3410</v>
      </c>
      <c r="F233" t="s">
        <v>3380</v>
      </c>
      <c r="G233" t="s">
        <v>3843</v>
      </c>
    </row>
    <row r="234" spans="2:7" x14ac:dyDescent="0.3">
      <c r="B234" t="s">
        <v>3844</v>
      </c>
      <c r="C234" t="s">
        <v>1796</v>
      </c>
      <c r="D234" t="s">
        <v>506</v>
      </c>
      <c r="E234" t="s">
        <v>3410</v>
      </c>
      <c r="F234" t="s">
        <v>3380</v>
      </c>
      <c r="G234" t="s">
        <v>3845</v>
      </c>
    </row>
    <row r="235" spans="2:7" x14ac:dyDescent="0.3">
      <c r="B235" t="s">
        <v>3846</v>
      </c>
      <c r="C235" t="s">
        <v>1796</v>
      </c>
      <c r="D235" t="s">
        <v>506</v>
      </c>
      <c r="E235" t="s">
        <v>3410</v>
      </c>
      <c r="F235" t="s">
        <v>3380</v>
      </c>
      <c r="G235" t="s">
        <v>3847</v>
      </c>
    </row>
    <row r="236" spans="2:7" x14ac:dyDescent="0.3">
      <c r="B236" t="s">
        <v>3848</v>
      </c>
      <c r="C236" t="s">
        <v>1796</v>
      </c>
      <c r="D236" t="s">
        <v>506</v>
      </c>
      <c r="E236" t="s">
        <v>3410</v>
      </c>
      <c r="F236" t="s">
        <v>3388</v>
      </c>
      <c r="G236" t="s">
        <v>3849</v>
      </c>
    </row>
    <row r="237" spans="2:7" x14ac:dyDescent="0.3">
      <c r="B237" t="s">
        <v>3850</v>
      </c>
      <c r="C237" t="s">
        <v>1796</v>
      </c>
      <c r="D237" t="s">
        <v>506</v>
      </c>
      <c r="E237" t="s">
        <v>3410</v>
      </c>
      <c r="F237" t="s">
        <v>3388</v>
      </c>
      <c r="G237" t="s">
        <v>3851</v>
      </c>
    </row>
    <row r="238" spans="2:7" x14ac:dyDescent="0.3">
      <c r="B238" t="s">
        <v>3852</v>
      </c>
      <c r="C238" t="s">
        <v>1796</v>
      </c>
      <c r="D238" t="s">
        <v>506</v>
      </c>
      <c r="E238" t="s">
        <v>3379</v>
      </c>
      <c r="F238" t="s">
        <v>3383</v>
      </c>
      <c r="G238" t="s">
        <v>3853</v>
      </c>
    </row>
    <row r="239" spans="2:7" x14ac:dyDescent="0.3">
      <c r="B239" t="s">
        <v>3854</v>
      </c>
      <c r="C239" t="s">
        <v>1796</v>
      </c>
      <c r="D239" t="s">
        <v>506</v>
      </c>
      <c r="E239" t="s">
        <v>3410</v>
      </c>
      <c r="F239" t="s">
        <v>3388</v>
      </c>
      <c r="G239" t="s">
        <v>3855</v>
      </c>
    </row>
    <row r="240" spans="2:7" x14ac:dyDescent="0.3">
      <c r="B240" t="s">
        <v>3856</v>
      </c>
      <c r="C240" t="s">
        <v>1796</v>
      </c>
      <c r="D240" t="s">
        <v>506</v>
      </c>
      <c r="E240" t="s">
        <v>3410</v>
      </c>
      <c r="F240" t="s">
        <v>3388</v>
      </c>
      <c r="G240" t="s">
        <v>3857</v>
      </c>
    </row>
    <row r="241" spans="2:7" x14ac:dyDescent="0.3">
      <c r="B241" t="s">
        <v>3858</v>
      </c>
      <c r="C241" t="s">
        <v>1796</v>
      </c>
      <c r="D241" t="s">
        <v>506</v>
      </c>
      <c r="E241" t="s">
        <v>3410</v>
      </c>
      <c r="F241" t="s">
        <v>3388</v>
      </c>
      <c r="G241" t="s">
        <v>3859</v>
      </c>
    </row>
    <row r="242" spans="2:7" x14ac:dyDescent="0.3">
      <c r="B242" t="s">
        <v>3860</v>
      </c>
      <c r="C242" t="s">
        <v>1796</v>
      </c>
      <c r="D242" t="s">
        <v>506</v>
      </c>
      <c r="E242" t="s">
        <v>3379</v>
      </c>
      <c r="F242" t="s">
        <v>3388</v>
      </c>
      <c r="G242" t="s">
        <v>3861</v>
      </c>
    </row>
    <row r="243" spans="2:7" x14ac:dyDescent="0.3">
      <c r="B243" t="s">
        <v>3862</v>
      </c>
      <c r="C243" t="s">
        <v>1796</v>
      </c>
      <c r="D243" t="s">
        <v>506</v>
      </c>
      <c r="E243" t="s">
        <v>3410</v>
      </c>
      <c r="F243" t="s">
        <v>3388</v>
      </c>
      <c r="G243" t="s">
        <v>3863</v>
      </c>
    </row>
    <row r="244" spans="2:7" x14ac:dyDescent="0.3">
      <c r="B244" t="s">
        <v>3864</v>
      </c>
      <c r="C244" t="s">
        <v>1796</v>
      </c>
      <c r="D244" t="s">
        <v>506</v>
      </c>
      <c r="E244" t="s">
        <v>3379</v>
      </c>
      <c r="F244" t="s">
        <v>3388</v>
      </c>
      <c r="G244" t="s">
        <v>3865</v>
      </c>
    </row>
    <row r="245" spans="2:7" x14ac:dyDescent="0.3">
      <c r="B245" t="s">
        <v>3866</v>
      </c>
      <c r="C245" t="s">
        <v>1796</v>
      </c>
      <c r="D245" t="s">
        <v>506</v>
      </c>
      <c r="E245" t="s">
        <v>3379</v>
      </c>
      <c r="F245" t="s">
        <v>3388</v>
      </c>
      <c r="G245" t="s">
        <v>3867</v>
      </c>
    </row>
    <row r="246" spans="2:7" x14ac:dyDescent="0.3">
      <c r="B246" t="s">
        <v>3868</v>
      </c>
      <c r="C246" t="s">
        <v>1796</v>
      </c>
      <c r="D246" t="s">
        <v>506</v>
      </c>
      <c r="E246" t="s">
        <v>3379</v>
      </c>
      <c r="F246" t="s">
        <v>3388</v>
      </c>
      <c r="G246" t="s">
        <v>3869</v>
      </c>
    </row>
    <row r="247" spans="2:7" x14ac:dyDescent="0.3">
      <c r="B247" t="s">
        <v>3870</v>
      </c>
      <c r="C247" t="s">
        <v>1796</v>
      </c>
      <c r="D247" t="s">
        <v>506</v>
      </c>
      <c r="E247" t="s">
        <v>3379</v>
      </c>
      <c r="F247" t="s">
        <v>3388</v>
      </c>
      <c r="G247" t="s">
        <v>3871</v>
      </c>
    </row>
    <row r="248" spans="2:7" x14ac:dyDescent="0.3">
      <c r="B248" t="s">
        <v>3872</v>
      </c>
      <c r="C248" t="s">
        <v>1796</v>
      </c>
      <c r="D248" t="s">
        <v>506</v>
      </c>
      <c r="E248" t="s">
        <v>3379</v>
      </c>
      <c r="F248" t="s">
        <v>3388</v>
      </c>
      <c r="G248" t="s">
        <v>3873</v>
      </c>
    </row>
    <row r="249" spans="2:7" x14ac:dyDescent="0.3">
      <c r="B249" t="s">
        <v>3874</v>
      </c>
      <c r="C249" t="s">
        <v>1796</v>
      </c>
      <c r="D249" t="s">
        <v>506</v>
      </c>
      <c r="E249" t="s">
        <v>3379</v>
      </c>
      <c r="F249" t="s">
        <v>3388</v>
      </c>
      <c r="G249" t="s">
        <v>3875</v>
      </c>
    </row>
    <row r="250" spans="2:7" x14ac:dyDescent="0.3">
      <c r="B250" t="s">
        <v>3876</v>
      </c>
      <c r="C250" t="s">
        <v>1796</v>
      </c>
      <c r="D250" t="s">
        <v>506</v>
      </c>
      <c r="E250" t="s">
        <v>3379</v>
      </c>
      <c r="F250" t="s">
        <v>3388</v>
      </c>
      <c r="G250" t="s">
        <v>3877</v>
      </c>
    </row>
    <row r="251" spans="2:7" x14ac:dyDescent="0.3">
      <c r="B251" t="s">
        <v>3878</v>
      </c>
      <c r="C251" t="s">
        <v>1796</v>
      </c>
      <c r="D251" t="s">
        <v>506</v>
      </c>
      <c r="E251" t="s">
        <v>3379</v>
      </c>
      <c r="F251" t="s">
        <v>3380</v>
      </c>
      <c r="G251" t="s">
        <v>3879</v>
      </c>
    </row>
    <row r="252" spans="2:7" x14ac:dyDescent="0.3">
      <c r="B252" t="s">
        <v>3880</v>
      </c>
      <c r="C252" t="s">
        <v>1796</v>
      </c>
      <c r="D252" t="s">
        <v>506</v>
      </c>
      <c r="E252" t="s">
        <v>3379</v>
      </c>
      <c r="F252" t="s">
        <v>3380</v>
      </c>
      <c r="G252" t="s">
        <v>3881</v>
      </c>
    </row>
    <row r="253" spans="2:7" x14ac:dyDescent="0.3">
      <c r="B253" t="s">
        <v>3882</v>
      </c>
      <c r="C253" t="s">
        <v>1796</v>
      </c>
      <c r="D253" t="s">
        <v>506</v>
      </c>
      <c r="E253" t="s">
        <v>3379</v>
      </c>
      <c r="F253" t="s">
        <v>3397</v>
      </c>
      <c r="G253" t="s">
        <v>3883</v>
      </c>
    </row>
    <row r="254" spans="2:7" x14ac:dyDescent="0.3">
      <c r="B254" t="s">
        <v>3884</v>
      </c>
      <c r="C254" t="s">
        <v>1796</v>
      </c>
      <c r="D254" t="s">
        <v>506</v>
      </c>
      <c r="E254" t="s">
        <v>3379</v>
      </c>
      <c r="F254" t="s">
        <v>3397</v>
      </c>
      <c r="G254" t="s">
        <v>3885</v>
      </c>
    </row>
    <row r="255" spans="2:7" x14ac:dyDescent="0.3">
      <c r="B255" t="s">
        <v>3886</v>
      </c>
      <c r="C255" t="s">
        <v>1796</v>
      </c>
      <c r="D255" t="s">
        <v>506</v>
      </c>
      <c r="E255" t="s">
        <v>3410</v>
      </c>
      <c r="F255" t="s">
        <v>3397</v>
      </c>
      <c r="G255" t="s">
        <v>3887</v>
      </c>
    </row>
    <row r="256" spans="2:7" x14ac:dyDescent="0.3">
      <c r="B256" t="s">
        <v>3888</v>
      </c>
      <c r="C256" t="s">
        <v>1796</v>
      </c>
      <c r="D256" t="s">
        <v>506</v>
      </c>
      <c r="E256" t="s">
        <v>3379</v>
      </c>
      <c r="F256" t="s">
        <v>3397</v>
      </c>
      <c r="G256" t="s">
        <v>3889</v>
      </c>
    </row>
    <row r="257" spans="2:7" x14ac:dyDescent="0.3">
      <c r="B257" t="s">
        <v>3890</v>
      </c>
      <c r="C257" t="s">
        <v>1796</v>
      </c>
      <c r="D257" t="s">
        <v>506</v>
      </c>
      <c r="E257" t="s">
        <v>3379</v>
      </c>
      <c r="F257" t="s">
        <v>3388</v>
      </c>
      <c r="G257" t="s">
        <v>3891</v>
      </c>
    </row>
    <row r="258" spans="2:7" x14ac:dyDescent="0.3">
      <c r="B258" t="s">
        <v>3892</v>
      </c>
      <c r="C258" t="s">
        <v>1796</v>
      </c>
      <c r="D258" t="s">
        <v>506</v>
      </c>
      <c r="E258" t="s">
        <v>3379</v>
      </c>
      <c r="F258" t="s">
        <v>3397</v>
      </c>
      <c r="G258" t="s">
        <v>3893</v>
      </c>
    </row>
    <row r="259" spans="2:7" x14ac:dyDescent="0.3">
      <c r="B259" t="s">
        <v>3894</v>
      </c>
      <c r="C259" t="s">
        <v>1796</v>
      </c>
      <c r="D259" t="s">
        <v>506</v>
      </c>
      <c r="E259" t="s">
        <v>3379</v>
      </c>
      <c r="F259" t="s">
        <v>3380</v>
      </c>
      <c r="G259" t="s">
        <v>3895</v>
      </c>
    </row>
    <row r="260" spans="2:7" x14ac:dyDescent="0.3">
      <c r="B260" t="s">
        <v>3896</v>
      </c>
      <c r="C260" t="s">
        <v>1796</v>
      </c>
      <c r="D260" t="s">
        <v>506</v>
      </c>
      <c r="E260" t="s">
        <v>3379</v>
      </c>
      <c r="F260" t="s">
        <v>3380</v>
      </c>
      <c r="G260" t="s">
        <v>3897</v>
      </c>
    </row>
    <row r="261" spans="2:7" x14ac:dyDescent="0.3">
      <c r="B261" t="s">
        <v>3898</v>
      </c>
      <c r="C261" t="s">
        <v>1796</v>
      </c>
      <c r="D261" t="s">
        <v>506</v>
      </c>
      <c r="E261" t="s">
        <v>3410</v>
      </c>
      <c r="F261" t="s">
        <v>3388</v>
      </c>
      <c r="G261" t="s">
        <v>3899</v>
      </c>
    </row>
    <row r="262" spans="2:7" x14ac:dyDescent="0.3">
      <c r="B262" t="s">
        <v>3900</v>
      </c>
      <c r="C262" t="s">
        <v>1796</v>
      </c>
      <c r="D262" t="s">
        <v>506</v>
      </c>
      <c r="E262" t="s">
        <v>3410</v>
      </c>
      <c r="F262" t="s">
        <v>3388</v>
      </c>
      <c r="G262" t="s">
        <v>3901</v>
      </c>
    </row>
    <row r="263" spans="2:7" x14ac:dyDescent="0.3">
      <c r="B263" t="s">
        <v>3902</v>
      </c>
      <c r="C263" t="s">
        <v>1796</v>
      </c>
      <c r="D263" t="s">
        <v>506</v>
      </c>
      <c r="E263" t="s">
        <v>3410</v>
      </c>
      <c r="F263" t="s">
        <v>3383</v>
      </c>
      <c r="G263" t="s">
        <v>3903</v>
      </c>
    </row>
    <row r="264" spans="2:7" x14ac:dyDescent="0.3">
      <c r="B264" t="s">
        <v>3904</v>
      </c>
      <c r="C264" t="s">
        <v>1796</v>
      </c>
      <c r="D264" t="s">
        <v>506</v>
      </c>
      <c r="E264" t="s">
        <v>3410</v>
      </c>
      <c r="F264" t="s">
        <v>3383</v>
      </c>
      <c r="G264" t="s">
        <v>3905</v>
      </c>
    </row>
    <row r="265" spans="2:7" x14ac:dyDescent="0.3">
      <c r="B265" t="s">
        <v>3906</v>
      </c>
      <c r="C265" t="s">
        <v>1796</v>
      </c>
      <c r="D265" t="s">
        <v>506</v>
      </c>
      <c r="E265" t="s">
        <v>3410</v>
      </c>
      <c r="F265" t="s">
        <v>3383</v>
      </c>
      <c r="G265" t="s">
        <v>3907</v>
      </c>
    </row>
    <row r="266" spans="2:7" x14ac:dyDescent="0.3">
      <c r="B266" t="s">
        <v>3908</v>
      </c>
      <c r="C266" t="s">
        <v>1796</v>
      </c>
      <c r="D266" t="s">
        <v>506</v>
      </c>
      <c r="E266" t="s">
        <v>3410</v>
      </c>
      <c r="F266" t="s">
        <v>3383</v>
      </c>
      <c r="G266" t="s">
        <v>3909</v>
      </c>
    </row>
    <row r="267" spans="2:7" x14ac:dyDescent="0.3">
      <c r="B267" t="s">
        <v>3910</v>
      </c>
      <c r="C267" t="s">
        <v>1796</v>
      </c>
      <c r="D267" t="s">
        <v>506</v>
      </c>
      <c r="E267" t="s">
        <v>3410</v>
      </c>
      <c r="F267" t="s">
        <v>3383</v>
      </c>
      <c r="G267" t="s">
        <v>3911</v>
      </c>
    </row>
    <row r="268" spans="2:7" x14ac:dyDescent="0.3">
      <c r="B268" t="s">
        <v>3912</v>
      </c>
      <c r="C268" t="s">
        <v>1796</v>
      </c>
      <c r="D268" t="s">
        <v>506</v>
      </c>
      <c r="E268" t="s">
        <v>3410</v>
      </c>
      <c r="F268" t="s">
        <v>3383</v>
      </c>
      <c r="G268" t="s">
        <v>3913</v>
      </c>
    </row>
    <row r="269" spans="2:7" x14ac:dyDescent="0.3">
      <c r="B269" t="s">
        <v>3914</v>
      </c>
      <c r="C269" t="s">
        <v>1796</v>
      </c>
      <c r="D269" t="s">
        <v>506</v>
      </c>
      <c r="E269" t="s">
        <v>3410</v>
      </c>
      <c r="F269" t="s">
        <v>3383</v>
      </c>
      <c r="G269" t="s">
        <v>3915</v>
      </c>
    </row>
    <row r="270" spans="2:7" x14ac:dyDescent="0.3">
      <c r="B270" t="s">
        <v>3916</v>
      </c>
      <c r="C270" t="s">
        <v>1796</v>
      </c>
      <c r="D270" t="s">
        <v>506</v>
      </c>
      <c r="E270" t="s">
        <v>3410</v>
      </c>
      <c r="F270" t="s">
        <v>3383</v>
      </c>
      <c r="G270" t="s">
        <v>3917</v>
      </c>
    </row>
    <row r="271" spans="2:7" x14ac:dyDescent="0.3">
      <c r="B271" t="s">
        <v>3918</v>
      </c>
      <c r="C271" t="s">
        <v>1796</v>
      </c>
      <c r="D271" t="s">
        <v>506</v>
      </c>
      <c r="E271" t="s">
        <v>3410</v>
      </c>
      <c r="F271" t="s">
        <v>3383</v>
      </c>
      <c r="G271" t="s">
        <v>3919</v>
      </c>
    </row>
    <row r="272" spans="2:7" x14ac:dyDescent="0.3">
      <c r="B272" t="s">
        <v>3920</v>
      </c>
      <c r="C272" t="s">
        <v>1796</v>
      </c>
      <c r="D272" t="s">
        <v>506</v>
      </c>
      <c r="E272" t="s">
        <v>3410</v>
      </c>
      <c r="F272" t="s">
        <v>3383</v>
      </c>
      <c r="G272" t="s">
        <v>3921</v>
      </c>
    </row>
    <row r="273" spans="2:7" x14ac:dyDescent="0.3">
      <c r="B273" t="s">
        <v>3922</v>
      </c>
      <c r="C273" t="s">
        <v>1796</v>
      </c>
      <c r="D273" t="s">
        <v>506</v>
      </c>
      <c r="E273" t="s">
        <v>3410</v>
      </c>
      <c r="F273" t="s">
        <v>3383</v>
      </c>
      <c r="G273" t="s">
        <v>3923</v>
      </c>
    </row>
    <row r="274" spans="2:7" x14ac:dyDescent="0.3">
      <c r="B274" t="s">
        <v>3924</v>
      </c>
      <c r="C274" t="s">
        <v>1796</v>
      </c>
      <c r="D274" t="s">
        <v>506</v>
      </c>
      <c r="E274" t="s">
        <v>3410</v>
      </c>
      <c r="F274" t="s">
        <v>3383</v>
      </c>
      <c r="G274" t="s">
        <v>3925</v>
      </c>
    </row>
    <row r="275" spans="2:7" x14ac:dyDescent="0.3">
      <c r="B275" t="s">
        <v>3926</v>
      </c>
      <c r="C275" t="s">
        <v>1796</v>
      </c>
      <c r="D275" t="s">
        <v>506</v>
      </c>
      <c r="E275" t="s">
        <v>3410</v>
      </c>
      <c r="F275" t="s">
        <v>3383</v>
      </c>
      <c r="G275" t="s">
        <v>3927</v>
      </c>
    </row>
    <row r="276" spans="2:7" x14ac:dyDescent="0.3">
      <c r="B276" t="s">
        <v>3928</v>
      </c>
      <c r="C276" t="s">
        <v>1796</v>
      </c>
      <c r="D276" t="s">
        <v>506</v>
      </c>
      <c r="E276" t="s">
        <v>3410</v>
      </c>
      <c r="F276" t="s">
        <v>3383</v>
      </c>
      <c r="G276" t="s">
        <v>3929</v>
      </c>
    </row>
    <row r="277" spans="2:7" x14ac:dyDescent="0.3">
      <c r="B277" t="s">
        <v>3930</v>
      </c>
      <c r="C277" t="s">
        <v>1796</v>
      </c>
      <c r="D277" t="s">
        <v>506</v>
      </c>
      <c r="E277" t="s">
        <v>3410</v>
      </c>
      <c r="F277" t="s">
        <v>3383</v>
      </c>
      <c r="G277" t="s">
        <v>3931</v>
      </c>
    </row>
    <row r="278" spans="2:7" x14ac:dyDescent="0.3">
      <c r="B278" t="s">
        <v>3932</v>
      </c>
      <c r="C278" t="s">
        <v>1796</v>
      </c>
      <c r="D278" t="s">
        <v>506</v>
      </c>
      <c r="E278" t="s">
        <v>3379</v>
      </c>
      <c r="F278" t="s">
        <v>3383</v>
      </c>
      <c r="G278" t="s">
        <v>3933</v>
      </c>
    </row>
    <row r="279" spans="2:7" x14ac:dyDescent="0.3">
      <c r="B279" t="s">
        <v>3934</v>
      </c>
      <c r="C279" t="s">
        <v>1796</v>
      </c>
      <c r="D279" t="s">
        <v>506</v>
      </c>
      <c r="E279" t="s">
        <v>3379</v>
      </c>
      <c r="F279" t="s">
        <v>3383</v>
      </c>
      <c r="G279" t="s">
        <v>3935</v>
      </c>
    </row>
    <row r="280" spans="2:7" x14ac:dyDescent="0.3">
      <c r="B280" t="s">
        <v>3936</v>
      </c>
      <c r="C280" t="s">
        <v>1796</v>
      </c>
      <c r="D280" t="s">
        <v>506</v>
      </c>
      <c r="E280" t="s">
        <v>3379</v>
      </c>
      <c r="F280" t="s">
        <v>3383</v>
      </c>
      <c r="G280" t="s">
        <v>3937</v>
      </c>
    </row>
    <row r="281" spans="2:7" x14ac:dyDescent="0.3">
      <c r="B281" t="s">
        <v>3938</v>
      </c>
      <c r="C281" t="s">
        <v>1796</v>
      </c>
      <c r="D281" t="s">
        <v>506</v>
      </c>
      <c r="E281" t="s">
        <v>3410</v>
      </c>
      <c r="F281" t="s">
        <v>3397</v>
      </c>
      <c r="G281" t="s">
        <v>3939</v>
      </c>
    </row>
    <row r="282" spans="2:7" x14ac:dyDescent="0.3">
      <c r="B282" t="s">
        <v>3940</v>
      </c>
      <c r="C282" t="s">
        <v>1796</v>
      </c>
      <c r="D282" t="s">
        <v>506</v>
      </c>
      <c r="E282" t="s">
        <v>3379</v>
      </c>
      <c r="F282" t="s">
        <v>3397</v>
      </c>
      <c r="G282" t="s">
        <v>3941</v>
      </c>
    </row>
    <row r="283" spans="2:7" x14ac:dyDescent="0.3">
      <c r="B283" t="s">
        <v>3942</v>
      </c>
      <c r="C283" t="s">
        <v>1796</v>
      </c>
      <c r="D283" t="s">
        <v>506</v>
      </c>
      <c r="E283" t="s">
        <v>3379</v>
      </c>
      <c r="F283" t="s">
        <v>3380</v>
      </c>
      <c r="G283" t="s">
        <v>3943</v>
      </c>
    </row>
    <row r="284" spans="2:7" x14ac:dyDescent="0.3">
      <c r="B284" t="s">
        <v>3944</v>
      </c>
      <c r="C284" t="s">
        <v>1796</v>
      </c>
      <c r="D284" t="s">
        <v>506</v>
      </c>
      <c r="E284" t="s">
        <v>3410</v>
      </c>
      <c r="F284" t="s">
        <v>3380</v>
      </c>
      <c r="G284" t="s">
        <v>3945</v>
      </c>
    </row>
    <row r="285" spans="2:7" x14ac:dyDescent="0.3">
      <c r="B285" t="s">
        <v>3946</v>
      </c>
      <c r="C285" t="s">
        <v>1796</v>
      </c>
      <c r="D285" t="s">
        <v>506</v>
      </c>
      <c r="E285" t="s">
        <v>3410</v>
      </c>
      <c r="F285" t="s">
        <v>3380</v>
      </c>
      <c r="G285" t="s">
        <v>3947</v>
      </c>
    </row>
    <row r="286" spans="2:7" x14ac:dyDescent="0.3">
      <c r="B286" t="s">
        <v>3948</v>
      </c>
      <c r="C286" t="s">
        <v>1796</v>
      </c>
      <c r="D286" t="s">
        <v>506</v>
      </c>
      <c r="E286" t="s">
        <v>3379</v>
      </c>
      <c r="F286" t="s">
        <v>3383</v>
      </c>
      <c r="G286" t="s">
        <v>3949</v>
      </c>
    </row>
    <row r="287" spans="2:7" x14ac:dyDescent="0.3">
      <c r="B287" t="s">
        <v>3950</v>
      </c>
      <c r="C287" t="s">
        <v>1796</v>
      </c>
      <c r="D287" t="s">
        <v>506</v>
      </c>
      <c r="E287" t="s">
        <v>3410</v>
      </c>
      <c r="F287" t="s">
        <v>3397</v>
      </c>
      <c r="G287" t="s">
        <v>3951</v>
      </c>
    </row>
    <row r="288" spans="2:7" x14ac:dyDescent="0.3">
      <c r="B288" t="s">
        <v>3952</v>
      </c>
      <c r="C288" t="s">
        <v>1796</v>
      </c>
      <c r="D288" t="s">
        <v>506</v>
      </c>
      <c r="E288" t="s">
        <v>3410</v>
      </c>
      <c r="F288" t="s">
        <v>3397</v>
      </c>
      <c r="G288" t="s">
        <v>3953</v>
      </c>
    </row>
    <row r="289" spans="2:7" x14ac:dyDescent="0.3">
      <c r="B289" t="s">
        <v>3954</v>
      </c>
      <c r="C289" t="s">
        <v>1796</v>
      </c>
      <c r="D289" t="s">
        <v>506</v>
      </c>
      <c r="E289" t="s">
        <v>3410</v>
      </c>
      <c r="F289" t="s">
        <v>3383</v>
      </c>
      <c r="G289" t="s">
        <v>3955</v>
      </c>
    </row>
    <row r="290" spans="2:7" x14ac:dyDescent="0.3">
      <c r="B290" t="s">
        <v>3956</v>
      </c>
      <c r="C290" t="s">
        <v>1796</v>
      </c>
      <c r="D290" t="s">
        <v>506</v>
      </c>
      <c r="E290" t="s">
        <v>3379</v>
      </c>
      <c r="F290" t="s">
        <v>3397</v>
      </c>
      <c r="G290" t="s">
        <v>3957</v>
      </c>
    </row>
    <row r="291" spans="2:7" x14ac:dyDescent="0.3">
      <c r="B291" t="s">
        <v>3958</v>
      </c>
      <c r="C291" t="s">
        <v>1796</v>
      </c>
      <c r="D291" t="s">
        <v>506</v>
      </c>
      <c r="E291" t="s">
        <v>3410</v>
      </c>
      <c r="F291" t="s">
        <v>3383</v>
      </c>
      <c r="G291" t="s">
        <v>3959</v>
      </c>
    </row>
    <row r="292" spans="2:7" x14ac:dyDescent="0.3">
      <c r="B292" t="s">
        <v>3960</v>
      </c>
      <c r="C292" t="s">
        <v>1796</v>
      </c>
      <c r="D292" t="s">
        <v>506</v>
      </c>
      <c r="E292" t="s">
        <v>3379</v>
      </c>
      <c r="F292" t="s">
        <v>3388</v>
      </c>
      <c r="G292" t="s">
        <v>3961</v>
      </c>
    </row>
    <row r="293" spans="2:7" x14ac:dyDescent="0.3">
      <c r="B293" t="s">
        <v>3962</v>
      </c>
      <c r="C293" t="s">
        <v>1796</v>
      </c>
      <c r="D293" t="s">
        <v>506</v>
      </c>
      <c r="E293" t="s">
        <v>3379</v>
      </c>
      <c r="F293" t="s">
        <v>3388</v>
      </c>
      <c r="G293" t="s">
        <v>3963</v>
      </c>
    </row>
    <row r="294" spans="2:7" x14ac:dyDescent="0.3">
      <c r="B294" t="s">
        <v>3964</v>
      </c>
      <c r="C294" t="s">
        <v>1796</v>
      </c>
      <c r="D294" t="s">
        <v>506</v>
      </c>
      <c r="E294" t="s">
        <v>3410</v>
      </c>
      <c r="F294" t="s">
        <v>1024</v>
      </c>
      <c r="G294" t="s">
        <v>3965</v>
      </c>
    </row>
    <row r="295" spans="2:7" x14ac:dyDescent="0.3">
      <c r="B295" t="s">
        <v>3966</v>
      </c>
      <c r="C295" t="s">
        <v>1796</v>
      </c>
      <c r="D295" t="s">
        <v>506</v>
      </c>
      <c r="E295" t="s">
        <v>3379</v>
      </c>
      <c r="F295" t="s">
        <v>3383</v>
      </c>
      <c r="G295" t="s">
        <v>3967</v>
      </c>
    </row>
    <row r="296" spans="2:7" x14ac:dyDescent="0.3">
      <c r="B296" t="s">
        <v>3968</v>
      </c>
      <c r="C296" t="s">
        <v>1796</v>
      </c>
      <c r="D296" t="s">
        <v>506</v>
      </c>
      <c r="E296" t="s">
        <v>3379</v>
      </c>
      <c r="F296" t="s">
        <v>3383</v>
      </c>
      <c r="G296" t="s">
        <v>3969</v>
      </c>
    </row>
    <row r="297" spans="2:7" x14ac:dyDescent="0.3">
      <c r="B297" t="s">
        <v>3970</v>
      </c>
      <c r="C297" t="s">
        <v>1796</v>
      </c>
      <c r="D297" t="s">
        <v>506</v>
      </c>
      <c r="E297" t="s">
        <v>3379</v>
      </c>
      <c r="F297" t="s">
        <v>3383</v>
      </c>
      <c r="G297" t="s">
        <v>3971</v>
      </c>
    </row>
    <row r="298" spans="2:7" x14ac:dyDescent="0.3">
      <c r="B298" t="s">
        <v>3972</v>
      </c>
      <c r="C298" t="s">
        <v>1796</v>
      </c>
      <c r="D298" t="s">
        <v>506</v>
      </c>
      <c r="E298" t="s">
        <v>3379</v>
      </c>
      <c r="F298" t="s">
        <v>3383</v>
      </c>
      <c r="G298" t="s">
        <v>3973</v>
      </c>
    </row>
    <row r="299" spans="2:7" x14ac:dyDescent="0.3">
      <c r="B299" t="s">
        <v>3974</v>
      </c>
      <c r="C299" t="s">
        <v>1796</v>
      </c>
      <c r="D299" t="s">
        <v>506</v>
      </c>
      <c r="E299" t="s">
        <v>3379</v>
      </c>
      <c r="F299" t="s">
        <v>3383</v>
      </c>
      <c r="G299" t="s">
        <v>3975</v>
      </c>
    </row>
    <row r="300" spans="2:7" x14ac:dyDescent="0.3">
      <c r="B300" t="s">
        <v>3976</v>
      </c>
      <c r="C300" t="s">
        <v>1796</v>
      </c>
      <c r="D300" t="s">
        <v>506</v>
      </c>
      <c r="E300" t="s">
        <v>3379</v>
      </c>
      <c r="F300" t="s">
        <v>3383</v>
      </c>
      <c r="G300" t="s">
        <v>3977</v>
      </c>
    </row>
    <row r="301" spans="2:7" x14ac:dyDescent="0.3">
      <c r="B301" t="s">
        <v>3978</v>
      </c>
      <c r="C301" t="s">
        <v>1796</v>
      </c>
      <c r="D301" t="s">
        <v>506</v>
      </c>
      <c r="E301" t="s">
        <v>3379</v>
      </c>
      <c r="F301" t="s">
        <v>3383</v>
      </c>
      <c r="G301" t="s">
        <v>3979</v>
      </c>
    </row>
    <row r="302" spans="2:7" x14ac:dyDescent="0.3">
      <c r="B302" t="s">
        <v>3980</v>
      </c>
      <c r="C302" t="s">
        <v>1796</v>
      </c>
      <c r="D302" t="s">
        <v>506</v>
      </c>
      <c r="E302" t="s">
        <v>3379</v>
      </c>
      <c r="F302" t="s">
        <v>3383</v>
      </c>
      <c r="G302" t="s">
        <v>3981</v>
      </c>
    </row>
    <row r="303" spans="2:7" x14ac:dyDescent="0.3">
      <c r="B303" t="s">
        <v>3982</v>
      </c>
      <c r="C303" t="s">
        <v>1796</v>
      </c>
      <c r="D303" t="s">
        <v>506</v>
      </c>
      <c r="E303" t="s">
        <v>3379</v>
      </c>
      <c r="F303" t="s">
        <v>3383</v>
      </c>
      <c r="G303" t="s">
        <v>3983</v>
      </c>
    </row>
    <row r="304" spans="2:7" x14ac:dyDescent="0.3">
      <c r="B304" t="s">
        <v>3984</v>
      </c>
      <c r="C304" t="s">
        <v>1796</v>
      </c>
      <c r="D304" t="s">
        <v>506</v>
      </c>
      <c r="E304" t="s">
        <v>3379</v>
      </c>
      <c r="F304" t="s">
        <v>3388</v>
      </c>
      <c r="G304" t="s">
        <v>3985</v>
      </c>
    </row>
    <row r="305" spans="2:7" x14ac:dyDescent="0.3">
      <c r="B305" t="s">
        <v>3986</v>
      </c>
      <c r="C305" t="s">
        <v>1796</v>
      </c>
      <c r="D305" t="s">
        <v>506</v>
      </c>
      <c r="E305" t="s">
        <v>3379</v>
      </c>
      <c r="F305" t="s">
        <v>3388</v>
      </c>
      <c r="G305" t="s">
        <v>3987</v>
      </c>
    </row>
    <row r="306" spans="2:7" x14ac:dyDescent="0.3">
      <c r="B306" t="s">
        <v>3988</v>
      </c>
      <c r="C306" t="s">
        <v>1796</v>
      </c>
      <c r="D306" t="s">
        <v>506</v>
      </c>
      <c r="E306" t="s">
        <v>3379</v>
      </c>
      <c r="F306" t="s">
        <v>3388</v>
      </c>
      <c r="G306" t="s">
        <v>3989</v>
      </c>
    </row>
    <row r="307" spans="2:7" x14ac:dyDescent="0.3">
      <c r="B307" t="s">
        <v>3990</v>
      </c>
      <c r="C307" t="s">
        <v>1796</v>
      </c>
      <c r="D307" t="s">
        <v>506</v>
      </c>
      <c r="E307" t="s">
        <v>3379</v>
      </c>
      <c r="F307" t="s">
        <v>1024</v>
      </c>
      <c r="G307" t="s">
        <v>3991</v>
      </c>
    </row>
    <row r="308" spans="2:7" x14ac:dyDescent="0.3">
      <c r="B308" t="s">
        <v>3992</v>
      </c>
      <c r="C308" t="s">
        <v>1796</v>
      </c>
      <c r="D308" t="s">
        <v>506</v>
      </c>
      <c r="E308" t="s">
        <v>3379</v>
      </c>
      <c r="F308" t="s">
        <v>1024</v>
      </c>
      <c r="G308" t="s">
        <v>3993</v>
      </c>
    </row>
    <row r="309" spans="2:7" x14ac:dyDescent="0.3">
      <c r="B309" t="s">
        <v>3994</v>
      </c>
      <c r="C309" t="s">
        <v>1796</v>
      </c>
      <c r="D309" t="s">
        <v>506</v>
      </c>
      <c r="E309" t="s">
        <v>3379</v>
      </c>
      <c r="F309" t="s">
        <v>1024</v>
      </c>
      <c r="G309" t="s">
        <v>3995</v>
      </c>
    </row>
    <row r="310" spans="2:7" x14ac:dyDescent="0.3">
      <c r="B310" t="s">
        <v>3996</v>
      </c>
      <c r="C310" t="s">
        <v>1796</v>
      </c>
      <c r="D310" t="s">
        <v>506</v>
      </c>
      <c r="E310" t="s">
        <v>3379</v>
      </c>
      <c r="F310" t="s">
        <v>3388</v>
      </c>
      <c r="G310" t="s">
        <v>3997</v>
      </c>
    </row>
    <row r="311" spans="2:7" x14ac:dyDescent="0.3">
      <c r="B311" t="s">
        <v>3998</v>
      </c>
      <c r="C311" t="s">
        <v>1796</v>
      </c>
      <c r="D311" t="s">
        <v>506</v>
      </c>
      <c r="E311" t="s">
        <v>3379</v>
      </c>
      <c r="F311" t="s">
        <v>3388</v>
      </c>
      <c r="G311" t="s">
        <v>3999</v>
      </c>
    </row>
    <row r="312" spans="2:7" x14ac:dyDescent="0.3">
      <c r="B312" t="s">
        <v>4000</v>
      </c>
      <c r="C312" t="s">
        <v>1796</v>
      </c>
      <c r="D312" t="s">
        <v>506</v>
      </c>
      <c r="E312" t="s">
        <v>3379</v>
      </c>
      <c r="F312" t="s">
        <v>3383</v>
      </c>
      <c r="G312" t="s">
        <v>4001</v>
      </c>
    </row>
    <row r="313" spans="2:7" x14ac:dyDescent="0.3">
      <c r="B313" t="s">
        <v>4002</v>
      </c>
      <c r="C313" t="s">
        <v>1796</v>
      </c>
      <c r="D313" t="s">
        <v>506</v>
      </c>
      <c r="E313" t="s">
        <v>3379</v>
      </c>
      <c r="F313" t="s">
        <v>3383</v>
      </c>
      <c r="G313" t="s">
        <v>4003</v>
      </c>
    </row>
    <row r="314" spans="2:7" x14ac:dyDescent="0.3">
      <c r="B314" t="s">
        <v>4004</v>
      </c>
      <c r="C314" t="s">
        <v>1796</v>
      </c>
      <c r="D314" t="s">
        <v>506</v>
      </c>
      <c r="E314" t="s">
        <v>3379</v>
      </c>
      <c r="F314" t="s">
        <v>3383</v>
      </c>
      <c r="G314" t="s">
        <v>4005</v>
      </c>
    </row>
    <row r="315" spans="2:7" x14ac:dyDescent="0.3">
      <c r="B315" t="s">
        <v>4006</v>
      </c>
      <c r="C315" t="s">
        <v>1796</v>
      </c>
      <c r="D315" t="s">
        <v>506</v>
      </c>
      <c r="E315" t="s">
        <v>3379</v>
      </c>
      <c r="F315" t="s">
        <v>3383</v>
      </c>
      <c r="G315" t="s">
        <v>4007</v>
      </c>
    </row>
    <row r="316" spans="2:7" x14ac:dyDescent="0.3">
      <c r="B316" t="s">
        <v>4008</v>
      </c>
      <c r="C316" t="s">
        <v>1796</v>
      </c>
      <c r="D316" t="s">
        <v>506</v>
      </c>
      <c r="E316" t="s">
        <v>3379</v>
      </c>
      <c r="F316" t="s">
        <v>3388</v>
      </c>
      <c r="G316" t="s">
        <v>4009</v>
      </c>
    </row>
    <row r="317" spans="2:7" x14ac:dyDescent="0.3">
      <c r="B317" t="s">
        <v>4010</v>
      </c>
      <c r="C317" t="s">
        <v>1796</v>
      </c>
      <c r="D317" t="s">
        <v>506</v>
      </c>
      <c r="E317" t="s">
        <v>3379</v>
      </c>
      <c r="F317" t="s">
        <v>3388</v>
      </c>
      <c r="G317" t="s">
        <v>4011</v>
      </c>
    </row>
    <row r="318" spans="2:7" x14ac:dyDescent="0.3">
      <c r="B318" t="s">
        <v>4012</v>
      </c>
      <c r="C318" t="s">
        <v>1796</v>
      </c>
      <c r="D318" t="s">
        <v>506</v>
      </c>
      <c r="E318" t="s">
        <v>3410</v>
      </c>
      <c r="F318" t="s">
        <v>4013</v>
      </c>
      <c r="G318" t="s">
        <v>4014</v>
      </c>
    </row>
    <row r="319" spans="2:7" x14ac:dyDescent="0.3">
      <c r="B319" t="s">
        <v>4015</v>
      </c>
      <c r="C319" t="s">
        <v>1796</v>
      </c>
      <c r="D319" t="s">
        <v>506</v>
      </c>
      <c r="E319" t="s">
        <v>3410</v>
      </c>
      <c r="F319" t="s">
        <v>4013</v>
      </c>
      <c r="G319" t="s">
        <v>4016</v>
      </c>
    </row>
    <row r="320" spans="2:7" x14ac:dyDescent="0.3">
      <c r="B320" t="s">
        <v>4017</v>
      </c>
      <c r="C320" t="s">
        <v>1796</v>
      </c>
      <c r="D320" t="s">
        <v>506</v>
      </c>
      <c r="E320" t="s">
        <v>3410</v>
      </c>
      <c r="F320" t="s">
        <v>4013</v>
      </c>
      <c r="G320" t="s">
        <v>4018</v>
      </c>
    </row>
    <row r="321" spans="2:8" x14ac:dyDescent="0.3">
      <c r="B321" t="s">
        <v>4019</v>
      </c>
      <c r="C321" t="s">
        <v>1796</v>
      </c>
      <c r="D321" t="s">
        <v>506</v>
      </c>
      <c r="E321" t="s">
        <v>3410</v>
      </c>
      <c r="F321" t="s">
        <v>4013</v>
      </c>
      <c r="G321" t="s">
        <v>4020</v>
      </c>
    </row>
    <row r="322" spans="2:8" x14ac:dyDescent="0.3">
      <c r="B322" t="s">
        <v>4021</v>
      </c>
      <c r="C322" t="s">
        <v>1796</v>
      </c>
      <c r="D322" t="s">
        <v>506</v>
      </c>
      <c r="E322" t="s">
        <v>3410</v>
      </c>
      <c r="F322" t="s">
        <v>4013</v>
      </c>
      <c r="G322" t="s">
        <v>4022</v>
      </c>
    </row>
    <row r="323" spans="2:8" x14ac:dyDescent="0.3">
      <c r="B323" t="s">
        <v>4023</v>
      </c>
      <c r="C323" t="s">
        <v>1796</v>
      </c>
      <c r="D323" t="s">
        <v>506</v>
      </c>
      <c r="E323" t="s">
        <v>3410</v>
      </c>
      <c r="F323" t="s">
        <v>4013</v>
      </c>
      <c r="G323" t="s">
        <v>4024</v>
      </c>
    </row>
    <row r="324" spans="2:8" x14ac:dyDescent="0.3">
      <c r="B324" t="s">
        <v>4025</v>
      </c>
      <c r="C324" t="s">
        <v>1796</v>
      </c>
      <c r="D324" t="s">
        <v>506</v>
      </c>
      <c r="E324" t="s">
        <v>3410</v>
      </c>
      <c r="F324" t="s">
        <v>4013</v>
      </c>
      <c r="G324" t="s">
        <v>4026</v>
      </c>
    </row>
    <row r="325" spans="2:8" x14ac:dyDescent="0.3">
      <c r="B325" t="s">
        <v>4027</v>
      </c>
      <c r="C325" t="s">
        <v>1796</v>
      </c>
      <c r="D325" t="s">
        <v>506</v>
      </c>
      <c r="E325" t="s">
        <v>3410</v>
      </c>
      <c r="F325" t="s">
        <v>4013</v>
      </c>
      <c r="G325" t="s">
        <v>4028</v>
      </c>
    </row>
    <row r="326" spans="2:8" x14ac:dyDescent="0.3">
      <c r="B326" t="s">
        <v>4029</v>
      </c>
      <c r="C326" t="s">
        <v>1796</v>
      </c>
      <c r="D326" t="s">
        <v>506</v>
      </c>
      <c r="E326" t="s">
        <v>3379</v>
      </c>
      <c r="F326" t="s">
        <v>4013</v>
      </c>
      <c r="G326" t="s">
        <v>4030</v>
      </c>
    </row>
    <row r="327" spans="2:8" x14ac:dyDescent="0.3">
      <c r="B327" t="s">
        <v>4031</v>
      </c>
      <c r="C327" t="s">
        <v>1796</v>
      </c>
      <c r="D327" t="s">
        <v>506</v>
      </c>
      <c r="E327" t="s">
        <v>3379</v>
      </c>
      <c r="F327" t="s">
        <v>3388</v>
      </c>
      <c r="G327" t="s">
        <v>4032</v>
      </c>
    </row>
    <row r="328" spans="2:8" x14ac:dyDescent="0.3">
      <c r="B328" t="s">
        <v>4033</v>
      </c>
      <c r="C328" t="s">
        <v>1796</v>
      </c>
      <c r="D328" t="s">
        <v>506</v>
      </c>
      <c r="E328" t="s">
        <v>3379</v>
      </c>
      <c r="F328" t="s">
        <v>3388</v>
      </c>
      <c r="G328" t="s">
        <v>4034</v>
      </c>
    </row>
    <row r="329" spans="2:8" x14ac:dyDescent="0.3">
      <c r="B329" t="s">
        <v>4035</v>
      </c>
      <c r="C329" t="s">
        <v>1796</v>
      </c>
      <c r="D329" t="s">
        <v>506</v>
      </c>
      <c r="E329" t="s">
        <v>3379</v>
      </c>
      <c r="F329" t="s">
        <v>3383</v>
      </c>
      <c r="G329" t="s">
        <v>4036</v>
      </c>
    </row>
    <row r="330" spans="2:8" x14ac:dyDescent="0.3">
      <c r="B330" t="s">
        <v>4037</v>
      </c>
      <c r="C330" t="s">
        <v>1796</v>
      </c>
      <c r="D330" t="s">
        <v>506</v>
      </c>
      <c r="E330" t="s">
        <v>3379</v>
      </c>
      <c r="F330" t="s">
        <v>3383</v>
      </c>
      <c r="G330" t="s">
        <v>4038</v>
      </c>
    </row>
    <row r="331" spans="2:8" x14ac:dyDescent="0.3">
      <c r="B331" t="s">
        <v>4039</v>
      </c>
      <c r="C331" t="s">
        <v>1796</v>
      </c>
      <c r="D331" t="s">
        <v>506</v>
      </c>
      <c r="E331" t="s">
        <v>3379</v>
      </c>
      <c r="F331" t="s">
        <v>4013</v>
      </c>
      <c r="G331" t="s">
        <v>4040</v>
      </c>
    </row>
    <row r="332" spans="2:8" x14ac:dyDescent="0.3">
      <c r="B332" t="s">
        <v>4041</v>
      </c>
      <c r="C332" t="s">
        <v>1796</v>
      </c>
      <c r="D332" t="s">
        <v>506</v>
      </c>
      <c r="E332" t="s">
        <v>3379</v>
      </c>
      <c r="F332" t="s">
        <v>3388</v>
      </c>
      <c r="G332" t="s">
        <v>4042</v>
      </c>
    </row>
    <row r="333" spans="2:8" x14ac:dyDescent="0.3">
      <c r="B333" t="s">
        <v>4043</v>
      </c>
      <c r="C333" t="s">
        <v>1796</v>
      </c>
      <c r="D333" t="s">
        <v>506</v>
      </c>
      <c r="E333" t="s">
        <v>3379</v>
      </c>
      <c r="F333" t="s">
        <v>3383</v>
      </c>
      <c r="G333" t="s">
        <v>4044</v>
      </c>
    </row>
    <row r="334" spans="2:8" x14ac:dyDescent="0.3">
      <c r="B334" t="s">
        <v>4045</v>
      </c>
      <c r="C334" t="s">
        <v>1796</v>
      </c>
      <c r="D334" t="s">
        <v>506</v>
      </c>
      <c r="E334" t="s">
        <v>3379</v>
      </c>
      <c r="F334" t="s">
        <v>3380</v>
      </c>
      <c r="G334" t="s">
        <v>4046</v>
      </c>
    </row>
    <row r="335" spans="2:8" x14ac:dyDescent="0.3">
      <c r="B335" t="s">
        <v>4047</v>
      </c>
      <c r="C335" t="s">
        <v>1796</v>
      </c>
      <c r="D335" t="s">
        <v>506</v>
      </c>
      <c r="E335" t="s">
        <v>3410</v>
      </c>
      <c r="F335" t="s">
        <v>3397</v>
      </c>
      <c r="G335" t="s">
        <v>4048</v>
      </c>
    </row>
    <row r="336" spans="2:8" x14ac:dyDescent="0.3">
      <c r="B336" t="s">
        <v>4049</v>
      </c>
      <c r="C336" t="s">
        <v>1796</v>
      </c>
      <c r="D336" t="s">
        <v>506</v>
      </c>
      <c r="E336" t="s">
        <v>4050</v>
      </c>
      <c r="F336" t="s">
        <v>3388</v>
      </c>
      <c r="G336" t="s">
        <v>4051</v>
      </c>
      <c r="H336" t="s">
        <v>4052</v>
      </c>
    </row>
    <row r="337" spans="2:8" x14ac:dyDescent="0.3">
      <c r="B337" t="s">
        <v>4049</v>
      </c>
      <c r="C337" t="s">
        <v>1796</v>
      </c>
      <c r="D337" t="s">
        <v>506</v>
      </c>
      <c r="E337" t="s">
        <v>4050</v>
      </c>
      <c r="F337" t="s">
        <v>3388</v>
      </c>
      <c r="G337" t="s">
        <v>4053</v>
      </c>
      <c r="H337" t="s">
        <v>4054</v>
      </c>
    </row>
    <row r="338" spans="2:8" x14ac:dyDescent="0.3">
      <c r="B338" t="s">
        <v>4049</v>
      </c>
      <c r="C338" t="s">
        <v>1796</v>
      </c>
      <c r="D338" t="s">
        <v>506</v>
      </c>
      <c r="E338" t="s">
        <v>4050</v>
      </c>
      <c r="F338" t="s">
        <v>3388</v>
      </c>
      <c r="G338" t="s">
        <v>4055</v>
      </c>
      <c r="H338" t="s">
        <v>4056</v>
      </c>
    </row>
    <row r="339" spans="2:8" x14ac:dyDescent="0.3">
      <c r="B339" t="s">
        <v>4049</v>
      </c>
      <c r="C339" t="s">
        <v>1796</v>
      </c>
      <c r="D339" t="s">
        <v>506</v>
      </c>
      <c r="E339" t="s">
        <v>4050</v>
      </c>
      <c r="F339" t="s">
        <v>3388</v>
      </c>
      <c r="G339" t="s">
        <v>4057</v>
      </c>
      <c r="H339" t="s">
        <v>4058</v>
      </c>
    </row>
    <row r="340" spans="2:8" x14ac:dyDescent="0.3">
      <c r="B340" t="s">
        <v>4049</v>
      </c>
      <c r="C340" t="s">
        <v>1796</v>
      </c>
      <c r="D340" t="s">
        <v>506</v>
      </c>
      <c r="E340" t="s">
        <v>4050</v>
      </c>
      <c r="F340" t="s">
        <v>3388</v>
      </c>
      <c r="G340" t="s">
        <v>4059</v>
      </c>
      <c r="H340" t="s">
        <v>4056</v>
      </c>
    </row>
    <row r="341" spans="2:8" x14ac:dyDescent="0.3">
      <c r="B341" t="s">
        <v>4049</v>
      </c>
      <c r="C341" t="s">
        <v>1796</v>
      </c>
      <c r="D341" t="s">
        <v>506</v>
      </c>
      <c r="E341" t="s">
        <v>4050</v>
      </c>
      <c r="F341" t="s">
        <v>3388</v>
      </c>
      <c r="G341" t="s">
        <v>4060</v>
      </c>
      <c r="H341" t="s">
        <v>4058</v>
      </c>
    </row>
    <row r="342" spans="2:8" x14ac:dyDescent="0.3">
      <c r="B342" t="s">
        <v>4049</v>
      </c>
      <c r="C342" t="s">
        <v>1796</v>
      </c>
      <c r="D342" t="s">
        <v>506</v>
      </c>
      <c r="E342" t="s">
        <v>4050</v>
      </c>
      <c r="F342" t="s">
        <v>3388</v>
      </c>
      <c r="G342" t="s">
        <v>4061</v>
      </c>
      <c r="H342" t="s">
        <v>4056</v>
      </c>
    </row>
    <row r="343" spans="2:8" x14ac:dyDescent="0.3">
      <c r="B343" t="s">
        <v>4049</v>
      </c>
      <c r="C343" t="s">
        <v>1796</v>
      </c>
      <c r="D343" t="s">
        <v>506</v>
      </c>
      <c r="E343" t="s">
        <v>4050</v>
      </c>
      <c r="F343" t="s">
        <v>3388</v>
      </c>
      <c r="G343" t="s">
        <v>4062</v>
      </c>
      <c r="H343" t="s">
        <v>4054</v>
      </c>
    </row>
    <row r="344" spans="2:8" x14ac:dyDescent="0.3">
      <c r="B344" t="s">
        <v>4049</v>
      </c>
      <c r="C344" t="s">
        <v>1796</v>
      </c>
      <c r="D344" t="s">
        <v>506</v>
      </c>
      <c r="E344" t="s">
        <v>4050</v>
      </c>
      <c r="F344" t="s">
        <v>3388</v>
      </c>
      <c r="G344" t="s">
        <v>4063</v>
      </c>
      <c r="H344" t="s">
        <v>4054</v>
      </c>
    </row>
    <row r="345" spans="2:8" x14ac:dyDescent="0.3">
      <c r="B345" t="s">
        <v>4064</v>
      </c>
      <c r="C345" t="s">
        <v>1796</v>
      </c>
      <c r="D345" t="s">
        <v>506</v>
      </c>
      <c r="E345" t="s">
        <v>4050</v>
      </c>
      <c r="F345" t="s">
        <v>3388</v>
      </c>
      <c r="G345" t="s">
        <v>4065</v>
      </c>
      <c r="H345" t="s">
        <v>4052</v>
      </c>
    </row>
    <row r="346" spans="2:8" x14ac:dyDescent="0.3">
      <c r="B346" t="s">
        <v>4064</v>
      </c>
      <c r="C346" t="s">
        <v>1796</v>
      </c>
      <c r="D346" t="s">
        <v>506</v>
      </c>
      <c r="E346" t="s">
        <v>4050</v>
      </c>
      <c r="F346" t="s">
        <v>3388</v>
      </c>
      <c r="G346" t="s">
        <v>4066</v>
      </c>
      <c r="H346" t="s">
        <v>4058</v>
      </c>
    </row>
    <row r="347" spans="2:8" x14ac:dyDescent="0.3">
      <c r="B347" t="s">
        <v>4064</v>
      </c>
      <c r="C347" t="s">
        <v>1796</v>
      </c>
      <c r="D347" t="s">
        <v>506</v>
      </c>
      <c r="E347" t="s">
        <v>4050</v>
      </c>
      <c r="F347" t="s">
        <v>3388</v>
      </c>
      <c r="G347" t="s">
        <v>4067</v>
      </c>
      <c r="H347" t="s">
        <v>4052</v>
      </c>
    </row>
    <row r="348" spans="2:8" x14ac:dyDescent="0.3">
      <c r="B348" t="s">
        <v>4064</v>
      </c>
      <c r="C348" t="s">
        <v>1796</v>
      </c>
      <c r="D348" t="s">
        <v>506</v>
      </c>
      <c r="E348" t="s">
        <v>4050</v>
      </c>
      <c r="F348" t="s">
        <v>3388</v>
      </c>
      <c r="G348" t="s">
        <v>4068</v>
      </c>
      <c r="H348" t="s">
        <v>4054</v>
      </c>
    </row>
    <row r="349" spans="2:8" x14ac:dyDescent="0.3">
      <c r="B349" t="s">
        <v>4064</v>
      </c>
      <c r="C349" t="s">
        <v>1796</v>
      </c>
      <c r="D349" t="s">
        <v>506</v>
      </c>
      <c r="E349" t="s">
        <v>4050</v>
      </c>
      <c r="F349" t="s">
        <v>3388</v>
      </c>
      <c r="G349" t="s">
        <v>4069</v>
      </c>
      <c r="H349" t="s">
        <v>4054</v>
      </c>
    </row>
    <row r="350" spans="2:8" x14ac:dyDescent="0.3">
      <c r="B350" t="s">
        <v>4064</v>
      </c>
      <c r="C350" t="s">
        <v>1796</v>
      </c>
      <c r="D350" t="s">
        <v>506</v>
      </c>
      <c r="E350" t="s">
        <v>4050</v>
      </c>
      <c r="F350" t="s">
        <v>3388</v>
      </c>
      <c r="G350" t="s">
        <v>4070</v>
      </c>
      <c r="H350" t="s">
        <v>4058</v>
      </c>
    </row>
    <row r="351" spans="2:8" x14ac:dyDescent="0.3">
      <c r="B351" t="s">
        <v>4064</v>
      </c>
      <c r="C351" t="s">
        <v>1796</v>
      </c>
      <c r="D351" t="s">
        <v>506</v>
      </c>
      <c r="E351" t="s">
        <v>4050</v>
      </c>
      <c r="F351" t="s">
        <v>3388</v>
      </c>
      <c r="G351" t="s">
        <v>4071</v>
      </c>
      <c r="H351" t="s">
        <v>4056</v>
      </c>
    </row>
    <row r="352" spans="2:8" x14ac:dyDescent="0.3">
      <c r="B352" t="s">
        <v>4064</v>
      </c>
      <c r="C352" t="s">
        <v>1796</v>
      </c>
      <c r="D352" t="s">
        <v>506</v>
      </c>
      <c r="E352" t="s">
        <v>4050</v>
      </c>
      <c r="F352" t="s">
        <v>3388</v>
      </c>
      <c r="G352" t="s">
        <v>4072</v>
      </c>
      <c r="H352" t="s">
        <v>4056</v>
      </c>
    </row>
    <row r="353" spans="2:8" x14ac:dyDescent="0.3">
      <c r="B353" t="s">
        <v>4064</v>
      </c>
      <c r="C353" t="s">
        <v>1796</v>
      </c>
      <c r="D353" t="s">
        <v>506</v>
      </c>
      <c r="E353" t="s">
        <v>4050</v>
      </c>
      <c r="F353" t="s">
        <v>3388</v>
      </c>
      <c r="G353" t="s">
        <v>4073</v>
      </c>
      <c r="H353" t="s">
        <v>4056</v>
      </c>
    </row>
    <row r="354" spans="2:8" x14ac:dyDescent="0.3">
      <c r="B354" t="s">
        <v>4064</v>
      </c>
      <c r="C354" t="s">
        <v>1796</v>
      </c>
      <c r="D354" t="s">
        <v>506</v>
      </c>
      <c r="E354" t="s">
        <v>4050</v>
      </c>
      <c r="F354" t="s">
        <v>3388</v>
      </c>
      <c r="G354" t="s">
        <v>4074</v>
      </c>
      <c r="H354" t="s">
        <v>4054</v>
      </c>
    </row>
    <row r="355" spans="2:8" x14ac:dyDescent="0.3">
      <c r="B355" t="s">
        <v>4064</v>
      </c>
      <c r="C355" t="s">
        <v>1796</v>
      </c>
      <c r="D355" t="s">
        <v>506</v>
      </c>
      <c r="E355" t="s">
        <v>4050</v>
      </c>
      <c r="F355" t="s">
        <v>3388</v>
      </c>
      <c r="G355" t="s">
        <v>4075</v>
      </c>
      <c r="H355" t="s">
        <v>4076</v>
      </c>
    </row>
    <row r="356" spans="2:8" x14ac:dyDescent="0.3">
      <c r="B356" t="s">
        <v>4049</v>
      </c>
      <c r="C356" t="s">
        <v>1796</v>
      </c>
      <c r="D356" t="s">
        <v>506</v>
      </c>
      <c r="E356" t="s">
        <v>4050</v>
      </c>
      <c r="F356" t="s">
        <v>3388</v>
      </c>
      <c r="G356" t="s">
        <v>4077</v>
      </c>
      <c r="H356" t="s">
        <v>4076</v>
      </c>
    </row>
    <row r="357" spans="2:8" x14ac:dyDescent="0.3">
      <c r="B357" t="s">
        <v>4064</v>
      </c>
      <c r="C357" t="s">
        <v>1796</v>
      </c>
      <c r="D357" t="s">
        <v>506</v>
      </c>
      <c r="E357" t="s">
        <v>4050</v>
      </c>
      <c r="F357" t="s">
        <v>3388</v>
      </c>
      <c r="G357" t="s">
        <v>4078</v>
      </c>
      <c r="H357" t="s">
        <v>4076</v>
      </c>
    </row>
    <row r="358" spans="2:8" x14ac:dyDescent="0.3">
      <c r="B358" t="s">
        <v>4049</v>
      </c>
      <c r="C358" t="s">
        <v>1796</v>
      </c>
      <c r="D358" t="s">
        <v>506</v>
      </c>
      <c r="E358" t="s">
        <v>4050</v>
      </c>
      <c r="F358" t="s">
        <v>3388</v>
      </c>
      <c r="G358" t="s">
        <v>4079</v>
      </c>
      <c r="H358" t="s">
        <v>4076</v>
      </c>
    </row>
    <row r="359" spans="2:8" x14ac:dyDescent="0.3">
      <c r="B359" t="s">
        <v>4049</v>
      </c>
      <c r="C359" t="s">
        <v>1796</v>
      </c>
      <c r="D359" t="s">
        <v>506</v>
      </c>
      <c r="E359" t="s">
        <v>3410</v>
      </c>
      <c r="F359" t="s">
        <v>3388</v>
      </c>
      <c r="G359" t="s">
        <v>4080</v>
      </c>
      <c r="H359" t="s">
        <v>4081</v>
      </c>
    </row>
    <row r="360" spans="2:8" x14ac:dyDescent="0.3">
      <c r="B360" t="s">
        <v>4082</v>
      </c>
      <c r="C360" t="s">
        <v>1796</v>
      </c>
      <c r="D360" t="s">
        <v>506</v>
      </c>
      <c r="E360" t="s">
        <v>3410</v>
      </c>
      <c r="F360" t="s">
        <v>3383</v>
      </c>
      <c r="G360" t="s">
        <v>4083</v>
      </c>
      <c r="H360" t="s">
        <v>4084</v>
      </c>
    </row>
    <row r="361" spans="2:8" x14ac:dyDescent="0.3">
      <c r="B361" t="s">
        <v>4082</v>
      </c>
      <c r="C361" t="s">
        <v>1796</v>
      </c>
      <c r="D361" t="s">
        <v>506</v>
      </c>
      <c r="E361" t="s">
        <v>4050</v>
      </c>
      <c r="F361" t="s">
        <v>3383</v>
      </c>
      <c r="G361" t="s">
        <v>4085</v>
      </c>
      <c r="H361" t="s">
        <v>4076</v>
      </c>
    </row>
    <row r="362" spans="2:8" x14ac:dyDescent="0.3">
      <c r="B362" t="s">
        <v>4086</v>
      </c>
      <c r="C362" t="s">
        <v>1796</v>
      </c>
      <c r="D362" t="s">
        <v>506</v>
      </c>
      <c r="E362" t="s">
        <v>3410</v>
      </c>
      <c r="F362" t="s">
        <v>3383</v>
      </c>
      <c r="G362" t="s">
        <v>4087</v>
      </c>
      <c r="H362" t="s">
        <v>4081</v>
      </c>
    </row>
    <row r="363" spans="2:8" x14ac:dyDescent="0.3">
      <c r="B363" t="s">
        <v>4086</v>
      </c>
      <c r="C363" t="s">
        <v>1796</v>
      </c>
      <c r="D363" t="s">
        <v>506</v>
      </c>
      <c r="E363" t="s">
        <v>4050</v>
      </c>
      <c r="F363" t="s">
        <v>3383</v>
      </c>
      <c r="G363" t="s">
        <v>4088</v>
      </c>
      <c r="H363" t="s">
        <v>4076</v>
      </c>
    </row>
    <row r="364" spans="2:8" x14ac:dyDescent="0.3">
      <c r="B364" t="s">
        <v>4086</v>
      </c>
      <c r="C364" t="s">
        <v>1796</v>
      </c>
      <c r="D364" t="s">
        <v>506</v>
      </c>
      <c r="E364" t="s">
        <v>4050</v>
      </c>
      <c r="F364" t="s">
        <v>3383</v>
      </c>
      <c r="G364" t="s">
        <v>4089</v>
      </c>
      <c r="H364" t="s">
        <v>4076</v>
      </c>
    </row>
    <row r="365" spans="2:8" x14ac:dyDescent="0.3">
      <c r="B365" t="s">
        <v>4086</v>
      </c>
      <c r="C365" t="s">
        <v>1796</v>
      </c>
      <c r="D365" t="s">
        <v>506</v>
      </c>
      <c r="E365" t="s">
        <v>4050</v>
      </c>
      <c r="F365" t="s">
        <v>3383</v>
      </c>
      <c r="G365" t="s">
        <v>4090</v>
      </c>
      <c r="H365" t="s">
        <v>4076</v>
      </c>
    </row>
    <row r="366" spans="2:8" x14ac:dyDescent="0.3">
      <c r="B366" t="s">
        <v>4086</v>
      </c>
      <c r="C366" t="s">
        <v>1796</v>
      </c>
      <c r="D366" t="s">
        <v>506</v>
      </c>
      <c r="E366" t="s">
        <v>4050</v>
      </c>
      <c r="F366" t="s">
        <v>3383</v>
      </c>
      <c r="G366" t="s">
        <v>4091</v>
      </c>
      <c r="H366" t="s">
        <v>4054</v>
      </c>
    </row>
    <row r="367" spans="2:8" x14ac:dyDescent="0.3">
      <c r="B367" t="s">
        <v>4086</v>
      </c>
      <c r="C367" t="s">
        <v>1796</v>
      </c>
      <c r="D367" t="s">
        <v>506</v>
      </c>
      <c r="E367" t="s">
        <v>4050</v>
      </c>
      <c r="F367" t="s">
        <v>3383</v>
      </c>
      <c r="G367" t="s">
        <v>4092</v>
      </c>
      <c r="H367" t="s">
        <v>4054</v>
      </c>
    </row>
    <row r="368" spans="2:8" x14ac:dyDescent="0.3">
      <c r="B368" t="s">
        <v>4086</v>
      </c>
      <c r="C368" t="s">
        <v>1796</v>
      </c>
      <c r="D368" t="s">
        <v>506</v>
      </c>
      <c r="E368" t="s">
        <v>4050</v>
      </c>
      <c r="F368" t="s">
        <v>3383</v>
      </c>
      <c r="G368" t="s">
        <v>4093</v>
      </c>
      <c r="H368" t="s">
        <v>4054</v>
      </c>
    </row>
    <row r="369" spans="2:8" x14ac:dyDescent="0.3">
      <c r="B369" t="s">
        <v>4086</v>
      </c>
      <c r="C369" t="s">
        <v>1796</v>
      </c>
      <c r="D369" t="s">
        <v>506</v>
      </c>
      <c r="E369" t="s">
        <v>4050</v>
      </c>
      <c r="F369" t="s">
        <v>3383</v>
      </c>
      <c r="G369" t="s">
        <v>4094</v>
      </c>
      <c r="H369" t="s">
        <v>4054</v>
      </c>
    </row>
    <row r="370" spans="2:8" x14ac:dyDescent="0.3">
      <c r="B370" t="s">
        <v>4086</v>
      </c>
      <c r="C370" t="s">
        <v>1796</v>
      </c>
      <c r="D370" t="s">
        <v>506</v>
      </c>
      <c r="E370" t="s">
        <v>4050</v>
      </c>
      <c r="F370" t="s">
        <v>3383</v>
      </c>
      <c r="G370" t="s">
        <v>4095</v>
      </c>
      <c r="H370" t="s">
        <v>4054</v>
      </c>
    </row>
    <row r="371" spans="2:8" x14ac:dyDescent="0.3">
      <c r="B371" t="s">
        <v>4086</v>
      </c>
      <c r="C371" t="s">
        <v>1796</v>
      </c>
      <c r="D371" t="s">
        <v>506</v>
      </c>
      <c r="E371" t="s">
        <v>4050</v>
      </c>
      <c r="F371" t="s">
        <v>3383</v>
      </c>
      <c r="G371" t="s">
        <v>4096</v>
      </c>
      <c r="H371" t="s">
        <v>4054</v>
      </c>
    </row>
    <row r="372" spans="2:8" x14ac:dyDescent="0.3">
      <c r="B372" t="s">
        <v>4097</v>
      </c>
      <c r="C372" t="s">
        <v>1796</v>
      </c>
      <c r="D372" t="s">
        <v>506</v>
      </c>
      <c r="E372" t="s">
        <v>3410</v>
      </c>
      <c r="F372" t="s">
        <v>3383</v>
      </c>
      <c r="G372" t="s">
        <v>4098</v>
      </c>
      <c r="H372" t="s">
        <v>4081</v>
      </c>
    </row>
    <row r="373" spans="2:8" x14ac:dyDescent="0.3">
      <c r="B373" t="s">
        <v>4097</v>
      </c>
      <c r="C373" t="s">
        <v>1796</v>
      </c>
      <c r="D373" t="s">
        <v>506</v>
      </c>
      <c r="E373" t="s">
        <v>4050</v>
      </c>
      <c r="F373" t="s">
        <v>3383</v>
      </c>
      <c r="G373" t="s">
        <v>4099</v>
      </c>
      <c r="H373" t="s">
        <v>4076</v>
      </c>
    </row>
    <row r="374" spans="2:8" x14ac:dyDescent="0.3">
      <c r="B374" t="s">
        <v>4097</v>
      </c>
      <c r="C374" t="s">
        <v>1796</v>
      </c>
      <c r="D374" t="s">
        <v>506</v>
      </c>
      <c r="E374" t="s">
        <v>4050</v>
      </c>
      <c r="F374" t="s">
        <v>3383</v>
      </c>
      <c r="G374" t="s">
        <v>4100</v>
      </c>
      <c r="H374" t="s">
        <v>4076</v>
      </c>
    </row>
    <row r="375" spans="2:8" x14ac:dyDescent="0.3">
      <c r="B375" t="s">
        <v>4097</v>
      </c>
      <c r="C375" t="s">
        <v>1796</v>
      </c>
      <c r="D375" t="s">
        <v>506</v>
      </c>
      <c r="E375" t="s">
        <v>4050</v>
      </c>
      <c r="F375" t="s">
        <v>3383</v>
      </c>
      <c r="G375" t="s">
        <v>4101</v>
      </c>
      <c r="H375" t="s">
        <v>4076</v>
      </c>
    </row>
    <row r="376" spans="2:8" x14ac:dyDescent="0.3">
      <c r="B376" t="s">
        <v>4097</v>
      </c>
      <c r="C376" t="s">
        <v>1796</v>
      </c>
      <c r="D376" t="s">
        <v>506</v>
      </c>
      <c r="E376" t="s">
        <v>4050</v>
      </c>
      <c r="F376" t="s">
        <v>3383</v>
      </c>
      <c r="G376" t="s">
        <v>4102</v>
      </c>
      <c r="H376" t="s">
        <v>4054</v>
      </c>
    </row>
    <row r="377" spans="2:8" x14ac:dyDescent="0.3">
      <c r="B377" t="s">
        <v>4097</v>
      </c>
      <c r="C377" t="s">
        <v>1796</v>
      </c>
      <c r="D377" t="s">
        <v>506</v>
      </c>
      <c r="E377" t="s">
        <v>4050</v>
      </c>
      <c r="F377" t="s">
        <v>3383</v>
      </c>
      <c r="G377" t="s">
        <v>4103</v>
      </c>
      <c r="H377" t="s">
        <v>4054</v>
      </c>
    </row>
    <row r="378" spans="2:8" x14ac:dyDescent="0.3">
      <c r="B378" t="s">
        <v>4097</v>
      </c>
      <c r="C378" t="s">
        <v>1796</v>
      </c>
      <c r="D378" t="s">
        <v>506</v>
      </c>
      <c r="E378" t="s">
        <v>4050</v>
      </c>
      <c r="F378" t="s">
        <v>3383</v>
      </c>
      <c r="G378" t="s">
        <v>4104</v>
      </c>
      <c r="H378" t="s">
        <v>4054</v>
      </c>
    </row>
    <row r="379" spans="2:8" x14ac:dyDescent="0.3">
      <c r="B379" t="s">
        <v>4097</v>
      </c>
      <c r="C379" t="s">
        <v>1796</v>
      </c>
      <c r="D379" t="s">
        <v>506</v>
      </c>
      <c r="E379" t="s">
        <v>4050</v>
      </c>
      <c r="F379" t="s">
        <v>3383</v>
      </c>
      <c r="G379" t="s">
        <v>4105</v>
      </c>
      <c r="H379" t="s">
        <v>4054</v>
      </c>
    </row>
    <row r="380" spans="2:8" x14ac:dyDescent="0.3">
      <c r="B380" t="s">
        <v>4097</v>
      </c>
      <c r="C380" t="s">
        <v>1796</v>
      </c>
      <c r="D380" t="s">
        <v>506</v>
      </c>
      <c r="E380" t="s">
        <v>4050</v>
      </c>
      <c r="F380" t="s">
        <v>3383</v>
      </c>
      <c r="G380" t="s">
        <v>4106</v>
      </c>
      <c r="H380" t="s">
        <v>4054</v>
      </c>
    </row>
    <row r="381" spans="2:8" x14ac:dyDescent="0.3">
      <c r="B381" t="s">
        <v>4097</v>
      </c>
      <c r="C381" t="s">
        <v>1796</v>
      </c>
      <c r="D381" t="s">
        <v>506</v>
      </c>
      <c r="E381" t="s">
        <v>4050</v>
      </c>
      <c r="F381" t="s">
        <v>3383</v>
      </c>
      <c r="G381" t="s">
        <v>4107</v>
      </c>
      <c r="H381" t="s">
        <v>4054</v>
      </c>
    </row>
    <row r="382" spans="2:8" x14ac:dyDescent="0.3">
      <c r="B382" t="s">
        <v>4097</v>
      </c>
      <c r="C382" t="s">
        <v>1796</v>
      </c>
      <c r="D382" t="s">
        <v>506</v>
      </c>
      <c r="E382" t="s">
        <v>4050</v>
      </c>
      <c r="F382" t="s">
        <v>3383</v>
      </c>
      <c r="G382" t="s">
        <v>4108</v>
      </c>
      <c r="H382" t="s">
        <v>4058</v>
      </c>
    </row>
    <row r="383" spans="2:8" x14ac:dyDescent="0.3">
      <c r="B383" t="s">
        <v>4097</v>
      </c>
      <c r="C383" t="s">
        <v>1796</v>
      </c>
      <c r="D383" t="s">
        <v>506</v>
      </c>
      <c r="E383" t="s">
        <v>4050</v>
      </c>
      <c r="F383" t="s">
        <v>3383</v>
      </c>
      <c r="G383" t="s">
        <v>4109</v>
      </c>
      <c r="H383" t="s">
        <v>4058</v>
      </c>
    </row>
    <row r="384" spans="2:8" x14ac:dyDescent="0.3">
      <c r="B384" t="s">
        <v>4097</v>
      </c>
      <c r="C384" t="s">
        <v>1796</v>
      </c>
      <c r="D384" t="s">
        <v>506</v>
      </c>
      <c r="E384" t="s">
        <v>4050</v>
      </c>
      <c r="F384" t="s">
        <v>3383</v>
      </c>
      <c r="G384" t="s">
        <v>4110</v>
      </c>
      <c r="H384" t="s">
        <v>4058</v>
      </c>
    </row>
    <row r="385" spans="2:8" x14ac:dyDescent="0.3">
      <c r="B385" t="s">
        <v>4097</v>
      </c>
      <c r="C385" t="s">
        <v>1796</v>
      </c>
      <c r="D385" t="s">
        <v>506</v>
      </c>
      <c r="E385" t="s">
        <v>4050</v>
      </c>
      <c r="F385" t="s">
        <v>3383</v>
      </c>
      <c r="G385" t="s">
        <v>4111</v>
      </c>
      <c r="H385" t="s">
        <v>4058</v>
      </c>
    </row>
    <row r="386" spans="2:8" x14ac:dyDescent="0.3">
      <c r="B386" t="s">
        <v>4097</v>
      </c>
      <c r="C386" t="s">
        <v>1796</v>
      </c>
      <c r="D386" t="s">
        <v>506</v>
      </c>
      <c r="E386" t="s">
        <v>4050</v>
      </c>
      <c r="F386" t="s">
        <v>3383</v>
      </c>
      <c r="G386" t="s">
        <v>4112</v>
      </c>
      <c r="H386" t="s">
        <v>4058</v>
      </c>
    </row>
    <row r="387" spans="2:8" x14ac:dyDescent="0.3">
      <c r="B387" t="s">
        <v>4097</v>
      </c>
      <c r="C387" t="s">
        <v>1796</v>
      </c>
      <c r="D387" t="s">
        <v>506</v>
      </c>
      <c r="E387" t="s">
        <v>4050</v>
      </c>
      <c r="F387" t="s">
        <v>3383</v>
      </c>
      <c r="G387" t="s">
        <v>4113</v>
      </c>
      <c r="H387" t="s">
        <v>4056</v>
      </c>
    </row>
    <row r="388" spans="2:8" x14ac:dyDescent="0.3">
      <c r="B388" t="s">
        <v>4097</v>
      </c>
      <c r="C388" t="s">
        <v>1796</v>
      </c>
      <c r="D388" t="s">
        <v>506</v>
      </c>
      <c r="E388" t="s">
        <v>4050</v>
      </c>
      <c r="F388" t="s">
        <v>3383</v>
      </c>
      <c r="G388" t="s">
        <v>4114</v>
      </c>
      <c r="H388" t="s">
        <v>4056</v>
      </c>
    </row>
    <row r="389" spans="2:8" x14ac:dyDescent="0.3">
      <c r="B389" t="s">
        <v>4097</v>
      </c>
      <c r="C389" t="s">
        <v>1796</v>
      </c>
      <c r="D389" t="s">
        <v>506</v>
      </c>
      <c r="E389" t="s">
        <v>4050</v>
      </c>
      <c r="F389" t="s">
        <v>3383</v>
      </c>
      <c r="G389" t="s">
        <v>4115</v>
      </c>
      <c r="H389" t="s">
        <v>4056</v>
      </c>
    </row>
    <row r="390" spans="2:8" x14ac:dyDescent="0.3">
      <c r="B390" t="s">
        <v>4116</v>
      </c>
      <c r="C390" t="s">
        <v>1796</v>
      </c>
      <c r="D390" t="s">
        <v>506</v>
      </c>
      <c r="E390" t="s">
        <v>3410</v>
      </c>
      <c r="F390" t="s">
        <v>3388</v>
      </c>
      <c r="G390" t="s">
        <v>4117</v>
      </c>
      <c r="H390" t="s">
        <v>4084</v>
      </c>
    </row>
    <row r="391" spans="2:8" x14ac:dyDescent="0.3">
      <c r="B391" t="s">
        <v>4116</v>
      </c>
      <c r="C391" t="s">
        <v>1796</v>
      </c>
      <c r="D391" t="s">
        <v>506</v>
      </c>
      <c r="E391" t="s">
        <v>4050</v>
      </c>
      <c r="F391" t="s">
        <v>3388</v>
      </c>
      <c r="G391" t="s">
        <v>4118</v>
      </c>
      <c r="H391" t="s">
        <v>4119</v>
      </c>
    </row>
    <row r="392" spans="2:8" x14ac:dyDescent="0.3">
      <c r="B392" t="s">
        <v>4120</v>
      </c>
      <c r="C392" t="s">
        <v>1796</v>
      </c>
      <c r="D392" t="s">
        <v>506</v>
      </c>
      <c r="E392" t="s">
        <v>4050</v>
      </c>
      <c r="F392" t="s">
        <v>3388</v>
      </c>
      <c r="G392" t="s">
        <v>4121</v>
      </c>
      <c r="H392" t="s">
        <v>4058</v>
      </c>
    </row>
    <row r="393" spans="2:8" x14ac:dyDescent="0.3">
      <c r="B393" t="s">
        <v>4120</v>
      </c>
      <c r="C393" t="s">
        <v>1796</v>
      </c>
      <c r="D393" t="s">
        <v>506</v>
      </c>
      <c r="E393" t="s">
        <v>4050</v>
      </c>
      <c r="F393" t="s">
        <v>3388</v>
      </c>
      <c r="G393" t="s">
        <v>4122</v>
      </c>
      <c r="H393" t="s">
        <v>4054</v>
      </c>
    </row>
    <row r="394" spans="2:8" x14ac:dyDescent="0.3">
      <c r="B394" t="s">
        <v>4120</v>
      </c>
      <c r="C394" t="s">
        <v>1796</v>
      </c>
      <c r="D394" t="s">
        <v>506</v>
      </c>
      <c r="E394" t="s">
        <v>4050</v>
      </c>
      <c r="F394" t="s">
        <v>3388</v>
      </c>
      <c r="G394" t="s">
        <v>4123</v>
      </c>
      <c r="H394" t="s">
        <v>4052</v>
      </c>
    </row>
    <row r="395" spans="2:8" x14ac:dyDescent="0.3">
      <c r="B395" t="s">
        <v>4124</v>
      </c>
      <c r="C395" t="s">
        <v>1796</v>
      </c>
      <c r="D395" t="s">
        <v>506</v>
      </c>
      <c r="E395" t="s">
        <v>4050</v>
      </c>
      <c r="F395" t="s">
        <v>3388</v>
      </c>
      <c r="G395" t="s">
        <v>4125</v>
      </c>
      <c r="H395" t="s">
        <v>4126</v>
      </c>
    </row>
    <row r="396" spans="2:8" x14ac:dyDescent="0.3">
      <c r="B396" t="s">
        <v>4124</v>
      </c>
      <c r="C396" t="s">
        <v>1796</v>
      </c>
      <c r="D396" t="s">
        <v>506</v>
      </c>
      <c r="E396" t="s">
        <v>4050</v>
      </c>
      <c r="F396" t="s">
        <v>3388</v>
      </c>
      <c r="G396" t="s">
        <v>4127</v>
      </c>
      <c r="H396" t="s">
        <v>4126</v>
      </c>
    </row>
    <row r="397" spans="2:8" x14ac:dyDescent="0.3">
      <c r="B397" t="s">
        <v>4120</v>
      </c>
      <c r="C397" t="s">
        <v>1796</v>
      </c>
      <c r="D397" t="s">
        <v>506</v>
      </c>
      <c r="E397" t="s">
        <v>4050</v>
      </c>
      <c r="F397" t="s">
        <v>3388</v>
      </c>
      <c r="G397" t="s">
        <v>4128</v>
      </c>
      <c r="H397" t="s">
        <v>4054</v>
      </c>
    </row>
    <row r="398" spans="2:8" x14ac:dyDescent="0.3">
      <c r="B398" t="s">
        <v>4120</v>
      </c>
      <c r="C398" t="s">
        <v>1796</v>
      </c>
      <c r="D398" t="s">
        <v>506</v>
      </c>
      <c r="E398" t="s">
        <v>4050</v>
      </c>
      <c r="F398" t="s">
        <v>3388</v>
      </c>
      <c r="G398" t="s">
        <v>4129</v>
      </c>
      <c r="H398" t="s">
        <v>4058</v>
      </c>
    </row>
    <row r="399" spans="2:8" x14ac:dyDescent="0.3">
      <c r="B399" t="s">
        <v>4124</v>
      </c>
      <c r="C399" t="s">
        <v>1796</v>
      </c>
      <c r="D399" t="s">
        <v>506</v>
      </c>
      <c r="E399" t="s">
        <v>4050</v>
      </c>
      <c r="F399" t="s">
        <v>3388</v>
      </c>
      <c r="G399" t="s">
        <v>4130</v>
      </c>
      <c r="H399" t="s">
        <v>4131</v>
      </c>
    </row>
    <row r="400" spans="2:8" x14ac:dyDescent="0.3">
      <c r="B400" t="s">
        <v>4120</v>
      </c>
      <c r="C400" t="s">
        <v>1796</v>
      </c>
      <c r="D400" t="s">
        <v>506</v>
      </c>
      <c r="E400" t="s">
        <v>4050</v>
      </c>
      <c r="F400" t="s">
        <v>3388</v>
      </c>
      <c r="G400" t="s">
        <v>4132</v>
      </c>
      <c r="H400" t="s">
        <v>4054</v>
      </c>
    </row>
    <row r="401" spans="2:8" x14ac:dyDescent="0.3">
      <c r="B401" t="s">
        <v>4120</v>
      </c>
      <c r="C401" t="s">
        <v>1796</v>
      </c>
      <c r="D401" t="s">
        <v>506</v>
      </c>
      <c r="E401" t="s">
        <v>4050</v>
      </c>
      <c r="F401" t="s">
        <v>3388</v>
      </c>
      <c r="G401" t="s">
        <v>4133</v>
      </c>
      <c r="H401" t="s">
        <v>4058</v>
      </c>
    </row>
    <row r="402" spans="2:8" x14ac:dyDescent="0.3">
      <c r="B402" t="s">
        <v>4120</v>
      </c>
      <c r="C402" t="s">
        <v>1796</v>
      </c>
      <c r="D402" t="s">
        <v>506</v>
      </c>
      <c r="E402" t="s">
        <v>4050</v>
      </c>
      <c r="F402" t="s">
        <v>3388</v>
      </c>
      <c r="G402" t="s">
        <v>4134</v>
      </c>
      <c r="H402" t="s">
        <v>4058</v>
      </c>
    </row>
    <row r="403" spans="2:8" x14ac:dyDescent="0.3">
      <c r="B403" t="s">
        <v>4120</v>
      </c>
      <c r="C403" t="s">
        <v>1796</v>
      </c>
      <c r="D403" t="s">
        <v>506</v>
      </c>
      <c r="E403" t="s">
        <v>4050</v>
      </c>
      <c r="F403" t="s">
        <v>3388</v>
      </c>
      <c r="G403" t="s">
        <v>4135</v>
      </c>
      <c r="H403" t="s">
        <v>4058</v>
      </c>
    </row>
    <row r="404" spans="2:8" x14ac:dyDescent="0.3">
      <c r="B404" t="s">
        <v>4120</v>
      </c>
      <c r="C404" t="s">
        <v>1796</v>
      </c>
      <c r="D404" t="s">
        <v>506</v>
      </c>
      <c r="E404" t="s">
        <v>4050</v>
      </c>
      <c r="F404" t="s">
        <v>3388</v>
      </c>
      <c r="G404" t="s">
        <v>4136</v>
      </c>
      <c r="H404" t="s">
        <v>4052</v>
      </c>
    </row>
    <row r="405" spans="2:8" x14ac:dyDescent="0.3">
      <c r="B405" t="s">
        <v>4124</v>
      </c>
      <c r="C405" t="s">
        <v>1796</v>
      </c>
      <c r="D405" t="s">
        <v>506</v>
      </c>
      <c r="E405" t="s">
        <v>3410</v>
      </c>
      <c r="F405" t="s">
        <v>3388</v>
      </c>
      <c r="G405" t="s">
        <v>4137</v>
      </c>
      <c r="H405" t="s">
        <v>4084</v>
      </c>
    </row>
    <row r="406" spans="2:8" x14ac:dyDescent="0.3">
      <c r="B406" t="s">
        <v>4138</v>
      </c>
      <c r="C406" t="s">
        <v>1796</v>
      </c>
      <c r="D406" t="s">
        <v>506</v>
      </c>
      <c r="E406" t="s">
        <v>3410</v>
      </c>
      <c r="F406" t="s">
        <v>3388</v>
      </c>
      <c r="G406" t="s">
        <v>4139</v>
      </c>
      <c r="H406" t="s">
        <v>4131</v>
      </c>
    </row>
    <row r="407" spans="2:8" x14ac:dyDescent="0.3">
      <c r="B407" t="s">
        <v>4138</v>
      </c>
      <c r="C407" t="s">
        <v>1796</v>
      </c>
      <c r="D407" t="s">
        <v>506</v>
      </c>
      <c r="E407" t="s">
        <v>4050</v>
      </c>
      <c r="F407" t="s">
        <v>3388</v>
      </c>
      <c r="G407" t="s">
        <v>4140</v>
      </c>
      <c r="H407" t="s">
        <v>4076</v>
      </c>
    </row>
    <row r="408" spans="2:8" x14ac:dyDescent="0.3">
      <c r="B408" t="s">
        <v>4141</v>
      </c>
      <c r="C408" t="s">
        <v>1796</v>
      </c>
      <c r="D408" t="s">
        <v>506</v>
      </c>
      <c r="E408" t="s">
        <v>3410</v>
      </c>
      <c r="F408" t="s">
        <v>3388</v>
      </c>
      <c r="G408" t="s">
        <v>4142</v>
      </c>
      <c r="H408" t="s">
        <v>4081</v>
      </c>
    </row>
    <row r="409" spans="2:8" x14ac:dyDescent="0.3">
      <c r="B409" t="s">
        <v>4141</v>
      </c>
      <c r="C409" t="s">
        <v>1796</v>
      </c>
      <c r="D409" t="s">
        <v>506</v>
      </c>
      <c r="E409" t="s">
        <v>3410</v>
      </c>
      <c r="F409" t="s">
        <v>3388</v>
      </c>
      <c r="G409" t="s">
        <v>4143</v>
      </c>
      <c r="H409" t="s">
        <v>4081</v>
      </c>
    </row>
    <row r="410" spans="2:8" x14ac:dyDescent="0.3">
      <c r="B410" t="s">
        <v>4144</v>
      </c>
      <c r="C410" t="s">
        <v>1796</v>
      </c>
      <c r="D410" t="s">
        <v>506</v>
      </c>
      <c r="E410" t="s">
        <v>3410</v>
      </c>
      <c r="F410" t="s">
        <v>3388</v>
      </c>
      <c r="G410" t="s">
        <v>4145</v>
      </c>
      <c r="H410" t="s">
        <v>4084</v>
      </c>
    </row>
    <row r="411" spans="2:8" x14ac:dyDescent="0.3">
      <c r="B411" t="s">
        <v>4146</v>
      </c>
      <c r="C411" t="s">
        <v>1796</v>
      </c>
      <c r="D411" t="s">
        <v>506</v>
      </c>
      <c r="E411" t="s">
        <v>3410</v>
      </c>
      <c r="F411" t="s">
        <v>3388</v>
      </c>
      <c r="G411" t="s">
        <v>4147</v>
      </c>
      <c r="H411" t="s">
        <v>4131</v>
      </c>
    </row>
    <row r="412" spans="2:8" x14ac:dyDescent="0.3">
      <c r="B412" t="s">
        <v>4141</v>
      </c>
      <c r="C412" t="s">
        <v>1796</v>
      </c>
      <c r="D412" t="s">
        <v>506</v>
      </c>
      <c r="E412" t="s">
        <v>4050</v>
      </c>
      <c r="F412" t="s">
        <v>3388</v>
      </c>
      <c r="G412" t="s">
        <v>4148</v>
      </c>
      <c r="H412" t="s">
        <v>4076</v>
      </c>
    </row>
    <row r="413" spans="2:8" x14ac:dyDescent="0.3">
      <c r="B413" t="s">
        <v>4141</v>
      </c>
      <c r="C413" t="s">
        <v>1796</v>
      </c>
      <c r="D413" t="s">
        <v>506</v>
      </c>
      <c r="E413" t="s">
        <v>4050</v>
      </c>
      <c r="F413" t="s">
        <v>3388</v>
      </c>
      <c r="G413" t="s">
        <v>4149</v>
      </c>
      <c r="H413" t="s">
        <v>4076</v>
      </c>
    </row>
    <row r="414" spans="2:8" x14ac:dyDescent="0.3">
      <c r="B414" t="s">
        <v>4150</v>
      </c>
      <c r="C414" t="s">
        <v>1796</v>
      </c>
      <c r="D414" t="s">
        <v>506</v>
      </c>
      <c r="E414" t="s">
        <v>3410</v>
      </c>
      <c r="F414" t="s">
        <v>3397</v>
      </c>
      <c r="G414" t="s">
        <v>4151</v>
      </c>
      <c r="H414" t="s">
        <v>4081</v>
      </c>
    </row>
    <row r="415" spans="2:8" x14ac:dyDescent="0.3">
      <c r="B415" t="s">
        <v>4150</v>
      </c>
      <c r="C415" t="s">
        <v>1796</v>
      </c>
      <c r="D415" t="s">
        <v>506</v>
      </c>
      <c r="E415" t="s">
        <v>3410</v>
      </c>
      <c r="F415" t="s">
        <v>3397</v>
      </c>
      <c r="G415" t="s">
        <v>4152</v>
      </c>
      <c r="H415" t="s">
        <v>4081</v>
      </c>
    </row>
    <row r="416" spans="2:8" x14ac:dyDescent="0.3">
      <c r="B416" t="s">
        <v>4150</v>
      </c>
      <c r="C416" t="s">
        <v>1796</v>
      </c>
      <c r="D416" t="s">
        <v>506</v>
      </c>
      <c r="E416" t="s">
        <v>3410</v>
      </c>
      <c r="F416" t="s">
        <v>3397</v>
      </c>
      <c r="G416" t="s">
        <v>4153</v>
      </c>
      <c r="H416" t="s">
        <v>4081</v>
      </c>
    </row>
    <row r="417" spans="2:8" x14ac:dyDescent="0.3">
      <c r="B417" t="s">
        <v>4150</v>
      </c>
      <c r="C417" t="s">
        <v>1796</v>
      </c>
      <c r="D417" t="s">
        <v>506</v>
      </c>
      <c r="E417" t="s">
        <v>4050</v>
      </c>
      <c r="F417" t="s">
        <v>3397</v>
      </c>
      <c r="G417" t="s">
        <v>4154</v>
      </c>
      <c r="H417" t="s">
        <v>4052</v>
      </c>
    </row>
    <row r="418" spans="2:8" x14ac:dyDescent="0.3">
      <c r="B418" t="s">
        <v>4150</v>
      </c>
      <c r="C418" t="s">
        <v>1796</v>
      </c>
      <c r="D418" t="s">
        <v>506</v>
      </c>
      <c r="E418" t="s">
        <v>4050</v>
      </c>
      <c r="F418" t="s">
        <v>3397</v>
      </c>
      <c r="G418" t="s">
        <v>4155</v>
      </c>
      <c r="H418" t="s">
        <v>4058</v>
      </c>
    </row>
    <row r="419" spans="2:8" x14ac:dyDescent="0.3">
      <c r="B419" t="s">
        <v>4150</v>
      </c>
      <c r="C419" t="s">
        <v>1796</v>
      </c>
      <c r="D419" t="s">
        <v>506</v>
      </c>
      <c r="E419" t="s">
        <v>4050</v>
      </c>
      <c r="F419" t="s">
        <v>3397</v>
      </c>
      <c r="G419" t="s">
        <v>4156</v>
      </c>
      <c r="H419" t="s">
        <v>4058</v>
      </c>
    </row>
    <row r="420" spans="2:8" x14ac:dyDescent="0.3">
      <c r="B420" t="s">
        <v>4150</v>
      </c>
      <c r="C420" t="s">
        <v>1796</v>
      </c>
      <c r="D420" t="s">
        <v>506</v>
      </c>
      <c r="E420" t="s">
        <v>4050</v>
      </c>
      <c r="F420" t="s">
        <v>3397</v>
      </c>
      <c r="G420" t="s">
        <v>4157</v>
      </c>
      <c r="H420" t="s">
        <v>4058</v>
      </c>
    </row>
    <row r="421" spans="2:8" x14ac:dyDescent="0.3">
      <c r="B421" t="s">
        <v>4150</v>
      </c>
      <c r="C421" t="s">
        <v>1796</v>
      </c>
      <c r="D421" t="s">
        <v>506</v>
      </c>
      <c r="E421" t="s">
        <v>4050</v>
      </c>
      <c r="F421" t="s">
        <v>3397</v>
      </c>
      <c r="G421" t="s">
        <v>4158</v>
      </c>
      <c r="H421" t="s">
        <v>4058</v>
      </c>
    </row>
    <row r="422" spans="2:8" x14ac:dyDescent="0.3">
      <c r="B422" t="s">
        <v>4150</v>
      </c>
      <c r="C422" t="s">
        <v>1796</v>
      </c>
      <c r="D422" t="s">
        <v>506</v>
      </c>
      <c r="E422" t="s">
        <v>4050</v>
      </c>
      <c r="F422" t="s">
        <v>3397</v>
      </c>
      <c r="G422" t="s">
        <v>4159</v>
      </c>
      <c r="H422" t="s">
        <v>4058</v>
      </c>
    </row>
    <row r="423" spans="2:8" x14ac:dyDescent="0.3">
      <c r="B423" t="s">
        <v>4160</v>
      </c>
      <c r="C423" t="s">
        <v>1796</v>
      </c>
      <c r="D423" t="s">
        <v>506</v>
      </c>
      <c r="E423" t="s">
        <v>3410</v>
      </c>
      <c r="F423" t="s">
        <v>3397</v>
      </c>
      <c r="G423" t="s">
        <v>4161</v>
      </c>
      <c r="H423" t="s">
        <v>4084</v>
      </c>
    </row>
    <row r="424" spans="2:8" x14ac:dyDescent="0.3">
      <c r="B424" t="s">
        <v>4162</v>
      </c>
      <c r="C424" t="s">
        <v>1796</v>
      </c>
      <c r="D424" t="s">
        <v>506</v>
      </c>
      <c r="E424" t="s">
        <v>4050</v>
      </c>
      <c r="F424" t="s">
        <v>3397</v>
      </c>
      <c r="G424" t="s">
        <v>4163</v>
      </c>
      <c r="H424" t="s">
        <v>4054</v>
      </c>
    </row>
    <row r="425" spans="2:8" x14ac:dyDescent="0.3">
      <c r="B425" t="s">
        <v>4162</v>
      </c>
      <c r="C425" t="s">
        <v>1796</v>
      </c>
      <c r="D425" t="s">
        <v>506</v>
      </c>
      <c r="E425" t="s">
        <v>4050</v>
      </c>
      <c r="F425" t="s">
        <v>3397</v>
      </c>
      <c r="G425" t="s">
        <v>4164</v>
      </c>
      <c r="H425" t="s">
        <v>4054</v>
      </c>
    </row>
    <row r="426" spans="2:8" x14ac:dyDescent="0.3">
      <c r="B426" t="s">
        <v>4162</v>
      </c>
      <c r="C426" t="s">
        <v>1796</v>
      </c>
      <c r="D426" t="s">
        <v>506</v>
      </c>
      <c r="E426" t="s">
        <v>4050</v>
      </c>
      <c r="F426" t="s">
        <v>3397</v>
      </c>
      <c r="G426" t="s">
        <v>4165</v>
      </c>
      <c r="H426" t="s">
        <v>4054</v>
      </c>
    </row>
    <row r="427" spans="2:8" x14ac:dyDescent="0.3">
      <c r="B427" t="s">
        <v>4162</v>
      </c>
      <c r="C427" t="s">
        <v>1796</v>
      </c>
      <c r="D427" t="s">
        <v>506</v>
      </c>
      <c r="E427" t="s">
        <v>4050</v>
      </c>
      <c r="F427" t="s">
        <v>3397</v>
      </c>
      <c r="G427" t="s">
        <v>4166</v>
      </c>
      <c r="H427" t="s">
        <v>4058</v>
      </c>
    </row>
    <row r="428" spans="2:8" x14ac:dyDescent="0.3">
      <c r="B428" t="s">
        <v>4162</v>
      </c>
      <c r="C428" t="s">
        <v>1796</v>
      </c>
      <c r="D428" t="s">
        <v>506</v>
      </c>
      <c r="E428" t="s">
        <v>4050</v>
      </c>
      <c r="F428" t="s">
        <v>3397</v>
      </c>
      <c r="G428" t="s">
        <v>4167</v>
      </c>
      <c r="H428" t="s">
        <v>4058</v>
      </c>
    </row>
    <row r="429" spans="2:8" x14ac:dyDescent="0.3">
      <c r="B429" t="s">
        <v>4162</v>
      </c>
      <c r="C429" t="s">
        <v>1796</v>
      </c>
      <c r="D429" t="s">
        <v>506</v>
      </c>
      <c r="E429" t="s">
        <v>4050</v>
      </c>
      <c r="F429" t="s">
        <v>3397</v>
      </c>
      <c r="G429" t="s">
        <v>4168</v>
      </c>
      <c r="H429" t="s">
        <v>4058</v>
      </c>
    </row>
    <row r="430" spans="2:8" x14ac:dyDescent="0.3">
      <c r="B430" t="s">
        <v>4162</v>
      </c>
      <c r="C430" t="s">
        <v>1796</v>
      </c>
      <c r="D430" t="s">
        <v>506</v>
      </c>
      <c r="E430" t="s">
        <v>4050</v>
      </c>
      <c r="F430" t="s">
        <v>3397</v>
      </c>
      <c r="G430" t="s">
        <v>4169</v>
      </c>
      <c r="H430" t="s">
        <v>4058</v>
      </c>
    </row>
    <row r="431" spans="2:8" x14ac:dyDescent="0.3">
      <c r="B431" t="s">
        <v>4150</v>
      </c>
      <c r="C431" t="s">
        <v>1796</v>
      </c>
      <c r="D431" t="s">
        <v>506</v>
      </c>
      <c r="E431" t="s">
        <v>4050</v>
      </c>
      <c r="F431" t="s">
        <v>3397</v>
      </c>
      <c r="G431" t="s">
        <v>4170</v>
      </c>
      <c r="H431" t="s">
        <v>4076</v>
      </c>
    </row>
    <row r="432" spans="2:8" x14ac:dyDescent="0.3">
      <c r="B432" t="s">
        <v>4171</v>
      </c>
      <c r="C432" t="s">
        <v>1796</v>
      </c>
      <c r="D432" t="s">
        <v>506</v>
      </c>
      <c r="E432" t="s">
        <v>3410</v>
      </c>
      <c r="F432" t="s">
        <v>3383</v>
      </c>
      <c r="G432" t="s">
        <v>4172</v>
      </c>
      <c r="H432" t="s">
        <v>4081</v>
      </c>
    </row>
    <row r="433" spans="2:8" x14ac:dyDescent="0.3">
      <c r="B433" t="s">
        <v>4171</v>
      </c>
      <c r="C433" t="s">
        <v>1796</v>
      </c>
      <c r="D433" t="s">
        <v>506</v>
      </c>
      <c r="E433" t="s">
        <v>3410</v>
      </c>
      <c r="F433" t="s">
        <v>3383</v>
      </c>
      <c r="G433" t="s">
        <v>4173</v>
      </c>
      <c r="H433" t="s">
        <v>4081</v>
      </c>
    </row>
    <row r="434" spans="2:8" x14ac:dyDescent="0.3">
      <c r="B434" t="s">
        <v>4171</v>
      </c>
      <c r="C434" t="s">
        <v>1796</v>
      </c>
      <c r="D434" t="s">
        <v>506</v>
      </c>
      <c r="E434" t="s">
        <v>4050</v>
      </c>
      <c r="F434" t="s">
        <v>3383</v>
      </c>
      <c r="G434" t="s">
        <v>4174</v>
      </c>
      <c r="H434" t="s">
        <v>4175</v>
      </c>
    </row>
    <row r="435" spans="2:8" x14ac:dyDescent="0.3">
      <c r="B435" t="s">
        <v>4171</v>
      </c>
      <c r="C435" t="s">
        <v>1796</v>
      </c>
      <c r="D435" t="s">
        <v>506</v>
      </c>
      <c r="E435" t="s">
        <v>4050</v>
      </c>
      <c r="F435" t="s">
        <v>3383</v>
      </c>
      <c r="G435" t="s">
        <v>4176</v>
      </c>
      <c r="H435" t="s">
        <v>4177</v>
      </c>
    </row>
    <row r="436" spans="2:8" x14ac:dyDescent="0.3">
      <c r="B436" t="s">
        <v>4171</v>
      </c>
      <c r="C436" t="s">
        <v>1796</v>
      </c>
      <c r="D436" t="s">
        <v>506</v>
      </c>
      <c r="E436" t="s">
        <v>4050</v>
      </c>
      <c r="F436" t="s">
        <v>3383</v>
      </c>
      <c r="G436" t="s">
        <v>4178</v>
      </c>
      <c r="H436" t="s">
        <v>4052</v>
      </c>
    </row>
    <row r="437" spans="2:8" x14ac:dyDescent="0.3">
      <c r="B437" t="s">
        <v>4171</v>
      </c>
      <c r="C437" t="s">
        <v>1796</v>
      </c>
      <c r="D437" t="s">
        <v>506</v>
      </c>
      <c r="E437" t="s">
        <v>4050</v>
      </c>
      <c r="F437" t="s">
        <v>3383</v>
      </c>
      <c r="G437" t="s">
        <v>4179</v>
      </c>
      <c r="H437" t="s">
        <v>4054</v>
      </c>
    </row>
    <row r="438" spans="2:8" x14ac:dyDescent="0.3">
      <c r="B438" t="s">
        <v>4171</v>
      </c>
      <c r="C438" t="s">
        <v>1796</v>
      </c>
      <c r="D438" t="s">
        <v>506</v>
      </c>
      <c r="E438" t="s">
        <v>4050</v>
      </c>
      <c r="F438" t="s">
        <v>3383</v>
      </c>
      <c r="G438" t="s">
        <v>4180</v>
      </c>
      <c r="H438" t="s">
        <v>4054</v>
      </c>
    </row>
    <row r="439" spans="2:8" x14ac:dyDescent="0.3">
      <c r="B439" t="s">
        <v>4181</v>
      </c>
      <c r="C439" t="s">
        <v>1796</v>
      </c>
      <c r="D439" t="s">
        <v>506</v>
      </c>
      <c r="E439" t="s">
        <v>3410</v>
      </c>
      <c r="F439" t="s">
        <v>3383</v>
      </c>
      <c r="G439" t="s">
        <v>4182</v>
      </c>
      <c r="H439" t="s">
        <v>4081</v>
      </c>
    </row>
    <row r="440" spans="2:8" x14ac:dyDescent="0.3">
      <c r="B440" t="s">
        <v>4181</v>
      </c>
      <c r="C440" t="s">
        <v>1796</v>
      </c>
      <c r="D440" t="s">
        <v>506</v>
      </c>
      <c r="E440" t="s">
        <v>4050</v>
      </c>
      <c r="F440" t="s">
        <v>3383</v>
      </c>
      <c r="G440" t="s">
        <v>4183</v>
      </c>
      <c r="H440" t="s">
        <v>4054</v>
      </c>
    </row>
    <row r="441" spans="2:8" x14ac:dyDescent="0.3">
      <c r="B441" t="s">
        <v>4181</v>
      </c>
      <c r="C441" t="s">
        <v>1796</v>
      </c>
      <c r="D441" t="s">
        <v>506</v>
      </c>
      <c r="E441" t="s">
        <v>4050</v>
      </c>
      <c r="F441" t="s">
        <v>3383</v>
      </c>
      <c r="G441" t="s">
        <v>4184</v>
      </c>
      <c r="H441" t="s">
        <v>4054</v>
      </c>
    </row>
    <row r="442" spans="2:8" x14ac:dyDescent="0.3">
      <c r="B442" t="s">
        <v>4181</v>
      </c>
      <c r="C442" t="s">
        <v>1796</v>
      </c>
      <c r="D442" t="s">
        <v>506</v>
      </c>
      <c r="E442" t="s">
        <v>4050</v>
      </c>
      <c r="F442" t="s">
        <v>3383</v>
      </c>
      <c r="G442" t="s">
        <v>4185</v>
      </c>
      <c r="H442" t="s">
        <v>4054</v>
      </c>
    </row>
    <row r="443" spans="2:8" x14ac:dyDescent="0.3">
      <c r="B443" t="s">
        <v>4186</v>
      </c>
      <c r="C443" t="s">
        <v>1796</v>
      </c>
      <c r="D443" t="s">
        <v>506</v>
      </c>
      <c r="E443" t="s">
        <v>3410</v>
      </c>
      <c r="F443" t="s">
        <v>3383</v>
      </c>
      <c r="G443" t="s">
        <v>4187</v>
      </c>
      <c r="H443" t="s">
        <v>4084</v>
      </c>
    </row>
    <row r="444" spans="2:8" x14ac:dyDescent="0.3">
      <c r="B444" t="s">
        <v>4181</v>
      </c>
      <c r="C444" t="s">
        <v>1796</v>
      </c>
      <c r="D444" t="s">
        <v>506</v>
      </c>
      <c r="E444" t="s">
        <v>3410</v>
      </c>
      <c r="F444" t="s">
        <v>3383</v>
      </c>
      <c r="G444" t="s">
        <v>4188</v>
      </c>
      <c r="H444" t="s">
        <v>4081</v>
      </c>
    </row>
    <row r="445" spans="2:8" x14ac:dyDescent="0.3">
      <c r="B445" t="s">
        <v>4181</v>
      </c>
      <c r="C445" t="s">
        <v>1796</v>
      </c>
      <c r="D445" t="s">
        <v>506</v>
      </c>
      <c r="E445" t="s">
        <v>4050</v>
      </c>
      <c r="F445" t="s">
        <v>3383</v>
      </c>
      <c r="G445" t="s">
        <v>4189</v>
      </c>
      <c r="H445" t="s">
        <v>4076</v>
      </c>
    </row>
    <row r="446" spans="2:8" x14ac:dyDescent="0.3">
      <c r="B446" t="s">
        <v>4186</v>
      </c>
      <c r="C446" t="s">
        <v>1796</v>
      </c>
      <c r="D446" t="s">
        <v>506</v>
      </c>
      <c r="E446" t="s">
        <v>4050</v>
      </c>
      <c r="F446" t="s">
        <v>3383</v>
      </c>
      <c r="G446" t="s">
        <v>4190</v>
      </c>
      <c r="H446" t="s">
        <v>4076</v>
      </c>
    </row>
    <row r="447" spans="2:8" x14ac:dyDescent="0.3">
      <c r="B447" t="s">
        <v>4186</v>
      </c>
      <c r="C447" t="s">
        <v>1796</v>
      </c>
      <c r="D447" t="s">
        <v>506</v>
      </c>
      <c r="E447" t="s">
        <v>4050</v>
      </c>
      <c r="F447" t="s">
        <v>3383</v>
      </c>
      <c r="G447" t="s">
        <v>4191</v>
      </c>
      <c r="H447" t="s">
        <v>4076</v>
      </c>
    </row>
    <row r="448" spans="2:8" x14ac:dyDescent="0.3">
      <c r="B448" t="s">
        <v>4186</v>
      </c>
      <c r="C448" t="s">
        <v>1796</v>
      </c>
      <c r="D448" t="s">
        <v>506</v>
      </c>
      <c r="E448" t="s">
        <v>4050</v>
      </c>
      <c r="F448" t="s">
        <v>3383</v>
      </c>
      <c r="G448" t="s">
        <v>4192</v>
      </c>
      <c r="H448" t="s">
        <v>4076</v>
      </c>
    </row>
    <row r="449" spans="2:8" x14ac:dyDescent="0.3">
      <c r="B449" t="s">
        <v>4171</v>
      </c>
      <c r="C449" t="s">
        <v>1796</v>
      </c>
      <c r="D449" t="s">
        <v>506</v>
      </c>
      <c r="E449" t="s">
        <v>4050</v>
      </c>
      <c r="F449" t="s">
        <v>3383</v>
      </c>
      <c r="G449" t="s">
        <v>4193</v>
      </c>
      <c r="H449" t="s">
        <v>4054</v>
      </c>
    </row>
    <row r="450" spans="2:8" x14ac:dyDescent="0.3">
      <c r="B450" t="s">
        <v>4171</v>
      </c>
      <c r="C450" t="s">
        <v>1796</v>
      </c>
      <c r="D450" t="s">
        <v>506</v>
      </c>
      <c r="E450" t="s">
        <v>4050</v>
      </c>
      <c r="F450" t="s">
        <v>3383</v>
      </c>
      <c r="G450" t="s">
        <v>4194</v>
      </c>
      <c r="H450" t="s">
        <v>4076</v>
      </c>
    </row>
    <row r="451" spans="2:8" x14ac:dyDescent="0.3">
      <c r="B451" t="s">
        <v>4171</v>
      </c>
      <c r="C451" t="s">
        <v>1796</v>
      </c>
      <c r="D451" t="s">
        <v>506</v>
      </c>
      <c r="E451" t="s">
        <v>4050</v>
      </c>
      <c r="F451" t="s">
        <v>3383</v>
      </c>
      <c r="G451" t="s">
        <v>4195</v>
      </c>
      <c r="H451" t="s">
        <v>4076</v>
      </c>
    </row>
    <row r="452" spans="2:8" x14ac:dyDescent="0.3">
      <c r="B452" t="s">
        <v>4171</v>
      </c>
      <c r="C452" t="s">
        <v>1796</v>
      </c>
      <c r="D452" t="s">
        <v>506</v>
      </c>
      <c r="E452" t="s">
        <v>4050</v>
      </c>
      <c r="F452" t="s">
        <v>3383</v>
      </c>
      <c r="G452" t="s">
        <v>4196</v>
      </c>
      <c r="H452" t="s">
        <v>4056</v>
      </c>
    </row>
    <row r="453" spans="2:8" x14ac:dyDescent="0.3">
      <c r="B453" t="s">
        <v>4171</v>
      </c>
      <c r="C453" t="s">
        <v>1796</v>
      </c>
      <c r="D453" t="s">
        <v>506</v>
      </c>
      <c r="E453" t="s">
        <v>4050</v>
      </c>
      <c r="F453" t="s">
        <v>3383</v>
      </c>
      <c r="G453" t="s">
        <v>4197</v>
      </c>
      <c r="H453" t="s">
        <v>4056</v>
      </c>
    </row>
    <row r="454" spans="2:8" x14ac:dyDescent="0.3">
      <c r="B454" t="s">
        <v>4171</v>
      </c>
      <c r="C454" t="s">
        <v>1796</v>
      </c>
      <c r="D454" t="s">
        <v>506</v>
      </c>
      <c r="E454" t="s">
        <v>4050</v>
      </c>
      <c r="F454" t="s">
        <v>3383</v>
      </c>
      <c r="G454" t="s">
        <v>4198</v>
      </c>
      <c r="H454" t="s">
        <v>4056</v>
      </c>
    </row>
    <row r="455" spans="2:8" x14ac:dyDescent="0.3">
      <c r="B455" t="s">
        <v>4171</v>
      </c>
      <c r="C455" t="s">
        <v>1796</v>
      </c>
      <c r="D455" t="s">
        <v>506</v>
      </c>
      <c r="E455" t="s">
        <v>4050</v>
      </c>
      <c r="F455" t="s">
        <v>3383</v>
      </c>
      <c r="G455" t="s">
        <v>4199</v>
      </c>
      <c r="H455" t="s">
        <v>4200</v>
      </c>
    </row>
    <row r="456" spans="2:8" x14ac:dyDescent="0.3">
      <c r="B456" t="s">
        <v>4171</v>
      </c>
      <c r="C456" t="s">
        <v>1796</v>
      </c>
      <c r="D456" t="s">
        <v>506</v>
      </c>
      <c r="E456" t="s">
        <v>4050</v>
      </c>
      <c r="F456" t="s">
        <v>3383</v>
      </c>
      <c r="G456" t="s">
        <v>4201</v>
      </c>
      <c r="H456" t="s">
        <v>4200</v>
      </c>
    </row>
    <row r="457" spans="2:8" x14ac:dyDescent="0.3">
      <c r="B457" t="s">
        <v>4171</v>
      </c>
      <c r="C457" t="s">
        <v>1796</v>
      </c>
      <c r="D457" t="s">
        <v>506</v>
      </c>
      <c r="E457" t="s">
        <v>4050</v>
      </c>
      <c r="F457" t="s">
        <v>3383</v>
      </c>
      <c r="G457" t="s">
        <v>4202</v>
      </c>
      <c r="H457" t="s">
        <v>4200</v>
      </c>
    </row>
    <row r="458" spans="2:8" x14ac:dyDescent="0.3">
      <c r="B458" t="s">
        <v>4171</v>
      </c>
      <c r="C458" t="s">
        <v>1796</v>
      </c>
      <c r="D458" t="s">
        <v>506</v>
      </c>
      <c r="E458" t="s">
        <v>4050</v>
      </c>
      <c r="F458" t="s">
        <v>3383</v>
      </c>
      <c r="G458" t="s">
        <v>4203</v>
      </c>
      <c r="H458" t="s">
        <v>4076</v>
      </c>
    </row>
    <row r="459" spans="2:8" x14ac:dyDescent="0.3">
      <c r="B459" t="s">
        <v>4171</v>
      </c>
      <c r="C459" t="s">
        <v>1796</v>
      </c>
      <c r="D459" t="s">
        <v>506</v>
      </c>
      <c r="E459" t="s">
        <v>4050</v>
      </c>
      <c r="F459" t="s">
        <v>3383</v>
      </c>
      <c r="G459" t="s">
        <v>4204</v>
      </c>
      <c r="H459" t="s">
        <v>4076</v>
      </c>
    </row>
    <row r="460" spans="2:8" x14ac:dyDescent="0.3">
      <c r="B460" t="s">
        <v>4205</v>
      </c>
      <c r="C460" t="s">
        <v>1796</v>
      </c>
      <c r="D460" t="s">
        <v>506</v>
      </c>
      <c r="E460" t="s">
        <v>4050</v>
      </c>
      <c r="F460" t="s">
        <v>3397</v>
      </c>
      <c r="G460" t="s">
        <v>4206</v>
      </c>
      <c r="H460" t="s">
        <v>4076</v>
      </c>
    </row>
    <row r="461" spans="2:8" x14ac:dyDescent="0.3">
      <c r="B461" t="s">
        <v>4205</v>
      </c>
      <c r="C461" t="s">
        <v>1796</v>
      </c>
      <c r="D461" t="s">
        <v>506</v>
      </c>
      <c r="E461" t="s">
        <v>4050</v>
      </c>
      <c r="F461" t="s">
        <v>3397</v>
      </c>
      <c r="G461" t="s">
        <v>4207</v>
      </c>
      <c r="H461" t="s">
        <v>4076</v>
      </c>
    </row>
    <row r="462" spans="2:8" x14ac:dyDescent="0.3">
      <c r="B462" t="s">
        <v>4205</v>
      </c>
      <c r="C462" t="s">
        <v>1796</v>
      </c>
      <c r="D462" t="s">
        <v>506</v>
      </c>
      <c r="E462" t="s">
        <v>4050</v>
      </c>
      <c r="F462" t="s">
        <v>3397</v>
      </c>
      <c r="G462" t="s">
        <v>4208</v>
      </c>
      <c r="H462" t="s">
        <v>4076</v>
      </c>
    </row>
    <row r="463" spans="2:8" x14ac:dyDescent="0.3">
      <c r="B463" t="s">
        <v>4205</v>
      </c>
      <c r="C463" t="s">
        <v>1796</v>
      </c>
      <c r="D463" t="s">
        <v>506</v>
      </c>
      <c r="E463" t="s">
        <v>4050</v>
      </c>
      <c r="F463" t="s">
        <v>3397</v>
      </c>
      <c r="G463" t="s">
        <v>4209</v>
      </c>
      <c r="H463" t="s">
        <v>4076</v>
      </c>
    </row>
    <row r="464" spans="2:8" x14ac:dyDescent="0.3">
      <c r="B464" t="s">
        <v>4205</v>
      </c>
      <c r="C464" t="s">
        <v>1796</v>
      </c>
      <c r="D464" t="s">
        <v>506</v>
      </c>
      <c r="E464" t="s">
        <v>4050</v>
      </c>
      <c r="F464" t="s">
        <v>3397</v>
      </c>
      <c r="G464" t="s">
        <v>4210</v>
      </c>
      <c r="H464" t="s">
        <v>4076</v>
      </c>
    </row>
    <row r="465" spans="2:8" x14ac:dyDescent="0.3">
      <c r="B465" t="s">
        <v>4205</v>
      </c>
      <c r="C465" t="s">
        <v>1796</v>
      </c>
      <c r="D465" t="s">
        <v>506</v>
      </c>
      <c r="E465" t="s">
        <v>4050</v>
      </c>
      <c r="F465" t="s">
        <v>3397</v>
      </c>
      <c r="G465" t="s">
        <v>4211</v>
      </c>
      <c r="H465" t="s">
        <v>4076</v>
      </c>
    </row>
    <row r="466" spans="2:8" x14ac:dyDescent="0.3">
      <c r="B466" t="s">
        <v>4205</v>
      </c>
      <c r="C466" t="s">
        <v>1796</v>
      </c>
      <c r="D466" t="s">
        <v>506</v>
      </c>
      <c r="E466" t="s">
        <v>4050</v>
      </c>
      <c r="F466" t="s">
        <v>3397</v>
      </c>
      <c r="G466" t="s">
        <v>4212</v>
      </c>
      <c r="H466" t="s">
        <v>4076</v>
      </c>
    </row>
    <row r="467" spans="2:8" x14ac:dyDescent="0.3">
      <c r="B467" t="s">
        <v>4205</v>
      </c>
      <c r="C467" t="s">
        <v>1796</v>
      </c>
      <c r="D467" t="s">
        <v>506</v>
      </c>
      <c r="E467" t="s">
        <v>4050</v>
      </c>
      <c r="F467" t="s">
        <v>3397</v>
      </c>
      <c r="G467" t="s">
        <v>4213</v>
      </c>
      <c r="H467" t="s">
        <v>4076</v>
      </c>
    </row>
    <row r="468" spans="2:8" x14ac:dyDescent="0.3">
      <c r="B468" t="s">
        <v>4205</v>
      </c>
      <c r="C468" t="s">
        <v>1796</v>
      </c>
      <c r="D468" t="s">
        <v>506</v>
      </c>
      <c r="E468" t="s">
        <v>4050</v>
      </c>
      <c r="F468" t="s">
        <v>3397</v>
      </c>
      <c r="G468" t="s">
        <v>4214</v>
      </c>
      <c r="H468" t="s">
        <v>4076</v>
      </c>
    </row>
    <row r="469" spans="2:8" x14ac:dyDescent="0.3">
      <c r="B469" t="s">
        <v>4205</v>
      </c>
      <c r="C469" t="s">
        <v>1796</v>
      </c>
      <c r="D469" t="s">
        <v>506</v>
      </c>
      <c r="E469" t="s">
        <v>4050</v>
      </c>
      <c r="F469" t="s">
        <v>3397</v>
      </c>
      <c r="G469" t="s">
        <v>4215</v>
      </c>
      <c r="H469" t="s">
        <v>4076</v>
      </c>
    </row>
    <row r="470" spans="2:8" x14ac:dyDescent="0.3">
      <c r="B470" t="s">
        <v>4205</v>
      </c>
      <c r="C470" t="s">
        <v>1796</v>
      </c>
      <c r="D470" t="s">
        <v>506</v>
      </c>
      <c r="E470" t="s">
        <v>4050</v>
      </c>
      <c r="F470" t="s">
        <v>3397</v>
      </c>
      <c r="G470" t="s">
        <v>4216</v>
      </c>
      <c r="H470" t="s">
        <v>4076</v>
      </c>
    </row>
    <row r="471" spans="2:8" x14ac:dyDescent="0.3">
      <c r="B471" t="s">
        <v>4205</v>
      </c>
      <c r="C471" t="s">
        <v>1796</v>
      </c>
      <c r="D471" t="s">
        <v>506</v>
      </c>
      <c r="E471" t="s">
        <v>4050</v>
      </c>
      <c r="F471" t="s">
        <v>3397</v>
      </c>
      <c r="G471" t="s">
        <v>4217</v>
      </c>
      <c r="H471" t="s">
        <v>4076</v>
      </c>
    </row>
    <row r="472" spans="2:8" x14ac:dyDescent="0.3">
      <c r="B472" t="s">
        <v>4205</v>
      </c>
      <c r="C472" t="s">
        <v>1796</v>
      </c>
      <c r="D472" t="s">
        <v>506</v>
      </c>
      <c r="E472" t="s">
        <v>4050</v>
      </c>
      <c r="F472" t="s">
        <v>3397</v>
      </c>
      <c r="G472" t="s">
        <v>4218</v>
      </c>
      <c r="H472" t="s">
        <v>4076</v>
      </c>
    </row>
    <row r="473" spans="2:8" x14ac:dyDescent="0.3">
      <c r="B473" t="s">
        <v>4219</v>
      </c>
      <c r="C473" t="s">
        <v>1796</v>
      </c>
      <c r="D473" t="s">
        <v>506</v>
      </c>
      <c r="E473" t="s">
        <v>3410</v>
      </c>
      <c r="F473" t="s">
        <v>3380</v>
      </c>
      <c r="G473" t="s">
        <v>4220</v>
      </c>
      <c r="H473" t="s">
        <v>4131</v>
      </c>
    </row>
    <row r="474" spans="2:8" x14ac:dyDescent="0.3">
      <c r="B474" t="s">
        <v>4219</v>
      </c>
      <c r="C474" t="s">
        <v>1796</v>
      </c>
      <c r="D474" t="s">
        <v>506</v>
      </c>
      <c r="E474" t="s">
        <v>3410</v>
      </c>
      <c r="F474" t="s">
        <v>3380</v>
      </c>
      <c r="G474" t="s">
        <v>4221</v>
      </c>
      <c r="H474" t="s">
        <v>4131</v>
      </c>
    </row>
    <row r="475" spans="2:8" x14ac:dyDescent="0.3">
      <c r="B475" t="s">
        <v>4219</v>
      </c>
      <c r="C475" t="s">
        <v>1796</v>
      </c>
      <c r="D475" t="s">
        <v>506</v>
      </c>
      <c r="E475" t="s">
        <v>3410</v>
      </c>
      <c r="F475" t="s">
        <v>3380</v>
      </c>
      <c r="G475" t="s">
        <v>4222</v>
      </c>
      <c r="H475" t="s">
        <v>4131</v>
      </c>
    </row>
    <row r="476" spans="2:8" x14ac:dyDescent="0.3">
      <c r="B476" t="s">
        <v>4219</v>
      </c>
      <c r="C476" t="s">
        <v>1796</v>
      </c>
      <c r="D476" t="s">
        <v>506</v>
      </c>
      <c r="E476" t="s">
        <v>3410</v>
      </c>
      <c r="F476" t="s">
        <v>3380</v>
      </c>
      <c r="G476" t="s">
        <v>4223</v>
      </c>
      <c r="H476" t="s">
        <v>4131</v>
      </c>
    </row>
    <row r="477" spans="2:8" x14ac:dyDescent="0.3">
      <c r="B477" t="s">
        <v>4224</v>
      </c>
      <c r="C477" t="s">
        <v>1796</v>
      </c>
      <c r="D477" t="s">
        <v>506</v>
      </c>
      <c r="E477" t="s">
        <v>3410</v>
      </c>
      <c r="F477" t="s">
        <v>3380</v>
      </c>
      <c r="G477" t="s">
        <v>4225</v>
      </c>
      <c r="H477" t="s">
        <v>4081</v>
      </c>
    </row>
    <row r="478" spans="2:8" x14ac:dyDescent="0.3">
      <c r="B478" t="s">
        <v>4224</v>
      </c>
      <c r="C478" t="s">
        <v>1796</v>
      </c>
      <c r="D478" t="s">
        <v>506</v>
      </c>
      <c r="E478" t="s">
        <v>3410</v>
      </c>
      <c r="F478" t="s">
        <v>3380</v>
      </c>
      <c r="G478" t="s">
        <v>4226</v>
      </c>
      <c r="H478" t="s">
        <v>4081</v>
      </c>
    </row>
    <row r="479" spans="2:8" x14ac:dyDescent="0.3">
      <c r="B479" t="s">
        <v>4224</v>
      </c>
      <c r="C479" t="s">
        <v>1796</v>
      </c>
      <c r="D479" t="s">
        <v>506</v>
      </c>
      <c r="E479" t="s">
        <v>4050</v>
      </c>
      <c r="F479" t="s">
        <v>3380</v>
      </c>
      <c r="G479" t="s">
        <v>4227</v>
      </c>
      <c r="H479" t="s">
        <v>4056</v>
      </c>
    </row>
    <row r="480" spans="2:8" x14ac:dyDescent="0.3">
      <c r="B480" t="s">
        <v>4224</v>
      </c>
      <c r="C480" t="s">
        <v>1796</v>
      </c>
      <c r="D480" t="s">
        <v>506</v>
      </c>
      <c r="E480" t="s">
        <v>4050</v>
      </c>
      <c r="F480" t="s">
        <v>3380</v>
      </c>
      <c r="G480" t="s">
        <v>4228</v>
      </c>
      <c r="H480" t="s">
        <v>4056</v>
      </c>
    </row>
    <row r="481" spans="2:8" x14ac:dyDescent="0.3">
      <c r="B481" t="s">
        <v>4219</v>
      </c>
      <c r="C481" t="s">
        <v>1796</v>
      </c>
      <c r="D481" t="s">
        <v>506</v>
      </c>
      <c r="E481" t="s">
        <v>4050</v>
      </c>
      <c r="F481" t="s">
        <v>3380</v>
      </c>
      <c r="G481" t="s">
        <v>4229</v>
      </c>
      <c r="H481" t="s">
        <v>4054</v>
      </c>
    </row>
    <row r="482" spans="2:8" x14ac:dyDescent="0.3">
      <c r="B482" t="s">
        <v>4230</v>
      </c>
      <c r="C482" t="s">
        <v>1796</v>
      </c>
      <c r="D482" t="s">
        <v>506</v>
      </c>
      <c r="E482" t="s">
        <v>3410</v>
      </c>
      <c r="F482" t="s">
        <v>3383</v>
      </c>
      <c r="G482" t="s">
        <v>4231</v>
      </c>
      <c r="H482" t="s">
        <v>4232</v>
      </c>
    </row>
    <row r="483" spans="2:8" x14ac:dyDescent="0.3">
      <c r="B483" t="s">
        <v>4230</v>
      </c>
      <c r="C483" t="s">
        <v>1796</v>
      </c>
      <c r="D483" t="s">
        <v>506</v>
      </c>
      <c r="E483" t="s">
        <v>4050</v>
      </c>
      <c r="F483" t="s">
        <v>3383</v>
      </c>
      <c r="G483" t="s">
        <v>4233</v>
      </c>
      <c r="H483" t="s">
        <v>4056</v>
      </c>
    </row>
    <row r="484" spans="2:8" x14ac:dyDescent="0.3">
      <c r="B484" t="s">
        <v>4230</v>
      </c>
      <c r="C484" t="s">
        <v>1796</v>
      </c>
      <c r="D484" t="s">
        <v>506</v>
      </c>
      <c r="E484" t="s">
        <v>4050</v>
      </c>
      <c r="F484" t="s">
        <v>3383</v>
      </c>
      <c r="G484" t="s">
        <v>4234</v>
      </c>
      <c r="H484" t="s">
        <v>4056</v>
      </c>
    </row>
    <row r="485" spans="2:8" x14ac:dyDescent="0.3">
      <c r="B485" t="s">
        <v>4230</v>
      </c>
      <c r="C485" t="s">
        <v>1796</v>
      </c>
      <c r="D485" t="s">
        <v>506</v>
      </c>
      <c r="E485" t="s">
        <v>4050</v>
      </c>
      <c r="F485" t="s">
        <v>3383</v>
      </c>
      <c r="G485" t="s">
        <v>4235</v>
      </c>
      <c r="H485" t="s">
        <v>4056</v>
      </c>
    </row>
    <row r="486" spans="2:8" x14ac:dyDescent="0.3">
      <c r="B486" t="s">
        <v>4230</v>
      </c>
      <c r="C486" t="s">
        <v>1796</v>
      </c>
      <c r="D486" t="s">
        <v>506</v>
      </c>
      <c r="E486" t="s">
        <v>4050</v>
      </c>
      <c r="F486" t="s">
        <v>3383</v>
      </c>
      <c r="G486" t="s">
        <v>4236</v>
      </c>
      <c r="H486" t="s">
        <v>4056</v>
      </c>
    </row>
    <row r="487" spans="2:8" x14ac:dyDescent="0.3">
      <c r="B487" t="s">
        <v>4230</v>
      </c>
      <c r="C487" t="s">
        <v>1796</v>
      </c>
      <c r="D487" t="s">
        <v>506</v>
      </c>
      <c r="E487" t="s">
        <v>4050</v>
      </c>
      <c r="F487" t="s">
        <v>3383</v>
      </c>
      <c r="G487" t="s">
        <v>4237</v>
      </c>
      <c r="H487" t="s">
        <v>4076</v>
      </c>
    </row>
    <row r="488" spans="2:8" x14ac:dyDescent="0.3">
      <c r="B488" t="s">
        <v>4238</v>
      </c>
      <c r="C488" t="s">
        <v>1796</v>
      </c>
      <c r="D488" t="s">
        <v>506</v>
      </c>
      <c r="E488" t="s">
        <v>3410</v>
      </c>
      <c r="F488" t="s">
        <v>3383</v>
      </c>
      <c r="G488" t="s">
        <v>4239</v>
      </c>
      <c r="H488" t="s">
        <v>4232</v>
      </c>
    </row>
    <row r="489" spans="2:8" x14ac:dyDescent="0.3">
      <c r="B489" t="s">
        <v>4238</v>
      </c>
      <c r="C489" t="s">
        <v>1796</v>
      </c>
      <c r="D489" t="s">
        <v>506</v>
      </c>
      <c r="E489" t="s">
        <v>4050</v>
      </c>
      <c r="F489" t="s">
        <v>3383</v>
      </c>
      <c r="G489" t="s">
        <v>4240</v>
      </c>
      <c r="H489" t="s">
        <v>4056</v>
      </c>
    </row>
    <row r="490" spans="2:8" x14ac:dyDescent="0.3">
      <c r="B490" t="s">
        <v>4241</v>
      </c>
      <c r="C490" t="s">
        <v>1796</v>
      </c>
      <c r="D490" t="s">
        <v>506</v>
      </c>
      <c r="E490" t="s">
        <v>3410</v>
      </c>
      <c r="F490" t="s">
        <v>3383</v>
      </c>
      <c r="G490" t="s">
        <v>4242</v>
      </c>
      <c r="H490" t="s">
        <v>4232</v>
      </c>
    </row>
    <row r="491" spans="2:8" x14ac:dyDescent="0.3">
      <c r="B491" t="s">
        <v>4241</v>
      </c>
      <c r="C491" t="s">
        <v>1796</v>
      </c>
      <c r="D491" t="s">
        <v>506</v>
      </c>
      <c r="E491" t="s">
        <v>4050</v>
      </c>
      <c r="F491" t="s">
        <v>3383</v>
      </c>
      <c r="G491" t="s">
        <v>4243</v>
      </c>
      <c r="H491" t="s">
        <v>4056</v>
      </c>
    </row>
    <row r="492" spans="2:8" x14ac:dyDescent="0.3">
      <c r="B492" t="s">
        <v>4244</v>
      </c>
      <c r="C492" t="s">
        <v>1796</v>
      </c>
      <c r="D492" t="s">
        <v>506</v>
      </c>
      <c r="E492" t="s">
        <v>3410</v>
      </c>
      <c r="F492" t="s">
        <v>3383</v>
      </c>
      <c r="G492" t="s">
        <v>4245</v>
      </c>
      <c r="H492" t="s">
        <v>4232</v>
      </c>
    </row>
    <row r="493" spans="2:8" x14ac:dyDescent="0.3">
      <c r="B493" t="s">
        <v>4244</v>
      </c>
      <c r="C493" t="s">
        <v>1796</v>
      </c>
      <c r="D493" t="s">
        <v>506</v>
      </c>
      <c r="E493" t="s">
        <v>4050</v>
      </c>
      <c r="F493" t="s">
        <v>3383</v>
      </c>
      <c r="G493" t="s">
        <v>4246</v>
      </c>
      <c r="H493" t="s">
        <v>4056</v>
      </c>
    </row>
    <row r="494" spans="2:8" x14ac:dyDescent="0.3">
      <c r="B494" t="s">
        <v>4244</v>
      </c>
      <c r="C494" t="s">
        <v>1796</v>
      </c>
      <c r="D494" t="s">
        <v>506</v>
      </c>
      <c r="E494" t="s">
        <v>4050</v>
      </c>
      <c r="F494" t="s">
        <v>3383</v>
      </c>
      <c r="G494" t="s">
        <v>4247</v>
      </c>
      <c r="H494" t="s">
        <v>4056</v>
      </c>
    </row>
    <row r="495" spans="2:8" x14ac:dyDescent="0.3">
      <c r="B495" t="s">
        <v>4244</v>
      </c>
      <c r="C495" t="s">
        <v>1796</v>
      </c>
      <c r="D495" t="s">
        <v>506</v>
      </c>
      <c r="E495" t="s">
        <v>4050</v>
      </c>
      <c r="F495" t="s">
        <v>3383</v>
      </c>
      <c r="G495" t="s">
        <v>4248</v>
      </c>
      <c r="H495" t="s">
        <v>4056</v>
      </c>
    </row>
    <row r="496" spans="2:8" x14ac:dyDescent="0.3">
      <c r="B496" t="s">
        <v>4244</v>
      </c>
      <c r="C496" t="s">
        <v>1796</v>
      </c>
      <c r="D496" t="s">
        <v>506</v>
      </c>
      <c r="E496" t="s">
        <v>4050</v>
      </c>
      <c r="F496" t="s">
        <v>3383</v>
      </c>
      <c r="G496" t="s">
        <v>4249</v>
      </c>
      <c r="H496" t="s">
        <v>4056</v>
      </c>
    </row>
    <row r="497" spans="2:8" x14ac:dyDescent="0.3">
      <c r="B497" t="s">
        <v>4244</v>
      </c>
      <c r="C497" t="s">
        <v>1796</v>
      </c>
      <c r="D497" t="s">
        <v>506</v>
      </c>
      <c r="E497" t="s">
        <v>4050</v>
      </c>
      <c r="F497" t="s">
        <v>3383</v>
      </c>
      <c r="G497" t="s">
        <v>4250</v>
      </c>
      <c r="H497" t="s">
        <v>4076</v>
      </c>
    </row>
    <row r="498" spans="2:8" x14ac:dyDescent="0.3">
      <c r="B498" t="s">
        <v>4251</v>
      </c>
      <c r="C498" t="s">
        <v>1796</v>
      </c>
      <c r="D498" t="s">
        <v>506</v>
      </c>
      <c r="E498" t="s">
        <v>3410</v>
      </c>
      <c r="F498" t="s">
        <v>3383</v>
      </c>
      <c r="G498" t="s">
        <v>4252</v>
      </c>
      <c r="H498" t="s">
        <v>4232</v>
      </c>
    </row>
    <row r="499" spans="2:8" x14ac:dyDescent="0.3">
      <c r="B499" t="s">
        <v>4251</v>
      </c>
      <c r="C499" t="s">
        <v>1796</v>
      </c>
      <c r="D499" t="s">
        <v>506</v>
      </c>
      <c r="E499" t="s">
        <v>4050</v>
      </c>
      <c r="F499" t="s">
        <v>3383</v>
      </c>
      <c r="G499" t="s">
        <v>4253</v>
      </c>
      <c r="H499" t="s">
        <v>4056</v>
      </c>
    </row>
    <row r="500" spans="2:8" x14ac:dyDescent="0.3">
      <c r="B500" t="s">
        <v>4254</v>
      </c>
      <c r="C500" t="s">
        <v>1796</v>
      </c>
      <c r="D500" t="s">
        <v>506</v>
      </c>
      <c r="E500" t="s">
        <v>3410</v>
      </c>
      <c r="F500" t="s">
        <v>3383</v>
      </c>
      <c r="G500" t="s">
        <v>4255</v>
      </c>
      <c r="H500" t="s">
        <v>4232</v>
      </c>
    </row>
    <row r="501" spans="2:8" x14ac:dyDescent="0.3">
      <c r="B501" t="s">
        <v>4254</v>
      </c>
      <c r="C501" t="s">
        <v>1796</v>
      </c>
      <c r="D501" t="s">
        <v>506</v>
      </c>
      <c r="E501" t="s">
        <v>4050</v>
      </c>
      <c r="F501" t="s">
        <v>3383</v>
      </c>
      <c r="G501" t="s">
        <v>4256</v>
      </c>
      <c r="H501" t="s">
        <v>4056</v>
      </c>
    </row>
    <row r="502" spans="2:8" x14ac:dyDescent="0.3">
      <c r="B502" t="s">
        <v>4254</v>
      </c>
      <c r="C502" t="s">
        <v>1796</v>
      </c>
      <c r="D502" t="s">
        <v>506</v>
      </c>
      <c r="E502" t="s">
        <v>4050</v>
      </c>
      <c r="F502" t="s">
        <v>3383</v>
      </c>
      <c r="G502" t="s">
        <v>4257</v>
      </c>
      <c r="H502" t="s">
        <v>4056</v>
      </c>
    </row>
    <row r="503" spans="2:8" x14ac:dyDescent="0.3">
      <c r="B503" t="s">
        <v>4254</v>
      </c>
      <c r="C503" t="s">
        <v>1796</v>
      </c>
      <c r="D503" t="s">
        <v>506</v>
      </c>
      <c r="E503" t="s">
        <v>4050</v>
      </c>
      <c r="F503" t="s">
        <v>3383</v>
      </c>
      <c r="G503" t="s">
        <v>4258</v>
      </c>
      <c r="H503" t="s">
        <v>4056</v>
      </c>
    </row>
    <row r="504" spans="2:8" x14ac:dyDescent="0.3">
      <c r="B504" t="s">
        <v>4254</v>
      </c>
      <c r="C504" t="s">
        <v>1796</v>
      </c>
      <c r="D504" t="s">
        <v>506</v>
      </c>
      <c r="E504" t="s">
        <v>4050</v>
      </c>
      <c r="F504" t="s">
        <v>3383</v>
      </c>
      <c r="G504" t="s">
        <v>4259</v>
      </c>
      <c r="H504" t="s">
        <v>4056</v>
      </c>
    </row>
    <row r="505" spans="2:8" x14ac:dyDescent="0.3">
      <c r="B505" t="s">
        <v>4254</v>
      </c>
      <c r="C505" t="s">
        <v>1796</v>
      </c>
      <c r="D505" t="s">
        <v>506</v>
      </c>
      <c r="E505" t="s">
        <v>4050</v>
      </c>
      <c r="F505" t="s">
        <v>3383</v>
      </c>
      <c r="G505" t="s">
        <v>4260</v>
      </c>
      <c r="H505" t="s">
        <v>4076</v>
      </c>
    </row>
    <row r="506" spans="2:8" x14ac:dyDescent="0.3">
      <c r="B506" t="s">
        <v>4261</v>
      </c>
      <c r="C506" t="s">
        <v>1796</v>
      </c>
      <c r="D506" t="s">
        <v>506</v>
      </c>
      <c r="E506" t="s">
        <v>3410</v>
      </c>
      <c r="F506" t="s">
        <v>3383</v>
      </c>
      <c r="G506" t="s">
        <v>4262</v>
      </c>
      <c r="H506" t="s">
        <v>4232</v>
      </c>
    </row>
    <row r="507" spans="2:8" x14ac:dyDescent="0.3">
      <c r="B507" t="s">
        <v>4261</v>
      </c>
      <c r="C507" t="s">
        <v>1796</v>
      </c>
      <c r="D507" t="s">
        <v>506</v>
      </c>
      <c r="E507" t="s">
        <v>4050</v>
      </c>
      <c r="F507" t="s">
        <v>3383</v>
      </c>
      <c r="G507" t="s">
        <v>4263</v>
      </c>
      <c r="H507" t="s">
        <v>4056</v>
      </c>
    </row>
    <row r="508" spans="2:8" x14ac:dyDescent="0.3">
      <c r="B508" t="s">
        <v>4264</v>
      </c>
      <c r="C508" t="s">
        <v>1796</v>
      </c>
      <c r="D508" t="s">
        <v>506</v>
      </c>
      <c r="E508" t="s">
        <v>3410</v>
      </c>
      <c r="F508" t="s">
        <v>3383</v>
      </c>
      <c r="G508" t="s">
        <v>4265</v>
      </c>
      <c r="H508" t="s">
        <v>4232</v>
      </c>
    </row>
    <row r="509" spans="2:8" x14ac:dyDescent="0.3">
      <c r="B509" t="s">
        <v>4264</v>
      </c>
      <c r="C509" t="s">
        <v>1796</v>
      </c>
      <c r="D509" t="s">
        <v>506</v>
      </c>
      <c r="E509" t="s">
        <v>4050</v>
      </c>
      <c r="F509" t="s">
        <v>3383</v>
      </c>
      <c r="G509" t="s">
        <v>4266</v>
      </c>
      <c r="H509" t="s">
        <v>4056</v>
      </c>
    </row>
    <row r="510" spans="2:8" x14ac:dyDescent="0.3">
      <c r="B510" t="s">
        <v>4267</v>
      </c>
      <c r="C510" t="s">
        <v>1796</v>
      </c>
      <c r="D510" t="s">
        <v>506</v>
      </c>
      <c r="E510" t="s">
        <v>3410</v>
      </c>
      <c r="F510" t="s">
        <v>3383</v>
      </c>
      <c r="G510" t="s">
        <v>4268</v>
      </c>
      <c r="H510" t="s">
        <v>4232</v>
      </c>
    </row>
    <row r="511" spans="2:8" x14ac:dyDescent="0.3">
      <c r="B511" t="s">
        <v>4267</v>
      </c>
      <c r="C511" t="s">
        <v>1796</v>
      </c>
      <c r="D511" t="s">
        <v>506</v>
      </c>
      <c r="E511" t="s">
        <v>4050</v>
      </c>
      <c r="F511" t="s">
        <v>3383</v>
      </c>
      <c r="G511" t="s">
        <v>4269</v>
      </c>
      <c r="H511" t="s">
        <v>4056</v>
      </c>
    </row>
    <row r="512" spans="2:8" x14ac:dyDescent="0.3">
      <c r="B512" t="s">
        <v>4267</v>
      </c>
      <c r="C512" t="s">
        <v>1796</v>
      </c>
      <c r="D512" t="s">
        <v>506</v>
      </c>
      <c r="E512" t="s">
        <v>4050</v>
      </c>
      <c r="F512" t="s">
        <v>3383</v>
      </c>
      <c r="G512" t="s">
        <v>4270</v>
      </c>
      <c r="H512" t="s">
        <v>4056</v>
      </c>
    </row>
    <row r="513" spans="2:8" x14ac:dyDescent="0.3">
      <c r="B513" t="s">
        <v>4267</v>
      </c>
      <c r="C513" t="s">
        <v>1796</v>
      </c>
      <c r="D513" t="s">
        <v>506</v>
      </c>
      <c r="E513" t="s">
        <v>4050</v>
      </c>
      <c r="F513" t="s">
        <v>3383</v>
      </c>
      <c r="G513" t="s">
        <v>4271</v>
      </c>
      <c r="H513" t="s">
        <v>4056</v>
      </c>
    </row>
    <row r="514" spans="2:8" x14ac:dyDescent="0.3">
      <c r="B514" t="s">
        <v>4267</v>
      </c>
      <c r="C514" t="s">
        <v>1796</v>
      </c>
      <c r="D514" t="s">
        <v>506</v>
      </c>
      <c r="E514" t="s">
        <v>4050</v>
      </c>
      <c r="F514" t="s">
        <v>3383</v>
      </c>
      <c r="G514" t="s">
        <v>4272</v>
      </c>
      <c r="H514" t="s">
        <v>4056</v>
      </c>
    </row>
    <row r="515" spans="2:8" x14ac:dyDescent="0.3">
      <c r="B515" t="s">
        <v>4267</v>
      </c>
      <c r="C515" t="s">
        <v>1796</v>
      </c>
      <c r="D515" t="s">
        <v>506</v>
      </c>
      <c r="E515" t="s">
        <v>4050</v>
      </c>
      <c r="F515" t="s">
        <v>3383</v>
      </c>
      <c r="G515" t="s">
        <v>4273</v>
      </c>
      <c r="H515" t="s">
        <v>4076</v>
      </c>
    </row>
    <row r="516" spans="2:8" x14ac:dyDescent="0.3">
      <c r="B516" t="s">
        <v>4274</v>
      </c>
      <c r="C516" t="s">
        <v>1796</v>
      </c>
      <c r="D516" t="s">
        <v>506</v>
      </c>
      <c r="E516" t="s">
        <v>3410</v>
      </c>
      <c r="F516" t="s">
        <v>3383</v>
      </c>
      <c r="G516" t="s">
        <v>4275</v>
      </c>
      <c r="H516" t="s">
        <v>4232</v>
      </c>
    </row>
    <row r="517" spans="2:8" x14ac:dyDescent="0.3">
      <c r="B517" t="s">
        <v>4274</v>
      </c>
      <c r="C517" t="s">
        <v>1796</v>
      </c>
      <c r="D517" t="s">
        <v>506</v>
      </c>
      <c r="E517" t="s">
        <v>4050</v>
      </c>
      <c r="F517" t="s">
        <v>3383</v>
      </c>
      <c r="G517" t="s">
        <v>4276</v>
      </c>
      <c r="H517" t="s">
        <v>4056</v>
      </c>
    </row>
    <row r="518" spans="2:8" x14ac:dyDescent="0.3">
      <c r="B518" t="s">
        <v>4277</v>
      </c>
      <c r="C518" t="s">
        <v>1796</v>
      </c>
      <c r="D518" t="s">
        <v>506</v>
      </c>
      <c r="E518" t="s">
        <v>3410</v>
      </c>
      <c r="F518" t="s">
        <v>3388</v>
      </c>
      <c r="G518" t="s">
        <v>4278</v>
      </c>
      <c r="H518" t="s">
        <v>4081</v>
      </c>
    </row>
    <row r="519" spans="2:8" x14ac:dyDescent="0.3">
      <c r="B519" t="s">
        <v>4277</v>
      </c>
      <c r="C519" t="s">
        <v>1796</v>
      </c>
      <c r="D519" t="s">
        <v>506</v>
      </c>
      <c r="E519" t="s">
        <v>4050</v>
      </c>
      <c r="F519" t="s">
        <v>3388</v>
      </c>
      <c r="G519" t="s">
        <v>4279</v>
      </c>
      <c r="H519" t="s">
        <v>4054</v>
      </c>
    </row>
    <row r="520" spans="2:8" x14ac:dyDescent="0.3">
      <c r="B520" t="s">
        <v>4277</v>
      </c>
      <c r="C520" t="s">
        <v>1796</v>
      </c>
      <c r="D520" t="s">
        <v>506</v>
      </c>
      <c r="E520" t="s">
        <v>4050</v>
      </c>
      <c r="F520" t="s">
        <v>3388</v>
      </c>
      <c r="G520" t="s">
        <v>4280</v>
      </c>
      <c r="H520" t="s">
        <v>4058</v>
      </c>
    </row>
    <row r="521" spans="2:8" x14ac:dyDescent="0.3">
      <c r="B521" t="s">
        <v>4277</v>
      </c>
      <c r="C521" t="s">
        <v>1796</v>
      </c>
      <c r="D521" t="s">
        <v>506</v>
      </c>
      <c r="E521" t="s">
        <v>4050</v>
      </c>
      <c r="F521" t="s">
        <v>3388</v>
      </c>
      <c r="G521" t="s">
        <v>4281</v>
      </c>
      <c r="H521" t="s">
        <v>4054</v>
      </c>
    </row>
    <row r="522" spans="2:8" x14ac:dyDescent="0.3">
      <c r="B522" t="s">
        <v>4277</v>
      </c>
      <c r="C522" t="s">
        <v>1796</v>
      </c>
      <c r="D522" t="s">
        <v>506</v>
      </c>
      <c r="E522" t="s">
        <v>4050</v>
      </c>
      <c r="F522" t="s">
        <v>3388</v>
      </c>
      <c r="G522" t="s">
        <v>4282</v>
      </c>
      <c r="H522" t="s">
        <v>4052</v>
      </c>
    </row>
    <row r="523" spans="2:8" x14ac:dyDescent="0.3">
      <c r="B523" t="s">
        <v>4277</v>
      </c>
      <c r="C523" t="s">
        <v>1796</v>
      </c>
      <c r="D523" t="s">
        <v>506</v>
      </c>
      <c r="E523" t="s">
        <v>4050</v>
      </c>
      <c r="F523" t="s">
        <v>3388</v>
      </c>
      <c r="G523" t="s">
        <v>4283</v>
      </c>
      <c r="H523" t="s">
        <v>4056</v>
      </c>
    </row>
    <row r="524" spans="2:8" x14ac:dyDescent="0.3">
      <c r="B524" t="s">
        <v>4277</v>
      </c>
      <c r="C524" t="s">
        <v>1796</v>
      </c>
      <c r="D524" t="s">
        <v>506</v>
      </c>
      <c r="E524" t="s">
        <v>4050</v>
      </c>
      <c r="F524" t="s">
        <v>3388</v>
      </c>
      <c r="G524" t="s">
        <v>4284</v>
      </c>
      <c r="H524" t="s">
        <v>4054</v>
      </c>
    </row>
    <row r="525" spans="2:8" x14ac:dyDescent="0.3">
      <c r="B525" t="s">
        <v>4277</v>
      </c>
      <c r="C525" t="s">
        <v>1796</v>
      </c>
      <c r="D525" t="s">
        <v>506</v>
      </c>
      <c r="E525" t="s">
        <v>4050</v>
      </c>
      <c r="F525" t="s">
        <v>3388</v>
      </c>
      <c r="G525" t="s">
        <v>4285</v>
      </c>
      <c r="H525" t="s">
        <v>4052</v>
      </c>
    </row>
    <row r="526" spans="2:8" x14ac:dyDescent="0.3">
      <c r="B526" t="s">
        <v>4277</v>
      </c>
      <c r="C526" t="s">
        <v>1796</v>
      </c>
      <c r="D526" t="s">
        <v>506</v>
      </c>
      <c r="E526" t="s">
        <v>4050</v>
      </c>
      <c r="F526" t="s">
        <v>3388</v>
      </c>
      <c r="G526" t="s">
        <v>4286</v>
      </c>
      <c r="H526" t="s">
        <v>4058</v>
      </c>
    </row>
    <row r="527" spans="2:8" x14ac:dyDescent="0.3">
      <c r="B527" t="s">
        <v>4277</v>
      </c>
      <c r="C527" t="s">
        <v>1796</v>
      </c>
      <c r="D527" t="s">
        <v>506</v>
      </c>
      <c r="E527" t="s">
        <v>4050</v>
      </c>
      <c r="F527" t="s">
        <v>3388</v>
      </c>
      <c r="G527" t="s">
        <v>4287</v>
      </c>
      <c r="H527" t="s">
        <v>4058</v>
      </c>
    </row>
    <row r="528" spans="2:8" x14ac:dyDescent="0.3">
      <c r="B528" t="s">
        <v>4277</v>
      </c>
      <c r="C528" t="s">
        <v>1796</v>
      </c>
      <c r="D528" t="s">
        <v>506</v>
      </c>
      <c r="E528" t="s">
        <v>4050</v>
      </c>
      <c r="F528" t="s">
        <v>3388</v>
      </c>
      <c r="G528" t="s">
        <v>4288</v>
      </c>
      <c r="H528" t="s">
        <v>4058</v>
      </c>
    </row>
    <row r="529" spans="2:8" x14ac:dyDescent="0.3">
      <c r="B529" t="s">
        <v>4277</v>
      </c>
      <c r="C529" t="s">
        <v>1796</v>
      </c>
      <c r="D529" t="s">
        <v>506</v>
      </c>
      <c r="E529" t="s">
        <v>4050</v>
      </c>
      <c r="F529" t="s">
        <v>3388</v>
      </c>
      <c r="G529" t="s">
        <v>4289</v>
      </c>
      <c r="H529" t="s">
        <v>4056</v>
      </c>
    </row>
    <row r="530" spans="2:8" x14ac:dyDescent="0.3">
      <c r="B530" t="s">
        <v>4277</v>
      </c>
      <c r="C530" t="s">
        <v>1796</v>
      </c>
      <c r="D530" t="s">
        <v>506</v>
      </c>
      <c r="E530" t="s">
        <v>4050</v>
      </c>
      <c r="F530" t="s">
        <v>3388</v>
      </c>
      <c r="G530" t="s">
        <v>4290</v>
      </c>
      <c r="H530" t="s">
        <v>4054</v>
      </c>
    </row>
    <row r="531" spans="2:8" x14ac:dyDescent="0.3">
      <c r="B531" t="s">
        <v>4277</v>
      </c>
      <c r="C531" t="s">
        <v>1796</v>
      </c>
      <c r="D531" t="s">
        <v>506</v>
      </c>
      <c r="E531" t="s">
        <v>4050</v>
      </c>
      <c r="F531" t="s">
        <v>3388</v>
      </c>
      <c r="G531" t="s">
        <v>4291</v>
      </c>
      <c r="H531" t="s">
        <v>4054</v>
      </c>
    </row>
    <row r="532" spans="2:8" x14ac:dyDescent="0.3">
      <c r="B532" t="s">
        <v>4277</v>
      </c>
      <c r="C532" t="s">
        <v>1796</v>
      </c>
      <c r="D532" t="s">
        <v>506</v>
      </c>
      <c r="E532" t="s">
        <v>4050</v>
      </c>
      <c r="F532" t="s">
        <v>3388</v>
      </c>
      <c r="G532" t="s">
        <v>4292</v>
      </c>
      <c r="H532" t="s">
        <v>4054</v>
      </c>
    </row>
    <row r="533" spans="2:8" x14ac:dyDescent="0.3">
      <c r="B533" t="s">
        <v>4277</v>
      </c>
      <c r="C533" t="s">
        <v>1796</v>
      </c>
      <c r="D533" t="s">
        <v>506</v>
      </c>
      <c r="E533" t="s">
        <v>4050</v>
      </c>
      <c r="F533" t="s">
        <v>3388</v>
      </c>
      <c r="G533" t="s">
        <v>4293</v>
      </c>
      <c r="H533" t="s">
        <v>4056</v>
      </c>
    </row>
    <row r="534" spans="2:8" x14ac:dyDescent="0.3">
      <c r="B534" t="s">
        <v>4294</v>
      </c>
      <c r="C534" t="s">
        <v>1796</v>
      </c>
      <c r="D534" t="s">
        <v>506</v>
      </c>
      <c r="E534" t="s">
        <v>3410</v>
      </c>
      <c r="F534" t="s">
        <v>3388</v>
      </c>
      <c r="G534" t="s">
        <v>4295</v>
      </c>
      <c r="H534" t="s">
        <v>4081</v>
      </c>
    </row>
    <row r="535" spans="2:8" x14ac:dyDescent="0.3">
      <c r="B535" t="s">
        <v>4294</v>
      </c>
      <c r="C535" t="s">
        <v>1796</v>
      </c>
      <c r="D535" t="s">
        <v>506</v>
      </c>
      <c r="E535" t="s">
        <v>4050</v>
      </c>
      <c r="F535" t="s">
        <v>3388</v>
      </c>
      <c r="G535" t="s">
        <v>4296</v>
      </c>
      <c r="H535" t="s">
        <v>4058</v>
      </c>
    </row>
    <row r="536" spans="2:8" x14ac:dyDescent="0.3">
      <c r="B536" t="s">
        <v>4294</v>
      </c>
      <c r="C536" t="s">
        <v>1796</v>
      </c>
      <c r="D536" t="s">
        <v>506</v>
      </c>
      <c r="E536" t="s">
        <v>4050</v>
      </c>
      <c r="F536" t="s">
        <v>3388</v>
      </c>
      <c r="G536" t="s">
        <v>4297</v>
      </c>
      <c r="H536" t="s">
        <v>4054</v>
      </c>
    </row>
    <row r="537" spans="2:8" x14ac:dyDescent="0.3">
      <c r="B537" t="s">
        <v>4294</v>
      </c>
      <c r="C537" t="s">
        <v>1796</v>
      </c>
      <c r="D537" t="s">
        <v>506</v>
      </c>
      <c r="E537" t="s">
        <v>4050</v>
      </c>
      <c r="F537" t="s">
        <v>3388</v>
      </c>
      <c r="G537" t="s">
        <v>4298</v>
      </c>
      <c r="H537" t="s">
        <v>4058</v>
      </c>
    </row>
    <row r="538" spans="2:8" x14ac:dyDescent="0.3">
      <c r="B538" t="s">
        <v>4294</v>
      </c>
      <c r="C538" t="s">
        <v>1796</v>
      </c>
      <c r="D538" t="s">
        <v>506</v>
      </c>
      <c r="E538" t="s">
        <v>4050</v>
      </c>
      <c r="F538" t="s">
        <v>3388</v>
      </c>
      <c r="G538" t="s">
        <v>4299</v>
      </c>
      <c r="H538" t="s">
        <v>4056</v>
      </c>
    </row>
    <row r="539" spans="2:8" x14ac:dyDescent="0.3">
      <c r="B539" t="s">
        <v>4294</v>
      </c>
      <c r="C539" t="s">
        <v>1796</v>
      </c>
      <c r="D539" t="s">
        <v>506</v>
      </c>
      <c r="E539" t="s">
        <v>4050</v>
      </c>
      <c r="F539" t="s">
        <v>3388</v>
      </c>
      <c r="G539" t="s">
        <v>4300</v>
      </c>
      <c r="H539" t="s">
        <v>4056</v>
      </c>
    </row>
    <row r="540" spans="2:8" x14ac:dyDescent="0.3">
      <c r="B540" t="s">
        <v>4294</v>
      </c>
      <c r="C540" t="s">
        <v>1796</v>
      </c>
      <c r="D540" t="s">
        <v>506</v>
      </c>
      <c r="E540" t="s">
        <v>4050</v>
      </c>
      <c r="F540" t="s">
        <v>3388</v>
      </c>
      <c r="G540" t="s">
        <v>4301</v>
      </c>
      <c r="H540" t="s">
        <v>4054</v>
      </c>
    </row>
    <row r="541" spans="2:8" x14ac:dyDescent="0.3">
      <c r="B541" t="s">
        <v>4294</v>
      </c>
      <c r="C541" t="s">
        <v>1796</v>
      </c>
      <c r="D541" t="s">
        <v>506</v>
      </c>
      <c r="E541" t="s">
        <v>4050</v>
      </c>
      <c r="F541" t="s">
        <v>3388</v>
      </c>
      <c r="G541" t="s">
        <v>4302</v>
      </c>
      <c r="H541" t="s">
        <v>4054</v>
      </c>
    </row>
    <row r="542" spans="2:8" x14ac:dyDescent="0.3">
      <c r="B542" t="s">
        <v>4294</v>
      </c>
      <c r="C542" t="s">
        <v>1796</v>
      </c>
      <c r="D542" t="s">
        <v>506</v>
      </c>
      <c r="E542" t="s">
        <v>4050</v>
      </c>
      <c r="F542" t="s">
        <v>3388</v>
      </c>
      <c r="G542" t="s">
        <v>4303</v>
      </c>
      <c r="H542" t="s">
        <v>4052</v>
      </c>
    </row>
    <row r="543" spans="2:8" x14ac:dyDescent="0.3">
      <c r="B543" t="s">
        <v>4294</v>
      </c>
      <c r="C543" t="s">
        <v>1796</v>
      </c>
      <c r="D543" t="s">
        <v>506</v>
      </c>
      <c r="E543" t="s">
        <v>4050</v>
      </c>
      <c r="F543" t="s">
        <v>3388</v>
      </c>
      <c r="G543" t="s">
        <v>4304</v>
      </c>
      <c r="H543" t="s">
        <v>4054</v>
      </c>
    </row>
    <row r="544" spans="2:8" x14ac:dyDescent="0.3">
      <c r="B544" t="s">
        <v>4294</v>
      </c>
      <c r="C544" t="s">
        <v>1796</v>
      </c>
      <c r="D544" t="s">
        <v>506</v>
      </c>
      <c r="E544" t="s">
        <v>4050</v>
      </c>
      <c r="F544" t="s">
        <v>3388</v>
      </c>
      <c r="G544" t="s">
        <v>4305</v>
      </c>
      <c r="H544" t="s">
        <v>4058</v>
      </c>
    </row>
    <row r="545" spans="2:8" x14ac:dyDescent="0.3">
      <c r="B545" t="s">
        <v>4294</v>
      </c>
      <c r="C545" t="s">
        <v>1796</v>
      </c>
      <c r="D545" t="s">
        <v>506</v>
      </c>
      <c r="E545" t="s">
        <v>4050</v>
      </c>
      <c r="F545" t="s">
        <v>3388</v>
      </c>
      <c r="G545" t="s">
        <v>4306</v>
      </c>
      <c r="H545" t="s">
        <v>4126</v>
      </c>
    </row>
    <row r="546" spans="2:8" x14ac:dyDescent="0.3">
      <c r="B546" t="s">
        <v>4294</v>
      </c>
      <c r="C546" t="s">
        <v>1796</v>
      </c>
      <c r="D546" t="s">
        <v>506</v>
      </c>
      <c r="E546" t="s">
        <v>4050</v>
      </c>
      <c r="F546" t="s">
        <v>3388</v>
      </c>
      <c r="G546" t="s">
        <v>4307</v>
      </c>
      <c r="H546" t="s">
        <v>4056</v>
      </c>
    </row>
    <row r="547" spans="2:8" x14ac:dyDescent="0.3">
      <c r="B547" t="s">
        <v>4294</v>
      </c>
      <c r="C547" t="s">
        <v>1796</v>
      </c>
      <c r="D547" t="s">
        <v>506</v>
      </c>
      <c r="E547" t="s">
        <v>4050</v>
      </c>
      <c r="F547" t="s">
        <v>3388</v>
      </c>
      <c r="G547" t="s">
        <v>4308</v>
      </c>
      <c r="H547" t="s">
        <v>4058</v>
      </c>
    </row>
    <row r="548" spans="2:8" x14ac:dyDescent="0.3">
      <c r="B548" t="s">
        <v>4294</v>
      </c>
      <c r="C548" t="s">
        <v>1796</v>
      </c>
      <c r="D548" t="s">
        <v>506</v>
      </c>
      <c r="E548" t="s">
        <v>4050</v>
      </c>
      <c r="F548" t="s">
        <v>3388</v>
      </c>
      <c r="G548" t="s">
        <v>4309</v>
      </c>
      <c r="H548" t="s">
        <v>4054</v>
      </c>
    </row>
    <row r="549" spans="2:8" x14ac:dyDescent="0.3">
      <c r="B549" t="s">
        <v>4294</v>
      </c>
      <c r="C549" t="s">
        <v>1796</v>
      </c>
      <c r="D549" t="s">
        <v>506</v>
      </c>
      <c r="E549" t="s">
        <v>4050</v>
      </c>
      <c r="F549" t="s">
        <v>3388</v>
      </c>
      <c r="G549" t="s">
        <v>4310</v>
      </c>
      <c r="H549" t="s">
        <v>4126</v>
      </c>
    </row>
    <row r="550" spans="2:8" x14ac:dyDescent="0.3">
      <c r="B550" t="s">
        <v>4294</v>
      </c>
      <c r="C550" t="s">
        <v>1796</v>
      </c>
      <c r="D550" t="s">
        <v>506</v>
      </c>
      <c r="E550" t="s">
        <v>4050</v>
      </c>
      <c r="F550" t="s">
        <v>3388</v>
      </c>
      <c r="G550" t="s">
        <v>4311</v>
      </c>
      <c r="H550" t="s">
        <v>4054</v>
      </c>
    </row>
    <row r="551" spans="2:8" x14ac:dyDescent="0.3">
      <c r="B551" t="s">
        <v>4294</v>
      </c>
      <c r="C551" t="s">
        <v>1796</v>
      </c>
      <c r="D551" t="s">
        <v>506</v>
      </c>
      <c r="E551" t="s">
        <v>4050</v>
      </c>
      <c r="F551" t="s">
        <v>3388</v>
      </c>
      <c r="G551" t="s">
        <v>4312</v>
      </c>
      <c r="H551" t="s">
        <v>4052</v>
      </c>
    </row>
    <row r="552" spans="2:8" x14ac:dyDescent="0.3">
      <c r="B552" t="s">
        <v>4294</v>
      </c>
      <c r="C552" t="s">
        <v>1796</v>
      </c>
      <c r="D552" t="s">
        <v>506</v>
      </c>
      <c r="E552" t="s">
        <v>4050</v>
      </c>
      <c r="F552" t="s">
        <v>3388</v>
      </c>
      <c r="G552" t="s">
        <v>4313</v>
      </c>
      <c r="H552" t="s">
        <v>4126</v>
      </c>
    </row>
    <row r="553" spans="2:8" x14ac:dyDescent="0.3">
      <c r="B553" t="s">
        <v>4294</v>
      </c>
      <c r="C553" t="s">
        <v>1796</v>
      </c>
      <c r="D553" t="s">
        <v>506</v>
      </c>
      <c r="E553" t="s">
        <v>4050</v>
      </c>
      <c r="F553" t="s">
        <v>3388</v>
      </c>
      <c r="G553" t="s">
        <v>4314</v>
      </c>
      <c r="H553" t="s">
        <v>4076</v>
      </c>
    </row>
    <row r="554" spans="2:8" x14ac:dyDescent="0.3">
      <c r="B554" t="s">
        <v>4277</v>
      </c>
      <c r="C554" t="s">
        <v>1796</v>
      </c>
      <c r="D554" t="s">
        <v>506</v>
      </c>
      <c r="E554" t="s">
        <v>4050</v>
      </c>
      <c r="F554" t="s">
        <v>3388</v>
      </c>
      <c r="G554" t="s">
        <v>4315</v>
      </c>
      <c r="H554" t="s">
        <v>4076</v>
      </c>
    </row>
    <row r="555" spans="2:8" x14ac:dyDescent="0.3">
      <c r="B555" t="s">
        <v>4294</v>
      </c>
      <c r="C555" t="s">
        <v>1796</v>
      </c>
      <c r="D555" t="s">
        <v>506</v>
      </c>
      <c r="E555" t="s">
        <v>4050</v>
      </c>
      <c r="F555" t="s">
        <v>3388</v>
      </c>
      <c r="G555" t="s">
        <v>4316</v>
      </c>
      <c r="H555" t="s">
        <v>4076</v>
      </c>
    </row>
    <row r="556" spans="2:8" x14ac:dyDescent="0.3">
      <c r="B556" t="s">
        <v>4277</v>
      </c>
      <c r="C556" t="s">
        <v>1796</v>
      </c>
      <c r="D556" t="s">
        <v>506</v>
      </c>
      <c r="E556" t="s">
        <v>4050</v>
      </c>
      <c r="F556" t="s">
        <v>3388</v>
      </c>
      <c r="G556" t="s">
        <v>4317</v>
      </c>
      <c r="H556" t="s">
        <v>4076</v>
      </c>
    </row>
    <row r="557" spans="2:8" x14ac:dyDescent="0.3">
      <c r="B557" t="s">
        <v>4318</v>
      </c>
      <c r="C557" t="s">
        <v>1796</v>
      </c>
      <c r="D557" t="s">
        <v>506</v>
      </c>
      <c r="E557" t="s">
        <v>3410</v>
      </c>
      <c r="F557" t="s">
        <v>3397</v>
      </c>
      <c r="G557" t="s">
        <v>4319</v>
      </c>
      <c r="H557" t="s">
        <v>4081</v>
      </c>
    </row>
    <row r="558" spans="2:8" x14ac:dyDescent="0.3">
      <c r="B558" t="s">
        <v>4318</v>
      </c>
      <c r="C558" t="s">
        <v>1796</v>
      </c>
      <c r="D558" t="s">
        <v>506</v>
      </c>
      <c r="E558" t="s">
        <v>4050</v>
      </c>
      <c r="F558" t="s">
        <v>3397</v>
      </c>
      <c r="G558" t="s">
        <v>4320</v>
      </c>
      <c r="H558" t="s">
        <v>4054</v>
      </c>
    </row>
    <row r="559" spans="2:8" x14ac:dyDescent="0.3">
      <c r="B559" t="s">
        <v>4318</v>
      </c>
      <c r="C559" t="s">
        <v>1796</v>
      </c>
      <c r="D559" t="s">
        <v>506</v>
      </c>
      <c r="E559" t="s">
        <v>4050</v>
      </c>
      <c r="F559" t="s">
        <v>3397</v>
      </c>
      <c r="G559" t="s">
        <v>4321</v>
      </c>
      <c r="H559" t="s">
        <v>4054</v>
      </c>
    </row>
    <row r="560" spans="2:8" x14ac:dyDescent="0.3">
      <c r="B560" t="s">
        <v>4318</v>
      </c>
      <c r="C560" t="s">
        <v>1796</v>
      </c>
      <c r="D560" t="s">
        <v>506</v>
      </c>
      <c r="E560" t="s">
        <v>4050</v>
      </c>
      <c r="F560" t="s">
        <v>3397</v>
      </c>
      <c r="G560" t="s">
        <v>4322</v>
      </c>
      <c r="H560" t="s">
        <v>4054</v>
      </c>
    </row>
    <row r="561" spans="2:8" x14ac:dyDescent="0.3">
      <c r="B561" t="s">
        <v>4318</v>
      </c>
      <c r="C561" t="s">
        <v>1796</v>
      </c>
      <c r="D561" t="s">
        <v>506</v>
      </c>
      <c r="E561" t="s">
        <v>4050</v>
      </c>
      <c r="F561" t="s">
        <v>3397</v>
      </c>
      <c r="G561" t="s">
        <v>4323</v>
      </c>
      <c r="H561" t="s">
        <v>4058</v>
      </c>
    </row>
    <row r="562" spans="2:8" x14ac:dyDescent="0.3">
      <c r="B562" t="s">
        <v>4318</v>
      </c>
      <c r="C562" t="s">
        <v>1796</v>
      </c>
      <c r="D562" t="s">
        <v>506</v>
      </c>
      <c r="E562" t="s">
        <v>4050</v>
      </c>
      <c r="F562" t="s">
        <v>3397</v>
      </c>
      <c r="G562" t="s">
        <v>4324</v>
      </c>
      <c r="H562" t="s">
        <v>4058</v>
      </c>
    </row>
    <row r="563" spans="2:8" x14ac:dyDescent="0.3">
      <c r="B563" t="s">
        <v>4318</v>
      </c>
      <c r="C563" t="s">
        <v>1796</v>
      </c>
      <c r="D563" t="s">
        <v>506</v>
      </c>
      <c r="E563" t="s">
        <v>4050</v>
      </c>
      <c r="F563" t="s">
        <v>3397</v>
      </c>
      <c r="G563" t="s">
        <v>4325</v>
      </c>
      <c r="H563" t="s">
        <v>4058</v>
      </c>
    </row>
    <row r="564" spans="2:8" x14ac:dyDescent="0.3">
      <c r="B564" t="s">
        <v>4318</v>
      </c>
      <c r="C564" t="s">
        <v>1796</v>
      </c>
      <c r="D564" t="s">
        <v>506</v>
      </c>
      <c r="E564" t="s">
        <v>4050</v>
      </c>
      <c r="F564" t="s">
        <v>3397</v>
      </c>
      <c r="G564" t="s">
        <v>4326</v>
      </c>
      <c r="H564" t="s">
        <v>4058</v>
      </c>
    </row>
    <row r="565" spans="2:8" x14ac:dyDescent="0.3">
      <c r="B565" t="s">
        <v>4318</v>
      </c>
      <c r="C565" t="s">
        <v>1796</v>
      </c>
      <c r="D565" t="s">
        <v>506</v>
      </c>
      <c r="E565" t="s">
        <v>4050</v>
      </c>
      <c r="F565" t="s">
        <v>3397</v>
      </c>
      <c r="G565" t="s">
        <v>4327</v>
      </c>
      <c r="H565" t="s">
        <v>4058</v>
      </c>
    </row>
    <row r="566" spans="2:8" x14ac:dyDescent="0.3">
      <c r="B566" t="s">
        <v>4318</v>
      </c>
      <c r="C566" t="s">
        <v>1796</v>
      </c>
      <c r="D566" t="s">
        <v>506</v>
      </c>
      <c r="E566" t="s">
        <v>4050</v>
      </c>
      <c r="F566" t="s">
        <v>3397</v>
      </c>
      <c r="G566" t="s">
        <v>4328</v>
      </c>
      <c r="H566" t="s">
        <v>4056</v>
      </c>
    </row>
    <row r="567" spans="2:8" x14ac:dyDescent="0.3">
      <c r="B567" t="s">
        <v>4318</v>
      </c>
      <c r="C567" t="s">
        <v>1796</v>
      </c>
      <c r="D567" t="s">
        <v>506</v>
      </c>
      <c r="E567" t="s">
        <v>4050</v>
      </c>
      <c r="F567" t="s">
        <v>3397</v>
      </c>
      <c r="G567" t="s">
        <v>4329</v>
      </c>
      <c r="H567" t="s">
        <v>4056</v>
      </c>
    </row>
    <row r="568" spans="2:8" x14ac:dyDescent="0.3">
      <c r="B568" t="s">
        <v>4318</v>
      </c>
      <c r="C568" t="s">
        <v>1796</v>
      </c>
      <c r="D568" t="s">
        <v>506</v>
      </c>
      <c r="E568" t="s">
        <v>4050</v>
      </c>
      <c r="F568" t="s">
        <v>3397</v>
      </c>
      <c r="G568" t="s">
        <v>4330</v>
      </c>
      <c r="H568" t="s">
        <v>4056</v>
      </c>
    </row>
    <row r="569" spans="2:8" x14ac:dyDescent="0.3">
      <c r="B569" t="s">
        <v>4318</v>
      </c>
      <c r="C569" t="s">
        <v>1796</v>
      </c>
      <c r="D569" t="s">
        <v>506</v>
      </c>
      <c r="E569" t="s">
        <v>4050</v>
      </c>
      <c r="F569" t="s">
        <v>3397</v>
      </c>
      <c r="G569" t="s">
        <v>4331</v>
      </c>
      <c r="H569" t="s">
        <v>4054</v>
      </c>
    </row>
    <row r="570" spans="2:8" x14ac:dyDescent="0.3">
      <c r="B570" t="s">
        <v>4318</v>
      </c>
      <c r="C570" t="s">
        <v>1796</v>
      </c>
      <c r="D570" t="s">
        <v>506</v>
      </c>
      <c r="E570" t="s">
        <v>4050</v>
      </c>
      <c r="F570" t="s">
        <v>3397</v>
      </c>
      <c r="G570" t="s">
        <v>4332</v>
      </c>
      <c r="H570" t="s">
        <v>4054</v>
      </c>
    </row>
    <row r="571" spans="2:8" x14ac:dyDescent="0.3">
      <c r="B571" t="s">
        <v>4318</v>
      </c>
      <c r="C571" t="s">
        <v>1796</v>
      </c>
      <c r="D571" t="s">
        <v>506</v>
      </c>
      <c r="E571" t="s">
        <v>4050</v>
      </c>
      <c r="F571" t="s">
        <v>3397</v>
      </c>
      <c r="G571" t="s">
        <v>4333</v>
      </c>
      <c r="H571" t="s">
        <v>4054</v>
      </c>
    </row>
    <row r="572" spans="2:8" x14ac:dyDescent="0.3">
      <c r="B572" t="s">
        <v>4318</v>
      </c>
      <c r="C572" t="s">
        <v>1796</v>
      </c>
      <c r="D572" t="s">
        <v>506</v>
      </c>
      <c r="E572" t="s">
        <v>4050</v>
      </c>
      <c r="F572" t="s">
        <v>3397</v>
      </c>
      <c r="G572" t="s">
        <v>4334</v>
      </c>
      <c r="H572" t="s">
        <v>4058</v>
      </c>
    </row>
    <row r="573" spans="2:8" x14ac:dyDescent="0.3">
      <c r="B573" t="s">
        <v>4318</v>
      </c>
      <c r="C573" t="s">
        <v>1796</v>
      </c>
      <c r="D573" t="s">
        <v>506</v>
      </c>
      <c r="E573" t="s">
        <v>4050</v>
      </c>
      <c r="F573" t="s">
        <v>3397</v>
      </c>
      <c r="G573" t="s">
        <v>4335</v>
      </c>
      <c r="H573" t="s">
        <v>4058</v>
      </c>
    </row>
    <row r="574" spans="2:8" x14ac:dyDescent="0.3">
      <c r="B574" t="s">
        <v>4318</v>
      </c>
      <c r="C574" t="s">
        <v>1796</v>
      </c>
      <c r="D574" t="s">
        <v>506</v>
      </c>
      <c r="E574" t="s">
        <v>4050</v>
      </c>
      <c r="F574" t="s">
        <v>3397</v>
      </c>
      <c r="G574" t="s">
        <v>4336</v>
      </c>
      <c r="H574" t="s">
        <v>4058</v>
      </c>
    </row>
    <row r="575" spans="2:8" x14ac:dyDescent="0.3">
      <c r="B575" t="s">
        <v>4318</v>
      </c>
      <c r="C575" t="s">
        <v>1796</v>
      </c>
      <c r="D575" t="s">
        <v>506</v>
      </c>
      <c r="E575" t="s">
        <v>4050</v>
      </c>
      <c r="F575" t="s">
        <v>3397</v>
      </c>
      <c r="G575" t="s">
        <v>4337</v>
      </c>
      <c r="H575" t="s">
        <v>4056</v>
      </c>
    </row>
    <row r="576" spans="2:8" x14ac:dyDescent="0.3">
      <c r="B576" t="s">
        <v>4318</v>
      </c>
      <c r="C576" t="s">
        <v>1796</v>
      </c>
      <c r="D576" t="s">
        <v>506</v>
      </c>
      <c r="E576" t="s">
        <v>4050</v>
      </c>
      <c r="F576" t="s">
        <v>3397</v>
      </c>
      <c r="G576" t="s">
        <v>4338</v>
      </c>
      <c r="H576" t="s">
        <v>4056</v>
      </c>
    </row>
    <row r="577" spans="2:8" x14ac:dyDescent="0.3">
      <c r="B577" t="s">
        <v>4318</v>
      </c>
      <c r="C577" t="s">
        <v>1796</v>
      </c>
      <c r="D577" t="s">
        <v>506</v>
      </c>
      <c r="E577" t="s">
        <v>4050</v>
      </c>
      <c r="F577" t="s">
        <v>3397</v>
      </c>
      <c r="G577" t="s">
        <v>4339</v>
      </c>
      <c r="H577" t="s">
        <v>4056</v>
      </c>
    </row>
    <row r="578" spans="2:8" x14ac:dyDescent="0.3">
      <c r="B578" t="s">
        <v>4318</v>
      </c>
      <c r="C578" t="s">
        <v>1796</v>
      </c>
      <c r="D578" t="s">
        <v>506</v>
      </c>
      <c r="E578" t="s">
        <v>3410</v>
      </c>
      <c r="F578" t="s">
        <v>3397</v>
      </c>
      <c r="G578" t="s">
        <v>4340</v>
      </c>
      <c r="H578" t="s">
        <v>4081</v>
      </c>
    </row>
    <row r="579" spans="2:8" x14ac:dyDescent="0.3">
      <c r="B579" t="s">
        <v>4318</v>
      </c>
      <c r="C579" t="s">
        <v>1796</v>
      </c>
      <c r="D579" t="s">
        <v>506</v>
      </c>
      <c r="E579" t="s">
        <v>3410</v>
      </c>
      <c r="F579" t="s">
        <v>3397</v>
      </c>
      <c r="G579" t="s">
        <v>4341</v>
      </c>
      <c r="H579" t="s">
        <v>4081</v>
      </c>
    </row>
    <row r="580" spans="2:8" x14ac:dyDescent="0.3">
      <c r="B580" t="s">
        <v>4318</v>
      </c>
      <c r="C580" t="s">
        <v>1796</v>
      </c>
      <c r="D580" t="s">
        <v>506</v>
      </c>
      <c r="E580" t="s">
        <v>3410</v>
      </c>
      <c r="F580" t="s">
        <v>3397</v>
      </c>
      <c r="G580" t="s">
        <v>4342</v>
      </c>
      <c r="H580" t="s">
        <v>4081</v>
      </c>
    </row>
    <row r="581" spans="2:8" x14ac:dyDescent="0.3">
      <c r="B581" t="s">
        <v>4318</v>
      </c>
      <c r="C581" t="s">
        <v>1796</v>
      </c>
      <c r="D581" t="s">
        <v>506</v>
      </c>
      <c r="E581" t="s">
        <v>4050</v>
      </c>
      <c r="F581" t="s">
        <v>3397</v>
      </c>
      <c r="G581" t="s">
        <v>4343</v>
      </c>
      <c r="H581" t="s">
        <v>4054</v>
      </c>
    </row>
    <row r="582" spans="2:8" x14ac:dyDescent="0.3">
      <c r="B582" t="s">
        <v>4318</v>
      </c>
      <c r="C582" t="s">
        <v>1796</v>
      </c>
      <c r="D582" t="s">
        <v>506</v>
      </c>
      <c r="E582" t="s">
        <v>4050</v>
      </c>
      <c r="F582" t="s">
        <v>3397</v>
      </c>
      <c r="G582" t="s">
        <v>4344</v>
      </c>
      <c r="H582" t="s">
        <v>4054</v>
      </c>
    </row>
    <row r="583" spans="2:8" x14ac:dyDescent="0.3">
      <c r="B583" t="s">
        <v>4318</v>
      </c>
      <c r="C583" t="s">
        <v>1796</v>
      </c>
      <c r="D583" t="s">
        <v>506</v>
      </c>
      <c r="E583" t="s">
        <v>4050</v>
      </c>
      <c r="F583" t="s">
        <v>3397</v>
      </c>
      <c r="G583" t="s">
        <v>4345</v>
      </c>
      <c r="H583" t="s">
        <v>4054</v>
      </c>
    </row>
    <row r="584" spans="2:8" x14ac:dyDescent="0.3">
      <c r="B584" t="s">
        <v>4318</v>
      </c>
      <c r="C584" t="s">
        <v>1796</v>
      </c>
      <c r="D584" t="s">
        <v>506</v>
      </c>
      <c r="E584" t="s">
        <v>4050</v>
      </c>
      <c r="F584" t="s">
        <v>3397</v>
      </c>
      <c r="G584" t="s">
        <v>4346</v>
      </c>
      <c r="H584" t="s">
        <v>4347</v>
      </c>
    </row>
    <row r="585" spans="2:8" x14ac:dyDescent="0.3">
      <c r="B585" t="s">
        <v>4318</v>
      </c>
      <c r="C585" t="s">
        <v>1796</v>
      </c>
      <c r="D585" t="s">
        <v>506</v>
      </c>
      <c r="E585" t="s">
        <v>4050</v>
      </c>
      <c r="F585" t="s">
        <v>3397</v>
      </c>
      <c r="G585" t="s">
        <v>4348</v>
      </c>
      <c r="H585" t="s">
        <v>4347</v>
      </c>
    </row>
    <row r="586" spans="2:8" x14ac:dyDescent="0.3">
      <c r="B586" t="s">
        <v>4318</v>
      </c>
      <c r="C586" t="s">
        <v>1796</v>
      </c>
      <c r="D586" t="s">
        <v>506</v>
      </c>
      <c r="E586" t="s">
        <v>4050</v>
      </c>
      <c r="F586" t="s">
        <v>3397</v>
      </c>
      <c r="G586" t="s">
        <v>4349</v>
      </c>
      <c r="H586" t="s">
        <v>4347</v>
      </c>
    </row>
    <row r="587" spans="2:8" x14ac:dyDescent="0.3">
      <c r="B587" t="s">
        <v>4318</v>
      </c>
      <c r="C587" t="s">
        <v>1796</v>
      </c>
      <c r="D587" t="s">
        <v>506</v>
      </c>
      <c r="E587" t="s">
        <v>4050</v>
      </c>
      <c r="F587" t="s">
        <v>3397</v>
      </c>
      <c r="G587" t="s">
        <v>4350</v>
      </c>
      <c r="H587" t="s">
        <v>4076</v>
      </c>
    </row>
    <row r="588" spans="2:8" x14ac:dyDescent="0.3">
      <c r="B588" t="s">
        <v>4318</v>
      </c>
      <c r="C588" t="s">
        <v>1796</v>
      </c>
      <c r="D588" t="s">
        <v>506</v>
      </c>
      <c r="E588" t="s">
        <v>4050</v>
      </c>
      <c r="F588" t="s">
        <v>3397</v>
      </c>
      <c r="G588" t="s">
        <v>4351</v>
      </c>
      <c r="H588" t="s">
        <v>4076</v>
      </c>
    </row>
    <row r="589" spans="2:8" x14ac:dyDescent="0.3">
      <c r="B589" t="s">
        <v>4318</v>
      </c>
      <c r="C589" t="s">
        <v>1796</v>
      </c>
      <c r="D589" t="s">
        <v>506</v>
      </c>
      <c r="E589" t="s">
        <v>4050</v>
      </c>
      <c r="F589" t="s">
        <v>3397</v>
      </c>
      <c r="G589" t="s">
        <v>4352</v>
      </c>
      <c r="H589" t="s">
        <v>4076</v>
      </c>
    </row>
    <row r="590" spans="2:8" x14ac:dyDescent="0.3">
      <c r="B590" t="s">
        <v>4318</v>
      </c>
      <c r="C590" t="s">
        <v>1796</v>
      </c>
      <c r="D590" t="s">
        <v>506</v>
      </c>
      <c r="E590" t="s">
        <v>4050</v>
      </c>
      <c r="F590" t="s">
        <v>3397</v>
      </c>
      <c r="G590" t="s">
        <v>4353</v>
      </c>
      <c r="H590" t="s">
        <v>4076</v>
      </c>
    </row>
    <row r="591" spans="2:8" x14ac:dyDescent="0.3">
      <c r="B591" t="s">
        <v>4354</v>
      </c>
      <c r="C591" t="s">
        <v>1796</v>
      </c>
      <c r="D591" t="s">
        <v>506</v>
      </c>
      <c r="E591" t="s">
        <v>3410</v>
      </c>
      <c r="F591" t="s">
        <v>3388</v>
      </c>
      <c r="G591" t="s">
        <v>4355</v>
      </c>
      <c r="H591" t="s">
        <v>4131</v>
      </c>
    </row>
    <row r="592" spans="2:8" x14ac:dyDescent="0.3">
      <c r="B592" t="s">
        <v>4356</v>
      </c>
      <c r="C592" t="s">
        <v>1796</v>
      </c>
      <c r="D592" t="s">
        <v>506</v>
      </c>
      <c r="E592" t="s">
        <v>3410</v>
      </c>
      <c r="F592" t="s">
        <v>3388</v>
      </c>
      <c r="G592" t="s">
        <v>4357</v>
      </c>
      <c r="H592" t="s">
        <v>4131</v>
      </c>
    </row>
    <row r="593" spans="2:8" x14ac:dyDescent="0.3">
      <c r="B593" t="s">
        <v>4358</v>
      </c>
      <c r="C593" t="s">
        <v>1796</v>
      </c>
      <c r="D593" t="s">
        <v>506</v>
      </c>
      <c r="E593" t="s">
        <v>3410</v>
      </c>
      <c r="F593" t="s">
        <v>3388</v>
      </c>
      <c r="G593" t="s">
        <v>4359</v>
      </c>
      <c r="H593" t="s">
        <v>4081</v>
      </c>
    </row>
    <row r="594" spans="2:8" x14ac:dyDescent="0.3">
      <c r="B594" t="s">
        <v>4358</v>
      </c>
      <c r="C594" t="s">
        <v>1796</v>
      </c>
      <c r="D594" t="s">
        <v>506</v>
      </c>
      <c r="E594" t="s">
        <v>3410</v>
      </c>
      <c r="F594" t="s">
        <v>3388</v>
      </c>
      <c r="G594" t="s">
        <v>4360</v>
      </c>
      <c r="H594" t="s">
        <v>4081</v>
      </c>
    </row>
    <row r="595" spans="2:8" x14ac:dyDescent="0.3">
      <c r="B595" t="s">
        <v>4358</v>
      </c>
      <c r="C595" t="s">
        <v>1796</v>
      </c>
      <c r="D595" t="s">
        <v>506</v>
      </c>
      <c r="E595" t="s">
        <v>3410</v>
      </c>
      <c r="F595" t="s">
        <v>3388</v>
      </c>
      <c r="G595" t="s">
        <v>4361</v>
      </c>
      <c r="H595" t="s">
        <v>4081</v>
      </c>
    </row>
    <row r="596" spans="2:8" x14ac:dyDescent="0.3">
      <c r="B596" t="s">
        <v>4358</v>
      </c>
      <c r="C596" t="s">
        <v>1796</v>
      </c>
      <c r="D596" t="s">
        <v>506</v>
      </c>
      <c r="E596" t="s">
        <v>4050</v>
      </c>
      <c r="F596" t="s">
        <v>3388</v>
      </c>
      <c r="G596" t="s">
        <v>4362</v>
      </c>
      <c r="H596" t="s">
        <v>4058</v>
      </c>
    </row>
    <row r="597" spans="2:8" x14ac:dyDescent="0.3">
      <c r="B597" t="s">
        <v>4363</v>
      </c>
      <c r="C597" t="s">
        <v>1796</v>
      </c>
      <c r="D597" t="s">
        <v>506</v>
      </c>
      <c r="E597" t="s">
        <v>3410</v>
      </c>
      <c r="F597" t="s">
        <v>3388</v>
      </c>
      <c r="G597" t="s">
        <v>4364</v>
      </c>
      <c r="H597" t="s">
        <v>4081</v>
      </c>
    </row>
    <row r="598" spans="2:8" x14ac:dyDescent="0.3">
      <c r="B598" t="s">
        <v>4365</v>
      </c>
      <c r="C598" t="s">
        <v>1796</v>
      </c>
      <c r="D598" t="s">
        <v>506</v>
      </c>
      <c r="E598" t="s">
        <v>3410</v>
      </c>
      <c r="F598" t="s">
        <v>3388</v>
      </c>
      <c r="G598" t="s">
        <v>4366</v>
      </c>
      <c r="H598" t="s">
        <v>4081</v>
      </c>
    </row>
    <row r="599" spans="2:8" x14ac:dyDescent="0.3">
      <c r="B599" t="s">
        <v>4365</v>
      </c>
      <c r="C599" t="s">
        <v>1796</v>
      </c>
      <c r="D599" t="s">
        <v>506</v>
      </c>
      <c r="E599" t="s">
        <v>3410</v>
      </c>
      <c r="F599" t="s">
        <v>3388</v>
      </c>
      <c r="G599" t="s">
        <v>4367</v>
      </c>
      <c r="H599" t="s">
        <v>4081</v>
      </c>
    </row>
    <row r="600" spans="2:8" x14ac:dyDescent="0.3">
      <c r="B600" t="s">
        <v>4365</v>
      </c>
      <c r="C600" t="s">
        <v>1796</v>
      </c>
      <c r="D600" t="s">
        <v>506</v>
      </c>
      <c r="E600" t="s">
        <v>3410</v>
      </c>
      <c r="F600" t="s">
        <v>3388</v>
      </c>
      <c r="G600" t="s">
        <v>4368</v>
      </c>
      <c r="H600" t="s">
        <v>4081</v>
      </c>
    </row>
    <row r="601" spans="2:8" x14ac:dyDescent="0.3">
      <c r="B601" t="s">
        <v>4358</v>
      </c>
      <c r="C601" t="s">
        <v>1796</v>
      </c>
      <c r="D601" t="s">
        <v>506</v>
      </c>
      <c r="E601" t="s">
        <v>4050</v>
      </c>
      <c r="F601" t="s">
        <v>3388</v>
      </c>
      <c r="G601" t="s">
        <v>4369</v>
      </c>
      <c r="H601" t="s">
        <v>4076</v>
      </c>
    </row>
    <row r="602" spans="2:8" x14ac:dyDescent="0.3">
      <c r="B602" t="s">
        <v>4358</v>
      </c>
      <c r="C602" t="s">
        <v>1796</v>
      </c>
      <c r="D602" t="s">
        <v>506</v>
      </c>
      <c r="E602" t="s">
        <v>4050</v>
      </c>
      <c r="F602" t="s">
        <v>3388</v>
      </c>
      <c r="G602" t="s">
        <v>4370</v>
      </c>
      <c r="H602" t="s">
        <v>4076</v>
      </c>
    </row>
    <row r="603" spans="2:8" x14ac:dyDescent="0.3">
      <c r="B603" t="s">
        <v>4371</v>
      </c>
      <c r="C603" t="s">
        <v>1796</v>
      </c>
      <c r="D603" t="s">
        <v>506</v>
      </c>
      <c r="E603" t="s">
        <v>4050</v>
      </c>
      <c r="F603" t="s">
        <v>3397</v>
      </c>
      <c r="G603" t="s">
        <v>4372</v>
      </c>
      <c r="H603" t="s">
        <v>4058</v>
      </c>
    </row>
    <row r="604" spans="2:8" x14ac:dyDescent="0.3">
      <c r="B604" t="s">
        <v>4371</v>
      </c>
      <c r="C604" t="s">
        <v>1796</v>
      </c>
      <c r="D604" t="s">
        <v>506</v>
      </c>
      <c r="E604" t="s">
        <v>4050</v>
      </c>
      <c r="F604" t="s">
        <v>3397</v>
      </c>
      <c r="G604" t="s">
        <v>4373</v>
      </c>
      <c r="H604" t="s">
        <v>4058</v>
      </c>
    </row>
    <row r="605" spans="2:8" x14ac:dyDescent="0.3">
      <c r="B605" t="s">
        <v>4371</v>
      </c>
      <c r="C605" t="s">
        <v>1796</v>
      </c>
      <c r="D605" t="s">
        <v>506</v>
      </c>
      <c r="E605" t="s">
        <v>4050</v>
      </c>
      <c r="F605" t="s">
        <v>3397</v>
      </c>
      <c r="G605" t="s">
        <v>4374</v>
      </c>
      <c r="H605" t="s">
        <v>4058</v>
      </c>
    </row>
    <row r="606" spans="2:8" x14ac:dyDescent="0.3">
      <c r="B606" t="s">
        <v>4371</v>
      </c>
      <c r="C606" t="s">
        <v>1796</v>
      </c>
      <c r="D606" t="s">
        <v>506</v>
      </c>
      <c r="E606" t="s">
        <v>4050</v>
      </c>
      <c r="F606" t="s">
        <v>3397</v>
      </c>
      <c r="G606" t="s">
        <v>4375</v>
      </c>
      <c r="H606" t="s">
        <v>4058</v>
      </c>
    </row>
    <row r="607" spans="2:8" x14ac:dyDescent="0.3">
      <c r="B607" t="s">
        <v>4371</v>
      </c>
      <c r="C607" t="s">
        <v>1796</v>
      </c>
      <c r="D607" t="s">
        <v>506</v>
      </c>
      <c r="E607" t="s">
        <v>4050</v>
      </c>
      <c r="F607" t="s">
        <v>3397</v>
      </c>
      <c r="G607" t="s">
        <v>4376</v>
      </c>
      <c r="H607" t="s">
        <v>4058</v>
      </c>
    </row>
    <row r="608" spans="2:8" x14ac:dyDescent="0.3">
      <c r="B608" t="s">
        <v>4371</v>
      </c>
      <c r="C608" t="s">
        <v>1796</v>
      </c>
      <c r="D608" t="s">
        <v>506</v>
      </c>
      <c r="E608" t="s">
        <v>4050</v>
      </c>
      <c r="F608" t="s">
        <v>3397</v>
      </c>
      <c r="G608" t="s">
        <v>4377</v>
      </c>
      <c r="H608" t="s">
        <v>4058</v>
      </c>
    </row>
    <row r="609" spans="2:8" x14ac:dyDescent="0.3">
      <c r="B609" t="s">
        <v>4371</v>
      </c>
      <c r="C609" t="s">
        <v>1796</v>
      </c>
      <c r="D609" t="s">
        <v>506</v>
      </c>
      <c r="E609" t="s">
        <v>4050</v>
      </c>
      <c r="F609" t="s">
        <v>3397</v>
      </c>
      <c r="G609" t="s">
        <v>4378</v>
      </c>
      <c r="H609" t="s">
        <v>4052</v>
      </c>
    </row>
    <row r="610" spans="2:8" x14ac:dyDescent="0.3">
      <c r="B610" t="s">
        <v>4371</v>
      </c>
      <c r="C610" t="s">
        <v>1796</v>
      </c>
      <c r="D610" t="s">
        <v>506</v>
      </c>
      <c r="E610" t="s">
        <v>4050</v>
      </c>
      <c r="F610" t="s">
        <v>3397</v>
      </c>
      <c r="G610" t="s">
        <v>4379</v>
      </c>
      <c r="H610" t="s">
        <v>4052</v>
      </c>
    </row>
    <row r="611" spans="2:8" x14ac:dyDescent="0.3">
      <c r="B611" t="s">
        <v>4371</v>
      </c>
      <c r="C611" t="s">
        <v>1796</v>
      </c>
      <c r="D611" t="s">
        <v>506</v>
      </c>
      <c r="E611" t="s">
        <v>4050</v>
      </c>
      <c r="F611" t="s">
        <v>3397</v>
      </c>
      <c r="G611" t="s">
        <v>4380</v>
      </c>
      <c r="H611" t="s">
        <v>4056</v>
      </c>
    </row>
    <row r="612" spans="2:8" x14ac:dyDescent="0.3">
      <c r="B612" t="s">
        <v>4371</v>
      </c>
      <c r="C612" t="s">
        <v>1796</v>
      </c>
      <c r="D612" t="s">
        <v>506</v>
      </c>
      <c r="E612" t="s">
        <v>4050</v>
      </c>
      <c r="F612" t="s">
        <v>3397</v>
      </c>
      <c r="G612" t="s">
        <v>4381</v>
      </c>
      <c r="H612" t="s">
        <v>4056</v>
      </c>
    </row>
    <row r="613" spans="2:8" x14ac:dyDescent="0.3">
      <c r="B613" t="s">
        <v>4371</v>
      </c>
      <c r="C613" t="s">
        <v>1796</v>
      </c>
      <c r="D613" t="s">
        <v>506</v>
      </c>
      <c r="E613" t="s">
        <v>4050</v>
      </c>
      <c r="F613" t="s">
        <v>3397</v>
      </c>
      <c r="G613" t="s">
        <v>4382</v>
      </c>
      <c r="H613" t="s">
        <v>4056</v>
      </c>
    </row>
    <row r="614" spans="2:8" x14ac:dyDescent="0.3">
      <c r="B614" t="s">
        <v>4371</v>
      </c>
      <c r="C614" t="s">
        <v>1796</v>
      </c>
      <c r="D614" t="s">
        <v>506</v>
      </c>
      <c r="E614" t="s">
        <v>4050</v>
      </c>
      <c r="F614" t="s">
        <v>3397</v>
      </c>
      <c r="G614" t="s">
        <v>4383</v>
      </c>
      <c r="H614" t="s">
        <v>4056</v>
      </c>
    </row>
    <row r="615" spans="2:8" x14ac:dyDescent="0.3">
      <c r="B615" t="s">
        <v>4371</v>
      </c>
      <c r="C615" t="s">
        <v>1796</v>
      </c>
      <c r="D615" t="s">
        <v>506</v>
      </c>
      <c r="E615" t="s">
        <v>4050</v>
      </c>
      <c r="F615" t="s">
        <v>3397</v>
      </c>
      <c r="G615" t="s">
        <v>4384</v>
      </c>
      <c r="H615" t="s">
        <v>4056</v>
      </c>
    </row>
    <row r="616" spans="2:8" x14ac:dyDescent="0.3">
      <c r="B616" t="s">
        <v>4371</v>
      </c>
      <c r="C616" t="s">
        <v>1796</v>
      </c>
      <c r="D616" t="s">
        <v>506</v>
      </c>
      <c r="E616" t="s">
        <v>4050</v>
      </c>
      <c r="F616" t="s">
        <v>3397</v>
      </c>
      <c r="G616" t="s">
        <v>4385</v>
      </c>
      <c r="H616" t="s">
        <v>4056</v>
      </c>
    </row>
    <row r="617" spans="2:8" x14ac:dyDescent="0.3">
      <c r="B617" t="s">
        <v>4371</v>
      </c>
      <c r="C617" t="s">
        <v>1796</v>
      </c>
      <c r="D617" t="s">
        <v>506</v>
      </c>
      <c r="E617" t="s">
        <v>4050</v>
      </c>
      <c r="F617" t="s">
        <v>3397</v>
      </c>
      <c r="G617" t="s">
        <v>4386</v>
      </c>
      <c r="H617" t="s">
        <v>4076</v>
      </c>
    </row>
    <row r="618" spans="2:8" x14ac:dyDescent="0.3">
      <c r="B618" t="s">
        <v>4371</v>
      </c>
      <c r="C618" t="s">
        <v>1796</v>
      </c>
      <c r="D618" t="s">
        <v>506</v>
      </c>
      <c r="E618" t="s">
        <v>4050</v>
      </c>
      <c r="F618" t="s">
        <v>3397</v>
      </c>
      <c r="G618" t="s">
        <v>4387</v>
      </c>
      <c r="H618" t="s">
        <v>4076</v>
      </c>
    </row>
    <row r="619" spans="2:8" x14ac:dyDescent="0.3">
      <c r="B619" t="s">
        <v>4371</v>
      </c>
      <c r="C619" t="s">
        <v>1796</v>
      </c>
      <c r="D619" t="s">
        <v>506</v>
      </c>
      <c r="E619" t="s">
        <v>4050</v>
      </c>
      <c r="F619" t="s">
        <v>3397</v>
      </c>
      <c r="G619" t="s">
        <v>4388</v>
      </c>
      <c r="H619" t="s">
        <v>4076</v>
      </c>
    </row>
    <row r="620" spans="2:8" x14ac:dyDescent="0.3">
      <c r="B620" t="s">
        <v>4371</v>
      </c>
      <c r="C620" t="s">
        <v>1796</v>
      </c>
      <c r="D620" t="s">
        <v>506</v>
      </c>
      <c r="E620" t="s">
        <v>4050</v>
      </c>
      <c r="F620" t="s">
        <v>3397</v>
      </c>
      <c r="G620" t="s">
        <v>4389</v>
      </c>
      <c r="H620" t="s">
        <v>4076</v>
      </c>
    </row>
    <row r="621" spans="2:8" x14ac:dyDescent="0.3">
      <c r="B621" t="s">
        <v>4371</v>
      </c>
      <c r="C621" t="s">
        <v>1796</v>
      </c>
      <c r="D621" t="s">
        <v>506</v>
      </c>
      <c r="E621" t="s">
        <v>4050</v>
      </c>
      <c r="F621" t="s">
        <v>3397</v>
      </c>
      <c r="G621" t="s">
        <v>4390</v>
      </c>
      <c r="H621" t="s">
        <v>4076</v>
      </c>
    </row>
    <row r="622" spans="2:8" x14ac:dyDescent="0.3">
      <c r="B622" t="s">
        <v>4391</v>
      </c>
      <c r="C622" t="s">
        <v>1796</v>
      </c>
      <c r="D622" t="s">
        <v>506</v>
      </c>
      <c r="E622" t="s">
        <v>3410</v>
      </c>
      <c r="F622" t="s">
        <v>3397</v>
      </c>
      <c r="G622" t="s">
        <v>4392</v>
      </c>
      <c r="H622" t="s">
        <v>4084</v>
      </c>
    </row>
    <row r="623" spans="2:8" x14ac:dyDescent="0.3">
      <c r="B623" t="s">
        <v>4391</v>
      </c>
      <c r="C623" t="s">
        <v>1796</v>
      </c>
      <c r="D623" t="s">
        <v>506</v>
      </c>
      <c r="E623" t="s">
        <v>3410</v>
      </c>
      <c r="F623" t="s">
        <v>3397</v>
      </c>
      <c r="G623" t="s">
        <v>4393</v>
      </c>
      <c r="H623" t="s">
        <v>4084</v>
      </c>
    </row>
    <row r="624" spans="2:8" x14ac:dyDescent="0.3">
      <c r="B624" t="s">
        <v>4391</v>
      </c>
      <c r="C624" t="s">
        <v>1796</v>
      </c>
      <c r="D624" t="s">
        <v>506</v>
      </c>
      <c r="E624" t="s">
        <v>3410</v>
      </c>
      <c r="F624" t="s">
        <v>3397</v>
      </c>
      <c r="G624" t="s">
        <v>4394</v>
      </c>
      <c r="H624" t="s">
        <v>4084</v>
      </c>
    </row>
    <row r="625" spans="2:8" x14ac:dyDescent="0.3">
      <c r="B625" t="s">
        <v>4391</v>
      </c>
      <c r="C625" t="s">
        <v>1796</v>
      </c>
      <c r="D625" t="s">
        <v>506</v>
      </c>
      <c r="E625" t="s">
        <v>3410</v>
      </c>
      <c r="F625" t="s">
        <v>3397</v>
      </c>
      <c r="G625" t="s">
        <v>4395</v>
      </c>
      <c r="H625" t="s">
        <v>4084</v>
      </c>
    </row>
    <row r="626" spans="2:8" x14ac:dyDescent="0.3">
      <c r="B626" t="s">
        <v>4391</v>
      </c>
      <c r="C626" t="s">
        <v>1796</v>
      </c>
      <c r="D626" t="s">
        <v>506</v>
      </c>
      <c r="E626" t="s">
        <v>4050</v>
      </c>
      <c r="F626" t="s">
        <v>3397</v>
      </c>
      <c r="G626" t="s">
        <v>4396</v>
      </c>
      <c r="H626" t="s">
        <v>4052</v>
      </c>
    </row>
    <row r="627" spans="2:8" x14ac:dyDescent="0.3">
      <c r="B627" t="s">
        <v>4391</v>
      </c>
      <c r="C627" t="s">
        <v>1796</v>
      </c>
      <c r="D627" t="s">
        <v>506</v>
      </c>
      <c r="E627" t="s">
        <v>4050</v>
      </c>
      <c r="F627" t="s">
        <v>3397</v>
      </c>
      <c r="G627" t="s">
        <v>4397</v>
      </c>
      <c r="H627" t="s">
        <v>4058</v>
      </c>
    </row>
    <row r="628" spans="2:8" x14ac:dyDescent="0.3">
      <c r="B628" t="s">
        <v>4391</v>
      </c>
      <c r="C628" t="s">
        <v>1796</v>
      </c>
      <c r="D628" t="s">
        <v>506</v>
      </c>
      <c r="E628" t="s">
        <v>4050</v>
      </c>
      <c r="F628" t="s">
        <v>3397</v>
      </c>
      <c r="G628" t="s">
        <v>4398</v>
      </c>
      <c r="H628" t="s">
        <v>4058</v>
      </c>
    </row>
    <row r="629" spans="2:8" x14ac:dyDescent="0.3">
      <c r="B629" t="s">
        <v>4391</v>
      </c>
      <c r="C629" t="s">
        <v>1796</v>
      </c>
      <c r="D629" t="s">
        <v>506</v>
      </c>
      <c r="E629" t="s">
        <v>4050</v>
      </c>
      <c r="F629" t="s">
        <v>3397</v>
      </c>
      <c r="G629" t="s">
        <v>4399</v>
      </c>
      <c r="H629" t="s">
        <v>4056</v>
      </c>
    </row>
    <row r="630" spans="2:8" x14ac:dyDescent="0.3">
      <c r="B630" t="s">
        <v>4391</v>
      </c>
      <c r="C630" t="s">
        <v>1796</v>
      </c>
      <c r="D630" t="s">
        <v>506</v>
      </c>
      <c r="E630" t="s">
        <v>4050</v>
      </c>
      <c r="F630" t="s">
        <v>3397</v>
      </c>
      <c r="G630" t="s">
        <v>4400</v>
      </c>
      <c r="H630" t="s">
        <v>4058</v>
      </c>
    </row>
    <row r="631" spans="2:8" x14ac:dyDescent="0.3">
      <c r="B631" t="s">
        <v>4391</v>
      </c>
      <c r="C631" t="s">
        <v>1796</v>
      </c>
      <c r="D631" t="s">
        <v>506</v>
      </c>
      <c r="E631" t="s">
        <v>4050</v>
      </c>
      <c r="F631" t="s">
        <v>3397</v>
      </c>
      <c r="G631" t="s">
        <v>4401</v>
      </c>
      <c r="H631" t="s">
        <v>4058</v>
      </c>
    </row>
    <row r="632" spans="2:8" x14ac:dyDescent="0.3">
      <c r="B632" t="s">
        <v>4391</v>
      </c>
      <c r="C632" t="s">
        <v>1796</v>
      </c>
      <c r="D632" t="s">
        <v>506</v>
      </c>
      <c r="E632" t="s">
        <v>4050</v>
      </c>
      <c r="F632" t="s">
        <v>3397</v>
      </c>
      <c r="G632" t="s">
        <v>4402</v>
      </c>
      <c r="H632" t="s">
        <v>4058</v>
      </c>
    </row>
    <row r="633" spans="2:8" x14ac:dyDescent="0.3">
      <c r="B633" t="s">
        <v>4391</v>
      </c>
      <c r="C633" t="s">
        <v>1796</v>
      </c>
      <c r="D633" t="s">
        <v>506</v>
      </c>
      <c r="E633" t="s">
        <v>4050</v>
      </c>
      <c r="F633" t="s">
        <v>3397</v>
      </c>
      <c r="G633" t="s">
        <v>4403</v>
      </c>
      <c r="H633" t="s">
        <v>4056</v>
      </c>
    </row>
    <row r="634" spans="2:8" x14ac:dyDescent="0.3">
      <c r="B634" t="s">
        <v>4391</v>
      </c>
      <c r="C634" t="s">
        <v>1796</v>
      </c>
      <c r="D634" t="s">
        <v>506</v>
      </c>
      <c r="E634" t="s">
        <v>4050</v>
      </c>
      <c r="F634" t="s">
        <v>3397</v>
      </c>
      <c r="G634" t="s">
        <v>4404</v>
      </c>
      <c r="H634" t="s">
        <v>4056</v>
      </c>
    </row>
    <row r="635" spans="2:8" x14ac:dyDescent="0.3">
      <c r="B635" t="s">
        <v>4391</v>
      </c>
      <c r="C635" t="s">
        <v>1796</v>
      </c>
      <c r="D635" t="s">
        <v>506</v>
      </c>
      <c r="E635" t="s">
        <v>4050</v>
      </c>
      <c r="F635" t="s">
        <v>3397</v>
      </c>
      <c r="G635" t="s">
        <v>4405</v>
      </c>
      <c r="H635" t="s">
        <v>4056</v>
      </c>
    </row>
    <row r="636" spans="2:8" x14ac:dyDescent="0.3">
      <c r="B636" t="s">
        <v>4391</v>
      </c>
      <c r="C636" t="s">
        <v>1796</v>
      </c>
      <c r="D636" t="s">
        <v>506</v>
      </c>
      <c r="E636" t="s">
        <v>4050</v>
      </c>
      <c r="F636" t="s">
        <v>3397</v>
      </c>
      <c r="G636" t="s">
        <v>4406</v>
      </c>
      <c r="H636" t="s">
        <v>4076</v>
      </c>
    </row>
    <row r="637" spans="2:8" x14ac:dyDescent="0.3">
      <c r="B637" t="s">
        <v>4391</v>
      </c>
      <c r="C637" t="s">
        <v>1796</v>
      </c>
      <c r="D637" t="s">
        <v>506</v>
      </c>
      <c r="E637" t="s">
        <v>4050</v>
      </c>
      <c r="F637" t="s">
        <v>3397</v>
      </c>
      <c r="G637" t="s">
        <v>4407</v>
      </c>
      <c r="H637" t="s">
        <v>4076</v>
      </c>
    </row>
    <row r="638" spans="2:8" x14ac:dyDescent="0.3">
      <c r="B638" t="s">
        <v>4408</v>
      </c>
      <c r="C638" t="s">
        <v>1796</v>
      </c>
      <c r="D638" t="s">
        <v>506</v>
      </c>
      <c r="E638" t="s">
        <v>3410</v>
      </c>
      <c r="F638" t="s">
        <v>3383</v>
      </c>
      <c r="G638" t="s">
        <v>4409</v>
      </c>
      <c r="H638" t="s">
        <v>4232</v>
      </c>
    </row>
    <row r="639" spans="2:8" x14ac:dyDescent="0.3">
      <c r="B639" t="s">
        <v>4408</v>
      </c>
      <c r="C639" t="s">
        <v>1796</v>
      </c>
      <c r="D639" t="s">
        <v>506</v>
      </c>
      <c r="E639" t="s">
        <v>4050</v>
      </c>
      <c r="F639" t="s">
        <v>3383</v>
      </c>
      <c r="G639" t="s">
        <v>4410</v>
      </c>
      <c r="H639" t="s">
        <v>4076</v>
      </c>
    </row>
    <row r="640" spans="2:8" x14ac:dyDescent="0.3">
      <c r="B640" t="s">
        <v>4408</v>
      </c>
      <c r="C640" t="s">
        <v>1796</v>
      </c>
      <c r="D640" t="s">
        <v>506</v>
      </c>
      <c r="E640" t="s">
        <v>4050</v>
      </c>
      <c r="F640" t="s">
        <v>3383</v>
      </c>
      <c r="G640" t="s">
        <v>4411</v>
      </c>
      <c r="H640" t="s">
        <v>4054</v>
      </c>
    </row>
    <row r="641" spans="2:8" x14ac:dyDescent="0.3">
      <c r="B641" t="s">
        <v>4412</v>
      </c>
      <c r="C641" t="s">
        <v>1796</v>
      </c>
      <c r="D641" t="s">
        <v>506</v>
      </c>
      <c r="E641" t="s">
        <v>3410</v>
      </c>
      <c r="F641" t="s">
        <v>3383</v>
      </c>
      <c r="G641" t="s">
        <v>4413</v>
      </c>
      <c r="H641" t="s">
        <v>4084</v>
      </c>
    </row>
    <row r="642" spans="2:8" x14ac:dyDescent="0.3">
      <c r="B642" t="s">
        <v>4412</v>
      </c>
      <c r="C642" t="s">
        <v>1796</v>
      </c>
      <c r="D642" t="s">
        <v>506</v>
      </c>
      <c r="E642" t="s">
        <v>4050</v>
      </c>
      <c r="F642" t="s">
        <v>3383</v>
      </c>
      <c r="G642" t="s">
        <v>4414</v>
      </c>
      <c r="H642" t="s">
        <v>4058</v>
      </c>
    </row>
    <row r="643" spans="2:8" x14ac:dyDescent="0.3">
      <c r="B643" t="s">
        <v>4415</v>
      </c>
      <c r="C643" t="s">
        <v>1796</v>
      </c>
      <c r="D643" t="s">
        <v>506</v>
      </c>
      <c r="E643" t="s">
        <v>3410</v>
      </c>
      <c r="F643" t="s">
        <v>3388</v>
      </c>
      <c r="G643" t="s">
        <v>4416</v>
      </c>
      <c r="H643" t="s">
        <v>4081</v>
      </c>
    </row>
    <row r="644" spans="2:8" x14ac:dyDescent="0.3">
      <c r="B644" t="s">
        <v>4417</v>
      </c>
      <c r="C644" t="s">
        <v>1796</v>
      </c>
      <c r="D644" t="s">
        <v>506</v>
      </c>
      <c r="E644" t="s">
        <v>3410</v>
      </c>
      <c r="F644" t="s">
        <v>3383</v>
      </c>
      <c r="G644" t="s">
        <v>4418</v>
      </c>
      <c r="H644" t="s">
        <v>4084</v>
      </c>
    </row>
    <row r="645" spans="2:8" x14ac:dyDescent="0.3">
      <c r="B645" t="s">
        <v>4417</v>
      </c>
      <c r="C645" t="s">
        <v>1796</v>
      </c>
      <c r="D645" t="s">
        <v>506</v>
      </c>
      <c r="E645" t="s">
        <v>4050</v>
      </c>
      <c r="F645" t="s">
        <v>3383</v>
      </c>
      <c r="G645" t="s">
        <v>4419</v>
      </c>
      <c r="H645" t="s">
        <v>4054</v>
      </c>
    </row>
    <row r="646" spans="2:8" x14ac:dyDescent="0.3">
      <c r="B646" t="s">
        <v>4417</v>
      </c>
      <c r="C646" t="s">
        <v>1796</v>
      </c>
      <c r="D646" t="s">
        <v>506</v>
      </c>
      <c r="E646" t="s">
        <v>4050</v>
      </c>
      <c r="F646" t="s">
        <v>3383</v>
      </c>
      <c r="G646" t="s">
        <v>4420</v>
      </c>
      <c r="H646" t="s">
        <v>4054</v>
      </c>
    </row>
    <row r="647" spans="2:8" x14ac:dyDescent="0.3">
      <c r="B647" t="s">
        <v>4417</v>
      </c>
      <c r="C647" t="s">
        <v>1796</v>
      </c>
      <c r="D647" t="s">
        <v>506</v>
      </c>
      <c r="E647" t="s">
        <v>4050</v>
      </c>
      <c r="F647" t="s">
        <v>3383</v>
      </c>
      <c r="G647" t="s">
        <v>4421</v>
      </c>
      <c r="H647" t="s">
        <v>4054</v>
      </c>
    </row>
    <row r="648" spans="2:8" x14ac:dyDescent="0.3">
      <c r="B648" t="s">
        <v>4417</v>
      </c>
      <c r="C648" t="s">
        <v>1796</v>
      </c>
      <c r="D648" t="s">
        <v>506</v>
      </c>
      <c r="E648" t="s">
        <v>4050</v>
      </c>
      <c r="F648" t="s">
        <v>3383</v>
      </c>
      <c r="G648" t="s">
        <v>4422</v>
      </c>
      <c r="H648" t="s">
        <v>4058</v>
      </c>
    </row>
    <row r="649" spans="2:8" x14ac:dyDescent="0.3">
      <c r="B649" t="s">
        <v>4417</v>
      </c>
      <c r="C649" t="s">
        <v>1796</v>
      </c>
      <c r="D649" t="s">
        <v>506</v>
      </c>
      <c r="E649" t="s">
        <v>4050</v>
      </c>
      <c r="F649" t="s">
        <v>3383</v>
      </c>
      <c r="G649" t="s">
        <v>4423</v>
      </c>
      <c r="H649" t="s">
        <v>4056</v>
      </c>
    </row>
    <row r="650" spans="2:8" x14ac:dyDescent="0.3">
      <c r="B650" t="s">
        <v>4417</v>
      </c>
      <c r="C650" t="s">
        <v>1796</v>
      </c>
      <c r="D650" t="s">
        <v>506</v>
      </c>
      <c r="E650" t="s">
        <v>4050</v>
      </c>
      <c r="F650" t="s">
        <v>3383</v>
      </c>
      <c r="G650" t="s">
        <v>4424</v>
      </c>
      <c r="H650" t="s">
        <v>4056</v>
      </c>
    </row>
    <row r="651" spans="2:8" x14ac:dyDescent="0.3">
      <c r="B651" t="s">
        <v>4417</v>
      </c>
      <c r="C651" t="s">
        <v>1796</v>
      </c>
      <c r="D651" t="s">
        <v>506</v>
      </c>
      <c r="E651" t="s">
        <v>4050</v>
      </c>
      <c r="F651" t="s">
        <v>3383</v>
      </c>
      <c r="G651" t="s">
        <v>4425</v>
      </c>
      <c r="H651" t="s">
        <v>4056</v>
      </c>
    </row>
    <row r="652" spans="2:8" x14ac:dyDescent="0.3">
      <c r="B652" t="s">
        <v>4426</v>
      </c>
      <c r="C652" t="s">
        <v>1796</v>
      </c>
      <c r="D652" t="s">
        <v>506</v>
      </c>
      <c r="E652" t="s">
        <v>3410</v>
      </c>
      <c r="F652" t="s">
        <v>3380</v>
      </c>
      <c r="G652" t="s">
        <v>4427</v>
      </c>
      <c r="H652" t="s">
        <v>4131</v>
      </c>
    </row>
    <row r="653" spans="2:8" x14ac:dyDescent="0.3">
      <c r="B653" t="s">
        <v>4426</v>
      </c>
      <c r="C653" t="s">
        <v>1796</v>
      </c>
      <c r="D653" t="s">
        <v>506</v>
      </c>
      <c r="E653" t="s">
        <v>3410</v>
      </c>
      <c r="F653" t="s">
        <v>3380</v>
      </c>
      <c r="G653" t="s">
        <v>4428</v>
      </c>
      <c r="H653" t="s">
        <v>4131</v>
      </c>
    </row>
    <row r="654" spans="2:8" x14ac:dyDescent="0.3">
      <c r="B654" t="s">
        <v>4426</v>
      </c>
      <c r="C654" t="s">
        <v>1796</v>
      </c>
      <c r="D654" t="s">
        <v>506</v>
      </c>
      <c r="E654" t="s">
        <v>4050</v>
      </c>
      <c r="F654" t="s">
        <v>3380</v>
      </c>
      <c r="G654" t="s">
        <v>4429</v>
      </c>
      <c r="H654" t="s">
        <v>4054</v>
      </c>
    </row>
    <row r="655" spans="2:8" x14ac:dyDescent="0.3">
      <c r="B655" t="s">
        <v>4430</v>
      </c>
      <c r="C655" t="s">
        <v>1796</v>
      </c>
      <c r="D655" t="s">
        <v>506</v>
      </c>
      <c r="E655" t="s">
        <v>4050</v>
      </c>
      <c r="F655" t="s">
        <v>3388</v>
      </c>
      <c r="G655" t="s">
        <v>4431</v>
      </c>
      <c r="H655" t="s">
        <v>4056</v>
      </c>
    </row>
    <row r="656" spans="2:8" x14ac:dyDescent="0.3">
      <c r="B656" t="s">
        <v>4430</v>
      </c>
      <c r="C656" t="s">
        <v>1796</v>
      </c>
      <c r="D656" t="s">
        <v>506</v>
      </c>
      <c r="E656" t="s">
        <v>4050</v>
      </c>
      <c r="F656" t="s">
        <v>3388</v>
      </c>
      <c r="G656" t="s">
        <v>4432</v>
      </c>
      <c r="H656" t="s">
        <v>4056</v>
      </c>
    </row>
    <row r="657" spans="2:8" x14ac:dyDescent="0.3">
      <c r="B657" t="s">
        <v>4430</v>
      </c>
      <c r="C657" t="s">
        <v>1796</v>
      </c>
      <c r="D657" t="s">
        <v>506</v>
      </c>
      <c r="E657" t="s">
        <v>4050</v>
      </c>
      <c r="F657" t="s">
        <v>3388</v>
      </c>
      <c r="G657" t="s">
        <v>4433</v>
      </c>
      <c r="H657" t="s">
        <v>4056</v>
      </c>
    </row>
    <row r="658" spans="2:8" x14ac:dyDescent="0.3">
      <c r="B658" t="s">
        <v>4434</v>
      </c>
      <c r="C658" t="s">
        <v>1796</v>
      </c>
      <c r="D658" t="s">
        <v>506</v>
      </c>
      <c r="E658" t="s">
        <v>4050</v>
      </c>
      <c r="F658" t="s">
        <v>3380</v>
      </c>
      <c r="G658" t="s">
        <v>4435</v>
      </c>
      <c r="H658" t="s">
        <v>4076</v>
      </c>
    </row>
    <row r="659" spans="2:8" x14ac:dyDescent="0.3">
      <c r="B659" t="s">
        <v>4436</v>
      </c>
      <c r="C659" t="s">
        <v>1796</v>
      </c>
      <c r="D659" t="s">
        <v>506</v>
      </c>
      <c r="E659" t="s">
        <v>4050</v>
      </c>
      <c r="F659" t="s">
        <v>3380</v>
      </c>
      <c r="G659" t="s">
        <v>4437</v>
      </c>
      <c r="H659" t="s">
        <v>4076</v>
      </c>
    </row>
    <row r="660" spans="2:8" x14ac:dyDescent="0.3">
      <c r="B660" t="s">
        <v>4436</v>
      </c>
      <c r="C660" t="s">
        <v>1796</v>
      </c>
      <c r="D660" t="s">
        <v>506</v>
      </c>
      <c r="E660" t="s">
        <v>4050</v>
      </c>
      <c r="F660" t="s">
        <v>3380</v>
      </c>
      <c r="G660" t="s">
        <v>4438</v>
      </c>
      <c r="H660" t="s">
        <v>4076</v>
      </c>
    </row>
    <row r="661" spans="2:8" x14ac:dyDescent="0.3">
      <c r="B661" t="s">
        <v>4439</v>
      </c>
      <c r="C661" t="s">
        <v>1796</v>
      </c>
      <c r="D661" t="s">
        <v>506</v>
      </c>
      <c r="E661" t="s">
        <v>4050</v>
      </c>
      <c r="F661" t="s">
        <v>3397</v>
      </c>
      <c r="G661" t="s">
        <v>4440</v>
      </c>
      <c r="H661" t="s">
        <v>4058</v>
      </c>
    </row>
    <row r="662" spans="2:8" x14ac:dyDescent="0.3">
      <c r="B662" t="s">
        <v>4439</v>
      </c>
      <c r="C662" t="s">
        <v>1796</v>
      </c>
      <c r="D662" t="s">
        <v>506</v>
      </c>
      <c r="E662" t="s">
        <v>4050</v>
      </c>
      <c r="F662" t="s">
        <v>3397</v>
      </c>
      <c r="G662" t="s">
        <v>4441</v>
      </c>
      <c r="H662" t="s">
        <v>4058</v>
      </c>
    </row>
    <row r="663" spans="2:8" x14ac:dyDescent="0.3">
      <c r="B663" t="s">
        <v>4439</v>
      </c>
      <c r="C663" t="s">
        <v>1796</v>
      </c>
      <c r="D663" t="s">
        <v>506</v>
      </c>
      <c r="E663" t="s">
        <v>4050</v>
      </c>
      <c r="F663" t="s">
        <v>3397</v>
      </c>
      <c r="G663" t="s">
        <v>4442</v>
      </c>
      <c r="H663" t="s">
        <v>4056</v>
      </c>
    </row>
    <row r="664" spans="2:8" x14ac:dyDescent="0.3">
      <c r="B664" t="s">
        <v>4439</v>
      </c>
      <c r="C664" t="s">
        <v>1796</v>
      </c>
      <c r="D664" t="s">
        <v>506</v>
      </c>
      <c r="E664" t="s">
        <v>4050</v>
      </c>
      <c r="F664" t="s">
        <v>3397</v>
      </c>
      <c r="G664" t="s">
        <v>4443</v>
      </c>
      <c r="H664" t="s">
        <v>4056</v>
      </c>
    </row>
    <row r="665" spans="2:8" x14ac:dyDescent="0.3">
      <c r="B665" t="s">
        <v>4439</v>
      </c>
      <c r="C665" t="s">
        <v>1796</v>
      </c>
      <c r="D665" t="s">
        <v>506</v>
      </c>
      <c r="E665" t="s">
        <v>4050</v>
      </c>
      <c r="F665" t="s">
        <v>3397</v>
      </c>
      <c r="G665" t="s">
        <v>4444</v>
      </c>
      <c r="H665" t="s">
        <v>4056</v>
      </c>
    </row>
    <row r="666" spans="2:8" x14ac:dyDescent="0.3">
      <c r="B666" t="s">
        <v>4439</v>
      </c>
      <c r="C666" t="s">
        <v>1796</v>
      </c>
      <c r="D666" t="s">
        <v>506</v>
      </c>
      <c r="E666" t="s">
        <v>4050</v>
      </c>
      <c r="F666" t="s">
        <v>3397</v>
      </c>
      <c r="G666" t="s">
        <v>4445</v>
      </c>
      <c r="H666" t="s">
        <v>4058</v>
      </c>
    </row>
    <row r="667" spans="2:8" x14ac:dyDescent="0.3">
      <c r="B667" t="s">
        <v>4439</v>
      </c>
      <c r="C667" t="s">
        <v>1796</v>
      </c>
      <c r="D667" t="s">
        <v>506</v>
      </c>
      <c r="E667" t="s">
        <v>4050</v>
      </c>
      <c r="F667" t="s">
        <v>3397</v>
      </c>
      <c r="G667" t="s">
        <v>4446</v>
      </c>
      <c r="H667" t="s">
        <v>4081</v>
      </c>
    </row>
    <row r="668" spans="2:8" x14ac:dyDescent="0.3">
      <c r="B668" t="s">
        <v>4439</v>
      </c>
      <c r="C668" t="s">
        <v>1796</v>
      </c>
      <c r="D668" t="s">
        <v>506</v>
      </c>
      <c r="E668" t="s">
        <v>4050</v>
      </c>
      <c r="F668" t="s">
        <v>3397</v>
      </c>
      <c r="G668" t="s">
        <v>4447</v>
      </c>
      <c r="H668" t="s">
        <v>4200</v>
      </c>
    </row>
    <row r="669" spans="2:8" x14ac:dyDescent="0.3">
      <c r="B669" t="s">
        <v>4439</v>
      </c>
      <c r="C669" t="s">
        <v>1796</v>
      </c>
      <c r="D669" t="s">
        <v>506</v>
      </c>
      <c r="E669" t="s">
        <v>4050</v>
      </c>
      <c r="F669" t="s">
        <v>3397</v>
      </c>
      <c r="G669" t="s">
        <v>4448</v>
      </c>
      <c r="H669" t="s">
        <v>4200</v>
      </c>
    </row>
    <row r="670" spans="2:8" x14ac:dyDescent="0.3">
      <c r="B670" t="s">
        <v>4439</v>
      </c>
      <c r="C670" t="s">
        <v>1796</v>
      </c>
      <c r="D670" t="s">
        <v>506</v>
      </c>
      <c r="E670" t="s">
        <v>4050</v>
      </c>
      <c r="F670" t="s">
        <v>3397</v>
      </c>
      <c r="G670" t="s">
        <v>4449</v>
      </c>
      <c r="H670" t="s">
        <v>4200</v>
      </c>
    </row>
    <row r="671" spans="2:8" x14ac:dyDescent="0.3">
      <c r="B671" t="s">
        <v>4439</v>
      </c>
      <c r="C671" t="s">
        <v>1796</v>
      </c>
      <c r="D671" t="s">
        <v>506</v>
      </c>
      <c r="E671" t="s">
        <v>4050</v>
      </c>
      <c r="F671" t="s">
        <v>3397</v>
      </c>
      <c r="G671" t="s">
        <v>4450</v>
      </c>
      <c r="H671" t="s">
        <v>4052</v>
      </c>
    </row>
    <row r="672" spans="2:8" x14ac:dyDescent="0.3">
      <c r="B672" t="s">
        <v>4439</v>
      </c>
      <c r="C672" t="s">
        <v>1796</v>
      </c>
      <c r="D672" t="s">
        <v>506</v>
      </c>
      <c r="E672" t="s">
        <v>4050</v>
      </c>
      <c r="F672" t="s">
        <v>3397</v>
      </c>
      <c r="G672" t="s">
        <v>4451</v>
      </c>
      <c r="H672" t="s">
        <v>4058</v>
      </c>
    </row>
    <row r="673" spans="2:8" x14ac:dyDescent="0.3">
      <c r="B673" t="s">
        <v>4439</v>
      </c>
      <c r="C673" t="s">
        <v>1796</v>
      </c>
      <c r="D673" t="s">
        <v>506</v>
      </c>
      <c r="E673" t="s">
        <v>4050</v>
      </c>
      <c r="F673" t="s">
        <v>3397</v>
      </c>
      <c r="G673" t="s">
        <v>4452</v>
      </c>
      <c r="H673" t="s">
        <v>4058</v>
      </c>
    </row>
    <row r="674" spans="2:8" x14ac:dyDescent="0.3">
      <c r="B674" t="s">
        <v>4439</v>
      </c>
      <c r="C674" t="s">
        <v>1796</v>
      </c>
      <c r="D674" t="s">
        <v>506</v>
      </c>
      <c r="E674" t="s">
        <v>4050</v>
      </c>
      <c r="F674" t="s">
        <v>3397</v>
      </c>
      <c r="G674" t="s">
        <v>4453</v>
      </c>
      <c r="H674" t="s">
        <v>4058</v>
      </c>
    </row>
    <row r="675" spans="2:8" x14ac:dyDescent="0.3">
      <c r="B675" t="s">
        <v>4439</v>
      </c>
      <c r="C675" t="s">
        <v>1796</v>
      </c>
      <c r="D675" t="s">
        <v>506</v>
      </c>
      <c r="E675" t="s">
        <v>4050</v>
      </c>
      <c r="F675" t="s">
        <v>3397</v>
      </c>
      <c r="G675" t="s">
        <v>4454</v>
      </c>
      <c r="H675" t="s">
        <v>4056</v>
      </c>
    </row>
    <row r="676" spans="2:8" x14ac:dyDescent="0.3">
      <c r="B676" t="s">
        <v>4439</v>
      </c>
      <c r="C676" t="s">
        <v>1796</v>
      </c>
      <c r="D676" t="s">
        <v>506</v>
      </c>
      <c r="E676" t="s">
        <v>4050</v>
      </c>
      <c r="F676" t="s">
        <v>3397</v>
      </c>
      <c r="G676" t="s">
        <v>4455</v>
      </c>
      <c r="H676" t="s">
        <v>4056</v>
      </c>
    </row>
    <row r="677" spans="2:8" x14ac:dyDescent="0.3">
      <c r="B677" t="s">
        <v>4439</v>
      </c>
      <c r="C677" t="s">
        <v>1796</v>
      </c>
      <c r="D677" t="s">
        <v>506</v>
      </c>
      <c r="E677" t="s">
        <v>4050</v>
      </c>
      <c r="F677" t="s">
        <v>3397</v>
      </c>
      <c r="G677" t="s">
        <v>4456</v>
      </c>
      <c r="H677" t="s">
        <v>4056</v>
      </c>
    </row>
    <row r="678" spans="2:8" x14ac:dyDescent="0.3">
      <c r="B678" t="s">
        <v>4439</v>
      </c>
      <c r="C678" t="s">
        <v>1796</v>
      </c>
      <c r="D678" t="s">
        <v>506</v>
      </c>
      <c r="E678" t="s">
        <v>3410</v>
      </c>
      <c r="F678" t="s">
        <v>3397</v>
      </c>
      <c r="G678" t="s">
        <v>4457</v>
      </c>
      <c r="H678" t="s">
        <v>4081</v>
      </c>
    </row>
    <row r="679" spans="2:8" x14ac:dyDescent="0.3">
      <c r="B679" t="s">
        <v>4439</v>
      </c>
      <c r="C679" t="s">
        <v>1796</v>
      </c>
      <c r="D679" t="s">
        <v>506</v>
      </c>
      <c r="E679" t="s">
        <v>3410</v>
      </c>
      <c r="F679" t="s">
        <v>3397</v>
      </c>
      <c r="G679" t="s">
        <v>4458</v>
      </c>
      <c r="H679" t="s">
        <v>4081</v>
      </c>
    </row>
    <row r="680" spans="2:8" x14ac:dyDescent="0.3">
      <c r="B680" t="s">
        <v>4439</v>
      </c>
      <c r="C680" t="s">
        <v>1796</v>
      </c>
      <c r="D680" t="s">
        <v>506</v>
      </c>
      <c r="E680" t="s">
        <v>3410</v>
      </c>
      <c r="F680" t="s">
        <v>3397</v>
      </c>
      <c r="G680" t="s">
        <v>4459</v>
      </c>
      <c r="H680" t="s">
        <v>4081</v>
      </c>
    </row>
    <row r="681" spans="2:8" x14ac:dyDescent="0.3">
      <c r="B681" t="s">
        <v>4439</v>
      </c>
      <c r="C681" t="s">
        <v>1796</v>
      </c>
      <c r="D681" t="s">
        <v>506</v>
      </c>
      <c r="E681" t="s">
        <v>3410</v>
      </c>
      <c r="F681" t="s">
        <v>3397</v>
      </c>
      <c r="G681" t="s">
        <v>4460</v>
      </c>
      <c r="H681" t="s">
        <v>4081</v>
      </c>
    </row>
    <row r="682" spans="2:8" x14ac:dyDescent="0.3">
      <c r="B682" t="s">
        <v>4439</v>
      </c>
      <c r="C682" t="s">
        <v>1796</v>
      </c>
      <c r="D682" t="s">
        <v>506</v>
      </c>
      <c r="E682" t="s">
        <v>4050</v>
      </c>
      <c r="F682" t="s">
        <v>3397</v>
      </c>
      <c r="G682" t="s">
        <v>4461</v>
      </c>
      <c r="H682" t="s">
        <v>4054</v>
      </c>
    </row>
    <row r="683" spans="2:8" x14ac:dyDescent="0.3">
      <c r="B683" t="s">
        <v>4439</v>
      </c>
      <c r="C683" t="s">
        <v>1796</v>
      </c>
      <c r="D683" t="s">
        <v>506</v>
      </c>
      <c r="E683" t="s">
        <v>4050</v>
      </c>
      <c r="F683" t="s">
        <v>3397</v>
      </c>
      <c r="G683" t="s">
        <v>4462</v>
      </c>
      <c r="H683" t="s">
        <v>4076</v>
      </c>
    </row>
    <row r="684" spans="2:8" x14ac:dyDescent="0.3">
      <c r="B684" t="s">
        <v>4439</v>
      </c>
      <c r="C684" t="s">
        <v>1796</v>
      </c>
      <c r="D684" t="s">
        <v>506</v>
      </c>
      <c r="E684" t="s">
        <v>4050</v>
      </c>
      <c r="F684" t="s">
        <v>3397</v>
      </c>
      <c r="G684" t="s">
        <v>4463</v>
      </c>
      <c r="H684" t="s">
        <v>4076</v>
      </c>
    </row>
    <row r="685" spans="2:8" x14ac:dyDescent="0.3">
      <c r="B685" t="s">
        <v>4464</v>
      </c>
      <c r="C685" t="s">
        <v>1796</v>
      </c>
      <c r="D685" t="s">
        <v>506</v>
      </c>
      <c r="E685" t="s">
        <v>3410</v>
      </c>
      <c r="F685" t="s">
        <v>3388</v>
      </c>
      <c r="G685" t="s">
        <v>4465</v>
      </c>
      <c r="H685" t="s">
        <v>4084</v>
      </c>
    </row>
    <row r="686" spans="2:8" x14ac:dyDescent="0.3">
      <c r="B686" t="s">
        <v>4464</v>
      </c>
      <c r="C686" t="s">
        <v>1796</v>
      </c>
      <c r="D686" t="s">
        <v>506</v>
      </c>
      <c r="E686" t="s">
        <v>3410</v>
      </c>
      <c r="F686" t="s">
        <v>3388</v>
      </c>
      <c r="G686" t="s">
        <v>4466</v>
      </c>
      <c r="H686" t="s">
        <v>4084</v>
      </c>
    </row>
    <row r="687" spans="2:8" x14ac:dyDescent="0.3">
      <c r="B687" t="s">
        <v>4464</v>
      </c>
      <c r="C687" t="s">
        <v>1796</v>
      </c>
      <c r="D687" t="s">
        <v>506</v>
      </c>
      <c r="E687" t="s">
        <v>3410</v>
      </c>
      <c r="F687" t="s">
        <v>3388</v>
      </c>
      <c r="G687" t="s">
        <v>4467</v>
      </c>
      <c r="H687" t="s">
        <v>4084</v>
      </c>
    </row>
    <row r="688" spans="2:8" x14ac:dyDescent="0.3">
      <c r="B688" t="s">
        <v>4464</v>
      </c>
      <c r="C688" t="s">
        <v>1796</v>
      </c>
      <c r="D688" t="s">
        <v>506</v>
      </c>
      <c r="E688" t="s">
        <v>3410</v>
      </c>
      <c r="F688" t="s">
        <v>3388</v>
      </c>
      <c r="G688" t="s">
        <v>4468</v>
      </c>
      <c r="H688" t="s">
        <v>4084</v>
      </c>
    </row>
    <row r="689" spans="2:8" x14ac:dyDescent="0.3">
      <c r="B689" t="s">
        <v>4464</v>
      </c>
      <c r="C689" t="s">
        <v>1796</v>
      </c>
      <c r="D689" t="s">
        <v>506</v>
      </c>
      <c r="E689" t="s">
        <v>3410</v>
      </c>
      <c r="F689" t="s">
        <v>3388</v>
      </c>
      <c r="G689" t="s">
        <v>4469</v>
      </c>
      <c r="H689" t="s">
        <v>4084</v>
      </c>
    </row>
    <row r="690" spans="2:8" x14ac:dyDescent="0.3">
      <c r="B690" t="s">
        <v>4464</v>
      </c>
      <c r="C690" t="s">
        <v>1796</v>
      </c>
      <c r="D690" t="s">
        <v>506</v>
      </c>
      <c r="E690" t="s">
        <v>3410</v>
      </c>
      <c r="F690" t="s">
        <v>3388</v>
      </c>
      <c r="G690" t="s">
        <v>4470</v>
      </c>
      <c r="H690" t="s">
        <v>4084</v>
      </c>
    </row>
    <row r="691" spans="2:8" x14ac:dyDescent="0.3">
      <c r="B691" t="s">
        <v>4464</v>
      </c>
      <c r="C691" t="s">
        <v>1796</v>
      </c>
      <c r="D691" t="s">
        <v>506</v>
      </c>
      <c r="E691" t="s">
        <v>4050</v>
      </c>
      <c r="F691" t="s">
        <v>3388</v>
      </c>
      <c r="G691" t="s">
        <v>4471</v>
      </c>
      <c r="H691" t="s">
        <v>4058</v>
      </c>
    </row>
    <row r="692" spans="2:8" x14ac:dyDescent="0.3">
      <c r="B692" t="s">
        <v>4472</v>
      </c>
      <c r="C692" t="s">
        <v>1796</v>
      </c>
      <c r="D692" t="s">
        <v>506</v>
      </c>
      <c r="E692" t="s">
        <v>3410</v>
      </c>
      <c r="F692" t="s">
        <v>3388</v>
      </c>
      <c r="G692" t="s">
        <v>4473</v>
      </c>
      <c r="H692" t="s">
        <v>4084</v>
      </c>
    </row>
    <row r="693" spans="2:8" x14ac:dyDescent="0.3">
      <c r="B693" t="s">
        <v>4472</v>
      </c>
      <c r="C693" t="s">
        <v>1796</v>
      </c>
      <c r="D693" t="s">
        <v>506</v>
      </c>
      <c r="E693" t="s">
        <v>4050</v>
      </c>
      <c r="F693" t="s">
        <v>3388</v>
      </c>
      <c r="G693" t="s">
        <v>4474</v>
      </c>
      <c r="H693" t="s">
        <v>4058</v>
      </c>
    </row>
    <row r="694" spans="2:8" x14ac:dyDescent="0.3">
      <c r="B694" t="s">
        <v>4472</v>
      </c>
      <c r="C694" t="s">
        <v>1796</v>
      </c>
      <c r="D694" t="s">
        <v>506</v>
      </c>
      <c r="E694" t="s">
        <v>3410</v>
      </c>
      <c r="F694" t="s">
        <v>3388</v>
      </c>
      <c r="G694" t="s">
        <v>4475</v>
      </c>
      <c r="H694" t="s">
        <v>4084</v>
      </c>
    </row>
    <row r="695" spans="2:8" x14ac:dyDescent="0.3">
      <c r="B695" t="s">
        <v>4472</v>
      </c>
      <c r="C695" t="s">
        <v>1796</v>
      </c>
      <c r="D695" t="s">
        <v>506</v>
      </c>
      <c r="E695" t="s">
        <v>3410</v>
      </c>
      <c r="F695" t="s">
        <v>3388</v>
      </c>
      <c r="G695" t="s">
        <v>4476</v>
      </c>
      <c r="H695" t="s">
        <v>4084</v>
      </c>
    </row>
    <row r="696" spans="2:8" x14ac:dyDescent="0.3">
      <c r="B696" t="s">
        <v>4477</v>
      </c>
      <c r="C696" t="s">
        <v>1796</v>
      </c>
      <c r="D696" t="s">
        <v>506</v>
      </c>
      <c r="E696" t="s">
        <v>3410</v>
      </c>
      <c r="F696" t="s">
        <v>3388</v>
      </c>
      <c r="G696" t="s">
        <v>4478</v>
      </c>
      <c r="H696" t="s">
        <v>4131</v>
      </c>
    </row>
    <row r="697" spans="2:8" x14ac:dyDescent="0.3">
      <c r="B697" t="s">
        <v>4479</v>
      </c>
      <c r="C697" t="s">
        <v>1796</v>
      </c>
      <c r="D697" t="s">
        <v>506</v>
      </c>
      <c r="E697" t="s">
        <v>4050</v>
      </c>
      <c r="F697" t="s">
        <v>3388</v>
      </c>
      <c r="G697" t="s">
        <v>4480</v>
      </c>
      <c r="H697" t="s">
        <v>4056</v>
      </c>
    </row>
    <row r="698" spans="2:8" x14ac:dyDescent="0.3">
      <c r="B698" t="s">
        <v>4479</v>
      </c>
      <c r="C698" t="s">
        <v>1796</v>
      </c>
      <c r="D698" t="s">
        <v>506</v>
      </c>
      <c r="E698" t="s">
        <v>4050</v>
      </c>
      <c r="F698" t="s">
        <v>3388</v>
      </c>
      <c r="G698" t="s">
        <v>4481</v>
      </c>
      <c r="H698" t="s">
        <v>4056</v>
      </c>
    </row>
    <row r="699" spans="2:8" x14ac:dyDescent="0.3">
      <c r="B699" t="s">
        <v>4479</v>
      </c>
      <c r="C699" t="s">
        <v>1796</v>
      </c>
      <c r="D699" t="s">
        <v>506</v>
      </c>
      <c r="E699" t="s">
        <v>4050</v>
      </c>
      <c r="F699" t="s">
        <v>3388</v>
      </c>
      <c r="G699" t="s">
        <v>4482</v>
      </c>
      <c r="H699" t="s">
        <v>4056</v>
      </c>
    </row>
    <row r="700" spans="2:8" x14ac:dyDescent="0.3">
      <c r="B700" t="s">
        <v>4205</v>
      </c>
      <c r="C700" t="s">
        <v>1796</v>
      </c>
      <c r="D700" t="s">
        <v>506</v>
      </c>
      <c r="E700" t="s">
        <v>3410</v>
      </c>
      <c r="F700" t="s">
        <v>3397</v>
      </c>
      <c r="G700" t="s">
        <v>4483</v>
      </c>
      <c r="H700" t="s">
        <v>4232</v>
      </c>
    </row>
    <row r="701" spans="2:8" x14ac:dyDescent="0.3">
      <c r="B701" t="s">
        <v>4205</v>
      </c>
      <c r="C701" t="s">
        <v>1796</v>
      </c>
      <c r="D701" t="s">
        <v>506</v>
      </c>
      <c r="E701" t="s">
        <v>4050</v>
      </c>
      <c r="F701" t="s">
        <v>3397</v>
      </c>
      <c r="G701" t="s">
        <v>4484</v>
      </c>
      <c r="H701" t="s">
        <v>4054</v>
      </c>
    </row>
    <row r="702" spans="2:8" x14ac:dyDescent="0.3">
      <c r="B702" t="s">
        <v>4205</v>
      </c>
      <c r="C702" t="s">
        <v>1796</v>
      </c>
      <c r="D702" t="s">
        <v>506</v>
      </c>
      <c r="E702" t="s">
        <v>4050</v>
      </c>
      <c r="F702" t="s">
        <v>3397</v>
      </c>
      <c r="G702" t="s">
        <v>4485</v>
      </c>
      <c r="H702" t="s">
        <v>4054</v>
      </c>
    </row>
    <row r="703" spans="2:8" x14ac:dyDescent="0.3">
      <c r="B703" t="s">
        <v>4205</v>
      </c>
      <c r="C703" t="s">
        <v>1796</v>
      </c>
      <c r="D703" t="s">
        <v>506</v>
      </c>
      <c r="E703" t="s">
        <v>4050</v>
      </c>
      <c r="F703" t="s">
        <v>3397</v>
      </c>
      <c r="G703" t="s">
        <v>4486</v>
      </c>
      <c r="H703" t="s">
        <v>4054</v>
      </c>
    </row>
    <row r="704" spans="2:8" x14ac:dyDescent="0.3">
      <c r="B704" t="s">
        <v>4205</v>
      </c>
      <c r="C704" t="s">
        <v>1796</v>
      </c>
      <c r="D704" t="s">
        <v>506</v>
      </c>
      <c r="E704" t="s">
        <v>4050</v>
      </c>
      <c r="F704" t="s">
        <v>3397</v>
      </c>
      <c r="G704" t="s">
        <v>4487</v>
      </c>
      <c r="H704" t="s">
        <v>4058</v>
      </c>
    </row>
    <row r="705" spans="2:8" x14ac:dyDescent="0.3">
      <c r="B705" t="s">
        <v>4205</v>
      </c>
      <c r="C705" t="s">
        <v>1796</v>
      </c>
      <c r="D705" t="s">
        <v>506</v>
      </c>
      <c r="E705" t="s">
        <v>4050</v>
      </c>
      <c r="F705" t="s">
        <v>3397</v>
      </c>
      <c r="G705" t="s">
        <v>4488</v>
      </c>
      <c r="H705" t="s">
        <v>4058</v>
      </c>
    </row>
    <row r="706" spans="2:8" x14ac:dyDescent="0.3">
      <c r="B706" t="s">
        <v>4205</v>
      </c>
      <c r="C706" t="s">
        <v>1796</v>
      </c>
      <c r="D706" t="s">
        <v>506</v>
      </c>
      <c r="E706" t="s">
        <v>4050</v>
      </c>
      <c r="F706" t="s">
        <v>3397</v>
      </c>
      <c r="G706" t="s">
        <v>4489</v>
      </c>
      <c r="H706" t="s">
        <v>4058</v>
      </c>
    </row>
    <row r="707" spans="2:8" x14ac:dyDescent="0.3">
      <c r="B707" t="s">
        <v>4205</v>
      </c>
      <c r="C707" t="s">
        <v>1796</v>
      </c>
      <c r="D707" t="s">
        <v>506</v>
      </c>
      <c r="E707" t="s">
        <v>3410</v>
      </c>
      <c r="F707" t="s">
        <v>3397</v>
      </c>
      <c r="G707" t="s">
        <v>4490</v>
      </c>
      <c r="H707" t="s">
        <v>4232</v>
      </c>
    </row>
    <row r="708" spans="2:8" x14ac:dyDescent="0.3">
      <c r="B708" t="s">
        <v>4205</v>
      </c>
      <c r="C708" t="s">
        <v>1796</v>
      </c>
      <c r="D708" t="s">
        <v>506</v>
      </c>
      <c r="E708" t="s">
        <v>4050</v>
      </c>
      <c r="F708" t="s">
        <v>3397</v>
      </c>
      <c r="G708" t="s">
        <v>4491</v>
      </c>
      <c r="H708" t="s">
        <v>4054</v>
      </c>
    </row>
    <row r="709" spans="2:8" x14ac:dyDescent="0.3">
      <c r="B709" t="s">
        <v>4205</v>
      </c>
      <c r="C709" t="s">
        <v>1796</v>
      </c>
      <c r="D709" t="s">
        <v>506</v>
      </c>
      <c r="E709" t="s">
        <v>4050</v>
      </c>
      <c r="F709" t="s">
        <v>3397</v>
      </c>
      <c r="G709" t="s">
        <v>4492</v>
      </c>
      <c r="H709" t="s">
        <v>4054</v>
      </c>
    </row>
    <row r="710" spans="2:8" x14ac:dyDescent="0.3">
      <c r="B710" t="s">
        <v>4205</v>
      </c>
      <c r="C710" t="s">
        <v>1796</v>
      </c>
      <c r="D710" t="s">
        <v>506</v>
      </c>
      <c r="E710" t="s">
        <v>4050</v>
      </c>
      <c r="F710" t="s">
        <v>3397</v>
      </c>
      <c r="G710" t="s">
        <v>4493</v>
      </c>
      <c r="H710" t="s">
        <v>4054</v>
      </c>
    </row>
    <row r="711" spans="2:8" x14ac:dyDescent="0.3">
      <c r="B711" t="s">
        <v>4205</v>
      </c>
      <c r="C711" t="s">
        <v>1796</v>
      </c>
      <c r="D711" t="s">
        <v>506</v>
      </c>
      <c r="E711" t="s">
        <v>4050</v>
      </c>
      <c r="F711" t="s">
        <v>3397</v>
      </c>
      <c r="G711" t="s">
        <v>4494</v>
      </c>
      <c r="H711" t="s">
        <v>4058</v>
      </c>
    </row>
    <row r="712" spans="2:8" x14ac:dyDescent="0.3">
      <c r="B712" t="s">
        <v>4205</v>
      </c>
      <c r="C712" t="s">
        <v>1796</v>
      </c>
      <c r="D712" t="s">
        <v>506</v>
      </c>
      <c r="E712" t="s">
        <v>4050</v>
      </c>
      <c r="F712" t="s">
        <v>3397</v>
      </c>
      <c r="G712" t="s">
        <v>4495</v>
      </c>
      <c r="H712" t="s">
        <v>4058</v>
      </c>
    </row>
    <row r="713" spans="2:8" x14ac:dyDescent="0.3">
      <c r="B713" t="s">
        <v>4205</v>
      </c>
      <c r="C713" t="s">
        <v>1796</v>
      </c>
      <c r="D713" t="s">
        <v>506</v>
      </c>
      <c r="E713" t="s">
        <v>4050</v>
      </c>
      <c r="F713" t="s">
        <v>3397</v>
      </c>
      <c r="G713" t="s">
        <v>4496</v>
      </c>
      <c r="H713" t="s">
        <v>4058</v>
      </c>
    </row>
    <row r="714" spans="2:8" x14ac:dyDescent="0.3">
      <c r="B714" t="s">
        <v>4205</v>
      </c>
      <c r="C714" t="s">
        <v>1796</v>
      </c>
      <c r="D714" t="s">
        <v>506</v>
      </c>
      <c r="E714" t="s">
        <v>4050</v>
      </c>
      <c r="F714" t="s">
        <v>3397</v>
      </c>
      <c r="G714" t="s">
        <v>4497</v>
      </c>
      <c r="H714" t="s">
        <v>4076</v>
      </c>
    </row>
    <row r="715" spans="2:8" x14ac:dyDescent="0.3">
      <c r="B715" t="s">
        <v>4205</v>
      </c>
      <c r="C715" t="s">
        <v>1796</v>
      </c>
      <c r="D715" t="s">
        <v>506</v>
      </c>
      <c r="E715" t="s">
        <v>4050</v>
      </c>
      <c r="F715" t="s">
        <v>3397</v>
      </c>
      <c r="G715" t="s">
        <v>4498</v>
      </c>
      <c r="H715" t="s">
        <v>4076</v>
      </c>
    </row>
    <row r="716" spans="2:8" x14ac:dyDescent="0.3">
      <c r="B716" t="s">
        <v>4205</v>
      </c>
      <c r="C716" t="s">
        <v>1796</v>
      </c>
      <c r="D716" t="s">
        <v>506</v>
      </c>
      <c r="E716" t="s">
        <v>4050</v>
      </c>
      <c r="F716" t="s">
        <v>3397</v>
      </c>
      <c r="G716" t="s">
        <v>4499</v>
      </c>
      <c r="H716" t="s">
        <v>4076</v>
      </c>
    </row>
    <row r="717" spans="2:8" x14ac:dyDescent="0.3">
      <c r="B717" t="s">
        <v>4205</v>
      </c>
      <c r="C717" t="s">
        <v>1796</v>
      </c>
      <c r="D717" t="s">
        <v>506</v>
      </c>
      <c r="E717" t="s">
        <v>4050</v>
      </c>
      <c r="F717" t="s">
        <v>3397</v>
      </c>
      <c r="G717" t="s">
        <v>4500</v>
      </c>
      <c r="H717" t="s">
        <v>4076</v>
      </c>
    </row>
    <row r="718" spans="2:8" x14ac:dyDescent="0.3">
      <c r="B718" t="s">
        <v>4205</v>
      </c>
      <c r="C718" t="s">
        <v>1796</v>
      </c>
      <c r="D718" t="s">
        <v>506</v>
      </c>
      <c r="E718" t="s">
        <v>4050</v>
      </c>
      <c r="F718" t="s">
        <v>3397</v>
      </c>
      <c r="G718" t="s">
        <v>4501</v>
      </c>
      <c r="H718" t="s">
        <v>4076</v>
      </c>
    </row>
    <row r="719" spans="2:8" x14ac:dyDescent="0.3">
      <c r="B719" t="s">
        <v>4205</v>
      </c>
      <c r="C719" t="s">
        <v>1796</v>
      </c>
      <c r="D719" t="s">
        <v>506</v>
      </c>
      <c r="E719" t="s">
        <v>4050</v>
      </c>
      <c r="F719" t="s">
        <v>3397</v>
      </c>
      <c r="G719" t="s">
        <v>4502</v>
      </c>
      <c r="H719" t="s">
        <v>4076</v>
      </c>
    </row>
    <row r="720" spans="2:8" x14ac:dyDescent="0.3">
      <c r="B720" t="s">
        <v>4205</v>
      </c>
      <c r="C720" t="s">
        <v>1796</v>
      </c>
      <c r="D720" t="s">
        <v>506</v>
      </c>
      <c r="E720" t="s">
        <v>4050</v>
      </c>
      <c r="F720" t="s">
        <v>3397</v>
      </c>
      <c r="G720" t="s">
        <v>4503</v>
      </c>
      <c r="H720" t="s">
        <v>4076</v>
      </c>
    </row>
    <row r="721" spans="2:8" x14ac:dyDescent="0.3">
      <c r="B721" t="s">
        <v>4205</v>
      </c>
      <c r="C721" t="s">
        <v>1796</v>
      </c>
      <c r="D721" t="s">
        <v>506</v>
      </c>
      <c r="E721" t="s">
        <v>4050</v>
      </c>
      <c r="F721" t="s">
        <v>3397</v>
      </c>
      <c r="G721" t="s">
        <v>4504</v>
      </c>
      <c r="H721" t="s">
        <v>4076</v>
      </c>
    </row>
    <row r="722" spans="2:8" x14ac:dyDescent="0.3">
      <c r="B722" t="s">
        <v>4205</v>
      </c>
      <c r="C722" t="s">
        <v>1796</v>
      </c>
      <c r="D722" t="s">
        <v>506</v>
      </c>
      <c r="E722" t="s">
        <v>4050</v>
      </c>
      <c r="F722" t="s">
        <v>3397</v>
      </c>
      <c r="G722" t="s">
        <v>4505</v>
      </c>
      <c r="H722" t="s">
        <v>4076</v>
      </c>
    </row>
    <row r="723" spans="2:8" x14ac:dyDescent="0.3">
      <c r="B723" t="s">
        <v>4205</v>
      </c>
      <c r="C723" t="s">
        <v>1796</v>
      </c>
      <c r="D723" t="s">
        <v>506</v>
      </c>
      <c r="E723" t="s">
        <v>4050</v>
      </c>
      <c r="F723" t="s">
        <v>3397</v>
      </c>
      <c r="G723" t="s">
        <v>4506</v>
      </c>
      <c r="H723" t="s">
        <v>4076</v>
      </c>
    </row>
    <row r="724" spans="2:8" x14ac:dyDescent="0.3">
      <c r="B724" t="s">
        <v>4205</v>
      </c>
      <c r="C724" t="s">
        <v>1796</v>
      </c>
      <c r="D724" t="s">
        <v>506</v>
      </c>
      <c r="E724" t="s">
        <v>4050</v>
      </c>
      <c r="F724" t="s">
        <v>3397</v>
      </c>
      <c r="G724" t="s">
        <v>4507</v>
      </c>
      <c r="H724" t="s">
        <v>4076</v>
      </c>
    </row>
    <row r="725" spans="2:8" x14ac:dyDescent="0.3">
      <c r="B725" t="s">
        <v>4205</v>
      </c>
      <c r="C725" t="s">
        <v>1796</v>
      </c>
      <c r="D725" t="s">
        <v>506</v>
      </c>
      <c r="E725" t="s">
        <v>4050</v>
      </c>
      <c r="F725" t="s">
        <v>3397</v>
      </c>
      <c r="G725" t="s">
        <v>4508</v>
      </c>
      <c r="H725" t="s">
        <v>4076</v>
      </c>
    </row>
    <row r="726" spans="2:8" x14ac:dyDescent="0.3">
      <c r="B726" t="s">
        <v>4205</v>
      </c>
      <c r="C726" t="s">
        <v>1796</v>
      </c>
      <c r="D726" t="s">
        <v>506</v>
      </c>
      <c r="E726" t="s">
        <v>4050</v>
      </c>
      <c r="F726" t="s">
        <v>3397</v>
      </c>
      <c r="G726" t="s">
        <v>4509</v>
      </c>
      <c r="H726" t="s">
        <v>4076</v>
      </c>
    </row>
    <row r="727" spans="2:8" x14ac:dyDescent="0.3">
      <c r="B727" t="s">
        <v>4205</v>
      </c>
      <c r="C727" t="s">
        <v>1796</v>
      </c>
      <c r="D727" t="s">
        <v>506</v>
      </c>
      <c r="E727" t="s">
        <v>4050</v>
      </c>
      <c r="F727" t="s">
        <v>3397</v>
      </c>
      <c r="G727" t="s">
        <v>4510</v>
      </c>
      <c r="H727" t="s">
        <v>4076</v>
      </c>
    </row>
    <row r="728" spans="2:8" x14ac:dyDescent="0.3">
      <c r="B728" t="s">
        <v>4205</v>
      </c>
      <c r="C728" t="s">
        <v>1796</v>
      </c>
      <c r="D728" t="s">
        <v>506</v>
      </c>
      <c r="E728" t="s">
        <v>4050</v>
      </c>
      <c r="F728" t="s">
        <v>3397</v>
      </c>
      <c r="G728" t="s">
        <v>4511</v>
      </c>
      <c r="H728" t="s">
        <v>4076</v>
      </c>
    </row>
    <row r="729" spans="2:8" x14ac:dyDescent="0.3">
      <c r="B729" t="s">
        <v>4205</v>
      </c>
      <c r="C729" t="s">
        <v>1796</v>
      </c>
      <c r="D729" t="s">
        <v>506</v>
      </c>
      <c r="E729" t="s">
        <v>4050</v>
      </c>
      <c r="F729" t="s">
        <v>3397</v>
      </c>
      <c r="G729" t="s">
        <v>4512</v>
      </c>
      <c r="H729" t="s">
        <v>4076</v>
      </c>
    </row>
    <row r="730" spans="2:8" x14ac:dyDescent="0.3">
      <c r="B730" t="s">
        <v>4205</v>
      </c>
      <c r="C730" t="s">
        <v>1796</v>
      </c>
      <c r="D730" t="s">
        <v>506</v>
      </c>
      <c r="E730" t="s">
        <v>4050</v>
      </c>
      <c r="F730" t="s">
        <v>3397</v>
      </c>
      <c r="G730" t="s">
        <v>4513</v>
      </c>
      <c r="H730" t="s">
        <v>4076</v>
      </c>
    </row>
    <row r="731" spans="2:8" x14ac:dyDescent="0.3">
      <c r="B731" t="s">
        <v>4205</v>
      </c>
      <c r="C731" t="s">
        <v>1796</v>
      </c>
      <c r="D731" t="s">
        <v>506</v>
      </c>
      <c r="E731" t="s">
        <v>4050</v>
      </c>
      <c r="F731" t="s">
        <v>3397</v>
      </c>
      <c r="G731" t="s">
        <v>4514</v>
      </c>
      <c r="H731" t="s">
        <v>4076</v>
      </c>
    </row>
    <row r="732" spans="2:8" x14ac:dyDescent="0.3">
      <c r="B732" t="s">
        <v>4205</v>
      </c>
      <c r="C732" t="s">
        <v>1796</v>
      </c>
      <c r="D732" t="s">
        <v>506</v>
      </c>
      <c r="E732" t="s">
        <v>4050</v>
      </c>
      <c r="F732" t="s">
        <v>3397</v>
      </c>
      <c r="G732" t="s">
        <v>4515</v>
      </c>
      <c r="H732" t="s">
        <v>4076</v>
      </c>
    </row>
    <row r="733" spans="2:8" x14ac:dyDescent="0.3">
      <c r="B733" t="s">
        <v>4205</v>
      </c>
      <c r="C733" t="s">
        <v>1796</v>
      </c>
      <c r="D733" t="s">
        <v>506</v>
      </c>
      <c r="E733" t="s">
        <v>4050</v>
      </c>
      <c r="F733" t="s">
        <v>3397</v>
      </c>
      <c r="G733" t="s">
        <v>4516</v>
      </c>
      <c r="H733" t="s">
        <v>4076</v>
      </c>
    </row>
    <row r="734" spans="2:8" x14ac:dyDescent="0.3">
      <c r="B734" t="s">
        <v>4205</v>
      </c>
      <c r="C734" t="s">
        <v>1796</v>
      </c>
      <c r="D734" t="s">
        <v>506</v>
      </c>
      <c r="E734" t="s">
        <v>4050</v>
      </c>
      <c r="F734" t="s">
        <v>3397</v>
      </c>
      <c r="G734" t="s">
        <v>4517</v>
      </c>
      <c r="H734" t="s">
        <v>4076</v>
      </c>
    </row>
    <row r="735" spans="2:8" x14ac:dyDescent="0.3">
      <c r="B735" t="s">
        <v>4205</v>
      </c>
      <c r="C735" t="s">
        <v>1796</v>
      </c>
      <c r="D735" t="s">
        <v>506</v>
      </c>
      <c r="E735" t="s">
        <v>4050</v>
      </c>
      <c r="F735" t="s">
        <v>3397</v>
      </c>
      <c r="G735" t="s">
        <v>4518</v>
      </c>
      <c r="H735" t="s">
        <v>4076</v>
      </c>
    </row>
    <row r="736" spans="2:8" x14ac:dyDescent="0.3">
      <c r="B736" t="s">
        <v>4205</v>
      </c>
      <c r="C736" t="s">
        <v>1796</v>
      </c>
      <c r="D736" t="s">
        <v>506</v>
      </c>
      <c r="E736" t="s">
        <v>3410</v>
      </c>
      <c r="F736" t="s">
        <v>3397</v>
      </c>
      <c r="G736" t="s">
        <v>4519</v>
      </c>
      <c r="H736" t="s">
        <v>4232</v>
      </c>
    </row>
    <row r="737" spans="2:8" x14ac:dyDescent="0.3">
      <c r="B737" t="s">
        <v>4205</v>
      </c>
      <c r="C737" t="s">
        <v>1796</v>
      </c>
      <c r="D737" t="s">
        <v>506</v>
      </c>
      <c r="E737" t="s">
        <v>3410</v>
      </c>
      <c r="F737" t="s">
        <v>3397</v>
      </c>
      <c r="G737" t="s">
        <v>4520</v>
      </c>
      <c r="H737" t="s">
        <v>4232</v>
      </c>
    </row>
    <row r="738" spans="2:8" x14ac:dyDescent="0.3">
      <c r="B738" t="s">
        <v>4205</v>
      </c>
      <c r="C738" t="s">
        <v>1796</v>
      </c>
      <c r="D738" t="s">
        <v>506</v>
      </c>
      <c r="E738" t="s">
        <v>3410</v>
      </c>
      <c r="F738" t="s">
        <v>3397</v>
      </c>
      <c r="G738" t="s">
        <v>4521</v>
      </c>
      <c r="H738" t="s">
        <v>4232</v>
      </c>
    </row>
    <row r="739" spans="2:8" x14ac:dyDescent="0.3">
      <c r="B739" t="s">
        <v>4205</v>
      </c>
      <c r="C739" t="s">
        <v>1796</v>
      </c>
      <c r="D739" t="s">
        <v>506</v>
      </c>
      <c r="E739" t="s">
        <v>3410</v>
      </c>
      <c r="F739" t="s">
        <v>3397</v>
      </c>
      <c r="G739" t="s">
        <v>4522</v>
      </c>
      <c r="H739" t="s">
        <v>4232</v>
      </c>
    </row>
    <row r="740" spans="2:8" x14ac:dyDescent="0.3">
      <c r="B740" t="s">
        <v>4523</v>
      </c>
      <c r="C740" t="s">
        <v>1796</v>
      </c>
      <c r="D740" t="s">
        <v>506</v>
      </c>
      <c r="E740" t="s">
        <v>3410</v>
      </c>
      <c r="F740" t="s">
        <v>3383</v>
      </c>
      <c r="G740" t="s">
        <v>4524</v>
      </c>
      <c r="H740" t="s">
        <v>4084</v>
      </c>
    </row>
    <row r="741" spans="2:8" x14ac:dyDescent="0.3">
      <c r="B741" t="s">
        <v>4523</v>
      </c>
      <c r="C741" t="s">
        <v>1796</v>
      </c>
      <c r="D741" t="s">
        <v>506</v>
      </c>
      <c r="E741" t="s">
        <v>3410</v>
      </c>
      <c r="F741" t="s">
        <v>3383</v>
      </c>
      <c r="G741" t="s">
        <v>4525</v>
      </c>
      <c r="H741" t="s">
        <v>4084</v>
      </c>
    </row>
    <row r="742" spans="2:8" x14ac:dyDescent="0.3">
      <c r="B742" t="s">
        <v>4523</v>
      </c>
      <c r="C742" t="s">
        <v>1796</v>
      </c>
      <c r="D742" t="s">
        <v>506</v>
      </c>
      <c r="E742" t="s">
        <v>3410</v>
      </c>
      <c r="F742" t="s">
        <v>3383</v>
      </c>
      <c r="G742" t="s">
        <v>4526</v>
      </c>
      <c r="H742" t="s">
        <v>4084</v>
      </c>
    </row>
    <row r="743" spans="2:8" x14ac:dyDescent="0.3">
      <c r="B743" t="s">
        <v>4523</v>
      </c>
      <c r="C743" t="s">
        <v>1796</v>
      </c>
      <c r="D743" t="s">
        <v>506</v>
      </c>
      <c r="E743" t="s">
        <v>4050</v>
      </c>
      <c r="F743" t="s">
        <v>3383</v>
      </c>
      <c r="G743" t="s">
        <v>4527</v>
      </c>
      <c r="H743" t="s">
        <v>4054</v>
      </c>
    </row>
    <row r="744" spans="2:8" x14ac:dyDescent="0.3">
      <c r="B744" t="s">
        <v>4523</v>
      </c>
      <c r="C744" t="s">
        <v>1796</v>
      </c>
      <c r="D744" t="s">
        <v>506</v>
      </c>
      <c r="E744" t="s">
        <v>4050</v>
      </c>
      <c r="F744" t="s">
        <v>3383</v>
      </c>
      <c r="G744" t="s">
        <v>4528</v>
      </c>
      <c r="H744" t="s">
        <v>4054</v>
      </c>
    </row>
    <row r="745" spans="2:8" x14ac:dyDescent="0.3">
      <c r="B745" t="s">
        <v>4523</v>
      </c>
      <c r="C745" t="s">
        <v>1796</v>
      </c>
      <c r="D745" t="s">
        <v>506</v>
      </c>
      <c r="E745" t="s">
        <v>4050</v>
      </c>
      <c r="F745" t="s">
        <v>3383</v>
      </c>
      <c r="G745" t="s">
        <v>4529</v>
      </c>
      <c r="H745" t="s">
        <v>4054</v>
      </c>
    </row>
    <row r="746" spans="2:8" x14ac:dyDescent="0.3">
      <c r="B746" t="s">
        <v>4523</v>
      </c>
      <c r="C746" t="s">
        <v>1796</v>
      </c>
      <c r="D746" t="s">
        <v>506</v>
      </c>
      <c r="E746" t="s">
        <v>4050</v>
      </c>
      <c r="F746" t="s">
        <v>3383</v>
      </c>
      <c r="G746" t="s">
        <v>4530</v>
      </c>
      <c r="H746" t="s">
        <v>4058</v>
      </c>
    </row>
    <row r="747" spans="2:8" x14ac:dyDescent="0.3">
      <c r="B747" t="s">
        <v>4531</v>
      </c>
      <c r="C747" t="s">
        <v>1796</v>
      </c>
      <c r="D747" t="s">
        <v>506</v>
      </c>
      <c r="E747" t="s">
        <v>3410</v>
      </c>
      <c r="F747" t="s">
        <v>3383</v>
      </c>
      <c r="G747" t="s">
        <v>4532</v>
      </c>
      <c r="H747" t="s">
        <v>4131</v>
      </c>
    </row>
    <row r="748" spans="2:8" x14ac:dyDescent="0.3">
      <c r="B748" t="s">
        <v>4531</v>
      </c>
      <c r="C748" t="s">
        <v>1796</v>
      </c>
      <c r="D748" t="s">
        <v>506</v>
      </c>
      <c r="E748" t="s">
        <v>3410</v>
      </c>
      <c r="F748" t="s">
        <v>3383</v>
      </c>
      <c r="G748" t="s">
        <v>4533</v>
      </c>
      <c r="H748" t="s">
        <v>4131</v>
      </c>
    </row>
    <row r="749" spans="2:8" x14ac:dyDescent="0.3">
      <c r="B749" t="s">
        <v>4531</v>
      </c>
      <c r="C749" t="s">
        <v>1796</v>
      </c>
      <c r="D749" t="s">
        <v>506</v>
      </c>
      <c r="E749" t="s">
        <v>3410</v>
      </c>
      <c r="F749" t="s">
        <v>3383</v>
      </c>
      <c r="G749" t="s">
        <v>4534</v>
      </c>
      <c r="H749" t="s">
        <v>4131</v>
      </c>
    </row>
    <row r="750" spans="2:8" x14ac:dyDescent="0.3">
      <c r="B750" t="s">
        <v>4531</v>
      </c>
      <c r="C750" t="s">
        <v>1796</v>
      </c>
      <c r="D750" t="s">
        <v>506</v>
      </c>
      <c r="E750" t="s">
        <v>3410</v>
      </c>
      <c r="F750" t="s">
        <v>3383</v>
      </c>
      <c r="G750" t="s">
        <v>4535</v>
      </c>
      <c r="H750" t="s">
        <v>4131</v>
      </c>
    </row>
    <row r="751" spans="2:8" x14ac:dyDescent="0.3">
      <c r="B751" t="s">
        <v>4531</v>
      </c>
      <c r="C751" t="s">
        <v>1796</v>
      </c>
      <c r="D751" t="s">
        <v>506</v>
      </c>
      <c r="E751" t="s">
        <v>4050</v>
      </c>
      <c r="F751" t="s">
        <v>3383</v>
      </c>
      <c r="G751" t="s">
        <v>4536</v>
      </c>
      <c r="H751" t="s">
        <v>4054</v>
      </c>
    </row>
    <row r="752" spans="2:8" x14ac:dyDescent="0.3">
      <c r="B752" t="s">
        <v>4531</v>
      </c>
      <c r="C752" t="s">
        <v>1796</v>
      </c>
      <c r="D752" t="s">
        <v>506</v>
      </c>
      <c r="E752" t="s">
        <v>4050</v>
      </c>
      <c r="F752" t="s">
        <v>3383</v>
      </c>
      <c r="G752" t="s">
        <v>4537</v>
      </c>
      <c r="H752" t="s">
        <v>4054</v>
      </c>
    </row>
    <row r="753" spans="2:8" x14ac:dyDescent="0.3">
      <c r="B753" t="s">
        <v>4531</v>
      </c>
      <c r="C753" t="s">
        <v>1796</v>
      </c>
      <c r="D753" t="s">
        <v>506</v>
      </c>
      <c r="E753" t="s">
        <v>4050</v>
      </c>
      <c r="F753" t="s">
        <v>3383</v>
      </c>
      <c r="G753" t="s">
        <v>4538</v>
      </c>
      <c r="H753" t="s">
        <v>4054</v>
      </c>
    </row>
    <row r="754" spans="2:8" x14ac:dyDescent="0.3">
      <c r="B754" t="s">
        <v>4531</v>
      </c>
      <c r="C754" t="s">
        <v>1796</v>
      </c>
      <c r="D754" t="s">
        <v>506</v>
      </c>
      <c r="E754" t="s">
        <v>4050</v>
      </c>
      <c r="F754" t="s">
        <v>3383</v>
      </c>
      <c r="G754" t="s">
        <v>4539</v>
      </c>
      <c r="H754" t="s">
        <v>4058</v>
      </c>
    </row>
    <row r="755" spans="2:8" x14ac:dyDescent="0.3">
      <c r="B755" t="s">
        <v>4531</v>
      </c>
      <c r="C755" t="s">
        <v>1796</v>
      </c>
      <c r="D755" t="s">
        <v>506</v>
      </c>
      <c r="E755" t="s">
        <v>4050</v>
      </c>
      <c r="F755" t="s">
        <v>3383</v>
      </c>
      <c r="G755" t="s">
        <v>4540</v>
      </c>
      <c r="H755" t="s">
        <v>4076</v>
      </c>
    </row>
    <row r="756" spans="2:8" x14ac:dyDescent="0.3">
      <c r="B756" t="s">
        <v>4531</v>
      </c>
      <c r="C756" t="s">
        <v>1796</v>
      </c>
      <c r="D756" t="s">
        <v>506</v>
      </c>
      <c r="E756" t="s">
        <v>4050</v>
      </c>
      <c r="F756" t="s">
        <v>3383</v>
      </c>
      <c r="G756" t="s">
        <v>4541</v>
      </c>
      <c r="H756" t="s">
        <v>4076</v>
      </c>
    </row>
    <row r="757" spans="2:8" x14ac:dyDescent="0.3">
      <c r="B757" t="s">
        <v>4542</v>
      </c>
      <c r="C757" t="s">
        <v>1796</v>
      </c>
      <c r="D757" t="s">
        <v>506</v>
      </c>
      <c r="E757" t="s">
        <v>3410</v>
      </c>
      <c r="F757" t="s">
        <v>3383</v>
      </c>
      <c r="G757" t="s">
        <v>4543</v>
      </c>
      <c r="H757" t="s">
        <v>4131</v>
      </c>
    </row>
    <row r="758" spans="2:8" x14ac:dyDescent="0.3">
      <c r="B758" t="s">
        <v>4542</v>
      </c>
      <c r="C758" t="s">
        <v>1796</v>
      </c>
      <c r="D758" t="s">
        <v>506</v>
      </c>
      <c r="E758" t="s">
        <v>3410</v>
      </c>
      <c r="F758" t="s">
        <v>3383</v>
      </c>
      <c r="G758" t="s">
        <v>4544</v>
      </c>
      <c r="H758" t="s">
        <v>4131</v>
      </c>
    </row>
    <row r="759" spans="2:8" x14ac:dyDescent="0.3">
      <c r="B759" t="s">
        <v>4542</v>
      </c>
      <c r="C759" t="s">
        <v>1796</v>
      </c>
      <c r="D759" t="s">
        <v>506</v>
      </c>
      <c r="E759" t="s">
        <v>3410</v>
      </c>
      <c r="F759" t="s">
        <v>3383</v>
      </c>
      <c r="G759" t="s">
        <v>4545</v>
      </c>
      <c r="H759" t="s">
        <v>4131</v>
      </c>
    </row>
    <row r="760" spans="2:8" x14ac:dyDescent="0.3">
      <c r="B760" t="s">
        <v>4542</v>
      </c>
      <c r="C760" t="s">
        <v>1796</v>
      </c>
      <c r="D760" t="s">
        <v>506</v>
      </c>
      <c r="E760" t="s">
        <v>4050</v>
      </c>
      <c r="F760" t="s">
        <v>3383</v>
      </c>
      <c r="G760" t="s">
        <v>4546</v>
      </c>
      <c r="H760" t="s">
        <v>4076</v>
      </c>
    </row>
    <row r="761" spans="2:8" x14ac:dyDescent="0.3">
      <c r="B761" t="s">
        <v>4542</v>
      </c>
      <c r="C761" t="s">
        <v>1796</v>
      </c>
      <c r="D761" t="s">
        <v>506</v>
      </c>
      <c r="E761" t="s">
        <v>4050</v>
      </c>
      <c r="F761" t="s">
        <v>3383</v>
      </c>
      <c r="G761" t="s">
        <v>4547</v>
      </c>
      <c r="H761" t="s">
        <v>4054</v>
      </c>
    </row>
    <row r="762" spans="2:8" x14ac:dyDescent="0.3">
      <c r="B762" t="s">
        <v>4542</v>
      </c>
      <c r="C762" t="s">
        <v>1796</v>
      </c>
      <c r="D762" t="s">
        <v>506</v>
      </c>
      <c r="E762" t="s">
        <v>4050</v>
      </c>
      <c r="F762" t="s">
        <v>3383</v>
      </c>
      <c r="G762" t="s">
        <v>4548</v>
      </c>
      <c r="H762" t="s">
        <v>4058</v>
      </c>
    </row>
    <row r="763" spans="2:8" x14ac:dyDescent="0.3">
      <c r="B763" t="s">
        <v>4542</v>
      </c>
      <c r="C763" t="s">
        <v>1796</v>
      </c>
      <c r="D763" t="s">
        <v>506</v>
      </c>
      <c r="E763" t="s">
        <v>4050</v>
      </c>
      <c r="F763" t="s">
        <v>3383</v>
      </c>
      <c r="G763" t="s">
        <v>4549</v>
      </c>
      <c r="H763" t="s">
        <v>4076</v>
      </c>
    </row>
    <row r="764" spans="2:8" x14ac:dyDescent="0.3">
      <c r="B764" t="s">
        <v>4550</v>
      </c>
      <c r="C764" t="s">
        <v>1796</v>
      </c>
      <c r="D764" t="s">
        <v>506</v>
      </c>
      <c r="E764" t="s">
        <v>4050</v>
      </c>
      <c r="F764" t="s">
        <v>3383</v>
      </c>
      <c r="G764" t="s">
        <v>4551</v>
      </c>
      <c r="H764" t="s">
        <v>4076</v>
      </c>
    </row>
    <row r="765" spans="2:8" x14ac:dyDescent="0.3">
      <c r="B765" t="s">
        <v>4550</v>
      </c>
      <c r="C765" t="s">
        <v>1796</v>
      </c>
      <c r="D765" t="s">
        <v>506</v>
      </c>
      <c r="E765" t="s">
        <v>4050</v>
      </c>
      <c r="F765" t="s">
        <v>3383</v>
      </c>
      <c r="G765" t="s">
        <v>4552</v>
      </c>
      <c r="H765" t="s">
        <v>4054</v>
      </c>
    </row>
    <row r="766" spans="2:8" x14ac:dyDescent="0.3">
      <c r="B766" t="s">
        <v>4550</v>
      </c>
      <c r="C766" t="s">
        <v>1796</v>
      </c>
      <c r="D766" t="s">
        <v>506</v>
      </c>
      <c r="E766" t="s">
        <v>4050</v>
      </c>
      <c r="F766" t="s">
        <v>3383</v>
      </c>
      <c r="G766" t="s">
        <v>4553</v>
      </c>
      <c r="H766" t="s">
        <v>4054</v>
      </c>
    </row>
    <row r="767" spans="2:8" x14ac:dyDescent="0.3">
      <c r="B767" t="s">
        <v>4550</v>
      </c>
      <c r="C767" t="s">
        <v>1796</v>
      </c>
      <c r="D767" t="s">
        <v>506</v>
      </c>
      <c r="E767" t="s">
        <v>4050</v>
      </c>
      <c r="F767" t="s">
        <v>3383</v>
      </c>
      <c r="G767" t="s">
        <v>4554</v>
      </c>
      <c r="H767" t="s">
        <v>4058</v>
      </c>
    </row>
    <row r="768" spans="2:8" x14ac:dyDescent="0.3">
      <c r="B768" t="s">
        <v>4555</v>
      </c>
      <c r="C768" t="s">
        <v>1796</v>
      </c>
      <c r="D768" t="s">
        <v>506</v>
      </c>
      <c r="E768" t="s">
        <v>4050</v>
      </c>
      <c r="F768" t="s">
        <v>3383</v>
      </c>
      <c r="G768" t="s">
        <v>4556</v>
      </c>
      <c r="H768" t="s">
        <v>4058</v>
      </c>
    </row>
    <row r="769" spans="2:8" x14ac:dyDescent="0.3">
      <c r="B769" t="s">
        <v>4557</v>
      </c>
      <c r="C769" t="s">
        <v>1796</v>
      </c>
      <c r="D769" t="s">
        <v>506</v>
      </c>
      <c r="E769" t="s">
        <v>4050</v>
      </c>
      <c r="F769" t="s">
        <v>3388</v>
      </c>
      <c r="G769" t="s">
        <v>4558</v>
      </c>
      <c r="H769" t="s">
        <v>4052</v>
      </c>
    </row>
    <row r="770" spans="2:8" x14ac:dyDescent="0.3">
      <c r="B770" t="s">
        <v>4557</v>
      </c>
      <c r="C770" t="s">
        <v>1796</v>
      </c>
      <c r="D770" t="s">
        <v>506</v>
      </c>
      <c r="E770" t="s">
        <v>4050</v>
      </c>
      <c r="F770" t="s">
        <v>3388</v>
      </c>
      <c r="G770" t="s">
        <v>4559</v>
      </c>
      <c r="H770" t="s">
        <v>4126</v>
      </c>
    </row>
    <row r="771" spans="2:8" x14ac:dyDescent="0.3">
      <c r="B771" t="s">
        <v>4557</v>
      </c>
      <c r="C771" t="s">
        <v>1796</v>
      </c>
      <c r="D771" t="s">
        <v>506</v>
      </c>
      <c r="E771" t="s">
        <v>4050</v>
      </c>
      <c r="F771" t="s">
        <v>3388</v>
      </c>
      <c r="G771" t="s">
        <v>4560</v>
      </c>
      <c r="H771" t="s">
        <v>4126</v>
      </c>
    </row>
    <row r="772" spans="2:8" x14ac:dyDescent="0.3">
      <c r="B772" t="s">
        <v>4557</v>
      </c>
      <c r="C772" t="s">
        <v>1796</v>
      </c>
      <c r="D772" t="s">
        <v>506</v>
      </c>
      <c r="E772" t="s">
        <v>4050</v>
      </c>
      <c r="F772" t="s">
        <v>3388</v>
      </c>
      <c r="G772" t="s">
        <v>4561</v>
      </c>
      <c r="H772" t="s">
        <v>4054</v>
      </c>
    </row>
    <row r="773" spans="2:8" x14ac:dyDescent="0.3">
      <c r="B773" t="s">
        <v>4557</v>
      </c>
      <c r="C773" t="s">
        <v>1796</v>
      </c>
      <c r="D773" t="s">
        <v>506</v>
      </c>
      <c r="E773" t="s">
        <v>4050</v>
      </c>
      <c r="F773" t="s">
        <v>3388</v>
      </c>
      <c r="G773" t="s">
        <v>4562</v>
      </c>
      <c r="H773" t="s">
        <v>4126</v>
      </c>
    </row>
    <row r="774" spans="2:8" x14ac:dyDescent="0.3">
      <c r="B774" t="s">
        <v>4557</v>
      </c>
      <c r="C774" t="s">
        <v>1796</v>
      </c>
      <c r="D774" t="s">
        <v>506</v>
      </c>
      <c r="E774" t="s">
        <v>4050</v>
      </c>
      <c r="F774" t="s">
        <v>3388</v>
      </c>
      <c r="G774" t="s">
        <v>4563</v>
      </c>
      <c r="H774" t="s">
        <v>4054</v>
      </c>
    </row>
    <row r="775" spans="2:8" x14ac:dyDescent="0.3">
      <c r="B775" t="s">
        <v>4557</v>
      </c>
      <c r="C775" t="s">
        <v>1796</v>
      </c>
      <c r="D775" t="s">
        <v>506</v>
      </c>
      <c r="E775" t="s">
        <v>4050</v>
      </c>
      <c r="F775" t="s">
        <v>3388</v>
      </c>
      <c r="G775" t="s">
        <v>4564</v>
      </c>
      <c r="H775" t="s">
        <v>4054</v>
      </c>
    </row>
    <row r="776" spans="2:8" x14ac:dyDescent="0.3">
      <c r="B776" t="s">
        <v>4565</v>
      </c>
      <c r="C776" t="s">
        <v>1796</v>
      </c>
      <c r="D776" t="s">
        <v>506</v>
      </c>
      <c r="E776" t="s">
        <v>3410</v>
      </c>
      <c r="F776" t="s">
        <v>3388</v>
      </c>
      <c r="G776" t="s">
        <v>4566</v>
      </c>
      <c r="H776" t="s">
        <v>4084</v>
      </c>
    </row>
    <row r="777" spans="2:8" x14ac:dyDescent="0.3">
      <c r="B777" t="s">
        <v>4567</v>
      </c>
      <c r="C777" t="s">
        <v>1796</v>
      </c>
      <c r="D777" t="s">
        <v>506</v>
      </c>
      <c r="E777" t="s">
        <v>4050</v>
      </c>
      <c r="F777" t="s">
        <v>3388</v>
      </c>
      <c r="G777" t="s">
        <v>4568</v>
      </c>
      <c r="H777" t="s">
        <v>4054</v>
      </c>
    </row>
    <row r="778" spans="2:8" x14ac:dyDescent="0.3">
      <c r="B778" t="s">
        <v>4567</v>
      </c>
      <c r="C778" t="s">
        <v>1796</v>
      </c>
      <c r="D778" t="s">
        <v>506</v>
      </c>
      <c r="E778" t="s">
        <v>4050</v>
      </c>
      <c r="F778" t="s">
        <v>3388</v>
      </c>
      <c r="G778" t="s">
        <v>4569</v>
      </c>
      <c r="H778" t="s">
        <v>4054</v>
      </c>
    </row>
    <row r="779" spans="2:8" x14ac:dyDescent="0.3">
      <c r="B779" t="s">
        <v>4567</v>
      </c>
      <c r="C779" t="s">
        <v>1796</v>
      </c>
      <c r="D779" t="s">
        <v>506</v>
      </c>
      <c r="E779" t="s">
        <v>4050</v>
      </c>
      <c r="F779" t="s">
        <v>3388</v>
      </c>
      <c r="G779" t="s">
        <v>4570</v>
      </c>
      <c r="H779" t="s">
        <v>4058</v>
      </c>
    </row>
    <row r="780" spans="2:8" x14ac:dyDescent="0.3">
      <c r="B780" t="s">
        <v>4567</v>
      </c>
      <c r="C780" t="s">
        <v>1796</v>
      </c>
      <c r="D780" t="s">
        <v>506</v>
      </c>
      <c r="E780" t="s">
        <v>4050</v>
      </c>
      <c r="F780" t="s">
        <v>3388</v>
      </c>
      <c r="G780" t="s">
        <v>4571</v>
      </c>
      <c r="H780" t="s">
        <v>4054</v>
      </c>
    </row>
    <row r="781" spans="2:8" x14ac:dyDescent="0.3">
      <c r="B781" t="s">
        <v>4567</v>
      </c>
      <c r="C781" t="s">
        <v>1796</v>
      </c>
      <c r="D781" t="s">
        <v>506</v>
      </c>
      <c r="E781" t="s">
        <v>4050</v>
      </c>
      <c r="F781" t="s">
        <v>3388</v>
      </c>
      <c r="G781" t="s">
        <v>4572</v>
      </c>
      <c r="H781" t="s">
        <v>4054</v>
      </c>
    </row>
    <row r="782" spans="2:8" x14ac:dyDescent="0.3">
      <c r="B782" t="s">
        <v>4567</v>
      </c>
      <c r="C782" t="s">
        <v>1796</v>
      </c>
      <c r="D782" t="s">
        <v>506</v>
      </c>
      <c r="E782" t="s">
        <v>4050</v>
      </c>
      <c r="F782" t="s">
        <v>3388</v>
      </c>
      <c r="G782" t="s">
        <v>4573</v>
      </c>
      <c r="H782" t="s">
        <v>4054</v>
      </c>
    </row>
    <row r="783" spans="2:8" x14ac:dyDescent="0.3">
      <c r="B783" t="s">
        <v>4567</v>
      </c>
      <c r="C783" t="s">
        <v>1796</v>
      </c>
      <c r="D783" t="s">
        <v>506</v>
      </c>
      <c r="E783" t="s">
        <v>4050</v>
      </c>
      <c r="F783" t="s">
        <v>3388</v>
      </c>
      <c r="G783" t="s">
        <v>4574</v>
      </c>
      <c r="H783" t="s">
        <v>4054</v>
      </c>
    </row>
    <row r="784" spans="2:8" x14ac:dyDescent="0.3">
      <c r="B784" t="s">
        <v>4567</v>
      </c>
      <c r="C784" t="s">
        <v>1796</v>
      </c>
      <c r="D784" t="s">
        <v>506</v>
      </c>
      <c r="E784" t="s">
        <v>4050</v>
      </c>
      <c r="F784" t="s">
        <v>3388</v>
      </c>
      <c r="G784" t="s">
        <v>4575</v>
      </c>
      <c r="H784" t="s">
        <v>4054</v>
      </c>
    </row>
    <row r="785" spans="2:8" x14ac:dyDescent="0.3">
      <c r="B785" t="s">
        <v>4567</v>
      </c>
      <c r="C785" t="s">
        <v>1796</v>
      </c>
      <c r="D785" t="s">
        <v>506</v>
      </c>
      <c r="E785" t="s">
        <v>4050</v>
      </c>
      <c r="F785" t="s">
        <v>3388</v>
      </c>
      <c r="G785" t="s">
        <v>4576</v>
      </c>
      <c r="H785" t="s">
        <v>4054</v>
      </c>
    </row>
    <row r="786" spans="2:8" x14ac:dyDescent="0.3">
      <c r="B786" t="s">
        <v>4567</v>
      </c>
      <c r="C786" t="s">
        <v>1796</v>
      </c>
      <c r="D786" t="s">
        <v>506</v>
      </c>
      <c r="E786" t="s">
        <v>4050</v>
      </c>
      <c r="F786" t="s">
        <v>3388</v>
      </c>
      <c r="G786" t="s">
        <v>4577</v>
      </c>
      <c r="H786" t="s">
        <v>4054</v>
      </c>
    </row>
    <row r="787" spans="2:8" x14ac:dyDescent="0.3">
      <c r="B787" t="s">
        <v>4578</v>
      </c>
      <c r="C787" t="s">
        <v>1796</v>
      </c>
      <c r="D787" t="s">
        <v>506</v>
      </c>
      <c r="E787" t="s">
        <v>3410</v>
      </c>
      <c r="F787" t="s">
        <v>3388</v>
      </c>
      <c r="G787" t="s">
        <v>4579</v>
      </c>
      <c r="H787" t="s">
        <v>4580</v>
      </c>
    </row>
    <row r="788" spans="2:8" x14ac:dyDescent="0.3">
      <c r="B788" t="s">
        <v>4567</v>
      </c>
      <c r="C788" t="s">
        <v>1796</v>
      </c>
      <c r="D788" t="s">
        <v>506</v>
      </c>
      <c r="E788" t="s">
        <v>3410</v>
      </c>
      <c r="F788" t="s">
        <v>3388</v>
      </c>
      <c r="G788" t="s">
        <v>4581</v>
      </c>
      <c r="H788" t="s">
        <v>4081</v>
      </c>
    </row>
    <row r="789" spans="2:8" x14ac:dyDescent="0.3">
      <c r="B789" t="s">
        <v>4582</v>
      </c>
      <c r="C789" t="s">
        <v>1796</v>
      </c>
      <c r="D789" t="s">
        <v>506</v>
      </c>
      <c r="E789" t="s">
        <v>4050</v>
      </c>
      <c r="F789" t="s">
        <v>3380</v>
      </c>
      <c r="G789" t="s">
        <v>4583</v>
      </c>
      <c r="H789" t="s">
        <v>4076</v>
      </c>
    </row>
    <row r="790" spans="2:8" x14ac:dyDescent="0.3">
      <c r="B790" t="s">
        <v>4582</v>
      </c>
      <c r="C790" t="s">
        <v>1796</v>
      </c>
      <c r="D790" t="s">
        <v>506</v>
      </c>
      <c r="E790" t="s">
        <v>4050</v>
      </c>
      <c r="F790" t="s">
        <v>3380</v>
      </c>
      <c r="G790" t="s">
        <v>4584</v>
      </c>
      <c r="H790" t="s">
        <v>4076</v>
      </c>
    </row>
    <row r="791" spans="2:8" x14ac:dyDescent="0.3">
      <c r="B791" t="s">
        <v>4582</v>
      </c>
      <c r="C791" t="s">
        <v>1796</v>
      </c>
      <c r="D791" t="s">
        <v>506</v>
      </c>
      <c r="E791" t="s">
        <v>4050</v>
      </c>
      <c r="F791" t="s">
        <v>3380</v>
      </c>
      <c r="G791" t="s">
        <v>4585</v>
      </c>
      <c r="H791" t="s">
        <v>4076</v>
      </c>
    </row>
    <row r="792" spans="2:8" x14ac:dyDescent="0.3">
      <c r="B792" t="s">
        <v>4586</v>
      </c>
      <c r="C792" t="s">
        <v>1796</v>
      </c>
      <c r="D792" t="s">
        <v>506</v>
      </c>
      <c r="E792" t="s">
        <v>4050</v>
      </c>
      <c r="F792" t="s">
        <v>3388</v>
      </c>
      <c r="G792" t="s">
        <v>4587</v>
      </c>
      <c r="H792" t="s">
        <v>4056</v>
      </c>
    </row>
    <row r="793" spans="2:8" x14ac:dyDescent="0.3">
      <c r="B793" t="s">
        <v>4586</v>
      </c>
      <c r="C793" t="s">
        <v>1796</v>
      </c>
      <c r="D793" t="s">
        <v>506</v>
      </c>
      <c r="E793" t="s">
        <v>4050</v>
      </c>
      <c r="F793" t="s">
        <v>3388</v>
      </c>
      <c r="G793" t="s">
        <v>4588</v>
      </c>
      <c r="H793" t="s">
        <v>4056</v>
      </c>
    </row>
    <row r="794" spans="2:8" x14ac:dyDescent="0.3">
      <c r="B794" t="s">
        <v>4586</v>
      </c>
      <c r="C794" t="s">
        <v>1796</v>
      </c>
      <c r="D794" t="s">
        <v>506</v>
      </c>
      <c r="E794" t="s">
        <v>4050</v>
      </c>
      <c r="F794" t="s">
        <v>3388</v>
      </c>
      <c r="G794" t="s">
        <v>4589</v>
      </c>
      <c r="H794" t="s">
        <v>4076</v>
      </c>
    </row>
    <row r="795" spans="2:8" x14ac:dyDescent="0.3">
      <c r="B795" t="s">
        <v>4586</v>
      </c>
      <c r="C795" t="s">
        <v>1796</v>
      </c>
      <c r="D795" t="s">
        <v>506</v>
      </c>
      <c r="E795" t="s">
        <v>4050</v>
      </c>
      <c r="F795" t="s">
        <v>3388</v>
      </c>
      <c r="G795" t="s">
        <v>4590</v>
      </c>
      <c r="H795" t="s">
        <v>4076</v>
      </c>
    </row>
    <row r="796" spans="2:8" x14ac:dyDescent="0.3">
      <c r="B796" t="s">
        <v>4586</v>
      </c>
      <c r="C796" t="s">
        <v>1796</v>
      </c>
      <c r="D796" t="s">
        <v>506</v>
      </c>
      <c r="E796" t="s">
        <v>3410</v>
      </c>
      <c r="F796" t="s">
        <v>3388</v>
      </c>
      <c r="G796" t="s">
        <v>4591</v>
      </c>
      <c r="H796" t="s">
        <v>4081</v>
      </c>
    </row>
    <row r="797" spans="2:8" x14ac:dyDescent="0.3">
      <c r="B797" t="s">
        <v>4592</v>
      </c>
      <c r="C797" t="s">
        <v>1796</v>
      </c>
      <c r="D797" t="s">
        <v>506</v>
      </c>
      <c r="E797" t="s">
        <v>3410</v>
      </c>
      <c r="F797" t="s">
        <v>3397</v>
      </c>
      <c r="G797" t="s">
        <v>4593</v>
      </c>
      <c r="H797" t="s">
        <v>4084</v>
      </c>
    </row>
    <row r="798" spans="2:8" x14ac:dyDescent="0.3">
      <c r="B798" t="s">
        <v>4592</v>
      </c>
      <c r="C798" t="s">
        <v>1796</v>
      </c>
      <c r="D798" t="s">
        <v>506</v>
      </c>
      <c r="E798" t="s">
        <v>3410</v>
      </c>
      <c r="F798" t="s">
        <v>3397</v>
      </c>
      <c r="G798" t="s">
        <v>4594</v>
      </c>
      <c r="H798" t="s">
        <v>4084</v>
      </c>
    </row>
    <row r="799" spans="2:8" x14ac:dyDescent="0.3">
      <c r="B799" t="s">
        <v>4595</v>
      </c>
      <c r="C799" t="s">
        <v>1796</v>
      </c>
      <c r="D799" t="s">
        <v>506</v>
      </c>
      <c r="E799" t="s">
        <v>3410</v>
      </c>
      <c r="F799" t="s">
        <v>3397</v>
      </c>
      <c r="G799" t="s">
        <v>4596</v>
      </c>
      <c r="H799" t="s">
        <v>4081</v>
      </c>
    </row>
    <row r="800" spans="2:8" x14ac:dyDescent="0.3">
      <c r="B800" t="s">
        <v>4595</v>
      </c>
      <c r="C800" t="s">
        <v>1796</v>
      </c>
      <c r="D800" t="s">
        <v>506</v>
      </c>
      <c r="E800" t="s">
        <v>3410</v>
      </c>
      <c r="F800" t="s">
        <v>3397</v>
      </c>
      <c r="G800" t="s">
        <v>4597</v>
      </c>
      <c r="H800" t="s">
        <v>4081</v>
      </c>
    </row>
    <row r="801" spans="2:8" x14ac:dyDescent="0.3">
      <c r="B801" t="s">
        <v>4595</v>
      </c>
      <c r="C801" t="s">
        <v>1796</v>
      </c>
      <c r="D801" t="s">
        <v>506</v>
      </c>
      <c r="E801" t="s">
        <v>3410</v>
      </c>
      <c r="F801" t="s">
        <v>3397</v>
      </c>
      <c r="G801" t="s">
        <v>4598</v>
      </c>
      <c r="H801" t="s">
        <v>4081</v>
      </c>
    </row>
    <row r="802" spans="2:8" x14ac:dyDescent="0.3">
      <c r="B802" t="s">
        <v>4595</v>
      </c>
      <c r="C802" t="s">
        <v>1796</v>
      </c>
      <c r="D802" t="s">
        <v>506</v>
      </c>
      <c r="E802" t="s">
        <v>4050</v>
      </c>
      <c r="F802" t="s">
        <v>3397</v>
      </c>
      <c r="G802" t="s">
        <v>4599</v>
      </c>
      <c r="H802" t="s">
        <v>4058</v>
      </c>
    </row>
    <row r="803" spans="2:8" x14ac:dyDescent="0.3">
      <c r="B803" t="s">
        <v>4595</v>
      </c>
      <c r="C803" t="s">
        <v>1796</v>
      </c>
      <c r="D803" t="s">
        <v>506</v>
      </c>
      <c r="E803" t="s">
        <v>4050</v>
      </c>
      <c r="F803" t="s">
        <v>3397</v>
      </c>
      <c r="G803" t="s">
        <v>4600</v>
      </c>
      <c r="H803" t="s">
        <v>4058</v>
      </c>
    </row>
    <row r="804" spans="2:8" x14ac:dyDescent="0.3">
      <c r="B804" t="s">
        <v>4595</v>
      </c>
      <c r="C804" t="s">
        <v>1796</v>
      </c>
      <c r="D804" t="s">
        <v>506</v>
      </c>
      <c r="E804" t="s">
        <v>4050</v>
      </c>
      <c r="F804" t="s">
        <v>3397</v>
      </c>
      <c r="G804" t="s">
        <v>4601</v>
      </c>
      <c r="H804" t="s">
        <v>4058</v>
      </c>
    </row>
    <row r="805" spans="2:8" x14ac:dyDescent="0.3">
      <c r="B805" t="s">
        <v>4595</v>
      </c>
      <c r="C805" t="s">
        <v>1796</v>
      </c>
      <c r="D805" t="s">
        <v>506</v>
      </c>
      <c r="E805" t="s">
        <v>4050</v>
      </c>
      <c r="F805" t="s">
        <v>3397</v>
      </c>
      <c r="G805" t="s">
        <v>4602</v>
      </c>
      <c r="H805" t="s">
        <v>4058</v>
      </c>
    </row>
    <row r="806" spans="2:8" x14ac:dyDescent="0.3">
      <c r="B806" t="s">
        <v>4595</v>
      </c>
      <c r="C806" t="s">
        <v>1796</v>
      </c>
      <c r="D806" t="s">
        <v>506</v>
      </c>
      <c r="E806" t="s">
        <v>4050</v>
      </c>
      <c r="F806" t="s">
        <v>3397</v>
      </c>
      <c r="G806" t="s">
        <v>4603</v>
      </c>
      <c r="H806" t="s">
        <v>4058</v>
      </c>
    </row>
    <row r="807" spans="2:8" x14ac:dyDescent="0.3">
      <c r="B807" t="s">
        <v>4604</v>
      </c>
      <c r="C807" t="s">
        <v>1796</v>
      </c>
      <c r="D807" t="s">
        <v>506</v>
      </c>
      <c r="E807" t="s">
        <v>4050</v>
      </c>
      <c r="F807" t="s">
        <v>3397</v>
      </c>
      <c r="G807" t="s">
        <v>4605</v>
      </c>
      <c r="H807" t="s">
        <v>4058</v>
      </c>
    </row>
    <row r="808" spans="2:8" x14ac:dyDescent="0.3">
      <c r="B808" t="s">
        <v>4604</v>
      </c>
      <c r="C808" t="s">
        <v>1796</v>
      </c>
      <c r="D808" t="s">
        <v>506</v>
      </c>
      <c r="E808" t="s">
        <v>4050</v>
      </c>
      <c r="F808" t="s">
        <v>3397</v>
      </c>
      <c r="G808" t="s">
        <v>4606</v>
      </c>
      <c r="H808" t="s">
        <v>4058</v>
      </c>
    </row>
    <row r="809" spans="2:8" x14ac:dyDescent="0.3">
      <c r="B809" t="s">
        <v>4604</v>
      </c>
      <c r="C809" t="s">
        <v>1796</v>
      </c>
      <c r="D809" t="s">
        <v>506</v>
      </c>
      <c r="E809" t="s">
        <v>4050</v>
      </c>
      <c r="F809" t="s">
        <v>3397</v>
      </c>
      <c r="G809" t="s">
        <v>4607</v>
      </c>
      <c r="H809" t="s">
        <v>4058</v>
      </c>
    </row>
    <row r="810" spans="2:8" x14ac:dyDescent="0.3">
      <c r="B810" t="s">
        <v>4604</v>
      </c>
      <c r="C810" t="s">
        <v>1796</v>
      </c>
      <c r="D810" t="s">
        <v>506</v>
      </c>
      <c r="E810" t="s">
        <v>4050</v>
      </c>
      <c r="F810" t="s">
        <v>3397</v>
      </c>
      <c r="G810" t="s">
        <v>4608</v>
      </c>
      <c r="H810" t="s">
        <v>4058</v>
      </c>
    </row>
    <row r="811" spans="2:8" x14ac:dyDescent="0.3">
      <c r="B811" t="s">
        <v>4604</v>
      </c>
      <c r="C811" t="s">
        <v>1796</v>
      </c>
      <c r="D811" t="s">
        <v>506</v>
      </c>
      <c r="E811" t="s">
        <v>4050</v>
      </c>
      <c r="F811" t="s">
        <v>3397</v>
      </c>
      <c r="G811" t="s">
        <v>4609</v>
      </c>
      <c r="H811" t="s">
        <v>4058</v>
      </c>
    </row>
    <row r="812" spans="2:8" x14ac:dyDescent="0.3">
      <c r="B812" t="s">
        <v>4604</v>
      </c>
      <c r="C812" t="s">
        <v>1796</v>
      </c>
      <c r="D812" t="s">
        <v>506</v>
      </c>
      <c r="E812" t="s">
        <v>4050</v>
      </c>
      <c r="F812" t="s">
        <v>3397</v>
      </c>
      <c r="G812" t="s">
        <v>4610</v>
      </c>
      <c r="H812" t="s">
        <v>4056</v>
      </c>
    </row>
    <row r="813" spans="2:8" x14ac:dyDescent="0.3">
      <c r="B813" t="s">
        <v>4604</v>
      </c>
      <c r="C813" t="s">
        <v>1796</v>
      </c>
      <c r="D813" t="s">
        <v>506</v>
      </c>
      <c r="E813" t="s">
        <v>4050</v>
      </c>
      <c r="F813" t="s">
        <v>3397</v>
      </c>
      <c r="G813" t="s">
        <v>4611</v>
      </c>
      <c r="H813" t="s">
        <v>4056</v>
      </c>
    </row>
    <row r="814" spans="2:8" x14ac:dyDescent="0.3">
      <c r="B814" t="s">
        <v>4604</v>
      </c>
      <c r="C814" t="s">
        <v>1796</v>
      </c>
      <c r="D814" t="s">
        <v>506</v>
      </c>
      <c r="E814" t="s">
        <v>4050</v>
      </c>
      <c r="F814" t="s">
        <v>3397</v>
      </c>
      <c r="G814" t="s">
        <v>4612</v>
      </c>
      <c r="H814" t="s">
        <v>4056</v>
      </c>
    </row>
    <row r="815" spans="2:8" x14ac:dyDescent="0.3">
      <c r="B815" t="s">
        <v>4613</v>
      </c>
      <c r="C815" t="s">
        <v>1796</v>
      </c>
      <c r="D815" t="s">
        <v>506</v>
      </c>
      <c r="E815" t="s">
        <v>3410</v>
      </c>
      <c r="F815" t="s">
        <v>3397</v>
      </c>
      <c r="G815" t="s">
        <v>4614</v>
      </c>
      <c r="H815" t="s">
        <v>4232</v>
      </c>
    </row>
    <row r="816" spans="2:8" x14ac:dyDescent="0.3">
      <c r="B816" t="s">
        <v>4613</v>
      </c>
      <c r="C816" t="s">
        <v>1796</v>
      </c>
      <c r="D816" t="s">
        <v>506</v>
      </c>
      <c r="E816" t="s">
        <v>4050</v>
      </c>
      <c r="F816" t="s">
        <v>3397</v>
      </c>
      <c r="G816" t="s">
        <v>4615</v>
      </c>
      <c r="H816" t="s">
        <v>4058</v>
      </c>
    </row>
    <row r="817" spans="2:8" x14ac:dyDescent="0.3">
      <c r="B817" t="s">
        <v>4613</v>
      </c>
      <c r="C817" t="s">
        <v>1796</v>
      </c>
      <c r="D817" t="s">
        <v>506</v>
      </c>
      <c r="E817" t="s">
        <v>4050</v>
      </c>
      <c r="F817" t="s">
        <v>3397</v>
      </c>
      <c r="G817" t="s">
        <v>4616</v>
      </c>
      <c r="H817" t="s">
        <v>4058</v>
      </c>
    </row>
    <row r="818" spans="2:8" x14ac:dyDescent="0.3">
      <c r="B818" t="s">
        <v>4613</v>
      </c>
      <c r="C818" t="s">
        <v>1796</v>
      </c>
      <c r="D818" t="s">
        <v>506</v>
      </c>
      <c r="E818" t="s">
        <v>4050</v>
      </c>
      <c r="F818" t="s">
        <v>3397</v>
      </c>
      <c r="G818" t="s">
        <v>4617</v>
      </c>
      <c r="H818" t="s">
        <v>4058</v>
      </c>
    </row>
    <row r="819" spans="2:8" x14ac:dyDescent="0.3">
      <c r="B819" t="s">
        <v>4613</v>
      </c>
      <c r="C819" t="s">
        <v>1796</v>
      </c>
      <c r="D819" t="s">
        <v>506</v>
      </c>
      <c r="E819" t="s">
        <v>4050</v>
      </c>
      <c r="F819" t="s">
        <v>3397</v>
      </c>
      <c r="G819" t="s">
        <v>4618</v>
      </c>
      <c r="H819" t="s">
        <v>4058</v>
      </c>
    </row>
    <row r="820" spans="2:8" x14ac:dyDescent="0.3">
      <c r="B820" t="s">
        <v>4613</v>
      </c>
      <c r="C820" t="s">
        <v>1796</v>
      </c>
      <c r="D820" t="s">
        <v>506</v>
      </c>
      <c r="E820" t="s">
        <v>4050</v>
      </c>
      <c r="F820" t="s">
        <v>3397</v>
      </c>
      <c r="G820" t="s">
        <v>4619</v>
      </c>
      <c r="H820" t="s">
        <v>4058</v>
      </c>
    </row>
    <row r="821" spans="2:8" x14ac:dyDescent="0.3">
      <c r="B821" t="s">
        <v>4613</v>
      </c>
      <c r="C821" t="s">
        <v>1796</v>
      </c>
      <c r="D821" t="s">
        <v>506</v>
      </c>
      <c r="E821" t="s">
        <v>4050</v>
      </c>
      <c r="F821" t="s">
        <v>3397</v>
      </c>
      <c r="G821" t="s">
        <v>4620</v>
      </c>
      <c r="H821" t="s">
        <v>4056</v>
      </c>
    </row>
    <row r="822" spans="2:8" x14ac:dyDescent="0.3">
      <c r="B822" t="s">
        <v>4613</v>
      </c>
      <c r="C822" t="s">
        <v>1796</v>
      </c>
      <c r="D822" t="s">
        <v>506</v>
      </c>
      <c r="E822" t="s">
        <v>4050</v>
      </c>
      <c r="F822" t="s">
        <v>3397</v>
      </c>
      <c r="G822" t="s">
        <v>4621</v>
      </c>
      <c r="H822" t="s">
        <v>4056</v>
      </c>
    </row>
    <row r="823" spans="2:8" x14ac:dyDescent="0.3">
      <c r="B823" t="s">
        <v>4613</v>
      </c>
      <c r="C823" t="s">
        <v>1796</v>
      </c>
      <c r="D823" t="s">
        <v>506</v>
      </c>
      <c r="E823" t="s">
        <v>4050</v>
      </c>
      <c r="F823" t="s">
        <v>3397</v>
      </c>
      <c r="G823" t="s">
        <v>4622</v>
      </c>
      <c r="H823" t="s">
        <v>4200</v>
      </c>
    </row>
    <row r="824" spans="2:8" x14ac:dyDescent="0.3">
      <c r="B824" t="s">
        <v>4613</v>
      </c>
      <c r="C824" t="s">
        <v>1796</v>
      </c>
      <c r="D824" t="s">
        <v>506</v>
      </c>
      <c r="E824" t="s">
        <v>4050</v>
      </c>
      <c r="F824" t="s">
        <v>3397</v>
      </c>
      <c r="G824" t="s">
        <v>4623</v>
      </c>
      <c r="H824" t="s">
        <v>4200</v>
      </c>
    </row>
    <row r="825" spans="2:8" x14ac:dyDescent="0.3">
      <c r="B825" t="s">
        <v>4604</v>
      </c>
      <c r="C825" t="s">
        <v>1796</v>
      </c>
      <c r="D825" t="s">
        <v>506</v>
      </c>
      <c r="E825" t="s">
        <v>3410</v>
      </c>
      <c r="F825" t="s">
        <v>3397</v>
      </c>
      <c r="G825" t="s">
        <v>4624</v>
      </c>
      <c r="H825" t="s">
        <v>4232</v>
      </c>
    </row>
    <row r="826" spans="2:8" x14ac:dyDescent="0.3">
      <c r="B826" t="s">
        <v>4604</v>
      </c>
      <c r="C826" t="s">
        <v>1796</v>
      </c>
      <c r="D826" t="s">
        <v>506</v>
      </c>
      <c r="E826" t="s">
        <v>4050</v>
      </c>
      <c r="F826" t="s">
        <v>3397</v>
      </c>
      <c r="G826" t="s">
        <v>4625</v>
      </c>
      <c r="H826" t="s">
        <v>4054</v>
      </c>
    </row>
    <row r="827" spans="2:8" x14ac:dyDescent="0.3">
      <c r="B827" t="s">
        <v>4604</v>
      </c>
      <c r="C827" t="s">
        <v>1796</v>
      </c>
      <c r="D827" t="s">
        <v>506</v>
      </c>
      <c r="E827" t="s">
        <v>4050</v>
      </c>
      <c r="F827" t="s">
        <v>3397</v>
      </c>
      <c r="G827" t="s">
        <v>4626</v>
      </c>
      <c r="H827" t="s">
        <v>4054</v>
      </c>
    </row>
    <row r="828" spans="2:8" x14ac:dyDescent="0.3">
      <c r="B828" t="s">
        <v>4604</v>
      </c>
      <c r="C828" t="s">
        <v>1796</v>
      </c>
      <c r="D828" t="s">
        <v>506</v>
      </c>
      <c r="E828" t="s">
        <v>4050</v>
      </c>
      <c r="F828" t="s">
        <v>3397</v>
      </c>
      <c r="G828" t="s">
        <v>4627</v>
      </c>
      <c r="H828" t="s">
        <v>4054</v>
      </c>
    </row>
    <row r="829" spans="2:8" x14ac:dyDescent="0.3">
      <c r="B829" t="s">
        <v>4628</v>
      </c>
      <c r="C829" t="s">
        <v>1796</v>
      </c>
      <c r="D829" t="s">
        <v>506</v>
      </c>
      <c r="E829" t="s">
        <v>4050</v>
      </c>
      <c r="F829" t="s">
        <v>3397</v>
      </c>
      <c r="G829" t="s">
        <v>4629</v>
      </c>
      <c r="H829" t="s">
        <v>4200</v>
      </c>
    </row>
    <row r="830" spans="2:8" x14ac:dyDescent="0.3">
      <c r="B830" t="s">
        <v>4628</v>
      </c>
      <c r="C830" t="s">
        <v>1796</v>
      </c>
      <c r="D830" t="s">
        <v>506</v>
      </c>
      <c r="E830" t="s">
        <v>4050</v>
      </c>
      <c r="F830" t="s">
        <v>3397</v>
      </c>
      <c r="G830" t="s">
        <v>4630</v>
      </c>
      <c r="H830" t="s">
        <v>4200</v>
      </c>
    </row>
    <row r="831" spans="2:8" x14ac:dyDescent="0.3">
      <c r="B831" t="s">
        <v>4628</v>
      </c>
      <c r="C831" t="s">
        <v>1796</v>
      </c>
      <c r="D831" t="s">
        <v>506</v>
      </c>
      <c r="E831" t="s">
        <v>4050</v>
      </c>
      <c r="F831" t="s">
        <v>3397</v>
      </c>
      <c r="G831" t="s">
        <v>4631</v>
      </c>
      <c r="H831" t="s">
        <v>4200</v>
      </c>
    </row>
    <row r="832" spans="2:8" x14ac:dyDescent="0.3">
      <c r="B832" t="s">
        <v>4613</v>
      </c>
      <c r="C832" t="s">
        <v>1796</v>
      </c>
      <c r="D832" t="s">
        <v>506</v>
      </c>
      <c r="E832" t="s">
        <v>4050</v>
      </c>
      <c r="F832" t="s">
        <v>3397</v>
      </c>
      <c r="G832" t="s">
        <v>4632</v>
      </c>
      <c r="H832" t="s">
        <v>4076</v>
      </c>
    </row>
    <row r="833" spans="2:8" x14ac:dyDescent="0.3">
      <c r="B833" t="s">
        <v>4613</v>
      </c>
      <c r="C833" t="s">
        <v>1796</v>
      </c>
      <c r="D833" t="s">
        <v>506</v>
      </c>
      <c r="E833" t="s">
        <v>4050</v>
      </c>
      <c r="F833" t="s">
        <v>3397</v>
      </c>
      <c r="G833" t="s">
        <v>4633</v>
      </c>
      <c r="H833" t="s">
        <v>4076</v>
      </c>
    </row>
    <row r="834" spans="2:8" x14ac:dyDescent="0.3">
      <c r="B834" t="s">
        <v>4604</v>
      </c>
      <c r="C834" t="s">
        <v>1796</v>
      </c>
      <c r="D834" t="s">
        <v>506</v>
      </c>
      <c r="E834" t="s">
        <v>4050</v>
      </c>
      <c r="F834" t="s">
        <v>3397</v>
      </c>
      <c r="G834" t="s">
        <v>4634</v>
      </c>
      <c r="H834" t="s">
        <v>4076</v>
      </c>
    </row>
    <row r="835" spans="2:8" x14ac:dyDescent="0.3">
      <c r="B835" t="s">
        <v>4604</v>
      </c>
      <c r="C835" t="s">
        <v>1796</v>
      </c>
      <c r="D835" t="s">
        <v>506</v>
      </c>
      <c r="E835" t="s">
        <v>4050</v>
      </c>
      <c r="F835" t="s">
        <v>3397</v>
      </c>
      <c r="G835" t="s">
        <v>4635</v>
      </c>
      <c r="H835" t="s">
        <v>4076</v>
      </c>
    </row>
    <row r="836" spans="2:8" x14ac:dyDescent="0.3">
      <c r="B836" t="s">
        <v>4595</v>
      </c>
      <c r="C836" t="s">
        <v>1796</v>
      </c>
      <c r="D836" t="s">
        <v>506</v>
      </c>
      <c r="E836" t="s">
        <v>4050</v>
      </c>
      <c r="F836" t="s">
        <v>3397</v>
      </c>
      <c r="G836" t="s">
        <v>4636</v>
      </c>
      <c r="H836" t="s">
        <v>4076</v>
      </c>
    </row>
    <row r="837" spans="2:8" x14ac:dyDescent="0.3">
      <c r="B837" t="s">
        <v>4595</v>
      </c>
      <c r="C837" t="s">
        <v>1796</v>
      </c>
      <c r="D837" t="s">
        <v>506</v>
      </c>
      <c r="E837" t="s">
        <v>4050</v>
      </c>
      <c r="F837" t="s">
        <v>3397</v>
      </c>
      <c r="G837" t="s">
        <v>4637</v>
      </c>
      <c r="H837" t="s">
        <v>4076</v>
      </c>
    </row>
    <row r="838" spans="2:8" x14ac:dyDescent="0.3">
      <c r="B838" t="s">
        <v>4613</v>
      </c>
      <c r="C838" t="s">
        <v>1796</v>
      </c>
      <c r="D838" t="s">
        <v>506</v>
      </c>
      <c r="E838" t="s">
        <v>4050</v>
      </c>
      <c r="F838" t="s">
        <v>3397</v>
      </c>
      <c r="G838" t="s">
        <v>4638</v>
      </c>
      <c r="H838" t="s">
        <v>4076</v>
      </c>
    </row>
    <row r="839" spans="2:8" x14ac:dyDescent="0.3">
      <c r="B839" t="s">
        <v>4604</v>
      </c>
      <c r="C839" t="s">
        <v>1796</v>
      </c>
      <c r="D839" t="s">
        <v>506</v>
      </c>
      <c r="E839" t="s">
        <v>4050</v>
      </c>
      <c r="F839" t="s">
        <v>3397</v>
      </c>
      <c r="G839" t="s">
        <v>4639</v>
      </c>
      <c r="H839" t="s">
        <v>4076</v>
      </c>
    </row>
    <row r="840" spans="2:8" x14ac:dyDescent="0.3">
      <c r="B840" t="s">
        <v>4613</v>
      </c>
      <c r="C840" t="s">
        <v>1796</v>
      </c>
      <c r="D840" t="s">
        <v>506</v>
      </c>
      <c r="E840" t="s">
        <v>3410</v>
      </c>
      <c r="F840" t="s">
        <v>3397</v>
      </c>
      <c r="G840" t="s">
        <v>4640</v>
      </c>
      <c r="H840" t="s">
        <v>4232</v>
      </c>
    </row>
    <row r="841" spans="2:8" x14ac:dyDescent="0.3">
      <c r="B841" t="s">
        <v>4613</v>
      </c>
      <c r="C841" t="s">
        <v>1796</v>
      </c>
      <c r="D841" t="s">
        <v>506</v>
      </c>
      <c r="E841" t="s">
        <v>3410</v>
      </c>
      <c r="F841" t="s">
        <v>3397</v>
      </c>
      <c r="G841" t="s">
        <v>4641</v>
      </c>
      <c r="H841" t="s">
        <v>4232</v>
      </c>
    </row>
    <row r="842" spans="2:8" x14ac:dyDescent="0.3">
      <c r="B842" t="s">
        <v>4604</v>
      </c>
      <c r="C842" t="s">
        <v>1796</v>
      </c>
      <c r="D842" t="s">
        <v>506</v>
      </c>
      <c r="E842" t="s">
        <v>3410</v>
      </c>
      <c r="F842" t="s">
        <v>3397</v>
      </c>
      <c r="G842" t="s">
        <v>4642</v>
      </c>
      <c r="H842" t="s">
        <v>4232</v>
      </c>
    </row>
    <row r="843" spans="2:8" x14ac:dyDescent="0.3">
      <c r="B843" t="s">
        <v>4604</v>
      </c>
      <c r="C843" t="s">
        <v>1796</v>
      </c>
      <c r="D843" t="s">
        <v>506</v>
      </c>
      <c r="E843" t="s">
        <v>3410</v>
      </c>
      <c r="F843" t="s">
        <v>3397</v>
      </c>
      <c r="G843" t="s">
        <v>4643</v>
      </c>
      <c r="H843" t="s">
        <v>4232</v>
      </c>
    </row>
    <row r="844" spans="2:8" x14ac:dyDescent="0.3">
      <c r="B844" t="s">
        <v>4592</v>
      </c>
      <c r="C844" t="s">
        <v>1796</v>
      </c>
      <c r="D844" t="s">
        <v>506</v>
      </c>
      <c r="E844" t="s">
        <v>3410</v>
      </c>
      <c r="F844" t="s">
        <v>3397</v>
      </c>
      <c r="G844" t="s">
        <v>4644</v>
      </c>
      <c r="H844" t="s">
        <v>4084</v>
      </c>
    </row>
    <row r="845" spans="2:8" x14ac:dyDescent="0.3">
      <c r="B845" t="s">
        <v>4645</v>
      </c>
      <c r="C845" t="s">
        <v>1796</v>
      </c>
      <c r="D845" t="s">
        <v>506</v>
      </c>
      <c r="E845" t="s">
        <v>3410</v>
      </c>
      <c r="F845" t="s">
        <v>3380</v>
      </c>
      <c r="G845" t="s">
        <v>4646</v>
      </c>
      <c r="H845" t="s">
        <v>4081</v>
      </c>
    </row>
    <row r="846" spans="2:8" x14ac:dyDescent="0.3">
      <c r="B846" t="s">
        <v>4647</v>
      </c>
      <c r="C846" t="s">
        <v>1796</v>
      </c>
      <c r="D846" t="s">
        <v>506</v>
      </c>
      <c r="E846" t="s">
        <v>3410</v>
      </c>
      <c r="F846" t="s">
        <v>3397</v>
      </c>
      <c r="G846" t="s">
        <v>4648</v>
      </c>
      <c r="H846" t="s">
        <v>4081</v>
      </c>
    </row>
    <row r="847" spans="2:8" x14ac:dyDescent="0.3">
      <c r="B847" t="s">
        <v>4647</v>
      </c>
      <c r="C847" t="s">
        <v>1796</v>
      </c>
      <c r="D847" t="s">
        <v>506</v>
      </c>
      <c r="E847" t="s">
        <v>3410</v>
      </c>
      <c r="F847" t="s">
        <v>3397</v>
      </c>
      <c r="G847" t="s">
        <v>4649</v>
      </c>
      <c r="H847" t="s">
        <v>4081</v>
      </c>
    </row>
    <row r="848" spans="2:8" x14ac:dyDescent="0.3">
      <c r="B848" t="s">
        <v>4650</v>
      </c>
      <c r="C848" t="s">
        <v>1796</v>
      </c>
      <c r="D848" t="s">
        <v>506</v>
      </c>
      <c r="E848" t="s">
        <v>4050</v>
      </c>
      <c r="F848" t="s">
        <v>3383</v>
      </c>
      <c r="G848" t="s">
        <v>4651</v>
      </c>
      <c r="H848" t="s">
        <v>4076</v>
      </c>
    </row>
    <row r="849" spans="2:8" x14ac:dyDescent="0.3">
      <c r="B849" t="s">
        <v>4652</v>
      </c>
      <c r="C849" t="s">
        <v>1796</v>
      </c>
      <c r="D849" t="s">
        <v>506</v>
      </c>
      <c r="E849" t="s">
        <v>3410</v>
      </c>
      <c r="F849" t="s">
        <v>3383</v>
      </c>
      <c r="G849" t="s">
        <v>4653</v>
      </c>
      <c r="H849" t="s">
        <v>4232</v>
      </c>
    </row>
    <row r="850" spans="2:8" x14ac:dyDescent="0.3">
      <c r="B850" t="s">
        <v>4654</v>
      </c>
      <c r="C850" t="s">
        <v>1796</v>
      </c>
      <c r="D850" t="s">
        <v>506</v>
      </c>
      <c r="E850" t="s">
        <v>3410</v>
      </c>
      <c r="F850" t="s">
        <v>3383</v>
      </c>
      <c r="G850" t="s">
        <v>4655</v>
      </c>
      <c r="H850" t="s">
        <v>4232</v>
      </c>
    </row>
    <row r="851" spans="2:8" x14ac:dyDescent="0.3">
      <c r="B851" t="s">
        <v>4654</v>
      </c>
      <c r="C851" t="s">
        <v>1796</v>
      </c>
      <c r="D851" t="s">
        <v>506</v>
      </c>
      <c r="E851" t="s">
        <v>4050</v>
      </c>
      <c r="F851" t="s">
        <v>3383</v>
      </c>
      <c r="G851" t="s">
        <v>4656</v>
      </c>
      <c r="H851" t="s">
        <v>4200</v>
      </c>
    </row>
    <row r="852" spans="2:8" x14ac:dyDescent="0.3">
      <c r="B852" t="s">
        <v>4654</v>
      </c>
      <c r="C852" t="s">
        <v>1796</v>
      </c>
      <c r="D852" t="s">
        <v>506</v>
      </c>
      <c r="E852" t="s">
        <v>4050</v>
      </c>
      <c r="F852" t="s">
        <v>3383</v>
      </c>
      <c r="G852" t="s">
        <v>4657</v>
      </c>
      <c r="H852" t="s">
        <v>4200</v>
      </c>
    </row>
    <row r="853" spans="2:8" x14ac:dyDescent="0.3">
      <c r="B853" t="s">
        <v>4654</v>
      </c>
      <c r="C853" t="s">
        <v>1796</v>
      </c>
      <c r="D853" t="s">
        <v>506</v>
      </c>
      <c r="E853" t="s">
        <v>4050</v>
      </c>
      <c r="F853" t="s">
        <v>3383</v>
      </c>
      <c r="G853" t="s">
        <v>4658</v>
      </c>
      <c r="H853" t="s">
        <v>4200</v>
      </c>
    </row>
    <row r="854" spans="2:8" x14ac:dyDescent="0.3">
      <c r="B854" t="s">
        <v>4650</v>
      </c>
      <c r="C854" t="s">
        <v>1796</v>
      </c>
      <c r="D854" t="s">
        <v>506</v>
      </c>
      <c r="E854" t="s">
        <v>3410</v>
      </c>
      <c r="F854" t="s">
        <v>3383</v>
      </c>
      <c r="G854" t="s">
        <v>4659</v>
      </c>
      <c r="H854" t="s">
        <v>4084</v>
      </c>
    </row>
    <row r="855" spans="2:8" x14ac:dyDescent="0.3">
      <c r="B855" t="s">
        <v>4650</v>
      </c>
      <c r="C855" t="s">
        <v>1796</v>
      </c>
      <c r="D855" t="s">
        <v>506</v>
      </c>
      <c r="E855" t="s">
        <v>4050</v>
      </c>
      <c r="F855" t="s">
        <v>3383</v>
      </c>
      <c r="G855" t="s">
        <v>4660</v>
      </c>
      <c r="H855" t="s">
        <v>4054</v>
      </c>
    </row>
    <row r="856" spans="2:8" x14ac:dyDescent="0.3">
      <c r="B856" t="s">
        <v>4650</v>
      </c>
      <c r="C856" t="s">
        <v>1796</v>
      </c>
      <c r="D856" t="s">
        <v>506</v>
      </c>
      <c r="E856" t="s">
        <v>4050</v>
      </c>
      <c r="F856" t="s">
        <v>3383</v>
      </c>
      <c r="G856" t="s">
        <v>4661</v>
      </c>
      <c r="H856" t="s">
        <v>4054</v>
      </c>
    </row>
    <row r="857" spans="2:8" x14ac:dyDescent="0.3">
      <c r="B857" t="s">
        <v>4650</v>
      </c>
      <c r="C857" t="s">
        <v>1796</v>
      </c>
      <c r="D857" t="s">
        <v>506</v>
      </c>
      <c r="E857" t="s">
        <v>4050</v>
      </c>
      <c r="F857" t="s">
        <v>3383</v>
      </c>
      <c r="G857" t="s">
        <v>4662</v>
      </c>
      <c r="H857" t="s">
        <v>4054</v>
      </c>
    </row>
    <row r="858" spans="2:8" x14ac:dyDescent="0.3">
      <c r="B858" t="s">
        <v>4650</v>
      </c>
      <c r="C858" t="s">
        <v>1796</v>
      </c>
      <c r="D858" t="s">
        <v>506</v>
      </c>
      <c r="E858" t="s">
        <v>4050</v>
      </c>
      <c r="F858" t="s">
        <v>3383</v>
      </c>
      <c r="G858" t="s">
        <v>4663</v>
      </c>
      <c r="H858" t="s">
        <v>4058</v>
      </c>
    </row>
    <row r="859" spans="2:8" x14ac:dyDescent="0.3">
      <c r="B859" t="s">
        <v>4664</v>
      </c>
      <c r="C859" t="s">
        <v>1796</v>
      </c>
      <c r="D859" t="s">
        <v>506</v>
      </c>
      <c r="E859" t="s">
        <v>4050</v>
      </c>
      <c r="F859" t="s">
        <v>3380</v>
      </c>
      <c r="G859" t="s">
        <v>4665</v>
      </c>
      <c r="H859" t="s">
        <v>4076</v>
      </c>
    </row>
    <row r="860" spans="2:8" x14ac:dyDescent="0.3">
      <c r="B860" t="s">
        <v>4664</v>
      </c>
      <c r="C860" t="s">
        <v>1796</v>
      </c>
      <c r="D860" t="s">
        <v>506</v>
      </c>
      <c r="E860" t="s">
        <v>4050</v>
      </c>
      <c r="F860" t="s">
        <v>3380</v>
      </c>
      <c r="G860" t="s">
        <v>4666</v>
      </c>
      <c r="H860" t="s">
        <v>4076</v>
      </c>
    </row>
    <row r="861" spans="2:8" x14ac:dyDescent="0.3">
      <c r="B861" t="s">
        <v>4667</v>
      </c>
      <c r="C861" t="s">
        <v>1796</v>
      </c>
      <c r="D861" t="s">
        <v>506</v>
      </c>
      <c r="E861" t="s">
        <v>3410</v>
      </c>
      <c r="F861" t="s">
        <v>3380</v>
      </c>
      <c r="G861" t="s">
        <v>4668</v>
      </c>
      <c r="H861" t="s">
        <v>4081</v>
      </c>
    </row>
    <row r="862" spans="2:8" x14ac:dyDescent="0.3">
      <c r="B862" t="s">
        <v>4669</v>
      </c>
      <c r="C862" t="s">
        <v>1796</v>
      </c>
      <c r="D862" t="s">
        <v>506</v>
      </c>
      <c r="E862" t="s">
        <v>4050</v>
      </c>
      <c r="F862" t="s">
        <v>3380</v>
      </c>
      <c r="G862" t="s">
        <v>4670</v>
      </c>
      <c r="H862" t="s">
        <v>4076</v>
      </c>
    </row>
    <row r="863" spans="2:8" x14ac:dyDescent="0.3">
      <c r="B863" t="s">
        <v>4669</v>
      </c>
      <c r="C863" t="s">
        <v>1796</v>
      </c>
      <c r="D863" t="s">
        <v>506</v>
      </c>
      <c r="E863" t="s">
        <v>4050</v>
      </c>
      <c r="F863" t="s">
        <v>3380</v>
      </c>
      <c r="G863" t="s">
        <v>4671</v>
      </c>
      <c r="H863" t="s">
        <v>4076</v>
      </c>
    </row>
    <row r="864" spans="2:8" x14ac:dyDescent="0.3">
      <c r="B864" t="s">
        <v>4669</v>
      </c>
      <c r="C864" t="s">
        <v>1796</v>
      </c>
      <c r="D864" t="s">
        <v>506</v>
      </c>
      <c r="E864" t="s">
        <v>4050</v>
      </c>
      <c r="F864" t="s">
        <v>3380</v>
      </c>
      <c r="G864" t="s">
        <v>4672</v>
      </c>
      <c r="H864" t="s">
        <v>4076</v>
      </c>
    </row>
    <row r="865" spans="2:8" x14ac:dyDescent="0.3">
      <c r="B865" t="s">
        <v>4669</v>
      </c>
      <c r="C865" t="s">
        <v>1796</v>
      </c>
      <c r="D865" t="s">
        <v>506</v>
      </c>
      <c r="E865" t="s">
        <v>4050</v>
      </c>
      <c r="F865" t="s">
        <v>3380</v>
      </c>
      <c r="G865" t="s">
        <v>4673</v>
      </c>
      <c r="H865" t="s">
        <v>4674</v>
      </c>
    </row>
    <row r="866" spans="2:8" x14ac:dyDescent="0.3">
      <c r="B866" t="s">
        <v>4669</v>
      </c>
      <c r="C866" t="s">
        <v>1796</v>
      </c>
      <c r="D866" t="s">
        <v>506</v>
      </c>
      <c r="E866" t="s">
        <v>4050</v>
      </c>
      <c r="F866" t="s">
        <v>3380</v>
      </c>
      <c r="G866" t="s">
        <v>4675</v>
      </c>
      <c r="H866" t="s">
        <v>4674</v>
      </c>
    </row>
    <row r="867" spans="2:8" x14ac:dyDescent="0.3">
      <c r="B867" t="s">
        <v>4669</v>
      </c>
      <c r="C867" t="s">
        <v>1796</v>
      </c>
      <c r="D867" t="s">
        <v>506</v>
      </c>
      <c r="E867" t="s">
        <v>4050</v>
      </c>
      <c r="F867" t="s">
        <v>3380</v>
      </c>
      <c r="G867" t="s">
        <v>4676</v>
      </c>
      <c r="H867" t="s">
        <v>4076</v>
      </c>
    </row>
    <row r="868" spans="2:8" x14ac:dyDescent="0.3">
      <c r="B868" t="s">
        <v>4669</v>
      </c>
      <c r="C868" t="s">
        <v>1796</v>
      </c>
      <c r="D868" t="s">
        <v>506</v>
      </c>
      <c r="E868" t="s">
        <v>4050</v>
      </c>
      <c r="F868" t="s">
        <v>3380</v>
      </c>
      <c r="G868" t="s">
        <v>4677</v>
      </c>
      <c r="H868" t="s">
        <v>4076</v>
      </c>
    </row>
    <row r="869" spans="2:8" x14ac:dyDescent="0.3">
      <c r="B869" t="s">
        <v>4669</v>
      </c>
      <c r="C869" t="s">
        <v>1796</v>
      </c>
      <c r="D869" t="s">
        <v>506</v>
      </c>
      <c r="E869" t="s">
        <v>4050</v>
      </c>
      <c r="F869" t="s">
        <v>3380</v>
      </c>
      <c r="G869" t="s">
        <v>4678</v>
      </c>
      <c r="H869" t="s">
        <v>4076</v>
      </c>
    </row>
    <row r="870" spans="2:8" x14ac:dyDescent="0.3">
      <c r="B870" t="s">
        <v>4679</v>
      </c>
      <c r="C870" t="s">
        <v>1796</v>
      </c>
      <c r="D870" t="s">
        <v>506</v>
      </c>
      <c r="E870" t="s">
        <v>4050</v>
      </c>
      <c r="F870" t="s">
        <v>3383</v>
      </c>
      <c r="G870" t="s">
        <v>4680</v>
      </c>
      <c r="H870" t="s">
        <v>4058</v>
      </c>
    </row>
    <row r="871" spans="2:8" x14ac:dyDescent="0.3">
      <c r="B871" t="s">
        <v>4681</v>
      </c>
      <c r="C871" t="s">
        <v>1796</v>
      </c>
      <c r="D871" t="s">
        <v>506</v>
      </c>
      <c r="E871" t="s">
        <v>4050</v>
      </c>
      <c r="F871" t="s">
        <v>3383</v>
      </c>
      <c r="G871" t="s">
        <v>4682</v>
      </c>
      <c r="H871" t="s">
        <v>4081</v>
      </c>
    </row>
    <row r="872" spans="2:8" x14ac:dyDescent="0.3">
      <c r="B872" t="s">
        <v>4681</v>
      </c>
      <c r="C872" t="s">
        <v>1796</v>
      </c>
      <c r="D872" t="s">
        <v>506</v>
      </c>
      <c r="E872" t="s">
        <v>4050</v>
      </c>
      <c r="F872" t="s">
        <v>3383</v>
      </c>
      <c r="G872" t="s">
        <v>4683</v>
      </c>
      <c r="H872" t="s">
        <v>4056</v>
      </c>
    </row>
    <row r="873" spans="2:8" x14ac:dyDescent="0.3">
      <c r="B873" t="s">
        <v>4681</v>
      </c>
      <c r="C873" t="s">
        <v>1796</v>
      </c>
      <c r="D873" t="s">
        <v>506</v>
      </c>
      <c r="E873" t="s">
        <v>4050</v>
      </c>
      <c r="F873" t="s">
        <v>3383</v>
      </c>
      <c r="G873" t="s">
        <v>4684</v>
      </c>
      <c r="H873" t="s">
        <v>4056</v>
      </c>
    </row>
    <row r="874" spans="2:8" x14ac:dyDescent="0.3">
      <c r="B874" t="s">
        <v>4681</v>
      </c>
      <c r="C874" t="s">
        <v>1796</v>
      </c>
      <c r="D874" t="s">
        <v>506</v>
      </c>
      <c r="E874" t="s">
        <v>4050</v>
      </c>
      <c r="F874" t="s">
        <v>3383</v>
      </c>
      <c r="G874" t="s">
        <v>4685</v>
      </c>
      <c r="H874" t="s">
        <v>4056</v>
      </c>
    </row>
    <row r="875" spans="2:8" x14ac:dyDescent="0.3">
      <c r="B875" t="s">
        <v>4681</v>
      </c>
      <c r="C875" t="s">
        <v>1796</v>
      </c>
      <c r="D875" t="s">
        <v>506</v>
      </c>
      <c r="E875" t="s">
        <v>4050</v>
      </c>
      <c r="F875" t="s">
        <v>3383</v>
      </c>
      <c r="G875" t="s">
        <v>4686</v>
      </c>
      <c r="H875" t="s">
        <v>4056</v>
      </c>
    </row>
    <row r="876" spans="2:8" x14ac:dyDescent="0.3">
      <c r="B876" t="s">
        <v>4681</v>
      </c>
      <c r="C876" t="s">
        <v>1796</v>
      </c>
      <c r="D876" t="s">
        <v>506</v>
      </c>
      <c r="E876" t="s">
        <v>4050</v>
      </c>
      <c r="F876" t="s">
        <v>3383</v>
      </c>
      <c r="G876" t="s">
        <v>4687</v>
      </c>
      <c r="H876" t="s">
        <v>4056</v>
      </c>
    </row>
    <row r="877" spans="2:8" x14ac:dyDescent="0.3">
      <c r="B877" t="s">
        <v>4681</v>
      </c>
      <c r="C877" t="s">
        <v>1796</v>
      </c>
      <c r="D877" t="s">
        <v>506</v>
      </c>
      <c r="E877" t="s">
        <v>4050</v>
      </c>
      <c r="F877" t="s">
        <v>3383</v>
      </c>
      <c r="G877" t="s">
        <v>4688</v>
      </c>
      <c r="H877" t="s">
        <v>4056</v>
      </c>
    </row>
    <row r="878" spans="2:8" x14ac:dyDescent="0.3">
      <c r="B878" t="s">
        <v>4681</v>
      </c>
      <c r="C878" t="s">
        <v>1796</v>
      </c>
      <c r="D878" t="s">
        <v>506</v>
      </c>
      <c r="E878" t="s">
        <v>4050</v>
      </c>
      <c r="F878" t="s">
        <v>3383</v>
      </c>
      <c r="G878" t="s">
        <v>4689</v>
      </c>
      <c r="H878" t="s">
        <v>4056</v>
      </c>
    </row>
    <row r="879" spans="2:8" x14ac:dyDescent="0.3">
      <c r="B879" t="s">
        <v>4681</v>
      </c>
      <c r="C879" t="s">
        <v>1796</v>
      </c>
      <c r="D879" t="s">
        <v>506</v>
      </c>
      <c r="E879" t="s">
        <v>4050</v>
      </c>
      <c r="F879" t="s">
        <v>3383</v>
      </c>
      <c r="G879" t="s">
        <v>4690</v>
      </c>
      <c r="H879" t="s">
        <v>4056</v>
      </c>
    </row>
    <row r="880" spans="2:8" x14ac:dyDescent="0.3">
      <c r="B880" t="s">
        <v>4681</v>
      </c>
      <c r="C880" t="s">
        <v>1796</v>
      </c>
      <c r="D880" t="s">
        <v>506</v>
      </c>
      <c r="E880" t="s">
        <v>4050</v>
      </c>
      <c r="F880" t="s">
        <v>3383</v>
      </c>
      <c r="G880" t="s">
        <v>4691</v>
      </c>
      <c r="H880" t="s">
        <v>4056</v>
      </c>
    </row>
    <row r="881" spans="2:8" x14ac:dyDescent="0.3">
      <c r="B881" t="s">
        <v>4692</v>
      </c>
      <c r="C881" t="s">
        <v>1796</v>
      </c>
      <c r="D881" t="s">
        <v>506</v>
      </c>
      <c r="E881" t="s">
        <v>4050</v>
      </c>
      <c r="F881" t="s">
        <v>3383</v>
      </c>
      <c r="G881" t="s">
        <v>4693</v>
      </c>
      <c r="H881" t="s">
        <v>4081</v>
      </c>
    </row>
    <row r="882" spans="2:8" x14ac:dyDescent="0.3">
      <c r="B882" t="s">
        <v>4692</v>
      </c>
      <c r="C882" t="s">
        <v>1796</v>
      </c>
      <c r="D882" t="s">
        <v>506</v>
      </c>
      <c r="E882" t="s">
        <v>4050</v>
      </c>
      <c r="F882" t="s">
        <v>3383</v>
      </c>
      <c r="G882" t="s">
        <v>4694</v>
      </c>
      <c r="H882" t="s">
        <v>4081</v>
      </c>
    </row>
    <row r="883" spans="2:8" x14ac:dyDescent="0.3">
      <c r="B883" t="s">
        <v>4692</v>
      </c>
      <c r="C883" t="s">
        <v>1796</v>
      </c>
      <c r="D883" t="s">
        <v>506</v>
      </c>
      <c r="E883" t="s">
        <v>4050</v>
      </c>
      <c r="F883" t="s">
        <v>3383</v>
      </c>
      <c r="G883" t="s">
        <v>4695</v>
      </c>
      <c r="H883" t="s">
        <v>4081</v>
      </c>
    </row>
    <row r="884" spans="2:8" x14ac:dyDescent="0.3">
      <c r="B884" t="s">
        <v>4692</v>
      </c>
      <c r="C884" t="s">
        <v>1796</v>
      </c>
      <c r="D884" t="s">
        <v>506</v>
      </c>
      <c r="E884" t="s">
        <v>4050</v>
      </c>
      <c r="F884" t="s">
        <v>3383</v>
      </c>
      <c r="G884" t="s">
        <v>4696</v>
      </c>
      <c r="H884" t="s">
        <v>4126</v>
      </c>
    </row>
    <row r="885" spans="2:8" x14ac:dyDescent="0.3">
      <c r="B885" t="s">
        <v>4692</v>
      </c>
      <c r="C885" t="s">
        <v>1796</v>
      </c>
      <c r="D885" t="s">
        <v>506</v>
      </c>
      <c r="E885" t="s">
        <v>4050</v>
      </c>
      <c r="F885" t="s">
        <v>3383</v>
      </c>
      <c r="G885" t="s">
        <v>4697</v>
      </c>
      <c r="H885" t="s">
        <v>4126</v>
      </c>
    </row>
    <row r="886" spans="2:8" x14ac:dyDescent="0.3">
      <c r="B886" t="s">
        <v>4692</v>
      </c>
      <c r="C886" t="s">
        <v>1796</v>
      </c>
      <c r="D886" t="s">
        <v>506</v>
      </c>
      <c r="E886" t="s">
        <v>4050</v>
      </c>
      <c r="F886" t="s">
        <v>3383</v>
      </c>
      <c r="G886" t="s">
        <v>4698</v>
      </c>
      <c r="H886" t="s">
        <v>4126</v>
      </c>
    </row>
    <row r="887" spans="2:8" x14ac:dyDescent="0.3">
      <c r="B887" t="s">
        <v>4692</v>
      </c>
      <c r="C887" t="s">
        <v>1796</v>
      </c>
      <c r="D887" t="s">
        <v>506</v>
      </c>
      <c r="E887" t="s">
        <v>4050</v>
      </c>
      <c r="F887" t="s">
        <v>3383</v>
      </c>
      <c r="G887" t="s">
        <v>4699</v>
      </c>
      <c r="H887" t="s">
        <v>4056</v>
      </c>
    </row>
    <row r="888" spans="2:8" x14ac:dyDescent="0.3">
      <c r="B888" t="s">
        <v>4692</v>
      </c>
      <c r="C888" t="s">
        <v>1796</v>
      </c>
      <c r="D888" t="s">
        <v>506</v>
      </c>
      <c r="E888" t="s">
        <v>4050</v>
      </c>
      <c r="F888" t="s">
        <v>3383</v>
      </c>
      <c r="G888" t="s">
        <v>4700</v>
      </c>
      <c r="H888" t="s">
        <v>4056</v>
      </c>
    </row>
    <row r="889" spans="2:8" x14ac:dyDescent="0.3">
      <c r="B889" t="s">
        <v>4692</v>
      </c>
      <c r="C889" t="s">
        <v>1796</v>
      </c>
      <c r="D889" t="s">
        <v>506</v>
      </c>
      <c r="E889" t="s">
        <v>4050</v>
      </c>
      <c r="F889" t="s">
        <v>3383</v>
      </c>
      <c r="G889" t="s">
        <v>4701</v>
      </c>
      <c r="H889" t="s">
        <v>4056</v>
      </c>
    </row>
    <row r="890" spans="2:8" x14ac:dyDescent="0.3">
      <c r="B890" t="s">
        <v>4692</v>
      </c>
      <c r="C890" t="s">
        <v>1796</v>
      </c>
      <c r="D890" t="s">
        <v>506</v>
      </c>
      <c r="E890" t="s">
        <v>4050</v>
      </c>
      <c r="F890" t="s">
        <v>3383</v>
      </c>
      <c r="G890" t="s">
        <v>4702</v>
      </c>
      <c r="H890" t="s">
        <v>4056</v>
      </c>
    </row>
    <row r="891" spans="2:8" x14ac:dyDescent="0.3">
      <c r="B891" t="s">
        <v>4692</v>
      </c>
      <c r="C891" t="s">
        <v>1796</v>
      </c>
      <c r="D891" t="s">
        <v>506</v>
      </c>
      <c r="E891" t="s">
        <v>4050</v>
      </c>
      <c r="F891" t="s">
        <v>3383</v>
      </c>
      <c r="G891" t="s">
        <v>4703</v>
      </c>
      <c r="H891" t="s">
        <v>4056</v>
      </c>
    </row>
    <row r="892" spans="2:8" x14ac:dyDescent="0.3">
      <c r="B892" t="s">
        <v>4692</v>
      </c>
      <c r="C892" t="s">
        <v>1796</v>
      </c>
      <c r="D892" t="s">
        <v>506</v>
      </c>
      <c r="E892" t="s">
        <v>4050</v>
      </c>
      <c r="F892" t="s">
        <v>3383</v>
      </c>
      <c r="G892" t="s">
        <v>4704</v>
      </c>
      <c r="H892" t="s">
        <v>4056</v>
      </c>
    </row>
    <row r="893" spans="2:8" x14ac:dyDescent="0.3">
      <c r="B893" t="s">
        <v>4705</v>
      </c>
      <c r="C893" t="s">
        <v>1796</v>
      </c>
      <c r="D893" t="s">
        <v>506</v>
      </c>
      <c r="E893" t="s">
        <v>4050</v>
      </c>
      <c r="F893" t="s">
        <v>3383</v>
      </c>
      <c r="G893" t="s">
        <v>4706</v>
      </c>
      <c r="H893" t="s">
        <v>4200</v>
      </c>
    </row>
    <row r="894" spans="2:8" x14ac:dyDescent="0.3">
      <c r="B894" t="s">
        <v>4705</v>
      </c>
      <c r="C894" t="s">
        <v>1796</v>
      </c>
      <c r="D894" t="s">
        <v>506</v>
      </c>
      <c r="E894" t="s">
        <v>4050</v>
      </c>
      <c r="F894" t="s">
        <v>3383</v>
      </c>
      <c r="G894" t="s">
        <v>4707</v>
      </c>
      <c r="H894" t="s">
        <v>4200</v>
      </c>
    </row>
    <row r="895" spans="2:8" x14ac:dyDescent="0.3">
      <c r="B895" t="s">
        <v>4705</v>
      </c>
      <c r="C895" t="s">
        <v>1796</v>
      </c>
      <c r="D895" t="s">
        <v>506</v>
      </c>
      <c r="E895" t="s">
        <v>4050</v>
      </c>
      <c r="F895" t="s">
        <v>3383</v>
      </c>
      <c r="G895" t="s">
        <v>4708</v>
      </c>
      <c r="H895" t="s">
        <v>4200</v>
      </c>
    </row>
    <row r="896" spans="2:8" x14ac:dyDescent="0.3">
      <c r="B896" t="s">
        <v>4705</v>
      </c>
      <c r="C896" t="s">
        <v>1796</v>
      </c>
      <c r="D896" t="s">
        <v>506</v>
      </c>
      <c r="E896" t="s">
        <v>4050</v>
      </c>
      <c r="F896" t="s">
        <v>3383</v>
      </c>
      <c r="G896" t="s">
        <v>4709</v>
      </c>
      <c r="H896" t="s">
        <v>4058</v>
      </c>
    </row>
    <row r="897" spans="2:8" x14ac:dyDescent="0.3">
      <c r="B897" t="s">
        <v>4705</v>
      </c>
      <c r="C897" t="s">
        <v>1796</v>
      </c>
      <c r="D897" t="s">
        <v>506</v>
      </c>
      <c r="E897" t="s">
        <v>4050</v>
      </c>
      <c r="F897" t="s">
        <v>3383</v>
      </c>
      <c r="G897" t="s">
        <v>4710</v>
      </c>
      <c r="H897" t="s">
        <v>4058</v>
      </c>
    </row>
    <row r="898" spans="2:8" x14ac:dyDescent="0.3">
      <c r="B898" t="s">
        <v>4705</v>
      </c>
      <c r="C898" t="s">
        <v>1796</v>
      </c>
      <c r="D898" t="s">
        <v>506</v>
      </c>
      <c r="E898" t="s">
        <v>4050</v>
      </c>
      <c r="F898" t="s">
        <v>3383</v>
      </c>
      <c r="G898" t="s">
        <v>4711</v>
      </c>
      <c r="H898" t="s">
        <v>4058</v>
      </c>
    </row>
    <row r="899" spans="2:8" x14ac:dyDescent="0.3">
      <c r="B899" t="s">
        <v>4705</v>
      </c>
      <c r="C899" t="s">
        <v>1796</v>
      </c>
      <c r="D899" t="s">
        <v>506</v>
      </c>
      <c r="E899" t="s">
        <v>4050</v>
      </c>
      <c r="F899" t="s">
        <v>3383</v>
      </c>
      <c r="G899" t="s">
        <v>4712</v>
      </c>
      <c r="H899" t="s">
        <v>4058</v>
      </c>
    </row>
    <row r="900" spans="2:8" x14ac:dyDescent="0.3">
      <c r="B900" t="s">
        <v>4705</v>
      </c>
      <c r="C900" t="s">
        <v>1796</v>
      </c>
      <c r="D900" t="s">
        <v>506</v>
      </c>
      <c r="E900" t="s">
        <v>4050</v>
      </c>
      <c r="F900" t="s">
        <v>3383</v>
      </c>
      <c r="G900" t="s">
        <v>4713</v>
      </c>
      <c r="H900" t="s">
        <v>4058</v>
      </c>
    </row>
    <row r="901" spans="2:8" x14ac:dyDescent="0.3">
      <c r="B901" t="s">
        <v>4705</v>
      </c>
      <c r="C901" t="s">
        <v>1796</v>
      </c>
      <c r="D901" t="s">
        <v>506</v>
      </c>
      <c r="E901" t="s">
        <v>4050</v>
      </c>
      <c r="F901" t="s">
        <v>3383</v>
      </c>
      <c r="G901" t="s">
        <v>4714</v>
      </c>
      <c r="H901" t="s">
        <v>4076</v>
      </c>
    </row>
    <row r="902" spans="2:8" x14ac:dyDescent="0.3">
      <c r="B902" t="s">
        <v>4705</v>
      </c>
      <c r="C902" t="s">
        <v>1796</v>
      </c>
      <c r="D902" t="s">
        <v>506</v>
      </c>
      <c r="E902" t="s">
        <v>4050</v>
      </c>
      <c r="F902" t="s">
        <v>3383</v>
      </c>
      <c r="G902" t="s">
        <v>4715</v>
      </c>
      <c r="H902" t="s">
        <v>4056</v>
      </c>
    </row>
    <row r="903" spans="2:8" x14ac:dyDescent="0.3">
      <c r="B903" t="s">
        <v>4705</v>
      </c>
      <c r="C903" t="s">
        <v>1796</v>
      </c>
      <c r="D903" t="s">
        <v>506</v>
      </c>
      <c r="E903" t="s">
        <v>4050</v>
      </c>
      <c r="F903" t="s">
        <v>3383</v>
      </c>
      <c r="G903" t="s">
        <v>4716</v>
      </c>
      <c r="H903" t="s">
        <v>4056</v>
      </c>
    </row>
    <row r="904" spans="2:8" x14ac:dyDescent="0.3">
      <c r="B904" t="s">
        <v>4705</v>
      </c>
      <c r="C904" t="s">
        <v>1796</v>
      </c>
      <c r="D904" t="s">
        <v>506</v>
      </c>
      <c r="E904" t="s">
        <v>4050</v>
      </c>
      <c r="F904" t="s">
        <v>3383</v>
      </c>
      <c r="G904" t="s">
        <v>4717</v>
      </c>
      <c r="H904" t="s">
        <v>4056</v>
      </c>
    </row>
    <row r="905" spans="2:8" x14ac:dyDescent="0.3">
      <c r="B905" t="s">
        <v>4679</v>
      </c>
      <c r="C905" t="s">
        <v>1796</v>
      </c>
      <c r="D905" t="s">
        <v>506</v>
      </c>
      <c r="E905" t="s">
        <v>4050</v>
      </c>
      <c r="F905" t="s">
        <v>3383</v>
      </c>
      <c r="G905" t="s">
        <v>4718</v>
      </c>
      <c r="H905" t="s">
        <v>4058</v>
      </c>
    </row>
    <row r="906" spans="2:8" x14ac:dyDescent="0.3">
      <c r="B906" t="s">
        <v>4679</v>
      </c>
      <c r="C906" t="s">
        <v>1796</v>
      </c>
      <c r="D906" t="s">
        <v>506</v>
      </c>
      <c r="E906" t="s">
        <v>4050</v>
      </c>
      <c r="F906" t="s">
        <v>3383</v>
      </c>
      <c r="G906" t="s">
        <v>4719</v>
      </c>
      <c r="H906" t="s">
        <v>4058</v>
      </c>
    </row>
    <row r="907" spans="2:8" x14ac:dyDescent="0.3">
      <c r="B907" t="s">
        <v>4679</v>
      </c>
      <c r="C907" t="s">
        <v>1796</v>
      </c>
      <c r="D907" t="s">
        <v>506</v>
      </c>
      <c r="E907" t="s">
        <v>4050</v>
      </c>
      <c r="F907" t="s">
        <v>3383</v>
      </c>
      <c r="G907" t="s">
        <v>4720</v>
      </c>
      <c r="H907" t="s">
        <v>4058</v>
      </c>
    </row>
    <row r="908" spans="2:8" x14ac:dyDescent="0.3">
      <c r="B908" t="s">
        <v>4679</v>
      </c>
      <c r="C908" t="s">
        <v>1796</v>
      </c>
      <c r="D908" t="s">
        <v>506</v>
      </c>
      <c r="E908" t="s">
        <v>4050</v>
      </c>
      <c r="F908" t="s">
        <v>3383</v>
      </c>
      <c r="G908" t="s">
        <v>4721</v>
      </c>
      <c r="H908" t="s">
        <v>4058</v>
      </c>
    </row>
    <row r="909" spans="2:8" x14ac:dyDescent="0.3">
      <c r="B909" t="s">
        <v>4722</v>
      </c>
      <c r="C909" t="s">
        <v>1796</v>
      </c>
      <c r="D909" t="s">
        <v>506</v>
      </c>
      <c r="E909" t="s">
        <v>4050</v>
      </c>
      <c r="F909" t="s">
        <v>3383</v>
      </c>
      <c r="G909" t="s">
        <v>4723</v>
      </c>
      <c r="H909" t="s">
        <v>4054</v>
      </c>
    </row>
    <row r="910" spans="2:8" x14ac:dyDescent="0.3">
      <c r="B910" t="s">
        <v>4722</v>
      </c>
      <c r="C910" t="s">
        <v>1796</v>
      </c>
      <c r="D910" t="s">
        <v>506</v>
      </c>
      <c r="E910" t="s">
        <v>4050</v>
      </c>
      <c r="F910" t="s">
        <v>3383</v>
      </c>
      <c r="G910" t="s">
        <v>4724</v>
      </c>
      <c r="H910" t="s">
        <v>4054</v>
      </c>
    </row>
    <row r="911" spans="2:8" x14ac:dyDescent="0.3">
      <c r="B911" t="s">
        <v>4722</v>
      </c>
      <c r="C911" t="s">
        <v>1796</v>
      </c>
      <c r="D911" t="s">
        <v>506</v>
      </c>
      <c r="E911" t="s">
        <v>4050</v>
      </c>
      <c r="F911" t="s">
        <v>3383</v>
      </c>
      <c r="G911" t="s">
        <v>4725</v>
      </c>
      <c r="H911" t="s">
        <v>4054</v>
      </c>
    </row>
    <row r="912" spans="2:8" x14ac:dyDescent="0.3">
      <c r="B912" t="s">
        <v>4722</v>
      </c>
      <c r="C912" t="s">
        <v>1796</v>
      </c>
      <c r="D912" t="s">
        <v>506</v>
      </c>
      <c r="E912" t="s">
        <v>4050</v>
      </c>
      <c r="F912" t="s">
        <v>3383</v>
      </c>
      <c r="G912" t="s">
        <v>4726</v>
      </c>
      <c r="H912" t="s">
        <v>4200</v>
      </c>
    </row>
    <row r="913" spans="2:8" x14ac:dyDescent="0.3">
      <c r="B913" t="s">
        <v>4722</v>
      </c>
      <c r="C913" t="s">
        <v>1796</v>
      </c>
      <c r="D913" t="s">
        <v>506</v>
      </c>
      <c r="E913" t="s">
        <v>4050</v>
      </c>
      <c r="F913" t="s">
        <v>3383</v>
      </c>
      <c r="G913" t="s">
        <v>4727</v>
      </c>
      <c r="H913" t="s">
        <v>4200</v>
      </c>
    </row>
    <row r="914" spans="2:8" x14ac:dyDescent="0.3">
      <c r="B914" t="s">
        <v>4722</v>
      </c>
      <c r="C914" t="s">
        <v>1796</v>
      </c>
      <c r="D914" t="s">
        <v>506</v>
      </c>
      <c r="E914" t="s">
        <v>4050</v>
      </c>
      <c r="F914" t="s">
        <v>3383</v>
      </c>
      <c r="G914" t="s">
        <v>4728</v>
      </c>
      <c r="H914" t="s">
        <v>4200</v>
      </c>
    </row>
    <row r="915" spans="2:8" x14ac:dyDescent="0.3">
      <c r="B915" t="s">
        <v>4679</v>
      </c>
      <c r="C915" t="s">
        <v>1796</v>
      </c>
      <c r="D915" t="s">
        <v>506</v>
      </c>
      <c r="E915" t="s">
        <v>4050</v>
      </c>
      <c r="F915" t="s">
        <v>3383</v>
      </c>
      <c r="G915" t="s">
        <v>4729</v>
      </c>
      <c r="H915" t="s">
        <v>4052</v>
      </c>
    </row>
    <row r="916" spans="2:8" x14ac:dyDescent="0.3">
      <c r="B916" t="s">
        <v>4679</v>
      </c>
      <c r="C916" t="s">
        <v>1796</v>
      </c>
      <c r="D916" t="s">
        <v>506</v>
      </c>
      <c r="E916" t="s">
        <v>4050</v>
      </c>
      <c r="F916" t="s">
        <v>3383</v>
      </c>
      <c r="G916" t="s">
        <v>4730</v>
      </c>
      <c r="H916" t="s">
        <v>4056</v>
      </c>
    </row>
    <row r="917" spans="2:8" x14ac:dyDescent="0.3">
      <c r="B917" t="s">
        <v>4679</v>
      </c>
      <c r="C917" t="s">
        <v>1796</v>
      </c>
      <c r="D917" t="s">
        <v>506</v>
      </c>
      <c r="E917" t="s">
        <v>4050</v>
      </c>
      <c r="F917" t="s">
        <v>3383</v>
      </c>
      <c r="G917" t="s">
        <v>4731</v>
      </c>
      <c r="H917" t="s">
        <v>4056</v>
      </c>
    </row>
    <row r="918" spans="2:8" x14ac:dyDescent="0.3">
      <c r="B918" t="s">
        <v>4679</v>
      </c>
      <c r="C918" t="s">
        <v>1796</v>
      </c>
      <c r="D918" t="s">
        <v>506</v>
      </c>
      <c r="E918" t="s">
        <v>4050</v>
      </c>
      <c r="F918" t="s">
        <v>3383</v>
      </c>
      <c r="G918" t="s">
        <v>4732</v>
      </c>
      <c r="H918" t="s">
        <v>4056</v>
      </c>
    </row>
    <row r="919" spans="2:8" x14ac:dyDescent="0.3">
      <c r="B919" t="s">
        <v>4679</v>
      </c>
      <c r="C919" t="s">
        <v>1796</v>
      </c>
      <c r="D919" t="s">
        <v>506</v>
      </c>
      <c r="E919" t="s">
        <v>4050</v>
      </c>
      <c r="F919" t="s">
        <v>3383</v>
      </c>
      <c r="G919" t="s">
        <v>4733</v>
      </c>
      <c r="H919" t="s">
        <v>4054</v>
      </c>
    </row>
    <row r="920" spans="2:8" x14ac:dyDescent="0.3">
      <c r="B920" t="s">
        <v>4679</v>
      </c>
      <c r="C920" t="s">
        <v>1796</v>
      </c>
      <c r="D920" t="s">
        <v>506</v>
      </c>
      <c r="E920" t="s">
        <v>4050</v>
      </c>
      <c r="F920" t="s">
        <v>3383</v>
      </c>
      <c r="G920" t="s">
        <v>4734</v>
      </c>
      <c r="H920" t="s">
        <v>4054</v>
      </c>
    </row>
    <row r="921" spans="2:8" x14ac:dyDescent="0.3">
      <c r="B921" t="s">
        <v>4679</v>
      </c>
      <c r="C921" t="s">
        <v>1796</v>
      </c>
      <c r="D921" t="s">
        <v>506</v>
      </c>
      <c r="E921" t="s">
        <v>4050</v>
      </c>
      <c r="F921" t="s">
        <v>3383</v>
      </c>
      <c r="G921" t="s">
        <v>4735</v>
      </c>
      <c r="H921" t="s">
        <v>4054</v>
      </c>
    </row>
    <row r="922" spans="2:8" x14ac:dyDescent="0.3">
      <c r="B922" t="s">
        <v>4679</v>
      </c>
      <c r="C922" t="s">
        <v>1796</v>
      </c>
      <c r="D922" t="s">
        <v>506</v>
      </c>
      <c r="E922" t="s">
        <v>4050</v>
      </c>
      <c r="F922" t="s">
        <v>3383</v>
      </c>
      <c r="G922" t="s">
        <v>4736</v>
      </c>
      <c r="H922" t="s">
        <v>4076</v>
      </c>
    </row>
    <row r="923" spans="2:8" x14ac:dyDescent="0.3">
      <c r="B923" t="s">
        <v>4679</v>
      </c>
      <c r="C923" t="s">
        <v>1796</v>
      </c>
      <c r="D923" t="s">
        <v>506</v>
      </c>
      <c r="E923" t="s">
        <v>4050</v>
      </c>
      <c r="F923" t="s">
        <v>3383</v>
      </c>
      <c r="G923" t="s">
        <v>4737</v>
      </c>
      <c r="H923" t="s">
        <v>4058</v>
      </c>
    </row>
    <row r="924" spans="2:8" x14ac:dyDescent="0.3">
      <c r="B924" t="s">
        <v>4679</v>
      </c>
      <c r="C924" t="s">
        <v>1796</v>
      </c>
      <c r="D924" t="s">
        <v>506</v>
      </c>
      <c r="E924" t="s">
        <v>4050</v>
      </c>
      <c r="F924" t="s">
        <v>3383</v>
      </c>
      <c r="G924" t="s">
        <v>4738</v>
      </c>
      <c r="H924" t="s">
        <v>4058</v>
      </c>
    </row>
    <row r="925" spans="2:8" x14ac:dyDescent="0.3">
      <c r="B925" t="s">
        <v>4679</v>
      </c>
      <c r="C925" t="s">
        <v>1796</v>
      </c>
      <c r="D925" t="s">
        <v>506</v>
      </c>
      <c r="E925" t="s">
        <v>4050</v>
      </c>
      <c r="F925" t="s">
        <v>3383</v>
      </c>
      <c r="G925" t="s">
        <v>4739</v>
      </c>
      <c r="H925" t="s">
        <v>4058</v>
      </c>
    </row>
    <row r="926" spans="2:8" x14ac:dyDescent="0.3">
      <c r="B926" t="s">
        <v>4679</v>
      </c>
      <c r="C926" t="s">
        <v>1796</v>
      </c>
      <c r="D926" t="s">
        <v>506</v>
      </c>
      <c r="E926" t="s">
        <v>4050</v>
      </c>
      <c r="F926" t="s">
        <v>3383</v>
      </c>
      <c r="G926" t="s">
        <v>4740</v>
      </c>
      <c r="H926" t="s">
        <v>4056</v>
      </c>
    </row>
    <row r="927" spans="2:8" x14ac:dyDescent="0.3">
      <c r="B927" t="s">
        <v>4679</v>
      </c>
      <c r="C927" t="s">
        <v>1796</v>
      </c>
      <c r="D927" t="s">
        <v>506</v>
      </c>
      <c r="E927" t="s">
        <v>4050</v>
      </c>
      <c r="F927" t="s">
        <v>3383</v>
      </c>
      <c r="G927" t="s">
        <v>4741</v>
      </c>
      <c r="H927" t="s">
        <v>4056</v>
      </c>
    </row>
    <row r="928" spans="2:8" x14ac:dyDescent="0.3">
      <c r="B928" t="s">
        <v>4679</v>
      </c>
      <c r="C928" t="s">
        <v>1796</v>
      </c>
      <c r="D928" t="s">
        <v>506</v>
      </c>
      <c r="E928" t="s">
        <v>4050</v>
      </c>
      <c r="F928" t="s">
        <v>3383</v>
      </c>
      <c r="G928" t="s">
        <v>4742</v>
      </c>
      <c r="H928" t="s">
        <v>4056</v>
      </c>
    </row>
    <row r="929" spans="2:8" x14ac:dyDescent="0.3">
      <c r="B929" t="s">
        <v>4679</v>
      </c>
      <c r="C929" t="s">
        <v>1796</v>
      </c>
      <c r="D929" t="s">
        <v>506</v>
      </c>
      <c r="E929" t="s">
        <v>4050</v>
      </c>
      <c r="F929" t="s">
        <v>3383</v>
      </c>
      <c r="G929" t="s">
        <v>4743</v>
      </c>
      <c r="H929" t="s">
        <v>4054</v>
      </c>
    </row>
    <row r="930" spans="2:8" x14ac:dyDescent="0.3">
      <c r="B930" t="s">
        <v>4679</v>
      </c>
      <c r="C930" t="s">
        <v>1796</v>
      </c>
      <c r="D930" t="s">
        <v>506</v>
      </c>
      <c r="E930" t="s">
        <v>4050</v>
      </c>
      <c r="F930" t="s">
        <v>3383</v>
      </c>
      <c r="G930" t="s">
        <v>4744</v>
      </c>
      <c r="H930" t="s">
        <v>4054</v>
      </c>
    </row>
    <row r="931" spans="2:8" x14ac:dyDescent="0.3">
      <c r="B931" t="s">
        <v>4679</v>
      </c>
      <c r="C931" t="s">
        <v>1796</v>
      </c>
      <c r="D931" t="s">
        <v>506</v>
      </c>
      <c r="E931" t="s">
        <v>4050</v>
      </c>
      <c r="F931" t="s">
        <v>3383</v>
      </c>
      <c r="G931" t="s">
        <v>4745</v>
      </c>
      <c r="H931" t="s">
        <v>4054</v>
      </c>
    </row>
    <row r="932" spans="2:8" x14ac:dyDescent="0.3">
      <c r="B932" t="s">
        <v>4679</v>
      </c>
      <c r="C932" t="s">
        <v>1796</v>
      </c>
      <c r="D932" t="s">
        <v>506</v>
      </c>
      <c r="E932" t="s">
        <v>4050</v>
      </c>
      <c r="F932" t="s">
        <v>3383</v>
      </c>
      <c r="G932" t="s">
        <v>4746</v>
      </c>
      <c r="H932" t="s">
        <v>4076</v>
      </c>
    </row>
    <row r="933" spans="2:8" x14ac:dyDescent="0.3">
      <c r="B933" t="s">
        <v>4747</v>
      </c>
      <c r="C933" t="s">
        <v>1796</v>
      </c>
      <c r="D933" t="s">
        <v>506</v>
      </c>
      <c r="E933" t="s">
        <v>3410</v>
      </c>
      <c r="F933" t="s">
        <v>3388</v>
      </c>
      <c r="G933" t="s">
        <v>4748</v>
      </c>
      <c r="H933" t="s">
        <v>4081</v>
      </c>
    </row>
    <row r="934" spans="2:8" x14ac:dyDescent="0.3">
      <c r="B934" t="s">
        <v>4749</v>
      </c>
      <c r="C934" t="s">
        <v>1796</v>
      </c>
      <c r="D934" t="s">
        <v>506</v>
      </c>
      <c r="E934" t="s">
        <v>3410</v>
      </c>
      <c r="F934" t="s">
        <v>3383</v>
      </c>
      <c r="G934" t="s">
        <v>4750</v>
      </c>
      <c r="H934" t="s">
        <v>4081</v>
      </c>
    </row>
    <row r="935" spans="2:8" x14ac:dyDescent="0.3">
      <c r="B935" t="s">
        <v>4749</v>
      </c>
      <c r="C935" t="s">
        <v>1796</v>
      </c>
      <c r="D935" t="s">
        <v>506</v>
      </c>
      <c r="E935" t="s">
        <v>4050</v>
      </c>
      <c r="F935" t="s">
        <v>3383</v>
      </c>
      <c r="G935" t="s">
        <v>4751</v>
      </c>
      <c r="H935" t="s">
        <v>4056</v>
      </c>
    </row>
    <row r="936" spans="2:8" x14ac:dyDescent="0.3">
      <c r="B936" t="s">
        <v>4749</v>
      </c>
      <c r="C936" t="s">
        <v>1796</v>
      </c>
      <c r="D936" t="s">
        <v>506</v>
      </c>
      <c r="E936" t="s">
        <v>4050</v>
      </c>
      <c r="F936" t="s">
        <v>3383</v>
      </c>
      <c r="G936" t="s">
        <v>4752</v>
      </c>
      <c r="H936" t="s">
        <v>4056</v>
      </c>
    </row>
    <row r="937" spans="2:8" x14ac:dyDescent="0.3">
      <c r="B937" t="s">
        <v>4749</v>
      </c>
      <c r="C937" t="s">
        <v>1796</v>
      </c>
      <c r="D937" t="s">
        <v>506</v>
      </c>
      <c r="E937" t="s">
        <v>4050</v>
      </c>
      <c r="F937" t="s">
        <v>3383</v>
      </c>
      <c r="G937" t="s">
        <v>4753</v>
      </c>
      <c r="H937" t="s">
        <v>4056</v>
      </c>
    </row>
    <row r="938" spans="2:8" x14ac:dyDescent="0.3">
      <c r="B938" t="s">
        <v>4754</v>
      </c>
      <c r="C938" t="s">
        <v>1796</v>
      </c>
      <c r="D938" t="s">
        <v>506</v>
      </c>
      <c r="E938" t="s">
        <v>3410</v>
      </c>
      <c r="F938" t="s">
        <v>3383</v>
      </c>
      <c r="G938" t="s">
        <v>4755</v>
      </c>
      <c r="H938" t="s">
        <v>4131</v>
      </c>
    </row>
    <row r="939" spans="2:8" x14ac:dyDescent="0.3">
      <c r="B939" t="s">
        <v>4754</v>
      </c>
      <c r="C939" t="s">
        <v>1796</v>
      </c>
      <c r="D939" t="s">
        <v>506</v>
      </c>
      <c r="E939" t="s">
        <v>4050</v>
      </c>
      <c r="F939" t="s">
        <v>3383</v>
      </c>
      <c r="G939" t="s">
        <v>4756</v>
      </c>
      <c r="H939" t="s">
        <v>4076</v>
      </c>
    </row>
    <row r="940" spans="2:8" x14ac:dyDescent="0.3">
      <c r="B940" t="s">
        <v>4754</v>
      </c>
      <c r="C940" t="s">
        <v>1796</v>
      </c>
      <c r="D940" t="s">
        <v>506</v>
      </c>
      <c r="E940" t="s">
        <v>4050</v>
      </c>
      <c r="F940" t="s">
        <v>3383</v>
      </c>
      <c r="G940" t="s">
        <v>4757</v>
      </c>
      <c r="H940" t="s">
        <v>4054</v>
      </c>
    </row>
    <row r="941" spans="2:8" x14ac:dyDescent="0.3">
      <c r="B941" t="s">
        <v>4754</v>
      </c>
      <c r="C941" t="s">
        <v>1796</v>
      </c>
      <c r="D941" t="s">
        <v>506</v>
      </c>
      <c r="E941" t="s">
        <v>4050</v>
      </c>
      <c r="F941" t="s">
        <v>3383</v>
      </c>
      <c r="G941" t="s">
        <v>4758</v>
      </c>
      <c r="H941" t="s">
        <v>4054</v>
      </c>
    </row>
    <row r="942" spans="2:8" x14ac:dyDescent="0.3">
      <c r="B942" t="s">
        <v>4754</v>
      </c>
      <c r="C942" t="s">
        <v>1796</v>
      </c>
      <c r="D942" t="s">
        <v>506</v>
      </c>
      <c r="E942" t="s">
        <v>4050</v>
      </c>
      <c r="F942" t="s">
        <v>3383</v>
      </c>
      <c r="G942" t="s">
        <v>4759</v>
      </c>
      <c r="H942" t="s">
        <v>4054</v>
      </c>
    </row>
    <row r="943" spans="2:8" x14ac:dyDescent="0.3">
      <c r="B943" t="s">
        <v>4754</v>
      </c>
      <c r="C943" t="s">
        <v>1796</v>
      </c>
      <c r="D943" t="s">
        <v>506</v>
      </c>
      <c r="E943" t="s">
        <v>4050</v>
      </c>
      <c r="F943" t="s">
        <v>3383</v>
      </c>
      <c r="G943" t="s">
        <v>4760</v>
      </c>
      <c r="H943" t="s">
        <v>4076</v>
      </c>
    </row>
    <row r="944" spans="2:8" x14ac:dyDescent="0.3">
      <c r="B944" t="s">
        <v>4761</v>
      </c>
      <c r="C944" t="s">
        <v>1796</v>
      </c>
      <c r="D944" t="s">
        <v>506</v>
      </c>
      <c r="E944" t="s">
        <v>3410</v>
      </c>
      <c r="F944" t="s">
        <v>3383</v>
      </c>
      <c r="G944" t="s">
        <v>4762</v>
      </c>
      <c r="H944" t="s">
        <v>4131</v>
      </c>
    </row>
    <row r="945" spans="2:8" x14ac:dyDescent="0.3">
      <c r="B945" t="s">
        <v>4761</v>
      </c>
      <c r="C945" t="s">
        <v>1796</v>
      </c>
      <c r="D945" t="s">
        <v>506</v>
      </c>
      <c r="E945" t="s">
        <v>4050</v>
      </c>
      <c r="F945" t="s">
        <v>3383</v>
      </c>
      <c r="G945" t="s">
        <v>4763</v>
      </c>
      <c r="H945" t="s">
        <v>4076</v>
      </c>
    </row>
    <row r="946" spans="2:8" x14ac:dyDescent="0.3">
      <c r="B946" t="s">
        <v>4761</v>
      </c>
      <c r="C946" t="s">
        <v>1796</v>
      </c>
      <c r="D946" t="s">
        <v>506</v>
      </c>
      <c r="E946" t="s">
        <v>4050</v>
      </c>
      <c r="F946" t="s">
        <v>3383</v>
      </c>
      <c r="G946" t="s">
        <v>4764</v>
      </c>
      <c r="H946" t="s">
        <v>4076</v>
      </c>
    </row>
    <row r="947" spans="2:8" x14ac:dyDescent="0.3">
      <c r="B947" t="s">
        <v>4765</v>
      </c>
      <c r="C947" t="s">
        <v>1796</v>
      </c>
      <c r="D947" t="s">
        <v>506</v>
      </c>
      <c r="E947" t="s">
        <v>3410</v>
      </c>
      <c r="F947" t="s">
        <v>3388</v>
      </c>
      <c r="G947" t="s">
        <v>4766</v>
      </c>
      <c r="H947" t="s">
        <v>4081</v>
      </c>
    </row>
    <row r="948" spans="2:8" x14ac:dyDescent="0.3">
      <c r="B948" t="s">
        <v>4767</v>
      </c>
      <c r="C948" t="s">
        <v>1796</v>
      </c>
      <c r="D948" t="s">
        <v>506</v>
      </c>
      <c r="E948" t="s">
        <v>3410</v>
      </c>
      <c r="F948" t="s">
        <v>3388</v>
      </c>
      <c r="G948" t="s">
        <v>4768</v>
      </c>
      <c r="H948" t="s">
        <v>4081</v>
      </c>
    </row>
    <row r="949" spans="2:8" x14ac:dyDescent="0.3">
      <c r="B949" t="s">
        <v>4769</v>
      </c>
      <c r="C949" t="s">
        <v>1796</v>
      </c>
      <c r="D949" t="s">
        <v>506</v>
      </c>
      <c r="E949" t="s">
        <v>3410</v>
      </c>
      <c r="F949" t="s">
        <v>3388</v>
      </c>
      <c r="G949" t="s">
        <v>4770</v>
      </c>
      <c r="H949" t="s">
        <v>4084</v>
      </c>
    </row>
    <row r="950" spans="2:8" x14ac:dyDescent="0.3">
      <c r="B950" t="s">
        <v>4769</v>
      </c>
      <c r="C950" t="s">
        <v>1796</v>
      </c>
      <c r="D950" t="s">
        <v>506</v>
      </c>
      <c r="E950" t="s">
        <v>3410</v>
      </c>
      <c r="F950" t="s">
        <v>3388</v>
      </c>
      <c r="G950" t="s">
        <v>4771</v>
      </c>
      <c r="H950" t="s">
        <v>4084</v>
      </c>
    </row>
    <row r="951" spans="2:8" x14ac:dyDescent="0.3">
      <c r="B951" t="s">
        <v>4769</v>
      </c>
      <c r="C951" t="s">
        <v>1796</v>
      </c>
      <c r="D951" t="s">
        <v>506</v>
      </c>
      <c r="E951" t="s">
        <v>3410</v>
      </c>
      <c r="F951" t="s">
        <v>3388</v>
      </c>
      <c r="G951" t="s">
        <v>4772</v>
      </c>
      <c r="H951" t="s">
        <v>4084</v>
      </c>
    </row>
    <row r="952" spans="2:8" x14ac:dyDescent="0.3">
      <c r="B952" t="s">
        <v>4769</v>
      </c>
      <c r="C952" t="s">
        <v>1796</v>
      </c>
      <c r="D952" t="s">
        <v>506</v>
      </c>
      <c r="E952" t="s">
        <v>4050</v>
      </c>
      <c r="F952" t="s">
        <v>3388</v>
      </c>
      <c r="G952" t="s">
        <v>4773</v>
      </c>
      <c r="H952" t="s">
        <v>4076</v>
      </c>
    </row>
    <row r="953" spans="2:8" x14ac:dyDescent="0.3">
      <c r="B953" t="s">
        <v>4774</v>
      </c>
      <c r="C953" t="s">
        <v>1796</v>
      </c>
      <c r="D953" t="s">
        <v>506</v>
      </c>
      <c r="E953" t="s">
        <v>4050</v>
      </c>
      <c r="F953" t="s">
        <v>3388</v>
      </c>
      <c r="G953" t="s">
        <v>4775</v>
      </c>
      <c r="H953" t="s">
        <v>4056</v>
      </c>
    </row>
    <row r="954" spans="2:8" x14ac:dyDescent="0.3">
      <c r="B954" t="s">
        <v>4774</v>
      </c>
      <c r="C954" t="s">
        <v>1796</v>
      </c>
      <c r="D954" t="s">
        <v>506</v>
      </c>
      <c r="E954" t="s">
        <v>4050</v>
      </c>
      <c r="F954" t="s">
        <v>3388</v>
      </c>
      <c r="G954" t="s">
        <v>4776</v>
      </c>
      <c r="H954" t="s">
        <v>4056</v>
      </c>
    </row>
    <row r="955" spans="2:8" x14ac:dyDescent="0.3">
      <c r="B955" t="s">
        <v>4774</v>
      </c>
      <c r="C955" t="s">
        <v>1796</v>
      </c>
      <c r="D955" t="s">
        <v>506</v>
      </c>
      <c r="E955" t="s">
        <v>4050</v>
      </c>
      <c r="F955" t="s">
        <v>3388</v>
      </c>
      <c r="G955" t="s">
        <v>4777</v>
      </c>
      <c r="H955" t="s">
        <v>4056</v>
      </c>
    </row>
    <row r="956" spans="2:8" x14ac:dyDescent="0.3">
      <c r="B956" t="s">
        <v>4778</v>
      </c>
      <c r="C956" t="s">
        <v>1796</v>
      </c>
      <c r="D956" t="s">
        <v>506</v>
      </c>
      <c r="E956" t="s">
        <v>3410</v>
      </c>
      <c r="F956" t="s">
        <v>3388</v>
      </c>
      <c r="G956" t="s">
        <v>4779</v>
      </c>
      <c r="H956" t="s">
        <v>4081</v>
      </c>
    </row>
    <row r="957" spans="2:8" x14ac:dyDescent="0.3">
      <c r="B957" t="s">
        <v>4778</v>
      </c>
      <c r="C957" t="s">
        <v>1796</v>
      </c>
      <c r="D957" t="s">
        <v>506</v>
      </c>
      <c r="E957" t="s">
        <v>4050</v>
      </c>
      <c r="F957" t="s">
        <v>3388</v>
      </c>
      <c r="G957" t="s">
        <v>4780</v>
      </c>
      <c r="H957" t="s">
        <v>4052</v>
      </c>
    </row>
    <row r="958" spans="2:8" x14ac:dyDescent="0.3">
      <c r="B958" t="s">
        <v>4778</v>
      </c>
      <c r="C958" t="s">
        <v>1796</v>
      </c>
      <c r="D958" t="s">
        <v>506</v>
      </c>
      <c r="E958" t="s">
        <v>4050</v>
      </c>
      <c r="F958" t="s">
        <v>3388</v>
      </c>
      <c r="G958" t="s">
        <v>4781</v>
      </c>
      <c r="H958" t="s">
        <v>4056</v>
      </c>
    </row>
    <row r="959" spans="2:8" x14ac:dyDescent="0.3">
      <c r="B959" t="s">
        <v>4778</v>
      </c>
      <c r="C959" t="s">
        <v>1796</v>
      </c>
      <c r="D959" t="s">
        <v>506</v>
      </c>
      <c r="E959" t="s">
        <v>4050</v>
      </c>
      <c r="F959" t="s">
        <v>3388</v>
      </c>
      <c r="G959" t="s">
        <v>4782</v>
      </c>
      <c r="H959" t="s">
        <v>4054</v>
      </c>
    </row>
    <row r="960" spans="2:8" x14ac:dyDescent="0.3">
      <c r="B960" t="s">
        <v>4778</v>
      </c>
      <c r="C960" t="s">
        <v>1796</v>
      </c>
      <c r="D960" t="s">
        <v>506</v>
      </c>
      <c r="E960" t="s">
        <v>4050</v>
      </c>
      <c r="F960" t="s">
        <v>3388</v>
      </c>
      <c r="G960" t="s">
        <v>4783</v>
      </c>
      <c r="H960" t="s">
        <v>4054</v>
      </c>
    </row>
    <row r="961" spans="2:8" x14ac:dyDescent="0.3">
      <c r="B961" t="s">
        <v>4778</v>
      </c>
      <c r="C961" t="s">
        <v>1796</v>
      </c>
      <c r="D961" t="s">
        <v>506</v>
      </c>
      <c r="E961" t="s">
        <v>4050</v>
      </c>
      <c r="F961" t="s">
        <v>3388</v>
      </c>
      <c r="G961" t="s">
        <v>4784</v>
      </c>
      <c r="H961" t="s">
        <v>4054</v>
      </c>
    </row>
    <row r="962" spans="2:8" x14ac:dyDescent="0.3">
      <c r="B962" t="s">
        <v>4778</v>
      </c>
      <c r="C962" t="s">
        <v>1796</v>
      </c>
      <c r="D962" t="s">
        <v>506</v>
      </c>
      <c r="E962" t="s">
        <v>4050</v>
      </c>
      <c r="F962" t="s">
        <v>3388</v>
      </c>
      <c r="G962" t="s">
        <v>4785</v>
      </c>
      <c r="H962" t="s">
        <v>4056</v>
      </c>
    </row>
    <row r="963" spans="2:8" x14ac:dyDescent="0.3">
      <c r="B963" t="s">
        <v>4778</v>
      </c>
      <c r="C963" t="s">
        <v>1796</v>
      </c>
      <c r="D963" t="s">
        <v>506</v>
      </c>
      <c r="E963" t="s">
        <v>4050</v>
      </c>
      <c r="F963" t="s">
        <v>3388</v>
      </c>
      <c r="G963" t="s">
        <v>4786</v>
      </c>
      <c r="H963" t="s">
        <v>4076</v>
      </c>
    </row>
    <row r="964" spans="2:8" x14ac:dyDescent="0.3">
      <c r="B964" t="s">
        <v>4778</v>
      </c>
      <c r="C964" t="s">
        <v>1796</v>
      </c>
      <c r="D964" t="s">
        <v>506</v>
      </c>
      <c r="E964" t="s">
        <v>4050</v>
      </c>
      <c r="F964" t="s">
        <v>3388</v>
      </c>
      <c r="G964" t="s">
        <v>4787</v>
      </c>
      <c r="H964" t="s">
        <v>4076</v>
      </c>
    </row>
    <row r="965" spans="2:8" x14ac:dyDescent="0.3">
      <c r="B965" t="s">
        <v>4788</v>
      </c>
      <c r="C965" t="s">
        <v>1796</v>
      </c>
      <c r="D965" t="s">
        <v>506</v>
      </c>
      <c r="E965" t="s">
        <v>3410</v>
      </c>
      <c r="F965" t="s">
        <v>3388</v>
      </c>
      <c r="G965" t="s">
        <v>4789</v>
      </c>
      <c r="H965" t="s">
        <v>4081</v>
      </c>
    </row>
    <row r="966" spans="2:8" x14ac:dyDescent="0.3">
      <c r="B966" t="s">
        <v>4788</v>
      </c>
      <c r="C966" t="s">
        <v>1796</v>
      </c>
      <c r="D966" t="s">
        <v>506</v>
      </c>
      <c r="E966" t="s">
        <v>3410</v>
      </c>
      <c r="F966" t="s">
        <v>3388</v>
      </c>
      <c r="G966" t="s">
        <v>4790</v>
      </c>
      <c r="H966" t="s">
        <v>4081</v>
      </c>
    </row>
    <row r="967" spans="2:8" x14ac:dyDescent="0.3">
      <c r="B967" t="s">
        <v>4788</v>
      </c>
      <c r="C967" t="s">
        <v>1796</v>
      </c>
      <c r="D967" t="s">
        <v>506</v>
      </c>
      <c r="E967" t="s">
        <v>3410</v>
      </c>
      <c r="F967" t="s">
        <v>3388</v>
      </c>
      <c r="G967" t="s">
        <v>4791</v>
      </c>
      <c r="H967" t="s">
        <v>4081</v>
      </c>
    </row>
    <row r="968" spans="2:8" x14ac:dyDescent="0.3">
      <c r="B968" t="s">
        <v>4788</v>
      </c>
      <c r="C968" t="s">
        <v>1796</v>
      </c>
      <c r="D968" t="s">
        <v>506</v>
      </c>
      <c r="E968" t="s">
        <v>3410</v>
      </c>
      <c r="F968" t="s">
        <v>3388</v>
      </c>
      <c r="G968" t="s">
        <v>4792</v>
      </c>
      <c r="H968" t="s">
        <v>4081</v>
      </c>
    </row>
    <row r="969" spans="2:8" x14ac:dyDescent="0.3">
      <c r="B969" t="s">
        <v>4788</v>
      </c>
      <c r="C969" t="s">
        <v>1796</v>
      </c>
      <c r="D969" t="s">
        <v>506</v>
      </c>
      <c r="E969" t="s">
        <v>4050</v>
      </c>
      <c r="F969" t="s">
        <v>3388</v>
      </c>
      <c r="G969" t="s">
        <v>4793</v>
      </c>
      <c r="H969" t="s">
        <v>4058</v>
      </c>
    </row>
    <row r="970" spans="2:8" x14ac:dyDescent="0.3">
      <c r="B970" t="s">
        <v>4788</v>
      </c>
      <c r="C970" t="s">
        <v>1796</v>
      </c>
      <c r="D970" t="s">
        <v>506</v>
      </c>
      <c r="E970" t="s">
        <v>4050</v>
      </c>
      <c r="F970" t="s">
        <v>3388</v>
      </c>
      <c r="G970" t="s">
        <v>4794</v>
      </c>
      <c r="H970" t="s">
        <v>4058</v>
      </c>
    </row>
    <row r="971" spans="2:8" x14ac:dyDescent="0.3">
      <c r="B971" t="s">
        <v>4788</v>
      </c>
      <c r="C971" t="s">
        <v>1796</v>
      </c>
      <c r="D971" t="s">
        <v>506</v>
      </c>
      <c r="E971" t="s">
        <v>4050</v>
      </c>
      <c r="F971" t="s">
        <v>3388</v>
      </c>
      <c r="G971" t="s">
        <v>4795</v>
      </c>
      <c r="H971" t="s">
        <v>4076</v>
      </c>
    </row>
    <row r="972" spans="2:8" x14ac:dyDescent="0.3">
      <c r="B972" t="s">
        <v>4788</v>
      </c>
      <c r="C972" t="s">
        <v>1796</v>
      </c>
      <c r="D972" t="s">
        <v>506</v>
      </c>
      <c r="E972" t="s">
        <v>4050</v>
      </c>
      <c r="F972" t="s">
        <v>3388</v>
      </c>
      <c r="G972" t="s">
        <v>4796</v>
      </c>
      <c r="H972" t="s">
        <v>4076</v>
      </c>
    </row>
    <row r="973" spans="2:8" x14ac:dyDescent="0.3">
      <c r="B973" t="s">
        <v>4797</v>
      </c>
      <c r="C973" t="s">
        <v>1796</v>
      </c>
      <c r="D973" t="s">
        <v>506</v>
      </c>
      <c r="E973" t="s">
        <v>3410</v>
      </c>
      <c r="F973" t="s">
        <v>3383</v>
      </c>
      <c r="G973" t="s">
        <v>4798</v>
      </c>
      <c r="H973" t="s">
        <v>4084</v>
      </c>
    </row>
    <row r="974" spans="2:8" x14ac:dyDescent="0.3">
      <c r="B974" t="s">
        <v>4797</v>
      </c>
      <c r="C974" t="s">
        <v>1796</v>
      </c>
      <c r="D974" t="s">
        <v>506</v>
      </c>
      <c r="E974" t="s">
        <v>3410</v>
      </c>
      <c r="F974" t="s">
        <v>3383</v>
      </c>
      <c r="G974" t="s">
        <v>4799</v>
      </c>
      <c r="H974" t="s">
        <v>4084</v>
      </c>
    </row>
    <row r="975" spans="2:8" x14ac:dyDescent="0.3">
      <c r="B975" t="s">
        <v>4797</v>
      </c>
      <c r="C975" t="s">
        <v>1796</v>
      </c>
      <c r="D975" t="s">
        <v>506</v>
      </c>
      <c r="E975" t="s">
        <v>3410</v>
      </c>
      <c r="F975" t="s">
        <v>3383</v>
      </c>
      <c r="G975" t="s">
        <v>4800</v>
      </c>
      <c r="H975" t="s">
        <v>4084</v>
      </c>
    </row>
    <row r="976" spans="2:8" x14ac:dyDescent="0.3">
      <c r="B976" t="s">
        <v>4797</v>
      </c>
      <c r="C976" t="s">
        <v>1796</v>
      </c>
      <c r="D976" t="s">
        <v>506</v>
      </c>
      <c r="E976" t="s">
        <v>3410</v>
      </c>
      <c r="F976" t="s">
        <v>3383</v>
      </c>
      <c r="G976" t="s">
        <v>4801</v>
      </c>
      <c r="H976" t="s">
        <v>4084</v>
      </c>
    </row>
    <row r="977" spans="2:8" x14ac:dyDescent="0.3">
      <c r="B977" t="s">
        <v>4797</v>
      </c>
      <c r="C977" t="s">
        <v>1796</v>
      </c>
      <c r="D977" t="s">
        <v>506</v>
      </c>
      <c r="E977" t="s">
        <v>4050</v>
      </c>
      <c r="F977" t="s">
        <v>3383</v>
      </c>
      <c r="G977" t="s">
        <v>4802</v>
      </c>
      <c r="H977" t="s">
        <v>4058</v>
      </c>
    </row>
    <row r="978" spans="2:8" x14ac:dyDescent="0.3">
      <c r="B978" t="s">
        <v>4797</v>
      </c>
      <c r="C978" t="s">
        <v>1796</v>
      </c>
      <c r="D978" t="s">
        <v>506</v>
      </c>
      <c r="E978" t="s">
        <v>4050</v>
      </c>
      <c r="F978" t="s">
        <v>3383</v>
      </c>
      <c r="G978" t="s">
        <v>4803</v>
      </c>
      <c r="H978" t="s">
        <v>4058</v>
      </c>
    </row>
    <row r="979" spans="2:8" x14ac:dyDescent="0.3">
      <c r="B979" t="s">
        <v>4797</v>
      </c>
      <c r="C979" t="s">
        <v>1796</v>
      </c>
      <c r="D979" t="s">
        <v>506</v>
      </c>
      <c r="E979" t="s">
        <v>4050</v>
      </c>
      <c r="F979" t="s">
        <v>3383</v>
      </c>
      <c r="G979" t="s">
        <v>4804</v>
      </c>
      <c r="H979" t="s">
        <v>4058</v>
      </c>
    </row>
    <row r="980" spans="2:8" x14ac:dyDescent="0.3">
      <c r="B980" t="s">
        <v>4797</v>
      </c>
      <c r="C980" t="s">
        <v>1796</v>
      </c>
      <c r="D980" t="s">
        <v>506</v>
      </c>
      <c r="E980" t="s">
        <v>4050</v>
      </c>
      <c r="F980" t="s">
        <v>3383</v>
      </c>
      <c r="G980" t="s">
        <v>4805</v>
      </c>
      <c r="H980" t="s">
        <v>4058</v>
      </c>
    </row>
    <row r="981" spans="2:8" x14ac:dyDescent="0.3">
      <c r="B981" t="s">
        <v>4806</v>
      </c>
      <c r="C981" t="s">
        <v>1796</v>
      </c>
      <c r="D981" t="s">
        <v>506</v>
      </c>
      <c r="E981" t="s">
        <v>3410</v>
      </c>
      <c r="F981" t="s">
        <v>3383</v>
      </c>
      <c r="G981" t="s">
        <v>4807</v>
      </c>
      <c r="H981" t="s">
        <v>4131</v>
      </c>
    </row>
    <row r="982" spans="2:8" x14ac:dyDescent="0.3">
      <c r="B982" t="s">
        <v>4806</v>
      </c>
      <c r="C982" t="s">
        <v>1796</v>
      </c>
      <c r="D982" t="s">
        <v>506</v>
      </c>
      <c r="E982" t="s">
        <v>3410</v>
      </c>
      <c r="F982" t="s">
        <v>3383</v>
      </c>
      <c r="G982" t="s">
        <v>4808</v>
      </c>
      <c r="H982" t="s">
        <v>4131</v>
      </c>
    </row>
    <row r="983" spans="2:8" x14ac:dyDescent="0.3">
      <c r="B983" t="s">
        <v>4806</v>
      </c>
      <c r="C983" t="s">
        <v>1796</v>
      </c>
      <c r="D983" t="s">
        <v>506</v>
      </c>
      <c r="E983" t="s">
        <v>4050</v>
      </c>
      <c r="F983" t="s">
        <v>3383</v>
      </c>
      <c r="G983" t="s">
        <v>4809</v>
      </c>
      <c r="H983" t="s">
        <v>4054</v>
      </c>
    </row>
    <row r="984" spans="2:8" x14ac:dyDescent="0.3">
      <c r="B984" t="s">
        <v>4806</v>
      </c>
      <c r="C984" t="s">
        <v>1796</v>
      </c>
      <c r="D984" t="s">
        <v>506</v>
      </c>
      <c r="E984" t="s">
        <v>4050</v>
      </c>
      <c r="F984" t="s">
        <v>3383</v>
      </c>
      <c r="G984" t="s">
        <v>4810</v>
      </c>
      <c r="H984" t="s">
        <v>4054</v>
      </c>
    </row>
    <row r="985" spans="2:8" x14ac:dyDescent="0.3">
      <c r="B985" t="s">
        <v>4806</v>
      </c>
      <c r="C985" t="s">
        <v>1796</v>
      </c>
      <c r="D985" t="s">
        <v>506</v>
      </c>
      <c r="E985" t="s">
        <v>4050</v>
      </c>
      <c r="F985" t="s">
        <v>3383</v>
      </c>
      <c r="G985" t="s">
        <v>4811</v>
      </c>
      <c r="H985" t="s">
        <v>4054</v>
      </c>
    </row>
    <row r="986" spans="2:8" x14ac:dyDescent="0.3">
      <c r="B986" t="s">
        <v>4806</v>
      </c>
      <c r="C986" t="s">
        <v>1796</v>
      </c>
      <c r="D986" t="s">
        <v>506</v>
      </c>
      <c r="E986" t="s">
        <v>4050</v>
      </c>
      <c r="F986" t="s">
        <v>3383</v>
      </c>
      <c r="G986" t="s">
        <v>4812</v>
      </c>
      <c r="H986" t="s">
        <v>4052</v>
      </c>
    </row>
    <row r="987" spans="2:8" x14ac:dyDescent="0.3">
      <c r="B987" t="s">
        <v>4806</v>
      </c>
      <c r="C987" t="s">
        <v>1796</v>
      </c>
      <c r="D987" t="s">
        <v>506</v>
      </c>
      <c r="E987" t="s">
        <v>4050</v>
      </c>
      <c r="F987" t="s">
        <v>3383</v>
      </c>
      <c r="G987" t="s">
        <v>4813</v>
      </c>
      <c r="H987" t="s">
        <v>4058</v>
      </c>
    </row>
    <row r="988" spans="2:8" x14ac:dyDescent="0.3">
      <c r="B988" t="s">
        <v>4806</v>
      </c>
      <c r="C988" t="s">
        <v>1796</v>
      </c>
      <c r="D988" t="s">
        <v>506</v>
      </c>
      <c r="E988" t="s">
        <v>3410</v>
      </c>
      <c r="F988" t="s">
        <v>3383</v>
      </c>
      <c r="G988" t="s">
        <v>4814</v>
      </c>
      <c r="H988" t="s">
        <v>4131</v>
      </c>
    </row>
    <row r="989" spans="2:8" x14ac:dyDescent="0.3">
      <c r="B989" t="s">
        <v>4806</v>
      </c>
      <c r="C989" t="s">
        <v>1796</v>
      </c>
      <c r="D989" t="s">
        <v>506</v>
      </c>
      <c r="E989" t="s">
        <v>3410</v>
      </c>
      <c r="F989" t="s">
        <v>3383</v>
      </c>
      <c r="G989" t="s">
        <v>4815</v>
      </c>
      <c r="H989" t="s">
        <v>4131</v>
      </c>
    </row>
    <row r="990" spans="2:8" x14ac:dyDescent="0.3">
      <c r="B990" t="s">
        <v>4816</v>
      </c>
      <c r="C990" t="s">
        <v>1796</v>
      </c>
      <c r="D990" t="s">
        <v>506</v>
      </c>
      <c r="E990" t="s">
        <v>3410</v>
      </c>
      <c r="F990" t="s">
        <v>3383</v>
      </c>
      <c r="G990" t="s">
        <v>4817</v>
      </c>
      <c r="H990" t="s">
        <v>4081</v>
      </c>
    </row>
    <row r="991" spans="2:8" x14ac:dyDescent="0.3">
      <c r="B991" t="s">
        <v>4816</v>
      </c>
      <c r="C991" t="s">
        <v>1796</v>
      </c>
      <c r="D991" t="s">
        <v>506</v>
      </c>
      <c r="E991" t="s">
        <v>4050</v>
      </c>
      <c r="F991" t="s">
        <v>3383</v>
      </c>
      <c r="G991" t="s">
        <v>4818</v>
      </c>
      <c r="H991" t="s">
        <v>4054</v>
      </c>
    </row>
    <row r="992" spans="2:8" x14ac:dyDescent="0.3">
      <c r="B992" t="s">
        <v>4816</v>
      </c>
      <c r="C992" t="s">
        <v>1796</v>
      </c>
      <c r="D992" t="s">
        <v>506</v>
      </c>
      <c r="E992" t="s">
        <v>4050</v>
      </c>
      <c r="F992" t="s">
        <v>3383</v>
      </c>
      <c r="G992" t="s">
        <v>4819</v>
      </c>
      <c r="H992" t="s">
        <v>4054</v>
      </c>
    </row>
    <row r="993" spans="2:8" x14ac:dyDescent="0.3">
      <c r="B993" t="s">
        <v>4816</v>
      </c>
      <c r="C993" t="s">
        <v>1796</v>
      </c>
      <c r="D993" t="s">
        <v>506</v>
      </c>
      <c r="E993" t="s">
        <v>4050</v>
      </c>
      <c r="F993" t="s">
        <v>3383</v>
      </c>
      <c r="G993" t="s">
        <v>4820</v>
      </c>
      <c r="H993" t="s">
        <v>4054</v>
      </c>
    </row>
    <row r="994" spans="2:8" x14ac:dyDescent="0.3">
      <c r="B994" t="s">
        <v>4816</v>
      </c>
      <c r="C994" t="s">
        <v>1796</v>
      </c>
      <c r="D994" t="s">
        <v>506</v>
      </c>
      <c r="E994" t="s">
        <v>4050</v>
      </c>
      <c r="F994" t="s">
        <v>3383</v>
      </c>
      <c r="G994" t="s">
        <v>4821</v>
      </c>
      <c r="H994" t="s">
        <v>4058</v>
      </c>
    </row>
    <row r="995" spans="2:8" x14ac:dyDescent="0.3">
      <c r="B995" t="s">
        <v>4816</v>
      </c>
      <c r="C995" t="s">
        <v>1796</v>
      </c>
      <c r="D995" t="s">
        <v>506</v>
      </c>
      <c r="E995" t="s">
        <v>4050</v>
      </c>
      <c r="F995" t="s">
        <v>3383</v>
      </c>
      <c r="G995" t="s">
        <v>4822</v>
      </c>
      <c r="H995" t="s">
        <v>4058</v>
      </c>
    </row>
    <row r="996" spans="2:8" x14ac:dyDescent="0.3">
      <c r="B996" t="s">
        <v>4816</v>
      </c>
      <c r="C996" t="s">
        <v>1796</v>
      </c>
      <c r="D996" t="s">
        <v>506</v>
      </c>
      <c r="E996" t="s">
        <v>4050</v>
      </c>
      <c r="F996" t="s">
        <v>3383</v>
      </c>
      <c r="G996" t="s">
        <v>4823</v>
      </c>
      <c r="H996" t="s">
        <v>4076</v>
      </c>
    </row>
    <row r="997" spans="2:8" x14ac:dyDescent="0.3">
      <c r="B997" t="s">
        <v>4816</v>
      </c>
      <c r="C997" t="s">
        <v>1796</v>
      </c>
      <c r="D997" t="s">
        <v>506</v>
      </c>
      <c r="E997" t="s">
        <v>4050</v>
      </c>
      <c r="F997" t="s">
        <v>3383</v>
      </c>
      <c r="G997" t="s">
        <v>4824</v>
      </c>
      <c r="H997" t="s">
        <v>4058</v>
      </c>
    </row>
    <row r="998" spans="2:8" x14ac:dyDescent="0.3">
      <c r="B998" t="s">
        <v>4816</v>
      </c>
      <c r="C998" t="s">
        <v>1796</v>
      </c>
      <c r="D998" t="s">
        <v>506</v>
      </c>
      <c r="E998" t="s">
        <v>4050</v>
      </c>
      <c r="F998" t="s">
        <v>3383</v>
      </c>
      <c r="G998" t="s">
        <v>4825</v>
      </c>
      <c r="H998" t="s">
        <v>4056</v>
      </c>
    </row>
    <row r="999" spans="2:8" x14ac:dyDescent="0.3">
      <c r="B999" t="s">
        <v>4816</v>
      </c>
      <c r="C999" t="s">
        <v>1796</v>
      </c>
      <c r="D999" t="s">
        <v>506</v>
      </c>
      <c r="E999" t="s">
        <v>4050</v>
      </c>
      <c r="F999" t="s">
        <v>3383</v>
      </c>
      <c r="G999" t="s">
        <v>4826</v>
      </c>
      <c r="H999" t="s">
        <v>4056</v>
      </c>
    </row>
    <row r="1000" spans="2:8" x14ac:dyDescent="0.3">
      <c r="B1000" t="s">
        <v>4816</v>
      </c>
      <c r="C1000" t="s">
        <v>1796</v>
      </c>
      <c r="D1000" t="s">
        <v>506</v>
      </c>
      <c r="E1000" t="s">
        <v>4050</v>
      </c>
      <c r="F1000" t="s">
        <v>3383</v>
      </c>
      <c r="G1000" t="s">
        <v>4827</v>
      </c>
      <c r="H1000" t="s">
        <v>4056</v>
      </c>
    </row>
    <row r="1001" spans="2:8" x14ac:dyDescent="0.3">
      <c r="B1001" t="s">
        <v>4816</v>
      </c>
      <c r="C1001" t="s">
        <v>1796</v>
      </c>
      <c r="D1001" t="s">
        <v>506</v>
      </c>
      <c r="E1001" t="s">
        <v>4050</v>
      </c>
      <c r="F1001" t="s">
        <v>3383</v>
      </c>
      <c r="G1001" t="s">
        <v>4828</v>
      </c>
      <c r="H1001" t="s">
        <v>4054</v>
      </c>
    </row>
    <row r="1002" spans="2:8" x14ac:dyDescent="0.3">
      <c r="B1002" t="s">
        <v>4816</v>
      </c>
      <c r="C1002" t="s">
        <v>1796</v>
      </c>
      <c r="D1002" t="s">
        <v>506</v>
      </c>
      <c r="E1002" t="s">
        <v>4050</v>
      </c>
      <c r="F1002" t="s">
        <v>3383</v>
      </c>
      <c r="G1002" t="s">
        <v>4829</v>
      </c>
      <c r="H1002" t="s">
        <v>4054</v>
      </c>
    </row>
    <row r="1003" spans="2:8" x14ac:dyDescent="0.3">
      <c r="B1003" t="s">
        <v>4816</v>
      </c>
      <c r="C1003" t="s">
        <v>1796</v>
      </c>
      <c r="D1003" t="s">
        <v>506</v>
      </c>
      <c r="E1003" t="s">
        <v>4050</v>
      </c>
      <c r="F1003" t="s">
        <v>3383</v>
      </c>
      <c r="G1003" t="s">
        <v>4830</v>
      </c>
      <c r="H1003" t="s">
        <v>4054</v>
      </c>
    </row>
    <row r="1004" spans="2:8" x14ac:dyDescent="0.3">
      <c r="B1004" t="s">
        <v>4816</v>
      </c>
      <c r="C1004" t="s">
        <v>1796</v>
      </c>
      <c r="D1004" t="s">
        <v>506</v>
      </c>
      <c r="E1004" t="s">
        <v>4050</v>
      </c>
      <c r="F1004" t="s">
        <v>3383</v>
      </c>
      <c r="G1004" t="s">
        <v>4831</v>
      </c>
      <c r="H1004" t="s">
        <v>4058</v>
      </c>
    </row>
    <row r="1005" spans="2:8" x14ac:dyDescent="0.3">
      <c r="B1005" t="s">
        <v>4816</v>
      </c>
      <c r="C1005" t="s">
        <v>1796</v>
      </c>
      <c r="D1005" t="s">
        <v>506</v>
      </c>
      <c r="E1005" t="s">
        <v>4050</v>
      </c>
      <c r="F1005" t="s">
        <v>3383</v>
      </c>
      <c r="G1005" t="s">
        <v>4832</v>
      </c>
      <c r="H1005" t="s">
        <v>4058</v>
      </c>
    </row>
    <row r="1006" spans="2:8" x14ac:dyDescent="0.3">
      <c r="B1006" t="s">
        <v>4816</v>
      </c>
      <c r="C1006" t="s">
        <v>1796</v>
      </c>
      <c r="D1006" t="s">
        <v>506</v>
      </c>
      <c r="E1006" t="s">
        <v>4050</v>
      </c>
      <c r="F1006" t="s">
        <v>3383</v>
      </c>
      <c r="G1006" t="s">
        <v>4833</v>
      </c>
      <c r="H1006" t="s">
        <v>4058</v>
      </c>
    </row>
    <row r="1007" spans="2:8" x14ac:dyDescent="0.3">
      <c r="B1007" t="s">
        <v>4816</v>
      </c>
      <c r="C1007" t="s">
        <v>1796</v>
      </c>
      <c r="D1007" t="s">
        <v>506</v>
      </c>
      <c r="E1007" t="s">
        <v>4050</v>
      </c>
      <c r="F1007" t="s">
        <v>3383</v>
      </c>
      <c r="G1007" t="s">
        <v>4834</v>
      </c>
      <c r="H1007" t="s">
        <v>4058</v>
      </c>
    </row>
    <row r="1008" spans="2:8" x14ac:dyDescent="0.3">
      <c r="B1008" t="s">
        <v>4816</v>
      </c>
      <c r="C1008" t="s">
        <v>1796</v>
      </c>
      <c r="D1008" t="s">
        <v>506</v>
      </c>
      <c r="E1008" t="s">
        <v>4050</v>
      </c>
      <c r="F1008" t="s">
        <v>3383</v>
      </c>
      <c r="G1008" t="s">
        <v>4835</v>
      </c>
      <c r="H1008" t="s">
        <v>4058</v>
      </c>
    </row>
    <row r="1009" spans="2:8" x14ac:dyDescent="0.3">
      <c r="B1009" t="s">
        <v>4816</v>
      </c>
      <c r="C1009" t="s">
        <v>1796</v>
      </c>
      <c r="D1009" t="s">
        <v>506</v>
      </c>
      <c r="E1009" t="s">
        <v>4050</v>
      </c>
      <c r="F1009" t="s">
        <v>3383</v>
      </c>
      <c r="G1009" t="s">
        <v>4836</v>
      </c>
      <c r="H1009" t="s">
        <v>4058</v>
      </c>
    </row>
    <row r="1010" spans="2:8" x14ac:dyDescent="0.3">
      <c r="B1010" t="s">
        <v>4816</v>
      </c>
      <c r="C1010" t="s">
        <v>1796</v>
      </c>
      <c r="D1010" t="s">
        <v>506</v>
      </c>
      <c r="E1010" t="s">
        <v>4050</v>
      </c>
      <c r="F1010" t="s">
        <v>3383</v>
      </c>
      <c r="G1010" t="s">
        <v>4837</v>
      </c>
      <c r="H1010" t="s">
        <v>4058</v>
      </c>
    </row>
    <row r="1011" spans="2:8" x14ac:dyDescent="0.3">
      <c r="B1011" t="s">
        <v>4816</v>
      </c>
      <c r="C1011" t="s">
        <v>1796</v>
      </c>
      <c r="D1011" t="s">
        <v>506</v>
      </c>
      <c r="E1011" t="s">
        <v>4050</v>
      </c>
      <c r="F1011" t="s">
        <v>3383</v>
      </c>
      <c r="G1011" t="s">
        <v>4838</v>
      </c>
      <c r="H1011" t="s">
        <v>4058</v>
      </c>
    </row>
    <row r="1012" spans="2:8" x14ac:dyDescent="0.3">
      <c r="B1012" t="s">
        <v>4816</v>
      </c>
      <c r="C1012" t="s">
        <v>1796</v>
      </c>
      <c r="D1012" t="s">
        <v>506</v>
      </c>
      <c r="E1012" t="s">
        <v>4050</v>
      </c>
      <c r="F1012" t="s">
        <v>3383</v>
      </c>
      <c r="G1012" t="s">
        <v>4839</v>
      </c>
      <c r="H1012" t="s">
        <v>4056</v>
      </c>
    </row>
    <row r="1013" spans="2:8" x14ac:dyDescent="0.3">
      <c r="B1013" t="s">
        <v>4816</v>
      </c>
      <c r="C1013" t="s">
        <v>1796</v>
      </c>
      <c r="D1013" t="s">
        <v>506</v>
      </c>
      <c r="E1013" t="s">
        <v>4050</v>
      </c>
      <c r="F1013" t="s">
        <v>3383</v>
      </c>
      <c r="G1013" t="s">
        <v>4840</v>
      </c>
      <c r="H1013" t="s">
        <v>4056</v>
      </c>
    </row>
    <row r="1014" spans="2:8" x14ac:dyDescent="0.3">
      <c r="B1014" t="s">
        <v>4841</v>
      </c>
      <c r="C1014" t="s">
        <v>1796</v>
      </c>
      <c r="D1014" t="s">
        <v>506</v>
      </c>
      <c r="E1014" t="s">
        <v>4050</v>
      </c>
      <c r="F1014" t="s">
        <v>3388</v>
      </c>
      <c r="G1014" t="s">
        <v>4842</v>
      </c>
      <c r="H1014" t="s">
        <v>4076</v>
      </c>
    </row>
    <row r="1015" spans="2:8" x14ac:dyDescent="0.3">
      <c r="B1015" t="s">
        <v>4841</v>
      </c>
      <c r="C1015" t="s">
        <v>1796</v>
      </c>
      <c r="D1015" t="s">
        <v>506</v>
      </c>
      <c r="E1015" t="s">
        <v>4050</v>
      </c>
      <c r="F1015" t="s">
        <v>3388</v>
      </c>
      <c r="G1015" t="s">
        <v>4843</v>
      </c>
      <c r="H1015" t="s">
        <v>4076</v>
      </c>
    </row>
    <row r="1016" spans="2:8" x14ac:dyDescent="0.3">
      <c r="B1016" t="s">
        <v>4841</v>
      </c>
      <c r="C1016" t="s">
        <v>1796</v>
      </c>
      <c r="D1016" t="s">
        <v>506</v>
      </c>
      <c r="E1016" t="s">
        <v>3410</v>
      </c>
      <c r="F1016" t="s">
        <v>3388</v>
      </c>
      <c r="G1016" t="s">
        <v>4844</v>
      </c>
      <c r="H1016" t="s">
        <v>4081</v>
      </c>
    </row>
    <row r="1017" spans="2:8" x14ac:dyDescent="0.3">
      <c r="B1017" t="s">
        <v>4845</v>
      </c>
      <c r="C1017" t="s">
        <v>1796</v>
      </c>
      <c r="D1017" t="s">
        <v>506</v>
      </c>
      <c r="E1017" t="s">
        <v>3410</v>
      </c>
      <c r="F1017" t="s">
        <v>3388</v>
      </c>
      <c r="G1017" t="s">
        <v>4846</v>
      </c>
      <c r="H1017" t="s">
        <v>4131</v>
      </c>
    </row>
    <row r="1018" spans="2:8" x14ac:dyDescent="0.3">
      <c r="B1018" t="s">
        <v>4847</v>
      </c>
      <c r="C1018" t="s">
        <v>1796</v>
      </c>
      <c r="D1018" t="s">
        <v>506</v>
      </c>
      <c r="E1018" t="s">
        <v>4050</v>
      </c>
      <c r="F1018" t="s">
        <v>3388</v>
      </c>
      <c r="G1018" t="s">
        <v>4848</v>
      </c>
      <c r="H1018" t="s">
        <v>4126</v>
      </c>
    </row>
    <row r="1019" spans="2:8" x14ac:dyDescent="0.3">
      <c r="B1019" t="s">
        <v>4847</v>
      </c>
      <c r="C1019" t="s">
        <v>1796</v>
      </c>
      <c r="D1019" t="s">
        <v>506</v>
      </c>
      <c r="E1019" t="s">
        <v>4050</v>
      </c>
      <c r="F1019" t="s">
        <v>3388</v>
      </c>
      <c r="G1019" t="s">
        <v>4849</v>
      </c>
      <c r="H1019" t="s">
        <v>4126</v>
      </c>
    </row>
    <row r="1020" spans="2:8" x14ac:dyDescent="0.3">
      <c r="B1020" t="s">
        <v>4847</v>
      </c>
      <c r="C1020" t="s">
        <v>1796</v>
      </c>
      <c r="D1020" t="s">
        <v>506</v>
      </c>
      <c r="E1020" t="s">
        <v>4050</v>
      </c>
      <c r="F1020" t="s">
        <v>3388</v>
      </c>
      <c r="G1020" t="s">
        <v>4850</v>
      </c>
      <c r="H1020" t="s">
        <v>4126</v>
      </c>
    </row>
    <row r="1021" spans="2:8" x14ac:dyDescent="0.3">
      <c r="B1021" t="s">
        <v>4845</v>
      </c>
      <c r="C1021" t="s">
        <v>1796</v>
      </c>
      <c r="D1021" t="s">
        <v>506</v>
      </c>
      <c r="E1021" t="s">
        <v>4050</v>
      </c>
      <c r="F1021" t="s">
        <v>3388</v>
      </c>
      <c r="G1021" t="s">
        <v>4851</v>
      </c>
      <c r="H1021" t="s">
        <v>4058</v>
      </c>
    </row>
    <row r="1022" spans="2:8" x14ac:dyDescent="0.3">
      <c r="B1022" t="s">
        <v>4845</v>
      </c>
      <c r="C1022" t="s">
        <v>1796</v>
      </c>
      <c r="D1022" t="s">
        <v>506</v>
      </c>
      <c r="E1022" t="s">
        <v>4050</v>
      </c>
      <c r="F1022" t="s">
        <v>3388</v>
      </c>
      <c r="G1022" t="s">
        <v>4852</v>
      </c>
      <c r="H1022" t="s">
        <v>4056</v>
      </c>
    </row>
    <row r="1023" spans="2:8" x14ac:dyDescent="0.3">
      <c r="B1023" t="s">
        <v>4845</v>
      </c>
      <c r="C1023" t="s">
        <v>1796</v>
      </c>
      <c r="D1023" t="s">
        <v>506</v>
      </c>
      <c r="E1023" t="s">
        <v>4050</v>
      </c>
      <c r="F1023" t="s">
        <v>3388</v>
      </c>
      <c r="G1023" t="s">
        <v>4853</v>
      </c>
      <c r="H1023" t="s">
        <v>4056</v>
      </c>
    </row>
    <row r="1024" spans="2:8" x14ac:dyDescent="0.3">
      <c r="B1024" t="s">
        <v>4845</v>
      </c>
      <c r="C1024" t="s">
        <v>1796</v>
      </c>
      <c r="D1024" t="s">
        <v>506</v>
      </c>
      <c r="E1024" t="s">
        <v>4050</v>
      </c>
      <c r="F1024" t="s">
        <v>3388</v>
      </c>
      <c r="G1024" t="s">
        <v>4854</v>
      </c>
      <c r="H1024" t="s">
        <v>4056</v>
      </c>
    </row>
    <row r="1025" spans="2:8" x14ac:dyDescent="0.3">
      <c r="B1025" t="s">
        <v>4855</v>
      </c>
      <c r="C1025" t="s">
        <v>1796</v>
      </c>
      <c r="D1025" t="s">
        <v>506</v>
      </c>
      <c r="E1025" t="s">
        <v>3410</v>
      </c>
      <c r="F1025" t="s">
        <v>3383</v>
      </c>
      <c r="G1025" t="s">
        <v>4856</v>
      </c>
      <c r="H1025" t="s">
        <v>4081</v>
      </c>
    </row>
    <row r="1026" spans="2:8" x14ac:dyDescent="0.3">
      <c r="B1026" t="s">
        <v>4855</v>
      </c>
      <c r="C1026" t="s">
        <v>1796</v>
      </c>
      <c r="D1026" t="s">
        <v>506</v>
      </c>
      <c r="E1026" t="s">
        <v>4050</v>
      </c>
      <c r="F1026" t="s">
        <v>3383</v>
      </c>
      <c r="G1026" t="s">
        <v>4857</v>
      </c>
      <c r="H1026" t="s">
        <v>4076</v>
      </c>
    </row>
    <row r="1027" spans="2:8" x14ac:dyDescent="0.3">
      <c r="B1027" t="s">
        <v>4855</v>
      </c>
      <c r="C1027" t="s">
        <v>1796</v>
      </c>
      <c r="D1027" t="s">
        <v>506</v>
      </c>
      <c r="E1027" t="s">
        <v>4050</v>
      </c>
      <c r="F1027" t="s">
        <v>3383</v>
      </c>
      <c r="G1027" t="s">
        <v>4858</v>
      </c>
      <c r="H1027" t="s">
        <v>4076</v>
      </c>
    </row>
    <row r="1028" spans="2:8" x14ac:dyDescent="0.3">
      <c r="B1028" t="s">
        <v>4859</v>
      </c>
      <c r="C1028" t="s">
        <v>1796</v>
      </c>
      <c r="D1028" t="s">
        <v>506</v>
      </c>
      <c r="E1028" t="s">
        <v>3410</v>
      </c>
      <c r="F1028" t="s">
        <v>3383</v>
      </c>
      <c r="G1028" t="s">
        <v>4860</v>
      </c>
      <c r="H1028" t="s">
        <v>4081</v>
      </c>
    </row>
    <row r="1029" spans="2:8" x14ac:dyDescent="0.3">
      <c r="B1029" t="s">
        <v>4859</v>
      </c>
      <c r="C1029" t="s">
        <v>1796</v>
      </c>
      <c r="D1029" t="s">
        <v>506</v>
      </c>
      <c r="E1029" t="s">
        <v>4050</v>
      </c>
      <c r="F1029" t="s">
        <v>3383</v>
      </c>
      <c r="G1029" t="s">
        <v>4861</v>
      </c>
      <c r="H1029" t="s">
        <v>4076</v>
      </c>
    </row>
    <row r="1030" spans="2:8" x14ac:dyDescent="0.3">
      <c r="B1030" t="s">
        <v>4862</v>
      </c>
      <c r="C1030" t="s">
        <v>1796</v>
      </c>
      <c r="D1030" t="s">
        <v>506</v>
      </c>
      <c r="E1030" t="s">
        <v>3410</v>
      </c>
      <c r="F1030" t="s">
        <v>3388</v>
      </c>
      <c r="G1030" t="s">
        <v>4863</v>
      </c>
      <c r="H1030" t="s">
        <v>4081</v>
      </c>
    </row>
    <row r="1031" spans="2:8" x14ac:dyDescent="0.3">
      <c r="B1031" t="s">
        <v>4862</v>
      </c>
      <c r="C1031" t="s">
        <v>1796</v>
      </c>
      <c r="D1031" t="s">
        <v>506</v>
      </c>
      <c r="E1031" t="s">
        <v>3410</v>
      </c>
      <c r="F1031" t="s">
        <v>3388</v>
      </c>
      <c r="G1031" t="s">
        <v>4864</v>
      </c>
      <c r="H1031" t="s">
        <v>4081</v>
      </c>
    </row>
    <row r="1032" spans="2:8" x14ac:dyDescent="0.3">
      <c r="B1032" t="s">
        <v>4862</v>
      </c>
      <c r="C1032" t="s">
        <v>1796</v>
      </c>
      <c r="D1032" t="s">
        <v>506</v>
      </c>
      <c r="E1032" t="s">
        <v>3410</v>
      </c>
      <c r="F1032" t="s">
        <v>3388</v>
      </c>
      <c r="G1032" t="s">
        <v>4865</v>
      </c>
      <c r="H1032" t="s">
        <v>4081</v>
      </c>
    </row>
    <row r="1033" spans="2:8" x14ac:dyDescent="0.3">
      <c r="B1033" t="s">
        <v>4862</v>
      </c>
      <c r="C1033" t="s">
        <v>1796</v>
      </c>
      <c r="D1033" t="s">
        <v>506</v>
      </c>
      <c r="E1033" t="s">
        <v>4050</v>
      </c>
      <c r="F1033" t="s">
        <v>3388</v>
      </c>
      <c r="G1033" t="s">
        <v>4866</v>
      </c>
      <c r="H1033" t="s">
        <v>4058</v>
      </c>
    </row>
    <row r="1034" spans="2:8" x14ac:dyDescent="0.3">
      <c r="B1034" t="s">
        <v>4867</v>
      </c>
      <c r="C1034" t="s">
        <v>1796</v>
      </c>
      <c r="D1034" t="s">
        <v>506</v>
      </c>
      <c r="E1034" t="s">
        <v>3410</v>
      </c>
      <c r="F1034" t="s">
        <v>3397</v>
      </c>
      <c r="G1034" t="s">
        <v>4868</v>
      </c>
      <c r="H1034" t="s">
        <v>4232</v>
      </c>
    </row>
    <row r="1035" spans="2:8" x14ac:dyDescent="0.3">
      <c r="B1035" t="s">
        <v>4869</v>
      </c>
      <c r="C1035" t="s">
        <v>1796</v>
      </c>
      <c r="D1035" t="s">
        <v>506</v>
      </c>
      <c r="E1035" t="s">
        <v>3410</v>
      </c>
      <c r="F1035" t="s">
        <v>3397</v>
      </c>
      <c r="G1035" t="s">
        <v>4870</v>
      </c>
      <c r="H1035" t="s">
        <v>4232</v>
      </c>
    </row>
    <row r="1036" spans="2:8" x14ac:dyDescent="0.3">
      <c r="B1036" t="s">
        <v>4869</v>
      </c>
      <c r="C1036" t="s">
        <v>1796</v>
      </c>
      <c r="D1036" t="s">
        <v>506</v>
      </c>
      <c r="E1036" t="s">
        <v>4050</v>
      </c>
      <c r="F1036" t="s">
        <v>3397</v>
      </c>
      <c r="G1036" t="s">
        <v>4871</v>
      </c>
      <c r="H1036" t="s">
        <v>4058</v>
      </c>
    </row>
    <row r="1037" spans="2:8" x14ac:dyDescent="0.3">
      <c r="B1037" t="s">
        <v>4869</v>
      </c>
      <c r="C1037" t="s">
        <v>1796</v>
      </c>
      <c r="D1037" t="s">
        <v>506</v>
      </c>
      <c r="E1037" t="s">
        <v>4050</v>
      </c>
      <c r="F1037" t="s">
        <v>3397</v>
      </c>
      <c r="G1037" t="s">
        <v>4872</v>
      </c>
      <c r="H1037" t="s">
        <v>4058</v>
      </c>
    </row>
    <row r="1038" spans="2:8" x14ac:dyDescent="0.3">
      <c r="B1038" t="s">
        <v>4869</v>
      </c>
      <c r="C1038" t="s">
        <v>1796</v>
      </c>
      <c r="D1038" t="s">
        <v>506</v>
      </c>
      <c r="E1038" t="s">
        <v>4050</v>
      </c>
      <c r="F1038" t="s">
        <v>3397</v>
      </c>
      <c r="G1038" t="s">
        <v>4873</v>
      </c>
      <c r="H1038" t="s">
        <v>4058</v>
      </c>
    </row>
    <row r="1039" spans="2:8" x14ac:dyDescent="0.3">
      <c r="B1039" t="s">
        <v>4869</v>
      </c>
      <c r="C1039" t="s">
        <v>1796</v>
      </c>
      <c r="D1039" t="s">
        <v>506</v>
      </c>
      <c r="E1039" t="s">
        <v>4050</v>
      </c>
      <c r="F1039" t="s">
        <v>3397</v>
      </c>
      <c r="G1039" t="s">
        <v>4874</v>
      </c>
      <c r="H1039" t="s">
        <v>4058</v>
      </c>
    </row>
    <row r="1040" spans="2:8" x14ac:dyDescent="0.3">
      <c r="B1040" t="s">
        <v>4869</v>
      </c>
      <c r="C1040" t="s">
        <v>1796</v>
      </c>
      <c r="D1040" t="s">
        <v>506</v>
      </c>
      <c r="E1040" t="s">
        <v>4050</v>
      </c>
      <c r="F1040" t="s">
        <v>3397</v>
      </c>
      <c r="G1040" t="s">
        <v>4875</v>
      </c>
      <c r="H1040" t="s">
        <v>4058</v>
      </c>
    </row>
    <row r="1041" spans="2:8" x14ac:dyDescent="0.3">
      <c r="B1041" t="s">
        <v>4869</v>
      </c>
      <c r="C1041" t="s">
        <v>1796</v>
      </c>
      <c r="D1041" t="s">
        <v>506</v>
      </c>
      <c r="E1041" t="s">
        <v>4050</v>
      </c>
      <c r="F1041" t="s">
        <v>3397</v>
      </c>
      <c r="G1041" t="s">
        <v>4876</v>
      </c>
      <c r="H1041" t="s">
        <v>4056</v>
      </c>
    </row>
    <row r="1042" spans="2:8" x14ac:dyDescent="0.3">
      <c r="B1042" t="s">
        <v>4869</v>
      </c>
      <c r="C1042" t="s">
        <v>1796</v>
      </c>
      <c r="D1042" t="s">
        <v>506</v>
      </c>
      <c r="E1042" t="s">
        <v>4050</v>
      </c>
      <c r="F1042" t="s">
        <v>3397</v>
      </c>
      <c r="G1042" t="s">
        <v>4877</v>
      </c>
      <c r="H1042" t="s">
        <v>4056</v>
      </c>
    </row>
    <row r="1043" spans="2:8" x14ac:dyDescent="0.3">
      <c r="B1043" t="s">
        <v>4869</v>
      </c>
      <c r="C1043" t="s">
        <v>1796</v>
      </c>
      <c r="D1043" t="s">
        <v>506</v>
      </c>
      <c r="E1043" t="s">
        <v>4050</v>
      </c>
      <c r="F1043" t="s">
        <v>3397</v>
      </c>
      <c r="G1043" t="s">
        <v>4878</v>
      </c>
      <c r="H1043" t="s">
        <v>4056</v>
      </c>
    </row>
    <row r="1044" spans="2:8" x14ac:dyDescent="0.3">
      <c r="B1044" t="s">
        <v>4867</v>
      </c>
      <c r="C1044" t="s">
        <v>1796</v>
      </c>
      <c r="D1044" t="s">
        <v>506</v>
      </c>
      <c r="E1044" t="s">
        <v>4050</v>
      </c>
      <c r="F1044" t="s">
        <v>3397</v>
      </c>
      <c r="G1044" t="s">
        <v>4879</v>
      </c>
      <c r="H1044" t="s">
        <v>4058</v>
      </c>
    </row>
    <row r="1045" spans="2:8" x14ac:dyDescent="0.3">
      <c r="B1045" t="s">
        <v>4867</v>
      </c>
      <c r="C1045" t="s">
        <v>1796</v>
      </c>
      <c r="D1045" t="s">
        <v>506</v>
      </c>
      <c r="E1045" t="s">
        <v>4050</v>
      </c>
      <c r="F1045" t="s">
        <v>3397</v>
      </c>
      <c r="G1045" t="s">
        <v>4880</v>
      </c>
      <c r="H1045" t="s">
        <v>4054</v>
      </c>
    </row>
    <row r="1046" spans="2:8" x14ac:dyDescent="0.3">
      <c r="B1046" t="s">
        <v>4867</v>
      </c>
      <c r="C1046" t="s">
        <v>1796</v>
      </c>
      <c r="D1046" t="s">
        <v>506</v>
      </c>
      <c r="E1046" t="s">
        <v>4050</v>
      </c>
      <c r="F1046" t="s">
        <v>3397</v>
      </c>
      <c r="G1046" t="s">
        <v>4881</v>
      </c>
      <c r="H1046" t="s">
        <v>4054</v>
      </c>
    </row>
    <row r="1047" spans="2:8" x14ac:dyDescent="0.3">
      <c r="B1047" t="s">
        <v>4867</v>
      </c>
      <c r="C1047" t="s">
        <v>1796</v>
      </c>
      <c r="D1047" t="s">
        <v>506</v>
      </c>
      <c r="E1047" t="s">
        <v>4050</v>
      </c>
      <c r="F1047" t="s">
        <v>3397</v>
      </c>
      <c r="G1047" t="s">
        <v>4882</v>
      </c>
      <c r="H1047" t="s">
        <v>4054</v>
      </c>
    </row>
    <row r="1048" spans="2:8" x14ac:dyDescent="0.3">
      <c r="B1048" t="s">
        <v>4867</v>
      </c>
      <c r="C1048" t="s">
        <v>1796</v>
      </c>
      <c r="D1048" t="s">
        <v>506</v>
      </c>
      <c r="E1048" t="s">
        <v>4050</v>
      </c>
      <c r="F1048" t="s">
        <v>3397</v>
      </c>
      <c r="G1048" t="s">
        <v>4883</v>
      </c>
      <c r="H1048" t="s">
        <v>4058</v>
      </c>
    </row>
    <row r="1049" spans="2:8" x14ac:dyDescent="0.3">
      <c r="B1049" t="s">
        <v>4867</v>
      </c>
      <c r="C1049" t="s">
        <v>1796</v>
      </c>
      <c r="D1049" t="s">
        <v>506</v>
      </c>
      <c r="E1049" t="s">
        <v>4050</v>
      </c>
      <c r="F1049" t="s">
        <v>3397</v>
      </c>
      <c r="G1049" t="s">
        <v>4884</v>
      </c>
      <c r="H1049" t="s">
        <v>4058</v>
      </c>
    </row>
    <row r="1050" spans="2:8" x14ac:dyDescent="0.3">
      <c r="B1050" t="s">
        <v>4867</v>
      </c>
      <c r="C1050" t="s">
        <v>1796</v>
      </c>
      <c r="D1050" t="s">
        <v>506</v>
      </c>
      <c r="E1050" t="s">
        <v>4050</v>
      </c>
      <c r="F1050" t="s">
        <v>3397</v>
      </c>
      <c r="G1050" t="s">
        <v>4885</v>
      </c>
      <c r="H1050" t="s">
        <v>4058</v>
      </c>
    </row>
    <row r="1051" spans="2:8" x14ac:dyDescent="0.3">
      <c r="B1051" t="s">
        <v>4867</v>
      </c>
      <c r="C1051" t="s">
        <v>1796</v>
      </c>
      <c r="D1051" t="s">
        <v>506</v>
      </c>
      <c r="E1051" t="s">
        <v>4050</v>
      </c>
      <c r="F1051" t="s">
        <v>3397</v>
      </c>
      <c r="G1051" t="s">
        <v>4886</v>
      </c>
      <c r="H1051" t="s">
        <v>4058</v>
      </c>
    </row>
    <row r="1052" spans="2:8" x14ac:dyDescent="0.3">
      <c r="B1052" t="s">
        <v>4867</v>
      </c>
      <c r="C1052" t="s">
        <v>1796</v>
      </c>
      <c r="D1052" t="s">
        <v>506</v>
      </c>
      <c r="E1052" t="s">
        <v>4050</v>
      </c>
      <c r="F1052" t="s">
        <v>3397</v>
      </c>
      <c r="G1052" t="s">
        <v>4887</v>
      </c>
      <c r="H1052" t="s">
        <v>4058</v>
      </c>
    </row>
    <row r="1053" spans="2:8" x14ac:dyDescent="0.3">
      <c r="B1053" t="s">
        <v>4867</v>
      </c>
      <c r="C1053" t="s">
        <v>1796</v>
      </c>
      <c r="D1053" t="s">
        <v>506</v>
      </c>
      <c r="E1053" t="s">
        <v>4050</v>
      </c>
      <c r="F1053" t="s">
        <v>3397</v>
      </c>
      <c r="G1053" t="s">
        <v>4888</v>
      </c>
      <c r="H1053" t="s">
        <v>4056</v>
      </c>
    </row>
    <row r="1054" spans="2:8" x14ac:dyDescent="0.3">
      <c r="B1054" t="s">
        <v>4867</v>
      </c>
      <c r="C1054" t="s">
        <v>1796</v>
      </c>
      <c r="D1054" t="s">
        <v>506</v>
      </c>
      <c r="E1054" t="s">
        <v>4050</v>
      </c>
      <c r="F1054" t="s">
        <v>3397</v>
      </c>
      <c r="G1054" t="s">
        <v>4889</v>
      </c>
      <c r="H1054" t="s">
        <v>4056</v>
      </c>
    </row>
    <row r="1055" spans="2:8" x14ac:dyDescent="0.3">
      <c r="B1055" t="s">
        <v>4867</v>
      </c>
      <c r="C1055" t="s">
        <v>1796</v>
      </c>
      <c r="D1055" t="s">
        <v>506</v>
      </c>
      <c r="E1055" t="s">
        <v>4050</v>
      </c>
      <c r="F1055" t="s">
        <v>3397</v>
      </c>
      <c r="G1055" t="s">
        <v>4890</v>
      </c>
      <c r="H1055" t="s">
        <v>4056</v>
      </c>
    </row>
    <row r="1056" spans="2:8" x14ac:dyDescent="0.3">
      <c r="B1056" t="s">
        <v>4867</v>
      </c>
      <c r="C1056" t="s">
        <v>1796</v>
      </c>
      <c r="D1056" t="s">
        <v>506</v>
      </c>
      <c r="E1056" t="s">
        <v>4050</v>
      </c>
      <c r="F1056" t="s">
        <v>3397</v>
      </c>
      <c r="G1056" t="s">
        <v>4891</v>
      </c>
      <c r="H1056" t="s">
        <v>4200</v>
      </c>
    </row>
    <row r="1057" spans="2:8" x14ac:dyDescent="0.3">
      <c r="B1057" t="s">
        <v>4867</v>
      </c>
      <c r="C1057" t="s">
        <v>1796</v>
      </c>
      <c r="D1057" t="s">
        <v>506</v>
      </c>
      <c r="E1057" t="s">
        <v>4050</v>
      </c>
      <c r="F1057" t="s">
        <v>3397</v>
      </c>
      <c r="G1057" t="s">
        <v>4892</v>
      </c>
      <c r="H1057" t="s">
        <v>4200</v>
      </c>
    </row>
    <row r="1058" spans="2:8" x14ac:dyDescent="0.3">
      <c r="B1058" t="s">
        <v>4893</v>
      </c>
      <c r="C1058" t="s">
        <v>1796</v>
      </c>
      <c r="D1058" t="s">
        <v>506</v>
      </c>
      <c r="E1058" t="s">
        <v>3410</v>
      </c>
      <c r="F1058" t="s">
        <v>3397</v>
      </c>
      <c r="G1058" t="s">
        <v>4894</v>
      </c>
      <c r="H1058" t="s">
        <v>4131</v>
      </c>
    </row>
    <row r="1059" spans="2:8" x14ac:dyDescent="0.3">
      <c r="B1059" t="s">
        <v>4893</v>
      </c>
      <c r="C1059" t="s">
        <v>1796</v>
      </c>
      <c r="D1059" t="s">
        <v>506</v>
      </c>
      <c r="E1059" t="s">
        <v>4050</v>
      </c>
      <c r="F1059" t="s">
        <v>3397</v>
      </c>
      <c r="G1059" t="s">
        <v>4895</v>
      </c>
      <c r="H1059" t="s">
        <v>4056</v>
      </c>
    </row>
    <row r="1060" spans="2:8" x14ac:dyDescent="0.3">
      <c r="B1060" t="s">
        <v>4893</v>
      </c>
      <c r="C1060" t="s">
        <v>1796</v>
      </c>
      <c r="D1060" t="s">
        <v>506</v>
      </c>
      <c r="E1060" t="s">
        <v>4050</v>
      </c>
      <c r="F1060" t="s">
        <v>3397</v>
      </c>
      <c r="G1060" t="s">
        <v>4896</v>
      </c>
      <c r="H1060" t="s">
        <v>4056</v>
      </c>
    </row>
    <row r="1061" spans="2:8" x14ac:dyDescent="0.3">
      <c r="B1061" t="s">
        <v>4893</v>
      </c>
      <c r="C1061" t="s">
        <v>1796</v>
      </c>
      <c r="D1061" t="s">
        <v>506</v>
      </c>
      <c r="E1061" t="s">
        <v>4050</v>
      </c>
      <c r="F1061" t="s">
        <v>3397</v>
      </c>
      <c r="G1061" t="s">
        <v>4897</v>
      </c>
      <c r="H1061" t="s">
        <v>4056</v>
      </c>
    </row>
    <row r="1062" spans="2:8" x14ac:dyDescent="0.3">
      <c r="B1062" t="s">
        <v>4869</v>
      </c>
      <c r="C1062" t="s">
        <v>1796</v>
      </c>
      <c r="D1062" t="s">
        <v>506</v>
      </c>
      <c r="E1062" t="s">
        <v>4050</v>
      </c>
      <c r="F1062" t="s">
        <v>3397</v>
      </c>
      <c r="G1062" t="s">
        <v>4898</v>
      </c>
      <c r="H1062" t="s">
        <v>4076</v>
      </c>
    </row>
    <row r="1063" spans="2:8" x14ac:dyDescent="0.3">
      <c r="B1063" t="s">
        <v>4869</v>
      </c>
      <c r="C1063" t="s">
        <v>1796</v>
      </c>
      <c r="D1063" t="s">
        <v>506</v>
      </c>
      <c r="E1063" t="s">
        <v>4050</v>
      </c>
      <c r="F1063" t="s">
        <v>3397</v>
      </c>
      <c r="G1063" t="s">
        <v>4899</v>
      </c>
      <c r="H1063" t="s">
        <v>4076</v>
      </c>
    </row>
    <row r="1064" spans="2:8" x14ac:dyDescent="0.3">
      <c r="B1064" t="s">
        <v>4867</v>
      </c>
      <c r="C1064" t="s">
        <v>1796</v>
      </c>
      <c r="D1064" t="s">
        <v>506</v>
      </c>
      <c r="E1064" t="s">
        <v>4050</v>
      </c>
      <c r="F1064" t="s">
        <v>3397</v>
      </c>
      <c r="G1064" t="s">
        <v>4900</v>
      </c>
      <c r="H1064" t="s">
        <v>4076</v>
      </c>
    </row>
    <row r="1065" spans="2:8" x14ac:dyDescent="0.3">
      <c r="B1065" t="s">
        <v>4867</v>
      </c>
      <c r="C1065" t="s">
        <v>1796</v>
      </c>
      <c r="D1065" t="s">
        <v>506</v>
      </c>
      <c r="E1065" t="s">
        <v>4050</v>
      </c>
      <c r="F1065" t="s">
        <v>3397</v>
      </c>
      <c r="G1065" t="s">
        <v>4901</v>
      </c>
      <c r="H1065" t="s">
        <v>4076</v>
      </c>
    </row>
    <row r="1066" spans="2:8" x14ac:dyDescent="0.3">
      <c r="B1066" t="s">
        <v>4869</v>
      </c>
      <c r="C1066" t="s">
        <v>1796</v>
      </c>
      <c r="D1066" t="s">
        <v>506</v>
      </c>
      <c r="E1066" t="s">
        <v>4050</v>
      </c>
      <c r="F1066" t="s">
        <v>3397</v>
      </c>
      <c r="G1066" t="s">
        <v>4902</v>
      </c>
      <c r="H1066" t="s">
        <v>4076</v>
      </c>
    </row>
    <row r="1067" spans="2:8" x14ac:dyDescent="0.3">
      <c r="B1067" t="s">
        <v>4903</v>
      </c>
      <c r="C1067" t="s">
        <v>1796</v>
      </c>
      <c r="D1067" t="s">
        <v>506</v>
      </c>
      <c r="E1067" t="s">
        <v>3410</v>
      </c>
      <c r="F1067" t="s">
        <v>3383</v>
      </c>
      <c r="G1067" t="s">
        <v>4904</v>
      </c>
      <c r="H1067" t="s">
        <v>4084</v>
      </c>
    </row>
    <row r="1068" spans="2:8" x14ac:dyDescent="0.3">
      <c r="B1068" t="s">
        <v>4903</v>
      </c>
      <c r="C1068" t="s">
        <v>1796</v>
      </c>
      <c r="D1068" t="s">
        <v>506</v>
      </c>
      <c r="E1068" t="s">
        <v>4050</v>
      </c>
      <c r="F1068" t="s">
        <v>3383</v>
      </c>
      <c r="G1068" t="s">
        <v>4905</v>
      </c>
      <c r="H1068" t="s">
        <v>4058</v>
      </c>
    </row>
    <row r="1069" spans="2:8" x14ac:dyDescent="0.3">
      <c r="B1069" t="s">
        <v>4903</v>
      </c>
      <c r="C1069" t="s">
        <v>1796</v>
      </c>
      <c r="D1069" t="s">
        <v>506</v>
      </c>
      <c r="E1069" t="s">
        <v>4050</v>
      </c>
      <c r="F1069" t="s">
        <v>3383</v>
      </c>
      <c r="G1069" t="s">
        <v>4906</v>
      </c>
      <c r="H1069" t="s">
        <v>4056</v>
      </c>
    </row>
    <row r="1070" spans="2:8" x14ac:dyDescent="0.3">
      <c r="B1070" t="s">
        <v>4903</v>
      </c>
      <c r="C1070" t="s">
        <v>1796</v>
      </c>
      <c r="D1070" t="s">
        <v>506</v>
      </c>
      <c r="E1070" t="s">
        <v>4050</v>
      </c>
      <c r="F1070" t="s">
        <v>3383</v>
      </c>
      <c r="G1070" t="s">
        <v>4907</v>
      </c>
      <c r="H1070" t="s">
        <v>4056</v>
      </c>
    </row>
    <row r="1071" spans="2:8" x14ac:dyDescent="0.3">
      <c r="B1071" t="s">
        <v>4903</v>
      </c>
      <c r="C1071" t="s">
        <v>1796</v>
      </c>
      <c r="D1071" t="s">
        <v>506</v>
      </c>
      <c r="E1071" t="s">
        <v>4050</v>
      </c>
      <c r="F1071" t="s">
        <v>3383</v>
      </c>
      <c r="G1071" t="s">
        <v>4908</v>
      </c>
      <c r="H1071" t="s">
        <v>4056</v>
      </c>
    </row>
    <row r="1072" spans="2:8" x14ac:dyDescent="0.3">
      <c r="B1072" t="s">
        <v>4903</v>
      </c>
      <c r="C1072" t="s">
        <v>1796</v>
      </c>
      <c r="D1072" t="s">
        <v>506</v>
      </c>
      <c r="E1072" t="s">
        <v>4050</v>
      </c>
      <c r="F1072" t="s">
        <v>3383</v>
      </c>
      <c r="G1072" t="s">
        <v>4909</v>
      </c>
      <c r="H1072" t="s">
        <v>4076</v>
      </c>
    </row>
    <row r="1073" spans="2:8" x14ac:dyDescent="0.3">
      <c r="B1073" t="s">
        <v>4910</v>
      </c>
      <c r="C1073" t="s">
        <v>1796</v>
      </c>
      <c r="D1073" t="s">
        <v>506</v>
      </c>
      <c r="E1073" t="s">
        <v>3410</v>
      </c>
      <c r="F1073" t="s">
        <v>3383</v>
      </c>
      <c r="G1073" t="s">
        <v>4911</v>
      </c>
      <c r="H1073" t="s">
        <v>4131</v>
      </c>
    </row>
    <row r="1074" spans="2:8" x14ac:dyDescent="0.3">
      <c r="B1074" t="s">
        <v>4910</v>
      </c>
      <c r="C1074" t="s">
        <v>1796</v>
      </c>
      <c r="D1074" t="s">
        <v>506</v>
      </c>
      <c r="E1074" t="s">
        <v>4050</v>
      </c>
      <c r="F1074" t="s">
        <v>3383</v>
      </c>
      <c r="G1074" t="s">
        <v>4912</v>
      </c>
      <c r="H1074" t="s">
        <v>4076</v>
      </c>
    </row>
    <row r="1075" spans="2:8" x14ac:dyDescent="0.3">
      <c r="B1075" t="s">
        <v>4913</v>
      </c>
      <c r="C1075" t="s">
        <v>1796</v>
      </c>
      <c r="D1075" t="s">
        <v>506</v>
      </c>
      <c r="E1075" t="s">
        <v>3410</v>
      </c>
      <c r="F1075" t="s">
        <v>3383</v>
      </c>
      <c r="G1075" t="s">
        <v>4914</v>
      </c>
      <c r="H1075" t="s">
        <v>4084</v>
      </c>
    </row>
    <row r="1076" spans="2:8" x14ac:dyDescent="0.3">
      <c r="B1076" t="s">
        <v>4913</v>
      </c>
      <c r="C1076" t="s">
        <v>1796</v>
      </c>
      <c r="D1076" t="s">
        <v>506</v>
      </c>
      <c r="E1076" t="s">
        <v>4050</v>
      </c>
      <c r="F1076" t="s">
        <v>3383</v>
      </c>
      <c r="G1076" t="s">
        <v>4915</v>
      </c>
      <c r="H1076" t="s">
        <v>4058</v>
      </c>
    </row>
    <row r="1077" spans="2:8" x14ac:dyDescent="0.3">
      <c r="B1077" t="s">
        <v>4913</v>
      </c>
      <c r="C1077" t="s">
        <v>1796</v>
      </c>
      <c r="D1077" t="s">
        <v>506</v>
      </c>
      <c r="E1077" t="s">
        <v>4050</v>
      </c>
      <c r="F1077" t="s">
        <v>3383</v>
      </c>
      <c r="G1077" t="s">
        <v>4916</v>
      </c>
      <c r="H1077" t="s">
        <v>4076</v>
      </c>
    </row>
    <row r="1078" spans="2:8" x14ac:dyDescent="0.3">
      <c r="B1078" t="s">
        <v>4917</v>
      </c>
      <c r="C1078" t="s">
        <v>1796</v>
      </c>
      <c r="D1078" t="s">
        <v>506</v>
      </c>
      <c r="E1078" t="s">
        <v>3410</v>
      </c>
      <c r="F1078" t="s">
        <v>3380</v>
      </c>
      <c r="G1078" t="s">
        <v>4918</v>
      </c>
      <c r="H1078" t="s">
        <v>4081</v>
      </c>
    </row>
    <row r="1079" spans="2:8" x14ac:dyDescent="0.3">
      <c r="B1079" t="s">
        <v>4917</v>
      </c>
      <c r="C1079" t="s">
        <v>1796</v>
      </c>
      <c r="D1079" t="s">
        <v>506</v>
      </c>
      <c r="E1079" t="s">
        <v>4050</v>
      </c>
      <c r="F1079" t="s">
        <v>3380</v>
      </c>
      <c r="G1079" t="s">
        <v>4919</v>
      </c>
      <c r="H1079" t="s">
        <v>4058</v>
      </c>
    </row>
    <row r="1080" spans="2:8" x14ac:dyDescent="0.3">
      <c r="B1080" t="s">
        <v>4917</v>
      </c>
      <c r="C1080" t="s">
        <v>1796</v>
      </c>
      <c r="D1080" t="s">
        <v>506</v>
      </c>
      <c r="E1080" t="s">
        <v>4050</v>
      </c>
      <c r="F1080" t="s">
        <v>3380</v>
      </c>
      <c r="G1080" t="s">
        <v>4920</v>
      </c>
      <c r="H1080" t="s">
        <v>4058</v>
      </c>
    </row>
    <row r="1081" spans="2:8" x14ac:dyDescent="0.3">
      <c r="B1081" t="s">
        <v>4917</v>
      </c>
      <c r="C1081" t="s">
        <v>1796</v>
      </c>
      <c r="D1081" t="s">
        <v>506</v>
      </c>
      <c r="E1081" t="s">
        <v>4050</v>
      </c>
      <c r="F1081" t="s">
        <v>3380</v>
      </c>
      <c r="G1081" t="s">
        <v>4921</v>
      </c>
      <c r="H1081" t="s">
        <v>4058</v>
      </c>
    </row>
    <row r="1082" spans="2:8" x14ac:dyDescent="0.3">
      <c r="B1082" t="s">
        <v>4917</v>
      </c>
      <c r="C1082" t="s">
        <v>1796</v>
      </c>
      <c r="D1082" t="s">
        <v>506</v>
      </c>
      <c r="E1082" t="s">
        <v>4050</v>
      </c>
      <c r="F1082" t="s">
        <v>3380</v>
      </c>
      <c r="G1082" t="s">
        <v>4922</v>
      </c>
      <c r="H1082" t="s">
        <v>4058</v>
      </c>
    </row>
    <row r="1083" spans="2:8" x14ac:dyDescent="0.3">
      <c r="B1083" t="s">
        <v>4917</v>
      </c>
      <c r="C1083" t="s">
        <v>1796</v>
      </c>
      <c r="D1083" t="s">
        <v>506</v>
      </c>
      <c r="E1083" t="s">
        <v>4050</v>
      </c>
      <c r="F1083" t="s">
        <v>3380</v>
      </c>
      <c r="G1083" t="s">
        <v>4923</v>
      </c>
      <c r="H1083" t="s">
        <v>4058</v>
      </c>
    </row>
    <row r="1084" spans="2:8" x14ac:dyDescent="0.3">
      <c r="B1084" t="s">
        <v>4917</v>
      </c>
      <c r="C1084" t="s">
        <v>1796</v>
      </c>
      <c r="D1084" t="s">
        <v>506</v>
      </c>
      <c r="E1084" t="s">
        <v>4050</v>
      </c>
      <c r="F1084" t="s">
        <v>3380</v>
      </c>
      <c r="G1084" t="s">
        <v>4924</v>
      </c>
      <c r="H1084" t="s">
        <v>4058</v>
      </c>
    </row>
    <row r="1085" spans="2:8" x14ac:dyDescent="0.3">
      <c r="B1085" t="s">
        <v>4917</v>
      </c>
      <c r="C1085" t="s">
        <v>1796</v>
      </c>
      <c r="D1085" t="s">
        <v>506</v>
      </c>
      <c r="E1085" t="s">
        <v>4050</v>
      </c>
      <c r="F1085" t="s">
        <v>3380</v>
      </c>
      <c r="G1085" t="s">
        <v>4925</v>
      </c>
      <c r="H1085" t="s">
        <v>4052</v>
      </c>
    </row>
    <row r="1086" spans="2:8" x14ac:dyDescent="0.3">
      <c r="B1086" t="s">
        <v>4926</v>
      </c>
      <c r="C1086" t="s">
        <v>1796</v>
      </c>
      <c r="D1086" t="s">
        <v>506</v>
      </c>
      <c r="E1086" t="s">
        <v>3410</v>
      </c>
      <c r="F1086" t="s">
        <v>3388</v>
      </c>
      <c r="G1086" t="s">
        <v>4927</v>
      </c>
      <c r="H1086" t="s">
        <v>4084</v>
      </c>
    </row>
    <row r="1087" spans="2:8" x14ac:dyDescent="0.3">
      <c r="B1087" t="s">
        <v>4926</v>
      </c>
      <c r="C1087" t="s">
        <v>1796</v>
      </c>
      <c r="D1087" t="s">
        <v>506</v>
      </c>
      <c r="E1087" t="s">
        <v>3410</v>
      </c>
      <c r="F1087" t="s">
        <v>3388</v>
      </c>
      <c r="G1087" t="s">
        <v>4928</v>
      </c>
      <c r="H1087" t="s">
        <v>4084</v>
      </c>
    </row>
    <row r="1088" spans="2:8" x14ac:dyDescent="0.3">
      <c r="B1088" t="s">
        <v>4926</v>
      </c>
      <c r="C1088" t="s">
        <v>1796</v>
      </c>
      <c r="D1088" t="s">
        <v>506</v>
      </c>
      <c r="E1088" t="s">
        <v>3410</v>
      </c>
      <c r="F1088" t="s">
        <v>3388</v>
      </c>
      <c r="G1088" t="s">
        <v>4929</v>
      </c>
      <c r="H1088" t="s">
        <v>4084</v>
      </c>
    </row>
    <row r="1089" spans="2:8" x14ac:dyDescent="0.3">
      <c r="B1089" t="s">
        <v>4926</v>
      </c>
      <c r="C1089" t="s">
        <v>1796</v>
      </c>
      <c r="D1089" t="s">
        <v>506</v>
      </c>
      <c r="E1089" t="s">
        <v>4050</v>
      </c>
      <c r="F1089" t="s">
        <v>3388</v>
      </c>
      <c r="G1089" t="s">
        <v>4930</v>
      </c>
      <c r="H1089" t="s">
        <v>4347</v>
      </c>
    </row>
    <row r="1090" spans="2:8" x14ac:dyDescent="0.3">
      <c r="B1090" t="s">
        <v>4931</v>
      </c>
      <c r="C1090" t="s">
        <v>1796</v>
      </c>
      <c r="D1090" t="s">
        <v>506</v>
      </c>
      <c r="E1090" t="s">
        <v>4050</v>
      </c>
      <c r="F1090" t="s">
        <v>3388</v>
      </c>
      <c r="G1090" t="s">
        <v>4932</v>
      </c>
      <c r="H1090" t="s">
        <v>4076</v>
      </c>
    </row>
    <row r="1091" spans="2:8" x14ac:dyDescent="0.3">
      <c r="B1091" t="s">
        <v>4933</v>
      </c>
      <c r="C1091" t="s">
        <v>1796</v>
      </c>
      <c r="D1091" t="s">
        <v>506</v>
      </c>
      <c r="E1091" t="s">
        <v>4050</v>
      </c>
      <c r="F1091" t="s">
        <v>3388</v>
      </c>
      <c r="G1091" t="s">
        <v>4934</v>
      </c>
      <c r="H1091" t="s">
        <v>4076</v>
      </c>
    </row>
    <row r="1092" spans="2:8" x14ac:dyDescent="0.3">
      <c r="B1092" t="s">
        <v>4926</v>
      </c>
      <c r="C1092" t="s">
        <v>1796</v>
      </c>
      <c r="D1092" t="s">
        <v>506</v>
      </c>
      <c r="E1092" t="s">
        <v>4050</v>
      </c>
      <c r="F1092" t="s">
        <v>3388</v>
      </c>
      <c r="G1092" t="s">
        <v>4935</v>
      </c>
      <c r="H1092" t="s">
        <v>4076</v>
      </c>
    </row>
    <row r="1093" spans="2:8" x14ac:dyDescent="0.3">
      <c r="B1093" t="s">
        <v>4936</v>
      </c>
      <c r="C1093" t="s">
        <v>1796</v>
      </c>
      <c r="D1093" t="s">
        <v>506</v>
      </c>
      <c r="E1093" t="s">
        <v>4050</v>
      </c>
      <c r="F1093" t="s">
        <v>3388</v>
      </c>
      <c r="G1093" t="s">
        <v>4937</v>
      </c>
      <c r="H1093" t="s">
        <v>4938</v>
      </c>
    </row>
    <row r="1094" spans="2:8" x14ac:dyDescent="0.3">
      <c r="B1094" t="s">
        <v>4931</v>
      </c>
      <c r="C1094" t="s">
        <v>1796</v>
      </c>
      <c r="D1094" t="s">
        <v>506</v>
      </c>
      <c r="E1094" t="s">
        <v>4050</v>
      </c>
      <c r="F1094" t="s">
        <v>3388</v>
      </c>
      <c r="G1094" t="s">
        <v>4939</v>
      </c>
      <c r="H1094" t="s">
        <v>4076</v>
      </c>
    </row>
    <row r="1095" spans="2:8" x14ac:dyDescent="0.3">
      <c r="B1095" t="s">
        <v>4933</v>
      </c>
      <c r="C1095" t="s">
        <v>1796</v>
      </c>
      <c r="D1095" t="s">
        <v>506</v>
      </c>
      <c r="E1095" t="s">
        <v>4050</v>
      </c>
      <c r="F1095" t="s">
        <v>3388</v>
      </c>
      <c r="G1095" t="s">
        <v>4940</v>
      </c>
      <c r="H1095" t="s">
        <v>4076</v>
      </c>
    </row>
    <row r="1096" spans="2:8" x14ac:dyDescent="0.3">
      <c r="B1096" t="s">
        <v>4941</v>
      </c>
      <c r="C1096" t="s">
        <v>1796</v>
      </c>
      <c r="D1096" t="s">
        <v>506</v>
      </c>
      <c r="E1096" t="s">
        <v>3410</v>
      </c>
      <c r="F1096" t="s">
        <v>3388</v>
      </c>
      <c r="G1096" t="s">
        <v>4942</v>
      </c>
      <c r="H1096" t="s">
        <v>4081</v>
      </c>
    </row>
    <row r="1097" spans="2:8" x14ac:dyDescent="0.3">
      <c r="B1097" t="s">
        <v>4943</v>
      </c>
      <c r="C1097" t="s">
        <v>1796</v>
      </c>
      <c r="D1097" t="s">
        <v>506</v>
      </c>
      <c r="E1097" t="s">
        <v>3410</v>
      </c>
      <c r="F1097" t="s">
        <v>3380</v>
      </c>
      <c r="G1097" t="s">
        <v>4944</v>
      </c>
      <c r="H1097" t="s">
        <v>4081</v>
      </c>
    </row>
    <row r="1098" spans="2:8" x14ac:dyDescent="0.3">
      <c r="B1098" t="s">
        <v>4945</v>
      </c>
      <c r="C1098" t="s">
        <v>1796</v>
      </c>
      <c r="D1098" t="s">
        <v>506</v>
      </c>
      <c r="E1098" t="s">
        <v>3410</v>
      </c>
      <c r="F1098" t="s">
        <v>3397</v>
      </c>
      <c r="G1098" t="s">
        <v>4946</v>
      </c>
      <c r="H1098" t="s">
        <v>4081</v>
      </c>
    </row>
    <row r="1099" spans="2:8" x14ac:dyDescent="0.3">
      <c r="B1099" t="s">
        <v>4945</v>
      </c>
      <c r="C1099" t="s">
        <v>1796</v>
      </c>
      <c r="D1099" t="s">
        <v>506</v>
      </c>
      <c r="E1099" t="s">
        <v>3410</v>
      </c>
      <c r="F1099" t="s">
        <v>3397</v>
      </c>
      <c r="G1099" t="s">
        <v>4947</v>
      </c>
      <c r="H1099" t="s">
        <v>4081</v>
      </c>
    </row>
    <row r="1100" spans="2:8" x14ac:dyDescent="0.3">
      <c r="B1100" t="s">
        <v>4948</v>
      </c>
      <c r="C1100" t="s">
        <v>1796</v>
      </c>
      <c r="D1100" t="s">
        <v>506</v>
      </c>
      <c r="E1100" t="s">
        <v>3410</v>
      </c>
      <c r="F1100" t="s">
        <v>3397</v>
      </c>
      <c r="G1100" t="s">
        <v>4949</v>
      </c>
      <c r="H1100" t="s">
        <v>4081</v>
      </c>
    </row>
    <row r="1101" spans="2:8" x14ac:dyDescent="0.3">
      <c r="B1101" t="s">
        <v>4950</v>
      </c>
      <c r="C1101" t="s">
        <v>1796</v>
      </c>
      <c r="D1101" t="s">
        <v>506</v>
      </c>
      <c r="E1101" t="s">
        <v>4050</v>
      </c>
      <c r="F1101" t="s">
        <v>3397</v>
      </c>
      <c r="G1101" t="s">
        <v>4951</v>
      </c>
      <c r="H1101" t="s">
        <v>4052</v>
      </c>
    </row>
    <row r="1102" spans="2:8" x14ac:dyDescent="0.3">
      <c r="B1102" t="s">
        <v>4950</v>
      </c>
      <c r="C1102" t="s">
        <v>1796</v>
      </c>
      <c r="D1102" t="s">
        <v>506</v>
      </c>
      <c r="E1102" t="s">
        <v>4050</v>
      </c>
      <c r="F1102" t="s">
        <v>3397</v>
      </c>
      <c r="G1102" t="s">
        <v>4952</v>
      </c>
      <c r="H1102" t="s">
        <v>4054</v>
      </c>
    </row>
    <row r="1103" spans="2:8" x14ac:dyDescent="0.3">
      <c r="B1103" t="s">
        <v>4950</v>
      </c>
      <c r="C1103" t="s">
        <v>1796</v>
      </c>
      <c r="D1103" t="s">
        <v>506</v>
      </c>
      <c r="E1103" t="s">
        <v>4050</v>
      </c>
      <c r="F1103" t="s">
        <v>3397</v>
      </c>
      <c r="G1103" t="s">
        <v>4953</v>
      </c>
      <c r="H1103" t="s">
        <v>4054</v>
      </c>
    </row>
    <row r="1104" spans="2:8" x14ac:dyDescent="0.3">
      <c r="B1104" t="s">
        <v>4950</v>
      </c>
      <c r="C1104" t="s">
        <v>1796</v>
      </c>
      <c r="D1104" t="s">
        <v>506</v>
      </c>
      <c r="E1104" t="s">
        <v>4050</v>
      </c>
      <c r="F1104" t="s">
        <v>3397</v>
      </c>
      <c r="G1104" t="s">
        <v>4954</v>
      </c>
      <c r="H1104" t="s">
        <v>4054</v>
      </c>
    </row>
    <row r="1105" spans="2:8" x14ac:dyDescent="0.3">
      <c r="B1105" t="s">
        <v>4950</v>
      </c>
      <c r="C1105" t="s">
        <v>1796</v>
      </c>
      <c r="D1105" t="s">
        <v>506</v>
      </c>
      <c r="E1105" t="s">
        <v>4050</v>
      </c>
      <c r="F1105" t="s">
        <v>3397</v>
      </c>
      <c r="G1105" t="s">
        <v>4955</v>
      </c>
      <c r="H1105" t="s">
        <v>4058</v>
      </c>
    </row>
    <row r="1106" spans="2:8" x14ac:dyDescent="0.3">
      <c r="B1106" t="s">
        <v>4950</v>
      </c>
      <c r="C1106" t="s">
        <v>1796</v>
      </c>
      <c r="D1106" t="s">
        <v>506</v>
      </c>
      <c r="E1106" t="s">
        <v>4050</v>
      </c>
      <c r="F1106" t="s">
        <v>3397</v>
      </c>
      <c r="G1106" t="s">
        <v>4956</v>
      </c>
      <c r="H1106" t="s">
        <v>4058</v>
      </c>
    </row>
    <row r="1107" spans="2:8" x14ac:dyDescent="0.3">
      <c r="B1107" t="s">
        <v>4950</v>
      </c>
      <c r="C1107" t="s">
        <v>1796</v>
      </c>
      <c r="D1107" t="s">
        <v>506</v>
      </c>
      <c r="E1107" t="s">
        <v>4050</v>
      </c>
      <c r="F1107" t="s">
        <v>3397</v>
      </c>
      <c r="G1107" t="s">
        <v>4957</v>
      </c>
      <c r="H1107" t="s">
        <v>4058</v>
      </c>
    </row>
    <row r="1108" spans="2:8" x14ac:dyDescent="0.3">
      <c r="B1108" t="s">
        <v>4950</v>
      </c>
      <c r="C1108" t="s">
        <v>1796</v>
      </c>
      <c r="D1108" t="s">
        <v>506</v>
      </c>
      <c r="E1108" t="s">
        <v>4050</v>
      </c>
      <c r="F1108" t="s">
        <v>3397</v>
      </c>
      <c r="G1108" t="s">
        <v>4958</v>
      </c>
      <c r="H1108" t="s">
        <v>4058</v>
      </c>
    </row>
    <row r="1109" spans="2:8" x14ac:dyDescent="0.3">
      <c r="B1109" t="s">
        <v>4950</v>
      </c>
      <c r="C1109" t="s">
        <v>1796</v>
      </c>
      <c r="D1109" t="s">
        <v>506</v>
      </c>
      <c r="E1109" t="s">
        <v>4050</v>
      </c>
      <c r="F1109" t="s">
        <v>3397</v>
      </c>
      <c r="G1109" t="s">
        <v>4959</v>
      </c>
      <c r="H1109" t="s">
        <v>4058</v>
      </c>
    </row>
    <row r="1110" spans="2:8" x14ac:dyDescent="0.3">
      <c r="B1110" t="s">
        <v>4950</v>
      </c>
      <c r="C1110" t="s">
        <v>1796</v>
      </c>
      <c r="D1110" t="s">
        <v>506</v>
      </c>
      <c r="E1110" t="s">
        <v>4050</v>
      </c>
      <c r="F1110" t="s">
        <v>3397</v>
      </c>
      <c r="G1110" t="s">
        <v>4960</v>
      </c>
      <c r="H1110" t="s">
        <v>4056</v>
      </c>
    </row>
    <row r="1111" spans="2:8" x14ac:dyDescent="0.3">
      <c r="B1111" t="s">
        <v>4950</v>
      </c>
      <c r="C1111" t="s">
        <v>1796</v>
      </c>
      <c r="D1111" t="s">
        <v>506</v>
      </c>
      <c r="E1111" t="s">
        <v>4050</v>
      </c>
      <c r="F1111" t="s">
        <v>3397</v>
      </c>
      <c r="G1111" t="s">
        <v>4961</v>
      </c>
      <c r="H1111" t="s">
        <v>4056</v>
      </c>
    </row>
    <row r="1112" spans="2:8" x14ac:dyDescent="0.3">
      <c r="B1112" t="s">
        <v>4950</v>
      </c>
      <c r="C1112" t="s">
        <v>1796</v>
      </c>
      <c r="D1112" t="s">
        <v>506</v>
      </c>
      <c r="E1112" t="s">
        <v>4050</v>
      </c>
      <c r="F1112" t="s">
        <v>3397</v>
      </c>
      <c r="G1112" t="s">
        <v>4962</v>
      </c>
      <c r="H1112" t="s">
        <v>4056</v>
      </c>
    </row>
    <row r="1113" spans="2:8" x14ac:dyDescent="0.3">
      <c r="B1113" t="s">
        <v>4950</v>
      </c>
      <c r="C1113" t="s">
        <v>1796</v>
      </c>
      <c r="D1113" t="s">
        <v>506</v>
      </c>
      <c r="E1113" t="s">
        <v>3410</v>
      </c>
      <c r="F1113" t="s">
        <v>3397</v>
      </c>
      <c r="G1113" t="s">
        <v>4963</v>
      </c>
      <c r="H1113" t="s">
        <v>4081</v>
      </c>
    </row>
    <row r="1114" spans="2:8" x14ac:dyDescent="0.3">
      <c r="B1114" t="s">
        <v>4964</v>
      </c>
      <c r="C1114" t="s">
        <v>1796</v>
      </c>
      <c r="D1114" t="s">
        <v>506</v>
      </c>
      <c r="E1114" t="s">
        <v>4050</v>
      </c>
      <c r="F1114" t="s">
        <v>3397</v>
      </c>
      <c r="G1114" t="s">
        <v>4965</v>
      </c>
      <c r="H1114" t="s">
        <v>4052</v>
      </c>
    </row>
    <row r="1115" spans="2:8" x14ac:dyDescent="0.3">
      <c r="B1115" t="s">
        <v>4964</v>
      </c>
      <c r="C1115" t="s">
        <v>1796</v>
      </c>
      <c r="D1115" t="s">
        <v>506</v>
      </c>
      <c r="E1115" t="s">
        <v>4050</v>
      </c>
      <c r="F1115" t="s">
        <v>3397</v>
      </c>
      <c r="G1115" t="s">
        <v>4966</v>
      </c>
      <c r="H1115" t="s">
        <v>4054</v>
      </c>
    </row>
    <row r="1116" spans="2:8" x14ac:dyDescent="0.3">
      <c r="B1116" t="s">
        <v>4964</v>
      </c>
      <c r="C1116" t="s">
        <v>1796</v>
      </c>
      <c r="D1116" t="s">
        <v>506</v>
      </c>
      <c r="E1116" t="s">
        <v>4050</v>
      </c>
      <c r="F1116" t="s">
        <v>3397</v>
      </c>
      <c r="G1116" t="s">
        <v>4967</v>
      </c>
      <c r="H1116" t="s">
        <v>4054</v>
      </c>
    </row>
    <row r="1117" spans="2:8" x14ac:dyDescent="0.3">
      <c r="B1117" t="s">
        <v>4964</v>
      </c>
      <c r="C1117" t="s">
        <v>1796</v>
      </c>
      <c r="D1117" t="s">
        <v>506</v>
      </c>
      <c r="E1117" t="s">
        <v>4050</v>
      </c>
      <c r="F1117" t="s">
        <v>3397</v>
      </c>
      <c r="G1117" t="s">
        <v>4968</v>
      </c>
      <c r="H1117" t="s">
        <v>4054</v>
      </c>
    </row>
    <row r="1118" spans="2:8" x14ac:dyDescent="0.3">
      <c r="B1118" t="s">
        <v>4964</v>
      </c>
      <c r="C1118" t="s">
        <v>1796</v>
      </c>
      <c r="D1118" t="s">
        <v>506</v>
      </c>
      <c r="E1118" t="s">
        <v>4050</v>
      </c>
      <c r="F1118" t="s">
        <v>3397</v>
      </c>
      <c r="G1118" t="s">
        <v>4969</v>
      </c>
      <c r="H1118" t="s">
        <v>4058</v>
      </c>
    </row>
    <row r="1119" spans="2:8" x14ac:dyDescent="0.3">
      <c r="B1119" t="s">
        <v>4964</v>
      </c>
      <c r="C1119" t="s">
        <v>1796</v>
      </c>
      <c r="D1119" t="s">
        <v>506</v>
      </c>
      <c r="E1119" t="s">
        <v>4050</v>
      </c>
      <c r="F1119" t="s">
        <v>3397</v>
      </c>
      <c r="G1119" t="s">
        <v>4970</v>
      </c>
      <c r="H1119" t="s">
        <v>4058</v>
      </c>
    </row>
    <row r="1120" spans="2:8" x14ac:dyDescent="0.3">
      <c r="B1120" t="s">
        <v>4964</v>
      </c>
      <c r="C1120" t="s">
        <v>1796</v>
      </c>
      <c r="D1120" t="s">
        <v>506</v>
      </c>
      <c r="E1120" t="s">
        <v>4050</v>
      </c>
      <c r="F1120" t="s">
        <v>3397</v>
      </c>
      <c r="G1120" t="s">
        <v>4971</v>
      </c>
      <c r="H1120" t="s">
        <v>4058</v>
      </c>
    </row>
    <row r="1121" spans="2:8" x14ac:dyDescent="0.3">
      <c r="B1121" t="s">
        <v>4964</v>
      </c>
      <c r="C1121" t="s">
        <v>1796</v>
      </c>
      <c r="D1121" t="s">
        <v>506</v>
      </c>
      <c r="E1121" t="s">
        <v>4050</v>
      </c>
      <c r="F1121" t="s">
        <v>3397</v>
      </c>
      <c r="G1121" t="s">
        <v>4972</v>
      </c>
      <c r="H1121" t="s">
        <v>4058</v>
      </c>
    </row>
    <row r="1122" spans="2:8" x14ac:dyDescent="0.3">
      <c r="B1122" t="s">
        <v>4964</v>
      </c>
      <c r="C1122" t="s">
        <v>1796</v>
      </c>
      <c r="D1122" t="s">
        <v>506</v>
      </c>
      <c r="E1122" t="s">
        <v>4050</v>
      </c>
      <c r="F1122" t="s">
        <v>3397</v>
      </c>
      <c r="G1122" t="s">
        <v>4973</v>
      </c>
      <c r="H1122" t="s">
        <v>4058</v>
      </c>
    </row>
    <row r="1123" spans="2:8" x14ac:dyDescent="0.3">
      <c r="B1123" t="s">
        <v>4964</v>
      </c>
      <c r="C1123" t="s">
        <v>1796</v>
      </c>
      <c r="D1123" t="s">
        <v>506</v>
      </c>
      <c r="E1123" t="s">
        <v>4050</v>
      </c>
      <c r="F1123" t="s">
        <v>3397</v>
      </c>
      <c r="G1123" t="s">
        <v>4974</v>
      </c>
      <c r="H1123" t="s">
        <v>4056</v>
      </c>
    </row>
    <row r="1124" spans="2:8" x14ac:dyDescent="0.3">
      <c r="B1124" t="s">
        <v>4964</v>
      </c>
      <c r="C1124" t="s">
        <v>1796</v>
      </c>
      <c r="D1124" t="s">
        <v>506</v>
      </c>
      <c r="E1124" t="s">
        <v>4050</v>
      </c>
      <c r="F1124" t="s">
        <v>3397</v>
      </c>
      <c r="G1124" t="s">
        <v>4975</v>
      </c>
      <c r="H1124" t="s">
        <v>4056</v>
      </c>
    </row>
    <row r="1125" spans="2:8" x14ac:dyDescent="0.3">
      <c r="B1125" t="s">
        <v>4964</v>
      </c>
      <c r="C1125" t="s">
        <v>1796</v>
      </c>
      <c r="D1125" t="s">
        <v>506</v>
      </c>
      <c r="E1125" t="s">
        <v>4050</v>
      </c>
      <c r="F1125" t="s">
        <v>3397</v>
      </c>
      <c r="G1125" t="s">
        <v>4976</v>
      </c>
      <c r="H1125" t="s">
        <v>4056</v>
      </c>
    </row>
    <row r="1126" spans="2:8" x14ac:dyDescent="0.3">
      <c r="B1126" t="s">
        <v>4964</v>
      </c>
      <c r="C1126" t="s">
        <v>1796</v>
      </c>
      <c r="D1126" t="s">
        <v>506</v>
      </c>
      <c r="E1126" t="s">
        <v>3410</v>
      </c>
      <c r="F1126" t="s">
        <v>3397</v>
      </c>
      <c r="G1126" t="s">
        <v>4977</v>
      </c>
      <c r="H1126" t="s">
        <v>4081</v>
      </c>
    </row>
    <row r="1127" spans="2:8" x14ac:dyDescent="0.3">
      <c r="B1127" t="s">
        <v>4978</v>
      </c>
      <c r="C1127" t="s">
        <v>1796</v>
      </c>
      <c r="D1127" t="s">
        <v>506</v>
      </c>
      <c r="E1127" t="s">
        <v>3410</v>
      </c>
      <c r="F1127" t="s">
        <v>3397</v>
      </c>
      <c r="G1127" t="s">
        <v>4979</v>
      </c>
      <c r="H1127" t="s">
        <v>4232</v>
      </c>
    </row>
    <row r="1128" spans="2:8" x14ac:dyDescent="0.3">
      <c r="B1128" t="s">
        <v>4980</v>
      </c>
      <c r="C1128" t="s">
        <v>1796</v>
      </c>
      <c r="D1128" t="s">
        <v>506</v>
      </c>
      <c r="E1128" t="s">
        <v>4050</v>
      </c>
      <c r="F1128" t="s">
        <v>3397</v>
      </c>
      <c r="G1128" t="s">
        <v>4981</v>
      </c>
      <c r="H1128" t="s">
        <v>4058</v>
      </c>
    </row>
    <row r="1129" spans="2:8" x14ac:dyDescent="0.3">
      <c r="B1129" t="s">
        <v>4980</v>
      </c>
      <c r="C1129" t="s">
        <v>1796</v>
      </c>
      <c r="D1129" t="s">
        <v>506</v>
      </c>
      <c r="E1129" t="s">
        <v>3410</v>
      </c>
      <c r="F1129" t="s">
        <v>3397</v>
      </c>
      <c r="G1129" t="s">
        <v>4982</v>
      </c>
      <c r="H1129" t="s">
        <v>4232</v>
      </c>
    </row>
    <row r="1130" spans="2:8" x14ac:dyDescent="0.3">
      <c r="B1130" t="s">
        <v>4980</v>
      </c>
      <c r="C1130" t="s">
        <v>1796</v>
      </c>
      <c r="D1130" t="s">
        <v>506</v>
      </c>
      <c r="E1130" t="s">
        <v>4050</v>
      </c>
      <c r="F1130" t="s">
        <v>3397</v>
      </c>
      <c r="G1130" t="s">
        <v>4983</v>
      </c>
      <c r="H1130" t="s">
        <v>4058</v>
      </c>
    </row>
    <row r="1131" spans="2:8" x14ac:dyDescent="0.3">
      <c r="B1131" t="s">
        <v>4980</v>
      </c>
      <c r="C1131" t="s">
        <v>1796</v>
      </c>
      <c r="D1131" t="s">
        <v>506</v>
      </c>
      <c r="E1131" t="s">
        <v>4050</v>
      </c>
      <c r="F1131" t="s">
        <v>3397</v>
      </c>
      <c r="G1131" t="s">
        <v>4984</v>
      </c>
      <c r="H1131" t="s">
        <v>4052</v>
      </c>
    </row>
    <row r="1132" spans="2:8" x14ac:dyDescent="0.3">
      <c r="B1132" t="s">
        <v>4980</v>
      </c>
      <c r="C1132" t="s">
        <v>1796</v>
      </c>
      <c r="D1132" t="s">
        <v>506</v>
      </c>
      <c r="E1132" t="s">
        <v>4050</v>
      </c>
      <c r="F1132" t="s">
        <v>3397</v>
      </c>
      <c r="G1132" t="s">
        <v>4985</v>
      </c>
      <c r="H1132" t="s">
        <v>4054</v>
      </c>
    </row>
    <row r="1133" spans="2:8" x14ac:dyDescent="0.3">
      <c r="B1133" t="s">
        <v>4980</v>
      </c>
      <c r="C1133" t="s">
        <v>1796</v>
      </c>
      <c r="D1133" t="s">
        <v>506</v>
      </c>
      <c r="E1133" t="s">
        <v>4050</v>
      </c>
      <c r="F1133" t="s">
        <v>3397</v>
      </c>
      <c r="G1133" t="s">
        <v>4986</v>
      </c>
      <c r="H1133" t="s">
        <v>4054</v>
      </c>
    </row>
    <row r="1134" spans="2:8" x14ac:dyDescent="0.3">
      <c r="B1134" t="s">
        <v>4980</v>
      </c>
      <c r="C1134" t="s">
        <v>1796</v>
      </c>
      <c r="D1134" t="s">
        <v>506</v>
      </c>
      <c r="E1134" t="s">
        <v>4050</v>
      </c>
      <c r="F1134" t="s">
        <v>3397</v>
      </c>
      <c r="G1134" t="s">
        <v>4987</v>
      </c>
      <c r="H1134" t="s">
        <v>4054</v>
      </c>
    </row>
    <row r="1135" spans="2:8" x14ac:dyDescent="0.3">
      <c r="B1135" t="s">
        <v>4980</v>
      </c>
      <c r="C1135" t="s">
        <v>1796</v>
      </c>
      <c r="D1135" t="s">
        <v>506</v>
      </c>
      <c r="E1135" t="s">
        <v>4050</v>
      </c>
      <c r="F1135" t="s">
        <v>3397</v>
      </c>
      <c r="G1135" t="s">
        <v>4988</v>
      </c>
      <c r="H1135" t="s">
        <v>4054</v>
      </c>
    </row>
    <row r="1136" spans="2:8" x14ac:dyDescent="0.3">
      <c r="B1136" t="s">
        <v>4980</v>
      </c>
      <c r="C1136" t="s">
        <v>1796</v>
      </c>
      <c r="D1136" t="s">
        <v>506</v>
      </c>
      <c r="E1136" t="s">
        <v>4050</v>
      </c>
      <c r="F1136" t="s">
        <v>3397</v>
      </c>
      <c r="G1136" t="s">
        <v>4989</v>
      </c>
      <c r="H1136" t="s">
        <v>4054</v>
      </c>
    </row>
    <row r="1137" spans="2:8" x14ac:dyDescent="0.3">
      <c r="B1137" t="s">
        <v>4980</v>
      </c>
      <c r="C1137" t="s">
        <v>1796</v>
      </c>
      <c r="D1137" t="s">
        <v>506</v>
      </c>
      <c r="E1137" t="s">
        <v>4050</v>
      </c>
      <c r="F1137" t="s">
        <v>3397</v>
      </c>
      <c r="G1137" t="s">
        <v>4990</v>
      </c>
      <c r="H1137" t="s">
        <v>4054</v>
      </c>
    </row>
    <row r="1138" spans="2:8" x14ac:dyDescent="0.3">
      <c r="B1138" t="s">
        <v>4980</v>
      </c>
      <c r="C1138" t="s">
        <v>1796</v>
      </c>
      <c r="D1138" t="s">
        <v>506</v>
      </c>
      <c r="E1138" t="s">
        <v>4050</v>
      </c>
      <c r="F1138" t="s">
        <v>3397</v>
      </c>
      <c r="G1138" t="s">
        <v>4991</v>
      </c>
      <c r="H1138" t="s">
        <v>4058</v>
      </c>
    </row>
    <row r="1139" spans="2:8" x14ac:dyDescent="0.3">
      <c r="B1139" t="s">
        <v>4980</v>
      </c>
      <c r="C1139" t="s">
        <v>1796</v>
      </c>
      <c r="D1139" t="s">
        <v>506</v>
      </c>
      <c r="E1139" t="s">
        <v>4050</v>
      </c>
      <c r="F1139" t="s">
        <v>3397</v>
      </c>
      <c r="G1139" t="s">
        <v>4992</v>
      </c>
      <c r="H1139" t="s">
        <v>4058</v>
      </c>
    </row>
    <row r="1140" spans="2:8" x14ac:dyDescent="0.3">
      <c r="B1140" t="s">
        <v>4980</v>
      </c>
      <c r="C1140" t="s">
        <v>1796</v>
      </c>
      <c r="D1140" t="s">
        <v>506</v>
      </c>
      <c r="E1140" t="s">
        <v>4050</v>
      </c>
      <c r="F1140" t="s">
        <v>3397</v>
      </c>
      <c r="G1140" t="s">
        <v>4993</v>
      </c>
      <c r="H1140" t="s">
        <v>4058</v>
      </c>
    </row>
    <row r="1141" spans="2:8" x14ac:dyDescent="0.3">
      <c r="B1141" t="s">
        <v>4980</v>
      </c>
      <c r="C1141" t="s">
        <v>1796</v>
      </c>
      <c r="D1141" t="s">
        <v>506</v>
      </c>
      <c r="E1141" t="s">
        <v>4050</v>
      </c>
      <c r="F1141" t="s">
        <v>3397</v>
      </c>
      <c r="G1141" t="s">
        <v>4994</v>
      </c>
      <c r="H1141" t="s">
        <v>4200</v>
      </c>
    </row>
    <row r="1142" spans="2:8" x14ac:dyDescent="0.3">
      <c r="B1142" t="s">
        <v>4980</v>
      </c>
      <c r="C1142" t="s">
        <v>1796</v>
      </c>
      <c r="D1142" t="s">
        <v>506</v>
      </c>
      <c r="E1142" t="s">
        <v>4050</v>
      </c>
      <c r="F1142" t="s">
        <v>3397</v>
      </c>
      <c r="G1142" t="s">
        <v>4995</v>
      </c>
      <c r="H1142" t="s">
        <v>4200</v>
      </c>
    </row>
    <row r="1143" spans="2:8" x14ac:dyDescent="0.3">
      <c r="B1143" t="s">
        <v>4980</v>
      </c>
      <c r="C1143" t="s">
        <v>1796</v>
      </c>
      <c r="D1143" t="s">
        <v>506</v>
      </c>
      <c r="E1143" t="s">
        <v>4050</v>
      </c>
      <c r="F1143" t="s">
        <v>3397</v>
      </c>
      <c r="G1143" t="s">
        <v>4996</v>
      </c>
      <c r="H1143" t="s">
        <v>4200</v>
      </c>
    </row>
    <row r="1144" spans="2:8" x14ac:dyDescent="0.3">
      <c r="B1144" t="s">
        <v>4980</v>
      </c>
      <c r="C1144" t="s">
        <v>1796</v>
      </c>
      <c r="D1144" t="s">
        <v>506</v>
      </c>
      <c r="E1144" t="s">
        <v>4050</v>
      </c>
      <c r="F1144" t="s">
        <v>3397</v>
      </c>
      <c r="G1144" t="s">
        <v>4997</v>
      </c>
      <c r="H1144" t="s">
        <v>4200</v>
      </c>
    </row>
    <row r="1145" spans="2:8" x14ac:dyDescent="0.3">
      <c r="B1145" t="s">
        <v>4980</v>
      </c>
      <c r="C1145" t="s">
        <v>1796</v>
      </c>
      <c r="D1145" t="s">
        <v>506</v>
      </c>
      <c r="E1145" t="s">
        <v>4050</v>
      </c>
      <c r="F1145" t="s">
        <v>3397</v>
      </c>
      <c r="G1145" t="s">
        <v>4998</v>
      </c>
      <c r="H1145" t="s">
        <v>4200</v>
      </c>
    </row>
    <row r="1146" spans="2:8" x14ac:dyDescent="0.3">
      <c r="B1146" t="s">
        <v>4980</v>
      </c>
      <c r="C1146" t="s">
        <v>1796</v>
      </c>
      <c r="D1146" t="s">
        <v>506</v>
      </c>
      <c r="E1146" t="s">
        <v>4050</v>
      </c>
      <c r="F1146" t="s">
        <v>3397</v>
      </c>
      <c r="G1146" t="s">
        <v>4999</v>
      </c>
      <c r="H1146" t="s">
        <v>4200</v>
      </c>
    </row>
    <row r="1147" spans="2:8" x14ac:dyDescent="0.3">
      <c r="B1147" t="s">
        <v>5000</v>
      </c>
      <c r="C1147" t="s">
        <v>1796</v>
      </c>
      <c r="D1147" t="s">
        <v>506</v>
      </c>
      <c r="E1147" t="s">
        <v>3410</v>
      </c>
      <c r="F1147" t="s">
        <v>3397</v>
      </c>
      <c r="G1147" t="s">
        <v>5001</v>
      </c>
      <c r="H1147" t="s">
        <v>4232</v>
      </c>
    </row>
    <row r="1148" spans="2:8" x14ac:dyDescent="0.3">
      <c r="B1148" t="s">
        <v>5000</v>
      </c>
      <c r="C1148" t="s">
        <v>1796</v>
      </c>
      <c r="D1148" t="s">
        <v>506</v>
      </c>
      <c r="E1148" t="s">
        <v>4050</v>
      </c>
      <c r="F1148" t="s">
        <v>3397</v>
      </c>
      <c r="G1148" t="s">
        <v>5002</v>
      </c>
      <c r="H1148" t="s">
        <v>4058</v>
      </c>
    </row>
    <row r="1149" spans="2:8" x14ac:dyDescent="0.3">
      <c r="B1149" t="s">
        <v>5000</v>
      </c>
      <c r="C1149" t="s">
        <v>1796</v>
      </c>
      <c r="D1149" t="s">
        <v>506</v>
      </c>
      <c r="E1149" t="s">
        <v>4050</v>
      </c>
      <c r="F1149" t="s">
        <v>3397</v>
      </c>
      <c r="G1149" t="s">
        <v>5003</v>
      </c>
      <c r="H1149" t="s">
        <v>4052</v>
      </c>
    </row>
    <row r="1150" spans="2:8" x14ac:dyDescent="0.3">
      <c r="B1150" t="s">
        <v>5000</v>
      </c>
      <c r="C1150" t="s">
        <v>1796</v>
      </c>
      <c r="D1150" t="s">
        <v>506</v>
      </c>
      <c r="E1150" t="s">
        <v>4050</v>
      </c>
      <c r="F1150" t="s">
        <v>3397</v>
      </c>
      <c r="G1150" t="s">
        <v>5004</v>
      </c>
      <c r="H1150" t="s">
        <v>4054</v>
      </c>
    </row>
    <row r="1151" spans="2:8" x14ac:dyDescent="0.3">
      <c r="B1151" t="s">
        <v>5000</v>
      </c>
      <c r="C1151" t="s">
        <v>1796</v>
      </c>
      <c r="D1151" t="s">
        <v>506</v>
      </c>
      <c r="E1151" t="s">
        <v>4050</v>
      </c>
      <c r="F1151" t="s">
        <v>3397</v>
      </c>
      <c r="G1151" t="s">
        <v>5005</v>
      </c>
      <c r="H1151" t="s">
        <v>4054</v>
      </c>
    </row>
    <row r="1152" spans="2:8" x14ac:dyDescent="0.3">
      <c r="B1152" t="s">
        <v>5000</v>
      </c>
      <c r="C1152" t="s">
        <v>1796</v>
      </c>
      <c r="D1152" t="s">
        <v>506</v>
      </c>
      <c r="E1152" t="s">
        <v>4050</v>
      </c>
      <c r="F1152" t="s">
        <v>3397</v>
      </c>
      <c r="G1152" t="s">
        <v>5006</v>
      </c>
      <c r="H1152" t="s">
        <v>4054</v>
      </c>
    </row>
    <row r="1153" spans="2:8" x14ac:dyDescent="0.3">
      <c r="B1153" t="s">
        <v>5000</v>
      </c>
      <c r="C1153" t="s">
        <v>1796</v>
      </c>
      <c r="D1153" t="s">
        <v>506</v>
      </c>
      <c r="E1153" t="s">
        <v>4050</v>
      </c>
      <c r="F1153" t="s">
        <v>3397</v>
      </c>
      <c r="G1153" t="s">
        <v>5007</v>
      </c>
      <c r="H1153" t="s">
        <v>4054</v>
      </c>
    </row>
    <row r="1154" spans="2:8" x14ac:dyDescent="0.3">
      <c r="B1154" t="s">
        <v>5000</v>
      </c>
      <c r="C1154" t="s">
        <v>1796</v>
      </c>
      <c r="D1154" t="s">
        <v>506</v>
      </c>
      <c r="E1154" t="s">
        <v>4050</v>
      </c>
      <c r="F1154" t="s">
        <v>3397</v>
      </c>
      <c r="G1154" t="s">
        <v>5008</v>
      </c>
      <c r="H1154" t="s">
        <v>4054</v>
      </c>
    </row>
    <row r="1155" spans="2:8" x14ac:dyDescent="0.3">
      <c r="B1155" t="s">
        <v>5000</v>
      </c>
      <c r="C1155" t="s">
        <v>1796</v>
      </c>
      <c r="D1155" t="s">
        <v>506</v>
      </c>
      <c r="E1155" t="s">
        <v>4050</v>
      </c>
      <c r="F1155" t="s">
        <v>3397</v>
      </c>
      <c r="G1155" t="s">
        <v>5009</v>
      </c>
      <c r="H1155" t="s">
        <v>4054</v>
      </c>
    </row>
    <row r="1156" spans="2:8" x14ac:dyDescent="0.3">
      <c r="B1156" t="s">
        <v>5000</v>
      </c>
      <c r="C1156" t="s">
        <v>1796</v>
      </c>
      <c r="D1156" t="s">
        <v>506</v>
      </c>
      <c r="E1156" t="s">
        <v>4050</v>
      </c>
      <c r="F1156" t="s">
        <v>3397</v>
      </c>
      <c r="G1156" t="s">
        <v>5010</v>
      </c>
      <c r="H1156" t="s">
        <v>4058</v>
      </c>
    </row>
    <row r="1157" spans="2:8" x14ac:dyDescent="0.3">
      <c r="B1157" t="s">
        <v>5000</v>
      </c>
      <c r="C1157" t="s">
        <v>1796</v>
      </c>
      <c r="D1157" t="s">
        <v>506</v>
      </c>
      <c r="E1157" t="s">
        <v>4050</v>
      </c>
      <c r="F1157" t="s">
        <v>3397</v>
      </c>
      <c r="G1157" t="s">
        <v>5011</v>
      </c>
      <c r="H1157" t="s">
        <v>4058</v>
      </c>
    </row>
    <row r="1158" spans="2:8" x14ac:dyDescent="0.3">
      <c r="B1158" t="s">
        <v>5000</v>
      </c>
      <c r="C1158" t="s">
        <v>1796</v>
      </c>
      <c r="D1158" t="s">
        <v>506</v>
      </c>
      <c r="E1158" t="s">
        <v>4050</v>
      </c>
      <c r="F1158" t="s">
        <v>3397</v>
      </c>
      <c r="G1158" t="s">
        <v>5012</v>
      </c>
      <c r="H1158" t="s">
        <v>4058</v>
      </c>
    </row>
    <row r="1159" spans="2:8" x14ac:dyDescent="0.3">
      <c r="B1159" t="s">
        <v>5013</v>
      </c>
      <c r="C1159" t="s">
        <v>1796</v>
      </c>
      <c r="D1159" t="s">
        <v>506</v>
      </c>
      <c r="E1159" t="s">
        <v>3410</v>
      </c>
      <c r="F1159" t="s">
        <v>3397</v>
      </c>
      <c r="G1159" t="s">
        <v>5014</v>
      </c>
      <c r="H1159" t="s">
        <v>4232</v>
      </c>
    </row>
    <row r="1160" spans="2:8" x14ac:dyDescent="0.3">
      <c r="B1160" t="s">
        <v>5000</v>
      </c>
      <c r="C1160" t="s">
        <v>1796</v>
      </c>
      <c r="D1160" t="s">
        <v>506</v>
      </c>
      <c r="E1160" t="s">
        <v>4050</v>
      </c>
      <c r="F1160" t="s">
        <v>3397</v>
      </c>
      <c r="G1160" t="s">
        <v>5015</v>
      </c>
      <c r="H1160" t="s">
        <v>4058</v>
      </c>
    </row>
    <row r="1161" spans="2:8" x14ac:dyDescent="0.3">
      <c r="B1161" t="s">
        <v>4980</v>
      </c>
      <c r="C1161" t="s">
        <v>1796</v>
      </c>
      <c r="D1161" t="s">
        <v>506</v>
      </c>
      <c r="E1161" t="s">
        <v>4050</v>
      </c>
      <c r="F1161" t="s">
        <v>3397</v>
      </c>
      <c r="G1161" t="s">
        <v>5016</v>
      </c>
      <c r="H1161" t="s">
        <v>4076</v>
      </c>
    </row>
    <row r="1162" spans="2:8" x14ac:dyDescent="0.3">
      <c r="B1162" t="s">
        <v>4980</v>
      </c>
      <c r="C1162" t="s">
        <v>1796</v>
      </c>
      <c r="D1162" t="s">
        <v>506</v>
      </c>
      <c r="E1162" t="s">
        <v>4050</v>
      </c>
      <c r="F1162" t="s">
        <v>3397</v>
      </c>
      <c r="G1162" t="s">
        <v>5017</v>
      </c>
      <c r="H1162" t="s">
        <v>4076</v>
      </c>
    </row>
    <row r="1163" spans="2:8" x14ac:dyDescent="0.3">
      <c r="B1163" t="s">
        <v>4980</v>
      </c>
      <c r="C1163" t="s">
        <v>1796</v>
      </c>
      <c r="D1163" t="s">
        <v>506</v>
      </c>
      <c r="E1163" t="s">
        <v>4050</v>
      </c>
      <c r="F1163" t="s">
        <v>3397</v>
      </c>
      <c r="G1163" t="s">
        <v>5018</v>
      </c>
      <c r="H1163" t="s">
        <v>4076</v>
      </c>
    </row>
    <row r="1164" spans="2:8" x14ac:dyDescent="0.3">
      <c r="B1164" t="s">
        <v>4980</v>
      </c>
      <c r="C1164" t="s">
        <v>1796</v>
      </c>
      <c r="D1164" t="s">
        <v>506</v>
      </c>
      <c r="E1164" t="s">
        <v>4050</v>
      </c>
      <c r="F1164" t="s">
        <v>3397</v>
      </c>
      <c r="G1164" t="s">
        <v>5019</v>
      </c>
      <c r="H1164" t="s">
        <v>4076</v>
      </c>
    </row>
    <row r="1165" spans="2:8" x14ac:dyDescent="0.3">
      <c r="B1165" t="s">
        <v>5000</v>
      </c>
      <c r="C1165" t="s">
        <v>1796</v>
      </c>
      <c r="D1165" t="s">
        <v>506</v>
      </c>
      <c r="E1165" t="s">
        <v>4050</v>
      </c>
      <c r="F1165" t="s">
        <v>3397</v>
      </c>
      <c r="G1165" t="s">
        <v>5020</v>
      </c>
      <c r="H1165" t="s">
        <v>4076</v>
      </c>
    </row>
    <row r="1166" spans="2:8" x14ac:dyDescent="0.3">
      <c r="B1166" t="s">
        <v>5000</v>
      </c>
      <c r="C1166" t="s">
        <v>1796</v>
      </c>
      <c r="D1166" t="s">
        <v>506</v>
      </c>
      <c r="E1166" t="s">
        <v>4050</v>
      </c>
      <c r="F1166" t="s">
        <v>3397</v>
      </c>
      <c r="G1166" t="s">
        <v>5021</v>
      </c>
      <c r="H1166" t="s">
        <v>4076</v>
      </c>
    </row>
    <row r="1167" spans="2:8" x14ac:dyDescent="0.3">
      <c r="B1167" t="s">
        <v>5000</v>
      </c>
      <c r="C1167" t="s">
        <v>1796</v>
      </c>
      <c r="D1167" t="s">
        <v>506</v>
      </c>
      <c r="E1167" t="s">
        <v>4050</v>
      </c>
      <c r="F1167" t="s">
        <v>3397</v>
      </c>
      <c r="G1167" t="s">
        <v>5022</v>
      </c>
      <c r="H1167" t="s">
        <v>4076</v>
      </c>
    </row>
    <row r="1168" spans="2:8" x14ac:dyDescent="0.3">
      <c r="B1168" t="s">
        <v>5000</v>
      </c>
      <c r="C1168" t="s">
        <v>1796</v>
      </c>
      <c r="D1168" t="s">
        <v>506</v>
      </c>
      <c r="E1168" t="s">
        <v>4050</v>
      </c>
      <c r="F1168" t="s">
        <v>3397</v>
      </c>
      <c r="G1168" t="s">
        <v>5023</v>
      </c>
      <c r="H1168" t="s">
        <v>4076</v>
      </c>
    </row>
    <row r="1169" spans="2:8" x14ac:dyDescent="0.3">
      <c r="B1169" t="s">
        <v>4980</v>
      </c>
      <c r="C1169" t="s">
        <v>1796</v>
      </c>
      <c r="D1169" t="s">
        <v>506</v>
      </c>
      <c r="E1169" t="s">
        <v>4050</v>
      </c>
      <c r="F1169" t="s">
        <v>3397</v>
      </c>
      <c r="G1169" t="s">
        <v>5024</v>
      </c>
      <c r="H1169" t="s">
        <v>4076</v>
      </c>
    </row>
    <row r="1170" spans="2:8" x14ac:dyDescent="0.3">
      <c r="B1170" t="s">
        <v>5000</v>
      </c>
      <c r="C1170" t="s">
        <v>1796</v>
      </c>
      <c r="D1170" t="s">
        <v>506</v>
      </c>
      <c r="E1170" t="s">
        <v>4050</v>
      </c>
      <c r="F1170" t="s">
        <v>3397</v>
      </c>
      <c r="G1170" t="s">
        <v>5025</v>
      </c>
      <c r="H1170" t="s">
        <v>4076</v>
      </c>
    </row>
    <row r="1171" spans="2:8" x14ac:dyDescent="0.3">
      <c r="B1171" t="s">
        <v>5026</v>
      </c>
      <c r="C1171" t="s">
        <v>1796</v>
      </c>
      <c r="D1171" t="s">
        <v>506</v>
      </c>
      <c r="E1171" t="s">
        <v>3410</v>
      </c>
      <c r="F1171" t="s">
        <v>3383</v>
      </c>
      <c r="G1171" t="s">
        <v>5027</v>
      </c>
      <c r="H1171" t="s">
        <v>4081</v>
      </c>
    </row>
    <row r="1172" spans="2:8" x14ac:dyDescent="0.3">
      <c r="B1172" t="s">
        <v>5026</v>
      </c>
      <c r="C1172" t="s">
        <v>1796</v>
      </c>
      <c r="D1172" t="s">
        <v>506</v>
      </c>
      <c r="E1172" t="s">
        <v>4050</v>
      </c>
      <c r="F1172" t="s">
        <v>3383</v>
      </c>
      <c r="G1172" t="s">
        <v>5028</v>
      </c>
      <c r="H1172" t="s">
        <v>4076</v>
      </c>
    </row>
    <row r="1173" spans="2:8" x14ac:dyDescent="0.3">
      <c r="B1173" t="s">
        <v>5026</v>
      </c>
      <c r="C1173" t="s">
        <v>1796</v>
      </c>
      <c r="D1173" t="s">
        <v>506</v>
      </c>
      <c r="E1173" t="s">
        <v>4050</v>
      </c>
      <c r="F1173" t="s">
        <v>3383</v>
      </c>
      <c r="G1173" t="s">
        <v>5029</v>
      </c>
      <c r="H1173" t="s">
        <v>4076</v>
      </c>
    </row>
    <row r="1174" spans="2:8" x14ac:dyDescent="0.3">
      <c r="B1174" t="s">
        <v>5030</v>
      </c>
      <c r="C1174" t="s">
        <v>1796</v>
      </c>
      <c r="D1174" t="s">
        <v>506</v>
      </c>
      <c r="E1174" t="s">
        <v>3410</v>
      </c>
      <c r="F1174" t="s">
        <v>3383</v>
      </c>
      <c r="G1174" t="s">
        <v>5031</v>
      </c>
      <c r="H1174" t="s">
        <v>4084</v>
      </c>
    </row>
    <row r="1175" spans="2:8" x14ac:dyDescent="0.3">
      <c r="B1175" t="s">
        <v>5030</v>
      </c>
      <c r="C1175" t="s">
        <v>1796</v>
      </c>
      <c r="D1175" t="s">
        <v>506</v>
      </c>
      <c r="E1175" t="s">
        <v>4050</v>
      </c>
      <c r="F1175" t="s">
        <v>3383</v>
      </c>
      <c r="G1175" t="s">
        <v>5032</v>
      </c>
      <c r="H1175" t="s">
        <v>4058</v>
      </c>
    </row>
    <row r="1176" spans="2:8" x14ac:dyDescent="0.3">
      <c r="B1176" t="s">
        <v>5030</v>
      </c>
      <c r="C1176" t="s">
        <v>1796</v>
      </c>
      <c r="D1176" t="s">
        <v>506</v>
      </c>
      <c r="E1176" t="s">
        <v>4050</v>
      </c>
      <c r="F1176" t="s">
        <v>3383</v>
      </c>
      <c r="G1176" t="s">
        <v>5033</v>
      </c>
      <c r="H1176" t="s">
        <v>4076</v>
      </c>
    </row>
    <row r="1177" spans="2:8" x14ac:dyDescent="0.3">
      <c r="B1177" t="s">
        <v>5034</v>
      </c>
      <c r="C1177" t="s">
        <v>1796</v>
      </c>
      <c r="D1177" t="s">
        <v>506</v>
      </c>
      <c r="E1177" t="s">
        <v>3410</v>
      </c>
      <c r="F1177" t="s">
        <v>3388</v>
      </c>
      <c r="G1177" t="s">
        <v>5035</v>
      </c>
      <c r="H1177" t="s">
        <v>4084</v>
      </c>
    </row>
    <row r="1178" spans="2:8" x14ac:dyDescent="0.3">
      <c r="B1178" t="s">
        <v>5034</v>
      </c>
      <c r="C1178" t="s">
        <v>1796</v>
      </c>
      <c r="D1178" t="s">
        <v>506</v>
      </c>
      <c r="E1178" t="s">
        <v>3410</v>
      </c>
      <c r="F1178" t="s">
        <v>3388</v>
      </c>
      <c r="G1178" t="s">
        <v>5036</v>
      </c>
      <c r="H1178" t="s">
        <v>4084</v>
      </c>
    </row>
    <row r="1179" spans="2:8" x14ac:dyDescent="0.3">
      <c r="B1179" t="s">
        <v>5037</v>
      </c>
      <c r="C1179" t="s">
        <v>1796</v>
      </c>
      <c r="D1179" t="s">
        <v>506</v>
      </c>
      <c r="E1179" t="s">
        <v>3410</v>
      </c>
      <c r="F1179" t="s">
        <v>3388</v>
      </c>
      <c r="G1179" t="s">
        <v>5038</v>
      </c>
      <c r="H1179" t="s">
        <v>4084</v>
      </c>
    </row>
    <row r="1180" spans="2:8" x14ac:dyDescent="0.3">
      <c r="B1180" t="s">
        <v>5037</v>
      </c>
      <c r="C1180" t="s">
        <v>1796</v>
      </c>
      <c r="D1180" t="s">
        <v>506</v>
      </c>
      <c r="E1180" t="s">
        <v>3410</v>
      </c>
      <c r="F1180" t="s">
        <v>3388</v>
      </c>
      <c r="G1180" t="s">
        <v>5039</v>
      </c>
      <c r="H1180" t="s">
        <v>4084</v>
      </c>
    </row>
    <row r="1181" spans="2:8" x14ac:dyDescent="0.3">
      <c r="B1181" t="s">
        <v>5034</v>
      </c>
      <c r="C1181" t="s">
        <v>1796</v>
      </c>
      <c r="D1181" t="s">
        <v>506</v>
      </c>
      <c r="E1181" t="s">
        <v>3410</v>
      </c>
      <c r="F1181" t="s">
        <v>3388</v>
      </c>
      <c r="G1181" t="s">
        <v>5040</v>
      </c>
      <c r="H1181" t="s">
        <v>4084</v>
      </c>
    </row>
    <row r="1182" spans="2:8" x14ac:dyDescent="0.3">
      <c r="B1182" t="s">
        <v>5037</v>
      </c>
      <c r="C1182" t="s">
        <v>1796</v>
      </c>
      <c r="D1182" t="s">
        <v>506</v>
      </c>
      <c r="E1182" t="s">
        <v>3410</v>
      </c>
      <c r="F1182" t="s">
        <v>3388</v>
      </c>
      <c r="G1182" t="s">
        <v>5041</v>
      </c>
      <c r="H1182" t="s">
        <v>4084</v>
      </c>
    </row>
    <row r="1183" spans="2:8" x14ac:dyDescent="0.3">
      <c r="B1183" t="s">
        <v>5042</v>
      </c>
      <c r="C1183" t="s">
        <v>1796</v>
      </c>
      <c r="D1183" t="s">
        <v>506</v>
      </c>
      <c r="E1183" t="s">
        <v>3410</v>
      </c>
      <c r="F1183" t="s">
        <v>3383</v>
      </c>
      <c r="G1183" t="s">
        <v>5043</v>
      </c>
      <c r="H1183" t="s">
        <v>4232</v>
      </c>
    </row>
    <row r="1184" spans="2:8" x14ac:dyDescent="0.3">
      <c r="B1184" t="s">
        <v>5042</v>
      </c>
      <c r="C1184" t="s">
        <v>1796</v>
      </c>
      <c r="D1184" t="s">
        <v>506</v>
      </c>
      <c r="E1184" t="s">
        <v>4050</v>
      </c>
      <c r="F1184" t="s">
        <v>3383</v>
      </c>
      <c r="G1184" t="s">
        <v>5044</v>
      </c>
      <c r="H1184" t="s">
        <v>4054</v>
      </c>
    </row>
    <row r="1185" spans="2:8" x14ac:dyDescent="0.3">
      <c r="B1185" t="s">
        <v>5042</v>
      </c>
      <c r="C1185" t="s">
        <v>1796</v>
      </c>
      <c r="D1185" t="s">
        <v>506</v>
      </c>
      <c r="E1185" t="s">
        <v>4050</v>
      </c>
      <c r="F1185" t="s">
        <v>3383</v>
      </c>
      <c r="G1185" t="s">
        <v>5045</v>
      </c>
      <c r="H1185" t="s">
        <v>4054</v>
      </c>
    </row>
    <row r="1186" spans="2:8" x14ac:dyDescent="0.3">
      <c r="B1186" t="s">
        <v>5042</v>
      </c>
      <c r="C1186" t="s">
        <v>1796</v>
      </c>
      <c r="D1186" t="s">
        <v>506</v>
      </c>
      <c r="E1186" t="s">
        <v>4050</v>
      </c>
      <c r="F1186" t="s">
        <v>3383</v>
      </c>
      <c r="G1186" t="s">
        <v>5046</v>
      </c>
      <c r="H1186" t="s">
        <v>4054</v>
      </c>
    </row>
    <row r="1187" spans="2:8" x14ac:dyDescent="0.3">
      <c r="B1187" t="s">
        <v>5042</v>
      </c>
      <c r="C1187" t="s">
        <v>1796</v>
      </c>
      <c r="D1187" t="s">
        <v>506</v>
      </c>
      <c r="E1187" t="s">
        <v>4050</v>
      </c>
      <c r="F1187" t="s">
        <v>3383</v>
      </c>
      <c r="G1187" t="s">
        <v>5047</v>
      </c>
      <c r="H1187" t="s">
        <v>4058</v>
      </c>
    </row>
    <row r="1188" spans="2:8" x14ac:dyDescent="0.3">
      <c r="B1188" t="s">
        <v>5042</v>
      </c>
      <c r="C1188" t="s">
        <v>1796</v>
      </c>
      <c r="D1188" t="s">
        <v>506</v>
      </c>
      <c r="E1188" t="s">
        <v>4050</v>
      </c>
      <c r="F1188" t="s">
        <v>3383</v>
      </c>
      <c r="G1188" t="s">
        <v>5048</v>
      </c>
      <c r="H1188" t="s">
        <v>4058</v>
      </c>
    </row>
    <row r="1189" spans="2:8" x14ac:dyDescent="0.3">
      <c r="B1189" t="s">
        <v>5042</v>
      </c>
      <c r="C1189" t="s">
        <v>1796</v>
      </c>
      <c r="D1189" t="s">
        <v>506</v>
      </c>
      <c r="E1189" t="s">
        <v>4050</v>
      </c>
      <c r="F1189" t="s">
        <v>3383</v>
      </c>
      <c r="G1189" t="s">
        <v>5049</v>
      </c>
      <c r="H1189" t="s">
        <v>4058</v>
      </c>
    </row>
    <row r="1190" spans="2:8" x14ac:dyDescent="0.3">
      <c r="B1190" t="s">
        <v>5042</v>
      </c>
      <c r="C1190" t="s">
        <v>1796</v>
      </c>
      <c r="D1190" t="s">
        <v>506</v>
      </c>
      <c r="E1190" t="s">
        <v>4050</v>
      </c>
      <c r="F1190" t="s">
        <v>3383</v>
      </c>
      <c r="G1190" t="s">
        <v>5050</v>
      </c>
      <c r="H1190" t="s">
        <v>4056</v>
      </c>
    </row>
    <row r="1191" spans="2:8" x14ac:dyDescent="0.3">
      <c r="B1191" t="s">
        <v>5042</v>
      </c>
      <c r="C1191" t="s">
        <v>1796</v>
      </c>
      <c r="D1191" t="s">
        <v>506</v>
      </c>
      <c r="E1191" t="s">
        <v>4050</v>
      </c>
      <c r="F1191" t="s">
        <v>3383</v>
      </c>
      <c r="G1191" t="s">
        <v>5051</v>
      </c>
      <c r="H1191" t="s">
        <v>4056</v>
      </c>
    </row>
    <row r="1192" spans="2:8" x14ac:dyDescent="0.3">
      <c r="B1192" t="s">
        <v>5042</v>
      </c>
      <c r="C1192" t="s">
        <v>1796</v>
      </c>
      <c r="D1192" t="s">
        <v>506</v>
      </c>
      <c r="E1192" t="s">
        <v>4050</v>
      </c>
      <c r="F1192" t="s">
        <v>3383</v>
      </c>
      <c r="G1192" t="s">
        <v>5052</v>
      </c>
      <c r="H1192" t="s">
        <v>4056</v>
      </c>
    </row>
    <row r="1193" spans="2:8" x14ac:dyDescent="0.3">
      <c r="B1193" t="s">
        <v>5053</v>
      </c>
      <c r="C1193" t="s">
        <v>1796</v>
      </c>
      <c r="D1193" t="s">
        <v>506</v>
      </c>
      <c r="E1193" t="s">
        <v>3410</v>
      </c>
      <c r="F1193" t="s">
        <v>3383</v>
      </c>
      <c r="G1193" t="s">
        <v>5054</v>
      </c>
      <c r="H1193" t="s">
        <v>4232</v>
      </c>
    </row>
    <row r="1194" spans="2:8" x14ac:dyDescent="0.3">
      <c r="B1194" t="s">
        <v>5053</v>
      </c>
      <c r="C1194" t="s">
        <v>1796</v>
      </c>
      <c r="D1194" t="s">
        <v>506</v>
      </c>
      <c r="E1194" t="s">
        <v>4050</v>
      </c>
      <c r="F1194" t="s">
        <v>3383</v>
      </c>
      <c r="G1194" t="s">
        <v>5055</v>
      </c>
      <c r="H1194" t="s">
        <v>4054</v>
      </c>
    </row>
    <row r="1195" spans="2:8" x14ac:dyDescent="0.3">
      <c r="B1195" t="s">
        <v>5053</v>
      </c>
      <c r="C1195" t="s">
        <v>1796</v>
      </c>
      <c r="D1195" t="s">
        <v>506</v>
      </c>
      <c r="E1195" t="s">
        <v>4050</v>
      </c>
      <c r="F1195" t="s">
        <v>3383</v>
      </c>
      <c r="G1195" t="s">
        <v>5056</v>
      </c>
      <c r="H1195" t="s">
        <v>4054</v>
      </c>
    </row>
    <row r="1196" spans="2:8" x14ac:dyDescent="0.3">
      <c r="B1196" t="s">
        <v>5053</v>
      </c>
      <c r="C1196" t="s">
        <v>1796</v>
      </c>
      <c r="D1196" t="s">
        <v>506</v>
      </c>
      <c r="E1196" t="s">
        <v>4050</v>
      </c>
      <c r="F1196" t="s">
        <v>3383</v>
      </c>
      <c r="G1196" t="s">
        <v>5057</v>
      </c>
      <c r="H1196" t="s">
        <v>4054</v>
      </c>
    </row>
    <row r="1197" spans="2:8" x14ac:dyDescent="0.3">
      <c r="B1197" t="s">
        <v>5053</v>
      </c>
      <c r="C1197" t="s">
        <v>1796</v>
      </c>
      <c r="D1197" t="s">
        <v>506</v>
      </c>
      <c r="E1197" t="s">
        <v>4050</v>
      </c>
      <c r="F1197" t="s">
        <v>3383</v>
      </c>
      <c r="G1197" t="s">
        <v>5058</v>
      </c>
      <c r="H1197" t="s">
        <v>4058</v>
      </c>
    </row>
    <row r="1198" spans="2:8" x14ac:dyDescent="0.3">
      <c r="B1198" t="s">
        <v>5053</v>
      </c>
      <c r="C1198" t="s">
        <v>1796</v>
      </c>
      <c r="D1198" t="s">
        <v>506</v>
      </c>
      <c r="E1198" t="s">
        <v>4050</v>
      </c>
      <c r="F1198" t="s">
        <v>3383</v>
      </c>
      <c r="G1198" t="s">
        <v>5059</v>
      </c>
      <c r="H1198" t="s">
        <v>4058</v>
      </c>
    </row>
    <row r="1199" spans="2:8" x14ac:dyDescent="0.3">
      <c r="B1199" t="s">
        <v>5053</v>
      </c>
      <c r="C1199" t="s">
        <v>1796</v>
      </c>
      <c r="D1199" t="s">
        <v>506</v>
      </c>
      <c r="E1199" t="s">
        <v>4050</v>
      </c>
      <c r="F1199" t="s">
        <v>3383</v>
      </c>
      <c r="G1199" t="s">
        <v>5060</v>
      </c>
      <c r="H1199" t="s">
        <v>4058</v>
      </c>
    </row>
    <row r="1200" spans="2:8" x14ac:dyDescent="0.3">
      <c r="B1200" t="s">
        <v>5042</v>
      </c>
      <c r="C1200" t="s">
        <v>1796</v>
      </c>
      <c r="D1200" t="s">
        <v>506</v>
      </c>
      <c r="E1200" t="s">
        <v>4050</v>
      </c>
      <c r="F1200" t="s">
        <v>3383</v>
      </c>
      <c r="G1200" t="s">
        <v>5061</v>
      </c>
      <c r="H1200" t="s">
        <v>4076</v>
      </c>
    </row>
    <row r="1201" spans="2:8" x14ac:dyDescent="0.3">
      <c r="B1201" t="s">
        <v>5062</v>
      </c>
      <c r="C1201" t="s">
        <v>1796</v>
      </c>
      <c r="D1201" t="s">
        <v>506</v>
      </c>
      <c r="E1201" t="s">
        <v>3410</v>
      </c>
      <c r="F1201" t="s">
        <v>3383</v>
      </c>
      <c r="G1201" t="s">
        <v>5063</v>
      </c>
      <c r="H1201" t="s">
        <v>4081</v>
      </c>
    </row>
    <row r="1202" spans="2:8" x14ac:dyDescent="0.3">
      <c r="B1202" t="s">
        <v>5062</v>
      </c>
      <c r="C1202" t="s">
        <v>1796</v>
      </c>
      <c r="D1202" t="s">
        <v>506</v>
      </c>
      <c r="E1202" t="s">
        <v>4050</v>
      </c>
      <c r="F1202" t="s">
        <v>3383</v>
      </c>
      <c r="G1202" t="s">
        <v>5064</v>
      </c>
      <c r="H1202" t="s">
        <v>4076</v>
      </c>
    </row>
    <row r="1203" spans="2:8" x14ac:dyDescent="0.3">
      <c r="B1203" t="s">
        <v>5065</v>
      </c>
      <c r="C1203" t="s">
        <v>1796</v>
      </c>
      <c r="D1203" t="s">
        <v>506</v>
      </c>
      <c r="E1203" t="s">
        <v>3410</v>
      </c>
      <c r="F1203" t="s">
        <v>3388</v>
      </c>
      <c r="G1203" t="s">
        <v>5066</v>
      </c>
      <c r="H1203" t="s">
        <v>4084</v>
      </c>
    </row>
    <row r="1204" spans="2:8" x14ac:dyDescent="0.3">
      <c r="B1204" t="s">
        <v>5067</v>
      </c>
      <c r="C1204" t="s">
        <v>1796</v>
      </c>
      <c r="D1204" t="s">
        <v>506</v>
      </c>
      <c r="E1204" t="s">
        <v>3410</v>
      </c>
      <c r="F1204" t="s">
        <v>3388</v>
      </c>
      <c r="G1204" t="s">
        <v>5068</v>
      </c>
      <c r="H1204" t="s">
        <v>4084</v>
      </c>
    </row>
    <row r="1205" spans="2:8" x14ac:dyDescent="0.3">
      <c r="B1205" t="s">
        <v>5065</v>
      </c>
      <c r="C1205" t="s">
        <v>1796</v>
      </c>
      <c r="D1205" t="s">
        <v>506</v>
      </c>
      <c r="E1205" t="s">
        <v>3410</v>
      </c>
      <c r="F1205" t="s">
        <v>3388</v>
      </c>
      <c r="G1205" t="s">
        <v>5069</v>
      </c>
      <c r="H1205" t="s">
        <v>4084</v>
      </c>
    </row>
    <row r="1206" spans="2:8" x14ac:dyDescent="0.3">
      <c r="B1206" t="s">
        <v>5067</v>
      </c>
      <c r="C1206" t="s">
        <v>1796</v>
      </c>
      <c r="D1206" t="s">
        <v>506</v>
      </c>
      <c r="E1206" t="s">
        <v>3410</v>
      </c>
      <c r="F1206" t="s">
        <v>3388</v>
      </c>
      <c r="G1206" t="s">
        <v>5070</v>
      </c>
      <c r="H1206" t="s">
        <v>4084</v>
      </c>
    </row>
    <row r="1207" spans="2:8" x14ac:dyDescent="0.3">
      <c r="B1207" t="s">
        <v>5065</v>
      </c>
      <c r="C1207" t="s">
        <v>1796</v>
      </c>
      <c r="D1207" t="s">
        <v>506</v>
      </c>
      <c r="E1207" t="s">
        <v>3410</v>
      </c>
      <c r="F1207" t="s">
        <v>3388</v>
      </c>
      <c r="G1207" t="s">
        <v>5071</v>
      </c>
      <c r="H1207" t="s">
        <v>4084</v>
      </c>
    </row>
    <row r="1208" spans="2:8" x14ac:dyDescent="0.3">
      <c r="B1208" t="s">
        <v>5065</v>
      </c>
      <c r="C1208" t="s">
        <v>1796</v>
      </c>
      <c r="D1208" t="s">
        <v>506</v>
      </c>
      <c r="E1208" t="s">
        <v>3410</v>
      </c>
      <c r="F1208" t="s">
        <v>3388</v>
      </c>
      <c r="G1208" t="s">
        <v>5072</v>
      </c>
      <c r="H1208" t="s">
        <v>4084</v>
      </c>
    </row>
    <row r="1209" spans="2:8" x14ac:dyDescent="0.3">
      <c r="B1209" t="s">
        <v>5073</v>
      </c>
      <c r="C1209" t="s">
        <v>1796</v>
      </c>
      <c r="D1209" t="s">
        <v>506</v>
      </c>
      <c r="E1209" t="s">
        <v>3410</v>
      </c>
      <c r="F1209" t="s">
        <v>3388</v>
      </c>
      <c r="G1209" t="s">
        <v>5074</v>
      </c>
      <c r="H1209" t="s">
        <v>4081</v>
      </c>
    </row>
    <row r="1210" spans="2:8" x14ac:dyDescent="0.3">
      <c r="B1210" t="s">
        <v>5073</v>
      </c>
      <c r="C1210" t="s">
        <v>1796</v>
      </c>
      <c r="D1210" t="s">
        <v>506</v>
      </c>
      <c r="E1210" t="s">
        <v>4050</v>
      </c>
      <c r="F1210" t="s">
        <v>3388</v>
      </c>
      <c r="G1210" t="s">
        <v>5075</v>
      </c>
      <c r="H1210" t="s">
        <v>4058</v>
      </c>
    </row>
    <row r="1211" spans="2:8" x14ac:dyDescent="0.3">
      <c r="B1211" t="s">
        <v>5073</v>
      </c>
      <c r="C1211" t="s">
        <v>1796</v>
      </c>
      <c r="D1211" t="s">
        <v>506</v>
      </c>
      <c r="E1211" t="s">
        <v>4050</v>
      </c>
      <c r="F1211" t="s">
        <v>3388</v>
      </c>
      <c r="G1211" t="s">
        <v>5076</v>
      </c>
      <c r="H1211" t="s">
        <v>4058</v>
      </c>
    </row>
    <row r="1212" spans="2:8" x14ac:dyDescent="0.3">
      <c r="B1212" t="s">
        <v>5077</v>
      </c>
      <c r="C1212" t="s">
        <v>1796</v>
      </c>
      <c r="D1212" t="s">
        <v>506</v>
      </c>
      <c r="E1212" t="s">
        <v>4050</v>
      </c>
      <c r="F1212" t="s">
        <v>3397</v>
      </c>
      <c r="G1212" t="s">
        <v>5078</v>
      </c>
      <c r="H1212" t="s">
        <v>4056</v>
      </c>
    </row>
    <row r="1213" spans="2:8" x14ac:dyDescent="0.3">
      <c r="B1213" t="s">
        <v>5077</v>
      </c>
      <c r="C1213" t="s">
        <v>1796</v>
      </c>
      <c r="D1213" t="s">
        <v>506</v>
      </c>
      <c r="E1213" t="s">
        <v>4050</v>
      </c>
      <c r="F1213" t="s">
        <v>3397</v>
      </c>
      <c r="G1213" t="s">
        <v>5079</v>
      </c>
      <c r="H1213" t="s">
        <v>4056</v>
      </c>
    </row>
    <row r="1214" spans="2:8" x14ac:dyDescent="0.3">
      <c r="B1214" t="s">
        <v>5077</v>
      </c>
      <c r="C1214" t="s">
        <v>1796</v>
      </c>
      <c r="D1214" t="s">
        <v>506</v>
      </c>
      <c r="E1214" t="s">
        <v>4050</v>
      </c>
      <c r="F1214" t="s">
        <v>3397</v>
      </c>
      <c r="G1214" t="s">
        <v>5080</v>
      </c>
      <c r="H1214" t="s">
        <v>4052</v>
      </c>
    </row>
    <row r="1215" spans="2:8" x14ac:dyDescent="0.3">
      <c r="B1215" t="s">
        <v>5077</v>
      </c>
      <c r="C1215" t="s">
        <v>1796</v>
      </c>
      <c r="D1215" t="s">
        <v>506</v>
      </c>
      <c r="E1215" t="s">
        <v>4050</v>
      </c>
      <c r="F1215" t="s">
        <v>3397</v>
      </c>
      <c r="G1215" t="s">
        <v>5081</v>
      </c>
      <c r="H1215" t="s">
        <v>4058</v>
      </c>
    </row>
    <row r="1216" spans="2:8" x14ac:dyDescent="0.3">
      <c r="B1216" t="s">
        <v>5077</v>
      </c>
      <c r="C1216" t="s">
        <v>1796</v>
      </c>
      <c r="D1216" t="s">
        <v>506</v>
      </c>
      <c r="E1216" t="s">
        <v>4050</v>
      </c>
      <c r="F1216" t="s">
        <v>3397</v>
      </c>
      <c r="G1216" t="s">
        <v>5082</v>
      </c>
      <c r="H1216" t="s">
        <v>4058</v>
      </c>
    </row>
    <row r="1217" spans="2:8" x14ac:dyDescent="0.3">
      <c r="B1217" t="s">
        <v>5077</v>
      </c>
      <c r="C1217" t="s">
        <v>1796</v>
      </c>
      <c r="D1217" t="s">
        <v>506</v>
      </c>
      <c r="E1217" t="s">
        <v>4050</v>
      </c>
      <c r="F1217" t="s">
        <v>3397</v>
      </c>
      <c r="G1217" t="s">
        <v>5083</v>
      </c>
      <c r="H1217" t="s">
        <v>4058</v>
      </c>
    </row>
    <row r="1218" spans="2:8" x14ac:dyDescent="0.3">
      <c r="B1218" t="s">
        <v>5077</v>
      </c>
      <c r="C1218" t="s">
        <v>1796</v>
      </c>
      <c r="D1218" t="s">
        <v>506</v>
      </c>
      <c r="E1218" t="s">
        <v>4050</v>
      </c>
      <c r="F1218" t="s">
        <v>3397</v>
      </c>
      <c r="G1218" t="s">
        <v>5084</v>
      </c>
      <c r="H1218" t="s">
        <v>4058</v>
      </c>
    </row>
    <row r="1219" spans="2:8" x14ac:dyDescent="0.3">
      <c r="B1219" t="s">
        <v>5077</v>
      </c>
      <c r="C1219" t="s">
        <v>1796</v>
      </c>
      <c r="D1219" t="s">
        <v>506</v>
      </c>
      <c r="E1219" t="s">
        <v>4050</v>
      </c>
      <c r="F1219" t="s">
        <v>3397</v>
      </c>
      <c r="G1219" t="s">
        <v>5085</v>
      </c>
      <c r="H1219" t="s">
        <v>4058</v>
      </c>
    </row>
    <row r="1220" spans="2:8" x14ac:dyDescent="0.3">
      <c r="B1220" t="s">
        <v>5086</v>
      </c>
      <c r="C1220" t="s">
        <v>1796</v>
      </c>
      <c r="D1220" t="s">
        <v>506</v>
      </c>
      <c r="E1220" t="s">
        <v>3410</v>
      </c>
      <c r="F1220" t="s">
        <v>3397</v>
      </c>
      <c r="G1220" t="s">
        <v>5087</v>
      </c>
      <c r="H1220" t="s">
        <v>4232</v>
      </c>
    </row>
    <row r="1221" spans="2:8" x14ac:dyDescent="0.3">
      <c r="B1221" t="s">
        <v>5086</v>
      </c>
      <c r="C1221" t="s">
        <v>1796</v>
      </c>
      <c r="D1221" t="s">
        <v>506</v>
      </c>
      <c r="E1221" t="s">
        <v>4050</v>
      </c>
      <c r="F1221" t="s">
        <v>3397</v>
      </c>
      <c r="G1221" t="s">
        <v>5088</v>
      </c>
      <c r="H1221" t="s">
        <v>4058</v>
      </c>
    </row>
    <row r="1222" spans="2:8" x14ac:dyDescent="0.3">
      <c r="B1222" t="s">
        <v>5086</v>
      </c>
      <c r="C1222" t="s">
        <v>1796</v>
      </c>
      <c r="D1222" t="s">
        <v>506</v>
      </c>
      <c r="E1222" t="s">
        <v>4050</v>
      </c>
      <c r="F1222" t="s">
        <v>3397</v>
      </c>
      <c r="G1222" t="s">
        <v>5089</v>
      </c>
      <c r="H1222" t="s">
        <v>4056</v>
      </c>
    </row>
    <row r="1223" spans="2:8" x14ac:dyDescent="0.3">
      <c r="B1223" t="s">
        <v>5086</v>
      </c>
      <c r="C1223" t="s">
        <v>1796</v>
      </c>
      <c r="D1223" t="s">
        <v>506</v>
      </c>
      <c r="E1223" t="s">
        <v>4050</v>
      </c>
      <c r="F1223" t="s">
        <v>3397</v>
      </c>
      <c r="G1223" t="s">
        <v>5090</v>
      </c>
      <c r="H1223" t="s">
        <v>4056</v>
      </c>
    </row>
    <row r="1224" spans="2:8" x14ac:dyDescent="0.3">
      <c r="B1224" t="s">
        <v>5086</v>
      </c>
      <c r="C1224" t="s">
        <v>1796</v>
      </c>
      <c r="D1224" t="s">
        <v>506</v>
      </c>
      <c r="E1224" t="s">
        <v>4050</v>
      </c>
      <c r="F1224" t="s">
        <v>3397</v>
      </c>
      <c r="G1224" t="s">
        <v>5091</v>
      </c>
      <c r="H1224" t="s">
        <v>4056</v>
      </c>
    </row>
    <row r="1225" spans="2:8" x14ac:dyDescent="0.3">
      <c r="B1225" t="s">
        <v>5092</v>
      </c>
      <c r="C1225" t="s">
        <v>1796</v>
      </c>
      <c r="D1225" t="s">
        <v>506</v>
      </c>
      <c r="E1225" t="s">
        <v>3410</v>
      </c>
      <c r="F1225" t="s">
        <v>3397</v>
      </c>
      <c r="G1225" t="s">
        <v>5093</v>
      </c>
      <c r="H1225" t="s">
        <v>4232</v>
      </c>
    </row>
    <row r="1226" spans="2:8" x14ac:dyDescent="0.3">
      <c r="B1226" t="s">
        <v>5094</v>
      </c>
      <c r="C1226" t="s">
        <v>1796</v>
      </c>
      <c r="D1226" t="s">
        <v>506</v>
      </c>
      <c r="E1226" t="s">
        <v>3410</v>
      </c>
      <c r="F1226" t="s">
        <v>3397</v>
      </c>
      <c r="G1226" t="s">
        <v>5095</v>
      </c>
      <c r="H1226" t="s">
        <v>4232</v>
      </c>
    </row>
    <row r="1227" spans="2:8" x14ac:dyDescent="0.3">
      <c r="B1227" t="s">
        <v>5094</v>
      </c>
      <c r="C1227" t="s">
        <v>1796</v>
      </c>
      <c r="D1227" t="s">
        <v>506</v>
      </c>
      <c r="E1227" t="s">
        <v>4050</v>
      </c>
      <c r="F1227" t="s">
        <v>3397</v>
      </c>
      <c r="G1227" t="s">
        <v>5096</v>
      </c>
      <c r="H1227" t="s">
        <v>4058</v>
      </c>
    </row>
    <row r="1228" spans="2:8" x14ac:dyDescent="0.3">
      <c r="B1228" t="s">
        <v>5097</v>
      </c>
      <c r="C1228" t="s">
        <v>1796</v>
      </c>
      <c r="D1228" t="s">
        <v>506</v>
      </c>
      <c r="E1228" t="s">
        <v>3410</v>
      </c>
      <c r="F1228" t="s">
        <v>3397</v>
      </c>
      <c r="G1228" t="s">
        <v>5098</v>
      </c>
      <c r="H1228" t="s">
        <v>4232</v>
      </c>
    </row>
    <row r="1229" spans="2:8" x14ac:dyDescent="0.3">
      <c r="B1229" t="s">
        <v>5077</v>
      </c>
      <c r="C1229" t="s">
        <v>1796</v>
      </c>
      <c r="D1229" t="s">
        <v>506</v>
      </c>
      <c r="E1229" t="s">
        <v>3410</v>
      </c>
      <c r="F1229" t="s">
        <v>3397</v>
      </c>
      <c r="G1229" t="s">
        <v>5099</v>
      </c>
      <c r="H1229" t="s">
        <v>4232</v>
      </c>
    </row>
    <row r="1230" spans="2:8" x14ac:dyDescent="0.3">
      <c r="B1230" t="s">
        <v>5097</v>
      </c>
      <c r="C1230" t="s">
        <v>1796</v>
      </c>
      <c r="D1230" t="s">
        <v>506</v>
      </c>
      <c r="E1230" t="s">
        <v>4050</v>
      </c>
      <c r="F1230" t="s">
        <v>3397</v>
      </c>
      <c r="G1230" t="s">
        <v>5100</v>
      </c>
      <c r="H1230" t="s">
        <v>4058</v>
      </c>
    </row>
    <row r="1231" spans="2:8" x14ac:dyDescent="0.3">
      <c r="B1231" t="s">
        <v>5101</v>
      </c>
      <c r="C1231" t="s">
        <v>1796</v>
      </c>
      <c r="D1231" t="s">
        <v>506</v>
      </c>
      <c r="E1231" t="s">
        <v>3410</v>
      </c>
      <c r="F1231" t="s">
        <v>3397</v>
      </c>
      <c r="G1231" t="s">
        <v>5102</v>
      </c>
      <c r="H1231" t="s">
        <v>4232</v>
      </c>
    </row>
    <row r="1232" spans="2:8" x14ac:dyDescent="0.3">
      <c r="B1232" t="s">
        <v>5101</v>
      </c>
      <c r="C1232" t="s">
        <v>1796</v>
      </c>
      <c r="D1232" t="s">
        <v>506</v>
      </c>
      <c r="E1232" t="s">
        <v>4050</v>
      </c>
      <c r="F1232" t="s">
        <v>3397</v>
      </c>
      <c r="G1232" t="s">
        <v>5103</v>
      </c>
      <c r="H1232" t="s">
        <v>4058</v>
      </c>
    </row>
    <row r="1233" spans="2:8" x14ac:dyDescent="0.3">
      <c r="B1233" t="s">
        <v>5101</v>
      </c>
      <c r="C1233" t="s">
        <v>1796</v>
      </c>
      <c r="D1233" t="s">
        <v>506</v>
      </c>
      <c r="E1233" t="s">
        <v>4050</v>
      </c>
      <c r="F1233" t="s">
        <v>3397</v>
      </c>
      <c r="G1233" t="s">
        <v>5104</v>
      </c>
      <c r="H1233" t="s">
        <v>4056</v>
      </c>
    </row>
    <row r="1234" spans="2:8" x14ac:dyDescent="0.3">
      <c r="B1234" t="s">
        <v>5101</v>
      </c>
      <c r="C1234" t="s">
        <v>1796</v>
      </c>
      <c r="D1234" t="s">
        <v>506</v>
      </c>
      <c r="E1234" t="s">
        <v>4050</v>
      </c>
      <c r="F1234" t="s">
        <v>3397</v>
      </c>
      <c r="G1234" t="s">
        <v>5105</v>
      </c>
      <c r="H1234" t="s">
        <v>4056</v>
      </c>
    </row>
    <row r="1235" spans="2:8" x14ac:dyDescent="0.3">
      <c r="B1235" t="s">
        <v>5101</v>
      </c>
      <c r="C1235" t="s">
        <v>1796</v>
      </c>
      <c r="D1235" t="s">
        <v>506</v>
      </c>
      <c r="E1235" t="s">
        <v>4050</v>
      </c>
      <c r="F1235" t="s">
        <v>3397</v>
      </c>
      <c r="G1235" t="s">
        <v>5106</v>
      </c>
      <c r="H1235" t="s">
        <v>4056</v>
      </c>
    </row>
    <row r="1236" spans="2:8" x14ac:dyDescent="0.3">
      <c r="B1236" t="s">
        <v>5077</v>
      </c>
      <c r="C1236" t="s">
        <v>1796</v>
      </c>
      <c r="D1236" t="s">
        <v>506</v>
      </c>
      <c r="E1236" t="s">
        <v>4050</v>
      </c>
      <c r="F1236" t="s">
        <v>3397</v>
      </c>
      <c r="G1236" t="s">
        <v>5107</v>
      </c>
      <c r="H1236" t="s">
        <v>4058</v>
      </c>
    </row>
    <row r="1237" spans="2:8" x14ac:dyDescent="0.3">
      <c r="B1237" t="s">
        <v>5077</v>
      </c>
      <c r="C1237" t="s">
        <v>1796</v>
      </c>
      <c r="D1237" t="s">
        <v>506</v>
      </c>
      <c r="E1237" t="s">
        <v>4050</v>
      </c>
      <c r="F1237" t="s">
        <v>3397</v>
      </c>
      <c r="G1237" t="s">
        <v>5108</v>
      </c>
      <c r="H1237" t="s">
        <v>4056</v>
      </c>
    </row>
    <row r="1238" spans="2:8" x14ac:dyDescent="0.3">
      <c r="B1238" t="s">
        <v>5092</v>
      </c>
      <c r="C1238" t="s">
        <v>1796</v>
      </c>
      <c r="D1238" t="s">
        <v>506</v>
      </c>
      <c r="E1238" t="s">
        <v>4050</v>
      </c>
      <c r="F1238" t="s">
        <v>3397</v>
      </c>
      <c r="G1238" t="s">
        <v>5109</v>
      </c>
      <c r="H1238" t="s">
        <v>4076</v>
      </c>
    </row>
    <row r="1239" spans="2:8" x14ac:dyDescent="0.3">
      <c r="B1239" t="s">
        <v>5092</v>
      </c>
      <c r="C1239" t="s">
        <v>1796</v>
      </c>
      <c r="D1239" t="s">
        <v>506</v>
      </c>
      <c r="E1239" t="s">
        <v>4050</v>
      </c>
      <c r="F1239" t="s">
        <v>3397</v>
      </c>
      <c r="G1239" t="s">
        <v>5110</v>
      </c>
      <c r="H1239" t="s">
        <v>4076</v>
      </c>
    </row>
    <row r="1240" spans="2:8" x14ac:dyDescent="0.3">
      <c r="B1240" t="s">
        <v>5077</v>
      </c>
      <c r="C1240" t="s">
        <v>1796</v>
      </c>
      <c r="D1240" t="s">
        <v>506</v>
      </c>
      <c r="E1240" t="s">
        <v>4050</v>
      </c>
      <c r="F1240" t="s">
        <v>3397</v>
      </c>
      <c r="G1240" t="s">
        <v>5111</v>
      </c>
      <c r="H1240" t="s">
        <v>4076</v>
      </c>
    </row>
    <row r="1241" spans="2:8" x14ac:dyDescent="0.3">
      <c r="B1241" t="s">
        <v>5077</v>
      </c>
      <c r="C1241" t="s">
        <v>1796</v>
      </c>
      <c r="D1241" t="s">
        <v>506</v>
      </c>
      <c r="E1241" t="s">
        <v>4050</v>
      </c>
      <c r="F1241" t="s">
        <v>3397</v>
      </c>
      <c r="G1241" t="s">
        <v>5112</v>
      </c>
      <c r="H1241" t="s">
        <v>4076</v>
      </c>
    </row>
    <row r="1242" spans="2:8" x14ac:dyDescent="0.3">
      <c r="B1242" t="s">
        <v>5086</v>
      </c>
      <c r="C1242" t="s">
        <v>1796</v>
      </c>
      <c r="D1242" t="s">
        <v>506</v>
      </c>
      <c r="E1242" t="s">
        <v>4050</v>
      </c>
      <c r="F1242" t="s">
        <v>3397</v>
      </c>
      <c r="G1242" t="s">
        <v>5113</v>
      </c>
      <c r="H1242" t="s">
        <v>4076</v>
      </c>
    </row>
    <row r="1243" spans="2:8" x14ac:dyDescent="0.3">
      <c r="B1243" t="s">
        <v>5086</v>
      </c>
      <c r="C1243" t="s">
        <v>1796</v>
      </c>
      <c r="D1243" t="s">
        <v>506</v>
      </c>
      <c r="E1243" t="s">
        <v>4050</v>
      </c>
      <c r="F1243" t="s">
        <v>3397</v>
      </c>
      <c r="G1243" t="s">
        <v>5114</v>
      </c>
      <c r="H1243" t="s">
        <v>4076</v>
      </c>
    </row>
    <row r="1244" spans="2:8" x14ac:dyDescent="0.3">
      <c r="B1244" t="s">
        <v>5094</v>
      </c>
      <c r="C1244" t="s">
        <v>1796</v>
      </c>
      <c r="D1244" t="s">
        <v>506</v>
      </c>
      <c r="E1244" t="s">
        <v>4050</v>
      </c>
      <c r="F1244" t="s">
        <v>3397</v>
      </c>
      <c r="G1244" t="s">
        <v>5115</v>
      </c>
      <c r="H1244" t="s">
        <v>4076</v>
      </c>
    </row>
    <row r="1245" spans="2:8" x14ac:dyDescent="0.3">
      <c r="B1245" t="s">
        <v>5094</v>
      </c>
      <c r="C1245" t="s">
        <v>1796</v>
      </c>
      <c r="D1245" t="s">
        <v>506</v>
      </c>
      <c r="E1245" t="s">
        <v>4050</v>
      </c>
      <c r="F1245" t="s">
        <v>3397</v>
      </c>
      <c r="G1245" t="s">
        <v>5116</v>
      </c>
      <c r="H1245" t="s">
        <v>4076</v>
      </c>
    </row>
    <row r="1246" spans="2:8" x14ac:dyDescent="0.3">
      <c r="B1246" t="s">
        <v>5097</v>
      </c>
      <c r="C1246" t="s">
        <v>1796</v>
      </c>
      <c r="D1246" t="s">
        <v>506</v>
      </c>
      <c r="E1246" t="s">
        <v>4050</v>
      </c>
      <c r="F1246" t="s">
        <v>3397</v>
      </c>
      <c r="G1246" t="s">
        <v>5117</v>
      </c>
      <c r="H1246" t="s">
        <v>4076</v>
      </c>
    </row>
    <row r="1247" spans="2:8" x14ac:dyDescent="0.3">
      <c r="B1247" t="s">
        <v>5097</v>
      </c>
      <c r="C1247" t="s">
        <v>1796</v>
      </c>
      <c r="D1247" t="s">
        <v>506</v>
      </c>
      <c r="E1247" t="s">
        <v>4050</v>
      </c>
      <c r="F1247" t="s">
        <v>3397</v>
      </c>
      <c r="G1247" t="s">
        <v>5118</v>
      </c>
      <c r="H1247" t="s">
        <v>4076</v>
      </c>
    </row>
    <row r="1248" spans="2:8" x14ac:dyDescent="0.3">
      <c r="B1248" t="s">
        <v>5101</v>
      </c>
      <c r="C1248" t="s">
        <v>1796</v>
      </c>
      <c r="D1248" t="s">
        <v>506</v>
      </c>
      <c r="E1248" t="s">
        <v>4050</v>
      </c>
      <c r="F1248" t="s">
        <v>3397</v>
      </c>
      <c r="G1248" t="s">
        <v>5119</v>
      </c>
      <c r="H1248" t="s">
        <v>4076</v>
      </c>
    </row>
    <row r="1249" spans="2:8" x14ac:dyDescent="0.3">
      <c r="B1249" t="s">
        <v>5101</v>
      </c>
      <c r="C1249" t="s">
        <v>1796</v>
      </c>
      <c r="D1249" t="s">
        <v>506</v>
      </c>
      <c r="E1249" t="s">
        <v>4050</v>
      </c>
      <c r="F1249" t="s">
        <v>3397</v>
      </c>
      <c r="G1249" t="s">
        <v>5120</v>
      </c>
      <c r="H1249" t="s">
        <v>4076</v>
      </c>
    </row>
    <row r="1250" spans="2:8" x14ac:dyDescent="0.3">
      <c r="B1250" t="s">
        <v>5092</v>
      </c>
      <c r="C1250" t="s">
        <v>1796</v>
      </c>
      <c r="D1250" t="s">
        <v>506</v>
      </c>
      <c r="E1250" t="s">
        <v>4050</v>
      </c>
      <c r="F1250" t="s">
        <v>3397</v>
      </c>
      <c r="G1250" t="s">
        <v>5121</v>
      </c>
      <c r="H1250" t="s">
        <v>4076</v>
      </c>
    </row>
    <row r="1251" spans="2:8" x14ac:dyDescent="0.3">
      <c r="B1251" t="s">
        <v>5092</v>
      </c>
      <c r="C1251" t="s">
        <v>1796</v>
      </c>
      <c r="D1251" t="s">
        <v>506</v>
      </c>
      <c r="E1251" t="s">
        <v>4050</v>
      </c>
      <c r="F1251" t="s">
        <v>3397</v>
      </c>
      <c r="G1251" t="s">
        <v>5122</v>
      </c>
      <c r="H1251" t="s">
        <v>4076</v>
      </c>
    </row>
    <row r="1252" spans="2:8" x14ac:dyDescent="0.3">
      <c r="B1252" t="s">
        <v>5092</v>
      </c>
      <c r="C1252" t="s">
        <v>1796</v>
      </c>
      <c r="D1252" t="s">
        <v>506</v>
      </c>
      <c r="E1252" t="s">
        <v>4050</v>
      </c>
      <c r="F1252" t="s">
        <v>3397</v>
      </c>
      <c r="G1252" t="s">
        <v>5123</v>
      </c>
      <c r="H1252" t="s">
        <v>4076</v>
      </c>
    </row>
    <row r="1253" spans="2:8" x14ac:dyDescent="0.3">
      <c r="B1253" t="s">
        <v>5077</v>
      </c>
      <c r="C1253" t="s">
        <v>1796</v>
      </c>
      <c r="D1253" t="s">
        <v>506</v>
      </c>
      <c r="E1253" t="s">
        <v>4050</v>
      </c>
      <c r="F1253" t="s">
        <v>3397</v>
      </c>
      <c r="G1253" t="s">
        <v>5124</v>
      </c>
      <c r="H1253" t="s">
        <v>4076</v>
      </c>
    </row>
    <row r="1254" spans="2:8" x14ac:dyDescent="0.3">
      <c r="B1254" t="s">
        <v>5077</v>
      </c>
      <c r="C1254" t="s">
        <v>1796</v>
      </c>
      <c r="D1254" t="s">
        <v>506</v>
      </c>
      <c r="E1254" t="s">
        <v>4050</v>
      </c>
      <c r="F1254" t="s">
        <v>3397</v>
      </c>
      <c r="G1254" t="s">
        <v>5125</v>
      </c>
      <c r="H1254" t="s">
        <v>4076</v>
      </c>
    </row>
    <row r="1255" spans="2:8" x14ac:dyDescent="0.3">
      <c r="B1255" t="s">
        <v>5094</v>
      </c>
      <c r="C1255" t="s">
        <v>1796</v>
      </c>
      <c r="D1255" t="s">
        <v>506</v>
      </c>
      <c r="E1255" t="s">
        <v>4050</v>
      </c>
      <c r="F1255" t="s">
        <v>3397</v>
      </c>
      <c r="G1255" t="s">
        <v>5126</v>
      </c>
      <c r="H1255" t="s">
        <v>4076</v>
      </c>
    </row>
    <row r="1256" spans="2:8" x14ac:dyDescent="0.3">
      <c r="B1256" t="s">
        <v>5094</v>
      </c>
      <c r="C1256" t="s">
        <v>1796</v>
      </c>
      <c r="D1256" t="s">
        <v>506</v>
      </c>
      <c r="E1256" t="s">
        <v>4050</v>
      </c>
      <c r="F1256" t="s">
        <v>3397</v>
      </c>
      <c r="G1256" t="s">
        <v>5127</v>
      </c>
      <c r="H1256" t="s">
        <v>4076</v>
      </c>
    </row>
    <row r="1257" spans="2:8" x14ac:dyDescent="0.3">
      <c r="B1257" t="s">
        <v>5101</v>
      </c>
      <c r="C1257" t="s">
        <v>1796</v>
      </c>
      <c r="D1257" t="s">
        <v>506</v>
      </c>
      <c r="E1257" t="s">
        <v>4050</v>
      </c>
      <c r="F1257" t="s">
        <v>3397</v>
      </c>
      <c r="G1257" t="s">
        <v>5128</v>
      </c>
      <c r="H1257" t="s">
        <v>4076</v>
      </c>
    </row>
    <row r="1258" spans="2:8" x14ac:dyDescent="0.3">
      <c r="B1258" t="s">
        <v>5101</v>
      </c>
      <c r="C1258" t="s">
        <v>1796</v>
      </c>
      <c r="D1258" t="s">
        <v>506</v>
      </c>
      <c r="E1258" t="s">
        <v>4050</v>
      </c>
      <c r="F1258" t="s">
        <v>3397</v>
      </c>
      <c r="G1258" t="s">
        <v>5129</v>
      </c>
      <c r="H1258" t="s">
        <v>4076</v>
      </c>
    </row>
    <row r="1259" spans="2:8" x14ac:dyDescent="0.3">
      <c r="B1259" t="s">
        <v>5130</v>
      </c>
      <c r="C1259" t="s">
        <v>1796</v>
      </c>
      <c r="D1259" t="s">
        <v>506</v>
      </c>
      <c r="E1259" t="s">
        <v>3410</v>
      </c>
      <c r="F1259" t="s">
        <v>3383</v>
      </c>
      <c r="G1259" t="s">
        <v>5131</v>
      </c>
      <c r="H1259" t="s">
        <v>4081</v>
      </c>
    </row>
    <row r="1260" spans="2:8" x14ac:dyDescent="0.3">
      <c r="B1260" t="s">
        <v>5130</v>
      </c>
      <c r="C1260" t="s">
        <v>1796</v>
      </c>
      <c r="D1260" t="s">
        <v>506</v>
      </c>
      <c r="E1260" t="s">
        <v>4050</v>
      </c>
      <c r="F1260" t="s">
        <v>3383</v>
      </c>
      <c r="G1260" t="s">
        <v>5132</v>
      </c>
      <c r="H1260" t="s">
        <v>4076</v>
      </c>
    </row>
    <row r="1261" spans="2:8" x14ac:dyDescent="0.3">
      <c r="B1261" t="s">
        <v>5130</v>
      </c>
      <c r="C1261" t="s">
        <v>1796</v>
      </c>
      <c r="D1261" t="s">
        <v>506</v>
      </c>
      <c r="E1261" t="s">
        <v>4050</v>
      </c>
      <c r="F1261" t="s">
        <v>3383</v>
      </c>
      <c r="G1261" t="s">
        <v>5133</v>
      </c>
      <c r="H1261" t="s">
        <v>4054</v>
      </c>
    </row>
    <row r="1262" spans="2:8" x14ac:dyDescent="0.3">
      <c r="B1262" t="s">
        <v>5130</v>
      </c>
      <c r="C1262" t="s">
        <v>1796</v>
      </c>
      <c r="D1262" t="s">
        <v>506</v>
      </c>
      <c r="E1262" t="s">
        <v>4050</v>
      </c>
      <c r="F1262" t="s">
        <v>3383</v>
      </c>
      <c r="G1262" t="s">
        <v>5134</v>
      </c>
      <c r="H1262" t="s">
        <v>4054</v>
      </c>
    </row>
    <row r="1263" spans="2:8" x14ac:dyDescent="0.3">
      <c r="B1263" t="s">
        <v>5130</v>
      </c>
      <c r="C1263" t="s">
        <v>1796</v>
      </c>
      <c r="D1263" t="s">
        <v>506</v>
      </c>
      <c r="E1263" t="s">
        <v>4050</v>
      </c>
      <c r="F1263" t="s">
        <v>3383</v>
      </c>
      <c r="G1263" t="s">
        <v>5135</v>
      </c>
      <c r="H1263" t="s">
        <v>4054</v>
      </c>
    </row>
    <row r="1264" spans="2:8" x14ac:dyDescent="0.3">
      <c r="B1264" t="s">
        <v>5130</v>
      </c>
      <c r="C1264" t="s">
        <v>1796</v>
      </c>
      <c r="D1264" t="s">
        <v>506</v>
      </c>
      <c r="E1264" t="s">
        <v>4050</v>
      </c>
      <c r="F1264" t="s">
        <v>3383</v>
      </c>
      <c r="G1264" t="s">
        <v>5136</v>
      </c>
      <c r="H1264" t="s">
        <v>4058</v>
      </c>
    </row>
    <row r="1265" spans="2:8" x14ac:dyDescent="0.3">
      <c r="B1265" t="s">
        <v>5137</v>
      </c>
      <c r="C1265" t="s">
        <v>1796</v>
      </c>
      <c r="D1265" t="s">
        <v>506</v>
      </c>
      <c r="E1265" t="s">
        <v>3410</v>
      </c>
      <c r="F1265" t="s">
        <v>3383</v>
      </c>
      <c r="G1265" t="s">
        <v>5138</v>
      </c>
      <c r="H1265" t="s">
        <v>4232</v>
      </c>
    </row>
    <row r="1266" spans="2:8" x14ac:dyDescent="0.3">
      <c r="B1266" t="s">
        <v>5137</v>
      </c>
      <c r="C1266" t="s">
        <v>1796</v>
      </c>
      <c r="D1266" t="s">
        <v>506</v>
      </c>
      <c r="E1266" t="s">
        <v>4050</v>
      </c>
      <c r="F1266" t="s">
        <v>3383</v>
      </c>
      <c r="G1266" t="s">
        <v>5139</v>
      </c>
      <c r="H1266" t="s">
        <v>4058</v>
      </c>
    </row>
    <row r="1267" spans="2:8" x14ac:dyDescent="0.3">
      <c r="B1267" t="s">
        <v>5137</v>
      </c>
      <c r="C1267" t="s">
        <v>1796</v>
      </c>
      <c r="D1267" t="s">
        <v>506</v>
      </c>
      <c r="E1267" t="s">
        <v>4050</v>
      </c>
      <c r="F1267" t="s">
        <v>3383</v>
      </c>
      <c r="G1267" t="s">
        <v>5140</v>
      </c>
      <c r="H1267" t="s">
        <v>4058</v>
      </c>
    </row>
    <row r="1268" spans="2:8" x14ac:dyDescent="0.3">
      <c r="B1268" t="s">
        <v>5137</v>
      </c>
      <c r="C1268" t="s">
        <v>1796</v>
      </c>
      <c r="D1268" t="s">
        <v>506</v>
      </c>
      <c r="E1268" t="s">
        <v>4050</v>
      </c>
      <c r="F1268" t="s">
        <v>3383</v>
      </c>
      <c r="G1268" t="s">
        <v>5141</v>
      </c>
      <c r="H1268" t="s">
        <v>4058</v>
      </c>
    </row>
    <row r="1269" spans="2:8" x14ac:dyDescent="0.3">
      <c r="B1269" t="s">
        <v>5137</v>
      </c>
      <c r="C1269" t="s">
        <v>1796</v>
      </c>
      <c r="D1269" t="s">
        <v>506</v>
      </c>
      <c r="E1269" t="s">
        <v>4050</v>
      </c>
      <c r="F1269" t="s">
        <v>3383</v>
      </c>
      <c r="G1269" t="s">
        <v>5142</v>
      </c>
      <c r="H1269" t="s">
        <v>4056</v>
      </c>
    </row>
    <row r="1270" spans="2:8" x14ac:dyDescent="0.3">
      <c r="B1270" t="s">
        <v>5137</v>
      </c>
      <c r="C1270" t="s">
        <v>1796</v>
      </c>
      <c r="D1270" t="s">
        <v>506</v>
      </c>
      <c r="E1270" t="s">
        <v>4050</v>
      </c>
      <c r="F1270" t="s">
        <v>3383</v>
      </c>
      <c r="G1270" t="s">
        <v>5143</v>
      </c>
      <c r="H1270" t="s">
        <v>4076</v>
      </c>
    </row>
    <row r="1271" spans="2:8" x14ac:dyDescent="0.3">
      <c r="B1271" t="s">
        <v>5144</v>
      </c>
      <c r="C1271" t="s">
        <v>1796</v>
      </c>
      <c r="D1271" t="s">
        <v>506</v>
      </c>
      <c r="E1271" t="s">
        <v>3410</v>
      </c>
      <c r="F1271" t="s">
        <v>3388</v>
      </c>
      <c r="G1271" t="s">
        <v>5145</v>
      </c>
      <c r="H1271" t="s">
        <v>4081</v>
      </c>
    </row>
    <row r="1272" spans="2:8" x14ac:dyDescent="0.3">
      <c r="B1272" t="s">
        <v>5144</v>
      </c>
      <c r="C1272" t="s">
        <v>1796</v>
      </c>
      <c r="D1272" t="s">
        <v>506</v>
      </c>
      <c r="E1272" t="s">
        <v>3410</v>
      </c>
      <c r="F1272" t="s">
        <v>3388</v>
      </c>
      <c r="G1272" t="s">
        <v>5146</v>
      </c>
      <c r="H1272" t="s">
        <v>4081</v>
      </c>
    </row>
    <row r="1273" spans="2:8" x14ac:dyDescent="0.3">
      <c r="B1273" t="s">
        <v>5144</v>
      </c>
      <c r="C1273" t="s">
        <v>1796</v>
      </c>
      <c r="D1273" t="s">
        <v>506</v>
      </c>
      <c r="E1273" t="s">
        <v>3410</v>
      </c>
      <c r="F1273" t="s">
        <v>3388</v>
      </c>
      <c r="G1273" t="s">
        <v>5147</v>
      </c>
      <c r="H1273" t="s">
        <v>4081</v>
      </c>
    </row>
    <row r="1274" spans="2:8" x14ac:dyDescent="0.3">
      <c r="B1274" t="s">
        <v>5144</v>
      </c>
      <c r="C1274" t="s">
        <v>1796</v>
      </c>
      <c r="D1274" t="s">
        <v>506</v>
      </c>
      <c r="E1274" t="s">
        <v>3410</v>
      </c>
      <c r="F1274" t="s">
        <v>3388</v>
      </c>
      <c r="G1274" t="s">
        <v>5148</v>
      </c>
      <c r="H1274" t="s">
        <v>4081</v>
      </c>
    </row>
    <row r="1275" spans="2:8" x14ac:dyDescent="0.3">
      <c r="B1275" t="s">
        <v>5144</v>
      </c>
      <c r="C1275" t="s">
        <v>1796</v>
      </c>
      <c r="D1275" t="s">
        <v>506</v>
      </c>
      <c r="E1275" t="s">
        <v>4050</v>
      </c>
      <c r="F1275" t="s">
        <v>3388</v>
      </c>
      <c r="G1275" t="s">
        <v>5149</v>
      </c>
      <c r="H1275" t="s">
        <v>4058</v>
      </c>
    </row>
    <row r="1276" spans="2:8" x14ac:dyDescent="0.3">
      <c r="B1276" t="s">
        <v>5144</v>
      </c>
      <c r="C1276" t="s">
        <v>1796</v>
      </c>
      <c r="D1276" t="s">
        <v>506</v>
      </c>
      <c r="E1276" t="s">
        <v>4050</v>
      </c>
      <c r="F1276" t="s">
        <v>3388</v>
      </c>
      <c r="G1276" t="s">
        <v>5150</v>
      </c>
      <c r="H1276" t="s">
        <v>4058</v>
      </c>
    </row>
    <row r="1277" spans="2:8" x14ac:dyDescent="0.3">
      <c r="B1277" t="s">
        <v>5144</v>
      </c>
      <c r="C1277" t="s">
        <v>1796</v>
      </c>
      <c r="D1277" t="s">
        <v>506</v>
      </c>
      <c r="E1277" t="s">
        <v>4050</v>
      </c>
      <c r="F1277" t="s">
        <v>3388</v>
      </c>
      <c r="G1277" t="s">
        <v>5151</v>
      </c>
      <c r="H1277" t="s">
        <v>4052</v>
      </c>
    </row>
    <row r="1278" spans="2:8" x14ac:dyDescent="0.3">
      <c r="B1278" t="s">
        <v>5144</v>
      </c>
      <c r="C1278" t="s">
        <v>1796</v>
      </c>
      <c r="D1278" t="s">
        <v>506</v>
      </c>
      <c r="E1278" t="s">
        <v>4050</v>
      </c>
      <c r="F1278" t="s">
        <v>3388</v>
      </c>
      <c r="G1278" t="s">
        <v>5152</v>
      </c>
      <c r="H1278" t="s">
        <v>4058</v>
      </c>
    </row>
    <row r="1279" spans="2:8" x14ac:dyDescent="0.3">
      <c r="B1279" t="s">
        <v>5144</v>
      </c>
      <c r="C1279" t="s">
        <v>1796</v>
      </c>
      <c r="D1279" t="s">
        <v>506</v>
      </c>
      <c r="E1279" t="s">
        <v>4050</v>
      </c>
      <c r="F1279" t="s">
        <v>3388</v>
      </c>
      <c r="G1279" t="s">
        <v>5153</v>
      </c>
      <c r="H1279" t="s">
        <v>4058</v>
      </c>
    </row>
    <row r="1280" spans="2:8" x14ac:dyDescent="0.3">
      <c r="B1280" t="s">
        <v>5144</v>
      </c>
      <c r="C1280" t="s">
        <v>1796</v>
      </c>
      <c r="D1280" t="s">
        <v>506</v>
      </c>
      <c r="E1280" t="s">
        <v>4050</v>
      </c>
      <c r="F1280" t="s">
        <v>3388</v>
      </c>
      <c r="G1280" t="s">
        <v>5154</v>
      </c>
      <c r="H1280" t="s">
        <v>4052</v>
      </c>
    </row>
    <row r="1281" spans="2:8" x14ac:dyDescent="0.3">
      <c r="B1281" t="s">
        <v>5144</v>
      </c>
      <c r="C1281" t="s">
        <v>1796</v>
      </c>
      <c r="D1281" t="s">
        <v>506</v>
      </c>
      <c r="E1281" t="s">
        <v>4050</v>
      </c>
      <c r="F1281" t="s">
        <v>3388</v>
      </c>
      <c r="G1281" t="s">
        <v>5155</v>
      </c>
      <c r="H1281" t="s">
        <v>4052</v>
      </c>
    </row>
    <row r="1282" spans="2:8" x14ac:dyDescent="0.3">
      <c r="B1282" t="s">
        <v>5144</v>
      </c>
      <c r="C1282" t="s">
        <v>1796</v>
      </c>
      <c r="D1282" t="s">
        <v>506</v>
      </c>
      <c r="E1282" t="s">
        <v>4050</v>
      </c>
      <c r="F1282" t="s">
        <v>3388</v>
      </c>
      <c r="G1282" t="s">
        <v>5156</v>
      </c>
      <c r="H1282" t="s">
        <v>4058</v>
      </c>
    </row>
    <row r="1283" spans="2:8" x14ac:dyDescent="0.3">
      <c r="B1283" t="s">
        <v>5144</v>
      </c>
      <c r="C1283" t="s">
        <v>1796</v>
      </c>
      <c r="D1283" t="s">
        <v>506</v>
      </c>
      <c r="E1283" t="s">
        <v>4050</v>
      </c>
      <c r="F1283" t="s">
        <v>3388</v>
      </c>
      <c r="G1283" t="s">
        <v>5157</v>
      </c>
      <c r="H1283" t="s">
        <v>4058</v>
      </c>
    </row>
    <row r="1284" spans="2:8" x14ac:dyDescent="0.3">
      <c r="B1284" t="s">
        <v>5144</v>
      </c>
      <c r="C1284" t="s">
        <v>1796</v>
      </c>
      <c r="D1284" t="s">
        <v>506</v>
      </c>
      <c r="E1284" t="s">
        <v>4050</v>
      </c>
      <c r="F1284" t="s">
        <v>3388</v>
      </c>
      <c r="G1284" t="s">
        <v>5158</v>
      </c>
      <c r="H1284" t="s">
        <v>4058</v>
      </c>
    </row>
    <row r="1285" spans="2:8" x14ac:dyDescent="0.3">
      <c r="B1285" t="s">
        <v>5144</v>
      </c>
      <c r="C1285" t="s">
        <v>1796</v>
      </c>
      <c r="D1285" t="s">
        <v>506</v>
      </c>
      <c r="E1285" t="s">
        <v>4050</v>
      </c>
      <c r="F1285" t="s">
        <v>3388</v>
      </c>
      <c r="G1285" t="s">
        <v>5159</v>
      </c>
      <c r="H1285" t="s">
        <v>4058</v>
      </c>
    </row>
    <row r="1286" spans="2:8" x14ac:dyDescent="0.3">
      <c r="B1286" t="s">
        <v>5144</v>
      </c>
      <c r="C1286" t="s">
        <v>1796</v>
      </c>
      <c r="D1286" t="s">
        <v>506</v>
      </c>
      <c r="E1286" t="s">
        <v>4050</v>
      </c>
      <c r="F1286" t="s">
        <v>3388</v>
      </c>
      <c r="G1286" t="s">
        <v>5160</v>
      </c>
      <c r="H1286" t="s">
        <v>4058</v>
      </c>
    </row>
    <row r="1287" spans="2:8" x14ac:dyDescent="0.3">
      <c r="B1287" t="s">
        <v>5161</v>
      </c>
      <c r="C1287" t="s">
        <v>1796</v>
      </c>
      <c r="D1287" t="s">
        <v>506</v>
      </c>
      <c r="E1287" t="s">
        <v>3410</v>
      </c>
      <c r="F1287" t="s">
        <v>3388</v>
      </c>
      <c r="G1287" t="s">
        <v>5162</v>
      </c>
      <c r="H1287" t="s">
        <v>4084</v>
      </c>
    </row>
    <row r="1288" spans="2:8" x14ac:dyDescent="0.3">
      <c r="B1288" t="s">
        <v>5161</v>
      </c>
      <c r="C1288" t="s">
        <v>1796</v>
      </c>
      <c r="D1288" t="s">
        <v>506</v>
      </c>
      <c r="E1288" t="s">
        <v>3410</v>
      </c>
      <c r="F1288" t="s">
        <v>3388</v>
      </c>
      <c r="G1288" t="s">
        <v>5163</v>
      </c>
      <c r="H1288" t="s">
        <v>4084</v>
      </c>
    </row>
    <row r="1289" spans="2:8" x14ac:dyDescent="0.3">
      <c r="B1289" t="s">
        <v>5161</v>
      </c>
      <c r="C1289" t="s">
        <v>1796</v>
      </c>
      <c r="D1289" t="s">
        <v>506</v>
      </c>
      <c r="E1289" t="s">
        <v>3410</v>
      </c>
      <c r="F1289" t="s">
        <v>3388</v>
      </c>
      <c r="G1289" t="s">
        <v>5164</v>
      </c>
      <c r="H1289" t="s">
        <v>4084</v>
      </c>
    </row>
    <row r="1290" spans="2:8" x14ac:dyDescent="0.3">
      <c r="B1290" t="s">
        <v>5161</v>
      </c>
      <c r="C1290" t="s">
        <v>1796</v>
      </c>
      <c r="D1290" t="s">
        <v>506</v>
      </c>
      <c r="E1290" t="s">
        <v>4050</v>
      </c>
      <c r="F1290" t="s">
        <v>3388</v>
      </c>
      <c r="G1290" t="s">
        <v>5165</v>
      </c>
      <c r="H1290" t="s">
        <v>4938</v>
      </c>
    </row>
    <row r="1291" spans="2:8" x14ac:dyDescent="0.3">
      <c r="B1291" t="s">
        <v>5166</v>
      </c>
      <c r="C1291" t="s">
        <v>1796</v>
      </c>
      <c r="D1291" t="s">
        <v>506</v>
      </c>
      <c r="E1291" t="s">
        <v>3410</v>
      </c>
      <c r="F1291" t="s">
        <v>3388</v>
      </c>
      <c r="G1291" t="s">
        <v>5167</v>
      </c>
      <c r="H1291" t="s">
        <v>4084</v>
      </c>
    </row>
    <row r="1292" spans="2:8" x14ac:dyDescent="0.3">
      <c r="B1292" t="s">
        <v>5166</v>
      </c>
      <c r="C1292" t="s">
        <v>1796</v>
      </c>
      <c r="D1292" t="s">
        <v>506</v>
      </c>
      <c r="E1292" t="s">
        <v>3410</v>
      </c>
      <c r="F1292" t="s">
        <v>3388</v>
      </c>
      <c r="G1292" t="s">
        <v>5168</v>
      </c>
      <c r="H1292" t="s">
        <v>4084</v>
      </c>
    </row>
    <row r="1293" spans="2:8" x14ac:dyDescent="0.3">
      <c r="B1293" t="s">
        <v>5166</v>
      </c>
      <c r="C1293" t="s">
        <v>1796</v>
      </c>
      <c r="D1293" t="s">
        <v>506</v>
      </c>
      <c r="E1293" t="s">
        <v>3410</v>
      </c>
      <c r="F1293" t="s">
        <v>3388</v>
      </c>
      <c r="G1293" t="s">
        <v>5169</v>
      </c>
      <c r="H1293" t="s">
        <v>4084</v>
      </c>
    </row>
    <row r="1294" spans="2:8" x14ac:dyDescent="0.3">
      <c r="B1294" t="s">
        <v>5166</v>
      </c>
      <c r="C1294" t="s">
        <v>1796</v>
      </c>
      <c r="D1294" t="s">
        <v>506</v>
      </c>
      <c r="E1294" t="s">
        <v>4050</v>
      </c>
      <c r="F1294" t="s">
        <v>3388</v>
      </c>
      <c r="G1294" t="s">
        <v>5170</v>
      </c>
      <c r="H1294" t="s">
        <v>4938</v>
      </c>
    </row>
    <row r="1295" spans="2:8" x14ac:dyDescent="0.3">
      <c r="B1295" t="s">
        <v>5171</v>
      </c>
      <c r="C1295" t="s">
        <v>1796</v>
      </c>
      <c r="D1295" t="s">
        <v>506</v>
      </c>
      <c r="E1295" t="s">
        <v>4050</v>
      </c>
      <c r="F1295" t="s">
        <v>3388</v>
      </c>
      <c r="G1295" t="s">
        <v>5172</v>
      </c>
      <c r="H1295" t="s">
        <v>4938</v>
      </c>
    </row>
    <row r="1296" spans="2:8" x14ac:dyDescent="0.3">
      <c r="B1296" t="s">
        <v>5171</v>
      </c>
      <c r="C1296" t="s">
        <v>1796</v>
      </c>
      <c r="D1296" t="s">
        <v>506</v>
      </c>
      <c r="E1296" t="s">
        <v>4050</v>
      </c>
      <c r="F1296" t="s">
        <v>3388</v>
      </c>
      <c r="G1296" t="s">
        <v>5173</v>
      </c>
      <c r="H1296" t="s">
        <v>4076</v>
      </c>
    </row>
    <row r="1297" spans="2:8" x14ac:dyDescent="0.3">
      <c r="B1297" t="s">
        <v>5166</v>
      </c>
      <c r="C1297" t="s">
        <v>1796</v>
      </c>
      <c r="D1297" t="s">
        <v>506</v>
      </c>
      <c r="E1297" t="s">
        <v>4050</v>
      </c>
      <c r="F1297" t="s">
        <v>3388</v>
      </c>
      <c r="G1297" t="s">
        <v>5174</v>
      </c>
      <c r="H1297" t="s">
        <v>4076</v>
      </c>
    </row>
    <row r="1298" spans="2:8" x14ac:dyDescent="0.3">
      <c r="B1298" t="s">
        <v>5161</v>
      </c>
      <c r="C1298" t="s">
        <v>1796</v>
      </c>
      <c r="D1298" t="s">
        <v>506</v>
      </c>
      <c r="E1298" t="s">
        <v>4050</v>
      </c>
      <c r="F1298" t="s">
        <v>3388</v>
      </c>
      <c r="G1298" t="s">
        <v>5175</v>
      </c>
      <c r="H1298" t="s">
        <v>4076</v>
      </c>
    </row>
    <row r="1299" spans="2:8" x14ac:dyDescent="0.3">
      <c r="B1299" t="s">
        <v>5144</v>
      </c>
      <c r="C1299" t="s">
        <v>1796</v>
      </c>
      <c r="D1299" t="s">
        <v>506</v>
      </c>
      <c r="E1299" t="s">
        <v>4050</v>
      </c>
      <c r="F1299" t="s">
        <v>3388</v>
      </c>
      <c r="G1299" t="s">
        <v>5176</v>
      </c>
      <c r="H1299" t="s">
        <v>4076</v>
      </c>
    </row>
    <row r="1300" spans="2:8" x14ac:dyDescent="0.3">
      <c r="B1300" t="s">
        <v>5144</v>
      </c>
      <c r="C1300" t="s">
        <v>1796</v>
      </c>
      <c r="D1300" t="s">
        <v>506</v>
      </c>
      <c r="E1300" t="s">
        <v>4050</v>
      </c>
      <c r="F1300" t="s">
        <v>3388</v>
      </c>
      <c r="G1300" t="s">
        <v>5177</v>
      </c>
      <c r="H1300" t="s">
        <v>4076</v>
      </c>
    </row>
    <row r="1301" spans="2:8" x14ac:dyDescent="0.3">
      <c r="B1301" t="s">
        <v>5171</v>
      </c>
      <c r="C1301" t="s">
        <v>1796</v>
      </c>
      <c r="D1301" t="s">
        <v>506</v>
      </c>
      <c r="E1301" t="s">
        <v>3410</v>
      </c>
      <c r="F1301" t="s">
        <v>3388</v>
      </c>
      <c r="G1301" t="s">
        <v>5178</v>
      </c>
      <c r="H1301" t="s">
        <v>4084</v>
      </c>
    </row>
    <row r="1302" spans="2:8" x14ac:dyDescent="0.3">
      <c r="B1302" t="s">
        <v>5171</v>
      </c>
      <c r="C1302" t="s">
        <v>1796</v>
      </c>
      <c r="D1302" t="s">
        <v>506</v>
      </c>
      <c r="E1302" t="s">
        <v>3410</v>
      </c>
      <c r="F1302" t="s">
        <v>3388</v>
      </c>
      <c r="G1302" t="s">
        <v>5179</v>
      </c>
      <c r="H1302" t="s">
        <v>4084</v>
      </c>
    </row>
    <row r="1303" spans="2:8" x14ac:dyDescent="0.3">
      <c r="B1303" t="s">
        <v>5171</v>
      </c>
      <c r="C1303" t="s">
        <v>1796</v>
      </c>
      <c r="D1303" t="s">
        <v>506</v>
      </c>
      <c r="E1303" t="s">
        <v>3410</v>
      </c>
      <c r="F1303" t="s">
        <v>3388</v>
      </c>
      <c r="G1303" t="s">
        <v>5180</v>
      </c>
      <c r="H1303" t="s">
        <v>4084</v>
      </c>
    </row>
    <row r="1304" spans="2:8" x14ac:dyDescent="0.3">
      <c r="B1304" t="s">
        <v>5181</v>
      </c>
      <c r="C1304" t="s">
        <v>1796</v>
      </c>
      <c r="D1304" t="s">
        <v>506</v>
      </c>
      <c r="E1304" t="s">
        <v>3410</v>
      </c>
      <c r="F1304" t="s">
        <v>3388</v>
      </c>
      <c r="G1304" t="s">
        <v>5182</v>
      </c>
      <c r="H1304" t="s">
        <v>4081</v>
      </c>
    </row>
    <row r="1305" spans="2:8" x14ac:dyDescent="0.3">
      <c r="B1305" t="s">
        <v>5183</v>
      </c>
      <c r="C1305" t="s">
        <v>1796</v>
      </c>
      <c r="D1305" t="s">
        <v>506</v>
      </c>
      <c r="E1305" t="s">
        <v>3410</v>
      </c>
      <c r="F1305" t="s">
        <v>3388</v>
      </c>
      <c r="G1305" t="s">
        <v>5184</v>
      </c>
      <c r="H1305" t="s">
        <v>4081</v>
      </c>
    </row>
    <row r="1306" spans="2:8" x14ac:dyDescent="0.3">
      <c r="B1306" t="s">
        <v>5183</v>
      </c>
      <c r="C1306" t="s">
        <v>1796</v>
      </c>
      <c r="D1306" t="s">
        <v>506</v>
      </c>
      <c r="E1306" t="s">
        <v>4050</v>
      </c>
      <c r="F1306" t="s">
        <v>3388</v>
      </c>
      <c r="G1306" t="s">
        <v>5185</v>
      </c>
      <c r="H1306" t="s">
        <v>4054</v>
      </c>
    </row>
    <row r="1307" spans="2:8" x14ac:dyDescent="0.3">
      <c r="B1307" t="s">
        <v>5183</v>
      </c>
      <c r="C1307" t="s">
        <v>1796</v>
      </c>
      <c r="D1307" t="s">
        <v>506</v>
      </c>
      <c r="E1307" t="s">
        <v>4050</v>
      </c>
      <c r="F1307" t="s">
        <v>3388</v>
      </c>
      <c r="G1307" t="s">
        <v>5186</v>
      </c>
      <c r="H1307" t="s">
        <v>4054</v>
      </c>
    </row>
    <row r="1308" spans="2:8" x14ac:dyDescent="0.3">
      <c r="B1308" t="s">
        <v>5183</v>
      </c>
      <c r="C1308" t="s">
        <v>1796</v>
      </c>
      <c r="D1308" t="s">
        <v>506</v>
      </c>
      <c r="E1308" t="s">
        <v>4050</v>
      </c>
      <c r="F1308" t="s">
        <v>3388</v>
      </c>
      <c r="G1308" t="s">
        <v>5187</v>
      </c>
      <c r="H1308" t="s">
        <v>4054</v>
      </c>
    </row>
    <row r="1309" spans="2:8" x14ac:dyDescent="0.3">
      <c r="B1309" t="s">
        <v>5183</v>
      </c>
      <c r="C1309" t="s">
        <v>1796</v>
      </c>
      <c r="D1309" t="s">
        <v>506</v>
      </c>
      <c r="E1309" t="s">
        <v>4050</v>
      </c>
      <c r="F1309" t="s">
        <v>3388</v>
      </c>
      <c r="G1309" t="s">
        <v>5188</v>
      </c>
      <c r="H1309" t="s">
        <v>4054</v>
      </c>
    </row>
    <row r="1310" spans="2:8" x14ac:dyDescent="0.3">
      <c r="B1310" t="s">
        <v>5189</v>
      </c>
      <c r="C1310" t="s">
        <v>1796</v>
      </c>
      <c r="D1310" t="s">
        <v>506</v>
      </c>
      <c r="E1310" t="s">
        <v>4050</v>
      </c>
      <c r="F1310" t="s">
        <v>3383</v>
      </c>
      <c r="G1310" t="s">
        <v>5190</v>
      </c>
      <c r="H1310" t="s">
        <v>4081</v>
      </c>
    </row>
    <row r="1311" spans="2:8" x14ac:dyDescent="0.3">
      <c r="B1311" t="s">
        <v>5189</v>
      </c>
      <c r="C1311" t="s">
        <v>1796</v>
      </c>
      <c r="D1311" t="s">
        <v>506</v>
      </c>
      <c r="E1311" t="s">
        <v>4050</v>
      </c>
      <c r="F1311" t="s">
        <v>3383</v>
      </c>
      <c r="G1311" t="s">
        <v>5191</v>
      </c>
      <c r="H1311" t="s">
        <v>4052</v>
      </c>
    </row>
    <row r="1312" spans="2:8" x14ac:dyDescent="0.3">
      <c r="B1312" t="s">
        <v>5189</v>
      </c>
      <c r="C1312" t="s">
        <v>1796</v>
      </c>
      <c r="D1312" t="s">
        <v>506</v>
      </c>
      <c r="E1312" t="s">
        <v>4050</v>
      </c>
      <c r="F1312" t="s">
        <v>3383</v>
      </c>
      <c r="G1312" t="s">
        <v>5192</v>
      </c>
      <c r="H1312" t="s">
        <v>4052</v>
      </c>
    </row>
    <row r="1313" spans="2:8" x14ac:dyDescent="0.3">
      <c r="B1313" t="s">
        <v>5189</v>
      </c>
      <c r="C1313" t="s">
        <v>1796</v>
      </c>
      <c r="D1313" t="s">
        <v>506</v>
      </c>
      <c r="E1313" t="s">
        <v>4050</v>
      </c>
      <c r="F1313" t="s">
        <v>3383</v>
      </c>
      <c r="G1313" t="s">
        <v>5193</v>
      </c>
      <c r="H1313" t="s">
        <v>4056</v>
      </c>
    </row>
    <row r="1314" spans="2:8" x14ac:dyDescent="0.3">
      <c r="B1314" t="s">
        <v>5189</v>
      </c>
      <c r="C1314" t="s">
        <v>1796</v>
      </c>
      <c r="D1314" t="s">
        <v>506</v>
      </c>
      <c r="E1314" t="s">
        <v>4050</v>
      </c>
      <c r="F1314" t="s">
        <v>3383</v>
      </c>
      <c r="G1314" t="s">
        <v>5194</v>
      </c>
      <c r="H1314" t="s">
        <v>4056</v>
      </c>
    </row>
    <row r="1315" spans="2:8" x14ac:dyDescent="0.3">
      <c r="B1315" t="s">
        <v>5189</v>
      </c>
      <c r="C1315" t="s">
        <v>1796</v>
      </c>
      <c r="D1315" t="s">
        <v>506</v>
      </c>
      <c r="E1315" t="s">
        <v>4050</v>
      </c>
      <c r="F1315" t="s">
        <v>3383</v>
      </c>
      <c r="G1315" t="s">
        <v>5195</v>
      </c>
      <c r="H1315" t="s">
        <v>4056</v>
      </c>
    </row>
    <row r="1316" spans="2:8" x14ac:dyDescent="0.3">
      <c r="B1316" t="s">
        <v>5189</v>
      </c>
      <c r="C1316" t="s">
        <v>1796</v>
      </c>
      <c r="D1316" t="s">
        <v>506</v>
      </c>
      <c r="E1316" t="s">
        <v>4050</v>
      </c>
      <c r="F1316" t="s">
        <v>3383</v>
      </c>
      <c r="G1316" t="s">
        <v>5196</v>
      </c>
      <c r="H1316" t="s">
        <v>4056</v>
      </c>
    </row>
    <row r="1317" spans="2:8" x14ac:dyDescent="0.3">
      <c r="B1317" t="s">
        <v>5189</v>
      </c>
      <c r="C1317" t="s">
        <v>1796</v>
      </c>
      <c r="D1317" t="s">
        <v>506</v>
      </c>
      <c r="E1317" t="s">
        <v>4050</v>
      </c>
      <c r="F1317" t="s">
        <v>3383</v>
      </c>
      <c r="G1317" t="s">
        <v>5197</v>
      </c>
      <c r="H1317" t="s">
        <v>4056</v>
      </c>
    </row>
    <row r="1318" spans="2:8" x14ac:dyDescent="0.3">
      <c r="B1318" t="s">
        <v>5189</v>
      </c>
      <c r="C1318" t="s">
        <v>1796</v>
      </c>
      <c r="D1318" t="s">
        <v>506</v>
      </c>
      <c r="E1318" t="s">
        <v>4050</v>
      </c>
      <c r="F1318" t="s">
        <v>3383</v>
      </c>
      <c r="G1318" t="s">
        <v>5198</v>
      </c>
      <c r="H1318" t="s">
        <v>4056</v>
      </c>
    </row>
    <row r="1319" spans="2:8" x14ac:dyDescent="0.3">
      <c r="B1319" t="s">
        <v>5189</v>
      </c>
      <c r="C1319" t="s">
        <v>1796</v>
      </c>
      <c r="D1319" t="s">
        <v>506</v>
      </c>
      <c r="E1319" t="s">
        <v>4050</v>
      </c>
      <c r="F1319" t="s">
        <v>3383</v>
      </c>
      <c r="G1319" t="s">
        <v>5199</v>
      </c>
      <c r="H1319" t="s">
        <v>4056</v>
      </c>
    </row>
    <row r="1320" spans="2:8" x14ac:dyDescent="0.3">
      <c r="B1320" t="s">
        <v>5189</v>
      </c>
      <c r="C1320" t="s">
        <v>1796</v>
      </c>
      <c r="D1320" t="s">
        <v>506</v>
      </c>
      <c r="E1320" t="s">
        <v>4050</v>
      </c>
      <c r="F1320" t="s">
        <v>3383</v>
      </c>
      <c r="G1320" t="s">
        <v>5200</v>
      </c>
      <c r="H1320" t="s">
        <v>4056</v>
      </c>
    </row>
    <row r="1321" spans="2:8" x14ac:dyDescent="0.3">
      <c r="B1321" t="s">
        <v>5189</v>
      </c>
      <c r="C1321" t="s">
        <v>1796</v>
      </c>
      <c r="D1321" t="s">
        <v>506</v>
      </c>
      <c r="E1321" t="s">
        <v>4050</v>
      </c>
      <c r="F1321" t="s">
        <v>3383</v>
      </c>
      <c r="G1321" t="s">
        <v>5201</v>
      </c>
      <c r="H1321" t="s">
        <v>4056</v>
      </c>
    </row>
    <row r="1322" spans="2:8" x14ac:dyDescent="0.3">
      <c r="B1322" t="s">
        <v>5202</v>
      </c>
      <c r="C1322" t="s">
        <v>1796</v>
      </c>
      <c r="D1322" t="s">
        <v>506</v>
      </c>
      <c r="E1322" t="s">
        <v>4050</v>
      </c>
      <c r="F1322" t="s">
        <v>3383</v>
      </c>
      <c r="G1322" t="s">
        <v>5203</v>
      </c>
      <c r="H1322" t="s">
        <v>4076</v>
      </c>
    </row>
    <row r="1323" spans="2:8" x14ac:dyDescent="0.3">
      <c r="B1323" t="s">
        <v>5202</v>
      </c>
      <c r="C1323" t="s">
        <v>1796</v>
      </c>
      <c r="D1323" t="s">
        <v>506</v>
      </c>
      <c r="E1323" t="s">
        <v>4050</v>
      </c>
      <c r="F1323" t="s">
        <v>3383</v>
      </c>
      <c r="G1323" t="s">
        <v>5204</v>
      </c>
      <c r="H1323" t="s">
        <v>4058</v>
      </c>
    </row>
    <row r="1324" spans="2:8" x14ac:dyDescent="0.3">
      <c r="B1324" t="s">
        <v>5202</v>
      </c>
      <c r="C1324" t="s">
        <v>1796</v>
      </c>
      <c r="D1324" t="s">
        <v>506</v>
      </c>
      <c r="E1324" t="s">
        <v>4050</v>
      </c>
      <c r="F1324" t="s">
        <v>3383</v>
      </c>
      <c r="G1324" t="s">
        <v>5205</v>
      </c>
      <c r="H1324" t="s">
        <v>4058</v>
      </c>
    </row>
    <row r="1325" spans="2:8" x14ac:dyDescent="0.3">
      <c r="B1325" t="s">
        <v>5202</v>
      </c>
      <c r="C1325" t="s">
        <v>1796</v>
      </c>
      <c r="D1325" t="s">
        <v>506</v>
      </c>
      <c r="E1325" t="s">
        <v>4050</v>
      </c>
      <c r="F1325" t="s">
        <v>3383</v>
      </c>
      <c r="G1325" t="s">
        <v>5206</v>
      </c>
      <c r="H1325" t="s">
        <v>4052</v>
      </c>
    </row>
    <row r="1326" spans="2:8" x14ac:dyDescent="0.3">
      <c r="B1326" t="s">
        <v>5202</v>
      </c>
      <c r="C1326" t="s">
        <v>1796</v>
      </c>
      <c r="D1326" t="s">
        <v>506</v>
      </c>
      <c r="E1326" t="s">
        <v>4050</v>
      </c>
      <c r="F1326" t="s">
        <v>3383</v>
      </c>
      <c r="G1326" t="s">
        <v>5207</v>
      </c>
      <c r="H1326" t="s">
        <v>4058</v>
      </c>
    </row>
    <row r="1327" spans="2:8" x14ac:dyDescent="0.3">
      <c r="B1327" t="s">
        <v>5202</v>
      </c>
      <c r="C1327" t="s">
        <v>1796</v>
      </c>
      <c r="D1327" t="s">
        <v>506</v>
      </c>
      <c r="E1327" t="s">
        <v>4050</v>
      </c>
      <c r="F1327" t="s">
        <v>3383</v>
      </c>
      <c r="G1327" t="s">
        <v>5208</v>
      </c>
      <c r="H1327" t="s">
        <v>4058</v>
      </c>
    </row>
    <row r="1328" spans="2:8" x14ac:dyDescent="0.3">
      <c r="B1328" t="s">
        <v>5202</v>
      </c>
      <c r="C1328" t="s">
        <v>1796</v>
      </c>
      <c r="D1328" t="s">
        <v>506</v>
      </c>
      <c r="E1328" t="s">
        <v>4050</v>
      </c>
      <c r="F1328" t="s">
        <v>3383</v>
      </c>
      <c r="G1328" t="s">
        <v>5209</v>
      </c>
      <c r="H1328" t="s">
        <v>4056</v>
      </c>
    </row>
    <row r="1329" spans="2:8" x14ac:dyDescent="0.3">
      <c r="B1329" t="s">
        <v>5202</v>
      </c>
      <c r="C1329" t="s">
        <v>1796</v>
      </c>
      <c r="D1329" t="s">
        <v>506</v>
      </c>
      <c r="E1329" t="s">
        <v>4050</v>
      </c>
      <c r="F1329" t="s">
        <v>3383</v>
      </c>
      <c r="G1329" t="s">
        <v>5210</v>
      </c>
      <c r="H1329" t="s">
        <v>4056</v>
      </c>
    </row>
    <row r="1330" spans="2:8" x14ac:dyDescent="0.3">
      <c r="B1330" t="s">
        <v>5202</v>
      </c>
      <c r="C1330" t="s">
        <v>1796</v>
      </c>
      <c r="D1330" t="s">
        <v>506</v>
      </c>
      <c r="E1330" t="s">
        <v>4050</v>
      </c>
      <c r="F1330" t="s">
        <v>3383</v>
      </c>
      <c r="G1330" t="s">
        <v>5211</v>
      </c>
      <c r="H1330" t="s">
        <v>4056</v>
      </c>
    </row>
    <row r="1331" spans="2:8" x14ac:dyDescent="0.3">
      <c r="B1331" t="s">
        <v>5212</v>
      </c>
      <c r="C1331" t="s">
        <v>1796</v>
      </c>
      <c r="D1331" t="s">
        <v>506</v>
      </c>
      <c r="E1331" t="s">
        <v>4050</v>
      </c>
      <c r="F1331" t="s">
        <v>3383</v>
      </c>
      <c r="G1331" t="s">
        <v>5213</v>
      </c>
      <c r="H1331" t="s">
        <v>4081</v>
      </c>
    </row>
    <row r="1332" spans="2:8" x14ac:dyDescent="0.3">
      <c r="B1332" t="s">
        <v>5212</v>
      </c>
      <c r="C1332" t="s">
        <v>1796</v>
      </c>
      <c r="D1332" t="s">
        <v>506</v>
      </c>
      <c r="E1332" t="s">
        <v>4050</v>
      </c>
      <c r="F1332" t="s">
        <v>3383</v>
      </c>
      <c r="G1332" t="s">
        <v>5214</v>
      </c>
      <c r="H1332" t="s">
        <v>4052</v>
      </c>
    </row>
    <row r="1333" spans="2:8" x14ac:dyDescent="0.3">
      <c r="B1333" t="s">
        <v>5212</v>
      </c>
      <c r="C1333" t="s">
        <v>1796</v>
      </c>
      <c r="D1333" t="s">
        <v>506</v>
      </c>
      <c r="E1333" t="s">
        <v>4050</v>
      </c>
      <c r="F1333" t="s">
        <v>3383</v>
      </c>
      <c r="G1333" t="s">
        <v>5215</v>
      </c>
      <c r="H1333" t="s">
        <v>4126</v>
      </c>
    </row>
    <row r="1334" spans="2:8" x14ac:dyDescent="0.3">
      <c r="B1334" t="s">
        <v>5212</v>
      </c>
      <c r="C1334" t="s">
        <v>1796</v>
      </c>
      <c r="D1334" t="s">
        <v>506</v>
      </c>
      <c r="E1334" t="s">
        <v>4050</v>
      </c>
      <c r="F1334" t="s">
        <v>3383</v>
      </c>
      <c r="G1334" t="s">
        <v>5216</v>
      </c>
      <c r="H1334" t="s">
        <v>4126</v>
      </c>
    </row>
    <row r="1335" spans="2:8" x14ac:dyDescent="0.3">
      <c r="B1335" t="s">
        <v>5212</v>
      </c>
      <c r="C1335" t="s">
        <v>1796</v>
      </c>
      <c r="D1335" t="s">
        <v>506</v>
      </c>
      <c r="E1335" t="s">
        <v>4050</v>
      </c>
      <c r="F1335" t="s">
        <v>3383</v>
      </c>
      <c r="G1335" t="s">
        <v>5217</v>
      </c>
      <c r="H1335" t="s">
        <v>4126</v>
      </c>
    </row>
    <row r="1336" spans="2:8" x14ac:dyDescent="0.3">
      <c r="B1336" t="s">
        <v>5212</v>
      </c>
      <c r="C1336" t="s">
        <v>1796</v>
      </c>
      <c r="D1336" t="s">
        <v>506</v>
      </c>
      <c r="E1336" t="s">
        <v>4050</v>
      </c>
      <c r="F1336" t="s">
        <v>3383</v>
      </c>
      <c r="G1336" t="s">
        <v>5218</v>
      </c>
      <c r="H1336" t="s">
        <v>4056</v>
      </c>
    </row>
    <row r="1337" spans="2:8" x14ac:dyDescent="0.3">
      <c r="B1337" t="s">
        <v>5212</v>
      </c>
      <c r="C1337" t="s">
        <v>1796</v>
      </c>
      <c r="D1337" t="s">
        <v>506</v>
      </c>
      <c r="E1337" t="s">
        <v>4050</v>
      </c>
      <c r="F1337" t="s">
        <v>3383</v>
      </c>
      <c r="G1337" t="s">
        <v>5219</v>
      </c>
      <c r="H1337" t="s">
        <v>4056</v>
      </c>
    </row>
    <row r="1338" spans="2:8" x14ac:dyDescent="0.3">
      <c r="B1338" t="s">
        <v>5212</v>
      </c>
      <c r="C1338" t="s">
        <v>1796</v>
      </c>
      <c r="D1338" t="s">
        <v>506</v>
      </c>
      <c r="E1338" t="s">
        <v>4050</v>
      </c>
      <c r="F1338" t="s">
        <v>3383</v>
      </c>
      <c r="G1338" t="s">
        <v>5220</v>
      </c>
      <c r="H1338" t="s">
        <v>4056</v>
      </c>
    </row>
    <row r="1339" spans="2:8" x14ac:dyDescent="0.3">
      <c r="B1339" t="s">
        <v>5212</v>
      </c>
      <c r="C1339" t="s">
        <v>1796</v>
      </c>
      <c r="D1339" t="s">
        <v>506</v>
      </c>
      <c r="E1339" t="s">
        <v>4050</v>
      </c>
      <c r="F1339" t="s">
        <v>3383</v>
      </c>
      <c r="G1339" t="s">
        <v>5221</v>
      </c>
      <c r="H1339" t="s">
        <v>4056</v>
      </c>
    </row>
    <row r="1340" spans="2:8" x14ac:dyDescent="0.3">
      <c r="B1340" t="s">
        <v>5212</v>
      </c>
      <c r="C1340" t="s">
        <v>1796</v>
      </c>
      <c r="D1340" t="s">
        <v>506</v>
      </c>
      <c r="E1340" t="s">
        <v>4050</v>
      </c>
      <c r="F1340" t="s">
        <v>3383</v>
      </c>
      <c r="G1340" t="s">
        <v>5222</v>
      </c>
      <c r="H1340" t="s">
        <v>4056</v>
      </c>
    </row>
    <row r="1341" spans="2:8" x14ac:dyDescent="0.3">
      <c r="B1341" t="s">
        <v>5212</v>
      </c>
      <c r="C1341" t="s">
        <v>1796</v>
      </c>
      <c r="D1341" t="s">
        <v>506</v>
      </c>
      <c r="E1341" t="s">
        <v>4050</v>
      </c>
      <c r="F1341" t="s">
        <v>3383</v>
      </c>
      <c r="G1341" t="s">
        <v>5223</v>
      </c>
      <c r="H1341" t="s">
        <v>4056</v>
      </c>
    </row>
    <row r="1342" spans="2:8" x14ac:dyDescent="0.3">
      <c r="B1342" t="s">
        <v>5224</v>
      </c>
      <c r="C1342" t="s">
        <v>1796</v>
      </c>
      <c r="D1342" t="s">
        <v>506</v>
      </c>
      <c r="E1342" t="s">
        <v>4050</v>
      </c>
      <c r="F1342" t="s">
        <v>3383</v>
      </c>
      <c r="G1342" t="s">
        <v>5225</v>
      </c>
      <c r="H1342" t="s">
        <v>4076</v>
      </c>
    </row>
    <row r="1343" spans="2:8" x14ac:dyDescent="0.3">
      <c r="B1343" t="s">
        <v>5224</v>
      </c>
      <c r="C1343" t="s">
        <v>1796</v>
      </c>
      <c r="D1343" t="s">
        <v>506</v>
      </c>
      <c r="E1343" t="s">
        <v>4050</v>
      </c>
      <c r="F1343" t="s">
        <v>3383</v>
      </c>
      <c r="G1343" t="s">
        <v>5226</v>
      </c>
      <c r="H1343" t="s">
        <v>4052</v>
      </c>
    </row>
    <row r="1344" spans="2:8" x14ac:dyDescent="0.3">
      <c r="B1344" t="s">
        <v>5224</v>
      </c>
      <c r="C1344" t="s">
        <v>1796</v>
      </c>
      <c r="D1344" t="s">
        <v>506</v>
      </c>
      <c r="E1344" t="s">
        <v>4050</v>
      </c>
      <c r="F1344" t="s">
        <v>3383</v>
      </c>
      <c r="G1344" t="s">
        <v>5227</v>
      </c>
      <c r="H1344" t="s">
        <v>4056</v>
      </c>
    </row>
    <row r="1345" spans="2:8" x14ac:dyDescent="0.3">
      <c r="B1345" t="s">
        <v>5224</v>
      </c>
      <c r="C1345" t="s">
        <v>1796</v>
      </c>
      <c r="D1345" t="s">
        <v>506</v>
      </c>
      <c r="E1345" t="s">
        <v>4050</v>
      </c>
      <c r="F1345" t="s">
        <v>3383</v>
      </c>
      <c r="G1345" t="s">
        <v>5228</v>
      </c>
      <c r="H1345" t="s">
        <v>4056</v>
      </c>
    </row>
    <row r="1346" spans="2:8" x14ac:dyDescent="0.3">
      <c r="B1346" t="s">
        <v>5224</v>
      </c>
      <c r="C1346" t="s">
        <v>1796</v>
      </c>
      <c r="D1346" t="s">
        <v>506</v>
      </c>
      <c r="E1346" t="s">
        <v>4050</v>
      </c>
      <c r="F1346" t="s">
        <v>3383</v>
      </c>
      <c r="G1346" t="s">
        <v>5229</v>
      </c>
      <c r="H1346" t="s">
        <v>4056</v>
      </c>
    </row>
    <row r="1347" spans="2:8" x14ac:dyDescent="0.3">
      <c r="B1347" t="s">
        <v>5230</v>
      </c>
      <c r="C1347" t="s">
        <v>1796</v>
      </c>
      <c r="D1347" t="s">
        <v>506</v>
      </c>
      <c r="E1347" t="s">
        <v>4050</v>
      </c>
      <c r="F1347" t="s">
        <v>3383</v>
      </c>
      <c r="G1347" t="s">
        <v>5231</v>
      </c>
      <c r="H1347" t="s">
        <v>4052</v>
      </c>
    </row>
    <row r="1348" spans="2:8" x14ac:dyDescent="0.3">
      <c r="B1348" t="s">
        <v>5230</v>
      </c>
      <c r="C1348" t="s">
        <v>1796</v>
      </c>
      <c r="D1348" t="s">
        <v>506</v>
      </c>
      <c r="E1348" t="s">
        <v>4050</v>
      </c>
      <c r="F1348" t="s">
        <v>3383</v>
      </c>
      <c r="G1348" t="s">
        <v>5232</v>
      </c>
      <c r="H1348" t="s">
        <v>4058</v>
      </c>
    </row>
    <row r="1349" spans="2:8" x14ac:dyDescent="0.3">
      <c r="B1349" t="s">
        <v>5230</v>
      </c>
      <c r="C1349" t="s">
        <v>1796</v>
      </c>
      <c r="D1349" t="s">
        <v>506</v>
      </c>
      <c r="E1349" t="s">
        <v>4050</v>
      </c>
      <c r="F1349" t="s">
        <v>3383</v>
      </c>
      <c r="G1349" t="s">
        <v>5233</v>
      </c>
      <c r="H1349" t="s">
        <v>4081</v>
      </c>
    </row>
    <row r="1350" spans="2:8" x14ac:dyDescent="0.3">
      <c r="B1350" t="s">
        <v>5230</v>
      </c>
      <c r="C1350" t="s">
        <v>1796</v>
      </c>
      <c r="D1350" t="s">
        <v>506</v>
      </c>
      <c r="E1350" t="s">
        <v>4050</v>
      </c>
      <c r="F1350" t="s">
        <v>3383</v>
      </c>
      <c r="G1350" t="s">
        <v>5234</v>
      </c>
      <c r="H1350" t="s">
        <v>4081</v>
      </c>
    </row>
    <row r="1351" spans="2:8" x14ac:dyDescent="0.3">
      <c r="B1351" t="s">
        <v>5235</v>
      </c>
      <c r="C1351" t="s">
        <v>1796</v>
      </c>
      <c r="D1351" t="s">
        <v>506</v>
      </c>
      <c r="E1351" t="s">
        <v>3410</v>
      </c>
      <c r="F1351" t="s">
        <v>3383</v>
      </c>
      <c r="G1351" t="s">
        <v>5236</v>
      </c>
      <c r="H1351" t="s">
        <v>4232</v>
      </c>
    </row>
    <row r="1352" spans="2:8" x14ac:dyDescent="0.3">
      <c r="B1352" t="s">
        <v>5235</v>
      </c>
      <c r="C1352" t="s">
        <v>1796</v>
      </c>
      <c r="D1352" t="s">
        <v>506</v>
      </c>
      <c r="E1352" t="s">
        <v>4050</v>
      </c>
      <c r="F1352" t="s">
        <v>3383</v>
      </c>
      <c r="G1352" t="s">
        <v>5237</v>
      </c>
      <c r="H1352" t="s">
        <v>4076</v>
      </c>
    </row>
    <row r="1353" spans="2:8" x14ac:dyDescent="0.3">
      <c r="B1353" t="s">
        <v>5238</v>
      </c>
      <c r="C1353" t="s">
        <v>1796</v>
      </c>
      <c r="D1353" t="s">
        <v>506</v>
      </c>
      <c r="E1353" t="s">
        <v>3410</v>
      </c>
      <c r="F1353" t="s">
        <v>3380</v>
      </c>
      <c r="G1353" t="s">
        <v>5239</v>
      </c>
      <c r="H1353" t="s">
        <v>4232</v>
      </c>
    </row>
    <row r="1354" spans="2:8" x14ac:dyDescent="0.3">
      <c r="B1354" t="s">
        <v>5238</v>
      </c>
      <c r="C1354" t="s">
        <v>1796</v>
      </c>
      <c r="D1354" t="s">
        <v>506</v>
      </c>
      <c r="E1354" t="s">
        <v>4050</v>
      </c>
      <c r="F1354" t="s">
        <v>3380</v>
      </c>
      <c r="G1354" t="s">
        <v>5240</v>
      </c>
      <c r="H1354" t="s">
        <v>4126</v>
      </c>
    </row>
    <row r="1355" spans="2:8" x14ac:dyDescent="0.3">
      <c r="B1355" t="s">
        <v>5238</v>
      </c>
      <c r="C1355" t="s">
        <v>1796</v>
      </c>
      <c r="D1355" t="s">
        <v>506</v>
      </c>
      <c r="E1355" t="s">
        <v>4050</v>
      </c>
      <c r="F1355" t="s">
        <v>3380</v>
      </c>
      <c r="G1355" t="s">
        <v>5241</v>
      </c>
      <c r="H1355" t="s">
        <v>4126</v>
      </c>
    </row>
    <row r="1356" spans="2:8" x14ac:dyDescent="0.3">
      <c r="B1356" t="s">
        <v>5238</v>
      </c>
      <c r="C1356" t="s">
        <v>1796</v>
      </c>
      <c r="D1356" t="s">
        <v>506</v>
      </c>
      <c r="E1356" t="s">
        <v>4050</v>
      </c>
      <c r="F1356" t="s">
        <v>3380</v>
      </c>
      <c r="G1356" t="s">
        <v>5242</v>
      </c>
      <c r="H1356" t="s">
        <v>4126</v>
      </c>
    </row>
    <row r="1357" spans="2:8" x14ac:dyDescent="0.3">
      <c r="B1357" t="s">
        <v>5243</v>
      </c>
      <c r="C1357" t="s">
        <v>1796</v>
      </c>
      <c r="D1357" t="s">
        <v>506</v>
      </c>
      <c r="E1357" t="s">
        <v>4050</v>
      </c>
      <c r="F1357" t="s">
        <v>3380</v>
      </c>
      <c r="G1357" t="s">
        <v>5244</v>
      </c>
      <c r="H1357" t="s">
        <v>4076</v>
      </c>
    </row>
    <row r="1358" spans="2:8" x14ac:dyDescent="0.3">
      <c r="B1358" t="s">
        <v>5243</v>
      </c>
      <c r="C1358" t="s">
        <v>1796</v>
      </c>
      <c r="D1358" t="s">
        <v>506</v>
      </c>
      <c r="E1358" t="s">
        <v>4050</v>
      </c>
      <c r="F1358" t="s">
        <v>3380</v>
      </c>
      <c r="G1358" t="s">
        <v>5245</v>
      </c>
      <c r="H1358" t="s">
        <v>4076</v>
      </c>
    </row>
    <row r="1359" spans="2:8" x14ac:dyDescent="0.3">
      <c r="B1359" t="s">
        <v>5246</v>
      </c>
      <c r="C1359" t="s">
        <v>1796</v>
      </c>
      <c r="D1359" t="s">
        <v>506</v>
      </c>
      <c r="E1359" t="s">
        <v>4050</v>
      </c>
      <c r="G1359" t="s">
        <v>5247</v>
      </c>
    </row>
    <row r="1360" spans="2:8" x14ac:dyDescent="0.3">
      <c r="B1360" t="s">
        <v>5248</v>
      </c>
      <c r="C1360" t="s">
        <v>1796</v>
      </c>
      <c r="D1360" t="s">
        <v>506</v>
      </c>
      <c r="E1360" t="s">
        <v>4050</v>
      </c>
      <c r="G1360" t="s">
        <v>5249</v>
      </c>
    </row>
    <row r="1361" spans="2:7" x14ac:dyDescent="0.3">
      <c r="B1361" t="s">
        <v>5250</v>
      </c>
      <c r="C1361" t="s">
        <v>1796</v>
      </c>
      <c r="D1361" t="s">
        <v>506</v>
      </c>
      <c r="E1361" t="s">
        <v>4050</v>
      </c>
      <c r="G1361" t="s">
        <v>5251</v>
      </c>
    </row>
    <row r="1362" spans="2:7" x14ac:dyDescent="0.3">
      <c r="B1362" t="s">
        <v>5252</v>
      </c>
      <c r="C1362" t="s">
        <v>1796</v>
      </c>
      <c r="D1362" t="s">
        <v>506</v>
      </c>
      <c r="E1362" t="s">
        <v>4050</v>
      </c>
      <c r="G1362" t="s">
        <v>5253</v>
      </c>
    </row>
    <row r="1363" spans="2:7" x14ac:dyDescent="0.3">
      <c r="B1363" t="s">
        <v>5254</v>
      </c>
      <c r="C1363" t="s">
        <v>1796</v>
      </c>
      <c r="D1363" t="s">
        <v>506</v>
      </c>
      <c r="E1363" t="s">
        <v>4050</v>
      </c>
      <c r="G1363" t="s">
        <v>5255</v>
      </c>
    </row>
    <row r="1364" spans="2:7" x14ac:dyDescent="0.3">
      <c r="B1364" t="s">
        <v>5256</v>
      </c>
      <c r="C1364" t="s">
        <v>1796</v>
      </c>
      <c r="D1364" t="s">
        <v>506</v>
      </c>
      <c r="E1364" t="s">
        <v>4050</v>
      </c>
      <c r="G1364" t="s">
        <v>5257</v>
      </c>
    </row>
    <row r="1365" spans="2:7" x14ac:dyDescent="0.3">
      <c r="B1365" t="s">
        <v>5258</v>
      </c>
      <c r="C1365" t="s">
        <v>1796</v>
      </c>
      <c r="D1365" t="s">
        <v>506</v>
      </c>
      <c r="E1365" t="s">
        <v>4050</v>
      </c>
      <c r="G1365" t="s">
        <v>5259</v>
      </c>
    </row>
    <row r="1366" spans="2:7" x14ac:dyDescent="0.3">
      <c r="B1366" t="s">
        <v>5260</v>
      </c>
      <c r="C1366" t="s">
        <v>1796</v>
      </c>
      <c r="D1366" t="s">
        <v>506</v>
      </c>
      <c r="E1366" t="s">
        <v>4050</v>
      </c>
      <c r="G1366" t="s">
        <v>5261</v>
      </c>
    </row>
    <row r="1367" spans="2:7" x14ac:dyDescent="0.3">
      <c r="B1367" t="s">
        <v>5262</v>
      </c>
      <c r="C1367" t="s">
        <v>1796</v>
      </c>
      <c r="D1367" t="s">
        <v>506</v>
      </c>
      <c r="E1367" t="s">
        <v>4050</v>
      </c>
      <c r="G1367" t="s">
        <v>5263</v>
      </c>
    </row>
    <row r="1368" spans="2:7" x14ac:dyDescent="0.3">
      <c r="B1368" t="s">
        <v>5264</v>
      </c>
      <c r="C1368" t="s">
        <v>1796</v>
      </c>
      <c r="D1368" t="s">
        <v>506</v>
      </c>
      <c r="E1368" t="s">
        <v>4050</v>
      </c>
      <c r="G1368" t="s">
        <v>5263</v>
      </c>
    </row>
    <row r="1369" spans="2:7" x14ac:dyDescent="0.3">
      <c r="B1369" t="s">
        <v>5265</v>
      </c>
      <c r="C1369" t="s">
        <v>1796</v>
      </c>
      <c r="D1369" t="s">
        <v>506</v>
      </c>
      <c r="E1369" t="s">
        <v>4050</v>
      </c>
      <c r="G1369" t="s">
        <v>5263</v>
      </c>
    </row>
    <row r="1370" spans="2:7" x14ac:dyDescent="0.3">
      <c r="B1370" t="s">
        <v>5266</v>
      </c>
      <c r="C1370" t="s">
        <v>1796</v>
      </c>
      <c r="D1370" t="s">
        <v>506</v>
      </c>
      <c r="E1370" t="s">
        <v>4050</v>
      </c>
      <c r="G1370" t="s">
        <v>5267</v>
      </c>
    </row>
    <row r="1371" spans="2:7" x14ac:dyDescent="0.3">
      <c r="B1371" t="s">
        <v>5268</v>
      </c>
      <c r="C1371" t="s">
        <v>1796</v>
      </c>
      <c r="D1371" t="s">
        <v>506</v>
      </c>
      <c r="E1371" t="s">
        <v>4050</v>
      </c>
      <c r="G1371" t="s">
        <v>5269</v>
      </c>
    </row>
    <row r="1372" spans="2:7" x14ac:dyDescent="0.3">
      <c r="B1372" t="s">
        <v>5270</v>
      </c>
      <c r="C1372" t="s">
        <v>1796</v>
      </c>
      <c r="D1372" t="s">
        <v>506</v>
      </c>
      <c r="E1372" t="s">
        <v>4050</v>
      </c>
      <c r="G1372" t="s">
        <v>5269</v>
      </c>
    </row>
    <row r="1373" spans="2:7" x14ac:dyDescent="0.3">
      <c r="B1373" t="s">
        <v>5271</v>
      </c>
      <c r="C1373" t="s">
        <v>1796</v>
      </c>
      <c r="D1373" t="s">
        <v>506</v>
      </c>
      <c r="E1373" t="s">
        <v>4050</v>
      </c>
      <c r="G1373" t="s">
        <v>5272</v>
      </c>
    </row>
    <row r="1374" spans="2:7" x14ac:dyDescent="0.3">
      <c r="B1374" t="s">
        <v>5273</v>
      </c>
      <c r="C1374" t="s">
        <v>1796</v>
      </c>
      <c r="D1374" t="s">
        <v>506</v>
      </c>
      <c r="E1374" t="s">
        <v>4050</v>
      </c>
      <c r="G1374" t="s">
        <v>5274</v>
      </c>
    </row>
    <row r="1375" spans="2:7" x14ac:dyDescent="0.3">
      <c r="B1375" t="s">
        <v>5275</v>
      </c>
      <c r="C1375" t="s">
        <v>1796</v>
      </c>
      <c r="D1375" t="s">
        <v>506</v>
      </c>
      <c r="E1375" t="s">
        <v>4050</v>
      </c>
      <c r="G1375" t="s">
        <v>5276</v>
      </c>
    </row>
    <row r="1376" spans="2:7" x14ac:dyDescent="0.3">
      <c r="B1376" t="s">
        <v>5277</v>
      </c>
      <c r="C1376" t="s">
        <v>1796</v>
      </c>
      <c r="D1376" t="s">
        <v>506</v>
      </c>
      <c r="E1376" t="s">
        <v>4050</v>
      </c>
      <c r="G1376" t="s">
        <v>5278</v>
      </c>
    </row>
    <row r="1377" spans="2:7" x14ac:dyDescent="0.3">
      <c r="B1377" t="s">
        <v>5279</v>
      </c>
      <c r="C1377" t="s">
        <v>1796</v>
      </c>
      <c r="D1377" t="s">
        <v>506</v>
      </c>
      <c r="E1377" t="s">
        <v>4050</v>
      </c>
      <c r="G1377" t="s">
        <v>5278</v>
      </c>
    </row>
    <row r="1378" spans="2:7" x14ac:dyDescent="0.3">
      <c r="B1378" t="s">
        <v>5280</v>
      </c>
      <c r="C1378" t="s">
        <v>1796</v>
      </c>
      <c r="D1378" t="s">
        <v>506</v>
      </c>
      <c r="E1378" t="s">
        <v>4050</v>
      </c>
      <c r="G1378" t="s">
        <v>5281</v>
      </c>
    </row>
    <row r="1379" spans="2:7" x14ac:dyDescent="0.3">
      <c r="B1379" t="s">
        <v>5282</v>
      </c>
      <c r="C1379" t="s">
        <v>1796</v>
      </c>
      <c r="D1379" t="s">
        <v>506</v>
      </c>
      <c r="E1379" t="s">
        <v>4050</v>
      </c>
      <c r="G1379" t="s">
        <v>5281</v>
      </c>
    </row>
    <row r="1380" spans="2:7" x14ac:dyDescent="0.3">
      <c r="B1380" t="s">
        <v>5283</v>
      </c>
      <c r="C1380" t="s">
        <v>1796</v>
      </c>
      <c r="D1380" t="s">
        <v>506</v>
      </c>
      <c r="E1380" t="s">
        <v>4050</v>
      </c>
      <c r="G1380" t="s">
        <v>5284</v>
      </c>
    </row>
    <row r="1381" spans="2:7" x14ac:dyDescent="0.3">
      <c r="B1381" t="s">
        <v>5285</v>
      </c>
      <c r="C1381" t="s">
        <v>1796</v>
      </c>
      <c r="D1381" t="s">
        <v>506</v>
      </c>
      <c r="E1381" t="s">
        <v>4050</v>
      </c>
      <c r="G1381" t="s">
        <v>5284</v>
      </c>
    </row>
    <row r="1382" spans="2:7" x14ac:dyDescent="0.3">
      <c r="B1382" t="s">
        <v>5286</v>
      </c>
      <c r="C1382" t="s">
        <v>1796</v>
      </c>
      <c r="D1382" t="s">
        <v>506</v>
      </c>
      <c r="E1382" t="s">
        <v>4050</v>
      </c>
      <c r="G1382" t="s">
        <v>5287</v>
      </c>
    </row>
    <row r="1383" spans="2:7" x14ac:dyDescent="0.3">
      <c r="B1383" t="s">
        <v>5288</v>
      </c>
      <c r="C1383" t="s">
        <v>1796</v>
      </c>
      <c r="D1383" t="s">
        <v>506</v>
      </c>
      <c r="E1383" t="s">
        <v>4050</v>
      </c>
      <c r="G1383" t="s">
        <v>5287</v>
      </c>
    </row>
    <row r="1384" spans="2:7" x14ac:dyDescent="0.3">
      <c r="B1384" t="s">
        <v>5289</v>
      </c>
      <c r="C1384" t="s">
        <v>1796</v>
      </c>
      <c r="D1384" t="s">
        <v>506</v>
      </c>
      <c r="E1384" t="s">
        <v>4050</v>
      </c>
      <c r="G1384" t="s">
        <v>5290</v>
      </c>
    </row>
    <row r="1385" spans="2:7" x14ac:dyDescent="0.3">
      <c r="B1385" t="s">
        <v>5291</v>
      </c>
      <c r="C1385" t="s">
        <v>1796</v>
      </c>
      <c r="D1385" t="s">
        <v>506</v>
      </c>
      <c r="E1385" t="s">
        <v>4050</v>
      </c>
      <c r="G1385" t="s">
        <v>5292</v>
      </c>
    </row>
    <row r="1386" spans="2:7" x14ac:dyDescent="0.3">
      <c r="B1386" t="s">
        <v>5293</v>
      </c>
      <c r="C1386" t="s">
        <v>1796</v>
      </c>
      <c r="D1386" t="s">
        <v>506</v>
      </c>
      <c r="E1386" t="s">
        <v>4050</v>
      </c>
      <c r="G1386" t="s">
        <v>5294</v>
      </c>
    </row>
    <row r="1387" spans="2:7" x14ac:dyDescent="0.3">
      <c r="B1387" t="s">
        <v>5295</v>
      </c>
      <c r="C1387" t="s">
        <v>1796</v>
      </c>
      <c r="D1387" t="s">
        <v>506</v>
      </c>
      <c r="E1387" t="s">
        <v>4050</v>
      </c>
      <c r="G1387" t="s">
        <v>5296</v>
      </c>
    </row>
    <row r="1388" spans="2:7" x14ac:dyDescent="0.3">
      <c r="B1388" t="s">
        <v>5297</v>
      </c>
      <c r="C1388" t="s">
        <v>1796</v>
      </c>
      <c r="D1388" t="s">
        <v>506</v>
      </c>
      <c r="E1388" t="s">
        <v>4050</v>
      </c>
      <c r="G1388" t="s">
        <v>5296</v>
      </c>
    </row>
    <row r="1389" spans="2:7" x14ac:dyDescent="0.3">
      <c r="B1389" t="s">
        <v>5298</v>
      </c>
      <c r="C1389" t="s">
        <v>1796</v>
      </c>
      <c r="D1389" t="s">
        <v>506</v>
      </c>
      <c r="E1389" t="s">
        <v>4050</v>
      </c>
      <c r="G1389" t="s">
        <v>5299</v>
      </c>
    </row>
    <row r="1390" spans="2:7" x14ac:dyDescent="0.3">
      <c r="B1390" t="s">
        <v>5300</v>
      </c>
      <c r="C1390" t="s">
        <v>1796</v>
      </c>
      <c r="D1390" t="s">
        <v>506</v>
      </c>
      <c r="E1390" t="s">
        <v>4050</v>
      </c>
      <c r="G1390" t="s">
        <v>5301</v>
      </c>
    </row>
    <row r="1391" spans="2:7" x14ac:dyDescent="0.3">
      <c r="B1391" t="s">
        <v>5302</v>
      </c>
      <c r="C1391" t="s">
        <v>1796</v>
      </c>
      <c r="D1391" t="s">
        <v>506</v>
      </c>
      <c r="E1391" t="s">
        <v>4050</v>
      </c>
      <c r="G1391" t="s">
        <v>5301</v>
      </c>
    </row>
    <row r="1392" spans="2:7" x14ac:dyDescent="0.3">
      <c r="B1392" t="s">
        <v>5303</v>
      </c>
      <c r="C1392" t="s">
        <v>1796</v>
      </c>
      <c r="D1392" t="s">
        <v>506</v>
      </c>
      <c r="E1392" t="s">
        <v>4050</v>
      </c>
      <c r="G1392" t="s">
        <v>5304</v>
      </c>
    </row>
    <row r="1393" spans="2:7" x14ac:dyDescent="0.3">
      <c r="B1393" t="s">
        <v>5305</v>
      </c>
      <c r="C1393" t="s">
        <v>1796</v>
      </c>
      <c r="D1393" t="s">
        <v>506</v>
      </c>
      <c r="E1393" t="s">
        <v>4050</v>
      </c>
      <c r="G1393" t="s">
        <v>5306</v>
      </c>
    </row>
    <row r="1394" spans="2:7" x14ac:dyDescent="0.3">
      <c r="B1394" t="s">
        <v>5307</v>
      </c>
      <c r="C1394" t="s">
        <v>1796</v>
      </c>
      <c r="D1394" t="s">
        <v>506</v>
      </c>
      <c r="E1394" t="s">
        <v>4050</v>
      </c>
      <c r="G1394" t="s">
        <v>5308</v>
      </c>
    </row>
    <row r="1395" spans="2:7" x14ac:dyDescent="0.3">
      <c r="B1395" t="s">
        <v>5309</v>
      </c>
      <c r="C1395" t="s">
        <v>1796</v>
      </c>
      <c r="D1395" t="s">
        <v>506</v>
      </c>
      <c r="E1395" t="s">
        <v>4050</v>
      </c>
      <c r="G1395" t="s">
        <v>5310</v>
      </c>
    </row>
    <row r="1396" spans="2:7" x14ac:dyDescent="0.3">
      <c r="B1396" t="s">
        <v>5311</v>
      </c>
      <c r="C1396" t="s">
        <v>1796</v>
      </c>
      <c r="D1396" t="s">
        <v>506</v>
      </c>
      <c r="E1396" t="s">
        <v>4050</v>
      </c>
      <c r="G1396" t="s">
        <v>5310</v>
      </c>
    </row>
    <row r="1397" spans="2:7" x14ac:dyDescent="0.3">
      <c r="B1397" t="s">
        <v>5312</v>
      </c>
      <c r="C1397" t="s">
        <v>1796</v>
      </c>
      <c r="D1397" t="s">
        <v>506</v>
      </c>
      <c r="E1397" t="s">
        <v>4050</v>
      </c>
      <c r="G1397" t="s">
        <v>5310</v>
      </c>
    </row>
    <row r="1398" spans="2:7" x14ac:dyDescent="0.3">
      <c r="B1398" t="s">
        <v>5313</v>
      </c>
      <c r="C1398" t="s">
        <v>1796</v>
      </c>
      <c r="D1398" t="s">
        <v>506</v>
      </c>
      <c r="E1398" t="s">
        <v>4050</v>
      </c>
      <c r="G1398" t="s">
        <v>5314</v>
      </c>
    </row>
    <row r="1399" spans="2:7" x14ac:dyDescent="0.3">
      <c r="B1399" t="s">
        <v>5315</v>
      </c>
      <c r="C1399" t="s">
        <v>1796</v>
      </c>
      <c r="D1399" t="s">
        <v>506</v>
      </c>
      <c r="E1399" t="s">
        <v>4050</v>
      </c>
      <c r="G1399" t="s">
        <v>5316</v>
      </c>
    </row>
    <row r="1400" spans="2:7" x14ac:dyDescent="0.3">
      <c r="B1400" t="s">
        <v>5317</v>
      </c>
      <c r="C1400" t="s">
        <v>1796</v>
      </c>
      <c r="D1400" t="s">
        <v>506</v>
      </c>
      <c r="E1400" t="s">
        <v>4050</v>
      </c>
      <c r="G1400" t="s">
        <v>5318</v>
      </c>
    </row>
    <row r="1401" spans="2:7" x14ac:dyDescent="0.3">
      <c r="B1401" t="s">
        <v>5319</v>
      </c>
      <c r="C1401" t="s">
        <v>1796</v>
      </c>
      <c r="D1401" t="s">
        <v>506</v>
      </c>
      <c r="E1401" t="s">
        <v>4050</v>
      </c>
      <c r="G1401" t="s">
        <v>5320</v>
      </c>
    </row>
    <row r="1402" spans="2:7" x14ac:dyDescent="0.3">
      <c r="B1402" t="s">
        <v>5321</v>
      </c>
      <c r="C1402" t="s">
        <v>1796</v>
      </c>
      <c r="D1402" t="s">
        <v>506</v>
      </c>
      <c r="E1402" t="s">
        <v>4050</v>
      </c>
      <c r="G1402" t="s">
        <v>5322</v>
      </c>
    </row>
    <row r="1403" spans="2:7" x14ac:dyDescent="0.3">
      <c r="B1403" t="s">
        <v>5323</v>
      </c>
      <c r="C1403" t="s">
        <v>1796</v>
      </c>
      <c r="D1403" t="s">
        <v>506</v>
      </c>
      <c r="E1403" t="s">
        <v>4050</v>
      </c>
      <c r="G1403" t="s">
        <v>5324</v>
      </c>
    </row>
    <row r="1404" spans="2:7" x14ac:dyDescent="0.3">
      <c r="B1404" t="s">
        <v>5325</v>
      </c>
      <c r="C1404" t="s">
        <v>1796</v>
      </c>
      <c r="D1404" t="s">
        <v>506</v>
      </c>
      <c r="E1404" t="s">
        <v>4050</v>
      </c>
      <c r="G1404" t="s">
        <v>5326</v>
      </c>
    </row>
    <row r="1405" spans="2:7" x14ac:dyDescent="0.3">
      <c r="B1405" t="s">
        <v>5327</v>
      </c>
      <c r="C1405" t="s">
        <v>1796</v>
      </c>
      <c r="D1405" t="s">
        <v>506</v>
      </c>
      <c r="E1405" t="s">
        <v>4050</v>
      </c>
      <c r="G1405" t="s">
        <v>5328</v>
      </c>
    </row>
    <row r="1406" spans="2:7" x14ac:dyDescent="0.3">
      <c r="B1406" t="s">
        <v>5329</v>
      </c>
      <c r="C1406" t="s">
        <v>1796</v>
      </c>
      <c r="D1406" t="s">
        <v>506</v>
      </c>
      <c r="E1406" t="s">
        <v>4050</v>
      </c>
      <c r="G1406" t="s">
        <v>5330</v>
      </c>
    </row>
    <row r="1407" spans="2:7" x14ac:dyDescent="0.3">
      <c r="B1407" t="s">
        <v>5331</v>
      </c>
      <c r="C1407" t="s">
        <v>1796</v>
      </c>
      <c r="D1407" t="s">
        <v>506</v>
      </c>
      <c r="E1407" t="s">
        <v>4050</v>
      </c>
      <c r="G1407" t="s">
        <v>5332</v>
      </c>
    </row>
    <row r="1408" spans="2:7" x14ac:dyDescent="0.3">
      <c r="B1408" t="s">
        <v>5333</v>
      </c>
      <c r="C1408" t="s">
        <v>1796</v>
      </c>
      <c r="D1408" t="s">
        <v>506</v>
      </c>
      <c r="E1408" t="s">
        <v>4050</v>
      </c>
      <c r="G1408" t="s">
        <v>5332</v>
      </c>
    </row>
    <row r="1409" spans="2:7" x14ac:dyDescent="0.3">
      <c r="B1409" t="s">
        <v>5334</v>
      </c>
      <c r="C1409" t="s">
        <v>1796</v>
      </c>
      <c r="D1409" t="s">
        <v>506</v>
      </c>
      <c r="E1409" t="s">
        <v>4050</v>
      </c>
      <c r="G1409" t="s">
        <v>5335</v>
      </c>
    </row>
    <row r="1410" spans="2:7" x14ac:dyDescent="0.3">
      <c r="B1410" t="s">
        <v>5336</v>
      </c>
      <c r="C1410" t="s">
        <v>1796</v>
      </c>
      <c r="D1410" t="s">
        <v>506</v>
      </c>
      <c r="E1410" t="s">
        <v>4050</v>
      </c>
      <c r="G1410" t="s">
        <v>5337</v>
      </c>
    </row>
    <row r="1411" spans="2:7" x14ac:dyDescent="0.3">
      <c r="B1411" t="s">
        <v>5338</v>
      </c>
      <c r="C1411" t="s">
        <v>1796</v>
      </c>
      <c r="D1411" t="s">
        <v>506</v>
      </c>
      <c r="E1411" t="s">
        <v>4050</v>
      </c>
      <c r="G1411" t="s">
        <v>5339</v>
      </c>
    </row>
    <row r="1412" spans="2:7" x14ac:dyDescent="0.3">
      <c r="B1412" t="s">
        <v>5340</v>
      </c>
      <c r="C1412" t="s">
        <v>1796</v>
      </c>
      <c r="D1412" t="s">
        <v>506</v>
      </c>
      <c r="E1412" t="s">
        <v>4050</v>
      </c>
      <c r="G1412" t="s">
        <v>5341</v>
      </c>
    </row>
    <row r="1413" spans="2:7" x14ac:dyDescent="0.3">
      <c r="B1413" t="s">
        <v>5342</v>
      </c>
      <c r="C1413" t="s">
        <v>1796</v>
      </c>
      <c r="D1413" t="s">
        <v>506</v>
      </c>
      <c r="E1413" t="s">
        <v>4050</v>
      </c>
      <c r="G1413" t="s">
        <v>5343</v>
      </c>
    </row>
    <row r="1414" spans="2:7" x14ac:dyDescent="0.3">
      <c r="B1414" t="s">
        <v>5344</v>
      </c>
      <c r="C1414" t="s">
        <v>1796</v>
      </c>
      <c r="D1414" t="s">
        <v>506</v>
      </c>
      <c r="E1414" t="s">
        <v>4050</v>
      </c>
      <c r="G1414" t="s">
        <v>5345</v>
      </c>
    </row>
    <row r="1415" spans="2:7" x14ac:dyDescent="0.3">
      <c r="B1415" t="s">
        <v>5346</v>
      </c>
      <c r="C1415" t="s">
        <v>1796</v>
      </c>
      <c r="D1415" t="s">
        <v>506</v>
      </c>
      <c r="E1415" t="s">
        <v>4050</v>
      </c>
      <c r="G1415" t="s">
        <v>5347</v>
      </c>
    </row>
    <row r="1416" spans="2:7" x14ac:dyDescent="0.3">
      <c r="B1416" t="s">
        <v>5348</v>
      </c>
      <c r="C1416" t="s">
        <v>1796</v>
      </c>
      <c r="D1416" t="s">
        <v>506</v>
      </c>
      <c r="E1416" t="s">
        <v>4050</v>
      </c>
      <c r="G1416" t="s">
        <v>5349</v>
      </c>
    </row>
    <row r="1417" spans="2:7" x14ac:dyDescent="0.3">
      <c r="B1417" t="s">
        <v>5350</v>
      </c>
      <c r="C1417" t="s">
        <v>1796</v>
      </c>
      <c r="D1417" t="s">
        <v>506</v>
      </c>
      <c r="E1417" t="s">
        <v>4050</v>
      </c>
      <c r="G1417" t="s">
        <v>5351</v>
      </c>
    </row>
    <row r="1418" spans="2:7" x14ac:dyDescent="0.3">
      <c r="B1418" t="s">
        <v>5352</v>
      </c>
      <c r="C1418" t="s">
        <v>1796</v>
      </c>
      <c r="D1418" t="s">
        <v>506</v>
      </c>
      <c r="E1418" t="s">
        <v>4050</v>
      </c>
      <c r="G1418" t="s">
        <v>5353</v>
      </c>
    </row>
    <row r="1419" spans="2:7" x14ac:dyDescent="0.3">
      <c r="B1419" t="s">
        <v>5354</v>
      </c>
      <c r="C1419" t="s">
        <v>1796</v>
      </c>
      <c r="D1419" t="s">
        <v>506</v>
      </c>
      <c r="E1419" t="s">
        <v>4050</v>
      </c>
      <c r="G1419" t="s">
        <v>5355</v>
      </c>
    </row>
    <row r="1420" spans="2:7" x14ac:dyDescent="0.3">
      <c r="B1420" t="s">
        <v>5356</v>
      </c>
      <c r="C1420" t="s">
        <v>1796</v>
      </c>
      <c r="D1420" t="s">
        <v>506</v>
      </c>
      <c r="E1420" t="s">
        <v>4050</v>
      </c>
      <c r="G1420" t="s">
        <v>5357</v>
      </c>
    </row>
    <row r="1421" spans="2:7" x14ac:dyDescent="0.3">
      <c r="B1421" t="s">
        <v>5358</v>
      </c>
      <c r="C1421" t="s">
        <v>1796</v>
      </c>
      <c r="D1421" t="s">
        <v>506</v>
      </c>
      <c r="E1421" t="s">
        <v>4050</v>
      </c>
      <c r="G1421" t="s">
        <v>5359</v>
      </c>
    </row>
    <row r="1422" spans="2:7" x14ac:dyDescent="0.3">
      <c r="B1422" t="s">
        <v>5360</v>
      </c>
      <c r="C1422" t="s">
        <v>1796</v>
      </c>
      <c r="D1422" t="s">
        <v>506</v>
      </c>
      <c r="E1422" t="s">
        <v>4050</v>
      </c>
      <c r="G1422" t="s">
        <v>5361</v>
      </c>
    </row>
    <row r="1423" spans="2:7" x14ac:dyDescent="0.3">
      <c r="B1423" t="s">
        <v>5362</v>
      </c>
      <c r="C1423" t="s">
        <v>1796</v>
      </c>
      <c r="D1423" t="s">
        <v>506</v>
      </c>
      <c r="E1423" t="s">
        <v>4050</v>
      </c>
      <c r="G1423" t="s">
        <v>5363</v>
      </c>
    </row>
    <row r="1424" spans="2:7" x14ac:dyDescent="0.3">
      <c r="B1424" t="s">
        <v>5364</v>
      </c>
      <c r="C1424" t="s">
        <v>1796</v>
      </c>
      <c r="D1424" t="s">
        <v>506</v>
      </c>
      <c r="E1424" t="s">
        <v>4050</v>
      </c>
      <c r="G1424" t="s">
        <v>5365</v>
      </c>
    </row>
    <row r="1425" spans="2:7" x14ac:dyDescent="0.3">
      <c r="B1425" t="s">
        <v>5366</v>
      </c>
      <c r="C1425" t="s">
        <v>1796</v>
      </c>
      <c r="D1425" t="s">
        <v>506</v>
      </c>
      <c r="E1425" t="s">
        <v>4050</v>
      </c>
      <c r="G1425" t="s">
        <v>5367</v>
      </c>
    </row>
    <row r="1426" spans="2:7" x14ac:dyDescent="0.3">
      <c r="B1426" t="s">
        <v>5368</v>
      </c>
      <c r="C1426" t="s">
        <v>1796</v>
      </c>
      <c r="D1426" t="s">
        <v>506</v>
      </c>
      <c r="E1426" t="s">
        <v>4050</v>
      </c>
      <c r="G1426" t="s">
        <v>5369</v>
      </c>
    </row>
    <row r="1427" spans="2:7" x14ac:dyDescent="0.3">
      <c r="B1427" t="s">
        <v>5370</v>
      </c>
      <c r="C1427" t="s">
        <v>1796</v>
      </c>
      <c r="D1427" t="s">
        <v>506</v>
      </c>
      <c r="E1427" t="s">
        <v>4050</v>
      </c>
      <c r="G1427" t="s">
        <v>5371</v>
      </c>
    </row>
    <row r="1428" spans="2:7" x14ac:dyDescent="0.3">
      <c r="B1428" t="s">
        <v>5372</v>
      </c>
      <c r="C1428" t="s">
        <v>1796</v>
      </c>
      <c r="D1428" t="s">
        <v>506</v>
      </c>
      <c r="E1428" t="s">
        <v>4050</v>
      </c>
      <c r="G1428" t="s">
        <v>5373</v>
      </c>
    </row>
    <row r="1429" spans="2:7" x14ac:dyDescent="0.3">
      <c r="B1429" t="s">
        <v>5374</v>
      </c>
      <c r="C1429" t="s">
        <v>1796</v>
      </c>
      <c r="D1429" t="s">
        <v>506</v>
      </c>
      <c r="E1429" t="s">
        <v>4050</v>
      </c>
      <c r="G1429" t="s">
        <v>5375</v>
      </c>
    </row>
    <row r="1430" spans="2:7" x14ac:dyDescent="0.3">
      <c r="B1430" t="s">
        <v>5376</v>
      </c>
      <c r="C1430" t="s">
        <v>1796</v>
      </c>
      <c r="D1430" t="s">
        <v>506</v>
      </c>
      <c r="E1430" t="s">
        <v>4050</v>
      </c>
      <c r="G1430" t="s">
        <v>5377</v>
      </c>
    </row>
    <row r="1431" spans="2:7" x14ac:dyDescent="0.3">
      <c r="B1431" t="s">
        <v>5378</v>
      </c>
      <c r="C1431" t="s">
        <v>1796</v>
      </c>
      <c r="D1431" t="s">
        <v>506</v>
      </c>
      <c r="E1431" t="s">
        <v>4050</v>
      </c>
      <c r="G1431" t="s">
        <v>5379</v>
      </c>
    </row>
    <row r="1432" spans="2:7" x14ac:dyDescent="0.3">
      <c r="B1432" t="s">
        <v>5380</v>
      </c>
      <c r="C1432" t="s">
        <v>1796</v>
      </c>
      <c r="D1432" t="s">
        <v>506</v>
      </c>
      <c r="E1432" t="s">
        <v>4050</v>
      </c>
      <c r="G1432" t="s">
        <v>5381</v>
      </c>
    </row>
    <row r="1433" spans="2:7" x14ac:dyDescent="0.3">
      <c r="B1433" t="s">
        <v>5382</v>
      </c>
      <c r="C1433" t="s">
        <v>1796</v>
      </c>
      <c r="D1433" t="s">
        <v>506</v>
      </c>
      <c r="E1433" t="s">
        <v>4050</v>
      </c>
      <c r="G1433" t="s">
        <v>5383</v>
      </c>
    </row>
    <row r="1434" spans="2:7" x14ac:dyDescent="0.3">
      <c r="B1434" t="s">
        <v>5384</v>
      </c>
      <c r="C1434" t="s">
        <v>1796</v>
      </c>
      <c r="D1434" t="s">
        <v>506</v>
      </c>
      <c r="E1434" t="s">
        <v>4050</v>
      </c>
      <c r="G1434" t="s">
        <v>5385</v>
      </c>
    </row>
    <row r="1435" spans="2:7" x14ac:dyDescent="0.3">
      <c r="B1435" t="s">
        <v>5386</v>
      </c>
      <c r="C1435" t="s">
        <v>1796</v>
      </c>
      <c r="D1435" t="s">
        <v>506</v>
      </c>
      <c r="E1435" t="s">
        <v>4050</v>
      </c>
      <c r="G1435" t="s">
        <v>5387</v>
      </c>
    </row>
    <row r="1436" spans="2:7" x14ac:dyDescent="0.3">
      <c r="B1436" t="s">
        <v>5388</v>
      </c>
      <c r="C1436" t="s">
        <v>1796</v>
      </c>
      <c r="D1436" t="s">
        <v>506</v>
      </c>
      <c r="E1436" t="s">
        <v>4050</v>
      </c>
      <c r="G1436" t="s">
        <v>5389</v>
      </c>
    </row>
    <row r="1437" spans="2:7" x14ac:dyDescent="0.3">
      <c r="B1437" t="s">
        <v>5390</v>
      </c>
      <c r="C1437" t="s">
        <v>1796</v>
      </c>
      <c r="D1437" t="s">
        <v>506</v>
      </c>
      <c r="E1437" t="s">
        <v>4050</v>
      </c>
      <c r="G1437" t="s">
        <v>5389</v>
      </c>
    </row>
    <row r="1438" spans="2:7" x14ac:dyDescent="0.3">
      <c r="B1438" t="s">
        <v>5391</v>
      </c>
      <c r="C1438" t="s">
        <v>1796</v>
      </c>
      <c r="D1438" t="s">
        <v>506</v>
      </c>
      <c r="E1438" t="s">
        <v>4050</v>
      </c>
      <c r="G1438" t="s">
        <v>5389</v>
      </c>
    </row>
    <row r="1439" spans="2:7" x14ac:dyDescent="0.3">
      <c r="B1439" t="s">
        <v>5392</v>
      </c>
      <c r="C1439" t="s">
        <v>1796</v>
      </c>
      <c r="D1439" t="s">
        <v>506</v>
      </c>
      <c r="E1439" t="s">
        <v>4050</v>
      </c>
      <c r="G1439" t="s">
        <v>5393</v>
      </c>
    </row>
    <row r="1440" spans="2:7" x14ac:dyDescent="0.3">
      <c r="B1440" t="s">
        <v>5394</v>
      </c>
      <c r="C1440" t="s">
        <v>1796</v>
      </c>
      <c r="D1440" t="s">
        <v>506</v>
      </c>
      <c r="E1440" t="s">
        <v>4050</v>
      </c>
      <c r="G1440" t="s">
        <v>5395</v>
      </c>
    </row>
    <row r="1441" spans="2:7" x14ac:dyDescent="0.3">
      <c r="B1441" t="s">
        <v>5396</v>
      </c>
      <c r="C1441" t="s">
        <v>1796</v>
      </c>
      <c r="D1441" t="s">
        <v>506</v>
      </c>
      <c r="E1441" t="s">
        <v>4050</v>
      </c>
      <c r="G1441" t="s">
        <v>5397</v>
      </c>
    </row>
    <row r="1442" spans="2:7" x14ac:dyDescent="0.3">
      <c r="B1442" t="s">
        <v>5398</v>
      </c>
      <c r="C1442" t="s">
        <v>1796</v>
      </c>
      <c r="D1442" t="s">
        <v>506</v>
      </c>
      <c r="E1442" t="s">
        <v>4050</v>
      </c>
      <c r="G1442" t="s">
        <v>5399</v>
      </c>
    </row>
    <row r="1443" spans="2:7" x14ac:dyDescent="0.3">
      <c r="B1443" t="s">
        <v>5400</v>
      </c>
      <c r="C1443" t="s">
        <v>1796</v>
      </c>
      <c r="D1443" t="s">
        <v>506</v>
      </c>
      <c r="E1443" t="s">
        <v>4050</v>
      </c>
      <c r="G1443" t="s">
        <v>5401</v>
      </c>
    </row>
    <row r="1444" spans="2:7" x14ac:dyDescent="0.3">
      <c r="B1444" t="s">
        <v>5402</v>
      </c>
      <c r="C1444" t="s">
        <v>1796</v>
      </c>
      <c r="D1444" t="s">
        <v>506</v>
      </c>
      <c r="E1444" t="s">
        <v>4050</v>
      </c>
      <c r="G1444" t="s">
        <v>5403</v>
      </c>
    </row>
    <row r="1445" spans="2:7" x14ac:dyDescent="0.3">
      <c r="B1445" t="s">
        <v>5404</v>
      </c>
      <c r="C1445" t="s">
        <v>1796</v>
      </c>
      <c r="D1445" t="s">
        <v>506</v>
      </c>
      <c r="E1445" t="s">
        <v>4050</v>
      </c>
      <c r="G1445" t="s">
        <v>5405</v>
      </c>
    </row>
    <row r="1446" spans="2:7" x14ac:dyDescent="0.3">
      <c r="B1446" t="s">
        <v>5406</v>
      </c>
      <c r="C1446" t="s">
        <v>1796</v>
      </c>
      <c r="D1446" t="s">
        <v>506</v>
      </c>
      <c r="E1446" t="s">
        <v>4050</v>
      </c>
      <c r="G1446" t="s">
        <v>5407</v>
      </c>
    </row>
    <row r="1447" spans="2:7" x14ac:dyDescent="0.3">
      <c r="B1447" t="s">
        <v>5408</v>
      </c>
      <c r="C1447" t="s">
        <v>1796</v>
      </c>
      <c r="D1447" t="s">
        <v>506</v>
      </c>
      <c r="E1447" t="s">
        <v>4050</v>
      </c>
      <c r="G1447" t="s">
        <v>5409</v>
      </c>
    </row>
    <row r="1448" spans="2:7" x14ac:dyDescent="0.3">
      <c r="B1448" t="s">
        <v>5410</v>
      </c>
      <c r="C1448" t="s">
        <v>1796</v>
      </c>
      <c r="D1448" t="s">
        <v>506</v>
      </c>
      <c r="E1448" t="s">
        <v>4050</v>
      </c>
      <c r="G1448" t="s">
        <v>5411</v>
      </c>
    </row>
    <row r="1449" spans="2:7" x14ac:dyDescent="0.3">
      <c r="B1449" t="s">
        <v>5412</v>
      </c>
      <c r="C1449" t="s">
        <v>1796</v>
      </c>
      <c r="D1449" t="s">
        <v>506</v>
      </c>
      <c r="E1449" t="s">
        <v>4050</v>
      </c>
      <c r="G1449" t="s">
        <v>5413</v>
      </c>
    </row>
    <row r="1450" spans="2:7" x14ac:dyDescent="0.3">
      <c r="B1450" t="s">
        <v>5414</v>
      </c>
      <c r="C1450" t="s">
        <v>1796</v>
      </c>
      <c r="D1450" t="s">
        <v>506</v>
      </c>
      <c r="E1450" t="s">
        <v>4050</v>
      </c>
      <c r="G1450" t="s">
        <v>5413</v>
      </c>
    </row>
    <row r="1451" spans="2:7" x14ac:dyDescent="0.3">
      <c r="B1451" t="s">
        <v>5415</v>
      </c>
      <c r="C1451" t="s">
        <v>1796</v>
      </c>
      <c r="D1451" t="s">
        <v>506</v>
      </c>
      <c r="E1451" t="s">
        <v>4050</v>
      </c>
      <c r="G1451" t="s">
        <v>5416</v>
      </c>
    </row>
    <row r="1452" spans="2:7" x14ac:dyDescent="0.3">
      <c r="B1452" t="s">
        <v>5417</v>
      </c>
      <c r="C1452" t="s">
        <v>1796</v>
      </c>
      <c r="D1452" t="s">
        <v>506</v>
      </c>
      <c r="E1452" t="s">
        <v>4050</v>
      </c>
      <c r="G1452" t="s">
        <v>5409</v>
      </c>
    </row>
    <row r="1453" spans="2:7" x14ac:dyDescent="0.3">
      <c r="B1453" t="s">
        <v>5418</v>
      </c>
      <c r="C1453" t="s">
        <v>1796</v>
      </c>
      <c r="D1453" t="s">
        <v>506</v>
      </c>
      <c r="E1453" t="s">
        <v>4050</v>
      </c>
      <c r="G1453" t="s">
        <v>5419</v>
      </c>
    </row>
    <row r="1454" spans="2:7" x14ac:dyDescent="0.3">
      <c r="B1454" t="s">
        <v>5420</v>
      </c>
      <c r="C1454" t="s">
        <v>1796</v>
      </c>
      <c r="D1454" t="s">
        <v>506</v>
      </c>
      <c r="E1454" t="s">
        <v>4050</v>
      </c>
      <c r="G1454" t="s">
        <v>5419</v>
      </c>
    </row>
    <row r="1455" spans="2:7" x14ac:dyDescent="0.3">
      <c r="B1455" t="s">
        <v>5421</v>
      </c>
      <c r="C1455" t="s">
        <v>1796</v>
      </c>
      <c r="D1455" t="s">
        <v>506</v>
      </c>
      <c r="E1455" t="s">
        <v>4050</v>
      </c>
      <c r="G1455" t="s">
        <v>5422</v>
      </c>
    </row>
    <row r="1456" spans="2:7" x14ac:dyDescent="0.3">
      <c r="B1456" t="s">
        <v>5423</v>
      </c>
      <c r="C1456" t="s">
        <v>1796</v>
      </c>
      <c r="D1456" t="s">
        <v>506</v>
      </c>
      <c r="E1456" t="s">
        <v>4050</v>
      </c>
      <c r="G1456" t="s">
        <v>5422</v>
      </c>
    </row>
    <row r="1457" spans="2:7" x14ac:dyDescent="0.3">
      <c r="B1457" t="s">
        <v>5424</v>
      </c>
      <c r="C1457" t="s">
        <v>1796</v>
      </c>
      <c r="D1457" t="s">
        <v>506</v>
      </c>
      <c r="E1457" t="s">
        <v>4050</v>
      </c>
      <c r="G1457" t="s">
        <v>5422</v>
      </c>
    </row>
    <row r="1458" spans="2:7" x14ac:dyDescent="0.3">
      <c r="B1458" t="s">
        <v>5425</v>
      </c>
      <c r="C1458" t="s">
        <v>1796</v>
      </c>
      <c r="D1458" t="s">
        <v>506</v>
      </c>
      <c r="E1458" t="s">
        <v>4050</v>
      </c>
      <c r="G1458" t="s">
        <v>5426</v>
      </c>
    </row>
    <row r="1459" spans="2:7" x14ac:dyDescent="0.3">
      <c r="B1459" t="s">
        <v>5427</v>
      </c>
      <c r="C1459" t="s">
        <v>1796</v>
      </c>
      <c r="D1459" t="s">
        <v>506</v>
      </c>
      <c r="E1459" t="s">
        <v>4050</v>
      </c>
      <c r="G1459" t="s">
        <v>5428</v>
      </c>
    </row>
    <row r="1460" spans="2:7" x14ac:dyDescent="0.3">
      <c r="B1460" t="s">
        <v>5429</v>
      </c>
      <c r="C1460" t="s">
        <v>1796</v>
      </c>
      <c r="D1460" t="s">
        <v>506</v>
      </c>
      <c r="E1460" t="s">
        <v>4050</v>
      </c>
      <c r="G1460" t="s">
        <v>5430</v>
      </c>
    </row>
    <row r="1461" spans="2:7" x14ac:dyDescent="0.3">
      <c r="B1461" t="s">
        <v>5431</v>
      </c>
      <c r="C1461" t="s">
        <v>1796</v>
      </c>
      <c r="D1461" t="s">
        <v>506</v>
      </c>
      <c r="E1461" t="s">
        <v>4050</v>
      </c>
      <c r="G1461" t="s">
        <v>5432</v>
      </c>
    </row>
    <row r="1462" spans="2:7" x14ac:dyDescent="0.3">
      <c r="B1462" t="s">
        <v>5433</v>
      </c>
      <c r="C1462" t="s">
        <v>1796</v>
      </c>
      <c r="D1462" t="s">
        <v>506</v>
      </c>
      <c r="E1462" t="s">
        <v>4050</v>
      </c>
      <c r="G1462" t="s">
        <v>5434</v>
      </c>
    </row>
    <row r="1463" spans="2:7" x14ac:dyDescent="0.3">
      <c r="B1463" t="s">
        <v>5435</v>
      </c>
      <c r="C1463" t="s">
        <v>1796</v>
      </c>
      <c r="D1463" t="s">
        <v>506</v>
      </c>
      <c r="E1463" t="s">
        <v>4050</v>
      </c>
      <c r="G1463" t="s">
        <v>5436</v>
      </c>
    </row>
    <row r="1464" spans="2:7" x14ac:dyDescent="0.3">
      <c r="B1464" t="s">
        <v>5437</v>
      </c>
      <c r="C1464" t="s">
        <v>1796</v>
      </c>
      <c r="D1464" t="s">
        <v>506</v>
      </c>
      <c r="E1464" t="s">
        <v>4050</v>
      </c>
      <c r="G1464" t="s">
        <v>5438</v>
      </c>
    </row>
    <row r="1465" spans="2:7" x14ac:dyDescent="0.3">
      <c r="B1465" t="s">
        <v>5439</v>
      </c>
      <c r="C1465" t="s">
        <v>1796</v>
      </c>
      <c r="D1465" t="s">
        <v>506</v>
      </c>
      <c r="E1465" t="s">
        <v>4050</v>
      </c>
      <c r="G1465" t="s">
        <v>5440</v>
      </c>
    </row>
    <row r="1466" spans="2:7" x14ac:dyDescent="0.3">
      <c r="B1466" t="s">
        <v>5441</v>
      </c>
      <c r="C1466" t="s">
        <v>1796</v>
      </c>
      <c r="D1466" t="s">
        <v>506</v>
      </c>
      <c r="E1466" t="s">
        <v>4050</v>
      </c>
      <c r="G1466" t="s">
        <v>5442</v>
      </c>
    </row>
    <row r="1467" spans="2:7" x14ac:dyDescent="0.3">
      <c r="B1467" t="s">
        <v>5443</v>
      </c>
      <c r="C1467" t="s">
        <v>1796</v>
      </c>
      <c r="D1467" t="s">
        <v>506</v>
      </c>
      <c r="E1467" t="s">
        <v>4050</v>
      </c>
      <c r="G1467" t="s">
        <v>5444</v>
      </c>
    </row>
    <row r="1468" spans="2:7" x14ac:dyDescent="0.3">
      <c r="B1468" t="s">
        <v>5445</v>
      </c>
      <c r="C1468" t="s">
        <v>1796</v>
      </c>
      <c r="D1468" t="s">
        <v>506</v>
      </c>
      <c r="E1468" t="s">
        <v>4050</v>
      </c>
      <c r="G1468" t="s">
        <v>5446</v>
      </c>
    </row>
    <row r="1469" spans="2:7" x14ac:dyDescent="0.3">
      <c r="B1469" t="s">
        <v>5447</v>
      </c>
      <c r="C1469" t="s">
        <v>1796</v>
      </c>
      <c r="D1469" t="s">
        <v>506</v>
      </c>
      <c r="E1469" t="s">
        <v>4050</v>
      </c>
      <c r="G1469" t="s">
        <v>5448</v>
      </c>
    </row>
    <row r="1470" spans="2:7" x14ac:dyDescent="0.3">
      <c r="B1470" t="s">
        <v>5449</v>
      </c>
      <c r="C1470" t="s">
        <v>1796</v>
      </c>
      <c r="D1470" t="s">
        <v>506</v>
      </c>
      <c r="E1470" t="s">
        <v>4050</v>
      </c>
      <c r="G1470" t="s">
        <v>5450</v>
      </c>
    </row>
    <row r="1471" spans="2:7" x14ac:dyDescent="0.3">
      <c r="B1471" t="s">
        <v>5451</v>
      </c>
      <c r="C1471" t="s">
        <v>1796</v>
      </c>
      <c r="D1471" t="s">
        <v>506</v>
      </c>
      <c r="E1471" t="s">
        <v>4050</v>
      </c>
      <c r="G1471" t="s">
        <v>5452</v>
      </c>
    </row>
    <row r="1472" spans="2:7" x14ac:dyDescent="0.3">
      <c r="B1472" t="s">
        <v>5453</v>
      </c>
      <c r="C1472" t="s">
        <v>1796</v>
      </c>
      <c r="D1472" t="s">
        <v>506</v>
      </c>
      <c r="E1472" t="s">
        <v>4050</v>
      </c>
      <c r="G1472" t="s">
        <v>5454</v>
      </c>
    </row>
    <row r="1473" spans="2:7" x14ac:dyDescent="0.3">
      <c r="B1473" t="s">
        <v>5455</v>
      </c>
      <c r="C1473" t="s">
        <v>1796</v>
      </c>
      <c r="D1473" t="s">
        <v>506</v>
      </c>
      <c r="E1473" t="s">
        <v>4050</v>
      </c>
      <c r="G1473" t="s">
        <v>5456</v>
      </c>
    </row>
  </sheetData>
  <pageMargins left="0.511811024" right="0.511811024" top="0.78740157499999996" bottom="0.78740157499999996" header="0.31496062000000002" footer="0.31496062000000002"/>
  <legacy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D2929-46F3-4728-9808-7A070406338D}">
  <dimension ref="A1:M11175"/>
  <sheetViews>
    <sheetView workbookViewId="0">
      <selection activeCell="K7" sqref="K7"/>
    </sheetView>
  </sheetViews>
  <sheetFormatPr defaultRowHeight="13" x14ac:dyDescent="0.3"/>
  <cols>
    <col min="1" max="1" width="14.09765625" bestFit="1" customWidth="1"/>
    <col min="2" max="2" width="54" bestFit="1" customWidth="1"/>
    <col min="8" max="8" width="17.3984375" bestFit="1" customWidth="1"/>
    <col min="9" max="9" width="16.8984375" bestFit="1" customWidth="1"/>
    <col min="10" max="10" width="14" bestFit="1" customWidth="1"/>
    <col min="11" max="11" width="77.3984375" bestFit="1" customWidth="1"/>
    <col min="12" max="12" width="36.8984375" bestFit="1" customWidth="1"/>
  </cols>
  <sheetData>
    <row r="1" spans="1:13" x14ac:dyDescent="0.3">
      <c r="A1" t="s">
        <v>5457</v>
      </c>
      <c r="B1" t="s">
        <v>27</v>
      </c>
      <c r="C1" t="s">
        <v>5458</v>
      </c>
      <c r="D1" t="s">
        <v>5459</v>
      </c>
      <c r="E1" t="s">
        <v>5460</v>
      </c>
      <c r="F1" t="s">
        <v>5461</v>
      </c>
      <c r="G1" t="s">
        <v>5462</v>
      </c>
      <c r="H1" t="s">
        <v>5463</v>
      </c>
      <c r="I1" t="s">
        <v>5464</v>
      </c>
      <c r="J1" t="s">
        <v>5465</v>
      </c>
      <c r="K1" t="s">
        <v>5466</v>
      </c>
      <c r="L1" t="s">
        <v>5467</v>
      </c>
      <c r="M1" t="s">
        <v>5468</v>
      </c>
    </row>
    <row r="2" spans="1:13" x14ac:dyDescent="0.3">
      <c r="A2" t="s">
        <v>3388</v>
      </c>
      <c r="B2" t="s">
        <v>5469</v>
      </c>
      <c r="C2" t="s">
        <v>5470</v>
      </c>
      <c r="D2" t="s">
        <v>4119</v>
      </c>
      <c r="E2" t="s">
        <v>5471</v>
      </c>
      <c r="F2" t="s">
        <v>5472</v>
      </c>
      <c r="G2" t="s">
        <v>5473</v>
      </c>
      <c r="H2" t="s">
        <v>5474</v>
      </c>
      <c r="I2" t="s">
        <v>5475</v>
      </c>
      <c r="J2" t="s">
        <v>5476</v>
      </c>
      <c r="K2" t="s">
        <v>5477</v>
      </c>
      <c r="L2" t="s">
        <v>5478</v>
      </c>
      <c r="M2" t="s">
        <v>5471</v>
      </c>
    </row>
    <row r="3" spans="1:13" x14ac:dyDescent="0.3">
      <c r="A3" t="s">
        <v>3388</v>
      </c>
      <c r="B3" t="s">
        <v>5479</v>
      </c>
      <c r="C3" t="s">
        <v>5470</v>
      </c>
      <c r="D3" t="s">
        <v>4058</v>
      </c>
      <c r="E3" t="s">
        <v>5480</v>
      </c>
      <c r="F3" t="s">
        <v>5481</v>
      </c>
      <c r="G3" t="s">
        <v>5482</v>
      </c>
      <c r="H3" t="s">
        <v>5474</v>
      </c>
      <c r="I3" t="s">
        <v>5483</v>
      </c>
      <c r="J3" t="s">
        <v>5484</v>
      </c>
      <c r="K3" t="s">
        <v>5471</v>
      </c>
      <c r="L3" t="s">
        <v>5485</v>
      </c>
      <c r="M3" t="s">
        <v>5471</v>
      </c>
    </row>
    <row r="4" spans="1:13" x14ac:dyDescent="0.3">
      <c r="A4" t="s">
        <v>3397</v>
      </c>
      <c r="B4" t="s">
        <v>5486</v>
      </c>
      <c r="C4" t="s">
        <v>5487</v>
      </c>
      <c r="D4" t="s">
        <v>4119</v>
      </c>
      <c r="E4" t="s">
        <v>5471</v>
      </c>
      <c r="F4" t="s">
        <v>5488</v>
      </c>
      <c r="G4" t="s">
        <v>5471</v>
      </c>
      <c r="H4" t="s">
        <v>5474</v>
      </c>
      <c r="I4" t="s">
        <v>5489</v>
      </c>
      <c r="J4" t="s">
        <v>5476</v>
      </c>
      <c r="K4" t="s">
        <v>5490</v>
      </c>
      <c r="L4" t="s">
        <v>5478</v>
      </c>
      <c r="M4" t="s">
        <v>5471</v>
      </c>
    </row>
    <row r="5" spans="1:13" x14ac:dyDescent="0.3">
      <c r="A5" t="s">
        <v>3397</v>
      </c>
      <c r="B5" t="s">
        <v>5491</v>
      </c>
      <c r="C5" t="s">
        <v>5487</v>
      </c>
      <c r="D5" t="s">
        <v>4119</v>
      </c>
      <c r="E5" t="s">
        <v>5471</v>
      </c>
      <c r="F5" t="s">
        <v>5492</v>
      </c>
      <c r="G5" t="s">
        <v>5471</v>
      </c>
      <c r="H5" t="s">
        <v>5474</v>
      </c>
      <c r="I5" t="s">
        <v>5493</v>
      </c>
      <c r="J5" t="s">
        <v>5476</v>
      </c>
      <c r="K5" t="s">
        <v>5494</v>
      </c>
      <c r="L5" t="s">
        <v>5478</v>
      </c>
      <c r="M5" t="s">
        <v>5471</v>
      </c>
    </row>
    <row r="6" spans="1:13" x14ac:dyDescent="0.3">
      <c r="A6" t="s">
        <v>3397</v>
      </c>
      <c r="B6" t="s">
        <v>5495</v>
      </c>
      <c r="C6" t="s">
        <v>5487</v>
      </c>
      <c r="D6" t="s">
        <v>4119</v>
      </c>
      <c r="E6" t="s">
        <v>5471</v>
      </c>
      <c r="F6" t="s">
        <v>5496</v>
      </c>
      <c r="G6" t="s">
        <v>5471</v>
      </c>
      <c r="H6" t="s">
        <v>5474</v>
      </c>
      <c r="I6" t="s">
        <v>5497</v>
      </c>
      <c r="J6" t="s">
        <v>5476</v>
      </c>
      <c r="K6" t="s">
        <v>5498</v>
      </c>
      <c r="L6" t="s">
        <v>5478</v>
      </c>
      <c r="M6" t="s">
        <v>5471</v>
      </c>
    </row>
    <row r="7" spans="1:13" x14ac:dyDescent="0.3">
      <c r="A7" t="s">
        <v>3397</v>
      </c>
      <c r="B7" t="s">
        <v>5499</v>
      </c>
      <c r="C7" t="s">
        <v>5487</v>
      </c>
      <c r="D7" t="s">
        <v>4119</v>
      </c>
      <c r="E7" t="s">
        <v>5471</v>
      </c>
      <c r="F7" t="s">
        <v>5500</v>
      </c>
      <c r="G7" t="s">
        <v>5471</v>
      </c>
      <c r="H7" t="s">
        <v>5474</v>
      </c>
      <c r="I7" t="s">
        <v>5501</v>
      </c>
      <c r="J7" t="s">
        <v>5476</v>
      </c>
      <c r="K7" t="s">
        <v>5502</v>
      </c>
      <c r="L7" t="s">
        <v>5478</v>
      </c>
      <c r="M7" t="s">
        <v>5471</v>
      </c>
    </row>
    <row r="8" spans="1:13" x14ac:dyDescent="0.3">
      <c r="A8" t="s">
        <v>3397</v>
      </c>
      <c r="B8" t="s">
        <v>5503</v>
      </c>
      <c r="C8" t="s">
        <v>5487</v>
      </c>
      <c r="D8" t="s">
        <v>4119</v>
      </c>
      <c r="E8" t="s">
        <v>5471</v>
      </c>
      <c r="F8" t="s">
        <v>5504</v>
      </c>
      <c r="G8" t="s">
        <v>5471</v>
      </c>
      <c r="H8" t="s">
        <v>5474</v>
      </c>
      <c r="I8" t="s">
        <v>5505</v>
      </c>
      <c r="J8" t="s">
        <v>5476</v>
      </c>
      <c r="K8" t="s">
        <v>5506</v>
      </c>
      <c r="L8" t="s">
        <v>5478</v>
      </c>
      <c r="M8" t="s">
        <v>5471</v>
      </c>
    </row>
    <row r="9" spans="1:13" x14ac:dyDescent="0.3">
      <c r="A9" t="s">
        <v>3397</v>
      </c>
      <c r="B9" t="s">
        <v>5507</v>
      </c>
      <c r="C9" t="s">
        <v>5487</v>
      </c>
      <c r="D9" t="s">
        <v>4119</v>
      </c>
      <c r="E9" t="s">
        <v>5471</v>
      </c>
      <c r="F9" t="s">
        <v>5508</v>
      </c>
      <c r="G9" t="s">
        <v>5471</v>
      </c>
      <c r="H9" t="s">
        <v>5474</v>
      </c>
      <c r="I9" t="s">
        <v>5509</v>
      </c>
      <c r="J9" t="s">
        <v>5476</v>
      </c>
      <c r="K9" t="s">
        <v>5510</v>
      </c>
      <c r="L9" t="s">
        <v>5478</v>
      </c>
      <c r="M9" t="s">
        <v>5471</v>
      </c>
    </row>
    <row r="10" spans="1:13" x14ac:dyDescent="0.3">
      <c r="A10" t="s">
        <v>3397</v>
      </c>
      <c r="B10" t="s">
        <v>5507</v>
      </c>
      <c r="C10" t="s">
        <v>5487</v>
      </c>
      <c r="D10" t="s">
        <v>4119</v>
      </c>
      <c r="E10" t="s">
        <v>5471</v>
      </c>
      <c r="F10" t="s">
        <v>5511</v>
      </c>
      <c r="G10" t="s">
        <v>5471</v>
      </c>
      <c r="H10" t="s">
        <v>5474</v>
      </c>
      <c r="I10" t="s">
        <v>5512</v>
      </c>
      <c r="J10" t="s">
        <v>5476</v>
      </c>
      <c r="K10" t="s">
        <v>5513</v>
      </c>
      <c r="L10" t="s">
        <v>5478</v>
      </c>
      <c r="M10" t="s">
        <v>5471</v>
      </c>
    </row>
    <row r="11" spans="1:13" x14ac:dyDescent="0.3">
      <c r="A11" t="s">
        <v>3397</v>
      </c>
      <c r="B11" t="s">
        <v>5514</v>
      </c>
      <c r="C11" t="s">
        <v>5487</v>
      </c>
      <c r="D11" t="s">
        <v>4119</v>
      </c>
      <c r="E11" t="s">
        <v>5471</v>
      </c>
      <c r="F11" t="s">
        <v>5515</v>
      </c>
      <c r="G11" t="s">
        <v>5471</v>
      </c>
      <c r="H11" t="s">
        <v>5474</v>
      </c>
      <c r="I11" t="s">
        <v>5516</v>
      </c>
      <c r="J11" t="s">
        <v>5476</v>
      </c>
      <c r="K11" t="s">
        <v>5517</v>
      </c>
      <c r="L11" t="s">
        <v>5478</v>
      </c>
      <c r="M11" t="s">
        <v>5471</v>
      </c>
    </row>
    <row r="12" spans="1:13" x14ac:dyDescent="0.3">
      <c r="A12" t="s">
        <v>3397</v>
      </c>
      <c r="B12" t="s">
        <v>5518</v>
      </c>
      <c r="C12" t="s">
        <v>5487</v>
      </c>
      <c r="D12" t="s">
        <v>4119</v>
      </c>
      <c r="E12" t="s">
        <v>5471</v>
      </c>
      <c r="F12" t="s">
        <v>5519</v>
      </c>
      <c r="G12" t="s">
        <v>5471</v>
      </c>
      <c r="H12" t="s">
        <v>5474</v>
      </c>
      <c r="I12" t="s">
        <v>5520</v>
      </c>
      <c r="J12" t="s">
        <v>5476</v>
      </c>
      <c r="K12" t="s">
        <v>5521</v>
      </c>
      <c r="L12" t="s">
        <v>5478</v>
      </c>
      <c r="M12" t="s">
        <v>5471</v>
      </c>
    </row>
    <row r="13" spans="1:13" x14ac:dyDescent="0.3">
      <c r="A13" t="s">
        <v>3388</v>
      </c>
      <c r="B13" t="s">
        <v>5522</v>
      </c>
      <c r="C13" t="s">
        <v>5470</v>
      </c>
      <c r="D13" t="s">
        <v>4058</v>
      </c>
      <c r="E13" t="s">
        <v>5471</v>
      </c>
      <c r="F13" t="s">
        <v>5523</v>
      </c>
      <c r="G13" t="s">
        <v>5482</v>
      </c>
      <c r="H13" t="s">
        <v>5474</v>
      </c>
      <c r="I13" t="s">
        <v>5524</v>
      </c>
      <c r="J13" t="s">
        <v>5476</v>
      </c>
      <c r="K13" t="s">
        <v>5525</v>
      </c>
      <c r="L13" t="s">
        <v>5485</v>
      </c>
      <c r="M13" t="s">
        <v>5471</v>
      </c>
    </row>
    <row r="14" spans="1:13" x14ac:dyDescent="0.3">
      <c r="A14" t="s">
        <v>3397</v>
      </c>
      <c r="B14" t="s">
        <v>5526</v>
      </c>
      <c r="C14" t="s">
        <v>5487</v>
      </c>
      <c r="D14" t="s">
        <v>4119</v>
      </c>
      <c r="E14" t="s">
        <v>5471</v>
      </c>
      <c r="F14" t="s">
        <v>5527</v>
      </c>
      <c r="G14" t="s">
        <v>5528</v>
      </c>
      <c r="H14" t="s">
        <v>5474</v>
      </c>
      <c r="I14" t="s">
        <v>5529</v>
      </c>
      <c r="J14" t="s">
        <v>5476</v>
      </c>
      <c r="K14" t="s">
        <v>5530</v>
      </c>
      <c r="L14" t="s">
        <v>5478</v>
      </c>
      <c r="M14" t="s">
        <v>5471</v>
      </c>
    </row>
    <row r="15" spans="1:13" x14ac:dyDescent="0.3">
      <c r="A15" t="s">
        <v>3388</v>
      </c>
      <c r="B15" t="s">
        <v>5531</v>
      </c>
      <c r="C15" t="s">
        <v>5470</v>
      </c>
      <c r="D15" t="s">
        <v>4052</v>
      </c>
      <c r="E15" t="s">
        <v>5532</v>
      </c>
      <c r="F15" t="s">
        <v>5533</v>
      </c>
      <c r="G15" t="s">
        <v>5534</v>
      </c>
      <c r="H15" t="s">
        <v>5474</v>
      </c>
      <c r="I15" t="s">
        <v>5535</v>
      </c>
      <c r="J15" t="s">
        <v>5484</v>
      </c>
      <c r="K15" t="s">
        <v>5536</v>
      </c>
      <c r="L15" t="s">
        <v>5478</v>
      </c>
      <c r="M15" t="s">
        <v>5471</v>
      </c>
    </row>
    <row r="16" spans="1:13" x14ac:dyDescent="0.3">
      <c r="A16" t="s">
        <v>3388</v>
      </c>
      <c r="B16" t="s">
        <v>5531</v>
      </c>
      <c r="C16" t="s">
        <v>5470</v>
      </c>
      <c r="D16" t="s">
        <v>4052</v>
      </c>
      <c r="E16" t="s">
        <v>5532</v>
      </c>
      <c r="F16" t="s">
        <v>5537</v>
      </c>
      <c r="G16" t="s">
        <v>5538</v>
      </c>
      <c r="H16" t="s">
        <v>5474</v>
      </c>
      <c r="I16" t="s">
        <v>5539</v>
      </c>
      <c r="J16" t="s">
        <v>5484</v>
      </c>
      <c r="K16" t="s">
        <v>5540</v>
      </c>
      <c r="L16" t="s">
        <v>5478</v>
      </c>
      <c r="M16" t="s">
        <v>5471</v>
      </c>
    </row>
    <row r="17" spans="1:13" x14ac:dyDescent="0.3">
      <c r="A17" t="s">
        <v>3388</v>
      </c>
      <c r="B17" t="s">
        <v>5531</v>
      </c>
      <c r="C17" t="s">
        <v>5470</v>
      </c>
      <c r="D17" t="s">
        <v>4052</v>
      </c>
      <c r="E17" t="s">
        <v>5532</v>
      </c>
      <c r="F17" t="s">
        <v>5541</v>
      </c>
      <c r="G17" t="s">
        <v>5542</v>
      </c>
      <c r="H17" t="s">
        <v>5474</v>
      </c>
      <c r="I17" t="s">
        <v>5543</v>
      </c>
      <c r="J17" t="s">
        <v>5484</v>
      </c>
      <c r="K17" t="s">
        <v>5544</v>
      </c>
      <c r="L17" t="s">
        <v>5478</v>
      </c>
      <c r="M17" t="s">
        <v>5471</v>
      </c>
    </row>
    <row r="18" spans="1:13" x14ac:dyDescent="0.3">
      <c r="A18" t="s">
        <v>3388</v>
      </c>
      <c r="B18" t="s">
        <v>5531</v>
      </c>
      <c r="C18" t="s">
        <v>5470</v>
      </c>
      <c r="D18" t="s">
        <v>4052</v>
      </c>
      <c r="E18" t="s">
        <v>5532</v>
      </c>
      <c r="F18" t="s">
        <v>5545</v>
      </c>
      <c r="G18" t="s">
        <v>5546</v>
      </c>
      <c r="H18" t="s">
        <v>5474</v>
      </c>
      <c r="I18" t="s">
        <v>5547</v>
      </c>
      <c r="J18" t="s">
        <v>5484</v>
      </c>
      <c r="K18" t="s">
        <v>5548</v>
      </c>
      <c r="L18" t="s">
        <v>5478</v>
      </c>
      <c r="M18" t="s">
        <v>5471</v>
      </c>
    </row>
    <row r="19" spans="1:13" x14ac:dyDescent="0.3">
      <c r="A19" t="s">
        <v>3388</v>
      </c>
      <c r="B19" t="s">
        <v>5531</v>
      </c>
      <c r="C19" t="s">
        <v>5470</v>
      </c>
      <c r="D19" t="s">
        <v>4052</v>
      </c>
      <c r="E19" t="s">
        <v>5532</v>
      </c>
      <c r="F19" t="s">
        <v>5549</v>
      </c>
      <c r="G19" t="s">
        <v>5550</v>
      </c>
      <c r="H19" t="s">
        <v>5474</v>
      </c>
      <c r="I19" t="s">
        <v>5551</v>
      </c>
      <c r="J19" t="s">
        <v>5484</v>
      </c>
      <c r="K19" t="s">
        <v>5552</v>
      </c>
      <c r="L19" t="s">
        <v>5478</v>
      </c>
      <c r="M19" t="s">
        <v>5471</v>
      </c>
    </row>
    <row r="20" spans="1:13" x14ac:dyDescent="0.3">
      <c r="A20" t="s">
        <v>3388</v>
      </c>
      <c r="B20" t="s">
        <v>5531</v>
      </c>
      <c r="C20" t="s">
        <v>5470</v>
      </c>
      <c r="D20" t="s">
        <v>4052</v>
      </c>
      <c r="E20" t="s">
        <v>5532</v>
      </c>
      <c r="F20" t="s">
        <v>5553</v>
      </c>
      <c r="G20" t="s">
        <v>5554</v>
      </c>
      <c r="H20" t="s">
        <v>5474</v>
      </c>
      <c r="I20" t="s">
        <v>5555</v>
      </c>
      <c r="J20" t="s">
        <v>5484</v>
      </c>
      <c r="K20" t="s">
        <v>5556</v>
      </c>
      <c r="L20" t="s">
        <v>5478</v>
      </c>
      <c r="M20" t="s">
        <v>5471</v>
      </c>
    </row>
    <row r="21" spans="1:13" x14ac:dyDescent="0.3">
      <c r="A21" t="s">
        <v>3388</v>
      </c>
      <c r="B21" t="s">
        <v>5531</v>
      </c>
      <c r="C21" t="s">
        <v>5470</v>
      </c>
      <c r="D21" t="s">
        <v>4052</v>
      </c>
      <c r="E21" t="s">
        <v>5532</v>
      </c>
      <c r="F21" t="s">
        <v>5557</v>
      </c>
      <c r="G21" t="s">
        <v>5558</v>
      </c>
      <c r="H21" t="s">
        <v>5474</v>
      </c>
      <c r="I21" t="s">
        <v>5559</v>
      </c>
      <c r="J21" t="s">
        <v>5484</v>
      </c>
      <c r="K21" t="s">
        <v>5560</v>
      </c>
      <c r="L21" t="s">
        <v>5478</v>
      </c>
      <c r="M21" t="s">
        <v>5471</v>
      </c>
    </row>
    <row r="22" spans="1:13" x14ac:dyDescent="0.3">
      <c r="A22" t="s">
        <v>3383</v>
      </c>
      <c r="B22" t="s">
        <v>5561</v>
      </c>
      <c r="C22" t="s">
        <v>5470</v>
      </c>
      <c r="D22" t="s">
        <v>4056</v>
      </c>
      <c r="E22" t="s">
        <v>5471</v>
      </c>
      <c r="F22" t="s">
        <v>5562</v>
      </c>
      <c r="G22" t="s">
        <v>5471</v>
      </c>
      <c r="H22" t="s">
        <v>5474</v>
      </c>
      <c r="I22" t="s">
        <v>5563</v>
      </c>
      <c r="J22" t="s">
        <v>5484</v>
      </c>
      <c r="K22" t="s">
        <v>5471</v>
      </c>
      <c r="L22" t="s">
        <v>5485</v>
      </c>
      <c r="M22" t="s">
        <v>5471</v>
      </c>
    </row>
    <row r="23" spans="1:13" x14ac:dyDescent="0.3">
      <c r="A23" t="s">
        <v>3388</v>
      </c>
      <c r="B23" t="s">
        <v>5531</v>
      </c>
      <c r="C23" t="s">
        <v>5470</v>
      </c>
      <c r="D23" t="s">
        <v>4058</v>
      </c>
      <c r="E23" t="s">
        <v>5532</v>
      </c>
      <c r="F23" t="s">
        <v>5564</v>
      </c>
      <c r="G23" t="s">
        <v>5565</v>
      </c>
      <c r="H23" t="s">
        <v>5474</v>
      </c>
      <c r="I23" t="s">
        <v>5566</v>
      </c>
      <c r="J23" t="s">
        <v>5484</v>
      </c>
      <c r="K23" t="s">
        <v>5567</v>
      </c>
      <c r="L23" t="s">
        <v>5478</v>
      </c>
      <c r="M23" t="s">
        <v>5471</v>
      </c>
    </row>
    <row r="24" spans="1:13" x14ac:dyDescent="0.3">
      <c r="A24" t="s">
        <v>3388</v>
      </c>
      <c r="B24" t="s">
        <v>5531</v>
      </c>
      <c r="C24" t="s">
        <v>5470</v>
      </c>
      <c r="D24" t="s">
        <v>4058</v>
      </c>
      <c r="E24" t="s">
        <v>5532</v>
      </c>
      <c r="F24" t="s">
        <v>5568</v>
      </c>
      <c r="G24" t="s">
        <v>5538</v>
      </c>
      <c r="H24" t="s">
        <v>5474</v>
      </c>
      <c r="I24" t="s">
        <v>5569</v>
      </c>
      <c r="J24" t="s">
        <v>5484</v>
      </c>
      <c r="K24" t="s">
        <v>5570</v>
      </c>
      <c r="L24" t="s">
        <v>5478</v>
      </c>
      <c r="M24" t="s">
        <v>5471</v>
      </c>
    </row>
    <row r="25" spans="1:13" x14ac:dyDescent="0.3">
      <c r="A25" t="s">
        <v>3388</v>
      </c>
      <c r="B25" t="s">
        <v>5531</v>
      </c>
      <c r="C25" t="s">
        <v>5470</v>
      </c>
      <c r="D25" t="s">
        <v>4058</v>
      </c>
      <c r="E25" t="s">
        <v>5532</v>
      </c>
      <c r="F25" t="s">
        <v>5571</v>
      </c>
      <c r="G25" t="s">
        <v>5546</v>
      </c>
      <c r="H25" t="s">
        <v>5474</v>
      </c>
      <c r="I25" t="s">
        <v>5572</v>
      </c>
      <c r="J25" t="s">
        <v>5484</v>
      </c>
      <c r="K25" t="s">
        <v>5573</v>
      </c>
      <c r="L25" t="s">
        <v>5478</v>
      </c>
      <c r="M25" t="s">
        <v>5471</v>
      </c>
    </row>
    <row r="26" spans="1:13" x14ac:dyDescent="0.3">
      <c r="A26" t="s">
        <v>3388</v>
      </c>
      <c r="B26" t="s">
        <v>5531</v>
      </c>
      <c r="C26" t="s">
        <v>5470</v>
      </c>
      <c r="D26" t="s">
        <v>4058</v>
      </c>
      <c r="E26" t="s">
        <v>5532</v>
      </c>
      <c r="F26" t="s">
        <v>5574</v>
      </c>
      <c r="G26" t="s">
        <v>5542</v>
      </c>
      <c r="H26" t="s">
        <v>5474</v>
      </c>
      <c r="I26" t="s">
        <v>5575</v>
      </c>
      <c r="J26" t="s">
        <v>5484</v>
      </c>
      <c r="K26" t="s">
        <v>5576</v>
      </c>
      <c r="L26" t="s">
        <v>5478</v>
      </c>
      <c r="M26" t="s">
        <v>5471</v>
      </c>
    </row>
    <row r="27" spans="1:13" x14ac:dyDescent="0.3">
      <c r="A27" t="s">
        <v>3388</v>
      </c>
      <c r="B27" t="s">
        <v>5531</v>
      </c>
      <c r="C27" t="s">
        <v>5470</v>
      </c>
      <c r="D27" t="s">
        <v>4058</v>
      </c>
      <c r="E27" t="s">
        <v>5532</v>
      </c>
      <c r="F27" t="s">
        <v>5577</v>
      </c>
      <c r="G27" t="s">
        <v>5550</v>
      </c>
      <c r="H27" t="s">
        <v>5474</v>
      </c>
      <c r="I27" t="s">
        <v>5578</v>
      </c>
      <c r="J27" t="s">
        <v>5484</v>
      </c>
      <c r="K27" t="s">
        <v>5579</v>
      </c>
      <c r="L27" t="s">
        <v>5478</v>
      </c>
      <c r="M27" t="s">
        <v>5471</v>
      </c>
    </row>
    <row r="28" spans="1:13" x14ac:dyDescent="0.3">
      <c r="A28" t="s">
        <v>3388</v>
      </c>
      <c r="B28" t="s">
        <v>5531</v>
      </c>
      <c r="C28" t="s">
        <v>5470</v>
      </c>
      <c r="D28" t="s">
        <v>4058</v>
      </c>
      <c r="E28" t="s">
        <v>5532</v>
      </c>
      <c r="F28" t="s">
        <v>5580</v>
      </c>
      <c r="G28" t="s">
        <v>5554</v>
      </c>
      <c r="H28" t="s">
        <v>5474</v>
      </c>
      <c r="I28" t="s">
        <v>5581</v>
      </c>
      <c r="J28" t="s">
        <v>5484</v>
      </c>
      <c r="K28" t="s">
        <v>5582</v>
      </c>
      <c r="L28" t="s">
        <v>5478</v>
      </c>
      <c r="M28" t="s">
        <v>5471</v>
      </c>
    </row>
    <row r="29" spans="1:13" x14ac:dyDescent="0.3">
      <c r="A29" t="s">
        <v>3388</v>
      </c>
      <c r="B29" t="s">
        <v>5531</v>
      </c>
      <c r="C29" t="s">
        <v>5470</v>
      </c>
      <c r="D29" t="s">
        <v>4058</v>
      </c>
      <c r="E29" t="s">
        <v>5532</v>
      </c>
      <c r="F29" t="s">
        <v>5583</v>
      </c>
      <c r="G29" t="s">
        <v>5558</v>
      </c>
      <c r="H29" t="s">
        <v>5474</v>
      </c>
      <c r="I29" t="s">
        <v>5584</v>
      </c>
      <c r="J29" t="s">
        <v>5484</v>
      </c>
      <c r="K29" t="s">
        <v>5585</v>
      </c>
      <c r="L29" t="s">
        <v>5478</v>
      </c>
      <c r="M29" t="s">
        <v>5471</v>
      </c>
    </row>
    <row r="30" spans="1:13" x14ac:dyDescent="0.3">
      <c r="A30" t="s">
        <v>3383</v>
      </c>
      <c r="B30" t="s">
        <v>5586</v>
      </c>
      <c r="C30" t="s">
        <v>5487</v>
      </c>
      <c r="D30" t="s">
        <v>4175</v>
      </c>
      <c r="E30" t="s">
        <v>5532</v>
      </c>
      <c r="F30" t="s">
        <v>5587</v>
      </c>
      <c r="G30" t="s">
        <v>4175</v>
      </c>
      <c r="H30" t="s">
        <v>5474</v>
      </c>
      <c r="I30" t="s">
        <v>5588</v>
      </c>
      <c r="J30" t="s">
        <v>5476</v>
      </c>
      <c r="K30" t="s">
        <v>5471</v>
      </c>
      <c r="L30" t="s">
        <v>5485</v>
      </c>
      <c r="M30" t="s">
        <v>5471</v>
      </c>
    </row>
    <row r="31" spans="1:13" x14ac:dyDescent="0.3">
      <c r="A31" t="s">
        <v>3388</v>
      </c>
      <c r="B31" t="s">
        <v>5589</v>
      </c>
      <c r="C31" t="s">
        <v>5470</v>
      </c>
      <c r="D31" t="s">
        <v>4058</v>
      </c>
      <c r="E31" t="s">
        <v>5471</v>
      </c>
      <c r="F31" t="s">
        <v>5590</v>
      </c>
      <c r="G31" t="s">
        <v>5591</v>
      </c>
      <c r="H31" t="s">
        <v>5474</v>
      </c>
      <c r="I31" t="s">
        <v>5592</v>
      </c>
      <c r="J31" t="s">
        <v>5484</v>
      </c>
      <c r="K31" t="s">
        <v>5593</v>
      </c>
      <c r="L31" t="s">
        <v>5478</v>
      </c>
      <c r="M31" t="s">
        <v>5471</v>
      </c>
    </row>
    <row r="32" spans="1:13" x14ac:dyDescent="0.3">
      <c r="A32" t="s">
        <v>3397</v>
      </c>
      <c r="B32" t="s">
        <v>5594</v>
      </c>
      <c r="C32" t="s">
        <v>5487</v>
      </c>
      <c r="D32" t="s">
        <v>4052</v>
      </c>
      <c r="E32" t="s">
        <v>5595</v>
      </c>
      <c r="F32" t="s">
        <v>5596</v>
      </c>
      <c r="G32" t="s">
        <v>5597</v>
      </c>
      <c r="H32" t="s">
        <v>5474</v>
      </c>
      <c r="I32" t="s">
        <v>5598</v>
      </c>
      <c r="J32" t="s">
        <v>5476</v>
      </c>
      <c r="K32" t="s">
        <v>5599</v>
      </c>
      <c r="L32" t="s">
        <v>5478</v>
      </c>
      <c r="M32" t="s">
        <v>5471</v>
      </c>
    </row>
    <row r="33" spans="1:13" x14ac:dyDescent="0.3">
      <c r="A33" t="s">
        <v>3397</v>
      </c>
      <c r="B33" t="s">
        <v>5594</v>
      </c>
      <c r="C33" t="s">
        <v>5487</v>
      </c>
      <c r="D33" t="s">
        <v>4052</v>
      </c>
      <c r="E33" t="s">
        <v>5595</v>
      </c>
      <c r="F33" t="s">
        <v>5600</v>
      </c>
      <c r="G33" t="s">
        <v>5601</v>
      </c>
      <c r="H33" t="s">
        <v>5474</v>
      </c>
      <c r="I33" t="s">
        <v>5602</v>
      </c>
      <c r="J33" t="s">
        <v>5476</v>
      </c>
      <c r="K33" t="s">
        <v>5603</v>
      </c>
      <c r="L33" t="s">
        <v>5478</v>
      </c>
      <c r="M33" t="s">
        <v>5471</v>
      </c>
    </row>
    <row r="34" spans="1:13" x14ac:dyDescent="0.3">
      <c r="A34" t="s">
        <v>3397</v>
      </c>
      <c r="B34" t="s">
        <v>5594</v>
      </c>
      <c r="C34" t="s">
        <v>5487</v>
      </c>
      <c r="D34" t="s">
        <v>4052</v>
      </c>
      <c r="E34" t="s">
        <v>5595</v>
      </c>
      <c r="F34" t="s">
        <v>5604</v>
      </c>
      <c r="G34" t="s">
        <v>5605</v>
      </c>
      <c r="H34" t="s">
        <v>5474</v>
      </c>
      <c r="I34" t="s">
        <v>5606</v>
      </c>
      <c r="J34" t="s">
        <v>5476</v>
      </c>
      <c r="K34" t="s">
        <v>5607</v>
      </c>
      <c r="L34" t="s">
        <v>5478</v>
      </c>
      <c r="M34" t="s">
        <v>5471</v>
      </c>
    </row>
    <row r="35" spans="1:13" x14ac:dyDescent="0.3">
      <c r="A35" t="s">
        <v>3397</v>
      </c>
      <c r="B35" t="s">
        <v>5594</v>
      </c>
      <c r="C35" t="s">
        <v>5487</v>
      </c>
      <c r="D35" t="s">
        <v>4052</v>
      </c>
      <c r="E35" t="s">
        <v>5595</v>
      </c>
      <c r="F35" t="s">
        <v>5608</v>
      </c>
      <c r="G35" t="s">
        <v>5609</v>
      </c>
      <c r="H35" t="s">
        <v>5474</v>
      </c>
      <c r="I35" t="s">
        <v>5610</v>
      </c>
      <c r="J35" t="s">
        <v>5476</v>
      </c>
      <c r="K35" t="s">
        <v>5611</v>
      </c>
      <c r="L35" t="s">
        <v>5478</v>
      </c>
      <c r="M35" t="s">
        <v>5471</v>
      </c>
    </row>
    <row r="36" spans="1:13" x14ac:dyDescent="0.3">
      <c r="A36" t="s">
        <v>3397</v>
      </c>
      <c r="B36" t="s">
        <v>5594</v>
      </c>
      <c r="C36" t="s">
        <v>5487</v>
      </c>
      <c r="D36" t="s">
        <v>4052</v>
      </c>
      <c r="E36" t="s">
        <v>5595</v>
      </c>
      <c r="F36" t="s">
        <v>5612</v>
      </c>
      <c r="G36" t="s">
        <v>5613</v>
      </c>
      <c r="H36" t="s">
        <v>5474</v>
      </c>
      <c r="I36" t="s">
        <v>5614</v>
      </c>
      <c r="J36" t="s">
        <v>5476</v>
      </c>
      <c r="K36" t="s">
        <v>5615</v>
      </c>
      <c r="L36" t="s">
        <v>5478</v>
      </c>
      <c r="M36" t="s">
        <v>5471</v>
      </c>
    </row>
    <row r="37" spans="1:13" x14ac:dyDescent="0.3">
      <c r="A37" t="s">
        <v>3388</v>
      </c>
      <c r="B37" t="s">
        <v>5616</v>
      </c>
      <c r="C37" t="s">
        <v>5470</v>
      </c>
      <c r="D37" t="s">
        <v>4052</v>
      </c>
      <c r="E37" t="s">
        <v>5617</v>
      </c>
      <c r="F37" t="s">
        <v>5618</v>
      </c>
      <c r="G37" t="s">
        <v>5619</v>
      </c>
      <c r="H37" t="s">
        <v>5474</v>
      </c>
      <c r="I37" t="s">
        <v>5620</v>
      </c>
      <c r="J37" t="s">
        <v>5476</v>
      </c>
      <c r="K37" t="s">
        <v>5621</v>
      </c>
      <c r="L37" t="s">
        <v>5478</v>
      </c>
      <c r="M37" t="s">
        <v>5471</v>
      </c>
    </row>
    <row r="38" spans="1:13" x14ac:dyDescent="0.3">
      <c r="A38" t="s">
        <v>3397</v>
      </c>
      <c r="B38" t="s">
        <v>5594</v>
      </c>
      <c r="C38" t="s">
        <v>5487</v>
      </c>
      <c r="D38" t="s">
        <v>4058</v>
      </c>
      <c r="E38" t="s">
        <v>5595</v>
      </c>
      <c r="F38" t="s">
        <v>5622</v>
      </c>
      <c r="G38" t="s">
        <v>5623</v>
      </c>
      <c r="H38" t="s">
        <v>5474</v>
      </c>
      <c r="I38" t="s">
        <v>5624</v>
      </c>
      <c r="J38" t="s">
        <v>5476</v>
      </c>
      <c r="K38" t="s">
        <v>5625</v>
      </c>
      <c r="L38" t="s">
        <v>5478</v>
      </c>
      <c r="M38" t="s">
        <v>5471</v>
      </c>
    </row>
    <row r="39" spans="1:13" x14ac:dyDescent="0.3">
      <c r="A39" t="s">
        <v>3397</v>
      </c>
      <c r="B39" t="s">
        <v>5594</v>
      </c>
      <c r="C39" t="s">
        <v>5487</v>
      </c>
      <c r="D39" t="s">
        <v>4058</v>
      </c>
      <c r="E39" t="s">
        <v>5595</v>
      </c>
      <c r="F39" t="s">
        <v>5626</v>
      </c>
      <c r="G39" t="s">
        <v>5627</v>
      </c>
      <c r="H39" t="s">
        <v>5474</v>
      </c>
      <c r="I39" t="s">
        <v>5628</v>
      </c>
      <c r="J39" t="s">
        <v>5476</v>
      </c>
      <c r="K39" t="s">
        <v>5629</v>
      </c>
      <c r="L39" t="s">
        <v>5478</v>
      </c>
      <c r="M39" t="s">
        <v>5471</v>
      </c>
    </row>
    <row r="40" spans="1:13" x14ac:dyDescent="0.3">
      <c r="A40" t="s">
        <v>3397</v>
      </c>
      <c r="B40" t="s">
        <v>5594</v>
      </c>
      <c r="C40" t="s">
        <v>5487</v>
      </c>
      <c r="D40" t="s">
        <v>4058</v>
      </c>
      <c r="E40" t="s">
        <v>5595</v>
      </c>
      <c r="F40" t="s">
        <v>5630</v>
      </c>
      <c r="G40" t="s">
        <v>5631</v>
      </c>
      <c r="H40" t="s">
        <v>5474</v>
      </c>
      <c r="I40" t="s">
        <v>5632</v>
      </c>
      <c r="J40" t="s">
        <v>5476</v>
      </c>
      <c r="K40" t="s">
        <v>5633</v>
      </c>
      <c r="L40" t="s">
        <v>5478</v>
      </c>
      <c r="M40" t="s">
        <v>5471</v>
      </c>
    </row>
    <row r="41" spans="1:13" x14ac:dyDescent="0.3">
      <c r="A41" t="s">
        <v>3397</v>
      </c>
      <c r="B41" t="s">
        <v>5594</v>
      </c>
      <c r="C41" t="s">
        <v>5487</v>
      </c>
      <c r="D41" t="s">
        <v>4058</v>
      </c>
      <c r="E41" t="s">
        <v>5595</v>
      </c>
      <c r="F41" t="s">
        <v>5634</v>
      </c>
      <c r="G41" t="s">
        <v>5631</v>
      </c>
      <c r="H41" t="s">
        <v>5474</v>
      </c>
      <c r="I41" t="s">
        <v>5635</v>
      </c>
      <c r="J41" t="s">
        <v>5476</v>
      </c>
      <c r="K41" t="s">
        <v>5636</v>
      </c>
      <c r="L41" t="s">
        <v>5478</v>
      </c>
      <c r="M41" t="s">
        <v>5471</v>
      </c>
    </row>
    <row r="42" spans="1:13" x14ac:dyDescent="0.3">
      <c r="A42" t="s">
        <v>3397</v>
      </c>
      <c r="B42" t="s">
        <v>5594</v>
      </c>
      <c r="C42" t="s">
        <v>5487</v>
      </c>
      <c r="D42" t="s">
        <v>4058</v>
      </c>
      <c r="E42" t="s">
        <v>5595</v>
      </c>
      <c r="F42" t="s">
        <v>5637</v>
      </c>
      <c r="G42" t="s">
        <v>5631</v>
      </c>
      <c r="H42" t="s">
        <v>5474</v>
      </c>
      <c r="I42" t="s">
        <v>5638</v>
      </c>
      <c r="J42" t="s">
        <v>5476</v>
      </c>
      <c r="K42" t="s">
        <v>5639</v>
      </c>
      <c r="L42" t="s">
        <v>5478</v>
      </c>
      <c r="M42" t="s">
        <v>5471</v>
      </c>
    </row>
    <row r="43" spans="1:13" x14ac:dyDescent="0.3">
      <c r="A43" t="s">
        <v>3397</v>
      </c>
      <c r="B43" t="s">
        <v>5594</v>
      </c>
      <c r="C43" t="s">
        <v>5487</v>
      </c>
      <c r="D43" t="s">
        <v>4058</v>
      </c>
      <c r="E43" t="s">
        <v>5595</v>
      </c>
      <c r="F43" t="s">
        <v>5640</v>
      </c>
      <c r="G43" t="s">
        <v>5631</v>
      </c>
      <c r="H43" t="s">
        <v>5474</v>
      </c>
      <c r="I43" t="s">
        <v>5641</v>
      </c>
      <c r="J43" t="s">
        <v>5476</v>
      </c>
      <c r="K43" t="s">
        <v>5642</v>
      </c>
      <c r="L43" t="s">
        <v>5478</v>
      </c>
      <c r="M43" t="s">
        <v>5471</v>
      </c>
    </row>
    <row r="44" spans="1:13" x14ac:dyDescent="0.3">
      <c r="A44" t="s">
        <v>3388</v>
      </c>
      <c r="B44" t="s">
        <v>2749</v>
      </c>
      <c r="C44" t="s">
        <v>5470</v>
      </c>
      <c r="D44" t="s">
        <v>4058</v>
      </c>
      <c r="E44" t="s">
        <v>5643</v>
      </c>
      <c r="F44" t="s">
        <v>5644</v>
      </c>
      <c r="G44" t="s">
        <v>5645</v>
      </c>
      <c r="H44" t="s">
        <v>5474</v>
      </c>
      <c r="I44" t="s">
        <v>5646</v>
      </c>
      <c r="J44" t="s">
        <v>5484</v>
      </c>
      <c r="K44" t="s">
        <v>5647</v>
      </c>
      <c r="L44" t="s">
        <v>5478</v>
      </c>
      <c r="M44" t="s">
        <v>5471</v>
      </c>
    </row>
    <row r="45" spans="1:13" x14ac:dyDescent="0.3">
      <c r="A45" t="s">
        <v>3397</v>
      </c>
      <c r="B45" t="s">
        <v>5594</v>
      </c>
      <c r="C45" t="s">
        <v>5487</v>
      </c>
      <c r="D45" t="s">
        <v>4058</v>
      </c>
      <c r="E45" t="s">
        <v>5595</v>
      </c>
      <c r="F45" t="s">
        <v>5648</v>
      </c>
      <c r="G45" t="s">
        <v>5649</v>
      </c>
      <c r="H45" t="s">
        <v>5474</v>
      </c>
      <c r="I45" t="s">
        <v>5650</v>
      </c>
      <c r="J45" t="s">
        <v>5476</v>
      </c>
      <c r="K45" t="s">
        <v>5651</v>
      </c>
      <c r="L45" t="s">
        <v>5478</v>
      </c>
      <c r="M45" t="s">
        <v>5471</v>
      </c>
    </row>
    <row r="46" spans="1:13" x14ac:dyDescent="0.3">
      <c r="A46" t="s">
        <v>3397</v>
      </c>
      <c r="B46" t="s">
        <v>5594</v>
      </c>
      <c r="C46" t="s">
        <v>5487</v>
      </c>
      <c r="D46" t="s">
        <v>4058</v>
      </c>
      <c r="E46" t="s">
        <v>5595</v>
      </c>
      <c r="F46" t="s">
        <v>5652</v>
      </c>
      <c r="G46" t="s">
        <v>5649</v>
      </c>
      <c r="H46" t="s">
        <v>5474</v>
      </c>
      <c r="I46" t="s">
        <v>5653</v>
      </c>
      <c r="J46" t="s">
        <v>5476</v>
      </c>
      <c r="K46" t="s">
        <v>5654</v>
      </c>
      <c r="L46" t="s">
        <v>5478</v>
      </c>
      <c r="M46" t="s">
        <v>5471</v>
      </c>
    </row>
    <row r="47" spans="1:13" x14ac:dyDescent="0.3">
      <c r="A47" t="s">
        <v>3397</v>
      </c>
      <c r="B47" t="s">
        <v>5594</v>
      </c>
      <c r="C47" t="s">
        <v>5487</v>
      </c>
      <c r="D47" t="s">
        <v>4058</v>
      </c>
      <c r="E47" t="s">
        <v>5595</v>
      </c>
      <c r="F47" t="s">
        <v>5655</v>
      </c>
      <c r="G47" t="s">
        <v>5649</v>
      </c>
      <c r="H47" t="s">
        <v>5474</v>
      </c>
      <c r="I47" t="s">
        <v>5656</v>
      </c>
      <c r="J47" t="s">
        <v>5476</v>
      </c>
      <c r="K47" t="s">
        <v>5657</v>
      </c>
      <c r="L47" t="s">
        <v>5478</v>
      </c>
      <c r="M47" t="s">
        <v>5471</v>
      </c>
    </row>
    <row r="48" spans="1:13" x14ac:dyDescent="0.3">
      <c r="A48" t="s">
        <v>3397</v>
      </c>
      <c r="B48" t="s">
        <v>5594</v>
      </c>
      <c r="C48" t="s">
        <v>5487</v>
      </c>
      <c r="D48" t="s">
        <v>4058</v>
      </c>
      <c r="E48" t="s">
        <v>5595</v>
      </c>
      <c r="F48" t="s">
        <v>5658</v>
      </c>
      <c r="G48" t="s">
        <v>5659</v>
      </c>
      <c r="H48" t="s">
        <v>5474</v>
      </c>
      <c r="I48" t="s">
        <v>5660</v>
      </c>
      <c r="J48" t="s">
        <v>5476</v>
      </c>
      <c r="K48" t="s">
        <v>5661</v>
      </c>
      <c r="L48" t="s">
        <v>5478</v>
      </c>
      <c r="M48" t="s">
        <v>5471</v>
      </c>
    </row>
    <row r="49" spans="1:13" x14ac:dyDescent="0.3">
      <c r="A49" t="s">
        <v>3397</v>
      </c>
      <c r="B49" t="s">
        <v>5594</v>
      </c>
      <c r="C49" t="s">
        <v>5487</v>
      </c>
      <c r="D49" t="s">
        <v>4058</v>
      </c>
      <c r="E49" t="s">
        <v>5595</v>
      </c>
      <c r="F49" t="s">
        <v>5662</v>
      </c>
      <c r="G49" t="s">
        <v>5659</v>
      </c>
      <c r="H49" t="s">
        <v>5474</v>
      </c>
      <c r="I49" t="s">
        <v>5663</v>
      </c>
      <c r="J49" t="s">
        <v>5476</v>
      </c>
      <c r="K49" t="s">
        <v>5664</v>
      </c>
      <c r="L49" t="s">
        <v>5478</v>
      </c>
      <c r="M49" t="s">
        <v>5471</v>
      </c>
    </row>
    <row r="50" spans="1:13" x14ac:dyDescent="0.3">
      <c r="A50" t="s">
        <v>3397</v>
      </c>
      <c r="B50" t="s">
        <v>5594</v>
      </c>
      <c r="C50" t="s">
        <v>5487</v>
      </c>
      <c r="D50" t="s">
        <v>4058</v>
      </c>
      <c r="E50" t="s">
        <v>5595</v>
      </c>
      <c r="F50" t="s">
        <v>5665</v>
      </c>
      <c r="G50" t="s">
        <v>5659</v>
      </c>
      <c r="H50" t="s">
        <v>5474</v>
      </c>
      <c r="I50" t="s">
        <v>5666</v>
      </c>
      <c r="J50" t="s">
        <v>5476</v>
      </c>
      <c r="K50" t="s">
        <v>5667</v>
      </c>
      <c r="L50" t="s">
        <v>5478</v>
      </c>
      <c r="M50" t="s">
        <v>5471</v>
      </c>
    </row>
    <row r="51" spans="1:13" x14ac:dyDescent="0.3">
      <c r="A51" t="s">
        <v>3397</v>
      </c>
      <c r="B51" t="s">
        <v>5594</v>
      </c>
      <c r="C51" t="s">
        <v>5487</v>
      </c>
      <c r="D51" t="s">
        <v>4058</v>
      </c>
      <c r="E51" t="s">
        <v>5595</v>
      </c>
      <c r="F51" t="s">
        <v>5668</v>
      </c>
      <c r="G51" t="s">
        <v>5659</v>
      </c>
      <c r="H51" t="s">
        <v>5474</v>
      </c>
      <c r="I51" t="s">
        <v>5669</v>
      </c>
      <c r="J51" t="s">
        <v>5476</v>
      </c>
      <c r="K51" t="s">
        <v>5670</v>
      </c>
      <c r="L51" t="s">
        <v>5478</v>
      </c>
      <c r="M51" t="s">
        <v>5471</v>
      </c>
    </row>
    <row r="52" spans="1:13" x14ac:dyDescent="0.3">
      <c r="A52" t="s">
        <v>3397</v>
      </c>
      <c r="B52" t="s">
        <v>5594</v>
      </c>
      <c r="C52" t="s">
        <v>5487</v>
      </c>
      <c r="D52" t="s">
        <v>4058</v>
      </c>
      <c r="E52" t="s">
        <v>5595</v>
      </c>
      <c r="F52" t="s">
        <v>5671</v>
      </c>
      <c r="G52" t="s">
        <v>5659</v>
      </c>
      <c r="H52" t="s">
        <v>5474</v>
      </c>
      <c r="I52" t="s">
        <v>5672</v>
      </c>
      <c r="J52" t="s">
        <v>5476</v>
      </c>
      <c r="K52" t="s">
        <v>5673</v>
      </c>
      <c r="L52" t="s">
        <v>5478</v>
      </c>
      <c r="M52" t="s">
        <v>5471</v>
      </c>
    </row>
    <row r="53" spans="1:13" x14ac:dyDescent="0.3">
      <c r="A53" t="s">
        <v>3397</v>
      </c>
      <c r="B53" t="s">
        <v>5594</v>
      </c>
      <c r="C53" t="s">
        <v>5487</v>
      </c>
      <c r="D53" t="s">
        <v>4058</v>
      </c>
      <c r="E53" t="s">
        <v>5595</v>
      </c>
      <c r="F53" t="s">
        <v>5674</v>
      </c>
      <c r="G53" t="s">
        <v>5675</v>
      </c>
      <c r="H53" t="s">
        <v>5474</v>
      </c>
      <c r="I53" t="s">
        <v>5676</v>
      </c>
      <c r="J53" t="s">
        <v>5476</v>
      </c>
      <c r="K53" t="s">
        <v>5677</v>
      </c>
      <c r="L53" t="s">
        <v>5478</v>
      </c>
      <c r="M53" t="s">
        <v>5471</v>
      </c>
    </row>
    <row r="54" spans="1:13" x14ac:dyDescent="0.3">
      <c r="A54" t="s">
        <v>3388</v>
      </c>
      <c r="B54" t="s">
        <v>5678</v>
      </c>
      <c r="C54" t="s">
        <v>5470</v>
      </c>
      <c r="D54" t="s">
        <v>4056</v>
      </c>
      <c r="E54" t="s">
        <v>5617</v>
      </c>
      <c r="F54" t="s">
        <v>5679</v>
      </c>
      <c r="G54" t="s">
        <v>5680</v>
      </c>
      <c r="H54" t="s">
        <v>5474</v>
      </c>
      <c r="I54" t="s">
        <v>5681</v>
      </c>
      <c r="J54" t="s">
        <v>5484</v>
      </c>
      <c r="K54" t="s">
        <v>5682</v>
      </c>
      <c r="L54" t="s">
        <v>5478</v>
      </c>
      <c r="M54" t="s">
        <v>5471</v>
      </c>
    </row>
    <row r="55" spans="1:13" x14ac:dyDescent="0.3">
      <c r="A55" t="s">
        <v>3397</v>
      </c>
      <c r="B55" t="s">
        <v>5594</v>
      </c>
      <c r="C55" t="s">
        <v>5487</v>
      </c>
      <c r="D55" t="s">
        <v>4058</v>
      </c>
      <c r="E55" t="s">
        <v>5595</v>
      </c>
      <c r="F55" t="s">
        <v>5683</v>
      </c>
      <c r="G55" t="s">
        <v>5675</v>
      </c>
      <c r="H55" t="s">
        <v>5474</v>
      </c>
      <c r="I55" t="s">
        <v>5684</v>
      </c>
      <c r="J55" t="s">
        <v>5476</v>
      </c>
      <c r="K55" t="s">
        <v>5685</v>
      </c>
      <c r="L55" t="s">
        <v>5478</v>
      </c>
      <c r="M55" t="s">
        <v>5471</v>
      </c>
    </row>
    <row r="56" spans="1:13" x14ac:dyDescent="0.3">
      <c r="A56" t="s">
        <v>3397</v>
      </c>
      <c r="B56" t="s">
        <v>5594</v>
      </c>
      <c r="C56" t="s">
        <v>5487</v>
      </c>
      <c r="D56" t="s">
        <v>4058</v>
      </c>
      <c r="E56" t="s">
        <v>5595</v>
      </c>
      <c r="F56" t="s">
        <v>5686</v>
      </c>
      <c r="G56" t="s">
        <v>5601</v>
      </c>
      <c r="H56" t="s">
        <v>5474</v>
      </c>
      <c r="I56" t="s">
        <v>5687</v>
      </c>
      <c r="J56" t="s">
        <v>5476</v>
      </c>
      <c r="K56" t="s">
        <v>5688</v>
      </c>
      <c r="L56" t="s">
        <v>5478</v>
      </c>
      <c r="M56" t="s">
        <v>5471</v>
      </c>
    </row>
    <row r="57" spans="1:13" x14ac:dyDescent="0.3">
      <c r="A57" t="s">
        <v>3397</v>
      </c>
      <c r="B57" t="s">
        <v>5259</v>
      </c>
      <c r="C57" t="s">
        <v>5487</v>
      </c>
      <c r="D57" t="s">
        <v>4175</v>
      </c>
      <c r="E57" t="s">
        <v>5532</v>
      </c>
      <c r="F57" t="s">
        <v>5689</v>
      </c>
      <c r="G57" t="s">
        <v>5690</v>
      </c>
      <c r="H57" t="s">
        <v>5474</v>
      </c>
      <c r="I57" t="s">
        <v>5691</v>
      </c>
      <c r="J57" t="s">
        <v>5476</v>
      </c>
      <c r="K57" t="s">
        <v>5692</v>
      </c>
      <c r="L57" t="s">
        <v>5485</v>
      </c>
      <c r="M57" t="s">
        <v>5471</v>
      </c>
    </row>
    <row r="58" spans="1:13" x14ac:dyDescent="0.3">
      <c r="A58" t="s">
        <v>3397</v>
      </c>
      <c r="B58" t="s">
        <v>5594</v>
      </c>
      <c r="C58" t="s">
        <v>5487</v>
      </c>
      <c r="D58" t="s">
        <v>4058</v>
      </c>
      <c r="E58" t="s">
        <v>5595</v>
      </c>
      <c r="F58" t="s">
        <v>5693</v>
      </c>
      <c r="G58" t="s">
        <v>5601</v>
      </c>
      <c r="H58" t="s">
        <v>5474</v>
      </c>
      <c r="I58" t="s">
        <v>5694</v>
      </c>
      <c r="J58" t="s">
        <v>5476</v>
      </c>
      <c r="K58" t="s">
        <v>5695</v>
      </c>
      <c r="L58" t="s">
        <v>5478</v>
      </c>
      <c r="M58" t="s">
        <v>5471</v>
      </c>
    </row>
    <row r="59" spans="1:13" x14ac:dyDescent="0.3">
      <c r="A59" t="s">
        <v>3397</v>
      </c>
      <c r="B59" t="s">
        <v>5594</v>
      </c>
      <c r="C59" t="s">
        <v>5487</v>
      </c>
      <c r="D59" t="s">
        <v>4058</v>
      </c>
      <c r="E59" t="s">
        <v>5595</v>
      </c>
      <c r="F59" t="s">
        <v>5696</v>
      </c>
      <c r="G59" t="s">
        <v>5601</v>
      </c>
      <c r="H59" t="s">
        <v>5474</v>
      </c>
      <c r="I59" t="s">
        <v>5697</v>
      </c>
      <c r="J59" t="s">
        <v>5476</v>
      </c>
      <c r="K59" t="s">
        <v>5698</v>
      </c>
      <c r="L59" t="s">
        <v>5478</v>
      </c>
      <c r="M59" t="s">
        <v>5471</v>
      </c>
    </row>
    <row r="60" spans="1:13" x14ac:dyDescent="0.3">
      <c r="A60" t="s">
        <v>3397</v>
      </c>
      <c r="B60" t="s">
        <v>5594</v>
      </c>
      <c r="C60" t="s">
        <v>5487</v>
      </c>
      <c r="D60" t="s">
        <v>4058</v>
      </c>
      <c r="E60" t="s">
        <v>5595</v>
      </c>
      <c r="F60" t="s">
        <v>5699</v>
      </c>
      <c r="G60" t="s">
        <v>5605</v>
      </c>
      <c r="H60" t="s">
        <v>5474</v>
      </c>
      <c r="I60" t="s">
        <v>5700</v>
      </c>
      <c r="J60" t="s">
        <v>5476</v>
      </c>
      <c r="K60" t="s">
        <v>5701</v>
      </c>
      <c r="L60" t="s">
        <v>5478</v>
      </c>
      <c r="M60" t="s">
        <v>5471</v>
      </c>
    </row>
    <row r="61" spans="1:13" x14ac:dyDescent="0.3">
      <c r="A61" t="s">
        <v>3397</v>
      </c>
      <c r="B61" t="s">
        <v>5594</v>
      </c>
      <c r="C61" t="s">
        <v>5487</v>
      </c>
      <c r="D61" t="s">
        <v>4058</v>
      </c>
      <c r="E61" t="s">
        <v>5595</v>
      </c>
      <c r="F61" t="s">
        <v>5702</v>
      </c>
      <c r="G61" t="s">
        <v>5703</v>
      </c>
      <c r="H61" t="s">
        <v>5474</v>
      </c>
      <c r="I61" t="s">
        <v>5704</v>
      </c>
      <c r="J61" t="s">
        <v>5476</v>
      </c>
      <c r="K61" t="s">
        <v>5705</v>
      </c>
      <c r="L61" t="s">
        <v>5478</v>
      </c>
      <c r="M61" t="s">
        <v>5471</v>
      </c>
    </row>
    <row r="62" spans="1:13" x14ac:dyDescent="0.3">
      <c r="A62" t="s">
        <v>3397</v>
      </c>
      <c r="B62" t="s">
        <v>5594</v>
      </c>
      <c r="C62" t="s">
        <v>5487</v>
      </c>
      <c r="D62" t="s">
        <v>4058</v>
      </c>
      <c r="E62" t="s">
        <v>5595</v>
      </c>
      <c r="F62" t="s">
        <v>5706</v>
      </c>
      <c r="G62" t="s">
        <v>5703</v>
      </c>
      <c r="H62" t="s">
        <v>5474</v>
      </c>
      <c r="I62" t="s">
        <v>5707</v>
      </c>
      <c r="J62" t="s">
        <v>5476</v>
      </c>
      <c r="K62" t="s">
        <v>5708</v>
      </c>
      <c r="L62" t="s">
        <v>5478</v>
      </c>
      <c r="M62" t="s">
        <v>5471</v>
      </c>
    </row>
    <row r="63" spans="1:13" x14ac:dyDescent="0.3">
      <c r="A63" t="s">
        <v>3397</v>
      </c>
      <c r="B63" t="s">
        <v>5594</v>
      </c>
      <c r="C63" t="s">
        <v>5487</v>
      </c>
      <c r="D63" t="s">
        <v>4058</v>
      </c>
      <c r="E63" t="s">
        <v>5595</v>
      </c>
      <c r="F63" t="s">
        <v>5709</v>
      </c>
      <c r="G63" t="s">
        <v>5605</v>
      </c>
      <c r="H63" t="s">
        <v>5474</v>
      </c>
      <c r="I63" t="s">
        <v>5710</v>
      </c>
      <c r="J63" t="s">
        <v>5476</v>
      </c>
      <c r="K63" t="s">
        <v>5711</v>
      </c>
      <c r="L63" t="s">
        <v>5478</v>
      </c>
      <c r="M63" t="s">
        <v>5471</v>
      </c>
    </row>
    <row r="64" spans="1:13" x14ac:dyDescent="0.3">
      <c r="A64" t="s">
        <v>3397</v>
      </c>
      <c r="B64" t="s">
        <v>5594</v>
      </c>
      <c r="C64" t="s">
        <v>5487</v>
      </c>
      <c r="D64" t="s">
        <v>4058</v>
      </c>
      <c r="E64" t="s">
        <v>5595</v>
      </c>
      <c r="F64" t="s">
        <v>5712</v>
      </c>
      <c r="G64" t="s">
        <v>5605</v>
      </c>
      <c r="H64" t="s">
        <v>5474</v>
      </c>
      <c r="I64" t="s">
        <v>5713</v>
      </c>
      <c r="J64" t="s">
        <v>5476</v>
      </c>
      <c r="K64" t="s">
        <v>5714</v>
      </c>
      <c r="L64" t="s">
        <v>5478</v>
      </c>
      <c r="M64" t="s">
        <v>5471</v>
      </c>
    </row>
    <row r="65" spans="1:13" x14ac:dyDescent="0.3">
      <c r="A65" t="s">
        <v>3397</v>
      </c>
      <c r="B65" t="s">
        <v>5594</v>
      </c>
      <c r="C65" t="s">
        <v>5487</v>
      </c>
      <c r="D65" t="s">
        <v>4058</v>
      </c>
      <c r="E65" t="s">
        <v>5595</v>
      </c>
      <c r="F65" t="s">
        <v>5715</v>
      </c>
      <c r="G65" t="s">
        <v>5613</v>
      </c>
      <c r="H65" t="s">
        <v>5474</v>
      </c>
      <c r="I65" t="s">
        <v>5716</v>
      </c>
      <c r="J65" t="s">
        <v>5476</v>
      </c>
      <c r="K65" t="s">
        <v>5717</v>
      </c>
      <c r="L65" t="s">
        <v>5478</v>
      </c>
      <c r="M65" t="s">
        <v>5471</v>
      </c>
    </row>
    <row r="66" spans="1:13" x14ac:dyDescent="0.3">
      <c r="A66" t="s">
        <v>3397</v>
      </c>
      <c r="B66" t="s">
        <v>5594</v>
      </c>
      <c r="C66" t="s">
        <v>5487</v>
      </c>
      <c r="D66" t="s">
        <v>4058</v>
      </c>
      <c r="E66" t="s">
        <v>5595</v>
      </c>
      <c r="F66" t="s">
        <v>5718</v>
      </c>
      <c r="G66" t="s">
        <v>5613</v>
      </c>
      <c r="H66" t="s">
        <v>5474</v>
      </c>
      <c r="I66" t="s">
        <v>5719</v>
      </c>
      <c r="J66" t="s">
        <v>5476</v>
      </c>
      <c r="K66" t="s">
        <v>5720</v>
      </c>
      <c r="L66" t="s">
        <v>5478</v>
      </c>
      <c r="M66" t="s">
        <v>5471</v>
      </c>
    </row>
    <row r="67" spans="1:13" x14ac:dyDescent="0.3">
      <c r="A67" t="s">
        <v>3397</v>
      </c>
      <c r="B67" t="s">
        <v>5594</v>
      </c>
      <c r="C67" t="s">
        <v>5487</v>
      </c>
      <c r="D67" t="s">
        <v>4058</v>
      </c>
      <c r="E67" t="s">
        <v>5595</v>
      </c>
      <c r="F67" t="s">
        <v>5721</v>
      </c>
      <c r="G67" t="s">
        <v>5613</v>
      </c>
      <c r="H67" t="s">
        <v>5474</v>
      </c>
      <c r="I67" t="s">
        <v>5722</v>
      </c>
      <c r="J67" t="s">
        <v>5476</v>
      </c>
      <c r="K67" t="s">
        <v>5723</v>
      </c>
      <c r="L67" t="s">
        <v>5478</v>
      </c>
      <c r="M67" t="s">
        <v>5471</v>
      </c>
    </row>
    <row r="68" spans="1:13" x14ac:dyDescent="0.3">
      <c r="A68" t="s">
        <v>3397</v>
      </c>
      <c r="B68" t="s">
        <v>5594</v>
      </c>
      <c r="C68" t="s">
        <v>5487</v>
      </c>
      <c r="D68" t="s">
        <v>4056</v>
      </c>
      <c r="E68" t="s">
        <v>5595</v>
      </c>
      <c r="F68" t="s">
        <v>5724</v>
      </c>
      <c r="G68" t="s">
        <v>5597</v>
      </c>
      <c r="H68" t="s">
        <v>5474</v>
      </c>
      <c r="I68" t="s">
        <v>5725</v>
      </c>
      <c r="J68" t="s">
        <v>5476</v>
      </c>
      <c r="K68" t="s">
        <v>5726</v>
      </c>
      <c r="L68" t="s">
        <v>5478</v>
      </c>
      <c r="M68" t="s">
        <v>5471</v>
      </c>
    </row>
    <row r="69" spans="1:13" x14ac:dyDescent="0.3">
      <c r="A69" t="s">
        <v>3397</v>
      </c>
      <c r="B69" t="s">
        <v>5594</v>
      </c>
      <c r="C69" t="s">
        <v>5487</v>
      </c>
      <c r="D69" t="s">
        <v>4056</v>
      </c>
      <c r="E69" t="s">
        <v>5595</v>
      </c>
      <c r="F69" t="s">
        <v>5727</v>
      </c>
      <c r="G69" t="s">
        <v>5601</v>
      </c>
      <c r="H69" t="s">
        <v>5474</v>
      </c>
      <c r="I69" t="s">
        <v>5728</v>
      </c>
      <c r="J69" t="s">
        <v>5476</v>
      </c>
      <c r="K69" t="s">
        <v>5729</v>
      </c>
      <c r="L69" t="s">
        <v>5478</v>
      </c>
      <c r="M69" t="s">
        <v>5471</v>
      </c>
    </row>
    <row r="70" spans="1:13" x14ac:dyDescent="0.3">
      <c r="A70" t="s">
        <v>3397</v>
      </c>
      <c r="B70" t="s">
        <v>5594</v>
      </c>
      <c r="C70" t="s">
        <v>5487</v>
      </c>
      <c r="D70" t="s">
        <v>4056</v>
      </c>
      <c r="E70" t="s">
        <v>5595</v>
      </c>
      <c r="F70" t="s">
        <v>5730</v>
      </c>
      <c r="G70" t="s">
        <v>5731</v>
      </c>
      <c r="H70" t="s">
        <v>5474</v>
      </c>
      <c r="I70" t="s">
        <v>5732</v>
      </c>
      <c r="J70" t="s">
        <v>5476</v>
      </c>
      <c r="K70" t="s">
        <v>5733</v>
      </c>
      <c r="L70" t="s">
        <v>5478</v>
      </c>
      <c r="M70" t="s">
        <v>5471</v>
      </c>
    </row>
    <row r="71" spans="1:13" x14ac:dyDescent="0.3">
      <c r="A71" t="s">
        <v>3397</v>
      </c>
      <c r="B71" t="s">
        <v>5594</v>
      </c>
      <c r="C71" t="s">
        <v>5487</v>
      </c>
      <c r="D71" t="s">
        <v>4056</v>
      </c>
      <c r="E71" t="s">
        <v>5595</v>
      </c>
      <c r="F71" t="s">
        <v>5734</v>
      </c>
      <c r="G71" t="s">
        <v>5605</v>
      </c>
      <c r="H71" t="s">
        <v>5474</v>
      </c>
      <c r="I71" t="s">
        <v>5735</v>
      </c>
      <c r="J71" t="s">
        <v>5476</v>
      </c>
      <c r="K71" t="s">
        <v>5736</v>
      </c>
      <c r="L71" t="s">
        <v>5478</v>
      </c>
      <c r="M71" t="s">
        <v>5471</v>
      </c>
    </row>
    <row r="72" spans="1:13" x14ac:dyDescent="0.3">
      <c r="A72" t="s">
        <v>3397</v>
      </c>
      <c r="B72" t="s">
        <v>5594</v>
      </c>
      <c r="C72" t="s">
        <v>5487</v>
      </c>
      <c r="D72" t="s">
        <v>4056</v>
      </c>
      <c r="E72" t="s">
        <v>5595</v>
      </c>
      <c r="F72" t="s">
        <v>5737</v>
      </c>
      <c r="G72" t="s">
        <v>5613</v>
      </c>
      <c r="H72" t="s">
        <v>5474</v>
      </c>
      <c r="I72" t="s">
        <v>5738</v>
      </c>
      <c r="J72" t="s">
        <v>5476</v>
      </c>
      <c r="K72" t="s">
        <v>5739</v>
      </c>
      <c r="L72" t="s">
        <v>5478</v>
      </c>
      <c r="M72" t="s">
        <v>5471</v>
      </c>
    </row>
    <row r="73" spans="1:13" x14ac:dyDescent="0.3">
      <c r="A73" t="s">
        <v>3397</v>
      </c>
      <c r="B73" t="s">
        <v>5740</v>
      </c>
      <c r="C73" t="s">
        <v>5487</v>
      </c>
      <c r="D73" t="s">
        <v>4052</v>
      </c>
      <c r="E73" t="s">
        <v>5471</v>
      </c>
      <c r="F73" t="s">
        <v>5741</v>
      </c>
      <c r="G73" t="s">
        <v>5742</v>
      </c>
      <c r="H73" t="s">
        <v>5474</v>
      </c>
      <c r="I73" t="s">
        <v>5743</v>
      </c>
      <c r="J73" t="s">
        <v>5476</v>
      </c>
      <c r="K73" t="s">
        <v>5744</v>
      </c>
      <c r="L73" t="s">
        <v>5478</v>
      </c>
      <c r="M73" t="s">
        <v>5471</v>
      </c>
    </row>
    <row r="74" spans="1:13" x14ac:dyDescent="0.3">
      <c r="A74" t="s">
        <v>3397</v>
      </c>
      <c r="B74" t="s">
        <v>5740</v>
      </c>
      <c r="C74" t="s">
        <v>5487</v>
      </c>
      <c r="D74" t="s">
        <v>4052</v>
      </c>
      <c r="E74" t="s">
        <v>5471</v>
      </c>
      <c r="F74" t="s">
        <v>5745</v>
      </c>
      <c r="G74" t="s">
        <v>5742</v>
      </c>
      <c r="H74" t="s">
        <v>5474</v>
      </c>
      <c r="I74" t="s">
        <v>5746</v>
      </c>
      <c r="J74" t="s">
        <v>5476</v>
      </c>
      <c r="K74" t="s">
        <v>5747</v>
      </c>
      <c r="L74" t="s">
        <v>5478</v>
      </c>
      <c r="M74" t="s">
        <v>5471</v>
      </c>
    </row>
    <row r="75" spans="1:13" x14ac:dyDescent="0.3">
      <c r="A75" t="s">
        <v>3397</v>
      </c>
      <c r="B75" t="s">
        <v>5740</v>
      </c>
      <c r="C75" t="s">
        <v>5487</v>
      </c>
      <c r="D75" t="s">
        <v>4052</v>
      </c>
      <c r="E75" t="s">
        <v>5471</v>
      </c>
      <c r="F75" t="s">
        <v>5748</v>
      </c>
      <c r="G75" t="s">
        <v>5749</v>
      </c>
      <c r="H75" t="s">
        <v>5474</v>
      </c>
      <c r="I75" t="s">
        <v>5750</v>
      </c>
      <c r="J75" t="s">
        <v>5476</v>
      </c>
      <c r="K75" t="s">
        <v>5751</v>
      </c>
      <c r="L75" t="s">
        <v>5478</v>
      </c>
      <c r="M75" t="s">
        <v>5471</v>
      </c>
    </row>
    <row r="76" spans="1:13" x14ac:dyDescent="0.3">
      <c r="A76" t="s">
        <v>3397</v>
      </c>
      <c r="B76" t="s">
        <v>5740</v>
      </c>
      <c r="C76" t="s">
        <v>5487</v>
      </c>
      <c r="D76" t="s">
        <v>4052</v>
      </c>
      <c r="E76" t="s">
        <v>5471</v>
      </c>
      <c r="F76" t="s">
        <v>5752</v>
      </c>
      <c r="G76" t="s">
        <v>5749</v>
      </c>
      <c r="H76" t="s">
        <v>5474</v>
      </c>
      <c r="I76" t="s">
        <v>5753</v>
      </c>
      <c r="J76" t="s">
        <v>5476</v>
      </c>
      <c r="K76" t="s">
        <v>5754</v>
      </c>
      <c r="L76" t="s">
        <v>5478</v>
      </c>
      <c r="M76" t="s">
        <v>5471</v>
      </c>
    </row>
    <row r="77" spans="1:13" x14ac:dyDescent="0.3">
      <c r="A77" t="s">
        <v>3397</v>
      </c>
      <c r="B77" t="s">
        <v>5755</v>
      </c>
      <c r="C77" t="s">
        <v>5487</v>
      </c>
      <c r="D77" t="s">
        <v>4056</v>
      </c>
      <c r="E77" t="s">
        <v>5756</v>
      </c>
      <c r="F77" t="s">
        <v>5757</v>
      </c>
      <c r="G77" t="s">
        <v>5758</v>
      </c>
      <c r="H77" t="s">
        <v>5474</v>
      </c>
      <c r="I77" t="s">
        <v>5759</v>
      </c>
      <c r="J77" t="s">
        <v>5476</v>
      </c>
      <c r="K77" t="s">
        <v>5760</v>
      </c>
      <c r="L77" t="s">
        <v>5478</v>
      </c>
      <c r="M77" t="s">
        <v>5471</v>
      </c>
    </row>
    <row r="78" spans="1:13" x14ac:dyDescent="0.3">
      <c r="A78" t="s">
        <v>3397</v>
      </c>
      <c r="B78" t="s">
        <v>5761</v>
      </c>
      <c r="C78" t="s">
        <v>5487</v>
      </c>
      <c r="D78" t="s">
        <v>4056</v>
      </c>
      <c r="E78" t="s">
        <v>5756</v>
      </c>
      <c r="F78" t="s">
        <v>5762</v>
      </c>
      <c r="G78" t="s">
        <v>5763</v>
      </c>
      <c r="H78" t="s">
        <v>5474</v>
      </c>
      <c r="I78" t="s">
        <v>5764</v>
      </c>
      <c r="J78" t="s">
        <v>5476</v>
      </c>
      <c r="K78" t="s">
        <v>5765</v>
      </c>
      <c r="L78" t="s">
        <v>5478</v>
      </c>
      <c r="M78" t="s">
        <v>5471</v>
      </c>
    </row>
    <row r="79" spans="1:13" x14ac:dyDescent="0.3">
      <c r="A79" t="s">
        <v>3397</v>
      </c>
      <c r="B79" t="s">
        <v>5766</v>
      </c>
      <c r="C79" t="s">
        <v>5487</v>
      </c>
      <c r="D79" t="s">
        <v>4058</v>
      </c>
      <c r="E79" t="s">
        <v>5471</v>
      </c>
      <c r="F79" t="s">
        <v>5767</v>
      </c>
      <c r="G79" t="s">
        <v>5768</v>
      </c>
      <c r="H79" t="s">
        <v>5474</v>
      </c>
      <c r="I79" t="s">
        <v>5769</v>
      </c>
      <c r="J79" t="s">
        <v>5476</v>
      </c>
      <c r="K79" t="s">
        <v>5770</v>
      </c>
      <c r="L79" t="s">
        <v>5478</v>
      </c>
      <c r="M79" t="s">
        <v>5471</v>
      </c>
    </row>
    <row r="80" spans="1:13" x14ac:dyDescent="0.3">
      <c r="A80" t="s">
        <v>3397</v>
      </c>
      <c r="B80" t="s">
        <v>5771</v>
      </c>
      <c r="C80" t="s">
        <v>5487</v>
      </c>
      <c r="D80" t="s">
        <v>4056</v>
      </c>
      <c r="E80" t="s">
        <v>5471</v>
      </c>
      <c r="F80" t="s">
        <v>5772</v>
      </c>
      <c r="G80" t="s">
        <v>5773</v>
      </c>
      <c r="H80" t="s">
        <v>5474</v>
      </c>
      <c r="I80" t="s">
        <v>5774</v>
      </c>
      <c r="J80" t="s">
        <v>5476</v>
      </c>
      <c r="K80" t="s">
        <v>5775</v>
      </c>
      <c r="L80" t="s">
        <v>5478</v>
      </c>
      <c r="M80" t="s">
        <v>5471</v>
      </c>
    </row>
    <row r="81" spans="1:13" x14ac:dyDescent="0.3">
      <c r="A81" t="s">
        <v>3397</v>
      </c>
      <c r="B81" t="s">
        <v>5771</v>
      </c>
      <c r="C81" t="s">
        <v>5487</v>
      </c>
      <c r="D81" t="s">
        <v>4056</v>
      </c>
      <c r="E81" t="s">
        <v>5471</v>
      </c>
      <c r="F81" t="s">
        <v>5776</v>
      </c>
      <c r="G81" t="s">
        <v>5773</v>
      </c>
      <c r="H81" t="s">
        <v>5474</v>
      </c>
      <c r="I81" t="s">
        <v>5777</v>
      </c>
      <c r="J81" t="s">
        <v>5476</v>
      </c>
      <c r="K81" t="s">
        <v>5778</v>
      </c>
      <c r="L81" t="s">
        <v>5478</v>
      </c>
      <c r="M81" t="s">
        <v>5471</v>
      </c>
    </row>
    <row r="82" spans="1:13" x14ac:dyDescent="0.3">
      <c r="A82" t="s">
        <v>3397</v>
      </c>
      <c r="B82" t="s">
        <v>5771</v>
      </c>
      <c r="C82" t="s">
        <v>5487</v>
      </c>
      <c r="D82" t="s">
        <v>4056</v>
      </c>
      <c r="E82" t="s">
        <v>5471</v>
      </c>
      <c r="F82" t="s">
        <v>5779</v>
      </c>
      <c r="G82" t="s">
        <v>5773</v>
      </c>
      <c r="H82" t="s">
        <v>5474</v>
      </c>
      <c r="I82" t="s">
        <v>5780</v>
      </c>
      <c r="J82" t="s">
        <v>5476</v>
      </c>
      <c r="K82" t="s">
        <v>5781</v>
      </c>
      <c r="L82" t="s">
        <v>5478</v>
      </c>
      <c r="M82" t="s">
        <v>5471</v>
      </c>
    </row>
    <row r="83" spans="1:13" x14ac:dyDescent="0.3">
      <c r="A83" t="s">
        <v>3397</v>
      </c>
      <c r="B83" t="s">
        <v>5766</v>
      </c>
      <c r="C83" t="s">
        <v>5487</v>
      </c>
      <c r="D83" t="s">
        <v>4058</v>
      </c>
      <c r="E83" t="s">
        <v>5471</v>
      </c>
      <c r="F83" t="s">
        <v>5782</v>
      </c>
      <c r="G83" t="s">
        <v>5783</v>
      </c>
      <c r="H83" t="s">
        <v>5474</v>
      </c>
      <c r="I83" t="s">
        <v>5784</v>
      </c>
      <c r="J83" t="s">
        <v>5476</v>
      </c>
      <c r="K83" t="s">
        <v>5785</v>
      </c>
      <c r="L83" t="s">
        <v>5478</v>
      </c>
      <c r="M83" t="s">
        <v>5471</v>
      </c>
    </row>
    <row r="84" spans="1:13" x14ac:dyDescent="0.3">
      <c r="A84" t="s">
        <v>3397</v>
      </c>
      <c r="B84" t="s">
        <v>5771</v>
      </c>
      <c r="C84" t="s">
        <v>5487</v>
      </c>
      <c r="D84" t="s">
        <v>4058</v>
      </c>
      <c r="E84" t="s">
        <v>5471</v>
      </c>
      <c r="F84" t="s">
        <v>5786</v>
      </c>
      <c r="G84" t="s">
        <v>5787</v>
      </c>
      <c r="H84" t="s">
        <v>5474</v>
      </c>
      <c r="I84" t="s">
        <v>5788</v>
      </c>
      <c r="J84" t="s">
        <v>5476</v>
      </c>
      <c r="K84" t="s">
        <v>5789</v>
      </c>
      <c r="L84" t="s">
        <v>5478</v>
      </c>
      <c r="M84" t="s">
        <v>5471</v>
      </c>
    </row>
    <row r="85" spans="1:13" x14ac:dyDescent="0.3">
      <c r="A85" t="s">
        <v>3397</v>
      </c>
      <c r="B85" t="s">
        <v>5771</v>
      </c>
      <c r="C85" t="s">
        <v>5487</v>
      </c>
      <c r="D85" t="s">
        <v>4058</v>
      </c>
      <c r="E85" t="s">
        <v>5471</v>
      </c>
      <c r="F85" t="s">
        <v>5790</v>
      </c>
      <c r="G85" t="s">
        <v>5787</v>
      </c>
      <c r="H85" t="s">
        <v>5474</v>
      </c>
      <c r="I85" t="s">
        <v>5791</v>
      </c>
      <c r="J85" t="s">
        <v>5476</v>
      </c>
      <c r="K85" t="s">
        <v>5792</v>
      </c>
      <c r="L85" t="s">
        <v>5478</v>
      </c>
      <c r="M85" t="s">
        <v>5471</v>
      </c>
    </row>
    <row r="86" spans="1:13" x14ac:dyDescent="0.3">
      <c r="A86" t="s">
        <v>3397</v>
      </c>
      <c r="B86" t="s">
        <v>5771</v>
      </c>
      <c r="C86" t="s">
        <v>5487</v>
      </c>
      <c r="D86" t="s">
        <v>4058</v>
      </c>
      <c r="E86" t="s">
        <v>5471</v>
      </c>
      <c r="F86" t="s">
        <v>5793</v>
      </c>
      <c r="G86" t="s">
        <v>5787</v>
      </c>
      <c r="H86" t="s">
        <v>5474</v>
      </c>
      <c r="I86" t="s">
        <v>5794</v>
      </c>
      <c r="J86" t="s">
        <v>5476</v>
      </c>
      <c r="K86" t="s">
        <v>5795</v>
      </c>
      <c r="L86" t="s">
        <v>5478</v>
      </c>
      <c r="M86" t="s">
        <v>5471</v>
      </c>
    </row>
    <row r="87" spans="1:13" x14ac:dyDescent="0.3">
      <c r="A87" t="s">
        <v>3397</v>
      </c>
      <c r="B87" t="s">
        <v>5771</v>
      </c>
      <c r="C87" t="s">
        <v>5487</v>
      </c>
      <c r="D87" t="s">
        <v>4058</v>
      </c>
      <c r="E87" t="s">
        <v>5471</v>
      </c>
      <c r="F87" t="s">
        <v>5796</v>
      </c>
      <c r="G87" t="s">
        <v>5773</v>
      </c>
      <c r="H87" t="s">
        <v>5474</v>
      </c>
      <c r="I87" t="s">
        <v>5797</v>
      </c>
      <c r="J87" t="s">
        <v>5476</v>
      </c>
      <c r="K87" t="s">
        <v>5798</v>
      </c>
      <c r="L87" t="s">
        <v>5478</v>
      </c>
      <c r="M87" t="s">
        <v>5471</v>
      </c>
    </row>
    <row r="88" spans="1:13" x14ac:dyDescent="0.3">
      <c r="A88" t="s">
        <v>3397</v>
      </c>
      <c r="B88" t="s">
        <v>5771</v>
      </c>
      <c r="C88" t="s">
        <v>5487</v>
      </c>
      <c r="D88" t="s">
        <v>4058</v>
      </c>
      <c r="E88" t="s">
        <v>5471</v>
      </c>
      <c r="F88" t="s">
        <v>5799</v>
      </c>
      <c r="G88" t="s">
        <v>5773</v>
      </c>
      <c r="H88" t="s">
        <v>5474</v>
      </c>
      <c r="I88" t="s">
        <v>5800</v>
      </c>
      <c r="J88" t="s">
        <v>5476</v>
      </c>
      <c r="K88" t="s">
        <v>5801</v>
      </c>
      <c r="L88" t="s">
        <v>5478</v>
      </c>
      <c r="M88" t="s">
        <v>5471</v>
      </c>
    </row>
    <row r="89" spans="1:13" x14ac:dyDescent="0.3">
      <c r="A89" t="s">
        <v>3397</v>
      </c>
      <c r="B89" t="s">
        <v>5771</v>
      </c>
      <c r="C89" t="s">
        <v>5487</v>
      </c>
      <c r="D89" t="s">
        <v>4058</v>
      </c>
      <c r="E89" t="s">
        <v>5471</v>
      </c>
      <c r="F89" t="s">
        <v>5802</v>
      </c>
      <c r="G89" t="s">
        <v>5773</v>
      </c>
      <c r="H89" t="s">
        <v>5474</v>
      </c>
      <c r="I89" t="s">
        <v>5803</v>
      </c>
      <c r="J89" t="s">
        <v>5476</v>
      </c>
      <c r="K89" t="s">
        <v>5804</v>
      </c>
      <c r="L89" t="s">
        <v>5478</v>
      </c>
      <c r="M89" t="s">
        <v>5471</v>
      </c>
    </row>
    <row r="90" spans="1:13" x14ac:dyDescent="0.3">
      <c r="A90" t="s">
        <v>3383</v>
      </c>
      <c r="B90" t="s">
        <v>5805</v>
      </c>
      <c r="C90" t="s">
        <v>5470</v>
      </c>
      <c r="D90" t="s">
        <v>4052</v>
      </c>
      <c r="E90" t="s">
        <v>5480</v>
      </c>
      <c r="F90" t="s">
        <v>5806</v>
      </c>
      <c r="G90" t="s">
        <v>5807</v>
      </c>
      <c r="H90" t="s">
        <v>5474</v>
      </c>
      <c r="I90" t="s">
        <v>5808</v>
      </c>
      <c r="J90" t="s">
        <v>5484</v>
      </c>
      <c r="K90" t="s">
        <v>5809</v>
      </c>
      <c r="L90" t="s">
        <v>5478</v>
      </c>
      <c r="M90" t="s">
        <v>5471</v>
      </c>
    </row>
    <row r="91" spans="1:13" x14ac:dyDescent="0.3">
      <c r="A91" t="s">
        <v>3383</v>
      </c>
      <c r="B91" t="s">
        <v>5810</v>
      </c>
      <c r="C91" t="s">
        <v>5470</v>
      </c>
      <c r="D91" t="s">
        <v>4052</v>
      </c>
      <c r="E91" t="s">
        <v>5471</v>
      </c>
      <c r="F91" t="s">
        <v>5811</v>
      </c>
      <c r="G91" t="s">
        <v>5812</v>
      </c>
      <c r="H91" t="s">
        <v>5474</v>
      </c>
      <c r="I91" t="s">
        <v>5813</v>
      </c>
      <c r="J91" t="s">
        <v>5476</v>
      </c>
      <c r="K91" t="s">
        <v>5471</v>
      </c>
      <c r="L91" t="s">
        <v>5478</v>
      </c>
      <c r="M91" t="s">
        <v>5471</v>
      </c>
    </row>
    <row r="92" spans="1:13" x14ac:dyDescent="0.3">
      <c r="A92" t="s">
        <v>3383</v>
      </c>
      <c r="B92" t="s">
        <v>5810</v>
      </c>
      <c r="C92" t="s">
        <v>5470</v>
      </c>
      <c r="D92" t="s">
        <v>4058</v>
      </c>
      <c r="E92" t="s">
        <v>5471</v>
      </c>
      <c r="F92" t="s">
        <v>5814</v>
      </c>
      <c r="G92" t="s">
        <v>5812</v>
      </c>
      <c r="H92" t="s">
        <v>5474</v>
      </c>
      <c r="I92" t="s">
        <v>5815</v>
      </c>
      <c r="J92" t="s">
        <v>5476</v>
      </c>
      <c r="K92" t="s">
        <v>5471</v>
      </c>
      <c r="L92" t="s">
        <v>5478</v>
      </c>
      <c r="M92" t="s">
        <v>5471</v>
      </c>
    </row>
    <row r="93" spans="1:13" x14ac:dyDescent="0.3">
      <c r="A93" t="s">
        <v>3383</v>
      </c>
      <c r="B93" t="s">
        <v>5805</v>
      </c>
      <c r="C93" t="s">
        <v>5470</v>
      </c>
      <c r="D93" t="s">
        <v>4056</v>
      </c>
      <c r="E93" t="s">
        <v>5480</v>
      </c>
      <c r="F93" t="s">
        <v>5816</v>
      </c>
      <c r="G93" t="s">
        <v>5817</v>
      </c>
      <c r="H93" t="s">
        <v>5474</v>
      </c>
      <c r="I93" t="s">
        <v>5818</v>
      </c>
      <c r="J93" t="s">
        <v>5484</v>
      </c>
      <c r="K93" t="s">
        <v>5819</v>
      </c>
      <c r="L93" t="s">
        <v>5478</v>
      </c>
      <c r="M93" t="s">
        <v>5471</v>
      </c>
    </row>
    <row r="94" spans="1:13" x14ac:dyDescent="0.3">
      <c r="A94" t="s">
        <v>3383</v>
      </c>
      <c r="B94" t="s">
        <v>5330</v>
      </c>
      <c r="C94" t="s">
        <v>5470</v>
      </c>
      <c r="D94" t="s">
        <v>4058</v>
      </c>
      <c r="E94" t="s">
        <v>5617</v>
      </c>
      <c r="F94" t="s">
        <v>5820</v>
      </c>
      <c r="G94" t="s">
        <v>5821</v>
      </c>
      <c r="H94" t="s">
        <v>5474</v>
      </c>
      <c r="I94" t="s">
        <v>5822</v>
      </c>
      <c r="J94" t="s">
        <v>5476</v>
      </c>
      <c r="K94" t="s">
        <v>5823</v>
      </c>
      <c r="L94" t="s">
        <v>5478</v>
      </c>
      <c r="M94" t="s">
        <v>5471</v>
      </c>
    </row>
    <row r="95" spans="1:13" x14ac:dyDescent="0.3">
      <c r="A95" t="s">
        <v>3383</v>
      </c>
      <c r="B95" t="s">
        <v>5330</v>
      </c>
      <c r="C95" t="s">
        <v>5470</v>
      </c>
      <c r="D95" t="s">
        <v>4058</v>
      </c>
      <c r="E95" t="s">
        <v>5617</v>
      </c>
      <c r="F95" t="s">
        <v>5824</v>
      </c>
      <c r="G95" t="s">
        <v>5821</v>
      </c>
      <c r="H95" t="s">
        <v>5474</v>
      </c>
      <c r="I95" t="s">
        <v>5825</v>
      </c>
      <c r="J95" t="s">
        <v>5476</v>
      </c>
      <c r="K95" t="s">
        <v>5826</v>
      </c>
      <c r="L95" t="s">
        <v>5478</v>
      </c>
      <c r="M95" t="s">
        <v>5471</v>
      </c>
    </row>
    <row r="96" spans="1:13" x14ac:dyDescent="0.3">
      <c r="A96" t="s">
        <v>3383</v>
      </c>
      <c r="B96" t="s">
        <v>5330</v>
      </c>
      <c r="C96" t="s">
        <v>5470</v>
      </c>
      <c r="D96" t="s">
        <v>4058</v>
      </c>
      <c r="E96" t="s">
        <v>5617</v>
      </c>
      <c r="F96" t="s">
        <v>5827</v>
      </c>
      <c r="G96" t="s">
        <v>5821</v>
      </c>
      <c r="H96" t="s">
        <v>5474</v>
      </c>
      <c r="I96" t="s">
        <v>5828</v>
      </c>
      <c r="J96" t="s">
        <v>5476</v>
      </c>
      <c r="K96" t="s">
        <v>5829</v>
      </c>
      <c r="L96" t="s">
        <v>5478</v>
      </c>
      <c r="M96" t="s">
        <v>5471</v>
      </c>
    </row>
    <row r="97" spans="1:13" x14ac:dyDescent="0.3">
      <c r="A97" t="s">
        <v>3383</v>
      </c>
      <c r="B97" t="s">
        <v>5330</v>
      </c>
      <c r="C97" t="s">
        <v>5470</v>
      </c>
      <c r="D97" t="s">
        <v>4058</v>
      </c>
      <c r="E97" t="s">
        <v>5617</v>
      </c>
      <c r="F97" t="s">
        <v>5830</v>
      </c>
      <c r="G97" t="s">
        <v>5821</v>
      </c>
      <c r="H97" t="s">
        <v>5474</v>
      </c>
      <c r="I97" t="s">
        <v>5831</v>
      </c>
      <c r="J97" t="s">
        <v>5476</v>
      </c>
      <c r="K97" t="s">
        <v>5832</v>
      </c>
      <c r="L97" t="s">
        <v>5478</v>
      </c>
      <c r="M97" t="s">
        <v>5471</v>
      </c>
    </row>
    <row r="98" spans="1:13" x14ac:dyDescent="0.3">
      <c r="A98" t="s">
        <v>3383</v>
      </c>
      <c r="B98" t="s">
        <v>5330</v>
      </c>
      <c r="C98" t="s">
        <v>5470</v>
      </c>
      <c r="D98" t="s">
        <v>4058</v>
      </c>
      <c r="E98" t="s">
        <v>5617</v>
      </c>
      <c r="F98" t="s">
        <v>5833</v>
      </c>
      <c r="G98" t="s">
        <v>5821</v>
      </c>
      <c r="H98" t="s">
        <v>5474</v>
      </c>
      <c r="I98" t="s">
        <v>5834</v>
      </c>
      <c r="J98" t="s">
        <v>5476</v>
      </c>
      <c r="K98" t="s">
        <v>5835</v>
      </c>
      <c r="L98" t="s">
        <v>5478</v>
      </c>
      <c r="M98" t="s">
        <v>5471</v>
      </c>
    </row>
    <row r="99" spans="1:13" x14ac:dyDescent="0.3">
      <c r="A99" t="s">
        <v>3383</v>
      </c>
      <c r="B99" t="s">
        <v>5330</v>
      </c>
      <c r="C99" t="s">
        <v>5470</v>
      </c>
      <c r="D99" t="s">
        <v>4058</v>
      </c>
      <c r="E99" t="s">
        <v>5617</v>
      </c>
      <c r="F99" t="s">
        <v>5836</v>
      </c>
      <c r="G99" t="s">
        <v>5821</v>
      </c>
      <c r="H99" t="s">
        <v>5474</v>
      </c>
      <c r="I99" t="s">
        <v>5837</v>
      </c>
      <c r="J99" t="s">
        <v>5476</v>
      </c>
      <c r="K99" t="s">
        <v>5838</v>
      </c>
      <c r="L99" t="s">
        <v>5478</v>
      </c>
      <c r="M99" t="s">
        <v>5471</v>
      </c>
    </row>
    <row r="100" spans="1:13" x14ac:dyDescent="0.3">
      <c r="A100" t="s">
        <v>3383</v>
      </c>
      <c r="B100" t="s">
        <v>5330</v>
      </c>
      <c r="C100" t="s">
        <v>5470</v>
      </c>
      <c r="D100" t="s">
        <v>4058</v>
      </c>
      <c r="E100" t="s">
        <v>5617</v>
      </c>
      <c r="F100" t="s">
        <v>5839</v>
      </c>
      <c r="G100" t="s">
        <v>5821</v>
      </c>
      <c r="H100" t="s">
        <v>5474</v>
      </c>
      <c r="I100" t="s">
        <v>5840</v>
      </c>
      <c r="J100" t="s">
        <v>5476</v>
      </c>
      <c r="K100" t="s">
        <v>5841</v>
      </c>
      <c r="L100" t="s">
        <v>5478</v>
      </c>
      <c r="M100" t="s">
        <v>5471</v>
      </c>
    </row>
    <row r="101" spans="1:13" x14ac:dyDescent="0.3">
      <c r="A101" t="s">
        <v>3397</v>
      </c>
      <c r="B101" t="s">
        <v>5842</v>
      </c>
      <c r="C101" t="s">
        <v>5487</v>
      </c>
      <c r="D101" t="s">
        <v>4056</v>
      </c>
      <c r="E101" t="s">
        <v>5843</v>
      </c>
      <c r="F101" t="s">
        <v>5844</v>
      </c>
      <c r="G101" t="s">
        <v>5845</v>
      </c>
      <c r="H101" t="s">
        <v>5474</v>
      </c>
      <c r="I101" t="s">
        <v>5846</v>
      </c>
      <c r="J101" t="s">
        <v>5476</v>
      </c>
      <c r="K101" t="s">
        <v>5847</v>
      </c>
      <c r="L101" t="s">
        <v>5485</v>
      </c>
      <c r="M101" t="s">
        <v>5471</v>
      </c>
    </row>
    <row r="102" spans="1:13" x14ac:dyDescent="0.3">
      <c r="A102" t="s">
        <v>3383</v>
      </c>
      <c r="B102" t="s">
        <v>5330</v>
      </c>
      <c r="C102" t="s">
        <v>5470</v>
      </c>
      <c r="D102" t="s">
        <v>4058</v>
      </c>
      <c r="E102" t="s">
        <v>5617</v>
      </c>
      <c r="F102" t="s">
        <v>5848</v>
      </c>
      <c r="G102" t="s">
        <v>5821</v>
      </c>
      <c r="H102" t="s">
        <v>5474</v>
      </c>
      <c r="I102" t="s">
        <v>5849</v>
      </c>
      <c r="J102" t="s">
        <v>5476</v>
      </c>
      <c r="K102" t="s">
        <v>5850</v>
      </c>
      <c r="L102" t="s">
        <v>5478</v>
      </c>
      <c r="M102" t="s">
        <v>5471</v>
      </c>
    </row>
    <row r="103" spans="1:13" x14ac:dyDescent="0.3">
      <c r="A103" t="s">
        <v>3383</v>
      </c>
      <c r="B103" t="s">
        <v>5330</v>
      </c>
      <c r="C103" t="s">
        <v>5470</v>
      </c>
      <c r="D103" t="s">
        <v>4058</v>
      </c>
      <c r="E103" t="s">
        <v>5617</v>
      </c>
      <c r="F103" t="s">
        <v>5851</v>
      </c>
      <c r="G103" t="s">
        <v>5821</v>
      </c>
      <c r="H103" t="s">
        <v>5474</v>
      </c>
      <c r="I103" t="s">
        <v>5852</v>
      </c>
      <c r="J103" t="s">
        <v>5476</v>
      </c>
      <c r="K103" t="s">
        <v>5853</v>
      </c>
      <c r="L103" t="s">
        <v>5478</v>
      </c>
      <c r="M103" t="s">
        <v>5471</v>
      </c>
    </row>
    <row r="104" spans="1:13" x14ac:dyDescent="0.3">
      <c r="A104" t="s">
        <v>3383</v>
      </c>
      <c r="B104" t="s">
        <v>5330</v>
      </c>
      <c r="C104" t="s">
        <v>5470</v>
      </c>
      <c r="D104" t="s">
        <v>4058</v>
      </c>
      <c r="E104" t="s">
        <v>5617</v>
      </c>
      <c r="F104" t="s">
        <v>5854</v>
      </c>
      <c r="G104" t="s">
        <v>5821</v>
      </c>
      <c r="H104" t="s">
        <v>5474</v>
      </c>
      <c r="I104" t="s">
        <v>5855</v>
      </c>
      <c r="J104" t="s">
        <v>5476</v>
      </c>
      <c r="K104" t="s">
        <v>5856</v>
      </c>
      <c r="L104" t="s">
        <v>5478</v>
      </c>
      <c r="M104" t="s">
        <v>5471</v>
      </c>
    </row>
    <row r="105" spans="1:13" x14ac:dyDescent="0.3">
      <c r="A105" t="s">
        <v>3383</v>
      </c>
      <c r="B105" t="s">
        <v>5330</v>
      </c>
      <c r="C105" t="s">
        <v>5470</v>
      </c>
      <c r="D105" t="s">
        <v>4058</v>
      </c>
      <c r="E105" t="s">
        <v>5617</v>
      </c>
      <c r="F105" t="s">
        <v>5857</v>
      </c>
      <c r="G105" t="s">
        <v>5821</v>
      </c>
      <c r="H105" t="s">
        <v>5474</v>
      </c>
      <c r="I105" t="s">
        <v>5858</v>
      </c>
      <c r="J105" t="s">
        <v>5476</v>
      </c>
      <c r="K105" t="s">
        <v>5859</v>
      </c>
      <c r="L105" t="s">
        <v>5478</v>
      </c>
      <c r="M105" t="s">
        <v>5471</v>
      </c>
    </row>
    <row r="106" spans="1:13" x14ac:dyDescent="0.3">
      <c r="A106" t="s">
        <v>3383</v>
      </c>
      <c r="B106" t="s">
        <v>5330</v>
      </c>
      <c r="C106" t="s">
        <v>5470</v>
      </c>
      <c r="D106" t="s">
        <v>4058</v>
      </c>
      <c r="E106" t="s">
        <v>5617</v>
      </c>
      <c r="F106" t="s">
        <v>5860</v>
      </c>
      <c r="G106" t="s">
        <v>5821</v>
      </c>
      <c r="H106" t="s">
        <v>5474</v>
      </c>
      <c r="I106" t="s">
        <v>5861</v>
      </c>
      <c r="J106" t="s">
        <v>5476</v>
      </c>
      <c r="K106" t="s">
        <v>5862</v>
      </c>
      <c r="L106" t="s">
        <v>5478</v>
      </c>
      <c r="M106" t="s">
        <v>5471</v>
      </c>
    </row>
    <row r="107" spans="1:13" x14ac:dyDescent="0.3">
      <c r="A107" t="s">
        <v>3383</v>
      </c>
      <c r="B107" t="s">
        <v>5330</v>
      </c>
      <c r="C107" t="s">
        <v>5470</v>
      </c>
      <c r="D107" t="s">
        <v>4058</v>
      </c>
      <c r="E107" t="s">
        <v>5617</v>
      </c>
      <c r="F107" t="s">
        <v>5863</v>
      </c>
      <c r="G107" t="s">
        <v>5821</v>
      </c>
      <c r="H107" t="s">
        <v>5474</v>
      </c>
      <c r="I107" t="s">
        <v>5864</v>
      </c>
      <c r="J107" t="s">
        <v>5476</v>
      </c>
      <c r="K107" t="s">
        <v>5865</v>
      </c>
      <c r="L107" t="s">
        <v>5478</v>
      </c>
      <c r="M107" t="s">
        <v>5471</v>
      </c>
    </row>
    <row r="108" spans="1:13" x14ac:dyDescent="0.3">
      <c r="A108" t="s">
        <v>3383</v>
      </c>
      <c r="B108" t="s">
        <v>5330</v>
      </c>
      <c r="C108" t="s">
        <v>5470</v>
      </c>
      <c r="D108" t="s">
        <v>4058</v>
      </c>
      <c r="E108" t="s">
        <v>5617</v>
      </c>
      <c r="F108" t="s">
        <v>5866</v>
      </c>
      <c r="G108" t="s">
        <v>5867</v>
      </c>
      <c r="H108" t="s">
        <v>5474</v>
      </c>
      <c r="I108" t="s">
        <v>5868</v>
      </c>
      <c r="J108" t="s">
        <v>5484</v>
      </c>
      <c r="K108" t="s">
        <v>5869</v>
      </c>
      <c r="L108" t="s">
        <v>5478</v>
      </c>
      <c r="M108" t="s">
        <v>5471</v>
      </c>
    </row>
    <row r="109" spans="1:13" x14ac:dyDescent="0.3">
      <c r="A109" t="s">
        <v>3383</v>
      </c>
      <c r="B109" t="s">
        <v>5330</v>
      </c>
      <c r="C109" t="s">
        <v>5470</v>
      </c>
      <c r="D109" t="s">
        <v>4058</v>
      </c>
      <c r="E109" t="s">
        <v>5617</v>
      </c>
      <c r="F109" t="s">
        <v>5870</v>
      </c>
      <c r="G109" t="s">
        <v>5871</v>
      </c>
      <c r="H109" t="s">
        <v>5474</v>
      </c>
      <c r="I109" t="s">
        <v>5872</v>
      </c>
      <c r="J109" t="s">
        <v>5476</v>
      </c>
      <c r="K109" t="s">
        <v>5873</v>
      </c>
      <c r="L109" t="s">
        <v>5478</v>
      </c>
      <c r="M109" t="s">
        <v>5471</v>
      </c>
    </row>
    <row r="110" spans="1:13" x14ac:dyDescent="0.3">
      <c r="A110" t="s">
        <v>3383</v>
      </c>
      <c r="B110" t="s">
        <v>5330</v>
      </c>
      <c r="C110" t="s">
        <v>5470</v>
      </c>
      <c r="D110" t="s">
        <v>4058</v>
      </c>
      <c r="E110" t="s">
        <v>5617</v>
      </c>
      <c r="F110" t="s">
        <v>5874</v>
      </c>
      <c r="G110" t="s">
        <v>5871</v>
      </c>
      <c r="H110" t="s">
        <v>5474</v>
      </c>
      <c r="I110" t="s">
        <v>5875</v>
      </c>
      <c r="J110" t="s">
        <v>5476</v>
      </c>
      <c r="K110" t="s">
        <v>5876</v>
      </c>
      <c r="L110" t="s">
        <v>5478</v>
      </c>
      <c r="M110" t="s">
        <v>5471</v>
      </c>
    </row>
    <row r="111" spans="1:13" x14ac:dyDescent="0.3">
      <c r="A111" t="s">
        <v>3383</v>
      </c>
      <c r="B111" t="s">
        <v>5330</v>
      </c>
      <c r="C111" t="s">
        <v>5470</v>
      </c>
      <c r="D111" t="s">
        <v>4058</v>
      </c>
      <c r="E111" t="s">
        <v>5617</v>
      </c>
      <c r="F111" t="s">
        <v>5877</v>
      </c>
      <c r="G111" t="s">
        <v>5821</v>
      </c>
      <c r="H111" t="s">
        <v>5474</v>
      </c>
      <c r="I111" t="s">
        <v>5878</v>
      </c>
      <c r="J111" t="s">
        <v>5476</v>
      </c>
      <c r="K111" t="s">
        <v>5879</v>
      </c>
      <c r="L111" t="s">
        <v>5478</v>
      </c>
      <c r="M111" t="s">
        <v>5471</v>
      </c>
    </row>
    <row r="112" spans="1:13" x14ac:dyDescent="0.3">
      <c r="A112" t="s">
        <v>3383</v>
      </c>
      <c r="B112" t="s">
        <v>5330</v>
      </c>
      <c r="C112" t="s">
        <v>5470</v>
      </c>
      <c r="D112" t="s">
        <v>4058</v>
      </c>
      <c r="E112" t="s">
        <v>5617</v>
      </c>
      <c r="F112" t="s">
        <v>5880</v>
      </c>
      <c r="G112" t="s">
        <v>5821</v>
      </c>
      <c r="H112" t="s">
        <v>5474</v>
      </c>
      <c r="I112" t="s">
        <v>5881</v>
      </c>
      <c r="J112" t="s">
        <v>5476</v>
      </c>
      <c r="K112" t="s">
        <v>5882</v>
      </c>
      <c r="L112" t="s">
        <v>5478</v>
      </c>
      <c r="M112" t="s">
        <v>5471</v>
      </c>
    </row>
    <row r="113" spans="1:13" x14ac:dyDescent="0.3">
      <c r="A113" t="s">
        <v>3383</v>
      </c>
      <c r="B113" t="s">
        <v>5330</v>
      </c>
      <c r="C113" t="s">
        <v>5470</v>
      </c>
      <c r="D113" t="s">
        <v>4058</v>
      </c>
      <c r="E113" t="s">
        <v>5617</v>
      </c>
      <c r="F113" t="s">
        <v>5883</v>
      </c>
      <c r="G113" t="s">
        <v>5821</v>
      </c>
      <c r="H113" t="s">
        <v>5474</v>
      </c>
      <c r="I113" t="s">
        <v>5884</v>
      </c>
      <c r="J113" t="s">
        <v>5476</v>
      </c>
      <c r="K113" t="s">
        <v>5885</v>
      </c>
      <c r="L113" t="s">
        <v>5478</v>
      </c>
      <c r="M113" t="s">
        <v>5471</v>
      </c>
    </row>
    <row r="114" spans="1:13" x14ac:dyDescent="0.3">
      <c r="A114" t="s">
        <v>3383</v>
      </c>
      <c r="B114" t="s">
        <v>5330</v>
      </c>
      <c r="C114" t="s">
        <v>5470</v>
      </c>
      <c r="D114" t="s">
        <v>4058</v>
      </c>
      <c r="E114" t="s">
        <v>5617</v>
      </c>
      <c r="F114" t="s">
        <v>5886</v>
      </c>
      <c r="G114" t="s">
        <v>5821</v>
      </c>
      <c r="H114" t="s">
        <v>5474</v>
      </c>
      <c r="I114" t="s">
        <v>5887</v>
      </c>
      <c r="J114" t="s">
        <v>5476</v>
      </c>
      <c r="K114" t="s">
        <v>5888</v>
      </c>
      <c r="L114" t="s">
        <v>5478</v>
      </c>
      <c r="M114" t="s">
        <v>5471</v>
      </c>
    </row>
    <row r="115" spans="1:13" x14ac:dyDescent="0.3">
      <c r="A115" t="s">
        <v>3383</v>
      </c>
      <c r="B115" t="s">
        <v>5330</v>
      </c>
      <c r="C115" t="s">
        <v>5470</v>
      </c>
      <c r="D115" t="s">
        <v>4058</v>
      </c>
      <c r="E115" t="s">
        <v>5617</v>
      </c>
      <c r="F115" t="s">
        <v>5889</v>
      </c>
      <c r="G115" t="s">
        <v>5821</v>
      </c>
      <c r="H115" t="s">
        <v>5474</v>
      </c>
      <c r="I115" t="s">
        <v>5890</v>
      </c>
      <c r="J115" t="s">
        <v>5476</v>
      </c>
      <c r="K115" t="s">
        <v>5891</v>
      </c>
      <c r="L115" t="s">
        <v>5478</v>
      </c>
      <c r="M115" t="s">
        <v>5471</v>
      </c>
    </row>
    <row r="116" spans="1:13" x14ac:dyDescent="0.3">
      <c r="A116" t="s">
        <v>3383</v>
      </c>
      <c r="B116" t="s">
        <v>5330</v>
      </c>
      <c r="C116" t="s">
        <v>5470</v>
      </c>
      <c r="D116" t="s">
        <v>4056</v>
      </c>
      <c r="E116" t="s">
        <v>5617</v>
      </c>
      <c r="F116" t="s">
        <v>5892</v>
      </c>
      <c r="G116" t="s">
        <v>5821</v>
      </c>
      <c r="H116" t="s">
        <v>5474</v>
      </c>
      <c r="I116" t="s">
        <v>5893</v>
      </c>
      <c r="J116" t="s">
        <v>5476</v>
      </c>
      <c r="K116" t="s">
        <v>5894</v>
      </c>
      <c r="L116" t="s">
        <v>5895</v>
      </c>
      <c r="M116" t="s">
        <v>5471</v>
      </c>
    </row>
    <row r="117" spans="1:13" x14ac:dyDescent="0.3">
      <c r="A117" t="s">
        <v>3383</v>
      </c>
      <c r="B117" t="s">
        <v>5330</v>
      </c>
      <c r="C117" t="s">
        <v>5470</v>
      </c>
      <c r="D117" t="s">
        <v>4056</v>
      </c>
      <c r="E117" t="s">
        <v>5617</v>
      </c>
      <c r="F117" t="s">
        <v>5896</v>
      </c>
      <c r="G117" t="s">
        <v>5821</v>
      </c>
      <c r="H117" t="s">
        <v>5474</v>
      </c>
      <c r="I117" t="s">
        <v>5897</v>
      </c>
      <c r="J117" t="s">
        <v>5476</v>
      </c>
      <c r="K117" t="s">
        <v>5898</v>
      </c>
      <c r="L117" t="s">
        <v>5895</v>
      </c>
      <c r="M117" t="s">
        <v>5471</v>
      </c>
    </row>
    <row r="118" spans="1:13" x14ac:dyDescent="0.3">
      <c r="A118" t="s">
        <v>3383</v>
      </c>
      <c r="B118" t="s">
        <v>5330</v>
      </c>
      <c r="C118" t="s">
        <v>5470</v>
      </c>
      <c r="D118" t="s">
        <v>4056</v>
      </c>
      <c r="E118" t="s">
        <v>5617</v>
      </c>
      <c r="F118" t="s">
        <v>5899</v>
      </c>
      <c r="G118" t="s">
        <v>5821</v>
      </c>
      <c r="H118" t="s">
        <v>5474</v>
      </c>
      <c r="I118" t="s">
        <v>5900</v>
      </c>
      <c r="J118" t="s">
        <v>5476</v>
      </c>
      <c r="K118" t="s">
        <v>5901</v>
      </c>
      <c r="L118" t="s">
        <v>5478</v>
      </c>
      <c r="M118" t="s">
        <v>5471</v>
      </c>
    </row>
    <row r="119" spans="1:13" x14ac:dyDescent="0.3">
      <c r="A119" t="s">
        <v>3383</v>
      </c>
      <c r="B119" t="s">
        <v>5330</v>
      </c>
      <c r="C119" t="s">
        <v>5470</v>
      </c>
      <c r="D119" t="s">
        <v>4056</v>
      </c>
      <c r="E119" t="s">
        <v>5617</v>
      </c>
      <c r="F119" t="s">
        <v>5902</v>
      </c>
      <c r="G119" t="s">
        <v>5821</v>
      </c>
      <c r="H119" t="s">
        <v>5474</v>
      </c>
      <c r="I119" t="s">
        <v>5903</v>
      </c>
      <c r="J119" t="s">
        <v>5476</v>
      </c>
      <c r="K119" t="s">
        <v>5904</v>
      </c>
      <c r="L119" t="s">
        <v>5478</v>
      </c>
      <c r="M119" t="s">
        <v>5471</v>
      </c>
    </row>
    <row r="120" spans="1:13" x14ac:dyDescent="0.3">
      <c r="A120" t="s">
        <v>3383</v>
      </c>
      <c r="B120" t="s">
        <v>5330</v>
      </c>
      <c r="C120" t="s">
        <v>5470</v>
      </c>
      <c r="D120" t="s">
        <v>4056</v>
      </c>
      <c r="E120" t="s">
        <v>5617</v>
      </c>
      <c r="F120" t="s">
        <v>5905</v>
      </c>
      <c r="G120" t="s">
        <v>5821</v>
      </c>
      <c r="H120" t="s">
        <v>5474</v>
      </c>
      <c r="I120" t="s">
        <v>5906</v>
      </c>
      <c r="J120" t="s">
        <v>5476</v>
      </c>
      <c r="K120" t="s">
        <v>5907</v>
      </c>
      <c r="L120" t="s">
        <v>5478</v>
      </c>
      <c r="M120" t="s">
        <v>5471</v>
      </c>
    </row>
    <row r="121" spans="1:13" x14ac:dyDescent="0.3">
      <c r="A121" t="s">
        <v>3383</v>
      </c>
      <c r="B121" t="s">
        <v>5330</v>
      </c>
      <c r="C121" t="s">
        <v>5470</v>
      </c>
      <c r="D121" t="s">
        <v>4056</v>
      </c>
      <c r="E121" t="s">
        <v>5617</v>
      </c>
      <c r="F121" t="s">
        <v>5908</v>
      </c>
      <c r="G121" t="s">
        <v>5821</v>
      </c>
      <c r="H121" t="s">
        <v>5474</v>
      </c>
      <c r="I121" t="s">
        <v>5909</v>
      </c>
      <c r="J121" t="s">
        <v>5476</v>
      </c>
      <c r="K121" t="s">
        <v>5910</v>
      </c>
      <c r="L121" t="s">
        <v>5478</v>
      </c>
      <c r="M121" t="s">
        <v>5471</v>
      </c>
    </row>
    <row r="122" spans="1:13" x14ac:dyDescent="0.3">
      <c r="A122" t="s">
        <v>3383</v>
      </c>
      <c r="B122" t="s">
        <v>5330</v>
      </c>
      <c r="C122" t="s">
        <v>5470</v>
      </c>
      <c r="D122" t="s">
        <v>4056</v>
      </c>
      <c r="E122" t="s">
        <v>5617</v>
      </c>
      <c r="F122" t="s">
        <v>5911</v>
      </c>
      <c r="G122" t="s">
        <v>5821</v>
      </c>
      <c r="H122" t="s">
        <v>5474</v>
      </c>
      <c r="I122" t="s">
        <v>5912</v>
      </c>
      <c r="J122" t="s">
        <v>5476</v>
      </c>
      <c r="K122" t="s">
        <v>5913</v>
      </c>
      <c r="L122" t="s">
        <v>5478</v>
      </c>
      <c r="M122" t="s">
        <v>5471</v>
      </c>
    </row>
    <row r="123" spans="1:13" x14ac:dyDescent="0.3">
      <c r="A123" t="s">
        <v>3383</v>
      </c>
      <c r="B123" t="s">
        <v>5330</v>
      </c>
      <c r="C123" t="s">
        <v>5470</v>
      </c>
      <c r="D123" t="s">
        <v>4056</v>
      </c>
      <c r="E123" t="s">
        <v>5617</v>
      </c>
      <c r="F123" t="s">
        <v>5914</v>
      </c>
      <c r="G123" t="s">
        <v>5821</v>
      </c>
      <c r="H123" t="s">
        <v>5474</v>
      </c>
      <c r="I123" t="s">
        <v>5915</v>
      </c>
      <c r="J123" t="s">
        <v>5476</v>
      </c>
      <c r="K123" t="s">
        <v>5916</v>
      </c>
      <c r="L123" t="s">
        <v>5478</v>
      </c>
      <c r="M123" t="s">
        <v>5471</v>
      </c>
    </row>
    <row r="124" spans="1:13" x14ac:dyDescent="0.3">
      <c r="A124" t="s">
        <v>3383</v>
      </c>
      <c r="B124" t="s">
        <v>5330</v>
      </c>
      <c r="C124" t="s">
        <v>5470</v>
      </c>
      <c r="D124" t="s">
        <v>4056</v>
      </c>
      <c r="E124" t="s">
        <v>5617</v>
      </c>
      <c r="F124" t="s">
        <v>5917</v>
      </c>
      <c r="G124" t="s">
        <v>5821</v>
      </c>
      <c r="H124" t="s">
        <v>5474</v>
      </c>
      <c r="I124" t="s">
        <v>5918</v>
      </c>
      <c r="J124" t="s">
        <v>5476</v>
      </c>
      <c r="K124" t="s">
        <v>5919</v>
      </c>
      <c r="L124" t="s">
        <v>5478</v>
      </c>
      <c r="M124" t="s">
        <v>5471</v>
      </c>
    </row>
    <row r="125" spans="1:13" x14ac:dyDescent="0.3">
      <c r="A125" t="s">
        <v>3383</v>
      </c>
      <c r="B125" t="s">
        <v>5330</v>
      </c>
      <c r="C125" t="s">
        <v>5470</v>
      </c>
      <c r="D125" t="s">
        <v>4056</v>
      </c>
      <c r="E125" t="s">
        <v>5617</v>
      </c>
      <c r="F125" t="s">
        <v>5920</v>
      </c>
      <c r="G125" t="s">
        <v>5821</v>
      </c>
      <c r="H125" t="s">
        <v>5474</v>
      </c>
      <c r="I125" t="s">
        <v>5921</v>
      </c>
      <c r="J125" t="s">
        <v>5484</v>
      </c>
      <c r="K125" t="s">
        <v>5922</v>
      </c>
      <c r="L125" t="s">
        <v>5478</v>
      </c>
      <c r="M125" t="s">
        <v>5471</v>
      </c>
    </row>
    <row r="126" spans="1:13" x14ac:dyDescent="0.3">
      <c r="A126" t="s">
        <v>3383</v>
      </c>
      <c r="B126" t="s">
        <v>5330</v>
      </c>
      <c r="C126" t="s">
        <v>5470</v>
      </c>
      <c r="D126" t="s">
        <v>4056</v>
      </c>
      <c r="E126" t="s">
        <v>5617</v>
      </c>
      <c r="F126" t="s">
        <v>5923</v>
      </c>
      <c r="G126" t="s">
        <v>5821</v>
      </c>
      <c r="H126" t="s">
        <v>5474</v>
      </c>
      <c r="I126" t="s">
        <v>5924</v>
      </c>
      <c r="J126" t="s">
        <v>5484</v>
      </c>
      <c r="K126" t="s">
        <v>5925</v>
      </c>
      <c r="L126" t="s">
        <v>5478</v>
      </c>
      <c r="M126" t="s">
        <v>5471</v>
      </c>
    </row>
    <row r="127" spans="1:13" x14ac:dyDescent="0.3">
      <c r="A127" t="s">
        <v>3383</v>
      </c>
      <c r="B127" t="s">
        <v>5330</v>
      </c>
      <c r="C127" t="s">
        <v>5470</v>
      </c>
      <c r="D127" t="s">
        <v>4056</v>
      </c>
      <c r="E127" t="s">
        <v>5617</v>
      </c>
      <c r="F127" t="s">
        <v>5926</v>
      </c>
      <c r="G127" t="s">
        <v>5821</v>
      </c>
      <c r="H127" t="s">
        <v>5474</v>
      </c>
      <c r="I127" t="s">
        <v>5927</v>
      </c>
      <c r="J127" t="s">
        <v>5476</v>
      </c>
      <c r="K127" t="s">
        <v>5928</v>
      </c>
      <c r="L127" t="s">
        <v>5478</v>
      </c>
      <c r="M127" t="s">
        <v>5471</v>
      </c>
    </row>
    <row r="128" spans="1:13" x14ac:dyDescent="0.3">
      <c r="A128" t="s">
        <v>3383</v>
      </c>
      <c r="B128" t="s">
        <v>5330</v>
      </c>
      <c r="C128" t="s">
        <v>5470</v>
      </c>
      <c r="D128" t="s">
        <v>4056</v>
      </c>
      <c r="E128" t="s">
        <v>5617</v>
      </c>
      <c r="F128" t="s">
        <v>5929</v>
      </c>
      <c r="G128" t="s">
        <v>5821</v>
      </c>
      <c r="H128" t="s">
        <v>5474</v>
      </c>
      <c r="I128" t="s">
        <v>5930</v>
      </c>
      <c r="J128" t="s">
        <v>5476</v>
      </c>
      <c r="K128" t="s">
        <v>5931</v>
      </c>
      <c r="L128" t="s">
        <v>5478</v>
      </c>
      <c r="M128" t="s">
        <v>5471</v>
      </c>
    </row>
    <row r="129" spans="1:13" x14ac:dyDescent="0.3">
      <c r="A129" t="s">
        <v>3397</v>
      </c>
      <c r="B129" t="s">
        <v>5594</v>
      </c>
      <c r="C129" t="s">
        <v>5487</v>
      </c>
      <c r="D129" t="s">
        <v>4052</v>
      </c>
      <c r="E129" t="s">
        <v>5595</v>
      </c>
      <c r="F129" t="s">
        <v>5932</v>
      </c>
      <c r="G129" t="s">
        <v>5933</v>
      </c>
      <c r="H129" t="s">
        <v>5474</v>
      </c>
      <c r="I129" t="s">
        <v>5934</v>
      </c>
      <c r="J129" t="s">
        <v>5476</v>
      </c>
      <c r="K129" t="s">
        <v>5935</v>
      </c>
      <c r="L129" t="s">
        <v>5478</v>
      </c>
      <c r="M129" t="s">
        <v>5471</v>
      </c>
    </row>
    <row r="130" spans="1:13" x14ac:dyDescent="0.3">
      <c r="A130" t="s">
        <v>3397</v>
      </c>
      <c r="B130" t="s">
        <v>5594</v>
      </c>
      <c r="C130" t="s">
        <v>5487</v>
      </c>
      <c r="D130" t="s">
        <v>4052</v>
      </c>
      <c r="E130" t="s">
        <v>5595</v>
      </c>
      <c r="F130" t="s">
        <v>5936</v>
      </c>
      <c r="G130" t="s">
        <v>5933</v>
      </c>
      <c r="H130" t="s">
        <v>5474</v>
      </c>
      <c r="I130" t="s">
        <v>5937</v>
      </c>
      <c r="J130" t="s">
        <v>5476</v>
      </c>
      <c r="K130" t="s">
        <v>5938</v>
      </c>
      <c r="L130" t="s">
        <v>5478</v>
      </c>
      <c r="M130" t="s">
        <v>5471</v>
      </c>
    </row>
    <row r="131" spans="1:13" x14ac:dyDescent="0.3">
      <c r="A131" t="s">
        <v>3388</v>
      </c>
      <c r="B131" t="s">
        <v>5522</v>
      </c>
      <c r="C131" t="s">
        <v>5470</v>
      </c>
      <c r="D131" t="s">
        <v>4119</v>
      </c>
      <c r="E131" t="s">
        <v>5471</v>
      </c>
      <c r="F131" t="s">
        <v>5939</v>
      </c>
      <c r="G131" t="s">
        <v>5482</v>
      </c>
      <c r="H131" t="s">
        <v>5474</v>
      </c>
      <c r="I131" t="s">
        <v>5940</v>
      </c>
      <c r="J131" t="s">
        <v>5476</v>
      </c>
      <c r="K131" t="s">
        <v>5471</v>
      </c>
      <c r="L131" t="s">
        <v>5471</v>
      </c>
      <c r="M131" t="s">
        <v>5471</v>
      </c>
    </row>
    <row r="132" spans="1:13" x14ac:dyDescent="0.3">
      <c r="A132" t="s">
        <v>3397</v>
      </c>
      <c r="B132" t="s">
        <v>5941</v>
      </c>
      <c r="C132" t="s">
        <v>5471</v>
      </c>
      <c r="D132" t="s">
        <v>4119</v>
      </c>
      <c r="E132" t="s">
        <v>5471</v>
      </c>
      <c r="F132" t="s">
        <v>5942</v>
      </c>
      <c r="G132" t="s">
        <v>5471</v>
      </c>
      <c r="H132" t="s">
        <v>5474</v>
      </c>
      <c r="I132" t="s">
        <v>5943</v>
      </c>
      <c r="J132" t="s">
        <v>5476</v>
      </c>
      <c r="K132" t="s">
        <v>5471</v>
      </c>
      <c r="L132" t="s">
        <v>5471</v>
      </c>
      <c r="M132" t="s">
        <v>5471</v>
      </c>
    </row>
    <row r="133" spans="1:13" x14ac:dyDescent="0.3">
      <c r="A133" t="s">
        <v>3397</v>
      </c>
      <c r="B133" t="s">
        <v>5766</v>
      </c>
      <c r="C133" t="s">
        <v>5487</v>
      </c>
      <c r="D133" t="s">
        <v>4119</v>
      </c>
      <c r="E133" t="s">
        <v>5756</v>
      </c>
      <c r="F133" t="s">
        <v>5942</v>
      </c>
      <c r="G133" t="s">
        <v>5482</v>
      </c>
      <c r="H133" t="s">
        <v>5474</v>
      </c>
      <c r="I133" t="s">
        <v>5944</v>
      </c>
      <c r="J133" t="s">
        <v>5476</v>
      </c>
      <c r="K133" t="s">
        <v>5471</v>
      </c>
      <c r="L133" t="s">
        <v>5471</v>
      </c>
      <c r="M133" t="s">
        <v>5471</v>
      </c>
    </row>
    <row r="134" spans="1:13" x14ac:dyDescent="0.3">
      <c r="A134" t="s">
        <v>3383</v>
      </c>
      <c r="B134" t="s">
        <v>5294</v>
      </c>
      <c r="C134" t="s">
        <v>5470</v>
      </c>
      <c r="D134" t="s">
        <v>4119</v>
      </c>
      <c r="E134" t="s">
        <v>5756</v>
      </c>
      <c r="F134" t="s">
        <v>5945</v>
      </c>
      <c r="G134" t="s">
        <v>5946</v>
      </c>
      <c r="H134" t="s">
        <v>5474</v>
      </c>
      <c r="I134" t="s">
        <v>5947</v>
      </c>
      <c r="J134" t="s">
        <v>5484</v>
      </c>
      <c r="K134" t="s">
        <v>5471</v>
      </c>
      <c r="L134" t="s">
        <v>5471</v>
      </c>
      <c r="M134" t="s">
        <v>5471</v>
      </c>
    </row>
    <row r="135" spans="1:13" x14ac:dyDescent="0.3">
      <c r="A135" t="s">
        <v>3383</v>
      </c>
      <c r="B135" t="s">
        <v>5294</v>
      </c>
      <c r="C135" t="s">
        <v>5470</v>
      </c>
      <c r="D135" t="s">
        <v>4119</v>
      </c>
      <c r="E135" t="s">
        <v>5756</v>
      </c>
      <c r="F135" t="s">
        <v>5948</v>
      </c>
      <c r="G135" t="s">
        <v>5946</v>
      </c>
      <c r="H135" t="s">
        <v>5474</v>
      </c>
      <c r="I135" t="s">
        <v>5949</v>
      </c>
      <c r="J135" t="s">
        <v>5484</v>
      </c>
      <c r="K135" t="s">
        <v>5471</v>
      </c>
      <c r="L135" t="s">
        <v>5471</v>
      </c>
      <c r="M135" t="s">
        <v>5471</v>
      </c>
    </row>
    <row r="136" spans="1:13" x14ac:dyDescent="0.3">
      <c r="A136" t="s">
        <v>3383</v>
      </c>
      <c r="B136" t="s">
        <v>5294</v>
      </c>
      <c r="C136" t="s">
        <v>5470</v>
      </c>
      <c r="D136" t="s">
        <v>4119</v>
      </c>
      <c r="E136" t="s">
        <v>5756</v>
      </c>
      <c r="F136" t="s">
        <v>5950</v>
      </c>
      <c r="G136" t="s">
        <v>5946</v>
      </c>
      <c r="H136" t="s">
        <v>5474</v>
      </c>
      <c r="I136" t="s">
        <v>5951</v>
      </c>
      <c r="J136" t="s">
        <v>5484</v>
      </c>
      <c r="K136" t="s">
        <v>5471</v>
      </c>
      <c r="L136" t="s">
        <v>5471</v>
      </c>
      <c r="M136" t="s">
        <v>5471</v>
      </c>
    </row>
    <row r="137" spans="1:13" x14ac:dyDescent="0.3">
      <c r="A137" t="s">
        <v>3383</v>
      </c>
      <c r="B137" t="s">
        <v>5952</v>
      </c>
      <c r="C137" t="s">
        <v>5470</v>
      </c>
      <c r="D137" t="s">
        <v>4119</v>
      </c>
      <c r="E137" t="s">
        <v>5756</v>
      </c>
      <c r="F137" t="s">
        <v>5953</v>
      </c>
      <c r="G137" t="s">
        <v>5954</v>
      </c>
      <c r="H137" t="s">
        <v>5474</v>
      </c>
      <c r="I137" t="s">
        <v>5955</v>
      </c>
      <c r="J137" t="s">
        <v>5476</v>
      </c>
      <c r="K137" t="s">
        <v>5471</v>
      </c>
      <c r="L137" t="s">
        <v>5471</v>
      </c>
      <c r="M137" t="s">
        <v>5471</v>
      </c>
    </row>
    <row r="138" spans="1:13" x14ac:dyDescent="0.3">
      <c r="A138" t="s">
        <v>3388</v>
      </c>
      <c r="B138" t="s">
        <v>5956</v>
      </c>
      <c r="C138" t="s">
        <v>5470</v>
      </c>
      <c r="D138" t="s">
        <v>4119</v>
      </c>
      <c r="E138" t="s">
        <v>5532</v>
      </c>
      <c r="F138" t="s">
        <v>5957</v>
      </c>
      <c r="G138" t="s">
        <v>5482</v>
      </c>
      <c r="H138" t="s">
        <v>5474</v>
      </c>
      <c r="I138" t="s">
        <v>5958</v>
      </c>
      <c r="J138" t="s">
        <v>5476</v>
      </c>
      <c r="K138" t="s">
        <v>5471</v>
      </c>
      <c r="L138" t="s">
        <v>5471</v>
      </c>
      <c r="M138" t="s">
        <v>5471</v>
      </c>
    </row>
    <row r="139" spans="1:13" x14ac:dyDescent="0.3">
      <c r="A139" t="s">
        <v>3383</v>
      </c>
      <c r="B139" t="s">
        <v>5952</v>
      </c>
      <c r="C139" t="s">
        <v>5470</v>
      </c>
      <c r="D139" t="s">
        <v>4119</v>
      </c>
      <c r="E139" t="s">
        <v>5532</v>
      </c>
      <c r="F139" t="s">
        <v>5959</v>
      </c>
      <c r="G139" t="s">
        <v>5960</v>
      </c>
      <c r="H139" t="s">
        <v>5474</v>
      </c>
      <c r="I139" t="s">
        <v>5961</v>
      </c>
      <c r="J139" t="s">
        <v>5476</v>
      </c>
      <c r="K139" t="s">
        <v>5471</v>
      </c>
      <c r="L139" t="s">
        <v>5471</v>
      </c>
      <c r="M139" t="s">
        <v>5471</v>
      </c>
    </row>
    <row r="140" spans="1:13" x14ac:dyDescent="0.3">
      <c r="A140" t="s">
        <v>3383</v>
      </c>
      <c r="B140" t="s">
        <v>5952</v>
      </c>
      <c r="C140" t="s">
        <v>5470</v>
      </c>
      <c r="D140" t="s">
        <v>4119</v>
      </c>
      <c r="E140" t="s">
        <v>5756</v>
      </c>
      <c r="F140" t="s">
        <v>5962</v>
      </c>
      <c r="G140" t="s">
        <v>5960</v>
      </c>
      <c r="H140" t="s">
        <v>5474</v>
      </c>
      <c r="I140" t="s">
        <v>5963</v>
      </c>
      <c r="J140" t="s">
        <v>5476</v>
      </c>
      <c r="K140" t="s">
        <v>5471</v>
      </c>
      <c r="L140" t="s">
        <v>5471</v>
      </c>
      <c r="M140" t="s">
        <v>5471</v>
      </c>
    </row>
    <row r="141" spans="1:13" x14ac:dyDescent="0.3">
      <c r="A141" t="s">
        <v>3383</v>
      </c>
      <c r="B141" t="s">
        <v>5952</v>
      </c>
      <c r="C141" t="s">
        <v>5470</v>
      </c>
      <c r="D141" t="s">
        <v>4119</v>
      </c>
      <c r="E141" t="s">
        <v>5756</v>
      </c>
      <c r="F141" t="s">
        <v>5962</v>
      </c>
      <c r="G141" t="s">
        <v>5960</v>
      </c>
      <c r="H141" t="s">
        <v>5474</v>
      </c>
      <c r="I141" t="s">
        <v>5964</v>
      </c>
      <c r="J141" t="s">
        <v>5476</v>
      </c>
      <c r="K141" t="s">
        <v>5471</v>
      </c>
      <c r="L141" t="s">
        <v>5471</v>
      </c>
      <c r="M141" t="s">
        <v>5471</v>
      </c>
    </row>
    <row r="142" spans="1:13" x14ac:dyDescent="0.3">
      <c r="A142" t="s">
        <v>3383</v>
      </c>
      <c r="B142" t="s">
        <v>5952</v>
      </c>
      <c r="C142" t="s">
        <v>5470</v>
      </c>
      <c r="D142" t="s">
        <v>4119</v>
      </c>
      <c r="E142" t="s">
        <v>5756</v>
      </c>
      <c r="F142" t="s">
        <v>5962</v>
      </c>
      <c r="G142" t="s">
        <v>5960</v>
      </c>
      <c r="H142" t="s">
        <v>5474</v>
      </c>
      <c r="I142" t="s">
        <v>5965</v>
      </c>
      <c r="J142" t="s">
        <v>5476</v>
      </c>
      <c r="K142" t="s">
        <v>5471</v>
      </c>
      <c r="L142" t="s">
        <v>5471</v>
      </c>
      <c r="M142" t="s">
        <v>5471</v>
      </c>
    </row>
    <row r="143" spans="1:13" x14ac:dyDescent="0.3">
      <c r="A143" t="s">
        <v>3383</v>
      </c>
      <c r="B143" t="s">
        <v>5952</v>
      </c>
      <c r="C143" t="s">
        <v>5470</v>
      </c>
      <c r="D143" t="s">
        <v>4119</v>
      </c>
      <c r="E143" t="s">
        <v>5756</v>
      </c>
      <c r="F143" t="s">
        <v>5962</v>
      </c>
      <c r="G143" t="s">
        <v>5960</v>
      </c>
      <c r="H143" t="s">
        <v>5474</v>
      </c>
      <c r="I143" t="s">
        <v>5966</v>
      </c>
      <c r="J143" t="s">
        <v>5476</v>
      </c>
      <c r="K143" t="s">
        <v>5471</v>
      </c>
      <c r="L143" t="s">
        <v>5471</v>
      </c>
      <c r="M143" t="s">
        <v>5471</v>
      </c>
    </row>
    <row r="144" spans="1:13" x14ac:dyDescent="0.3">
      <c r="A144" t="s">
        <v>3383</v>
      </c>
      <c r="B144" t="s">
        <v>5952</v>
      </c>
      <c r="C144" t="s">
        <v>5470</v>
      </c>
      <c r="D144" t="s">
        <v>4119</v>
      </c>
      <c r="E144" t="s">
        <v>5756</v>
      </c>
      <c r="F144" t="s">
        <v>5962</v>
      </c>
      <c r="G144" t="s">
        <v>5960</v>
      </c>
      <c r="H144" t="s">
        <v>5474</v>
      </c>
      <c r="I144" t="s">
        <v>5967</v>
      </c>
      <c r="J144" t="s">
        <v>5476</v>
      </c>
      <c r="K144" t="s">
        <v>5471</v>
      </c>
      <c r="L144" t="s">
        <v>5471</v>
      </c>
      <c r="M144" t="s">
        <v>5471</v>
      </c>
    </row>
    <row r="145" spans="1:13" x14ac:dyDescent="0.3">
      <c r="A145" t="s">
        <v>3383</v>
      </c>
      <c r="B145" t="s">
        <v>5952</v>
      </c>
      <c r="C145" t="s">
        <v>5470</v>
      </c>
      <c r="D145" t="s">
        <v>4119</v>
      </c>
      <c r="E145" t="s">
        <v>5756</v>
      </c>
      <c r="F145" t="s">
        <v>5962</v>
      </c>
      <c r="G145" t="s">
        <v>5960</v>
      </c>
      <c r="H145" t="s">
        <v>5474</v>
      </c>
      <c r="I145" t="s">
        <v>5968</v>
      </c>
      <c r="J145" t="s">
        <v>5476</v>
      </c>
      <c r="K145" t="s">
        <v>5471</v>
      </c>
      <c r="L145" t="s">
        <v>5471</v>
      </c>
      <c r="M145" t="s">
        <v>5471</v>
      </c>
    </row>
    <row r="146" spans="1:13" x14ac:dyDescent="0.3">
      <c r="A146" t="s">
        <v>3383</v>
      </c>
      <c r="B146" t="s">
        <v>5952</v>
      </c>
      <c r="C146" t="s">
        <v>5470</v>
      </c>
      <c r="D146" t="s">
        <v>4119</v>
      </c>
      <c r="E146" t="s">
        <v>5756</v>
      </c>
      <c r="F146" t="s">
        <v>5962</v>
      </c>
      <c r="G146" t="s">
        <v>5960</v>
      </c>
      <c r="H146" t="s">
        <v>5474</v>
      </c>
      <c r="I146" t="s">
        <v>5969</v>
      </c>
      <c r="J146" t="s">
        <v>5476</v>
      </c>
      <c r="K146" t="s">
        <v>5471</v>
      </c>
      <c r="L146" t="s">
        <v>5471</v>
      </c>
      <c r="M146" t="s">
        <v>5471</v>
      </c>
    </row>
    <row r="147" spans="1:13" x14ac:dyDescent="0.3">
      <c r="A147" t="s">
        <v>3383</v>
      </c>
      <c r="B147" t="s">
        <v>5952</v>
      </c>
      <c r="C147" t="s">
        <v>5470</v>
      </c>
      <c r="D147" t="s">
        <v>4119</v>
      </c>
      <c r="E147" t="s">
        <v>5756</v>
      </c>
      <c r="F147" t="s">
        <v>5962</v>
      </c>
      <c r="G147" t="s">
        <v>5960</v>
      </c>
      <c r="H147" t="s">
        <v>5474</v>
      </c>
      <c r="I147" t="s">
        <v>5970</v>
      </c>
      <c r="J147" t="s">
        <v>5476</v>
      </c>
      <c r="K147" t="s">
        <v>5471</v>
      </c>
      <c r="L147" t="s">
        <v>5471</v>
      </c>
      <c r="M147" t="s">
        <v>5471</v>
      </c>
    </row>
    <row r="148" spans="1:13" x14ac:dyDescent="0.3">
      <c r="A148" t="s">
        <v>3383</v>
      </c>
      <c r="B148" t="s">
        <v>5952</v>
      </c>
      <c r="C148" t="s">
        <v>5470</v>
      </c>
      <c r="D148" t="s">
        <v>4119</v>
      </c>
      <c r="E148" t="s">
        <v>5756</v>
      </c>
      <c r="F148" t="s">
        <v>5971</v>
      </c>
      <c r="G148" t="s">
        <v>5972</v>
      </c>
      <c r="H148" t="s">
        <v>5474</v>
      </c>
      <c r="I148" t="s">
        <v>5973</v>
      </c>
      <c r="J148" t="s">
        <v>5476</v>
      </c>
      <c r="K148" t="s">
        <v>5471</v>
      </c>
      <c r="L148" t="s">
        <v>5471</v>
      </c>
      <c r="M148" t="s">
        <v>5471</v>
      </c>
    </row>
    <row r="149" spans="1:13" x14ac:dyDescent="0.3">
      <c r="A149" t="s">
        <v>3383</v>
      </c>
      <c r="B149" t="s">
        <v>5294</v>
      </c>
      <c r="C149" t="s">
        <v>5470</v>
      </c>
      <c r="D149" t="s">
        <v>4119</v>
      </c>
      <c r="E149" t="s">
        <v>5532</v>
      </c>
      <c r="F149" t="s">
        <v>5962</v>
      </c>
      <c r="G149" t="s">
        <v>5974</v>
      </c>
      <c r="H149" t="s">
        <v>5474</v>
      </c>
      <c r="I149" t="s">
        <v>5975</v>
      </c>
      <c r="J149" t="s">
        <v>5476</v>
      </c>
      <c r="K149" t="s">
        <v>5471</v>
      </c>
      <c r="L149" t="s">
        <v>5471</v>
      </c>
      <c r="M149" t="s">
        <v>5471</v>
      </c>
    </row>
    <row r="150" spans="1:13" x14ac:dyDescent="0.3">
      <c r="A150" t="s">
        <v>3383</v>
      </c>
      <c r="B150" t="s">
        <v>5294</v>
      </c>
      <c r="C150" t="s">
        <v>5470</v>
      </c>
      <c r="D150" t="s">
        <v>4119</v>
      </c>
      <c r="E150" t="s">
        <v>5532</v>
      </c>
      <c r="F150" t="s">
        <v>5962</v>
      </c>
      <c r="G150" t="s">
        <v>5974</v>
      </c>
      <c r="H150" t="s">
        <v>5474</v>
      </c>
      <c r="I150" t="s">
        <v>5976</v>
      </c>
      <c r="J150" t="s">
        <v>5476</v>
      </c>
      <c r="K150" t="s">
        <v>5471</v>
      </c>
      <c r="L150" t="s">
        <v>5471</v>
      </c>
      <c r="M150" t="s">
        <v>5471</v>
      </c>
    </row>
    <row r="151" spans="1:13" x14ac:dyDescent="0.3">
      <c r="A151" t="s">
        <v>3383</v>
      </c>
      <c r="B151" t="s">
        <v>5294</v>
      </c>
      <c r="C151" t="s">
        <v>5470</v>
      </c>
      <c r="D151" t="s">
        <v>4119</v>
      </c>
      <c r="E151" t="s">
        <v>5756</v>
      </c>
      <c r="F151" t="s">
        <v>5962</v>
      </c>
      <c r="G151" t="s">
        <v>5977</v>
      </c>
      <c r="H151" t="s">
        <v>5474</v>
      </c>
      <c r="I151" t="s">
        <v>5978</v>
      </c>
      <c r="J151" t="s">
        <v>5484</v>
      </c>
      <c r="K151" t="s">
        <v>5471</v>
      </c>
      <c r="L151" t="s">
        <v>5471</v>
      </c>
      <c r="M151" t="s">
        <v>5471</v>
      </c>
    </row>
    <row r="152" spans="1:13" x14ac:dyDescent="0.3">
      <c r="A152" t="s">
        <v>3383</v>
      </c>
      <c r="B152" t="s">
        <v>5294</v>
      </c>
      <c r="C152" t="s">
        <v>5470</v>
      </c>
      <c r="D152" t="s">
        <v>4119</v>
      </c>
      <c r="E152" t="s">
        <v>5756</v>
      </c>
      <c r="F152" t="s">
        <v>5962</v>
      </c>
      <c r="G152" t="s">
        <v>5977</v>
      </c>
      <c r="H152" t="s">
        <v>5474</v>
      </c>
      <c r="I152" t="s">
        <v>5979</v>
      </c>
      <c r="J152" t="s">
        <v>5476</v>
      </c>
      <c r="K152" t="s">
        <v>5471</v>
      </c>
      <c r="L152" t="s">
        <v>5471</v>
      </c>
      <c r="M152" t="s">
        <v>5471</v>
      </c>
    </row>
    <row r="153" spans="1:13" x14ac:dyDescent="0.3">
      <c r="A153" t="s">
        <v>3383</v>
      </c>
      <c r="B153" t="s">
        <v>5294</v>
      </c>
      <c r="C153" t="s">
        <v>5470</v>
      </c>
      <c r="D153" t="s">
        <v>4119</v>
      </c>
      <c r="E153" t="s">
        <v>5756</v>
      </c>
      <c r="F153" t="s">
        <v>5962</v>
      </c>
      <c r="G153" t="s">
        <v>5977</v>
      </c>
      <c r="H153" t="s">
        <v>5474</v>
      </c>
      <c r="I153" t="s">
        <v>5980</v>
      </c>
      <c r="J153" t="s">
        <v>5476</v>
      </c>
      <c r="K153" t="s">
        <v>5471</v>
      </c>
      <c r="L153" t="s">
        <v>5471</v>
      </c>
      <c r="M153" t="s">
        <v>5471</v>
      </c>
    </row>
    <row r="154" spans="1:13" x14ac:dyDescent="0.3">
      <c r="A154" t="s">
        <v>3383</v>
      </c>
      <c r="B154" t="s">
        <v>5294</v>
      </c>
      <c r="C154" t="s">
        <v>5470</v>
      </c>
      <c r="D154" t="s">
        <v>4119</v>
      </c>
      <c r="E154" t="s">
        <v>5756</v>
      </c>
      <c r="F154" t="s">
        <v>5962</v>
      </c>
      <c r="G154" t="s">
        <v>5977</v>
      </c>
      <c r="H154" t="s">
        <v>5474</v>
      </c>
      <c r="I154" t="s">
        <v>5981</v>
      </c>
      <c r="J154" t="s">
        <v>5476</v>
      </c>
      <c r="K154" t="s">
        <v>5471</v>
      </c>
      <c r="L154" t="s">
        <v>5471</v>
      </c>
      <c r="M154" t="s">
        <v>5471</v>
      </c>
    </row>
    <row r="155" spans="1:13" x14ac:dyDescent="0.3">
      <c r="A155" t="s">
        <v>3383</v>
      </c>
      <c r="B155" t="s">
        <v>5294</v>
      </c>
      <c r="C155" t="s">
        <v>5470</v>
      </c>
      <c r="D155" t="s">
        <v>4119</v>
      </c>
      <c r="E155" t="s">
        <v>5756</v>
      </c>
      <c r="F155" t="s">
        <v>5962</v>
      </c>
      <c r="G155" t="s">
        <v>5977</v>
      </c>
      <c r="H155" t="s">
        <v>5474</v>
      </c>
      <c r="I155" t="s">
        <v>5982</v>
      </c>
      <c r="J155" t="s">
        <v>5476</v>
      </c>
      <c r="K155" t="s">
        <v>5471</v>
      </c>
      <c r="L155" t="s">
        <v>5471</v>
      </c>
      <c r="M155" t="s">
        <v>5471</v>
      </c>
    </row>
    <row r="156" spans="1:13" x14ac:dyDescent="0.3">
      <c r="A156" t="s">
        <v>3383</v>
      </c>
      <c r="B156" t="s">
        <v>5294</v>
      </c>
      <c r="C156" t="s">
        <v>5470</v>
      </c>
      <c r="D156" t="s">
        <v>4119</v>
      </c>
      <c r="E156" t="s">
        <v>5756</v>
      </c>
      <c r="F156" t="s">
        <v>5962</v>
      </c>
      <c r="G156" t="s">
        <v>5977</v>
      </c>
      <c r="H156" t="s">
        <v>5474</v>
      </c>
      <c r="I156" t="s">
        <v>5983</v>
      </c>
      <c r="J156" t="s">
        <v>5476</v>
      </c>
      <c r="K156" t="s">
        <v>5471</v>
      </c>
      <c r="L156" t="s">
        <v>5471</v>
      </c>
      <c r="M156" t="s">
        <v>5471</v>
      </c>
    </row>
    <row r="157" spans="1:13" x14ac:dyDescent="0.3">
      <c r="A157" t="s">
        <v>3383</v>
      </c>
      <c r="B157" t="s">
        <v>5952</v>
      </c>
      <c r="C157" t="s">
        <v>5470</v>
      </c>
      <c r="D157" t="s">
        <v>4119</v>
      </c>
      <c r="E157" t="s">
        <v>5756</v>
      </c>
      <c r="F157" t="s">
        <v>5984</v>
      </c>
      <c r="G157" t="s">
        <v>5960</v>
      </c>
      <c r="H157" t="s">
        <v>5474</v>
      </c>
      <c r="I157" t="s">
        <v>5985</v>
      </c>
      <c r="J157" t="s">
        <v>5484</v>
      </c>
      <c r="K157" t="s">
        <v>5471</v>
      </c>
      <c r="L157" t="s">
        <v>5471</v>
      </c>
      <c r="M157" t="s">
        <v>5471</v>
      </c>
    </row>
    <row r="158" spans="1:13" x14ac:dyDescent="0.3">
      <c r="A158" t="s">
        <v>3383</v>
      </c>
      <c r="B158" t="s">
        <v>5986</v>
      </c>
      <c r="C158" t="s">
        <v>5487</v>
      </c>
      <c r="D158" t="s">
        <v>4119</v>
      </c>
      <c r="E158" t="s">
        <v>5532</v>
      </c>
      <c r="F158" t="s">
        <v>5962</v>
      </c>
      <c r="G158" t="s">
        <v>5987</v>
      </c>
      <c r="H158" t="s">
        <v>5474</v>
      </c>
      <c r="I158" t="s">
        <v>5988</v>
      </c>
      <c r="J158" t="s">
        <v>5476</v>
      </c>
      <c r="K158" t="s">
        <v>5471</v>
      </c>
      <c r="L158" t="s">
        <v>5471</v>
      </c>
      <c r="M158" t="s">
        <v>5471</v>
      </c>
    </row>
    <row r="159" spans="1:13" x14ac:dyDescent="0.3">
      <c r="A159" t="s">
        <v>3397</v>
      </c>
      <c r="B159" t="s">
        <v>5989</v>
      </c>
      <c r="C159" t="s">
        <v>5487</v>
      </c>
      <c r="D159" t="s">
        <v>4119</v>
      </c>
      <c r="E159" t="s">
        <v>5756</v>
      </c>
      <c r="F159" t="s">
        <v>5990</v>
      </c>
      <c r="G159" t="s">
        <v>5991</v>
      </c>
      <c r="H159" t="s">
        <v>5474</v>
      </c>
      <c r="I159" t="s">
        <v>5992</v>
      </c>
      <c r="J159" t="s">
        <v>5476</v>
      </c>
      <c r="K159" t="s">
        <v>5471</v>
      </c>
      <c r="L159" t="s">
        <v>5471</v>
      </c>
      <c r="M159" t="s">
        <v>5471</v>
      </c>
    </row>
    <row r="160" spans="1:13" x14ac:dyDescent="0.3">
      <c r="A160" t="s">
        <v>3397</v>
      </c>
      <c r="B160" t="s">
        <v>5989</v>
      </c>
      <c r="C160" t="s">
        <v>5487</v>
      </c>
      <c r="D160" t="s">
        <v>4119</v>
      </c>
      <c r="E160" t="s">
        <v>5595</v>
      </c>
      <c r="F160" t="s">
        <v>5993</v>
      </c>
      <c r="G160" t="s">
        <v>5991</v>
      </c>
      <c r="H160" t="s">
        <v>5474</v>
      </c>
      <c r="I160" t="s">
        <v>5994</v>
      </c>
      <c r="J160" t="s">
        <v>5476</v>
      </c>
      <c r="K160" t="s">
        <v>5471</v>
      </c>
      <c r="L160" t="s">
        <v>5471</v>
      </c>
      <c r="M160" t="s">
        <v>5471</v>
      </c>
    </row>
    <row r="161" spans="1:13" x14ac:dyDescent="0.3">
      <c r="A161" t="s">
        <v>3383</v>
      </c>
      <c r="B161" t="s">
        <v>5986</v>
      </c>
      <c r="C161" t="s">
        <v>5487</v>
      </c>
      <c r="D161" t="s">
        <v>4119</v>
      </c>
      <c r="E161" t="s">
        <v>5532</v>
      </c>
      <c r="F161" t="s">
        <v>5995</v>
      </c>
      <c r="G161" t="s">
        <v>5987</v>
      </c>
      <c r="H161" t="s">
        <v>5474</v>
      </c>
      <c r="I161" t="s">
        <v>5996</v>
      </c>
      <c r="J161" t="s">
        <v>5476</v>
      </c>
      <c r="K161" t="s">
        <v>5471</v>
      </c>
      <c r="L161" t="s">
        <v>5471</v>
      </c>
      <c r="M161" t="s">
        <v>5471</v>
      </c>
    </row>
    <row r="162" spans="1:13" x14ac:dyDescent="0.3">
      <c r="A162" t="s">
        <v>3383</v>
      </c>
      <c r="B162" t="s">
        <v>5997</v>
      </c>
      <c r="C162" t="s">
        <v>5487</v>
      </c>
      <c r="D162" t="s">
        <v>4119</v>
      </c>
      <c r="E162" t="s">
        <v>5532</v>
      </c>
      <c r="F162" t="s">
        <v>5998</v>
      </c>
      <c r="G162" t="s">
        <v>5999</v>
      </c>
      <c r="H162" t="s">
        <v>5474</v>
      </c>
      <c r="I162" t="s">
        <v>6000</v>
      </c>
      <c r="J162" t="s">
        <v>5476</v>
      </c>
      <c r="K162" t="s">
        <v>5471</v>
      </c>
      <c r="L162" t="s">
        <v>5471</v>
      </c>
      <c r="M162" t="s">
        <v>5471</v>
      </c>
    </row>
    <row r="163" spans="1:13" x14ac:dyDescent="0.3">
      <c r="A163" t="s">
        <v>3383</v>
      </c>
      <c r="B163" t="s">
        <v>5997</v>
      </c>
      <c r="C163" t="s">
        <v>5487</v>
      </c>
      <c r="D163" t="s">
        <v>4119</v>
      </c>
      <c r="E163" t="s">
        <v>5532</v>
      </c>
      <c r="F163" t="s">
        <v>6001</v>
      </c>
      <c r="G163" t="s">
        <v>5999</v>
      </c>
      <c r="H163" t="s">
        <v>5474</v>
      </c>
      <c r="I163" t="s">
        <v>6002</v>
      </c>
      <c r="J163" t="s">
        <v>5476</v>
      </c>
      <c r="K163" t="s">
        <v>5471</v>
      </c>
      <c r="L163" t="s">
        <v>5471</v>
      </c>
      <c r="M163" t="s">
        <v>5471</v>
      </c>
    </row>
    <row r="164" spans="1:13" x14ac:dyDescent="0.3">
      <c r="A164" t="s">
        <v>3383</v>
      </c>
      <c r="B164" t="s">
        <v>5997</v>
      </c>
      <c r="C164" t="s">
        <v>5487</v>
      </c>
      <c r="D164" t="s">
        <v>4119</v>
      </c>
      <c r="E164" t="s">
        <v>5532</v>
      </c>
      <c r="F164" t="s">
        <v>6003</v>
      </c>
      <c r="G164" t="s">
        <v>5999</v>
      </c>
      <c r="H164" t="s">
        <v>5474</v>
      </c>
      <c r="I164" t="s">
        <v>6004</v>
      </c>
      <c r="J164" t="s">
        <v>5476</v>
      </c>
      <c r="K164" t="s">
        <v>5471</v>
      </c>
      <c r="L164" t="s">
        <v>5471</v>
      </c>
      <c r="M164" t="s">
        <v>5471</v>
      </c>
    </row>
    <row r="165" spans="1:13" x14ac:dyDescent="0.3">
      <c r="A165" t="s">
        <v>3383</v>
      </c>
      <c r="B165" t="s">
        <v>6005</v>
      </c>
      <c r="C165" t="s">
        <v>5487</v>
      </c>
      <c r="D165" t="s">
        <v>4119</v>
      </c>
      <c r="E165" t="s">
        <v>5532</v>
      </c>
      <c r="F165" t="s">
        <v>5962</v>
      </c>
      <c r="G165" t="s">
        <v>6006</v>
      </c>
      <c r="H165" t="s">
        <v>5474</v>
      </c>
      <c r="I165" t="s">
        <v>6007</v>
      </c>
      <c r="J165" t="s">
        <v>5476</v>
      </c>
      <c r="K165" t="s">
        <v>5471</v>
      </c>
      <c r="L165" t="s">
        <v>5471</v>
      </c>
      <c r="M165" t="s">
        <v>5471</v>
      </c>
    </row>
    <row r="166" spans="1:13" x14ac:dyDescent="0.3">
      <c r="A166" t="s">
        <v>3383</v>
      </c>
      <c r="B166" t="s">
        <v>6005</v>
      </c>
      <c r="C166" t="s">
        <v>5487</v>
      </c>
      <c r="D166" t="s">
        <v>4119</v>
      </c>
      <c r="E166" t="s">
        <v>5532</v>
      </c>
      <c r="F166" t="s">
        <v>5962</v>
      </c>
      <c r="G166" t="s">
        <v>6006</v>
      </c>
      <c r="H166" t="s">
        <v>5474</v>
      </c>
      <c r="I166" t="s">
        <v>6008</v>
      </c>
      <c r="J166" t="s">
        <v>5476</v>
      </c>
      <c r="K166" t="s">
        <v>5471</v>
      </c>
      <c r="L166" t="s">
        <v>5471</v>
      </c>
      <c r="M166" t="s">
        <v>5471</v>
      </c>
    </row>
    <row r="167" spans="1:13" x14ac:dyDescent="0.3">
      <c r="A167" t="s">
        <v>3383</v>
      </c>
      <c r="B167" t="s">
        <v>6009</v>
      </c>
      <c r="C167" t="s">
        <v>5470</v>
      </c>
      <c r="D167" t="s">
        <v>4119</v>
      </c>
      <c r="E167" t="s">
        <v>5532</v>
      </c>
      <c r="F167" t="s">
        <v>6010</v>
      </c>
      <c r="G167" t="s">
        <v>6011</v>
      </c>
      <c r="H167" t="s">
        <v>5474</v>
      </c>
      <c r="I167" t="s">
        <v>6012</v>
      </c>
      <c r="J167" t="s">
        <v>5476</v>
      </c>
      <c r="K167" t="s">
        <v>5471</v>
      </c>
      <c r="L167" t="s">
        <v>5471</v>
      </c>
      <c r="M167" t="s">
        <v>5471</v>
      </c>
    </row>
    <row r="168" spans="1:13" x14ac:dyDescent="0.3">
      <c r="A168" t="s">
        <v>3383</v>
      </c>
      <c r="B168" t="s">
        <v>5278</v>
      </c>
      <c r="C168" t="s">
        <v>5470</v>
      </c>
      <c r="D168" t="s">
        <v>4119</v>
      </c>
      <c r="E168" t="s">
        <v>5532</v>
      </c>
      <c r="F168" t="s">
        <v>5962</v>
      </c>
      <c r="G168" t="s">
        <v>6013</v>
      </c>
      <c r="H168" t="s">
        <v>5474</v>
      </c>
      <c r="I168" t="s">
        <v>6014</v>
      </c>
      <c r="J168" t="s">
        <v>5476</v>
      </c>
      <c r="K168" t="s">
        <v>5471</v>
      </c>
      <c r="L168" t="s">
        <v>5471</v>
      </c>
      <c r="M168" t="s">
        <v>5471</v>
      </c>
    </row>
    <row r="169" spans="1:13" x14ac:dyDescent="0.3">
      <c r="A169" t="s">
        <v>3383</v>
      </c>
      <c r="B169" t="s">
        <v>5278</v>
      </c>
      <c r="C169" t="s">
        <v>5470</v>
      </c>
      <c r="D169" t="s">
        <v>4119</v>
      </c>
      <c r="E169" t="s">
        <v>5532</v>
      </c>
      <c r="F169" t="s">
        <v>6015</v>
      </c>
      <c r="G169" t="s">
        <v>6013</v>
      </c>
      <c r="H169" t="s">
        <v>5474</v>
      </c>
      <c r="I169" t="s">
        <v>6016</v>
      </c>
      <c r="J169" t="s">
        <v>5476</v>
      </c>
      <c r="K169" t="s">
        <v>5471</v>
      </c>
      <c r="L169" t="s">
        <v>5471</v>
      </c>
      <c r="M169" t="s">
        <v>5471</v>
      </c>
    </row>
    <row r="170" spans="1:13" x14ac:dyDescent="0.3">
      <c r="A170" t="s">
        <v>3383</v>
      </c>
      <c r="B170" t="s">
        <v>5278</v>
      </c>
      <c r="C170" t="s">
        <v>5470</v>
      </c>
      <c r="D170" t="s">
        <v>4119</v>
      </c>
      <c r="E170" t="s">
        <v>5532</v>
      </c>
      <c r="F170" t="s">
        <v>5962</v>
      </c>
      <c r="G170" t="s">
        <v>6013</v>
      </c>
      <c r="H170" t="s">
        <v>5474</v>
      </c>
      <c r="I170" t="s">
        <v>6017</v>
      </c>
      <c r="J170" t="s">
        <v>5476</v>
      </c>
      <c r="K170" t="s">
        <v>5471</v>
      </c>
      <c r="L170" t="s">
        <v>5471</v>
      </c>
      <c r="M170" t="s">
        <v>5471</v>
      </c>
    </row>
    <row r="171" spans="1:13" x14ac:dyDescent="0.3">
      <c r="A171" t="s">
        <v>3383</v>
      </c>
      <c r="B171" t="s">
        <v>6018</v>
      </c>
      <c r="C171" t="s">
        <v>5470</v>
      </c>
      <c r="D171" t="s">
        <v>4119</v>
      </c>
      <c r="E171" t="s">
        <v>5756</v>
      </c>
      <c r="F171" t="s">
        <v>6019</v>
      </c>
      <c r="G171" t="s">
        <v>6020</v>
      </c>
      <c r="H171" t="s">
        <v>5474</v>
      </c>
      <c r="I171" t="s">
        <v>6021</v>
      </c>
      <c r="J171" t="s">
        <v>5476</v>
      </c>
      <c r="K171" t="s">
        <v>5471</v>
      </c>
      <c r="L171" t="s">
        <v>5471</v>
      </c>
      <c r="M171" t="s">
        <v>5471</v>
      </c>
    </row>
    <row r="172" spans="1:13" x14ac:dyDescent="0.3">
      <c r="A172" t="s">
        <v>3383</v>
      </c>
      <c r="B172" t="s">
        <v>6022</v>
      </c>
      <c r="C172" t="s">
        <v>5487</v>
      </c>
      <c r="D172" t="s">
        <v>4119</v>
      </c>
      <c r="E172" t="s">
        <v>5532</v>
      </c>
      <c r="F172" t="s">
        <v>5962</v>
      </c>
      <c r="G172" t="s">
        <v>6023</v>
      </c>
      <c r="H172" t="s">
        <v>5474</v>
      </c>
      <c r="I172" t="s">
        <v>6024</v>
      </c>
      <c r="J172" t="s">
        <v>5476</v>
      </c>
      <c r="K172" t="s">
        <v>5471</v>
      </c>
      <c r="L172" t="s">
        <v>5471</v>
      </c>
      <c r="M172" t="s">
        <v>5471</v>
      </c>
    </row>
    <row r="173" spans="1:13" x14ac:dyDescent="0.3">
      <c r="A173" t="s">
        <v>3383</v>
      </c>
      <c r="B173" t="s">
        <v>6022</v>
      </c>
      <c r="C173" t="s">
        <v>5487</v>
      </c>
      <c r="D173" t="s">
        <v>4119</v>
      </c>
      <c r="E173" t="s">
        <v>5532</v>
      </c>
      <c r="F173" t="s">
        <v>5962</v>
      </c>
      <c r="G173" t="s">
        <v>6023</v>
      </c>
      <c r="H173" t="s">
        <v>5474</v>
      </c>
      <c r="I173" t="s">
        <v>6025</v>
      </c>
      <c r="J173" t="s">
        <v>5476</v>
      </c>
      <c r="K173" t="s">
        <v>5471</v>
      </c>
      <c r="L173" t="s">
        <v>5471</v>
      </c>
      <c r="M173" t="s">
        <v>5471</v>
      </c>
    </row>
    <row r="174" spans="1:13" x14ac:dyDescent="0.3">
      <c r="A174" t="s">
        <v>3383</v>
      </c>
      <c r="B174" t="s">
        <v>6026</v>
      </c>
      <c r="C174" t="s">
        <v>5487</v>
      </c>
      <c r="D174" t="s">
        <v>4119</v>
      </c>
      <c r="E174" t="s">
        <v>5532</v>
      </c>
      <c r="F174" t="s">
        <v>6027</v>
      </c>
      <c r="G174" t="s">
        <v>6028</v>
      </c>
      <c r="H174" t="s">
        <v>5474</v>
      </c>
      <c r="I174" t="s">
        <v>6029</v>
      </c>
      <c r="J174" t="s">
        <v>5476</v>
      </c>
      <c r="K174" t="s">
        <v>5471</v>
      </c>
      <c r="L174" t="s">
        <v>5471</v>
      </c>
      <c r="M174" t="s">
        <v>5471</v>
      </c>
    </row>
    <row r="175" spans="1:13" x14ac:dyDescent="0.3">
      <c r="A175" t="s">
        <v>3383</v>
      </c>
      <c r="B175" t="s">
        <v>6030</v>
      </c>
      <c r="C175" t="s">
        <v>5487</v>
      </c>
      <c r="D175" t="s">
        <v>4119</v>
      </c>
      <c r="E175" t="s">
        <v>5471</v>
      </c>
      <c r="F175" t="s">
        <v>6031</v>
      </c>
      <c r="G175" t="s">
        <v>6032</v>
      </c>
      <c r="H175" t="s">
        <v>5474</v>
      </c>
      <c r="I175" t="s">
        <v>6033</v>
      </c>
      <c r="J175" t="s">
        <v>5476</v>
      </c>
      <c r="K175" t="s">
        <v>5471</v>
      </c>
      <c r="L175" t="s">
        <v>5471</v>
      </c>
      <c r="M175" t="s">
        <v>5471</v>
      </c>
    </row>
    <row r="176" spans="1:13" x14ac:dyDescent="0.3">
      <c r="A176" t="s">
        <v>3383</v>
      </c>
      <c r="B176" t="s">
        <v>6034</v>
      </c>
      <c r="C176" t="s">
        <v>5487</v>
      </c>
      <c r="D176" t="s">
        <v>4119</v>
      </c>
      <c r="E176" t="s">
        <v>5532</v>
      </c>
      <c r="F176" t="s">
        <v>6035</v>
      </c>
      <c r="G176" t="s">
        <v>6036</v>
      </c>
      <c r="H176" t="s">
        <v>5474</v>
      </c>
      <c r="I176" t="s">
        <v>6037</v>
      </c>
      <c r="J176" t="s">
        <v>5476</v>
      </c>
      <c r="K176" t="s">
        <v>5471</v>
      </c>
      <c r="L176" t="s">
        <v>5471</v>
      </c>
      <c r="M176" t="s">
        <v>5471</v>
      </c>
    </row>
    <row r="177" spans="1:13" x14ac:dyDescent="0.3">
      <c r="A177" t="s">
        <v>3383</v>
      </c>
      <c r="B177" t="s">
        <v>6034</v>
      </c>
      <c r="C177" t="s">
        <v>5487</v>
      </c>
      <c r="D177" t="s">
        <v>4119</v>
      </c>
      <c r="E177" t="s">
        <v>5532</v>
      </c>
      <c r="F177" t="s">
        <v>6038</v>
      </c>
      <c r="G177" t="s">
        <v>6039</v>
      </c>
      <c r="H177" t="s">
        <v>5474</v>
      </c>
      <c r="I177" t="s">
        <v>6040</v>
      </c>
      <c r="J177" t="s">
        <v>5476</v>
      </c>
      <c r="K177" t="s">
        <v>5471</v>
      </c>
      <c r="L177" t="s">
        <v>5471</v>
      </c>
      <c r="M177" t="s">
        <v>5471</v>
      </c>
    </row>
    <row r="178" spans="1:13" x14ac:dyDescent="0.3">
      <c r="A178" t="s">
        <v>3383</v>
      </c>
      <c r="B178" t="s">
        <v>5304</v>
      </c>
      <c r="C178" t="s">
        <v>5487</v>
      </c>
      <c r="D178" t="s">
        <v>4119</v>
      </c>
      <c r="E178" t="s">
        <v>5532</v>
      </c>
      <c r="F178" t="s">
        <v>5962</v>
      </c>
      <c r="G178" t="s">
        <v>6041</v>
      </c>
      <c r="H178" t="s">
        <v>5474</v>
      </c>
      <c r="I178" t="s">
        <v>6042</v>
      </c>
      <c r="J178" t="s">
        <v>5476</v>
      </c>
      <c r="K178" t="s">
        <v>5471</v>
      </c>
      <c r="L178" t="s">
        <v>5471</v>
      </c>
      <c r="M178" t="s">
        <v>5471</v>
      </c>
    </row>
    <row r="179" spans="1:13" x14ac:dyDescent="0.3">
      <c r="A179" t="s">
        <v>3383</v>
      </c>
      <c r="B179" t="s">
        <v>5304</v>
      </c>
      <c r="C179" t="s">
        <v>5487</v>
      </c>
      <c r="D179" t="s">
        <v>4119</v>
      </c>
      <c r="E179" t="s">
        <v>5532</v>
      </c>
      <c r="F179" t="s">
        <v>5962</v>
      </c>
      <c r="G179" t="s">
        <v>6041</v>
      </c>
      <c r="H179" t="s">
        <v>5474</v>
      </c>
      <c r="I179" t="s">
        <v>6043</v>
      </c>
      <c r="J179" t="s">
        <v>5476</v>
      </c>
      <c r="K179" t="s">
        <v>5471</v>
      </c>
      <c r="L179" t="s">
        <v>5471</v>
      </c>
      <c r="M179" t="s">
        <v>5471</v>
      </c>
    </row>
    <row r="180" spans="1:13" x14ac:dyDescent="0.3">
      <c r="A180" t="s">
        <v>3383</v>
      </c>
      <c r="B180" t="s">
        <v>5304</v>
      </c>
      <c r="C180" t="s">
        <v>5487</v>
      </c>
      <c r="D180" t="s">
        <v>4119</v>
      </c>
      <c r="E180" t="s">
        <v>5532</v>
      </c>
      <c r="F180" t="s">
        <v>5962</v>
      </c>
      <c r="G180" t="s">
        <v>6041</v>
      </c>
      <c r="H180" t="s">
        <v>5474</v>
      </c>
      <c r="I180" t="s">
        <v>6044</v>
      </c>
      <c r="J180" t="s">
        <v>5476</v>
      </c>
      <c r="K180" t="s">
        <v>5471</v>
      </c>
      <c r="L180" t="s">
        <v>5471</v>
      </c>
      <c r="M180" t="s">
        <v>5471</v>
      </c>
    </row>
    <row r="181" spans="1:13" x14ac:dyDescent="0.3">
      <c r="A181" t="s">
        <v>3383</v>
      </c>
      <c r="B181" t="s">
        <v>5304</v>
      </c>
      <c r="C181" t="s">
        <v>5487</v>
      </c>
      <c r="D181" t="s">
        <v>4119</v>
      </c>
      <c r="E181" t="s">
        <v>5532</v>
      </c>
      <c r="F181" t="s">
        <v>5962</v>
      </c>
      <c r="G181" t="s">
        <v>6041</v>
      </c>
      <c r="H181" t="s">
        <v>5474</v>
      </c>
      <c r="I181" t="s">
        <v>6045</v>
      </c>
      <c r="J181" t="s">
        <v>5476</v>
      </c>
      <c r="K181" t="s">
        <v>5471</v>
      </c>
      <c r="L181" t="s">
        <v>5471</v>
      </c>
      <c r="M181" t="s">
        <v>5471</v>
      </c>
    </row>
    <row r="182" spans="1:13" x14ac:dyDescent="0.3">
      <c r="A182" t="s">
        <v>3383</v>
      </c>
      <c r="B182" t="s">
        <v>6046</v>
      </c>
      <c r="C182" t="s">
        <v>5487</v>
      </c>
      <c r="D182" t="s">
        <v>4119</v>
      </c>
      <c r="E182" t="s">
        <v>5532</v>
      </c>
      <c r="F182" t="s">
        <v>6047</v>
      </c>
      <c r="G182" t="s">
        <v>6048</v>
      </c>
      <c r="H182" t="s">
        <v>5474</v>
      </c>
      <c r="I182" t="s">
        <v>6049</v>
      </c>
      <c r="J182" t="s">
        <v>5476</v>
      </c>
      <c r="K182" t="s">
        <v>5471</v>
      </c>
      <c r="L182" t="s">
        <v>5471</v>
      </c>
      <c r="M182" t="s">
        <v>5471</v>
      </c>
    </row>
    <row r="183" spans="1:13" x14ac:dyDescent="0.3">
      <c r="A183" t="s">
        <v>3383</v>
      </c>
      <c r="B183" t="s">
        <v>5304</v>
      </c>
      <c r="C183" t="s">
        <v>5487</v>
      </c>
      <c r="D183" t="s">
        <v>4119</v>
      </c>
      <c r="E183" t="s">
        <v>5532</v>
      </c>
      <c r="F183" t="s">
        <v>5962</v>
      </c>
      <c r="G183" t="s">
        <v>6041</v>
      </c>
      <c r="H183" t="s">
        <v>5474</v>
      </c>
      <c r="I183" t="s">
        <v>6050</v>
      </c>
      <c r="J183" t="s">
        <v>5476</v>
      </c>
      <c r="K183" t="s">
        <v>5471</v>
      </c>
      <c r="L183" t="s">
        <v>5471</v>
      </c>
      <c r="M183" t="s">
        <v>5471</v>
      </c>
    </row>
    <row r="184" spans="1:13" x14ac:dyDescent="0.3">
      <c r="A184" t="s">
        <v>3383</v>
      </c>
      <c r="B184" t="s">
        <v>6051</v>
      </c>
      <c r="C184" t="s">
        <v>5470</v>
      </c>
      <c r="D184" t="s">
        <v>4119</v>
      </c>
      <c r="E184" t="s">
        <v>5532</v>
      </c>
      <c r="F184" t="s">
        <v>6052</v>
      </c>
      <c r="G184" t="s">
        <v>6053</v>
      </c>
      <c r="H184" t="s">
        <v>5474</v>
      </c>
      <c r="I184" t="s">
        <v>6054</v>
      </c>
      <c r="J184" t="s">
        <v>5476</v>
      </c>
      <c r="K184" t="s">
        <v>5471</v>
      </c>
      <c r="L184" t="s">
        <v>5471</v>
      </c>
      <c r="M184" t="s">
        <v>5471</v>
      </c>
    </row>
    <row r="185" spans="1:13" x14ac:dyDescent="0.3">
      <c r="A185" t="s">
        <v>3383</v>
      </c>
      <c r="B185" t="s">
        <v>6051</v>
      </c>
      <c r="C185" t="s">
        <v>5470</v>
      </c>
      <c r="D185" t="s">
        <v>4119</v>
      </c>
      <c r="E185" t="s">
        <v>5532</v>
      </c>
      <c r="F185" t="s">
        <v>5962</v>
      </c>
      <c r="G185" t="s">
        <v>6053</v>
      </c>
      <c r="H185" t="s">
        <v>5474</v>
      </c>
      <c r="I185" t="s">
        <v>6055</v>
      </c>
      <c r="J185" t="s">
        <v>5476</v>
      </c>
      <c r="K185" t="s">
        <v>5471</v>
      </c>
      <c r="L185" t="s">
        <v>5471</v>
      </c>
      <c r="M185" t="s">
        <v>5471</v>
      </c>
    </row>
    <row r="186" spans="1:13" x14ac:dyDescent="0.3">
      <c r="A186" t="s">
        <v>3383</v>
      </c>
      <c r="B186" t="s">
        <v>6051</v>
      </c>
      <c r="C186" t="s">
        <v>5470</v>
      </c>
      <c r="D186" t="s">
        <v>4119</v>
      </c>
      <c r="E186" t="s">
        <v>5532</v>
      </c>
      <c r="F186" t="s">
        <v>5962</v>
      </c>
      <c r="G186" t="s">
        <v>6053</v>
      </c>
      <c r="H186" t="s">
        <v>5474</v>
      </c>
      <c r="I186" t="s">
        <v>6056</v>
      </c>
      <c r="J186" t="s">
        <v>5476</v>
      </c>
      <c r="K186" t="s">
        <v>5471</v>
      </c>
      <c r="L186" t="s">
        <v>5471</v>
      </c>
      <c r="M186" t="s">
        <v>5471</v>
      </c>
    </row>
    <row r="187" spans="1:13" x14ac:dyDescent="0.3">
      <c r="A187" t="s">
        <v>3383</v>
      </c>
      <c r="B187" t="s">
        <v>6051</v>
      </c>
      <c r="C187" t="s">
        <v>5470</v>
      </c>
      <c r="D187" t="s">
        <v>4119</v>
      </c>
      <c r="E187" t="s">
        <v>5532</v>
      </c>
      <c r="F187" t="s">
        <v>5962</v>
      </c>
      <c r="G187" t="s">
        <v>6053</v>
      </c>
      <c r="H187" t="s">
        <v>5474</v>
      </c>
      <c r="I187" t="s">
        <v>6057</v>
      </c>
      <c r="J187" t="s">
        <v>5476</v>
      </c>
      <c r="K187" t="s">
        <v>5471</v>
      </c>
      <c r="L187" t="s">
        <v>5471</v>
      </c>
      <c r="M187" t="s">
        <v>5471</v>
      </c>
    </row>
    <row r="188" spans="1:13" x14ac:dyDescent="0.3">
      <c r="A188" t="s">
        <v>3383</v>
      </c>
      <c r="B188" t="s">
        <v>6051</v>
      </c>
      <c r="C188" t="s">
        <v>5470</v>
      </c>
      <c r="D188" t="s">
        <v>4119</v>
      </c>
      <c r="E188" t="s">
        <v>5532</v>
      </c>
      <c r="F188" t="s">
        <v>5962</v>
      </c>
      <c r="G188" t="s">
        <v>6053</v>
      </c>
      <c r="H188" t="s">
        <v>5474</v>
      </c>
      <c r="I188" t="s">
        <v>6058</v>
      </c>
      <c r="J188" t="s">
        <v>5476</v>
      </c>
      <c r="K188" t="s">
        <v>5471</v>
      </c>
      <c r="L188" t="s">
        <v>5471</v>
      </c>
      <c r="M188" t="s">
        <v>5471</v>
      </c>
    </row>
    <row r="189" spans="1:13" x14ac:dyDescent="0.3">
      <c r="A189" t="s">
        <v>3383</v>
      </c>
      <c r="B189" t="s">
        <v>6051</v>
      </c>
      <c r="C189" t="s">
        <v>5470</v>
      </c>
      <c r="D189" t="s">
        <v>4119</v>
      </c>
      <c r="E189" t="s">
        <v>5532</v>
      </c>
      <c r="F189" t="s">
        <v>5962</v>
      </c>
      <c r="G189" t="s">
        <v>6053</v>
      </c>
      <c r="H189" t="s">
        <v>5474</v>
      </c>
      <c r="I189" t="s">
        <v>6059</v>
      </c>
      <c r="J189" t="s">
        <v>5476</v>
      </c>
      <c r="K189" t="s">
        <v>5471</v>
      </c>
      <c r="L189" t="s">
        <v>5471</v>
      </c>
      <c r="M189" t="s">
        <v>5471</v>
      </c>
    </row>
    <row r="190" spans="1:13" x14ac:dyDescent="0.3">
      <c r="A190" t="s">
        <v>3383</v>
      </c>
      <c r="B190" t="s">
        <v>6051</v>
      </c>
      <c r="C190" t="s">
        <v>5470</v>
      </c>
      <c r="D190" t="s">
        <v>4119</v>
      </c>
      <c r="E190" t="s">
        <v>5532</v>
      </c>
      <c r="F190" t="s">
        <v>5962</v>
      </c>
      <c r="G190" t="s">
        <v>6053</v>
      </c>
      <c r="H190" t="s">
        <v>5474</v>
      </c>
      <c r="I190" t="s">
        <v>6060</v>
      </c>
      <c r="J190" t="s">
        <v>5476</v>
      </c>
      <c r="K190" t="s">
        <v>5471</v>
      </c>
      <c r="L190" t="s">
        <v>5471</v>
      </c>
      <c r="M190" t="s">
        <v>5471</v>
      </c>
    </row>
    <row r="191" spans="1:13" x14ac:dyDescent="0.3">
      <c r="A191" t="s">
        <v>3383</v>
      </c>
      <c r="B191" t="s">
        <v>6051</v>
      </c>
      <c r="C191" t="s">
        <v>5470</v>
      </c>
      <c r="D191" t="s">
        <v>4119</v>
      </c>
      <c r="E191" t="s">
        <v>5532</v>
      </c>
      <c r="F191" t="s">
        <v>5962</v>
      </c>
      <c r="G191" t="s">
        <v>6053</v>
      </c>
      <c r="H191" t="s">
        <v>5474</v>
      </c>
      <c r="I191" t="s">
        <v>6061</v>
      </c>
      <c r="J191" t="s">
        <v>5476</v>
      </c>
      <c r="K191" t="s">
        <v>5471</v>
      </c>
      <c r="L191" t="s">
        <v>5471</v>
      </c>
      <c r="M191" t="s">
        <v>5471</v>
      </c>
    </row>
    <row r="192" spans="1:13" x14ac:dyDescent="0.3">
      <c r="A192" t="s">
        <v>3383</v>
      </c>
      <c r="B192" t="s">
        <v>6051</v>
      </c>
      <c r="C192" t="s">
        <v>5470</v>
      </c>
      <c r="D192" t="s">
        <v>4119</v>
      </c>
      <c r="E192" t="s">
        <v>5532</v>
      </c>
      <c r="F192" t="s">
        <v>5962</v>
      </c>
      <c r="G192" t="s">
        <v>6053</v>
      </c>
      <c r="H192" t="s">
        <v>5474</v>
      </c>
      <c r="I192" t="s">
        <v>6062</v>
      </c>
      <c r="J192" t="s">
        <v>5476</v>
      </c>
      <c r="K192" t="s">
        <v>5471</v>
      </c>
      <c r="L192" t="s">
        <v>5471</v>
      </c>
      <c r="M192" t="s">
        <v>5471</v>
      </c>
    </row>
    <row r="193" spans="1:13" x14ac:dyDescent="0.3">
      <c r="A193" t="s">
        <v>3383</v>
      </c>
      <c r="B193" t="s">
        <v>6063</v>
      </c>
      <c r="C193" t="s">
        <v>5470</v>
      </c>
      <c r="D193" t="s">
        <v>4119</v>
      </c>
      <c r="E193" t="s">
        <v>5756</v>
      </c>
      <c r="F193" t="s">
        <v>6064</v>
      </c>
      <c r="G193" t="s">
        <v>6065</v>
      </c>
      <c r="H193" t="s">
        <v>5474</v>
      </c>
      <c r="I193" t="s">
        <v>6066</v>
      </c>
      <c r="J193" t="s">
        <v>5476</v>
      </c>
      <c r="K193" t="s">
        <v>5471</v>
      </c>
      <c r="L193" t="s">
        <v>5471</v>
      </c>
      <c r="M193" t="s">
        <v>5471</v>
      </c>
    </row>
    <row r="194" spans="1:13" x14ac:dyDescent="0.3">
      <c r="A194" t="s">
        <v>3383</v>
      </c>
      <c r="B194" t="s">
        <v>6067</v>
      </c>
      <c r="C194" t="s">
        <v>5487</v>
      </c>
      <c r="D194" t="s">
        <v>4119</v>
      </c>
      <c r="E194" t="s">
        <v>5532</v>
      </c>
      <c r="F194" t="s">
        <v>5962</v>
      </c>
      <c r="G194" t="s">
        <v>6068</v>
      </c>
      <c r="H194" t="s">
        <v>5474</v>
      </c>
      <c r="I194" t="s">
        <v>6069</v>
      </c>
      <c r="J194" t="s">
        <v>5476</v>
      </c>
      <c r="K194" t="s">
        <v>5471</v>
      </c>
      <c r="L194" t="s">
        <v>5471</v>
      </c>
      <c r="M194" t="s">
        <v>5471</v>
      </c>
    </row>
    <row r="195" spans="1:13" x14ac:dyDescent="0.3">
      <c r="A195" t="s">
        <v>3383</v>
      </c>
      <c r="B195" t="s">
        <v>5805</v>
      </c>
      <c r="C195" t="s">
        <v>5470</v>
      </c>
      <c r="D195" t="s">
        <v>4119</v>
      </c>
      <c r="E195" t="s">
        <v>5532</v>
      </c>
      <c r="F195" t="s">
        <v>6070</v>
      </c>
      <c r="G195" t="s">
        <v>6071</v>
      </c>
      <c r="H195" t="s">
        <v>5474</v>
      </c>
      <c r="I195" t="s">
        <v>6072</v>
      </c>
      <c r="J195" t="s">
        <v>5476</v>
      </c>
      <c r="K195" t="s">
        <v>5471</v>
      </c>
      <c r="L195" t="s">
        <v>5471</v>
      </c>
      <c r="M195" t="s">
        <v>5471</v>
      </c>
    </row>
    <row r="196" spans="1:13" x14ac:dyDescent="0.3">
      <c r="A196" t="s">
        <v>3383</v>
      </c>
      <c r="B196" t="s">
        <v>5320</v>
      </c>
      <c r="C196" t="s">
        <v>5470</v>
      </c>
      <c r="D196" t="s">
        <v>4119</v>
      </c>
      <c r="E196" t="s">
        <v>5532</v>
      </c>
      <c r="F196" t="s">
        <v>6073</v>
      </c>
      <c r="G196" t="s">
        <v>6074</v>
      </c>
      <c r="H196" t="s">
        <v>5474</v>
      </c>
      <c r="I196" t="s">
        <v>6075</v>
      </c>
      <c r="J196" t="s">
        <v>5476</v>
      </c>
      <c r="K196" t="s">
        <v>5471</v>
      </c>
      <c r="L196" t="s">
        <v>5471</v>
      </c>
      <c r="M196" t="s">
        <v>5471</v>
      </c>
    </row>
    <row r="197" spans="1:13" x14ac:dyDescent="0.3">
      <c r="A197" t="s">
        <v>3383</v>
      </c>
      <c r="B197" t="s">
        <v>5586</v>
      </c>
      <c r="C197" t="s">
        <v>5487</v>
      </c>
      <c r="D197" t="s">
        <v>4119</v>
      </c>
      <c r="E197" t="s">
        <v>5532</v>
      </c>
      <c r="F197" t="s">
        <v>6076</v>
      </c>
      <c r="G197" t="s">
        <v>6077</v>
      </c>
      <c r="H197" t="s">
        <v>5474</v>
      </c>
      <c r="I197" t="s">
        <v>6078</v>
      </c>
      <c r="J197" t="s">
        <v>5476</v>
      </c>
      <c r="K197" t="s">
        <v>5471</v>
      </c>
      <c r="L197" t="s">
        <v>5471</v>
      </c>
      <c r="M197" t="s">
        <v>5471</v>
      </c>
    </row>
    <row r="198" spans="1:13" x14ac:dyDescent="0.3">
      <c r="A198" t="s">
        <v>3383</v>
      </c>
      <c r="B198" t="s">
        <v>5320</v>
      </c>
      <c r="C198" t="s">
        <v>5470</v>
      </c>
      <c r="D198" t="s">
        <v>4119</v>
      </c>
      <c r="E198" t="s">
        <v>5532</v>
      </c>
      <c r="F198" t="s">
        <v>6079</v>
      </c>
      <c r="G198" t="s">
        <v>6074</v>
      </c>
      <c r="H198" t="s">
        <v>5474</v>
      </c>
      <c r="I198" t="s">
        <v>6080</v>
      </c>
      <c r="J198" t="s">
        <v>5476</v>
      </c>
      <c r="K198" t="s">
        <v>5471</v>
      </c>
      <c r="L198" t="s">
        <v>5471</v>
      </c>
      <c r="M198" t="s">
        <v>5471</v>
      </c>
    </row>
    <row r="199" spans="1:13" x14ac:dyDescent="0.3">
      <c r="A199" t="s">
        <v>3383</v>
      </c>
      <c r="B199" t="s">
        <v>5320</v>
      </c>
      <c r="C199" t="s">
        <v>5470</v>
      </c>
      <c r="D199" t="s">
        <v>4119</v>
      </c>
      <c r="E199" t="s">
        <v>5532</v>
      </c>
      <c r="F199" t="s">
        <v>6081</v>
      </c>
      <c r="G199" t="s">
        <v>6074</v>
      </c>
      <c r="H199" t="s">
        <v>5474</v>
      </c>
      <c r="I199" t="s">
        <v>6082</v>
      </c>
      <c r="J199" t="s">
        <v>5476</v>
      </c>
      <c r="K199" t="s">
        <v>5471</v>
      </c>
      <c r="L199" t="s">
        <v>5471</v>
      </c>
      <c r="M199" t="s">
        <v>5471</v>
      </c>
    </row>
    <row r="200" spans="1:13" x14ac:dyDescent="0.3">
      <c r="A200" t="s">
        <v>3383</v>
      </c>
      <c r="B200" t="s">
        <v>6083</v>
      </c>
      <c r="C200" t="s">
        <v>5487</v>
      </c>
      <c r="D200" t="s">
        <v>4119</v>
      </c>
      <c r="E200" t="s">
        <v>5532</v>
      </c>
      <c r="F200" t="s">
        <v>6084</v>
      </c>
      <c r="G200" t="s">
        <v>6085</v>
      </c>
      <c r="H200" t="s">
        <v>5474</v>
      </c>
      <c r="I200" t="s">
        <v>6086</v>
      </c>
      <c r="J200" t="s">
        <v>5476</v>
      </c>
      <c r="K200" t="s">
        <v>5471</v>
      </c>
      <c r="L200" t="s">
        <v>5471</v>
      </c>
      <c r="M200" t="s">
        <v>5471</v>
      </c>
    </row>
    <row r="201" spans="1:13" x14ac:dyDescent="0.3">
      <c r="A201" t="s">
        <v>3383</v>
      </c>
      <c r="B201" t="s">
        <v>5324</v>
      </c>
      <c r="C201" t="s">
        <v>5487</v>
      </c>
      <c r="D201" t="s">
        <v>4119</v>
      </c>
      <c r="E201" t="s">
        <v>5532</v>
      </c>
      <c r="F201" t="s">
        <v>5962</v>
      </c>
      <c r="G201" t="s">
        <v>6087</v>
      </c>
      <c r="H201" t="s">
        <v>5474</v>
      </c>
      <c r="I201" t="s">
        <v>6088</v>
      </c>
      <c r="J201" t="s">
        <v>5476</v>
      </c>
      <c r="K201" t="s">
        <v>5471</v>
      </c>
      <c r="L201" t="s">
        <v>5471</v>
      </c>
      <c r="M201" t="s">
        <v>5471</v>
      </c>
    </row>
    <row r="202" spans="1:13" x14ac:dyDescent="0.3">
      <c r="A202" t="s">
        <v>3383</v>
      </c>
      <c r="B202" t="s">
        <v>5324</v>
      </c>
      <c r="C202" t="s">
        <v>5487</v>
      </c>
      <c r="D202" t="s">
        <v>4119</v>
      </c>
      <c r="E202" t="s">
        <v>5532</v>
      </c>
      <c r="F202" t="s">
        <v>5962</v>
      </c>
      <c r="G202" t="s">
        <v>6087</v>
      </c>
      <c r="H202" t="s">
        <v>5474</v>
      </c>
      <c r="I202" t="s">
        <v>6089</v>
      </c>
      <c r="J202" t="s">
        <v>5476</v>
      </c>
      <c r="K202" t="s">
        <v>5471</v>
      </c>
      <c r="L202" t="s">
        <v>5471</v>
      </c>
      <c r="M202" t="s">
        <v>5471</v>
      </c>
    </row>
    <row r="203" spans="1:13" x14ac:dyDescent="0.3">
      <c r="A203" t="s">
        <v>3383</v>
      </c>
      <c r="B203" t="s">
        <v>5324</v>
      </c>
      <c r="C203" t="s">
        <v>5487</v>
      </c>
      <c r="D203" t="s">
        <v>4119</v>
      </c>
      <c r="E203" t="s">
        <v>5532</v>
      </c>
      <c r="F203" t="s">
        <v>5962</v>
      </c>
      <c r="G203" t="s">
        <v>6087</v>
      </c>
      <c r="H203" t="s">
        <v>5474</v>
      </c>
      <c r="I203" t="s">
        <v>6090</v>
      </c>
      <c r="J203" t="s">
        <v>5476</v>
      </c>
      <c r="K203" t="s">
        <v>5471</v>
      </c>
      <c r="L203" t="s">
        <v>5471</v>
      </c>
      <c r="M203" t="s">
        <v>5471</v>
      </c>
    </row>
    <row r="204" spans="1:13" x14ac:dyDescent="0.3">
      <c r="A204" t="s">
        <v>3383</v>
      </c>
      <c r="B204" t="s">
        <v>5324</v>
      </c>
      <c r="C204" t="s">
        <v>5487</v>
      </c>
      <c r="D204" t="s">
        <v>4119</v>
      </c>
      <c r="E204" t="s">
        <v>5532</v>
      </c>
      <c r="F204" t="s">
        <v>5962</v>
      </c>
      <c r="G204" t="s">
        <v>6087</v>
      </c>
      <c r="H204" t="s">
        <v>5474</v>
      </c>
      <c r="I204" t="s">
        <v>6091</v>
      </c>
      <c r="J204" t="s">
        <v>5484</v>
      </c>
      <c r="K204" t="s">
        <v>5471</v>
      </c>
      <c r="L204" t="s">
        <v>5471</v>
      </c>
      <c r="M204" t="s">
        <v>5471</v>
      </c>
    </row>
    <row r="205" spans="1:13" x14ac:dyDescent="0.3">
      <c r="A205" t="s">
        <v>3383</v>
      </c>
      <c r="B205" t="s">
        <v>5324</v>
      </c>
      <c r="C205" t="s">
        <v>5487</v>
      </c>
      <c r="D205" t="s">
        <v>4119</v>
      </c>
      <c r="E205" t="s">
        <v>5532</v>
      </c>
      <c r="F205" t="s">
        <v>6092</v>
      </c>
      <c r="G205" t="s">
        <v>6087</v>
      </c>
      <c r="H205" t="s">
        <v>5474</v>
      </c>
      <c r="I205" t="s">
        <v>6093</v>
      </c>
      <c r="J205" t="s">
        <v>5476</v>
      </c>
      <c r="K205" t="s">
        <v>5471</v>
      </c>
      <c r="L205" t="s">
        <v>5471</v>
      </c>
      <c r="M205" t="s">
        <v>5471</v>
      </c>
    </row>
    <row r="206" spans="1:13" x14ac:dyDescent="0.3">
      <c r="A206" t="s">
        <v>3383</v>
      </c>
      <c r="B206" t="s">
        <v>6094</v>
      </c>
      <c r="C206" t="s">
        <v>5470</v>
      </c>
      <c r="D206" t="s">
        <v>4119</v>
      </c>
      <c r="E206" t="s">
        <v>5532</v>
      </c>
      <c r="F206" t="s">
        <v>5962</v>
      </c>
      <c r="G206" t="s">
        <v>6095</v>
      </c>
      <c r="H206" t="s">
        <v>5474</v>
      </c>
      <c r="I206" t="s">
        <v>6096</v>
      </c>
      <c r="J206" t="s">
        <v>5476</v>
      </c>
      <c r="K206" t="s">
        <v>5471</v>
      </c>
      <c r="L206" t="s">
        <v>5471</v>
      </c>
      <c r="M206" t="s">
        <v>5471</v>
      </c>
    </row>
    <row r="207" spans="1:13" x14ac:dyDescent="0.3">
      <c r="A207" t="s">
        <v>3383</v>
      </c>
      <c r="B207" t="s">
        <v>5330</v>
      </c>
      <c r="C207" t="s">
        <v>5470</v>
      </c>
      <c r="D207" t="s">
        <v>4119</v>
      </c>
      <c r="E207" t="s">
        <v>5532</v>
      </c>
      <c r="F207" t="s">
        <v>6097</v>
      </c>
      <c r="G207" t="s">
        <v>6098</v>
      </c>
      <c r="H207" t="s">
        <v>5474</v>
      </c>
      <c r="I207" t="s">
        <v>6099</v>
      </c>
      <c r="J207" t="s">
        <v>5476</v>
      </c>
      <c r="K207" t="s">
        <v>5471</v>
      </c>
      <c r="L207" t="s">
        <v>5471</v>
      </c>
      <c r="M207" t="s">
        <v>5471</v>
      </c>
    </row>
    <row r="208" spans="1:13" x14ac:dyDescent="0.3">
      <c r="A208" t="s">
        <v>3383</v>
      </c>
      <c r="B208" t="s">
        <v>5330</v>
      </c>
      <c r="C208" t="s">
        <v>5470</v>
      </c>
      <c r="D208" t="s">
        <v>4119</v>
      </c>
      <c r="E208" t="s">
        <v>5532</v>
      </c>
      <c r="F208" t="s">
        <v>6100</v>
      </c>
      <c r="G208" t="s">
        <v>6098</v>
      </c>
      <c r="H208" t="s">
        <v>5474</v>
      </c>
      <c r="I208" t="s">
        <v>6101</v>
      </c>
      <c r="J208" t="s">
        <v>5476</v>
      </c>
      <c r="K208" t="s">
        <v>5471</v>
      </c>
      <c r="L208" t="s">
        <v>5471</v>
      </c>
      <c r="M208" t="s">
        <v>5471</v>
      </c>
    </row>
    <row r="209" spans="1:13" x14ac:dyDescent="0.3">
      <c r="A209" t="s">
        <v>3383</v>
      </c>
      <c r="B209" t="s">
        <v>5330</v>
      </c>
      <c r="C209" t="s">
        <v>5470</v>
      </c>
      <c r="D209" t="s">
        <v>4119</v>
      </c>
      <c r="E209" t="s">
        <v>5532</v>
      </c>
      <c r="F209" t="s">
        <v>6102</v>
      </c>
      <c r="G209" t="s">
        <v>6098</v>
      </c>
      <c r="H209" t="s">
        <v>5474</v>
      </c>
      <c r="I209" t="s">
        <v>6103</v>
      </c>
      <c r="J209" t="s">
        <v>5476</v>
      </c>
      <c r="K209" t="s">
        <v>5471</v>
      </c>
      <c r="L209" t="s">
        <v>5471</v>
      </c>
      <c r="M209" t="s">
        <v>5471</v>
      </c>
    </row>
    <row r="210" spans="1:13" x14ac:dyDescent="0.3">
      <c r="A210" t="s">
        <v>3383</v>
      </c>
      <c r="B210" t="s">
        <v>5332</v>
      </c>
      <c r="C210" t="s">
        <v>5470</v>
      </c>
      <c r="D210" t="s">
        <v>4119</v>
      </c>
      <c r="E210" t="s">
        <v>5756</v>
      </c>
      <c r="F210" t="s">
        <v>6104</v>
      </c>
      <c r="G210" t="s">
        <v>6105</v>
      </c>
      <c r="H210" t="s">
        <v>5474</v>
      </c>
      <c r="I210" t="s">
        <v>6106</v>
      </c>
      <c r="J210" t="s">
        <v>5476</v>
      </c>
      <c r="K210" t="s">
        <v>5471</v>
      </c>
      <c r="L210" t="s">
        <v>5471</v>
      </c>
      <c r="M210" t="s">
        <v>5471</v>
      </c>
    </row>
    <row r="211" spans="1:13" x14ac:dyDescent="0.3">
      <c r="A211" t="s">
        <v>3383</v>
      </c>
      <c r="B211" t="s">
        <v>5332</v>
      </c>
      <c r="C211" t="s">
        <v>5470</v>
      </c>
      <c r="D211" t="s">
        <v>4119</v>
      </c>
      <c r="E211" t="s">
        <v>5756</v>
      </c>
      <c r="F211" t="s">
        <v>6107</v>
      </c>
      <c r="G211" t="s">
        <v>6105</v>
      </c>
      <c r="H211" t="s">
        <v>5474</v>
      </c>
      <c r="I211" t="s">
        <v>6108</v>
      </c>
      <c r="J211" t="s">
        <v>5476</v>
      </c>
      <c r="K211" t="s">
        <v>5471</v>
      </c>
      <c r="L211" t="s">
        <v>5471</v>
      </c>
      <c r="M211" t="s">
        <v>5471</v>
      </c>
    </row>
    <row r="212" spans="1:13" x14ac:dyDescent="0.3">
      <c r="A212" t="s">
        <v>3383</v>
      </c>
      <c r="B212" t="s">
        <v>5332</v>
      </c>
      <c r="C212" t="s">
        <v>5470</v>
      </c>
      <c r="D212" t="s">
        <v>4119</v>
      </c>
      <c r="E212" t="s">
        <v>5532</v>
      </c>
      <c r="F212" t="s">
        <v>5962</v>
      </c>
      <c r="G212" t="s">
        <v>6105</v>
      </c>
      <c r="H212" t="s">
        <v>5474</v>
      </c>
      <c r="I212" t="s">
        <v>6109</v>
      </c>
      <c r="J212" t="s">
        <v>5476</v>
      </c>
      <c r="K212" t="s">
        <v>5471</v>
      </c>
      <c r="L212" t="s">
        <v>5471</v>
      </c>
      <c r="M212" t="s">
        <v>5471</v>
      </c>
    </row>
    <row r="213" spans="1:13" x14ac:dyDescent="0.3">
      <c r="A213" t="s">
        <v>3383</v>
      </c>
      <c r="B213" t="s">
        <v>5332</v>
      </c>
      <c r="C213" t="s">
        <v>5470</v>
      </c>
      <c r="D213" t="s">
        <v>4119</v>
      </c>
      <c r="E213" t="s">
        <v>5532</v>
      </c>
      <c r="F213" t="s">
        <v>5962</v>
      </c>
      <c r="G213" t="s">
        <v>6105</v>
      </c>
      <c r="H213" t="s">
        <v>5474</v>
      </c>
      <c r="I213" t="s">
        <v>6110</v>
      </c>
      <c r="J213" t="s">
        <v>5476</v>
      </c>
      <c r="K213" t="s">
        <v>5471</v>
      </c>
      <c r="L213" t="s">
        <v>5471</v>
      </c>
      <c r="M213" t="s">
        <v>5471</v>
      </c>
    </row>
    <row r="214" spans="1:13" x14ac:dyDescent="0.3">
      <c r="A214" t="s">
        <v>3383</v>
      </c>
      <c r="B214" t="s">
        <v>5332</v>
      </c>
      <c r="C214" t="s">
        <v>5470</v>
      </c>
      <c r="D214" t="s">
        <v>4119</v>
      </c>
      <c r="E214" t="s">
        <v>5532</v>
      </c>
      <c r="F214" t="s">
        <v>5962</v>
      </c>
      <c r="G214" t="s">
        <v>6105</v>
      </c>
      <c r="H214" t="s">
        <v>5474</v>
      </c>
      <c r="I214" t="s">
        <v>6111</v>
      </c>
      <c r="J214" t="s">
        <v>5476</v>
      </c>
      <c r="K214" t="s">
        <v>5471</v>
      </c>
      <c r="L214" t="s">
        <v>5471</v>
      </c>
      <c r="M214" t="s">
        <v>5471</v>
      </c>
    </row>
    <row r="215" spans="1:13" x14ac:dyDescent="0.3">
      <c r="A215" t="s">
        <v>3383</v>
      </c>
      <c r="B215" t="s">
        <v>5332</v>
      </c>
      <c r="C215" t="s">
        <v>5470</v>
      </c>
      <c r="D215" t="s">
        <v>4119</v>
      </c>
      <c r="E215" t="s">
        <v>5532</v>
      </c>
      <c r="F215" t="s">
        <v>5962</v>
      </c>
      <c r="G215" t="s">
        <v>6105</v>
      </c>
      <c r="H215" t="s">
        <v>5474</v>
      </c>
      <c r="I215" t="s">
        <v>6112</v>
      </c>
      <c r="J215" t="s">
        <v>5476</v>
      </c>
      <c r="K215" t="s">
        <v>5471</v>
      </c>
      <c r="L215" t="s">
        <v>5471</v>
      </c>
      <c r="M215" t="s">
        <v>5471</v>
      </c>
    </row>
    <row r="216" spans="1:13" x14ac:dyDescent="0.3">
      <c r="A216" t="s">
        <v>3383</v>
      </c>
      <c r="B216" t="s">
        <v>6113</v>
      </c>
      <c r="C216" t="s">
        <v>5487</v>
      </c>
      <c r="D216" t="s">
        <v>4119</v>
      </c>
      <c r="E216" t="s">
        <v>5532</v>
      </c>
      <c r="F216" t="s">
        <v>5962</v>
      </c>
      <c r="G216" t="s">
        <v>6114</v>
      </c>
      <c r="H216" t="s">
        <v>5474</v>
      </c>
      <c r="I216" t="s">
        <v>6115</v>
      </c>
      <c r="J216" t="s">
        <v>5476</v>
      </c>
      <c r="K216" t="s">
        <v>5471</v>
      </c>
      <c r="L216" t="s">
        <v>5471</v>
      </c>
      <c r="M216" t="s">
        <v>5471</v>
      </c>
    </row>
    <row r="217" spans="1:13" x14ac:dyDescent="0.3">
      <c r="A217" t="s">
        <v>3383</v>
      </c>
      <c r="B217" t="s">
        <v>6113</v>
      </c>
      <c r="C217" t="s">
        <v>5487</v>
      </c>
      <c r="D217" t="s">
        <v>4119</v>
      </c>
      <c r="E217" t="s">
        <v>5532</v>
      </c>
      <c r="F217" t="s">
        <v>5962</v>
      </c>
      <c r="G217" t="s">
        <v>6114</v>
      </c>
      <c r="H217" t="s">
        <v>5474</v>
      </c>
      <c r="I217" t="s">
        <v>6116</v>
      </c>
      <c r="J217" t="s">
        <v>5476</v>
      </c>
      <c r="K217" t="s">
        <v>5471</v>
      </c>
      <c r="L217" t="s">
        <v>5471</v>
      </c>
      <c r="M217" t="s">
        <v>5471</v>
      </c>
    </row>
    <row r="218" spans="1:13" x14ac:dyDescent="0.3">
      <c r="A218" t="s">
        <v>3383</v>
      </c>
      <c r="B218" t="s">
        <v>6113</v>
      </c>
      <c r="C218" t="s">
        <v>5487</v>
      </c>
      <c r="D218" t="s">
        <v>4119</v>
      </c>
      <c r="E218" t="s">
        <v>5532</v>
      </c>
      <c r="F218" t="s">
        <v>5962</v>
      </c>
      <c r="G218" t="s">
        <v>6114</v>
      </c>
      <c r="H218" t="s">
        <v>5474</v>
      </c>
      <c r="I218" t="s">
        <v>6117</v>
      </c>
      <c r="J218" t="s">
        <v>5476</v>
      </c>
      <c r="K218" t="s">
        <v>5471</v>
      </c>
      <c r="L218" t="s">
        <v>5471</v>
      </c>
      <c r="M218" t="s">
        <v>5471</v>
      </c>
    </row>
    <row r="219" spans="1:13" x14ac:dyDescent="0.3">
      <c r="A219" t="s">
        <v>3383</v>
      </c>
      <c r="B219" t="s">
        <v>6113</v>
      </c>
      <c r="C219" t="s">
        <v>5487</v>
      </c>
      <c r="D219" t="s">
        <v>4119</v>
      </c>
      <c r="E219" t="s">
        <v>5532</v>
      </c>
      <c r="F219" t="s">
        <v>5962</v>
      </c>
      <c r="G219" t="s">
        <v>6114</v>
      </c>
      <c r="H219" t="s">
        <v>5474</v>
      </c>
      <c r="I219" t="s">
        <v>6118</v>
      </c>
      <c r="J219" t="s">
        <v>5476</v>
      </c>
      <c r="K219" t="s">
        <v>5471</v>
      </c>
      <c r="L219" t="s">
        <v>5471</v>
      </c>
      <c r="M219" t="s">
        <v>5471</v>
      </c>
    </row>
    <row r="220" spans="1:13" x14ac:dyDescent="0.3">
      <c r="A220" t="s">
        <v>3383</v>
      </c>
      <c r="B220" t="s">
        <v>5339</v>
      </c>
      <c r="C220" t="s">
        <v>5487</v>
      </c>
      <c r="D220" t="s">
        <v>4119</v>
      </c>
      <c r="E220" t="s">
        <v>5532</v>
      </c>
      <c r="F220" t="s">
        <v>5962</v>
      </c>
      <c r="G220" t="s">
        <v>6119</v>
      </c>
      <c r="H220" t="s">
        <v>5474</v>
      </c>
      <c r="I220" t="s">
        <v>6120</v>
      </c>
      <c r="J220" t="s">
        <v>5476</v>
      </c>
      <c r="K220" t="s">
        <v>5471</v>
      </c>
      <c r="L220" t="s">
        <v>5471</v>
      </c>
      <c r="M220" t="s">
        <v>5471</v>
      </c>
    </row>
    <row r="221" spans="1:13" x14ac:dyDescent="0.3">
      <c r="A221" t="s">
        <v>3383</v>
      </c>
      <c r="B221" t="s">
        <v>5339</v>
      </c>
      <c r="C221" t="s">
        <v>5487</v>
      </c>
      <c r="D221" t="s">
        <v>4119</v>
      </c>
      <c r="E221" t="s">
        <v>5532</v>
      </c>
      <c r="F221" t="s">
        <v>5962</v>
      </c>
      <c r="G221" t="s">
        <v>6119</v>
      </c>
      <c r="H221" t="s">
        <v>5474</v>
      </c>
      <c r="I221" t="s">
        <v>6121</v>
      </c>
      <c r="J221" t="s">
        <v>5476</v>
      </c>
      <c r="K221" t="s">
        <v>5471</v>
      </c>
      <c r="L221" t="s">
        <v>5471</v>
      </c>
      <c r="M221" t="s">
        <v>5471</v>
      </c>
    </row>
    <row r="222" spans="1:13" x14ac:dyDescent="0.3">
      <c r="A222" t="s">
        <v>3383</v>
      </c>
      <c r="B222" t="s">
        <v>6122</v>
      </c>
      <c r="C222" t="s">
        <v>5470</v>
      </c>
      <c r="D222" t="s">
        <v>4119</v>
      </c>
      <c r="E222" t="s">
        <v>5532</v>
      </c>
      <c r="F222" t="s">
        <v>5962</v>
      </c>
      <c r="G222" t="s">
        <v>6123</v>
      </c>
      <c r="H222" t="s">
        <v>5474</v>
      </c>
      <c r="I222" t="s">
        <v>6124</v>
      </c>
      <c r="J222" t="s">
        <v>5476</v>
      </c>
      <c r="K222" t="s">
        <v>5471</v>
      </c>
      <c r="L222" t="s">
        <v>5471</v>
      </c>
      <c r="M222" t="s">
        <v>5471</v>
      </c>
    </row>
    <row r="223" spans="1:13" x14ac:dyDescent="0.3">
      <c r="A223" t="s">
        <v>3383</v>
      </c>
      <c r="B223" t="s">
        <v>6122</v>
      </c>
      <c r="C223" t="s">
        <v>5470</v>
      </c>
      <c r="D223" t="s">
        <v>4119</v>
      </c>
      <c r="E223" t="s">
        <v>5532</v>
      </c>
      <c r="F223" t="s">
        <v>5962</v>
      </c>
      <c r="G223" t="s">
        <v>6123</v>
      </c>
      <c r="H223" t="s">
        <v>5474</v>
      </c>
      <c r="I223" t="s">
        <v>6125</v>
      </c>
      <c r="J223" t="s">
        <v>5476</v>
      </c>
      <c r="K223" t="s">
        <v>5471</v>
      </c>
      <c r="L223" t="s">
        <v>5471</v>
      </c>
      <c r="M223" t="s">
        <v>5471</v>
      </c>
    </row>
    <row r="224" spans="1:13" x14ac:dyDescent="0.3">
      <c r="A224" t="s">
        <v>3383</v>
      </c>
      <c r="B224" t="s">
        <v>5952</v>
      </c>
      <c r="C224" t="s">
        <v>5470</v>
      </c>
      <c r="D224" t="s">
        <v>4119</v>
      </c>
      <c r="E224" t="s">
        <v>5756</v>
      </c>
      <c r="F224" t="s">
        <v>6126</v>
      </c>
      <c r="G224" t="s">
        <v>5960</v>
      </c>
      <c r="H224" t="s">
        <v>5474</v>
      </c>
      <c r="I224" t="s">
        <v>6127</v>
      </c>
      <c r="J224" t="s">
        <v>5484</v>
      </c>
      <c r="K224" t="s">
        <v>5471</v>
      </c>
      <c r="L224" t="s">
        <v>5471</v>
      </c>
      <c r="M224" t="s">
        <v>5471</v>
      </c>
    </row>
    <row r="225" spans="1:13" x14ac:dyDescent="0.3">
      <c r="A225" t="s">
        <v>3388</v>
      </c>
      <c r="B225" t="s">
        <v>6128</v>
      </c>
      <c r="C225" t="s">
        <v>5470</v>
      </c>
      <c r="D225" t="s">
        <v>4119</v>
      </c>
      <c r="E225" t="s">
        <v>5480</v>
      </c>
      <c r="F225" t="s">
        <v>6129</v>
      </c>
      <c r="G225" t="s">
        <v>5482</v>
      </c>
      <c r="H225" t="s">
        <v>5474</v>
      </c>
      <c r="I225" t="s">
        <v>6130</v>
      </c>
      <c r="J225" t="s">
        <v>5476</v>
      </c>
      <c r="K225" t="s">
        <v>5471</v>
      </c>
      <c r="L225" t="s">
        <v>5471</v>
      </c>
      <c r="M225" t="s">
        <v>5471</v>
      </c>
    </row>
    <row r="226" spans="1:13" x14ac:dyDescent="0.3">
      <c r="A226" t="s">
        <v>3397</v>
      </c>
      <c r="B226" t="s">
        <v>6131</v>
      </c>
      <c r="C226" t="s">
        <v>5487</v>
      </c>
      <c r="D226" t="s">
        <v>4119</v>
      </c>
      <c r="E226" t="s">
        <v>5471</v>
      </c>
      <c r="F226" t="s">
        <v>6132</v>
      </c>
      <c r="G226" t="s">
        <v>6133</v>
      </c>
      <c r="H226" t="s">
        <v>5474</v>
      </c>
      <c r="I226" t="s">
        <v>6134</v>
      </c>
      <c r="J226" t="s">
        <v>5476</v>
      </c>
      <c r="K226" t="s">
        <v>5471</v>
      </c>
      <c r="L226" t="s">
        <v>5471</v>
      </c>
      <c r="M226" t="s">
        <v>5471</v>
      </c>
    </row>
    <row r="227" spans="1:13" x14ac:dyDescent="0.3">
      <c r="A227" t="s">
        <v>3397</v>
      </c>
      <c r="B227" t="s">
        <v>6131</v>
      </c>
      <c r="C227" t="s">
        <v>5487</v>
      </c>
      <c r="D227" t="s">
        <v>4119</v>
      </c>
      <c r="E227" t="s">
        <v>5471</v>
      </c>
      <c r="F227" t="s">
        <v>6135</v>
      </c>
      <c r="G227" t="s">
        <v>6133</v>
      </c>
      <c r="H227" t="s">
        <v>5474</v>
      </c>
      <c r="I227" t="s">
        <v>6136</v>
      </c>
      <c r="J227" t="s">
        <v>5476</v>
      </c>
      <c r="K227" t="s">
        <v>5471</v>
      </c>
      <c r="L227" t="s">
        <v>5471</v>
      </c>
      <c r="M227" t="s">
        <v>5471</v>
      </c>
    </row>
    <row r="228" spans="1:13" x14ac:dyDescent="0.3">
      <c r="A228" t="s">
        <v>3397</v>
      </c>
      <c r="B228" t="s">
        <v>6131</v>
      </c>
      <c r="C228" t="s">
        <v>5487</v>
      </c>
      <c r="D228" t="s">
        <v>4119</v>
      </c>
      <c r="E228" t="s">
        <v>5471</v>
      </c>
      <c r="F228" t="s">
        <v>6137</v>
      </c>
      <c r="G228" t="s">
        <v>6133</v>
      </c>
      <c r="H228" t="s">
        <v>5474</v>
      </c>
      <c r="I228" t="s">
        <v>6138</v>
      </c>
      <c r="J228" t="s">
        <v>5476</v>
      </c>
      <c r="K228" t="s">
        <v>5471</v>
      </c>
      <c r="L228" t="s">
        <v>5471</v>
      </c>
      <c r="M228" t="s">
        <v>5471</v>
      </c>
    </row>
    <row r="229" spans="1:13" x14ac:dyDescent="0.3">
      <c r="A229" t="s">
        <v>3397</v>
      </c>
      <c r="B229" t="s">
        <v>5761</v>
      </c>
      <c r="C229" t="s">
        <v>5487</v>
      </c>
      <c r="D229" t="s">
        <v>4119</v>
      </c>
      <c r="E229" t="s">
        <v>5756</v>
      </c>
      <c r="F229" t="s">
        <v>6139</v>
      </c>
      <c r="G229" t="s">
        <v>5763</v>
      </c>
      <c r="H229" t="s">
        <v>5474</v>
      </c>
      <c r="I229" t="s">
        <v>6140</v>
      </c>
      <c r="J229" t="s">
        <v>5476</v>
      </c>
      <c r="K229" t="s">
        <v>5471</v>
      </c>
      <c r="L229" t="s">
        <v>5471</v>
      </c>
      <c r="M229" t="s">
        <v>5471</v>
      </c>
    </row>
    <row r="230" spans="1:13" x14ac:dyDescent="0.3">
      <c r="A230" t="s">
        <v>3397</v>
      </c>
      <c r="B230" t="s">
        <v>6141</v>
      </c>
      <c r="C230" t="s">
        <v>5487</v>
      </c>
      <c r="D230" t="s">
        <v>4119</v>
      </c>
      <c r="E230" t="s">
        <v>5471</v>
      </c>
      <c r="F230" t="s">
        <v>6142</v>
      </c>
      <c r="G230" t="s">
        <v>6143</v>
      </c>
      <c r="H230" t="s">
        <v>5474</v>
      </c>
      <c r="I230" t="s">
        <v>6144</v>
      </c>
      <c r="J230" t="s">
        <v>5476</v>
      </c>
      <c r="K230" t="s">
        <v>5471</v>
      </c>
      <c r="L230" t="s">
        <v>5471</v>
      </c>
      <c r="M230" t="s">
        <v>5471</v>
      </c>
    </row>
    <row r="231" spans="1:13" x14ac:dyDescent="0.3">
      <c r="A231" t="s">
        <v>3383</v>
      </c>
      <c r="B231" t="s">
        <v>6018</v>
      </c>
      <c r="C231" t="s">
        <v>5470</v>
      </c>
      <c r="D231" t="s">
        <v>4119</v>
      </c>
      <c r="E231" t="s">
        <v>5756</v>
      </c>
      <c r="F231" t="s">
        <v>6145</v>
      </c>
      <c r="G231" t="s">
        <v>6146</v>
      </c>
      <c r="H231" t="s">
        <v>5474</v>
      </c>
      <c r="I231" t="s">
        <v>6147</v>
      </c>
      <c r="J231" t="s">
        <v>5476</v>
      </c>
      <c r="K231" t="s">
        <v>5471</v>
      </c>
      <c r="L231" t="s">
        <v>5471</v>
      </c>
      <c r="M231" t="s">
        <v>5471</v>
      </c>
    </row>
    <row r="232" spans="1:13" x14ac:dyDescent="0.3">
      <c r="A232" t="s">
        <v>3383</v>
      </c>
      <c r="B232" t="s">
        <v>6018</v>
      </c>
      <c r="C232" t="s">
        <v>5470</v>
      </c>
      <c r="D232" t="s">
        <v>4119</v>
      </c>
      <c r="E232" t="s">
        <v>5756</v>
      </c>
      <c r="F232" t="s">
        <v>6145</v>
      </c>
      <c r="G232" t="s">
        <v>6148</v>
      </c>
      <c r="H232" t="s">
        <v>5474</v>
      </c>
      <c r="I232" t="s">
        <v>6149</v>
      </c>
      <c r="J232" t="s">
        <v>5476</v>
      </c>
      <c r="K232" t="s">
        <v>5471</v>
      </c>
      <c r="L232" t="s">
        <v>5471</v>
      </c>
      <c r="M232" t="s">
        <v>5471</v>
      </c>
    </row>
    <row r="233" spans="1:13" x14ac:dyDescent="0.3">
      <c r="A233" t="s">
        <v>3383</v>
      </c>
      <c r="B233" t="s">
        <v>6063</v>
      </c>
      <c r="C233" t="s">
        <v>5470</v>
      </c>
      <c r="D233" t="s">
        <v>4119</v>
      </c>
      <c r="E233" t="s">
        <v>5756</v>
      </c>
      <c r="F233" t="s">
        <v>6145</v>
      </c>
      <c r="G233" t="s">
        <v>6150</v>
      </c>
      <c r="H233" t="s">
        <v>5474</v>
      </c>
      <c r="I233" t="s">
        <v>6151</v>
      </c>
      <c r="J233" t="s">
        <v>5484</v>
      </c>
      <c r="K233" t="s">
        <v>5471</v>
      </c>
      <c r="L233" t="s">
        <v>5471</v>
      </c>
      <c r="M233" t="s">
        <v>5471</v>
      </c>
    </row>
    <row r="234" spans="1:13" x14ac:dyDescent="0.3">
      <c r="A234" t="s">
        <v>3383</v>
      </c>
      <c r="B234" t="s">
        <v>6063</v>
      </c>
      <c r="C234" t="s">
        <v>5470</v>
      </c>
      <c r="D234" t="s">
        <v>4119</v>
      </c>
      <c r="E234" t="s">
        <v>5756</v>
      </c>
      <c r="F234" t="s">
        <v>6145</v>
      </c>
      <c r="G234" t="s">
        <v>6152</v>
      </c>
      <c r="H234" t="s">
        <v>5474</v>
      </c>
      <c r="I234" t="s">
        <v>6153</v>
      </c>
      <c r="J234" t="s">
        <v>5484</v>
      </c>
      <c r="K234" t="s">
        <v>5471</v>
      </c>
      <c r="L234" t="s">
        <v>5471</v>
      </c>
      <c r="M234" t="s">
        <v>5471</v>
      </c>
    </row>
    <row r="235" spans="1:13" x14ac:dyDescent="0.3">
      <c r="A235" t="s">
        <v>3383</v>
      </c>
      <c r="B235" t="s">
        <v>6063</v>
      </c>
      <c r="C235" t="s">
        <v>5470</v>
      </c>
      <c r="D235" t="s">
        <v>4119</v>
      </c>
      <c r="E235" t="s">
        <v>5756</v>
      </c>
      <c r="F235" t="s">
        <v>6145</v>
      </c>
      <c r="G235" t="s">
        <v>6154</v>
      </c>
      <c r="H235" t="s">
        <v>5474</v>
      </c>
      <c r="I235" t="s">
        <v>6155</v>
      </c>
      <c r="J235" t="s">
        <v>5484</v>
      </c>
      <c r="K235" t="s">
        <v>5471</v>
      </c>
      <c r="L235" t="s">
        <v>5471</v>
      </c>
      <c r="M235" t="s">
        <v>5471</v>
      </c>
    </row>
    <row r="236" spans="1:13" x14ac:dyDescent="0.3">
      <c r="A236" t="s">
        <v>3383</v>
      </c>
      <c r="B236" t="s">
        <v>5294</v>
      </c>
      <c r="C236" t="s">
        <v>5470</v>
      </c>
      <c r="D236" t="s">
        <v>4119</v>
      </c>
      <c r="E236" t="s">
        <v>5756</v>
      </c>
      <c r="F236" t="s">
        <v>6145</v>
      </c>
      <c r="G236" t="s">
        <v>6156</v>
      </c>
      <c r="H236" t="s">
        <v>5474</v>
      </c>
      <c r="I236" t="s">
        <v>6157</v>
      </c>
      <c r="J236" t="s">
        <v>5484</v>
      </c>
      <c r="K236" t="s">
        <v>5471</v>
      </c>
      <c r="L236" t="s">
        <v>5471</v>
      </c>
      <c r="M236" t="s">
        <v>5471</v>
      </c>
    </row>
    <row r="237" spans="1:13" x14ac:dyDescent="0.3">
      <c r="A237" t="s">
        <v>3383</v>
      </c>
      <c r="B237" t="s">
        <v>5294</v>
      </c>
      <c r="C237" t="s">
        <v>5470</v>
      </c>
      <c r="D237" t="s">
        <v>4119</v>
      </c>
      <c r="E237" t="s">
        <v>5756</v>
      </c>
      <c r="F237" t="s">
        <v>6158</v>
      </c>
      <c r="G237" t="s">
        <v>6159</v>
      </c>
      <c r="H237" t="s">
        <v>5474</v>
      </c>
      <c r="I237" t="s">
        <v>6160</v>
      </c>
      <c r="J237" t="s">
        <v>5476</v>
      </c>
      <c r="K237" t="s">
        <v>5471</v>
      </c>
      <c r="L237" t="s">
        <v>5471</v>
      </c>
      <c r="M237" t="s">
        <v>5471</v>
      </c>
    </row>
    <row r="238" spans="1:13" x14ac:dyDescent="0.3">
      <c r="A238" t="s">
        <v>3383</v>
      </c>
      <c r="B238" t="s">
        <v>5294</v>
      </c>
      <c r="C238" t="s">
        <v>5470</v>
      </c>
      <c r="D238" t="s">
        <v>4119</v>
      </c>
      <c r="E238" t="s">
        <v>5756</v>
      </c>
      <c r="F238" t="s">
        <v>6161</v>
      </c>
      <c r="G238" t="s">
        <v>6162</v>
      </c>
      <c r="H238" t="s">
        <v>5474</v>
      </c>
      <c r="I238" t="s">
        <v>6163</v>
      </c>
      <c r="J238" t="s">
        <v>5476</v>
      </c>
      <c r="K238" t="s">
        <v>5471</v>
      </c>
      <c r="L238" t="s">
        <v>5471</v>
      </c>
      <c r="M238" t="s">
        <v>5471</v>
      </c>
    </row>
    <row r="239" spans="1:13" x14ac:dyDescent="0.3">
      <c r="A239" t="s">
        <v>3383</v>
      </c>
      <c r="B239" t="s">
        <v>6063</v>
      </c>
      <c r="C239" t="s">
        <v>5470</v>
      </c>
      <c r="D239" t="s">
        <v>4119</v>
      </c>
      <c r="E239" t="s">
        <v>5756</v>
      </c>
      <c r="F239" t="s">
        <v>6164</v>
      </c>
      <c r="G239" t="s">
        <v>6165</v>
      </c>
      <c r="H239" t="s">
        <v>5474</v>
      </c>
      <c r="I239" t="s">
        <v>6166</v>
      </c>
      <c r="J239" t="s">
        <v>5476</v>
      </c>
      <c r="K239" t="s">
        <v>5471</v>
      </c>
      <c r="L239" t="s">
        <v>5471</v>
      </c>
      <c r="M239" t="s">
        <v>5471</v>
      </c>
    </row>
    <row r="240" spans="1:13" x14ac:dyDescent="0.3">
      <c r="A240" t="s">
        <v>3397</v>
      </c>
      <c r="B240" t="s">
        <v>5766</v>
      </c>
      <c r="C240" t="s">
        <v>5487</v>
      </c>
      <c r="D240" t="s">
        <v>4119</v>
      </c>
      <c r="E240" t="s">
        <v>5471</v>
      </c>
      <c r="F240" t="s">
        <v>6167</v>
      </c>
      <c r="G240" t="s">
        <v>6168</v>
      </c>
      <c r="H240" t="s">
        <v>5474</v>
      </c>
      <c r="I240" t="s">
        <v>6169</v>
      </c>
      <c r="J240" t="s">
        <v>5476</v>
      </c>
      <c r="K240" t="s">
        <v>5471</v>
      </c>
      <c r="L240" t="s">
        <v>5471</v>
      </c>
      <c r="M240" t="s">
        <v>5471</v>
      </c>
    </row>
    <row r="241" spans="1:13" x14ac:dyDescent="0.3">
      <c r="A241" t="s">
        <v>3383</v>
      </c>
      <c r="B241" t="s">
        <v>6063</v>
      </c>
      <c r="C241" t="s">
        <v>5470</v>
      </c>
      <c r="D241" t="s">
        <v>4119</v>
      </c>
      <c r="E241" t="s">
        <v>5756</v>
      </c>
      <c r="F241" t="s">
        <v>6170</v>
      </c>
      <c r="G241" t="s">
        <v>6171</v>
      </c>
      <c r="H241" t="s">
        <v>5474</v>
      </c>
      <c r="I241" t="s">
        <v>6172</v>
      </c>
      <c r="J241" t="s">
        <v>5476</v>
      </c>
      <c r="K241" t="s">
        <v>5471</v>
      </c>
      <c r="L241" t="s">
        <v>5471</v>
      </c>
      <c r="M241" t="s">
        <v>5471</v>
      </c>
    </row>
    <row r="242" spans="1:13" x14ac:dyDescent="0.3">
      <c r="A242" t="s">
        <v>3383</v>
      </c>
      <c r="B242" t="s">
        <v>6051</v>
      </c>
      <c r="C242" t="s">
        <v>5470</v>
      </c>
      <c r="D242" t="s">
        <v>4119</v>
      </c>
      <c r="E242" t="s">
        <v>5756</v>
      </c>
      <c r="F242" t="s">
        <v>6173</v>
      </c>
      <c r="G242" t="s">
        <v>6174</v>
      </c>
      <c r="H242" t="s">
        <v>5474</v>
      </c>
      <c r="I242" t="s">
        <v>6175</v>
      </c>
      <c r="J242" t="s">
        <v>5476</v>
      </c>
      <c r="K242" t="s">
        <v>5471</v>
      </c>
      <c r="L242" t="s">
        <v>5471</v>
      </c>
      <c r="M242" t="s">
        <v>5471</v>
      </c>
    </row>
    <row r="243" spans="1:13" x14ac:dyDescent="0.3">
      <c r="A243" t="s">
        <v>3383</v>
      </c>
      <c r="B243" t="s">
        <v>6051</v>
      </c>
      <c r="C243" t="s">
        <v>5470</v>
      </c>
      <c r="D243" t="s">
        <v>4119</v>
      </c>
      <c r="E243" t="s">
        <v>5756</v>
      </c>
      <c r="F243" t="s">
        <v>6173</v>
      </c>
      <c r="G243" t="s">
        <v>6176</v>
      </c>
      <c r="H243" t="s">
        <v>5474</v>
      </c>
      <c r="I243" t="s">
        <v>6177</v>
      </c>
      <c r="J243" t="s">
        <v>5476</v>
      </c>
      <c r="K243" t="s">
        <v>5471</v>
      </c>
      <c r="L243" t="s">
        <v>5471</v>
      </c>
      <c r="M243" t="s">
        <v>5471</v>
      </c>
    </row>
    <row r="244" spans="1:13" x14ac:dyDescent="0.3">
      <c r="A244" t="s">
        <v>3383</v>
      </c>
      <c r="B244" t="s">
        <v>6178</v>
      </c>
      <c r="C244" t="s">
        <v>5470</v>
      </c>
      <c r="D244" t="s">
        <v>4119</v>
      </c>
      <c r="E244" t="s">
        <v>5471</v>
      </c>
      <c r="F244" t="s">
        <v>6173</v>
      </c>
      <c r="G244" t="s">
        <v>6179</v>
      </c>
      <c r="H244" t="s">
        <v>5474</v>
      </c>
      <c r="I244" t="s">
        <v>6180</v>
      </c>
      <c r="J244" t="s">
        <v>5476</v>
      </c>
      <c r="K244" t="s">
        <v>5471</v>
      </c>
      <c r="L244" t="s">
        <v>5471</v>
      </c>
      <c r="M244" t="s">
        <v>5471</v>
      </c>
    </row>
    <row r="245" spans="1:13" x14ac:dyDescent="0.3">
      <c r="A245" t="s">
        <v>3383</v>
      </c>
      <c r="B245" t="s">
        <v>5332</v>
      </c>
      <c r="C245" t="s">
        <v>5470</v>
      </c>
      <c r="D245" t="s">
        <v>4119</v>
      </c>
      <c r="E245" t="s">
        <v>5756</v>
      </c>
      <c r="F245" t="s">
        <v>6173</v>
      </c>
      <c r="G245" t="s">
        <v>6181</v>
      </c>
      <c r="H245" t="s">
        <v>5474</v>
      </c>
      <c r="I245" t="s">
        <v>6182</v>
      </c>
      <c r="J245" t="s">
        <v>5476</v>
      </c>
      <c r="K245" t="s">
        <v>5471</v>
      </c>
      <c r="L245" t="s">
        <v>5471</v>
      </c>
      <c r="M245" t="s">
        <v>5471</v>
      </c>
    </row>
    <row r="246" spans="1:13" x14ac:dyDescent="0.3">
      <c r="A246" t="s">
        <v>3383</v>
      </c>
      <c r="B246" t="s">
        <v>5332</v>
      </c>
      <c r="C246" t="s">
        <v>5470</v>
      </c>
      <c r="D246" t="s">
        <v>4119</v>
      </c>
      <c r="E246" t="s">
        <v>5756</v>
      </c>
      <c r="F246" t="s">
        <v>6173</v>
      </c>
      <c r="G246" t="s">
        <v>6183</v>
      </c>
      <c r="H246" t="s">
        <v>5474</v>
      </c>
      <c r="I246" t="s">
        <v>6184</v>
      </c>
      <c r="J246" t="s">
        <v>5476</v>
      </c>
      <c r="K246" t="s">
        <v>5471</v>
      </c>
      <c r="L246" t="s">
        <v>5471</v>
      </c>
      <c r="M246" t="s">
        <v>5471</v>
      </c>
    </row>
    <row r="247" spans="1:13" x14ac:dyDescent="0.3">
      <c r="A247" t="s">
        <v>3383</v>
      </c>
      <c r="B247" t="s">
        <v>6178</v>
      </c>
      <c r="C247" t="s">
        <v>5470</v>
      </c>
      <c r="D247" t="s">
        <v>4119</v>
      </c>
      <c r="E247" t="s">
        <v>5471</v>
      </c>
      <c r="F247" t="s">
        <v>6173</v>
      </c>
      <c r="G247" t="s">
        <v>6185</v>
      </c>
      <c r="H247" t="s">
        <v>5474</v>
      </c>
      <c r="I247" t="s">
        <v>6186</v>
      </c>
      <c r="J247" t="s">
        <v>5476</v>
      </c>
      <c r="K247" t="s">
        <v>5471</v>
      </c>
      <c r="L247" t="s">
        <v>5471</v>
      </c>
      <c r="M247" t="s">
        <v>5471</v>
      </c>
    </row>
    <row r="248" spans="1:13" x14ac:dyDescent="0.3">
      <c r="A248" t="s">
        <v>3383</v>
      </c>
      <c r="B248" t="s">
        <v>6187</v>
      </c>
      <c r="C248" t="s">
        <v>5470</v>
      </c>
      <c r="D248" t="s">
        <v>4119</v>
      </c>
      <c r="E248" t="s">
        <v>5756</v>
      </c>
      <c r="F248" t="s">
        <v>6173</v>
      </c>
      <c r="G248" t="s">
        <v>6188</v>
      </c>
      <c r="H248" t="s">
        <v>5474</v>
      </c>
      <c r="I248" t="s">
        <v>6189</v>
      </c>
      <c r="J248" t="s">
        <v>5476</v>
      </c>
      <c r="K248" t="s">
        <v>5471</v>
      </c>
      <c r="L248" t="s">
        <v>5471</v>
      </c>
      <c r="M248" t="s">
        <v>5471</v>
      </c>
    </row>
    <row r="249" spans="1:13" x14ac:dyDescent="0.3">
      <c r="A249" t="s">
        <v>3383</v>
      </c>
      <c r="B249" t="s">
        <v>6187</v>
      </c>
      <c r="C249" t="s">
        <v>5470</v>
      </c>
      <c r="D249" t="s">
        <v>4119</v>
      </c>
      <c r="E249" t="s">
        <v>5756</v>
      </c>
      <c r="F249" t="s">
        <v>6173</v>
      </c>
      <c r="G249" t="s">
        <v>6190</v>
      </c>
      <c r="H249" t="s">
        <v>5474</v>
      </c>
      <c r="I249" t="s">
        <v>6191</v>
      </c>
      <c r="J249" t="s">
        <v>5476</v>
      </c>
      <c r="K249" t="s">
        <v>5471</v>
      </c>
      <c r="L249" t="s">
        <v>5471</v>
      </c>
      <c r="M249" t="s">
        <v>5471</v>
      </c>
    </row>
    <row r="250" spans="1:13" x14ac:dyDescent="0.3">
      <c r="A250" t="s">
        <v>3383</v>
      </c>
      <c r="B250" t="s">
        <v>6187</v>
      </c>
      <c r="C250" t="s">
        <v>5470</v>
      </c>
      <c r="D250" t="s">
        <v>4119</v>
      </c>
      <c r="E250" t="s">
        <v>5756</v>
      </c>
      <c r="F250" t="s">
        <v>6173</v>
      </c>
      <c r="G250" t="s">
        <v>6192</v>
      </c>
      <c r="H250" t="s">
        <v>5474</v>
      </c>
      <c r="I250" t="s">
        <v>6193</v>
      </c>
      <c r="J250" t="s">
        <v>5476</v>
      </c>
      <c r="K250" t="s">
        <v>5471</v>
      </c>
      <c r="L250" t="s">
        <v>5471</v>
      </c>
      <c r="M250" t="s">
        <v>5471</v>
      </c>
    </row>
    <row r="251" spans="1:13" x14ac:dyDescent="0.3">
      <c r="A251" t="s">
        <v>3383</v>
      </c>
      <c r="B251" t="s">
        <v>6187</v>
      </c>
      <c r="C251" t="s">
        <v>5470</v>
      </c>
      <c r="D251" t="s">
        <v>4119</v>
      </c>
      <c r="E251" t="s">
        <v>5756</v>
      </c>
      <c r="F251" t="s">
        <v>6173</v>
      </c>
      <c r="G251" t="s">
        <v>6194</v>
      </c>
      <c r="H251" t="s">
        <v>5474</v>
      </c>
      <c r="I251" t="s">
        <v>6195</v>
      </c>
      <c r="J251" t="s">
        <v>5476</v>
      </c>
      <c r="K251" t="s">
        <v>5471</v>
      </c>
      <c r="L251" t="s">
        <v>5471</v>
      </c>
      <c r="M251" t="s">
        <v>5471</v>
      </c>
    </row>
    <row r="252" spans="1:13" x14ac:dyDescent="0.3">
      <c r="A252" t="s">
        <v>3383</v>
      </c>
      <c r="B252" t="s">
        <v>6187</v>
      </c>
      <c r="C252" t="s">
        <v>5470</v>
      </c>
      <c r="D252" t="s">
        <v>4119</v>
      </c>
      <c r="E252" t="s">
        <v>5756</v>
      </c>
      <c r="F252" t="s">
        <v>6196</v>
      </c>
      <c r="G252" t="s">
        <v>6197</v>
      </c>
      <c r="H252" t="s">
        <v>5474</v>
      </c>
      <c r="I252" t="s">
        <v>6198</v>
      </c>
      <c r="J252" t="s">
        <v>5476</v>
      </c>
      <c r="K252" t="s">
        <v>5471</v>
      </c>
      <c r="L252" t="s">
        <v>5471</v>
      </c>
      <c r="M252" t="s">
        <v>5471</v>
      </c>
    </row>
    <row r="253" spans="1:13" x14ac:dyDescent="0.3">
      <c r="A253" t="s">
        <v>3383</v>
      </c>
      <c r="B253" t="s">
        <v>5294</v>
      </c>
      <c r="C253" t="s">
        <v>5470</v>
      </c>
      <c r="D253" t="s">
        <v>4119</v>
      </c>
      <c r="E253" t="s">
        <v>5756</v>
      </c>
      <c r="F253" t="s">
        <v>6196</v>
      </c>
      <c r="G253" t="s">
        <v>6199</v>
      </c>
      <c r="H253" t="s">
        <v>5474</v>
      </c>
      <c r="I253" t="s">
        <v>6200</v>
      </c>
      <c r="J253" t="s">
        <v>5484</v>
      </c>
      <c r="K253" t="s">
        <v>5471</v>
      </c>
      <c r="L253" t="s">
        <v>5471</v>
      </c>
      <c r="M253" t="s">
        <v>5471</v>
      </c>
    </row>
    <row r="254" spans="1:13" x14ac:dyDescent="0.3">
      <c r="A254" t="s">
        <v>3383</v>
      </c>
      <c r="B254" t="s">
        <v>6178</v>
      </c>
      <c r="C254" t="s">
        <v>5470</v>
      </c>
      <c r="D254" t="s">
        <v>4119</v>
      </c>
      <c r="E254" t="s">
        <v>5471</v>
      </c>
      <c r="F254" t="s">
        <v>6196</v>
      </c>
      <c r="G254" t="s">
        <v>6201</v>
      </c>
      <c r="H254" t="s">
        <v>5474</v>
      </c>
      <c r="I254" t="s">
        <v>6202</v>
      </c>
      <c r="J254" t="s">
        <v>5476</v>
      </c>
      <c r="K254" t="s">
        <v>5471</v>
      </c>
      <c r="L254" t="s">
        <v>5471</v>
      </c>
      <c r="M254" t="s">
        <v>5471</v>
      </c>
    </row>
    <row r="255" spans="1:13" x14ac:dyDescent="0.3">
      <c r="A255" t="s">
        <v>3383</v>
      </c>
      <c r="B255" t="s">
        <v>5294</v>
      </c>
      <c r="C255" t="s">
        <v>5470</v>
      </c>
      <c r="D255" t="s">
        <v>4119</v>
      </c>
      <c r="E255" t="s">
        <v>5756</v>
      </c>
      <c r="F255" t="s">
        <v>6196</v>
      </c>
      <c r="G255" t="s">
        <v>6201</v>
      </c>
      <c r="H255" t="s">
        <v>5474</v>
      </c>
      <c r="I255" t="s">
        <v>6203</v>
      </c>
      <c r="J255" t="s">
        <v>5484</v>
      </c>
      <c r="K255" t="s">
        <v>5471</v>
      </c>
      <c r="L255" t="s">
        <v>5471</v>
      </c>
      <c r="M255" t="s">
        <v>5471</v>
      </c>
    </row>
    <row r="256" spans="1:13" x14ac:dyDescent="0.3">
      <c r="A256" t="s">
        <v>3383</v>
      </c>
      <c r="B256" t="s">
        <v>6187</v>
      </c>
      <c r="C256" t="s">
        <v>5470</v>
      </c>
      <c r="D256" t="s">
        <v>4119</v>
      </c>
      <c r="E256" t="s">
        <v>5756</v>
      </c>
      <c r="F256" t="s">
        <v>6196</v>
      </c>
      <c r="G256" t="s">
        <v>6204</v>
      </c>
      <c r="H256" t="s">
        <v>5474</v>
      </c>
      <c r="I256" t="s">
        <v>6205</v>
      </c>
      <c r="J256" t="s">
        <v>5476</v>
      </c>
      <c r="K256" t="s">
        <v>5471</v>
      </c>
      <c r="L256" t="s">
        <v>5471</v>
      </c>
      <c r="M256" t="s">
        <v>5471</v>
      </c>
    </row>
    <row r="257" spans="1:13" x14ac:dyDescent="0.3">
      <c r="A257" t="s">
        <v>3383</v>
      </c>
      <c r="B257" t="s">
        <v>6051</v>
      </c>
      <c r="C257" t="s">
        <v>5470</v>
      </c>
      <c r="D257" t="s">
        <v>4119</v>
      </c>
      <c r="E257" t="s">
        <v>5756</v>
      </c>
      <c r="F257" t="s">
        <v>6196</v>
      </c>
      <c r="G257" t="s">
        <v>6204</v>
      </c>
      <c r="H257" t="s">
        <v>5474</v>
      </c>
      <c r="I257" t="s">
        <v>6206</v>
      </c>
      <c r="J257" t="s">
        <v>5476</v>
      </c>
      <c r="K257" t="s">
        <v>5471</v>
      </c>
      <c r="L257" t="s">
        <v>5471</v>
      </c>
      <c r="M257" t="s">
        <v>5471</v>
      </c>
    </row>
    <row r="258" spans="1:13" x14ac:dyDescent="0.3">
      <c r="A258" t="s">
        <v>3383</v>
      </c>
      <c r="B258" t="s">
        <v>5332</v>
      </c>
      <c r="C258" t="s">
        <v>5470</v>
      </c>
      <c r="D258" t="s">
        <v>4119</v>
      </c>
      <c r="E258" t="s">
        <v>5756</v>
      </c>
      <c r="F258" t="s">
        <v>6145</v>
      </c>
      <c r="G258" t="s">
        <v>6207</v>
      </c>
      <c r="H258" t="s">
        <v>5474</v>
      </c>
      <c r="I258" t="s">
        <v>6208</v>
      </c>
      <c r="J258" t="s">
        <v>5476</v>
      </c>
      <c r="K258" t="s">
        <v>5471</v>
      </c>
      <c r="L258" t="s">
        <v>5471</v>
      </c>
      <c r="M258" t="s">
        <v>5471</v>
      </c>
    </row>
    <row r="259" spans="1:13" x14ac:dyDescent="0.3">
      <c r="A259" t="s">
        <v>3383</v>
      </c>
      <c r="B259" t="s">
        <v>6051</v>
      </c>
      <c r="C259" t="s">
        <v>5470</v>
      </c>
      <c r="D259" t="s">
        <v>4119</v>
      </c>
      <c r="E259" t="s">
        <v>5756</v>
      </c>
      <c r="F259" t="s">
        <v>6145</v>
      </c>
      <c r="G259" t="s">
        <v>6209</v>
      </c>
      <c r="H259" t="s">
        <v>5474</v>
      </c>
      <c r="I259" t="s">
        <v>6210</v>
      </c>
      <c r="J259" t="s">
        <v>5476</v>
      </c>
      <c r="K259" t="s">
        <v>5471</v>
      </c>
      <c r="L259" t="s">
        <v>5471</v>
      </c>
      <c r="M259" t="s">
        <v>5471</v>
      </c>
    </row>
    <row r="260" spans="1:13" x14ac:dyDescent="0.3">
      <c r="A260" t="s">
        <v>3383</v>
      </c>
      <c r="B260" t="s">
        <v>6178</v>
      </c>
      <c r="C260" t="s">
        <v>5470</v>
      </c>
      <c r="D260" t="s">
        <v>4119</v>
      </c>
      <c r="E260" t="s">
        <v>5471</v>
      </c>
      <c r="F260" t="s">
        <v>6145</v>
      </c>
      <c r="G260" t="s">
        <v>6211</v>
      </c>
      <c r="H260" t="s">
        <v>5474</v>
      </c>
      <c r="I260" t="s">
        <v>6212</v>
      </c>
      <c r="J260" t="s">
        <v>5476</v>
      </c>
      <c r="K260" t="s">
        <v>5471</v>
      </c>
      <c r="L260" t="s">
        <v>5471</v>
      </c>
      <c r="M260" t="s">
        <v>5471</v>
      </c>
    </row>
    <row r="261" spans="1:13" x14ac:dyDescent="0.3">
      <c r="A261" t="s">
        <v>3383</v>
      </c>
      <c r="B261" t="s">
        <v>6178</v>
      </c>
      <c r="C261" t="s">
        <v>5470</v>
      </c>
      <c r="D261" t="s">
        <v>4119</v>
      </c>
      <c r="E261" t="s">
        <v>5471</v>
      </c>
      <c r="F261" t="s">
        <v>6145</v>
      </c>
      <c r="G261" t="s">
        <v>6213</v>
      </c>
      <c r="H261" t="s">
        <v>5474</v>
      </c>
      <c r="I261" t="s">
        <v>6214</v>
      </c>
      <c r="J261" t="s">
        <v>5476</v>
      </c>
      <c r="K261" t="s">
        <v>5471</v>
      </c>
      <c r="L261" t="s">
        <v>5471</v>
      </c>
      <c r="M261" t="s">
        <v>5471</v>
      </c>
    </row>
    <row r="262" spans="1:13" x14ac:dyDescent="0.3">
      <c r="A262" t="s">
        <v>3383</v>
      </c>
      <c r="B262" t="s">
        <v>6178</v>
      </c>
      <c r="C262" t="s">
        <v>5470</v>
      </c>
      <c r="D262" t="s">
        <v>4119</v>
      </c>
      <c r="E262" t="s">
        <v>5471</v>
      </c>
      <c r="F262" t="s">
        <v>6145</v>
      </c>
      <c r="G262" t="s">
        <v>6215</v>
      </c>
      <c r="H262" t="s">
        <v>5474</v>
      </c>
      <c r="I262" t="s">
        <v>6216</v>
      </c>
      <c r="J262" t="s">
        <v>5476</v>
      </c>
      <c r="K262" t="s">
        <v>5471</v>
      </c>
      <c r="L262" t="s">
        <v>5471</v>
      </c>
      <c r="M262" t="s">
        <v>5471</v>
      </c>
    </row>
    <row r="263" spans="1:13" x14ac:dyDescent="0.3">
      <c r="A263" t="s">
        <v>3383</v>
      </c>
      <c r="B263" t="s">
        <v>6178</v>
      </c>
      <c r="C263" t="s">
        <v>5470</v>
      </c>
      <c r="D263" t="s">
        <v>4119</v>
      </c>
      <c r="E263" t="s">
        <v>5471</v>
      </c>
      <c r="F263" t="s">
        <v>6145</v>
      </c>
      <c r="G263" t="s">
        <v>6217</v>
      </c>
      <c r="H263" t="s">
        <v>5474</v>
      </c>
      <c r="I263" t="s">
        <v>6218</v>
      </c>
      <c r="J263" t="s">
        <v>5476</v>
      </c>
      <c r="K263" t="s">
        <v>5471</v>
      </c>
      <c r="L263" t="s">
        <v>5471</v>
      </c>
      <c r="M263" t="s">
        <v>5471</v>
      </c>
    </row>
    <row r="264" spans="1:13" x14ac:dyDescent="0.3">
      <c r="A264" t="s">
        <v>3383</v>
      </c>
      <c r="B264" t="s">
        <v>5294</v>
      </c>
      <c r="C264" t="s">
        <v>5470</v>
      </c>
      <c r="D264" t="s">
        <v>4119</v>
      </c>
      <c r="E264" t="s">
        <v>5756</v>
      </c>
      <c r="F264" t="s">
        <v>6145</v>
      </c>
      <c r="G264" t="s">
        <v>6219</v>
      </c>
      <c r="H264" t="s">
        <v>5474</v>
      </c>
      <c r="I264" t="s">
        <v>6220</v>
      </c>
      <c r="J264" t="s">
        <v>5484</v>
      </c>
      <c r="K264" t="s">
        <v>5471</v>
      </c>
      <c r="L264" t="s">
        <v>5471</v>
      </c>
      <c r="M264" t="s">
        <v>5471</v>
      </c>
    </row>
    <row r="265" spans="1:13" x14ac:dyDescent="0.3">
      <c r="A265" t="s">
        <v>3397</v>
      </c>
      <c r="B265" t="s">
        <v>5755</v>
      </c>
      <c r="C265" t="s">
        <v>5487</v>
      </c>
      <c r="D265" t="s">
        <v>4119</v>
      </c>
      <c r="E265" t="s">
        <v>5756</v>
      </c>
      <c r="F265" t="s">
        <v>6221</v>
      </c>
      <c r="G265" t="s">
        <v>5758</v>
      </c>
      <c r="H265" t="s">
        <v>5474</v>
      </c>
      <c r="I265" t="s">
        <v>6222</v>
      </c>
      <c r="J265" t="s">
        <v>5476</v>
      </c>
      <c r="K265" t="s">
        <v>5471</v>
      </c>
      <c r="L265" t="s">
        <v>5471</v>
      </c>
      <c r="M265" t="s">
        <v>5471</v>
      </c>
    </row>
    <row r="266" spans="1:13" x14ac:dyDescent="0.3">
      <c r="A266" t="s">
        <v>3383</v>
      </c>
      <c r="B266" t="s">
        <v>5294</v>
      </c>
      <c r="C266" t="s">
        <v>5470</v>
      </c>
      <c r="D266" t="s">
        <v>4119</v>
      </c>
      <c r="E266" t="s">
        <v>5756</v>
      </c>
      <c r="F266" t="s">
        <v>6145</v>
      </c>
      <c r="G266" t="s">
        <v>6223</v>
      </c>
      <c r="H266" t="s">
        <v>5474</v>
      </c>
      <c r="I266" t="s">
        <v>6224</v>
      </c>
      <c r="J266" t="s">
        <v>5484</v>
      </c>
      <c r="K266" t="s">
        <v>5471</v>
      </c>
      <c r="L266" t="s">
        <v>5471</v>
      </c>
      <c r="M266" t="s">
        <v>5471</v>
      </c>
    </row>
    <row r="267" spans="1:13" x14ac:dyDescent="0.3">
      <c r="A267" t="s">
        <v>3383</v>
      </c>
      <c r="B267" t="s">
        <v>5294</v>
      </c>
      <c r="C267" t="s">
        <v>5470</v>
      </c>
      <c r="D267" t="s">
        <v>4119</v>
      </c>
      <c r="E267" t="s">
        <v>5756</v>
      </c>
      <c r="F267" t="s">
        <v>6145</v>
      </c>
      <c r="G267" t="s">
        <v>6225</v>
      </c>
      <c r="H267" t="s">
        <v>5474</v>
      </c>
      <c r="I267" t="s">
        <v>6226</v>
      </c>
      <c r="J267" t="s">
        <v>5484</v>
      </c>
      <c r="K267" t="s">
        <v>5471</v>
      </c>
      <c r="L267" t="s">
        <v>5471</v>
      </c>
      <c r="M267" t="s">
        <v>5471</v>
      </c>
    </row>
    <row r="268" spans="1:13" x14ac:dyDescent="0.3">
      <c r="A268" t="s">
        <v>3397</v>
      </c>
      <c r="B268" t="s">
        <v>5842</v>
      </c>
      <c r="C268" t="s">
        <v>5487</v>
      </c>
      <c r="D268" t="s">
        <v>4119</v>
      </c>
      <c r="E268" t="s">
        <v>5595</v>
      </c>
      <c r="F268" t="s">
        <v>6227</v>
      </c>
      <c r="G268" t="s">
        <v>6228</v>
      </c>
      <c r="H268" t="s">
        <v>5474</v>
      </c>
      <c r="I268" t="s">
        <v>6229</v>
      </c>
      <c r="J268" t="s">
        <v>5476</v>
      </c>
      <c r="K268" t="s">
        <v>5471</v>
      </c>
      <c r="L268" t="s">
        <v>5471</v>
      </c>
      <c r="M268" t="s">
        <v>5471</v>
      </c>
    </row>
    <row r="269" spans="1:13" x14ac:dyDescent="0.3">
      <c r="A269" t="s">
        <v>3397</v>
      </c>
      <c r="B269" t="s">
        <v>5842</v>
      </c>
      <c r="C269" t="s">
        <v>5487</v>
      </c>
      <c r="D269" t="s">
        <v>4119</v>
      </c>
      <c r="E269" t="s">
        <v>5595</v>
      </c>
      <c r="F269" t="s">
        <v>6230</v>
      </c>
      <c r="G269" t="s">
        <v>6228</v>
      </c>
      <c r="H269" t="s">
        <v>5474</v>
      </c>
      <c r="I269" t="s">
        <v>6231</v>
      </c>
      <c r="J269" t="s">
        <v>5476</v>
      </c>
      <c r="K269" t="s">
        <v>5471</v>
      </c>
      <c r="L269" t="s">
        <v>5471</v>
      </c>
      <c r="M269" t="s">
        <v>5471</v>
      </c>
    </row>
    <row r="270" spans="1:13" x14ac:dyDescent="0.3">
      <c r="A270" t="s">
        <v>3383</v>
      </c>
      <c r="B270" t="s">
        <v>5294</v>
      </c>
      <c r="C270" t="s">
        <v>5470</v>
      </c>
      <c r="D270" t="s">
        <v>4119</v>
      </c>
      <c r="E270" t="s">
        <v>5756</v>
      </c>
      <c r="F270" t="s">
        <v>6145</v>
      </c>
      <c r="G270" t="s">
        <v>6232</v>
      </c>
      <c r="H270" t="s">
        <v>5474</v>
      </c>
      <c r="I270" t="s">
        <v>6233</v>
      </c>
      <c r="J270" t="s">
        <v>5484</v>
      </c>
      <c r="K270" t="s">
        <v>5471</v>
      </c>
      <c r="L270" t="s">
        <v>5471</v>
      </c>
      <c r="M270" t="s">
        <v>5471</v>
      </c>
    </row>
    <row r="271" spans="1:13" x14ac:dyDescent="0.3">
      <c r="A271" t="s">
        <v>3397</v>
      </c>
      <c r="B271" t="s">
        <v>5842</v>
      </c>
      <c r="C271" t="s">
        <v>5487</v>
      </c>
      <c r="D271" t="s">
        <v>4119</v>
      </c>
      <c r="E271" t="s">
        <v>5595</v>
      </c>
      <c r="F271" t="s">
        <v>6234</v>
      </c>
      <c r="G271" t="s">
        <v>6228</v>
      </c>
      <c r="H271" t="s">
        <v>5474</v>
      </c>
      <c r="I271" t="s">
        <v>6235</v>
      </c>
      <c r="J271" t="s">
        <v>5476</v>
      </c>
      <c r="K271" t="s">
        <v>5471</v>
      </c>
      <c r="L271" t="s">
        <v>5471</v>
      </c>
      <c r="M271" t="s">
        <v>5471</v>
      </c>
    </row>
    <row r="272" spans="1:13" x14ac:dyDescent="0.3">
      <c r="A272" t="s">
        <v>3383</v>
      </c>
      <c r="B272" t="s">
        <v>5294</v>
      </c>
      <c r="C272" t="s">
        <v>5470</v>
      </c>
      <c r="D272" t="s">
        <v>4119</v>
      </c>
      <c r="E272" t="s">
        <v>5756</v>
      </c>
      <c r="F272" t="s">
        <v>6236</v>
      </c>
      <c r="G272" t="s">
        <v>6237</v>
      </c>
      <c r="H272" t="s">
        <v>5474</v>
      </c>
      <c r="I272" t="s">
        <v>6238</v>
      </c>
      <c r="J272" t="s">
        <v>5484</v>
      </c>
      <c r="K272" t="s">
        <v>5471</v>
      </c>
      <c r="L272" t="s">
        <v>5471</v>
      </c>
      <c r="M272" t="s">
        <v>5471</v>
      </c>
    </row>
    <row r="273" spans="1:13" x14ac:dyDescent="0.3">
      <c r="A273" t="s">
        <v>3383</v>
      </c>
      <c r="B273" t="s">
        <v>5332</v>
      </c>
      <c r="C273" t="s">
        <v>5470</v>
      </c>
      <c r="D273" t="s">
        <v>4119</v>
      </c>
      <c r="E273" t="s">
        <v>5756</v>
      </c>
      <c r="F273" t="s">
        <v>6236</v>
      </c>
      <c r="G273" t="s">
        <v>6239</v>
      </c>
      <c r="H273" t="s">
        <v>5474</v>
      </c>
      <c r="I273" t="s">
        <v>6240</v>
      </c>
      <c r="J273" t="s">
        <v>5484</v>
      </c>
      <c r="K273" t="s">
        <v>5471</v>
      </c>
      <c r="L273" t="s">
        <v>5471</v>
      </c>
      <c r="M273" t="s">
        <v>5471</v>
      </c>
    </row>
    <row r="274" spans="1:13" x14ac:dyDescent="0.3">
      <c r="A274" t="s">
        <v>3383</v>
      </c>
      <c r="B274" t="s">
        <v>5332</v>
      </c>
      <c r="C274" t="s">
        <v>5470</v>
      </c>
      <c r="D274" t="s">
        <v>4119</v>
      </c>
      <c r="E274" t="s">
        <v>5756</v>
      </c>
      <c r="F274" t="s">
        <v>6236</v>
      </c>
      <c r="G274" t="s">
        <v>6241</v>
      </c>
      <c r="H274" t="s">
        <v>5474</v>
      </c>
      <c r="I274" t="s">
        <v>6242</v>
      </c>
      <c r="J274" t="s">
        <v>5476</v>
      </c>
      <c r="K274" t="s">
        <v>5471</v>
      </c>
      <c r="L274" t="s">
        <v>5471</v>
      </c>
      <c r="M274" t="s">
        <v>5471</v>
      </c>
    </row>
    <row r="275" spans="1:13" x14ac:dyDescent="0.3">
      <c r="A275" t="s">
        <v>3383</v>
      </c>
      <c r="B275" t="s">
        <v>5952</v>
      </c>
      <c r="C275" t="s">
        <v>5470</v>
      </c>
      <c r="D275" t="s">
        <v>4119</v>
      </c>
      <c r="E275" t="s">
        <v>5756</v>
      </c>
      <c r="F275" t="s">
        <v>6243</v>
      </c>
      <c r="G275" t="s">
        <v>6244</v>
      </c>
      <c r="H275" t="s">
        <v>5474</v>
      </c>
      <c r="I275" t="s">
        <v>6245</v>
      </c>
      <c r="J275" t="s">
        <v>5484</v>
      </c>
      <c r="K275" t="s">
        <v>5471</v>
      </c>
      <c r="L275" t="s">
        <v>5471</v>
      </c>
      <c r="M275" t="s">
        <v>5471</v>
      </c>
    </row>
    <row r="276" spans="1:13" x14ac:dyDescent="0.3">
      <c r="A276" t="s">
        <v>3383</v>
      </c>
      <c r="B276" t="s">
        <v>5952</v>
      </c>
      <c r="C276" t="s">
        <v>5470</v>
      </c>
      <c r="D276" t="s">
        <v>4119</v>
      </c>
      <c r="E276" t="s">
        <v>5756</v>
      </c>
      <c r="F276" t="s">
        <v>6246</v>
      </c>
      <c r="G276" t="s">
        <v>6244</v>
      </c>
      <c r="H276" t="s">
        <v>5474</v>
      </c>
      <c r="I276" t="s">
        <v>6247</v>
      </c>
      <c r="J276" t="s">
        <v>5484</v>
      </c>
      <c r="K276" t="s">
        <v>5471</v>
      </c>
      <c r="L276" t="s">
        <v>5471</v>
      </c>
      <c r="M276" t="s">
        <v>5471</v>
      </c>
    </row>
    <row r="277" spans="1:13" x14ac:dyDescent="0.3">
      <c r="A277" t="s">
        <v>3383</v>
      </c>
      <c r="B277" t="s">
        <v>5952</v>
      </c>
      <c r="C277" t="s">
        <v>5470</v>
      </c>
      <c r="D277" t="s">
        <v>4119</v>
      </c>
      <c r="E277" t="s">
        <v>5756</v>
      </c>
      <c r="F277" t="s">
        <v>6248</v>
      </c>
      <c r="G277" t="s">
        <v>6244</v>
      </c>
      <c r="H277" t="s">
        <v>5474</v>
      </c>
      <c r="I277" t="s">
        <v>6249</v>
      </c>
      <c r="J277" t="s">
        <v>5484</v>
      </c>
      <c r="K277" t="s">
        <v>5471</v>
      </c>
      <c r="L277" t="s">
        <v>5471</v>
      </c>
      <c r="M277" t="s">
        <v>5471</v>
      </c>
    </row>
    <row r="278" spans="1:13" x14ac:dyDescent="0.3">
      <c r="A278" t="s">
        <v>3383</v>
      </c>
      <c r="B278" t="s">
        <v>6051</v>
      </c>
      <c r="C278" t="s">
        <v>5470</v>
      </c>
      <c r="D278" t="s">
        <v>4119</v>
      </c>
      <c r="E278" t="s">
        <v>5756</v>
      </c>
      <c r="F278" t="s">
        <v>6196</v>
      </c>
      <c r="G278" t="s">
        <v>6197</v>
      </c>
      <c r="H278" t="s">
        <v>5474</v>
      </c>
      <c r="I278" t="s">
        <v>6250</v>
      </c>
      <c r="J278" t="s">
        <v>5476</v>
      </c>
      <c r="K278" t="s">
        <v>5471</v>
      </c>
      <c r="L278" t="s">
        <v>5471</v>
      </c>
      <c r="M278" t="s">
        <v>5471</v>
      </c>
    </row>
    <row r="279" spans="1:13" x14ac:dyDescent="0.3">
      <c r="A279" t="s">
        <v>3383</v>
      </c>
      <c r="B279" t="s">
        <v>6051</v>
      </c>
      <c r="C279" t="s">
        <v>5470</v>
      </c>
      <c r="D279" t="s">
        <v>4119</v>
      </c>
      <c r="E279" t="s">
        <v>5756</v>
      </c>
      <c r="F279" t="s">
        <v>6145</v>
      </c>
      <c r="G279" t="s">
        <v>6251</v>
      </c>
      <c r="H279" t="s">
        <v>5474</v>
      </c>
      <c r="I279" t="s">
        <v>6252</v>
      </c>
      <c r="J279" t="s">
        <v>5476</v>
      </c>
      <c r="K279" t="s">
        <v>5471</v>
      </c>
      <c r="L279" t="s">
        <v>5471</v>
      </c>
      <c r="M279" t="s">
        <v>5471</v>
      </c>
    </row>
    <row r="280" spans="1:13" x14ac:dyDescent="0.3">
      <c r="A280" t="s">
        <v>3383</v>
      </c>
      <c r="B280" t="s">
        <v>6051</v>
      </c>
      <c r="C280" t="s">
        <v>5470</v>
      </c>
      <c r="D280" t="s">
        <v>4119</v>
      </c>
      <c r="E280" t="s">
        <v>5756</v>
      </c>
      <c r="F280" t="s">
        <v>6145</v>
      </c>
      <c r="G280" t="s">
        <v>6253</v>
      </c>
      <c r="H280" t="s">
        <v>5474</v>
      </c>
      <c r="I280" t="s">
        <v>6254</v>
      </c>
      <c r="J280" t="s">
        <v>5476</v>
      </c>
      <c r="K280" t="s">
        <v>5471</v>
      </c>
      <c r="L280" t="s">
        <v>5471</v>
      </c>
      <c r="M280" t="s">
        <v>5471</v>
      </c>
    </row>
    <row r="281" spans="1:13" x14ac:dyDescent="0.3">
      <c r="A281" t="s">
        <v>3383</v>
      </c>
      <c r="B281" t="s">
        <v>6051</v>
      </c>
      <c r="C281" t="s">
        <v>5470</v>
      </c>
      <c r="D281" t="s">
        <v>4119</v>
      </c>
      <c r="E281" t="s">
        <v>5756</v>
      </c>
      <c r="F281" t="s">
        <v>6145</v>
      </c>
      <c r="G281" t="s">
        <v>6255</v>
      </c>
      <c r="H281" t="s">
        <v>5474</v>
      </c>
      <c r="I281" t="s">
        <v>6256</v>
      </c>
      <c r="J281" t="s">
        <v>5476</v>
      </c>
      <c r="K281" t="s">
        <v>5471</v>
      </c>
      <c r="L281" t="s">
        <v>5471</v>
      </c>
      <c r="M281" t="s">
        <v>5471</v>
      </c>
    </row>
    <row r="282" spans="1:13" x14ac:dyDescent="0.3">
      <c r="A282" t="s">
        <v>3383</v>
      </c>
      <c r="B282" t="s">
        <v>6178</v>
      </c>
      <c r="C282" t="s">
        <v>5470</v>
      </c>
      <c r="D282" t="s">
        <v>4119</v>
      </c>
      <c r="E282" t="s">
        <v>5471</v>
      </c>
      <c r="F282" t="s">
        <v>6196</v>
      </c>
      <c r="G282" t="s">
        <v>6199</v>
      </c>
      <c r="H282" t="s">
        <v>5474</v>
      </c>
      <c r="I282" t="s">
        <v>6257</v>
      </c>
      <c r="J282" t="s">
        <v>5476</v>
      </c>
      <c r="K282" t="s">
        <v>5471</v>
      </c>
      <c r="L282" t="s">
        <v>5471</v>
      </c>
      <c r="M282" t="s">
        <v>5471</v>
      </c>
    </row>
    <row r="283" spans="1:13" x14ac:dyDescent="0.3">
      <c r="A283" t="s">
        <v>3383</v>
      </c>
      <c r="B283" t="s">
        <v>6178</v>
      </c>
      <c r="C283" t="s">
        <v>5470</v>
      </c>
      <c r="D283" t="s">
        <v>4119</v>
      </c>
      <c r="E283" t="s">
        <v>5471</v>
      </c>
      <c r="F283" t="s">
        <v>6145</v>
      </c>
      <c r="G283" t="s">
        <v>6258</v>
      </c>
      <c r="H283" t="s">
        <v>5474</v>
      </c>
      <c r="I283" t="s">
        <v>6259</v>
      </c>
      <c r="J283" t="s">
        <v>5476</v>
      </c>
      <c r="K283" t="s">
        <v>5471</v>
      </c>
      <c r="L283" t="s">
        <v>5471</v>
      </c>
      <c r="M283" t="s">
        <v>5471</v>
      </c>
    </row>
    <row r="284" spans="1:13" x14ac:dyDescent="0.3">
      <c r="A284" t="s">
        <v>3383</v>
      </c>
      <c r="B284" t="s">
        <v>6178</v>
      </c>
      <c r="C284" t="s">
        <v>5470</v>
      </c>
      <c r="D284" t="s">
        <v>4119</v>
      </c>
      <c r="E284" t="s">
        <v>5471</v>
      </c>
      <c r="F284" t="s">
        <v>6145</v>
      </c>
      <c r="G284" t="s">
        <v>6260</v>
      </c>
      <c r="H284" t="s">
        <v>5474</v>
      </c>
      <c r="I284" t="s">
        <v>6261</v>
      </c>
      <c r="J284" t="s">
        <v>5476</v>
      </c>
      <c r="K284" t="s">
        <v>5471</v>
      </c>
      <c r="L284" t="s">
        <v>5471</v>
      </c>
      <c r="M284" t="s">
        <v>5471</v>
      </c>
    </row>
    <row r="285" spans="1:13" x14ac:dyDescent="0.3">
      <c r="A285" t="s">
        <v>3383</v>
      </c>
      <c r="B285" t="s">
        <v>5294</v>
      </c>
      <c r="C285" t="s">
        <v>5470</v>
      </c>
      <c r="D285" t="s">
        <v>4119</v>
      </c>
      <c r="E285" t="s">
        <v>5756</v>
      </c>
      <c r="F285" t="s">
        <v>6262</v>
      </c>
      <c r="G285" t="s">
        <v>6263</v>
      </c>
      <c r="H285" t="s">
        <v>5474</v>
      </c>
      <c r="I285" t="s">
        <v>6264</v>
      </c>
      <c r="J285" t="s">
        <v>5484</v>
      </c>
      <c r="K285" t="s">
        <v>5471</v>
      </c>
      <c r="L285" t="s">
        <v>5471</v>
      </c>
      <c r="M285" t="s">
        <v>5471</v>
      </c>
    </row>
    <row r="286" spans="1:13" x14ac:dyDescent="0.3">
      <c r="A286" t="s">
        <v>3383</v>
      </c>
      <c r="B286" t="s">
        <v>5294</v>
      </c>
      <c r="C286" t="s">
        <v>5470</v>
      </c>
      <c r="D286" t="s">
        <v>4119</v>
      </c>
      <c r="E286" t="s">
        <v>5756</v>
      </c>
      <c r="F286" t="s">
        <v>6262</v>
      </c>
      <c r="G286" t="s">
        <v>6265</v>
      </c>
      <c r="H286" t="s">
        <v>5474</v>
      </c>
      <c r="I286" t="s">
        <v>6266</v>
      </c>
      <c r="J286" t="s">
        <v>5484</v>
      </c>
      <c r="K286" t="s">
        <v>5471</v>
      </c>
      <c r="L286" t="s">
        <v>5471</v>
      </c>
      <c r="M286" t="s">
        <v>5471</v>
      </c>
    </row>
    <row r="287" spans="1:13" x14ac:dyDescent="0.3">
      <c r="A287" t="s">
        <v>3383</v>
      </c>
      <c r="B287" t="s">
        <v>5294</v>
      </c>
      <c r="C287" t="s">
        <v>5470</v>
      </c>
      <c r="D287" t="s">
        <v>4119</v>
      </c>
      <c r="E287" t="s">
        <v>5756</v>
      </c>
      <c r="F287" t="s">
        <v>6262</v>
      </c>
      <c r="G287" t="s">
        <v>6267</v>
      </c>
      <c r="H287" t="s">
        <v>5474</v>
      </c>
      <c r="I287" t="s">
        <v>6268</v>
      </c>
      <c r="J287" t="s">
        <v>5484</v>
      </c>
      <c r="K287" t="s">
        <v>5471</v>
      </c>
      <c r="L287" t="s">
        <v>5471</v>
      </c>
      <c r="M287" t="s">
        <v>5471</v>
      </c>
    </row>
    <row r="288" spans="1:13" x14ac:dyDescent="0.3">
      <c r="A288" t="s">
        <v>3383</v>
      </c>
      <c r="B288" t="s">
        <v>6083</v>
      </c>
      <c r="C288" t="s">
        <v>5487</v>
      </c>
      <c r="D288" t="s">
        <v>4119</v>
      </c>
      <c r="E288" t="s">
        <v>5532</v>
      </c>
      <c r="F288" t="s">
        <v>6269</v>
      </c>
      <c r="G288" t="s">
        <v>6270</v>
      </c>
      <c r="H288" t="s">
        <v>5474</v>
      </c>
      <c r="I288" t="s">
        <v>6271</v>
      </c>
      <c r="J288" t="s">
        <v>5476</v>
      </c>
      <c r="K288" t="s">
        <v>5471</v>
      </c>
      <c r="L288" t="s">
        <v>5471</v>
      </c>
      <c r="M288" t="s">
        <v>5471</v>
      </c>
    </row>
    <row r="289" spans="1:13" x14ac:dyDescent="0.3">
      <c r="A289" t="s">
        <v>3383</v>
      </c>
      <c r="B289" t="s">
        <v>6063</v>
      </c>
      <c r="C289" t="s">
        <v>5470</v>
      </c>
      <c r="D289" t="s">
        <v>4119</v>
      </c>
      <c r="E289" t="s">
        <v>5756</v>
      </c>
      <c r="F289" t="s">
        <v>6196</v>
      </c>
      <c r="G289" t="s">
        <v>6272</v>
      </c>
      <c r="H289" t="s">
        <v>5474</v>
      </c>
      <c r="I289" t="s">
        <v>6273</v>
      </c>
      <c r="J289" t="s">
        <v>5484</v>
      </c>
      <c r="K289" t="s">
        <v>5471</v>
      </c>
      <c r="L289" t="s">
        <v>5471</v>
      </c>
      <c r="M289" t="s">
        <v>5471</v>
      </c>
    </row>
    <row r="290" spans="1:13" x14ac:dyDescent="0.3">
      <c r="A290" t="s">
        <v>3383</v>
      </c>
      <c r="B290" t="s">
        <v>6018</v>
      </c>
      <c r="C290" t="s">
        <v>5470</v>
      </c>
      <c r="D290" t="s">
        <v>4119</v>
      </c>
      <c r="E290" t="s">
        <v>5756</v>
      </c>
      <c r="F290" t="s">
        <v>6196</v>
      </c>
      <c r="G290" t="s">
        <v>6274</v>
      </c>
      <c r="H290" t="s">
        <v>5474</v>
      </c>
      <c r="I290" t="s">
        <v>6275</v>
      </c>
      <c r="J290" t="s">
        <v>5484</v>
      </c>
      <c r="K290" t="s">
        <v>5471</v>
      </c>
      <c r="L290" t="s">
        <v>5471</v>
      </c>
      <c r="M290" t="s">
        <v>5471</v>
      </c>
    </row>
    <row r="291" spans="1:13" x14ac:dyDescent="0.3">
      <c r="A291" t="s">
        <v>3383</v>
      </c>
      <c r="B291" t="s">
        <v>6063</v>
      </c>
      <c r="C291" t="s">
        <v>5470</v>
      </c>
      <c r="D291" t="s">
        <v>4119</v>
      </c>
      <c r="E291" t="s">
        <v>5756</v>
      </c>
      <c r="F291" t="s">
        <v>6196</v>
      </c>
      <c r="G291" t="s">
        <v>6274</v>
      </c>
      <c r="H291" t="s">
        <v>5474</v>
      </c>
      <c r="I291" t="s">
        <v>6276</v>
      </c>
      <c r="J291" t="s">
        <v>5484</v>
      </c>
      <c r="K291" t="s">
        <v>5471</v>
      </c>
      <c r="L291" t="s">
        <v>5471</v>
      </c>
      <c r="M291" t="s">
        <v>5471</v>
      </c>
    </row>
    <row r="292" spans="1:13" x14ac:dyDescent="0.3">
      <c r="A292" t="s">
        <v>3383</v>
      </c>
      <c r="B292" t="s">
        <v>5294</v>
      </c>
      <c r="C292" t="s">
        <v>5470</v>
      </c>
      <c r="D292" t="s">
        <v>4119</v>
      </c>
      <c r="E292" t="s">
        <v>5756</v>
      </c>
      <c r="F292" t="s">
        <v>6196</v>
      </c>
      <c r="G292" t="s">
        <v>6277</v>
      </c>
      <c r="H292" t="s">
        <v>5474</v>
      </c>
      <c r="I292" t="s">
        <v>6278</v>
      </c>
      <c r="J292" t="s">
        <v>5484</v>
      </c>
      <c r="K292" t="s">
        <v>5471</v>
      </c>
      <c r="L292" t="s">
        <v>5471</v>
      </c>
      <c r="M292" t="s">
        <v>5471</v>
      </c>
    </row>
    <row r="293" spans="1:13" x14ac:dyDescent="0.3">
      <c r="A293" t="s">
        <v>3383</v>
      </c>
      <c r="B293" t="s">
        <v>6018</v>
      </c>
      <c r="C293" t="s">
        <v>5470</v>
      </c>
      <c r="D293" t="s">
        <v>4119</v>
      </c>
      <c r="E293" t="s">
        <v>5756</v>
      </c>
      <c r="F293" t="s">
        <v>6196</v>
      </c>
      <c r="G293" t="s">
        <v>6279</v>
      </c>
      <c r="H293" t="s">
        <v>5474</v>
      </c>
      <c r="I293" t="s">
        <v>6280</v>
      </c>
      <c r="J293" t="s">
        <v>5484</v>
      </c>
      <c r="K293" t="s">
        <v>5471</v>
      </c>
      <c r="L293" t="s">
        <v>5471</v>
      </c>
      <c r="M293" t="s">
        <v>5471</v>
      </c>
    </row>
    <row r="294" spans="1:13" x14ac:dyDescent="0.3">
      <c r="A294" t="s">
        <v>3383</v>
      </c>
      <c r="B294" t="s">
        <v>5294</v>
      </c>
      <c r="C294" t="s">
        <v>5470</v>
      </c>
      <c r="D294" t="s">
        <v>4119</v>
      </c>
      <c r="E294" t="s">
        <v>5756</v>
      </c>
      <c r="F294" t="s">
        <v>6196</v>
      </c>
      <c r="G294" t="s">
        <v>6279</v>
      </c>
      <c r="H294" t="s">
        <v>5474</v>
      </c>
      <c r="I294" t="s">
        <v>6281</v>
      </c>
      <c r="J294" t="s">
        <v>5484</v>
      </c>
      <c r="K294" t="s">
        <v>5471</v>
      </c>
      <c r="L294" t="s">
        <v>5471</v>
      </c>
      <c r="M294" t="s">
        <v>5471</v>
      </c>
    </row>
    <row r="295" spans="1:13" x14ac:dyDescent="0.3">
      <c r="A295" t="s">
        <v>3383</v>
      </c>
      <c r="B295" t="s">
        <v>6051</v>
      </c>
      <c r="C295" t="s">
        <v>5470</v>
      </c>
      <c r="D295" t="s">
        <v>4119</v>
      </c>
      <c r="E295" t="s">
        <v>5756</v>
      </c>
      <c r="F295" t="s">
        <v>6196</v>
      </c>
      <c r="G295" t="s">
        <v>6277</v>
      </c>
      <c r="H295" t="s">
        <v>5474</v>
      </c>
      <c r="I295" t="s">
        <v>6282</v>
      </c>
      <c r="J295" t="s">
        <v>5476</v>
      </c>
      <c r="K295" t="s">
        <v>5471</v>
      </c>
      <c r="L295" t="s">
        <v>5471</v>
      </c>
      <c r="M295" t="s">
        <v>5471</v>
      </c>
    </row>
    <row r="296" spans="1:13" x14ac:dyDescent="0.3">
      <c r="A296" t="s">
        <v>3383</v>
      </c>
      <c r="B296" t="s">
        <v>5294</v>
      </c>
      <c r="C296" t="s">
        <v>5470</v>
      </c>
      <c r="D296" t="s">
        <v>4119</v>
      </c>
      <c r="E296" t="s">
        <v>5756</v>
      </c>
      <c r="F296" t="s">
        <v>6196</v>
      </c>
      <c r="G296" t="s">
        <v>6283</v>
      </c>
      <c r="H296" t="s">
        <v>5474</v>
      </c>
      <c r="I296" t="s">
        <v>6284</v>
      </c>
      <c r="J296" t="s">
        <v>5484</v>
      </c>
      <c r="K296" t="s">
        <v>5471</v>
      </c>
      <c r="L296" t="s">
        <v>5471</v>
      </c>
      <c r="M296" t="s">
        <v>5471</v>
      </c>
    </row>
    <row r="297" spans="1:13" x14ac:dyDescent="0.3">
      <c r="A297" t="s">
        <v>3397</v>
      </c>
      <c r="B297" t="s">
        <v>5766</v>
      </c>
      <c r="C297" t="s">
        <v>5487</v>
      </c>
      <c r="D297" t="s">
        <v>4119</v>
      </c>
      <c r="E297" t="s">
        <v>5471</v>
      </c>
      <c r="F297" t="s">
        <v>6285</v>
      </c>
      <c r="G297" t="s">
        <v>6168</v>
      </c>
      <c r="H297" t="s">
        <v>5474</v>
      </c>
      <c r="I297" t="s">
        <v>6286</v>
      </c>
      <c r="J297" t="s">
        <v>5476</v>
      </c>
      <c r="K297" t="s">
        <v>5471</v>
      </c>
      <c r="L297" t="s">
        <v>5471</v>
      </c>
      <c r="M297" t="s">
        <v>5471</v>
      </c>
    </row>
    <row r="298" spans="1:13" x14ac:dyDescent="0.3">
      <c r="A298" t="s">
        <v>3383</v>
      </c>
      <c r="B298" t="s">
        <v>6051</v>
      </c>
      <c r="C298" t="s">
        <v>5470</v>
      </c>
      <c r="D298" t="s">
        <v>4119</v>
      </c>
      <c r="E298" t="s">
        <v>5756</v>
      </c>
      <c r="F298" t="s">
        <v>6196</v>
      </c>
      <c r="G298" t="s">
        <v>6283</v>
      </c>
      <c r="H298" t="s">
        <v>5474</v>
      </c>
      <c r="I298" t="s">
        <v>6287</v>
      </c>
      <c r="J298" t="s">
        <v>5476</v>
      </c>
      <c r="K298" t="s">
        <v>5471</v>
      </c>
      <c r="L298" t="s">
        <v>5471</v>
      </c>
      <c r="M298" t="s">
        <v>5471</v>
      </c>
    </row>
    <row r="299" spans="1:13" x14ac:dyDescent="0.3">
      <c r="A299" t="s">
        <v>3383</v>
      </c>
      <c r="B299" t="s">
        <v>6051</v>
      </c>
      <c r="C299" t="s">
        <v>5470</v>
      </c>
      <c r="D299" t="s">
        <v>4119</v>
      </c>
      <c r="E299" t="s">
        <v>5756</v>
      </c>
      <c r="F299" t="s">
        <v>6196</v>
      </c>
      <c r="G299" t="s">
        <v>6204</v>
      </c>
      <c r="H299" t="s">
        <v>5474</v>
      </c>
      <c r="I299" t="s">
        <v>6288</v>
      </c>
      <c r="J299" t="s">
        <v>5484</v>
      </c>
      <c r="K299" t="s">
        <v>5471</v>
      </c>
      <c r="L299" t="s">
        <v>5471</v>
      </c>
      <c r="M299" t="s">
        <v>5471</v>
      </c>
    </row>
    <row r="300" spans="1:13" x14ac:dyDescent="0.3">
      <c r="A300" t="s">
        <v>3383</v>
      </c>
      <c r="B300" t="s">
        <v>6178</v>
      </c>
      <c r="C300" t="s">
        <v>5470</v>
      </c>
      <c r="D300" t="s">
        <v>4119</v>
      </c>
      <c r="E300" t="s">
        <v>5471</v>
      </c>
      <c r="F300" t="s">
        <v>6196</v>
      </c>
      <c r="G300" t="s">
        <v>6289</v>
      </c>
      <c r="H300" t="s">
        <v>5474</v>
      </c>
      <c r="I300" t="s">
        <v>6290</v>
      </c>
      <c r="J300" t="s">
        <v>5476</v>
      </c>
      <c r="K300" t="s">
        <v>5471</v>
      </c>
      <c r="L300" t="s">
        <v>5471</v>
      </c>
      <c r="M300" t="s">
        <v>5471</v>
      </c>
    </row>
    <row r="301" spans="1:13" x14ac:dyDescent="0.3">
      <c r="A301" t="s">
        <v>3383</v>
      </c>
      <c r="B301" t="s">
        <v>5332</v>
      </c>
      <c r="C301" t="s">
        <v>5470</v>
      </c>
      <c r="D301" t="s">
        <v>4119</v>
      </c>
      <c r="E301" t="s">
        <v>5756</v>
      </c>
      <c r="F301" t="s">
        <v>6196</v>
      </c>
      <c r="G301" t="s">
        <v>6291</v>
      </c>
      <c r="H301" t="s">
        <v>5474</v>
      </c>
      <c r="I301" t="s">
        <v>6292</v>
      </c>
      <c r="J301" t="s">
        <v>5476</v>
      </c>
      <c r="K301" t="s">
        <v>5471</v>
      </c>
      <c r="L301" t="s">
        <v>5471</v>
      </c>
      <c r="M301" t="s">
        <v>5471</v>
      </c>
    </row>
    <row r="302" spans="1:13" x14ac:dyDescent="0.3">
      <c r="A302" t="s">
        <v>3383</v>
      </c>
      <c r="B302" t="s">
        <v>5952</v>
      </c>
      <c r="C302" t="s">
        <v>5470</v>
      </c>
      <c r="D302" t="s">
        <v>4119</v>
      </c>
      <c r="E302" t="s">
        <v>5756</v>
      </c>
      <c r="F302" t="s">
        <v>6196</v>
      </c>
      <c r="G302" t="s">
        <v>6293</v>
      </c>
      <c r="H302" t="s">
        <v>5474</v>
      </c>
      <c r="I302" t="s">
        <v>6294</v>
      </c>
      <c r="J302" t="s">
        <v>5476</v>
      </c>
      <c r="K302" t="s">
        <v>5471</v>
      </c>
      <c r="L302" t="s">
        <v>5471</v>
      </c>
      <c r="M302" t="s">
        <v>5471</v>
      </c>
    </row>
    <row r="303" spans="1:13" x14ac:dyDescent="0.3">
      <c r="A303" t="s">
        <v>3383</v>
      </c>
      <c r="B303" t="s">
        <v>5332</v>
      </c>
      <c r="C303" t="s">
        <v>5470</v>
      </c>
      <c r="D303" t="s">
        <v>4119</v>
      </c>
      <c r="E303" t="s">
        <v>5756</v>
      </c>
      <c r="F303" t="s">
        <v>6196</v>
      </c>
      <c r="G303" t="s">
        <v>6295</v>
      </c>
      <c r="H303" t="s">
        <v>5474</v>
      </c>
      <c r="I303" t="s">
        <v>6296</v>
      </c>
      <c r="J303" t="s">
        <v>5484</v>
      </c>
      <c r="K303" t="s">
        <v>5471</v>
      </c>
      <c r="L303" t="s">
        <v>5471</v>
      </c>
      <c r="M303" t="s">
        <v>5471</v>
      </c>
    </row>
    <row r="304" spans="1:13" x14ac:dyDescent="0.3">
      <c r="A304" t="s">
        <v>3383</v>
      </c>
      <c r="B304" t="s">
        <v>6063</v>
      </c>
      <c r="C304" t="s">
        <v>5470</v>
      </c>
      <c r="D304" t="s">
        <v>4119</v>
      </c>
      <c r="E304" t="s">
        <v>5756</v>
      </c>
      <c r="F304" t="s">
        <v>6297</v>
      </c>
      <c r="G304" t="s">
        <v>6298</v>
      </c>
      <c r="H304" t="s">
        <v>5474</v>
      </c>
      <c r="I304" t="s">
        <v>6299</v>
      </c>
      <c r="J304" t="s">
        <v>5484</v>
      </c>
      <c r="K304" t="s">
        <v>5471</v>
      </c>
      <c r="L304" t="s">
        <v>5471</v>
      </c>
      <c r="M304" t="s">
        <v>5471</v>
      </c>
    </row>
    <row r="305" spans="1:13" x14ac:dyDescent="0.3">
      <c r="A305" t="s">
        <v>3383</v>
      </c>
      <c r="B305" t="s">
        <v>6083</v>
      </c>
      <c r="C305" t="s">
        <v>5487</v>
      </c>
      <c r="D305" t="s">
        <v>4119</v>
      </c>
      <c r="E305" t="s">
        <v>5532</v>
      </c>
      <c r="F305" t="s">
        <v>6300</v>
      </c>
      <c r="G305" t="s">
        <v>6301</v>
      </c>
      <c r="H305" t="s">
        <v>5474</v>
      </c>
      <c r="I305" t="s">
        <v>6302</v>
      </c>
      <c r="J305" t="s">
        <v>5476</v>
      </c>
      <c r="K305" t="s">
        <v>5471</v>
      </c>
      <c r="L305" t="s">
        <v>5471</v>
      </c>
      <c r="M305" t="s">
        <v>5471</v>
      </c>
    </row>
    <row r="306" spans="1:13" x14ac:dyDescent="0.3">
      <c r="A306" t="s">
        <v>3383</v>
      </c>
      <c r="B306" t="s">
        <v>5952</v>
      </c>
      <c r="C306" t="s">
        <v>5470</v>
      </c>
      <c r="D306" t="s">
        <v>4119</v>
      </c>
      <c r="E306" t="s">
        <v>5756</v>
      </c>
      <c r="F306" t="s">
        <v>6303</v>
      </c>
      <c r="G306" t="s">
        <v>6304</v>
      </c>
      <c r="H306" t="s">
        <v>5474</v>
      </c>
      <c r="I306" t="s">
        <v>6305</v>
      </c>
      <c r="J306" t="s">
        <v>5476</v>
      </c>
      <c r="K306" t="s">
        <v>5471</v>
      </c>
      <c r="L306" t="s">
        <v>5471</v>
      </c>
      <c r="M306" t="s">
        <v>5471</v>
      </c>
    </row>
    <row r="307" spans="1:13" x14ac:dyDescent="0.3">
      <c r="A307" t="s">
        <v>3383</v>
      </c>
      <c r="B307" t="s">
        <v>5952</v>
      </c>
      <c r="C307" t="s">
        <v>5470</v>
      </c>
      <c r="D307" t="s">
        <v>4119</v>
      </c>
      <c r="E307" t="s">
        <v>5756</v>
      </c>
      <c r="F307" t="s">
        <v>6306</v>
      </c>
      <c r="G307" t="s">
        <v>6304</v>
      </c>
      <c r="H307" t="s">
        <v>5474</v>
      </c>
      <c r="I307" t="s">
        <v>6307</v>
      </c>
      <c r="J307" t="s">
        <v>5484</v>
      </c>
      <c r="K307" t="s">
        <v>5471</v>
      </c>
      <c r="L307" t="s">
        <v>5471</v>
      </c>
      <c r="M307" t="s">
        <v>5471</v>
      </c>
    </row>
    <row r="308" spans="1:13" x14ac:dyDescent="0.3">
      <c r="A308" t="s">
        <v>3383</v>
      </c>
      <c r="B308" t="s">
        <v>5332</v>
      </c>
      <c r="C308" t="s">
        <v>5470</v>
      </c>
      <c r="D308" t="s">
        <v>4119</v>
      </c>
      <c r="E308" t="s">
        <v>5756</v>
      </c>
      <c r="F308" t="s">
        <v>6308</v>
      </c>
      <c r="G308" t="s">
        <v>6241</v>
      </c>
      <c r="H308" t="s">
        <v>5474</v>
      </c>
      <c r="I308" t="s">
        <v>6309</v>
      </c>
      <c r="J308" t="s">
        <v>5484</v>
      </c>
      <c r="K308" t="s">
        <v>5471</v>
      </c>
      <c r="L308" t="s">
        <v>5471</v>
      </c>
      <c r="M308" t="s">
        <v>5471</v>
      </c>
    </row>
    <row r="309" spans="1:13" x14ac:dyDescent="0.3">
      <c r="A309" t="s">
        <v>3397</v>
      </c>
      <c r="B309" t="s">
        <v>5347</v>
      </c>
      <c r="C309" t="s">
        <v>5487</v>
      </c>
      <c r="D309" t="s">
        <v>4119</v>
      </c>
      <c r="E309" t="s">
        <v>5595</v>
      </c>
      <c r="F309" t="s">
        <v>6310</v>
      </c>
      <c r="G309" t="s">
        <v>6311</v>
      </c>
      <c r="H309" t="s">
        <v>5474</v>
      </c>
      <c r="I309" t="s">
        <v>6312</v>
      </c>
      <c r="J309" t="s">
        <v>5476</v>
      </c>
      <c r="K309" t="s">
        <v>5471</v>
      </c>
      <c r="L309" t="s">
        <v>5471</v>
      </c>
      <c r="M309" t="s">
        <v>5471</v>
      </c>
    </row>
    <row r="310" spans="1:13" x14ac:dyDescent="0.3">
      <c r="A310" t="s">
        <v>3397</v>
      </c>
      <c r="B310" t="s">
        <v>5347</v>
      </c>
      <c r="C310" t="s">
        <v>5487</v>
      </c>
      <c r="D310" t="s">
        <v>4119</v>
      </c>
      <c r="E310" t="s">
        <v>5595</v>
      </c>
      <c r="F310" t="s">
        <v>6313</v>
      </c>
      <c r="G310" t="s">
        <v>6311</v>
      </c>
      <c r="H310" t="s">
        <v>5474</v>
      </c>
      <c r="I310" t="s">
        <v>6314</v>
      </c>
      <c r="J310" t="s">
        <v>5476</v>
      </c>
      <c r="K310" t="s">
        <v>5471</v>
      </c>
      <c r="L310" t="s">
        <v>5471</v>
      </c>
      <c r="M310" t="s">
        <v>5471</v>
      </c>
    </row>
    <row r="311" spans="1:13" x14ac:dyDescent="0.3">
      <c r="A311" t="s">
        <v>3397</v>
      </c>
      <c r="B311" t="s">
        <v>6315</v>
      </c>
      <c r="C311" t="s">
        <v>5487</v>
      </c>
      <c r="D311" t="s">
        <v>4119</v>
      </c>
      <c r="E311" t="s">
        <v>5595</v>
      </c>
      <c r="F311" t="s">
        <v>6316</v>
      </c>
      <c r="G311" t="s">
        <v>6317</v>
      </c>
      <c r="H311" t="s">
        <v>5474</v>
      </c>
      <c r="I311" t="s">
        <v>6318</v>
      </c>
      <c r="J311" t="s">
        <v>5476</v>
      </c>
      <c r="K311" t="s">
        <v>5471</v>
      </c>
      <c r="L311" t="s">
        <v>5471</v>
      </c>
      <c r="M311" t="s">
        <v>5471</v>
      </c>
    </row>
    <row r="312" spans="1:13" x14ac:dyDescent="0.3">
      <c r="A312" t="s">
        <v>3397</v>
      </c>
      <c r="B312" t="s">
        <v>6315</v>
      </c>
      <c r="C312" t="s">
        <v>5487</v>
      </c>
      <c r="D312" t="s">
        <v>4119</v>
      </c>
      <c r="E312" t="s">
        <v>5595</v>
      </c>
      <c r="F312" t="s">
        <v>6316</v>
      </c>
      <c r="G312" t="s">
        <v>6317</v>
      </c>
      <c r="H312" t="s">
        <v>5474</v>
      </c>
      <c r="I312" t="s">
        <v>6319</v>
      </c>
      <c r="J312" t="s">
        <v>5476</v>
      </c>
      <c r="K312" t="s">
        <v>5471</v>
      </c>
      <c r="L312" t="s">
        <v>5471</v>
      </c>
      <c r="M312" t="s">
        <v>5471</v>
      </c>
    </row>
    <row r="313" spans="1:13" x14ac:dyDescent="0.3">
      <c r="A313" t="s">
        <v>3397</v>
      </c>
      <c r="B313" t="s">
        <v>6315</v>
      </c>
      <c r="C313" t="s">
        <v>5487</v>
      </c>
      <c r="D313" t="s">
        <v>4119</v>
      </c>
      <c r="E313" t="s">
        <v>5595</v>
      </c>
      <c r="F313" t="s">
        <v>6316</v>
      </c>
      <c r="G313" t="s">
        <v>6317</v>
      </c>
      <c r="H313" t="s">
        <v>5474</v>
      </c>
      <c r="I313" t="s">
        <v>6320</v>
      </c>
      <c r="J313" t="s">
        <v>5476</v>
      </c>
      <c r="K313" t="s">
        <v>5471</v>
      </c>
      <c r="L313" t="s">
        <v>5471</v>
      </c>
      <c r="M313" t="s">
        <v>5471</v>
      </c>
    </row>
    <row r="314" spans="1:13" x14ac:dyDescent="0.3">
      <c r="A314" t="s">
        <v>3383</v>
      </c>
      <c r="B314" t="s">
        <v>6178</v>
      </c>
      <c r="C314" t="s">
        <v>5470</v>
      </c>
      <c r="D314" t="s">
        <v>4119</v>
      </c>
      <c r="E314" t="s">
        <v>5471</v>
      </c>
      <c r="F314" t="s">
        <v>6321</v>
      </c>
      <c r="G314" t="s">
        <v>6322</v>
      </c>
      <c r="H314" t="s">
        <v>5474</v>
      </c>
      <c r="I314" t="s">
        <v>6323</v>
      </c>
      <c r="J314" t="s">
        <v>5484</v>
      </c>
      <c r="K314" t="s">
        <v>5471</v>
      </c>
      <c r="L314" t="s">
        <v>5471</v>
      </c>
      <c r="M314" t="s">
        <v>5471</v>
      </c>
    </row>
    <row r="315" spans="1:13" x14ac:dyDescent="0.3">
      <c r="A315" t="s">
        <v>3383</v>
      </c>
      <c r="B315" t="s">
        <v>6178</v>
      </c>
      <c r="C315" t="s">
        <v>5470</v>
      </c>
      <c r="D315" t="s">
        <v>4119</v>
      </c>
      <c r="E315" t="s">
        <v>5471</v>
      </c>
      <c r="F315" t="s">
        <v>6324</v>
      </c>
      <c r="G315" t="s">
        <v>6322</v>
      </c>
      <c r="H315" t="s">
        <v>5474</v>
      </c>
      <c r="I315" t="s">
        <v>6325</v>
      </c>
      <c r="J315" t="s">
        <v>5484</v>
      </c>
      <c r="K315" t="s">
        <v>5471</v>
      </c>
      <c r="L315" t="s">
        <v>5471</v>
      </c>
      <c r="M315" t="s">
        <v>5471</v>
      </c>
    </row>
    <row r="316" spans="1:13" x14ac:dyDescent="0.3">
      <c r="A316" t="s">
        <v>3383</v>
      </c>
      <c r="B316" t="s">
        <v>6178</v>
      </c>
      <c r="C316" t="s">
        <v>5470</v>
      </c>
      <c r="D316" t="s">
        <v>4119</v>
      </c>
      <c r="E316" t="s">
        <v>5471</v>
      </c>
      <c r="F316" t="s">
        <v>6326</v>
      </c>
      <c r="G316" t="s">
        <v>6322</v>
      </c>
      <c r="H316" t="s">
        <v>5474</v>
      </c>
      <c r="I316" t="s">
        <v>6327</v>
      </c>
      <c r="J316" t="s">
        <v>5484</v>
      </c>
      <c r="K316" t="s">
        <v>5471</v>
      </c>
      <c r="L316" t="s">
        <v>5471</v>
      </c>
      <c r="M316" t="s">
        <v>5471</v>
      </c>
    </row>
    <row r="317" spans="1:13" x14ac:dyDescent="0.3">
      <c r="A317" t="s">
        <v>3383</v>
      </c>
      <c r="B317" t="s">
        <v>5278</v>
      </c>
      <c r="C317" t="s">
        <v>5470</v>
      </c>
      <c r="D317" t="s">
        <v>4119</v>
      </c>
      <c r="E317" t="s">
        <v>5532</v>
      </c>
      <c r="F317" t="s">
        <v>6328</v>
      </c>
      <c r="G317" t="s">
        <v>6329</v>
      </c>
      <c r="H317" t="s">
        <v>5474</v>
      </c>
      <c r="I317" t="s">
        <v>6330</v>
      </c>
      <c r="J317" t="s">
        <v>5476</v>
      </c>
      <c r="K317" t="s">
        <v>5471</v>
      </c>
      <c r="L317" t="s">
        <v>5471</v>
      </c>
      <c r="M317" t="s">
        <v>5471</v>
      </c>
    </row>
    <row r="318" spans="1:13" x14ac:dyDescent="0.3">
      <c r="A318" t="s">
        <v>3397</v>
      </c>
      <c r="B318" t="s">
        <v>6331</v>
      </c>
      <c r="C318" t="s">
        <v>5487</v>
      </c>
      <c r="D318" t="s">
        <v>4119</v>
      </c>
      <c r="E318" t="s">
        <v>6332</v>
      </c>
      <c r="F318" t="s">
        <v>6333</v>
      </c>
      <c r="G318" t="s">
        <v>6334</v>
      </c>
      <c r="H318" t="s">
        <v>5474</v>
      </c>
      <c r="I318" t="s">
        <v>6335</v>
      </c>
      <c r="J318" t="s">
        <v>5476</v>
      </c>
      <c r="K318" t="s">
        <v>5471</v>
      </c>
      <c r="L318" t="s">
        <v>5471</v>
      </c>
      <c r="M318" t="s">
        <v>5471</v>
      </c>
    </row>
    <row r="319" spans="1:13" x14ac:dyDescent="0.3">
      <c r="A319" t="s">
        <v>3383</v>
      </c>
      <c r="B319" t="s">
        <v>5294</v>
      </c>
      <c r="C319" t="s">
        <v>5470</v>
      </c>
      <c r="D319" t="s">
        <v>4119</v>
      </c>
      <c r="E319" t="s">
        <v>5532</v>
      </c>
      <c r="F319" t="s">
        <v>6336</v>
      </c>
      <c r="G319" t="s">
        <v>6337</v>
      </c>
      <c r="H319" t="s">
        <v>5474</v>
      </c>
      <c r="I319" t="s">
        <v>6338</v>
      </c>
      <c r="J319" t="s">
        <v>5484</v>
      </c>
      <c r="K319" t="s">
        <v>5471</v>
      </c>
      <c r="L319" t="s">
        <v>5471</v>
      </c>
      <c r="M319" t="s">
        <v>5471</v>
      </c>
    </row>
    <row r="320" spans="1:13" x14ac:dyDescent="0.3">
      <c r="A320" t="s">
        <v>3383</v>
      </c>
      <c r="B320" t="s">
        <v>5294</v>
      </c>
      <c r="C320" t="s">
        <v>5470</v>
      </c>
      <c r="D320" t="s">
        <v>4119</v>
      </c>
      <c r="E320" t="s">
        <v>5532</v>
      </c>
      <c r="F320" t="s">
        <v>6339</v>
      </c>
      <c r="G320" t="s">
        <v>6337</v>
      </c>
      <c r="H320" t="s">
        <v>5474</v>
      </c>
      <c r="I320" t="s">
        <v>6340</v>
      </c>
      <c r="J320" t="s">
        <v>5484</v>
      </c>
      <c r="K320" t="s">
        <v>5471</v>
      </c>
      <c r="L320" t="s">
        <v>5471</v>
      </c>
      <c r="M320" t="s">
        <v>5471</v>
      </c>
    </row>
    <row r="321" spans="1:13" x14ac:dyDescent="0.3">
      <c r="A321" t="s">
        <v>3397</v>
      </c>
      <c r="B321" t="s">
        <v>6341</v>
      </c>
      <c r="C321" t="s">
        <v>6342</v>
      </c>
      <c r="D321" t="s">
        <v>4119</v>
      </c>
      <c r="E321" t="s">
        <v>5471</v>
      </c>
      <c r="F321" t="s">
        <v>6343</v>
      </c>
      <c r="G321" t="s">
        <v>6344</v>
      </c>
      <c r="H321" t="s">
        <v>5474</v>
      </c>
      <c r="I321" t="s">
        <v>6345</v>
      </c>
      <c r="J321" t="s">
        <v>5476</v>
      </c>
      <c r="K321" t="s">
        <v>5471</v>
      </c>
      <c r="L321" t="s">
        <v>5471</v>
      </c>
      <c r="M321" t="s">
        <v>5471</v>
      </c>
    </row>
    <row r="322" spans="1:13" x14ac:dyDescent="0.3">
      <c r="A322" t="s">
        <v>3397</v>
      </c>
      <c r="B322" t="s">
        <v>6341</v>
      </c>
      <c r="C322" t="s">
        <v>6342</v>
      </c>
      <c r="D322" t="s">
        <v>4119</v>
      </c>
      <c r="E322" t="s">
        <v>5471</v>
      </c>
      <c r="F322" t="s">
        <v>6346</v>
      </c>
      <c r="G322" t="s">
        <v>6347</v>
      </c>
      <c r="H322" t="s">
        <v>5474</v>
      </c>
      <c r="I322" t="s">
        <v>6348</v>
      </c>
      <c r="J322" t="s">
        <v>5476</v>
      </c>
      <c r="K322" t="s">
        <v>5471</v>
      </c>
      <c r="L322" t="s">
        <v>5471</v>
      </c>
      <c r="M322" t="s">
        <v>5471</v>
      </c>
    </row>
    <row r="323" spans="1:13" x14ac:dyDescent="0.3">
      <c r="A323" t="s">
        <v>3383</v>
      </c>
      <c r="B323" t="s">
        <v>5294</v>
      </c>
      <c r="C323" t="s">
        <v>5470</v>
      </c>
      <c r="D323" t="s">
        <v>4119</v>
      </c>
      <c r="E323" t="s">
        <v>5532</v>
      </c>
      <c r="F323" t="s">
        <v>6349</v>
      </c>
      <c r="G323" t="s">
        <v>6337</v>
      </c>
      <c r="H323" t="s">
        <v>5474</v>
      </c>
      <c r="I323" t="s">
        <v>6350</v>
      </c>
      <c r="J323" t="s">
        <v>5484</v>
      </c>
      <c r="K323" t="s">
        <v>5471</v>
      </c>
      <c r="L323" t="s">
        <v>5471</v>
      </c>
      <c r="M323" t="s">
        <v>5471</v>
      </c>
    </row>
    <row r="324" spans="1:13" x14ac:dyDescent="0.3">
      <c r="A324" t="s">
        <v>3383</v>
      </c>
      <c r="B324" t="s">
        <v>6051</v>
      </c>
      <c r="C324" t="s">
        <v>5470</v>
      </c>
      <c r="D324" t="s">
        <v>4119</v>
      </c>
      <c r="E324" t="s">
        <v>5756</v>
      </c>
      <c r="F324" t="s">
        <v>6351</v>
      </c>
      <c r="G324" t="s">
        <v>6197</v>
      </c>
      <c r="H324" t="s">
        <v>5474</v>
      </c>
      <c r="I324" t="s">
        <v>6352</v>
      </c>
      <c r="J324" t="s">
        <v>5484</v>
      </c>
      <c r="K324" t="s">
        <v>5471</v>
      </c>
      <c r="L324" t="s">
        <v>5471</v>
      </c>
      <c r="M324" t="s">
        <v>5471</v>
      </c>
    </row>
    <row r="325" spans="1:13" x14ac:dyDescent="0.3">
      <c r="A325" t="s">
        <v>3383</v>
      </c>
      <c r="B325" t="s">
        <v>6051</v>
      </c>
      <c r="C325" t="s">
        <v>5470</v>
      </c>
      <c r="D325" t="s">
        <v>4119</v>
      </c>
      <c r="E325" t="s">
        <v>5756</v>
      </c>
      <c r="F325" t="s">
        <v>6353</v>
      </c>
      <c r="G325" t="s">
        <v>6197</v>
      </c>
      <c r="H325" t="s">
        <v>5474</v>
      </c>
      <c r="I325" t="s">
        <v>6354</v>
      </c>
      <c r="J325" t="s">
        <v>5484</v>
      </c>
      <c r="K325" t="s">
        <v>5471</v>
      </c>
      <c r="L325" t="s">
        <v>5471</v>
      </c>
      <c r="M325" t="s">
        <v>5471</v>
      </c>
    </row>
    <row r="326" spans="1:13" x14ac:dyDescent="0.3">
      <c r="A326" t="s">
        <v>3383</v>
      </c>
      <c r="B326" t="s">
        <v>6051</v>
      </c>
      <c r="C326" t="s">
        <v>5470</v>
      </c>
      <c r="D326" t="s">
        <v>4119</v>
      </c>
      <c r="E326" t="s">
        <v>5756</v>
      </c>
      <c r="F326" t="s">
        <v>6355</v>
      </c>
      <c r="G326" t="s">
        <v>6356</v>
      </c>
      <c r="H326" t="s">
        <v>5474</v>
      </c>
      <c r="I326" t="s">
        <v>6357</v>
      </c>
      <c r="J326" t="s">
        <v>5476</v>
      </c>
      <c r="K326" t="s">
        <v>5471</v>
      </c>
      <c r="L326" t="s">
        <v>5471</v>
      </c>
      <c r="M326" t="s">
        <v>5471</v>
      </c>
    </row>
    <row r="327" spans="1:13" x14ac:dyDescent="0.3">
      <c r="A327" t="s">
        <v>3383</v>
      </c>
      <c r="B327" t="s">
        <v>6051</v>
      </c>
      <c r="C327" t="s">
        <v>5470</v>
      </c>
      <c r="D327" t="s">
        <v>4119</v>
      </c>
      <c r="E327" t="s">
        <v>5756</v>
      </c>
      <c r="F327" t="s">
        <v>6358</v>
      </c>
      <c r="G327" t="s">
        <v>6197</v>
      </c>
      <c r="H327" t="s">
        <v>5474</v>
      </c>
      <c r="I327" t="s">
        <v>6359</v>
      </c>
      <c r="J327" t="s">
        <v>5484</v>
      </c>
      <c r="K327" t="s">
        <v>5471</v>
      </c>
      <c r="L327" t="s">
        <v>5471</v>
      </c>
      <c r="M327" t="s">
        <v>5471</v>
      </c>
    </row>
    <row r="328" spans="1:13" x14ac:dyDescent="0.3">
      <c r="A328" t="s">
        <v>3383</v>
      </c>
      <c r="B328" t="s">
        <v>6051</v>
      </c>
      <c r="C328" t="s">
        <v>5470</v>
      </c>
      <c r="D328" t="s">
        <v>4119</v>
      </c>
      <c r="E328" t="s">
        <v>5756</v>
      </c>
      <c r="F328" t="s">
        <v>6360</v>
      </c>
      <c r="G328" t="s">
        <v>6197</v>
      </c>
      <c r="H328" t="s">
        <v>5474</v>
      </c>
      <c r="I328" t="s">
        <v>6361</v>
      </c>
      <c r="J328" t="s">
        <v>5476</v>
      </c>
      <c r="K328" t="s">
        <v>5471</v>
      </c>
      <c r="L328" t="s">
        <v>5471</v>
      </c>
      <c r="M328" t="s">
        <v>5471</v>
      </c>
    </row>
    <row r="329" spans="1:13" x14ac:dyDescent="0.3">
      <c r="A329" t="s">
        <v>3383</v>
      </c>
      <c r="B329" t="s">
        <v>6051</v>
      </c>
      <c r="C329" t="s">
        <v>5470</v>
      </c>
      <c r="D329" t="s">
        <v>4119</v>
      </c>
      <c r="E329" t="s">
        <v>5756</v>
      </c>
      <c r="F329" t="s">
        <v>6362</v>
      </c>
      <c r="G329" t="s">
        <v>6197</v>
      </c>
      <c r="H329" t="s">
        <v>5474</v>
      </c>
      <c r="I329" t="s">
        <v>6363</v>
      </c>
      <c r="J329" t="s">
        <v>5484</v>
      </c>
      <c r="K329" t="s">
        <v>5471</v>
      </c>
      <c r="L329" t="s">
        <v>5471</v>
      </c>
      <c r="M329" t="s">
        <v>5471</v>
      </c>
    </row>
    <row r="330" spans="1:13" x14ac:dyDescent="0.3">
      <c r="A330" t="s">
        <v>3383</v>
      </c>
      <c r="B330" t="s">
        <v>5294</v>
      </c>
      <c r="C330" t="s">
        <v>5470</v>
      </c>
      <c r="D330" t="s">
        <v>4119</v>
      </c>
      <c r="E330" t="s">
        <v>5756</v>
      </c>
      <c r="F330" t="s">
        <v>6364</v>
      </c>
      <c r="G330" t="s">
        <v>6199</v>
      </c>
      <c r="H330" t="s">
        <v>5474</v>
      </c>
      <c r="I330" t="s">
        <v>6365</v>
      </c>
      <c r="J330" t="s">
        <v>5484</v>
      </c>
      <c r="K330" t="s">
        <v>5471</v>
      </c>
      <c r="L330" t="s">
        <v>5471</v>
      </c>
      <c r="M330" t="s">
        <v>5471</v>
      </c>
    </row>
    <row r="331" spans="1:13" x14ac:dyDescent="0.3">
      <c r="A331" t="s">
        <v>3383</v>
      </c>
      <c r="B331" t="s">
        <v>5294</v>
      </c>
      <c r="C331" t="s">
        <v>5470</v>
      </c>
      <c r="D331" t="s">
        <v>4119</v>
      </c>
      <c r="E331" t="s">
        <v>5756</v>
      </c>
      <c r="F331" t="s">
        <v>6366</v>
      </c>
      <c r="G331" t="s">
        <v>6199</v>
      </c>
      <c r="H331" t="s">
        <v>5474</v>
      </c>
      <c r="I331" t="s">
        <v>6367</v>
      </c>
      <c r="J331" t="s">
        <v>5476</v>
      </c>
      <c r="K331" t="s">
        <v>5471</v>
      </c>
      <c r="L331" t="s">
        <v>5471</v>
      </c>
      <c r="M331" t="s">
        <v>5471</v>
      </c>
    </row>
    <row r="332" spans="1:13" x14ac:dyDescent="0.3">
      <c r="A332" t="s">
        <v>3383</v>
      </c>
      <c r="B332" t="s">
        <v>5952</v>
      </c>
      <c r="C332" t="s">
        <v>5470</v>
      </c>
      <c r="D332" t="s">
        <v>4119</v>
      </c>
      <c r="E332" t="s">
        <v>5756</v>
      </c>
      <c r="F332" t="s">
        <v>6368</v>
      </c>
      <c r="G332" t="s">
        <v>6369</v>
      </c>
      <c r="H332" t="s">
        <v>5474</v>
      </c>
      <c r="I332" t="s">
        <v>6370</v>
      </c>
      <c r="J332" t="s">
        <v>5484</v>
      </c>
      <c r="K332" t="s">
        <v>5471</v>
      </c>
      <c r="L332" t="s">
        <v>5471</v>
      </c>
      <c r="M332" t="s">
        <v>5471</v>
      </c>
    </row>
    <row r="333" spans="1:13" x14ac:dyDescent="0.3">
      <c r="A333" t="s">
        <v>3383</v>
      </c>
      <c r="B333" t="s">
        <v>6178</v>
      </c>
      <c r="C333" t="s">
        <v>5470</v>
      </c>
      <c r="D333" t="s">
        <v>4119</v>
      </c>
      <c r="E333" t="s">
        <v>5471</v>
      </c>
      <c r="F333" t="s">
        <v>6371</v>
      </c>
      <c r="G333" t="s">
        <v>6372</v>
      </c>
      <c r="H333" t="s">
        <v>5474</v>
      </c>
      <c r="I333" t="s">
        <v>6373</v>
      </c>
      <c r="J333" t="s">
        <v>5484</v>
      </c>
      <c r="K333" t="s">
        <v>5471</v>
      </c>
      <c r="L333" t="s">
        <v>5471</v>
      </c>
      <c r="M333" t="s">
        <v>5471</v>
      </c>
    </row>
    <row r="334" spans="1:13" x14ac:dyDescent="0.3">
      <c r="A334" t="s">
        <v>3383</v>
      </c>
      <c r="B334" t="s">
        <v>6178</v>
      </c>
      <c r="C334" t="s">
        <v>5470</v>
      </c>
      <c r="D334" t="s">
        <v>4119</v>
      </c>
      <c r="E334" t="s">
        <v>5471</v>
      </c>
      <c r="F334" t="s">
        <v>6374</v>
      </c>
      <c r="G334" t="s">
        <v>6372</v>
      </c>
      <c r="H334" t="s">
        <v>5474</v>
      </c>
      <c r="I334" t="s">
        <v>6375</v>
      </c>
      <c r="J334" t="s">
        <v>5484</v>
      </c>
      <c r="K334" t="s">
        <v>5471</v>
      </c>
      <c r="L334" t="s">
        <v>5471</v>
      </c>
      <c r="M334" t="s">
        <v>5471</v>
      </c>
    </row>
    <row r="335" spans="1:13" x14ac:dyDescent="0.3">
      <c r="A335" t="s">
        <v>3383</v>
      </c>
      <c r="B335" t="s">
        <v>6178</v>
      </c>
      <c r="C335" t="s">
        <v>5470</v>
      </c>
      <c r="D335" t="s">
        <v>4119</v>
      </c>
      <c r="E335" t="s">
        <v>5471</v>
      </c>
      <c r="F335" t="s">
        <v>6376</v>
      </c>
      <c r="G335" t="s">
        <v>6372</v>
      </c>
      <c r="H335" t="s">
        <v>5474</v>
      </c>
      <c r="I335" t="s">
        <v>6377</v>
      </c>
      <c r="J335" t="s">
        <v>5484</v>
      </c>
      <c r="K335" t="s">
        <v>5471</v>
      </c>
      <c r="L335" t="s">
        <v>5471</v>
      </c>
      <c r="M335" t="s">
        <v>5471</v>
      </c>
    </row>
    <row r="336" spans="1:13" x14ac:dyDescent="0.3">
      <c r="A336" t="s">
        <v>3383</v>
      </c>
      <c r="B336" t="s">
        <v>6178</v>
      </c>
      <c r="C336" t="s">
        <v>5470</v>
      </c>
      <c r="D336" t="s">
        <v>4119</v>
      </c>
      <c r="E336" t="s">
        <v>5471</v>
      </c>
      <c r="F336" t="s">
        <v>6378</v>
      </c>
      <c r="G336" t="s">
        <v>6379</v>
      </c>
      <c r="H336" t="s">
        <v>5474</v>
      </c>
      <c r="I336" t="s">
        <v>6380</v>
      </c>
      <c r="J336" t="s">
        <v>5484</v>
      </c>
      <c r="K336" t="s">
        <v>5471</v>
      </c>
      <c r="L336" t="s">
        <v>5471</v>
      </c>
      <c r="M336" t="s">
        <v>5471</v>
      </c>
    </row>
    <row r="337" spans="1:13" x14ac:dyDescent="0.3">
      <c r="A337" t="s">
        <v>3383</v>
      </c>
      <c r="B337" t="s">
        <v>6178</v>
      </c>
      <c r="C337" t="s">
        <v>5470</v>
      </c>
      <c r="D337" t="s">
        <v>4119</v>
      </c>
      <c r="E337" t="s">
        <v>5471</v>
      </c>
      <c r="F337" t="s">
        <v>6381</v>
      </c>
      <c r="G337" t="s">
        <v>6379</v>
      </c>
      <c r="H337" t="s">
        <v>5474</v>
      </c>
      <c r="I337" t="s">
        <v>6382</v>
      </c>
      <c r="J337" t="s">
        <v>5484</v>
      </c>
      <c r="K337" t="s">
        <v>5471</v>
      </c>
      <c r="L337" t="s">
        <v>5471</v>
      </c>
      <c r="M337" t="s">
        <v>5471</v>
      </c>
    </row>
    <row r="338" spans="1:13" x14ac:dyDescent="0.3">
      <c r="A338" t="s">
        <v>3383</v>
      </c>
      <c r="B338" t="s">
        <v>6178</v>
      </c>
      <c r="C338" t="s">
        <v>5470</v>
      </c>
      <c r="D338" t="s">
        <v>4119</v>
      </c>
      <c r="E338" t="s">
        <v>5471</v>
      </c>
      <c r="F338" t="s">
        <v>6383</v>
      </c>
      <c r="G338" t="s">
        <v>6379</v>
      </c>
      <c r="H338" t="s">
        <v>5474</v>
      </c>
      <c r="I338" t="s">
        <v>6384</v>
      </c>
      <c r="J338" t="s">
        <v>5484</v>
      </c>
      <c r="K338" t="s">
        <v>5471</v>
      </c>
      <c r="L338" t="s">
        <v>5471</v>
      </c>
      <c r="M338" t="s">
        <v>5471</v>
      </c>
    </row>
    <row r="339" spans="1:13" x14ac:dyDescent="0.3">
      <c r="A339" t="s">
        <v>3383</v>
      </c>
      <c r="B339" t="s">
        <v>5952</v>
      </c>
      <c r="C339" t="s">
        <v>5470</v>
      </c>
      <c r="D339" t="s">
        <v>4119</v>
      </c>
      <c r="E339" t="s">
        <v>5756</v>
      </c>
      <c r="F339" t="s">
        <v>6385</v>
      </c>
      <c r="G339" t="s">
        <v>5960</v>
      </c>
      <c r="H339" t="s">
        <v>5474</v>
      </c>
      <c r="I339" t="s">
        <v>6386</v>
      </c>
      <c r="J339" t="s">
        <v>5484</v>
      </c>
      <c r="K339" t="s">
        <v>5471</v>
      </c>
      <c r="L339" t="s">
        <v>5471</v>
      </c>
      <c r="M339" t="s">
        <v>5471</v>
      </c>
    </row>
    <row r="340" spans="1:13" x14ac:dyDescent="0.3">
      <c r="A340" t="s">
        <v>3383</v>
      </c>
      <c r="B340" t="s">
        <v>5952</v>
      </c>
      <c r="C340" t="s">
        <v>5470</v>
      </c>
      <c r="D340" t="s">
        <v>4119</v>
      </c>
      <c r="E340" t="s">
        <v>5756</v>
      </c>
      <c r="F340" t="s">
        <v>6387</v>
      </c>
      <c r="G340" t="s">
        <v>5960</v>
      </c>
      <c r="H340" t="s">
        <v>5474</v>
      </c>
      <c r="I340" t="s">
        <v>6388</v>
      </c>
      <c r="J340" t="s">
        <v>5484</v>
      </c>
      <c r="K340" t="s">
        <v>5471</v>
      </c>
      <c r="L340" t="s">
        <v>5471</v>
      </c>
      <c r="M340" t="s">
        <v>5471</v>
      </c>
    </row>
    <row r="341" spans="1:13" x14ac:dyDescent="0.3">
      <c r="A341" t="s">
        <v>3383</v>
      </c>
      <c r="B341" t="s">
        <v>6178</v>
      </c>
      <c r="C341" t="s">
        <v>5470</v>
      </c>
      <c r="D341" t="s">
        <v>4119</v>
      </c>
      <c r="E341" t="s">
        <v>5471</v>
      </c>
      <c r="F341" t="s">
        <v>6389</v>
      </c>
      <c r="G341" t="s">
        <v>6390</v>
      </c>
      <c r="H341" t="s">
        <v>5474</v>
      </c>
      <c r="I341" t="s">
        <v>6391</v>
      </c>
      <c r="J341" t="s">
        <v>5484</v>
      </c>
      <c r="K341" t="s">
        <v>5471</v>
      </c>
      <c r="L341" t="s">
        <v>5471</v>
      </c>
      <c r="M341" t="s">
        <v>5471</v>
      </c>
    </row>
    <row r="342" spans="1:13" x14ac:dyDescent="0.3">
      <c r="A342" t="s">
        <v>3383</v>
      </c>
      <c r="B342" t="s">
        <v>6178</v>
      </c>
      <c r="C342" t="s">
        <v>5470</v>
      </c>
      <c r="D342" t="s">
        <v>4119</v>
      </c>
      <c r="E342" t="s">
        <v>5471</v>
      </c>
      <c r="F342" t="s">
        <v>6392</v>
      </c>
      <c r="G342" t="s">
        <v>6390</v>
      </c>
      <c r="H342" t="s">
        <v>5474</v>
      </c>
      <c r="I342" t="s">
        <v>6393</v>
      </c>
      <c r="J342" t="s">
        <v>5484</v>
      </c>
      <c r="K342" t="s">
        <v>5471</v>
      </c>
      <c r="L342" t="s">
        <v>5471</v>
      </c>
      <c r="M342" t="s">
        <v>5471</v>
      </c>
    </row>
    <row r="343" spans="1:13" x14ac:dyDescent="0.3">
      <c r="A343" t="s">
        <v>3383</v>
      </c>
      <c r="B343" t="s">
        <v>6178</v>
      </c>
      <c r="C343" t="s">
        <v>5470</v>
      </c>
      <c r="D343" t="s">
        <v>4119</v>
      </c>
      <c r="E343" t="s">
        <v>5471</v>
      </c>
      <c r="F343" t="s">
        <v>6394</v>
      </c>
      <c r="G343" t="s">
        <v>6390</v>
      </c>
      <c r="H343" t="s">
        <v>5474</v>
      </c>
      <c r="I343" t="s">
        <v>6395</v>
      </c>
      <c r="J343" t="s">
        <v>5484</v>
      </c>
      <c r="K343" t="s">
        <v>5471</v>
      </c>
      <c r="L343" t="s">
        <v>5471</v>
      </c>
      <c r="M343" t="s">
        <v>5471</v>
      </c>
    </row>
    <row r="344" spans="1:13" x14ac:dyDescent="0.3">
      <c r="A344" t="s">
        <v>3383</v>
      </c>
      <c r="B344" t="s">
        <v>6178</v>
      </c>
      <c r="C344" t="s">
        <v>5470</v>
      </c>
      <c r="D344" t="s">
        <v>4119</v>
      </c>
      <c r="E344" t="s">
        <v>5471</v>
      </c>
      <c r="F344" t="s">
        <v>6396</v>
      </c>
      <c r="G344" t="s">
        <v>6390</v>
      </c>
      <c r="H344" t="s">
        <v>5474</v>
      </c>
      <c r="I344" t="s">
        <v>6397</v>
      </c>
      <c r="J344" t="s">
        <v>5484</v>
      </c>
      <c r="K344" t="s">
        <v>5471</v>
      </c>
      <c r="L344" t="s">
        <v>5471</v>
      </c>
      <c r="M344" t="s">
        <v>5471</v>
      </c>
    </row>
    <row r="345" spans="1:13" x14ac:dyDescent="0.3">
      <c r="A345" t="s">
        <v>3383</v>
      </c>
      <c r="B345" t="s">
        <v>6178</v>
      </c>
      <c r="C345" t="s">
        <v>5470</v>
      </c>
      <c r="D345" t="s">
        <v>4119</v>
      </c>
      <c r="E345" t="s">
        <v>5471</v>
      </c>
      <c r="F345" t="s">
        <v>6398</v>
      </c>
      <c r="G345" t="s">
        <v>6390</v>
      </c>
      <c r="H345" t="s">
        <v>5474</v>
      </c>
      <c r="I345" t="s">
        <v>6399</v>
      </c>
      <c r="J345" t="s">
        <v>5484</v>
      </c>
      <c r="K345" t="s">
        <v>5471</v>
      </c>
      <c r="L345" t="s">
        <v>5471</v>
      </c>
      <c r="M345" t="s">
        <v>5471</v>
      </c>
    </row>
    <row r="346" spans="1:13" x14ac:dyDescent="0.3">
      <c r="A346" t="s">
        <v>3388</v>
      </c>
      <c r="B346" t="s">
        <v>6400</v>
      </c>
      <c r="C346" t="s">
        <v>5470</v>
      </c>
      <c r="D346" t="s">
        <v>4119</v>
      </c>
      <c r="E346" t="s">
        <v>5471</v>
      </c>
      <c r="F346" t="s">
        <v>6401</v>
      </c>
      <c r="G346" t="s">
        <v>6402</v>
      </c>
      <c r="H346" t="s">
        <v>5474</v>
      </c>
      <c r="I346" t="s">
        <v>6403</v>
      </c>
      <c r="J346" t="s">
        <v>5476</v>
      </c>
      <c r="K346" t="s">
        <v>5471</v>
      </c>
      <c r="L346" t="s">
        <v>5471</v>
      </c>
      <c r="M346" t="s">
        <v>5471</v>
      </c>
    </row>
    <row r="347" spans="1:13" x14ac:dyDescent="0.3">
      <c r="A347" t="s">
        <v>3383</v>
      </c>
      <c r="B347" t="s">
        <v>5952</v>
      </c>
      <c r="C347" t="s">
        <v>5470</v>
      </c>
      <c r="D347" t="s">
        <v>4119</v>
      </c>
      <c r="E347" t="s">
        <v>5756</v>
      </c>
      <c r="F347" t="s">
        <v>6236</v>
      </c>
      <c r="G347" t="s">
        <v>6244</v>
      </c>
      <c r="H347" t="s">
        <v>5474</v>
      </c>
      <c r="I347" t="s">
        <v>6404</v>
      </c>
      <c r="J347" t="s">
        <v>5476</v>
      </c>
      <c r="K347" t="s">
        <v>5471</v>
      </c>
      <c r="L347" t="s">
        <v>5471</v>
      </c>
      <c r="M347" t="s">
        <v>5471</v>
      </c>
    </row>
    <row r="348" spans="1:13" x14ac:dyDescent="0.3">
      <c r="A348" t="s">
        <v>3383</v>
      </c>
      <c r="B348" t="s">
        <v>6051</v>
      </c>
      <c r="C348" t="s">
        <v>5470</v>
      </c>
      <c r="D348" t="s">
        <v>4119</v>
      </c>
      <c r="E348" t="s">
        <v>5756</v>
      </c>
      <c r="F348" t="s">
        <v>6236</v>
      </c>
      <c r="G348" t="s">
        <v>6405</v>
      </c>
      <c r="H348" t="s">
        <v>5474</v>
      </c>
      <c r="I348" t="s">
        <v>6406</v>
      </c>
      <c r="J348" t="s">
        <v>5476</v>
      </c>
      <c r="K348" t="s">
        <v>5471</v>
      </c>
      <c r="L348" t="s">
        <v>5471</v>
      </c>
      <c r="M348" t="s">
        <v>5471</v>
      </c>
    </row>
    <row r="349" spans="1:13" x14ac:dyDescent="0.3">
      <c r="A349" t="s">
        <v>3383</v>
      </c>
      <c r="B349" t="s">
        <v>5294</v>
      </c>
      <c r="C349" t="s">
        <v>5470</v>
      </c>
      <c r="D349" t="s">
        <v>4119</v>
      </c>
      <c r="E349" t="s">
        <v>5756</v>
      </c>
      <c r="F349" t="s">
        <v>6236</v>
      </c>
      <c r="G349" t="s">
        <v>6407</v>
      </c>
      <c r="H349" t="s">
        <v>5474</v>
      </c>
      <c r="I349" t="s">
        <v>6408</v>
      </c>
      <c r="J349" t="s">
        <v>5484</v>
      </c>
      <c r="K349" t="s">
        <v>5471</v>
      </c>
      <c r="L349" t="s">
        <v>5471</v>
      </c>
      <c r="M349" t="s">
        <v>5471</v>
      </c>
    </row>
    <row r="350" spans="1:13" x14ac:dyDescent="0.3">
      <c r="A350" t="s">
        <v>3383</v>
      </c>
      <c r="B350" t="s">
        <v>6187</v>
      </c>
      <c r="C350" t="s">
        <v>5470</v>
      </c>
      <c r="D350" t="s">
        <v>4119</v>
      </c>
      <c r="E350" t="s">
        <v>5617</v>
      </c>
      <c r="F350" t="s">
        <v>6409</v>
      </c>
      <c r="G350" t="s">
        <v>6410</v>
      </c>
      <c r="H350" t="s">
        <v>5474</v>
      </c>
      <c r="I350" t="s">
        <v>6411</v>
      </c>
      <c r="J350" t="s">
        <v>5484</v>
      </c>
      <c r="K350" t="s">
        <v>5471</v>
      </c>
      <c r="L350" t="s">
        <v>5471</v>
      </c>
      <c r="M350" t="s">
        <v>5471</v>
      </c>
    </row>
    <row r="351" spans="1:13" x14ac:dyDescent="0.3">
      <c r="A351" t="s">
        <v>3397</v>
      </c>
      <c r="B351" t="s">
        <v>5761</v>
      </c>
      <c r="C351" t="s">
        <v>5487</v>
      </c>
      <c r="D351" t="s">
        <v>4119</v>
      </c>
      <c r="E351" t="s">
        <v>5756</v>
      </c>
      <c r="F351" t="s">
        <v>6221</v>
      </c>
      <c r="G351" t="s">
        <v>5763</v>
      </c>
      <c r="H351" t="s">
        <v>5474</v>
      </c>
      <c r="I351" t="s">
        <v>6412</v>
      </c>
      <c r="J351" t="s">
        <v>5476</v>
      </c>
      <c r="K351" t="s">
        <v>5471</v>
      </c>
      <c r="L351" t="s">
        <v>5471</v>
      </c>
      <c r="M351" t="s">
        <v>5471</v>
      </c>
    </row>
    <row r="352" spans="1:13" x14ac:dyDescent="0.3">
      <c r="A352" t="s">
        <v>3397</v>
      </c>
      <c r="B352" t="s">
        <v>5594</v>
      </c>
      <c r="C352" t="s">
        <v>5487</v>
      </c>
      <c r="D352" t="s">
        <v>4119</v>
      </c>
      <c r="E352" t="s">
        <v>5471</v>
      </c>
      <c r="F352" t="s">
        <v>6142</v>
      </c>
      <c r="G352" t="s">
        <v>5703</v>
      </c>
      <c r="H352" t="s">
        <v>5474</v>
      </c>
      <c r="I352" t="s">
        <v>6413</v>
      </c>
      <c r="J352" t="s">
        <v>5476</v>
      </c>
      <c r="K352" t="s">
        <v>5471</v>
      </c>
      <c r="L352" t="s">
        <v>5471</v>
      </c>
      <c r="M352" t="s">
        <v>5471</v>
      </c>
    </row>
    <row r="353" spans="1:13" x14ac:dyDescent="0.3">
      <c r="A353" t="s">
        <v>3397</v>
      </c>
      <c r="B353" t="s">
        <v>5761</v>
      </c>
      <c r="C353" t="s">
        <v>5487</v>
      </c>
      <c r="D353" t="s">
        <v>4119</v>
      </c>
      <c r="E353" t="s">
        <v>5532</v>
      </c>
      <c r="F353" t="s">
        <v>6414</v>
      </c>
      <c r="G353" t="s">
        <v>5763</v>
      </c>
      <c r="H353" t="s">
        <v>5474</v>
      </c>
      <c r="I353" t="s">
        <v>6415</v>
      </c>
      <c r="J353" t="s">
        <v>5476</v>
      </c>
      <c r="K353" t="s">
        <v>5471</v>
      </c>
      <c r="L353" t="s">
        <v>5471</v>
      </c>
      <c r="M353" t="s">
        <v>5471</v>
      </c>
    </row>
    <row r="354" spans="1:13" x14ac:dyDescent="0.3">
      <c r="A354" t="s">
        <v>3383</v>
      </c>
      <c r="B354" t="s">
        <v>6178</v>
      </c>
      <c r="C354" t="s">
        <v>5470</v>
      </c>
      <c r="D354" t="s">
        <v>4119</v>
      </c>
      <c r="E354" t="s">
        <v>5471</v>
      </c>
      <c r="F354" t="s">
        <v>6416</v>
      </c>
      <c r="G354" t="s">
        <v>6417</v>
      </c>
      <c r="H354" t="s">
        <v>5474</v>
      </c>
      <c r="I354" t="s">
        <v>6418</v>
      </c>
      <c r="J354" t="s">
        <v>5476</v>
      </c>
      <c r="K354" t="s">
        <v>5471</v>
      </c>
      <c r="L354" t="s">
        <v>5471</v>
      </c>
      <c r="M354" t="s">
        <v>5471</v>
      </c>
    </row>
    <row r="355" spans="1:13" x14ac:dyDescent="0.3">
      <c r="A355" t="s">
        <v>3383</v>
      </c>
      <c r="B355" t="s">
        <v>6178</v>
      </c>
      <c r="C355" t="s">
        <v>5470</v>
      </c>
      <c r="D355" t="s">
        <v>4119</v>
      </c>
      <c r="E355" t="s">
        <v>5471</v>
      </c>
      <c r="F355" t="s">
        <v>6419</v>
      </c>
      <c r="G355" t="s">
        <v>6417</v>
      </c>
      <c r="H355" t="s">
        <v>5474</v>
      </c>
      <c r="I355" t="s">
        <v>6420</v>
      </c>
      <c r="J355" t="s">
        <v>5476</v>
      </c>
      <c r="K355" t="s">
        <v>5471</v>
      </c>
      <c r="L355" t="s">
        <v>5471</v>
      </c>
      <c r="M355" t="s">
        <v>5471</v>
      </c>
    </row>
    <row r="356" spans="1:13" x14ac:dyDescent="0.3">
      <c r="A356" t="s">
        <v>3383</v>
      </c>
      <c r="B356" t="s">
        <v>6178</v>
      </c>
      <c r="C356" t="s">
        <v>5470</v>
      </c>
      <c r="D356" t="s">
        <v>4119</v>
      </c>
      <c r="E356" t="s">
        <v>5471</v>
      </c>
      <c r="F356" t="s">
        <v>6421</v>
      </c>
      <c r="G356" t="s">
        <v>6417</v>
      </c>
      <c r="H356" t="s">
        <v>5474</v>
      </c>
      <c r="I356" t="s">
        <v>6422</v>
      </c>
      <c r="J356" t="s">
        <v>5476</v>
      </c>
      <c r="K356" t="s">
        <v>5471</v>
      </c>
      <c r="L356" t="s">
        <v>5471</v>
      </c>
      <c r="M356" t="s">
        <v>5471</v>
      </c>
    </row>
    <row r="357" spans="1:13" x14ac:dyDescent="0.3">
      <c r="A357" t="s">
        <v>3397</v>
      </c>
      <c r="B357" t="s">
        <v>6331</v>
      </c>
      <c r="C357" t="s">
        <v>5487</v>
      </c>
      <c r="D357" t="s">
        <v>4119</v>
      </c>
      <c r="E357" t="s">
        <v>6332</v>
      </c>
      <c r="F357" t="s">
        <v>6423</v>
      </c>
      <c r="G357" t="s">
        <v>6424</v>
      </c>
      <c r="H357" t="s">
        <v>5474</v>
      </c>
      <c r="I357" t="s">
        <v>6425</v>
      </c>
      <c r="J357" t="s">
        <v>5476</v>
      </c>
      <c r="K357" t="s">
        <v>5471</v>
      </c>
      <c r="L357" t="s">
        <v>5471</v>
      </c>
      <c r="M357" t="s">
        <v>5471</v>
      </c>
    </row>
    <row r="358" spans="1:13" x14ac:dyDescent="0.3">
      <c r="A358" t="s">
        <v>3397</v>
      </c>
      <c r="B358" t="s">
        <v>6331</v>
      </c>
      <c r="C358" t="s">
        <v>5487</v>
      </c>
      <c r="D358" t="s">
        <v>4119</v>
      </c>
      <c r="E358" t="s">
        <v>6332</v>
      </c>
      <c r="F358" t="s">
        <v>6426</v>
      </c>
      <c r="G358" t="s">
        <v>6427</v>
      </c>
      <c r="H358" t="s">
        <v>5474</v>
      </c>
      <c r="I358" t="s">
        <v>6428</v>
      </c>
      <c r="J358" t="s">
        <v>5476</v>
      </c>
      <c r="K358" t="s">
        <v>5471</v>
      </c>
      <c r="L358" t="s">
        <v>5471</v>
      </c>
      <c r="M358" t="s">
        <v>5471</v>
      </c>
    </row>
    <row r="359" spans="1:13" x14ac:dyDescent="0.3">
      <c r="A359" t="s">
        <v>3397</v>
      </c>
      <c r="B359" t="s">
        <v>6429</v>
      </c>
      <c r="C359" t="s">
        <v>5487</v>
      </c>
      <c r="D359" t="s">
        <v>4119</v>
      </c>
      <c r="E359" t="s">
        <v>5471</v>
      </c>
      <c r="F359" t="s">
        <v>6430</v>
      </c>
      <c r="G359" t="s">
        <v>6431</v>
      </c>
      <c r="H359" t="s">
        <v>5474</v>
      </c>
      <c r="I359" t="s">
        <v>6432</v>
      </c>
      <c r="J359" t="s">
        <v>5476</v>
      </c>
      <c r="K359" t="s">
        <v>5471</v>
      </c>
      <c r="L359" t="s">
        <v>5471</v>
      </c>
      <c r="M359" t="s">
        <v>5471</v>
      </c>
    </row>
    <row r="360" spans="1:13" x14ac:dyDescent="0.3">
      <c r="A360" t="s">
        <v>3397</v>
      </c>
      <c r="B360" t="s">
        <v>6429</v>
      </c>
      <c r="C360" t="s">
        <v>5487</v>
      </c>
      <c r="D360" t="s">
        <v>4119</v>
      </c>
      <c r="E360" t="s">
        <v>5471</v>
      </c>
      <c r="F360" t="s">
        <v>6433</v>
      </c>
      <c r="G360" t="s">
        <v>6434</v>
      </c>
      <c r="H360" t="s">
        <v>5474</v>
      </c>
      <c r="I360" t="s">
        <v>6435</v>
      </c>
      <c r="J360" t="s">
        <v>5476</v>
      </c>
      <c r="K360" t="s">
        <v>5471</v>
      </c>
      <c r="L360" t="s">
        <v>5471</v>
      </c>
      <c r="M360" t="s">
        <v>5471</v>
      </c>
    </row>
    <row r="361" spans="1:13" x14ac:dyDescent="0.3">
      <c r="A361" t="s">
        <v>3397</v>
      </c>
      <c r="B361" t="s">
        <v>5301</v>
      </c>
      <c r="C361" t="s">
        <v>6342</v>
      </c>
      <c r="D361" t="s">
        <v>4119</v>
      </c>
      <c r="E361" t="s">
        <v>6332</v>
      </c>
      <c r="F361" t="s">
        <v>6436</v>
      </c>
      <c r="G361" t="s">
        <v>6437</v>
      </c>
      <c r="H361" t="s">
        <v>5474</v>
      </c>
      <c r="I361" t="s">
        <v>6438</v>
      </c>
      <c r="J361" t="s">
        <v>5476</v>
      </c>
      <c r="K361" t="s">
        <v>5471</v>
      </c>
      <c r="L361" t="s">
        <v>5471</v>
      </c>
      <c r="M361" t="s">
        <v>5471</v>
      </c>
    </row>
    <row r="362" spans="1:13" x14ac:dyDescent="0.3">
      <c r="A362" t="s">
        <v>3397</v>
      </c>
      <c r="B362" t="s">
        <v>5301</v>
      </c>
      <c r="C362" t="s">
        <v>6342</v>
      </c>
      <c r="D362" t="s">
        <v>4119</v>
      </c>
      <c r="E362" t="s">
        <v>6332</v>
      </c>
      <c r="F362" t="s">
        <v>6439</v>
      </c>
      <c r="G362" t="s">
        <v>6440</v>
      </c>
      <c r="H362" t="s">
        <v>5474</v>
      </c>
      <c r="I362" t="s">
        <v>6441</v>
      </c>
      <c r="J362" t="s">
        <v>5476</v>
      </c>
      <c r="K362" t="s">
        <v>5471</v>
      </c>
      <c r="L362" t="s">
        <v>5471</v>
      </c>
      <c r="M362" t="s">
        <v>5471</v>
      </c>
    </row>
    <row r="363" spans="1:13" x14ac:dyDescent="0.3">
      <c r="A363" t="s">
        <v>3397</v>
      </c>
      <c r="B363" t="s">
        <v>5292</v>
      </c>
      <c r="C363" t="s">
        <v>5487</v>
      </c>
      <c r="D363" t="s">
        <v>4119</v>
      </c>
      <c r="E363" t="s">
        <v>6442</v>
      </c>
      <c r="F363" t="s">
        <v>6443</v>
      </c>
      <c r="G363" t="s">
        <v>6444</v>
      </c>
      <c r="H363" t="s">
        <v>5474</v>
      </c>
      <c r="I363" t="s">
        <v>6445</v>
      </c>
      <c r="J363" t="s">
        <v>5476</v>
      </c>
      <c r="K363" t="s">
        <v>5471</v>
      </c>
      <c r="L363" t="s">
        <v>5471</v>
      </c>
      <c r="M363" t="s">
        <v>5471</v>
      </c>
    </row>
    <row r="364" spans="1:13" x14ac:dyDescent="0.3">
      <c r="A364" t="s">
        <v>3397</v>
      </c>
      <c r="B364" t="s">
        <v>5292</v>
      </c>
      <c r="C364" t="s">
        <v>5487</v>
      </c>
      <c r="D364" t="s">
        <v>4119</v>
      </c>
      <c r="E364" t="s">
        <v>6442</v>
      </c>
      <c r="F364" t="s">
        <v>6443</v>
      </c>
      <c r="G364" t="s">
        <v>6446</v>
      </c>
      <c r="H364" t="s">
        <v>5474</v>
      </c>
      <c r="I364" t="s">
        <v>6447</v>
      </c>
      <c r="J364" t="s">
        <v>5476</v>
      </c>
      <c r="K364" t="s">
        <v>5471</v>
      </c>
      <c r="L364" t="s">
        <v>5471</v>
      </c>
      <c r="M364" t="s">
        <v>5471</v>
      </c>
    </row>
    <row r="365" spans="1:13" x14ac:dyDescent="0.3">
      <c r="A365" t="s">
        <v>3397</v>
      </c>
      <c r="B365" t="s">
        <v>6448</v>
      </c>
      <c r="C365" t="s">
        <v>5487</v>
      </c>
      <c r="D365" t="s">
        <v>4119</v>
      </c>
      <c r="E365" t="s">
        <v>5471</v>
      </c>
      <c r="F365" t="s">
        <v>6449</v>
      </c>
      <c r="G365" t="s">
        <v>6450</v>
      </c>
      <c r="H365" t="s">
        <v>5474</v>
      </c>
      <c r="I365" t="s">
        <v>6451</v>
      </c>
      <c r="J365" t="s">
        <v>5484</v>
      </c>
      <c r="K365" t="s">
        <v>5471</v>
      </c>
      <c r="L365" t="s">
        <v>5471</v>
      </c>
      <c r="M365" t="s">
        <v>5471</v>
      </c>
    </row>
    <row r="366" spans="1:13" x14ac:dyDescent="0.3">
      <c r="A366" t="s">
        <v>3388</v>
      </c>
      <c r="B366" t="s">
        <v>6452</v>
      </c>
      <c r="C366" t="s">
        <v>5470</v>
      </c>
      <c r="D366" t="s">
        <v>4119</v>
      </c>
      <c r="E366" t="s">
        <v>5532</v>
      </c>
      <c r="F366" t="s">
        <v>6453</v>
      </c>
      <c r="G366" t="s">
        <v>6454</v>
      </c>
      <c r="H366" t="s">
        <v>5474</v>
      </c>
      <c r="I366" t="s">
        <v>6455</v>
      </c>
      <c r="J366" t="s">
        <v>5476</v>
      </c>
      <c r="K366" t="s">
        <v>5471</v>
      </c>
      <c r="L366" t="s">
        <v>5471</v>
      </c>
      <c r="M366" t="s">
        <v>5471</v>
      </c>
    </row>
    <row r="367" spans="1:13" x14ac:dyDescent="0.3">
      <c r="A367" t="s">
        <v>3388</v>
      </c>
      <c r="B367" t="s">
        <v>6452</v>
      </c>
      <c r="C367" t="s">
        <v>5470</v>
      </c>
      <c r="D367" t="s">
        <v>4119</v>
      </c>
      <c r="E367" t="s">
        <v>5532</v>
      </c>
      <c r="F367" t="s">
        <v>6456</v>
      </c>
      <c r="G367" t="s">
        <v>6454</v>
      </c>
      <c r="H367" t="s">
        <v>5474</v>
      </c>
      <c r="I367" t="s">
        <v>6457</v>
      </c>
      <c r="J367" t="s">
        <v>5476</v>
      </c>
      <c r="K367" t="s">
        <v>5471</v>
      </c>
      <c r="L367" t="s">
        <v>5471</v>
      </c>
      <c r="M367" t="s">
        <v>5471</v>
      </c>
    </row>
    <row r="368" spans="1:13" x14ac:dyDescent="0.3">
      <c r="A368" t="s">
        <v>3388</v>
      </c>
      <c r="B368" t="s">
        <v>6452</v>
      </c>
      <c r="C368" t="s">
        <v>5470</v>
      </c>
      <c r="D368" t="s">
        <v>4119</v>
      </c>
      <c r="E368" t="s">
        <v>5532</v>
      </c>
      <c r="F368" t="s">
        <v>6458</v>
      </c>
      <c r="G368" t="s">
        <v>6454</v>
      </c>
      <c r="H368" t="s">
        <v>5474</v>
      </c>
      <c r="I368" t="s">
        <v>6459</v>
      </c>
      <c r="J368" t="s">
        <v>5476</v>
      </c>
      <c r="K368" t="s">
        <v>5471</v>
      </c>
      <c r="L368" t="s">
        <v>5471</v>
      </c>
      <c r="M368" t="s">
        <v>5471</v>
      </c>
    </row>
    <row r="369" spans="1:13" x14ac:dyDescent="0.3">
      <c r="A369" t="s">
        <v>3388</v>
      </c>
      <c r="B369" t="s">
        <v>6452</v>
      </c>
      <c r="C369" t="s">
        <v>5470</v>
      </c>
      <c r="D369" t="s">
        <v>4119</v>
      </c>
      <c r="E369" t="s">
        <v>5532</v>
      </c>
      <c r="F369" t="s">
        <v>6460</v>
      </c>
      <c r="G369" t="s">
        <v>6454</v>
      </c>
      <c r="H369" t="s">
        <v>5474</v>
      </c>
      <c r="I369" t="s">
        <v>6461</v>
      </c>
      <c r="J369" t="s">
        <v>5476</v>
      </c>
      <c r="K369" t="s">
        <v>5471</v>
      </c>
      <c r="L369" t="s">
        <v>5471</v>
      </c>
      <c r="M369" t="s">
        <v>5471</v>
      </c>
    </row>
    <row r="370" spans="1:13" x14ac:dyDescent="0.3">
      <c r="A370" t="s">
        <v>3388</v>
      </c>
      <c r="B370" t="s">
        <v>6452</v>
      </c>
      <c r="C370" t="s">
        <v>5470</v>
      </c>
      <c r="D370" t="s">
        <v>4119</v>
      </c>
      <c r="E370" t="s">
        <v>5532</v>
      </c>
      <c r="F370" t="s">
        <v>6462</v>
      </c>
      <c r="G370" t="s">
        <v>6454</v>
      </c>
      <c r="H370" t="s">
        <v>5474</v>
      </c>
      <c r="I370" t="s">
        <v>6463</v>
      </c>
      <c r="J370" t="s">
        <v>5476</v>
      </c>
      <c r="K370" t="s">
        <v>5471</v>
      </c>
      <c r="L370" t="s">
        <v>5471</v>
      </c>
      <c r="M370" t="s">
        <v>5471</v>
      </c>
    </row>
    <row r="371" spans="1:13" x14ac:dyDescent="0.3">
      <c r="A371" t="s">
        <v>3383</v>
      </c>
      <c r="B371" t="s">
        <v>6051</v>
      </c>
      <c r="C371" t="s">
        <v>5470</v>
      </c>
      <c r="D371" t="s">
        <v>4119</v>
      </c>
      <c r="E371" t="s">
        <v>5756</v>
      </c>
      <c r="F371" t="s">
        <v>6464</v>
      </c>
      <c r="G371" t="s">
        <v>6255</v>
      </c>
      <c r="H371" t="s">
        <v>5474</v>
      </c>
      <c r="I371" t="s">
        <v>6465</v>
      </c>
      <c r="J371" t="s">
        <v>5476</v>
      </c>
      <c r="K371" t="s">
        <v>5471</v>
      </c>
      <c r="L371" t="s">
        <v>5471</v>
      </c>
      <c r="M371" t="s">
        <v>5471</v>
      </c>
    </row>
    <row r="372" spans="1:13" x14ac:dyDescent="0.3">
      <c r="A372" t="s">
        <v>3397</v>
      </c>
      <c r="B372" t="s">
        <v>5328</v>
      </c>
      <c r="C372" t="s">
        <v>5470</v>
      </c>
      <c r="D372" t="s">
        <v>4119</v>
      </c>
      <c r="E372" t="s">
        <v>5471</v>
      </c>
      <c r="F372" t="s">
        <v>6466</v>
      </c>
      <c r="G372" t="s">
        <v>6467</v>
      </c>
      <c r="H372" t="s">
        <v>5474</v>
      </c>
      <c r="I372" t="s">
        <v>6468</v>
      </c>
      <c r="J372" t="s">
        <v>5476</v>
      </c>
      <c r="K372" t="s">
        <v>5471</v>
      </c>
      <c r="L372" t="s">
        <v>5471</v>
      </c>
      <c r="M372" t="s">
        <v>5471</v>
      </c>
    </row>
    <row r="373" spans="1:13" x14ac:dyDescent="0.3">
      <c r="A373" t="s">
        <v>3397</v>
      </c>
      <c r="B373" t="s">
        <v>5328</v>
      </c>
      <c r="C373" t="s">
        <v>5470</v>
      </c>
      <c r="D373" t="s">
        <v>4119</v>
      </c>
      <c r="E373" t="s">
        <v>5471</v>
      </c>
      <c r="F373" t="s">
        <v>6469</v>
      </c>
      <c r="G373" t="s">
        <v>6470</v>
      </c>
      <c r="H373" t="s">
        <v>5474</v>
      </c>
      <c r="I373" t="s">
        <v>6471</v>
      </c>
      <c r="J373" t="s">
        <v>5476</v>
      </c>
      <c r="K373" t="s">
        <v>5471</v>
      </c>
      <c r="L373" t="s">
        <v>5471</v>
      </c>
      <c r="M373" t="s">
        <v>5471</v>
      </c>
    </row>
    <row r="374" spans="1:13" x14ac:dyDescent="0.3">
      <c r="A374" t="s">
        <v>3397</v>
      </c>
      <c r="B374" t="s">
        <v>5328</v>
      </c>
      <c r="C374" t="s">
        <v>5470</v>
      </c>
      <c r="D374" t="s">
        <v>4119</v>
      </c>
      <c r="E374" t="s">
        <v>5471</v>
      </c>
      <c r="F374" t="s">
        <v>6472</v>
      </c>
      <c r="G374" t="s">
        <v>6473</v>
      </c>
      <c r="H374" t="s">
        <v>5474</v>
      </c>
      <c r="I374" t="s">
        <v>6474</v>
      </c>
      <c r="J374" t="s">
        <v>5476</v>
      </c>
      <c r="K374" t="s">
        <v>5471</v>
      </c>
      <c r="L374" t="s">
        <v>5471</v>
      </c>
      <c r="M374" t="s">
        <v>5471</v>
      </c>
    </row>
    <row r="375" spans="1:13" x14ac:dyDescent="0.3">
      <c r="A375" t="s">
        <v>3397</v>
      </c>
      <c r="B375" t="s">
        <v>5328</v>
      </c>
      <c r="C375" t="s">
        <v>5470</v>
      </c>
      <c r="D375" t="s">
        <v>4119</v>
      </c>
      <c r="E375" t="s">
        <v>5471</v>
      </c>
      <c r="F375" t="s">
        <v>6475</v>
      </c>
      <c r="G375" t="s">
        <v>6476</v>
      </c>
      <c r="H375" t="s">
        <v>5474</v>
      </c>
      <c r="I375" t="s">
        <v>6477</v>
      </c>
      <c r="J375" t="s">
        <v>5476</v>
      </c>
      <c r="K375" t="s">
        <v>5471</v>
      </c>
      <c r="L375" t="s">
        <v>5471</v>
      </c>
      <c r="M375" t="s">
        <v>5471</v>
      </c>
    </row>
    <row r="376" spans="1:13" x14ac:dyDescent="0.3">
      <c r="A376" t="s">
        <v>3388</v>
      </c>
      <c r="B376" t="s">
        <v>6478</v>
      </c>
      <c r="C376" t="s">
        <v>5470</v>
      </c>
      <c r="D376" t="s">
        <v>4119</v>
      </c>
      <c r="E376" t="s">
        <v>5617</v>
      </c>
      <c r="F376" t="s">
        <v>6479</v>
      </c>
      <c r="G376" t="s">
        <v>6480</v>
      </c>
      <c r="H376" t="s">
        <v>5474</v>
      </c>
      <c r="I376" t="s">
        <v>6481</v>
      </c>
      <c r="J376" t="s">
        <v>5484</v>
      </c>
      <c r="K376" t="s">
        <v>5471</v>
      </c>
      <c r="L376" t="s">
        <v>5471</v>
      </c>
      <c r="M376" t="s">
        <v>5471</v>
      </c>
    </row>
    <row r="377" spans="1:13" x14ac:dyDescent="0.3">
      <c r="A377" t="s">
        <v>3397</v>
      </c>
      <c r="B377" t="s">
        <v>5328</v>
      </c>
      <c r="C377" t="s">
        <v>5470</v>
      </c>
      <c r="D377" t="s">
        <v>4119</v>
      </c>
      <c r="E377" t="s">
        <v>5471</v>
      </c>
      <c r="F377" t="s">
        <v>6482</v>
      </c>
      <c r="G377" t="s">
        <v>6483</v>
      </c>
      <c r="H377" t="s">
        <v>5474</v>
      </c>
      <c r="I377" t="s">
        <v>6484</v>
      </c>
      <c r="J377" t="s">
        <v>5476</v>
      </c>
      <c r="K377" t="s">
        <v>5471</v>
      </c>
      <c r="L377" t="s">
        <v>5471</v>
      </c>
      <c r="M377" t="s">
        <v>5471</v>
      </c>
    </row>
    <row r="378" spans="1:13" x14ac:dyDescent="0.3">
      <c r="A378" t="s">
        <v>3397</v>
      </c>
      <c r="B378" t="s">
        <v>5328</v>
      </c>
      <c r="C378" t="s">
        <v>5470</v>
      </c>
      <c r="D378" t="s">
        <v>4119</v>
      </c>
      <c r="E378" t="s">
        <v>5471</v>
      </c>
      <c r="F378" t="s">
        <v>6485</v>
      </c>
      <c r="G378" t="s">
        <v>6486</v>
      </c>
      <c r="H378" t="s">
        <v>5474</v>
      </c>
      <c r="I378" t="s">
        <v>6487</v>
      </c>
      <c r="J378" t="s">
        <v>5476</v>
      </c>
      <c r="K378" t="s">
        <v>5471</v>
      </c>
      <c r="L378" t="s">
        <v>5471</v>
      </c>
      <c r="M378" t="s">
        <v>5471</v>
      </c>
    </row>
    <row r="379" spans="1:13" x14ac:dyDescent="0.3">
      <c r="A379" t="s">
        <v>3397</v>
      </c>
      <c r="B379" t="s">
        <v>5328</v>
      </c>
      <c r="C379" t="s">
        <v>5470</v>
      </c>
      <c r="D379" t="s">
        <v>4119</v>
      </c>
      <c r="E379" t="s">
        <v>5471</v>
      </c>
      <c r="F379" t="s">
        <v>6488</v>
      </c>
      <c r="G379" t="s">
        <v>6489</v>
      </c>
      <c r="H379" t="s">
        <v>5474</v>
      </c>
      <c r="I379" t="s">
        <v>6490</v>
      </c>
      <c r="J379" t="s">
        <v>5476</v>
      </c>
      <c r="K379" t="s">
        <v>5471</v>
      </c>
      <c r="L379" t="s">
        <v>5471</v>
      </c>
      <c r="M379" t="s">
        <v>5471</v>
      </c>
    </row>
    <row r="380" spans="1:13" x14ac:dyDescent="0.3">
      <c r="A380" t="s">
        <v>3397</v>
      </c>
      <c r="B380" t="s">
        <v>5328</v>
      </c>
      <c r="C380" t="s">
        <v>5470</v>
      </c>
      <c r="D380" t="s">
        <v>4119</v>
      </c>
      <c r="E380" t="s">
        <v>5471</v>
      </c>
      <c r="F380" t="s">
        <v>6491</v>
      </c>
      <c r="G380" t="s">
        <v>6492</v>
      </c>
      <c r="H380" t="s">
        <v>5474</v>
      </c>
      <c r="I380" t="s">
        <v>6493</v>
      </c>
      <c r="J380" t="s">
        <v>5476</v>
      </c>
      <c r="K380" t="s">
        <v>5471</v>
      </c>
      <c r="L380" t="s">
        <v>5471</v>
      </c>
      <c r="M380" t="s">
        <v>5471</v>
      </c>
    </row>
    <row r="381" spans="1:13" x14ac:dyDescent="0.3">
      <c r="A381" t="s">
        <v>3397</v>
      </c>
      <c r="B381" t="s">
        <v>5328</v>
      </c>
      <c r="C381" t="s">
        <v>5470</v>
      </c>
      <c r="D381" t="s">
        <v>4119</v>
      </c>
      <c r="E381" t="s">
        <v>5471</v>
      </c>
      <c r="F381" t="s">
        <v>6494</v>
      </c>
      <c r="G381" t="s">
        <v>6495</v>
      </c>
      <c r="H381" t="s">
        <v>5474</v>
      </c>
      <c r="I381" t="s">
        <v>6496</v>
      </c>
      <c r="J381" t="s">
        <v>5476</v>
      </c>
      <c r="K381" t="s">
        <v>5471</v>
      </c>
      <c r="L381" t="s">
        <v>5471</v>
      </c>
      <c r="M381" t="s">
        <v>5471</v>
      </c>
    </row>
    <row r="382" spans="1:13" x14ac:dyDescent="0.3">
      <c r="A382" t="s">
        <v>3397</v>
      </c>
      <c r="B382" t="s">
        <v>5328</v>
      </c>
      <c r="C382" t="s">
        <v>5470</v>
      </c>
      <c r="D382" t="s">
        <v>4119</v>
      </c>
      <c r="E382" t="s">
        <v>5471</v>
      </c>
      <c r="F382" t="s">
        <v>6497</v>
      </c>
      <c r="G382" t="s">
        <v>6498</v>
      </c>
      <c r="H382" t="s">
        <v>5474</v>
      </c>
      <c r="I382" t="s">
        <v>6499</v>
      </c>
      <c r="J382" t="s">
        <v>5476</v>
      </c>
      <c r="K382" t="s">
        <v>5471</v>
      </c>
      <c r="L382" t="s">
        <v>5471</v>
      </c>
      <c r="M382" t="s">
        <v>5471</v>
      </c>
    </row>
    <row r="383" spans="1:13" x14ac:dyDescent="0.3">
      <c r="A383" t="s">
        <v>3397</v>
      </c>
      <c r="B383" t="s">
        <v>5328</v>
      </c>
      <c r="C383" t="s">
        <v>5470</v>
      </c>
      <c r="D383" t="s">
        <v>4119</v>
      </c>
      <c r="E383" t="s">
        <v>5471</v>
      </c>
      <c r="F383" t="s">
        <v>6500</v>
      </c>
      <c r="G383" t="s">
        <v>6501</v>
      </c>
      <c r="H383" t="s">
        <v>5474</v>
      </c>
      <c r="I383" t="s">
        <v>6502</v>
      </c>
      <c r="J383" t="s">
        <v>5476</v>
      </c>
      <c r="K383" t="s">
        <v>5471</v>
      </c>
      <c r="L383" t="s">
        <v>5471</v>
      </c>
      <c r="M383" t="s">
        <v>5471</v>
      </c>
    </row>
    <row r="384" spans="1:13" x14ac:dyDescent="0.3">
      <c r="A384" t="s">
        <v>3397</v>
      </c>
      <c r="B384" t="s">
        <v>5328</v>
      </c>
      <c r="C384" t="s">
        <v>5470</v>
      </c>
      <c r="D384" t="s">
        <v>4119</v>
      </c>
      <c r="E384" t="s">
        <v>5471</v>
      </c>
      <c r="F384" t="s">
        <v>6503</v>
      </c>
      <c r="G384" t="s">
        <v>6504</v>
      </c>
      <c r="H384" t="s">
        <v>5474</v>
      </c>
      <c r="I384" t="s">
        <v>6505</v>
      </c>
      <c r="J384" t="s">
        <v>5476</v>
      </c>
      <c r="K384" t="s">
        <v>5471</v>
      </c>
      <c r="L384" t="s">
        <v>5471</v>
      </c>
      <c r="M384" t="s">
        <v>5471</v>
      </c>
    </row>
    <row r="385" spans="1:13" x14ac:dyDescent="0.3">
      <c r="A385" t="s">
        <v>3397</v>
      </c>
      <c r="B385" t="s">
        <v>5328</v>
      </c>
      <c r="C385" t="s">
        <v>5470</v>
      </c>
      <c r="D385" t="s">
        <v>4119</v>
      </c>
      <c r="E385" t="s">
        <v>5471</v>
      </c>
      <c r="F385" t="s">
        <v>6506</v>
      </c>
      <c r="G385" t="s">
        <v>6507</v>
      </c>
      <c r="H385" t="s">
        <v>5474</v>
      </c>
      <c r="I385" t="s">
        <v>6508</v>
      </c>
      <c r="J385" t="s">
        <v>5476</v>
      </c>
      <c r="K385" t="s">
        <v>5471</v>
      </c>
      <c r="L385" t="s">
        <v>5471</v>
      </c>
      <c r="M385" t="s">
        <v>5471</v>
      </c>
    </row>
    <row r="386" spans="1:13" x14ac:dyDescent="0.3">
      <c r="A386" t="s">
        <v>3388</v>
      </c>
      <c r="B386" t="s">
        <v>6509</v>
      </c>
      <c r="C386" t="s">
        <v>5470</v>
      </c>
      <c r="D386" t="s">
        <v>4119</v>
      </c>
      <c r="E386" t="s">
        <v>5471</v>
      </c>
      <c r="F386" t="s">
        <v>6510</v>
      </c>
      <c r="G386" t="s">
        <v>6511</v>
      </c>
      <c r="H386" t="s">
        <v>5474</v>
      </c>
      <c r="I386" t="s">
        <v>6512</v>
      </c>
      <c r="J386" t="s">
        <v>5476</v>
      </c>
      <c r="K386" t="s">
        <v>5471</v>
      </c>
      <c r="L386" t="s">
        <v>5471</v>
      </c>
      <c r="M386" t="s">
        <v>5471</v>
      </c>
    </row>
    <row r="387" spans="1:13" x14ac:dyDescent="0.3">
      <c r="A387" t="s">
        <v>3397</v>
      </c>
      <c r="B387" t="s">
        <v>5328</v>
      </c>
      <c r="C387" t="s">
        <v>5470</v>
      </c>
      <c r="D387" t="s">
        <v>4119</v>
      </c>
      <c r="E387" t="s">
        <v>5471</v>
      </c>
      <c r="F387" t="s">
        <v>6513</v>
      </c>
      <c r="G387" t="s">
        <v>6514</v>
      </c>
      <c r="H387" t="s">
        <v>5474</v>
      </c>
      <c r="I387" t="s">
        <v>6515</v>
      </c>
      <c r="J387" t="s">
        <v>5476</v>
      </c>
      <c r="K387" t="s">
        <v>5471</v>
      </c>
      <c r="L387" t="s">
        <v>5471</v>
      </c>
      <c r="M387" t="s">
        <v>5471</v>
      </c>
    </row>
    <row r="388" spans="1:13" x14ac:dyDescent="0.3">
      <c r="A388" t="s">
        <v>3397</v>
      </c>
      <c r="B388" t="s">
        <v>5328</v>
      </c>
      <c r="C388" t="s">
        <v>5470</v>
      </c>
      <c r="D388" t="s">
        <v>4119</v>
      </c>
      <c r="E388" t="s">
        <v>5471</v>
      </c>
      <c r="F388" t="s">
        <v>6516</v>
      </c>
      <c r="G388" t="s">
        <v>6517</v>
      </c>
      <c r="H388" t="s">
        <v>5474</v>
      </c>
      <c r="I388" t="s">
        <v>6518</v>
      </c>
      <c r="J388" t="s">
        <v>5476</v>
      </c>
      <c r="K388" t="s">
        <v>5471</v>
      </c>
      <c r="L388" t="s">
        <v>5471</v>
      </c>
      <c r="M388" t="s">
        <v>5471</v>
      </c>
    </row>
    <row r="389" spans="1:13" x14ac:dyDescent="0.3">
      <c r="A389" t="s">
        <v>3397</v>
      </c>
      <c r="B389" t="s">
        <v>5328</v>
      </c>
      <c r="C389" t="s">
        <v>5470</v>
      </c>
      <c r="D389" t="s">
        <v>4119</v>
      </c>
      <c r="E389" t="s">
        <v>5471</v>
      </c>
      <c r="F389" t="s">
        <v>6519</v>
      </c>
      <c r="G389" t="s">
        <v>6520</v>
      </c>
      <c r="H389" t="s">
        <v>5474</v>
      </c>
      <c r="I389" t="s">
        <v>6521</v>
      </c>
      <c r="J389" t="s">
        <v>5476</v>
      </c>
      <c r="K389" t="s">
        <v>5471</v>
      </c>
      <c r="L389" t="s">
        <v>5471</v>
      </c>
      <c r="M389" t="s">
        <v>5471</v>
      </c>
    </row>
    <row r="390" spans="1:13" x14ac:dyDescent="0.3">
      <c r="A390" t="s">
        <v>3397</v>
      </c>
      <c r="B390" t="s">
        <v>5328</v>
      </c>
      <c r="C390" t="s">
        <v>5470</v>
      </c>
      <c r="D390" t="s">
        <v>4119</v>
      </c>
      <c r="E390" t="s">
        <v>5471</v>
      </c>
      <c r="F390" t="s">
        <v>6522</v>
      </c>
      <c r="G390" t="s">
        <v>6523</v>
      </c>
      <c r="H390" t="s">
        <v>5474</v>
      </c>
      <c r="I390" t="s">
        <v>6524</v>
      </c>
      <c r="J390" t="s">
        <v>5476</v>
      </c>
      <c r="K390" t="s">
        <v>5471</v>
      </c>
      <c r="L390" t="s">
        <v>5471</v>
      </c>
      <c r="M390" t="s">
        <v>5471</v>
      </c>
    </row>
    <row r="391" spans="1:13" x14ac:dyDescent="0.3">
      <c r="A391" t="s">
        <v>3397</v>
      </c>
      <c r="B391" t="s">
        <v>5761</v>
      </c>
      <c r="C391" t="s">
        <v>5487</v>
      </c>
      <c r="D391" t="s">
        <v>4119</v>
      </c>
      <c r="E391" t="s">
        <v>5756</v>
      </c>
      <c r="F391" t="s">
        <v>6525</v>
      </c>
      <c r="G391" t="s">
        <v>5763</v>
      </c>
      <c r="H391" t="s">
        <v>5474</v>
      </c>
      <c r="I391" t="s">
        <v>6526</v>
      </c>
      <c r="J391" t="s">
        <v>5476</v>
      </c>
      <c r="K391" t="s">
        <v>5471</v>
      </c>
      <c r="L391" t="s">
        <v>5471</v>
      </c>
      <c r="M391" t="s">
        <v>5471</v>
      </c>
    </row>
    <row r="392" spans="1:13" x14ac:dyDescent="0.3">
      <c r="A392" t="s">
        <v>3397</v>
      </c>
      <c r="B392" t="s">
        <v>5761</v>
      </c>
      <c r="C392" t="s">
        <v>5487</v>
      </c>
      <c r="D392" t="s">
        <v>4119</v>
      </c>
      <c r="E392" t="s">
        <v>5756</v>
      </c>
      <c r="F392" t="s">
        <v>6527</v>
      </c>
      <c r="G392" t="s">
        <v>6528</v>
      </c>
      <c r="H392" t="s">
        <v>5474</v>
      </c>
      <c r="I392" t="s">
        <v>6529</v>
      </c>
      <c r="J392" t="s">
        <v>5476</v>
      </c>
      <c r="K392" t="s">
        <v>5471</v>
      </c>
      <c r="L392" t="s">
        <v>5471</v>
      </c>
      <c r="M392" t="s">
        <v>5471</v>
      </c>
    </row>
    <row r="393" spans="1:13" x14ac:dyDescent="0.3">
      <c r="A393" t="s">
        <v>3397</v>
      </c>
      <c r="B393" t="s">
        <v>5755</v>
      </c>
      <c r="C393" t="s">
        <v>5487</v>
      </c>
      <c r="D393" t="s">
        <v>4119</v>
      </c>
      <c r="E393" t="s">
        <v>5756</v>
      </c>
      <c r="F393" t="s">
        <v>6530</v>
      </c>
      <c r="G393" t="s">
        <v>6531</v>
      </c>
      <c r="H393" t="s">
        <v>5474</v>
      </c>
      <c r="I393" t="s">
        <v>6532</v>
      </c>
      <c r="J393" t="s">
        <v>5476</v>
      </c>
      <c r="K393" t="s">
        <v>5471</v>
      </c>
      <c r="L393" t="s">
        <v>5471</v>
      </c>
      <c r="M393" t="s">
        <v>5471</v>
      </c>
    </row>
    <row r="394" spans="1:13" x14ac:dyDescent="0.3">
      <c r="A394" t="s">
        <v>3397</v>
      </c>
      <c r="B394" t="s">
        <v>5755</v>
      </c>
      <c r="C394" t="s">
        <v>5487</v>
      </c>
      <c r="D394" t="s">
        <v>4119</v>
      </c>
      <c r="E394" t="s">
        <v>5756</v>
      </c>
      <c r="F394" t="s">
        <v>6533</v>
      </c>
      <c r="G394" t="s">
        <v>6534</v>
      </c>
      <c r="H394" t="s">
        <v>5474</v>
      </c>
      <c r="I394" t="s">
        <v>6535</v>
      </c>
      <c r="J394" t="s">
        <v>5476</v>
      </c>
      <c r="K394" t="s">
        <v>5471</v>
      </c>
      <c r="L394" t="s">
        <v>5471</v>
      </c>
      <c r="M394" t="s">
        <v>5471</v>
      </c>
    </row>
    <row r="395" spans="1:13" x14ac:dyDescent="0.3">
      <c r="A395" t="s">
        <v>3388</v>
      </c>
      <c r="B395" t="s">
        <v>6536</v>
      </c>
      <c r="C395" t="s">
        <v>5470</v>
      </c>
      <c r="D395" t="s">
        <v>4119</v>
      </c>
      <c r="E395" t="s">
        <v>5532</v>
      </c>
      <c r="F395" t="s">
        <v>6537</v>
      </c>
      <c r="G395" t="s">
        <v>6538</v>
      </c>
      <c r="H395" t="s">
        <v>5474</v>
      </c>
      <c r="I395" t="s">
        <v>6539</v>
      </c>
      <c r="J395" t="s">
        <v>5476</v>
      </c>
      <c r="K395" t="s">
        <v>5471</v>
      </c>
      <c r="L395" t="s">
        <v>5471</v>
      </c>
      <c r="M395" t="s">
        <v>5471</v>
      </c>
    </row>
    <row r="396" spans="1:13" x14ac:dyDescent="0.3">
      <c r="A396" t="s">
        <v>3388</v>
      </c>
      <c r="B396" t="s">
        <v>6540</v>
      </c>
      <c r="C396" t="s">
        <v>5470</v>
      </c>
      <c r="D396" t="s">
        <v>4119</v>
      </c>
      <c r="E396" t="s">
        <v>5532</v>
      </c>
      <c r="F396" t="s">
        <v>6541</v>
      </c>
      <c r="G396" t="s">
        <v>6542</v>
      </c>
      <c r="H396" t="s">
        <v>5474</v>
      </c>
      <c r="I396" t="s">
        <v>6543</v>
      </c>
      <c r="J396" t="s">
        <v>5476</v>
      </c>
      <c r="K396" t="s">
        <v>5471</v>
      </c>
      <c r="L396" t="s">
        <v>5471</v>
      </c>
      <c r="M396" t="s">
        <v>5471</v>
      </c>
    </row>
    <row r="397" spans="1:13" x14ac:dyDescent="0.3">
      <c r="A397" t="s">
        <v>3397</v>
      </c>
      <c r="B397" t="s">
        <v>5292</v>
      </c>
      <c r="C397" t="s">
        <v>5487</v>
      </c>
      <c r="D397" t="s">
        <v>4119</v>
      </c>
      <c r="E397" t="s">
        <v>5756</v>
      </c>
      <c r="F397" t="s">
        <v>6544</v>
      </c>
      <c r="G397" t="s">
        <v>6545</v>
      </c>
      <c r="H397" t="s">
        <v>5474</v>
      </c>
      <c r="I397" t="s">
        <v>6546</v>
      </c>
      <c r="J397" t="s">
        <v>5476</v>
      </c>
      <c r="K397" t="s">
        <v>5471</v>
      </c>
      <c r="L397" t="s">
        <v>5471</v>
      </c>
      <c r="M397" t="s">
        <v>5471</v>
      </c>
    </row>
    <row r="398" spans="1:13" x14ac:dyDescent="0.3">
      <c r="A398" t="s">
        <v>3397</v>
      </c>
      <c r="B398" t="s">
        <v>5292</v>
      </c>
      <c r="C398" t="s">
        <v>5487</v>
      </c>
      <c r="D398" t="s">
        <v>4119</v>
      </c>
      <c r="E398" t="s">
        <v>5756</v>
      </c>
      <c r="F398" t="s">
        <v>6547</v>
      </c>
      <c r="G398" t="s">
        <v>6548</v>
      </c>
      <c r="H398" t="s">
        <v>5474</v>
      </c>
      <c r="I398" t="s">
        <v>6549</v>
      </c>
      <c r="J398" t="s">
        <v>5476</v>
      </c>
      <c r="K398" t="s">
        <v>5471</v>
      </c>
      <c r="L398" t="s">
        <v>5471</v>
      </c>
      <c r="M398" t="s">
        <v>5471</v>
      </c>
    </row>
    <row r="399" spans="1:13" x14ac:dyDescent="0.3">
      <c r="A399" t="s">
        <v>3397</v>
      </c>
      <c r="B399" t="s">
        <v>5292</v>
      </c>
      <c r="C399" t="s">
        <v>5487</v>
      </c>
      <c r="D399" t="s">
        <v>4119</v>
      </c>
      <c r="E399" t="s">
        <v>5756</v>
      </c>
      <c r="F399" t="s">
        <v>6550</v>
      </c>
      <c r="G399" t="s">
        <v>6551</v>
      </c>
      <c r="H399" t="s">
        <v>5474</v>
      </c>
      <c r="I399" t="s">
        <v>6552</v>
      </c>
      <c r="J399" t="s">
        <v>5476</v>
      </c>
      <c r="K399" t="s">
        <v>5471</v>
      </c>
      <c r="L399" t="s">
        <v>5471</v>
      </c>
      <c r="M399" t="s">
        <v>5471</v>
      </c>
    </row>
    <row r="400" spans="1:13" x14ac:dyDescent="0.3">
      <c r="A400" t="s">
        <v>3397</v>
      </c>
      <c r="B400" t="s">
        <v>5292</v>
      </c>
      <c r="C400" t="s">
        <v>5487</v>
      </c>
      <c r="D400" t="s">
        <v>4119</v>
      </c>
      <c r="E400" t="s">
        <v>5756</v>
      </c>
      <c r="F400" t="s">
        <v>6553</v>
      </c>
      <c r="G400" t="s">
        <v>6554</v>
      </c>
      <c r="H400" t="s">
        <v>5474</v>
      </c>
      <c r="I400" t="s">
        <v>6555</v>
      </c>
      <c r="J400" t="s">
        <v>5476</v>
      </c>
      <c r="K400" t="s">
        <v>5471</v>
      </c>
      <c r="L400" t="s">
        <v>5471</v>
      </c>
      <c r="M400" t="s">
        <v>5471</v>
      </c>
    </row>
    <row r="401" spans="1:13" x14ac:dyDescent="0.3">
      <c r="A401" t="s">
        <v>3383</v>
      </c>
      <c r="B401" t="s">
        <v>5952</v>
      </c>
      <c r="C401" t="s">
        <v>5470</v>
      </c>
      <c r="D401" t="s">
        <v>4119</v>
      </c>
      <c r="E401" t="s">
        <v>5480</v>
      </c>
      <c r="F401" t="s">
        <v>6556</v>
      </c>
      <c r="G401" t="s">
        <v>6557</v>
      </c>
      <c r="H401" t="s">
        <v>5474</v>
      </c>
      <c r="I401" t="s">
        <v>6558</v>
      </c>
      <c r="J401" t="s">
        <v>5476</v>
      </c>
      <c r="K401" t="s">
        <v>5471</v>
      </c>
      <c r="L401" t="s">
        <v>5471</v>
      </c>
      <c r="M401" t="s">
        <v>5471</v>
      </c>
    </row>
    <row r="402" spans="1:13" x14ac:dyDescent="0.3">
      <c r="A402" t="s">
        <v>3397</v>
      </c>
      <c r="B402" t="s">
        <v>6559</v>
      </c>
      <c r="C402" t="s">
        <v>5487</v>
      </c>
      <c r="D402" t="s">
        <v>4119</v>
      </c>
      <c r="E402" t="s">
        <v>5471</v>
      </c>
      <c r="F402" t="s">
        <v>6560</v>
      </c>
      <c r="G402" t="s">
        <v>6561</v>
      </c>
      <c r="H402" t="s">
        <v>5474</v>
      </c>
      <c r="I402" t="s">
        <v>6562</v>
      </c>
      <c r="J402" t="s">
        <v>5476</v>
      </c>
      <c r="K402" t="s">
        <v>5471</v>
      </c>
      <c r="L402" t="s">
        <v>5471</v>
      </c>
      <c r="M402" t="s">
        <v>5471</v>
      </c>
    </row>
    <row r="403" spans="1:13" x14ac:dyDescent="0.3">
      <c r="A403" t="s">
        <v>3383</v>
      </c>
      <c r="B403" t="s">
        <v>5952</v>
      </c>
      <c r="C403" t="s">
        <v>5470</v>
      </c>
      <c r="D403" t="s">
        <v>4119</v>
      </c>
      <c r="E403" t="s">
        <v>5480</v>
      </c>
      <c r="F403" t="s">
        <v>6563</v>
      </c>
      <c r="G403" t="s">
        <v>6557</v>
      </c>
      <c r="H403" t="s">
        <v>5474</v>
      </c>
      <c r="I403" t="s">
        <v>6564</v>
      </c>
      <c r="J403" t="s">
        <v>5484</v>
      </c>
      <c r="K403" t="s">
        <v>5471</v>
      </c>
      <c r="L403" t="s">
        <v>5471</v>
      </c>
      <c r="M403" t="s">
        <v>5471</v>
      </c>
    </row>
    <row r="404" spans="1:13" x14ac:dyDescent="0.3">
      <c r="A404" t="s">
        <v>3383</v>
      </c>
      <c r="B404" t="s">
        <v>5952</v>
      </c>
      <c r="C404" t="s">
        <v>5470</v>
      </c>
      <c r="D404" t="s">
        <v>4119</v>
      </c>
      <c r="E404" t="s">
        <v>5480</v>
      </c>
      <c r="F404" t="s">
        <v>6565</v>
      </c>
      <c r="G404" t="s">
        <v>6557</v>
      </c>
      <c r="H404" t="s">
        <v>5474</v>
      </c>
      <c r="I404" t="s">
        <v>6566</v>
      </c>
      <c r="J404" t="s">
        <v>5484</v>
      </c>
      <c r="K404" t="s">
        <v>5471</v>
      </c>
      <c r="L404" t="s">
        <v>5471</v>
      </c>
      <c r="M404" t="s">
        <v>5471</v>
      </c>
    </row>
    <row r="405" spans="1:13" x14ac:dyDescent="0.3">
      <c r="A405" t="s">
        <v>3383</v>
      </c>
      <c r="B405" t="s">
        <v>5332</v>
      </c>
      <c r="C405" t="s">
        <v>5470</v>
      </c>
      <c r="D405" t="s">
        <v>4119</v>
      </c>
      <c r="E405" t="s">
        <v>5756</v>
      </c>
      <c r="F405" t="s">
        <v>6567</v>
      </c>
      <c r="G405" t="s">
        <v>6239</v>
      </c>
      <c r="H405" t="s">
        <v>5474</v>
      </c>
      <c r="I405" t="s">
        <v>6568</v>
      </c>
      <c r="J405" t="s">
        <v>5484</v>
      </c>
      <c r="K405" t="s">
        <v>5471</v>
      </c>
      <c r="L405" t="s">
        <v>5471</v>
      </c>
      <c r="M405" t="s">
        <v>5471</v>
      </c>
    </row>
    <row r="406" spans="1:13" x14ac:dyDescent="0.3">
      <c r="A406" t="s">
        <v>3397</v>
      </c>
      <c r="B406" t="s">
        <v>6559</v>
      </c>
      <c r="C406" t="s">
        <v>5487</v>
      </c>
      <c r="D406" t="s">
        <v>4119</v>
      </c>
      <c r="E406" t="s">
        <v>5471</v>
      </c>
      <c r="F406" t="s">
        <v>6530</v>
      </c>
      <c r="G406" t="s">
        <v>6569</v>
      </c>
      <c r="H406" t="s">
        <v>5474</v>
      </c>
      <c r="I406" t="s">
        <v>6570</v>
      </c>
      <c r="J406" t="s">
        <v>5476</v>
      </c>
      <c r="K406" t="s">
        <v>5471</v>
      </c>
      <c r="L406" t="s">
        <v>5471</v>
      </c>
      <c r="M406" t="s">
        <v>5471</v>
      </c>
    </row>
    <row r="407" spans="1:13" x14ac:dyDescent="0.3">
      <c r="A407" t="s">
        <v>3397</v>
      </c>
      <c r="B407" t="s">
        <v>6559</v>
      </c>
      <c r="C407" t="s">
        <v>5487</v>
      </c>
      <c r="D407" t="s">
        <v>4119</v>
      </c>
      <c r="E407" t="s">
        <v>5471</v>
      </c>
      <c r="F407" t="s">
        <v>6571</v>
      </c>
      <c r="G407" t="s">
        <v>6572</v>
      </c>
      <c r="H407" t="s">
        <v>5474</v>
      </c>
      <c r="I407" t="s">
        <v>6573</v>
      </c>
      <c r="J407" t="s">
        <v>5476</v>
      </c>
      <c r="K407" t="s">
        <v>5471</v>
      </c>
      <c r="L407" t="s">
        <v>5471</v>
      </c>
      <c r="M407" t="s">
        <v>5471</v>
      </c>
    </row>
    <row r="408" spans="1:13" x14ac:dyDescent="0.3">
      <c r="A408" t="s">
        <v>3383</v>
      </c>
      <c r="B408" t="s">
        <v>5332</v>
      </c>
      <c r="C408" t="s">
        <v>5470</v>
      </c>
      <c r="D408" t="s">
        <v>4119</v>
      </c>
      <c r="E408" t="s">
        <v>5532</v>
      </c>
      <c r="F408" t="s">
        <v>6574</v>
      </c>
      <c r="G408" t="s">
        <v>6239</v>
      </c>
      <c r="H408" t="s">
        <v>5474</v>
      </c>
      <c r="I408" t="s">
        <v>6575</v>
      </c>
      <c r="J408" t="s">
        <v>5476</v>
      </c>
      <c r="K408" t="s">
        <v>5471</v>
      </c>
      <c r="L408" t="s">
        <v>5471</v>
      </c>
      <c r="M408" t="s">
        <v>5471</v>
      </c>
    </row>
    <row r="409" spans="1:13" x14ac:dyDescent="0.3">
      <c r="A409" t="s">
        <v>3383</v>
      </c>
      <c r="B409" t="s">
        <v>5320</v>
      </c>
      <c r="C409" t="s">
        <v>5470</v>
      </c>
      <c r="D409" t="s">
        <v>4119</v>
      </c>
      <c r="E409" t="s">
        <v>5532</v>
      </c>
      <c r="F409" t="s">
        <v>6576</v>
      </c>
      <c r="G409" t="s">
        <v>6577</v>
      </c>
      <c r="H409" t="s">
        <v>5474</v>
      </c>
      <c r="I409" t="s">
        <v>6578</v>
      </c>
      <c r="J409" t="s">
        <v>5484</v>
      </c>
      <c r="K409" t="s">
        <v>5471</v>
      </c>
      <c r="L409" t="s">
        <v>5471</v>
      </c>
      <c r="M409" t="s">
        <v>5471</v>
      </c>
    </row>
    <row r="410" spans="1:13" x14ac:dyDescent="0.3">
      <c r="A410" t="s">
        <v>3383</v>
      </c>
      <c r="B410" t="s">
        <v>5332</v>
      </c>
      <c r="C410" t="s">
        <v>5470</v>
      </c>
      <c r="D410" t="s">
        <v>4119</v>
      </c>
      <c r="E410" t="s">
        <v>5532</v>
      </c>
      <c r="F410" t="s">
        <v>6579</v>
      </c>
      <c r="G410" t="s">
        <v>6239</v>
      </c>
      <c r="H410" t="s">
        <v>5474</v>
      </c>
      <c r="I410" t="s">
        <v>6580</v>
      </c>
      <c r="J410" t="s">
        <v>5476</v>
      </c>
      <c r="K410" t="s">
        <v>5471</v>
      </c>
      <c r="L410" t="s">
        <v>5471</v>
      </c>
      <c r="M410" t="s">
        <v>5471</v>
      </c>
    </row>
    <row r="411" spans="1:13" x14ac:dyDescent="0.3">
      <c r="A411" t="s">
        <v>3383</v>
      </c>
      <c r="B411" t="s">
        <v>5332</v>
      </c>
      <c r="C411" t="s">
        <v>5470</v>
      </c>
      <c r="D411" t="s">
        <v>4119</v>
      </c>
      <c r="E411" t="s">
        <v>5532</v>
      </c>
      <c r="F411" t="s">
        <v>6581</v>
      </c>
      <c r="G411" t="s">
        <v>6241</v>
      </c>
      <c r="H411" t="s">
        <v>5474</v>
      </c>
      <c r="I411" t="s">
        <v>6582</v>
      </c>
      <c r="J411" t="s">
        <v>5484</v>
      </c>
      <c r="K411" t="s">
        <v>5471</v>
      </c>
      <c r="L411" t="s">
        <v>5471</v>
      </c>
      <c r="M411" t="s">
        <v>5471</v>
      </c>
    </row>
    <row r="412" spans="1:13" x14ac:dyDescent="0.3">
      <c r="A412" t="s">
        <v>3383</v>
      </c>
      <c r="B412" t="s">
        <v>5332</v>
      </c>
      <c r="C412" t="s">
        <v>5470</v>
      </c>
      <c r="D412" t="s">
        <v>4119</v>
      </c>
      <c r="E412" t="s">
        <v>5532</v>
      </c>
      <c r="F412" t="s">
        <v>6583</v>
      </c>
      <c r="G412" t="s">
        <v>6241</v>
      </c>
      <c r="H412" t="s">
        <v>5474</v>
      </c>
      <c r="I412" t="s">
        <v>6584</v>
      </c>
      <c r="J412" t="s">
        <v>5484</v>
      </c>
      <c r="K412" t="s">
        <v>5471</v>
      </c>
      <c r="L412" t="s">
        <v>5471</v>
      </c>
      <c r="M412" t="s">
        <v>5471</v>
      </c>
    </row>
    <row r="413" spans="1:13" x14ac:dyDescent="0.3">
      <c r="A413" t="s">
        <v>3383</v>
      </c>
      <c r="B413" t="s">
        <v>5332</v>
      </c>
      <c r="C413" t="s">
        <v>5470</v>
      </c>
      <c r="D413" t="s">
        <v>4119</v>
      </c>
      <c r="E413" t="s">
        <v>5532</v>
      </c>
      <c r="F413" t="s">
        <v>6585</v>
      </c>
      <c r="G413" t="s">
        <v>6586</v>
      </c>
      <c r="H413" t="s">
        <v>5474</v>
      </c>
      <c r="I413" t="s">
        <v>6587</v>
      </c>
      <c r="J413" t="s">
        <v>5484</v>
      </c>
      <c r="K413" t="s">
        <v>5471</v>
      </c>
      <c r="L413" t="s">
        <v>5471</v>
      </c>
      <c r="M413" t="s">
        <v>5471</v>
      </c>
    </row>
    <row r="414" spans="1:13" x14ac:dyDescent="0.3">
      <c r="A414" t="s">
        <v>3383</v>
      </c>
      <c r="B414" t="s">
        <v>5332</v>
      </c>
      <c r="C414" t="s">
        <v>5470</v>
      </c>
      <c r="D414" t="s">
        <v>4119</v>
      </c>
      <c r="E414" t="s">
        <v>5532</v>
      </c>
      <c r="F414" t="s">
        <v>6588</v>
      </c>
      <c r="G414" t="s">
        <v>6589</v>
      </c>
      <c r="H414" t="s">
        <v>5474</v>
      </c>
      <c r="I414" t="s">
        <v>6590</v>
      </c>
      <c r="J414" t="s">
        <v>5484</v>
      </c>
      <c r="K414" t="s">
        <v>5471</v>
      </c>
      <c r="L414" t="s">
        <v>5471</v>
      </c>
      <c r="M414" t="s">
        <v>5471</v>
      </c>
    </row>
    <row r="415" spans="1:13" x14ac:dyDescent="0.3">
      <c r="A415" t="s">
        <v>3383</v>
      </c>
      <c r="B415" t="s">
        <v>5332</v>
      </c>
      <c r="C415" t="s">
        <v>5470</v>
      </c>
      <c r="D415" t="s">
        <v>4119</v>
      </c>
      <c r="E415" t="s">
        <v>5532</v>
      </c>
      <c r="F415" t="s">
        <v>6591</v>
      </c>
      <c r="G415" t="s">
        <v>6592</v>
      </c>
      <c r="H415" t="s">
        <v>5474</v>
      </c>
      <c r="I415" t="s">
        <v>6593</v>
      </c>
      <c r="J415" t="s">
        <v>5484</v>
      </c>
      <c r="K415" t="s">
        <v>5471</v>
      </c>
      <c r="L415" t="s">
        <v>5471</v>
      </c>
      <c r="M415" t="s">
        <v>5471</v>
      </c>
    </row>
    <row r="416" spans="1:13" x14ac:dyDescent="0.3">
      <c r="A416" t="s">
        <v>3383</v>
      </c>
      <c r="B416" t="s">
        <v>5332</v>
      </c>
      <c r="C416" t="s">
        <v>5470</v>
      </c>
      <c r="D416" t="s">
        <v>4119</v>
      </c>
      <c r="E416" t="s">
        <v>5532</v>
      </c>
      <c r="F416" t="s">
        <v>6594</v>
      </c>
      <c r="G416" t="s">
        <v>6595</v>
      </c>
      <c r="H416" t="s">
        <v>5474</v>
      </c>
      <c r="I416" t="s">
        <v>6596</v>
      </c>
      <c r="J416" t="s">
        <v>5484</v>
      </c>
      <c r="K416" t="s">
        <v>5471</v>
      </c>
      <c r="L416" t="s">
        <v>5471</v>
      </c>
      <c r="M416" t="s">
        <v>5471</v>
      </c>
    </row>
    <row r="417" spans="1:13" x14ac:dyDescent="0.3">
      <c r="A417" t="s">
        <v>3383</v>
      </c>
      <c r="B417" t="s">
        <v>5332</v>
      </c>
      <c r="C417" t="s">
        <v>5470</v>
      </c>
      <c r="D417" t="s">
        <v>4119</v>
      </c>
      <c r="E417" t="s">
        <v>5756</v>
      </c>
      <c r="F417" t="s">
        <v>6597</v>
      </c>
      <c r="G417" t="s">
        <v>6598</v>
      </c>
      <c r="H417" t="s">
        <v>5474</v>
      </c>
      <c r="I417" t="s">
        <v>6599</v>
      </c>
      <c r="J417" t="s">
        <v>5476</v>
      </c>
      <c r="K417" t="s">
        <v>5471</v>
      </c>
      <c r="L417" t="s">
        <v>5471</v>
      </c>
      <c r="M417" t="s">
        <v>5471</v>
      </c>
    </row>
    <row r="418" spans="1:13" x14ac:dyDescent="0.3">
      <c r="A418" t="s">
        <v>3397</v>
      </c>
      <c r="B418" t="s">
        <v>5761</v>
      </c>
      <c r="C418" t="s">
        <v>5487</v>
      </c>
      <c r="D418" t="s">
        <v>4119</v>
      </c>
      <c r="E418" t="s">
        <v>5756</v>
      </c>
      <c r="F418" t="s">
        <v>6600</v>
      </c>
      <c r="G418" t="s">
        <v>5763</v>
      </c>
      <c r="H418" t="s">
        <v>5474</v>
      </c>
      <c r="I418" t="s">
        <v>6601</v>
      </c>
      <c r="J418" t="s">
        <v>5476</v>
      </c>
      <c r="K418" t="s">
        <v>5471</v>
      </c>
      <c r="L418" t="s">
        <v>5471</v>
      </c>
      <c r="M418" t="s">
        <v>5471</v>
      </c>
    </row>
    <row r="419" spans="1:13" x14ac:dyDescent="0.3">
      <c r="A419" t="s">
        <v>3397</v>
      </c>
      <c r="B419" t="s">
        <v>6602</v>
      </c>
      <c r="C419" t="s">
        <v>5487</v>
      </c>
      <c r="D419" t="s">
        <v>4119</v>
      </c>
      <c r="E419" t="s">
        <v>5532</v>
      </c>
      <c r="F419" t="s">
        <v>6603</v>
      </c>
      <c r="G419" t="s">
        <v>6604</v>
      </c>
      <c r="H419" t="s">
        <v>5474</v>
      </c>
      <c r="I419" t="s">
        <v>6605</v>
      </c>
      <c r="J419" t="s">
        <v>5476</v>
      </c>
      <c r="K419" t="s">
        <v>5471</v>
      </c>
      <c r="L419" t="s">
        <v>5471</v>
      </c>
      <c r="M419" t="s">
        <v>5471</v>
      </c>
    </row>
    <row r="420" spans="1:13" x14ac:dyDescent="0.3">
      <c r="A420" t="s">
        <v>3397</v>
      </c>
      <c r="B420" t="s">
        <v>5755</v>
      </c>
      <c r="C420" t="s">
        <v>5487</v>
      </c>
      <c r="D420" t="s">
        <v>4119</v>
      </c>
      <c r="E420" t="s">
        <v>5756</v>
      </c>
      <c r="F420" t="s">
        <v>6600</v>
      </c>
      <c r="G420" t="s">
        <v>5758</v>
      </c>
      <c r="H420" t="s">
        <v>5474</v>
      </c>
      <c r="I420" t="s">
        <v>6606</v>
      </c>
      <c r="J420" t="s">
        <v>5476</v>
      </c>
      <c r="K420" t="s">
        <v>5471</v>
      </c>
      <c r="L420" t="s">
        <v>5471</v>
      </c>
      <c r="M420" t="s">
        <v>5471</v>
      </c>
    </row>
    <row r="421" spans="1:13" x14ac:dyDescent="0.3">
      <c r="A421" t="s">
        <v>3383</v>
      </c>
      <c r="B421" t="s">
        <v>5324</v>
      </c>
      <c r="C421" t="s">
        <v>5487</v>
      </c>
      <c r="D421" t="s">
        <v>4119</v>
      </c>
      <c r="E421" t="s">
        <v>5532</v>
      </c>
      <c r="F421" t="s">
        <v>6300</v>
      </c>
      <c r="G421" t="s">
        <v>6607</v>
      </c>
      <c r="H421" t="s">
        <v>5474</v>
      </c>
      <c r="I421" t="s">
        <v>6608</v>
      </c>
      <c r="J421" t="s">
        <v>5476</v>
      </c>
      <c r="K421" t="s">
        <v>5471</v>
      </c>
      <c r="L421" t="s">
        <v>5471</v>
      </c>
      <c r="M421" t="s">
        <v>5471</v>
      </c>
    </row>
    <row r="422" spans="1:13" x14ac:dyDescent="0.3">
      <c r="A422" t="s">
        <v>3383</v>
      </c>
      <c r="B422" t="s">
        <v>6063</v>
      </c>
      <c r="C422" t="s">
        <v>5470</v>
      </c>
      <c r="D422" t="s">
        <v>4119</v>
      </c>
      <c r="E422" t="s">
        <v>5756</v>
      </c>
      <c r="F422" t="s">
        <v>6609</v>
      </c>
      <c r="G422" t="s">
        <v>6610</v>
      </c>
      <c r="H422" t="s">
        <v>5474</v>
      </c>
      <c r="I422" t="s">
        <v>6611</v>
      </c>
      <c r="J422" t="s">
        <v>5476</v>
      </c>
      <c r="K422" t="s">
        <v>5471</v>
      </c>
      <c r="L422" t="s">
        <v>5471</v>
      </c>
      <c r="M422" t="s">
        <v>5471</v>
      </c>
    </row>
    <row r="423" spans="1:13" x14ac:dyDescent="0.3">
      <c r="A423" t="s">
        <v>3383</v>
      </c>
      <c r="B423" t="s">
        <v>6063</v>
      </c>
      <c r="C423" t="s">
        <v>5470</v>
      </c>
      <c r="D423" t="s">
        <v>4119</v>
      </c>
      <c r="E423" t="s">
        <v>5756</v>
      </c>
      <c r="F423" t="s">
        <v>6612</v>
      </c>
      <c r="G423" t="s">
        <v>6613</v>
      </c>
      <c r="H423" t="s">
        <v>5474</v>
      </c>
      <c r="I423" t="s">
        <v>6614</v>
      </c>
      <c r="J423" t="s">
        <v>5476</v>
      </c>
      <c r="K423" t="s">
        <v>5471</v>
      </c>
      <c r="L423" t="s">
        <v>5471</v>
      </c>
      <c r="M423" t="s">
        <v>5471</v>
      </c>
    </row>
    <row r="424" spans="1:13" x14ac:dyDescent="0.3">
      <c r="A424" t="s">
        <v>3383</v>
      </c>
      <c r="B424" t="s">
        <v>6063</v>
      </c>
      <c r="C424" t="s">
        <v>5470</v>
      </c>
      <c r="D424" t="s">
        <v>4119</v>
      </c>
      <c r="E424" t="s">
        <v>5756</v>
      </c>
      <c r="F424" t="s">
        <v>6300</v>
      </c>
      <c r="G424" t="s">
        <v>6154</v>
      </c>
      <c r="H424" t="s">
        <v>5474</v>
      </c>
      <c r="I424" t="s">
        <v>6615</v>
      </c>
      <c r="J424" t="s">
        <v>5476</v>
      </c>
      <c r="K424" t="s">
        <v>5471</v>
      </c>
      <c r="L424" t="s">
        <v>5471</v>
      </c>
      <c r="M424" t="s">
        <v>5471</v>
      </c>
    </row>
    <row r="425" spans="1:13" x14ac:dyDescent="0.3">
      <c r="A425" t="s">
        <v>3383</v>
      </c>
      <c r="B425" t="s">
        <v>6616</v>
      </c>
      <c r="C425" t="s">
        <v>5470</v>
      </c>
      <c r="D425" t="s">
        <v>4119</v>
      </c>
      <c r="E425" t="s">
        <v>5471</v>
      </c>
      <c r="F425" t="s">
        <v>6300</v>
      </c>
      <c r="G425" t="s">
        <v>6617</v>
      </c>
      <c r="H425" t="s">
        <v>5474</v>
      </c>
      <c r="I425" t="s">
        <v>6618</v>
      </c>
      <c r="J425" t="s">
        <v>5476</v>
      </c>
      <c r="K425" t="s">
        <v>5471</v>
      </c>
      <c r="L425" t="s">
        <v>5471</v>
      </c>
      <c r="M425" t="s">
        <v>5471</v>
      </c>
    </row>
    <row r="426" spans="1:13" x14ac:dyDescent="0.3">
      <c r="A426" t="s">
        <v>3383</v>
      </c>
      <c r="B426" t="s">
        <v>6178</v>
      </c>
      <c r="C426" t="s">
        <v>5470</v>
      </c>
      <c r="D426" t="s">
        <v>4119</v>
      </c>
      <c r="E426" t="s">
        <v>5471</v>
      </c>
      <c r="F426" t="s">
        <v>6619</v>
      </c>
      <c r="G426" t="s">
        <v>6620</v>
      </c>
      <c r="H426" t="s">
        <v>5474</v>
      </c>
      <c r="I426" t="s">
        <v>6621</v>
      </c>
      <c r="J426" t="s">
        <v>5484</v>
      </c>
      <c r="K426" t="s">
        <v>5471</v>
      </c>
      <c r="L426" t="s">
        <v>5471</v>
      </c>
      <c r="M426" t="s">
        <v>5471</v>
      </c>
    </row>
    <row r="427" spans="1:13" x14ac:dyDescent="0.3">
      <c r="A427" t="s">
        <v>3383</v>
      </c>
      <c r="B427" t="s">
        <v>6178</v>
      </c>
      <c r="C427" t="s">
        <v>5470</v>
      </c>
      <c r="D427" t="s">
        <v>4119</v>
      </c>
      <c r="E427" t="s">
        <v>5471</v>
      </c>
      <c r="F427" t="s">
        <v>6622</v>
      </c>
      <c r="G427" t="s">
        <v>6289</v>
      </c>
      <c r="H427" t="s">
        <v>5474</v>
      </c>
      <c r="I427" t="s">
        <v>6623</v>
      </c>
      <c r="J427" t="s">
        <v>5484</v>
      </c>
      <c r="K427" t="s">
        <v>5471</v>
      </c>
      <c r="L427" t="s">
        <v>5471</v>
      </c>
      <c r="M427" t="s">
        <v>5471</v>
      </c>
    </row>
    <row r="428" spans="1:13" x14ac:dyDescent="0.3">
      <c r="A428" t="s">
        <v>3383</v>
      </c>
      <c r="B428" t="s">
        <v>5952</v>
      </c>
      <c r="C428" t="s">
        <v>5470</v>
      </c>
      <c r="D428" t="s">
        <v>4119</v>
      </c>
      <c r="E428" t="s">
        <v>5480</v>
      </c>
      <c r="F428" t="s">
        <v>6624</v>
      </c>
      <c r="G428" t="s">
        <v>6557</v>
      </c>
      <c r="H428" t="s">
        <v>5474</v>
      </c>
      <c r="I428" t="s">
        <v>6625</v>
      </c>
      <c r="J428" t="s">
        <v>5484</v>
      </c>
      <c r="K428" t="s">
        <v>5471</v>
      </c>
      <c r="L428" t="s">
        <v>5471</v>
      </c>
      <c r="M428" t="s">
        <v>5471</v>
      </c>
    </row>
    <row r="429" spans="1:13" x14ac:dyDescent="0.3">
      <c r="A429" t="s">
        <v>3383</v>
      </c>
      <c r="B429" t="s">
        <v>5952</v>
      </c>
      <c r="C429" t="s">
        <v>5470</v>
      </c>
      <c r="D429" t="s">
        <v>4119</v>
      </c>
      <c r="E429" t="s">
        <v>5480</v>
      </c>
      <c r="F429" t="s">
        <v>6626</v>
      </c>
      <c r="G429" t="s">
        <v>6557</v>
      </c>
      <c r="H429" t="s">
        <v>5474</v>
      </c>
      <c r="I429" t="s">
        <v>6627</v>
      </c>
      <c r="J429" t="s">
        <v>5484</v>
      </c>
      <c r="K429" t="s">
        <v>5471</v>
      </c>
      <c r="L429" t="s">
        <v>5471</v>
      </c>
      <c r="M429" t="s">
        <v>5471</v>
      </c>
    </row>
    <row r="430" spans="1:13" x14ac:dyDescent="0.3">
      <c r="A430" t="s">
        <v>3383</v>
      </c>
      <c r="B430" t="s">
        <v>5952</v>
      </c>
      <c r="C430" t="s">
        <v>5470</v>
      </c>
      <c r="D430" t="s">
        <v>4119</v>
      </c>
      <c r="E430" t="s">
        <v>5480</v>
      </c>
      <c r="F430" t="s">
        <v>6628</v>
      </c>
      <c r="G430" t="s">
        <v>6557</v>
      </c>
      <c r="H430" t="s">
        <v>5474</v>
      </c>
      <c r="I430" t="s">
        <v>6629</v>
      </c>
      <c r="J430" t="s">
        <v>5484</v>
      </c>
      <c r="K430" t="s">
        <v>5471</v>
      </c>
      <c r="L430" t="s">
        <v>5471</v>
      </c>
      <c r="M430" t="s">
        <v>5471</v>
      </c>
    </row>
    <row r="431" spans="1:13" x14ac:dyDescent="0.3">
      <c r="A431" t="s">
        <v>3383</v>
      </c>
      <c r="B431" t="s">
        <v>5952</v>
      </c>
      <c r="C431" t="s">
        <v>5470</v>
      </c>
      <c r="D431" t="s">
        <v>4119</v>
      </c>
      <c r="E431" t="s">
        <v>5480</v>
      </c>
      <c r="F431" t="s">
        <v>6630</v>
      </c>
      <c r="G431" t="s">
        <v>6557</v>
      </c>
      <c r="H431" t="s">
        <v>5474</v>
      </c>
      <c r="I431" t="s">
        <v>6631</v>
      </c>
      <c r="J431" t="s">
        <v>5484</v>
      </c>
      <c r="K431" t="s">
        <v>5471</v>
      </c>
      <c r="L431" t="s">
        <v>5471</v>
      </c>
      <c r="M431" t="s">
        <v>5471</v>
      </c>
    </row>
    <row r="432" spans="1:13" x14ac:dyDescent="0.3">
      <c r="A432" t="s">
        <v>3388</v>
      </c>
      <c r="B432" t="s">
        <v>6632</v>
      </c>
      <c r="C432" t="s">
        <v>5470</v>
      </c>
      <c r="D432" t="s">
        <v>4119</v>
      </c>
      <c r="E432" t="s">
        <v>5532</v>
      </c>
      <c r="F432" t="s">
        <v>6633</v>
      </c>
      <c r="G432" t="s">
        <v>6634</v>
      </c>
      <c r="H432" t="s">
        <v>5474</v>
      </c>
      <c r="I432" t="s">
        <v>6635</v>
      </c>
      <c r="J432" t="s">
        <v>5476</v>
      </c>
      <c r="K432" t="s">
        <v>5471</v>
      </c>
      <c r="L432" t="s">
        <v>5471</v>
      </c>
      <c r="M432" t="s">
        <v>5471</v>
      </c>
    </row>
    <row r="433" spans="1:13" x14ac:dyDescent="0.3">
      <c r="A433" t="s">
        <v>3388</v>
      </c>
      <c r="B433" t="s">
        <v>6632</v>
      </c>
      <c r="C433" t="s">
        <v>5470</v>
      </c>
      <c r="D433" t="s">
        <v>4119</v>
      </c>
      <c r="E433" t="s">
        <v>5532</v>
      </c>
      <c r="F433" t="s">
        <v>6636</v>
      </c>
      <c r="G433" t="s">
        <v>6634</v>
      </c>
      <c r="H433" t="s">
        <v>5474</v>
      </c>
      <c r="I433" t="s">
        <v>6637</v>
      </c>
      <c r="J433" t="s">
        <v>5476</v>
      </c>
      <c r="K433" t="s">
        <v>5471</v>
      </c>
      <c r="L433" t="s">
        <v>5471</v>
      </c>
      <c r="M433" t="s">
        <v>5471</v>
      </c>
    </row>
    <row r="434" spans="1:13" x14ac:dyDescent="0.3">
      <c r="A434" t="s">
        <v>3383</v>
      </c>
      <c r="B434" t="s">
        <v>5952</v>
      </c>
      <c r="C434" t="s">
        <v>5470</v>
      </c>
      <c r="D434" t="s">
        <v>4119</v>
      </c>
      <c r="E434" t="s">
        <v>5480</v>
      </c>
      <c r="F434" t="s">
        <v>6638</v>
      </c>
      <c r="G434" t="s">
        <v>6557</v>
      </c>
      <c r="H434" t="s">
        <v>5474</v>
      </c>
      <c r="I434" t="s">
        <v>6639</v>
      </c>
      <c r="J434" t="s">
        <v>5484</v>
      </c>
      <c r="K434" t="s">
        <v>5471</v>
      </c>
      <c r="L434" t="s">
        <v>5471</v>
      </c>
      <c r="M434" t="s">
        <v>5471</v>
      </c>
    </row>
    <row r="435" spans="1:13" x14ac:dyDescent="0.3">
      <c r="A435" t="s">
        <v>3383</v>
      </c>
      <c r="B435" t="s">
        <v>5332</v>
      </c>
      <c r="C435" t="s">
        <v>5470</v>
      </c>
      <c r="D435" t="s">
        <v>4119</v>
      </c>
      <c r="E435" t="s">
        <v>5532</v>
      </c>
      <c r="F435" t="s">
        <v>6640</v>
      </c>
      <c r="G435" t="s">
        <v>6105</v>
      </c>
      <c r="H435" t="s">
        <v>5474</v>
      </c>
      <c r="I435" t="s">
        <v>6641</v>
      </c>
      <c r="J435" t="s">
        <v>5484</v>
      </c>
      <c r="K435" t="s">
        <v>5471</v>
      </c>
      <c r="L435" t="s">
        <v>5471</v>
      </c>
      <c r="M435" t="s">
        <v>5471</v>
      </c>
    </row>
    <row r="436" spans="1:13" x14ac:dyDescent="0.3">
      <c r="A436" t="s">
        <v>3383</v>
      </c>
      <c r="B436" t="s">
        <v>5332</v>
      </c>
      <c r="C436" t="s">
        <v>5470</v>
      </c>
      <c r="D436" t="s">
        <v>4119</v>
      </c>
      <c r="E436" t="s">
        <v>5532</v>
      </c>
      <c r="F436" t="s">
        <v>6642</v>
      </c>
      <c r="G436" t="s">
        <v>6105</v>
      </c>
      <c r="H436" t="s">
        <v>5474</v>
      </c>
      <c r="I436" t="s">
        <v>6643</v>
      </c>
      <c r="J436" t="s">
        <v>5484</v>
      </c>
      <c r="K436" t="s">
        <v>5471</v>
      </c>
      <c r="L436" t="s">
        <v>5471</v>
      </c>
      <c r="M436" t="s">
        <v>5471</v>
      </c>
    </row>
    <row r="437" spans="1:13" x14ac:dyDescent="0.3">
      <c r="A437" t="s">
        <v>3383</v>
      </c>
      <c r="B437" t="s">
        <v>5332</v>
      </c>
      <c r="C437" t="s">
        <v>5470</v>
      </c>
      <c r="D437" t="s">
        <v>4119</v>
      </c>
      <c r="E437" t="s">
        <v>5532</v>
      </c>
      <c r="F437" t="s">
        <v>6644</v>
      </c>
      <c r="G437" t="s">
        <v>6239</v>
      </c>
      <c r="H437" t="s">
        <v>5474</v>
      </c>
      <c r="I437" t="s">
        <v>6645</v>
      </c>
      <c r="J437" t="s">
        <v>5484</v>
      </c>
      <c r="K437" t="s">
        <v>5471</v>
      </c>
      <c r="L437" t="s">
        <v>5471</v>
      </c>
      <c r="M437" t="s">
        <v>5471</v>
      </c>
    </row>
    <row r="438" spans="1:13" x14ac:dyDescent="0.3">
      <c r="A438" t="s">
        <v>3383</v>
      </c>
      <c r="B438" t="s">
        <v>5332</v>
      </c>
      <c r="C438" t="s">
        <v>5470</v>
      </c>
      <c r="D438" t="s">
        <v>4119</v>
      </c>
      <c r="E438" t="s">
        <v>5532</v>
      </c>
      <c r="F438" t="s">
        <v>6646</v>
      </c>
      <c r="G438" t="s">
        <v>6239</v>
      </c>
      <c r="H438" t="s">
        <v>5474</v>
      </c>
      <c r="I438" t="s">
        <v>6647</v>
      </c>
      <c r="J438" t="s">
        <v>5484</v>
      </c>
      <c r="K438" t="s">
        <v>5471</v>
      </c>
      <c r="L438" t="s">
        <v>5471</v>
      </c>
      <c r="M438" t="s">
        <v>5471</v>
      </c>
    </row>
    <row r="439" spans="1:13" x14ac:dyDescent="0.3">
      <c r="A439" t="s">
        <v>3383</v>
      </c>
      <c r="B439" t="s">
        <v>5332</v>
      </c>
      <c r="C439" t="s">
        <v>5470</v>
      </c>
      <c r="D439" t="s">
        <v>4119</v>
      </c>
      <c r="E439" t="s">
        <v>5532</v>
      </c>
      <c r="F439" t="s">
        <v>6648</v>
      </c>
      <c r="G439" t="s">
        <v>6241</v>
      </c>
      <c r="H439" t="s">
        <v>5474</v>
      </c>
      <c r="I439" t="s">
        <v>6649</v>
      </c>
      <c r="J439" t="s">
        <v>5484</v>
      </c>
      <c r="K439" t="s">
        <v>5471</v>
      </c>
      <c r="L439" t="s">
        <v>5471</v>
      </c>
      <c r="M439" t="s">
        <v>5471</v>
      </c>
    </row>
    <row r="440" spans="1:13" x14ac:dyDescent="0.3">
      <c r="A440" t="s">
        <v>3383</v>
      </c>
      <c r="B440" t="s">
        <v>5332</v>
      </c>
      <c r="C440" t="s">
        <v>5470</v>
      </c>
      <c r="D440" t="s">
        <v>4119</v>
      </c>
      <c r="E440" t="s">
        <v>5532</v>
      </c>
      <c r="F440" t="s">
        <v>6650</v>
      </c>
      <c r="G440" t="s">
        <v>6241</v>
      </c>
      <c r="H440" t="s">
        <v>5474</v>
      </c>
      <c r="I440" t="s">
        <v>6651</v>
      </c>
      <c r="J440" t="s">
        <v>5484</v>
      </c>
      <c r="K440" t="s">
        <v>5471</v>
      </c>
      <c r="L440" t="s">
        <v>5471</v>
      </c>
      <c r="M440" t="s">
        <v>5471</v>
      </c>
    </row>
    <row r="441" spans="1:13" x14ac:dyDescent="0.3">
      <c r="A441" t="s">
        <v>3383</v>
      </c>
      <c r="B441" t="s">
        <v>5332</v>
      </c>
      <c r="C441" t="s">
        <v>5470</v>
      </c>
      <c r="D441" t="s">
        <v>4119</v>
      </c>
      <c r="E441" t="s">
        <v>5532</v>
      </c>
      <c r="F441" t="s">
        <v>6652</v>
      </c>
      <c r="G441" t="s">
        <v>6653</v>
      </c>
      <c r="H441" t="s">
        <v>5474</v>
      </c>
      <c r="I441" t="s">
        <v>6654</v>
      </c>
      <c r="J441" t="s">
        <v>5484</v>
      </c>
      <c r="K441" t="s">
        <v>5471</v>
      </c>
      <c r="L441" t="s">
        <v>5471</v>
      </c>
      <c r="M441" t="s">
        <v>5471</v>
      </c>
    </row>
    <row r="442" spans="1:13" x14ac:dyDescent="0.3">
      <c r="A442" t="s">
        <v>3383</v>
      </c>
      <c r="B442" t="s">
        <v>5332</v>
      </c>
      <c r="C442" t="s">
        <v>5470</v>
      </c>
      <c r="D442" t="s">
        <v>4119</v>
      </c>
      <c r="E442" t="s">
        <v>5532</v>
      </c>
      <c r="F442" t="s">
        <v>6655</v>
      </c>
      <c r="G442" t="s">
        <v>6589</v>
      </c>
      <c r="H442" t="s">
        <v>5474</v>
      </c>
      <c r="I442" t="s">
        <v>6656</v>
      </c>
      <c r="J442" t="s">
        <v>5484</v>
      </c>
      <c r="K442" t="s">
        <v>5471</v>
      </c>
      <c r="L442" t="s">
        <v>5471</v>
      </c>
      <c r="M442" t="s">
        <v>5471</v>
      </c>
    </row>
    <row r="443" spans="1:13" x14ac:dyDescent="0.3">
      <c r="A443" t="s">
        <v>3383</v>
      </c>
      <c r="B443" t="s">
        <v>6178</v>
      </c>
      <c r="C443" t="s">
        <v>5470</v>
      </c>
      <c r="D443" t="s">
        <v>4119</v>
      </c>
      <c r="E443" t="s">
        <v>5471</v>
      </c>
      <c r="F443" t="s">
        <v>6657</v>
      </c>
      <c r="G443" t="s">
        <v>6201</v>
      </c>
      <c r="H443" t="s">
        <v>5474</v>
      </c>
      <c r="I443" t="s">
        <v>6658</v>
      </c>
      <c r="J443" t="s">
        <v>5484</v>
      </c>
      <c r="K443" t="s">
        <v>5471</v>
      </c>
      <c r="L443" t="s">
        <v>5471</v>
      </c>
      <c r="M443" t="s">
        <v>5471</v>
      </c>
    </row>
    <row r="444" spans="1:13" x14ac:dyDescent="0.3">
      <c r="A444" t="s">
        <v>3383</v>
      </c>
      <c r="B444" t="s">
        <v>5332</v>
      </c>
      <c r="C444" t="s">
        <v>5470</v>
      </c>
      <c r="D444" t="s">
        <v>4119</v>
      </c>
      <c r="E444" t="s">
        <v>5532</v>
      </c>
      <c r="F444" t="s">
        <v>6659</v>
      </c>
      <c r="G444" t="s">
        <v>6592</v>
      </c>
      <c r="H444" t="s">
        <v>5474</v>
      </c>
      <c r="I444" t="s">
        <v>6660</v>
      </c>
      <c r="J444" t="s">
        <v>5484</v>
      </c>
      <c r="K444" t="s">
        <v>5471</v>
      </c>
      <c r="L444" t="s">
        <v>5471</v>
      </c>
      <c r="M444" t="s">
        <v>5471</v>
      </c>
    </row>
    <row r="445" spans="1:13" x14ac:dyDescent="0.3">
      <c r="A445" t="s">
        <v>3383</v>
      </c>
      <c r="B445" t="s">
        <v>5332</v>
      </c>
      <c r="C445" t="s">
        <v>5470</v>
      </c>
      <c r="D445" t="s">
        <v>4119</v>
      </c>
      <c r="E445" t="s">
        <v>5532</v>
      </c>
      <c r="F445" t="s">
        <v>6661</v>
      </c>
      <c r="G445" t="s">
        <v>6662</v>
      </c>
      <c r="H445" t="s">
        <v>5474</v>
      </c>
      <c r="I445" t="s">
        <v>6663</v>
      </c>
      <c r="J445" t="s">
        <v>5484</v>
      </c>
      <c r="K445" t="s">
        <v>5471</v>
      </c>
      <c r="L445" t="s">
        <v>5471</v>
      </c>
      <c r="M445" t="s">
        <v>5471</v>
      </c>
    </row>
    <row r="446" spans="1:13" x14ac:dyDescent="0.3">
      <c r="A446" t="s">
        <v>3383</v>
      </c>
      <c r="B446" t="s">
        <v>6022</v>
      </c>
      <c r="C446" t="s">
        <v>5487</v>
      </c>
      <c r="D446" t="s">
        <v>4119</v>
      </c>
      <c r="E446" t="s">
        <v>5480</v>
      </c>
      <c r="F446" t="s">
        <v>6664</v>
      </c>
      <c r="G446" t="s">
        <v>6023</v>
      </c>
      <c r="H446" t="s">
        <v>5474</v>
      </c>
      <c r="I446" t="s">
        <v>6665</v>
      </c>
      <c r="J446" t="s">
        <v>5484</v>
      </c>
      <c r="K446" t="s">
        <v>5471</v>
      </c>
      <c r="L446" t="s">
        <v>5471</v>
      </c>
      <c r="M446" t="s">
        <v>5471</v>
      </c>
    </row>
    <row r="447" spans="1:13" x14ac:dyDescent="0.3">
      <c r="A447" t="s">
        <v>3383</v>
      </c>
      <c r="B447" t="s">
        <v>5332</v>
      </c>
      <c r="C447" t="s">
        <v>5470</v>
      </c>
      <c r="D447" t="s">
        <v>4119</v>
      </c>
      <c r="E447" t="s">
        <v>5532</v>
      </c>
      <c r="F447" t="s">
        <v>6666</v>
      </c>
      <c r="G447" t="s">
        <v>6592</v>
      </c>
      <c r="H447" t="s">
        <v>5474</v>
      </c>
      <c r="I447" t="s">
        <v>6667</v>
      </c>
      <c r="J447" t="s">
        <v>5484</v>
      </c>
      <c r="K447" t="s">
        <v>5471</v>
      </c>
      <c r="L447" t="s">
        <v>5471</v>
      </c>
      <c r="M447" t="s">
        <v>5471</v>
      </c>
    </row>
    <row r="448" spans="1:13" x14ac:dyDescent="0.3">
      <c r="A448" t="s">
        <v>3383</v>
      </c>
      <c r="B448" t="s">
        <v>5332</v>
      </c>
      <c r="C448" t="s">
        <v>5470</v>
      </c>
      <c r="D448" t="s">
        <v>4119</v>
      </c>
      <c r="E448" t="s">
        <v>5532</v>
      </c>
      <c r="F448" t="s">
        <v>6668</v>
      </c>
      <c r="G448" t="s">
        <v>6105</v>
      </c>
      <c r="H448" t="s">
        <v>5474</v>
      </c>
      <c r="I448" t="s">
        <v>6669</v>
      </c>
      <c r="J448" t="s">
        <v>5476</v>
      </c>
      <c r="K448" t="s">
        <v>5471</v>
      </c>
      <c r="L448" t="s">
        <v>5471</v>
      </c>
      <c r="M448" t="s">
        <v>5471</v>
      </c>
    </row>
    <row r="449" spans="1:13" x14ac:dyDescent="0.3">
      <c r="A449" t="s">
        <v>3383</v>
      </c>
      <c r="B449" t="s">
        <v>5332</v>
      </c>
      <c r="C449" t="s">
        <v>5470</v>
      </c>
      <c r="D449" t="s">
        <v>4119</v>
      </c>
      <c r="E449" t="s">
        <v>5532</v>
      </c>
      <c r="F449" t="s">
        <v>6670</v>
      </c>
      <c r="G449" t="s">
        <v>6662</v>
      </c>
      <c r="H449" t="s">
        <v>5474</v>
      </c>
      <c r="I449" t="s">
        <v>6671</v>
      </c>
      <c r="J449" t="s">
        <v>5484</v>
      </c>
      <c r="K449" t="s">
        <v>5471</v>
      </c>
      <c r="L449" t="s">
        <v>5471</v>
      </c>
      <c r="M449" t="s">
        <v>5471</v>
      </c>
    </row>
    <row r="450" spans="1:13" x14ac:dyDescent="0.3">
      <c r="A450" t="s">
        <v>3383</v>
      </c>
      <c r="B450" t="s">
        <v>5952</v>
      </c>
      <c r="C450" t="s">
        <v>5470</v>
      </c>
      <c r="D450" t="s">
        <v>4119</v>
      </c>
      <c r="E450" t="s">
        <v>5756</v>
      </c>
      <c r="F450" t="s">
        <v>6672</v>
      </c>
      <c r="G450" t="s">
        <v>6304</v>
      </c>
      <c r="H450" t="s">
        <v>5474</v>
      </c>
      <c r="I450" t="s">
        <v>6673</v>
      </c>
      <c r="J450" t="s">
        <v>5484</v>
      </c>
      <c r="K450" t="s">
        <v>5471</v>
      </c>
      <c r="L450" t="s">
        <v>5471</v>
      </c>
      <c r="M450" t="s">
        <v>5471</v>
      </c>
    </row>
    <row r="451" spans="1:13" x14ac:dyDescent="0.3">
      <c r="A451" t="s">
        <v>3383</v>
      </c>
      <c r="B451" t="s">
        <v>5952</v>
      </c>
      <c r="C451" t="s">
        <v>5470</v>
      </c>
      <c r="D451" t="s">
        <v>4119</v>
      </c>
      <c r="E451" t="s">
        <v>5756</v>
      </c>
      <c r="F451" t="s">
        <v>6674</v>
      </c>
      <c r="G451" t="s">
        <v>6304</v>
      </c>
      <c r="H451" t="s">
        <v>5474</v>
      </c>
      <c r="I451" t="s">
        <v>6675</v>
      </c>
      <c r="J451" t="s">
        <v>5484</v>
      </c>
      <c r="K451" t="s">
        <v>5471</v>
      </c>
      <c r="L451" t="s">
        <v>5471</v>
      </c>
      <c r="M451" t="s">
        <v>5471</v>
      </c>
    </row>
    <row r="452" spans="1:13" x14ac:dyDescent="0.3">
      <c r="A452" t="s">
        <v>3383</v>
      </c>
      <c r="B452" t="s">
        <v>5294</v>
      </c>
      <c r="C452" t="s">
        <v>5470</v>
      </c>
      <c r="D452" t="s">
        <v>4119</v>
      </c>
      <c r="E452" t="s">
        <v>5756</v>
      </c>
      <c r="F452" t="s">
        <v>6676</v>
      </c>
      <c r="G452" t="s">
        <v>6677</v>
      </c>
      <c r="H452" t="s">
        <v>5474</v>
      </c>
      <c r="I452" t="s">
        <v>6678</v>
      </c>
      <c r="J452" t="s">
        <v>5484</v>
      </c>
      <c r="K452" t="s">
        <v>5471</v>
      </c>
      <c r="L452" t="s">
        <v>5471</v>
      </c>
      <c r="M452" t="s">
        <v>5471</v>
      </c>
    </row>
    <row r="453" spans="1:13" x14ac:dyDescent="0.3">
      <c r="A453" t="s">
        <v>3383</v>
      </c>
      <c r="B453" t="s">
        <v>5294</v>
      </c>
      <c r="C453" t="s">
        <v>5470</v>
      </c>
      <c r="D453" t="s">
        <v>4119</v>
      </c>
      <c r="E453" t="s">
        <v>5756</v>
      </c>
      <c r="F453" t="s">
        <v>6679</v>
      </c>
      <c r="G453" t="s">
        <v>6677</v>
      </c>
      <c r="H453" t="s">
        <v>5474</v>
      </c>
      <c r="I453" t="s">
        <v>6680</v>
      </c>
      <c r="J453" t="s">
        <v>5484</v>
      </c>
      <c r="K453" t="s">
        <v>5471</v>
      </c>
      <c r="L453" t="s">
        <v>5471</v>
      </c>
      <c r="M453" t="s">
        <v>5471</v>
      </c>
    </row>
    <row r="454" spans="1:13" x14ac:dyDescent="0.3">
      <c r="A454" t="s">
        <v>3383</v>
      </c>
      <c r="B454" t="s">
        <v>5294</v>
      </c>
      <c r="C454" t="s">
        <v>5470</v>
      </c>
      <c r="D454" t="s">
        <v>4119</v>
      </c>
      <c r="E454" t="s">
        <v>5756</v>
      </c>
      <c r="F454" t="s">
        <v>6681</v>
      </c>
      <c r="G454" t="s">
        <v>6677</v>
      </c>
      <c r="H454" t="s">
        <v>5474</v>
      </c>
      <c r="I454" t="s">
        <v>6682</v>
      </c>
      <c r="J454" t="s">
        <v>5484</v>
      </c>
      <c r="K454" t="s">
        <v>5471</v>
      </c>
      <c r="L454" t="s">
        <v>5471</v>
      </c>
      <c r="M454" t="s">
        <v>5471</v>
      </c>
    </row>
    <row r="455" spans="1:13" x14ac:dyDescent="0.3">
      <c r="A455" t="s">
        <v>3397</v>
      </c>
      <c r="B455" t="s">
        <v>6683</v>
      </c>
      <c r="C455" t="s">
        <v>6342</v>
      </c>
      <c r="D455" t="s">
        <v>4119</v>
      </c>
      <c r="E455" t="s">
        <v>5471</v>
      </c>
      <c r="F455" t="s">
        <v>6684</v>
      </c>
      <c r="G455" t="s">
        <v>6685</v>
      </c>
      <c r="H455" t="s">
        <v>5474</v>
      </c>
      <c r="I455" t="s">
        <v>6686</v>
      </c>
      <c r="J455" t="s">
        <v>5476</v>
      </c>
      <c r="K455" t="s">
        <v>5471</v>
      </c>
      <c r="L455" t="s">
        <v>5471</v>
      </c>
      <c r="M455" t="s">
        <v>5471</v>
      </c>
    </row>
    <row r="456" spans="1:13" x14ac:dyDescent="0.3">
      <c r="A456" t="s">
        <v>3397</v>
      </c>
      <c r="B456" t="s">
        <v>6687</v>
      </c>
      <c r="C456" t="s">
        <v>6342</v>
      </c>
      <c r="D456" t="s">
        <v>4119</v>
      </c>
      <c r="E456" t="s">
        <v>5471</v>
      </c>
      <c r="F456" t="s">
        <v>6684</v>
      </c>
      <c r="G456" t="s">
        <v>6688</v>
      </c>
      <c r="H456" t="s">
        <v>5474</v>
      </c>
      <c r="I456" t="s">
        <v>6689</v>
      </c>
      <c r="J456" t="s">
        <v>5476</v>
      </c>
      <c r="K456" t="s">
        <v>5471</v>
      </c>
      <c r="L456" t="s">
        <v>5471</v>
      </c>
      <c r="M456" t="s">
        <v>5471</v>
      </c>
    </row>
    <row r="457" spans="1:13" x14ac:dyDescent="0.3">
      <c r="A457" t="s">
        <v>3397</v>
      </c>
      <c r="B457" t="s">
        <v>6690</v>
      </c>
      <c r="C457" t="s">
        <v>5487</v>
      </c>
      <c r="D457" t="s">
        <v>4119</v>
      </c>
      <c r="E457" t="s">
        <v>5471</v>
      </c>
      <c r="F457" t="s">
        <v>6691</v>
      </c>
      <c r="G457" t="s">
        <v>6692</v>
      </c>
      <c r="H457" t="s">
        <v>5474</v>
      </c>
      <c r="I457" t="s">
        <v>6693</v>
      </c>
      <c r="J457" t="s">
        <v>5476</v>
      </c>
      <c r="K457" t="s">
        <v>5471</v>
      </c>
      <c r="L457" t="s">
        <v>5471</v>
      </c>
      <c r="M457" t="s">
        <v>5471</v>
      </c>
    </row>
    <row r="458" spans="1:13" x14ac:dyDescent="0.3">
      <c r="A458" t="s">
        <v>3397</v>
      </c>
      <c r="B458" t="s">
        <v>6694</v>
      </c>
      <c r="C458" t="s">
        <v>5487</v>
      </c>
      <c r="D458" t="s">
        <v>4119</v>
      </c>
      <c r="E458" t="s">
        <v>5471</v>
      </c>
      <c r="F458" t="s">
        <v>6695</v>
      </c>
      <c r="G458" t="s">
        <v>6696</v>
      </c>
      <c r="H458" t="s">
        <v>5474</v>
      </c>
      <c r="I458" t="s">
        <v>6697</v>
      </c>
      <c r="J458" t="s">
        <v>5476</v>
      </c>
      <c r="K458" t="s">
        <v>5471</v>
      </c>
      <c r="L458" t="s">
        <v>5471</v>
      </c>
      <c r="M458" t="s">
        <v>5471</v>
      </c>
    </row>
    <row r="459" spans="1:13" x14ac:dyDescent="0.3">
      <c r="A459" t="s">
        <v>3383</v>
      </c>
      <c r="B459" t="s">
        <v>5294</v>
      </c>
      <c r="C459" t="s">
        <v>5470</v>
      </c>
      <c r="D459" t="s">
        <v>4119</v>
      </c>
      <c r="E459" t="s">
        <v>5756</v>
      </c>
      <c r="F459" t="s">
        <v>6698</v>
      </c>
      <c r="G459" t="s">
        <v>6699</v>
      </c>
      <c r="H459" t="s">
        <v>5474</v>
      </c>
      <c r="I459" t="s">
        <v>6700</v>
      </c>
      <c r="J459" t="s">
        <v>5476</v>
      </c>
      <c r="K459" t="s">
        <v>5471</v>
      </c>
      <c r="L459" t="s">
        <v>5471</v>
      </c>
      <c r="M459" t="s">
        <v>5471</v>
      </c>
    </row>
    <row r="460" spans="1:13" x14ac:dyDescent="0.3">
      <c r="A460" t="s">
        <v>3383</v>
      </c>
      <c r="B460" t="s">
        <v>5294</v>
      </c>
      <c r="C460" t="s">
        <v>5470</v>
      </c>
      <c r="D460" t="s">
        <v>4119</v>
      </c>
      <c r="E460" t="s">
        <v>5756</v>
      </c>
      <c r="F460" t="s">
        <v>6701</v>
      </c>
      <c r="G460" t="s">
        <v>6702</v>
      </c>
      <c r="H460" t="s">
        <v>5474</v>
      </c>
      <c r="I460" t="s">
        <v>6703</v>
      </c>
      <c r="J460" t="s">
        <v>5484</v>
      </c>
      <c r="K460" t="s">
        <v>5471</v>
      </c>
      <c r="L460" t="s">
        <v>5471</v>
      </c>
      <c r="M460" t="s">
        <v>5471</v>
      </c>
    </row>
    <row r="461" spans="1:13" x14ac:dyDescent="0.3">
      <c r="A461" t="s">
        <v>3383</v>
      </c>
      <c r="B461" t="s">
        <v>5294</v>
      </c>
      <c r="C461" t="s">
        <v>5470</v>
      </c>
      <c r="D461" t="s">
        <v>4119</v>
      </c>
      <c r="E461" t="s">
        <v>5756</v>
      </c>
      <c r="F461" t="s">
        <v>6704</v>
      </c>
      <c r="G461" t="s">
        <v>6702</v>
      </c>
      <c r="H461" t="s">
        <v>5474</v>
      </c>
      <c r="I461" t="s">
        <v>6705</v>
      </c>
      <c r="J461" t="s">
        <v>5484</v>
      </c>
      <c r="K461" t="s">
        <v>5471</v>
      </c>
      <c r="L461" t="s">
        <v>5471</v>
      </c>
      <c r="M461" t="s">
        <v>5471</v>
      </c>
    </row>
    <row r="462" spans="1:13" x14ac:dyDescent="0.3">
      <c r="A462" t="s">
        <v>3383</v>
      </c>
      <c r="B462" t="s">
        <v>5294</v>
      </c>
      <c r="C462" t="s">
        <v>5470</v>
      </c>
      <c r="D462" t="s">
        <v>4119</v>
      </c>
      <c r="E462" t="s">
        <v>5756</v>
      </c>
      <c r="F462" t="s">
        <v>6706</v>
      </c>
      <c r="G462" t="s">
        <v>6702</v>
      </c>
      <c r="H462" t="s">
        <v>5474</v>
      </c>
      <c r="I462" t="s">
        <v>6707</v>
      </c>
      <c r="J462" t="s">
        <v>5484</v>
      </c>
      <c r="K462" t="s">
        <v>5471</v>
      </c>
      <c r="L462" t="s">
        <v>5471</v>
      </c>
      <c r="M462" t="s">
        <v>5471</v>
      </c>
    </row>
    <row r="463" spans="1:13" x14ac:dyDescent="0.3">
      <c r="A463" t="s">
        <v>3383</v>
      </c>
      <c r="B463" t="s">
        <v>5294</v>
      </c>
      <c r="C463" t="s">
        <v>5470</v>
      </c>
      <c r="D463" t="s">
        <v>4119</v>
      </c>
      <c r="E463" t="s">
        <v>5756</v>
      </c>
      <c r="F463" t="s">
        <v>6708</v>
      </c>
      <c r="G463" t="s">
        <v>6702</v>
      </c>
      <c r="H463" t="s">
        <v>5474</v>
      </c>
      <c r="I463" t="s">
        <v>6709</v>
      </c>
      <c r="J463" t="s">
        <v>5476</v>
      </c>
      <c r="K463" t="s">
        <v>5471</v>
      </c>
      <c r="L463" t="s">
        <v>5471</v>
      </c>
      <c r="M463" t="s">
        <v>5471</v>
      </c>
    </row>
    <row r="464" spans="1:13" x14ac:dyDescent="0.3">
      <c r="A464" t="s">
        <v>3383</v>
      </c>
      <c r="B464" t="s">
        <v>5294</v>
      </c>
      <c r="C464" t="s">
        <v>5470</v>
      </c>
      <c r="D464" t="s">
        <v>4119</v>
      </c>
      <c r="E464" t="s">
        <v>5756</v>
      </c>
      <c r="F464" t="s">
        <v>6710</v>
      </c>
      <c r="G464" t="s">
        <v>6702</v>
      </c>
      <c r="H464" t="s">
        <v>5474</v>
      </c>
      <c r="I464" t="s">
        <v>6711</v>
      </c>
      <c r="J464" t="s">
        <v>5476</v>
      </c>
      <c r="K464" t="s">
        <v>5471</v>
      </c>
      <c r="L464" t="s">
        <v>5471</v>
      </c>
      <c r="M464" t="s">
        <v>5471</v>
      </c>
    </row>
    <row r="465" spans="1:13" x14ac:dyDescent="0.3">
      <c r="A465" t="s">
        <v>3383</v>
      </c>
      <c r="B465" t="s">
        <v>5294</v>
      </c>
      <c r="C465" t="s">
        <v>5470</v>
      </c>
      <c r="D465" t="s">
        <v>4119</v>
      </c>
      <c r="E465" t="s">
        <v>5756</v>
      </c>
      <c r="F465" t="s">
        <v>6712</v>
      </c>
      <c r="G465" t="s">
        <v>6702</v>
      </c>
      <c r="H465" t="s">
        <v>5474</v>
      </c>
      <c r="I465" t="s">
        <v>6713</v>
      </c>
      <c r="J465" t="s">
        <v>5476</v>
      </c>
      <c r="K465" t="s">
        <v>5471</v>
      </c>
      <c r="L465" t="s">
        <v>5471</v>
      </c>
      <c r="M465" t="s">
        <v>5471</v>
      </c>
    </row>
    <row r="466" spans="1:13" x14ac:dyDescent="0.3">
      <c r="A466" t="s">
        <v>3383</v>
      </c>
      <c r="B466" t="s">
        <v>5294</v>
      </c>
      <c r="C466" t="s">
        <v>5470</v>
      </c>
      <c r="D466" t="s">
        <v>4119</v>
      </c>
      <c r="E466" t="s">
        <v>5756</v>
      </c>
      <c r="F466" t="s">
        <v>6714</v>
      </c>
      <c r="G466" t="s">
        <v>6699</v>
      </c>
      <c r="H466" t="s">
        <v>5474</v>
      </c>
      <c r="I466" t="s">
        <v>6715</v>
      </c>
      <c r="J466" t="s">
        <v>5484</v>
      </c>
      <c r="K466" t="s">
        <v>5471</v>
      </c>
      <c r="L466" t="s">
        <v>5471</v>
      </c>
      <c r="M466" t="s">
        <v>5471</v>
      </c>
    </row>
    <row r="467" spans="1:13" x14ac:dyDescent="0.3">
      <c r="A467" t="s">
        <v>3383</v>
      </c>
      <c r="B467" t="s">
        <v>5294</v>
      </c>
      <c r="C467" t="s">
        <v>5470</v>
      </c>
      <c r="D467" t="s">
        <v>4119</v>
      </c>
      <c r="E467" t="s">
        <v>5756</v>
      </c>
      <c r="F467" t="s">
        <v>6716</v>
      </c>
      <c r="G467" t="s">
        <v>6702</v>
      </c>
      <c r="H467" t="s">
        <v>5474</v>
      </c>
      <c r="I467" t="s">
        <v>6717</v>
      </c>
      <c r="J467" t="s">
        <v>5484</v>
      </c>
      <c r="K467" t="s">
        <v>5471</v>
      </c>
      <c r="L467" t="s">
        <v>5471</v>
      </c>
      <c r="M467" t="s">
        <v>5471</v>
      </c>
    </row>
    <row r="468" spans="1:13" x14ac:dyDescent="0.3">
      <c r="A468" t="s">
        <v>3383</v>
      </c>
      <c r="B468" t="s">
        <v>5294</v>
      </c>
      <c r="C468" t="s">
        <v>5470</v>
      </c>
      <c r="D468" t="s">
        <v>4119</v>
      </c>
      <c r="E468" t="s">
        <v>5756</v>
      </c>
      <c r="F468" t="s">
        <v>6718</v>
      </c>
      <c r="G468" t="s">
        <v>6702</v>
      </c>
      <c r="H468" t="s">
        <v>5474</v>
      </c>
      <c r="I468" t="s">
        <v>6719</v>
      </c>
      <c r="J468" t="s">
        <v>5484</v>
      </c>
      <c r="K468" t="s">
        <v>5471</v>
      </c>
      <c r="L468" t="s">
        <v>5471</v>
      </c>
      <c r="M468" t="s">
        <v>5471</v>
      </c>
    </row>
    <row r="469" spans="1:13" x14ac:dyDescent="0.3">
      <c r="A469" t="s">
        <v>3383</v>
      </c>
      <c r="B469" t="s">
        <v>5294</v>
      </c>
      <c r="C469" t="s">
        <v>5470</v>
      </c>
      <c r="D469" t="s">
        <v>4119</v>
      </c>
      <c r="E469" t="s">
        <v>5756</v>
      </c>
      <c r="F469" t="s">
        <v>6720</v>
      </c>
      <c r="G469" t="s">
        <v>6702</v>
      </c>
      <c r="H469" t="s">
        <v>5474</v>
      </c>
      <c r="I469" t="s">
        <v>6721</v>
      </c>
      <c r="J469" t="s">
        <v>5484</v>
      </c>
      <c r="K469" t="s">
        <v>5471</v>
      </c>
      <c r="L469" t="s">
        <v>5471</v>
      </c>
      <c r="M469" t="s">
        <v>5471</v>
      </c>
    </row>
    <row r="470" spans="1:13" x14ac:dyDescent="0.3">
      <c r="A470" t="s">
        <v>3383</v>
      </c>
      <c r="B470" t="s">
        <v>5294</v>
      </c>
      <c r="C470" t="s">
        <v>5470</v>
      </c>
      <c r="D470" t="s">
        <v>4119</v>
      </c>
      <c r="E470" t="s">
        <v>5756</v>
      </c>
      <c r="F470" t="s">
        <v>6722</v>
      </c>
      <c r="G470" t="s">
        <v>6702</v>
      </c>
      <c r="H470" t="s">
        <v>5474</v>
      </c>
      <c r="I470" t="s">
        <v>6723</v>
      </c>
      <c r="J470" t="s">
        <v>5484</v>
      </c>
      <c r="K470" t="s">
        <v>5471</v>
      </c>
      <c r="L470" t="s">
        <v>5471</v>
      </c>
      <c r="M470" t="s">
        <v>5471</v>
      </c>
    </row>
    <row r="471" spans="1:13" x14ac:dyDescent="0.3">
      <c r="A471" t="s">
        <v>3383</v>
      </c>
      <c r="B471" t="s">
        <v>5294</v>
      </c>
      <c r="C471" t="s">
        <v>5470</v>
      </c>
      <c r="D471" t="s">
        <v>4119</v>
      </c>
      <c r="E471" t="s">
        <v>5756</v>
      </c>
      <c r="F471" t="s">
        <v>6724</v>
      </c>
      <c r="G471" t="s">
        <v>6702</v>
      </c>
      <c r="H471" t="s">
        <v>5474</v>
      </c>
      <c r="I471" t="s">
        <v>6725</v>
      </c>
      <c r="J471" t="s">
        <v>5484</v>
      </c>
      <c r="K471" t="s">
        <v>5471</v>
      </c>
      <c r="L471" t="s">
        <v>5471</v>
      </c>
      <c r="M471" t="s">
        <v>5471</v>
      </c>
    </row>
    <row r="472" spans="1:13" x14ac:dyDescent="0.3">
      <c r="A472" t="s">
        <v>3383</v>
      </c>
      <c r="B472" t="s">
        <v>5294</v>
      </c>
      <c r="C472" t="s">
        <v>5470</v>
      </c>
      <c r="D472" t="s">
        <v>4119</v>
      </c>
      <c r="E472" t="s">
        <v>5756</v>
      </c>
      <c r="F472" t="s">
        <v>6726</v>
      </c>
      <c r="G472" t="s">
        <v>6702</v>
      </c>
      <c r="H472" t="s">
        <v>5474</v>
      </c>
      <c r="I472" t="s">
        <v>6727</v>
      </c>
      <c r="J472" t="s">
        <v>5484</v>
      </c>
      <c r="K472" t="s">
        <v>5471</v>
      </c>
      <c r="L472" t="s">
        <v>5471</v>
      </c>
      <c r="M472" t="s">
        <v>5471</v>
      </c>
    </row>
    <row r="473" spans="1:13" x14ac:dyDescent="0.3">
      <c r="A473" t="s">
        <v>3383</v>
      </c>
      <c r="B473" t="s">
        <v>5294</v>
      </c>
      <c r="C473" t="s">
        <v>5470</v>
      </c>
      <c r="D473" t="s">
        <v>4119</v>
      </c>
      <c r="E473" t="s">
        <v>5756</v>
      </c>
      <c r="F473" t="s">
        <v>6728</v>
      </c>
      <c r="G473" t="s">
        <v>6702</v>
      </c>
      <c r="H473" t="s">
        <v>5474</v>
      </c>
      <c r="I473" t="s">
        <v>6729</v>
      </c>
      <c r="J473" t="s">
        <v>5484</v>
      </c>
      <c r="K473" t="s">
        <v>5471</v>
      </c>
      <c r="L473" t="s">
        <v>5471</v>
      </c>
      <c r="M473" t="s">
        <v>5471</v>
      </c>
    </row>
    <row r="474" spans="1:13" x14ac:dyDescent="0.3">
      <c r="A474" t="s">
        <v>3383</v>
      </c>
      <c r="B474" t="s">
        <v>5294</v>
      </c>
      <c r="C474" t="s">
        <v>5470</v>
      </c>
      <c r="D474" t="s">
        <v>4119</v>
      </c>
      <c r="E474" t="s">
        <v>5756</v>
      </c>
      <c r="F474" t="s">
        <v>6730</v>
      </c>
      <c r="G474" t="s">
        <v>6702</v>
      </c>
      <c r="H474" t="s">
        <v>5474</v>
      </c>
      <c r="I474" t="s">
        <v>6731</v>
      </c>
      <c r="J474" t="s">
        <v>5476</v>
      </c>
      <c r="K474" t="s">
        <v>5471</v>
      </c>
      <c r="L474" t="s">
        <v>5471</v>
      </c>
      <c r="M474" t="s">
        <v>5471</v>
      </c>
    </row>
    <row r="475" spans="1:13" x14ac:dyDescent="0.3">
      <c r="A475" t="s">
        <v>3383</v>
      </c>
      <c r="B475" t="s">
        <v>5294</v>
      </c>
      <c r="C475" t="s">
        <v>5470</v>
      </c>
      <c r="D475" t="s">
        <v>4119</v>
      </c>
      <c r="E475" t="s">
        <v>5756</v>
      </c>
      <c r="F475" t="s">
        <v>6732</v>
      </c>
      <c r="G475" t="s">
        <v>6702</v>
      </c>
      <c r="H475" t="s">
        <v>5474</v>
      </c>
      <c r="I475" t="s">
        <v>6733</v>
      </c>
      <c r="J475" t="s">
        <v>5476</v>
      </c>
      <c r="K475" t="s">
        <v>5471</v>
      </c>
      <c r="L475" t="s">
        <v>5471</v>
      </c>
      <c r="M475" t="s">
        <v>5471</v>
      </c>
    </row>
    <row r="476" spans="1:13" x14ac:dyDescent="0.3">
      <c r="A476" t="s">
        <v>3383</v>
      </c>
      <c r="B476" t="s">
        <v>5294</v>
      </c>
      <c r="C476" t="s">
        <v>5470</v>
      </c>
      <c r="D476" t="s">
        <v>4119</v>
      </c>
      <c r="E476" t="s">
        <v>5756</v>
      </c>
      <c r="F476" t="s">
        <v>6734</v>
      </c>
      <c r="G476" t="s">
        <v>6702</v>
      </c>
      <c r="H476" t="s">
        <v>5474</v>
      </c>
      <c r="I476" t="s">
        <v>6735</v>
      </c>
      <c r="J476" t="s">
        <v>5476</v>
      </c>
      <c r="K476" t="s">
        <v>5471</v>
      </c>
      <c r="L476" t="s">
        <v>5471</v>
      </c>
      <c r="M476" t="s">
        <v>5471</v>
      </c>
    </row>
    <row r="477" spans="1:13" x14ac:dyDescent="0.3">
      <c r="A477" t="s">
        <v>3383</v>
      </c>
      <c r="B477" t="s">
        <v>5294</v>
      </c>
      <c r="C477" t="s">
        <v>5470</v>
      </c>
      <c r="D477" t="s">
        <v>4119</v>
      </c>
      <c r="E477" t="s">
        <v>5756</v>
      </c>
      <c r="F477" t="s">
        <v>6736</v>
      </c>
      <c r="G477" t="s">
        <v>6699</v>
      </c>
      <c r="H477" t="s">
        <v>5474</v>
      </c>
      <c r="I477" t="s">
        <v>6737</v>
      </c>
      <c r="J477" t="s">
        <v>5476</v>
      </c>
      <c r="K477" t="s">
        <v>5471</v>
      </c>
      <c r="L477" t="s">
        <v>5471</v>
      </c>
      <c r="M477" t="s">
        <v>5471</v>
      </c>
    </row>
    <row r="478" spans="1:13" x14ac:dyDescent="0.3">
      <c r="A478" t="s">
        <v>3397</v>
      </c>
      <c r="B478" t="s">
        <v>5594</v>
      </c>
      <c r="C478" t="s">
        <v>5487</v>
      </c>
      <c r="D478" t="s">
        <v>4119</v>
      </c>
      <c r="E478" t="s">
        <v>5756</v>
      </c>
      <c r="F478" t="s">
        <v>6738</v>
      </c>
      <c r="G478" t="s">
        <v>6311</v>
      </c>
      <c r="H478" t="s">
        <v>5474</v>
      </c>
      <c r="I478" t="s">
        <v>6739</v>
      </c>
      <c r="J478" t="s">
        <v>5476</v>
      </c>
      <c r="K478" t="s">
        <v>5471</v>
      </c>
      <c r="L478" t="s">
        <v>5471</v>
      </c>
      <c r="M478" t="s">
        <v>5471</v>
      </c>
    </row>
    <row r="479" spans="1:13" x14ac:dyDescent="0.3">
      <c r="A479" t="s">
        <v>3397</v>
      </c>
      <c r="B479" t="s">
        <v>5594</v>
      </c>
      <c r="C479" t="s">
        <v>5487</v>
      </c>
      <c r="D479" t="s">
        <v>4119</v>
      </c>
      <c r="E479" t="s">
        <v>5756</v>
      </c>
      <c r="F479" t="s">
        <v>6740</v>
      </c>
      <c r="G479" t="s">
        <v>6311</v>
      </c>
      <c r="H479" t="s">
        <v>5474</v>
      </c>
      <c r="I479" t="s">
        <v>6741</v>
      </c>
      <c r="J479" t="s">
        <v>5476</v>
      </c>
      <c r="K479" t="s">
        <v>5471</v>
      </c>
      <c r="L479" t="s">
        <v>5471</v>
      </c>
      <c r="M479" t="s">
        <v>5471</v>
      </c>
    </row>
    <row r="480" spans="1:13" x14ac:dyDescent="0.3">
      <c r="A480" t="s">
        <v>3397</v>
      </c>
      <c r="B480" t="s">
        <v>5328</v>
      </c>
      <c r="C480" t="s">
        <v>5470</v>
      </c>
      <c r="D480" t="s">
        <v>4119</v>
      </c>
      <c r="E480" t="s">
        <v>5471</v>
      </c>
      <c r="F480" t="s">
        <v>6742</v>
      </c>
      <c r="G480" t="s">
        <v>6743</v>
      </c>
      <c r="H480" t="s">
        <v>5474</v>
      </c>
      <c r="I480" t="s">
        <v>6744</v>
      </c>
      <c r="J480" t="s">
        <v>5476</v>
      </c>
      <c r="K480" t="s">
        <v>5471</v>
      </c>
      <c r="L480" t="s">
        <v>5471</v>
      </c>
      <c r="M480" t="s">
        <v>5471</v>
      </c>
    </row>
    <row r="481" spans="1:13" x14ac:dyDescent="0.3">
      <c r="A481" t="s">
        <v>3397</v>
      </c>
      <c r="B481" t="s">
        <v>5328</v>
      </c>
      <c r="C481" t="s">
        <v>5470</v>
      </c>
      <c r="D481" t="s">
        <v>4119</v>
      </c>
      <c r="E481" t="s">
        <v>5471</v>
      </c>
      <c r="F481" t="s">
        <v>6745</v>
      </c>
      <c r="G481" t="s">
        <v>6746</v>
      </c>
      <c r="H481" t="s">
        <v>5474</v>
      </c>
      <c r="I481" t="s">
        <v>6747</v>
      </c>
      <c r="J481" t="s">
        <v>5476</v>
      </c>
      <c r="K481" t="s">
        <v>5471</v>
      </c>
      <c r="L481" t="s">
        <v>5471</v>
      </c>
      <c r="M481" t="s">
        <v>5471</v>
      </c>
    </row>
    <row r="482" spans="1:13" x14ac:dyDescent="0.3">
      <c r="A482" t="s">
        <v>3397</v>
      </c>
      <c r="B482" t="s">
        <v>5328</v>
      </c>
      <c r="C482" t="s">
        <v>5470</v>
      </c>
      <c r="D482" t="s">
        <v>4119</v>
      </c>
      <c r="E482" t="s">
        <v>5471</v>
      </c>
      <c r="F482" t="s">
        <v>6748</v>
      </c>
      <c r="G482" t="s">
        <v>6749</v>
      </c>
      <c r="H482" t="s">
        <v>5474</v>
      </c>
      <c r="I482" t="s">
        <v>6750</v>
      </c>
      <c r="J482" t="s">
        <v>5476</v>
      </c>
      <c r="K482" t="s">
        <v>5471</v>
      </c>
      <c r="L482" t="s">
        <v>5471</v>
      </c>
      <c r="M482" t="s">
        <v>5471</v>
      </c>
    </row>
    <row r="483" spans="1:13" x14ac:dyDescent="0.3">
      <c r="A483" t="s">
        <v>3397</v>
      </c>
      <c r="B483" t="s">
        <v>5328</v>
      </c>
      <c r="C483" t="s">
        <v>5470</v>
      </c>
      <c r="D483" t="s">
        <v>4119</v>
      </c>
      <c r="E483" t="s">
        <v>5471</v>
      </c>
      <c r="F483" t="s">
        <v>6751</v>
      </c>
      <c r="G483" t="s">
        <v>6752</v>
      </c>
      <c r="H483" t="s">
        <v>5474</v>
      </c>
      <c r="I483" t="s">
        <v>6753</v>
      </c>
      <c r="J483" t="s">
        <v>5476</v>
      </c>
      <c r="K483" t="s">
        <v>5471</v>
      </c>
      <c r="L483" t="s">
        <v>5471</v>
      </c>
      <c r="M483" t="s">
        <v>5471</v>
      </c>
    </row>
    <row r="484" spans="1:13" x14ac:dyDescent="0.3">
      <c r="A484" t="s">
        <v>3397</v>
      </c>
      <c r="B484" t="s">
        <v>5328</v>
      </c>
      <c r="C484" t="s">
        <v>5470</v>
      </c>
      <c r="D484" t="s">
        <v>4119</v>
      </c>
      <c r="E484" t="s">
        <v>5471</v>
      </c>
      <c r="F484" t="s">
        <v>6754</v>
      </c>
      <c r="G484" t="s">
        <v>6755</v>
      </c>
      <c r="H484" t="s">
        <v>5474</v>
      </c>
      <c r="I484" t="s">
        <v>6756</v>
      </c>
      <c r="J484" t="s">
        <v>5476</v>
      </c>
      <c r="K484" t="s">
        <v>5471</v>
      </c>
      <c r="L484" t="s">
        <v>5471</v>
      </c>
      <c r="M484" t="s">
        <v>5471</v>
      </c>
    </row>
    <row r="485" spans="1:13" x14ac:dyDescent="0.3">
      <c r="A485" t="s">
        <v>3397</v>
      </c>
      <c r="B485" t="s">
        <v>5328</v>
      </c>
      <c r="C485" t="s">
        <v>5470</v>
      </c>
      <c r="D485" t="s">
        <v>4119</v>
      </c>
      <c r="E485" t="s">
        <v>5471</v>
      </c>
      <c r="F485" t="s">
        <v>6757</v>
      </c>
      <c r="G485" t="s">
        <v>6758</v>
      </c>
      <c r="H485" t="s">
        <v>5474</v>
      </c>
      <c r="I485" t="s">
        <v>6759</v>
      </c>
      <c r="J485" t="s">
        <v>5476</v>
      </c>
      <c r="K485" t="s">
        <v>5471</v>
      </c>
      <c r="L485" t="s">
        <v>5471</v>
      </c>
      <c r="M485" t="s">
        <v>5471</v>
      </c>
    </row>
    <row r="486" spans="1:13" x14ac:dyDescent="0.3">
      <c r="A486" t="s">
        <v>3397</v>
      </c>
      <c r="B486" t="s">
        <v>5328</v>
      </c>
      <c r="C486" t="s">
        <v>5470</v>
      </c>
      <c r="D486" t="s">
        <v>4119</v>
      </c>
      <c r="E486" t="s">
        <v>5471</v>
      </c>
      <c r="F486" t="s">
        <v>6760</v>
      </c>
      <c r="G486" t="s">
        <v>6761</v>
      </c>
      <c r="H486" t="s">
        <v>5474</v>
      </c>
      <c r="I486" t="s">
        <v>6762</v>
      </c>
      <c r="J486" t="s">
        <v>5476</v>
      </c>
      <c r="K486" t="s">
        <v>5471</v>
      </c>
      <c r="L486" t="s">
        <v>5471</v>
      </c>
      <c r="M486" t="s">
        <v>5471</v>
      </c>
    </row>
    <row r="487" spans="1:13" x14ac:dyDescent="0.3">
      <c r="A487" t="s">
        <v>3397</v>
      </c>
      <c r="B487" t="s">
        <v>5328</v>
      </c>
      <c r="C487" t="s">
        <v>5470</v>
      </c>
      <c r="D487" t="s">
        <v>4119</v>
      </c>
      <c r="E487" t="s">
        <v>5471</v>
      </c>
      <c r="F487" t="s">
        <v>6763</v>
      </c>
      <c r="G487" t="s">
        <v>6764</v>
      </c>
      <c r="H487" t="s">
        <v>5474</v>
      </c>
      <c r="I487" t="s">
        <v>6765</v>
      </c>
      <c r="J487" t="s">
        <v>5476</v>
      </c>
      <c r="K487" t="s">
        <v>5471</v>
      </c>
      <c r="L487" t="s">
        <v>5471</v>
      </c>
      <c r="M487" t="s">
        <v>5471</v>
      </c>
    </row>
    <row r="488" spans="1:13" x14ac:dyDescent="0.3">
      <c r="A488" t="s">
        <v>3397</v>
      </c>
      <c r="B488" t="s">
        <v>5594</v>
      </c>
      <c r="C488" t="s">
        <v>5487</v>
      </c>
      <c r="D488" t="s">
        <v>4119</v>
      </c>
      <c r="E488" t="s">
        <v>5595</v>
      </c>
      <c r="F488" t="s">
        <v>6766</v>
      </c>
      <c r="G488" t="s">
        <v>6767</v>
      </c>
      <c r="H488" t="s">
        <v>5474</v>
      </c>
      <c r="I488" t="s">
        <v>6768</v>
      </c>
      <c r="J488" t="s">
        <v>5476</v>
      </c>
      <c r="K488" t="s">
        <v>5471</v>
      </c>
      <c r="L488" t="s">
        <v>5471</v>
      </c>
      <c r="M488" t="s">
        <v>5471</v>
      </c>
    </row>
    <row r="489" spans="1:13" x14ac:dyDescent="0.3">
      <c r="A489" t="s">
        <v>3397</v>
      </c>
      <c r="B489" t="s">
        <v>5594</v>
      </c>
      <c r="C489" t="s">
        <v>5487</v>
      </c>
      <c r="D489" t="s">
        <v>4119</v>
      </c>
      <c r="E489" t="s">
        <v>5595</v>
      </c>
      <c r="F489" t="s">
        <v>6769</v>
      </c>
      <c r="G489" t="s">
        <v>6767</v>
      </c>
      <c r="H489" t="s">
        <v>5474</v>
      </c>
      <c r="I489" t="s">
        <v>6770</v>
      </c>
      <c r="J489" t="s">
        <v>5476</v>
      </c>
      <c r="K489" t="s">
        <v>5471</v>
      </c>
      <c r="L489" t="s">
        <v>5471</v>
      </c>
      <c r="M489" t="s">
        <v>5471</v>
      </c>
    </row>
    <row r="490" spans="1:13" x14ac:dyDescent="0.3">
      <c r="A490" t="s">
        <v>3397</v>
      </c>
      <c r="B490" t="s">
        <v>5594</v>
      </c>
      <c r="C490" t="s">
        <v>5487</v>
      </c>
      <c r="D490" t="s">
        <v>4119</v>
      </c>
      <c r="E490" t="s">
        <v>5595</v>
      </c>
      <c r="F490" t="s">
        <v>6771</v>
      </c>
      <c r="G490" t="s">
        <v>6767</v>
      </c>
      <c r="H490" t="s">
        <v>5474</v>
      </c>
      <c r="I490" t="s">
        <v>6772</v>
      </c>
      <c r="J490" t="s">
        <v>5476</v>
      </c>
      <c r="K490" t="s">
        <v>5471</v>
      </c>
      <c r="L490" t="s">
        <v>5471</v>
      </c>
      <c r="M490" t="s">
        <v>5471</v>
      </c>
    </row>
    <row r="491" spans="1:13" x14ac:dyDescent="0.3">
      <c r="A491" t="s">
        <v>3397</v>
      </c>
      <c r="B491" t="s">
        <v>5594</v>
      </c>
      <c r="C491" t="s">
        <v>5487</v>
      </c>
      <c r="D491" t="s">
        <v>4119</v>
      </c>
      <c r="E491" t="s">
        <v>5595</v>
      </c>
      <c r="F491" t="s">
        <v>6773</v>
      </c>
      <c r="G491" t="s">
        <v>6767</v>
      </c>
      <c r="H491" t="s">
        <v>5474</v>
      </c>
      <c r="I491" t="s">
        <v>6774</v>
      </c>
      <c r="J491" t="s">
        <v>5476</v>
      </c>
      <c r="K491" t="s">
        <v>5471</v>
      </c>
      <c r="L491" t="s">
        <v>5471</v>
      </c>
      <c r="M491" t="s">
        <v>5471</v>
      </c>
    </row>
    <row r="492" spans="1:13" x14ac:dyDescent="0.3">
      <c r="A492" t="s">
        <v>3397</v>
      </c>
      <c r="B492" t="s">
        <v>5328</v>
      </c>
      <c r="C492" t="s">
        <v>5470</v>
      </c>
      <c r="D492" t="s">
        <v>4119</v>
      </c>
      <c r="E492" t="s">
        <v>5471</v>
      </c>
      <c r="F492" t="s">
        <v>6775</v>
      </c>
      <c r="G492" t="s">
        <v>6776</v>
      </c>
      <c r="H492" t="s">
        <v>5474</v>
      </c>
      <c r="I492" t="s">
        <v>6777</v>
      </c>
      <c r="J492" t="s">
        <v>5476</v>
      </c>
      <c r="K492" t="s">
        <v>5471</v>
      </c>
      <c r="L492" t="s">
        <v>5471</v>
      </c>
      <c r="M492" t="s">
        <v>5471</v>
      </c>
    </row>
    <row r="493" spans="1:13" x14ac:dyDescent="0.3">
      <c r="A493" t="s">
        <v>3397</v>
      </c>
      <c r="B493" t="s">
        <v>5594</v>
      </c>
      <c r="C493" t="s">
        <v>5487</v>
      </c>
      <c r="D493" t="s">
        <v>4119</v>
      </c>
      <c r="E493" t="s">
        <v>5595</v>
      </c>
      <c r="F493" t="s">
        <v>6778</v>
      </c>
      <c r="G493" t="s">
        <v>6767</v>
      </c>
      <c r="H493" t="s">
        <v>5474</v>
      </c>
      <c r="I493" t="s">
        <v>6779</v>
      </c>
      <c r="J493" t="s">
        <v>5476</v>
      </c>
      <c r="K493" t="s">
        <v>5471</v>
      </c>
      <c r="L493" t="s">
        <v>5471</v>
      </c>
      <c r="M493" t="s">
        <v>5471</v>
      </c>
    </row>
    <row r="494" spans="1:13" x14ac:dyDescent="0.3">
      <c r="A494" t="s">
        <v>3397</v>
      </c>
      <c r="B494" t="s">
        <v>5594</v>
      </c>
      <c r="C494" t="s">
        <v>5487</v>
      </c>
      <c r="D494" t="s">
        <v>4119</v>
      </c>
      <c r="E494" t="s">
        <v>5595</v>
      </c>
      <c r="F494" t="s">
        <v>6780</v>
      </c>
      <c r="G494" t="s">
        <v>6767</v>
      </c>
      <c r="H494" t="s">
        <v>5474</v>
      </c>
      <c r="I494" t="s">
        <v>6781</v>
      </c>
      <c r="J494" t="s">
        <v>5476</v>
      </c>
      <c r="K494" t="s">
        <v>5471</v>
      </c>
      <c r="L494" t="s">
        <v>5471</v>
      </c>
      <c r="M494" t="s">
        <v>5471</v>
      </c>
    </row>
    <row r="495" spans="1:13" x14ac:dyDescent="0.3">
      <c r="A495" t="s">
        <v>3397</v>
      </c>
      <c r="B495" t="s">
        <v>5594</v>
      </c>
      <c r="C495" t="s">
        <v>5487</v>
      </c>
      <c r="D495" t="s">
        <v>4119</v>
      </c>
      <c r="E495" t="s">
        <v>5595</v>
      </c>
      <c r="F495" t="s">
        <v>6782</v>
      </c>
      <c r="G495" t="s">
        <v>6783</v>
      </c>
      <c r="H495" t="s">
        <v>5474</v>
      </c>
      <c r="I495" t="s">
        <v>6784</v>
      </c>
      <c r="J495" t="s">
        <v>5476</v>
      </c>
      <c r="K495" t="s">
        <v>5471</v>
      </c>
      <c r="L495" t="s">
        <v>5471</v>
      </c>
      <c r="M495" t="s">
        <v>5471</v>
      </c>
    </row>
    <row r="496" spans="1:13" x14ac:dyDescent="0.3">
      <c r="A496" t="s">
        <v>3397</v>
      </c>
      <c r="B496" t="s">
        <v>5594</v>
      </c>
      <c r="C496" t="s">
        <v>5487</v>
      </c>
      <c r="D496" t="s">
        <v>4119</v>
      </c>
      <c r="E496" t="s">
        <v>5595</v>
      </c>
      <c r="F496" t="s">
        <v>6785</v>
      </c>
      <c r="G496" t="s">
        <v>6783</v>
      </c>
      <c r="H496" t="s">
        <v>5474</v>
      </c>
      <c r="I496" t="s">
        <v>6786</v>
      </c>
      <c r="J496" t="s">
        <v>5476</v>
      </c>
      <c r="K496" t="s">
        <v>5471</v>
      </c>
      <c r="L496" t="s">
        <v>5471</v>
      </c>
      <c r="M496" t="s">
        <v>5471</v>
      </c>
    </row>
    <row r="497" spans="1:13" x14ac:dyDescent="0.3">
      <c r="A497" t="s">
        <v>3397</v>
      </c>
      <c r="B497" t="s">
        <v>5594</v>
      </c>
      <c r="C497" t="s">
        <v>5487</v>
      </c>
      <c r="D497" t="s">
        <v>4119</v>
      </c>
      <c r="E497" t="s">
        <v>5595</v>
      </c>
      <c r="F497" t="s">
        <v>6787</v>
      </c>
      <c r="G497" t="s">
        <v>6783</v>
      </c>
      <c r="H497" t="s">
        <v>5474</v>
      </c>
      <c r="I497" t="s">
        <v>6788</v>
      </c>
      <c r="J497" t="s">
        <v>5476</v>
      </c>
      <c r="K497" t="s">
        <v>5471</v>
      </c>
      <c r="L497" t="s">
        <v>5471</v>
      </c>
      <c r="M497" t="s">
        <v>5471</v>
      </c>
    </row>
    <row r="498" spans="1:13" x14ac:dyDescent="0.3">
      <c r="A498" t="s">
        <v>3397</v>
      </c>
      <c r="B498" t="s">
        <v>5594</v>
      </c>
      <c r="C498" t="s">
        <v>5487</v>
      </c>
      <c r="D498" t="s">
        <v>4119</v>
      </c>
      <c r="E498" t="s">
        <v>5595</v>
      </c>
      <c r="F498" t="s">
        <v>6789</v>
      </c>
      <c r="G498" t="s">
        <v>6783</v>
      </c>
      <c r="H498" t="s">
        <v>5474</v>
      </c>
      <c r="I498" t="s">
        <v>6790</v>
      </c>
      <c r="J498" t="s">
        <v>5476</v>
      </c>
      <c r="K498" t="s">
        <v>5471</v>
      </c>
      <c r="L498" t="s">
        <v>5471</v>
      </c>
      <c r="M498" t="s">
        <v>5471</v>
      </c>
    </row>
    <row r="499" spans="1:13" x14ac:dyDescent="0.3">
      <c r="A499" t="s">
        <v>3397</v>
      </c>
      <c r="B499" t="s">
        <v>5594</v>
      </c>
      <c r="C499" t="s">
        <v>5487</v>
      </c>
      <c r="D499" t="s">
        <v>4119</v>
      </c>
      <c r="E499" t="s">
        <v>5595</v>
      </c>
      <c r="F499" t="s">
        <v>6791</v>
      </c>
      <c r="G499" t="s">
        <v>6783</v>
      </c>
      <c r="H499" t="s">
        <v>5474</v>
      </c>
      <c r="I499" t="s">
        <v>6792</v>
      </c>
      <c r="J499" t="s">
        <v>5476</v>
      </c>
      <c r="K499" t="s">
        <v>5471</v>
      </c>
      <c r="L499" t="s">
        <v>5471</v>
      </c>
      <c r="M499" t="s">
        <v>5471</v>
      </c>
    </row>
    <row r="500" spans="1:13" x14ac:dyDescent="0.3">
      <c r="A500" t="s">
        <v>3397</v>
      </c>
      <c r="B500" t="s">
        <v>5594</v>
      </c>
      <c r="C500" t="s">
        <v>5487</v>
      </c>
      <c r="D500" t="s">
        <v>4119</v>
      </c>
      <c r="E500" t="s">
        <v>5595</v>
      </c>
      <c r="F500" t="s">
        <v>6793</v>
      </c>
      <c r="G500" t="s">
        <v>6783</v>
      </c>
      <c r="H500" t="s">
        <v>5474</v>
      </c>
      <c r="I500" t="s">
        <v>6794</v>
      </c>
      <c r="J500" t="s">
        <v>5476</v>
      </c>
      <c r="K500" t="s">
        <v>5471</v>
      </c>
      <c r="L500" t="s">
        <v>5471</v>
      </c>
      <c r="M500" t="s">
        <v>5471</v>
      </c>
    </row>
    <row r="501" spans="1:13" x14ac:dyDescent="0.3">
      <c r="A501" t="s">
        <v>3397</v>
      </c>
      <c r="B501" t="s">
        <v>5594</v>
      </c>
      <c r="C501" t="s">
        <v>5487</v>
      </c>
      <c r="D501" t="s">
        <v>4119</v>
      </c>
      <c r="E501" t="s">
        <v>5595</v>
      </c>
      <c r="F501" t="s">
        <v>6795</v>
      </c>
      <c r="G501" t="s">
        <v>6796</v>
      </c>
      <c r="H501" t="s">
        <v>5474</v>
      </c>
      <c r="I501" t="s">
        <v>6797</v>
      </c>
      <c r="J501" t="s">
        <v>5476</v>
      </c>
      <c r="K501" t="s">
        <v>5471</v>
      </c>
      <c r="L501" t="s">
        <v>5471</v>
      </c>
      <c r="M501" t="s">
        <v>5471</v>
      </c>
    </row>
    <row r="502" spans="1:13" x14ac:dyDescent="0.3">
      <c r="A502" t="s">
        <v>3397</v>
      </c>
      <c r="B502" t="s">
        <v>5594</v>
      </c>
      <c r="C502" t="s">
        <v>5487</v>
      </c>
      <c r="D502" t="s">
        <v>4119</v>
      </c>
      <c r="E502" t="s">
        <v>6332</v>
      </c>
      <c r="F502" t="s">
        <v>6798</v>
      </c>
      <c r="G502" t="s">
        <v>6799</v>
      </c>
      <c r="H502" t="s">
        <v>5474</v>
      </c>
      <c r="I502" t="s">
        <v>6800</v>
      </c>
      <c r="J502" t="s">
        <v>5476</v>
      </c>
      <c r="K502" t="s">
        <v>5471</v>
      </c>
      <c r="L502" t="s">
        <v>5471</v>
      </c>
      <c r="M502" t="s">
        <v>5471</v>
      </c>
    </row>
    <row r="503" spans="1:13" x14ac:dyDescent="0.3">
      <c r="A503" t="s">
        <v>3397</v>
      </c>
      <c r="B503" t="s">
        <v>5594</v>
      </c>
      <c r="C503" t="s">
        <v>5487</v>
      </c>
      <c r="D503" t="s">
        <v>4119</v>
      </c>
      <c r="E503" t="s">
        <v>6332</v>
      </c>
      <c r="F503" t="s">
        <v>6801</v>
      </c>
      <c r="G503" t="s">
        <v>6799</v>
      </c>
      <c r="H503" t="s">
        <v>5474</v>
      </c>
      <c r="I503" t="s">
        <v>6802</v>
      </c>
      <c r="J503" t="s">
        <v>5476</v>
      </c>
      <c r="K503" t="s">
        <v>5471</v>
      </c>
      <c r="L503" t="s">
        <v>5471</v>
      </c>
      <c r="M503" t="s">
        <v>5471</v>
      </c>
    </row>
    <row r="504" spans="1:13" x14ac:dyDescent="0.3">
      <c r="A504" t="s">
        <v>3397</v>
      </c>
      <c r="B504" t="s">
        <v>5594</v>
      </c>
      <c r="C504" t="s">
        <v>5487</v>
      </c>
      <c r="D504" t="s">
        <v>4119</v>
      </c>
      <c r="E504" t="s">
        <v>6332</v>
      </c>
      <c r="F504" t="s">
        <v>6803</v>
      </c>
      <c r="G504" t="s">
        <v>6799</v>
      </c>
      <c r="H504" t="s">
        <v>5474</v>
      </c>
      <c r="I504" t="s">
        <v>6804</v>
      </c>
      <c r="J504" t="s">
        <v>5476</v>
      </c>
      <c r="K504" t="s">
        <v>5471</v>
      </c>
      <c r="L504" t="s">
        <v>5471</v>
      </c>
      <c r="M504" t="s">
        <v>5471</v>
      </c>
    </row>
    <row r="505" spans="1:13" x14ac:dyDescent="0.3">
      <c r="A505" t="s">
        <v>3397</v>
      </c>
      <c r="B505" t="s">
        <v>5594</v>
      </c>
      <c r="C505" t="s">
        <v>5487</v>
      </c>
      <c r="D505" t="s">
        <v>4119</v>
      </c>
      <c r="E505" t="s">
        <v>6332</v>
      </c>
      <c r="F505" t="s">
        <v>6805</v>
      </c>
      <c r="G505" t="s">
        <v>6799</v>
      </c>
      <c r="H505" t="s">
        <v>5474</v>
      </c>
      <c r="I505" t="s">
        <v>6806</v>
      </c>
      <c r="J505" t="s">
        <v>5476</v>
      </c>
      <c r="K505" t="s">
        <v>5471</v>
      </c>
      <c r="L505" t="s">
        <v>5471</v>
      </c>
      <c r="M505" t="s">
        <v>5471</v>
      </c>
    </row>
    <row r="506" spans="1:13" x14ac:dyDescent="0.3">
      <c r="A506" t="s">
        <v>3397</v>
      </c>
      <c r="B506" t="s">
        <v>5594</v>
      </c>
      <c r="C506" t="s">
        <v>5487</v>
      </c>
      <c r="D506" t="s">
        <v>4119</v>
      </c>
      <c r="E506" t="s">
        <v>6332</v>
      </c>
      <c r="F506" t="s">
        <v>6807</v>
      </c>
      <c r="G506" t="s">
        <v>6808</v>
      </c>
      <c r="H506" t="s">
        <v>5474</v>
      </c>
      <c r="I506" t="s">
        <v>6809</v>
      </c>
      <c r="J506" t="s">
        <v>5476</v>
      </c>
      <c r="K506" t="s">
        <v>5471</v>
      </c>
      <c r="L506" t="s">
        <v>5471</v>
      </c>
      <c r="M506" t="s">
        <v>5471</v>
      </c>
    </row>
    <row r="507" spans="1:13" x14ac:dyDescent="0.3">
      <c r="A507" t="s">
        <v>3397</v>
      </c>
      <c r="B507" t="s">
        <v>5594</v>
      </c>
      <c r="C507" t="s">
        <v>5487</v>
      </c>
      <c r="D507" t="s">
        <v>4119</v>
      </c>
      <c r="E507" t="s">
        <v>6332</v>
      </c>
      <c r="F507" t="s">
        <v>6810</v>
      </c>
      <c r="G507" t="s">
        <v>6811</v>
      </c>
      <c r="H507" t="s">
        <v>5474</v>
      </c>
      <c r="I507" t="s">
        <v>6812</v>
      </c>
      <c r="J507" t="s">
        <v>5476</v>
      </c>
      <c r="K507" t="s">
        <v>5471</v>
      </c>
      <c r="L507" t="s">
        <v>5471</v>
      </c>
      <c r="M507" t="s">
        <v>5471</v>
      </c>
    </row>
    <row r="508" spans="1:13" x14ac:dyDescent="0.3">
      <c r="A508" t="s">
        <v>3397</v>
      </c>
      <c r="B508" t="s">
        <v>5594</v>
      </c>
      <c r="C508" t="s">
        <v>5487</v>
      </c>
      <c r="D508" t="s">
        <v>4119</v>
      </c>
      <c r="E508" t="s">
        <v>6332</v>
      </c>
      <c r="F508" t="s">
        <v>6813</v>
      </c>
      <c r="G508" t="s">
        <v>6814</v>
      </c>
      <c r="H508" t="s">
        <v>5474</v>
      </c>
      <c r="I508" t="s">
        <v>6815</v>
      </c>
      <c r="J508" t="s">
        <v>5476</v>
      </c>
      <c r="K508" t="s">
        <v>5471</v>
      </c>
      <c r="L508" t="s">
        <v>5471</v>
      </c>
      <c r="M508" t="s">
        <v>5471</v>
      </c>
    </row>
    <row r="509" spans="1:13" x14ac:dyDescent="0.3">
      <c r="A509" t="s">
        <v>3397</v>
      </c>
      <c r="B509" t="s">
        <v>5594</v>
      </c>
      <c r="C509" t="s">
        <v>5487</v>
      </c>
      <c r="D509" t="s">
        <v>4119</v>
      </c>
      <c r="E509" t="s">
        <v>6332</v>
      </c>
      <c r="F509" t="s">
        <v>6816</v>
      </c>
      <c r="G509" t="s">
        <v>6814</v>
      </c>
      <c r="H509" t="s">
        <v>5474</v>
      </c>
      <c r="I509" t="s">
        <v>6817</v>
      </c>
      <c r="J509" t="s">
        <v>5476</v>
      </c>
      <c r="K509" t="s">
        <v>5471</v>
      </c>
      <c r="L509" t="s">
        <v>5471</v>
      </c>
      <c r="M509" t="s">
        <v>5471</v>
      </c>
    </row>
    <row r="510" spans="1:13" x14ac:dyDescent="0.3">
      <c r="A510" t="s">
        <v>3397</v>
      </c>
      <c r="B510" t="s">
        <v>5594</v>
      </c>
      <c r="C510" t="s">
        <v>5487</v>
      </c>
      <c r="D510" t="s">
        <v>4119</v>
      </c>
      <c r="E510" t="s">
        <v>6332</v>
      </c>
      <c r="F510" t="s">
        <v>6818</v>
      </c>
      <c r="G510" t="s">
        <v>6819</v>
      </c>
      <c r="H510" t="s">
        <v>5474</v>
      </c>
      <c r="I510" t="s">
        <v>6820</v>
      </c>
      <c r="J510" t="s">
        <v>5476</v>
      </c>
      <c r="K510" t="s">
        <v>5471</v>
      </c>
      <c r="L510" t="s">
        <v>5471</v>
      </c>
      <c r="M510" t="s">
        <v>5471</v>
      </c>
    </row>
    <row r="511" spans="1:13" x14ac:dyDescent="0.3">
      <c r="A511" t="s">
        <v>3397</v>
      </c>
      <c r="B511" t="s">
        <v>5594</v>
      </c>
      <c r="C511" t="s">
        <v>5487</v>
      </c>
      <c r="D511" t="s">
        <v>4119</v>
      </c>
      <c r="E511" t="s">
        <v>5595</v>
      </c>
      <c r="F511" t="s">
        <v>6821</v>
      </c>
      <c r="G511" t="s">
        <v>6822</v>
      </c>
      <c r="H511" t="s">
        <v>5474</v>
      </c>
      <c r="I511" t="s">
        <v>6823</v>
      </c>
      <c r="J511" t="s">
        <v>5476</v>
      </c>
      <c r="K511" t="s">
        <v>5471</v>
      </c>
      <c r="L511" t="s">
        <v>5471</v>
      </c>
      <c r="M511" t="s">
        <v>5471</v>
      </c>
    </row>
    <row r="512" spans="1:13" x14ac:dyDescent="0.3">
      <c r="A512" t="s">
        <v>3397</v>
      </c>
      <c r="B512" t="s">
        <v>5594</v>
      </c>
      <c r="C512" t="s">
        <v>5487</v>
      </c>
      <c r="D512" t="s">
        <v>4119</v>
      </c>
      <c r="E512" t="s">
        <v>5595</v>
      </c>
      <c r="F512" t="s">
        <v>6824</v>
      </c>
      <c r="G512" t="s">
        <v>6822</v>
      </c>
      <c r="H512" t="s">
        <v>5474</v>
      </c>
      <c r="I512" t="s">
        <v>6825</v>
      </c>
      <c r="J512" t="s">
        <v>5476</v>
      </c>
      <c r="K512" t="s">
        <v>5471</v>
      </c>
      <c r="L512" t="s">
        <v>5471</v>
      </c>
      <c r="M512" t="s">
        <v>5471</v>
      </c>
    </row>
    <row r="513" spans="1:13" x14ac:dyDescent="0.3">
      <c r="A513" t="s">
        <v>3397</v>
      </c>
      <c r="B513" t="s">
        <v>5594</v>
      </c>
      <c r="C513" t="s">
        <v>5487</v>
      </c>
      <c r="D513" t="s">
        <v>4119</v>
      </c>
      <c r="E513" t="s">
        <v>5595</v>
      </c>
      <c r="F513" t="s">
        <v>6826</v>
      </c>
      <c r="G513" t="s">
        <v>6822</v>
      </c>
      <c r="H513" t="s">
        <v>5474</v>
      </c>
      <c r="I513" t="s">
        <v>6827</v>
      </c>
      <c r="J513" t="s">
        <v>5476</v>
      </c>
      <c r="K513" t="s">
        <v>5471</v>
      </c>
      <c r="L513" t="s">
        <v>5471</v>
      </c>
      <c r="M513" t="s">
        <v>5471</v>
      </c>
    </row>
    <row r="514" spans="1:13" x14ac:dyDescent="0.3">
      <c r="A514" t="s">
        <v>3397</v>
      </c>
      <c r="B514" t="s">
        <v>5594</v>
      </c>
      <c r="C514" t="s">
        <v>5487</v>
      </c>
      <c r="D514" t="s">
        <v>4119</v>
      </c>
      <c r="E514" t="s">
        <v>5471</v>
      </c>
      <c r="F514" t="s">
        <v>6828</v>
      </c>
      <c r="G514" t="s">
        <v>6829</v>
      </c>
      <c r="H514" t="s">
        <v>5474</v>
      </c>
      <c r="I514" t="s">
        <v>6830</v>
      </c>
      <c r="J514" t="s">
        <v>5476</v>
      </c>
      <c r="K514" t="s">
        <v>5471</v>
      </c>
      <c r="L514" t="s">
        <v>5471</v>
      </c>
      <c r="M514" t="s">
        <v>5471</v>
      </c>
    </row>
    <row r="515" spans="1:13" x14ac:dyDescent="0.3">
      <c r="A515" t="s">
        <v>3397</v>
      </c>
      <c r="B515" t="s">
        <v>5594</v>
      </c>
      <c r="C515" t="s">
        <v>5487</v>
      </c>
      <c r="D515" t="s">
        <v>4119</v>
      </c>
      <c r="E515" t="s">
        <v>5471</v>
      </c>
      <c r="F515" t="s">
        <v>6831</v>
      </c>
      <c r="G515" t="s">
        <v>6829</v>
      </c>
      <c r="H515" t="s">
        <v>5474</v>
      </c>
      <c r="I515" t="s">
        <v>6832</v>
      </c>
      <c r="J515" t="s">
        <v>5476</v>
      </c>
      <c r="K515" t="s">
        <v>5471</v>
      </c>
      <c r="L515" t="s">
        <v>5471</v>
      </c>
      <c r="M515" t="s">
        <v>5471</v>
      </c>
    </row>
    <row r="516" spans="1:13" x14ac:dyDescent="0.3">
      <c r="A516" t="s">
        <v>3397</v>
      </c>
      <c r="B516" t="s">
        <v>5594</v>
      </c>
      <c r="C516" t="s">
        <v>5487</v>
      </c>
      <c r="D516" t="s">
        <v>4119</v>
      </c>
      <c r="E516" t="s">
        <v>5595</v>
      </c>
      <c r="F516" t="s">
        <v>6833</v>
      </c>
      <c r="G516" t="s">
        <v>6834</v>
      </c>
      <c r="H516" t="s">
        <v>5474</v>
      </c>
      <c r="I516" t="s">
        <v>6835</v>
      </c>
      <c r="J516" t="s">
        <v>5476</v>
      </c>
      <c r="K516" t="s">
        <v>5471</v>
      </c>
      <c r="L516" t="s">
        <v>5471</v>
      </c>
      <c r="M516" t="s">
        <v>5471</v>
      </c>
    </row>
    <row r="517" spans="1:13" x14ac:dyDescent="0.3">
      <c r="A517" t="s">
        <v>3397</v>
      </c>
      <c r="B517" t="s">
        <v>5594</v>
      </c>
      <c r="C517" t="s">
        <v>5487</v>
      </c>
      <c r="D517" t="s">
        <v>4119</v>
      </c>
      <c r="E517" t="s">
        <v>5595</v>
      </c>
      <c r="F517" t="s">
        <v>6836</v>
      </c>
      <c r="G517" t="s">
        <v>6834</v>
      </c>
      <c r="H517" t="s">
        <v>5474</v>
      </c>
      <c r="I517" t="s">
        <v>6837</v>
      </c>
      <c r="J517" t="s">
        <v>5476</v>
      </c>
      <c r="K517" t="s">
        <v>5471</v>
      </c>
      <c r="L517" t="s">
        <v>5471</v>
      </c>
      <c r="M517" t="s">
        <v>5471</v>
      </c>
    </row>
    <row r="518" spans="1:13" x14ac:dyDescent="0.3">
      <c r="A518" t="s">
        <v>3397</v>
      </c>
      <c r="B518" t="s">
        <v>5594</v>
      </c>
      <c r="C518" t="s">
        <v>5487</v>
      </c>
      <c r="D518" t="s">
        <v>4119</v>
      </c>
      <c r="E518" t="s">
        <v>5595</v>
      </c>
      <c r="F518" t="s">
        <v>6838</v>
      </c>
      <c r="G518" t="s">
        <v>6834</v>
      </c>
      <c r="H518" t="s">
        <v>5474</v>
      </c>
      <c r="I518" t="s">
        <v>6839</v>
      </c>
      <c r="J518" t="s">
        <v>5476</v>
      </c>
      <c r="K518" t="s">
        <v>5471</v>
      </c>
      <c r="L518" t="s">
        <v>5471</v>
      </c>
      <c r="M518" t="s">
        <v>5471</v>
      </c>
    </row>
    <row r="519" spans="1:13" x14ac:dyDescent="0.3">
      <c r="A519" t="s">
        <v>3397</v>
      </c>
      <c r="B519" t="s">
        <v>5594</v>
      </c>
      <c r="C519" t="s">
        <v>5487</v>
      </c>
      <c r="D519" t="s">
        <v>4119</v>
      </c>
      <c r="E519" t="s">
        <v>5471</v>
      </c>
      <c r="F519" t="s">
        <v>6840</v>
      </c>
      <c r="G519" t="s">
        <v>6841</v>
      </c>
      <c r="H519" t="s">
        <v>5474</v>
      </c>
      <c r="I519" t="s">
        <v>6842</v>
      </c>
      <c r="J519" t="s">
        <v>5476</v>
      </c>
      <c r="K519" t="s">
        <v>5471</v>
      </c>
      <c r="L519" t="s">
        <v>5471</v>
      </c>
      <c r="M519" t="s">
        <v>5471</v>
      </c>
    </row>
    <row r="520" spans="1:13" x14ac:dyDescent="0.3">
      <c r="A520" t="s">
        <v>3397</v>
      </c>
      <c r="B520" t="s">
        <v>5594</v>
      </c>
      <c r="C520" t="s">
        <v>5487</v>
      </c>
      <c r="D520" t="s">
        <v>4119</v>
      </c>
      <c r="E520" t="s">
        <v>5471</v>
      </c>
      <c r="F520" t="s">
        <v>6843</v>
      </c>
      <c r="G520" t="s">
        <v>6841</v>
      </c>
      <c r="H520" t="s">
        <v>5474</v>
      </c>
      <c r="I520" t="s">
        <v>6844</v>
      </c>
      <c r="J520" t="s">
        <v>5476</v>
      </c>
      <c r="K520" t="s">
        <v>5471</v>
      </c>
      <c r="L520" t="s">
        <v>5471</v>
      </c>
      <c r="M520" t="s">
        <v>5471</v>
      </c>
    </row>
    <row r="521" spans="1:13" x14ac:dyDescent="0.3">
      <c r="A521" t="s">
        <v>3397</v>
      </c>
      <c r="B521" t="s">
        <v>5594</v>
      </c>
      <c r="C521" t="s">
        <v>5487</v>
      </c>
      <c r="D521" t="s">
        <v>4119</v>
      </c>
      <c r="E521" t="s">
        <v>5595</v>
      </c>
      <c r="F521" t="s">
        <v>6845</v>
      </c>
      <c r="G521" t="s">
        <v>6846</v>
      </c>
      <c r="H521" t="s">
        <v>5474</v>
      </c>
      <c r="I521" t="s">
        <v>6847</v>
      </c>
      <c r="J521" t="s">
        <v>5476</v>
      </c>
      <c r="K521" t="s">
        <v>5471</v>
      </c>
      <c r="L521" t="s">
        <v>5471</v>
      </c>
      <c r="M521" t="s">
        <v>5471</v>
      </c>
    </row>
    <row r="522" spans="1:13" x14ac:dyDescent="0.3">
      <c r="A522" t="s">
        <v>3397</v>
      </c>
      <c r="B522" t="s">
        <v>5594</v>
      </c>
      <c r="C522" t="s">
        <v>5487</v>
      </c>
      <c r="D522" t="s">
        <v>4119</v>
      </c>
      <c r="E522" t="s">
        <v>5595</v>
      </c>
      <c r="F522" t="s">
        <v>6848</v>
      </c>
      <c r="G522" t="s">
        <v>6846</v>
      </c>
      <c r="H522" t="s">
        <v>5474</v>
      </c>
      <c r="I522" t="s">
        <v>6849</v>
      </c>
      <c r="J522" t="s">
        <v>5476</v>
      </c>
      <c r="K522" t="s">
        <v>5471</v>
      </c>
      <c r="L522" t="s">
        <v>5471</v>
      </c>
      <c r="M522" t="s">
        <v>5471</v>
      </c>
    </row>
    <row r="523" spans="1:13" x14ac:dyDescent="0.3">
      <c r="A523" t="s">
        <v>3397</v>
      </c>
      <c r="B523" t="s">
        <v>5594</v>
      </c>
      <c r="C523" t="s">
        <v>5487</v>
      </c>
      <c r="D523" t="s">
        <v>4119</v>
      </c>
      <c r="E523" t="s">
        <v>5595</v>
      </c>
      <c r="F523" t="s">
        <v>6850</v>
      </c>
      <c r="G523" t="s">
        <v>6846</v>
      </c>
      <c r="H523" t="s">
        <v>5474</v>
      </c>
      <c r="I523" t="s">
        <v>6851</v>
      </c>
      <c r="J523" t="s">
        <v>5476</v>
      </c>
      <c r="K523" t="s">
        <v>5471</v>
      </c>
      <c r="L523" t="s">
        <v>5471</v>
      </c>
      <c r="M523" t="s">
        <v>5471</v>
      </c>
    </row>
    <row r="524" spans="1:13" x14ac:dyDescent="0.3">
      <c r="A524" t="s">
        <v>3383</v>
      </c>
      <c r="B524" t="s">
        <v>5294</v>
      </c>
      <c r="C524" t="s">
        <v>5470</v>
      </c>
      <c r="D524" t="s">
        <v>4119</v>
      </c>
      <c r="E524" t="s">
        <v>5617</v>
      </c>
      <c r="F524" t="s">
        <v>6852</v>
      </c>
      <c r="G524" t="s">
        <v>6699</v>
      </c>
      <c r="H524" t="s">
        <v>5474</v>
      </c>
      <c r="I524" t="s">
        <v>6853</v>
      </c>
      <c r="J524" t="s">
        <v>5476</v>
      </c>
      <c r="K524" t="s">
        <v>5471</v>
      </c>
      <c r="L524" t="s">
        <v>5471</v>
      </c>
      <c r="M524" t="s">
        <v>5471</v>
      </c>
    </row>
    <row r="525" spans="1:13" x14ac:dyDescent="0.3">
      <c r="A525" t="s">
        <v>3397</v>
      </c>
      <c r="B525" t="s">
        <v>5594</v>
      </c>
      <c r="C525" t="s">
        <v>5487</v>
      </c>
      <c r="D525" t="s">
        <v>4119</v>
      </c>
      <c r="E525" t="s">
        <v>6442</v>
      </c>
      <c r="F525" t="s">
        <v>6854</v>
      </c>
      <c r="G525" t="s">
        <v>6311</v>
      </c>
      <c r="H525" t="s">
        <v>5474</v>
      </c>
      <c r="I525" t="s">
        <v>6855</v>
      </c>
      <c r="J525" t="s">
        <v>5476</v>
      </c>
      <c r="K525" t="s">
        <v>5471</v>
      </c>
      <c r="L525" t="s">
        <v>5471</v>
      </c>
      <c r="M525" t="s">
        <v>5471</v>
      </c>
    </row>
    <row r="526" spans="1:13" x14ac:dyDescent="0.3">
      <c r="A526" t="s">
        <v>3397</v>
      </c>
      <c r="B526" t="s">
        <v>5594</v>
      </c>
      <c r="C526" t="s">
        <v>5487</v>
      </c>
      <c r="D526" t="s">
        <v>4119</v>
      </c>
      <c r="E526" t="s">
        <v>6442</v>
      </c>
      <c r="F526" t="s">
        <v>6856</v>
      </c>
      <c r="G526" t="s">
        <v>6311</v>
      </c>
      <c r="H526" t="s">
        <v>5474</v>
      </c>
      <c r="I526" t="s">
        <v>6857</v>
      </c>
      <c r="J526" t="s">
        <v>5476</v>
      </c>
      <c r="K526" t="s">
        <v>5471</v>
      </c>
      <c r="L526" t="s">
        <v>5471</v>
      </c>
      <c r="M526" t="s">
        <v>5471</v>
      </c>
    </row>
    <row r="527" spans="1:13" x14ac:dyDescent="0.3">
      <c r="A527" t="s">
        <v>3383</v>
      </c>
      <c r="B527" t="s">
        <v>6018</v>
      </c>
      <c r="C527" t="s">
        <v>5470</v>
      </c>
      <c r="D527" t="s">
        <v>4119</v>
      </c>
      <c r="E527" t="s">
        <v>5756</v>
      </c>
      <c r="F527" t="s">
        <v>6858</v>
      </c>
      <c r="G527" t="s">
        <v>6279</v>
      </c>
      <c r="H527" t="s">
        <v>5474</v>
      </c>
      <c r="I527" t="s">
        <v>6859</v>
      </c>
      <c r="J527" t="s">
        <v>5476</v>
      </c>
      <c r="K527" t="s">
        <v>5471</v>
      </c>
      <c r="L527" t="s">
        <v>5471</v>
      </c>
      <c r="M527" t="s">
        <v>5471</v>
      </c>
    </row>
    <row r="528" spans="1:13" x14ac:dyDescent="0.3">
      <c r="A528" t="s">
        <v>3383</v>
      </c>
      <c r="B528" t="s">
        <v>5294</v>
      </c>
      <c r="C528" t="s">
        <v>5470</v>
      </c>
      <c r="D528" t="s">
        <v>4119</v>
      </c>
      <c r="E528" t="s">
        <v>5756</v>
      </c>
      <c r="F528" t="s">
        <v>6860</v>
      </c>
      <c r="G528" t="s">
        <v>6699</v>
      </c>
      <c r="H528" t="s">
        <v>5474</v>
      </c>
      <c r="I528" t="s">
        <v>6861</v>
      </c>
      <c r="J528" t="s">
        <v>5476</v>
      </c>
      <c r="K528" t="s">
        <v>5471</v>
      </c>
      <c r="L528" t="s">
        <v>5471</v>
      </c>
      <c r="M528" t="s">
        <v>5471</v>
      </c>
    </row>
    <row r="529" spans="1:13" x14ac:dyDescent="0.3">
      <c r="A529" t="s">
        <v>3397</v>
      </c>
      <c r="B529" t="s">
        <v>5594</v>
      </c>
      <c r="C529" t="s">
        <v>5487</v>
      </c>
      <c r="D529" t="s">
        <v>4119</v>
      </c>
      <c r="E529" t="s">
        <v>6442</v>
      </c>
      <c r="F529" t="s">
        <v>6862</v>
      </c>
      <c r="G529" t="s">
        <v>6311</v>
      </c>
      <c r="H529" t="s">
        <v>5474</v>
      </c>
      <c r="I529" t="s">
        <v>6863</v>
      </c>
      <c r="J529" t="s">
        <v>5476</v>
      </c>
      <c r="K529" t="s">
        <v>5471</v>
      </c>
      <c r="L529" t="s">
        <v>5471</v>
      </c>
      <c r="M529" t="s">
        <v>5471</v>
      </c>
    </row>
    <row r="530" spans="1:13" x14ac:dyDescent="0.3">
      <c r="A530" t="s">
        <v>3397</v>
      </c>
      <c r="B530" t="s">
        <v>5328</v>
      </c>
      <c r="C530" t="s">
        <v>5470</v>
      </c>
      <c r="D530" t="s">
        <v>4119</v>
      </c>
      <c r="E530" t="s">
        <v>5471</v>
      </c>
      <c r="F530" t="s">
        <v>6864</v>
      </c>
      <c r="G530" t="s">
        <v>6865</v>
      </c>
      <c r="H530" t="s">
        <v>5474</v>
      </c>
      <c r="I530" t="s">
        <v>6866</v>
      </c>
      <c r="J530" t="s">
        <v>5476</v>
      </c>
      <c r="K530" t="s">
        <v>5471</v>
      </c>
      <c r="L530" t="s">
        <v>5471</v>
      </c>
      <c r="M530" t="s">
        <v>5471</v>
      </c>
    </row>
    <row r="531" spans="1:13" x14ac:dyDescent="0.3">
      <c r="A531" t="s">
        <v>3397</v>
      </c>
      <c r="B531" t="s">
        <v>5328</v>
      </c>
      <c r="C531" t="s">
        <v>5470</v>
      </c>
      <c r="D531" t="s">
        <v>4119</v>
      </c>
      <c r="E531" t="s">
        <v>5471</v>
      </c>
      <c r="F531" t="s">
        <v>6867</v>
      </c>
      <c r="G531" t="s">
        <v>6865</v>
      </c>
      <c r="H531" t="s">
        <v>5474</v>
      </c>
      <c r="I531" t="s">
        <v>6868</v>
      </c>
      <c r="J531" t="s">
        <v>5476</v>
      </c>
      <c r="K531" t="s">
        <v>5471</v>
      </c>
      <c r="L531" t="s">
        <v>5471</v>
      </c>
      <c r="M531" t="s">
        <v>5471</v>
      </c>
    </row>
    <row r="532" spans="1:13" x14ac:dyDescent="0.3">
      <c r="A532" t="s">
        <v>3383</v>
      </c>
      <c r="B532" t="s">
        <v>5294</v>
      </c>
      <c r="C532" t="s">
        <v>5470</v>
      </c>
      <c r="D532" t="s">
        <v>4119</v>
      </c>
      <c r="E532" t="s">
        <v>5756</v>
      </c>
      <c r="F532" t="s">
        <v>6869</v>
      </c>
      <c r="G532" t="s">
        <v>6699</v>
      </c>
      <c r="H532" t="s">
        <v>5474</v>
      </c>
      <c r="I532" t="s">
        <v>6870</v>
      </c>
      <c r="J532" t="s">
        <v>5476</v>
      </c>
      <c r="K532" t="s">
        <v>5471</v>
      </c>
      <c r="L532" t="s">
        <v>5471</v>
      </c>
      <c r="M532" t="s">
        <v>5471</v>
      </c>
    </row>
    <row r="533" spans="1:13" x14ac:dyDescent="0.3">
      <c r="A533" t="s">
        <v>3397</v>
      </c>
      <c r="B533" t="s">
        <v>5594</v>
      </c>
      <c r="C533" t="s">
        <v>5487</v>
      </c>
      <c r="D533" t="s">
        <v>4119</v>
      </c>
      <c r="E533" t="s">
        <v>6442</v>
      </c>
      <c r="F533" t="s">
        <v>6871</v>
      </c>
      <c r="G533" t="s">
        <v>6311</v>
      </c>
      <c r="H533" t="s">
        <v>5474</v>
      </c>
      <c r="I533" t="s">
        <v>6872</v>
      </c>
      <c r="J533" t="s">
        <v>5476</v>
      </c>
      <c r="K533" t="s">
        <v>5471</v>
      </c>
      <c r="L533" t="s">
        <v>5471</v>
      </c>
      <c r="M533" t="s">
        <v>5471</v>
      </c>
    </row>
    <row r="534" spans="1:13" x14ac:dyDescent="0.3">
      <c r="A534" t="s">
        <v>3397</v>
      </c>
      <c r="B534" t="s">
        <v>5328</v>
      </c>
      <c r="C534" t="s">
        <v>5470</v>
      </c>
      <c r="D534" t="s">
        <v>4119</v>
      </c>
      <c r="E534" t="s">
        <v>5471</v>
      </c>
      <c r="F534" t="s">
        <v>6873</v>
      </c>
      <c r="G534" t="s">
        <v>6865</v>
      </c>
      <c r="H534" t="s">
        <v>5474</v>
      </c>
      <c r="I534" t="s">
        <v>6874</v>
      </c>
      <c r="J534" t="s">
        <v>5476</v>
      </c>
      <c r="K534" t="s">
        <v>5471</v>
      </c>
      <c r="L534" t="s">
        <v>5471</v>
      </c>
      <c r="M534" t="s">
        <v>5471</v>
      </c>
    </row>
    <row r="535" spans="1:13" x14ac:dyDescent="0.3">
      <c r="A535" t="s">
        <v>3397</v>
      </c>
      <c r="B535" t="s">
        <v>5328</v>
      </c>
      <c r="C535" t="s">
        <v>5470</v>
      </c>
      <c r="D535" t="s">
        <v>4119</v>
      </c>
      <c r="E535" t="s">
        <v>5471</v>
      </c>
      <c r="F535" t="s">
        <v>6875</v>
      </c>
      <c r="G535" t="s">
        <v>6865</v>
      </c>
      <c r="H535" t="s">
        <v>5474</v>
      </c>
      <c r="I535" t="s">
        <v>6876</v>
      </c>
      <c r="J535" t="s">
        <v>5476</v>
      </c>
      <c r="K535" t="s">
        <v>5471</v>
      </c>
      <c r="L535" t="s">
        <v>5471</v>
      </c>
      <c r="M535" t="s">
        <v>5471</v>
      </c>
    </row>
    <row r="536" spans="1:13" x14ac:dyDescent="0.3">
      <c r="A536" t="s">
        <v>3397</v>
      </c>
      <c r="B536" t="s">
        <v>5328</v>
      </c>
      <c r="C536" t="s">
        <v>5470</v>
      </c>
      <c r="D536" t="s">
        <v>4119</v>
      </c>
      <c r="E536" t="s">
        <v>5471</v>
      </c>
      <c r="F536" t="s">
        <v>6877</v>
      </c>
      <c r="G536" t="s">
        <v>6865</v>
      </c>
      <c r="H536" t="s">
        <v>5474</v>
      </c>
      <c r="I536" t="s">
        <v>6878</v>
      </c>
      <c r="J536" t="s">
        <v>5476</v>
      </c>
      <c r="K536" t="s">
        <v>5471</v>
      </c>
      <c r="L536" t="s">
        <v>5471</v>
      </c>
      <c r="M536" t="s">
        <v>5471</v>
      </c>
    </row>
    <row r="537" spans="1:13" x14ac:dyDescent="0.3">
      <c r="A537" t="s">
        <v>3383</v>
      </c>
      <c r="B537" t="s">
        <v>6018</v>
      </c>
      <c r="C537" t="s">
        <v>5470</v>
      </c>
      <c r="D537" t="s">
        <v>4119</v>
      </c>
      <c r="E537" t="s">
        <v>5756</v>
      </c>
      <c r="F537" t="s">
        <v>6879</v>
      </c>
      <c r="G537" t="s">
        <v>6279</v>
      </c>
      <c r="H537" t="s">
        <v>5474</v>
      </c>
      <c r="I537" t="s">
        <v>6880</v>
      </c>
      <c r="J537" t="s">
        <v>5484</v>
      </c>
      <c r="K537" t="s">
        <v>5471</v>
      </c>
      <c r="L537" t="s">
        <v>5471</v>
      </c>
      <c r="M537" t="s">
        <v>5471</v>
      </c>
    </row>
    <row r="538" spans="1:13" x14ac:dyDescent="0.3">
      <c r="A538" t="s">
        <v>3397</v>
      </c>
      <c r="B538" t="s">
        <v>5328</v>
      </c>
      <c r="C538" t="s">
        <v>5470</v>
      </c>
      <c r="D538" t="s">
        <v>4119</v>
      </c>
      <c r="E538" t="s">
        <v>5471</v>
      </c>
      <c r="F538" t="s">
        <v>6881</v>
      </c>
      <c r="G538" t="s">
        <v>6865</v>
      </c>
      <c r="H538" t="s">
        <v>5474</v>
      </c>
      <c r="I538" t="s">
        <v>6882</v>
      </c>
      <c r="J538" t="s">
        <v>5476</v>
      </c>
      <c r="K538" t="s">
        <v>5471</v>
      </c>
      <c r="L538" t="s">
        <v>5471</v>
      </c>
      <c r="M538" t="s">
        <v>5471</v>
      </c>
    </row>
    <row r="539" spans="1:13" x14ac:dyDescent="0.3">
      <c r="A539" t="s">
        <v>3397</v>
      </c>
      <c r="B539" t="s">
        <v>5328</v>
      </c>
      <c r="C539" t="s">
        <v>5470</v>
      </c>
      <c r="D539" t="s">
        <v>4119</v>
      </c>
      <c r="E539" t="s">
        <v>5471</v>
      </c>
      <c r="F539" t="s">
        <v>6883</v>
      </c>
      <c r="G539" t="s">
        <v>6865</v>
      </c>
      <c r="H539" t="s">
        <v>5474</v>
      </c>
      <c r="I539" t="s">
        <v>6884</v>
      </c>
      <c r="J539" t="s">
        <v>5476</v>
      </c>
      <c r="K539" t="s">
        <v>5471</v>
      </c>
      <c r="L539" t="s">
        <v>5471</v>
      </c>
      <c r="M539" t="s">
        <v>5471</v>
      </c>
    </row>
    <row r="540" spans="1:13" x14ac:dyDescent="0.3">
      <c r="A540" t="s">
        <v>3383</v>
      </c>
      <c r="B540" t="s">
        <v>6018</v>
      </c>
      <c r="C540" t="s">
        <v>5470</v>
      </c>
      <c r="D540" t="s">
        <v>4119</v>
      </c>
      <c r="E540" t="s">
        <v>5756</v>
      </c>
      <c r="F540" t="s">
        <v>6885</v>
      </c>
      <c r="G540" t="s">
        <v>6279</v>
      </c>
      <c r="H540" t="s">
        <v>5474</v>
      </c>
      <c r="I540" t="s">
        <v>6886</v>
      </c>
      <c r="J540" t="s">
        <v>5484</v>
      </c>
      <c r="K540" t="s">
        <v>5471</v>
      </c>
      <c r="L540" t="s">
        <v>5471</v>
      </c>
      <c r="M540" t="s">
        <v>5471</v>
      </c>
    </row>
    <row r="541" spans="1:13" x14ac:dyDescent="0.3">
      <c r="A541" t="s">
        <v>3383</v>
      </c>
      <c r="B541" t="s">
        <v>6018</v>
      </c>
      <c r="C541" t="s">
        <v>5470</v>
      </c>
      <c r="D541" t="s">
        <v>4119</v>
      </c>
      <c r="E541" t="s">
        <v>5756</v>
      </c>
      <c r="F541" t="s">
        <v>6887</v>
      </c>
      <c r="G541" t="s">
        <v>6279</v>
      </c>
      <c r="H541" t="s">
        <v>5474</v>
      </c>
      <c r="I541" t="s">
        <v>6888</v>
      </c>
      <c r="J541" t="s">
        <v>5484</v>
      </c>
      <c r="K541" t="s">
        <v>5471</v>
      </c>
      <c r="L541" t="s">
        <v>5471</v>
      </c>
      <c r="M541" t="s">
        <v>5471</v>
      </c>
    </row>
    <row r="542" spans="1:13" x14ac:dyDescent="0.3">
      <c r="A542" t="s">
        <v>3383</v>
      </c>
      <c r="B542" t="s">
        <v>6018</v>
      </c>
      <c r="C542" t="s">
        <v>5470</v>
      </c>
      <c r="D542" t="s">
        <v>4119</v>
      </c>
      <c r="E542" t="s">
        <v>5756</v>
      </c>
      <c r="F542" t="s">
        <v>6889</v>
      </c>
      <c r="G542" t="s">
        <v>6279</v>
      </c>
      <c r="H542" t="s">
        <v>5474</v>
      </c>
      <c r="I542" t="s">
        <v>6890</v>
      </c>
      <c r="J542" t="s">
        <v>5476</v>
      </c>
      <c r="K542" t="s">
        <v>5471</v>
      </c>
      <c r="L542" t="s">
        <v>5471</v>
      </c>
      <c r="M542" t="s">
        <v>5471</v>
      </c>
    </row>
    <row r="543" spans="1:13" x14ac:dyDescent="0.3">
      <c r="A543" t="s">
        <v>3383</v>
      </c>
      <c r="B543" t="s">
        <v>5294</v>
      </c>
      <c r="C543" t="s">
        <v>5470</v>
      </c>
      <c r="D543" t="s">
        <v>4119</v>
      </c>
      <c r="E543" t="s">
        <v>5756</v>
      </c>
      <c r="F543" t="s">
        <v>6891</v>
      </c>
      <c r="G543" t="s">
        <v>6699</v>
      </c>
      <c r="H543" t="s">
        <v>5474</v>
      </c>
      <c r="I543" t="s">
        <v>6892</v>
      </c>
      <c r="J543" t="s">
        <v>5476</v>
      </c>
      <c r="K543" t="s">
        <v>5471</v>
      </c>
      <c r="L543" t="s">
        <v>5471</v>
      </c>
      <c r="M543" t="s">
        <v>5471</v>
      </c>
    </row>
    <row r="544" spans="1:13" x14ac:dyDescent="0.3">
      <c r="A544" t="s">
        <v>3383</v>
      </c>
      <c r="B544" t="s">
        <v>6018</v>
      </c>
      <c r="C544" t="s">
        <v>5470</v>
      </c>
      <c r="D544" t="s">
        <v>4119</v>
      </c>
      <c r="E544" t="s">
        <v>5756</v>
      </c>
      <c r="F544" t="s">
        <v>6893</v>
      </c>
      <c r="G544" t="s">
        <v>6279</v>
      </c>
      <c r="H544" t="s">
        <v>5474</v>
      </c>
      <c r="I544" t="s">
        <v>6894</v>
      </c>
      <c r="J544" t="s">
        <v>5476</v>
      </c>
      <c r="K544" t="s">
        <v>5471</v>
      </c>
      <c r="L544" t="s">
        <v>5471</v>
      </c>
      <c r="M544" t="s">
        <v>5471</v>
      </c>
    </row>
    <row r="545" spans="1:13" x14ac:dyDescent="0.3">
      <c r="A545" t="s">
        <v>3397</v>
      </c>
      <c r="B545" t="s">
        <v>6895</v>
      </c>
      <c r="C545" t="s">
        <v>5487</v>
      </c>
      <c r="D545" t="s">
        <v>4119</v>
      </c>
      <c r="E545" t="s">
        <v>5471</v>
      </c>
      <c r="F545" t="s">
        <v>6896</v>
      </c>
      <c r="G545" t="s">
        <v>6897</v>
      </c>
      <c r="H545" t="s">
        <v>5474</v>
      </c>
      <c r="I545" t="s">
        <v>6898</v>
      </c>
      <c r="J545" t="s">
        <v>5476</v>
      </c>
      <c r="K545" t="s">
        <v>5471</v>
      </c>
      <c r="L545" t="s">
        <v>5471</v>
      </c>
      <c r="M545" t="s">
        <v>5471</v>
      </c>
    </row>
    <row r="546" spans="1:13" x14ac:dyDescent="0.3">
      <c r="A546" t="s">
        <v>3397</v>
      </c>
      <c r="B546" t="s">
        <v>6895</v>
      </c>
      <c r="C546" t="s">
        <v>5487</v>
      </c>
      <c r="D546" t="s">
        <v>4119</v>
      </c>
      <c r="E546" t="s">
        <v>5471</v>
      </c>
      <c r="F546" t="s">
        <v>6899</v>
      </c>
      <c r="G546" t="s">
        <v>6897</v>
      </c>
      <c r="H546" t="s">
        <v>5474</v>
      </c>
      <c r="I546" t="s">
        <v>6900</v>
      </c>
      <c r="J546" t="s">
        <v>5476</v>
      </c>
      <c r="K546" t="s">
        <v>5471</v>
      </c>
      <c r="L546" t="s">
        <v>5471</v>
      </c>
      <c r="M546" t="s">
        <v>5471</v>
      </c>
    </row>
    <row r="547" spans="1:13" x14ac:dyDescent="0.3">
      <c r="A547" t="s">
        <v>3383</v>
      </c>
      <c r="B547" t="s">
        <v>6018</v>
      </c>
      <c r="C547" t="s">
        <v>5470</v>
      </c>
      <c r="D547" t="s">
        <v>4119</v>
      </c>
      <c r="E547" t="s">
        <v>5756</v>
      </c>
      <c r="F547" t="s">
        <v>6901</v>
      </c>
      <c r="G547" t="s">
        <v>6279</v>
      </c>
      <c r="H547" t="s">
        <v>5474</v>
      </c>
      <c r="I547" t="s">
        <v>6902</v>
      </c>
      <c r="J547" t="s">
        <v>5476</v>
      </c>
      <c r="K547" t="s">
        <v>5471</v>
      </c>
      <c r="L547" t="s">
        <v>5471</v>
      </c>
      <c r="M547" t="s">
        <v>5471</v>
      </c>
    </row>
    <row r="548" spans="1:13" x14ac:dyDescent="0.3">
      <c r="A548" t="s">
        <v>3397</v>
      </c>
      <c r="B548" t="s">
        <v>5594</v>
      </c>
      <c r="C548" t="s">
        <v>5487</v>
      </c>
      <c r="D548" t="s">
        <v>4119</v>
      </c>
      <c r="E548" t="s">
        <v>5471</v>
      </c>
      <c r="F548" t="s">
        <v>6903</v>
      </c>
      <c r="G548" t="s">
        <v>6904</v>
      </c>
      <c r="H548" t="s">
        <v>5474</v>
      </c>
      <c r="I548" t="s">
        <v>6905</v>
      </c>
      <c r="J548" t="s">
        <v>5476</v>
      </c>
      <c r="K548" t="s">
        <v>5471</v>
      </c>
      <c r="L548" t="s">
        <v>5471</v>
      </c>
      <c r="M548" t="s">
        <v>5471</v>
      </c>
    </row>
    <row r="549" spans="1:13" x14ac:dyDescent="0.3">
      <c r="A549" t="s">
        <v>3397</v>
      </c>
      <c r="B549" t="s">
        <v>5594</v>
      </c>
      <c r="C549" t="s">
        <v>5487</v>
      </c>
      <c r="D549" t="s">
        <v>4119</v>
      </c>
      <c r="E549" t="s">
        <v>5471</v>
      </c>
      <c r="F549" t="s">
        <v>6906</v>
      </c>
      <c r="G549" t="s">
        <v>6904</v>
      </c>
      <c r="H549" t="s">
        <v>5474</v>
      </c>
      <c r="I549" t="s">
        <v>6907</v>
      </c>
      <c r="J549" t="s">
        <v>5476</v>
      </c>
      <c r="K549" t="s">
        <v>5471</v>
      </c>
      <c r="L549" t="s">
        <v>5471</v>
      </c>
      <c r="M549" t="s">
        <v>5471</v>
      </c>
    </row>
    <row r="550" spans="1:13" x14ac:dyDescent="0.3">
      <c r="A550" t="s">
        <v>3383</v>
      </c>
      <c r="B550" t="s">
        <v>6018</v>
      </c>
      <c r="C550" t="s">
        <v>5470</v>
      </c>
      <c r="D550" t="s">
        <v>4119</v>
      </c>
      <c r="E550" t="s">
        <v>5756</v>
      </c>
      <c r="F550" t="s">
        <v>6908</v>
      </c>
      <c r="G550" t="s">
        <v>6279</v>
      </c>
      <c r="H550" t="s">
        <v>5474</v>
      </c>
      <c r="I550" t="s">
        <v>6909</v>
      </c>
      <c r="J550" t="s">
        <v>5484</v>
      </c>
      <c r="K550" t="s">
        <v>5471</v>
      </c>
      <c r="L550" t="s">
        <v>5471</v>
      </c>
      <c r="M550" t="s">
        <v>5471</v>
      </c>
    </row>
    <row r="551" spans="1:13" x14ac:dyDescent="0.3">
      <c r="A551" t="s">
        <v>3397</v>
      </c>
      <c r="B551" t="s">
        <v>5594</v>
      </c>
      <c r="C551" t="s">
        <v>5487</v>
      </c>
      <c r="D551" t="s">
        <v>4119</v>
      </c>
      <c r="E551" t="s">
        <v>5471</v>
      </c>
      <c r="F551" t="s">
        <v>6910</v>
      </c>
      <c r="G551" t="s">
        <v>6904</v>
      </c>
      <c r="H551" t="s">
        <v>5474</v>
      </c>
      <c r="I551" t="s">
        <v>6911</v>
      </c>
      <c r="J551" t="s">
        <v>5476</v>
      </c>
      <c r="K551" t="s">
        <v>5471</v>
      </c>
      <c r="L551" t="s">
        <v>5471</v>
      </c>
      <c r="M551" t="s">
        <v>5471</v>
      </c>
    </row>
    <row r="552" spans="1:13" x14ac:dyDescent="0.3">
      <c r="A552" t="s">
        <v>3383</v>
      </c>
      <c r="B552" t="s">
        <v>6018</v>
      </c>
      <c r="C552" t="s">
        <v>5470</v>
      </c>
      <c r="D552" t="s">
        <v>4119</v>
      </c>
      <c r="E552" t="s">
        <v>5756</v>
      </c>
      <c r="F552" t="s">
        <v>6912</v>
      </c>
      <c r="G552" t="s">
        <v>6913</v>
      </c>
      <c r="H552" t="s">
        <v>5474</v>
      </c>
      <c r="I552" t="s">
        <v>6914</v>
      </c>
      <c r="J552" t="s">
        <v>5476</v>
      </c>
      <c r="K552" t="s">
        <v>5471</v>
      </c>
      <c r="L552" t="s">
        <v>5471</v>
      </c>
      <c r="M552" t="s">
        <v>5471</v>
      </c>
    </row>
    <row r="553" spans="1:13" x14ac:dyDescent="0.3">
      <c r="A553" t="s">
        <v>3383</v>
      </c>
      <c r="B553" t="s">
        <v>6063</v>
      </c>
      <c r="C553" t="s">
        <v>5470</v>
      </c>
      <c r="D553" t="s">
        <v>4119</v>
      </c>
      <c r="E553" t="s">
        <v>5756</v>
      </c>
      <c r="F553" t="s">
        <v>6915</v>
      </c>
      <c r="G553" t="s">
        <v>6274</v>
      </c>
      <c r="H553" t="s">
        <v>5474</v>
      </c>
      <c r="I553" t="s">
        <v>6916</v>
      </c>
      <c r="J553" t="s">
        <v>5476</v>
      </c>
      <c r="K553" t="s">
        <v>5471</v>
      </c>
      <c r="L553" t="s">
        <v>5471</v>
      </c>
      <c r="M553" t="s">
        <v>5471</v>
      </c>
    </row>
    <row r="554" spans="1:13" x14ac:dyDescent="0.3">
      <c r="A554" t="s">
        <v>3383</v>
      </c>
      <c r="B554" t="s">
        <v>6018</v>
      </c>
      <c r="C554" t="s">
        <v>5470</v>
      </c>
      <c r="D554" t="s">
        <v>4119</v>
      </c>
      <c r="E554" t="s">
        <v>5756</v>
      </c>
      <c r="F554" t="s">
        <v>6917</v>
      </c>
      <c r="G554" t="s">
        <v>6274</v>
      </c>
      <c r="H554" t="s">
        <v>5474</v>
      </c>
      <c r="I554" t="s">
        <v>6918</v>
      </c>
      <c r="J554" t="s">
        <v>5476</v>
      </c>
      <c r="K554" t="s">
        <v>5471</v>
      </c>
      <c r="L554" t="s">
        <v>5471</v>
      </c>
      <c r="M554" t="s">
        <v>5471</v>
      </c>
    </row>
    <row r="555" spans="1:13" x14ac:dyDescent="0.3">
      <c r="A555" t="s">
        <v>3383</v>
      </c>
      <c r="B555" t="s">
        <v>6018</v>
      </c>
      <c r="C555" t="s">
        <v>5470</v>
      </c>
      <c r="D555" t="s">
        <v>4119</v>
      </c>
      <c r="E555" t="s">
        <v>5756</v>
      </c>
      <c r="F555" t="s">
        <v>6919</v>
      </c>
      <c r="G555" t="s">
        <v>6279</v>
      </c>
      <c r="H555" t="s">
        <v>5474</v>
      </c>
      <c r="I555" t="s">
        <v>6920</v>
      </c>
      <c r="J555" t="s">
        <v>5476</v>
      </c>
      <c r="K555" t="s">
        <v>5471</v>
      </c>
      <c r="L555" t="s">
        <v>5471</v>
      </c>
      <c r="M555" t="s">
        <v>5471</v>
      </c>
    </row>
    <row r="556" spans="1:13" x14ac:dyDescent="0.3">
      <c r="A556" t="s">
        <v>3383</v>
      </c>
      <c r="B556" t="s">
        <v>6051</v>
      </c>
      <c r="C556" t="s">
        <v>5470</v>
      </c>
      <c r="D556" t="s">
        <v>4119</v>
      </c>
      <c r="E556" t="s">
        <v>5532</v>
      </c>
      <c r="F556" t="s">
        <v>6921</v>
      </c>
      <c r="G556" t="s">
        <v>6922</v>
      </c>
      <c r="H556" t="s">
        <v>5474</v>
      </c>
      <c r="I556" t="s">
        <v>6923</v>
      </c>
      <c r="J556" t="s">
        <v>5476</v>
      </c>
      <c r="K556" t="s">
        <v>5471</v>
      </c>
      <c r="L556" t="s">
        <v>5471</v>
      </c>
      <c r="M556" t="s">
        <v>5471</v>
      </c>
    </row>
    <row r="557" spans="1:13" x14ac:dyDescent="0.3">
      <c r="A557" t="s">
        <v>3383</v>
      </c>
      <c r="B557" t="s">
        <v>6122</v>
      </c>
      <c r="C557" t="s">
        <v>5470</v>
      </c>
      <c r="D557" t="s">
        <v>4119</v>
      </c>
      <c r="E557" t="s">
        <v>5532</v>
      </c>
      <c r="F557" t="s">
        <v>6924</v>
      </c>
      <c r="G557" t="s">
        <v>6925</v>
      </c>
      <c r="H557" t="s">
        <v>5474</v>
      </c>
      <c r="I557" t="s">
        <v>6926</v>
      </c>
      <c r="J557" t="s">
        <v>5484</v>
      </c>
      <c r="K557" t="s">
        <v>5471</v>
      </c>
      <c r="L557" t="s">
        <v>5471</v>
      </c>
      <c r="M557" t="s">
        <v>5471</v>
      </c>
    </row>
    <row r="558" spans="1:13" x14ac:dyDescent="0.3">
      <c r="A558" t="s">
        <v>3383</v>
      </c>
      <c r="B558" t="s">
        <v>6122</v>
      </c>
      <c r="C558" t="s">
        <v>5470</v>
      </c>
      <c r="D558" t="s">
        <v>4119</v>
      </c>
      <c r="E558" t="s">
        <v>5532</v>
      </c>
      <c r="F558" t="s">
        <v>6927</v>
      </c>
      <c r="G558" t="s">
        <v>6928</v>
      </c>
      <c r="H558" t="s">
        <v>5474</v>
      </c>
      <c r="I558" t="s">
        <v>6929</v>
      </c>
      <c r="J558" t="s">
        <v>5476</v>
      </c>
      <c r="K558" t="s">
        <v>5471</v>
      </c>
      <c r="L558" t="s">
        <v>5471</v>
      </c>
      <c r="M558" t="s">
        <v>5471</v>
      </c>
    </row>
    <row r="559" spans="1:13" x14ac:dyDescent="0.3">
      <c r="A559" t="s">
        <v>3383</v>
      </c>
      <c r="B559" t="s">
        <v>6122</v>
      </c>
      <c r="C559" t="s">
        <v>5470</v>
      </c>
      <c r="D559" t="s">
        <v>4119</v>
      </c>
      <c r="E559" t="s">
        <v>5532</v>
      </c>
      <c r="F559" t="s">
        <v>6927</v>
      </c>
      <c r="G559" t="s">
        <v>6930</v>
      </c>
      <c r="H559" t="s">
        <v>5474</v>
      </c>
      <c r="I559" t="s">
        <v>6931</v>
      </c>
      <c r="J559" t="s">
        <v>5476</v>
      </c>
      <c r="K559" t="s">
        <v>5471</v>
      </c>
      <c r="L559" t="s">
        <v>5471</v>
      </c>
      <c r="M559" t="s">
        <v>5471</v>
      </c>
    </row>
    <row r="560" spans="1:13" x14ac:dyDescent="0.3">
      <c r="A560" t="s">
        <v>3383</v>
      </c>
      <c r="B560" t="s">
        <v>5332</v>
      </c>
      <c r="C560" t="s">
        <v>5470</v>
      </c>
      <c r="D560" t="s">
        <v>4119</v>
      </c>
      <c r="E560" t="s">
        <v>5756</v>
      </c>
      <c r="F560" t="s">
        <v>6932</v>
      </c>
      <c r="G560" t="s">
        <v>6207</v>
      </c>
      <c r="H560" t="s">
        <v>5474</v>
      </c>
      <c r="I560" t="s">
        <v>6933</v>
      </c>
      <c r="J560" t="s">
        <v>5484</v>
      </c>
      <c r="K560" t="s">
        <v>5471</v>
      </c>
      <c r="L560" t="s">
        <v>5471</v>
      </c>
      <c r="M560" t="s">
        <v>5471</v>
      </c>
    </row>
    <row r="561" spans="1:13" x14ac:dyDescent="0.3">
      <c r="A561" t="s">
        <v>3383</v>
      </c>
      <c r="B561" t="s">
        <v>5332</v>
      </c>
      <c r="C561" t="s">
        <v>5470</v>
      </c>
      <c r="D561" t="s">
        <v>4119</v>
      </c>
      <c r="E561" t="s">
        <v>5532</v>
      </c>
      <c r="F561" t="s">
        <v>6934</v>
      </c>
      <c r="G561" t="s">
        <v>6239</v>
      </c>
      <c r="H561" t="s">
        <v>5474</v>
      </c>
      <c r="I561" t="s">
        <v>6935</v>
      </c>
      <c r="J561" t="s">
        <v>5484</v>
      </c>
      <c r="K561" t="s">
        <v>5471</v>
      </c>
      <c r="L561" t="s">
        <v>5471</v>
      </c>
      <c r="M561" t="s">
        <v>5471</v>
      </c>
    </row>
    <row r="562" spans="1:13" x14ac:dyDescent="0.3">
      <c r="A562" t="s">
        <v>3383</v>
      </c>
      <c r="B562" t="s">
        <v>6063</v>
      </c>
      <c r="C562" t="s">
        <v>5470</v>
      </c>
      <c r="D562" t="s">
        <v>4119</v>
      </c>
      <c r="E562" t="s">
        <v>5756</v>
      </c>
      <c r="F562" t="s">
        <v>6936</v>
      </c>
      <c r="G562" t="s">
        <v>6065</v>
      </c>
      <c r="H562" t="s">
        <v>5474</v>
      </c>
      <c r="I562" t="s">
        <v>6937</v>
      </c>
      <c r="J562" t="s">
        <v>5476</v>
      </c>
      <c r="K562" t="s">
        <v>5471</v>
      </c>
      <c r="L562" t="s">
        <v>5471</v>
      </c>
      <c r="M562" t="s">
        <v>5471</v>
      </c>
    </row>
    <row r="563" spans="1:13" x14ac:dyDescent="0.3">
      <c r="A563" t="s">
        <v>3383</v>
      </c>
      <c r="B563" t="s">
        <v>6063</v>
      </c>
      <c r="C563" t="s">
        <v>5470</v>
      </c>
      <c r="D563" t="s">
        <v>4119</v>
      </c>
      <c r="E563" t="s">
        <v>5756</v>
      </c>
      <c r="F563" t="s">
        <v>6938</v>
      </c>
      <c r="G563" t="s">
        <v>6065</v>
      </c>
      <c r="H563" t="s">
        <v>5474</v>
      </c>
      <c r="I563" t="s">
        <v>6939</v>
      </c>
      <c r="J563" t="s">
        <v>5476</v>
      </c>
      <c r="K563" t="s">
        <v>5471</v>
      </c>
      <c r="L563" t="s">
        <v>5471</v>
      </c>
      <c r="M563" t="s">
        <v>5471</v>
      </c>
    </row>
    <row r="564" spans="1:13" x14ac:dyDescent="0.3">
      <c r="A564" t="s">
        <v>3397</v>
      </c>
      <c r="B564" t="s">
        <v>5989</v>
      </c>
      <c r="C564" t="s">
        <v>5487</v>
      </c>
      <c r="D564" t="s">
        <v>4119</v>
      </c>
      <c r="E564" t="s">
        <v>5756</v>
      </c>
      <c r="F564" t="s">
        <v>6940</v>
      </c>
      <c r="G564" t="s">
        <v>6941</v>
      </c>
      <c r="H564" t="s">
        <v>5474</v>
      </c>
      <c r="I564" t="s">
        <v>6942</v>
      </c>
      <c r="J564" t="s">
        <v>5476</v>
      </c>
      <c r="K564" t="s">
        <v>5471</v>
      </c>
      <c r="L564" t="s">
        <v>5471</v>
      </c>
      <c r="M564" t="s">
        <v>5471</v>
      </c>
    </row>
    <row r="565" spans="1:13" x14ac:dyDescent="0.3">
      <c r="A565" t="s">
        <v>3383</v>
      </c>
      <c r="B565" t="s">
        <v>5294</v>
      </c>
      <c r="C565" t="s">
        <v>5470</v>
      </c>
      <c r="D565" t="s">
        <v>4119</v>
      </c>
      <c r="E565" t="s">
        <v>5756</v>
      </c>
      <c r="F565" t="s">
        <v>6943</v>
      </c>
      <c r="G565" t="s">
        <v>6944</v>
      </c>
      <c r="H565" t="s">
        <v>5474</v>
      </c>
      <c r="I565" t="s">
        <v>6945</v>
      </c>
      <c r="J565" t="s">
        <v>5476</v>
      </c>
      <c r="K565" t="s">
        <v>5471</v>
      </c>
      <c r="L565" t="s">
        <v>5471</v>
      </c>
      <c r="M565" t="s">
        <v>5471</v>
      </c>
    </row>
    <row r="566" spans="1:13" x14ac:dyDescent="0.3">
      <c r="A566" t="s">
        <v>3383</v>
      </c>
      <c r="B566" t="s">
        <v>5332</v>
      </c>
      <c r="C566" t="s">
        <v>5470</v>
      </c>
      <c r="D566" t="s">
        <v>4119</v>
      </c>
      <c r="E566" t="s">
        <v>5756</v>
      </c>
      <c r="F566" t="s">
        <v>6946</v>
      </c>
      <c r="G566" t="s">
        <v>6105</v>
      </c>
      <c r="H566" t="s">
        <v>5474</v>
      </c>
      <c r="I566" t="s">
        <v>6947</v>
      </c>
      <c r="J566" t="s">
        <v>5476</v>
      </c>
      <c r="K566" t="s">
        <v>5471</v>
      </c>
      <c r="L566" t="s">
        <v>5471</v>
      </c>
      <c r="M566" t="s">
        <v>5471</v>
      </c>
    </row>
    <row r="567" spans="1:13" x14ac:dyDescent="0.3">
      <c r="A567" t="s">
        <v>3383</v>
      </c>
      <c r="B567" t="s">
        <v>5332</v>
      </c>
      <c r="C567" t="s">
        <v>5470</v>
      </c>
      <c r="D567" t="s">
        <v>4119</v>
      </c>
      <c r="E567" t="s">
        <v>5756</v>
      </c>
      <c r="F567" t="s">
        <v>6948</v>
      </c>
      <c r="G567" t="s">
        <v>6105</v>
      </c>
      <c r="H567" t="s">
        <v>5474</v>
      </c>
      <c r="I567" t="s">
        <v>6949</v>
      </c>
      <c r="J567" t="s">
        <v>5476</v>
      </c>
      <c r="K567" t="s">
        <v>5471</v>
      </c>
      <c r="L567" t="s">
        <v>5471</v>
      </c>
      <c r="M567" t="s">
        <v>5471</v>
      </c>
    </row>
    <row r="568" spans="1:13" x14ac:dyDescent="0.3">
      <c r="A568" t="s">
        <v>3397</v>
      </c>
      <c r="B568" t="s">
        <v>5989</v>
      </c>
      <c r="C568" t="s">
        <v>5487</v>
      </c>
      <c r="D568" t="s">
        <v>4119</v>
      </c>
      <c r="E568" t="s">
        <v>5756</v>
      </c>
      <c r="F568" t="s">
        <v>6950</v>
      </c>
      <c r="G568" t="s">
        <v>6951</v>
      </c>
      <c r="H568" t="s">
        <v>5474</v>
      </c>
      <c r="I568" t="s">
        <v>6952</v>
      </c>
      <c r="J568" t="s">
        <v>5476</v>
      </c>
      <c r="K568" t="s">
        <v>5471</v>
      </c>
      <c r="L568" t="s">
        <v>5471</v>
      </c>
      <c r="M568" t="s">
        <v>5471</v>
      </c>
    </row>
    <row r="569" spans="1:13" x14ac:dyDescent="0.3">
      <c r="A569" t="s">
        <v>3397</v>
      </c>
      <c r="B569" t="s">
        <v>5989</v>
      </c>
      <c r="C569" t="s">
        <v>5487</v>
      </c>
      <c r="D569" t="s">
        <v>4119</v>
      </c>
      <c r="E569" t="s">
        <v>5756</v>
      </c>
      <c r="F569" t="s">
        <v>6953</v>
      </c>
      <c r="G569" t="s">
        <v>6954</v>
      </c>
      <c r="H569" t="s">
        <v>5474</v>
      </c>
      <c r="I569" t="s">
        <v>6955</v>
      </c>
      <c r="J569" t="s">
        <v>5476</v>
      </c>
      <c r="K569" t="s">
        <v>5471</v>
      </c>
      <c r="L569" t="s">
        <v>5471</v>
      </c>
      <c r="M569" t="s">
        <v>5471</v>
      </c>
    </row>
    <row r="570" spans="1:13" x14ac:dyDescent="0.3">
      <c r="A570" t="s">
        <v>3397</v>
      </c>
      <c r="B570" t="s">
        <v>5842</v>
      </c>
      <c r="C570" t="s">
        <v>5487</v>
      </c>
      <c r="D570" t="s">
        <v>4119</v>
      </c>
      <c r="E570" t="s">
        <v>5595</v>
      </c>
      <c r="F570" t="s">
        <v>6956</v>
      </c>
      <c r="G570" t="s">
        <v>6957</v>
      </c>
      <c r="H570" t="s">
        <v>5474</v>
      </c>
      <c r="I570" t="s">
        <v>6958</v>
      </c>
      <c r="J570" t="s">
        <v>5476</v>
      </c>
      <c r="K570" t="s">
        <v>5471</v>
      </c>
      <c r="L570" t="s">
        <v>5471</v>
      </c>
      <c r="M570" t="s">
        <v>5471</v>
      </c>
    </row>
    <row r="571" spans="1:13" x14ac:dyDescent="0.3">
      <c r="A571" t="s">
        <v>3397</v>
      </c>
      <c r="B571" t="s">
        <v>5318</v>
      </c>
      <c r="C571" t="s">
        <v>5487</v>
      </c>
      <c r="D571" t="s">
        <v>4119</v>
      </c>
      <c r="E571" t="s">
        <v>5756</v>
      </c>
      <c r="F571" t="s">
        <v>6959</v>
      </c>
      <c r="G571" t="s">
        <v>6960</v>
      </c>
      <c r="H571" t="s">
        <v>5474</v>
      </c>
      <c r="I571" t="s">
        <v>6961</v>
      </c>
      <c r="J571" t="s">
        <v>5476</v>
      </c>
      <c r="K571" t="s">
        <v>5471</v>
      </c>
      <c r="L571" t="s">
        <v>5471</v>
      </c>
      <c r="M571" t="s">
        <v>5471</v>
      </c>
    </row>
    <row r="572" spans="1:13" x14ac:dyDescent="0.3">
      <c r="A572" t="s">
        <v>3397</v>
      </c>
      <c r="B572" t="s">
        <v>6341</v>
      </c>
      <c r="C572" t="s">
        <v>6342</v>
      </c>
      <c r="D572" t="s">
        <v>4119</v>
      </c>
      <c r="E572" t="s">
        <v>5471</v>
      </c>
      <c r="F572" t="s">
        <v>6962</v>
      </c>
      <c r="G572" t="s">
        <v>6963</v>
      </c>
      <c r="H572" t="s">
        <v>5474</v>
      </c>
      <c r="I572" t="s">
        <v>6964</v>
      </c>
      <c r="J572" t="s">
        <v>5476</v>
      </c>
      <c r="K572" t="s">
        <v>5471</v>
      </c>
      <c r="L572" t="s">
        <v>5471</v>
      </c>
      <c r="M572" t="s">
        <v>5471</v>
      </c>
    </row>
    <row r="573" spans="1:13" x14ac:dyDescent="0.3">
      <c r="A573" t="s">
        <v>3397</v>
      </c>
      <c r="B573" t="s">
        <v>6341</v>
      </c>
      <c r="C573" t="s">
        <v>6342</v>
      </c>
      <c r="D573" t="s">
        <v>4119</v>
      </c>
      <c r="E573" t="s">
        <v>5471</v>
      </c>
      <c r="F573" t="s">
        <v>6965</v>
      </c>
      <c r="G573" t="s">
        <v>6963</v>
      </c>
      <c r="H573" t="s">
        <v>5474</v>
      </c>
      <c r="I573" t="s">
        <v>6966</v>
      </c>
      <c r="J573" t="s">
        <v>5476</v>
      </c>
      <c r="K573" t="s">
        <v>5471</v>
      </c>
      <c r="L573" t="s">
        <v>5471</v>
      </c>
      <c r="M573" t="s">
        <v>5471</v>
      </c>
    </row>
    <row r="574" spans="1:13" x14ac:dyDescent="0.3">
      <c r="A574" t="s">
        <v>3397</v>
      </c>
      <c r="B574" t="s">
        <v>6341</v>
      </c>
      <c r="C574" t="s">
        <v>6342</v>
      </c>
      <c r="D574" t="s">
        <v>4119</v>
      </c>
      <c r="E574" t="s">
        <v>5471</v>
      </c>
      <c r="F574" t="s">
        <v>6967</v>
      </c>
      <c r="G574" t="s">
        <v>6968</v>
      </c>
      <c r="H574" t="s">
        <v>5474</v>
      </c>
      <c r="I574" t="s">
        <v>6969</v>
      </c>
      <c r="J574" t="s">
        <v>5476</v>
      </c>
      <c r="K574" t="s">
        <v>5471</v>
      </c>
      <c r="L574" t="s">
        <v>5471</v>
      </c>
      <c r="M574" t="s">
        <v>5471</v>
      </c>
    </row>
    <row r="575" spans="1:13" x14ac:dyDescent="0.3">
      <c r="A575" t="s">
        <v>3397</v>
      </c>
      <c r="B575" t="s">
        <v>6341</v>
      </c>
      <c r="C575" t="s">
        <v>6342</v>
      </c>
      <c r="D575" t="s">
        <v>4119</v>
      </c>
      <c r="E575" t="s">
        <v>5471</v>
      </c>
      <c r="F575" t="s">
        <v>6970</v>
      </c>
      <c r="G575" t="s">
        <v>6971</v>
      </c>
      <c r="H575" t="s">
        <v>5474</v>
      </c>
      <c r="I575" t="s">
        <v>6972</v>
      </c>
      <c r="J575" t="s">
        <v>5476</v>
      </c>
      <c r="K575" t="s">
        <v>5471</v>
      </c>
      <c r="L575" t="s">
        <v>5471</v>
      </c>
      <c r="M575" t="s">
        <v>5471</v>
      </c>
    </row>
    <row r="576" spans="1:13" x14ac:dyDescent="0.3">
      <c r="A576" t="s">
        <v>3397</v>
      </c>
      <c r="B576" t="s">
        <v>6341</v>
      </c>
      <c r="C576" t="s">
        <v>6342</v>
      </c>
      <c r="D576" t="s">
        <v>4119</v>
      </c>
      <c r="E576" t="s">
        <v>5471</v>
      </c>
      <c r="F576" t="s">
        <v>6973</v>
      </c>
      <c r="G576" t="s">
        <v>6968</v>
      </c>
      <c r="H576" t="s">
        <v>5474</v>
      </c>
      <c r="I576" t="s">
        <v>6974</v>
      </c>
      <c r="J576" t="s">
        <v>5476</v>
      </c>
      <c r="K576" t="s">
        <v>5471</v>
      </c>
      <c r="L576" t="s">
        <v>5471</v>
      </c>
      <c r="M576" t="s">
        <v>5471</v>
      </c>
    </row>
    <row r="577" spans="1:13" x14ac:dyDescent="0.3">
      <c r="A577" t="s">
        <v>3397</v>
      </c>
      <c r="B577" t="s">
        <v>6341</v>
      </c>
      <c r="C577" t="s">
        <v>6342</v>
      </c>
      <c r="D577" t="s">
        <v>4119</v>
      </c>
      <c r="E577" t="s">
        <v>5471</v>
      </c>
      <c r="F577" t="s">
        <v>6975</v>
      </c>
      <c r="G577" t="s">
        <v>6963</v>
      </c>
      <c r="H577" t="s">
        <v>5474</v>
      </c>
      <c r="I577" t="s">
        <v>6976</v>
      </c>
      <c r="J577" t="s">
        <v>5476</v>
      </c>
      <c r="K577" t="s">
        <v>5471</v>
      </c>
      <c r="L577" t="s">
        <v>5471</v>
      </c>
      <c r="M577" t="s">
        <v>5471</v>
      </c>
    </row>
    <row r="578" spans="1:13" x14ac:dyDescent="0.3">
      <c r="A578" t="s">
        <v>3397</v>
      </c>
      <c r="B578" t="s">
        <v>6341</v>
      </c>
      <c r="C578" t="s">
        <v>6342</v>
      </c>
      <c r="D578" t="s">
        <v>4119</v>
      </c>
      <c r="E578" t="s">
        <v>5471</v>
      </c>
      <c r="F578" t="s">
        <v>6977</v>
      </c>
      <c r="G578" t="s">
        <v>6963</v>
      </c>
      <c r="H578" t="s">
        <v>5474</v>
      </c>
      <c r="I578" t="s">
        <v>6978</v>
      </c>
      <c r="J578" t="s">
        <v>5476</v>
      </c>
      <c r="K578" t="s">
        <v>5471</v>
      </c>
      <c r="L578" t="s">
        <v>5471</v>
      </c>
      <c r="M578" t="s">
        <v>5471</v>
      </c>
    </row>
    <row r="579" spans="1:13" x14ac:dyDescent="0.3">
      <c r="A579" t="s">
        <v>3397</v>
      </c>
      <c r="B579" t="s">
        <v>5301</v>
      </c>
      <c r="C579" t="s">
        <v>6342</v>
      </c>
      <c r="D579" t="s">
        <v>4119</v>
      </c>
      <c r="E579" t="s">
        <v>6332</v>
      </c>
      <c r="F579" t="s">
        <v>6979</v>
      </c>
      <c r="G579" t="s">
        <v>6980</v>
      </c>
      <c r="H579" t="s">
        <v>5474</v>
      </c>
      <c r="I579" t="s">
        <v>6981</v>
      </c>
      <c r="J579" t="s">
        <v>5476</v>
      </c>
      <c r="K579" t="s">
        <v>5471</v>
      </c>
      <c r="L579" t="s">
        <v>5471</v>
      </c>
      <c r="M579" t="s">
        <v>5471</v>
      </c>
    </row>
    <row r="580" spans="1:13" x14ac:dyDescent="0.3">
      <c r="A580" t="s">
        <v>3397</v>
      </c>
      <c r="B580" t="s">
        <v>6341</v>
      </c>
      <c r="C580" t="s">
        <v>6342</v>
      </c>
      <c r="D580" t="s">
        <v>4119</v>
      </c>
      <c r="E580" t="s">
        <v>5471</v>
      </c>
      <c r="F580" t="s">
        <v>6982</v>
      </c>
      <c r="G580" t="s">
        <v>6983</v>
      </c>
      <c r="H580" t="s">
        <v>5474</v>
      </c>
      <c r="I580" t="s">
        <v>6984</v>
      </c>
      <c r="J580" t="s">
        <v>5476</v>
      </c>
      <c r="K580" t="s">
        <v>5471</v>
      </c>
      <c r="L580" t="s">
        <v>5471</v>
      </c>
      <c r="M580" t="s">
        <v>5471</v>
      </c>
    </row>
    <row r="581" spans="1:13" x14ac:dyDescent="0.3">
      <c r="A581" t="s">
        <v>3397</v>
      </c>
      <c r="B581" t="s">
        <v>6341</v>
      </c>
      <c r="C581" t="s">
        <v>6342</v>
      </c>
      <c r="D581" t="s">
        <v>4119</v>
      </c>
      <c r="E581" t="s">
        <v>5471</v>
      </c>
      <c r="F581" t="s">
        <v>6985</v>
      </c>
      <c r="G581" t="s">
        <v>6986</v>
      </c>
      <c r="H581" t="s">
        <v>5474</v>
      </c>
      <c r="I581" t="s">
        <v>6987</v>
      </c>
      <c r="J581" t="s">
        <v>5476</v>
      </c>
      <c r="K581" t="s">
        <v>5471</v>
      </c>
      <c r="L581" t="s">
        <v>5471</v>
      </c>
      <c r="M581" t="s">
        <v>5471</v>
      </c>
    </row>
    <row r="582" spans="1:13" x14ac:dyDescent="0.3">
      <c r="A582" t="s">
        <v>3397</v>
      </c>
      <c r="B582" t="s">
        <v>5301</v>
      </c>
      <c r="C582" t="s">
        <v>6342</v>
      </c>
      <c r="D582" t="s">
        <v>4119</v>
      </c>
      <c r="E582" t="s">
        <v>6332</v>
      </c>
      <c r="F582" t="s">
        <v>6988</v>
      </c>
      <c r="G582" t="s">
        <v>6983</v>
      </c>
      <c r="H582" t="s">
        <v>5474</v>
      </c>
      <c r="I582" t="s">
        <v>6989</v>
      </c>
      <c r="J582" t="s">
        <v>5476</v>
      </c>
      <c r="K582" t="s">
        <v>5471</v>
      </c>
      <c r="L582" t="s">
        <v>5471</v>
      </c>
      <c r="M582" t="s">
        <v>5471</v>
      </c>
    </row>
    <row r="583" spans="1:13" x14ac:dyDescent="0.3">
      <c r="A583" t="s">
        <v>3397</v>
      </c>
      <c r="B583" t="s">
        <v>5301</v>
      </c>
      <c r="C583" t="s">
        <v>6342</v>
      </c>
      <c r="D583" t="s">
        <v>4119</v>
      </c>
      <c r="E583" t="s">
        <v>6332</v>
      </c>
      <c r="F583" t="s">
        <v>6990</v>
      </c>
      <c r="G583" t="s">
        <v>6991</v>
      </c>
      <c r="H583" t="s">
        <v>5474</v>
      </c>
      <c r="I583" t="s">
        <v>6992</v>
      </c>
      <c r="J583" t="s">
        <v>5476</v>
      </c>
      <c r="K583" t="s">
        <v>5471</v>
      </c>
      <c r="L583" t="s">
        <v>5471</v>
      </c>
      <c r="M583" t="s">
        <v>5471</v>
      </c>
    </row>
    <row r="584" spans="1:13" x14ac:dyDescent="0.3">
      <c r="A584" t="s">
        <v>3397</v>
      </c>
      <c r="B584" t="s">
        <v>6341</v>
      </c>
      <c r="C584" t="s">
        <v>6342</v>
      </c>
      <c r="D584" t="s">
        <v>4119</v>
      </c>
      <c r="E584" t="s">
        <v>5471</v>
      </c>
      <c r="F584" t="s">
        <v>6993</v>
      </c>
      <c r="G584" t="s">
        <v>6994</v>
      </c>
      <c r="H584" t="s">
        <v>5474</v>
      </c>
      <c r="I584" t="s">
        <v>6995</v>
      </c>
      <c r="J584" t="s">
        <v>5476</v>
      </c>
      <c r="K584" t="s">
        <v>5471</v>
      </c>
      <c r="L584" t="s">
        <v>5471</v>
      </c>
      <c r="M584" t="s">
        <v>5471</v>
      </c>
    </row>
    <row r="585" spans="1:13" x14ac:dyDescent="0.3">
      <c r="A585" t="s">
        <v>3397</v>
      </c>
      <c r="B585" t="s">
        <v>5301</v>
      </c>
      <c r="C585" t="s">
        <v>6342</v>
      </c>
      <c r="D585" t="s">
        <v>4119</v>
      </c>
      <c r="E585" t="s">
        <v>6332</v>
      </c>
      <c r="F585" t="s">
        <v>6996</v>
      </c>
      <c r="G585" t="s">
        <v>6997</v>
      </c>
      <c r="H585" t="s">
        <v>5474</v>
      </c>
      <c r="I585" t="s">
        <v>6998</v>
      </c>
      <c r="J585" t="s">
        <v>5476</v>
      </c>
      <c r="K585" t="s">
        <v>5471</v>
      </c>
      <c r="L585" t="s">
        <v>5471</v>
      </c>
      <c r="M585" t="s">
        <v>5471</v>
      </c>
    </row>
    <row r="586" spans="1:13" x14ac:dyDescent="0.3">
      <c r="A586" t="s">
        <v>3397</v>
      </c>
      <c r="B586" t="s">
        <v>5301</v>
      </c>
      <c r="C586" t="s">
        <v>6342</v>
      </c>
      <c r="D586" t="s">
        <v>4119</v>
      </c>
      <c r="E586" t="s">
        <v>6332</v>
      </c>
      <c r="F586" t="s">
        <v>6999</v>
      </c>
      <c r="G586" t="s">
        <v>6994</v>
      </c>
      <c r="H586" t="s">
        <v>5474</v>
      </c>
      <c r="I586" t="s">
        <v>7000</v>
      </c>
      <c r="J586" t="s">
        <v>5476</v>
      </c>
      <c r="K586" t="s">
        <v>5471</v>
      </c>
      <c r="L586" t="s">
        <v>5471</v>
      </c>
      <c r="M586" t="s">
        <v>5471</v>
      </c>
    </row>
    <row r="587" spans="1:13" x14ac:dyDescent="0.3">
      <c r="A587" t="s">
        <v>3397</v>
      </c>
      <c r="B587" t="s">
        <v>6331</v>
      </c>
      <c r="C587" t="s">
        <v>5487</v>
      </c>
      <c r="D587" t="s">
        <v>4119</v>
      </c>
      <c r="E587" t="s">
        <v>6332</v>
      </c>
      <c r="F587" t="s">
        <v>7001</v>
      </c>
      <c r="G587" t="s">
        <v>7002</v>
      </c>
      <c r="H587" t="s">
        <v>5474</v>
      </c>
      <c r="I587" t="s">
        <v>7003</v>
      </c>
      <c r="J587" t="s">
        <v>5476</v>
      </c>
      <c r="K587" t="s">
        <v>5471</v>
      </c>
      <c r="L587" t="s">
        <v>5471</v>
      </c>
      <c r="M587" t="s">
        <v>5471</v>
      </c>
    </row>
    <row r="588" spans="1:13" x14ac:dyDescent="0.3">
      <c r="A588" t="s">
        <v>3397</v>
      </c>
      <c r="B588" t="s">
        <v>7004</v>
      </c>
      <c r="C588" t="s">
        <v>5487</v>
      </c>
      <c r="D588" t="s">
        <v>4119</v>
      </c>
      <c r="E588" t="s">
        <v>5471</v>
      </c>
      <c r="F588" t="s">
        <v>7005</v>
      </c>
      <c r="G588" t="s">
        <v>7006</v>
      </c>
      <c r="H588" t="s">
        <v>5474</v>
      </c>
      <c r="I588" t="s">
        <v>7007</v>
      </c>
      <c r="J588" t="s">
        <v>5476</v>
      </c>
      <c r="K588" t="s">
        <v>5471</v>
      </c>
      <c r="L588" t="s">
        <v>5471</v>
      </c>
      <c r="M588" t="s">
        <v>5471</v>
      </c>
    </row>
    <row r="589" spans="1:13" x14ac:dyDescent="0.3">
      <c r="A589" t="s">
        <v>3397</v>
      </c>
      <c r="B589" t="s">
        <v>7004</v>
      </c>
      <c r="C589" t="s">
        <v>5487</v>
      </c>
      <c r="D589" t="s">
        <v>4119</v>
      </c>
      <c r="E589" t="s">
        <v>5471</v>
      </c>
      <c r="F589" t="s">
        <v>7008</v>
      </c>
      <c r="G589" t="s">
        <v>7009</v>
      </c>
      <c r="H589" t="s">
        <v>5474</v>
      </c>
      <c r="I589" t="s">
        <v>7010</v>
      </c>
      <c r="J589" t="s">
        <v>5476</v>
      </c>
      <c r="K589" t="s">
        <v>5471</v>
      </c>
      <c r="L589" t="s">
        <v>5471</v>
      </c>
      <c r="M589" t="s">
        <v>5471</v>
      </c>
    </row>
    <row r="590" spans="1:13" x14ac:dyDescent="0.3">
      <c r="A590" t="s">
        <v>3397</v>
      </c>
      <c r="B590" t="s">
        <v>6341</v>
      </c>
      <c r="C590" t="s">
        <v>6342</v>
      </c>
      <c r="D590" t="s">
        <v>4119</v>
      </c>
      <c r="E590" t="s">
        <v>5471</v>
      </c>
      <c r="F590" t="s">
        <v>7011</v>
      </c>
      <c r="G590" t="s">
        <v>7012</v>
      </c>
      <c r="H590" t="s">
        <v>5474</v>
      </c>
      <c r="I590" t="s">
        <v>7013</v>
      </c>
      <c r="J590" t="s">
        <v>5476</v>
      </c>
      <c r="K590" t="s">
        <v>5471</v>
      </c>
      <c r="L590" t="s">
        <v>5471</v>
      </c>
      <c r="M590" t="s">
        <v>5471</v>
      </c>
    </row>
    <row r="591" spans="1:13" x14ac:dyDescent="0.3">
      <c r="A591" t="s">
        <v>3397</v>
      </c>
      <c r="B591" t="s">
        <v>6331</v>
      </c>
      <c r="C591" t="s">
        <v>5487</v>
      </c>
      <c r="D591" t="s">
        <v>4119</v>
      </c>
      <c r="E591" t="s">
        <v>6332</v>
      </c>
      <c r="F591" t="s">
        <v>7014</v>
      </c>
      <c r="G591" t="s">
        <v>7015</v>
      </c>
      <c r="H591" t="s">
        <v>5474</v>
      </c>
      <c r="I591" t="s">
        <v>7016</v>
      </c>
      <c r="J591" t="s">
        <v>5476</v>
      </c>
      <c r="K591" t="s">
        <v>5471</v>
      </c>
      <c r="L591" t="s">
        <v>5471</v>
      </c>
      <c r="M591" t="s">
        <v>5471</v>
      </c>
    </row>
    <row r="592" spans="1:13" x14ac:dyDescent="0.3">
      <c r="A592" t="s">
        <v>3397</v>
      </c>
      <c r="B592" t="s">
        <v>6331</v>
      </c>
      <c r="C592" t="s">
        <v>5487</v>
      </c>
      <c r="D592" t="s">
        <v>4119</v>
      </c>
      <c r="E592" t="s">
        <v>6332</v>
      </c>
      <c r="F592" t="s">
        <v>7017</v>
      </c>
      <c r="G592" t="s">
        <v>5471</v>
      </c>
      <c r="H592" t="s">
        <v>5474</v>
      </c>
      <c r="I592" t="s">
        <v>7018</v>
      </c>
      <c r="J592" t="s">
        <v>5476</v>
      </c>
      <c r="K592" t="s">
        <v>5471</v>
      </c>
      <c r="L592" t="s">
        <v>5471</v>
      </c>
      <c r="M592" t="s">
        <v>5471</v>
      </c>
    </row>
    <row r="593" spans="1:13" x14ac:dyDescent="0.3">
      <c r="A593" t="s">
        <v>3397</v>
      </c>
      <c r="B593" t="s">
        <v>6331</v>
      </c>
      <c r="C593" t="s">
        <v>5487</v>
      </c>
      <c r="D593" t="s">
        <v>4119</v>
      </c>
      <c r="E593" t="s">
        <v>6332</v>
      </c>
      <c r="F593" t="s">
        <v>7019</v>
      </c>
      <c r="G593" t="s">
        <v>7015</v>
      </c>
      <c r="H593" t="s">
        <v>5474</v>
      </c>
      <c r="I593" t="s">
        <v>7020</v>
      </c>
      <c r="J593" t="s">
        <v>5476</v>
      </c>
      <c r="K593" t="s">
        <v>5471</v>
      </c>
      <c r="L593" t="s">
        <v>5471</v>
      </c>
      <c r="M593" t="s">
        <v>5471</v>
      </c>
    </row>
    <row r="594" spans="1:13" x14ac:dyDescent="0.3">
      <c r="A594" t="s">
        <v>3397</v>
      </c>
      <c r="B594" t="s">
        <v>5328</v>
      </c>
      <c r="C594" t="s">
        <v>5470</v>
      </c>
      <c r="D594" t="s">
        <v>4119</v>
      </c>
      <c r="E594" t="s">
        <v>5471</v>
      </c>
      <c r="F594" t="s">
        <v>7021</v>
      </c>
      <c r="G594" t="s">
        <v>7022</v>
      </c>
      <c r="H594" t="s">
        <v>5474</v>
      </c>
      <c r="I594" t="s">
        <v>7023</v>
      </c>
      <c r="J594" t="s">
        <v>5476</v>
      </c>
      <c r="K594" t="s">
        <v>5471</v>
      </c>
      <c r="L594" t="s">
        <v>5471</v>
      </c>
      <c r="M594" t="s">
        <v>5471</v>
      </c>
    </row>
    <row r="595" spans="1:13" x14ac:dyDescent="0.3">
      <c r="A595" t="s">
        <v>3397</v>
      </c>
      <c r="B595" t="s">
        <v>6331</v>
      </c>
      <c r="C595" t="s">
        <v>5487</v>
      </c>
      <c r="D595" t="s">
        <v>4119</v>
      </c>
      <c r="E595" t="s">
        <v>6332</v>
      </c>
      <c r="F595" t="s">
        <v>7024</v>
      </c>
      <c r="G595" t="s">
        <v>7015</v>
      </c>
      <c r="H595" t="s">
        <v>5474</v>
      </c>
      <c r="I595" t="s">
        <v>7025</v>
      </c>
      <c r="J595" t="s">
        <v>5476</v>
      </c>
      <c r="K595" t="s">
        <v>5471</v>
      </c>
      <c r="L595" t="s">
        <v>5471</v>
      </c>
      <c r="M595" t="s">
        <v>5471</v>
      </c>
    </row>
    <row r="596" spans="1:13" x14ac:dyDescent="0.3">
      <c r="A596" t="s">
        <v>3397</v>
      </c>
      <c r="B596" t="s">
        <v>5328</v>
      </c>
      <c r="C596" t="s">
        <v>5470</v>
      </c>
      <c r="D596" t="s">
        <v>4119</v>
      </c>
      <c r="E596" t="s">
        <v>5471</v>
      </c>
      <c r="F596" t="s">
        <v>7026</v>
      </c>
      <c r="G596" t="s">
        <v>7027</v>
      </c>
      <c r="H596" t="s">
        <v>5474</v>
      </c>
      <c r="I596" t="s">
        <v>7028</v>
      </c>
      <c r="J596" t="s">
        <v>5476</v>
      </c>
      <c r="K596" t="s">
        <v>5471</v>
      </c>
      <c r="L596" t="s">
        <v>5471</v>
      </c>
      <c r="M596" t="s">
        <v>5471</v>
      </c>
    </row>
    <row r="597" spans="1:13" x14ac:dyDescent="0.3">
      <c r="A597" t="s">
        <v>3397</v>
      </c>
      <c r="B597" t="s">
        <v>5328</v>
      </c>
      <c r="C597" t="s">
        <v>5470</v>
      </c>
      <c r="D597" t="s">
        <v>4119</v>
      </c>
      <c r="E597" t="s">
        <v>5471</v>
      </c>
      <c r="F597" t="s">
        <v>7029</v>
      </c>
      <c r="G597" t="s">
        <v>7030</v>
      </c>
      <c r="H597" t="s">
        <v>5474</v>
      </c>
      <c r="I597" t="s">
        <v>7031</v>
      </c>
      <c r="J597" t="s">
        <v>5476</v>
      </c>
      <c r="K597" t="s">
        <v>5471</v>
      </c>
      <c r="L597" t="s">
        <v>5471</v>
      </c>
      <c r="M597" t="s">
        <v>5471</v>
      </c>
    </row>
    <row r="598" spans="1:13" x14ac:dyDescent="0.3">
      <c r="A598" t="s">
        <v>3397</v>
      </c>
      <c r="B598" t="s">
        <v>6331</v>
      </c>
      <c r="C598" t="s">
        <v>5487</v>
      </c>
      <c r="D598" t="s">
        <v>4119</v>
      </c>
      <c r="E598" t="s">
        <v>6332</v>
      </c>
      <c r="F598" t="s">
        <v>7014</v>
      </c>
      <c r="G598" t="s">
        <v>6424</v>
      </c>
      <c r="H598" t="s">
        <v>5474</v>
      </c>
      <c r="I598" t="s">
        <v>7032</v>
      </c>
      <c r="J598" t="s">
        <v>5476</v>
      </c>
      <c r="K598" t="s">
        <v>5471</v>
      </c>
      <c r="L598" t="s">
        <v>5471</v>
      </c>
      <c r="M598" t="s">
        <v>5471</v>
      </c>
    </row>
    <row r="599" spans="1:13" x14ac:dyDescent="0.3">
      <c r="A599" t="s">
        <v>3397</v>
      </c>
      <c r="B599" t="s">
        <v>5328</v>
      </c>
      <c r="C599" t="s">
        <v>5470</v>
      </c>
      <c r="D599" t="s">
        <v>4119</v>
      </c>
      <c r="E599" t="s">
        <v>5471</v>
      </c>
      <c r="F599" t="s">
        <v>7033</v>
      </c>
      <c r="G599" t="s">
        <v>7034</v>
      </c>
      <c r="H599" t="s">
        <v>5474</v>
      </c>
      <c r="I599" t="s">
        <v>7035</v>
      </c>
      <c r="J599" t="s">
        <v>5476</v>
      </c>
      <c r="K599" t="s">
        <v>5471</v>
      </c>
      <c r="L599" t="s">
        <v>5471</v>
      </c>
      <c r="M599" t="s">
        <v>5471</v>
      </c>
    </row>
    <row r="600" spans="1:13" x14ac:dyDescent="0.3">
      <c r="A600" t="s">
        <v>3397</v>
      </c>
      <c r="B600" t="s">
        <v>5328</v>
      </c>
      <c r="C600" t="s">
        <v>5470</v>
      </c>
      <c r="D600" t="s">
        <v>4119</v>
      </c>
      <c r="E600" t="s">
        <v>5471</v>
      </c>
      <c r="F600" t="s">
        <v>7036</v>
      </c>
      <c r="G600" t="s">
        <v>7037</v>
      </c>
      <c r="H600" t="s">
        <v>5474</v>
      </c>
      <c r="I600" t="s">
        <v>7038</v>
      </c>
      <c r="J600" t="s">
        <v>5476</v>
      </c>
      <c r="K600" t="s">
        <v>5471</v>
      </c>
      <c r="L600" t="s">
        <v>5471</v>
      </c>
      <c r="M600" t="s">
        <v>5471</v>
      </c>
    </row>
    <row r="601" spans="1:13" x14ac:dyDescent="0.3">
      <c r="A601" t="s">
        <v>3397</v>
      </c>
      <c r="B601" t="s">
        <v>6331</v>
      </c>
      <c r="C601" t="s">
        <v>5487</v>
      </c>
      <c r="D601" t="s">
        <v>4119</v>
      </c>
      <c r="E601" t="s">
        <v>6332</v>
      </c>
      <c r="F601" t="s">
        <v>7024</v>
      </c>
      <c r="G601" t="s">
        <v>6424</v>
      </c>
      <c r="H601" t="s">
        <v>5474</v>
      </c>
      <c r="I601" t="s">
        <v>7039</v>
      </c>
      <c r="J601" t="s">
        <v>5476</v>
      </c>
      <c r="K601" t="s">
        <v>5471</v>
      </c>
      <c r="L601" t="s">
        <v>5471</v>
      </c>
      <c r="M601" t="s">
        <v>5471</v>
      </c>
    </row>
    <row r="602" spans="1:13" x14ac:dyDescent="0.3">
      <c r="A602" t="s">
        <v>3397</v>
      </c>
      <c r="B602" t="s">
        <v>6331</v>
      </c>
      <c r="C602" t="s">
        <v>5487</v>
      </c>
      <c r="D602" t="s">
        <v>4119</v>
      </c>
      <c r="E602" t="s">
        <v>6332</v>
      </c>
      <c r="F602" t="s">
        <v>7019</v>
      </c>
      <c r="G602" t="s">
        <v>6424</v>
      </c>
      <c r="H602" t="s">
        <v>5474</v>
      </c>
      <c r="I602" t="s">
        <v>7040</v>
      </c>
      <c r="J602" t="s">
        <v>5476</v>
      </c>
      <c r="K602" t="s">
        <v>5471</v>
      </c>
      <c r="L602" t="s">
        <v>5471</v>
      </c>
      <c r="M602" t="s">
        <v>5471</v>
      </c>
    </row>
    <row r="603" spans="1:13" x14ac:dyDescent="0.3">
      <c r="A603" t="s">
        <v>3397</v>
      </c>
      <c r="B603" t="s">
        <v>5328</v>
      </c>
      <c r="C603" t="s">
        <v>5470</v>
      </c>
      <c r="D603" t="s">
        <v>4119</v>
      </c>
      <c r="E603" t="s">
        <v>5471</v>
      </c>
      <c r="F603" t="s">
        <v>7041</v>
      </c>
      <c r="G603" t="s">
        <v>7042</v>
      </c>
      <c r="H603" t="s">
        <v>5474</v>
      </c>
      <c r="I603" t="s">
        <v>7043</v>
      </c>
      <c r="J603" t="s">
        <v>5476</v>
      </c>
      <c r="K603" t="s">
        <v>5471</v>
      </c>
      <c r="L603" t="s">
        <v>5471</v>
      </c>
      <c r="M603" t="s">
        <v>5471</v>
      </c>
    </row>
    <row r="604" spans="1:13" x14ac:dyDescent="0.3">
      <c r="A604" t="s">
        <v>3397</v>
      </c>
      <c r="B604" t="s">
        <v>5328</v>
      </c>
      <c r="C604" t="s">
        <v>5470</v>
      </c>
      <c r="D604" t="s">
        <v>4119</v>
      </c>
      <c r="E604" t="s">
        <v>5471</v>
      </c>
      <c r="F604" t="s">
        <v>7044</v>
      </c>
      <c r="G604" t="s">
        <v>7045</v>
      </c>
      <c r="H604" t="s">
        <v>5474</v>
      </c>
      <c r="I604" t="s">
        <v>7046</v>
      </c>
      <c r="J604" t="s">
        <v>5476</v>
      </c>
      <c r="K604" t="s">
        <v>5471</v>
      </c>
      <c r="L604" t="s">
        <v>5471</v>
      </c>
      <c r="M604" t="s">
        <v>5471</v>
      </c>
    </row>
    <row r="605" spans="1:13" x14ac:dyDescent="0.3">
      <c r="A605" t="s">
        <v>3397</v>
      </c>
      <c r="B605" t="s">
        <v>5328</v>
      </c>
      <c r="C605" t="s">
        <v>5470</v>
      </c>
      <c r="D605" t="s">
        <v>4119</v>
      </c>
      <c r="E605" t="s">
        <v>5471</v>
      </c>
      <c r="F605" t="s">
        <v>7047</v>
      </c>
      <c r="G605" t="s">
        <v>7048</v>
      </c>
      <c r="H605" t="s">
        <v>5474</v>
      </c>
      <c r="I605" t="s">
        <v>7049</v>
      </c>
      <c r="J605" t="s">
        <v>5476</v>
      </c>
      <c r="K605" t="s">
        <v>5471</v>
      </c>
      <c r="L605" t="s">
        <v>5471</v>
      </c>
      <c r="M605" t="s">
        <v>5471</v>
      </c>
    </row>
    <row r="606" spans="1:13" x14ac:dyDescent="0.3">
      <c r="A606" t="s">
        <v>3397</v>
      </c>
      <c r="B606" t="s">
        <v>5328</v>
      </c>
      <c r="C606" t="s">
        <v>5470</v>
      </c>
      <c r="D606" t="s">
        <v>4119</v>
      </c>
      <c r="E606" t="s">
        <v>5471</v>
      </c>
      <c r="F606" t="s">
        <v>7050</v>
      </c>
      <c r="G606" t="s">
        <v>7051</v>
      </c>
      <c r="H606" t="s">
        <v>5474</v>
      </c>
      <c r="I606" t="s">
        <v>7052</v>
      </c>
      <c r="J606" t="s">
        <v>5476</v>
      </c>
      <c r="K606" t="s">
        <v>5471</v>
      </c>
      <c r="L606" t="s">
        <v>5471</v>
      </c>
      <c r="M606" t="s">
        <v>5471</v>
      </c>
    </row>
    <row r="607" spans="1:13" x14ac:dyDescent="0.3">
      <c r="A607" t="s">
        <v>3383</v>
      </c>
      <c r="B607" t="s">
        <v>5294</v>
      </c>
      <c r="C607" t="s">
        <v>5470</v>
      </c>
      <c r="D607" t="s">
        <v>4119</v>
      </c>
      <c r="E607" t="s">
        <v>5532</v>
      </c>
      <c r="F607" t="s">
        <v>7053</v>
      </c>
      <c r="G607" t="s">
        <v>7054</v>
      </c>
      <c r="H607" t="s">
        <v>5474</v>
      </c>
      <c r="I607" t="s">
        <v>7055</v>
      </c>
      <c r="J607" t="s">
        <v>5484</v>
      </c>
      <c r="K607" t="s">
        <v>5471</v>
      </c>
      <c r="L607" t="s">
        <v>5471</v>
      </c>
      <c r="M607" t="s">
        <v>5471</v>
      </c>
    </row>
    <row r="608" spans="1:13" x14ac:dyDescent="0.3">
      <c r="A608" t="s">
        <v>3397</v>
      </c>
      <c r="B608" t="s">
        <v>5328</v>
      </c>
      <c r="C608" t="s">
        <v>5470</v>
      </c>
      <c r="D608" t="s">
        <v>4119</v>
      </c>
      <c r="E608" t="s">
        <v>5471</v>
      </c>
      <c r="F608" t="s">
        <v>7056</v>
      </c>
      <c r="G608" t="s">
        <v>7057</v>
      </c>
      <c r="H608" t="s">
        <v>5474</v>
      </c>
      <c r="I608" t="s">
        <v>7058</v>
      </c>
      <c r="J608" t="s">
        <v>5476</v>
      </c>
      <c r="K608" t="s">
        <v>5471</v>
      </c>
      <c r="L608" t="s">
        <v>5471</v>
      </c>
      <c r="M608" t="s">
        <v>5471</v>
      </c>
    </row>
    <row r="609" spans="1:13" x14ac:dyDescent="0.3">
      <c r="A609" t="s">
        <v>3383</v>
      </c>
      <c r="B609" t="s">
        <v>5294</v>
      </c>
      <c r="C609" t="s">
        <v>5470</v>
      </c>
      <c r="D609" t="s">
        <v>4119</v>
      </c>
      <c r="E609" t="s">
        <v>5756</v>
      </c>
      <c r="F609" t="s">
        <v>7059</v>
      </c>
      <c r="G609" t="s">
        <v>6283</v>
      </c>
      <c r="H609" t="s">
        <v>5474</v>
      </c>
      <c r="I609" t="s">
        <v>7060</v>
      </c>
      <c r="J609" t="s">
        <v>5484</v>
      </c>
      <c r="K609" t="s">
        <v>5471</v>
      </c>
      <c r="L609" t="s">
        <v>5471</v>
      </c>
      <c r="M609" t="s">
        <v>5471</v>
      </c>
    </row>
    <row r="610" spans="1:13" x14ac:dyDescent="0.3">
      <c r="A610" t="s">
        <v>3383</v>
      </c>
      <c r="B610" t="s">
        <v>5294</v>
      </c>
      <c r="C610" t="s">
        <v>5470</v>
      </c>
      <c r="D610" t="s">
        <v>4119</v>
      </c>
      <c r="E610" t="s">
        <v>5756</v>
      </c>
      <c r="F610" t="s">
        <v>7061</v>
      </c>
      <c r="G610" t="s">
        <v>6199</v>
      </c>
      <c r="H610" t="s">
        <v>5474</v>
      </c>
      <c r="I610" t="s">
        <v>7062</v>
      </c>
      <c r="J610" t="s">
        <v>5484</v>
      </c>
      <c r="K610" t="s">
        <v>5471</v>
      </c>
      <c r="L610" t="s">
        <v>5471</v>
      </c>
      <c r="M610" t="s">
        <v>5471</v>
      </c>
    </row>
    <row r="611" spans="1:13" x14ac:dyDescent="0.3">
      <c r="A611" t="s">
        <v>3383</v>
      </c>
      <c r="B611" t="s">
        <v>6051</v>
      </c>
      <c r="C611" t="s">
        <v>5470</v>
      </c>
      <c r="D611" t="s">
        <v>4119</v>
      </c>
      <c r="E611" t="s">
        <v>5756</v>
      </c>
      <c r="F611" t="s">
        <v>7063</v>
      </c>
      <c r="G611" t="s">
        <v>7064</v>
      </c>
      <c r="H611" t="s">
        <v>5474</v>
      </c>
      <c r="I611" t="s">
        <v>7065</v>
      </c>
      <c r="J611" t="s">
        <v>5476</v>
      </c>
      <c r="K611" t="s">
        <v>5471</v>
      </c>
      <c r="L611" t="s">
        <v>5471</v>
      </c>
      <c r="M611" t="s">
        <v>5471</v>
      </c>
    </row>
    <row r="612" spans="1:13" x14ac:dyDescent="0.3">
      <c r="A612" t="s">
        <v>3397</v>
      </c>
      <c r="B612" t="s">
        <v>5989</v>
      </c>
      <c r="C612" t="s">
        <v>5487</v>
      </c>
      <c r="D612" t="s">
        <v>4119</v>
      </c>
      <c r="E612" t="s">
        <v>5595</v>
      </c>
      <c r="F612" t="s">
        <v>7066</v>
      </c>
      <c r="G612" t="s">
        <v>7067</v>
      </c>
      <c r="H612" t="s">
        <v>5474</v>
      </c>
      <c r="I612" t="s">
        <v>7068</v>
      </c>
      <c r="J612" t="s">
        <v>5476</v>
      </c>
      <c r="K612" t="s">
        <v>5471</v>
      </c>
      <c r="L612" t="s">
        <v>5471</v>
      </c>
      <c r="M612" t="s">
        <v>5471</v>
      </c>
    </row>
    <row r="613" spans="1:13" x14ac:dyDescent="0.3">
      <c r="A613" t="s">
        <v>3383</v>
      </c>
      <c r="B613" t="s">
        <v>5294</v>
      </c>
      <c r="C613" t="s">
        <v>5470</v>
      </c>
      <c r="D613" t="s">
        <v>4119</v>
      </c>
      <c r="E613" t="s">
        <v>5756</v>
      </c>
      <c r="F613" t="s">
        <v>7069</v>
      </c>
      <c r="G613" t="s">
        <v>7070</v>
      </c>
      <c r="H613" t="s">
        <v>5474</v>
      </c>
      <c r="I613" t="s">
        <v>7071</v>
      </c>
      <c r="J613" t="s">
        <v>5476</v>
      </c>
      <c r="K613" t="s">
        <v>5471</v>
      </c>
      <c r="L613" t="s">
        <v>5471</v>
      </c>
      <c r="M613" t="s">
        <v>5471</v>
      </c>
    </row>
    <row r="614" spans="1:13" x14ac:dyDescent="0.3">
      <c r="A614" t="s">
        <v>3397</v>
      </c>
      <c r="B614" t="s">
        <v>5255</v>
      </c>
      <c r="C614" t="s">
        <v>5487</v>
      </c>
      <c r="D614" t="s">
        <v>4119</v>
      </c>
      <c r="E614" t="s">
        <v>5480</v>
      </c>
      <c r="F614" t="s">
        <v>7072</v>
      </c>
      <c r="G614" t="s">
        <v>7073</v>
      </c>
      <c r="H614" t="s">
        <v>5474</v>
      </c>
      <c r="I614" t="s">
        <v>7074</v>
      </c>
      <c r="J614" t="s">
        <v>5476</v>
      </c>
      <c r="K614" t="s">
        <v>5471</v>
      </c>
      <c r="L614" t="s">
        <v>5471</v>
      </c>
      <c r="M614" t="s">
        <v>5471</v>
      </c>
    </row>
    <row r="615" spans="1:13" x14ac:dyDescent="0.3">
      <c r="A615" t="s">
        <v>3397</v>
      </c>
      <c r="B615" t="s">
        <v>7075</v>
      </c>
      <c r="C615" t="s">
        <v>5487</v>
      </c>
      <c r="D615" t="s">
        <v>4119</v>
      </c>
      <c r="E615" t="s">
        <v>5471</v>
      </c>
      <c r="F615" t="s">
        <v>7072</v>
      </c>
      <c r="G615" t="s">
        <v>7076</v>
      </c>
      <c r="H615" t="s">
        <v>5474</v>
      </c>
      <c r="I615" t="s">
        <v>7077</v>
      </c>
      <c r="J615" t="s">
        <v>5476</v>
      </c>
      <c r="K615" t="s">
        <v>5471</v>
      </c>
      <c r="L615" t="s">
        <v>5471</v>
      </c>
      <c r="M615" t="s">
        <v>5471</v>
      </c>
    </row>
    <row r="616" spans="1:13" x14ac:dyDescent="0.3">
      <c r="A616" t="s">
        <v>3397</v>
      </c>
      <c r="B616" t="s">
        <v>7078</v>
      </c>
      <c r="C616" t="s">
        <v>6342</v>
      </c>
      <c r="D616" t="s">
        <v>4119</v>
      </c>
      <c r="E616" t="s">
        <v>5471</v>
      </c>
      <c r="F616" t="s">
        <v>7079</v>
      </c>
      <c r="G616" t="s">
        <v>7080</v>
      </c>
      <c r="H616" t="s">
        <v>5474</v>
      </c>
      <c r="I616" t="s">
        <v>7081</v>
      </c>
      <c r="J616" t="s">
        <v>5476</v>
      </c>
      <c r="K616" t="s">
        <v>5471</v>
      </c>
      <c r="L616" t="s">
        <v>5471</v>
      </c>
      <c r="M616" t="s">
        <v>5471</v>
      </c>
    </row>
    <row r="617" spans="1:13" x14ac:dyDescent="0.3">
      <c r="A617" t="s">
        <v>3383</v>
      </c>
      <c r="B617" t="s">
        <v>5332</v>
      </c>
      <c r="C617" t="s">
        <v>5470</v>
      </c>
      <c r="D617" t="s">
        <v>4119</v>
      </c>
      <c r="E617" t="s">
        <v>5756</v>
      </c>
      <c r="F617" t="s">
        <v>7082</v>
      </c>
      <c r="G617" t="s">
        <v>7083</v>
      </c>
      <c r="H617" t="s">
        <v>5474</v>
      </c>
      <c r="I617" t="s">
        <v>7084</v>
      </c>
      <c r="J617" t="s">
        <v>5476</v>
      </c>
      <c r="K617" t="s">
        <v>5471</v>
      </c>
      <c r="L617" t="s">
        <v>5471</v>
      </c>
      <c r="M617" t="s">
        <v>5471</v>
      </c>
    </row>
    <row r="618" spans="1:13" x14ac:dyDescent="0.3">
      <c r="A618" t="s">
        <v>3383</v>
      </c>
      <c r="B618" t="s">
        <v>6178</v>
      </c>
      <c r="C618" t="s">
        <v>5470</v>
      </c>
      <c r="D618" t="s">
        <v>4119</v>
      </c>
      <c r="E618" t="s">
        <v>5471</v>
      </c>
      <c r="F618" t="s">
        <v>7085</v>
      </c>
      <c r="G618" t="s">
        <v>7086</v>
      </c>
      <c r="H618" t="s">
        <v>5474</v>
      </c>
      <c r="I618" t="s">
        <v>7087</v>
      </c>
      <c r="J618" t="s">
        <v>5476</v>
      </c>
      <c r="K618" t="s">
        <v>5471</v>
      </c>
      <c r="L618" t="s">
        <v>5471</v>
      </c>
      <c r="M618" t="s">
        <v>5471</v>
      </c>
    </row>
    <row r="619" spans="1:13" x14ac:dyDescent="0.3">
      <c r="A619" t="s">
        <v>3388</v>
      </c>
      <c r="B619" t="s">
        <v>7088</v>
      </c>
      <c r="C619" t="s">
        <v>5470</v>
      </c>
      <c r="D619" t="s">
        <v>4119</v>
      </c>
      <c r="E619" t="s">
        <v>5532</v>
      </c>
      <c r="F619" t="s">
        <v>7089</v>
      </c>
      <c r="G619" t="s">
        <v>7090</v>
      </c>
      <c r="H619" t="s">
        <v>5474</v>
      </c>
      <c r="I619" t="s">
        <v>7091</v>
      </c>
      <c r="J619" t="s">
        <v>5476</v>
      </c>
      <c r="K619" t="s">
        <v>5471</v>
      </c>
      <c r="L619" t="s">
        <v>5471</v>
      </c>
      <c r="M619" t="s">
        <v>5471</v>
      </c>
    </row>
    <row r="620" spans="1:13" x14ac:dyDescent="0.3">
      <c r="A620" t="s">
        <v>3388</v>
      </c>
      <c r="B620" t="s">
        <v>5678</v>
      </c>
      <c r="C620" t="s">
        <v>5470</v>
      </c>
      <c r="D620" t="s">
        <v>4119</v>
      </c>
      <c r="E620" t="s">
        <v>5532</v>
      </c>
      <c r="F620" t="s">
        <v>7092</v>
      </c>
      <c r="G620" t="s">
        <v>7093</v>
      </c>
      <c r="H620" t="s">
        <v>5474</v>
      </c>
      <c r="I620" t="s">
        <v>7094</v>
      </c>
      <c r="J620" t="s">
        <v>5476</v>
      </c>
      <c r="K620" t="s">
        <v>5471</v>
      </c>
      <c r="L620" t="s">
        <v>5471</v>
      </c>
      <c r="M620" t="s">
        <v>5471</v>
      </c>
    </row>
    <row r="621" spans="1:13" x14ac:dyDescent="0.3">
      <c r="A621" t="s">
        <v>3388</v>
      </c>
      <c r="B621" t="s">
        <v>5956</v>
      </c>
      <c r="C621" t="s">
        <v>5470</v>
      </c>
      <c r="D621" t="s">
        <v>4119</v>
      </c>
      <c r="E621" t="s">
        <v>5532</v>
      </c>
      <c r="F621" t="s">
        <v>7095</v>
      </c>
      <c r="G621" t="s">
        <v>7096</v>
      </c>
      <c r="H621" t="s">
        <v>5474</v>
      </c>
      <c r="I621" t="s">
        <v>7097</v>
      </c>
      <c r="J621" t="s">
        <v>5484</v>
      </c>
      <c r="K621" t="s">
        <v>5471</v>
      </c>
      <c r="L621" t="s">
        <v>5471</v>
      </c>
      <c r="M621" t="s">
        <v>5471</v>
      </c>
    </row>
    <row r="622" spans="1:13" x14ac:dyDescent="0.3">
      <c r="A622" t="s">
        <v>3388</v>
      </c>
      <c r="B622" t="s">
        <v>7088</v>
      </c>
      <c r="C622" t="s">
        <v>5470</v>
      </c>
      <c r="D622" t="s">
        <v>4119</v>
      </c>
      <c r="E622" t="s">
        <v>5532</v>
      </c>
      <c r="F622" t="s">
        <v>7098</v>
      </c>
      <c r="G622" t="s">
        <v>7099</v>
      </c>
      <c r="H622" t="s">
        <v>5474</v>
      </c>
      <c r="I622" t="s">
        <v>7100</v>
      </c>
      <c r="J622" t="s">
        <v>5476</v>
      </c>
      <c r="K622" t="s">
        <v>5471</v>
      </c>
      <c r="L622" t="s">
        <v>5471</v>
      </c>
      <c r="M622" t="s">
        <v>5471</v>
      </c>
    </row>
    <row r="623" spans="1:13" x14ac:dyDescent="0.3">
      <c r="A623" t="s">
        <v>3388</v>
      </c>
      <c r="B623" t="s">
        <v>7101</v>
      </c>
      <c r="C623" t="s">
        <v>5470</v>
      </c>
      <c r="D623" t="s">
        <v>4119</v>
      </c>
      <c r="E623" t="s">
        <v>5532</v>
      </c>
      <c r="F623" t="s">
        <v>7102</v>
      </c>
      <c r="G623" t="s">
        <v>7103</v>
      </c>
      <c r="H623" t="s">
        <v>5474</v>
      </c>
      <c r="I623" t="s">
        <v>7104</v>
      </c>
      <c r="J623" t="s">
        <v>5476</v>
      </c>
      <c r="K623" t="s">
        <v>5471</v>
      </c>
      <c r="L623" t="s">
        <v>5471</v>
      </c>
      <c r="M623" t="s">
        <v>5471</v>
      </c>
    </row>
    <row r="624" spans="1:13" x14ac:dyDescent="0.3">
      <c r="A624" t="s">
        <v>3388</v>
      </c>
      <c r="B624" t="s">
        <v>7105</v>
      </c>
      <c r="C624" t="s">
        <v>5470</v>
      </c>
      <c r="D624" t="s">
        <v>4119</v>
      </c>
      <c r="E624" t="s">
        <v>5532</v>
      </c>
      <c r="F624" t="s">
        <v>7106</v>
      </c>
      <c r="G624" t="s">
        <v>7107</v>
      </c>
      <c r="H624" t="s">
        <v>5474</v>
      </c>
      <c r="I624" t="s">
        <v>7108</v>
      </c>
      <c r="J624" t="s">
        <v>5476</v>
      </c>
      <c r="K624" t="s">
        <v>5471</v>
      </c>
      <c r="L624" t="s">
        <v>5471</v>
      </c>
      <c r="M624" t="s">
        <v>5471</v>
      </c>
    </row>
    <row r="625" spans="1:13" x14ac:dyDescent="0.3">
      <c r="A625" t="s">
        <v>3388</v>
      </c>
      <c r="B625" t="s">
        <v>7109</v>
      </c>
      <c r="C625" t="s">
        <v>5470</v>
      </c>
      <c r="D625" t="s">
        <v>4119</v>
      </c>
      <c r="E625" t="s">
        <v>5756</v>
      </c>
      <c r="F625" t="s">
        <v>7110</v>
      </c>
      <c r="G625" t="s">
        <v>7111</v>
      </c>
      <c r="H625" t="s">
        <v>5474</v>
      </c>
      <c r="I625" t="s">
        <v>7112</v>
      </c>
      <c r="J625" t="s">
        <v>5476</v>
      </c>
      <c r="K625" t="s">
        <v>5471</v>
      </c>
      <c r="L625" t="s">
        <v>5471</v>
      </c>
      <c r="M625" t="s">
        <v>5471</v>
      </c>
    </row>
    <row r="626" spans="1:13" x14ac:dyDescent="0.3">
      <c r="A626" t="s">
        <v>3388</v>
      </c>
      <c r="B626" t="s">
        <v>7109</v>
      </c>
      <c r="C626" t="s">
        <v>5470</v>
      </c>
      <c r="D626" t="s">
        <v>4119</v>
      </c>
      <c r="E626" t="s">
        <v>5756</v>
      </c>
      <c r="F626" t="s">
        <v>7113</v>
      </c>
      <c r="G626" t="s">
        <v>7114</v>
      </c>
      <c r="H626" t="s">
        <v>5474</v>
      </c>
      <c r="I626" t="s">
        <v>7115</v>
      </c>
      <c r="J626" t="s">
        <v>5476</v>
      </c>
      <c r="K626" t="s">
        <v>5471</v>
      </c>
      <c r="L626" t="s">
        <v>5471</v>
      </c>
      <c r="M626" t="s">
        <v>5471</v>
      </c>
    </row>
    <row r="627" spans="1:13" x14ac:dyDescent="0.3">
      <c r="A627" t="s">
        <v>3388</v>
      </c>
      <c r="B627" t="s">
        <v>6540</v>
      </c>
      <c r="C627" t="s">
        <v>5470</v>
      </c>
      <c r="D627" t="s">
        <v>4119</v>
      </c>
      <c r="E627" t="s">
        <v>5756</v>
      </c>
      <c r="F627" t="s">
        <v>7116</v>
      </c>
      <c r="G627" t="s">
        <v>7117</v>
      </c>
      <c r="H627" t="s">
        <v>5474</v>
      </c>
      <c r="I627" t="s">
        <v>7118</v>
      </c>
      <c r="J627" t="s">
        <v>5476</v>
      </c>
      <c r="K627" t="s">
        <v>5471</v>
      </c>
      <c r="L627" t="s">
        <v>5471</v>
      </c>
      <c r="M627" t="s">
        <v>5471</v>
      </c>
    </row>
    <row r="628" spans="1:13" x14ac:dyDescent="0.3">
      <c r="A628" t="s">
        <v>3388</v>
      </c>
      <c r="B628" t="s">
        <v>6540</v>
      </c>
      <c r="C628" t="s">
        <v>5470</v>
      </c>
      <c r="D628" t="s">
        <v>4119</v>
      </c>
      <c r="E628" t="s">
        <v>5756</v>
      </c>
      <c r="F628" t="s">
        <v>7119</v>
      </c>
      <c r="G628" t="s">
        <v>7120</v>
      </c>
      <c r="H628" t="s">
        <v>5474</v>
      </c>
      <c r="I628" t="s">
        <v>7121</v>
      </c>
      <c r="J628" t="s">
        <v>5476</v>
      </c>
      <c r="K628" t="s">
        <v>5471</v>
      </c>
      <c r="L628" t="s">
        <v>5471</v>
      </c>
      <c r="M628" t="s">
        <v>5471</v>
      </c>
    </row>
    <row r="629" spans="1:13" x14ac:dyDescent="0.3">
      <c r="A629" t="s">
        <v>3383</v>
      </c>
      <c r="B629" t="s">
        <v>6122</v>
      </c>
      <c r="C629" t="s">
        <v>5470</v>
      </c>
      <c r="D629" t="s">
        <v>4119</v>
      </c>
      <c r="E629" t="s">
        <v>5532</v>
      </c>
      <c r="F629" t="s">
        <v>7122</v>
      </c>
      <c r="G629" t="s">
        <v>7123</v>
      </c>
      <c r="H629" t="s">
        <v>5474</v>
      </c>
      <c r="I629" t="s">
        <v>7124</v>
      </c>
      <c r="J629" t="s">
        <v>5484</v>
      </c>
      <c r="K629" t="s">
        <v>5471</v>
      </c>
      <c r="L629" t="s">
        <v>5471</v>
      </c>
      <c r="M629" t="s">
        <v>5471</v>
      </c>
    </row>
    <row r="630" spans="1:13" x14ac:dyDescent="0.3">
      <c r="A630" t="s">
        <v>3383</v>
      </c>
      <c r="B630" t="s">
        <v>6122</v>
      </c>
      <c r="C630" t="s">
        <v>5470</v>
      </c>
      <c r="D630" t="s">
        <v>4119</v>
      </c>
      <c r="E630" t="s">
        <v>5532</v>
      </c>
      <c r="F630" t="s">
        <v>7125</v>
      </c>
      <c r="G630" t="s">
        <v>7123</v>
      </c>
      <c r="H630" t="s">
        <v>5474</v>
      </c>
      <c r="I630" t="s">
        <v>7126</v>
      </c>
      <c r="J630" t="s">
        <v>5484</v>
      </c>
      <c r="K630" t="s">
        <v>5471</v>
      </c>
      <c r="L630" t="s">
        <v>5471</v>
      </c>
      <c r="M630" t="s">
        <v>5471</v>
      </c>
    </row>
    <row r="631" spans="1:13" x14ac:dyDescent="0.3">
      <c r="A631" t="s">
        <v>3383</v>
      </c>
      <c r="B631" t="s">
        <v>6122</v>
      </c>
      <c r="C631" t="s">
        <v>5470</v>
      </c>
      <c r="D631" t="s">
        <v>4119</v>
      </c>
      <c r="E631" t="s">
        <v>5532</v>
      </c>
      <c r="F631" t="s">
        <v>7127</v>
      </c>
      <c r="G631" t="s">
        <v>7128</v>
      </c>
      <c r="H631" t="s">
        <v>5474</v>
      </c>
      <c r="I631" t="s">
        <v>7129</v>
      </c>
      <c r="J631" t="s">
        <v>5484</v>
      </c>
      <c r="K631" t="s">
        <v>5471</v>
      </c>
      <c r="L631" t="s">
        <v>5471</v>
      </c>
      <c r="M631" t="s">
        <v>5471</v>
      </c>
    </row>
    <row r="632" spans="1:13" x14ac:dyDescent="0.3">
      <c r="A632" t="s">
        <v>3383</v>
      </c>
      <c r="B632" t="s">
        <v>6122</v>
      </c>
      <c r="C632" t="s">
        <v>5470</v>
      </c>
      <c r="D632" t="s">
        <v>4119</v>
      </c>
      <c r="E632" t="s">
        <v>5532</v>
      </c>
      <c r="F632" t="s">
        <v>7130</v>
      </c>
      <c r="G632" t="s">
        <v>7123</v>
      </c>
      <c r="H632" t="s">
        <v>5474</v>
      </c>
      <c r="I632" t="s">
        <v>7131</v>
      </c>
      <c r="J632" t="s">
        <v>5484</v>
      </c>
      <c r="K632" t="s">
        <v>5471</v>
      </c>
      <c r="L632" t="s">
        <v>5471</v>
      </c>
      <c r="M632" t="s">
        <v>5471</v>
      </c>
    </row>
    <row r="633" spans="1:13" x14ac:dyDescent="0.3">
      <c r="A633" t="s">
        <v>3383</v>
      </c>
      <c r="B633" t="s">
        <v>6051</v>
      </c>
      <c r="C633" t="s">
        <v>5470</v>
      </c>
      <c r="D633" t="s">
        <v>4119</v>
      </c>
      <c r="E633" t="s">
        <v>5532</v>
      </c>
      <c r="F633" t="s">
        <v>7132</v>
      </c>
      <c r="G633" t="s">
        <v>7133</v>
      </c>
      <c r="H633" t="s">
        <v>5474</v>
      </c>
      <c r="I633" t="s">
        <v>7134</v>
      </c>
      <c r="J633" t="s">
        <v>5484</v>
      </c>
      <c r="K633" t="s">
        <v>5471</v>
      </c>
      <c r="L633" t="s">
        <v>5471</v>
      </c>
      <c r="M633" t="s">
        <v>5471</v>
      </c>
    </row>
    <row r="634" spans="1:13" x14ac:dyDescent="0.3">
      <c r="A634" t="s">
        <v>3383</v>
      </c>
      <c r="B634" t="s">
        <v>6122</v>
      </c>
      <c r="C634" t="s">
        <v>5470</v>
      </c>
      <c r="D634" t="s">
        <v>4119</v>
      </c>
      <c r="E634" t="s">
        <v>5532</v>
      </c>
      <c r="F634" t="s">
        <v>7135</v>
      </c>
      <c r="G634" t="s">
        <v>7128</v>
      </c>
      <c r="H634" t="s">
        <v>5474</v>
      </c>
      <c r="I634" t="s">
        <v>7136</v>
      </c>
      <c r="J634" t="s">
        <v>5484</v>
      </c>
      <c r="K634" t="s">
        <v>5471</v>
      </c>
      <c r="L634" t="s">
        <v>5471</v>
      </c>
      <c r="M634" t="s">
        <v>5471</v>
      </c>
    </row>
    <row r="635" spans="1:13" x14ac:dyDescent="0.3">
      <c r="A635" t="s">
        <v>3383</v>
      </c>
      <c r="B635" t="s">
        <v>6122</v>
      </c>
      <c r="C635" t="s">
        <v>5470</v>
      </c>
      <c r="D635" t="s">
        <v>4119</v>
      </c>
      <c r="E635" t="s">
        <v>5532</v>
      </c>
      <c r="F635" t="s">
        <v>7137</v>
      </c>
      <c r="G635" t="s">
        <v>7123</v>
      </c>
      <c r="H635" t="s">
        <v>5474</v>
      </c>
      <c r="I635" t="s">
        <v>7138</v>
      </c>
      <c r="J635" t="s">
        <v>5484</v>
      </c>
      <c r="K635" t="s">
        <v>5471</v>
      </c>
      <c r="L635" t="s">
        <v>5471</v>
      </c>
      <c r="M635" t="s">
        <v>5471</v>
      </c>
    </row>
    <row r="636" spans="1:13" x14ac:dyDescent="0.3">
      <c r="A636" t="s">
        <v>3383</v>
      </c>
      <c r="B636" t="s">
        <v>6122</v>
      </c>
      <c r="C636" t="s">
        <v>5470</v>
      </c>
      <c r="D636" t="s">
        <v>4119</v>
      </c>
      <c r="E636" t="s">
        <v>5532</v>
      </c>
      <c r="F636" t="s">
        <v>7139</v>
      </c>
      <c r="G636" t="s">
        <v>7128</v>
      </c>
      <c r="H636" t="s">
        <v>5474</v>
      </c>
      <c r="I636" t="s">
        <v>7140</v>
      </c>
      <c r="J636" t="s">
        <v>5476</v>
      </c>
      <c r="K636" t="s">
        <v>5471</v>
      </c>
      <c r="L636" t="s">
        <v>5471</v>
      </c>
      <c r="M636" t="s">
        <v>5471</v>
      </c>
    </row>
    <row r="637" spans="1:13" x14ac:dyDescent="0.3">
      <c r="A637" t="s">
        <v>3383</v>
      </c>
      <c r="B637" t="s">
        <v>6122</v>
      </c>
      <c r="C637" t="s">
        <v>5470</v>
      </c>
      <c r="D637" t="s">
        <v>4119</v>
      </c>
      <c r="E637" t="s">
        <v>5532</v>
      </c>
      <c r="F637" t="s">
        <v>7141</v>
      </c>
      <c r="G637" t="s">
        <v>7123</v>
      </c>
      <c r="H637" t="s">
        <v>5474</v>
      </c>
      <c r="I637" t="s">
        <v>7142</v>
      </c>
      <c r="J637" t="s">
        <v>5484</v>
      </c>
      <c r="K637" t="s">
        <v>5471</v>
      </c>
      <c r="L637" t="s">
        <v>5471</v>
      </c>
      <c r="M637" t="s">
        <v>5471</v>
      </c>
    </row>
    <row r="638" spans="1:13" x14ac:dyDescent="0.3">
      <c r="A638" t="s">
        <v>3383</v>
      </c>
      <c r="B638" t="s">
        <v>6122</v>
      </c>
      <c r="C638" t="s">
        <v>5470</v>
      </c>
      <c r="D638" t="s">
        <v>4119</v>
      </c>
      <c r="E638" t="s">
        <v>5532</v>
      </c>
      <c r="F638" t="s">
        <v>7143</v>
      </c>
      <c r="G638" t="s">
        <v>7144</v>
      </c>
      <c r="H638" t="s">
        <v>5474</v>
      </c>
      <c r="I638" t="s">
        <v>7145</v>
      </c>
      <c r="J638" t="s">
        <v>5484</v>
      </c>
      <c r="K638" t="s">
        <v>5471</v>
      </c>
      <c r="L638" t="s">
        <v>5471</v>
      </c>
      <c r="M638" t="s">
        <v>5471</v>
      </c>
    </row>
    <row r="639" spans="1:13" x14ac:dyDescent="0.3">
      <c r="A639" t="s">
        <v>3383</v>
      </c>
      <c r="B639" t="s">
        <v>6122</v>
      </c>
      <c r="C639" t="s">
        <v>5470</v>
      </c>
      <c r="D639" t="s">
        <v>4119</v>
      </c>
      <c r="E639" t="s">
        <v>5532</v>
      </c>
      <c r="F639" t="s">
        <v>7146</v>
      </c>
      <c r="G639" t="s">
        <v>7128</v>
      </c>
      <c r="H639" t="s">
        <v>5474</v>
      </c>
      <c r="I639" t="s">
        <v>7147</v>
      </c>
      <c r="J639" t="s">
        <v>5476</v>
      </c>
      <c r="K639" t="s">
        <v>5471</v>
      </c>
      <c r="L639" t="s">
        <v>5471</v>
      </c>
      <c r="M639" t="s">
        <v>5471</v>
      </c>
    </row>
    <row r="640" spans="1:13" x14ac:dyDescent="0.3">
      <c r="A640" t="s">
        <v>3383</v>
      </c>
      <c r="B640" t="s">
        <v>6122</v>
      </c>
      <c r="C640" t="s">
        <v>5470</v>
      </c>
      <c r="D640" t="s">
        <v>4119</v>
      </c>
      <c r="E640" t="s">
        <v>5532</v>
      </c>
      <c r="F640" t="s">
        <v>7148</v>
      </c>
      <c r="G640" t="s">
        <v>7123</v>
      </c>
      <c r="H640" t="s">
        <v>5474</v>
      </c>
      <c r="I640" t="s">
        <v>7149</v>
      </c>
      <c r="J640" t="s">
        <v>5484</v>
      </c>
      <c r="K640" t="s">
        <v>5471</v>
      </c>
      <c r="L640" t="s">
        <v>5471</v>
      </c>
      <c r="M640" t="s">
        <v>5471</v>
      </c>
    </row>
    <row r="641" spans="1:13" x14ac:dyDescent="0.3">
      <c r="A641" t="s">
        <v>3383</v>
      </c>
      <c r="B641" t="s">
        <v>6122</v>
      </c>
      <c r="C641" t="s">
        <v>5470</v>
      </c>
      <c r="D641" t="s">
        <v>4119</v>
      </c>
      <c r="E641" t="s">
        <v>5532</v>
      </c>
      <c r="F641" t="s">
        <v>7150</v>
      </c>
      <c r="G641" t="s">
        <v>7151</v>
      </c>
      <c r="H641" t="s">
        <v>5474</v>
      </c>
      <c r="I641" t="s">
        <v>7152</v>
      </c>
      <c r="J641" t="s">
        <v>5484</v>
      </c>
      <c r="K641" t="s">
        <v>5471</v>
      </c>
      <c r="L641" t="s">
        <v>5471</v>
      </c>
      <c r="M641" t="s">
        <v>5471</v>
      </c>
    </row>
    <row r="642" spans="1:13" x14ac:dyDescent="0.3">
      <c r="A642" t="s">
        <v>3383</v>
      </c>
      <c r="B642" t="s">
        <v>6051</v>
      </c>
      <c r="C642" t="s">
        <v>5470</v>
      </c>
      <c r="D642" t="s">
        <v>4119</v>
      </c>
      <c r="E642" t="s">
        <v>5532</v>
      </c>
      <c r="F642" t="s">
        <v>7153</v>
      </c>
      <c r="G642" t="s">
        <v>7133</v>
      </c>
      <c r="H642" t="s">
        <v>5474</v>
      </c>
      <c r="I642" t="s">
        <v>7154</v>
      </c>
      <c r="J642" t="s">
        <v>5484</v>
      </c>
      <c r="K642" t="s">
        <v>5471</v>
      </c>
      <c r="L642" t="s">
        <v>5471</v>
      </c>
      <c r="M642" t="s">
        <v>5471</v>
      </c>
    </row>
    <row r="643" spans="1:13" x14ac:dyDescent="0.3">
      <c r="A643" t="s">
        <v>3383</v>
      </c>
      <c r="B643" t="s">
        <v>6122</v>
      </c>
      <c r="C643" t="s">
        <v>5470</v>
      </c>
      <c r="D643" t="s">
        <v>4119</v>
      </c>
      <c r="E643" t="s">
        <v>5532</v>
      </c>
      <c r="F643" t="s">
        <v>7155</v>
      </c>
      <c r="G643" t="s">
        <v>7144</v>
      </c>
      <c r="H643" t="s">
        <v>5474</v>
      </c>
      <c r="I643" t="s">
        <v>7156</v>
      </c>
      <c r="J643" t="s">
        <v>5476</v>
      </c>
      <c r="K643" t="s">
        <v>5471</v>
      </c>
      <c r="L643" t="s">
        <v>5471</v>
      </c>
      <c r="M643" t="s">
        <v>5471</v>
      </c>
    </row>
    <row r="644" spans="1:13" x14ac:dyDescent="0.3">
      <c r="A644" t="s">
        <v>3383</v>
      </c>
      <c r="B644" t="s">
        <v>6051</v>
      </c>
      <c r="C644" t="s">
        <v>5470</v>
      </c>
      <c r="D644" t="s">
        <v>4119</v>
      </c>
      <c r="E644" t="s">
        <v>5532</v>
      </c>
      <c r="F644" t="s">
        <v>7157</v>
      </c>
      <c r="G644" t="s">
        <v>7133</v>
      </c>
      <c r="H644" t="s">
        <v>5474</v>
      </c>
      <c r="I644" t="s">
        <v>7158</v>
      </c>
      <c r="J644" t="s">
        <v>5484</v>
      </c>
      <c r="K644" t="s">
        <v>5471</v>
      </c>
      <c r="L644" t="s">
        <v>5471</v>
      </c>
      <c r="M644" t="s">
        <v>5471</v>
      </c>
    </row>
    <row r="645" spans="1:13" x14ac:dyDescent="0.3">
      <c r="A645" t="s">
        <v>3383</v>
      </c>
      <c r="B645" t="s">
        <v>6122</v>
      </c>
      <c r="C645" t="s">
        <v>5470</v>
      </c>
      <c r="D645" t="s">
        <v>4119</v>
      </c>
      <c r="E645" t="s">
        <v>5532</v>
      </c>
      <c r="F645" t="s">
        <v>7148</v>
      </c>
      <c r="G645" t="s">
        <v>7123</v>
      </c>
      <c r="H645" t="s">
        <v>5474</v>
      </c>
      <c r="I645" t="s">
        <v>7159</v>
      </c>
      <c r="J645" t="s">
        <v>5484</v>
      </c>
      <c r="K645" t="s">
        <v>5471</v>
      </c>
      <c r="L645" t="s">
        <v>5471</v>
      </c>
      <c r="M645" t="s">
        <v>5471</v>
      </c>
    </row>
    <row r="646" spans="1:13" x14ac:dyDescent="0.3">
      <c r="A646" t="s">
        <v>3383</v>
      </c>
      <c r="B646" t="s">
        <v>6122</v>
      </c>
      <c r="C646" t="s">
        <v>5470</v>
      </c>
      <c r="D646" t="s">
        <v>4119</v>
      </c>
      <c r="E646" t="s">
        <v>5532</v>
      </c>
      <c r="F646" t="s">
        <v>7160</v>
      </c>
      <c r="G646" t="s">
        <v>7128</v>
      </c>
      <c r="H646" t="s">
        <v>5474</v>
      </c>
      <c r="I646" t="s">
        <v>7161</v>
      </c>
      <c r="J646" t="s">
        <v>5476</v>
      </c>
      <c r="K646" t="s">
        <v>5471</v>
      </c>
      <c r="L646" t="s">
        <v>5471</v>
      </c>
      <c r="M646" t="s">
        <v>5471</v>
      </c>
    </row>
    <row r="647" spans="1:13" x14ac:dyDescent="0.3">
      <c r="A647" t="s">
        <v>3383</v>
      </c>
      <c r="B647" t="s">
        <v>6122</v>
      </c>
      <c r="C647" t="s">
        <v>5470</v>
      </c>
      <c r="D647" t="s">
        <v>4119</v>
      </c>
      <c r="E647" t="s">
        <v>5532</v>
      </c>
      <c r="F647" t="s">
        <v>7162</v>
      </c>
      <c r="G647" t="s">
        <v>7151</v>
      </c>
      <c r="H647" t="s">
        <v>5474</v>
      </c>
      <c r="I647" t="s">
        <v>7163</v>
      </c>
      <c r="J647" t="s">
        <v>5484</v>
      </c>
      <c r="K647" t="s">
        <v>5471</v>
      </c>
      <c r="L647" t="s">
        <v>5471</v>
      </c>
      <c r="M647" t="s">
        <v>5471</v>
      </c>
    </row>
    <row r="648" spans="1:13" x14ac:dyDescent="0.3">
      <c r="A648" t="s">
        <v>3383</v>
      </c>
      <c r="B648" t="s">
        <v>6051</v>
      </c>
      <c r="C648" t="s">
        <v>5470</v>
      </c>
      <c r="D648" t="s">
        <v>4119</v>
      </c>
      <c r="E648" t="s">
        <v>5532</v>
      </c>
      <c r="F648" t="s">
        <v>7164</v>
      </c>
      <c r="G648" t="s">
        <v>7133</v>
      </c>
      <c r="H648" t="s">
        <v>5474</v>
      </c>
      <c r="I648" t="s">
        <v>7165</v>
      </c>
      <c r="J648" t="s">
        <v>5484</v>
      </c>
      <c r="K648" t="s">
        <v>5471</v>
      </c>
      <c r="L648" t="s">
        <v>5471</v>
      </c>
      <c r="M648" t="s">
        <v>5471</v>
      </c>
    </row>
    <row r="649" spans="1:13" x14ac:dyDescent="0.3">
      <c r="A649" t="s">
        <v>3383</v>
      </c>
      <c r="B649" t="s">
        <v>6122</v>
      </c>
      <c r="C649" t="s">
        <v>5470</v>
      </c>
      <c r="D649" t="s">
        <v>4119</v>
      </c>
      <c r="E649" t="s">
        <v>5532</v>
      </c>
      <c r="F649" t="s">
        <v>7166</v>
      </c>
      <c r="G649" t="s">
        <v>7144</v>
      </c>
      <c r="H649" t="s">
        <v>5474</v>
      </c>
      <c r="I649" t="s">
        <v>7167</v>
      </c>
      <c r="J649" t="s">
        <v>5476</v>
      </c>
      <c r="K649" t="s">
        <v>5471</v>
      </c>
      <c r="L649" t="s">
        <v>5471</v>
      </c>
      <c r="M649" t="s">
        <v>5471</v>
      </c>
    </row>
    <row r="650" spans="1:13" x14ac:dyDescent="0.3">
      <c r="A650" t="s">
        <v>3383</v>
      </c>
      <c r="B650" t="s">
        <v>6122</v>
      </c>
      <c r="C650" t="s">
        <v>5470</v>
      </c>
      <c r="D650" t="s">
        <v>4119</v>
      </c>
      <c r="E650" t="s">
        <v>5532</v>
      </c>
      <c r="F650" t="s">
        <v>7166</v>
      </c>
      <c r="G650" t="s">
        <v>7168</v>
      </c>
      <c r="H650" t="s">
        <v>5474</v>
      </c>
      <c r="I650" t="s">
        <v>7169</v>
      </c>
      <c r="J650" t="s">
        <v>5476</v>
      </c>
      <c r="K650" t="s">
        <v>5471</v>
      </c>
      <c r="L650" t="s">
        <v>5471</v>
      </c>
      <c r="M650" t="s">
        <v>5471</v>
      </c>
    </row>
    <row r="651" spans="1:13" x14ac:dyDescent="0.3">
      <c r="A651" t="s">
        <v>3383</v>
      </c>
      <c r="B651" t="s">
        <v>6122</v>
      </c>
      <c r="C651" t="s">
        <v>5470</v>
      </c>
      <c r="D651" t="s">
        <v>4119</v>
      </c>
      <c r="E651" t="s">
        <v>5532</v>
      </c>
      <c r="F651" t="s">
        <v>7170</v>
      </c>
      <c r="G651" t="s">
        <v>7144</v>
      </c>
      <c r="H651" t="s">
        <v>5474</v>
      </c>
      <c r="I651" t="s">
        <v>7171</v>
      </c>
      <c r="J651" t="s">
        <v>5484</v>
      </c>
      <c r="K651" t="s">
        <v>5471</v>
      </c>
      <c r="L651" t="s">
        <v>5471</v>
      </c>
      <c r="M651" t="s">
        <v>5471</v>
      </c>
    </row>
    <row r="652" spans="1:13" x14ac:dyDescent="0.3">
      <c r="A652" t="s">
        <v>3383</v>
      </c>
      <c r="B652" t="s">
        <v>6122</v>
      </c>
      <c r="C652" t="s">
        <v>5470</v>
      </c>
      <c r="D652" t="s">
        <v>4119</v>
      </c>
      <c r="E652" t="s">
        <v>5532</v>
      </c>
      <c r="F652" t="s">
        <v>7172</v>
      </c>
      <c r="G652" t="s">
        <v>7123</v>
      </c>
      <c r="H652" t="s">
        <v>5474</v>
      </c>
      <c r="I652" t="s">
        <v>7173</v>
      </c>
      <c r="J652" t="s">
        <v>5484</v>
      </c>
      <c r="K652" t="s">
        <v>5471</v>
      </c>
      <c r="L652" t="s">
        <v>5471</v>
      </c>
      <c r="M652" t="s">
        <v>5471</v>
      </c>
    </row>
    <row r="653" spans="1:13" x14ac:dyDescent="0.3">
      <c r="A653" t="s">
        <v>3383</v>
      </c>
      <c r="B653" t="s">
        <v>6122</v>
      </c>
      <c r="C653" t="s">
        <v>5470</v>
      </c>
      <c r="D653" t="s">
        <v>4119</v>
      </c>
      <c r="E653" t="s">
        <v>5532</v>
      </c>
      <c r="F653" t="s">
        <v>7174</v>
      </c>
      <c r="G653" t="s">
        <v>7123</v>
      </c>
      <c r="H653" t="s">
        <v>5474</v>
      </c>
      <c r="I653" t="s">
        <v>7175</v>
      </c>
      <c r="J653" t="s">
        <v>5476</v>
      </c>
      <c r="K653" t="s">
        <v>5471</v>
      </c>
      <c r="L653" t="s">
        <v>5471</v>
      </c>
      <c r="M653" t="s">
        <v>5471</v>
      </c>
    </row>
    <row r="654" spans="1:13" x14ac:dyDescent="0.3">
      <c r="A654" t="s">
        <v>3383</v>
      </c>
      <c r="B654" t="s">
        <v>6122</v>
      </c>
      <c r="C654" t="s">
        <v>5470</v>
      </c>
      <c r="D654" t="s">
        <v>4119</v>
      </c>
      <c r="E654" t="s">
        <v>5532</v>
      </c>
      <c r="F654" t="s">
        <v>7176</v>
      </c>
      <c r="G654" t="s">
        <v>7144</v>
      </c>
      <c r="H654" t="s">
        <v>5474</v>
      </c>
      <c r="I654" t="s">
        <v>7177</v>
      </c>
      <c r="J654" t="s">
        <v>5484</v>
      </c>
      <c r="K654" t="s">
        <v>5471</v>
      </c>
      <c r="L654" t="s">
        <v>5471</v>
      </c>
      <c r="M654" t="s">
        <v>5471</v>
      </c>
    </row>
    <row r="655" spans="1:13" x14ac:dyDescent="0.3">
      <c r="A655" t="s">
        <v>3383</v>
      </c>
      <c r="B655" t="s">
        <v>6051</v>
      </c>
      <c r="C655" t="s">
        <v>5470</v>
      </c>
      <c r="D655" t="s">
        <v>4119</v>
      </c>
      <c r="E655" t="s">
        <v>5532</v>
      </c>
      <c r="F655" t="s">
        <v>7178</v>
      </c>
      <c r="G655" t="s">
        <v>7133</v>
      </c>
      <c r="H655" t="s">
        <v>5474</v>
      </c>
      <c r="I655" t="s">
        <v>7179</v>
      </c>
      <c r="J655" t="s">
        <v>5484</v>
      </c>
      <c r="K655" t="s">
        <v>5471</v>
      </c>
      <c r="L655" t="s">
        <v>5471</v>
      </c>
      <c r="M655" t="s">
        <v>5471</v>
      </c>
    </row>
    <row r="656" spans="1:13" x14ac:dyDescent="0.3">
      <c r="A656" t="s">
        <v>3383</v>
      </c>
      <c r="B656" t="s">
        <v>6122</v>
      </c>
      <c r="C656" t="s">
        <v>5470</v>
      </c>
      <c r="D656" t="s">
        <v>4119</v>
      </c>
      <c r="E656" t="s">
        <v>5532</v>
      </c>
      <c r="F656" t="s">
        <v>7180</v>
      </c>
      <c r="G656" t="s">
        <v>7144</v>
      </c>
      <c r="H656" t="s">
        <v>5474</v>
      </c>
      <c r="I656" t="s">
        <v>7181</v>
      </c>
      <c r="J656" t="s">
        <v>5484</v>
      </c>
      <c r="K656" t="s">
        <v>5471</v>
      </c>
      <c r="L656" t="s">
        <v>5471</v>
      </c>
      <c r="M656" t="s">
        <v>5471</v>
      </c>
    </row>
    <row r="657" spans="1:13" x14ac:dyDescent="0.3">
      <c r="A657" t="s">
        <v>3383</v>
      </c>
      <c r="B657" t="s">
        <v>6122</v>
      </c>
      <c r="C657" t="s">
        <v>5470</v>
      </c>
      <c r="D657" t="s">
        <v>4119</v>
      </c>
      <c r="E657" t="s">
        <v>5532</v>
      </c>
      <c r="F657" t="s">
        <v>7182</v>
      </c>
      <c r="G657" t="s">
        <v>7144</v>
      </c>
      <c r="H657" t="s">
        <v>5474</v>
      </c>
      <c r="I657" t="s">
        <v>7183</v>
      </c>
      <c r="J657" t="s">
        <v>5484</v>
      </c>
      <c r="K657" t="s">
        <v>5471</v>
      </c>
      <c r="L657" t="s">
        <v>5471</v>
      </c>
      <c r="M657" t="s">
        <v>5471</v>
      </c>
    </row>
    <row r="658" spans="1:13" x14ac:dyDescent="0.3">
      <c r="A658" t="s">
        <v>3383</v>
      </c>
      <c r="B658" t="s">
        <v>6122</v>
      </c>
      <c r="C658" t="s">
        <v>5470</v>
      </c>
      <c r="D658" t="s">
        <v>4119</v>
      </c>
      <c r="E658" t="s">
        <v>5532</v>
      </c>
      <c r="F658" t="s">
        <v>7184</v>
      </c>
      <c r="G658" t="s">
        <v>7123</v>
      </c>
      <c r="H658" t="s">
        <v>5474</v>
      </c>
      <c r="I658" t="s">
        <v>7185</v>
      </c>
      <c r="J658" t="s">
        <v>5476</v>
      </c>
      <c r="K658" t="s">
        <v>5471</v>
      </c>
      <c r="L658" t="s">
        <v>5471</v>
      </c>
      <c r="M658" t="s">
        <v>5471</v>
      </c>
    </row>
    <row r="659" spans="1:13" x14ac:dyDescent="0.3">
      <c r="A659" t="s">
        <v>3383</v>
      </c>
      <c r="B659" t="s">
        <v>6051</v>
      </c>
      <c r="C659" t="s">
        <v>5470</v>
      </c>
      <c r="D659" t="s">
        <v>4119</v>
      </c>
      <c r="E659" t="s">
        <v>5532</v>
      </c>
      <c r="F659" t="s">
        <v>7186</v>
      </c>
      <c r="G659" t="s">
        <v>7133</v>
      </c>
      <c r="H659" t="s">
        <v>5474</v>
      </c>
      <c r="I659" t="s">
        <v>7187</v>
      </c>
      <c r="J659" t="s">
        <v>5484</v>
      </c>
      <c r="K659" t="s">
        <v>5471</v>
      </c>
      <c r="L659" t="s">
        <v>5471</v>
      </c>
      <c r="M659" t="s">
        <v>5471</v>
      </c>
    </row>
    <row r="660" spans="1:13" x14ac:dyDescent="0.3">
      <c r="A660" t="s">
        <v>3383</v>
      </c>
      <c r="B660" t="s">
        <v>6122</v>
      </c>
      <c r="C660" t="s">
        <v>5470</v>
      </c>
      <c r="D660" t="s">
        <v>4119</v>
      </c>
      <c r="E660" t="s">
        <v>5532</v>
      </c>
      <c r="F660" t="s">
        <v>7188</v>
      </c>
      <c r="G660" t="s">
        <v>7144</v>
      </c>
      <c r="H660" t="s">
        <v>5474</v>
      </c>
      <c r="I660" t="s">
        <v>7189</v>
      </c>
      <c r="J660" t="s">
        <v>5484</v>
      </c>
      <c r="K660" t="s">
        <v>5471</v>
      </c>
      <c r="L660" t="s">
        <v>5471</v>
      </c>
      <c r="M660" t="s">
        <v>5471</v>
      </c>
    </row>
    <row r="661" spans="1:13" x14ac:dyDescent="0.3">
      <c r="A661" t="s">
        <v>3383</v>
      </c>
      <c r="B661" t="s">
        <v>6122</v>
      </c>
      <c r="C661" t="s">
        <v>5470</v>
      </c>
      <c r="D661" t="s">
        <v>4119</v>
      </c>
      <c r="E661" t="s">
        <v>5532</v>
      </c>
      <c r="F661" t="s">
        <v>7190</v>
      </c>
      <c r="G661" t="s">
        <v>7144</v>
      </c>
      <c r="H661" t="s">
        <v>5474</v>
      </c>
      <c r="I661" t="s">
        <v>7191</v>
      </c>
      <c r="J661" t="s">
        <v>5484</v>
      </c>
      <c r="K661" t="s">
        <v>5471</v>
      </c>
      <c r="L661" t="s">
        <v>5471</v>
      </c>
      <c r="M661" t="s">
        <v>5471</v>
      </c>
    </row>
    <row r="662" spans="1:13" x14ac:dyDescent="0.3">
      <c r="A662" t="s">
        <v>3383</v>
      </c>
      <c r="B662" t="s">
        <v>6051</v>
      </c>
      <c r="C662" t="s">
        <v>5470</v>
      </c>
      <c r="D662" t="s">
        <v>4119</v>
      </c>
      <c r="E662" t="s">
        <v>5532</v>
      </c>
      <c r="F662" t="s">
        <v>7192</v>
      </c>
      <c r="G662" t="s">
        <v>7133</v>
      </c>
      <c r="H662" t="s">
        <v>5474</v>
      </c>
      <c r="I662" t="s">
        <v>7193</v>
      </c>
      <c r="J662" t="s">
        <v>5484</v>
      </c>
      <c r="K662" t="s">
        <v>5471</v>
      </c>
      <c r="L662" t="s">
        <v>5471</v>
      </c>
      <c r="M662" t="s">
        <v>5471</v>
      </c>
    </row>
    <row r="663" spans="1:13" x14ac:dyDescent="0.3">
      <c r="A663" t="s">
        <v>3383</v>
      </c>
      <c r="B663" t="s">
        <v>6122</v>
      </c>
      <c r="C663" t="s">
        <v>5470</v>
      </c>
      <c r="D663" t="s">
        <v>4119</v>
      </c>
      <c r="E663" t="s">
        <v>5532</v>
      </c>
      <c r="F663" t="s">
        <v>7194</v>
      </c>
      <c r="G663" t="s">
        <v>7151</v>
      </c>
      <c r="H663" t="s">
        <v>5474</v>
      </c>
      <c r="I663" t="s">
        <v>7195</v>
      </c>
      <c r="J663" t="s">
        <v>5484</v>
      </c>
      <c r="K663" t="s">
        <v>5471</v>
      </c>
      <c r="L663" t="s">
        <v>5471</v>
      </c>
      <c r="M663" t="s">
        <v>5471</v>
      </c>
    </row>
    <row r="664" spans="1:13" x14ac:dyDescent="0.3">
      <c r="A664" t="s">
        <v>3383</v>
      </c>
      <c r="B664" t="s">
        <v>6051</v>
      </c>
      <c r="C664" t="s">
        <v>5470</v>
      </c>
      <c r="D664" t="s">
        <v>4119</v>
      </c>
      <c r="E664" t="s">
        <v>5532</v>
      </c>
      <c r="F664" t="s">
        <v>7196</v>
      </c>
      <c r="G664" t="s">
        <v>7133</v>
      </c>
      <c r="H664" t="s">
        <v>5474</v>
      </c>
      <c r="I664" t="s">
        <v>7197</v>
      </c>
      <c r="J664" t="s">
        <v>5484</v>
      </c>
      <c r="K664" t="s">
        <v>5471</v>
      </c>
      <c r="L664" t="s">
        <v>5471</v>
      </c>
      <c r="M664" t="s">
        <v>5471</v>
      </c>
    </row>
    <row r="665" spans="1:13" x14ac:dyDescent="0.3">
      <c r="A665" t="s">
        <v>3383</v>
      </c>
      <c r="B665" t="s">
        <v>6051</v>
      </c>
      <c r="C665" t="s">
        <v>5470</v>
      </c>
      <c r="D665" t="s">
        <v>4119</v>
      </c>
      <c r="E665" t="s">
        <v>5532</v>
      </c>
      <c r="F665" t="s">
        <v>7198</v>
      </c>
      <c r="G665" t="s">
        <v>7133</v>
      </c>
      <c r="H665" t="s">
        <v>5474</v>
      </c>
      <c r="I665" t="s">
        <v>7199</v>
      </c>
      <c r="J665" t="s">
        <v>5484</v>
      </c>
      <c r="K665" t="s">
        <v>5471</v>
      </c>
      <c r="L665" t="s">
        <v>5471</v>
      </c>
      <c r="M665" t="s">
        <v>5471</v>
      </c>
    </row>
    <row r="666" spans="1:13" x14ac:dyDescent="0.3">
      <c r="A666" t="s">
        <v>3383</v>
      </c>
      <c r="B666" t="s">
        <v>6122</v>
      </c>
      <c r="C666" t="s">
        <v>5470</v>
      </c>
      <c r="D666" t="s">
        <v>4119</v>
      </c>
      <c r="E666" t="s">
        <v>5532</v>
      </c>
      <c r="F666" t="s">
        <v>7200</v>
      </c>
      <c r="G666" t="s">
        <v>7123</v>
      </c>
      <c r="H666" t="s">
        <v>5474</v>
      </c>
      <c r="I666" t="s">
        <v>7201</v>
      </c>
      <c r="J666" t="s">
        <v>5484</v>
      </c>
      <c r="K666" t="s">
        <v>5471</v>
      </c>
      <c r="L666" t="s">
        <v>5471</v>
      </c>
      <c r="M666" t="s">
        <v>5471</v>
      </c>
    </row>
    <row r="667" spans="1:13" x14ac:dyDescent="0.3">
      <c r="A667" t="s">
        <v>3383</v>
      </c>
      <c r="B667" t="s">
        <v>6051</v>
      </c>
      <c r="C667" t="s">
        <v>5470</v>
      </c>
      <c r="D667" t="s">
        <v>4119</v>
      </c>
      <c r="E667" t="s">
        <v>5532</v>
      </c>
      <c r="F667" t="s">
        <v>7202</v>
      </c>
      <c r="G667" t="s">
        <v>7133</v>
      </c>
      <c r="H667" t="s">
        <v>5474</v>
      </c>
      <c r="I667" t="s">
        <v>7203</v>
      </c>
      <c r="J667" t="s">
        <v>5484</v>
      </c>
      <c r="K667" t="s">
        <v>5471</v>
      </c>
      <c r="L667" t="s">
        <v>5471</v>
      </c>
      <c r="M667" t="s">
        <v>5471</v>
      </c>
    </row>
    <row r="668" spans="1:13" x14ac:dyDescent="0.3">
      <c r="A668" t="s">
        <v>3383</v>
      </c>
      <c r="B668" t="s">
        <v>6051</v>
      </c>
      <c r="C668" t="s">
        <v>5470</v>
      </c>
      <c r="D668" t="s">
        <v>4119</v>
      </c>
      <c r="E668" t="s">
        <v>5532</v>
      </c>
      <c r="F668" t="s">
        <v>7204</v>
      </c>
      <c r="G668" t="s">
        <v>7133</v>
      </c>
      <c r="H668" t="s">
        <v>5474</v>
      </c>
      <c r="I668" t="s">
        <v>7205</v>
      </c>
      <c r="J668" t="s">
        <v>5484</v>
      </c>
      <c r="K668" t="s">
        <v>5471</v>
      </c>
      <c r="L668" t="s">
        <v>5471</v>
      </c>
      <c r="M668" t="s">
        <v>5471</v>
      </c>
    </row>
    <row r="669" spans="1:13" x14ac:dyDescent="0.3">
      <c r="A669" t="s">
        <v>3383</v>
      </c>
      <c r="B669" t="s">
        <v>6122</v>
      </c>
      <c r="C669" t="s">
        <v>5470</v>
      </c>
      <c r="D669" t="s">
        <v>4119</v>
      </c>
      <c r="E669" t="s">
        <v>5532</v>
      </c>
      <c r="F669" t="s">
        <v>7206</v>
      </c>
      <c r="G669" t="s">
        <v>7151</v>
      </c>
      <c r="H669" t="s">
        <v>5474</v>
      </c>
      <c r="I669" t="s">
        <v>7207</v>
      </c>
      <c r="J669" t="s">
        <v>5484</v>
      </c>
      <c r="K669" t="s">
        <v>5471</v>
      </c>
      <c r="L669" t="s">
        <v>5471</v>
      </c>
      <c r="M669" t="s">
        <v>5471</v>
      </c>
    </row>
    <row r="670" spans="1:13" x14ac:dyDescent="0.3">
      <c r="A670" t="s">
        <v>3383</v>
      </c>
      <c r="B670" t="s">
        <v>6051</v>
      </c>
      <c r="C670" t="s">
        <v>5470</v>
      </c>
      <c r="D670" t="s">
        <v>4119</v>
      </c>
      <c r="E670" t="s">
        <v>5532</v>
      </c>
      <c r="F670" t="s">
        <v>7208</v>
      </c>
      <c r="G670" t="s">
        <v>7133</v>
      </c>
      <c r="H670" t="s">
        <v>5474</v>
      </c>
      <c r="I670" t="s">
        <v>7209</v>
      </c>
      <c r="J670" t="s">
        <v>5484</v>
      </c>
      <c r="K670" t="s">
        <v>5471</v>
      </c>
      <c r="L670" t="s">
        <v>5471</v>
      </c>
      <c r="M670" t="s">
        <v>5471</v>
      </c>
    </row>
    <row r="671" spans="1:13" x14ac:dyDescent="0.3">
      <c r="A671" t="s">
        <v>3383</v>
      </c>
      <c r="B671" t="s">
        <v>6051</v>
      </c>
      <c r="C671" t="s">
        <v>5470</v>
      </c>
      <c r="D671" t="s">
        <v>4119</v>
      </c>
      <c r="E671" t="s">
        <v>5532</v>
      </c>
      <c r="F671" t="s">
        <v>7210</v>
      </c>
      <c r="G671" t="s">
        <v>7133</v>
      </c>
      <c r="H671" t="s">
        <v>5474</v>
      </c>
      <c r="I671" t="s">
        <v>7211</v>
      </c>
      <c r="J671" t="s">
        <v>5484</v>
      </c>
      <c r="K671" t="s">
        <v>5471</v>
      </c>
      <c r="L671" t="s">
        <v>5471</v>
      </c>
      <c r="M671" t="s">
        <v>5471</v>
      </c>
    </row>
    <row r="672" spans="1:13" x14ac:dyDescent="0.3">
      <c r="A672" t="s">
        <v>3383</v>
      </c>
      <c r="B672" t="s">
        <v>6122</v>
      </c>
      <c r="C672" t="s">
        <v>5470</v>
      </c>
      <c r="D672" t="s">
        <v>4119</v>
      </c>
      <c r="E672" t="s">
        <v>5532</v>
      </c>
      <c r="F672" t="s">
        <v>7212</v>
      </c>
      <c r="G672" t="s">
        <v>7151</v>
      </c>
      <c r="H672" t="s">
        <v>5474</v>
      </c>
      <c r="I672" t="s">
        <v>7213</v>
      </c>
      <c r="J672" t="s">
        <v>5484</v>
      </c>
      <c r="K672" t="s">
        <v>5471</v>
      </c>
      <c r="L672" t="s">
        <v>5471</v>
      </c>
      <c r="M672" t="s">
        <v>5471</v>
      </c>
    </row>
    <row r="673" spans="1:13" x14ac:dyDescent="0.3">
      <c r="A673" t="s">
        <v>3383</v>
      </c>
      <c r="B673" t="s">
        <v>6051</v>
      </c>
      <c r="C673" t="s">
        <v>5470</v>
      </c>
      <c r="D673" t="s">
        <v>4119</v>
      </c>
      <c r="E673" t="s">
        <v>5532</v>
      </c>
      <c r="F673" t="s">
        <v>7214</v>
      </c>
      <c r="G673" t="s">
        <v>7133</v>
      </c>
      <c r="H673" t="s">
        <v>5474</v>
      </c>
      <c r="I673" t="s">
        <v>7215</v>
      </c>
      <c r="J673" t="s">
        <v>5484</v>
      </c>
      <c r="K673" t="s">
        <v>5471</v>
      </c>
      <c r="L673" t="s">
        <v>5471</v>
      </c>
      <c r="M673" t="s">
        <v>5471</v>
      </c>
    </row>
    <row r="674" spans="1:13" x14ac:dyDescent="0.3">
      <c r="A674" t="s">
        <v>3383</v>
      </c>
      <c r="B674" t="s">
        <v>6051</v>
      </c>
      <c r="C674" t="s">
        <v>5470</v>
      </c>
      <c r="D674" t="s">
        <v>4119</v>
      </c>
      <c r="E674" t="s">
        <v>5532</v>
      </c>
      <c r="F674" t="s">
        <v>7208</v>
      </c>
      <c r="G674" t="s">
        <v>7133</v>
      </c>
      <c r="H674" t="s">
        <v>5474</v>
      </c>
      <c r="I674" t="s">
        <v>7216</v>
      </c>
      <c r="J674" t="s">
        <v>5484</v>
      </c>
      <c r="K674" t="s">
        <v>5471</v>
      </c>
      <c r="L674" t="s">
        <v>5471</v>
      </c>
      <c r="M674" t="s">
        <v>5471</v>
      </c>
    </row>
    <row r="675" spans="1:13" x14ac:dyDescent="0.3">
      <c r="A675" t="s">
        <v>3383</v>
      </c>
      <c r="B675" t="s">
        <v>6051</v>
      </c>
      <c r="C675" t="s">
        <v>5470</v>
      </c>
      <c r="D675" t="s">
        <v>4119</v>
      </c>
      <c r="E675" t="s">
        <v>5532</v>
      </c>
      <c r="F675" t="s">
        <v>7217</v>
      </c>
      <c r="G675" t="s">
        <v>7133</v>
      </c>
      <c r="H675" t="s">
        <v>5474</v>
      </c>
      <c r="I675" t="s">
        <v>7218</v>
      </c>
      <c r="J675" t="s">
        <v>5484</v>
      </c>
      <c r="K675" t="s">
        <v>5471</v>
      </c>
      <c r="L675" t="s">
        <v>5471</v>
      </c>
      <c r="M675" t="s">
        <v>5471</v>
      </c>
    </row>
    <row r="676" spans="1:13" x14ac:dyDescent="0.3">
      <c r="A676" t="s">
        <v>3383</v>
      </c>
      <c r="B676" t="s">
        <v>6051</v>
      </c>
      <c r="C676" t="s">
        <v>5470</v>
      </c>
      <c r="D676" t="s">
        <v>4119</v>
      </c>
      <c r="E676" t="s">
        <v>5532</v>
      </c>
      <c r="F676" t="s">
        <v>7208</v>
      </c>
      <c r="G676" t="s">
        <v>7133</v>
      </c>
      <c r="H676" t="s">
        <v>5474</v>
      </c>
      <c r="I676" t="s">
        <v>7219</v>
      </c>
      <c r="J676" t="s">
        <v>5484</v>
      </c>
      <c r="K676" t="s">
        <v>5471</v>
      </c>
      <c r="L676" t="s">
        <v>5471</v>
      </c>
      <c r="M676" t="s">
        <v>5471</v>
      </c>
    </row>
    <row r="677" spans="1:13" x14ac:dyDescent="0.3">
      <c r="A677" t="s">
        <v>3383</v>
      </c>
      <c r="B677" t="s">
        <v>6051</v>
      </c>
      <c r="C677" t="s">
        <v>5470</v>
      </c>
      <c r="D677" t="s">
        <v>4119</v>
      </c>
      <c r="E677" t="s">
        <v>5532</v>
      </c>
      <c r="F677" t="s">
        <v>7208</v>
      </c>
      <c r="G677" t="s">
        <v>7133</v>
      </c>
      <c r="H677" t="s">
        <v>5474</v>
      </c>
      <c r="I677" t="s">
        <v>7220</v>
      </c>
      <c r="J677" t="s">
        <v>5484</v>
      </c>
      <c r="K677" t="s">
        <v>5471</v>
      </c>
      <c r="L677" t="s">
        <v>5471</v>
      </c>
      <c r="M677" t="s">
        <v>5471</v>
      </c>
    </row>
    <row r="678" spans="1:13" x14ac:dyDescent="0.3">
      <c r="A678" t="s">
        <v>3388</v>
      </c>
      <c r="B678" t="s">
        <v>7221</v>
      </c>
      <c r="C678" t="s">
        <v>5470</v>
      </c>
      <c r="D678" t="s">
        <v>4119</v>
      </c>
      <c r="E678" t="s">
        <v>5471</v>
      </c>
      <c r="F678" t="s">
        <v>7222</v>
      </c>
      <c r="G678" t="s">
        <v>7223</v>
      </c>
      <c r="H678" t="s">
        <v>5474</v>
      </c>
      <c r="I678" t="s">
        <v>7224</v>
      </c>
      <c r="J678" t="s">
        <v>5476</v>
      </c>
      <c r="K678" t="s">
        <v>5471</v>
      </c>
      <c r="L678" t="s">
        <v>5471</v>
      </c>
      <c r="M678" t="s">
        <v>5471</v>
      </c>
    </row>
    <row r="679" spans="1:13" x14ac:dyDescent="0.3">
      <c r="A679" t="s">
        <v>3388</v>
      </c>
      <c r="B679" t="s">
        <v>7225</v>
      </c>
      <c r="C679" t="s">
        <v>5470</v>
      </c>
      <c r="D679" t="s">
        <v>4119</v>
      </c>
      <c r="E679" t="s">
        <v>5471</v>
      </c>
      <c r="F679" t="s">
        <v>7226</v>
      </c>
      <c r="G679" t="s">
        <v>7227</v>
      </c>
      <c r="H679" t="s">
        <v>5474</v>
      </c>
      <c r="I679" t="s">
        <v>7228</v>
      </c>
      <c r="J679" t="s">
        <v>5476</v>
      </c>
      <c r="K679" t="s">
        <v>5471</v>
      </c>
      <c r="L679" t="s">
        <v>5471</v>
      </c>
      <c r="M679" t="s">
        <v>5471</v>
      </c>
    </row>
    <row r="680" spans="1:13" x14ac:dyDescent="0.3">
      <c r="A680" t="s">
        <v>3388</v>
      </c>
      <c r="B680" t="s">
        <v>2749</v>
      </c>
      <c r="C680" t="s">
        <v>5470</v>
      </c>
      <c r="D680" t="s">
        <v>4119</v>
      </c>
      <c r="E680" t="s">
        <v>5532</v>
      </c>
      <c r="F680" t="s">
        <v>7229</v>
      </c>
      <c r="G680" t="s">
        <v>7230</v>
      </c>
      <c r="H680" t="s">
        <v>5474</v>
      </c>
      <c r="I680" t="s">
        <v>7231</v>
      </c>
      <c r="J680" t="s">
        <v>5476</v>
      </c>
      <c r="K680" t="s">
        <v>5471</v>
      </c>
      <c r="L680" t="s">
        <v>5471</v>
      </c>
      <c r="M680" t="s">
        <v>5471</v>
      </c>
    </row>
    <row r="681" spans="1:13" x14ac:dyDescent="0.3">
      <c r="A681" t="s">
        <v>3388</v>
      </c>
      <c r="B681" t="s">
        <v>2749</v>
      </c>
      <c r="C681" t="s">
        <v>5470</v>
      </c>
      <c r="D681" t="s">
        <v>4119</v>
      </c>
      <c r="E681" t="s">
        <v>5532</v>
      </c>
      <c r="F681" t="s">
        <v>7232</v>
      </c>
      <c r="G681" t="s">
        <v>7233</v>
      </c>
      <c r="H681" t="s">
        <v>5474</v>
      </c>
      <c r="I681" t="s">
        <v>7234</v>
      </c>
      <c r="J681" t="s">
        <v>5476</v>
      </c>
      <c r="K681" t="s">
        <v>5471</v>
      </c>
      <c r="L681" t="s">
        <v>5471</v>
      </c>
      <c r="M681" t="s">
        <v>5471</v>
      </c>
    </row>
    <row r="682" spans="1:13" x14ac:dyDescent="0.3">
      <c r="A682" t="s">
        <v>3388</v>
      </c>
      <c r="B682" t="s">
        <v>2749</v>
      </c>
      <c r="C682" t="s">
        <v>5470</v>
      </c>
      <c r="D682" t="s">
        <v>4119</v>
      </c>
      <c r="E682" t="s">
        <v>5532</v>
      </c>
      <c r="F682" t="s">
        <v>7235</v>
      </c>
      <c r="G682" t="s">
        <v>7236</v>
      </c>
      <c r="H682" t="s">
        <v>5474</v>
      </c>
      <c r="I682" t="s">
        <v>7237</v>
      </c>
      <c r="J682" t="s">
        <v>5476</v>
      </c>
      <c r="K682" t="s">
        <v>5471</v>
      </c>
      <c r="L682" t="s">
        <v>5471</v>
      </c>
      <c r="M682" t="s">
        <v>5471</v>
      </c>
    </row>
    <row r="683" spans="1:13" x14ac:dyDescent="0.3">
      <c r="A683" t="s">
        <v>3388</v>
      </c>
      <c r="B683" t="s">
        <v>2749</v>
      </c>
      <c r="C683" t="s">
        <v>5470</v>
      </c>
      <c r="D683" t="s">
        <v>4119</v>
      </c>
      <c r="E683" t="s">
        <v>5843</v>
      </c>
      <c r="F683" t="s">
        <v>7238</v>
      </c>
      <c r="G683" t="s">
        <v>7239</v>
      </c>
      <c r="H683" t="s">
        <v>5474</v>
      </c>
      <c r="I683" t="s">
        <v>7240</v>
      </c>
      <c r="J683" t="s">
        <v>5476</v>
      </c>
      <c r="K683" t="s">
        <v>5471</v>
      </c>
      <c r="L683" t="s">
        <v>5471</v>
      </c>
      <c r="M683" t="s">
        <v>5471</v>
      </c>
    </row>
    <row r="684" spans="1:13" x14ac:dyDescent="0.3">
      <c r="A684" t="s">
        <v>3388</v>
      </c>
      <c r="B684" t="s">
        <v>2749</v>
      </c>
      <c r="C684" t="s">
        <v>5470</v>
      </c>
      <c r="D684" t="s">
        <v>4119</v>
      </c>
      <c r="E684" t="s">
        <v>5843</v>
      </c>
      <c r="F684" t="s">
        <v>7241</v>
      </c>
      <c r="G684" t="s">
        <v>7242</v>
      </c>
      <c r="H684" t="s">
        <v>5474</v>
      </c>
      <c r="I684" t="s">
        <v>7243</v>
      </c>
      <c r="J684" t="s">
        <v>5476</v>
      </c>
      <c r="K684" t="s">
        <v>5471</v>
      </c>
      <c r="L684" t="s">
        <v>5471</v>
      </c>
      <c r="M684" t="s">
        <v>5471</v>
      </c>
    </row>
    <row r="685" spans="1:13" x14ac:dyDescent="0.3">
      <c r="A685" t="s">
        <v>3388</v>
      </c>
      <c r="B685" t="s">
        <v>2749</v>
      </c>
      <c r="C685" t="s">
        <v>5470</v>
      </c>
      <c r="D685" t="s">
        <v>4119</v>
      </c>
      <c r="E685" t="s">
        <v>5843</v>
      </c>
      <c r="F685" t="s">
        <v>7244</v>
      </c>
      <c r="G685" t="s">
        <v>7245</v>
      </c>
      <c r="H685" t="s">
        <v>5474</v>
      </c>
      <c r="I685" t="s">
        <v>7246</v>
      </c>
      <c r="J685" t="s">
        <v>5476</v>
      </c>
      <c r="K685" t="s">
        <v>5471</v>
      </c>
      <c r="L685" t="s">
        <v>5471</v>
      </c>
      <c r="M685" t="s">
        <v>5471</v>
      </c>
    </row>
    <row r="686" spans="1:13" x14ac:dyDescent="0.3">
      <c r="A686" t="s">
        <v>3388</v>
      </c>
      <c r="B686" t="s">
        <v>2749</v>
      </c>
      <c r="C686" t="s">
        <v>5470</v>
      </c>
      <c r="D686" t="s">
        <v>4119</v>
      </c>
      <c r="E686" t="s">
        <v>5843</v>
      </c>
      <c r="F686" t="s">
        <v>7247</v>
      </c>
      <c r="G686" t="s">
        <v>7248</v>
      </c>
      <c r="H686" t="s">
        <v>5474</v>
      </c>
      <c r="I686" t="s">
        <v>7249</v>
      </c>
      <c r="J686" t="s">
        <v>5476</v>
      </c>
      <c r="K686" t="s">
        <v>5471</v>
      </c>
      <c r="L686" t="s">
        <v>5471</v>
      </c>
      <c r="M686" t="s">
        <v>5471</v>
      </c>
    </row>
    <row r="687" spans="1:13" x14ac:dyDescent="0.3">
      <c r="A687" t="s">
        <v>3388</v>
      </c>
      <c r="B687" t="s">
        <v>2749</v>
      </c>
      <c r="C687" t="s">
        <v>5470</v>
      </c>
      <c r="D687" t="s">
        <v>4119</v>
      </c>
      <c r="E687" t="s">
        <v>5843</v>
      </c>
      <c r="F687" t="s">
        <v>7250</v>
      </c>
      <c r="G687" t="s">
        <v>7251</v>
      </c>
      <c r="H687" t="s">
        <v>5474</v>
      </c>
      <c r="I687" t="s">
        <v>7252</v>
      </c>
      <c r="J687" t="s">
        <v>5476</v>
      </c>
      <c r="K687" t="s">
        <v>5471</v>
      </c>
      <c r="L687" t="s">
        <v>5471</v>
      </c>
      <c r="M687" t="s">
        <v>5471</v>
      </c>
    </row>
    <row r="688" spans="1:13" x14ac:dyDescent="0.3">
      <c r="A688" t="s">
        <v>3388</v>
      </c>
      <c r="B688" t="s">
        <v>2749</v>
      </c>
      <c r="C688" t="s">
        <v>5470</v>
      </c>
      <c r="D688" t="s">
        <v>4119</v>
      </c>
      <c r="E688" t="s">
        <v>5843</v>
      </c>
      <c r="F688" t="s">
        <v>7253</v>
      </c>
      <c r="G688" t="s">
        <v>7254</v>
      </c>
      <c r="H688" t="s">
        <v>5474</v>
      </c>
      <c r="I688" t="s">
        <v>7255</v>
      </c>
      <c r="J688" t="s">
        <v>5476</v>
      </c>
      <c r="K688" t="s">
        <v>5471</v>
      </c>
      <c r="L688" t="s">
        <v>5471</v>
      </c>
      <c r="M688" t="s">
        <v>5471</v>
      </c>
    </row>
    <row r="689" spans="1:13" x14ac:dyDescent="0.3">
      <c r="A689" t="s">
        <v>3397</v>
      </c>
      <c r="B689" t="s">
        <v>5755</v>
      </c>
      <c r="C689" t="s">
        <v>5487</v>
      </c>
      <c r="D689" t="s">
        <v>4119</v>
      </c>
      <c r="E689" t="s">
        <v>5756</v>
      </c>
      <c r="F689" t="s">
        <v>7256</v>
      </c>
      <c r="G689" t="s">
        <v>7257</v>
      </c>
      <c r="H689" t="s">
        <v>5474</v>
      </c>
      <c r="I689" t="s">
        <v>7258</v>
      </c>
      <c r="J689" t="s">
        <v>5476</v>
      </c>
      <c r="K689" t="s">
        <v>5471</v>
      </c>
      <c r="L689" t="s">
        <v>5471</v>
      </c>
      <c r="M689" t="s">
        <v>5471</v>
      </c>
    </row>
    <row r="690" spans="1:13" x14ac:dyDescent="0.3">
      <c r="A690" t="s">
        <v>3397</v>
      </c>
      <c r="B690" t="s">
        <v>5755</v>
      </c>
      <c r="C690" t="s">
        <v>5487</v>
      </c>
      <c r="D690" t="s">
        <v>4119</v>
      </c>
      <c r="E690" t="s">
        <v>5756</v>
      </c>
      <c r="F690" t="s">
        <v>7259</v>
      </c>
      <c r="G690" t="s">
        <v>7260</v>
      </c>
      <c r="H690" t="s">
        <v>5474</v>
      </c>
      <c r="I690" t="s">
        <v>7261</v>
      </c>
      <c r="J690" t="s">
        <v>5476</v>
      </c>
      <c r="K690" t="s">
        <v>5471</v>
      </c>
      <c r="L690" t="s">
        <v>5471</v>
      </c>
      <c r="M690" t="s">
        <v>5471</v>
      </c>
    </row>
    <row r="691" spans="1:13" x14ac:dyDescent="0.3">
      <c r="A691" t="s">
        <v>3397</v>
      </c>
      <c r="B691" t="s">
        <v>5761</v>
      </c>
      <c r="C691" t="s">
        <v>5487</v>
      </c>
      <c r="D691" t="s">
        <v>4119</v>
      </c>
      <c r="E691" t="s">
        <v>5756</v>
      </c>
      <c r="F691" t="s">
        <v>7256</v>
      </c>
      <c r="G691" t="s">
        <v>7262</v>
      </c>
      <c r="H691" t="s">
        <v>5474</v>
      </c>
      <c r="I691" t="s">
        <v>7263</v>
      </c>
      <c r="J691" t="s">
        <v>5476</v>
      </c>
      <c r="K691" t="s">
        <v>5471</v>
      </c>
      <c r="L691" t="s">
        <v>5471</v>
      </c>
      <c r="M691" t="s">
        <v>5471</v>
      </c>
    </row>
    <row r="692" spans="1:13" x14ac:dyDescent="0.3">
      <c r="A692" t="s">
        <v>3397</v>
      </c>
      <c r="B692" t="s">
        <v>5761</v>
      </c>
      <c r="C692" t="s">
        <v>5487</v>
      </c>
      <c r="D692" t="s">
        <v>4119</v>
      </c>
      <c r="E692" t="s">
        <v>5756</v>
      </c>
      <c r="F692" t="s">
        <v>7264</v>
      </c>
      <c r="G692" t="s">
        <v>7265</v>
      </c>
      <c r="H692" t="s">
        <v>5474</v>
      </c>
      <c r="I692" t="s">
        <v>7266</v>
      </c>
      <c r="J692" t="s">
        <v>5476</v>
      </c>
      <c r="K692" t="s">
        <v>5471</v>
      </c>
      <c r="L692" t="s">
        <v>5471</v>
      </c>
      <c r="M692" t="s">
        <v>5471</v>
      </c>
    </row>
    <row r="693" spans="1:13" x14ac:dyDescent="0.3">
      <c r="A693" t="s">
        <v>3397</v>
      </c>
      <c r="B693" t="s">
        <v>5328</v>
      </c>
      <c r="C693" t="s">
        <v>5470</v>
      </c>
      <c r="D693" t="s">
        <v>4119</v>
      </c>
      <c r="E693" t="s">
        <v>5471</v>
      </c>
      <c r="F693" t="s">
        <v>7267</v>
      </c>
      <c r="G693" t="s">
        <v>7268</v>
      </c>
      <c r="H693" t="s">
        <v>5474</v>
      </c>
      <c r="I693" t="s">
        <v>7269</v>
      </c>
      <c r="J693" t="s">
        <v>5476</v>
      </c>
      <c r="K693" t="s">
        <v>5471</v>
      </c>
      <c r="L693" t="s">
        <v>5471</v>
      </c>
      <c r="M693" t="s">
        <v>5471</v>
      </c>
    </row>
    <row r="694" spans="1:13" x14ac:dyDescent="0.3">
      <c r="A694" t="s">
        <v>3388</v>
      </c>
      <c r="B694" t="s">
        <v>6509</v>
      </c>
      <c r="C694" t="s">
        <v>5470</v>
      </c>
      <c r="D694" t="s">
        <v>4119</v>
      </c>
      <c r="E694" t="s">
        <v>5471</v>
      </c>
      <c r="F694" t="s">
        <v>7270</v>
      </c>
      <c r="G694" t="s">
        <v>7271</v>
      </c>
      <c r="H694" t="s">
        <v>5474</v>
      </c>
      <c r="I694" t="s">
        <v>7272</v>
      </c>
      <c r="J694" t="s">
        <v>5476</v>
      </c>
      <c r="K694" t="s">
        <v>5471</v>
      </c>
      <c r="L694" t="s">
        <v>5471</v>
      </c>
      <c r="M694" t="s">
        <v>5471</v>
      </c>
    </row>
    <row r="695" spans="1:13" x14ac:dyDescent="0.3">
      <c r="A695" t="s">
        <v>3388</v>
      </c>
      <c r="B695" t="s">
        <v>6509</v>
      </c>
      <c r="C695" t="s">
        <v>5470</v>
      </c>
      <c r="D695" t="s">
        <v>4119</v>
      </c>
      <c r="E695" t="s">
        <v>5471</v>
      </c>
      <c r="F695" t="s">
        <v>7273</v>
      </c>
      <c r="G695" t="s">
        <v>7274</v>
      </c>
      <c r="H695" t="s">
        <v>5474</v>
      </c>
      <c r="I695" t="s">
        <v>7275</v>
      </c>
      <c r="J695" t="s">
        <v>5476</v>
      </c>
      <c r="K695" t="s">
        <v>5471</v>
      </c>
      <c r="L695" t="s">
        <v>5471</v>
      </c>
      <c r="M695" t="s">
        <v>5471</v>
      </c>
    </row>
    <row r="696" spans="1:13" x14ac:dyDescent="0.3">
      <c r="A696" t="s">
        <v>3388</v>
      </c>
      <c r="B696" t="s">
        <v>6509</v>
      </c>
      <c r="C696" t="s">
        <v>5470</v>
      </c>
      <c r="D696" t="s">
        <v>4119</v>
      </c>
      <c r="E696" t="s">
        <v>5471</v>
      </c>
      <c r="F696" t="s">
        <v>7276</v>
      </c>
      <c r="G696" t="s">
        <v>7277</v>
      </c>
      <c r="H696" t="s">
        <v>5474</v>
      </c>
      <c r="I696" t="s">
        <v>7278</v>
      </c>
      <c r="J696" t="s">
        <v>5476</v>
      </c>
      <c r="K696" t="s">
        <v>5471</v>
      </c>
      <c r="L696" t="s">
        <v>5471</v>
      </c>
      <c r="M696" t="s">
        <v>5471</v>
      </c>
    </row>
    <row r="697" spans="1:13" x14ac:dyDescent="0.3">
      <c r="A697" t="s">
        <v>3388</v>
      </c>
      <c r="B697" t="s">
        <v>6509</v>
      </c>
      <c r="C697" t="s">
        <v>5470</v>
      </c>
      <c r="D697" t="s">
        <v>4119</v>
      </c>
      <c r="E697" t="s">
        <v>5471</v>
      </c>
      <c r="F697" t="s">
        <v>7279</v>
      </c>
      <c r="G697" t="s">
        <v>7280</v>
      </c>
      <c r="H697" t="s">
        <v>5474</v>
      </c>
      <c r="I697" t="s">
        <v>7281</v>
      </c>
      <c r="J697" t="s">
        <v>5476</v>
      </c>
      <c r="K697" t="s">
        <v>5471</v>
      </c>
      <c r="L697" t="s">
        <v>5471</v>
      </c>
      <c r="M697" t="s">
        <v>5471</v>
      </c>
    </row>
    <row r="698" spans="1:13" x14ac:dyDescent="0.3">
      <c r="A698" t="s">
        <v>3388</v>
      </c>
      <c r="B698" t="s">
        <v>6509</v>
      </c>
      <c r="C698" t="s">
        <v>5470</v>
      </c>
      <c r="D698" t="s">
        <v>4119</v>
      </c>
      <c r="E698" t="s">
        <v>5471</v>
      </c>
      <c r="F698" t="s">
        <v>7282</v>
      </c>
      <c r="G698" t="s">
        <v>7283</v>
      </c>
      <c r="H698" t="s">
        <v>5474</v>
      </c>
      <c r="I698" t="s">
        <v>7284</v>
      </c>
      <c r="J698" t="s">
        <v>5476</v>
      </c>
      <c r="K698" t="s">
        <v>5471</v>
      </c>
      <c r="L698" t="s">
        <v>5471</v>
      </c>
      <c r="M698" t="s">
        <v>5471</v>
      </c>
    </row>
    <row r="699" spans="1:13" x14ac:dyDescent="0.3">
      <c r="A699" t="s">
        <v>3388</v>
      </c>
      <c r="B699" t="s">
        <v>7285</v>
      </c>
      <c r="C699" t="s">
        <v>5470</v>
      </c>
      <c r="D699" t="s">
        <v>4119</v>
      </c>
      <c r="E699" t="s">
        <v>5471</v>
      </c>
      <c r="F699" t="s">
        <v>7286</v>
      </c>
      <c r="G699" t="s">
        <v>7287</v>
      </c>
      <c r="H699" t="s">
        <v>5474</v>
      </c>
      <c r="I699" t="s">
        <v>7288</v>
      </c>
      <c r="J699" t="s">
        <v>5476</v>
      </c>
      <c r="K699" t="s">
        <v>5471</v>
      </c>
      <c r="L699" t="s">
        <v>5471</v>
      </c>
      <c r="M699" t="s">
        <v>5471</v>
      </c>
    </row>
    <row r="700" spans="1:13" x14ac:dyDescent="0.3">
      <c r="A700" t="s">
        <v>3388</v>
      </c>
      <c r="B700" t="s">
        <v>7285</v>
      </c>
      <c r="C700" t="s">
        <v>5470</v>
      </c>
      <c r="D700" t="s">
        <v>4119</v>
      </c>
      <c r="E700" t="s">
        <v>5471</v>
      </c>
      <c r="F700" t="s">
        <v>7289</v>
      </c>
      <c r="G700" t="s">
        <v>7290</v>
      </c>
      <c r="H700" t="s">
        <v>5474</v>
      </c>
      <c r="I700" t="s">
        <v>7291</v>
      </c>
      <c r="J700" t="s">
        <v>5476</v>
      </c>
      <c r="K700" t="s">
        <v>5471</v>
      </c>
      <c r="L700" t="s">
        <v>5471</v>
      </c>
      <c r="M700" t="s">
        <v>5471</v>
      </c>
    </row>
    <row r="701" spans="1:13" x14ac:dyDescent="0.3">
      <c r="A701" t="s">
        <v>3388</v>
      </c>
      <c r="B701" t="s">
        <v>7285</v>
      </c>
      <c r="C701" t="s">
        <v>5470</v>
      </c>
      <c r="D701" t="s">
        <v>4119</v>
      </c>
      <c r="E701" t="s">
        <v>5471</v>
      </c>
      <c r="F701" t="s">
        <v>7292</v>
      </c>
      <c r="G701" t="s">
        <v>7293</v>
      </c>
      <c r="H701" t="s">
        <v>5474</v>
      </c>
      <c r="I701" t="s">
        <v>7294</v>
      </c>
      <c r="J701" t="s">
        <v>5476</v>
      </c>
      <c r="K701" t="s">
        <v>5471</v>
      </c>
      <c r="L701" t="s">
        <v>5471</v>
      </c>
      <c r="M701" t="s">
        <v>5471</v>
      </c>
    </row>
    <row r="702" spans="1:13" x14ac:dyDescent="0.3">
      <c r="A702" t="s">
        <v>3388</v>
      </c>
      <c r="B702" t="s">
        <v>7285</v>
      </c>
      <c r="C702" t="s">
        <v>5470</v>
      </c>
      <c r="D702" t="s">
        <v>4119</v>
      </c>
      <c r="E702" t="s">
        <v>5471</v>
      </c>
      <c r="F702" t="s">
        <v>7295</v>
      </c>
      <c r="G702" t="s">
        <v>7296</v>
      </c>
      <c r="H702" t="s">
        <v>5474</v>
      </c>
      <c r="I702" t="s">
        <v>7297</v>
      </c>
      <c r="J702" t="s">
        <v>5476</v>
      </c>
      <c r="K702" t="s">
        <v>5471</v>
      </c>
      <c r="L702" t="s">
        <v>5471</v>
      </c>
      <c r="M702" t="s">
        <v>5471</v>
      </c>
    </row>
    <row r="703" spans="1:13" x14ac:dyDescent="0.3">
      <c r="A703" t="s">
        <v>3388</v>
      </c>
      <c r="B703" t="s">
        <v>6478</v>
      </c>
      <c r="C703" t="s">
        <v>5470</v>
      </c>
      <c r="D703" t="s">
        <v>4119</v>
      </c>
      <c r="E703" t="s">
        <v>5617</v>
      </c>
      <c r="F703" t="s">
        <v>7298</v>
      </c>
      <c r="G703" t="s">
        <v>7299</v>
      </c>
      <c r="H703" t="s">
        <v>5474</v>
      </c>
      <c r="I703" t="s">
        <v>7300</v>
      </c>
      <c r="J703" t="s">
        <v>5484</v>
      </c>
      <c r="K703" t="s">
        <v>5471</v>
      </c>
      <c r="L703" t="s">
        <v>5471</v>
      </c>
      <c r="M703" t="s">
        <v>5471</v>
      </c>
    </row>
    <row r="704" spans="1:13" x14ac:dyDescent="0.3">
      <c r="A704" t="s">
        <v>3388</v>
      </c>
      <c r="B704" t="s">
        <v>6478</v>
      </c>
      <c r="C704" t="s">
        <v>5470</v>
      </c>
      <c r="D704" t="s">
        <v>4119</v>
      </c>
      <c r="E704" t="s">
        <v>5617</v>
      </c>
      <c r="F704" t="s">
        <v>7301</v>
      </c>
      <c r="G704" t="s">
        <v>7302</v>
      </c>
      <c r="H704" t="s">
        <v>5474</v>
      </c>
      <c r="I704" t="s">
        <v>7303</v>
      </c>
      <c r="J704" t="s">
        <v>5484</v>
      </c>
      <c r="K704" t="s">
        <v>5471</v>
      </c>
      <c r="L704" t="s">
        <v>5471</v>
      </c>
      <c r="M704" t="s">
        <v>5471</v>
      </c>
    </row>
    <row r="705" spans="1:13" x14ac:dyDescent="0.3">
      <c r="A705" t="s">
        <v>3388</v>
      </c>
      <c r="B705" t="s">
        <v>6478</v>
      </c>
      <c r="C705" t="s">
        <v>5470</v>
      </c>
      <c r="D705" t="s">
        <v>4119</v>
      </c>
      <c r="E705" t="s">
        <v>5617</v>
      </c>
      <c r="F705" t="s">
        <v>7304</v>
      </c>
      <c r="G705" t="s">
        <v>7280</v>
      </c>
      <c r="H705" t="s">
        <v>5474</v>
      </c>
      <c r="I705" t="s">
        <v>7305</v>
      </c>
      <c r="J705" t="s">
        <v>5484</v>
      </c>
      <c r="K705" t="s">
        <v>5471</v>
      </c>
      <c r="L705" t="s">
        <v>5471</v>
      </c>
      <c r="M705" t="s">
        <v>5471</v>
      </c>
    </row>
    <row r="706" spans="1:13" x14ac:dyDescent="0.3">
      <c r="A706" t="s">
        <v>3388</v>
      </c>
      <c r="B706" t="s">
        <v>6478</v>
      </c>
      <c r="C706" t="s">
        <v>5470</v>
      </c>
      <c r="D706" t="s">
        <v>4119</v>
      </c>
      <c r="E706" t="s">
        <v>5617</v>
      </c>
      <c r="F706" t="s">
        <v>7306</v>
      </c>
      <c r="G706" t="s">
        <v>7307</v>
      </c>
      <c r="H706" t="s">
        <v>5474</v>
      </c>
      <c r="I706" t="s">
        <v>7308</v>
      </c>
      <c r="J706" t="s">
        <v>5484</v>
      </c>
      <c r="K706" t="s">
        <v>5471</v>
      </c>
      <c r="L706" t="s">
        <v>5471</v>
      </c>
      <c r="M706" t="s">
        <v>5471</v>
      </c>
    </row>
    <row r="707" spans="1:13" x14ac:dyDescent="0.3">
      <c r="A707" t="s">
        <v>3388</v>
      </c>
      <c r="B707" t="s">
        <v>7309</v>
      </c>
      <c r="C707" t="s">
        <v>5470</v>
      </c>
      <c r="D707" t="s">
        <v>4119</v>
      </c>
      <c r="E707" t="s">
        <v>5471</v>
      </c>
      <c r="F707" t="s">
        <v>7310</v>
      </c>
      <c r="G707" t="s">
        <v>7311</v>
      </c>
      <c r="H707" t="s">
        <v>5474</v>
      </c>
      <c r="I707" t="s">
        <v>7312</v>
      </c>
      <c r="J707" t="s">
        <v>5476</v>
      </c>
      <c r="K707" t="s">
        <v>5471</v>
      </c>
      <c r="L707" t="s">
        <v>5471</v>
      </c>
      <c r="M707" t="s">
        <v>5471</v>
      </c>
    </row>
    <row r="708" spans="1:13" x14ac:dyDescent="0.3">
      <c r="A708" t="s">
        <v>3388</v>
      </c>
      <c r="B708" t="s">
        <v>7309</v>
      </c>
      <c r="C708" t="s">
        <v>5470</v>
      </c>
      <c r="D708" t="s">
        <v>4119</v>
      </c>
      <c r="E708" t="s">
        <v>5471</v>
      </c>
      <c r="F708" t="s">
        <v>7313</v>
      </c>
      <c r="G708" t="s">
        <v>7314</v>
      </c>
      <c r="H708" t="s">
        <v>5474</v>
      </c>
      <c r="I708" t="s">
        <v>7315</v>
      </c>
      <c r="J708" t="s">
        <v>5476</v>
      </c>
      <c r="K708" t="s">
        <v>5471</v>
      </c>
      <c r="L708" t="s">
        <v>5471</v>
      </c>
      <c r="M708" t="s">
        <v>5471</v>
      </c>
    </row>
    <row r="709" spans="1:13" x14ac:dyDescent="0.3">
      <c r="A709" t="s">
        <v>3397</v>
      </c>
      <c r="B709" t="s">
        <v>7316</v>
      </c>
      <c r="C709" t="s">
        <v>5471</v>
      </c>
      <c r="D709" t="s">
        <v>4119</v>
      </c>
      <c r="E709" t="s">
        <v>5471</v>
      </c>
      <c r="F709" t="s">
        <v>7317</v>
      </c>
      <c r="G709" t="s">
        <v>7318</v>
      </c>
      <c r="H709" t="s">
        <v>5474</v>
      </c>
      <c r="I709" t="s">
        <v>7319</v>
      </c>
      <c r="J709" t="s">
        <v>5476</v>
      </c>
      <c r="K709" t="s">
        <v>5471</v>
      </c>
      <c r="L709" t="s">
        <v>5471</v>
      </c>
      <c r="M709" t="s">
        <v>5471</v>
      </c>
    </row>
    <row r="710" spans="1:13" x14ac:dyDescent="0.3">
      <c r="A710" t="s">
        <v>3397</v>
      </c>
      <c r="B710" t="s">
        <v>7316</v>
      </c>
      <c r="C710" t="s">
        <v>5471</v>
      </c>
      <c r="D710" t="s">
        <v>4119</v>
      </c>
      <c r="E710" t="s">
        <v>5471</v>
      </c>
      <c r="F710" t="s">
        <v>7320</v>
      </c>
      <c r="G710" t="s">
        <v>7321</v>
      </c>
      <c r="H710" t="s">
        <v>5474</v>
      </c>
      <c r="I710" t="s">
        <v>7322</v>
      </c>
      <c r="J710" t="s">
        <v>5476</v>
      </c>
      <c r="K710" t="s">
        <v>5471</v>
      </c>
      <c r="L710" t="s">
        <v>5471</v>
      </c>
      <c r="M710" t="s">
        <v>5471</v>
      </c>
    </row>
    <row r="711" spans="1:13" x14ac:dyDescent="0.3">
      <c r="A711" t="s">
        <v>3397</v>
      </c>
      <c r="B711" t="s">
        <v>7316</v>
      </c>
      <c r="C711" t="s">
        <v>5471</v>
      </c>
      <c r="D711" t="s">
        <v>4119</v>
      </c>
      <c r="E711" t="s">
        <v>5471</v>
      </c>
      <c r="F711" t="s">
        <v>7323</v>
      </c>
      <c r="G711" t="s">
        <v>7324</v>
      </c>
      <c r="H711" t="s">
        <v>5474</v>
      </c>
      <c r="I711" t="s">
        <v>7325</v>
      </c>
      <c r="J711" t="s">
        <v>5476</v>
      </c>
      <c r="K711" t="s">
        <v>5471</v>
      </c>
      <c r="L711" t="s">
        <v>5471</v>
      </c>
      <c r="M711" t="s">
        <v>5471</v>
      </c>
    </row>
    <row r="712" spans="1:13" x14ac:dyDescent="0.3">
      <c r="A712" t="s">
        <v>3397</v>
      </c>
      <c r="B712" t="s">
        <v>7326</v>
      </c>
      <c r="C712" t="s">
        <v>5471</v>
      </c>
      <c r="D712" t="s">
        <v>4119</v>
      </c>
      <c r="E712" t="s">
        <v>5471</v>
      </c>
      <c r="F712" t="s">
        <v>7327</v>
      </c>
      <c r="G712" t="s">
        <v>5471</v>
      </c>
      <c r="H712" t="s">
        <v>5474</v>
      </c>
      <c r="I712" t="s">
        <v>7328</v>
      </c>
      <c r="J712" t="s">
        <v>5476</v>
      </c>
      <c r="K712" t="s">
        <v>5471</v>
      </c>
      <c r="L712" t="s">
        <v>5471</v>
      </c>
      <c r="M712" t="s">
        <v>5471</v>
      </c>
    </row>
    <row r="713" spans="1:13" x14ac:dyDescent="0.3">
      <c r="A713" t="s">
        <v>3397</v>
      </c>
      <c r="B713" t="s">
        <v>7316</v>
      </c>
      <c r="C713" t="s">
        <v>5471</v>
      </c>
      <c r="D713" t="s">
        <v>4119</v>
      </c>
      <c r="E713" t="s">
        <v>5471</v>
      </c>
      <c r="F713" t="s">
        <v>7329</v>
      </c>
      <c r="G713" t="s">
        <v>7330</v>
      </c>
      <c r="H713" t="s">
        <v>5474</v>
      </c>
      <c r="I713" t="s">
        <v>7331</v>
      </c>
      <c r="J713" t="s">
        <v>5476</v>
      </c>
      <c r="K713" t="s">
        <v>5471</v>
      </c>
      <c r="L713" t="s">
        <v>5471</v>
      </c>
      <c r="M713" t="s">
        <v>5471</v>
      </c>
    </row>
    <row r="714" spans="1:13" x14ac:dyDescent="0.3">
      <c r="A714" t="s">
        <v>3397</v>
      </c>
      <c r="B714" t="s">
        <v>7316</v>
      </c>
      <c r="C714" t="s">
        <v>5471</v>
      </c>
      <c r="D714" t="s">
        <v>4119</v>
      </c>
      <c r="E714" t="s">
        <v>5471</v>
      </c>
      <c r="F714" t="s">
        <v>7332</v>
      </c>
      <c r="G714" t="s">
        <v>7333</v>
      </c>
      <c r="H714" t="s">
        <v>5474</v>
      </c>
      <c r="I714" t="s">
        <v>7334</v>
      </c>
      <c r="J714" t="s">
        <v>5476</v>
      </c>
      <c r="K714" t="s">
        <v>5471</v>
      </c>
      <c r="L714" t="s">
        <v>5471</v>
      </c>
      <c r="M714" t="s">
        <v>5471</v>
      </c>
    </row>
    <row r="715" spans="1:13" x14ac:dyDescent="0.3">
      <c r="A715" t="s">
        <v>3383</v>
      </c>
      <c r="B715" t="s">
        <v>5330</v>
      </c>
      <c r="C715" t="s">
        <v>5470</v>
      </c>
      <c r="D715" t="s">
        <v>4119</v>
      </c>
      <c r="E715" t="s">
        <v>5532</v>
      </c>
      <c r="F715" t="s">
        <v>7335</v>
      </c>
      <c r="G715" t="s">
        <v>6098</v>
      </c>
      <c r="H715" t="s">
        <v>5474</v>
      </c>
      <c r="I715" t="s">
        <v>7336</v>
      </c>
      <c r="J715" t="s">
        <v>5484</v>
      </c>
      <c r="K715" t="s">
        <v>5471</v>
      </c>
      <c r="L715" t="s">
        <v>5471</v>
      </c>
      <c r="M715" t="s">
        <v>5471</v>
      </c>
    </row>
    <row r="716" spans="1:13" x14ac:dyDescent="0.3">
      <c r="A716" t="s">
        <v>3397</v>
      </c>
      <c r="B716" t="s">
        <v>7337</v>
      </c>
      <c r="C716" t="s">
        <v>5471</v>
      </c>
      <c r="D716" t="s">
        <v>4119</v>
      </c>
      <c r="E716" t="s">
        <v>5471</v>
      </c>
      <c r="F716" t="s">
        <v>7338</v>
      </c>
      <c r="G716" t="s">
        <v>5471</v>
      </c>
      <c r="H716" t="s">
        <v>5474</v>
      </c>
      <c r="I716" t="s">
        <v>7339</v>
      </c>
      <c r="J716" t="s">
        <v>5476</v>
      </c>
      <c r="K716" t="s">
        <v>5471</v>
      </c>
      <c r="L716" t="s">
        <v>5471</v>
      </c>
      <c r="M716" t="s">
        <v>5471</v>
      </c>
    </row>
    <row r="717" spans="1:13" x14ac:dyDescent="0.3">
      <c r="A717" t="s">
        <v>3397</v>
      </c>
      <c r="B717" t="s">
        <v>5766</v>
      </c>
      <c r="C717" t="s">
        <v>5487</v>
      </c>
      <c r="D717" t="s">
        <v>4119</v>
      </c>
      <c r="E717" t="s">
        <v>5756</v>
      </c>
      <c r="F717" t="s">
        <v>7340</v>
      </c>
      <c r="G717" t="s">
        <v>5482</v>
      </c>
      <c r="H717" t="s">
        <v>5474</v>
      </c>
      <c r="I717" t="s">
        <v>7341</v>
      </c>
      <c r="J717" t="s">
        <v>5476</v>
      </c>
      <c r="K717" t="s">
        <v>5471</v>
      </c>
      <c r="L717" t="s">
        <v>5471</v>
      </c>
      <c r="M717" t="s">
        <v>5471</v>
      </c>
    </row>
    <row r="718" spans="1:13" x14ac:dyDescent="0.3">
      <c r="A718" t="s">
        <v>3397</v>
      </c>
      <c r="B718" t="s">
        <v>7316</v>
      </c>
      <c r="C718" t="s">
        <v>5471</v>
      </c>
      <c r="D718" t="s">
        <v>4119</v>
      </c>
      <c r="E718" t="s">
        <v>5471</v>
      </c>
      <c r="F718" t="s">
        <v>7342</v>
      </c>
      <c r="G718" t="s">
        <v>7343</v>
      </c>
      <c r="H718" t="s">
        <v>5474</v>
      </c>
      <c r="I718" t="s">
        <v>7344</v>
      </c>
      <c r="J718" t="s">
        <v>5476</v>
      </c>
      <c r="K718" t="s">
        <v>5471</v>
      </c>
      <c r="L718" t="s">
        <v>5471</v>
      </c>
      <c r="M718" t="s">
        <v>5471</v>
      </c>
    </row>
    <row r="719" spans="1:13" x14ac:dyDescent="0.3">
      <c r="A719" t="s">
        <v>4013</v>
      </c>
      <c r="B719" t="s">
        <v>6331</v>
      </c>
      <c r="C719" t="s">
        <v>5487</v>
      </c>
      <c r="D719" t="s">
        <v>4119</v>
      </c>
      <c r="E719" t="s">
        <v>6332</v>
      </c>
      <c r="F719" t="s">
        <v>7345</v>
      </c>
      <c r="G719" t="s">
        <v>1032</v>
      </c>
      <c r="H719" t="s">
        <v>5474</v>
      </c>
      <c r="I719" t="s">
        <v>7346</v>
      </c>
      <c r="J719" t="s">
        <v>5476</v>
      </c>
      <c r="K719" t="s">
        <v>5471</v>
      </c>
      <c r="L719" t="s">
        <v>5471</v>
      </c>
      <c r="M719" t="s">
        <v>5471</v>
      </c>
    </row>
    <row r="720" spans="1:13" x14ac:dyDescent="0.3">
      <c r="A720" t="s">
        <v>3388</v>
      </c>
      <c r="B720" t="s">
        <v>7109</v>
      </c>
      <c r="C720" t="s">
        <v>5470</v>
      </c>
      <c r="D720" t="s">
        <v>4119</v>
      </c>
      <c r="E720" t="s">
        <v>5532</v>
      </c>
      <c r="F720" t="s">
        <v>7347</v>
      </c>
      <c r="G720" t="s">
        <v>7348</v>
      </c>
      <c r="H720" t="s">
        <v>5474</v>
      </c>
      <c r="I720" t="s">
        <v>7349</v>
      </c>
      <c r="J720" t="s">
        <v>5484</v>
      </c>
      <c r="K720" t="s">
        <v>5471</v>
      </c>
      <c r="L720" t="s">
        <v>5471</v>
      </c>
      <c r="M720" t="s">
        <v>5471</v>
      </c>
    </row>
    <row r="721" spans="1:13" x14ac:dyDescent="0.3">
      <c r="A721" t="s">
        <v>3388</v>
      </c>
      <c r="B721" t="s">
        <v>7350</v>
      </c>
      <c r="C721" t="s">
        <v>5470</v>
      </c>
      <c r="D721" t="s">
        <v>4119</v>
      </c>
      <c r="E721" t="s">
        <v>5471</v>
      </c>
      <c r="F721" t="s">
        <v>7351</v>
      </c>
      <c r="G721" t="s">
        <v>7352</v>
      </c>
      <c r="H721" t="s">
        <v>5474</v>
      </c>
      <c r="I721" t="s">
        <v>7353</v>
      </c>
      <c r="J721" t="s">
        <v>5476</v>
      </c>
      <c r="K721" t="s">
        <v>5471</v>
      </c>
      <c r="L721" t="s">
        <v>5471</v>
      </c>
      <c r="M721" t="s">
        <v>5471</v>
      </c>
    </row>
    <row r="722" spans="1:13" x14ac:dyDescent="0.3">
      <c r="A722" t="s">
        <v>3397</v>
      </c>
      <c r="B722" t="s">
        <v>5594</v>
      </c>
      <c r="C722" t="s">
        <v>5487</v>
      </c>
      <c r="D722" t="s">
        <v>4119</v>
      </c>
      <c r="E722" t="s">
        <v>5595</v>
      </c>
      <c r="F722" t="s">
        <v>7354</v>
      </c>
      <c r="G722" t="s">
        <v>7355</v>
      </c>
      <c r="H722" t="s">
        <v>5474</v>
      </c>
      <c r="I722" t="s">
        <v>7356</v>
      </c>
      <c r="J722" t="s">
        <v>5476</v>
      </c>
      <c r="K722" t="s">
        <v>5471</v>
      </c>
      <c r="L722" t="s">
        <v>5471</v>
      </c>
      <c r="M722" t="s">
        <v>5471</v>
      </c>
    </row>
    <row r="723" spans="1:13" x14ac:dyDescent="0.3">
      <c r="A723" t="s">
        <v>3397</v>
      </c>
      <c r="B723" t="s">
        <v>5594</v>
      </c>
      <c r="C723" t="s">
        <v>5487</v>
      </c>
      <c r="D723" t="s">
        <v>4119</v>
      </c>
      <c r="E723" t="s">
        <v>5595</v>
      </c>
      <c r="F723" t="s">
        <v>7357</v>
      </c>
      <c r="G723" t="s">
        <v>7355</v>
      </c>
      <c r="H723" t="s">
        <v>5474</v>
      </c>
      <c r="I723" t="s">
        <v>7358</v>
      </c>
      <c r="J723" t="s">
        <v>5476</v>
      </c>
      <c r="K723" t="s">
        <v>5471</v>
      </c>
      <c r="L723" t="s">
        <v>5471</v>
      </c>
      <c r="M723" t="s">
        <v>5471</v>
      </c>
    </row>
    <row r="724" spans="1:13" x14ac:dyDescent="0.3">
      <c r="A724" t="s">
        <v>3397</v>
      </c>
      <c r="B724" t="s">
        <v>5594</v>
      </c>
      <c r="C724" t="s">
        <v>5487</v>
      </c>
      <c r="D724" t="s">
        <v>4119</v>
      </c>
      <c r="E724" t="s">
        <v>5595</v>
      </c>
      <c r="F724" t="s">
        <v>7359</v>
      </c>
      <c r="G724" t="s">
        <v>7360</v>
      </c>
      <c r="H724" t="s">
        <v>5474</v>
      </c>
      <c r="I724" t="s">
        <v>7361</v>
      </c>
      <c r="J724" t="s">
        <v>5476</v>
      </c>
      <c r="K724" t="s">
        <v>5471</v>
      </c>
      <c r="L724" t="s">
        <v>5471</v>
      </c>
      <c r="M724" t="s">
        <v>5471</v>
      </c>
    </row>
    <row r="725" spans="1:13" x14ac:dyDescent="0.3">
      <c r="A725" t="s">
        <v>3397</v>
      </c>
      <c r="B725" t="s">
        <v>7362</v>
      </c>
      <c r="C725" t="s">
        <v>5487</v>
      </c>
      <c r="D725" t="s">
        <v>4119</v>
      </c>
      <c r="E725" t="s">
        <v>5756</v>
      </c>
      <c r="F725" t="s">
        <v>7363</v>
      </c>
      <c r="G725" t="s">
        <v>7364</v>
      </c>
      <c r="H725" t="s">
        <v>5474</v>
      </c>
      <c r="I725" t="s">
        <v>7365</v>
      </c>
      <c r="J725" t="s">
        <v>5476</v>
      </c>
      <c r="K725" t="s">
        <v>5471</v>
      </c>
      <c r="L725" t="s">
        <v>5471</v>
      </c>
      <c r="M725" t="s">
        <v>5471</v>
      </c>
    </row>
    <row r="726" spans="1:13" x14ac:dyDescent="0.3">
      <c r="A726" t="s">
        <v>3397</v>
      </c>
      <c r="B726" t="s">
        <v>7362</v>
      </c>
      <c r="C726" t="s">
        <v>5487</v>
      </c>
      <c r="D726" t="s">
        <v>4119</v>
      </c>
      <c r="E726" t="s">
        <v>5756</v>
      </c>
      <c r="F726" t="s">
        <v>7366</v>
      </c>
      <c r="G726" t="s">
        <v>7364</v>
      </c>
      <c r="H726" t="s">
        <v>5474</v>
      </c>
      <c r="I726" t="s">
        <v>7367</v>
      </c>
      <c r="J726" t="s">
        <v>5476</v>
      </c>
      <c r="K726" t="s">
        <v>5471</v>
      </c>
      <c r="L726" t="s">
        <v>5471</v>
      </c>
      <c r="M726" t="s">
        <v>5471</v>
      </c>
    </row>
    <row r="727" spans="1:13" x14ac:dyDescent="0.3">
      <c r="A727" t="s">
        <v>3397</v>
      </c>
      <c r="B727" t="s">
        <v>7362</v>
      </c>
      <c r="C727" t="s">
        <v>5487</v>
      </c>
      <c r="D727" t="s">
        <v>4119</v>
      </c>
      <c r="E727" t="s">
        <v>5756</v>
      </c>
      <c r="F727" t="s">
        <v>7368</v>
      </c>
      <c r="G727" t="s">
        <v>7369</v>
      </c>
      <c r="H727" t="s">
        <v>5474</v>
      </c>
      <c r="I727" t="s">
        <v>7370</v>
      </c>
      <c r="J727" t="s">
        <v>5476</v>
      </c>
      <c r="K727" t="s">
        <v>5471</v>
      </c>
      <c r="L727" t="s">
        <v>5471</v>
      </c>
      <c r="M727" t="s">
        <v>5471</v>
      </c>
    </row>
    <row r="728" spans="1:13" x14ac:dyDescent="0.3">
      <c r="A728" t="s">
        <v>3397</v>
      </c>
      <c r="B728" t="s">
        <v>7362</v>
      </c>
      <c r="C728" t="s">
        <v>5487</v>
      </c>
      <c r="D728" t="s">
        <v>4119</v>
      </c>
      <c r="E728" t="s">
        <v>5756</v>
      </c>
      <c r="F728" t="s">
        <v>7371</v>
      </c>
      <c r="G728" t="s">
        <v>7369</v>
      </c>
      <c r="H728" t="s">
        <v>5474</v>
      </c>
      <c r="I728" t="s">
        <v>7372</v>
      </c>
      <c r="J728" t="s">
        <v>5476</v>
      </c>
      <c r="K728" t="s">
        <v>5471</v>
      </c>
      <c r="L728" t="s">
        <v>5471</v>
      </c>
      <c r="M728" t="s">
        <v>5471</v>
      </c>
    </row>
    <row r="729" spans="1:13" x14ac:dyDescent="0.3">
      <c r="A729" t="s">
        <v>3397</v>
      </c>
      <c r="B729" t="s">
        <v>7362</v>
      </c>
      <c r="C729" t="s">
        <v>5487</v>
      </c>
      <c r="D729" t="s">
        <v>4119</v>
      </c>
      <c r="E729" t="s">
        <v>5756</v>
      </c>
      <c r="F729" t="s">
        <v>7373</v>
      </c>
      <c r="G729" t="s">
        <v>7364</v>
      </c>
      <c r="H729" t="s">
        <v>5474</v>
      </c>
      <c r="I729" t="s">
        <v>7374</v>
      </c>
      <c r="J729" t="s">
        <v>5476</v>
      </c>
      <c r="K729" t="s">
        <v>5471</v>
      </c>
      <c r="L729" t="s">
        <v>5471</v>
      </c>
      <c r="M729" t="s">
        <v>5471</v>
      </c>
    </row>
    <row r="730" spans="1:13" x14ac:dyDescent="0.3">
      <c r="A730" t="s">
        <v>3397</v>
      </c>
      <c r="B730" t="s">
        <v>7362</v>
      </c>
      <c r="C730" t="s">
        <v>5487</v>
      </c>
      <c r="D730" t="s">
        <v>4119</v>
      </c>
      <c r="E730" t="s">
        <v>5756</v>
      </c>
      <c r="F730" t="s">
        <v>7375</v>
      </c>
      <c r="G730" t="s">
        <v>7369</v>
      </c>
      <c r="H730" t="s">
        <v>5474</v>
      </c>
      <c r="I730" t="s">
        <v>7376</v>
      </c>
      <c r="J730" t="s">
        <v>5476</v>
      </c>
      <c r="K730" t="s">
        <v>5471</v>
      </c>
      <c r="L730" t="s">
        <v>5471</v>
      </c>
      <c r="M730" t="s">
        <v>5471</v>
      </c>
    </row>
    <row r="731" spans="1:13" x14ac:dyDescent="0.3">
      <c r="A731" t="s">
        <v>3397</v>
      </c>
      <c r="B731" t="s">
        <v>5740</v>
      </c>
      <c r="C731" t="s">
        <v>5487</v>
      </c>
      <c r="D731" t="s">
        <v>4119</v>
      </c>
      <c r="E731" t="s">
        <v>5471</v>
      </c>
      <c r="F731" t="s">
        <v>7377</v>
      </c>
      <c r="G731" t="s">
        <v>6954</v>
      </c>
      <c r="H731" t="s">
        <v>5474</v>
      </c>
      <c r="I731" t="s">
        <v>7378</v>
      </c>
      <c r="J731" t="s">
        <v>5476</v>
      </c>
      <c r="K731" t="s">
        <v>5471</v>
      </c>
      <c r="L731" t="s">
        <v>5471</v>
      </c>
      <c r="M731" t="s">
        <v>5471</v>
      </c>
    </row>
    <row r="732" spans="1:13" x14ac:dyDescent="0.3">
      <c r="A732" t="s">
        <v>3397</v>
      </c>
      <c r="B732" t="s">
        <v>5740</v>
      </c>
      <c r="C732" t="s">
        <v>5487</v>
      </c>
      <c r="D732" t="s">
        <v>4119</v>
      </c>
      <c r="E732" t="s">
        <v>5471</v>
      </c>
      <c r="F732" t="s">
        <v>7379</v>
      </c>
      <c r="G732" t="s">
        <v>6954</v>
      </c>
      <c r="H732" t="s">
        <v>5474</v>
      </c>
      <c r="I732" t="s">
        <v>7380</v>
      </c>
      <c r="J732" t="s">
        <v>5476</v>
      </c>
      <c r="K732" t="s">
        <v>5471</v>
      </c>
      <c r="L732" t="s">
        <v>5471</v>
      </c>
      <c r="M732" t="s">
        <v>5471</v>
      </c>
    </row>
    <row r="733" spans="1:13" x14ac:dyDescent="0.3">
      <c r="A733" t="s">
        <v>3397</v>
      </c>
      <c r="B733" t="s">
        <v>5740</v>
      </c>
      <c r="C733" t="s">
        <v>5487</v>
      </c>
      <c r="D733" t="s">
        <v>4119</v>
      </c>
      <c r="E733" t="s">
        <v>5471</v>
      </c>
      <c r="F733" t="s">
        <v>7381</v>
      </c>
      <c r="G733" t="s">
        <v>6954</v>
      </c>
      <c r="H733" t="s">
        <v>5474</v>
      </c>
      <c r="I733" t="s">
        <v>7382</v>
      </c>
      <c r="J733" t="s">
        <v>5476</v>
      </c>
      <c r="K733" t="s">
        <v>5471</v>
      </c>
      <c r="L733" t="s">
        <v>5471</v>
      </c>
      <c r="M733" t="s">
        <v>5471</v>
      </c>
    </row>
    <row r="734" spans="1:13" x14ac:dyDescent="0.3">
      <c r="A734" t="s">
        <v>3397</v>
      </c>
      <c r="B734" t="s">
        <v>5740</v>
      </c>
      <c r="C734" t="s">
        <v>5487</v>
      </c>
      <c r="D734" t="s">
        <v>4119</v>
      </c>
      <c r="E734" t="s">
        <v>5471</v>
      </c>
      <c r="F734" t="s">
        <v>7383</v>
      </c>
      <c r="G734" t="s">
        <v>6951</v>
      </c>
      <c r="H734" t="s">
        <v>5474</v>
      </c>
      <c r="I734" t="s">
        <v>7384</v>
      </c>
      <c r="J734" t="s">
        <v>5476</v>
      </c>
      <c r="K734" t="s">
        <v>5471</v>
      </c>
      <c r="L734" t="s">
        <v>5471</v>
      </c>
      <c r="M734" t="s">
        <v>5471</v>
      </c>
    </row>
    <row r="735" spans="1:13" x14ac:dyDescent="0.3">
      <c r="A735" t="s">
        <v>3397</v>
      </c>
      <c r="B735" t="s">
        <v>5740</v>
      </c>
      <c r="C735" t="s">
        <v>5487</v>
      </c>
      <c r="D735" t="s">
        <v>4119</v>
      </c>
      <c r="E735" t="s">
        <v>5471</v>
      </c>
      <c r="F735" t="s">
        <v>7385</v>
      </c>
      <c r="G735" t="s">
        <v>6951</v>
      </c>
      <c r="H735" t="s">
        <v>5474</v>
      </c>
      <c r="I735" t="s">
        <v>7386</v>
      </c>
      <c r="J735" t="s">
        <v>5476</v>
      </c>
      <c r="K735" t="s">
        <v>5471</v>
      </c>
      <c r="L735" t="s">
        <v>5471</v>
      </c>
      <c r="M735" t="s">
        <v>5471</v>
      </c>
    </row>
    <row r="736" spans="1:13" x14ac:dyDescent="0.3">
      <c r="A736" t="s">
        <v>3397</v>
      </c>
      <c r="B736" t="s">
        <v>5740</v>
      </c>
      <c r="C736" t="s">
        <v>5487</v>
      </c>
      <c r="D736" t="s">
        <v>4119</v>
      </c>
      <c r="E736" t="s">
        <v>5471</v>
      </c>
      <c r="F736" t="s">
        <v>7387</v>
      </c>
      <c r="G736" t="s">
        <v>6951</v>
      </c>
      <c r="H736" t="s">
        <v>5474</v>
      </c>
      <c r="I736" t="s">
        <v>7388</v>
      </c>
      <c r="J736" t="s">
        <v>5476</v>
      </c>
      <c r="K736" t="s">
        <v>5471</v>
      </c>
      <c r="L736" t="s">
        <v>5471</v>
      </c>
      <c r="M736" t="s">
        <v>5471</v>
      </c>
    </row>
    <row r="737" spans="1:13" x14ac:dyDescent="0.3">
      <c r="A737" t="s">
        <v>3397</v>
      </c>
      <c r="B737" t="s">
        <v>5740</v>
      </c>
      <c r="C737" t="s">
        <v>5487</v>
      </c>
      <c r="D737" t="s">
        <v>4119</v>
      </c>
      <c r="E737" t="s">
        <v>5471</v>
      </c>
      <c r="F737" t="s">
        <v>7389</v>
      </c>
      <c r="G737" t="s">
        <v>6951</v>
      </c>
      <c r="H737" t="s">
        <v>5474</v>
      </c>
      <c r="I737" t="s">
        <v>7390</v>
      </c>
      <c r="J737" t="s">
        <v>5476</v>
      </c>
      <c r="K737" t="s">
        <v>5471</v>
      </c>
      <c r="L737" t="s">
        <v>5471</v>
      </c>
      <c r="M737" t="s">
        <v>5471</v>
      </c>
    </row>
    <row r="738" spans="1:13" x14ac:dyDescent="0.3">
      <c r="A738" t="s">
        <v>3397</v>
      </c>
      <c r="B738" t="s">
        <v>7391</v>
      </c>
      <c r="C738" t="s">
        <v>5487</v>
      </c>
      <c r="D738" t="s">
        <v>4119</v>
      </c>
      <c r="E738" t="s">
        <v>5756</v>
      </c>
      <c r="F738" t="s">
        <v>7392</v>
      </c>
      <c r="G738" t="s">
        <v>7393</v>
      </c>
      <c r="H738" t="s">
        <v>5474</v>
      </c>
      <c r="I738" t="s">
        <v>7394</v>
      </c>
      <c r="J738" t="s">
        <v>5476</v>
      </c>
      <c r="K738" t="s">
        <v>5471</v>
      </c>
      <c r="L738" t="s">
        <v>5471</v>
      </c>
      <c r="M738" t="s">
        <v>5471</v>
      </c>
    </row>
    <row r="739" spans="1:13" x14ac:dyDescent="0.3">
      <c r="A739" t="s">
        <v>3397</v>
      </c>
      <c r="B739" t="s">
        <v>7391</v>
      </c>
      <c r="C739" t="s">
        <v>5487</v>
      </c>
      <c r="D739" t="s">
        <v>4119</v>
      </c>
      <c r="E739" t="s">
        <v>5756</v>
      </c>
      <c r="F739" t="s">
        <v>7395</v>
      </c>
      <c r="G739" t="s">
        <v>7393</v>
      </c>
      <c r="H739" t="s">
        <v>5474</v>
      </c>
      <c r="I739" t="s">
        <v>7396</v>
      </c>
      <c r="J739" t="s">
        <v>5476</v>
      </c>
      <c r="K739" t="s">
        <v>5471</v>
      </c>
      <c r="L739" t="s">
        <v>5471</v>
      </c>
      <c r="M739" t="s">
        <v>5471</v>
      </c>
    </row>
    <row r="740" spans="1:13" x14ac:dyDescent="0.3">
      <c r="A740" t="s">
        <v>3397</v>
      </c>
      <c r="B740" t="s">
        <v>7397</v>
      </c>
      <c r="C740" t="s">
        <v>5487</v>
      </c>
      <c r="D740" t="s">
        <v>4119</v>
      </c>
      <c r="E740" t="s">
        <v>5471</v>
      </c>
      <c r="F740" t="s">
        <v>7398</v>
      </c>
      <c r="G740" t="s">
        <v>7399</v>
      </c>
      <c r="H740" t="s">
        <v>5474</v>
      </c>
      <c r="I740" t="s">
        <v>7400</v>
      </c>
      <c r="J740" t="s">
        <v>5476</v>
      </c>
      <c r="K740" t="s">
        <v>5471</v>
      </c>
      <c r="L740" t="s">
        <v>5471</v>
      </c>
      <c r="M740" t="s">
        <v>5471</v>
      </c>
    </row>
    <row r="741" spans="1:13" x14ac:dyDescent="0.3">
      <c r="A741" t="s">
        <v>3397</v>
      </c>
      <c r="B741" t="s">
        <v>7391</v>
      </c>
      <c r="C741" t="s">
        <v>5487</v>
      </c>
      <c r="D741" t="s">
        <v>4119</v>
      </c>
      <c r="E741" t="s">
        <v>5756</v>
      </c>
      <c r="F741" t="s">
        <v>7401</v>
      </c>
      <c r="G741" t="s">
        <v>7393</v>
      </c>
      <c r="H741" t="s">
        <v>5474</v>
      </c>
      <c r="I741" t="s">
        <v>7402</v>
      </c>
      <c r="J741" t="s">
        <v>5476</v>
      </c>
      <c r="K741" t="s">
        <v>5471</v>
      </c>
      <c r="L741" t="s">
        <v>5471</v>
      </c>
      <c r="M741" t="s">
        <v>5471</v>
      </c>
    </row>
    <row r="742" spans="1:13" x14ac:dyDescent="0.3">
      <c r="A742" t="s">
        <v>3397</v>
      </c>
      <c r="B742" t="s">
        <v>7397</v>
      </c>
      <c r="C742" t="s">
        <v>5487</v>
      </c>
      <c r="D742" t="s">
        <v>4119</v>
      </c>
      <c r="E742" t="s">
        <v>5471</v>
      </c>
      <c r="F742" t="s">
        <v>7403</v>
      </c>
      <c r="G742" t="s">
        <v>7399</v>
      </c>
      <c r="H742" t="s">
        <v>5474</v>
      </c>
      <c r="I742" t="s">
        <v>7404</v>
      </c>
      <c r="J742" t="s">
        <v>5476</v>
      </c>
      <c r="K742" t="s">
        <v>5471</v>
      </c>
      <c r="L742" t="s">
        <v>5471</v>
      </c>
      <c r="M742" t="s">
        <v>5471</v>
      </c>
    </row>
    <row r="743" spans="1:13" x14ac:dyDescent="0.3">
      <c r="A743" t="s">
        <v>3397</v>
      </c>
      <c r="B743" t="s">
        <v>7397</v>
      </c>
      <c r="C743" t="s">
        <v>5487</v>
      </c>
      <c r="D743" t="s">
        <v>4119</v>
      </c>
      <c r="E743" t="s">
        <v>5471</v>
      </c>
      <c r="F743" t="s">
        <v>7405</v>
      </c>
      <c r="G743" t="s">
        <v>7399</v>
      </c>
      <c r="H743" t="s">
        <v>5474</v>
      </c>
      <c r="I743" t="s">
        <v>7406</v>
      </c>
      <c r="J743" t="s">
        <v>5476</v>
      </c>
      <c r="K743" t="s">
        <v>5471</v>
      </c>
      <c r="L743" t="s">
        <v>5471</v>
      </c>
      <c r="M743" t="s">
        <v>5471</v>
      </c>
    </row>
    <row r="744" spans="1:13" x14ac:dyDescent="0.3">
      <c r="A744" t="s">
        <v>3397</v>
      </c>
      <c r="B744" t="s">
        <v>7391</v>
      </c>
      <c r="C744" t="s">
        <v>5487</v>
      </c>
      <c r="D744" t="s">
        <v>4119</v>
      </c>
      <c r="E744" t="s">
        <v>5756</v>
      </c>
      <c r="F744" t="s">
        <v>7407</v>
      </c>
      <c r="G744" t="s">
        <v>7408</v>
      </c>
      <c r="H744" t="s">
        <v>5474</v>
      </c>
      <c r="I744" t="s">
        <v>7409</v>
      </c>
      <c r="J744" t="s">
        <v>5476</v>
      </c>
      <c r="K744" t="s">
        <v>5471</v>
      </c>
      <c r="L744" t="s">
        <v>5471</v>
      </c>
      <c r="M744" t="s">
        <v>5471</v>
      </c>
    </row>
    <row r="745" spans="1:13" x14ac:dyDescent="0.3">
      <c r="A745" t="s">
        <v>3397</v>
      </c>
      <c r="B745" t="s">
        <v>7391</v>
      </c>
      <c r="C745" t="s">
        <v>5487</v>
      </c>
      <c r="D745" t="s">
        <v>4119</v>
      </c>
      <c r="E745" t="s">
        <v>5756</v>
      </c>
      <c r="F745" t="s">
        <v>7410</v>
      </c>
      <c r="G745" t="s">
        <v>7411</v>
      </c>
      <c r="H745" t="s">
        <v>5474</v>
      </c>
      <c r="I745" t="s">
        <v>7412</v>
      </c>
      <c r="J745" t="s">
        <v>5476</v>
      </c>
      <c r="K745" t="s">
        <v>5471</v>
      </c>
      <c r="L745" t="s">
        <v>5471</v>
      </c>
      <c r="M745" t="s">
        <v>5471</v>
      </c>
    </row>
    <row r="746" spans="1:13" x14ac:dyDescent="0.3">
      <c r="A746" t="s">
        <v>3397</v>
      </c>
      <c r="B746" t="s">
        <v>7391</v>
      </c>
      <c r="C746" t="s">
        <v>5487</v>
      </c>
      <c r="D746" t="s">
        <v>4119</v>
      </c>
      <c r="E746" t="s">
        <v>5756</v>
      </c>
      <c r="F746" t="s">
        <v>7413</v>
      </c>
      <c r="G746" t="s">
        <v>7411</v>
      </c>
      <c r="H746" t="s">
        <v>5474</v>
      </c>
      <c r="I746" t="s">
        <v>7414</v>
      </c>
      <c r="J746" t="s">
        <v>5476</v>
      </c>
      <c r="K746" t="s">
        <v>5471</v>
      </c>
      <c r="L746" t="s">
        <v>5471</v>
      </c>
      <c r="M746" t="s">
        <v>5471</v>
      </c>
    </row>
    <row r="747" spans="1:13" x14ac:dyDescent="0.3">
      <c r="A747" t="s">
        <v>3397</v>
      </c>
      <c r="B747" t="s">
        <v>7391</v>
      </c>
      <c r="C747" t="s">
        <v>5487</v>
      </c>
      <c r="D747" t="s">
        <v>4119</v>
      </c>
      <c r="E747" t="s">
        <v>5756</v>
      </c>
      <c r="F747" t="s">
        <v>7415</v>
      </c>
      <c r="G747" t="s">
        <v>7411</v>
      </c>
      <c r="H747" t="s">
        <v>5474</v>
      </c>
      <c r="I747" t="s">
        <v>7416</v>
      </c>
      <c r="J747" t="s">
        <v>5476</v>
      </c>
      <c r="K747" t="s">
        <v>5471</v>
      </c>
      <c r="L747" t="s">
        <v>5471</v>
      </c>
      <c r="M747" t="s">
        <v>5471</v>
      </c>
    </row>
    <row r="748" spans="1:13" x14ac:dyDescent="0.3">
      <c r="A748" t="s">
        <v>3397</v>
      </c>
      <c r="B748" t="s">
        <v>5269</v>
      </c>
      <c r="C748" t="s">
        <v>5487</v>
      </c>
      <c r="D748" t="s">
        <v>4119</v>
      </c>
      <c r="E748" t="s">
        <v>5756</v>
      </c>
      <c r="F748" t="s">
        <v>7417</v>
      </c>
      <c r="G748" t="s">
        <v>7418</v>
      </c>
      <c r="H748" t="s">
        <v>5474</v>
      </c>
      <c r="I748" t="s">
        <v>7419</v>
      </c>
      <c r="J748" t="s">
        <v>5476</v>
      </c>
      <c r="K748" t="s">
        <v>5471</v>
      </c>
      <c r="L748" t="s">
        <v>5471</v>
      </c>
      <c r="M748" t="s">
        <v>5471</v>
      </c>
    </row>
    <row r="749" spans="1:13" x14ac:dyDescent="0.3">
      <c r="A749" t="s">
        <v>3397</v>
      </c>
      <c r="B749" t="s">
        <v>5269</v>
      </c>
      <c r="C749" t="s">
        <v>5487</v>
      </c>
      <c r="D749" t="s">
        <v>4119</v>
      </c>
      <c r="E749" t="s">
        <v>5756</v>
      </c>
      <c r="F749" t="s">
        <v>7420</v>
      </c>
      <c r="G749" t="s">
        <v>7418</v>
      </c>
      <c r="H749" t="s">
        <v>5474</v>
      </c>
      <c r="I749" t="s">
        <v>7421</v>
      </c>
      <c r="J749" t="s">
        <v>5476</v>
      </c>
      <c r="K749" t="s">
        <v>5471</v>
      </c>
      <c r="L749" t="s">
        <v>5471</v>
      </c>
      <c r="M749" t="s">
        <v>5471</v>
      </c>
    </row>
    <row r="750" spans="1:13" x14ac:dyDescent="0.3">
      <c r="A750" t="s">
        <v>3397</v>
      </c>
      <c r="B750" t="s">
        <v>5269</v>
      </c>
      <c r="C750" t="s">
        <v>5487</v>
      </c>
      <c r="D750" t="s">
        <v>4119</v>
      </c>
      <c r="E750" t="s">
        <v>5756</v>
      </c>
      <c r="F750" t="s">
        <v>7422</v>
      </c>
      <c r="G750" t="s">
        <v>7418</v>
      </c>
      <c r="H750" t="s">
        <v>5474</v>
      </c>
      <c r="I750" t="s">
        <v>7423</v>
      </c>
      <c r="J750" t="s">
        <v>5476</v>
      </c>
      <c r="K750" t="s">
        <v>5471</v>
      </c>
      <c r="L750" t="s">
        <v>5471</v>
      </c>
      <c r="M750" t="s">
        <v>5471</v>
      </c>
    </row>
    <row r="751" spans="1:13" x14ac:dyDescent="0.3">
      <c r="A751" t="s">
        <v>3397</v>
      </c>
      <c r="B751" t="s">
        <v>7424</v>
      </c>
      <c r="C751" t="s">
        <v>5487</v>
      </c>
      <c r="D751" t="s">
        <v>4119</v>
      </c>
      <c r="E751" t="s">
        <v>5756</v>
      </c>
      <c r="F751" t="s">
        <v>7425</v>
      </c>
      <c r="G751" t="s">
        <v>7426</v>
      </c>
      <c r="H751" t="s">
        <v>5474</v>
      </c>
      <c r="I751" t="s">
        <v>7427</v>
      </c>
      <c r="J751" t="s">
        <v>5476</v>
      </c>
      <c r="K751" t="s">
        <v>5471</v>
      </c>
      <c r="L751" t="s">
        <v>5471</v>
      </c>
      <c r="M751" t="s">
        <v>5471</v>
      </c>
    </row>
    <row r="752" spans="1:13" x14ac:dyDescent="0.3">
      <c r="A752" t="s">
        <v>3397</v>
      </c>
      <c r="B752" t="s">
        <v>7424</v>
      </c>
      <c r="C752" t="s">
        <v>5487</v>
      </c>
      <c r="D752" t="s">
        <v>4119</v>
      </c>
      <c r="E752" t="s">
        <v>5756</v>
      </c>
      <c r="F752" t="s">
        <v>7428</v>
      </c>
      <c r="G752" t="s">
        <v>7426</v>
      </c>
      <c r="H752" t="s">
        <v>5474</v>
      </c>
      <c r="I752" t="s">
        <v>7429</v>
      </c>
      <c r="J752" t="s">
        <v>5476</v>
      </c>
      <c r="K752" t="s">
        <v>5471</v>
      </c>
      <c r="L752" t="s">
        <v>5471</v>
      </c>
      <c r="M752" t="s">
        <v>5471</v>
      </c>
    </row>
    <row r="753" spans="1:13" x14ac:dyDescent="0.3">
      <c r="A753" t="s">
        <v>3397</v>
      </c>
      <c r="B753" t="s">
        <v>7424</v>
      </c>
      <c r="C753" t="s">
        <v>5487</v>
      </c>
      <c r="D753" t="s">
        <v>4119</v>
      </c>
      <c r="E753" t="s">
        <v>5756</v>
      </c>
      <c r="F753" t="s">
        <v>7430</v>
      </c>
      <c r="G753" t="s">
        <v>7426</v>
      </c>
      <c r="H753" t="s">
        <v>5474</v>
      </c>
      <c r="I753" t="s">
        <v>7431</v>
      </c>
      <c r="J753" t="s">
        <v>5476</v>
      </c>
      <c r="K753" t="s">
        <v>5471</v>
      </c>
      <c r="L753" t="s">
        <v>5471</v>
      </c>
      <c r="M753" t="s">
        <v>5471</v>
      </c>
    </row>
    <row r="754" spans="1:13" x14ac:dyDescent="0.3">
      <c r="A754" t="s">
        <v>3397</v>
      </c>
      <c r="B754" t="s">
        <v>7424</v>
      </c>
      <c r="C754" t="s">
        <v>5487</v>
      </c>
      <c r="D754" t="s">
        <v>4119</v>
      </c>
      <c r="E754" t="s">
        <v>5756</v>
      </c>
      <c r="F754" t="s">
        <v>7432</v>
      </c>
      <c r="G754" t="s">
        <v>7426</v>
      </c>
      <c r="H754" t="s">
        <v>5474</v>
      </c>
      <c r="I754" t="s">
        <v>7433</v>
      </c>
      <c r="J754" t="s">
        <v>5476</v>
      </c>
      <c r="K754" t="s">
        <v>5471</v>
      </c>
      <c r="L754" t="s">
        <v>5471</v>
      </c>
      <c r="M754" t="s">
        <v>5471</v>
      </c>
    </row>
    <row r="755" spans="1:13" x14ac:dyDescent="0.3">
      <c r="A755" t="s">
        <v>3397</v>
      </c>
      <c r="B755" t="s">
        <v>7424</v>
      </c>
      <c r="C755" t="s">
        <v>5487</v>
      </c>
      <c r="D755" t="s">
        <v>4119</v>
      </c>
      <c r="E755" t="s">
        <v>5756</v>
      </c>
      <c r="F755" t="s">
        <v>7434</v>
      </c>
      <c r="G755" t="s">
        <v>7426</v>
      </c>
      <c r="H755" t="s">
        <v>5474</v>
      </c>
      <c r="I755" t="s">
        <v>7435</v>
      </c>
      <c r="J755" t="s">
        <v>5476</v>
      </c>
      <c r="K755" t="s">
        <v>5471</v>
      </c>
      <c r="L755" t="s">
        <v>5471</v>
      </c>
      <c r="M755" t="s">
        <v>5471</v>
      </c>
    </row>
    <row r="756" spans="1:13" x14ac:dyDescent="0.3">
      <c r="A756" t="s">
        <v>3397</v>
      </c>
      <c r="B756" t="s">
        <v>7424</v>
      </c>
      <c r="C756" t="s">
        <v>5487</v>
      </c>
      <c r="D756" t="s">
        <v>4119</v>
      </c>
      <c r="E756" t="s">
        <v>5756</v>
      </c>
      <c r="F756" t="s">
        <v>7436</v>
      </c>
      <c r="G756" t="s">
        <v>7426</v>
      </c>
      <c r="H756" t="s">
        <v>5474</v>
      </c>
      <c r="I756" t="s">
        <v>7437</v>
      </c>
      <c r="J756" t="s">
        <v>5476</v>
      </c>
      <c r="K756" t="s">
        <v>5471</v>
      </c>
      <c r="L756" t="s">
        <v>5471</v>
      </c>
      <c r="M756" t="s">
        <v>5471</v>
      </c>
    </row>
    <row r="757" spans="1:13" x14ac:dyDescent="0.3">
      <c r="A757" t="s">
        <v>3397</v>
      </c>
      <c r="B757" t="s">
        <v>7424</v>
      </c>
      <c r="C757" t="s">
        <v>5487</v>
      </c>
      <c r="D757" t="s">
        <v>4119</v>
      </c>
      <c r="E757" t="s">
        <v>5756</v>
      </c>
      <c r="F757" t="s">
        <v>7438</v>
      </c>
      <c r="G757" t="s">
        <v>7426</v>
      </c>
      <c r="H757" t="s">
        <v>5474</v>
      </c>
      <c r="I757" t="s">
        <v>7439</v>
      </c>
      <c r="J757" t="s">
        <v>5476</v>
      </c>
      <c r="K757" t="s">
        <v>5471</v>
      </c>
      <c r="L757" t="s">
        <v>5471</v>
      </c>
      <c r="M757" t="s">
        <v>5471</v>
      </c>
    </row>
    <row r="758" spans="1:13" x14ac:dyDescent="0.3">
      <c r="A758" t="s">
        <v>3383</v>
      </c>
      <c r="B758" t="s">
        <v>7440</v>
      </c>
      <c r="C758" t="s">
        <v>5470</v>
      </c>
      <c r="D758" t="s">
        <v>4119</v>
      </c>
      <c r="E758" t="s">
        <v>5756</v>
      </c>
      <c r="F758" t="s">
        <v>7441</v>
      </c>
      <c r="G758" t="s">
        <v>7442</v>
      </c>
      <c r="H758" t="s">
        <v>5474</v>
      </c>
      <c r="I758" t="s">
        <v>7443</v>
      </c>
      <c r="J758" t="s">
        <v>5484</v>
      </c>
      <c r="K758" t="s">
        <v>5471</v>
      </c>
      <c r="L758" t="s">
        <v>5471</v>
      </c>
      <c r="M758" t="s">
        <v>5471</v>
      </c>
    </row>
    <row r="759" spans="1:13" x14ac:dyDescent="0.3">
      <c r="A759" t="s">
        <v>3383</v>
      </c>
      <c r="B759" t="s">
        <v>7444</v>
      </c>
      <c r="C759" t="s">
        <v>5470</v>
      </c>
      <c r="D759" t="s">
        <v>4119</v>
      </c>
      <c r="E759" t="s">
        <v>5532</v>
      </c>
      <c r="F759" t="s">
        <v>7445</v>
      </c>
      <c r="G759" t="s">
        <v>7446</v>
      </c>
      <c r="H759" t="s">
        <v>5474</v>
      </c>
      <c r="I759" t="s">
        <v>7447</v>
      </c>
      <c r="J759" t="s">
        <v>5484</v>
      </c>
      <c r="K759" t="s">
        <v>5471</v>
      </c>
      <c r="L759" t="s">
        <v>5471</v>
      </c>
      <c r="M759" t="s">
        <v>5471</v>
      </c>
    </row>
    <row r="760" spans="1:13" x14ac:dyDescent="0.3">
      <c r="A760" t="s">
        <v>3383</v>
      </c>
      <c r="B760" t="s">
        <v>7440</v>
      </c>
      <c r="C760" t="s">
        <v>5470</v>
      </c>
      <c r="D760" t="s">
        <v>4119</v>
      </c>
      <c r="E760" t="s">
        <v>5532</v>
      </c>
      <c r="F760" t="s">
        <v>7448</v>
      </c>
      <c r="G760" t="s">
        <v>7449</v>
      </c>
      <c r="H760" t="s">
        <v>5474</v>
      </c>
      <c r="I760" t="s">
        <v>7450</v>
      </c>
      <c r="J760" t="s">
        <v>5484</v>
      </c>
      <c r="K760" t="s">
        <v>5471</v>
      </c>
      <c r="L760" t="s">
        <v>5471</v>
      </c>
      <c r="M760" t="s">
        <v>5471</v>
      </c>
    </row>
    <row r="761" spans="1:13" x14ac:dyDescent="0.3">
      <c r="A761" t="s">
        <v>3383</v>
      </c>
      <c r="B761" t="s">
        <v>7440</v>
      </c>
      <c r="C761" t="s">
        <v>5470</v>
      </c>
      <c r="D761" t="s">
        <v>4119</v>
      </c>
      <c r="E761" t="s">
        <v>5532</v>
      </c>
      <c r="F761" t="s">
        <v>7451</v>
      </c>
      <c r="G761" t="s">
        <v>7452</v>
      </c>
      <c r="H761" t="s">
        <v>5474</v>
      </c>
      <c r="I761" t="s">
        <v>7453</v>
      </c>
      <c r="J761" t="s">
        <v>5484</v>
      </c>
      <c r="K761" t="s">
        <v>5471</v>
      </c>
      <c r="L761" t="s">
        <v>5471</v>
      </c>
      <c r="M761" t="s">
        <v>5471</v>
      </c>
    </row>
    <row r="762" spans="1:13" x14ac:dyDescent="0.3">
      <c r="A762" t="s">
        <v>3383</v>
      </c>
      <c r="B762" t="s">
        <v>6187</v>
      </c>
      <c r="C762" t="s">
        <v>5470</v>
      </c>
      <c r="D762" t="s">
        <v>4119</v>
      </c>
      <c r="E762" t="s">
        <v>5471</v>
      </c>
      <c r="F762" t="s">
        <v>7454</v>
      </c>
      <c r="G762" t="s">
        <v>7455</v>
      </c>
      <c r="H762" t="s">
        <v>5474</v>
      </c>
      <c r="I762" t="s">
        <v>7456</v>
      </c>
      <c r="J762" t="s">
        <v>5476</v>
      </c>
      <c r="K762" t="s">
        <v>5471</v>
      </c>
      <c r="L762" t="s">
        <v>5471</v>
      </c>
      <c r="M762" t="s">
        <v>5471</v>
      </c>
    </row>
    <row r="763" spans="1:13" x14ac:dyDescent="0.3">
      <c r="A763" t="s">
        <v>3383</v>
      </c>
      <c r="B763" t="s">
        <v>7457</v>
      </c>
      <c r="C763" t="s">
        <v>5470</v>
      </c>
      <c r="D763" t="s">
        <v>4119</v>
      </c>
      <c r="E763" t="s">
        <v>5471</v>
      </c>
      <c r="F763" t="s">
        <v>7458</v>
      </c>
      <c r="G763" t="s">
        <v>7459</v>
      </c>
      <c r="H763" t="s">
        <v>5474</v>
      </c>
      <c r="I763" t="s">
        <v>7460</v>
      </c>
      <c r="J763" t="s">
        <v>5484</v>
      </c>
      <c r="K763" t="s">
        <v>5471</v>
      </c>
      <c r="L763" t="s">
        <v>5471</v>
      </c>
      <c r="M763" t="s">
        <v>5471</v>
      </c>
    </row>
    <row r="764" spans="1:13" x14ac:dyDescent="0.3">
      <c r="A764" t="s">
        <v>3383</v>
      </c>
      <c r="B764" t="s">
        <v>7461</v>
      </c>
      <c r="C764" t="s">
        <v>5470</v>
      </c>
      <c r="D764" t="s">
        <v>4119</v>
      </c>
      <c r="E764" t="s">
        <v>5617</v>
      </c>
      <c r="F764" t="s">
        <v>7462</v>
      </c>
      <c r="G764" t="s">
        <v>7463</v>
      </c>
      <c r="H764" t="s">
        <v>5474</v>
      </c>
      <c r="I764" t="s">
        <v>7464</v>
      </c>
      <c r="J764" t="s">
        <v>5484</v>
      </c>
      <c r="K764" t="s">
        <v>5471</v>
      </c>
      <c r="L764" t="s">
        <v>5471</v>
      </c>
      <c r="M764" t="s">
        <v>5471</v>
      </c>
    </row>
    <row r="765" spans="1:13" x14ac:dyDescent="0.3">
      <c r="A765" t="s">
        <v>3383</v>
      </c>
      <c r="B765" t="s">
        <v>7465</v>
      </c>
      <c r="C765" t="s">
        <v>5470</v>
      </c>
      <c r="D765" t="s">
        <v>4119</v>
      </c>
      <c r="E765" t="s">
        <v>5532</v>
      </c>
      <c r="F765" t="s">
        <v>7466</v>
      </c>
      <c r="G765" t="s">
        <v>7467</v>
      </c>
      <c r="H765" t="s">
        <v>5474</v>
      </c>
      <c r="I765" t="s">
        <v>7468</v>
      </c>
      <c r="J765" t="s">
        <v>5476</v>
      </c>
      <c r="K765" t="s">
        <v>5471</v>
      </c>
      <c r="L765" t="s">
        <v>5471</v>
      </c>
      <c r="M765" t="s">
        <v>5471</v>
      </c>
    </row>
    <row r="766" spans="1:13" x14ac:dyDescent="0.3">
      <c r="A766" t="s">
        <v>3383</v>
      </c>
      <c r="B766" t="s">
        <v>7465</v>
      </c>
      <c r="C766" t="s">
        <v>5470</v>
      </c>
      <c r="D766" t="s">
        <v>4119</v>
      </c>
      <c r="E766" t="s">
        <v>5532</v>
      </c>
      <c r="F766" t="s">
        <v>7469</v>
      </c>
      <c r="G766" t="s">
        <v>7470</v>
      </c>
      <c r="H766" t="s">
        <v>5474</v>
      </c>
      <c r="I766" t="s">
        <v>7471</v>
      </c>
      <c r="J766" t="s">
        <v>5476</v>
      </c>
      <c r="K766" t="s">
        <v>5471</v>
      </c>
      <c r="L766" t="s">
        <v>5471</v>
      </c>
      <c r="M766" t="s">
        <v>5471</v>
      </c>
    </row>
    <row r="767" spans="1:13" x14ac:dyDescent="0.3">
      <c r="A767" t="s">
        <v>3383</v>
      </c>
      <c r="B767" t="s">
        <v>7465</v>
      </c>
      <c r="C767" t="s">
        <v>5470</v>
      </c>
      <c r="D767" t="s">
        <v>4119</v>
      </c>
      <c r="E767" t="s">
        <v>5532</v>
      </c>
      <c r="F767" t="s">
        <v>7472</v>
      </c>
      <c r="G767" t="s">
        <v>7470</v>
      </c>
      <c r="H767" t="s">
        <v>5474</v>
      </c>
      <c r="I767" t="s">
        <v>7473</v>
      </c>
      <c r="J767" t="s">
        <v>5476</v>
      </c>
      <c r="K767" t="s">
        <v>5471</v>
      </c>
      <c r="L767" t="s">
        <v>5471</v>
      </c>
      <c r="M767" t="s">
        <v>5471</v>
      </c>
    </row>
    <row r="768" spans="1:13" x14ac:dyDescent="0.3">
      <c r="A768" t="s">
        <v>3383</v>
      </c>
      <c r="B768" t="s">
        <v>7465</v>
      </c>
      <c r="C768" t="s">
        <v>5470</v>
      </c>
      <c r="D768" t="s">
        <v>4119</v>
      </c>
      <c r="E768" t="s">
        <v>5532</v>
      </c>
      <c r="F768" t="s">
        <v>7474</v>
      </c>
      <c r="G768" t="s">
        <v>7452</v>
      </c>
      <c r="H768" t="s">
        <v>5474</v>
      </c>
      <c r="I768" t="s">
        <v>7475</v>
      </c>
      <c r="J768" t="s">
        <v>5476</v>
      </c>
      <c r="K768" t="s">
        <v>5471</v>
      </c>
      <c r="L768" t="s">
        <v>5471</v>
      </c>
      <c r="M768" t="s">
        <v>5471</v>
      </c>
    </row>
    <row r="769" spans="1:13" x14ac:dyDescent="0.3">
      <c r="A769" t="s">
        <v>3383</v>
      </c>
      <c r="B769" t="s">
        <v>7465</v>
      </c>
      <c r="C769" t="s">
        <v>5470</v>
      </c>
      <c r="D769" t="s">
        <v>4119</v>
      </c>
      <c r="E769" t="s">
        <v>5532</v>
      </c>
      <c r="F769" t="s">
        <v>7476</v>
      </c>
      <c r="G769" t="s">
        <v>7477</v>
      </c>
      <c r="H769" t="s">
        <v>5474</v>
      </c>
      <c r="I769" t="s">
        <v>7478</v>
      </c>
      <c r="J769" t="s">
        <v>5476</v>
      </c>
      <c r="K769" t="s">
        <v>5471</v>
      </c>
      <c r="L769" t="s">
        <v>5471</v>
      </c>
      <c r="M769" t="s">
        <v>5471</v>
      </c>
    </row>
    <row r="770" spans="1:13" x14ac:dyDescent="0.3">
      <c r="A770" t="s">
        <v>3383</v>
      </c>
      <c r="B770" t="s">
        <v>7465</v>
      </c>
      <c r="C770" t="s">
        <v>5470</v>
      </c>
      <c r="D770" t="s">
        <v>4119</v>
      </c>
      <c r="E770" t="s">
        <v>5532</v>
      </c>
      <c r="F770" t="s">
        <v>7479</v>
      </c>
      <c r="G770" t="s">
        <v>7467</v>
      </c>
      <c r="H770" t="s">
        <v>5474</v>
      </c>
      <c r="I770" t="s">
        <v>7480</v>
      </c>
      <c r="J770" t="s">
        <v>5476</v>
      </c>
      <c r="K770" t="s">
        <v>5471</v>
      </c>
      <c r="L770" t="s">
        <v>5471</v>
      </c>
      <c r="M770" t="s">
        <v>5471</v>
      </c>
    </row>
    <row r="771" spans="1:13" x14ac:dyDescent="0.3">
      <c r="A771" t="s">
        <v>3383</v>
      </c>
      <c r="B771" t="s">
        <v>6009</v>
      </c>
      <c r="C771" t="s">
        <v>5470</v>
      </c>
      <c r="D771" t="s">
        <v>4119</v>
      </c>
      <c r="E771" t="s">
        <v>5532</v>
      </c>
      <c r="F771" t="s">
        <v>7481</v>
      </c>
      <c r="G771" t="s">
        <v>6011</v>
      </c>
      <c r="H771" t="s">
        <v>5474</v>
      </c>
      <c r="I771" t="s">
        <v>7482</v>
      </c>
      <c r="J771" t="s">
        <v>5476</v>
      </c>
      <c r="K771" t="s">
        <v>5471</v>
      </c>
      <c r="L771" t="s">
        <v>5471</v>
      </c>
      <c r="M771" t="s">
        <v>5471</v>
      </c>
    </row>
    <row r="772" spans="1:13" x14ac:dyDescent="0.3">
      <c r="A772" t="s">
        <v>3383</v>
      </c>
      <c r="B772" t="s">
        <v>6026</v>
      </c>
      <c r="C772" t="s">
        <v>5487</v>
      </c>
      <c r="D772" t="s">
        <v>4119</v>
      </c>
      <c r="E772" t="s">
        <v>5532</v>
      </c>
      <c r="F772" t="s">
        <v>7483</v>
      </c>
      <c r="G772" t="s">
        <v>7484</v>
      </c>
      <c r="H772" t="s">
        <v>5474</v>
      </c>
      <c r="I772" t="s">
        <v>7485</v>
      </c>
      <c r="J772" t="s">
        <v>5476</v>
      </c>
      <c r="K772" t="s">
        <v>5471</v>
      </c>
      <c r="L772" t="s">
        <v>5471</v>
      </c>
      <c r="M772" t="s">
        <v>5471</v>
      </c>
    </row>
    <row r="773" spans="1:13" x14ac:dyDescent="0.3">
      <c r="A773" t="s">
        <v>3383</v>
      </c>
      <c r="B773" t="s">
        <v>6051</v>
      </c>
      <c r="C773" t="s">
        <v>5470</v>
      </c>
      <c r="D773" t="s">
        <v>4119</v>
      </c>
      <c r="E773" t="s">
        <v>5471</v>
      </c>
      <c r="F773" t="s">
        <v>7486</v>
      </c>
      <c r="G773" t="s">
        <v>7487</v>
      </c>
      <c r="H773" t="s">
        <v>5474</v>
      </c>
      <c r="I773" t="s">
        <v>7488</v>
      </c>
      <c r="J773" t="s">
        <v>5484</v>
      </c>
      <c r="K773" t="s">
        <v>5471</v>
      </c>
      <c r="L773" t="s">
        <v>5471</v>
      </c>
      <c r="M773" t="s">
        <v>5471</v>
      </c>
    </row>
    <row r="774" spans="1:13" x14ac:dyDescent="0.3">
      <c r="A774" t="s">
        <v>3383</v>
      </c>
      <c r="B774" t="s">
        <v>6187</v>
      </c>
      <c r="C774" t="s">
        <v>5470</v>
      </c>
      <c r="D774" t="s">
        <v>4119</v>
      </c>
      <c r="E774" t="s">
        <v>5756</v>
      </c>
      <c r="F774" t="s">
        <v>7489</v>
      </c>
      <c r="G774" t="s">
        <v>7490</v>
      </c>
      <c r="H774" t="s">
        <v>5474</v>
      </c>
      <c r="I774" t="s">
        <v>7491</v>
      </c>
      <c r="J774" t="s">
        <v>5484</v>
      </c>
      <c r="K774" t="s">
        <v>5471</v>
      </c>
      <c r="L774" t="s">
        <v>5471</v>
      </c>
      <c r="M774" t="s">
        <v>5471</v>
      </c>
    </row>
    <row r="775" spans="1:13" x14ac:dyDescent="0.3">
      <c r="A775" t="s">
        <v>3383</v>
      </c>
      <c r="B775" t="s">
        <v>6051</v>
      </c>
      <c r="C775" t="s">
        <v>5470</v>
      </c>
      <c r="D775" t="s">
        <v>4119</v>
      </c>
      <c r="E775" t="s">
        <v>5471</v>
      </c>
      <c r="F775" t="s">
        <v>7492</v>
      </c>
      <c r="G775" t="s">
        <v>7487</v>
      </c>
      <c r="H775" t="s">
        <v>5474</v>
      </c>
      <c r="I775" t="s">
        <v>7493</v>
      </c>
      <c r="J775" t="s">
        <v>5484</v>
      </c>
      <c r="K775" t="s">
        <v>5471</v>
      </c>
      <c r="L775" t="s">
        <v>5471</v>
      </c>
      <c r="M775" t="s">
        <v>5471</v>
      </c>
    </row>
    <row r="776" spans="1:13" x14ac:dyDescent="0.3">
      <c r="A776" t="s">
        <v>3383</v>
      </c>
      <c r="B776" t="s">
        <v>6051</v>
      </c>
      <c r="C776" t="s">
        <v>5470</v>
      </c>
      <c r="D776" t="s">
        <v>4119</v>
      </c>
      <c r="E776" t="s">
        <v>5532</v>
      </c>
      <c r="F776" t="s">
        <v>7494</v>
      </c>
      <c r="G776" t="s">
        <v>7133</v>
      </c>
      <c r="H776" t="s">
        <v>5474</v>
      </c>
      <c r="I776" t="s">
        <v>7495</v>
      </c>
      <c r="J776" t="s">
        <v>5476</v>
      </c>
      <c r="K776" t="s">
        <v>5471</v>
      </c>
      <c r="L776" t="s">
        <v>5471</v>
      </c>
      <c r="M776" t="s">
        <v>5471</v>
      </c>
    </row>
    <row r="777" spans="1:13" x14ac:dyDescent="0.3">
      <c r="A777" t="s">
        <v>3383</v>
      </c>
      <c r="B777" t="s">
        <v>6122</v>
      </c>
      <c r="C777" t="s">
        <v>5470</v>
      </c>
      <c r="D777" t="s">
        <v>4119</v>
      </c>
      <c r="E777" t="s">
        <v>5532</v>
      </c>
      <c r="F777" t="s">
        <v>7496</v>
      </c>
      <c r="G777" t="s">
        <v>7497</v>
      </c>
      <c r="H777" t="s">
        <v>5474</v>
      </c>
      <c r="I777" t="s">
        <v>7498</v>
      </c>
      <c r="J777" t="s">
        <v>5476</v>
      </c>
      <c r="K777" t="s">
        <v>5471</v>
      </c>
      <c r="L777" t="s">
        <v>5471</v>
      </c>
      <c r="M777" t="s">
        <v>5471</v>
      </c>
    </row>
    <row r="778" spans="1:13" x14ac:dyDescent="0.3">
      <c r="A778" t="s">
        <v>3383</v>
      </c>
      <c r="B778" t="s">
        <v>6122</v>
      </c>
      <c r="C778" t="s">
        <v>5470</v>
      </c>
      <c r="D778" t="s">
        <v>4119</v>
      </c>
      <c r="E778" t="s">
        <v>5532</v>
      </c>
      <c r="F778" t="s">
        <v>7499</v>
      </c>
      <c r="G778" t="s">
        <v>7500</v>
      </c>
      <c r="H778" t="s">
        <v>5474</v>
      </c>
      <c r="I778" t="s">
        <v>7501</v>
      </c>
      <c r="J778" t="s">
        <v>5476</v>
      </c>
      <c r="K778" t="s">
        <v>5471</v>
      </c>
      <c r="L778" t="s">
        <v>5471</v>
      </c>
      <c r="M778" t="s">
        <v>5471</v>
      </c>
    </row>
    <row r="779" spans="1:13" x14ac:dyDescent="0.3">
      <c r="A779" t="s">
        <v>3397</v>
      </c>
      <c r="B779" t="s">
        <v>7502</v>
      </c>
      <c r="C779" t="s">
        <v>5487</v>
      </c>
      <c r="D779" t="s">
        <v>4119</v>
      </c>
      <c r="E779" t="s">
        <v>5480</v>
      </c>
      <c r="F779" t="s">
        <v>6443</v>
      </c>
      <c r="G779" t="s">
        <v>7503</v>
      </c>
      <c r="H779" t="s">
        <v>5474</v>
      </c>
      <c r="I779" t="s">
        <v>7504</v>
      </c>
      <c r="J779" t="s">
        <v>5476</v>
      </c>
      <c r="K779" t="s">
        <v>5471</v>
      </c>
      <c r="L779" t="s">
        <v>5471</v>
      </c>
      <c r="M779" t="s">
        <v>5471</v>
      </c>
    </row>
    <row r="780" spans="1:13" x14ac:dyDescent="0.3">
      <c r="A780" t="s">
        <v>3397</v>
      </c>
      <c r="B780" t="s">
        <v>7502</v>
      </c>
      <c r="C780" t="s">
        <v>5487</v>
      </c>
      <c r="D780" t="s">
        <v>4119</v>
      </c>
      <c r="E780" t="s">
        <v>5480</v>
      </c>
      <c r="F780" t="s">
        <v>6443</v>
      </c>
      <c r="G780" t="s">
        <v>7505</v>
      </c>
      <c r="H780" t="s">
        <v>5474</v>
      </c>
      <c r="I780" t="s">
        <v>7506</v>
      </c>
      <c r="J780" t="s">
        <v>5476</v>
      </c>
      <c r="K780" t="s">
        <v>5471</v>
      </c>
      <c r="L780" t="s">
        <v>5471</v>
      </c>
      <c r="M780" t="s">
        <v>5471</v>
      </c>
    </row>
    <row r="781" spans="1:13" x14ac:dyDescent="0.3">
      <c r="A781" t="s">
        <v>3383</v>
      </c>
      <c r="B781" t="s">
        <v>6187</v>
      </c>
      <c r="C781" t="s">
        <v>5470</v>
      </c>
      <c r="D781" t="s">
        <v>4119</v>
      </c>
      <c r="E781" t="s">
        <v>5756</v>
      </c>
      <c r="F781" t="s">
        <v>7507</v>
      </c>
      <c r="G781" t="s">
        <v>7508</v>
      </c>
      <c r="H781" t="s">
        <v>5474</v>
      </c>
      <c r="I781" t="s">
        <v>7509</v>
      </c>
      <c r="J781" t="s">
        <v>5484</v>
      </c>
      <c r="K781" t="s">
        <v>5471</v>
      </c>
      <c r="L781" t="s">
        <v>5471</v>
      </c>
      <c r="M781" t="s">
        <v>5471</v>
      </c>
    </row>
    <row r="782" spans="1:13" x14ac:dyDescent="0.3">
      <c r="A782" t="s">
        <v>3383</v>
      </c>
      <c r="B782" t="s">
        <v>7465</v>
      </c>
      <c r="C782" t="s">
        <v>5470</v>
      </c>
      <c r="D782" t="s">
        <v>4119</v>
      </c>
      <c r="E782" t="s">
        <v>5532</v>
      </c>
      <c r="F782" t="s">
        <v>7510</v>
      </c>
      <c r="G782" t="s">
        <v>7470</v>
      </c>
      <c r="H782" t="s">
        <v>5474</v>
      </c>
      <c r="I782" t="s">
        <v>7511</v>
      </c>
      <c r="J782" t="s">
        <v>5476</v>
      </c>
      <c r="K782" t="s">
        <v>5471</v>
      </c>
      <c r="L782" t="s">
        <v>5471</v>
      </c>
      <c r="M782" t="s">
        <v>5471</v>
      </c>
    </row>
    <row r="783" spans="1:13" x14ac:dyDescent="0.3">
      <c r="A783" t="s">
        <v>3383</v>
      </c>
      <c r="B783" t="s">
        <v>5294</v>
      </c>
      <c r="C783" t="s">
        <v>5470</v>
      </c>
      <c r="D783" t="s">
        <v>4119</v>
      </c>
      <c r="E783" t="s">
        <v>5532</v>
      </c>
      <c r="F783" t="s">
        <v>7512</v>
      </c>
      <c r="G783" t="s">
        <v>7513</v>
      </c>
      <c r="H783" t="s">
        <v>5474</v>
      </c>
      <c r="I783" t="s">
        <v>7514</v>
      </c>
      <c r="J783" t="s">
        <v>5484</v>
      </c>
      <c r="K783" t="s">
        <v>5471</v>
      </c>
      <c r="L783" t="s">
        <v>5471</v>
      </c>
      <c r="M783" t="s">
        <v>5471</v>
      </c>
    </row>
    <row r="784" spans="1:13" x14ac:dyDescent="0.3">
      <c r="A784" t="s">
        <v>3383</v>
      </c>
      <c r="B784" t="s">
        <v>6178</v>
      </c>
      <c r="C784" t="s">
        <v>5470</v>
      </c>
      <c r="D784" t="s">
        <v>4119</v>
      </c>
      <c r="E784" t="s">
        <v>5471</v>
      </c>
      <c r="F784" t="s">
        <v>7515</v>
      </c>
      <c r="G784" t="s">
        <v>7516</v>
      </c>
      <c r="H784" t="s">
        <v>5474</v>
      </c>
      <c r="I784" t="s">
        <v>7517</v>
      </c>
      <c r="J784" t="s">
        <v>5476</v>
      </c>
      <c r="K784" t="s">
        <v>5471</v>
      </c>
      <c r="L784" t="s">
        <v>5471</v>
      </c>
      <c r="M784" t="s">
        <v>5471</v>
      </c>
    </row>
    <row r="785" spans="1:13" x14ac:dyDescent="0.3">
      <c r="A785" t="s">
        <v>3383</v>
      </c>
      <c r="B785" t="s">
        <v>7444</v>
      </c>
      <c r="C785" t="s">
        <v>5470</v>
      </c>
      <c r="D785" t="s">
        <v>4119</v>
      </c>
      <c r="E785" t="s">
        <v>5756</v>
      </c>
      <c r="F785" t="s">
        <v>7518</v>
      </c>
      <c r="G785" t="s">
        <v>7519</v>
      </c>
      <c r="H785" t="s">
        <v>5474</v>
      </c>
      <c r="I785" t="s">
        <v>7520</v>
      </c>
      <c r="J785" t="s">
        <v>5476</v>
      </c>
      <c r="K785" t="s">
        <v>5471</v>
      </c>
      <c r="L785" t="s">
        <v>5471</v>
      </c>
      <c r="M785" t="s">
        <v>5471</v>
      </c>
    </row>
    <row r="786" spans="1:13" x14ac:dyDescent="0.3">
      <c r="A786" t="s">
        <v>3383</v>
      </c>
      <c r="B786" t="s">
        <v>6026</v>
      </c>
      <c r="C786" t="s">
        <v>5487</v>
      </c>
      <c r="D786" t="s">
        <v>4119</v>
      </c>
      <c r="E786" t="s">
        <v>5532</v>
      </c>
      <c r="F786" t="s">
        <v>7521</v>
      </c>
      <c r="G786" t="s">
        <v>7484</v>
      </c>
      <c r="H786" t="s">
        <v>5474</v>
      </c>
      <c r="I786" t="s">
        <v>7522</v>
      </c>
      <c r="J786" t="s">
        <v>5476</v>
      </c>
      <c r="K786" t="s">
        <v>5471</v>
      </c>
      <c r="L786" t="s">
        <v>5471</v>
      </c>
      <c r="M786" t="s">
        <v>5471</v>
      </c>
    </row>
    <row r="787" spans="1:13" x14ac:dyDescent="0.3">
      <c r="A787" t="s">
        <v>3383</v>
      </c>
      <c r="B787" t="s">
        <v>6178</v>
      </c>
      <c r="C787" t="s">
        <v>5470</v>
      </c>
      <c r="D787" t="s">
        <v>4119</v>
      </c>
      <c r="E787" t="s">
        <v>5471</v>
      </c>
      <c r="F787" t="s">
        <v>7523</v>
      </c>
      <c r="G787" t="s">
        <v>7516</v>
      </c>
      <c r="H787" t="s">
        <v>5474</v>
      </c>
      <c r="I787" t="s">
        <v>7524</v>
      </c>
      <c r="J787" t="s">
        <v>5476</v>
      </c>
      <c r="K787" t="s">
        <v>5471</v>
      </c>
      <c r="L787" t="s">
        <v>5471</v>
      </c>
      <c r="M787" t="s">
        <v>5471</v>
      </c>
    </row>
    <row r="788" spans="1:13" x14ac:dyDescent="0.3">
      <c r="A788" t="s">
        <v>3383</v>
      </c>
      <c r="B788" t="s">
        <v>6026</v>
      </c>
      <c r="C788" t="s">
        <v>5487</v>
      </c>
      <c r="D788" t="s">
        <v>4119</v>
      </c>
      <c r="E788" t="s">
        <v>5532</v>
      </c>
      <c r="F788" t="s">
        <v>7525</v>
      </c>
      <c r="G788" t="s">
        <v>7484</v>
      </c>
      <c r="H788" t="s">
        <v>5474</v>
      </c>
      <c r="I788" t="s">
        <v>7526</v>
      </c>
      <c r="J788" t="s">
        <v>5476</v>
      </c>
      <c r="K788" t="s">
        <v>5471</v>
      </c>
      <c r="L788" t="s">
        <v>5471</v>
      </c>
      <c r="M788" t="s">
        <v>5471</v>
      </c>
    </row>
    <row r="789" spans="1:13" x14ac:dyDescent="0.3">
      <c r="A789" t="s">
        <v>3383</v>
      </c>
      <c r="B789" t="s">
        <v>5952</v>
      </c>
      <c r="C789" t="s">
        <v>5470</v>
      </c>
      <c r="D789" t="s">
        <v>4119</v>
      </c>
      <c r="E789" t="s">
        <v>5532</v>
      </c>
      <c r="F789" t="s">
        <v>7527</v>
      </c>
      <c r="G789" t="s">
        <v>7528</v>
      </c>
      <c r="H789" t="s">
        <v>5474</v>
      </c>
      <c r="I789" t="s">
        <v>7529</v>
      </c>
      <c r="J789" t="s">
        <v>5476</v>
      </c>
      <c r="K789" t="s">
        <v>5471</v>
      </c>
      <c r="L789" t="s">
        <v>5471</v>
      </c>
      <c r="M789" t="s">
        <v>5471</v>
      </c>
    </row>
    <row r="790" spans="1:13" x14ac:dyDescent="0.3">
      <c r="A790" t="s">
        <v>3383</v>
      </c>
      <c r="B790" t="s">
        <v>5952</v>
      </c>
      <c r="C790" t="s">
        <v>5470</v>
      </c>
      <c r="D790" t="s">
        <v>4119</v>
      </c>
      <c r="E790" t="s">
        <v>5532</v>
      </c>
      <c r="F790" t="s">
        <v>7530</v>
      </c>
      <c r="G790" t="s">
        <v>7528</v>
      </c>
      <c r="H790" t="s">
        <v>5474</v>
      </c>
      <c r="I790" t="s">
        <v>7531</v>
      </c>
      <c r="J790" t="s">
        <v>5476</v>
      </c>
      <c r="K790" t="s">
        <v>5471</v>
      </c>
      <c r="L790" t="s">
        <v>5471</v>
      </c>
      <c r="M790" t="s">
        <v>5471</v>
      </c>
    </row>
    <row r="791" spans="1:13" x14ac:dyDescent="0.3">
      <c r="A791" t="s">
        <v>3383</v>
      </c>
      <c r="B791" t="s">
        <v>5952</v>
      </c>
      <c r="C791" t="s">
        <v>5470</v>
      </c>
      <c r="D791" t="s">
        <v>4119</v>
      </c>
      <c r="E791" t="s">
        <v>5532</v>
      </c>
      <c r="F791" t="s">
        <v>7532</v>
      </c>
      <c r="G791" t="s">
        <v>7528</v>
      </c>
      <c r="H791" t="s">
        <v>5474</v>
      </c>
      <c r="I791" t="s">
        <v>7533</v>
      </c>
      <c r="J791" t="s">
        <v>5476</v>
      </c>
      <c r="K791" t="s">
        <v>5471</v>
      </c>
      <c r="L791" t="s">
        <v>5471</v>
      </c>
      <c r="M791" t="s">
        <v>5471</v>
      </c>
    </row>
    <row r="792" spans="1:13" x14ac:dyDescent="0.3">
      <c r="A792" t="s">
        <v>3383</v>
      </c>
      <c r="B792" t="s">
        <v>5294</v>
      </c>
      <c r="C792" t="s">
        <v>5470</v>
      </c>
      <c r="D792" t="s">
        <v>4119</v>
      </c>
      <c r="E792" t="s">
        <v>5532</v>
      </c>
      <c r="F792" t="s">
        <v>7534</v>
      </c>
      <c r="G792" t="s">
        <v>7054</v>
      </c>
      <c r="H792" t="s">
        <v>5474</v>
      </c>
      <c r="I792" t="s">
        <v>7535</v>
      </c>
      <c r="J792" t="s">
        <v>5476</v>
      </c>
      <c r="K792" t="s">
        <v>5471</v>
      </c>
      <c r="L792" t="s">
        <v>5471</v>
      </c>
      <c r="M792" t="s">
        <v>5471</v>
      </c>
    </row>
    <row r="793" spans="1:13" x14ac:dyDescent="0.3">
      <c r="A793" t="s">
        <v>3383</v>
      </c>
      <c r="B793" t="s">
        <v>5294</v>
      </c>
      <c r="C793" t="s">
        <v>5470</v>
      </c>
      <c r="D793" t="s">
        <v>4119</v>
      </c>
      <c r="E793" t="s">
        <v>5532</v>
      </c>
      <c r="F793" t="s">
        <v>7536</v>
      </c>
      <c r="G793" t="s">
        <v>7054</v>
      </c>
      <c r="H793" t="s">
        <v>5474</v>
      </c>
      <c r="I793" t="s">
        <v>7537</v>
      </c>
      <c r="J793" t="s">
        <v>5476</v>
      </c>
      <c r="K793" t="s">
        <v>5471</v>
      </c>
      <c r="L793" t="s">
        <v>5471</v>
      </c>
      <c r="M793" t="s">
        <v>5471</v>
      </c>
    </row>
    <row r="794" spans="1:13" x14ac:dyDescent="0.3">
      <c r="A794" t="s">
        <v>3383</v>
      </c>
      <c r="B794" t="s">
        <v>5294</v>
      </c>
      <c r="C794" t="s">
        <v>5470</v>
      </c>
      <c r="D794" t="s">
        <v>4119</v>
      </c>
      <c r="E794" t="s">
        <v>5532</v>
      </c>
      <c r="F794" t="s">
        <v>7538</v>
      </c>
      <c r="G794" t="s">
        <v>7054</v>
      </c>
      <c r="H794" t="s">
        <v>5474</v>
      </c>
      <c r="I794" t="s">
        <v>7539</v>
      </c>
      <c r="J794" t="s">
        <v>5476</v>
      </c>
      <c r="K794" t="s">
        <v>5471</v>
      </c>
      <c r="L794" t="s">
        <v>5471</v>
      </c>
      <c r="M794" t="s">
        <v>5471</v>
      </c>
    </row>
    <row r="795" spans="1:13" x14ac:dyDescent="0.3">
      <c r="A795" t="s">
        <v>3383</v>
      </c>
      <c r="B795" t="s">
        <v>5294</v>
      </c>
      <c r="C795" t="s">
        <v>5470</v>
      </c>
      <c r="D795" t="s">
        <v>4119</v>
      </c>
      <c r="E795" t="s">
        <v>5532</v>
      </c>
      <c r="F795" t="s">
        <v>7540</v>
      </c>
      <c r="G795" t="s">
        <v>7541</v>
      </c>
      <c r="H795" t="s">
        <v>5474</v>
      </c>
      <c r="I795" t="s">
        <v>7542</v>
      </c>
      <c r="J795" t="s">
        <v>5476</v>
      </c>
      <c r="K795" t="s">
        <v>5471</v>
      </c>
      <c r="L795" t="s">
        <v>5471</v>
      </c>
      <c r="M795" t="s">
        <v>5471</v>
      </c>
    </row>
    <row r="796" spans="1:13" x14ac:dyDescent="0.3">
      <c r="A796" t="s">
        <v>3383</v>
      </c>
      <c r="B796" t="s">
        <v>5294</v>
      </c>
      <c r="C796" t="s">
        <v>5470</v>
      </c>
      <c r="D796" t="s">
        <v>4119</v>
      </c>
      <c r="E796" t="s">
        <v>5532</v>
      </c>
      <c r="F796" t="s">
        <v>7543</v>
      </c>
      <c r="G796" t="s">
        <v>7541</v>
      </c>
      <c r="H796" t="s">
        <v>5474</v>
      </c>
      <c r="I796" t="s">
        <v>7544</v>
      </c>
      <c r="J796" t="s">
        <v>5476</v>
      </c>
      <c r="K796" t="s">
        <v>5471</v>
      </c>
      <c r="L796" t="s">
        <v>5471</v>
      </c>
      <c r="M796" t="s">
        <v>5471</v>
      </c>
    </row>
    <row r="797" spans="1:13" x14ac:dyDescent="0.3">
      <c r="A797" t="s">
        <v>3383</v>
      </c>
      <c r="B797" t="s">
        <v>5294</v>
      </c>
      <c r="C797" t="s">
        <v>5470</v>
      </c>
      <c r="D797" t="s">
        <v>4119</v>
      </c>
      <c r="E797" t="s">
        <v>5532</v>
      </c>
      <c r="F797" t="s">
        <v>7545</v>
      </c>
      <c r="G797" t="s">
        <v>7541</v>
      </c>
      <c r="H797" t="s">
        <v>5474</v>
      </c>
      <c r="I797" t="s">
        <v>7546</v>
      </c>
      <c r="J797" t="s">
        <v>5476</v>
      </c>
      <c r="K797" t="s">
        <v>5471</v>
      </c>
      <c r="L797" t="s">
        <v>5471</v>
      </c>
      <c r="M797" t="s">
        <v>5471</v>
      </c>
    </row>
    <row r="798" spans="1:13" x14ac:dyDescent="0.3">
      <c r="A798" t="s">
        <v>3383</v>
      </c>
      <c r="B798" t="s">
        <v>5294</v>
      </c>
      <c r="C798" t="s">
        <v>5470</v>
      </c>
      <c r="D798" t="s">
        <v>4119</v>
      </c>
      <c r="E798" t="s">
        <v>5532</v>
      </c>
      <c r="F798" t="s">
        <v>7547</v>
      </c>
      <c r="G798" t="s">
        <v>7541</v>
      </c>
      <c r="H798" t="s">
        <v>5474</v>
      </c>
      <c r="I798" t="s">
        <v>7548</v>
      </c>
      <c r="J798" t="s">
        <v>5476</v>
      </c>
      <c r="K798" t="s">
        <v>5471</v>
      </c>
      <c r="L798" t="s">
        <v>5471</v>
      </c>
      <c r="M798" t="s">
        <v>5471</v>
      </c>
    </row>
    <row r="799" spans="1:13" x14ac:dyDescent="0.3">
      <c r="A799" t="s">
        <v>3383</v>
      </c>
      <c r="B799" t="s">
        <v>5952</v>
      </c>
      <c r="C799" t="s">
        <v>5470</v>
      </c>
      <c r="D799" t="s">
        <v>4119</v>
      </c>
      <c r="E799" t="s">
        <v>5532</v>
      </c>
      <c r="F799" t="s">
        <v>7549</v>
      </c>
      <c r="G799" t="s">
        <v>6557</v>
      </c>
      <c r="H799" t="s">
        <v>5474</v>
      </c>
      <c r="I799" t="s">
        <v>7550</v>
      </c>
      <c r="J799" t="s">
        <v>5476</v>
      </c>
      <c r="K799" t="s">
        <v>5471</v>
      </c>
      <c r="L799" t="s">
        <v>5471</v>
      </c>
      <c r="M799" t="s">
        <v>5471</v>
      </c>
    </row>
    <row r="800" spans="1:13" x14ac:dyDescent="0.3">
      <c r="A800" t="s">
        <v>3383</v>
      </c>
      <c r="B800" t="s">
        <v>5294</v>
      </c>
      <c r="C800" t="s">
        <v>5470</v>
      </c>
      <c r="D800" t="s">
        <v>4119</v>
      </c>
      <c r="E800" t="s">
        <v>5756</v>
      </c>
      <c r="F800" t="s">
        <v>7551</v>
      </c>
      <c r="G800" t="s">
        <v>6407</v>
      </c>
      <c r="H800" t="s">
        <v>5474</v>
      </c>
      <c r="I800" t="s">
        <v>7552</v>
      </c>
      <c r="J800" t="s">
        <v>5484</v>
      </c>
      <c r="K800" t="s">
        <v>5471</v>
      </c>
      <c r="L800" t="s">
        <v>5471</v>
      </c>
      <c r="M800" t="s">
        <v>5471</v>
      </c>
    </row>
    <row r="801" spans="1:13" x14ac:dyDescent="0.3">
      <c r="A801" t="s">
        <v>3383</v>
      </c>
      <c r="B801" t="s">
        <v>5952</v>
      </c>
      <c r="C801" t="s">
        <v>5470</v>
      </c>
      <c r="D801" t="s">
        <v>4119</v>
      </c>
      <c r="E801" t="s">
        <v>5532</v>
      </c>
      <c r="F801" t="s">
        <v>7553</v>
      </c>
      <c r="G801" t="s">
        <v>6557</v>
      </c>
      <c r="H801" t="s">
        <v>5474</v>
      </c>
      <c r="I801" t="s">
        <v>7554</v>
      </c>
      <c r="J801" t="s">
        <v>5476</v>
      </c>
      <c r="K801" t="s">
        <v>5471</v>
      </c>
      <c r="L801" t="s">
        <v>5471</v>
      </c>
      <c r="M801" t="s">
        <v>5471</v>
      </c>
    </row>
    <row r="802" spans="1:13" x14ac:dyDescent="0.3">
      <c r="A802" t="s">
        <v>3383</v>
      </c>
      <c r="B802" t="s">
        <v>5952</v>
      </c>
      <c r="C802" t="s">
        <v>5470</v>
      </c>
      <c r="D802" t="s">
        <v>4119</v>
      </c>
      <c r="E802" t="s">
        <v>5532</v>
      </c>
      <c r="F802" t="s">
        <v>7555</v>
      </c>
      <c r="G802" t="s">
        <v>6557</v>
      </c>
      <c r="H802" t="s">
        <v>5474</v>
      </c>
      <c r="I802" t="s">
        <v>7556</v>
      </c>
      <c r="J802" t="s">
        <v>5476</v>
      </c>
      <c r="K802" t="s">
        <v>5471</v>
      </c>
      <c r="L802" t="s">
        <v>5471</v>
      </c>
      <c r="M802" t="s">
        <v>5471</v>
      </c>
    </row>
    <row r="803" spans="1:13" x14ac:dyDescent="0.3">
      <c r="A803" t="s">
        <v>3383</v>
      </c>
      <c r="B803" t="s">
        <v>6051</v>
      </c>
      <c r="C803" t="s">
        <v>5470</v>
      </c>
      <c r="D803" t="s">
        <v>4119</v>
      </c>
      <c r="E803" t="s">
        <v>5756</v>
      </c>
      <c r="F803" t="s">
        <v>7557</v>
      </c>
      <c r="G803" t="s">
        <v>7558</v>
      </c>
      <c r="H803" t="s">
        <v>5474</v>
      </c>
      <c r="I803" t="s">
        <v>7559</v>
      </c>
      <c r="J803" t="s">
        <v>5476</v>
      </c>
      <c r="K803" t="s">
        <v>5471</v>
      </c>
      <c r="L803" t="s">
        <v>5471</v>
      </c>
      <c r="M803" t="s">
        <v>5471</v>
      </c>
    </row>
    <row r="804" spans="1:13" x14ac:dyDescent="0.3">
      <c r="A804" t="s">
        <v>3383</v>
      </c>
      <c r="B804" t="s">
        <v>6051</v>
      </c>
      <c r="C804" t="s">
        <v>5470</v>
      </c>
      <c r="D804" t="s">
        <v>4119</v>
      </c>
      <c r="E804" t="s">
        <v>5756</v>
      </c>
      <c r="F804" t="s">
        <v>7560</v>
      </c>
      <c r="G804" t="s">
        <v>7558</v>
      </c>
      <c r="H804" t="s">
        <v>5474</v>
      </c>
      <c r="I804" t="s">
        <v>7561</v>
      </c>
      <c r="J804" t="s">
        <v>5476</v>
      </c>
      <c r="K804" t="s">
        <v>5471</v>
      </c>
      <c r="L804" t="s">
        <v>5471</v>
      </c>
      <c r="M804" t="s">
        <v>5471</v>
      </c>
    </row>
    <row r="805" spans="1:13" x14ac:dyDescent="0.3">
      <c r="A805" t="s">
        <v>3383</v>
      </c>
      <c r="B805" t="s">
        <v>5952</v>
      </c>
      <c r="C805" t="s">
        <v>5470</v>
      </c>
      <c r="D805" t="s">
        <v>4119</v>
      </c>
      <c r="E805" t="s">
        <v>5532</v>
      </c>
      <c r="F805" t="s">
        <v>7562</v>
      </c>
      <c r="G805" t="s">
        <v>6557</v>
      </c>
      <c r="H805" t="s">
        <v>5474</v>
      </c>
      <c r="I805" t="s">
        <v>7563</v>
      </c>
      <c r="J805" t="s">
        <v>5476</v>
      </c>
      <c r="K805" t="s">
        <v>5471</v>
      </c>
      <c r="L805" t="s">
        <v>5471</v>
      </c>
      <c r="M805" t="s">
        <v>5471</v>
      </c>
    </row>
    <row r="806" spans="1:13" x14ac:dyDescent="0.3">
      <c r="A806" t="s">
        <v>3383</v>
      </c>
      <c r="B806" t="s">
        <v>6178</v>
      </c>
      <c r="C806" t="s">
        <v>5470</v>
      </c>
      <c r="D806" t="s">
        <v>4119</v>
      </c>
      <c r="E806" t="s">
        <v>5471</v>
      </c>
      <c r="F806" t="s">
        <v>7564</v>
      </c>
      <c r="G806" t="s">
        <v>7565</v>
      </c>
      <c r="H806" t="s">
        <v>5474</v>
      </c>
      <c r="I806" t="s">
        <v>7566</v>
      </c>
      <c r="J806" t="s">
        <v>5476</v>
      </c>
      <c r="K806" t="s">
        <v>5471</v>
      </c>
      <c r="L806" t="s">
        <v>5471</v>
      </c>
      <c r="M806" t="s">
        <v>5471</v>
      </c>
    </row>
    <row r="807" spans="1:13" x14ac:dyDescent="0.3">
      <c r="A807" t="s">
        <v>3383</v>
      </c>
      <c r="B807" t="s">
        <v>6178</v>
      </c>
      <c r="C807" t="s">
        <v>5470</v>
      </c>
      <c r="D807" t="s">
        <v>4119</v>
      </c>
      <c r="E807" t="s">
        <v>5471</v>
      </c>
      <c r="F807" t="s">
        <v>7567</v>
      </c>
      <c r="G807" t="s">
        <v>7565</v>
      </c>
      <c r="H807" t="s">
        <v>5474</v>
      </c>
      <c r="I807" t="s">
        <v>7568</v>
      </c>
      <c r="J807" t="s">
        <v>5476</v>
      </c>
      <c r="K807" t="s">
        <v>5471</v>
      </c>
      <c r="L807" t="s">
        <v>5471</v>
      </c>
      <c r="M807" t="s">
        <v>5471</v>
      </c>
    </row>
    <row r="808" spans="1:13" x14ac:dyDescent="0.3">
      <c r="A808" t="s">
        <v>3383</v>
      </c>
      <c r="B808" t="s">
        <v>5332</v>
      </c>
      <c r="C808" t="s">
        <v>5470</v>
      </c>
      <c r="D808" t="s">
        <v>4119</v>
      </c>
      <c r="E808" t="s">
        <v>5756</v>
      </c>
      <c r="F808" t="s">
        <v>7569</v>
      </c>
      <c r="G808" t="s">
        <v>7570</v>
      </c>
      <c r="H808" t="s">
        <v>5474</v>
      </c>
      <c r="I808" t="s">
        <v>7571</v>
      </c>
      <c r="J808" t="s">
        <v>5476</v>
      </c>
      <c r="K808" t="s">
        <v>5471</v>
      </c>
      <c r="L808" t="s">
        <v>5471</v>
      </c>
      <c r="M808" t="s">
        <v>5471</v>
      </c>
    </row>
    <row r="809" spans="1:13" x14ac:dyDescent="0.3">
      <c r="A809" t="s">
        <v>3383</v>
      </c>
      <c r="B809" t="s">
        <v>5332</v>
      </c>
      <c r="C809" t="s">
        <v>5470</v>
      </c>
      <c r="D809" t="s">
        <v>4119</v>
      </c>
      <c r="E809" t="s">
        <v>5532</v>
      </c>
      <c r="F809" t="s">
        <v>7572</v>
      </c>
      <c r="G809" t="s">
        <v>7573</v>
      </c>
      <c r="H809" t="s">
        <v>5474</v>
      </c>
      <c r="I809" t="s">
        <v>7574</v>
      </c>
      <c r="J809" t="s">
        <v>5476</v>
      </c>
      <c r="K809" t="s">
        <v>5471</v>
      </c>
      <c r="L809" t="s">
        <v>5471</v>
      </c>
      <c r="M809" t="s">
        <v>5471</v>
      </c>
    </row>
    <row r="810" spans="1:13" x14ac:dyDescent="0.3">
      <c r="A810" t="s">
        <v>3383</v>
      </c>
      <c r="B810" t="s">
        <v>5332</v>
      </c>
      <c r="C810" t="s">
        <v>5470</v>
      </c>
      <c r="D810" t="s">
        <v>4119</v>
      </c>
      <c r="E810" t="s">
        <v>5756</v>
      </c>
      <c r="F810" t="s">
        <v>7575</v>
      </c>
      <c r="G810" t="s">
        <v>7570</v>
      </c>
      <c r="H810" t="s">
        <v>5474</v>
      </c>
      <c r="I810" t="s">
        <v>7576</v>
      </c>
      <c r="J810" t="s">
        <v>5476</v>
      </c>
      <c r="K810" t="s">
        <v>5471</v>
      </c>
      <c r="L810" t="s">
        <v>5471</v>
      </c>
      <c r="M810" t="s">
        <v>5471</v>
      </c>
    </row>
    <row r="811" spans="1:13" x14ac:dyDescent="0.3">
      <c r="A811" t="s">
        <v>3383</v>
      </c>
      <c r="B811" t="s">
        <v>6187</v>
      </c>
      <c r="C811" t="s">
        <v>5470</v>
      </c>
      <c r="D811" t="s">
        <v>4119</v>
      </c>
      <c r="E811" t="s">
        <v>5756</v>
      </c>
      <c r="F811" t="s">
        <v>7577</v>
      </c>
      <c r="G811" t="s">
        <v>7578</v>
      </c>
      <c r="H811" t="s">
        <v>5474</v>
      </c>
      <c r="I811" t="s">
        <v>7579</v>
      </c>
      <c r="J811" t="s">
        <v>5476</v>
      </c>
      <c r="K811" t="s">
        <v>5471</v>
      </c>
      <c r="L811" t="s">
        <v>5471</v>
      </c>
      <c r="M811" t="s">
        <v>5471</v>
      </c>
    </row>
    <row r="812" spans="1:13" x14ac:dyDescent="0.3">
      <c r="A812" t="s">
        <v>3383</v>
      </c>
      <c r="B812" t="s">
        <v>6187</v>
      </c>
      <c r="C812" t="s">
        <v>5470</v>
      </c>
      <c r="D812" t="s">
        <v>4119</v>
      </c>
      <c r="E812" t="s">
        <v>5756</v>
      </c>
      <c r="F812" t="s">
        <v>7580</v>
      </c>
      <c r="G812" t="s">
        <v>7578</v>
      </c>
      <c r="H812" t="s">
        <v>5474</v>
      </c>
      <c r="I812" t="s">
        <v>7581</v>
      </c>
      <c r="J812" t="s">
        <v>5476</v>
      </c>
      <c r="K812" t="s">
        <v>5471</v>
      </c>
      <c r="L812" t="s">
        <v>5471</v>
      </c>
      <c r="M812" t="s">
        <v>5471</v>
      </c>
    </row>
    <row r="813" spans="1:13" x14ac:dyDescent="0.3">
      <c r="A813" t="s">
        <v>3383</v>
      </c>
      <c r="B813" t="s">
        <v>6187</v>
      </c>
      <c r="C813" t="s">
        <v>5470</v>
      </c>
      <c r="D813" t="s">
        <v>4119</v>
      </c>
      <c r="E813" t="s">
        <v>5756</v>
      </c>
      <c r="F813" t="s">
        <v>7582</v>
      </c>
      <c r="G813" t="s">
        <v>7578</v>
      </c>
      <c r="H813" t="s">
        <v>5474</v>
      </c>
      <c r="I813" t="s">
        <v>7583</v>
      </c>
      <c r="J813" t="s">
        <v>5476</v>
      </c>
      <c r="K813" t="s">
        <v>5471</v>
      </c>
      <c r="L813" t="s">
        <v>5471</v>
      </c>
      <c r="M813" t="s">
        <v>5471</v>
      </c>
    </row>
    <row r="814" spans="1:13" x14ac:dyDescent="0.3">
      <c r="A814" t="s">
        <v>3383</v>
      </c>
      <c r="B814" t="s">
        <v>6187</v>
      </c>
      <c r="C814" t="s">
        <v>5470</v>
      </c>
      <c r="D814" t="s">
        <v>4119</v>
      </c>
      <c r="E814" t="s">
        <v>5756</v>
      </c>
      <c r="F814" t="s">
        <v>7584</v>
      </c>
      <c r="G814" t="s">
        <v>7578</v>
      </c>
      <c r="H814" t="s">
        <v>5474</v>
      </c>
      <c r="I814" t="s">
        <v>7585</v>
      </c>
      <c r="J814" t="s">
        <v>5476</v>
      </c>
      <c r="K814" t="s">
        <v>5471</v>
      </c>
      <c r="L814" t="s">
        <v>5471</v>
      </c>
      <c r="M814" t="s">
        <v>5471</v>
      </c>
    </row>
    <row r="815" spans="1:13" x14ac:dyDescent="0.3">
      <c r="A815" t="s">
        <v>3383</v>
      </c>
      <c r="B815" t="s">
        <v>5294</v>
      </c>
      <c r="C815" t="s">
        <v>5470</v>
      </c>
      <c r="D815" t="s">
        <v>4119</v>
      </c>
      <c r="E815" t="s">
        <v>5532</v>
      </c>
      <c r="F815" t="s">
        <v>7586</v>
      </c>
      <c r="G815" t="s">
        <v>7587</v>
      </c>
      <c r="H815" t="s">
        <v>5474</v>
      </c>
      <c r="I815" t="s">
        <v>7588</v>
      </c>
      <c r="J815" t="s">
        <v>5476</v>
      </c>
      <c r="K815" t="s">
        <v>5471</v>
      </c>
      <c r="L815" t="s">
        <v>5471</v>
      </c>
      <c r="M815" t="s">
        <v>5471</v>
      </c>
    </row>
    <row r="816" spans="1:13" x14ac:dyDescent="0.3">
      <c r="A816" t="s">
        <v>3383</v>
      </c>
      <c r="B816" t="s">
        <v>5332</v>
      </c>
      <c r="C816" t="s">
        <v>5470</v>
      </c>
      <c r="D816" t="s">
        <v>4119</v>
      </c>
      <c r="E816" t="s">
        <v>5756</v>
      </c>
      <c r="F816" t="s">
        <v>7589</v>
      </c>
      <c r="G816" t="s">
        <v>6241</v>
      </c>
      <c r="H816" t="s">
        <v>5474</v>
      </c>
      <c r="I816" t="s">
        <v>7590</v>
      </c>
      <c r="J816" t="s">
        <v>5476</v>
      </c>
      <c r="K816" t="s">
        <v>5471</v>
      </c>
      <c r="L816" t="s">
        <v>5471</v>
      </c>
      <c r="M816" t="s">
        <v>5471</v>
      </c>
    </row>
    <row r="817" spans="1:13" x14ac:dyDescent="0.3">
      <c r="A817" t="s">
        <v>3383</v>
      </c>
      <c r="B817" t="s">
        <v>5294</v>
      </c>
      <c r="C817" t="s">
        <v>5470</v>
      </c>
      <c r="D817" t="s">
        <v>4119</v>
      </c>
      <c r="E817" t="s">
        <v>5756</v>
      </c>
      <c r="F817" t="s">
        <v>7591</v>
      </c>
      <c r="G817" t="s">
        <v>7587</v>
      </c>
      <c r="H817" t="s">
        <v>5474</v>
      </c>
      <c r="I817" t="s">
        <v>7592</v>
      </c>
      <c r="J817" t="s">
        <v>5476</v>
      </c>
      <c r="K817" t="s">
        <v>5471</v>
      </c>
      <c r="L817" t="s">
        <v>5471</v>
      </c>
      <c r="M817" t="s">
        <v>5471</v>
      </c>
    </row>
    <row r="818" spans="1:13" x14ac:dyDescent="0.3">
      <c r="A818" t="s">
        <v>3383</v>
      </c>
      <c r="B818" t="s">
        <v>5332</v>
      </c>
      <c r="C818" t="s">
        <v>5470</v>
      </c>
      <c r="D818" t="s">
        <v>4119</v>
      </c>
      <c r="E818" t="s">
        <v>5756</v>
      </c>
      <c r="F818" t="s">
        <v>7593</v>
      </c>
      <c r="G818" t="s">
        <v>6239</v>
      </c>
      <c r="H818" t="s">
        <v>5474</v>
      </c>
      <c r="I818" t="s">
        <v>7594</v>
      </c>
      <c r="J818" t="s">
        <v>5476</v>
      </c>
      <c r="K818" t="s">
        <v>5471</v>
      </c>
      <c r="L818" t="s">
        <v>5471</v>
      </c>
      <c r="M818" t="s">
        <v>5471</v>
      </c>
    </row>
    <row r="819" spans="1:13" x14ac:dyDescent="0.3">
      <c r="A819" t="s">
        <v>3383</v>
      </c>
      <c r="B819" t="s">
        <v>5332</v>
      </c>
      <c r="C819" t="s">
        <v>5470</v>
      </c>
      <c r="D819" t="s">
        <v>4119</v>
      </c>
      <c r="E819" t="s">
        <v>5756</v>
      </c>
      <c r="F819" t="s">
        <v>7595</v>
      </c>
      <c r="G819" t="s">
        <v>6207</v>
      </c>
      <c r="H819" t="s">
        <v>5474</v>
      </c>
      <c r="I819" t="s">
        <v>7596</v>
      </c>
      <c r="J819" t="s">
        <v>5476</v>
      </c>
      <c r="K819" t="s">
        <v>5471</v>
      </c>
      <c r="L819" t="s">
        <v>5471</v>
      </c>
      <c r="M819" t="s">
        <v>5471</v>
      </c>
    </row>
    <row r="820" spans="1:13" x14ac:dyDescent="0.3">
      <c r="A820" t="s">
        <v>3383</v>
      </c>
      <c r="B820" t="s">
        <v>5294</v>
      </c>
      <c r="C820" t="s">
        <v>5470</v>
      </c>
      <c r="D820" t="s">
        <v>4119</v>
      </c>
      <c r="E820" t="s">
        <v>5756</v>
      </c>
      <c r="F820" t="s">
        <v>7597</v>
      </c>
      <c r="G820" t="s">
        <v>6279</v>
      </c>
      <c r="H820" t="s">
        <v>5474</v>
      </c>
      <c r="I820" t="s">
        <v>7598</v>
      </c>
      <c r="J820" t="s">
        <v>5476</v>
      </c>
      <c r="K820" t="s">
        <v>5471</v>
      </c>
      <c r="L820" t="s">
        <v>5471</v>
      </c>
      <c r="M820" t="s">
        <v>5471</v>
      </c>
    </row>
    <row r="821" spans="1:13" x14ac:dyDescent="0.3">
      <c r="A821" t="s">
        <v>3383</v>
      </c>
      <c r="B821" t="s">
        <v>5294</v>
      </c>
      <c r="C821" t="s">
        <v>5470</v>
      </c>
      <c r="D821" t="s">
        <v>4119</v>
      </c>
      <c r="E821" t="s">
        <v>5756</v>
      </c>
      <c r="F821" t="s">
        <v>7599</v>
      </c>
      <c r="G821" t="s">
        <v>6279</v>
      </c>
      <c r="H821" t="s">
        <v>5474</v>
      </c>
      <c r="I821" t="s">
        <v>7600</v>
      </c>
      <c r="J821" t="s">
        <v>5476</v>
      </c>
      <c r="K821" t="s">
        <v>5471</v>
      </c>
      <c r="L821" t="s">
        <v>5471</v>
      </c>
      <c r="M821" t="s">
        <v>5471</v>
      </c>
    </row>
    <row r="822" spans="1:13" x14ac:dyDescent="0.3">
      <c r="A822" t="s">
        <v>3383</v>
      </c>
      <c r="B822" t="s">
        <v>5294</v>
      </c>
      <c r="C822" t="s">
        <v>5470</v>
      </c>
      <c r="D822" t="s">
        <v>4119</v>
      </c>
      <c r="E822" t="s">
        <v>5756</v>
      </c>
      <c r="F822" t="s">
        <v>7601</v>
      </c>
      <c r="G822" t="s">
        <v>6279</v>
      </c>
      <c r="H822" t="s">
        <v>5474</v>
      </c>
      <c r="I822" t="s">
        <v>7602</v>
      </c>
      <c r="J822" t="s">
        <v>5484</v>
      </c>
      <c r="K822" t="s">
        <v>5471</v>
      </c>
      <c r="L822" t="s">
        <v>5471</v>
      </c>
      <c r="M822" t="s">
        <v>5471</v>
      </c>
    </row>
    <row r="823" spans="1:13" x14ac:dyDescent="0.3">
      <c r="A823" t="s">
        <v>3383</v>
      </c>
      <c r="B823" t="s">
        <v>5332</v>
      </c>
      <c r="C823" t="s">
        <v>5470</v>
      </c>
      <c r="D823" t="s">
        <v>4119</v>
      </c>
      <c r="E823" t="s">
        <v>5756</v>
      </c>
      <c r="F823" t="s">
        <v>7603</v>
      </c>
      <c r="G823" t="s">
        <v>6586</v>
      </c>
      <c r="H823" t="s">
        <v>5474</v>
      </c>
      <c r="I823" t="s">
        <v>7604</v>
      </c>
      <c r="J823" t="s">
        <v>5476</v>
      </c>
      <c r="K823" t="s">
        <v>5471</v>
      </c>
      <c r="L823" t="s">
        <v>5471</v>
      </c>
      <c r="M823" t="s">
        <v>5471</v>
      </c>
    </row>
    <row r="824" spans="1:13" x14ac:dyDescent="0.3">
      <c r="A824" t="s">
        <v>3383</v>
      </c>
      <c r="B824" t="s">
        <v>5332</v>
      </c>
      <c r="C824" t="s">
        <v>5470</v>
      </c>
      <c r="D824" t="s">
        <v>4119</v>
      </c>
      <c r="E824" t="s">
        <v>5756</v>
      </c>
      <c r="F824" t="s">
        <v>7593</v>
      </c>
      <c r="G824" t="s">
        <v>7605</v>
      </c>
      <c r="H824" t="s">
        <v>5474</v>
      </c>
      <c r="I824" t="s">
        <v>7606</v>
      </c>
      <c r="J824" t="s">
        <v>5476</v>
      </c>
      <c r="K824" t="s">
        <v>5471</v>
      </c>
      <c r="L824" t="s">
        <v>5471</v>
      </c>
      <c r="M824" t="s">
        <v>5471</v>
      </c>
    </row>
    <row r="825" spans="1:13" x14ac:dyDescent="0.3">
      <c r="A825" t="s">
        <v>3383</v>
      </c>
      <c r="B825" t="s">
        <v>5332</v>
      </c>
      <c r="C825" t="s">
        <v>5470</v>
      </c>
      <c r="D825" t="s">
        <v>4119</v>
      </c>
      <c r="E825" t="s">
        <v>5756</v>
      </c>
      <c r="F825" t="s">
        <v>7593</v>
      </c>
      <c r="G825" t="s">
        <v>7607</v>
      </c>
      <c r="H825" t="s">
        <v>5474</v>
      </c>
      <c r="I825" t="s">
        <v>7608</v>
      </c>
      <c r="J825" t="s">
        <v>5484</v>
      </c>
      <c r="K825" t="s">
        <v>5471</v>
      </c>
      <c r="L825" t="s">
        <v>5471</v>
      </c>
      <c r="M825" t="s">
        <v>5471</v>
      </c>
    </row>
    <row r="826" spans="1:13" x14ac:dyDescent="0.3">
      <c r="A826" t="s">
        <v>3383</v>
      </c>
      <c r="B826" t="s">
        <v>5332</v>
      </c>
      <c r="C826" t="s">
        <v>5470</v>
      </c>
      <c r="D826" t="s">
        <v>4119</v>
      </c>
      <c r="E826" t="s">
        <v>5756</v>
      </c>
      <c r="F826" t="s">
        <v>7595</v>
      </c>
      <c r="G826" t="s">
        <v>6295</v>
      </c>
      <c r="H826" t="s">
        <v>5474</v>
      </c>
      <c r="I826" t="s">
        <v>7609</v>
      </c>
      <c r="J826" t="s">
        <v>5476</v>
      </c>
      <c r="K826" t="s">
        <v>5471</v>
      </c>
      <c r="L826" t="s">
        <v>5471</v>
      </c>
      <c r="M826" t="s">
        <v>5471</v>
      </c>
    </row>
    <row r="827" spans="1:13" x14ac:dyDescent="0.3">
      <c r="A827" t="s">
        <v>3383</v>
      </c>
      <c r="B827" t="s">
        <v>5332</v>
      </c>
      <c r="C827" t="s">
        <v>5470</v>
      </c>
      <c r="D827" t="s">
        <v>4119</v>
      </c>
      <c r="E827" t="s">
        <v>5756</v>
      </c>
      <c r="F827" t="s">
        <v>7610</v>
      </c>
      <c r="G827" t="s">
        <v>7607</v>
      </c>
      <c r="H827" t="s">
        <v>5474</v>
      </c>
      <c r="I827" t="s">
        <v>7611</v>
      </c>
      <c r="J827" t="s">
        <v>5476</v>
      </c>
      <c r="K827" t="s">
        <v>5471</v>
      </c>
      <c r="L827" t="s">
        <v>5471</v>
      </c>
      <c r="M827" t="s">
        <v>5471</v>
      </c>
    </row>
    <row r="828" spans="1:13" x14ac:dyDescent="0.3">
      <c r="A828" t="s">
        <v>3383</v>
      </c>
      <c r="B828" t="s">
        <v>6178</v>
      </c>
      <c r="C828" t="s">
        <v>5470</v>
      </c>
      <c r="D828" t="s">
        <v>4119</v>
      </c>
      <c r="E828" t="s">
        <v>5471</v>
      </c>
      <c r="F828" t="s">
        <v>7612</v>
      </c>
      <c r="G828" t="s">
        <v>7613</v>
      </c>
      <c r="H828" t="s">
        <v>5474</v>
      </c>
      <c r="I828" t="s">
        <v>7614</v>
      </c>
      <c r="J828" t="s">
        <v>5484</v>
      </c>
      <c r="K828" t="s">
        <v>5471</v>
      </c>
      <c r="L828" t="s">
        <v>5471</v>
      </c>
      <c r="M828" t="s">
        <v>5471</v>
      </c>
    </row>
    <row r="829" spans="1:13" x14ac:dyDescent="0.3">
      <c r="A829" t="s">
        <v>3383</v>
      </c>
      <c r="B829" t="s">
        <v>6178</v>
      </c>
      <c r="C829" t="s">
        <v>5470</v>
      </c>
      <c r="D829" t="s">
        <v>4119</v>
      </c>
      <c r="E829" t="s">
        <v>5471</v>
      </c>
      <c r="F829" t="s">
        <v>7615</v>
      </c>
      <c r="G829" t="s">
        <v>7613</v>
      </c>
      <c r="H829" t="s">
        <v>5474</v>
      </c>
      <c r="I829" t="s">
        <v>7616</v>
      </c>
      <c r="J829" t="s">
        <v>5484</v>
      </c>
      <c r="K829" t="s">
        <v>5471</v>
      </c>
      <c r="L829" t="s">
        <v>5471</v>
      </c>
      <c r="M829" t="s">
        <v>5471</v>
      </c>
    </row>
    <row r="830" spans="1:13" x14ac:dyDescent="0.3">
      <c r="A830" t="s">
        <v>3383</v>
      </c>
      <c r="B830" t="s">
        <v>6051</v>
      </c>
      <c r="C830" t="s">
        <v>5470</v>
      </c>
      <c r="D830" t="s">
        <v>4119</v>
      </c>
      <c r="E830" t="s">
        <v>5532</v>
      </c>
      <c r="F830" t="s">
        <v>7617</v>
      </c>
      <c r="G830" t="s">
        <v>7618</v>
      </c>
      <c r="H830" t="s">
        <v>5474</v>
      </c>
      <c r="I830" t="s">
        <v>7619</v>
      </c>
      <c r="J830" t="s">
        <v>5476</v>
      </c>
      <c r="K830" t="s">
        <v>5471</v>
      </c>
      <c r="L830" t="s">
        <v>5471</v>
      </c>
      <c r="M830" t="s">
        <v>5471</v>
      </c>
    </row>
    <row r="831" spans="1:13" x14ac:dyDescent="0.3">
      <c r="A831" t="s">
        <v>3383</v>
      </c>
      <c r="B831" t="s">
        <v>6178</v>
      </c>
      <c r="C831" t="s">
        <v>5470</v>
      </c>
      <c r="D831" t="s">
        <v>4119</v>
      </c>
      <c r="E831" t="s">
        <v>5471</v>
      </c>
      <c r="F831" t="s">
        <v>7620</v>
      </c>
      <c r="G831" t="s">
        <v>7613</v>
      </c>
      <c r="H831" t="s">
        <v>5474</v>
      </c>
      <c r="I831" t="s">
        <v>7621</v>
      </c>
      <c r="J831" t="s">
        <v>5484</v>
      </c>
      <c r="K831" t="s">
        <v>5471</v>
      </c>
      <c r="L831" t="s">
        <v>5471</v>
      </c>
      <c r="M831" t="s">
        <v>5471</v>
      </c>
    </row>
    <row r="832" spans="1:13" x14ac:dyDescent="0.3">
      <c r="A832" t="s">
        <v>3383</v>
      </c>
      <c r="B832" t="s">
        <v>6178</v>
      </c>
      <c r="C832" t="s">
        <v>5470</v>
      </c>
      <c r="D832" t="s">
        <v>4119</v>
      </c>
      <c r="E832" t="s">
        <v>5471</v>
      </c>
      <c r="F832" t="s">
        <v>7622</v>
      </c>
      <c r="G832" t="s">
        <v>7613</v>
      </c>
      <c r="H832" t="s">
        <v>5474</v>
      </c>
      <c r="I832" t="s">
        <v>7623</v>
      </c>
      <c r="J832" t="s">
        <v>5484</v>
      </c>
      <c r="K832" t="s">
        <v>5471</v>
      </c>
      <c r="L832" t="s">
        <v>5471</v>
      </c>
      <c r="M832" t="s">
        <v>5471</v>
      </c>
    </row>
    <row r="833" spans="1:13" x14ac:dyDescent="0.3">
      <c r="A833" t="s">
        <v>3383</v>
      </c>
      <c r="B833" t="s">
        <v>5294</v>
      </c>
      <c r="C833" t="s">
        <v>5470</v>
      </c>
      <c r="D833" t="s">
        <v>4119</v>
      </c>
      <c r="E833" t="s">
        <v>5756</v>
      </c>
      <c r="F833" t="s">
        <v>7624</v>
      </c>
      <c r="G833" t="s">
        <v>6279</v>
      </c>
      <c r="H833" t="s">
        <v>5474</v>
      </c>
      <c r="I833" t="s">
        <v>7625</v>
      </c>
      <c r="J833" t="s">
        <v>5476</v>
      </c>
      <c r="K833" t="s">
        <v>5471</v>
      </c>
      <c r="L833" t="s">
        <v>5471</v>
      </c>
      <c r="M833" t="s">
        <v>5471</v>
      </c>
    </row>
    <row r="834" spans="1:13" x14ac:dyDescent="0.3">
      <c r="A834" t="s">
        <v>3383</v>
      </c>
      <c r="B834" t="s">
        <v>5294</v>
      </c>
      <c r="C834" t="s">
        <v>5470</v>
      </c>
      <c r="D834" t="s">
        <v>4119</v>
      </c>
      <c r="E834" t="s">
        <v>5756</v>
      </c>
      <c r="F834" t="s">
        <v>7626</v>
      </c>
      <c r="G834" t="s">
        <v>6279</v>
      </c>
      <c r="H834" t="s">
        <v>5474</v>
      </c>
      <c r="I834" t="s">
        <v>7627</v>
      </c>
      <c r="J834" t="s">
        <v>5476</v>
      </c>
      <c r="K834" t="s">
        <v>5471</v>
      </c>
      <c r="L834" t="s">
        <v>5471</v>
      </c>
      <c r="M834" t="s">
        <v>5471</v>
      </c>
    </row>
    <row r="835" spans="1:13" x14ac:dyDescent="0.3">
      <c r="A835" t="s">
        <v>3383</v>
      </c>
      <c r="B835" t="s">
        <v>5294</v>
      </c>
      <c r="C835" t="s">
        <v>5470</v>
      </c>
      <c r="D835" t="s">
        <v>4119</v>
      </c>
      <c r="E835" t="s">
        <v>5756</v>
      </c>
      <c r="F835" t="s">
        <v>7628</v>
      </c>
      <c r="G835" t="s">
        <v>6279</v>
      </c>
      <c r="H835" t="s">
        <v>5474</v>
      </c>
      <c r="I835" t="s">
        <v>7629</v>
      </c>
      <c r="J835" t="s">
        <v>5476</v>
      </c>
      <c r="K835" t="s">
        <v>5471</v>
      </c>
      <c r="L835" t="s">
        <v>5471</v>
      </c>
      <c r="M835" t="s">
        <v>5471</v>
      </c>
    </row>
    <row r="836" spans="1:13" x14ac:dyDescent="0.3">
      <c r="A836" t="s">
        <v>3383</v>
      </c>
      <c r="B836" t="s">
        <v>6178</v>
      </c>
      <c r="C836" t="s">
        <v>5470</v>
      </c>
      <c r="D836" t="s">
        <v>4119</v>
      </c>
      <c r="E836" t="s">
        <v>5471</v>
      </c>
      <c r="F836" t="s">
        <v>7630</v>
      </c>
      <c r="G836" t="s">
        <v>7613</v>
      </c>
      <c r="H836" t="s">
        <v>5474</v>
      </c>
      <c r="I836" t="s">
        <v>7631</v>
      </c>
      <c r="J836" t="s">
        <v>5484</v>
      </c>
      <c r="K836" t="s">
        <v>5471</v>
      </c>
      <c r="L836" t="s">
        <v>5471</v>
      </c>
      <c r="M836" t="s">
        <v>5471</v>
      </c>
    </row>
    <row r="837" spans="1:13" x14ac:dyDescent="0.3">
      <c r="A837" t="s">
        <v>3383</v>
      </c>
      <c r="B837" t="s">
        <v>6178</v>
      </c>
      <c r="C837" t="s">
        <v>5470</v>
      </c>
      <c r="D837" t="s">
        <v>4119</v>
      </c>
      <c r="E837" t="s">
        <v>5471</v>
      </c>
      <c r="F837" t="s">
        <v>7632</v>
      </c>
      <c r="G837" t="s">
        <v>7613</v>
      </c>
      <c r="H837" t="s">
        <v>5474</v>
      </c>
      <c r="I837" t="s">
        <v>7633</v>
      </c>
      <c r="J837" t="s">
        <v>5484</v>
      </c>
      <c r="K837" t="s">
        <v>5471</v>
      </c>
      <c r="L837" t="s">
        <v>5471</v>
      </c>
      <c r="M837" t="s">
        <v>5471</v>
      </c>
    </row>
    <row r="838" spans="1:13" x14ac:dyDescent="0.3">
      <c r="A838" t="s">
        <v>3383</v>
      </c>
      <c r="B838" t="s">
        <v>6178</v>
      </c>
      <c r="C838" t="s">
        <v>5470</v>
      </c>
      <c r="D838" t="s">
        <v>4119</v>
      </c>
      <c r="E838" t="s">
        <v>5471</v>
      </c>
      <c r="F838" t="s">
        <v>7634</v>
      </c>
      <c r="G838" t="s">
        <v>7613</v>
      </c>
      <c r="H838" t="s">
        <v>5474</v>
      </c>
      <c r="I838" t="s">
        <v>7635</v>
      </c>
      <c r="J838" t="s">
        <v>5484</v>
      </c>
      <c r="K838" t="s">
        <v>5471</v>
      </c>
      <c r="L838" t="s">
        <v>5471</v>
      </c>
      <c r="M838" t="s">
        <v>5471</v>
      </c>
    </row>
    <row r="839" spans="1:13" x14ac:dyDescent="0.3">
      <c r="A839" t="s">
        <v>3383</v>
      </c>
      <c r="B839" t="s">
        <v>7444</v>
      </c>
      <c r="C839" t="s">
        <v>5470</v>
      </c>
      <c r="D839" t="s">
        <v>4119</v>
      </c>
      <c r="E839" t="s">
        <v>5756</v>
      </c>
      <c r="F839" t="s">
        <v>7636</v>
      </c>
      <c r="G839" t="s">
        <v>7637</v>
      </c>
      <c r="H839" t="s">
        <v>5474</v>
      </c>
      <c r="I839" t="s">
        <v>7638</v>
      </c>
      <c r="J839" t="s">
        <v>5476</v>
      </c>
      <c r="K839" t="s">
        <v>5471</v>
      </c>
      <c r="L839" t="s">
        <v>5471</v>
      </c>
      <c r="M839" t="s">
        <v>5471</v>
      </c>
    </row>
    <row r="840" spans="1:13" x14ac:dyDescent="0.3">
      <c r="A840" t="s">
        <v>3383</v>
      </c>
      <c r="B840" t="s">
        <v>7444</v>
      </c>
      <c r="C840" t="s">
        <v>5470</v>
      </c>
      <c r="D840" t="s">
        <v>4119</v>
      </c>
      <c r="E840" t="s">
        <v>5756</v>
      </c>
      <c r="F840" t="s">
        <v>7639</v>
      </c>
      <c r="G840" t="s">
        <v>7637</v>
      </c>
      <c r="H840" t="s">
        <v>5474</v>
      </c>
      <c r="I840" t="s">
        <v>7640</v>
      </c>
      <c r="J840" t="s">
        <v>5476</v>
      </c>
      <c r="K840" t="s">
        <v>5471</v>
      </c>
      <c r="L840" t="s">
        <v>5471</v>
      </c>
      <c r="M840" t="s">
        <v>5471</v>
      </c>
    </row>
    <row r="841" spans="1:13" x14ac:dyDescent="0.3">
      <c r="A841" t="s">
        <v>3383</v>
      </c>
      <c r="B841" t="s">
        <v>6026</v>
      </c>
      <c r="C841" t="s">
        <v>5487</v>
      </c>
      <c r="D841" t="s">
        <v>4119</v>
      </c>
      <c r="E841" t="s">
        <v>5532</v>
      </c>
      <c r="F841" t="s">
        <v>7641</v>
      </c>
      <c r="G841" t="s">
        <v>7484</v>
      </c>
      <c r="H841" t="s">
        <v>5474</v>
      </c>
      <c r="I841" t="s">
        <v>7642</v>
      </c>
      <c r="J841" t="s">
        <v>5476</v>
      </c>
      <c r="K841" t="s">
        <v>5471</v>
      </c>
      <c r="L841" t="s">
        <v>5471</v>
      </c>
      <c r="M841" t="s">
        <v>5471</v>
      </c>
    </row>
    <row r="842" spans="1:13" x14ac:dyDescent="0.3">
      <c r="A842" t="s">
        <v>3383</v>
      </c>
      <c r="B842" t="s">
        <v>7643</v>
      </c>
      <c r="C842" t="s">
        <v>5487</v>
      </c>
      <c r="D842" t="s">
        <v>4119</v>
      </c>
      <c r="E842" t="s">
        <v>5532</v>
      </c>
      <c r="F842" t="s">
        <v>7644</v>
      </c>
      <c r="G842" t="s">
        <v>7645</v>
      </c>
      <c r="H842" t="s">
        <v>5474</v>
      </c>
      <c r="I842" t="s">
        <v>7646</v>
      </c>
      <c r="J842" t="s">
        <v>5484</v>
      </c>
      <c r="K842" t="s">
        <v>5471</v>
      </c>
      <c r="L842" t="s">
        <v>5471</v>
      </c>
      <c r="M842" t="s">
        <v>5471</v>
      </c>
    </row>
    <row r="843" spans="1:13" x14ac:dyDescent="0.3">
      <c r="A843" t="s">
        <v>3383</v>
      </c>
      <c r="B843" t="s">
        <v>7643</v>
      </c>
      <c r="C843" t="s">
        <v>5487</v>
      </c>
      <c r="D843" t="s">
        <v>4119</v>
      </c>
      <c r="E843" t="s">
        <v>5532</v>
      </c>
      <c r="F843" t="s">
        <v>7647</v>
      </c>
      <c r="G843" t="s">
        <v>7648</v>
      </c>
      <c r="H843" t="s">
        <v>5474</v>
      </c>
      <c r="I843" t="s">
        <v>7649</v>
      </c>
      <c r="J843" t="s">
        <v>5484</v>
      </c>
      <c r="K843" t="s">
        <v>5471</v>
      </c>
      <c r="L843" t="s">
        <v>5471</v>
      </c>
      <c r="M843" t="s">
        <v>5471</v>
      </c>
    </row>
    <row r="844" spans="1:13" x14ac:dyDescent="0.3">
      <c r="A844" t="s">
        <v>3383</v>
      </c>
      <c r="B844" t="s">
        <v>7643</v>
      </c>
      <c r="C844" t="s">
        <v>5487</v>
      </c>
      <c r="D844" t="s">
        <v>4119</v>
      </c>
      <c r="E844" t="s">
        <v>5532</v>
      </c>
      <c r="F844" t="s">
        <v>7650</v>
      </c>
      <c r="G844" t="s">
        <v>7648</v>
      </c>
      <c r="H844" t="s">
        <v>5474</v>
      </c>
      <c r="I844" t="s">
        <v>7651</v>
      </c>
      <c r="J844" t="s">
        <v>5484</v>
      </c>
      <c r="K844" t="s">
        <v>5471</v>
      </c>
      <c r="L844" t="s">
        <v>5471</v>
      </c>
      <c r="M844" t="s">
        <v>5471</v>
      </c>
    </row>
    <row r="845" spans="1:13" x14ac:dyDescent="0.3">
      <c r="A845" t="s">
        <v>3383</v>
      </c>
      <c r="B845" t="s">
        <v>6178</v>
      </c>
      <c r="C845" t="s">
        <v>5470</v>
      </c>
      <c r="D845" t="s">
        <v>4119</v>
      </c>
      <c r="E845" t="s">
        <v>5471</v>
      </c>
      <c r="F845" t="s">
        <v>7652</v>
      </c>
      <c r="G845" t="s">
        <v>7516</v>
      </c>
      <c r="H845" t="s">
        <v>5474</v>
      </c>
      <c r="I845" t="s">
        <v>7653</v>
      </c>
      <c r="J845" t="s">
        <v>5476</v>
      </c>
      <c r="K845" t="s">
        <v>5471</v>
      </c>
      <c r="L845" t="s">
        <v>5471</v>
      </c>
      <c r="M845" t="s">
        <v>5471</v>
      </c>
    </row>
    <row r="846" spans="1:13" x14ac:dyDescent="0.3">
      <c r="A846" t="s">
        <v>3383</v>
      </c>
      <c r="B846" t="s">
        <v>6178</v>
      </c>
      <c r="C846" t="s">
        <v>5470</v>
      </c>
      <c r="D846" t="s">
        <v>4119</v>
      </c>
      <c r="E846" t="s">
        <v>5471</v>
      </c>
      <c r="F846" t="s">
        <v>7654</v>
      </c>
      <c r="G846" t="s">
        <v>7613</v>
      </c>
      <c r="H846" t="s">
        <v>5474</v>
      </c>
      <c r="I846" t="s">
        <v>7655</v>
      </c>
      <c r="J846" t="s">
        <v>5476</v>
      </c>
      <c r="K846" t="s">
        <v>5471</v>
      </c>
      <c r="L846" t="s">
        <v>5471</v>
      </c>
      <c r="M846" t="s">
        <v>5471</v>
      </c>
    </row>
    <row r="847" spans="1:13" x14ac:dyDescent="0.3">
      <c r="A847" t="s">
        <v>3383</v>
      </c>
      <c r="B847" t="s">
        <v>6178</v>
      </c>
      <c r="C847" t="s">
        <v>5470</v>
      </c>
      <c r="D847" t="s">
        <v>4119</v>
      </c>
      <c r="E847" t="s">
        <v>5471</v>
      </c>
      <c r="F847" t="s">
        <v>7656</v>
      </c>
      <c r="G847" t="s">
        <v>7613</v>
      </c>
      <c r="H847" t="s">
        <v>5474</v>
      </c>
      <c r="I847" t="s">
        <v>7657</v>
      </c>
      <c r="J847" t="s">
        <v>5476</v>
      </c>
      <c r="K847" t="s">
        <v>5471</v>
      </c>
      <c r="L847" t="s">
        <v>5471</v>
      </c>
      <c r="M847" t="s">
        <v>5471</v>
      </c>
    </row>
    <row r="848" spans="1:13" x14ac:dyDescent="0.3">
      <c r="A848" t="s">
        <v>3383</v>
      </c>
      <c r="B848" t="s">
        <v>6178</v>
      </c>
      <c r="C848" t="s">
        <v>5470</v>
      </c>
      <c r="D848" t="s">
        <v>4119</v>
      </c>
      <c r="E848" t="s">
        <v>5471</v>
      </c>
      <c r="F848" t="s">
        <v>7658</v>
      </c>
      <c r="G848" t="s">
        <v>7613</v>
      </c>
      <c r="H848" t="s">
        <v>5474</v>
      </c>
      <c r="I848" t="s">
        <v>7659</v>
      </c>
      <c r="J848" t="s">
        <v>5476</v>
      </c>
      <c r="K848" t="s">
        <v>5471</v>
      </c>
      <c r="L848" t="s">
        <v>5471</v>
      </c>
      <c r="M848" t="s">
        <v>5471</v>
      </c>
    </row>
    <row r="849" spans="1:13" x14ac:dyDescent="0.3">
      <c r="A849" t="s">
        <v>3383</v>
      </c>
      <c r="B849" t="s">
        <v>5586</v>
      </c>
      <c r="C849" t="s">
        <v>5487</v>
      </c>
      <c r="D849" t="s">
        <v>4119</v>
      </c>
      <c r="E849" t="s">
        <v>5532</v>
      </c>
      <c r="F849" t="s">
        <v>7660</v>
      </c>
      <c r="G849" t="s">
        <v>7661</v>
      </c>
      <c r="H849" t="s">
        <v>5474</v>
      </c>
      <c r="I849" t="s">
        <v>7662</v>
      </c>
      <c r="J849" t="s">
        <v>5484</v>
      </c>
      <c r="K849" t="s">
        <v>5471</v>
      </c>
      <c r="L849" t="s">
        <v>5471</v>
      </c>
      <c r="M849" t="s">
        <v>5471</v>
      </c>
    </row>
    <row r="850" spans="1:13" x14ac:dyDescent="0.3">
      <c r="A850" t="s">
        <v>3383</v>
      </c>
      <c r="B850" t="s">
        <v>6051</v>
      </c>
      <c r="C850" t="s">
        <v>5470</v>
      </c>
      <c r="D850" t="s">
        <v>4119</v>
      </c>
      <c r="E850" t="s">
        <v>5756</v>
      </c>
      <c r="F850" t="s">
        <v>7663</v>
      </c>
      <c r="G850" t="s">
        <v>7664</v>
      </c>
      <c r="H850" t="s">
        <v>5474</v>
      </c>
      <c r="I850" t="s">
        <v>7665</v>
      </c>
      <c r="J850" t="s">
        <v>5484</v>
      </c>
      <c r="K850" t="s">
        <v>5471</v>
      </c>
      <c r="L850" t="s">
        <v>5471</v>
      </c>
      <c r="M850" t="s">
        <v>5471</v>
      </c>
    </row>
    <row r="851" spans="1:13" x14ac:dyDescent="0.3">
      <c r="A851" t="s">
        <v>3383</v>
      </c>
      <c r="B851" t="s">
        <v>5586</v>
      </c>
      <c r="C851" t="s">
        <v>5487</v>
      </c>
      <c r="D851" t="s">
        <v>4119</v>
      </c>
      <c r="E851" t="s">
        <v>5532</v>
      </c>
      <c r="F851" t="s">
        <v>7666</v>
      </c>
      <c r="G851" t="s">
        <v>7661</v>
      </c>
      <c r="H851" t="s">
        <v>5474</v>
      </c>
      <c r="I851" t="s">
        <v>7667</v>
      </c>
      <c r="J851" t="s">
        <v>5484</v>
      </c>
      <c r="K851" t="s">
        <v>5471</v>
      </c>
      <c r="L851" t="s">
        <v>5471</v>
      </c>
      <c r="M851" t="s">
        <v>5471</v>
      </c>
    </row>
    <row r="852" spans="1:13" x14ac:dyDescent="0.3">
      <c r="A852" t="s">
        <v>3383</v>
      </c>
      <c r="B852" t="s">
        <v>5304</v>
      </c>
      <c r="C852" t="s">
        <v>5487</v>
      </c>
      <c r="D852" t="s">
        <v>4119</v>
      </c>
      <c r="E852" t="s">
        <v>5532</v>
      </c>
      <c r="F852" t="s">
        <v>7668</v>
      </c>
      <c r="G852" t="s">
        <v>7669</v>
      </c>
      <c r="H852" t="s">
        <v>5474</v>
      </c>
      <c r="I852" t="s">
        <v>7670</v>
      </c>
      <c r="J852" t="s">
        <v>5484</v>
      </c>
      <c r="K852" t="s">
        <v>5471</v>
      </c>
      <c r="L852" t="s">
        <v>5471</v>
      </c>
      <c r="M852" t="s">
        <v>5471</v>
      </c>
    </row>
    <row r="853" spans="1:13" x14ac:dyDescent="0.3">
      <c r="A853" t="s">
        <v>3383</v>
      </c>
      <c r="B853" t="s">
        <v>6051</v>
      </c>
      <c r="C853" t="s">
        <v>5470</v>
      </c>
      <c r="D853" t="s">
        <v>4119</v>
      </c>
      <c r="E853" t="s">
        <v>5756</v>
      </c>
      <c r="F853" t="s">
        <v>7671</v>
      </c>
      <c r="G853" t="s">
        <v>7664</v>
      </c>
      <c r="H853" t="s">
        <v>5474</v>
      </c>
      <c r="I853" t="s">
        <v>7672</v>
      </c>
      <c r="J853" t="s">
        <v>5484</v>
      </c>
      <c r="K853" t="s">
        <v>5471</v>
      </c>
      <c r="L853" t="s">
        <v>5471</v>
      </c>
      <c r="M853" t="s">
        <v>5471</v>
      </c>
    </row>
    <row r="854" spans="1:13" x14ac:dyDescent="0.3">
      <c r="A854" t="s">
        <v>3383</v>
      </c>
      <c r="B854" t="s">
        <v>5586</v>
      </c>
      <c r="C854" t="s">
        <v>5487</v>
      </c>
      <c r="D854" t="s">
        <v>4119</v>
      </c>
      <c r="E854" t="s">
        <v>5532</v>
      </c>
      <c r="F854" t="s">
        <v>7673</v>
      </c>
      <c r="G854" t="s">
        <v>7674</v>
      </c>
      <c r="H854" t="s">
        <v>5474</v>
      </c>
      <c r="I854" t="s">
        <v>7675</v>
      </c>
      <c r="J854" t="s">
        <v>5484</v>
      </c>
      <c r="K854" t="s">
        <v>5471</v>
      </c>
      <c r="L854" t="s">
        <v>5471</v>
      </c>
      <c r="M854" t="s">
        <v>5471</v>
      </c>
    </row>
    <row r="855" spans="1:13" x14ac:dyDescent="0.3">
      <c r="A855" t="s">
        <v>3383</v>
      </c>
      <c r="B855" t="s">
        <v>6051</v>
      </c>
      <c r="C855" t="s">
        <v>5470</v>
      </c>
      <c r="D855" t="s">
        <v>4119</v>
      </c>
      <c r="E855" t="s">
        <v>5756</v>
      </c>
      <c r="F855" t="s">
        <v>7676</v>
      </c>
      <c r="G855" t="s">
        <v>7664</v>
      </c>
      <c r="H855" t="s">
        <v>5474</v>
      </c>
      <c r="I855" t="s">
        <v>7677</v>
      </c>
      <c r="J855" t="s">
        <v>5484</v>
      </c>
      <c r="K855" t="s">
        <v>5471</v>
      </c>
      <c r="L855" t="s">
        <v>5471</v>
      </c>
      <c r="M855" t="s">
        <v>5471</v>
      </c>
    </row>
    <row r="856" spans="1:13" x14ac:dyDescent="0.3">
      <c r="A856" t="s">
        <v>3383</v>
      </c>
      <c r="B856" t="s">
        <v>5304</v>
      </c>
      <c r="C856" t="s">
        <v>5487</v>
      </c>
      <c r="D856" t="s">
        <v>4119</v>
      </c>
      <c r="E856" t="s">
        <v>5532</v>
      </c>
      <c r="F856" t="s">
        <v>7678</v>
      </c>
      <c r="G856" t="s">
        <v>6041</v>
      </c>
      <c r="H856" t="s">
        <v>5474</v>
      </c>
      <c r="I856" t="s">
        <v>7679</v>
      </c>
      <c r="J856" t="s">
        <v>5484</v>
      </c>
      <c r="K856" t="s">
        <v>5471</v>
      </c>
      <c r="L856" t="s">
        <v>5471</v>
      </c>
      <c r="M856" t="s">
        <v>5471</v>
      </c>
    </row>
    <row r="857" spans="1:13" x14ac:dyDescent="0.3">
      <c r="A857" t="s">
        <v>3383</v>
      </c>
      <c r="B857" t="s">
        <v>5586</v>
      </c>
      <c r="C857" t="s">
        <v>5487</v>
      </c>
      <c r="D857" t="s">
        <v>4119</v>
      </c>
      <c r="E857" t="s">
        <v>5532</v>
      </c>
      <c r="F857" t="s">
        <v>7680</v>
      </c>
      <c r="G857" t="s">
        <v>7674</v>
      </c>
      <c r="H857" t="s">
        <v>5474</v>
      </c>
      <c r="I857" t="s">
        <v>7681</v>
      </c>
      <c r="J857" t="s">
        <v>5484</v>
      </c>
      <c r="K857" t="s">
        <v>5471</v>
      </c>
      <c r="L857" t="s">
        <v>5471</v>
      </c>
      <c r="M857" t="s">
        <v>5471</v>
      </c>
    </row>
    <row r="858" spans="1:13" x14ac:dyDescent="0.3">
      <c r="A858" t="s">
        <v>3383</v>
      </c>
      <c r="B858" t="s">
        <v>5952</v>
      </c>
      <c r="C858" t="s">
        <v>5470</v>
      </c>
      <c r="D858" t="s">
        <v>4119</v>
      </c>
      <c r="E858" t="s">
        <v>5756</v>
      </c>
      <c r="F858" t="s">
        <v>7682</v>
      </c>
      <c r="G858" t="s">
        <v>7683</v>
      </c>
      <c r="H858" t="s">
        <v>5474</v>
      </c>
      <c r="I858" t="s">
        <v>7684</v>
      </c>
      <c r="J858" t="s">
        <v>5476</v>
      </c>
      <c r="K858" t="s">
        <v>5471</v>
      </c>
      <c r="L858" t="s">
        <v>5471</v>
      </c>
      <c r="M858" t="s">
        <v>5471</v>
      </c>
    </row>
    <row r="859" spans="1:13" x14ac:dyDescent="0.3">
      <c r="A859" t="s">
        <v>3383</v>
      </c>
      <c r="B859" t="s">
        <v>6178</v>
      </c>
      <c r="C859" t="s">
        <v>5470</v>
      </c>
      <c r="D859" t="s">
        <v>4119</v>
      </c>
      <c r="E859" t="s">
        <v>5471</v>
      </c>
      <c r="F859" t="s">
        <v>7685</v>
      </c>
      <c r="G859" t="s">
        <v>7686</v>
      </c>
      <c r="H859" t="s">
        <v>5474</v>
      </c>
      <c r="I859" t="s">
        <v>7687</v>
      </c>
      <c r="J859" t="s">
        <v>5476</v>
      </c>
      <c r="K859" t="s">
        <v>5471</v>
      </c>
      <c r="L859" t="s">
        <v>5471</v>
      </c>
      <c r="M859" t="s">
        <v>5471</v>
      </c>
    </row>
    <row r="860" spans="1:13" x14ac:dyDescent="0.3">
      <c r="A860" t="s">
        <v>3383</v>
      </c>
      <c r="B860" t="s">
        <v>6051</v>
      </c>
      <c r="C860" t="s">
        <v>5470</v>
      </c>
      <c r="D860" t="s">
        <v>4119</v>
      </c>
      <c r="E860" t="s">
        <v>5532</v>
      </c>
      <c r="F860" t="s">
        <v>7688</v>
      </c>
      <c r="G860" t="s">
        <v>7689</v>
      </c>
      <c r="H860" t="s">
        <v>5474</v>
      </c>
      <c r="I860" t="s">
        <v>7690</v>
      </c>
      <c r="J860" t="s">
        <v>5484</v>
      </c>
      <c r="K860" t="s">
        <v>5471</v>
      </c>
      <c r="L860" t="s">
        <v>5471</v>
      </c>
      <c r="M860" t="s">
        <v>5471</v>
      </c>
    </row>
    <row r="861" spans="1:13" x14ac:dyDescent="0.3">
      <c r="A861" t="s">
        <v>3383</v>
      </c>
      <c r="B861" t="s">
        <v>6051</v>
      </c>
      <c r="C861" t="s">
        <v>5470</v>
      </c>
      <c r="D861" t="s">
        <v>4119</v>
      </c>
      <c r="E861" t="s">
        <v>5756</v>
      </c>
      <c r="F861" t="s">
        <v>7691</v>
      </c>
      <c r="G861" t="s">
        <v>7692</v>
      </c>
      <c r="H861" t="s">
        <v>5474</v>
      </c>
      <c r="I861" t="s">
        <v>7693</v>
      </c>
      <c r="J861" t="s">
        <v>5484</v>
      </c>
      <c r="K861" t="s">
        <v>5471</v>
      </c>
      <c r="L861" t="s">
        <v>5471</v>
      </c>
      <c r="M861" t="s">
        <v>5471</v>
      </c>
    </row>
    <row r="862" spans="1:13" x14ac:dyDescent="0.3">
      <c r="A862" t="s">
        <v>3383</v>
      </c>
      <c r="B862" t="s">
        <v>6051</v>
      </c>
      <c r="C862" t="s">
        <v>5470</v>
      </c>
      <c r="D862" t="s">
        <v>4119</v>
      </c>
      <c r="E862" t="s">
        <v>5756</v>
      </c>
      <c r="F862" t="s">
        <v>7694</v>
      </c>
      <c r="G862" t="s">
        <v>7692</v>
      </c>
      <c r="H862" t="s">
        <v>5474</v>
      </c>
      <c r="I862" t="s">
        <v>7695</v>
      </c>
      <c r="J862" t="s">
        <v>5484</v>
      </c>
      <c r="K862" t="s">
        <v>5471</v>
      </c>
      <c r="L862" t="s">
        <v>5471</v>
      </c>
      <c r="M862" t="s">
        <v>5471</v>
      </c>
    </row>
    <row r="863" spans="1:13" x14ac:dyDescent="0.3">
      <c r="A863" t="s">
        <v>3383</v>
      </c>
      <c r="B863" t="s">
        <v>6178</v>
      </c>
      <c r="C863" t="s">
        <v>5470</v>
      </c>
      <c r="D863" t="s">
        <v>4119</v>
      </c>
      <c r="E863" t="s">
        <v>5471</v>
      </c>
      <c r="F863" t="s">
        <v>6622</v>
      </c>
      <c r="G863" t="s">
        <v>7613</v>
      </c>
      <c r="H863" t="s">
        <v>5474</v>
      </c>
      <c r="I863" t="s">
        <v>7696</v>
      </c>
      <c r="J863" t="s">
        <v>5484</v>
      </c>
      <c r="K863" t="s">
        <v>5471</v>
      </c>
      <c r="L863" t="s">
        <v>5471</v>
      </c>
      <c r="M863" t="s">
        <v>5471</v>
      </c>
    </row>
    <row r="864" spans="1:13" x14ac:dyDescent="0.3">
      <c r="A864" t="s">
        <v>3383</v>
      </c>
      <c r="B864" t="s">
        <v>6051</v>
      </c>
      <c r="C864" t="s">
        <v>5470</v>
      </c>
      <c r="D864" t="s">
        <v>4119</v>
      </c>
      <c r="E864" t="s">
        <v>5756</v>
      </c>
      <c r="F864" t="s">
        <v>7697</v>
      </c>
      <c r="G864" t="s">
        <v>7692</v>
      </c>
      <c r="H864" t="s">
        <v>5474</v>
      </c>
      <c r="I864" t="s">
        <v>7698</v>
      </c>
      <c r="J864" t="s">
        <v>5484</v>
      </c>
      <c r="K864" t="s">
        <v>5471</v>
      </c>
      <c r="L864" t="s">
        <v>5471</v>
      </c>
      <c r="M864" t="s">
        <v>5471</v>
      </c>
    </row>
    <row r="865" spans="1:13" x14ac:dyDescent="0.3">
      <c r="A865" t="s">
        <v>3383</v>
      </c>
      <c r="B865" t="s">
        <v>6051</v>
      </c>
      <c r="C865" t="s">
        <v>5470</v>
      </c>
      <c r="D865" t="s">
        <v>4119</v>
      </c>
      <c r="E865" t="s">
        <v>5756</v>
      </c>
      <c r="F865" t="s">
        <v>7699</v>
      </c>
      <c r="G865" t="s">
        <v>7692</v>
      </c>
      <c r="H865" t="s">
        <v>5474</v>
      </c>
      <c r="I865" t="s">
        <v>7700</v>
      </c>
      <c r="J865" t="s">
        <v>5484</v>
      </c>
      <c r="K865" t="s">
        <v>5471</v>
      </c>
      <c r="L865" t="s">
        <v>5471</v>
      </c>
      <c r="M865" t="s">
        <v>5471</v>
      </c>
    </row>
    <row r="866" spans="1:13" x14ac:dyDescent="0.3">
      <c r="A866" t="s">
        <v>3383</v>
      </c>
      <c r="B866" t="s">
        <v>6051</v>
      </c>
      <c r="C866" t="s">
        <v>5470</v>
      </c>
      <c r="D866" t="s">
        <v>4119</v>
      </c>
      <c r="E866" t="s">
        <v>5756</v>
      </c>
      <c r="F866" t="s">
        <v>7701</v>
      </c>
      <c r="G866" t="s">
        <v>7692</v>
      </c>
      <c r="H866" t="s">
        <v>5474</v>
      </c>
      <c r="I866" t="s">
        <v>7702</v>
      </c>
      <c r="J866" t="s">
        <v>5484</v>
      </c>
      <c r="K866" t="s">
        <v>5471</v>
      </c>
      <c r="L866" t="s">
        <v>5471</v>
      </c>
      <c r="M866" t="s">
        <v>5471</v>
      </c>
    </row>
    <row r="867" spans="1:13" x14ac:dyDescent="0.3">
      <c r="A867" t="s">
        <v>3383</v>
      </c>
      <c r="B867" t="s">
        <v>6051</v>
      </c>
      <c r="C867" t="s">
        <v>5470</v>
      </c>
      <c r="D867" t="s">
        <v>4119</v>
      </c>
      <c r="E867" t="s">
        <v>5756</v>
      </c>
      <c r="F867" t="s">
        <v>7703</v>
      </c>
      <c r="G867" t="s">
        <v>7692</v>
      </c>
      <c r="H867" t="s">
        <v>5474</v>
      </c>
      <c r="I867" t="s">
        <v>7704</v>
      </c>
      <c r="J867" t="s">
        <v>5484</v>
      </c>
      <c r="K867" t="s">
        <v>5471</v>
      </c>
      <c r="L867" t="s">
        <v>5471</v>
      </c>
      <c r="M867" t="s">
        <v>5471</v>
      </c>
    </row>
    <row r="868" spans="1:13" x14ac:dyDescent="0.3">
      <c r="A868" t="s">
        <v>3383</v>
      </c>
      <c r="B868" t="s">
        <v>6051</v>
      </c>
      <c r="C868" t="s">
        <v>5470</v>
      </c>
      <c r="D868" t="s">
        <v>4119</v>
      </c>
      <c r="E868" t="s">
        <v>5756</v>
      </c>
      <c r="F868" t="s">
        <v>7705</v>
      </c>
      <c r="G868" t="s">
        <v>7692</v>
      </c>
      <c r="H868" t="s">
        <v>5474</v>
      </c>
      <c r="I868" t="s">
        <v>7706</v>
      </c>
      <c r="J868" t="s">
        <v>5484</v>
      </c>
      <c r="K868" t="s">
        <v>5471</v>
      </c>
      <c r="L868" t="s">
        <v>5471</v>
      </c>
      <c r="M868" t="s">
        <v>5471</v>
      </c>
    </row>
    <row r="869" spans="1:13" x14ac:dyDescent="0.3">
      <c r="A869" t="s">
        <v>3383</v>
      </c>
      <c r="B869" t="s">
        <v>6051</v>
      </c>
      <c r="C869" t="s">
        <v>5470</v>
      </c>
      <c r="D869" t="s">
        <v>4119</v>
      </c>
      <c r="E869" t="s">
        <v>5756</v>
      </c>
      <c r="F869" t="s">
        <v>7707</v>
      </c>
      <c r="G869" t="s">
        <v>7692</v>
      </c>
      <c r="H869" t="s">
        <v>5474</v>
      </c>
      <c r="I869" t="s">
        <v>7708</v>
      </c>
      <c r="J869" t="s">
        <v>5484</v>
      </c>
      <c r="K869" t="s">
        <v>5471</v>
      </c>
      <c r="L869" t="s">
        <v>5471</v>
      </c>
      <c r="M869" t="s">
        <v>5471</v>
      </c>
    </row>
    <row r="870" spans="1:13" x14ac:dyDescent="0.3">
      <c r="A870" t="s">
        <v>3383</v>
      </c>
      <c r="B870" t="s">
        <v>6051</v>
      </c>
      <c r="C870" t="s">
        <v>5470</v>
      </c>
      <c r="D870" t="s">
        <v>4119</v>
      </c>
      <c r="E870" t="s">
        <v>5756</v>
      </c>
      <c r="F870" t="s">
        <v>7709</v>
      </c>
      <c r="G870" t="s">
        <v>7692</v>
      </c>
      <c r="H870" t="s">
        <v>5474</v>
      </c>
      <c r="I870" t="s">
        <v>7710</v>
      </c>
      <c r="J870" t="s">
        <v>5484</v>
      </c>
      <c r="K870" t="s">
        <v>5471</v>
      </c>
      <c r="L870" t="s">
        <v>5471</v>
      </c>
      <c r="M870" t="s">
        <v>5471</v>
      </c>
    </row>
    <row r="871" spans="1:13" x14ac:dyDescent="0.3">
      <c r="A871" t="s">
        <v>3383</v>
      </c>
      <c r="B871" t="s">
        <v>6051</v>
      </c>
      <c r="C871" t="s">
        <v>5470</v>
      </c>
      <c r="D871" t="s">
        <v>4119</v>
      </c>
      <c r="E871" t="s">
        <v>5756</v>
      </c>
      <c r="F871" t="s">
        <v>7711</v>
      </c>
      <c r="G871" t="s">
        <v>7692</v>
      </c>
      <c r="H871" t="s">
        <v>5474</v>
      </c>
      <c r="I871" t="s">
        <v>7712</v>
      </c>
      <c r="J871" t="s">
        <v>5484</v>
      </c>
      <c r="K871" t="s">
        <v>5471</v>
      </c>
      <c r="L871" t="s">
        <v>5471</v>
      </c>
      <c r="M871" t="s">
        <v>5471</v>
      </c>
    </row>
    <row r="872" spans="1:13" x14ac:dyDescent="0.3">
      <c r="A872" t="s">
        <v>3383</v>
      </c>
      <c r="B872" t="s">
        <v>6178</v>
      </c>
      <c r="C872" t="s">
        <v>5470</v>
      </c>
      <c r="D872" t="s">
        <v>4119</v>
      </c>
      <c r="E872" t="s">
        <v>5471</v>
      </c>
      <c r="F872" t="s">
        <v>7713</v>
      </c>
      <c r="G872" t="s">
        <v>7686</v>
      </c>
      <c r="H872" t="s">
        <v>5474</v>
      </c>
      <c r="I872" t="s">
        <v>7714</v>
      </c>
      <c r="J872" t="s">
        <v>5476</v>
      </c>
      <c r="K872" t="s">
        <v>5471</v>
      </c>
      <c r="L872" t="s">
        <v>5471</v>
      </c>
      <c r="M872" t="s">
        <v>5471</v>
      </c>
    </row>
    <row r="873" spans="1:13" x14ac:dyDescent="0.3">
      <c r="A873" t="s">
        <v>3383</v>
      </c>
      <c r="B873" t="s">
        <v>6178</v>
      </c>
      <c r="C873" t="s">
        <v>5470</v>
      </c>
      <c r="D873" t="s">
        <v>4119</v>
      </c>
      <c r="E873" t="s">
        <v>5471</v>
      </c>
      <c r="F873" t="s">
        <v>7715</v>
      </c>
      <c r="G873" t="s">
        <v>7716</v>
      </c>
      <c r="H873" t="s">
        <v>5474</v>
      </c>
      <c r="I873" t="s">
        <v>7717</v>
      </c>
      <c r="J873" t="s">
        <v>5476</v>
      </c>
      <c r="K873" t="s">
        <v>5471</v>
      </c>
      <c r="L873" t="s">
        <v>5471</v>
      </c>
      <c r="M873" t="s">
        <v>5471</v>
      </c>
    </row>
    <row r="874" spans="1:13" x14ac:dyDescent="0.3">
      <c r="A874" t="s">
        <v>3383</v>
      </c>
      <c r="B874" t="s">
        <v>6178</v>
      </c>
      <c r="C874" t="s">
        <v>5470</v>
      </c>
      <c r="D874" t="s">
        <v>4119</v>
      </c>
      <c r="E874" t="s">
        <v>5471</v>
      </c>
      <c r="F874" t="s">
        <v>7718</v>
      </c>
      <c r="G874" t="s">
        <v>7716</v>
      </c>
      <c r="H874" t="s">
        <v>5474</v>
      </c>
      <c r="I874" t="s">
        <v>7719</v>
      </c>
      <c r="J874" t="s">
        <v>5476</v>
      </c>
      <c r="K874" t="s">
        <v>5471</v>
      </c>
      <c r="L874" t="s">
        <v>5471</v>
      </c>
      <c r="M874" t="s">
        <v>5471</v>
      </c>
    </row>
    <row r="875" spans="1:13" x14ac:dyDescent="0.3">
      <c r="A875" t="s">
        <v>3383</v>
      </c>
      <c r="B875" t="s">
        <v>6178</v>
      </c>
      <c r="C875" t="s">
        <v>5470</v>
      </c>
      <c r="D875" t="s">
        <v>4119</v>
      </c>
      <c r="E875" t="s">
        <v>5471</v>
      </c>
      <c r="F875" t="s">
        <v>7715</v>
      </c>
      <c r="G875" t="s">
        <v>7716</v>
      </c>
      <c r="H875" t="s">
        <v>5474</v>
      </c>
      <c r="I875" t="s">
        <v>7720</v>
      </c>
      <c r="J875" t="s">
        <v>5476</v>
      </c>
      <c r="K875" t="s">
        <v>5471</v>
      </c>
      <c r="L875" t="s">
        <v>5471</v>
      </c>
      <c r="M875" t="s">
        <v>5471</v>
      </c>
    </row>
    <row r="876" spans="1:13" x14ac:dyDescent="0.3">
      <c r="A876" t="s">
        <v>3383</v>
      </c>
      <c r="B876" t="s">
        <v>6051</v>
      </c>
      <c r="C876" t="s">
        <v>5470</v>
      </c>
      <c r="D876" t="s">
        <v>4119</v>
      </c>
      <c r="E876" t="s">
        <v>5532</v>
      </c>
      <c r="F876" t="s">
        <v>7721</v>
      </c>
      <c r="G876" t="s">
        <v>7722</v>
      </c>
      <c r="H876" t="s">
        <v>5474</v>
      </c>
      <c r="I876" t="s">
        <v>7723</v>
      </c>
      <c r="J876" t="s">
        <v>5484</v>
      </c>
      <c r="K876" t="s">
        <v>5471</v>
      </c>
      <c r="L876" t="s">
        <v>5471</v>
      </c>
      <c r="M876" t="s">
        <v>5471</v>
      </c>
    </row>
    <row r="877" spans="1:13" x14ac:dyDescent="0.3">
      <c r="A877" t="s">
        <v>3383</v>
      </c>
      <c r="B877" t="s">
        <v>6051</v>
      </c>
      <c r="C877" t="s">
        <v>5470</v>
      </c>
      <c r="D877" t="s">
        <v>4119</v>
      </c>
      <c r="E877" t="s">
        <v>5756</v>
      </c>
      <c r="F877" t="s">
        <v>7724</v>
      </c>
      <c r="G877" t="s">
        <v>7725</v>
      </c>
      <c r="H877" t="s">
        <v>5474</v>
      </c>
      <c r="I877" t="s">
        <v>7726</v>
      </c>
      <c r="J877" t="s">
        <v>5476</v>
      </c>
      <c r="K877" t="s">
        <v>5471</v>
      </c>
      <c r="L877" t="s">
        <v>5471</v>
      </c>
      <c r="M877" t="s">
        <v>5471</v>
      </c>
    </row>
    <row r="878" spans="1:13" x14ac:dyDescent="0.3">
      <c r="A878" t="s">
        <v>3383</v>
      </c>
      <c r="B878" t="s">
        <v>5952</v>
      </c>
      <c r="C878" t="s">
        <v>5470</v>
      </c>
      <c r="D878" t="s">
        <v>4119</v>
      </c>
      <c r="E878" t="s">
        <v>5756</v>
      </c>
      <c r="F878" t="s">
        <v>7727</v>
      </c>
      <c r="G878" t="s">
        <v>7728</v>
      </c>
      <c r="H878" t="s">
        <v>5474</v>
      </c>
      <c r="I878" t="s">
        <v>7729</v>
      </c>
      <c r="J878" t="s">
        <v>5476</v>
      </c>
      <c r="K878" t="s">
        <v>5471</v>
      </c>
      <c r="L878" t="s">
        <v>5471</v>
      </c>
      <c r="M878" t="s">
        <v>5471</v>
      </c>
    </row>
    <row r="879" spans="1:13" x14ac:dyDescent="0.3">
      <c r="A879" t="s">
        <v>3383</v>
      </c>
      <c r="B879" t="s">
        <v>6051</v>
      </c>
      <c r="C879" t="s">
        <v>5470</v>
      </c>
      <c r="D879" t="s">
        <v>4119</v>
      </c>
      <c r="E879" t="s">
        <v>5756</v>
      </c>
      <c r="F879" t="s">
        <v>7730</v>
      </c>
      <c r="G879" t="s">
        <v>7692</v>
      </c>
      <c r="H879" t="s">
        <v>5474</v>
      </c>
      <c r="I879" t="s">
        <v>7731</v>
      </c>
      <c r="J879" t="s">
        <v>5476</v>
      </c>
      <c r="K879" t="s">
        <v>5471</v>
      </c>
      <c r="L879" t="s">
        <v>5471</v>
      </c>
      <c r="M879" t="s">
        <v>5471</v>
      </c>
    </row>
    <row r="880" spans="1:13" x14ac:dyDescent="0.3">
      <c r="A880" t="s">
        <v>3383</v>
      </c>
      <c r="B880" t="s">
        <v>6178</v>
      </c>
      <c r="C880" t="s">
        <v>5470</v>
      </c>
      <c r="D880" t="s">
        <v>4119</v>
      </c>
      <c r="E880" t="s">
        <v>5471</v>
      </c>
      <c r="F880" t="s">
        <v>7732</v>
      </c>
      <c r="G880" t="s">
        <v>7716</v>
      </c>
      <c r="H880" t="s">
        <v>5474</v>
      </c>
      <c r="I880" t="s">
        <v>7733</v>
      </c>
      <c r="J880" t="s">
        <v>5476</v>
      </c>
      <c r="K880" t="s">
        <v>5471</v>
      </c>
      <c r="L880" t="s">
        <v>5471</v>
      </c>
      <c r="M880" t="s">
        <v>5471</v>
      </c>
    </row>
    <row r="881" spans="1:13" x14ac:dyDescent="0.3">
      <c r="A881" t="s">
        <v>3383</v>
      </c>
      <c r="B881" t="s">
        <v>6051</v>
      </c>
      <c r="C881" t="s">
        <v>5470</v>
      </c>
      <c r="D881" t="s">
        <v>4119</v>
      </c>
      <c r="E881" t="s">
        <v>5756</v>
      </c>
      <c r="F881" t="s">
        <v>7734</v>
      </c>
      <c r="G881" t="s">
        <v>7692</v>
      </c>
      <c r="H881" t="s">
        <v>5474</v>
      </c>
      <c r="I881" t="s">
        <v>7735</v>
      </c>
      <c r="J881" t="s">
        <v>5476</v>
      </c>
      <c r="K881" t="s">
        <v>5471</v>
      </c>
      <c r="L881" t="s">
        <v>5471</v>
      </c>
      <c r="M881" t="s">
        <v>5471</v>
      </c>
    </row>
    <row r="882" spans="1:13" x14ac:dyDescent="0.3">
      <c r="A882" t="s">
        <v>3383</v>
      </c>
      <c r="B882" t="s">
        <v>5586</v>
      </c>
      <c r="C882" t="s">
        <v>5487</v>
      </c>
      <c r="D882" t="s">
        <v>4119</v>
      </c>
      <c r="E882" t="s">
        <v>5532</v>
      </c>
      <c r="F882" t="s">
        <v>7736</v>
      </c>
      <c r="G882" t="s">
        <v>7674</v>
      </c>
      <c r="H882" t="s">
        <v>5474</v>
      </c>
      <c r="I882" t="s">
        <v>7737</v>
      </c>
      <c r="J882" t="s">
        <v>5484</v>
      </c>
      <c r="K882" t="s">
        <v>5471</v>
      </c>
      <c r="L882" t="s">
        <v>5471</v>
      </c>
      <c r="M882" t="s">
        <v>5471</v>
      </c>
    </row>
    <row r="883" spans="1:13" x14ac:dyDescent="0.3">
      <c r="A883" t="s">
        <v>3383</v>
      </c>
      <c r="B883" t="s">
        <v>5952</v>
      </c>
      <c r="C883" t="s">
        <v>5470</v>
      </c>
      <c r="D883" t="s">
        <v>4119</v>
      </c>
      <c r="E883" t="s">
        <v>5756</v>
      </c>
      <c r="F883" t="s">
        <v>7738</v>
      </c>
      <c r="G883" t="s">
        <v>7728</v>
      </c>
      <c r="H883" t="s">
        <v>5474</v>
      </c>
      <c r="I883" t="s">
        <v>7739</v>
      </c>
      <c r="J883" t="s">
        <v>5476</v>
      </c>
      <c r="K883" t="s">
        <v>5471</v>
      </c>
      <c r="L883" t="s">
        <v>5471</v>
      </c>
      <c r="M883" t="s">
        <v>5471</v>
      </c>
    </row>
    <row r="884" spans="1:13" x14ac:dyDescent="0.3">
      <c r="A884" t="s">
        <v>3383</v>
      </c>
      <c r="B884" t="s">
        <v>5586</v>
      </c>
      <c r="C884" t="s">
        <v>5487</v>
      </c>
      <c r="D884" t="s">
        <v>4119</v>
      </c>
      <c r="E884" t="s">
        <v>5532</v>
      </c>
      <c r="F884" t="s">
        <v>7740</v>
      </c>
      <c r="G884" t="s">
        <v>7661</v>
      </c>
      <c r="H884" t="s">
        <v>5474</v>
      </c>
      <c r="I884" t="s">
        <v>7741</v>
      </c>
      <c r="J884" t="s">
        <v>5484</v>
      </c>
      <c r="K884" t="s">
        <v>5471</v>
      </c>
      <c r="L884" t="s">
        <v>5471</v>
      </c>
      <c r="M884" t="s">
        <v>5471</v>
      </c>
    </row>
    <row r="885" spans="1:13" x14ac:dyDescent="0.3">
      <c r="A885" t="s">
        <v>3383</v>
      </c>
      <c r="B885" t="s">
        <v>5952</v>
      </c>
      <c r="C885" t="s">
        <v>5470</v>
      </c>
      <c r="D885" t="s">
        <v>4119</v>
      </c>
      <c r="E885" t="s">
        <v>5756</v>
      </c>
      <c r="F885" t="s">
        <v>7742</v>
      </c>
      <c r="G885" t="s">
        <v>7728</v>
      </c>
      <c r="H885" t="s">
        <v>5474</v>
      </c>
      <c r="I885" t="s">
        <v>7743</v>
      </c>
      <c r="J885" t="s">
        <v>5476</v>
      </c>
      <c r="K885" t="s">
        <v>5471</v>
      </c>
      <c r="L885" t="s">
        <v>5471</v>
      </c>
      <c r="M885" t="s">
        <v>5471</v>
      </c>
    </row>
    <row r="886" spans="1:13" x14ac:dyDescent="0.3">
      <c r="A886" t="s">
        <v>3383</v>
      </c>
      <c r="B886" t="s">
        <v>6051</v>
      </c>
      <c r="C886" t="s">
        <v>5470</v>
      </c>
      <c r="D886" t="s">
        <v>4119</v>
      </c>
      <c r="E886" t="s">
        <v>5756</v>
      </c>
      <c r="F886" t="s">
        <v>7744</v>
      </c>
      <c r="G886" t="s">
        <v>5946</v>
      </c>
      <c r="H886" t="s">
        <v>5474</v>
      </c>
      <c r="I886" t="s">
        <v>7745</v>
      </c>
      <c r="J886" t="s">
        <v>5484</v>
      </c>
      <c r="K886" t="s">
        <v>5471</v>
      </c>
      <c r="L886" t="s">
        <v>5471</v>
      </c>
      <c r="M886" t="s">
        <v>5471</v>
      </c>
    </row>
    <row r="887" spans="1:13" x14ac:dyDescent="0.3">
      <c r="A887" t="s">
        <v>3383</v>
      </c>
      <c r="B887" t="s">
        <v>5952</v>
      </c>
      <c r="C887" t="s">
        <v>5470</v>
      </c>
      <c r="D887" t="s">
        <v>4119</v>
      </c>
      <c r="E887" t="s">
        <v>5756</v>
      </c>
      <c r="F887" t="s">
        <v>7746</v>
      </c>
      <c r="G887" t="s">
        <v>6244</v>
      </c>
      <c r="H887" t="s">
        <v>5474</v>
      </c>
      <c r="I887" t="s">
        <v>7747</v>
      </c>
      <c r="J887" t="s">
        <v>5476</v>
      </c>
      <c r="K887" t="s">
        <v>5471</v>
      </c>
      <c r="L887" t="s">
        <v>5471</v>
      </c>
      <c r="M887" t="s">
        <v>5471</v>
      </c>
    </row>
    <row r="888" spans="1:13" x14ac:dyDescent="0.3">
      <c r="A888" t="s">
        <v>3383</v>
      </c>
      <c r="B888" t="s">
        <v>6026</v>
      </c>
      <c r="C888" t="s">
        <v>5487</v>
      </c>
      <c r="D888" t="s">
        <v>4119</v>
      </c>
      <c r="E888" t="s">
        <v>5532</v>
      </c>
      <c r="F888" t="s">
        <v>7748</v>
      </c>
      <c r="G888" t="s">
        <v>7749</v>
      </c>
      <c r="H888" t="s">
        <v>5474</v>
      </c>
      <c r="I888" t="s">
        <v>7750</v>
      </c>
      <c r="J888" t="s">
        <v>5476</v>
      </c>
      <c r="K888" t="s">
        <v>5471</v>
      </c>
      <c r="L888" t="s">
        <v>5471</v>
      </c>
      <c r="M888" t="s">
        <v>5471</v>
      </c>
    </row>
    <row r="889" spans="1:13" x14ac:dyDescent="0.3">
      <c r="A889" t="s">
        <v>3383</v>
      </c>
      <c r="B889" t="s">
        <v>6051</v>
      </c>
      <c r="C889" t="s">
        <v>5470</v>
      </c>
      <c r="D889" t="s">
        <v>4119</v>
      </c>
      <c r="E889" t="s">
        <v>5532</v>
      </c>
      <c r="F889" t="s">
        <v>7751</v>
      </c>
      <c r="G889" t="s">
        <v>7064</v>
      </c>
      <c r="H889" t="s">
        <v>5474</v>
      </c>
      <c r="I889" t="s">
        <v>7752</v>
      </c>
      <c r="J889" t="s">
        <v>5476</v>
      </c>
      <c r="K889" t="s">
        <v>5471</v>
      </c>
      <c r="L889" t="s">
        <v>5471</v>
      </c>
      <c r="M889" t="s">
        <v>5471</v>
      </c>
    </row>
    <row r="890" spans="1:13" x14ac:dyDescent="0.3">
      <c r="A890" t="s">
        <v>3383</v>
      </c>
      <c r="B890" t="s">
        <v>6051</v>
      </c>
      <c r="C890" t="s">
        <v>5470</v>
      </c>
      <c r="D890" t="s">
        <v>4119</v>
      </c>
      <c r="E890" t="s">
        <v>5532</v>
      </c>
      <c r="F890" t="s">
        <v>7753</v>
      </c>
      <c r="G890" t="s">
        <v>7618</v>
      </c>
      <c r="H890" t="s">
        <v>5474</v>
      </c>
      <c r="I890" t="s">
        <v>7754</v>
      </c>
      <c r="J890" t="s">
        <v>5476</v>
      </c>
      <c r="K890" t="s">
        <v>5471</v>
      </c>
      <c r="L890" t="s">
        <v>5471</v>
      </c>
      <c r="M890" t="s">
        <v>5471</v>
      </c>
    </row>
    <row r="891" spans="1:13" x14ac:dyDescent="0.3">
      <c r="A891" t="s">
        <v>3383</v>
      </c>
      <c r="B891" t="s">
        <v>6051</v>
      </c>
      <c r="C891" t="s">
        <v>5470</v>
      </c>
      <c r="D891" t="s">
        <v>4119</v>
      </c>
      <c r="E891" t="s">
        <v>5617</v>
      </c>
      <c r="F891" t="s">
        <v>7755</v>
      </c>
      <c r="G891" t="s">
        <v>7756</v>
      </c>
      <c r="H891" t="s">
        <v>5474</v>
      </c>
      <c r="I891" t="s">
        <v>7757</v>
      </c>
      <c r="J891" t="s">
        <v>5484</v>
      </c>
      <c r="K891" t="s">
        <v>5471</v>
      </c>
      <c r="L891" t="s">
        <v>5471</v>
      </c>
      <c r="M891" t="s">
        <v>5471</v>
      </c>
    </row>
    <row r="892" spans="1:13" x14ac:dyDescent="0.3">
      <c r="A892" t="s">
        <v>3383</v>
      </c>
      <c r="B892" t="s">
        <v>5952</v>
      </c>
      <c r="C892" t="s">
        <v>5470</v>
      </c>
      <c r="D892" t="s">
        <v>4119</v>
      </c>
      <c r="E892" t="s">
        <v>5756</v>
      </c>
      <c r="F892" t="s">
        <v>7758</v>
      </c>
      <c r="G892" t="s">
        <v>6244</v>
      </c>
      <c r="H892" t="s">
        <v>5474</v>
      </c>
      <c r="I892" t="s">
        <v>7759</v>
      </c>
      <c r="J892" t="s">
        <v>5476</v>
      </c>
      <c r="K892" t="s">
        <v>5471</v>
      </c>
      <c r="L892" t="s">
        <v>5471</v>
      </c>
      <c r="M892" t="s">
        <v>5471</v>
      </c>
    </row>
    <row r="893" spans="1:13" x14ac:dyDescent="0.3">
      <c r="A893" t="s">
        <v>3383</v>
      </c>
      <c r="B893" t="s">
        <v>5952</v>
      </c>
      <c r="C893" t="s">
        <v>5470</v>
      </c>
      <c r="D893" t="s">
        <v>4119</v>
      </c>
      <c r="E893" t="s">
        <v>5756</v>
      </c>
      <c r="F893" t="s">
        <v>7760</v>
      </c>
      <c r="G893" t="s">
        <v>6244</v>
      </c>
      <c r="H893" t="s">
        <v>5474</v>
      </c>
      <c r="I893" t="s">
        <v>7761</v>
      </c>
      <c r="J893" t="s">
        <v>5476</v>
      </c>
      <c r="K893" t="s">
        <v>5471</v>
      </c>
      <c r="L893" t="s">
        <v>5471</v>
      </c>
      <c r="M893" t="s">
        <v>5471</v>
      </c>
    </row>
    <row r="894" spans="1:13" x14ac:dyDescent="0.3">
      <c r="A894" t="s">
        <v>3383</v>
      </c>
      <c r="B894" t="s">
        <v>6178</v>
      </c>
      <c r="C894" t="s">
        <v>5470</v>
      </c>
      <c r="D894" t="s">
        <v>4119</v>
      </c>
      <c r="E894" t="s">
        <v>5471</v>
      </c>
      <c r="F894" t="s">
        <v>7762</v>
      </c>
      <c r="G894" t="s">
        <v>7763</v>
      </c>
      <c r="H894" t="s">
        <v>5474</v>
      </c>
      <c r="I894" t="s">
        <v>7764</v>
      </c>
      <c r="J894" t="s">
        <v>5476</v>
      </c>
      <c r="K894" t="s">
        <v>5471</v>
      </c>
      <c r="L894" t="s">
        <v>5471</v>
      </c>
      <c r="M894" t="s">
        <v>5471</v>
      </c>
    </row>
    <row r="895" spans="1:13" x14ac:dyDescent="0.3">
      <c r="A895" t="s">
        <v>3383</v>
      </c>
      <c r="B895" t="s">
        <v>6178</v>
      </c>
      <c r="C895" t="s">
        <v>5470</v>
      </c>
      <c r="D895" t="s">
        <v>4119</v>
      </c>
      <c r="E895" t="s">
        <v>5471</v>
      </c>
      <c r="F895" t="s">
        <v>7765</v>
      </c>
      <c r="G895" t="s">
        <v>7763</v>
      </c>
      <c r="H895" t="s">
        <v>5474</v>
      </c>
      <c r="I895" t="s">
        <v>7766</v>
      </c>
      <c r="J895" t="s">
        <v>5476</v>
      </c>
      <c r="K895" t="s">
        <v>5471</v>
      </c>
      <c r="L895" t="s">
        <v>5471</v>
      </c>
      <c r="M895" t="s">
        <v>5471</v>
      </c>
    </row>
    <row r="896" spans="1:13" x14ac:dyDescent="0.3">
      <c r="A896" t="s">
        <v>3383</v>
      </c>
      <c r="B896" t="s">
        <v>6178</v>
      </c>
      <c r="C896" t="s">
        <v>5470</v>
      </c>
      <c r="D896" t="s">
        <v>4119</v>
      </c>
      <c r="E896" t="s">
        <v>5471</v>
      </c>
      <c r="F896" t="s">
        <v>7767</v>
      </c>
      <c r="G896" t="s">
        <v>7768</v>
      </c>
      <c r="H896" t="s">
        <v>5474</v>
      </c>
      <c r="I896" t="s">
        <v>7769</v>
      </c>
      <c r="J896" t="s">
        <v>5476</v>
      </c>
      <c r="K896" t="s">
        <v>5471</v>
      </c>
      <c r="L896" t="s">
        <v>5471</v>
      </c>
      <c r="M896" t="s">
        <v>5471</v>
      </c>
    </row>
    <row r="897" spans="1:13" x14ac:dyDescent="0.3">
      <c r="A897" t="s">
        <v>3383</v>
      </c>
      <c r="B897" t="s">
        <v>6178</v>
      </c>
      <c r="C897" t="s">
        <v>5470</v>
      </c>
      <c r="D897" t="s">
        <v>4119</v>
      </c>
      <c r="E897" t="s">
        <v>5471</v>
      </c>
      <c r="F897" t="s">
        <v>7770</v>
      </c>
      <c r="G897" t="s">
        <v>7763</v>
      </c>
      <c r="H897" t="s">
        <v>5474</v>
      </c>
      <c r="I897" t="s">
        <v>7771</v>
      </c>
      <c r="J897" t="s">
        <v>5476</v>
      </c>
      <c r="K897" t="s">
        <v>5471</v>
      </c>
      <c r="L897" t="s">
        <v>5471</v>
      </c>
      <c r="M897" t="s">
        <v>5471</v>
      </c>
    </row>
    <row r="898" spans="1:13" x14ac:dyDescent="0.3">
      <c r="A898" t="s">
        <v>3383</v>
      </c>
      <c r="B898" t="s">
        <v>6178</v>
      </c>
      <c r="C898" t="s">
        <v>5470</v>
      </c>
      <c r="D898" t="s">
        <v>4119</v>
      </c>
      <c r="E898" t="s">
        <v>5471</v>
      </c>
      <c r="F898" t="s">
        <v>7772</v>
      </c>
      <c r="G898" t="s">
        <v>7768</v>
      </c>
      <c r="H898" t="s">
        <v>5474</v>
      </c>
      <c r="I898" t="s">
        <v>7773</v>
      </c>
      <c r="J898" t="s">
        <v>5484</v>
      </c>
      <c r="K898" t="s">
        <v>5471</v>
      </c>
      <c r="L898" t="s">
        <v>5471</v>
      </c>
      <c r="M898" t="s">
        <v>5471</v>
      </c>
    </row>
    <row r="899" spans="1:13" x14ac:dyDescent="0.3">
      <c r="A899" t="s">
        <v>3383</v>
      </c>
      <c r="B899" t="s">
        <v>6178</v>
      </c>
      <c r="C899" t="s">
        <v>5470</v>
      </c>
      <c r="D899" t="s">
        <v>4119</v>
      </c>
      <c r="E899" t="s">
        <v>5471</v>
      </c>
      <c r="F899" t="s">
        <v>7772</v>
      </c>
      <c r="G899" t="s">
        <v>7768</v>
      </c>
      <c r="H899" t="s">
        <v>5474</v>
      </c>
      <c r="I899" t="s">
        <v>7774</v>
      </c>
      <c r="J899" t="s">
        <v>5484</v>
      </c>
      <c r="K899" t="s">
        <v>5471</v>
      </c>
      <c r="L899" t="s">
        <v>5471</v>
      </c>
      <c r="M899" t="s">
        <v>5471</v>
      </c>
    </row>
    <row r="900" spans="1:13" x14ac:dyDescent="0.3">
      <c r="A900" t="s">
        <v>3383</v>
      </c>
      <c r="B900" t="s">
        <v>6178</v>
      </c>
      <c r="C900" t="s">
        <v>5470</v>
      </c>
      <c r="D900" t="s">
        <v>4119</v>
      </c>
      <c r="E900" t="s">
        <v>5471</v>
      </c>
      <c r="F900" t="s">
        <v>7775</v>
      </c>
      <c r="G900" t="s">
        <v>6390</v>
      </c>
      <c r="H900" t="s">
        <v>5474</v>
      </c>
      <c r="I900" t="s">
        <v>7776</v>
      </c>
      <c r="J900" t="s">
        <v>5476</v>
      </c>
      <c r="K900" t="s">
        <v>5471</v>
      </c>
      <c r="L900" t="s">
        <v>5471</v>
      </c>
      <c r="M900" t="s">
        <v>5471</v>
      </c>
    </row>
    <row r="901" spans="1:13" x14ac:dyDescent="0.3">
      <c r="A901" t="s">
        <v>3383</v>
      </c>
      <c r="B901" t="s">
        <v>6178</v>
      </c>
      <c r="C901" t="s">
        <v>5470</v>
      </c>
      <c r="D901" t="s">
        <v>4119</v>
      </c>
      <c r="E901" t="s">
        <v>5471</v>
      </c>
      <c r="F901" t="s">
        <v>7777</v>
      </c>
      <c r="G901" t="s">
        <v>6390</v>
      </c>
      <c r="H901" t="s">
        <v>5474</v>
      </c>
      <c r="I901" t="s">
        <v>7778</v>
      </c>
      <c r="J901" t="s">
        <v>5476</v>
      </c>
      <c r="K901" t="s">
        <v>5471</v>
      </c>
      <c r="L901" t="s">
        <v>5471</v>
      </c>
      <c r="M901" t="s">
        <v>5471</v>
      </c>
    </row>
    <row r="902" spans="1:13" x14ac:dyDescent="0.3">
      <c r="A902" t="s">
        <v>3383</v>
      </c>
      <c r="B902" t="s">
        <v>5330</v>
      </c>
      <c r="C902" t="s">
        <v>5470</v>
      </c>
      <c r="D902" t="s">
        <v>4119</v>
      </c>
      <c r="E902" t="s">
        <v>5532</v>
      </c>
      <c r="F902" t="s">
        <v>7779</v>
      </c>
      <c r="G902" t="s">
        <v>7780</v>
      </c>
      <c r="H902" t="s">
        <v>5474</v>
      </c>
      <c r="I902" t="s">
        <v>7781</v>
      </c>
      <c r="J902" t="s">
        <v>5476</v>
      </c>
      <c r="K902" t="s">
        <v>5471</v>
      </c>
      <c r="L902" t="s">
        <v>5471</v>
      </c>
      <c r="M902" t="s">
        <v>5471</v>
      </c>
    </row>
    <row r="903" spans="1:13" x14ac:dyDescent="0.3">
      <c r="A903" t="s">
        <v>3383</v>
      </c>
      <c r="B903" t="s">
        <v>6178</v>
      </c>
      <c r="C903" t="s">
        <v>5470</v>
      </c>
      <c r="D903" t="s">
        <v>4119</v>
      </c>
      <c r="E903" t="s">
        <v>5471</v>
      </c>
      <c r="F903" t="s">
        <v>7782</v>
      </c>
      <c r="G903" t="s">
        <v>6390</v>
      </c>
      <c r="H903" t="s">
        <v>5474</v>
      </c>
      <c r="I903" t="s">
        <v>7783</v>
      </c>
      <c r="J903" t="s">
        <v>5476</v>
      </c>
      <c r="K903" t="s">
        <v>5471</v>
      </c>
      <c r="L903" t="s">
        <v>5471</v>
      </c>
      <c r="M903" t="s">
        <v>5471</v>
      </c>
    </row>
    <row r="904" spans="1:13" x14ac:dyDescent="0.3">
      <c r="A904" t="s">
        <v>3383</v>
      </c>
      <c r="B904" t="s">
        <v>6178</v>
      </c>
      <c r="C904" t="s">
        <v>5470</v>
      </c>
      <c r="D904" t="s">
        <v>4119</v>
      </c>
      <c r="E904" t="s">
        <v>5471</v>
      </c>
      <c r="F904" t="s">
        <v>7784</v>
      </c>
      <c r="G904" t="s">
        <v>7785</v>
      </c>
      <c r="H904" t="s">
        <v>5474</v>
      </c>
      <c r="I904" t="s">
        <v>7786</v>
      </c>
      <c r="J904" t="s">
        <v>5484</v>
      </c>
      <c r="K904" t="s">
        <v>5471</v>
      </c>
      <c r="L904" t="s">
        <v>5471</v>
      </c>
      <c r="M904" t="s">
        <v>5471</v>
      </c>
    </row>
    <row r="905" spans="1:13" x14ac:dyDescent="0.3">
      <c r="A905" t="s">
        <v>3383</v>
      </c>
      <c r="B905" t="s">
        <v>6178</v>
      </c>
      <c r="C905" t="s">
        <v>5470</v>
      </c>
      <c r="D905" t="s">
        <v>4119</v>
      </c>
      <c r="E905" t="s">
        <v>5471</v>
      </c>
      <c r="F905" t="s">
        <v>7787</v>
      </c>
      <c r="G905" t="s">
        <v>6390</v>
      </c>
      <c r="H905" t="s">
        <v>5474</v>
      </c>
      <c r="I905" t="s">
        <v>7788</v>
      </c>
      <c r="J905" t="s">
        <v>5476</v>
      </c>
      <c r="K905" t="s">
        <v>5471</v>
      </c>
      <c r="L905" t="s">
        <v>5471</v>
      </c>
      <c r="M905" t="s">
        <v>5471</v>
      </c>
    </row>
    <row r="906" spans="1:13" x14ac:dyDescent="0.3">
      <c r="A906" t="s">
        <v>3383</v>
      </c>
      <c r="B906" t="s">
        <v>6178</v>
      </c>
      <c r="C906" t="s">
        <v>5470</v>
      </c>
      <c r="D906" t="s">
        <v>4119</v>
      </c>
      <c r="E906" t="s">
        <v>5471</v>
      </c>
      <c r="F906" t="s">
        <v>7789</v>
      </c>
      <c r="G906" t="s">
        <v>6390</v>
      </c>
      <c r="H906" t="s">
        <v>5474</v>
      </c>
      <c r="I906" t="s">
        <v>7790</v>
      </c>
      <c r="J906" t="s">
        <v>5476</v>
      </c>
      <c r="K906" t="s">
        <v>5471</v>
      </c>
      <c r="L906" t="s">
        <v>5471</v>
      </c>
      <c r="M906" t="s">
        <v>5471</v>
      </c>
    </row>
    <row r="907" spans="1:13" x14ac:dyDescent="0.3">
      <c r="A907" t="s">
        <v>3383</v>
      </c>
      <c r="B907" t="s">
        <v>5330</v>
      </c>
      <c r="C907" t="s">
        <v>5470</v>
      </c>
      <c r="D907" t="s">
        <v>4119</v>
      </c>
      <c r="E907" t="s">
        <v>5532</v>
      </c>
      <c r="F907" t="s">
        <v>7791</v>
      </c>
      <c r="G907" t="s">
        <v>7792</v>
      </c>
      <c r="H907" t="s">
        <v>5474</v>
      </c>
      <c r="I907" t="s">
        <v>7793</v>
      </c>
      <c r="J907" t="s">
        <v>5476</v>
      </c>
      <c r="K907" t="s">
        <v>5471</v>
      </c>
      <c r="L907" t="s">
        <v>5471</v>
      </c>
      <c r="M907" t="s">
        <v>5471</v>
      </c>
    </row>
    <row r="908" spans="1:13" x14ac:dyDescent="0.3">
      <c r="A908" t="s">
        <v>3383</v>
      </c>
      <c r="B908" t="s">
        <v>6178</v>
      </c>
      <c r="C908" t="s">
        <v>5470</v>
      </c>
      <c r="D908" t="s">
        <v>4119</v>
      </c>
      <c r="E908" t="s">
        <v>5471</v>
      </c>
      <c r="F908" t="s">
        <v>7794</v>
      </c>
      <c r="G908" t="s">
        <v>7613</v>
      </c>
      <c r="H908" t="s">
        <v>5474</v>
      </c>
      <c r="I908" t="s">
        <v>7795</v>
      </c>
      <c r="J908" t="s">
        <v>5476</v>
      </c>
      <c r="K908" t="s">
        <v>5471</v>
      </c>
      <c r="L908" t="s">
        <v>5471</v>
      </c>
      <c r="M908" t="s">
        <v>5471</v>
      </c>
    </row>
    <row r="909" spans="1:13" x14ac:dyDescent="0.3">
      <c r="A909" t="s">
        <v>3383</v>
      </c>
      <c r="B909" t="s">
        <v>6178</v>
      </c>
      <c r="C909" t="s">
        <v>5470</v>
      </c>
      <c r="D909" t="s">
        <v>4119</v>
      </c>
      <c r="E909" t="s">
        <v>5471</v>
      </c>
      <c r="F909" t="s">
        <v>7796</v>
      </c>
      <c r="G909" t="s">
        <v>7613</v>
      </c>
      <c r="H909" t="s">
        <v>5474</v>
      </c>
      <c r="I909" t="s">
        <v>7797</v>
      </c>
      <c r="J909" t="s">
        <v>5484</v>
      </c>
      <c r="K909" t="s">
        <v>5471</v>
      </c>
      <c r="L909" t="s">
        <v>5471</v>
      </c>
      <c r="M909" t="s">
        <v>5471</v>
      </c>
    </row>
    <row r="910" spans="1:13" x14ac:dyDescent="0.3">
      <c r="A910" t="s">
        <v>3383</v>
      </c>
      <c r="B910" t="s">
        <v>5320</v>
      </c>
      <c r="C910" t="s">
        <v>5470</v>
      </c>
      <c r="D910" t="s">
        <v>4119</v>
      </c>
      <c r="E910" t="s">
        <v>5532</v>
      </c>
      <c r="F910" t="s">
        <v>7798</v>
      </c>
      <c r="G910" t="s">
        <v>7799</v>
      </c>
      <c r="H910" t="s">
        <v>5474</v>
      </c>
      <c r="I910" t="s">
        <v>7800</v>
      </c>
      <c r="J910" t="s">
        <v>5476</v>
      </c>
      <c r="K910" t="s">
        <v>5471</v>
      </c>
      <c r="L910" t="s">
        <v>5471</v>
      </c>
      <c r="M910" t="s">
        <v>5471</v>
      </c>
    </row>
    <row r="911" spans="1:13" x14ac:dyDescent="0.3">
      <c r="A911" t="s">
        <v>3383</v>
      </c>
      <c r="B911" t="s">
        <v>5320</v>
      </c>
      <c r="C911" t="s">
        <v>5470</v>
      </c>
      <c r="D911" t="s">
        <v>4119</v>
      </c>
      <c r="E911" t="s">
        <v>5532</v>
      </c>
      <c r="F911" t="s">
        <v>7801</v>
      </c>
      <c r="G911" t="s">
        <v>7799</v>
      </c>
      <c r="H911" t="s">
        <v>5474</v>
      </c>
      <c r="I911" t="s">
        <v>7802</v>
      </c>
      <c r="J911" t="s">
        <v>5476</v>
      </c>
      <c r="K911" t="s">
        <v>5471</v>
      </c>
      <c r="L911" t="s">
        <v>5471</v>
      </c>
      <c r="M911" t="s">
        <v>5471</v>
      </c>
    </row>
    <row r="912" spans="1:13" x14ac:dyDescent="0.3">
      <c r="A912" t="s">
        <v>3383</v>
      </c>
      <c r="B912" t="s">
        <v>5332</v>
      </c>
      <c r="C912" t="s">
        <v>5470</v>
      </c>
      <c r="D912" t="s">
        <v>4119</v>
      </c>
      <c r="E912" t="s">
        <v>5756</v>
      </c>
      <c r="F912" t="s">
        <v>7803</v>
      </c>
      <c r="G912" t="s">
        <v>6595</v>
      </c>
      <c r="H912" t="s">
        <v>5474</v>
      </c>
      <c r="I912" t="s">
        <v>7804</v>
      </c>
      <c r="J912" t="s">
        <v>5476</v>
      </c>
      <c r="K912" t="s">
        <v>5471</v>
      </c>
      <c r="L912" t="s">
        <v>5471</v>
      </c>
      <c r="M912" t="s">
        <v>5471</v>
      </c>
    </row>
    <row r="913" spans="1:13" x14ac:dyDescent="0.3">
      <c r="A913" t="s">
        <v>3383</v>
      </c>
      <c r="B913" t="s">
        <v>6178</v>
      </c>
      <c r="C913" t="s">
        <v>5470</v>
      </c>
      <c r="D913" t="s">
        <v>4119</v>
      </c>
      <c r="E913" t="s">
        <v>5471</v>
      </c>
      <c r="F913" t="s">
        <v>7805</v>
      </c>
      <c r="G913" t="s">
        <v>7806</v>
      </c>
      <c r="H913" t="s">
        <v>5474</v>
      </c>
      <c r="I913" t="s">
        <v>7807</v>
      </c>
      <c r="J913" t="s">
        <v>5484</v>
      </c>
      <c r="K913" t="s">
        <v>5471</v>
      </c>
      <c r="L913" t="s">
        <v>5471</v>
      </c>
      <c r="M913" t="s">
        <v>5471</v>
      </c>
    </row>
    <row r="914" spans="1:13" x14ac:dyDescent="0.3">
      <c r="A914" t="s">
        <v>3383</v>
      </c>
      <c r="B914" t="s">
        <v>6051</v>
      </c>
      <c r="C914" t="s">
        <v>5470</v>
      </c>
      <c r="D914" t="s">
        <v>4119</v>
      </c>
      <c r="E914" t="s">
        <v>5617</v>
      </c>
      <c r="F914" t="s">
        <v>7808</v>
      </c>
      <c r="G914" t="s">
        <v>7809</v>
      </c>
      <c r="H914" t="s">
        <v>5474</v>
      </c>
      <c r="I914" t="s">
        <v>7810</v>
      </c>
      <c r="J914" t="s">
        <v>5484</v>
      </c>
      <c r="K914" t="s">
        <v>5471</v>
      </c>
      <c r="L914" t="s">
        <v>5471</v>
      </c>
      <c r="M914" t="s">
        <v>5471</v>
      </c>
    </row>
    <row r="915" spans="1:13" x14ac:dyDescent="0.3">
      <c r="A915" t="s">
        <v>3383</v>
      </c>
      <c r="B915" t="s">
        <v>6051</v>
      </c>
      <c r="C915" t="s">
        <v>5470</v>
      </c>
      <c r="D915" t="s">
        <v>4119</v>
      </c>
      <c r="E915" t="s">
        <v>5617</v>
      </c>
      <c r="F915" t="s">
        <v>7811</v>
      </c>
      <c r="G915" t="s">
        <v>7812</v>
      </c>
      <c r="H915" t="s">
        <v>5474</v>
      </c>
      <c r="I915" t="s">
        <v>7813</v>
      </c>
      <c r="J915" t="s">
        <v>5484</v>
      </c>
      <c r="K915" t="s">
        <v>5471</v>
      </c>
      <c r="L915" t="s">
        <v>5471</v>
      </c>
      <c r="M915" t="s">
        <v>5471</v>
      </c>
    </row>
    <row r="916" spans="1:13" x14ac:dyDescent="0.3">
      <c r="A916" t="s">
        <v>3383</v>
      </c>
      <c r="B916" t="s">
        <v>6051</v>
      </c>
      <c r="C916" t="s">
        <v>5470</v>
      </c>
      <c r="D916" t="s">
        <v>4119</v>
      </c>
      <c r="E916" t="s">
        <v>5617</v>
      </c>
      <c r="F916" t="s">
        <v>7814</v>
      </c>
      <c r="G916" t="s">
        <v>7815</v>
      </c>
      <c r="H916" t="s">
        <v>5474</v>
      </c>
      <c r="I916" t="s">
        <v>7816</v>
      </c>
      <c r="J916" t="s">
        <v>5484</v>
      </c>
      <c r="K916" t="s">
        <v>5471</v>
      </c>
      <c r="L916" t="s">
        <v>5471</v>
      </c>
      <c r="M916" t="s">
        <v>5471</v>
      </c>
    </row>
    <row r="917" spans="1:13" x14ac:dyDescent="0.3">
      <c r="A917" t="s">
        <v>3383</v>
      </c>
      <c r="B917" t="s">
        <v>6051</v>
      </c>
      <c r="C917" t="s">
        <v>5470</v>
      </c>
      <c r="D917" t="s">
        <v>4119</v>
      </c>
      <c r="E917" t="s">
        <v>5756</v>
      </c>
      <c r="F917" t="s">
        <v>7817</v>
      </c>
      <c r="G917" t="s">
        <v>7818</v>
      </c>
      <c r="H917" t="s">
        <v>5474</v>
      </c>
      <c r="I917" t="s">
        <v>7819</v>
      </c>
      <c r="J917" t="s">
        <v>5484</v>
      </c>
      <c r="K917" t="s">
        <v>5471</v>
      </c>
      <c r="L917" t="s">
        <v>5471</v>
      </c>
      <c r="M917" t="s">
        <v>5471</v>
      </c>
    </row>
    <row r="918" spans="1:13" x14ac:dyDescent="0.3">
      <c r="A918" t="s">
        <v>3383</v>
      </c>
      <c r="B918" t="s">
        <v>7820</v>
      </c>
      <c r="C918" t="s">
        <v>5487</v>
      </c>
      <c r="D918" t="s">
        <v>4119</v>
      </c>
      <c r="E918" t="s">
        <v>5532</v>
      </c>
      <c r="F918" t="s">
        <v>7821</v>
      </c>
      <c r="G918" t="s">
        <v>7822</v>
      </c>
      <c r="H918" t="s">
        <v>5474</v>
      </c>
      <c r="I918" t="s">
        <v>7823</v>
      </c>
      <c r="J918" t="s">
        <v>5476</v>
      </c>
      <c r="K918" t="s">
        <v>5471</v>
      </c>
      <c r="L918" t="s">
        <v>5471</v>
      </c>
      <c r="M918" t="s">
        <v>5471</v>
      </c>
    </row>
    <row r="919" spans="1:13" x14ac:dyDescent="0.3">
      <c r="A919" t="s">
        <v>3388</v>
      </c>
      <c r="B919" t="s">
        <v>7824</v>
      </c>
      <c r="C919" t="s">
        <v>5470</v>
      </c>
      <c r="D919" t="s">
        <v>4119</v>
      </c>
      <c r="E919" t="s">
        <v>5471</v>
      </c>
      <c r="F919" t="s">
        <v>7825</v>
      </c>
      <c r="G919" t="s">
        <v>7826</v>
      </c>
      <c r="H919" t="s">
        <v>5474</v>
      </c>
      <c r="I919" t="s">
        <v>7827</v>
      </c>
      <c r="J919" t="s">
        <v>5476</v>
      </c>
      <c r="K919" t="s">
        <v>5471</v>
      </c>
      <c r="L919" t="s">
        <v>5471</v>
      </c>
      <c r="M919" t="s">
        <v>5471</v>
      </c>
    </row>
    <row r="920" spans="1:13" x14ac:dyDescent="0.3">
      <c r="A920" t="s">
        <v>3397</v>
      </c>
      <c r="B920" t="s">
        <v>5766</v>
      </c>
      <c r="C920" t="s">
        <v>5487</v>
      </c>
      <c r="D920" t="s">
        <v>4119</v>
      </c>
      <c r="E920" t="s">
        <v>5471</v>
      </c>
      <c r="F920" t="s">
        <v>7828</v>
      </c>
      <c r="G920" t="s">
        <v>7829</v>
      </c>
      <c r="H920" t="s">
        <v>5474</v>
      </c>
      <c r="I920" t="s">
        <v>7830</v>
      </c>
      <c r="J920" t="s">
        <v>5476</v>
      </c>
      <c r="K920" t="s">
        <v>5471</v>
      </c>
      <c r="L920" t="s">
        <v>5471</v>
      </c>
      <c r="M920" t="s">
        <v>5471</v>
      </c>
    </row>
    <row r="921" spans="1:13" x14ac:dyDescent="0.3">
      <c r="A921" t="s">
        <v>3397</v>
      </c>
      <c r="B921" t="s">
        <v>5766</v>
      </c>
      <c r="C921" t="s">
        <v>5487</v>
      </c>
      <c r="D921" t="s">
        <v>4119</v>
      </c>
      <c r="E921" t="s">
        <v>5471</v>
      </c>
      <c r="F921" t="s">
        <v>7828</v>
      </c>
      <c r="G921" t="s">
        <v>7829</v>
      </c>
      <c r="H921" t="s">
        <v>5474</v>
      </c>
      <c r="I921" t="s">
        <v>7831</v>
      </c>
      <c r="J921" t="s">
        <v>5476</v>
      </c>
      <c r="K921" t="s">
        <v>5471</v>
      </c>
      <c r="L921" t="s">
        <v>5471</v>
      </c>
      <c r="M921" t="s">
        <v>5471</v>
      </c>
    </row>
    <row r="922" spans="1:13" x14ac:dyDescent="0.3">
      <c r="A922" t="s">
        <v>3397</v>
      </c>
      <c r="B922" t="s">
        <v>5766</v>
      </c>
      <c r="C922" t="s">
        <v>5487</v>
      </c>
      <c r="D922" t="s">
        <v>4119</v>
      </c>
      <c r="E922" t="s">
        <v>5471</v>
      </c>
      <c r="F922" t="s">
        <v>7832</v>
      </c>
      <c r="G922" t="s">
        <v>6311</v>
      </c>
      <c r="H922" t="s">
        <v>5474</v>
      </c>
      <c r="I922" t="s">
        <v>7833</v>
      </c>
      <c r="J922" t="s">
        <v>5476</v>
      </c>
      <c r="K922" t="s">
        <v>5471</v>
      </c>
      <c r="L922" t="s">
        <v>5471</v>
      </c>
      <c r="M922" t="s">
        <v>5471</v>
      </c>
    </row>
    <row r="923" spans="1:13" x14ac:dyDescent="0.3">
      <c r="A923" t="s">
        <v>3397</v>
      </c>
      <c r="B923" t="s">
        <v>5766</v>
      </c>
      <c r="C923" t="s">
        <v>5487</v>
      </c>
      <c r="D923" t="s">
        <v>4119</v>
      </c>
      <c r="E923" t="s">
        <v>5471</v>
      </c>
      <c r="F923" t="s">
        <v>7832</v>
      </c>
      <c r="G923" t="s">
        <v>6311</v>
      </c>
      <c r="H923" t="s">
        <v>5474</v>
      </c>
      <c r="I923" t="s">
        <v>7834</v>
      </c>
      <c r="J923" t="s">
        <v>5476</v>
      </c>
      <c r="K923" t="s">
        <v>5471</v>
      </c>
      <c r="L923" t="s">
        <v>5471</v>
      </c>
      <c r="M923" t="s">
        <v>5471</v>
      </c>
    </row>
    <row r="924" spans="1:13" x14ac:dyDescent="0.3">
      <c r="A924" t="s">
        <v>3397</v>
      </c>
      <c r="B924" t="s">
        <v>5766</v>
      </c>
      <c r="C924" t="s">
        <v>5487</v>
      </c>
      <c r="D924" t="s">
        <v>4119</v>
      </c>
      <c r="E924" t="s">
        <v>5471</v>
      </c>
      <c r="F924" t="s">
        <v>7832</v>
      </c>
      <c r="G924" t="s">
        <v>6311</v>
      </c>
      <c r="H924" t="s">
        <v>5474</v>
      </c>
      <c r="I924" t="s">
        <v>7835</v>
      </c>
      <c r="J924" t="s">
        <v>5476</v>
      </c>
      <c r="K924" t="s">
        <v>5471</v>
      </c>
      <c r="L924" t="s">
        <v>5471</v>
      </c>
      <c r="M924" t="s">
        <v>5471</v>
      </c>
    </row>
    <row r="925" spans="1:13" x14ac:dyDescent="0.3">
      <c r="A925" t="s">
        <v>3397</v>
      </c>
      <c r="B925" t="s">
        <v>5766</v>
      </c>
      <c r="C925" t="s">
        <v>5487</v>
      </c>
      <c r="D925" t="s">
        <v>4119</v>
      </c>
      <c r="E925" t="s">
        <v>5471</v>
      </c>
      <c r="F925" t="s">
        <v>7836</v>
      </c>
      <c r="G925" t="s">
        <v>7837</v>
      </c>
      <c r="H925" t="s">
        <v>5474</v>
      </c>
      <c r="I925" t="s">
        <v>7838</v>
      </c>
      <c r="J925" t="s">
        <v>5476</v>
      </c>
      <c r="K925" t="s">
        <v>5471</v>
      </c>
      <c r="L925" t="s">
        <v>5471</v>
      </c>
      <c r="M925" t="s">
        <v>5471</v>
      </c>
    </row>
    <row r="926" spans="1:13" x14ac:dyDescent="0.3">
      <c r="A926" t="s">
        <v>3388</v>
      </c>
      <c r="B926" t="s">
        <v>7839</v>
      </c>
      <c r="C926" t="s">
        <v>5470</v>
      </c>
      <c r="D926" t="s">
        <v>4119</v>
      </c>
      <c r="E926" t="s">
        <v>5471</v>
      </c>
      <c r="F926" t="s">
        <v>7840</v>
      </c>
      <c r="G926" t="s">
        <v>7841</v>
      </c>
      <c r="H926" t="s">
        <v>5474</v>
      </c>
      <c r="I926" t="s">
        <v>7842</v>
      </c>
      <c r="J926" t="s">
        <v>5476</v>
      </c>
      <c r="K926" t="s">
        <v>5471</v>
      </c>
      <c r="L926" t="s">
        <v>5471</v>
      </c>
      <c r="M926" t="s">
        <v>5471</v>
      </c>
    </row>
    <row r="927" spans="1:13" x14ac:dyDescent="0.3">
      <c r="A927" t="s">
        <v>3388</v>
      </c>
      <c r="B927" t="s">
        <v>7839</v>
      </c>
      <c r="C927" t="s">
        <v>5470</v>
      </c>
      <c r="D927" t="s">
        <v>4119</v>
      </c>
      <c r="E927" t="s">
        <v>5471</v>
      </c>
      <c r="F927" t="s">
        <v>7843</v>
      </c>
      <c r="G927" t="s">
        <v>7841</v>
      </c>
      <c r="H927" t="s">
        <v>5474</v>
      </c>
      <c r="I927" t="s">
        <v>7844</v>
      </c>
      <c r="J927" t="s">
        <v>5476</v>
      </c>
      <c r="K927" t="s">
        <v>5471</v>
      </c>
      <c r="L927" t="s">
        <v>5471</v>
      </c>
      <c r="M927" t="s">
        <v>5471</v>
      </c>
    </row>
    <row r="928" spans="1:13" x14ac:dyDescent="0.3">
      <c r="A928" t="s">
        <v>3388</v>
      </c>
      <c r="B928" t="s">
        <v>7839</v>
      </c>
      <c r="C928" t="s">
        <v>5470</v>
      </c>
      <c r="D928" t="s">
        <v>4119</v>
      </c>
      <c r="E928" t="s">
        <v>5471</v>
      </c>
      <c r="F928" t="s">
        <v>7845</v>
      </c>
      <c r="G928" t="s">
        <v>7841</v>
      </c>
      <c r="H928" t="s">
        <v>5474</v>
      </c>
      <c r="I928" t="s">
        <v>7846</v>
      </c>
      <c r="J928" t="s">
        <v>5476</v>
      </c>
      <c r="K928" t="s">
        <v>5471</v>
      </c>
      <c r="L928" t="s">
        <v>5471</v>
      </c>
      <c r="M928" t="s">
        <v>5471</v>
      </c>
    </row>
    <row r="929" spans="1:13" x14ac:dyDescent="0.3">
      <c r="A929" t="s">
        <v>3388</v>
      </c>
      <c r="B929" t="s">
        <v>7839</v>
      </c>
      <c r="C929" t="s">
        <v>5470</v>
      </c>
      <c r="D929" t="s">
        <v>4119</v>
      </c>
      <c r="E929" t="s">
        <v>5471</v>
      </c>
      <c r="F929" t="s">
        <v>7847</v>
      </c>
      <c r="G929" t="s">
        <v>7841</v>
      </c>
      <c r="H929" t="s">
        <v>5474</v>
      </c>
      <c r="I929" t="s">
        <v>7848</v>
      </c>
      <c r="J929" t="s">
        <v>5476</v>
      </c>
      <c r="K929" t="s">
        <v>5471</v>
      </c>
      <c r="L929" t="s">
        <v>5471</v>
      </c>
      <c r="M929" t="s">
        <v>5471</v>
      </c>
    </row>
    <row r="930" spans="1:13" x14ac:dyDescent="0.3">
      <c r="A930" t="s">
        <v>3397</v>
      </c>
      <c r="B930" t="s">
        <v>5766</v>
      </c>
      <c r="C930" t="s">
        <v>5487</v>
      </c>
      <c r="D930" t="s">
        <v>4119</v>
      </c>
      <c r="E930" t="s">
        <v>5471</v>
      </c>
      <c r="F930" t="s">
        <v>7849</v>
      </c>
      <c r="G930" t="s">
        <v>7850</v>
      </c>
      <c r="H930" t="s">
        <v>5474</v>
      </c>
      <c r="I930" t="s">
        <v>7851</v>
      </c>
      <c r="J930" t="s">
        <v>5476</v>
      </c>
      <c r="K930" t="s">
        <v>5471</v>
      </c>
      <c r="L930" t="s">
        <v>5471</v>
      </c>
      <c r="M930" t="s">
        <v>5471</v>
      </c>
    </row>
    <row r="931" spans="1:13" x14ac:dyDescent="0.3">
      <c r="A931" t="s">
        <v>3388</v>
      </c>
      <c r="B931" t="s">
        <v>7839</v>
      </c>
      <c r="C931" t="s">
        <v>5470</v>
      </c>
      <c r="D931" t="s">
        <v>4119</v>
      </c>
      <c r="E931" t="s">
        <v>5471</v>
      </c>
      <c r="F931" t="s">
        <v>7852</v>
      </c>
      <c r="G931" t="s">
        <v>7841</v>
      </c>
      <c r="H931" t="s">
        <v>5474</v>
      </c>
      <c r="I931" t="s">
        <v>7853</v>
      </c>
      <c r="J931" t="s">
        <v>5476</v>
      </c>
      <c r="K931" t="s">
        <v>5471</v>
      </c>
      <c r="L931" t="s">
        <v>5471</v>
      </c>
      <c r="M931" t="s">
        <v>5471</v>
      </c>
    </row>
    <row r="932" spans="1:13" x14ac:dyDescent="0.3">
      <c r="A932" t="s">
        <v>3397</v>
      </c>
      <c r="B932" t="s">
        <v>5766</v>
      </c>
      <c r="C932" t="s">
        <v>5487</v>
      </c>
      <c r="D932" t="s">
        <v>4119</v>
      </c>
      <c r="E932" t="s">
        <v>5471</v>
      </c>
      <c r="F932" t="s">
        <v>7854</v>
      </c>
      <c r="G932" t="s">
        <v>7850</v>
      </c>
      <c r="H932" t="s">
        <v>5474</v>
      </c>
      <c r="I932" t="s">
        <v>7855</v>
      </c>
      <c r="J932" t="s">
        <v>5476</v>
      </c>
      <c r="K932" t="s">
        <v>5471</v>
      </c>
      <c r="L932" t="s">
        <v>5471</v>
      </c>
      <c r="M932" t="s">
        <v>5471</v>
      </c>
    </row>
    <row r="933" spans="1:13" x14ac:dyDescent="0.3">
      <c r="A933" t="s">
        <v>3397</v>
      </c>
      <c r="B933" t="s">
        <v>5766</v>
      </c>
      <c r="C933" t="s">
        <v>5487</v>
      </c>
      <c r="D933" t="s">
        <v>4119</v>
      </c>
      <c r="E933" t="s">
        <v>5471</v>
      </c>
      <c r="F933" t="s">
        <v>7856</v>
      </c>
      <c r="G933" t="s">
        <v>7850</v>
      </c>
      <c r="H933" t="s">
        <v>5474</v>
      </c>
      <c r="I933" t="s">
        <v>7857</v>
      </c>
      <c r="J933" t="s">
        <v>5476</v>
      </c>
      <c r="K933" t="s">
        <v>5471</v>
      </c>
      <c r="L933" t="s">
        <v>5471</v>
      </c>
      <c r="M933" t="s">
        <v>5471</v>
      </c>
    </row>
    <row r="934" spans="1:13" x14ac:dyDescent="0.3">
      <c r="A934" t="s">
        <v>3397</v>
      </c>
      <c r="B934" t="s">
        <v>5766</v>
      </c>
      <c r="C934" t="s">
        <v>5487</v>
      </c>
      <c r="D934" t="s">
        <v>4119</v>
      </c>
      <c r="E934" t="s">
        <v>5471</v>
      </c>
      <c r="F934" t="s">
        <v>7858</v>
      </c>
      <c r="G934" t="s">
        <v>7850</v>
      </c>
      <c r="H934" t="s">
        <v>5474</v>
      </c>
      <c r="I934" t="s">
        <v>7859</v>
      </c>
      <c r="J934" t="s">
        <v>5476</v>
      </c>
      <c r="K934" t="s">
        <v>5471</v>
      </c>
      <c r="L934" t="s">
        <v>5471</v>
      </c>
      <c r="M934" t="s">
        <v>5471</v>
      </c>
    </row>
    <row r="935" spans="1:13" x14ac:dyDescent="0.3">
      <c r="A935" t="s">
        <v>3388</v>
      </c>
      <c r="B935" t="s">
        <v>7860</v>
      </c>
      <c r="C935" t="s">
        <v>5470</v>
      </c>
      <c r="D935" t="s">
        <v>4119</v>
      </c>
      <c r="E935" t="s">
        <v>5471</v>
      </c>
      <c r="F935" t="s">
        <v>7861</v>
      </c>
      <c r="G935" t="s">
        <v>7862</v>
      </c>
      <c r="H935" t="s">
        <v>5474</v>
      </c>
      <c r="I935" t="s">
        <v>7863</v>
      </c>
      <c r="J935" t="s">
        <v>5476</v>
      </c>
      <c r="K935" t="s">
        <v>5471</v>
      </c>
      <c r="L935" t="s">
        <v>5471</v>
      </c>
      <c r="M935" t="s">
        <v>5471</v>
      </c>
    </row>
    <row r="936" spans="1:13" x14ac:dyDescent="0.3">
      <c r="A936" t="s">
        <v>3397</v>
      </c>
      <c r="B936" t="s">
        <v>5766</v>
      </c>
      <c r="C936" t="s">
        <v>5487</v>
      </c>
      <c r="D936" t="s">
        <v>4119</v>
      </c>
      <c r="E936" t="s">
        <v>5471</v>
      </c>
      <c r="F936" t="s">
        <v>7864</v>
      </c>
      <c r="G936" t="s">
        <v>7850</v>
      </c>
      <c r="H936" t="s">
        <v>5474</v>
      </c>
      <c r="I936" t="s">
        <v>7865</v>
      </c>
      <c r="J936" t="s">
        <v>5476</v>
      </c>
      <c r="K936" t="s">
        <v>5471</v>
      </c>
      <c r="L936" t="s">
        <v>5471</v>
      </c>
      <c r="M936" t="s">
        <v>5471</v>
      </c>
    </row>
    <row r="937" spans="1:13" x14ac:dyDescent="0.3">
      <c r="A937" t="s">
        <v>3388</v>
      </c>
      <c r="B937" t="s">
        <v>7860</v>
      </c>
      <c r="C937" t="s">
        <v>5470</v>
      </c>
      <c r="D937" t="s">
        <v>4119</v>
      </c>
      <c r="E937" t="s">
        <v>5471</v>
      </c>
      <c r="F937" t="s">
        <v>7866</v>
      </c>
      <c r="G937" t="s">
        <v>7862</v>
      </c>
      <c r="H937" t="s">
        <v>5474</v>
      </c>
      <c r="I937" t="s">
        <v>7867</v>
      </c>
      <c r="J937" t="s">
        <v>5476</v>
      </c>
      <c r="K937" t="s">
        <v>5471</v>
      </c>
      <c r="L937" t="s">
        <v>5471</v>
      </c>
      <c r="M937" t="s">
        <v>5471</v>
      </c>
    </row>
    <row r="938" spans="1:13" x14ac:dyDescent="0.3">
      <c r="A938" t="s">
        <v>3388</v>
      </c>
      <c r="B938" t="s">
        <v>7860</v>
      </c>
      <c r="C938" t="s">
        <v>5470</v>
      </c>
      <c r="D938" t="s">
        <v>4119</v>
      </c>
      <c r="E938" t="s">
        <v>5471</v>
      </c>
      <c r="F938" t="s">
        <v>7868</v>
      </c>
      <c r="G938" t="s">
        <v>7862</v>
      </c>
      <c r="H938" t="s">
        <v>5474</v>
      </c>
      <c r="I938" t="s">
        <v>7869</v>
      </c>
      <c r="J938" t="s">
        <v>5476</v>
      </c>
      <c r="K938" t="s">
        <v>5471</v>
      </c>
      <c r="L938" t="s">
        <v>5471</v>
      </c>
      <c r="M938" t="s">
        <v>5471</v>
      </c>
    </row>
    <row r="939" spans="1:13" x14ac:dyDescent="0.3">
      <c r="A939" t="s">
        <v>3388</v>
      </c>
      <c r="B939" t="s">
        <v>7870</v>
      </c>
      <c r="C939" t="s">
        <v>5470</v>
      </c>
      <c r="D939" t="s">
        <v>4119</v>
      </c>
      <c r="E939" t="s">
        <v>5471</v>
      </c>
      <c r="F939" t="s">
        <v>7871</v>
      </c>
      <c r="G939" t="s">
        <v>7872</v>
      </c>
      <c r="H939" t="s">
        <v>5474</v>
      </c>
      <c r="I939" t="s">
        <v>7873</v>
      </c>
      <c r="J939" t="s">
        <v>5476</v>
      </c>
      <c r="K939" t="s">
        <v>5471</v>
      </c>
      <c r="L939" t="s">
        <v>5471</v>
      </c>
      <c r="M939" t="s">
        <v>5471</v>
      </c>
    </row>
    <row r="940" spans="1:13" x14ac:dyDescent="0.3">
      <c r="A940" t="s">
        <v>3397</v>
      </c>
      <c r="B940" t="s">
        <v>5766</v>
      </c>
      <c r="C940" t="s">
        <v>5487</v>
      </c>
      <c r="D940" t="s">
        <v>4119</v>
      </c>
      <c r="E940" t="s">
        <v>5471</v>
      </c>
      <c r="F940" t="s">
        <v>7874</v>
      </c>
      <c r="G940" t="s">
        <v>7875</v>
      </c>
      <c r="H940" t="s">
        <v>5474</v>
      </c>
      <c r="I940" t="s">
        <v>7876</v>
      </c>
      <c r="J940" t="s">
        <v>5476</v>
      </c>
      <c r="K940" t="s">
        <v>5471</v>
      </c>
      <c r="L940" t="s">
        <v>5471</v>
      </c>
      <c r="M940" t="s">
        <v>5471</v>
      </c>
    </row>
    <row r="941" spans="1:13" x14ac:dyDescent="0.3">
      <c r="A941" t="s">
        <v>3388</v>
      </c>
      <c r="B941" t="s">
        <v>7870</v>
      </c>
      <c r="C941" t="s">
        <v>5470</v>
      </c>
      <c r="D941" t="s">
        <v>4119</v>
      </c>
      <c r="E941" t="s">
        <v>5471</v>
      </c>
      <c r="F941" t="s">
        <v>7877</v>
      </c>
      <c r="G941" t="s">
        <v>7872</v>
      </c>
      <c r="H941" t="s">
        <v>5474</v>
      </c>
      <c r="I941" t="s">
        <v>7878</v>
      </c>
      <c r="J941" t="s">
        <v>5476</v>
      </c>
      <c r="K941" t="s">
        <v>5471</v>
      </c>
      <c r="L941" t="s">
        <v>5471</v>
      </c>
      <c r="M941" t="s">
        <v>5471</v>
      </c>
    </row>
    <row r="942" spans="1:13" x14ac:dyDescent="0.3">
      <c r="A942" t="s">
        <v>3388</v>
      </c>
      <c r="B942" t="s">
        <v>7879</v>
      </c>
      <c r="C942" t="s">
        <v>5470</v>
      </c>
      <c r="D942" t="s">
        <v>4119</v>
      </c>
      <c r="E942" t="s">
        <v>5471</v>
      </c>
      <c r="F942" t="s">
        <v>7880</v>
      </c>
      <c r="G942" t="s">
        <v>7881</v>
      </c>
      <c r="H942" t="s">
        <v>5474</v>
      </c>
      <c r="I942" t="s">
        <v>7882</v>
      </c>
      <c r="J942" t="s">
        <v>5476</v>
      </c>
      <c r="K942" t="s">
        <v>5471</v>
      </c>
      <c r="L942" t="s">
        <v>5471</v>
      </c>
      <c r="M942" t="s">
        <v>5471</v>
      </c>
    </row>
    <row r="943" spans="1:13" x14ac:dyDescent="0.3">
      <c r="A943" t="s">
        <v>3388</v>
      </c>
      <c r="B943" t="s">
        <v>7883</v>
      </c>
      <c r="C943" t="s">
        <v>5470</v>
      </c>
      <c r="D943" t="s">
        <v>4119</v>
      </c>
      <c r="E943" t="s">
        <v>5471</v>
      </c>
      <c r="F943" t="s">
        <v>7884</v>
      </c>
      <c r="G943" t="s">
        <v>7885</v>
      </c>
      <c r="H943" t="s">
        <v>5474</v>
      </c>
      <c r="I943" t="s">
        <v>7886</v>
      </c>
      <c r="J943" t="s">
        <v>5476</v>
      </c>
      <c r="K943" t="s">
        <v>5471</v>
      </c>
      <c r="L943" t="s">
        <v>5471</v>
      </c>
      <c r="M943" t="s">
        <v>5471</v>
      </c>
    </row>
    <row r="944" spans="1:13" x14ac:dyDescent="0.3">
      <c r="A944" t="s">
        <v>3388</v>
      </c>
      <c r="B944" t="s">
        <v>7883</v>
      </c>
      <c r="C944" t="s">
        <v>5470</v>
      </c>
      <c r="D944" t="s">
        <v>4119</v>
      </c>
      <c r="E944" t="s">
        <v>5471</v>
      </c>
      <c r="F944" t="s">
        <v>7887</v>
      </c>
      <c r="G944" t="s">
        <v>7885</v>
      </c>
      <c r="H944" t="s">
        <v>5474</v>
      </c>
      <c r="I944" t="s">
        <v>7888</v>
      </c>
      <c r="J944" t="s">
        <v>5476</v>
      </c>
      <c r="K944" t="s">
        <v>5471</v>
      </c>
      <c r="L944" t="s">
        <v>5471</v>
      </c>
      <c r="M944" t="s">
        <v>5471</v>
      </c>
    </row>
    <row r="945" spans="1:13" x14ac:dyDescent="0.3">
      <c r="A945" t="s">
        <v>3388</v>
      </c>
      <c r="B945" t="s">
        <v>7889</v>
      </c>
      <c r="C945" t="s">
        <v>5470</v>
      </c>
      <c r="D945" t="s">
        <v>4119</v>
      </c>
      <c r="E945" t="s">
        <v>5471</v>
      </c>
      <c r="F945" t="s">
        <v>7890</v>
      </c>
      <c r="G945" t="s">
        <v>7891</v>
      </c>
      <c r="H945" t="s">
        <v>5474</v>
      </c>
      <c r="I945" t="s">
        <v>7892</v>
      </c>
      <c r="J945" t="s">
        <v>5476</v>
      </c>
      <c r="K945" t="s">
        <v>5471</v>
      </c>
      <c r="L945" t="s">
        <v>5471</v>
      </c>
      <c r="M945" t="s">
        <v>5471</v>
      </c>
    </row>
    <row r="946" spans="1:13" x14ac:dyDescent="0.3">
      <c r="A946" t="s">
        <v>3388</v>
      </c>
      <c r="B946" t="s">
        <v>7893</v>
      </c>
      <c r="C946" t="s">
        <v>5470</v>
      </c>
      <c r="D946" t="s">
        <v>4119</v>
      </c>
      <c r="E946" t="s">
        <v>5471</v>
      </c>
      <c r="F946" t="s">
        <v>7894</v>
      </c>
      <c r="G946" t="s">
        <v>7895</v>
      </c>
      <c r="H946" t="s">
        <v>5474</v>
      </c>
      <c r="I946" t="s">
        <v>7896</v>
      </c>
      <c r="J946" t="s">
        <v>5476</v>
      </c>
      <c r="K946" t="s">
        <v>5471</v>
      </c>
      <c r="L946" t="s">
        <v>5471</v>
      </c>
      <c r="M946" t="s">
        <v>5471</v>
      </c>
    </row>
    <row r="947" spans="1:13" x14ac:dyDescent="0.3">
      <c r="A947" t="s">
        <v>3388</v>
      </c>
      <c r="B947" t="s">
        <v>7893</v>
      </c>
      <c r="C947" t="s">
        <v>5470</v>
      </c>
      <c r="D947" t="s">
        <v>4119</v>
      </c>
      <c r="E947" t="s">
        <v>5471</v>
      </c>
      <c r="F947" t="s">
        <v>7897</v>
      </c>
      <c r="G947" t="s">
        <v>7898</v>
      </c>
      <c r="H947" t="s">
        <v>5474</v>
      </c>
      <c r="I947" t="s">
        <v>7899</v>
      </c>
      <c r="J947" t="s">
        <v>5476</v>
      </c>
      <c r="K947" t="s">
        <v>5471</v>
      </c>
      <c r="L947" t="s">
        <v>5471</v>
      </c>
      <c r="M947" t="s">
        <v>5471</v>
      </c>
    </row>
    <row r="948" spans="1:13" x14ac:dyDescent="0.3">
      <c r="A948" t="s">
        <v>3388</v>
      </c>
      <c r="B948" t="s">
        <v>7893</v>
      </c>
      <c r="C948" t="s">
        <v>5470</v>
      </c>
      <c r="D948" t="s">
        <v>4119</v>
      </c>
      <c r="E948" t="s">
        <v>5471</v>
      </c>
      <c r="F948" t="s">
        <v>7900</v>
      </c>
      <c r="G948" t="s">
        <v>7895</v>
      </c>
      <c r="H948" t="s">
        <v>5474</v>
      </c>
      <c r="I948" t="s">
        <v>7901</v>
      </c>
      <c r="J948" t="s">
        <v>5476</v>
      </c>
      <c r="K948" t="s">
        <v>5471</v>
      </c>
      <c r="L948" t="s">
        <v>5471</v>
      </c>
      <c r="M948" t="s">
        <v>5471</v>
      </c>
    </row>
    <row r="949" spans="1:13" x14ac:dyDescent="0.3">
      <c r="A949" t="s">
        <v>3388</v>
      </c>
      <c r="B949" t="s">
        <v>7893</v>
      </c>
      <c r="C949" t="s">
        <v>5470</v>
      </c>
      <c r="D949" t="s">
        <v>4119</v>
      </c>
      <c r="E949" t="s">
        <v>5471</v>
      </c>
      <c r="F949" t="s">
        <v>7902</v>
      </c>
      <c r="G949" t="s">
        <v>7895</v>
      </c>
      <c r="H949" t="s">
        <v>5474</v>
      </c>
      <c r="I949" t="s">
        <v>7903</v>
      </c>
      <c r="J949" t="s">
        <v>5476</v>
      </c>
      <c r="K949" t="s">
        <v>5471</v>
      </c>
      <c r="L949" t="s">
        <v>5471</v>
      </c>
      <c r="M949" t="s">
        <v>5471</v>
      </c>
    </row>
    <row r="950" spans="1:13" x14ac:dyDescent="0.3">
      <c r="A950" t="s">
        <v>3397</v>
      </c>
      <c r="B950" t="s">
        <v>5766</v>
      </c>
      <c r="C950" t="s">
        <v>5487</v>
      </c>
      <c r="D950" t="s">
        <v>4119</v>
      </c>
      <c r="E950" t="s">
        <v>5471</v>
      </c>
      <c r="F950" t="s">
        <v>7904</v>
      </c>
      <c r="G950" t="s">
        <v>6311</v>
      </c>
      <c r="H950" t="s">
        <v>5474</v>
      </c>
      <c r="I950" t="s">
        <v>7905</v>
      </c>
      <c r="J950" t="s">
        <v>5476</v>
      </c>
      <c r="K950" t="s">
        <v>5471</v>
      </c>
      <c r="L950" t="s">
        <v>5471</v>
      </c>
      <c r="M950" t="s">
        <v>5471</v>
      </c>
    </row>
    <row r="951" spans="1:13" x14ac:dyDescent="0.3">
      <c r="A951" t="s">
        <v>3397</v>
      </c>
      <c r="B951" t="s">
        <v>5766</v>
      </c>
      <c r="C951" t="s">
        <v>5487</v>
      </c>
      <c r="D951" t="s">
        <v>4119</v>
      </c>
      <c r="E951" t="s">
        <v>5471</v>
      </c>
      <c r="F951" t="s">
        <v>7906</v>
      </c>
      <c r="G951" t="s">
        <v>6311</v>
      </c>
      <c r="H951" t="s">
        <v>5474</v>
      </c>
      <c r="I951" t="s">
        <v>7907</v>
      </c>
      <c r="J951" t="s">
        <v>5476</v>
      </c>
      <c r="K951" t="s">
        <v>5471</v>
      </c>
      <c r="L951" t="s">
        <v>5471</v>
      </c>
      <c r="M951" t="s">
        <v>5471</v>
      </c>
    </row>
    <row r="952" spans="1:13" x14ac:dyDescent="0.3">
      <c r="A952" t="s">
        <v>3397</v>
      </c>
      <c r="B952" t="s">
        <v>5766</v>
      </c>
      <c r="C952" t="s">
        <v>5487</v>
      </c>
      <c r="D952" t="s">
        <v>4119</v>
      </c>
      <c r="E952" t="s">
        <v>5471</v>
      </c>
      <c r="F952" t="s">
        <v>7908</v>
      </c>
      <c r="G952" t="s">
        <v>6311</v>
      </c>
      <c r="H952" t="s">
        <v>5474</v>
      </c>
      <c r="I952" t="s">
        <v>7909</v>
      </c>
      <c r="J952" t="s">
        <v>5476</v>
      </c>
      <c r="K952" t="s">
        <v>5471</v>
      </c>
      <c r="L952" t="s">
        <v>5471</v>
      </c>
      <c r="M952" t="s">
        <v>5471</v>
      </c>
    </row>
    <row r="953" spans="1:13" x14ac:dyDescent="0.3">
      <c r="A953" t="s">
        <v>3397</v>
      </c>
      <c r="B953" t="s">
        <v>5766</v>
      </c>
      <c r="C953" t="s">
        <v>5487</v>
      </c>
      <c r="D953" t="s">
        <v>4119</v>
      </c>
      <c r="E953" t="s">
        <v>5471</v>
      </c>
      <c r="F953" t="s">
        <v>7910</v>
      </c>
      <c r="G953" t="s">
        <v>6311</v>
      </c>
      <c r="H953" t="s">
        <v>5474</v>
      </c>
      <c r="I953" t="s">
        <v>7911</v>
      </c>
      <c r="J953" t="s">
        <v>5476</v>
      </c>
      <c r="K953" t="s">
        <v>5471</v>
      </c>
      <c r="L953" t="s">
        <v>5471</v>
      </c>
      <c r="M953" t="s">
        <v>5471</v>
      </c>
    </row>
    <row r="954" spans="1:13" x14ac:dyDescent="0.3">
      <c r="A954" t="s">
        <v>3397</v>
      </c>
      <c r="B954" t="s">
        <v>5766</v>
      </c>
      <c r="C954" t="s">
        <v>5487</v>
      </c>
      <c r="D954" t="s">
        <v>4119</v>
      </c>
      <c r="E954" t="s">
        <v>5471</v>
      </c>
      <c r="F954" t="s">
        <v>7912</v>
      </c>
      <c r="G954" t="s">
        <v>6311</v>
      </c>
      <c r="H954" t="s">
        <v>5474</v>
      </c>
      <c r="I954" t="s">
        <v>7913</v>
      </c>
      <c r="J954" t="s">
        <v>5476</v>
      </c>
      <c r="K954" t="s">
        <v>5471</v>
      </c>
      <c r="L954" t="s">
        <v>5471</v>
      </c>
      <c r="M954" t="s">
        <v>5471</v>
      </c>
    </row>
    <row r="955" spans="1:13" x14ac:dyDescent="0.3">
      <c r="A955" t="s">
        <v>3397</v>
      </c>
      <c r="B955" t="s">
        <v>5766</v>
      </c>
      <c r="C955" t="s">
        <v>5487</v>
      </c>
      <c r="D955" t="s">
        <v>4119</v>
      </c>
      <c r="E955" t="s">
        <v>5471</v>
      </c>
      <c r="F955" t="s">
        <v>7914</v>
      </c>
      <c r="G955" t="s">
        <v>6311</v>
      </c>
      <c r="H955" t="s">
        <v>5474</v>
      </c>
      <c r="I955" t="s">
        <v>7915</v>
      </c>
      <c r="J955" t="s">
        <v>5476</v>
      </c>
      <c r="K955" t="s">
        <v>5471</v>
      </c>
      <c r="L955" t="s">
        <v>5471</v>
      </c>
      <c r="M955" t="s">
        <v>5471</v>
      </c>
    </row>
    <row r="956" spans="1:13" x14ac:dyDescent="0.3">
      <c r="A956" t="s">
        <v>3397</v>
      </c>
      <c r="B956" t="s">
        <v>5766</v>
      </c>
      <c r="C956" t="s">
        <v>5487</v>
      </c>
      <c r="D956" t="s">
        <v>4119</v>
      </c>
      <c r="E956" t="s">
        <v>5471</v>
      </c>
      <c r="F956" t="s">
        <v>7916</v>
      </c>
      <c r="G956" t="s">
        <v>5471</v>
      </c>
      <c r="H956" t="s">
        <v>5474</v>
      </c>
      <c r="I956" t="s">
        <v>7917</v>
      </c>
      <c r="J956" t="s">
        <v>5476</v>
      </c>
      <c r="K956" t="s">
        <v>5471</v>
      </c>
      <c r="L956" t="s">
        <v>5471</v>
      </c>
      <c r="M956" t="s">
        <v>5471</v>
      </c>
    </row>
    <row r="957" spans="1:13" x14ac:dyDescent="0.3">
      <c r="A957" t="s">
        <v>3397</v>
      </c>
      <c r="B957" t="s">
        <v>5766</v>
      </c>
      <c r="C957" t="s">
        <v>5487</v>
      </c>
      <c r="D957" t="s">
        <v>4119</v>
      </c>
      <c r="E957" t="s">
        <v>5471</v>
      </c>
      <c r="F957" t="s">
        <v>7918</v>
      </c>
      <c r="G957" t="s">
        <v>6311</v>
      </c>
      <c r="H957" t="s">
        <v>5474</v>
      </c>
      <c r="I957" t="s">
        <v>7919</v>
      </c>
      <c r="J957" t="s">
        <v>5476</v>
      </c>
      <c r="K957" t="s">
        <v>5471</v>
      </c>
      <c r="L957" t="s">
        <v>5471</v>
      </c>
      <c r="M957" t="s">
        <v>5471</v>
      </c>
    </row>
    <row r="958" spans="1:13" x14ac:dyDescent="0.3">
      <c r="A958" t="s">
        <v>3397</v>
      </c>
      <c r="B958" t="s">
        <v>5766</v>
      </c>
      <c r="C958" t="s">
        <v>5487</v>
      </c>
      <c r="D958" t="s">
        <v>4119</v>
      </c>
      <c r="E958" t="s">
        <v>5471</v>
      </c>
      <c r="F958" t="s">
        <v>7920</v>
      </c>
      <c r="G958" t="s">
        <v>6311</v>
      </c>
      <c r="H958" t="s">
        <v>5474</v>
      </c>
      <c r="I958" t="s">
        <v>7921</v>
      </c>
      <c r="J958" t="s">
        <v>5476</v>
      </c>
      <c r="K958" t="s">
        <v>5471</v>
      </c>
      <c r="L958" t="s">
        <v>5471</v>
      </c>
      <c r="M958" t="s">
        <v>5471</v>
      </c>
    </row>
    <row r="959" spans="1:13" x14ac:dyDescent="0.3">
      <c r="A959" t="s">
        <v>3397</v>
      </c>
      <c r="B959" t="s">
        <v>5766</v>
      </c>
      <c r="C959" t="s">
        <v>5487</v>
      </c>
      <c r="D959" t="s">
        <v>4119</v>
      </c>
      <c r="E959" t="s">
        <v>5471</v>
      </c>
      <c r="F959" t="s">
        <v>7922</v>
      </c>
      <c r="G959" t="s">
        <v>6311</v>
      </c>
      <c r="H959" t="s">
        <v>5474</v>
      </c>
      <c r="I959" t="s">
        <v>7923</v>
      </c>
      <c r="J959" t="s">
        <v>5476</v>
      </c>
      <c r="K959" t="s">
        <v>5471</v>
      </c>
      <c r="L959" t="s">
        <v>5471</v>
      </c>
      <c r="M959" t="s">
        <v>5471</v>
      </c>
    </row>
    <row r="960" spans="1:13" x14ac:dyDescent="0.3">
      <c r="A960" t="s">
        <v>3383</v>
      </c>
      <c r="B960" t="s">
        <v>5330</v>
      </c>
      <c r="C960" t="s">
        <v>5470</v>
      </c>
      <c r="D960" t="s">
        <v>4119</v>
      </c>
      <c r="E960" t="s">
        <v>5617</v>
      </c>
      <c r="F960" t="s">
        <v>7924</v>
      </c>
      <c r="G960" t="s">
        <v>7925</v>
      </c>
      <c r="H960" t="s">
        <v>5474</v>
      </c>
      <c r="I960" t="s">
        <v>7926</v>
      </c>
      <c r="J960" t="s">
        <v>5476</v>
      </c>
      <c r="K960" t="s">
        <v>5471</v>
      </c>
      <c r="L960" t="s">
        <v>5471</v>
      </c>
      <c r="M960" t="s">
        <v>5471</v>
      </c>
    </row>
    <row r="961" spans="1:13" x14ac:dyDescent="0.3">
      <c r="A961" t="s">
        <v>3383</v>
      </c>
      <c r="B961" t="s">
        <v>5330</v>
      </c>
      <c r="C961" t="s">
        <v>5470</v>
      </c>
      <c r="D961" t="s">
        <v>4119</v>
      </c>
      <c r="E961" t="s">
        <v>5617</v>
      </c>
      <c r="F961" t="s">
        <v>7927</v>
      </c>
      <c r="G961" t="s">
        <v>7925</v>
      </c>
      <c r="H961" t="s">
        <v>5474</v>
      </c>
      <c r="I961" t="s">
        <v>7928</v>
      </c>
      <c r="J961" t="s">
        <v>5484</v>
      </c>
      <c r="K961" t="s">
        <v>5471</v>
      </c>
      <c r="L961" t="s">
        <v>5471</v>
      </c>
      <c r="M961" t="s">
        <v>5471</v>
      </c>
    </row>
    <row r="962" spans="1:13" x14ac:dyDescent="0.3">
      <c r="A962" t="s">
        <v>3383</v>
      </c>
      <c r="B962" t="s">
        <v>5330</v>
      </c>
      <c r="C962" t="s">
        <v>5470</v>
      </c>
      <c r="D962" t="s">
        <v>4119</v>
      </c>
      <c r="E962" t="s">
        <v>5617</v>
      </c>
      <c r="F962" t="s">
        <v>7929</v>
      </c>
      <c r="G962" t="s">
        <v>7930</v>
      </c>
      <c r="H962" t="s">
        <v>5474</v>
      </c>
      <c r="I962" t="s">
        <v>7931</v>
      </c>
      <c r="J962" t="s">
        <v>5476</v>
      </c>
      <c r="K962" t="s">
        <v>5471</v>
      </c>
      <c r="L962" t="s">
        <v>5471</v>
      </c>
      <c r="M962" t="s">
        <v>5471</v>
      </c>
    </row>
    <row r="963" spans="1:13" x14ac:dyDescent="0.3">
      <c r="A963" t="s">
        <v>3383</v>
      </c>
      <c r="B963" t="s">
        <v>5330</v>
      </c>
      <c r="C963" t="s">
        <v>5470</v>
      </c>
      <c r="D963" t="s">
        <v>4119</v>
      </c>
      <c r="E963" t="s">
        <v>5617</v>
      </c>
      <c r="F963" t="s">
        <v>7932</v>
      </c>
      <c r="G963" t="s">
        <v>7933</v>
      </c>
      <c r="H963" t="s">
        <v>5474</v>
      </c>
      <c r="I963" t="s">
        <v>7934</v>
      </c>
      <c r="J963" t="s">
        <v>5484</v>
      </c>
      <c r="K963" t="s">
        <v>5471</v>
      </c>
      <c r="L963" t="s">
        <v>5471</v>
      </c>
      <c r="M963" t="s">
        <v>5471</v>
      </c>
    </row>
    <row r="964" spans="1:13" x14ac:dyDescent="0.3">
      <c r="A964" t="s">
        <v>3383</v>
      </c>
      <c r="B964" t="s">
        <v>5330</v>
      </c>
      <c r="C964" t="s">
        <v>5470</v>
      </c>
      <c r="D964" t="s">
        <v>4119</v>
      </c>
      <c r="E964" t="s">
        <v>5617</v>
      </c>
      <c r="F964" t="s">
        <v>7935</v>
      </c>
      <c r="G964" t="s">
        <v>7936</v>
      </c>
      <c r="H964" t="s">
        <v>5474</v>
      </c>
      <c r="I964" t="s">
        <v>7937</v>
      </c>
      <c r="J964" t="s">
        <v>5476</v>
      </c>
      <c r="K964" t="s">
        <v>5471</v>
      </c>
      <c r="L964" t="s">
        <v>5471</v>
      </c>
      <c r="M964" t="s">
        <v>5471</v>
      </c>
    </row>
    <row r="965" spans="1:13" x14ac:dyDescent="0.3">
      <c r="A965" t="s">
        <v>3383</v>
      </c>
      <c r="B965" t="s">
        <v>5330</v>
      </c>
      <c r="C965" t="s">
        <v>5470</v>
      </c>
      <c r="D965" t="s">
        <v>4119</v>
      </c>
      <c r="E965" t="s">
        <v>5617</v>
      </c>
      <c r="F965" t="s">
        <v>7938</v>
      </c>
      <c r="G965" t="s">
        <v>7939</v>
      </c>
      <c r="H965" t="s">
        <v>5474</v>
      </c>
      <c r="I965" t="s">
        <v>7940</v>
      </c>
      <c r="J965" t="s">
        <v>5484</v>
      </c>
      <c r="K965" t="s">
        <v>5471</v>
      </c>
      <c r="L965" t="s">
        <v>5471</v>
      </c>
      <c r="M965" t="s">
        <v>5471</v>
      </c>
    </row>
    <row r="966" spans="1:13" x14ac:dyDescent="0.3">
      <c r="A966" t="s">
        <v>3383</v>
      </c>
      <c r="B966" t="s">
        <v>5330</v>
      </c>
      <c r="C966" t="s">
        <v>5470</v>
      </c>
      <c r="D966" t="s">
        <v>4119</v>
      </c>
      <c r="E966" t="s">
        <v>5617</v>
      </c>
      <c r="F966" t="s">
        <v>7941</v>
      </c>
      <c r="G966" t="s">
        <v>7942</v>
      </c>
      <c r="H966" t="s">
        <v>5474</v>
      </c>
      <c r="I966" t="s">
        <v>7943</v>
      </c>
      <c r="J966" t="s">
        <v>5476</v>
      </c>
      <c r="K966" t="s">
        <v>5471</v>
      </c>
      <c r="L966" t="s">
        <v>5471</v>
      </c>
      <c r="M966" t="s">
        <v>5471</v>
      </c>
    </row>
    <row r="967" spans="1:13" x14ac:dyDescent="0.3">
      <c r="A967" t="s">
        <v>3383</v>
      </c>
      <c r="B967" t="s">
        <v>5330</v>
      </c>
      <c r="C967" t="s">
        <v>5470</v>
      </c>
      <c r="D967" t="s">
        <v>4119</v>
      </c>
      <c r="E967" t="s">
        <v>5617</v>
      </c>
      <c r="F967" t="s">
        <v>7944</v>
      </c>
      <c r="G967" t="s">
        <v>7942</v>
      </c>
      <c r="H967" t="s">
        <v>5474</v>
      </c>
      <c r="I967" t="s">
        <v>7945</v>
      </c>
      <c r="J967" t="s">
        <v>5484</v>
      </c>
      <c r="K967" t="s">
        <v>5471</v>
      </c>
      <c r="L967" t="s">
        <v>5471</v>
      </c>
      <c r="M967" t="s">
        <v>5471</v>
      </c>
    </row>
    <row r="968" spans="1:13" x14ac:dyDescent="0.3">
      <c r="A968" t="s">
        <v>3383</v>
      </c>
      <c r="B968" t="s">
        <v>5330</v>
      </c>
      <c r="C968" t="s">
        <v>5470</v>
      </c>
      <c r="D968" t="s">
        <v>4119</v>
      </c>
      <c r="E968" t="s">
        <v>5617</v>
      </c>
      <c r="F968" t="s">
        <v>7946</v>
      </c>
      <c r="G968" t="s">
        <v>7947</v>
      </c>
      <c r="H968" t="s">
        <v>5474</v>
      </c>
      <c r="I968" t="s">
        <v>7948</v>
      </c>
      <c r="J968" t="s">
        <v>5476</v>
      </c>
      <c r="K968" t="s">
        <v>5471</v>
      </c>
      <c r="L968" t="s">
        <v>5471</v>
      </c>
      <c r="M968" t="s">
        <v>5471</v>
      </c>
    </row>
    <row r="969" spans="1:13" x14ac:dyDescent="0.3">
      <c r="A969" t="s">
        <v>3383</v>
      </c>
      <c r="B969" t="s">
        <v>5330</v>
      </c>
      <c r="C969" t="s">
        <v>5470</v>
      </c>
      <c r="D969" t="s">
        <v>4119</v>
      </c>
      <c r="E969" t="s">
        <v>5617</v>
      </c>
      <c r="F969" t="s">
        <v>7949</v>
      </c>
      <c r="G969" t="s">
        <v>7947</v>
      </c>
      <c r="H969" t="s">
        <v>5474</v>
      </c>
      <c r="I969" t="s">
        <v>7950</v>
      </c>
      <c r="J969" t="s">
        <v>5484</v>
      </c>
      <c r="K969" t="s">
        <v>5471</v>
      </c>
      <c r="L969" t="s">
        <v>5471</v>
      </c>
      <c r="M969" t="s">
        <v>5471</v>
      </c>
    </row>
    <row r="970" spans="1:13" x14ac:dyDescent="0.3">
      <c r="A970" t="s">
        <v>3383</v>
      </c>
      <c r="B970" t="s">
        <v>5330</v>
      </c>
      <c r="C970" t="s">
        <v>5470</v>
      </c>
      <c r="D970" t="s">
        <v>4119</v>
      </c>
      <c r="E970" t="s">
        <v>5617</v>
      </c>
      <c r="F970" t="s">
        <v>7951</v>
      </c>
      <c r="G970" t="s">
        <v>7952</v>
      </c>
      <c r="H970" t="s">
        <v>5474</v>
      </c>
      <c r="I970" t="s">
        <v>7953</v>
      </c>
      <c r="J970" t="s">
        <v>5476</v>
      </c>
      <c r="K970" t="s">
        <v>5471</v>
      </c>
      <c r="L970" t="s">
        <v>5471</v>
      </c>
      <c r="M970" t="s">
        <v>5471</v>
      </c>
    </row>
    <row r="971" spans="1:13" x14ac:dyDescent="0.3">
      <c r="A971" t="s">
        <v>3383</v>
      </c>
      <c r="B971" t="s">
        <v>5330</v>
      </c>
      <c r="C971" t="s">
        <v>5470</v>
      </c>
      <c r="D971" t="s">
        <v>4119</v>
      </c>
      <c r="E971" t="s">
        <v>5617</v>
      </c>
      <c r="F971" t="s">
        <v>7954</v>
      </c>
      <c r="G971" t="s">
        <v>7952</v>
      </c>
      <c r="H971" t="s">
        <v>5474</v>
      </c>
      <c r="I971" t="s">
        <v>7955</v>
      </c>
      <c r="J971" t="s">
        <v>5484</v>
      </c>
      <c r="K971" t="s">
        <v>5471</v>
      </c>
      <c r="L971" t="s">
        <v>5471</v>
      </c>
      <c r="M971" t="s">
        <v>5471</v>
      </c>
    </row>
    <row r="972" spans="1:13" x14ac:dyDescent="0.3">
      <c r="A972" t="s">
        <v>3383</v>
      </c>
      <c r="B972" t="s">
        <v>5330</v>
      </c>
      <c r="C972" t="s">
        <v>5470</v>
      </c>
      <c r="D972" t="s">
        <v>4119</v>
      </c>
      <c r="E972" t="s">
        <v>5617</v>
      </c>
      <c r="F972" t="s">
        <v>7956</v>
      </c>
      <c r="G972" t="s">
        <v>7957</v>
      </c>
      <c r="H972" t="s">
        <v>5474</v>
      </c>
      <c r="I972" t="s">
        <v>7958</v>
      </c>
      <c r="J972" t="s">
        <v>5476</v>
      </c>
      <c r="K972" t="s">
        <v>5471</v>
      </c>
      <c r="L972" t="s">
        <v>5471</v>
      </c>
      <c r="M972" t="s">
        <v>5471</v>
      </c>
    </row>
    <row r="973" spans="1:13" x14ac:dyDescent="0.3">
      <c r="A973" t="s">
        <v>3383</v>
      </c>
      <c r="B973" t="s">
        <v>5330</v>
      </c>
      <c r="C973" t="s">
        <v>5470</v>
      </c>
      <c r="D973" t="s">
        <v>4119</v>
      </c>
      <c r="E973" t="s">
        <v>5617</v>
      </c>
      <c r="F973" t="s">
        <v>7959</v>
      </c>
      <c r="G973" t="s">
        <v>7957</v>
      </c>
      <c r="H973" t="s">
        <v>5474</v>
      </c>
      <c r="I973" t="s">
        <v>7960</v>
      </c>
      <c r="J973" t="s">
        <v>5484</v>
      </c>
      <c r="K973" t="s">
        <v>5471</v>
      </c>
      <c r="L973" t="s">
        <v>5471</v>
      </c>
      <c r="M973" t="s">
        <v>5471</v>
      </c>
    </row>
    <row r="974" spans="1:13" x14ac:dyDescent="0.3">
      <c r="A974" t="s">
        <v>3383</v>
      </c>
      <c r="B974" t="s">
        <v>5330</v>
      </c>
      <c r="C974" t="s">
        <v>5470</v>
      </c>
      <c r="D974" t="s">
        <v>4119</v>
      </c>
      <c r="E974" t="s">
        <v>5617</v>
      </c>
      <c r="F974" t="s">
        <v>7961</v>
      </c>
      <c r="G974" t="s">
        <v>7962</v>
      </c>
      <c r="H974" t="s">
        <v>5474</v>
      </c>
      <c r="I974" t="s">
        <v>7963</v>
      </c>
      <c r="J974" t="s">
        <v>5476</v>
      </c>
      <c r="K974" t="s">
        <v>5471</v>
      </c>
      <c r="L974" t="s">
        <v>5471</v>
      </c>
      <c r="M974" t="s">
        <v>5471</v>
      </c>
    </row>
    <row r="975" spans="1:13" x14ac:dyDescent="0.3">
      <c r="A975" t="s">
        <v>3383</v>
      </c>
      <c r="B975" t="s">
        <v>5330</v>
      </c>
      <c r="C975" t="s">
        <v>5470</v>
      </c>
      <c r="D975" t="s">
        <v>4119</v>
      </c>
      <c r="E975" t="s">
        <v>5617</v>
      </c>
      <c r="F975" t="s">
        <v>7964</v>
      </c>
      <c r="G975" t="s">
        <v>7965</v>
      </c>
      <c r="H975" t="s">
        <v>5474</v>
      </c>
      <c r="I975" t="s">
        <v>7966</v>
      </c>
      <c r="J975" t="s">
        <v>5484</v>
      </c>
      <c r="K975" t="s">
        <v>5471</v>
      </c>
      <c r="L975" t="s">
        <v>5471</v>
      </c>
      <c r="M975" t="s">
        <v>5471</v>
      </c>
    </row>
    <row r="976" spans="1:13" x14ac:dyDescent="0.3">
      <c r="A976" t="s">
        <v>3388</v>
      </c>
      <c r="B976" t="s">
        <v>7101</v>
      </c>
      <c r="C976" t="s">
        <v>5470</v>
      </c>
      <c r="D976" t="s">
        <v>4119</v>
      </c>
      <c r="E976" t="s">
        <v>5756</v>
      </c>
      <c r="F976" t="s">
        <v>7967</v>
      </c>
      <c r="G976" t="s">
        <v>7968</v>
      </c>
      <c r="H976" t="s">
        <v>5474</v>
      </c>
      <c r="I976" t="s">
        <v>7969</v>
      </c>
      <c r="J976" t="s">
        <v>5484</v>
      </c>
      <c r="K976" t="s">
        <v>5471</v>
      </c>
      <c r="L976" t="s">
        <v>5471</v>
      </c>
      <c r="M976" t="s">
        <v>5471</v>
      </c>
    </row>
    <row r="977" spans="1:13" x14ac:dyDescent="0.3">
      <c r="A977" t="s">
        <v>3388</v>
      </c>
      <c r="B977" t="s">
        <v>7101</v>
      </c>
      <c r="C977" t="s">
        <v>5470</v>
      </c>
      <c r="D977" t="s">
        <v>4119</v>
      </c>
      <c r="E977" t="s">
        <v>5532</v>
      </c>
      <c r="F977" t="s">
        <v>7970</v>
      </c>
      <c r="G977" t="s">
        <v>7971</v>
      </c>
      <c r="H977" t="s">
        <v>5474</v>
      </c>
      <c r="I977" t="s">
        <v>7972</v>
      </c>
      <c r="J977" t="s">
        <v>5484</v>
      </c>
      <c r="K977" t="s">
        <v>5471</v>
      </c>
      <c r="L977" t="s">
        <v>5471</v>
      </c>
      <c r="M977" t="s">
        <v>5471</v>
      </c>
    </row>
    <row r="978" spans="1:13" x14ac:dyDescent="0.3">
      <c r="A978" t="s">
        <v>3388</v>
      </c>
      <c r="B978" t="s">
        <v>7101</v>
      </c>
      <c r="C978" t="s">
        <v>5470</v>
      </c>
      <c r="D978" t="s">
        <v>4119</v>
      </c>
      <c r="E978" t="s">
        <v>5756</v>
      </c>
      <c r="F978" t="s">
        <v>7973</v>
      </c>
      <c r="G978" t="s">
        <v>7971</v>
      </c>
      <c r="H978" t="s">
        <v>5474</v>
      </c>
      <c r="I978" t="s">
        <v>7974</v>
      </c>
      <c r="J978" t="s">
        <v>5484</v>
      </c>
      <c r="K978" t="s">
        <v>5471</v>
      </c>
      <c r="L978" t="s">
        <v>5471</v>
      </c>
      <c r="M978" t="s">
        <v>5471</v>
      </c>
    </row>
    <row r="979" spans="1:13" x14ac:dyDescent="0.3">
      <c r="A979" t="s">
        <v>3388</v>
      </c>
      <c r="B979" t="s">
        <v>7975</v>
      </c>
      <c r="C979" t="s">
        <v>5470</v>
      </c>
      <c r="D979" t="s">
        <v>4119</v>
      </c>
      <c r="E979" t="s">
        <v>5471</v>
      </c>
      <c r="F979" t="s">
        <v>7976</v>
      </c>
      <c r="G979" t="s">
        <v>7968</v>
      </c>
      <c r="H979" t="s">
        <v>5474</v>
      </c>
      <c r="I979" t="s">
        <v>7977</v>
      </c>
      <c r="J979" t="s">
        <v>5476</v>
      </c>
      <c r="K979" t="s">
        <v>5471</v>
      </c>
      <c r="L979" t="s">
        <v>5471</v>
      </c>
      <c r="M979" t="s">
        <v>5471</v>
      </c>
    </row>
    <row r="980" spans="1:13" x14ac:dyDescent="0.3">
      <c r="A980" t="s">
        <v>3388</v>
      </c>
      <c r="B980" t="s">
        <v>7824</v>
      </c>
      <c r="C980" t="s">
        <v>5470</v>
      </c>
      <c r="D980" t="s">
        <v>4119</v>
      </c>
      <c r="E980" t="s">
        <v>5471</v>
      </c>
      <c r="F980" t="s">
        <v>7978</v>
      </c>
      <c r="G980" t="s">
        <v>7826</v>
      </c>
      <c r="H980" t="s">
        <v>5474</v>
      </c>
      <c r="I980" t="s">
        <v>7979</v>
      </c>
      <c r="J980" t="s">
        <v>5476</v>
      </c>
      <c r="K980" t="s">
        <v>5471</v>
      </c>
      <c r="L980" t="s">
        <v>5471</v>
      </c>
      <c r="M980" t="s">
        <v>5471</v>
      </c>
    </row>
    <row r="981" spans="1:13" x14ac:dyDescent="0.3">
      <c r="A981" t="s">
        <v>3388</v>
      </c>
      <c r="B981" t="s">
        <v>7980</v>
      </c>
      <c r="C981" t="s">
        <v>5470</v>
      </c>
      <c r="D981" t="s">
        <v>4119</v>
      </c>
      <c r="E981" t="s">
        <v>5471</v>
      </c>
      <c r="F981" t="s">
        <v>7981</v>
      </c>
      <c r="G981" t="s">
        <v>7982</v>
      </c>
      <c r="H981" t="s">
        <v>5474</v>
      </c>
      <c r="I981" t="s">
        <v>7983</v>
      </c>
      <c r="J981" t="s">
        <v>5476</v>
      </c>
      <c r="K981" t="s">
        <v>5471</v>
      </c>
      <c r="L981" t="s">
        <v>5471</v>
      </c>
      <c r="M981" t="s">
        <v>5471</v>
      </c>
    </row>
    <row r="982" spans="1:13" x14ac:dyDescent="0.3">
      <c r="A982" t="s">
        <v>3388</v>
      </c>
      <c r="B982" t="s">
        <v>7980</v>
      </c>
      <c r="C982" t="s">
        <v>5470</v>
      </c>
      <c r="D982" t="s">
        <v>4119</v>
      </c>
      <c r="E982" t="s">
        <v>5471</v>
      </c>
      <c r="F982" t="s">
        <v>7984</v>
      </c>
      <c r="G982" t="s">
        <v>7982</v>
      </c>
      <c r="H982" t="s">
        <v>5474</v>
      </c>
      <c r="I982" t="s">
        <v>7985</v>
      </c>
      <c r="J982" t="s">
        <v>5476</v>
      </c>
      <c r="K982" t="s">
        <v>5471</v>
      </c>
      <c r="L982" t="s">
        <v>5471</v>
      </c>
      <c r="M982" t="s">
        <v>5471</v>
      </c>
    </row>
    <row r="983" spans="1:13" x14ac:dyDescent="0.3">
      <c r="A983" t="s">
        <v>3388</v>
      </c>
      <c r="B983" t="s">
        <v>7879</v>
      </c>
      <c r="C983" t="s">
        <v>5470</v>
      </c>
      <c r="D983" t="s">
        <v>4119</v>
      </c>
      <c r="E983" t="s">
        <v>5471</v>
      </c>
      <c r="F983" t="s">
        <v>7986</v>
      </c>
      <c r="G983" t="s">
        <v>7881</v>
      </c>
      <c r="H983" t="s">
        <v>5474</v>
      </c>
      <c r="I983" t="s">
        <v>7987</v>
      </c>
      <c r="J983" t="s">
        <v>5476</v>
      </c>
      <c r="K983" t="s">
        <v>5471</v>
      </c>
      <c r="L983" t="s">
        <v>5471</v>
      </c>
      <c r="M983" t="s">
        <v>5471</v>
      </c>
    </row>
    <row r="984" spans="1:13" x14ac:dyDescent="0.3">
      <c r="A984" t="s">
        <v>3388</v>
      </c>
      <c r="B984" t="s">
        <v>7883</v>
      </c>
      <c r="C984" t="s">
        <v>5470</v>
      </c>
      <c r="D984" t="s">
        <v>4119</v>
      </c>
      <c r="E984" t="s">
        <v>5471</v>
      </c>
      <c r="F984" t="s">
        <v>7988</v>
      </c>
      <c r="G984" t="s">
        <v>7885</v>
      </c>
      <c r="H984" t="s">
        <v>5474</v>
      </c>
      <c r="I984" t="s">
        <v>7989</v>
      </c>
      <c r="J984" t="s">
        <v>5484</v>
      </c>
      <c r="K984" t="s">
        <v>5471</v>
      </c>
      <c r="L984" t="s">
        <v>5471</v>
      </c>
      <c r="M984" t="s">
        <v>5471</v>
      </c>
    </row>
    <row r="985" spans="1:13" x14ac:dyDescent="0.3">
      <c r="A985" t="s">
        <v>3388</v>
      </c>
      <c r="B985" t="s">
        <v>7879</v>
      </c>
      <c r="C985" t="s">
        <v>5470</v>
      </c>
      <c r="D985" t="s">
        <v>4119</v>
      </c>
      <c r="E985" t="s">
        <v>5471</v>
      </c>
      <c r="F985" t="s">
        <v>7990</v>
      </c>
      <c r="G985" t="s">
        <v>7881</v>
      </c>
      <c r="H985" t="s">
        <v>5474</v>
      </c>
      <c r="I985" t="s">
        <v>7991</v>
      </c>
      <c r="J985" t="s">
        <v>5476</v>
      </c>
      <c r="K985" t="s">
        <v>5471</v>
      </c>
      <c r="L985" t="s">
        <v>5471</v>
      </c>
      <c r="M985" t="s">
        <v>5471</v>
      </c>
    </row>
    <row r="986" spans="1:13" x14ac:dyDescent="0.3">
      <c r="A986" t="s">
        <v>3388</v>
      </c>
      <c r="B986" t="s">
        <v>7992</v>
      </c>
      <c r="C986" t="s">
        <v>5470</v>
      </c>
      <c r="D986" t="s">
        <v>4119</v>
      </c>
      <c r="E986" t="s">
        <v>5471</v>
      </c>
      <c r="F986" t="s">
        <v>7993</v>
      </c>
      <c r="G986" t="s">
        <v>7994</v>
      </c>
      <c r="H986" t="s">
        <v>5474</v>
      </c>
      <c r="I986" t="s">
        <v>7995</v>
      </c>
      <c r="J986" t="s">
        <v>5476</v>
      </c>
      <c r="K986" t="s">
        <v>5471</v>
      </c>
      <c r="L986" t="s">
        <v>5471</v>
      </c>
      <c r="M986" t="s">
        <v>5471</v>
      </c>
    </row>
    <row r="987" spans="1:13" x14ac:dyDescent="0.3">
      <c r="A987" t="s">
        <v>3388</v>
      </c>
      <c r="B987" t="s">
        <v>7088</v>
      </c>
      <c r="C987" t="s">
        <v>5470</v>
      </c>
      <c r="D987" t="s">
        <v>4119</v>
      </c>
      <c r="E987" t="s">
        <v>5532</v>
      </c>
      <c r="F987" t="s">
        <v>7996</v>
      </c>
      <c r="G987" t="s">
        <v>7997</v>
      </c>
      <c r="H987" t="s">
        <v>5474</v>
      </c>
      <c r="I987" t="s">
        <v>7998</v>
      </c>
      <c r="J987" t="s">
        <v>5476</v>
      </c>
      <c r="K987" t="s">
        <v>5471</v>
      </c>
      <c r="L987" t="s">
        <v>5471</v>
      </c>
      <c r="M987" t="s">
        <v>5471</v>
      </c>
    </row>
    <row r="988" spans="1:13" x14ac:dyDescent="0.3">
      <c r="A988" t="s">
        <v>3388</v>
      </c>
      <c r="B988" t="s">
        <v>7999</v>
      </c>
      <c r="C988" t="s">
        <v>5470</v>
      </c>
      <c r="D988" t="s">
        <v>4119</v>
      </c>
      <c r="E988" t="s">
        <v>5471</v>
      </c>
      <c r="F988" t="s">
        <v>8000</v>
      </c>
      <c r="G988" t="s">
        <v>8001</v>
      </c>
      <c r="H988" t="s">
        <v>5474</v>
      </c>
      <c r="I988" t="s">
        <v>8002</v>
      </c>
      <c r="J988" t="s">
        <v>5476</v>
      </c>
      <c r="K988" t="s">
        <v>5471</v>
      </c>
      <c r="L988" t="s">
        <v>5471</v>
      </c>
      <c r="M988" t="s">
        <v>5471</v>
      </c>
    </row>
    <row r="989" spans="1:13" x14ac:dyDescent="0.3">
      <c r="A989" t="s">
        <v>3388</v>
      </c>
      <c r="B989" t="s">
        <v>7999</v>
      </c>
      <c r="C989" t="s">
        <v>5470</v>
      </c>
      <c r="D989" t="s">
        <v>4119</v>
      </c>
      <c r="E989" t="s">
        <v>5471</v>
      </c>
      <c r="F989" t="s">
        <v>8003</v>
      </c>
      <c r="G989" t="s">
        <v>8001</v>
      </c>
      <c r="H989" t="s">
        <v>5474</v>
      </c>
      <c r="I989" t="s">
        <v>8004</v>
      </c>
      <c r="J989" t="s">
        <v>5476</v>
      </c>
      <c r="K989" t="s">
        <v>5471</v>
      </c>
      <c r="L989" t="s">
        <v>5471</v>
      </c>
      <c r="M989" t="s">
        <v>5471</v>
      </c>
    </row>
    <row r="990" spans="1:13" x14ac:dyDescent="0.3">
      <c r="A990" t="s">
        <v>3388</v>
      </c>
      <c r="B990" t="s">
        <v>7999</v>
      </c>
      <c r="C990" t="s">
        <v>5470</v>
      </c>
      <c r="D990" t="s">
        <v>4119</v>
      </c>
      <c r="E990" t="s">
        <v>5471</v>
      </c>
      <c r="F990" t="s">
        <v>8005</v>
      </c>
      <c r="G990" t="s">
        <v>8001</v>
      </c>
      <c r="H990" t="s">
        <v>5474</v>
      </c>
      <c r="I990" t="s">
        <v>8006</v>
      </c>
      <c r="J990" t="s">
        <v>5476</v>
      </c>
      <c r="K990" t="s">
        <v>5471</v>
      </c>
      <c r="L990" t="s">
        <v>5471</v>
      </c>
      <c r="M990" t="s">
        <v>5471</v>
      </c>
    </row>
    <row r="991" spans="1:13" x14ac:dyDescent="0.3">
      <c r="A991" t="s">
        <v>3388</v>
      </c>
      <c r="B991" t="s">
        <v>8007</v>
      </c>
      <c r="C991" t="s">
        <v>5470</v>
      </c>
      <c r="D991" t="s">
        <v>4119</v>
      </c>
      <c r="E991" t="s">
        <v>5471</v>
      </c>
      <c r="F991" t="s">
        <v>8008</v>
      </c>
      <c r="G991" t="s">
        <v>8009</v>
      </c>
      <c r="H991" t="s">
        <v>5474</v>
      </c>
      <c r="I991" t="s">
        <v>8010</v>
      </c>
      <c r="J991" t="s">
        <v>5476</v>
      </c>
      <c r="K991" t="s">
        <v>5471</v>
      </c>
      <c r="L991" t="s">
        <v>5471</v>
      </c>
      <c r="M991" t="s">
        <v>5471</v>
      </c>
    </row>
    <row r="992" spans="1:13" x14ac:dyDescent="0.3">
      <c r="A992" t="s">
        <v>3388</v>
      </c>
      <c r="B992" t="s">
        <v>8007</v>
      </c>
      <c r="C992" t="s">
        <v>5470</v>
      </c>
      <c r="D992" t="s">
        <v>4119</v>
      </c>
      <c r="E992" t="s">
        <v>5471</v>
      </c>
      <c r="F992" t="s">
        <v>8011</v>
      </c>
      <c r="G992" t="s">
        <v>8009</v>
      </c>
      <c r="H992" t="s">
        <v>5474</v>
      </c>
      <c r="I992" t="s">
        <v>8012</v>
      </c>
      <c r="J992" t="s">
        <v>5476</v>
      </c>
      <c r="K992" t="s">
        <v>5471</v>
      </c>
      <c r="L992" t="s">
        <v>5471</v>
      </c>
      <c r="M992" t="s">
        <v>5471</v>
      </c>
    </row>
    <row r="993" spans="1:13" x14ac:dyDescent="0.3">
      <c r="A993" t="s">
        <v>3388</v>
      </c>
      <c r="B993" t="s">
        <v>8013</v>
      </c>
      <c r="C993" t="s">
        <v>5470</v>
      </c>
      <c r="D993" t="s">
        <v>4119</v>
      </c>
      <c r="E993" t="s">
        <v>5471</v>
      </c>
      <c r="F993" t="s">
        <v>8014</v>
      </c>
      <c r="G993" t="s">
        <v>8015</v>
      </c>
      <c r="H993" t="s">
        <v>5474</v>
      </c>
      <c r="I993" t="s">
        <v>8016</v>
      </c>
      <c r="J993" t="s">
        <v>5476</v>
      </c>
      <c r="K993" t="s">
        <v>5471</v>
      </c>
      <c r="L993" t="s">
        <v>5471</v>
      </c>
      <c r="M993" t="s">
        <v>5471</v>
      </c>
    </row>
    <row r="994" spans="1:13" x14ac:dyDescent="0.3">
      <c r="A994" t="s">
        <v>3388</v>
      </c>
      <c r="B994" t="s">
        <v>8007</v>
      </c>
      <c r="C994" t="s">
        <v>5470</v>
      </c>
      <c r="D994" t="s">
        <v>4119</v>
      </c>
      <c r="E994" t="s">
        <v>5471</v>
      </c>
      <c r="F994" t="s">
        <v>8017</v>
      </c>
      <c r="G994" t="s">
        <v>8009</v>
      </c>
      <c r="H994" t="s">
        <v>5474</v>
      </c>
      <c r="I994" t="s">
        <v>8018</v>
      </c>
      <c r="J994" t="s">
        <v>5476</v>
      </c>
      <c r="K994" t="s">
        <v>5471</v>
      </c>
      <c r="L994" t="s">
        <v>5471</v>
      </c>
      <c r="M994" t="s">
        <v>5471</v>
      </c>
    </row>
    <row r="995" spans="1:13" x14ac:dyDescent="0.3">
      <c r="A995" t="s">
        <v>3388</v>
      </c>
      <c r="B995" t="s">
        <v>8013</v>
      </c>
      <c r="C995" t="s">
        <v>5470</v>
      </c>
      <c r="D995" t="s">
        <v>4119</v>
      </c>
      <c r="E995" t="s">
        <v>5471</v>
      </c>
      <c r="F995" t="s">
        <v>8019</v>
      </c>
      <c r="G995" t="s">
        <v>8015</v>
      </c>
      <c r="H995" t="s">
        <v>5474</v>
      </c>
      <c r="I995" t="s">
        <v>8020</v>
      </c>
      <c r="J995" t="s">
        <v>5476</v>
      </c>
      <c r="K995" t="s">
        <v>5471</v>
      </c>
      <c r="L995" t="s">
        <v>5471</v>
      </c>
      <c r="M995" t="s">
        <v>5471</v>
      </c>
    </row>
    <row r="996" spans="1:13" x14ac:dyDescent="0.3">
      <c r="A996" t="s">
        <v>3388</v>
      </c>
      <c r="B996" t="s">
        <v>8013</v>
      </c>
      <c r="C996" t="s">
        <v>5470</v>
      </c>
      <c r="D996" t="s">
        <v>4119</v>
      </c>
      <c r="E996" t="s">
        <v>5471</v>
      </c>
      <c r="F996" t="s">
        <v>8021</v>
      </c>
      <c r="G996" t="s">
        <v>8015</v>
      </c>
      <c r="H996" t="s">
        <v>5474</v>
      </c>
      <c r="I996" t="s">
        <v>8022</v>
      </c>
      <c r="J996" t="s">
        <v>5476</v>
      </c>
      <c r="K996" t="s">
        <v>5471</v>
      </c>
      <c r="L996" t="s">
        <v>5471</v>
      </c>
      <c r="M996" t="s">
        <v>5471</v>
      </c>
    </row>
    <row r="997" spans="1:13" x14ac:dyDescent="0.3">
      <c r="A997" t="s">
        <v>3388</v>
      </c>
      <c r="B997" t="s">
        <v>8013</v>
      </c>
      <c r="C997" t="s">
        <v>5470</v>
      </c>
      <c r="D997" t="s">
        <v>4119</v>
      </c>
      <c r="E997" t="s">
        <v>5471</v>
      </c>
      <c r="F997" t="s">
        <v>8023</v>
      </c>
      <c r="G997" t="s">
        <v>8015</v>
      </c>
      <c r="H997" t="s">
        <v>5474</v>
      </c>
      <c r="I997" t="s">
        <v>8024</v>
      </c>
      <c r="J997" t="s">
        <v>5476</v>
      </c>
      <c r="K997" t="s">
        <v>5471</v>
      </c>
      <c r="L997" t="s">
        <v>5471</v>
      </c>
      <c r="M997" t="s">
        <v>5471</v>
      </c>
    </row>
    <row r="998" spans="1:13" x14ac:dyDescent="0.3">
      <c r="A998" t="s">
        <v>3397</v>
      </c>
      <c r="B998" t="s">
        <v>5255</v>
      </c>
      <c r="C998" t="s">
        <v>5487</v>
      </c>
      <c r="D998" t="s">
        <v>4119</v>
      </c>
      <c r="E998" t="s">
        <v>5595</v>
      </c>
      <c r="F998" t="s">
        <v>8025</v>
      </c>
      <c r="G998" t="s">
        <v>8026</v>
      </c>
      <c r="H998" t="s">
        <v>5474</v>
      </c>
      <c r="I998" t="s">
        <v>8027</v>
      </c>
      <c r="J998" t="s">
        <v>5476</v>
      </c>
      <c r="K998" t="s">
        <v>5471</v>
      </c>
      <c r="L998" t="s">
        <v>5471</v>
      </c>
      <c r="M998" t="s">
        <v>5471</v>
      </c>
    </row>
    <row r="999" spans="1:13" x14ac:dyDescent="0.3">
      <c r="A999" t="s">
        <v>3388</v>
      </c>
      <c r="B999" t="s">
        <v>8028</v>
      </c>
      <c r="C999" t="s">
        <v>5470</v>
      </c>
      <c r="D999" t="s">
        <v>4119</v>
      </c>
      <c r="E999" t="s">
        <v>5471</v>
      </c>
      <c r="F999" t="s">
        <v>8029</v>
      </c>
      <c r="G999" t="s">
        <v>8030</v>
      </c>
      <c r="H999" t="s">
        <v>5474</v>
      </c>
      <c r="I999" t="s">
        <v>8031</v>
      </c>
      <c r="J999" t="s">
        <v>5476</v>
      </c>
      <c r="K999" t="s">
        <v>5471</v>
      </c>
      <c r="L999" t="s">
        <v>5471</v>
      </c>
      <c r="M999" t="s">
        <v>5471</v>
      </c>
    </row>
    <row r="1000" spans="1:13" x14ac:dyDescent="0.3">
      <c r="A1000" t="s">
        <v>3388</v>
      </c>
      <c r="B1000" t="s">
        <v>8032</v>
      </c>
      <c r="C1000" t="s">
        <v>5470</v>
      </c>
      <c r="D1000" t="s">
        <v>4119</v>
      </c>
      <c r="E1000" t="s">
        <v>5471</v>
      </c>
      <c r="F1000" t="s">
        <v>8033</v>
      </c>
      <c r="G1000" t="s">
        <v>8034</v>
      </c>
      <c r="H1000" t="s">
        <v>5474</v>
      </c>
      <c r="I1000" t="s">
        <v>8035</v>
      </c>
      <c r="J1000" t="s">
        <v>5476</v>
      </c>
      <c r="K1000" t="s">
        <v>5471</v>
      </c>
      <c r="L1000" t="s">
        <v>5471</v>
      </c>
      <c r="M1000" t="s">
        <v>5471</v>
      </c>
    </row>
    <row r="1001" spans="1:13" x14ac:dyDescent="0.3">
      <c r="A1001" t="s">
        <v>3388</v>
      </c>
      <c r="B1001" t="s">
        <v>8036</v>
      </c>
      <c r="C1001" t="s">
        <v>5470</v>
      </c>
      <c r="D1001" t="s">
        <v>4119</v>
      </c>
      <c r="E1001" t="s">
        <v>5471</v>
      </c>
      <c r="F1001" t="s">
        <v>8037</v>
      </c>
      <c r="G1001" t="s">
        <v>8038</v>
      </c>
      <c r="H1001" t="s">
        <v>5474</v>
      </c>
      <c r="I1001" t="s">
        <v>8039</v>
      </c>
      <c r="J1001" t="s">
        <v>5476</v>
      </c>
      <c r="K1001" t="s">
        <v>5471</v>
      </c>
      <c r="L1001" t="s">
        <v>5471</v>
      </c>
      <c r="M1001" t="s">
        <v>5471</v>
      </c>
    </row>
    <row r="1002" spans="1:13" x14ac:dyDescent="0.3">
      <c r="A1002" t="s">
        <v>3397</v>
      </c>
      <c r="B1002" t="s">
        <v>5255</v>
      </c>
      <c r="C1002" t="s">
        <v>5487</v>
      </c>
      <c r="D1002" t="s">
        <v>4119</v>
      </c>
      <c r="E1002" t="s">
        <v>5595</v>
      </c>
      <c r="F1002" t="s">
        <v>8040</v>
      </c>
      <c r="G1002" t="s">
        <v>8041</v>
      </c>
      <c r="H1002" t="s">
        <v>5474</v>
      </c>
      <c r="I1002" t="s">
        <v>8042</v>
      </c>
      <c r="J1002" t="s">
        <v>5476</v>
      </c>
      <c r="K1002" t="s">
        <v>5471</v>
      </c>
      <c r="L1002" t="s">
        <v>5471</v>
      </c>
      <c r="M1002" t="s">
        <v>5471</v>
      </c>
    </row>
    <row r="1003" spans="1:13" x14ac:dyDescent="0.3">
      <c r="A1003" t="s">
        <v>3397</v>
      </c>
      <c r="B1003" t="s">
        <v>5255</v>
      </c>
      <c r="C1003" t="s">
        <v>5487</v>
      </c>
      <c r="D1003" t="s">
        <v>4119</v>
      </c>
      <c r="E1003" t="s">
        <v>5532</v>
      </c>
      <c r="F1003" t="s">
        <v>8043</v>
      </c>
      <c r="G1003" t="s">
        <v>8044</v>
      </c>
      <c r="H1003" t="s">
        <v>5474</v>
      </c>
      <c r="I1003" t="s">
        <v>8045</v>
      </c>
      <c r="J1003" t="s">
        <v>5476</v>
      </c>
      <c r="K1003" t="s">
        <v>5471</v>
      </c>
      <c r="L1003" t="s">
        <v>5471</v>
      </c>
      <c r="M1003" t="s">
        <v>5471</v>
      </c>
    </row>
    <row r="1004" spans="1:13" x14ac:dyDescent="0.3">
      <c r="A1004" t="s">
        <v>3397</v>
      </c>
      <c r="B1004" t="s">
        <v>5255</v>
      </c>
      <c r="C1004" t="s">
        <v>5487</v>
      </c>
      <c r="D1004" t="s">
        <v>4119</v>
      </c>
      <c r="E1004" t="s">
        <v>5532</v>
      </c>
      <c r="F1004" t="s">
        <v>8046</v>
      </c>
      <c r="G1004" t="s">
        <v>8047</v>
      </c>
      <c r="H1004" t="s">
        <v>5474</v>
      </c>
      <c r="I1004" t="s">
        <v>8048</v>
      </c>
      <c r="J1004" t="s">
        <v>5476</v>
      </c>
      <c r="K1004" t="s">
        <v>5471</v>
      </c>
      <c r="L1004" t="s">
        <v>5471</v>
      </c>
      <c r="M1004" t="s">
        <v>5471</v>
      </c>
    </row>
    <row r="1005" spans="1:13" x14ac:dyDescent="0.3">
      <c r="A1005" t="s">
        <v>3397</v>
      </c>
      <c r="B1005" t="s">
        <v>5255</v>
      </c>
      <c r="C1005" t="s">
        <v>5487</v>
      </c>
      <c r="D1005" t="s">
        <v>4119</v>
      </c>
      <c r="E1005" t="s">
        <v>5532</v>
      </c>
      <c r="F1005" t="s">
        <v>8049</v>
      </c>
      <c r="G1005" t="s">
        <v>8050</v>
      </c>
      <c r="H1005" t="s">
        <v>5474</v>
      </c>
      <c r="I1005" t="s">
        <v>8051</v>
      </c>
      <c r="J1005" t="s">
        <v>5476</v>
      </c>
      <c r="K1005" t="s">
        <v>5471</v>
      </c>
      <c r="L1005" t="s">
        <v>5471</v>
      </c>
      <c r="M1005" t="s">
        <v>5471</v>
      </c>
    </row>
    <row r="1006" spans="1:13" x14ac:dyDescent="0.3">
      <c r="A1006" t="s">
        <v>3397</v>
      </c>
      <c r="B1006" t="s">
        <v>5255</v>
      </c>
      <c r="C1006" t="s">
        <v>5487</v>
      </c>
      <c r="D1006" t="s">
        <v>4119</v>
      </c>
      <c r="E1006" t="s">
        <v>5532</v>
      </c>
      <c r="F1006" t="s">
        <v>8052</v>
      </c>
      <c r="G1006" t="s">
        <v>8041</v>
      </c>
      <c r="H1006" t="s">
        <v>5474</v>
      </c>
      <c r="I1006" t="s">
        <v>8053</v>
      </c>
      <c r="J1006" t="s">
        <v>5476</v>
      </c>
      <c r="K1006" t="s">
        <v>5471</v>
      </c>
      <c r="L1006" t="s">
        <v>5471</v>
      </c>
      <c r="M1006" t="s">
        <v>5471</v>
      </c>
    </row>
    <row r="1007" spans="1:13" x14ac:dyDescent="0.3">
      <c r="A1007" t="s">
        <v>3397</v>
      </c>
      <c r="B1007" t="s">
        <v>5255</v>
      </c>
      <c r="C1007" t="s">
        <v>5487</v>
      </c>
      <c r="D1007" t="s">
        <v>4119</v>
      </c>
      <c r="E1007" t="s">
        <v>5532</v>
      </c>
      <c r="F1007" t="s">
        <v>8054</v>
      </c>
      <c r="G1007" t="s">
        <v>8055</v>
      </c>
      <c r="H1007" t="s">
        <v>5474</v>
      </c>
      <c r="I1007" t="s">
        <v>8056</v>
      </c>
      <c r="J1007" t="s">
        <v>5476</v>
      </c>
      <c r="K1007" t="s">
        <v>5471</v>
      </c>
      <c r="L1007" t="s">
        <v>5471</v>
      </c>
      <c r="M1007" t="s">
        <v>5471</v>
      </c>
    </row>
    <row r="1008" spans="1:13" x14ac:dyDescent="0.3">
      <c r="A1008" t="s">
        <v>3388</v>
      </c>
      <c r="B1008" t="s">
        <v>7999</v>
      </c>
      <c r="C1008" t="s">
        <v>5470</v>
      </c>
      <c r="D1008" t="s">
        <v>4119</v>
      </c>
      <c r="E1008" t="s">
        <v>5471</v>
      </c>
      <c r="F1008" t="s">
        <v>8057</v>
      </c>
      <c r="G1008" t="s">
        <v>8001</v>
      </c>
      <c r="H1008" t="s">
        <v>5474</v>
      </c>
      <c r="I1008" t="s">
        <v>8058</v>
      </c>
      <c r="J1008" t="s">
        <v>5476</v>
      </c>
      <c r="K1008" t="s">
        <v>5471</v>
      </c>
      <c r="L1008" t="s">
        <v>5471</v>
      </c>
      <c r="M1008" t="s">
        <v>5471</v>
      </c>
    </row>
    <row r="1009" spans="1:13" x14ac:dyDescent="0.3">
      <c r="A1009" t="s">
        <v>3383</v>
      </c>
      <c r="B1009" t="s">
        <v>5997</v>
      </c>
      <c r="C1009" t="s">
        <v>5487</v>
      </c>
      <c r="D1009" t="s">
        <v>4119</v>
      </c>
      <c r="E1009" t="s">
        <v>5532</v>
      </c>
      <c r="F1009" t="s">
        <v>8059</v>
      </c>
      <c r="G1009" t="s">
        <v>8060</v>
      </c>
      <c r="H1009" t="s">
        <v>5474</v>
      </c>
      <c r="I1009" t="s">
        <v>8061</v>
      </c>
      <c r="J1009" t="s">
        <v>5484</v>
      </c>
      <c r="K1009" t="s">
        <v>5471</v>
      </c>
      <c r="L1009" t="s">
        <v>5471</v>
      </c>
      <c r="M1009" t="s">
        <v>5471</v>
      </c>
    </row>
    <row r="1010" spans="1:13" x14ac:dyDescent="0.3">
      <c r="A1010" t="s">
        <v>3383</v>
      </c>
      <c r="B1010" t="s">
        <v>8062</v>
      </c>
      <c r="C1010" t="s">
        <v>5487</v>
      </c>
      <c r="D1010" t="s">
        <v>4119</v>
      </c>
      <c r="E1010" t="s">
        <v>5532</v>
      </c>
      <c r="F1010" t="s">
        <v>8059</v>
      </c>
      <c r="G1010" t="s">
        <v>8060</v>
      </c>
      <c r="H1010" t="s">
        <v>5474</v>
      </c>
      <c r="I1010" t="s">
        <v>8063</v>
      </c>
      <c r="J1010" t="s">
        <v>5484</v>
      </c>
      <c r="K1010" t="s">
        <v>5471</v>
      </c>
      <c r="L1010" t="s">
        <v>5471</v>
      </c>
      <c r="M1010" t="s">
        <v>5471</v>
      </c>
    </row>
    <row r="1011" spans="1:13" x14ac:dyDescent="0.3">
      <c r="A1011" t="s">
        <v>3397</v>
      </c>
      <c r="B1011" t="s">
        <v>8064</v>
      </c>
      <c r="C1011" t="s">
        <v>5487</v>
      </c>
      <c r="D1011" t="s">
        <v>4119</v>
      </c>
      <c r="E1011" t="s">
        <v>5471</v>
      </c>
      <c r="F1011" t="s">
        <v>8065</v>
      </c>
      <c r="G1011" t="s">
        <v>8066</v>
      </c>
      <c r="H1011" t="s">
        <v>5474</v>
      </c>
      <c r="I1011" t="s">
        <v>8067</v>
      </c>
      <c r="J1011" t="s">
        <v>5484</v>
      </c>
      <c r="K1011" t="s">
        <v>5471</v>
      </c>
      <c r="L1011" t="s">
        <v>5471</v>
      </c>
      <c r="M1011" t="s">
        <v>5471</v>
      </c>
    </row>
    <row r="1012" spans="1:13" x14ac:dyDescent="0.3">
      <c r="A1012" t="s">
        <v>3383</v>
      </c>
      <c r="B1012" t="s">
        <v>5586</v>
      </c>
      <c r="C1012" t="s">
        <v>5487</v>
      </c>
      <c r="D1012" t="s">
        <v>4119</v>
      </c>
      <c r="E1012" t="s">
        <v>5532</v>
      </c>
      <c r="F1012" t="s">
        <v>8059</v>
      </c>
      <c r="G1012" t="s">
        <v>8068</v>
      </c>
      <c r="H1012" t="s">
        <v>5474</v>
      </c>
      <c r="I1012" t="s">
        <v>8069</v>
      </c>
      <c r="J1012" t="s">
        <v>5484</v>
      </c>
      <c r="K1012" t="s">
        <v>5471</v>
      </c>
      <c r="L1012" t="s">
        <v>5471</v>
      </c>
      <c r="M1012" t="s">
        <v>5471</v>
      </c>
    </row>
    <row r="1013" spans="1:13" x14ac:dyDescent="0.3">
      <c r="A1013" t="s">
        <v>3397</v>
      </c>
      <c r="B1013" t="s">
        <v>8064</v>
      </c>
      <c r="C1013" t="s">
        <v>5487</v>
      </c>
      <c r="D1013" t="s">
        <v>4119</v>
      </c>
      <c r="E1013" t="s">
        <v>5471</v>
      </c>
      <c r="F1013" t="s">
        <v>8070</v>
      </c>
      <c r="G1013" t="s">
        <v>8066</v>
      </c>
      <c r="H1013" t="s">
        <v>5474</v>
      </c>
      <c r="I1013" t="s">
        <v>8071</v>
      </c>
      <c r="J1013" t="s">
        <v>5484</v>
      </c>
      <c r="K1013" t="s">
        <v>5471</v>
      </c>
      <c r="L1013" t="s">
        <v>5471</v>
      </c>
      <c r="M1013" t="s">
        <v>5471</v>
      </c>
    </row>
    <row r="1014" spans="1:13" x14ac:dyDescent="0.3">
      <c r="A1014" t="s">
        <v>3383</v>
      </c>
      <c r="B1014" t="s">
        <v>8062</v>
      </c>
      <c r="C1014" t="s">
        <v>5487</v>
      </c>
      <c r="D1014" t="s">
        <v>4119</v>
      </c>
      <c r="E1014" t="s">
        <v>5532</v>
      </c>
      <c r="F1014" t="s">
        <v>8059</v>
      </c>
      <c r="G1014" t="s">
        <v>8068</v>
      </c>
      <c r="H1014" t="s">
        <v>5474</v>
      </c>
      <c r="I1014" t="s">
        <v>8072</v>
      </c>
      <c r="J1014" t="s">
        <v>5484</v>
      </c>
      <c r="K1014" t="s">
        <v>5471</v>
      </c>
      <c r="L1014" t="s">
        <v>5471</v>
      </c>
      <c r="M1014" t="s">
        <v>5471</v>
      </c>
    </row>
    <row r="1015" spans="1:13" x14ac:dyDescent="0.3">
      <c r="A1015" t="s">
        <v>3383</v>
      </c>
      <c r="B1015" t="s">
        <v>5304</v>
      </c>
      <c r="C1015" t="s">
        <v>5487</v>
      </c>
      <c r="D1015" t="s">
        <v>4119</v>
      </c>
      <c r="E1015" t="s">
        <v>5532</v>
      </c>
      <c r="F1015" t="s">
        <v>8073</v>
      </c>
      <c r="G1015" t="s">
        <v>6041</v>
      </c>
      <c r="H1015" t="s">
        <v>5474</v>
      </c>
      <c r="I1015" t="s">
        <v>8074</v>
      </c>
      <c r="J1015" t="s">
        <v>5476</v>
      </c>
      <c r="K1015" t="s">
        <v>5471</v>
      </c>
      <c r="L1015" t="s">
        <v>5471</v>
      </c>
      <c r="M1015" t="s">
        <v>5471</v>
      </c>
    </row>
    <row r="1016" spans="1:13" x14ac:dyDescent="0.3">
      <c r="A1016" t="s">
        <v>3383</v>
      </c>
      <c r="B1016" t="s">
        <v>5304</v>
      </c>
      <c r="C1016" t="s">
        <v>5487</v>
      </c>
      <c r="D1016" t="s">
        <v>4119</v>
      </c>
      <c r="E1016" t="s">
        <v>5532</v>
      </c>
      <c r="F1016" t="s">
        <v>8075</v>
      </c>
      <c r="G1016" t="s">
        <v>8076</v>
      </c>
      <c r="H1016" t="s">
        <v>5474</v>
      </c>
      <c r="I1016" t="s">
        <v>8077</v>
      </c>
      <c r="J1016" t="s">
        <v>5484</v>
      </c>
      <c r="K1016" t="s">
        <v>5471</v>
      </c>
      <c r="L1016" t="s">
        <v>5471</v>
      </c>
      <c r="M1016" t="s">
        <v>5471</v>
      </c>
    </row>
    <row r="1017" spans="1:13" x14ac:dyDescent="0.3">
      <c r="A1017" t="s">
        <v>3383</v>
      </c>
      <c r="B1017" t="s">
        <v>8062</v>
      </c>
      <c r="C1017" t="s">
        <v>5487</v>
      </c>
      <c r="D1017" t="s">
        <v>4119</v>
      </c>
      <c r="E1017" t="s">
        <v>5532</v>
      </c>
      <c r="F1017" t="s">
        <v>8059</v>
      </c>
      <c r="G1017" t="s">
        <v>8078</v>
      </c>
      <c r="H1017" t="s">
        <v>5474</v>
      </c>
      <c r="I1017" t="s">
        <v>8079</v>
      </c>
      <c r="J1017" t="s">
        <v>5484</v>
      </c>
      <c r="K1017" t="s">
        <v>5471</v>
      </c>
      <c r="L1017" t="s">
        <v>5471</v>
      </c>
      <c r="M1017" t="s">
        <v>5471</v>
      </c>
    </row>
    <row r="1018" spans="1:13" x14ac:dyDescent="0.3">
      <c r="A1018" t="s">
        <v>3383</v>
      </c>
      <c r="B1018" t="s">
        <v>8062</v>
      </c>
      <c r="C1018" t="s">
        <v>5487</v>
      </c>
      <c r="D1018" t="s">
        <v>4119</v>
      </c>
      <c r="E1018" t="s">
        <v>5532</v>
      </c>
      <c r="F1018" t="s">
        <v>8059</v>
      </c>
      <c r="G1018" t="s">
        <v>8080</v>
      </c>
      <c r="H1018" t="s">
        <v>5474</v>
      </c>
      <c r="I1018" t="s">
        <v>8081</v>
      </c>
      <c r="J1018" t="s">
        <v>5484</v>
      </c>
      <c r="K1018" t="s">
        <v>5471</v>
      </c>
      <c r="L1018" t="s">
        <v>5471</v>
      </c>
      <c r="M1018" t="s">
        <v>5471</v>
      </c>
    </row>
    <row r="1019" spans="1:13" x14ac:dyDescent="0.3">
      <c r="A1019" t="s">
        <v>3383</v>
      </c>
      <c r="B1019" t="s">
        <v>8062</v>
      </c>
      <c r="C1019" t="s">
        <v>5487</v>
      </c>
      <c r="D1019" t="s">
        <v>4119</v>
      </c>
      <c r="E1019" t="s">
        <v>5532</v>
      </c>
      <c r="F1019" t="s">
        <v>8059</v>
      </c>
      <c r="G1019" t="s">
        <v>8082</v>
      </c>
      <c r="H1019" t="s">
        <v>5474</v>
      </c>
      <c r="I1019" t="s">
        <v>8083</v>
      </c>
      <c r="J1019" t="s">
        <v>5484</v>
      </c>
      <c r="K1019" t="s">
        <v>5471</v>
      </c>
      <c r="L1019" t="s">
        <v>5471</v>
      </c>
      <c r="M1019" t="s">
        <v>5471</v>
      </c>
    </row>
    <row r="1020" spans="1:13" x14ac:dyDescent="0.3">
      <c r="A1020" t="s">
        <v>3383</v>
      </c>
      <c r="B1020" t="s">
        <v>7820</v>
      </c>
      <c r="C1020" t="s">
        <v>5487</v>
      </c>
      <c r="D1020" t="s">
        <v>4119</v>
      </c>
      <c r="E1020" t="s">
        <v>5532</v>
      </c>
      <c r="F1020" t="s">
        <v>8075</v>
      </c>
      <c r="G1020" t="s">
        <v>8084</v>
      </c>
      <c r="H1020" t="s">
        <v>5474</v>
      </c>
      <c r="I1020" t="s">
        <v>8085</v>
      </c>
      <c r="J1020" t="s">
        <v>5484</v>
      </c>
      <c r="K1020" t="s">
        <v>5471</v>
      </c>
      <c r="L1020" t="s">
        <v>5471</v>
      </c>
      <c r="M1020" t="s">
        <v>5471</v>
      </c>
    </row>
    <row r="1021" spans="1:13" x14ac:dyDescent="0.3">
      <c r="A1021" t="s">
        <v>3383</v>
      </c>
      <c r="B1021" t="s">
        <v>7643</v>
      </c>
      <c r="C1021" t="s">
        <v>5487</v>
      </c>
      <c r="D1021" t="s">
        <v>4119</v>
      </c>
      <c r="E1021" t="s">
        <v>5532</v>
      </c>
      <c r="F1021" t="s">
        <v>8075</v>
      </c>
      <c r="G1021" t="s">
        <v>8084</v>
      </c>
      <c r="H1021" t="s">
        <v>5474</v>
      </c>
      <c r="I1021" t="s">
        <v>8086</v>
      </c>
      <c r="J1021" t="s">
        <v>5484</v>
      </c>
      <c r="K1021" t="s">
        <v>5471</v>
      </c>
      <c r="L1021" t="s">
        <v>5471</v>
      </c>
      <c r="M1021" t="s">
        <v>5471</v>
      </c>
    </row>
    <row r="1022" spans="1:13" x14ac:dyDescent="0.3">
      <c r="A1022" t="s">
        <v>3388</v>
      </c>
      <c r="B1022" t="s">
        <v>7101</v>
      </c>
      <c r="C1022" t="s">
        <v>5470</v>
      </c>
      <c r="D1022" t="s">
        <v>4119</v>
      </c>
      <c r="E1022" t="s">
        <v>5756</v>
      </c>
      <c r="F1022" t="s">
        <v>8087</v>
      </c>
      <c r="G1022" t="s">
        <v>7971</v>
      </c>
      <c r="H1022" t="s">
        <v>5474</v>
      </c>
      <c r="I1022" t="s">
        <v>8088</v>
      </c>
      <c r="J1022" t="s">
        <v>5476</v>
      </c>
      <c r="K1022" t="s">
        <v>5471</v>
      </c>
      <c r="L1022" t="s">
        <v>5471</v>
      </c>
      <c r="M1022" t="s">
        <v>5471</v>
      </c>
    </row>
    <row r="1023" spans="1:13" x14ac:dyDescent="0.3">
      <c r="A1023" t="s">
        <v>3383</v>
      </c>
      <c r="B1023" t="s">
        <v>7643</v>
      </c>
      <c r="C1023" t="s">
        <v>5487</v>
      </c>
      <c r="D1023" t="s">
        <v>4119</v>
      </c>
      <c r="E1023" t="s">
        <v>5532</v>
      </c>
      <c r="F1023" t="s">
        <v>8075</v>
      </c>
      <c r="G1023" t="s">
        <v>8089</v>
      </c>
      <c r="H1023" t="s">
        <v>5474</v>
      </c>
      <c r="I1023" t="s">
        <v>8090</v>
      </c>
      <c r="J1023" t="s">
        <v>5484</v>
      </c>
      <c r="K1023" t="s">
        <v>5471</v>
      </c>
      <c r="L1023" t="s">
        <v>5471</v>
      </c>
      <c r="M1023" t="s">
        <v>5471</v>
      </c>
    </row>
    <row r="1024" spans="1:13" x14ac:dyDescent="0.3">
      <c r="A1024" t="s">
        <v>3383</v>
      </c>
      <c r="B1024" t="s">
        <v>5304</v>
      </c>
      <c r="C1024" t="s">
        <v>5487</v>
      </c>
      <c r="D1024" t="s">
        <v>4119</v>
      </c>
      <c r="E1024" t="s">
        <v>5532</v>
      </c>
      <c r="F1024" t="s">
        <v>8091</v>
      </c>
      <c r="G1024" t="s">
        <v>8089</v>
      </c>
      <c r="H1024" t="s">
        <v>5474</v>
      </c>
      <c r="I1024" t="s">
        <v>8092</v>
      </c>
      <c r="J1024" t="s">
        <v>5484</v>
      </c>
      <c r="K1024" t="s">
        <v>5471</v>
      </c>
      <c r="L1024" t="s">
        <v>5471</v>
      </c>
      <c r="M1024" t="s">
        <v>5471</v>
      </c>
    </row>
    <row r="1025" spans="1:13" x14ac:dyDescent="0.3">
      <c r="A1025" t="s">
        <v>3397</v>
      </c>
      <c r="B1025" t="s">
        <v>8093</v>
      </c>
      <c r="C1025" t="s">
        <v>5487</v>
      </c>
      <c r="D1025" t="s">
        <v>4119</v>
      </c>
      <c r="E1025" t="s">
        <v>5471</v>
      </c>
      <c r="F1025" t="s">
        <v>8094</v>
      </c>
      <c r="G1025" t="s">
        <v>8095</v>
      </c>
      <c r="H1025" t="s">
        <v>5474</v>
      </c>
      <c r="I1025" t="s">
        <v>8096</v>
      </c>
      <c r="J1025" t="s">
        <v>5484</v>
      </c>
      <c r="K1025" t="s">
        <v>5471</v>
      </c>
      <c r="L1025" t="s">
        <v>5471</v>
      </c>
      <c r="M1025" t="s">
        <v>5471</v>
      </c>
    </row>
    <row r="1026" spans="1:13" x14ac:dyDescent="0.3">
      <c r="A1026" t="s">
        <v>3388</v>
      </c>
      <c r="B1026" t="s">
        <v>7101</v>
      </c>
      <c r="C1026" t="s">
        <v>5470</v>
      </c>
      <c r="D1026" t="s">
        <v>4119</v>
      </c>
      <c r="E1026" t="s">
        <v>5756</v>
      </c>
      <c r="F1026" t="s">
        <v>8097</v>
      </c>
      <c r="G1026" t="s">
        <v>7971</v>
      </c>
      <c r="H1026" t="s">
        <v>5474</v>
      </c>
      <c r="I1026" t="s">
        <v>8098</v>
      </c>
      <c r="J1026" t="s">
        <v>5476</v>
      </c>
      <c r="K1026" t="s">
        <v>5471</v>
      </c>
      <c r="L1026" t="s">
        <v>5471</v>
      </c>
      <c r="M1026" t="s">
        <v>5471</v>
      </c>
    </row>
    <row r="1027" spans="1:13" x14ac:dyDescent="0.3">
      <c r="A1027" t="s">
        <v>3388</v>
      </c>
      <c r="B1027" t="s">
        <v>7101</v>
      </c>
      <c r="C1027" t="s">
        <v>5470</v>
      </c>
      <c r="D1027" t="s">
        <v>4119</v>
      </c>
      <c r="E1027" t="s">
        <v>5532</v>
      </c>
      <c r="F1027" t="s">
        <v>8099</v>
      </c>
      <c r="G1027" t="s">
        <v>7971</v>
      </c>
      <c r="H1027" t="s">
        <v>5474</v>
      </c>
      <c r="I1027" t="s">
        <v>8100</v>
      </c>
      <c r="J1027" t="s">
        <v>5476</v>
      </c>
      <c r="K1027" t="s">
        <v>5471</v>
      </c>
      <c r="L1027" t="s">
        <v>5471</v>
      </c>
      <c r="M1027" t="s">
        <v>5471</v>
      </c>
    </row>
    <row r="1028" spans="1:13" x14ac:dyDescent="0.3">
      <c r="A1028" t="s">
        <v>3383</v>
      </c>
      <c r="B1028" t="s">
        <v>5586</v>
      </c>
      <c r="C1028" t="s">
        <v>5487</v>
      </c>
      <c r="D1028" t="s">
        <v>4119</v>
      </c>
      <c r="E1028" t="s">
        <v>5532</v>
      </c>
      <c r="F1028" t="s">
        <v>8059</v>
      </c>
      <c r="G1028" t="s">
        <v>8078</v>
      </c>
      <c r="H1028" t="s">
        <v>5474</v>
      </c>
      <c r="I1028" t="s">
        <v>8101</v>
      </c>
      <c r="J1028" t="s">
        <v>5484</v>
      </c>
      <c r="K1028" t="s">
        <v>5471</v>
      </c>
      <c r="L1028" t="s">
        <v>5471</v>
      </c>
      <c r="M1028" t="s">
        <v>5471</v>
      </c>
    </row>
    <row r="1029" spans="1:13" x14ac:dyDescent="0.3">
      <c r="A1029" t="s">
        <v>3397</v>
      </c>
      <c r="B1029" t="s">
        <v>8102</v>
      </c>
      <c r="C1029" t="s">
        <v>5487</v>
      </c>
      <c r="D1029" t="s">
        <v>4119</v>
      </c>
      <c r="E1029" t="s">
        <v>5471</v>
      </c>
      <c r="F1029" t="s">
        <v>8103</v>
      </c>
      <c r="G1029" t="s">
        <v>8104</v>
      </c>
      <c r="H1029" t="s">
        <v>5474</v>
      </c>
      <c r="I1029" t="s">
        <v>8105</v>
      </c>
      <c r="J1029" t="s">
        <v>5484</v>
      </c>
      <c r="K1029" t="s">
        <v>5471</v>
      </c>
      <c r="L1029" t="s">
        <v>5471</v>
      </c>
      <c r="M1029" t="s">
        <v>5471</v>
      </c>
    </row>
    <row r="1030" spans="1:13" x14ac:dyDescent="0.3">
      <c r="A1030" t="s">
        <v>3383</v>
      </c>
      <c r="B1030" t="s">
        <v>5304</v>
      </c>
      <c r="C1030" t="s">
        <v>5487</v>
      </c>
      <c r="D1030" t="s">
        <v>4119</v>
      </c>
      <c r="E1030" t="s">
        <v>5532</v>
      </c>
      <c r="F1030" t="s">
        <v>8075</v>
      </c>
      <c r="G1030" t="s">
        <v>8106</v>
      </c>
      <c r="H1030" t="s">
        <v>5474</v>
      </c>
      <c r="I1030" t="s">
        <v>8107</v>
      </c>
      <c r="J1030" t="s">
        <v>5484</v>
      </c>
      <c r="K1030" t="s">
        <v>5471</v>
      </c>
      <c r="L1030" t="s">
        <v>5471</v>
      </c>
      <c r="M1030" t="s">
        <v>5471</v>
      </c>
    </row>
    <row r="1031" spans="1:13" x14ac:dyDescent="0.3">
      <c r="A1031" t="s">
        <v>3383</v>
      </c>
      <c r="B1031" t="s">
        <v>6026</v>
      </c>
      <c r="C1031" t="s">
        <v>5487</v>
      </c>
      <c r="D1031" t="s">
        <v>4119</v>
      </c>
      <c r="E1031" t="s">
        <v>5532</v>
      </c>
      <c r="F1031" t="s">
        <v>8075</v>
      </c>
      <c r="G1031" t="s">
        <v>8076</v>
      </c>
      <c r="H1031" t="s">
        <v>5474</v>
      </c>
      <c r="I1031" t="s">
        <v>8108</v>
      </c>
      <c r="J1031" t="s">
        <v>5484</v>
      </c>
      <c r="K1031" t="s">
        <v>5471</v>
      </c>
      <c r="L1031" t="s">
        <v>5471</v>
      </c>
      <c r="M1031" t="s">
        <v>5471</v>
      </c>
    </row>
    <row r="1032" spans="1:13" x14ac:dyDescent="0.3">
      <c r="A1032" t="s">
        <v>3397</v>
      </c>
      <c r="B1032" t="s">
        <v>8109</v>
      </c>
      <c r="C1032" t="s">
        <v>5487</v>
      </c>
      <c r="D1032" t="s">
        <v>4119</v>
      </c>
      <c r="E1032" t="s">
        <v>5471</v>
      </c>
      <c r="F1032" t="s">
        <v>8110</v>
      </c>
      <c r="G1032" t="s">
        <v>8111</v>
      </c>
      <c r="H1032" t="s">
        <v>5474</v>
      </c>
      <c r="I1032" t="s">
        <v>8112</v>
      </c>
      <c r="J1032" t="s">
        <v>5484</v>
      </c>
      <c r="K1032" t="s">
        <v>5471</v>
      </c>
      <c r="L1032" t="s">
        <v>5471</v>
      </c>
      <c r="M1032" t="s">
        <v>5471</v>
      </c>
    </row>
    <row r="1033" spans="1:13" x14ac:dyDescent="0.3">
      <c r="A1033" t="s">
        <v>3397</v>
      </c>
      <c r="B1033" t="s">
        <v>8113</v>
      </c>
      <c r="C1033" t="s">
        <v>5487</v>
      </c>
      <c r="D1033" t="s">
        <v>4119</v>
      </c>
      <c r="E1033" t="s">
        <v>5471</v>
      </c>
      <c r="F1033" t="s">
        <v>8103</v>
      </c>
      <c r="G1033" t="s">
        <v>8114</v>
      </c>
      <c r="H1033" t="s">
        <v>5474</v>
      </c>
      <c r="I1033" t="s">
        <v>8115</v>
      </c>
      <c r="J1033" t="s">
        <v>5484</v>
      </c>
      <c r="K1033" t="s">
        <v>5471</v>
      </c>
      <c r="L1033" t="s">
        <v>5471</v>
      </c>
      <c r="M1033" t="s">
        <v>5471</v>
      </c>
    </row>
    <row r="1034" spans="1:13" x14ac:dyDescent="0.3">
      <c r="A1034" t="s">
        <v>3397</v>
      </c>
      <c r="B1034" t="s">
        <v>8109</v>
      </c>
      <c r="C1034" t="s">
        <v>5487</v>
      </c>
      <c r="D1034" t="s">
        <v>4119</v>
      </c>
      <c r="E1034" t="s">
        <v>5471</v>
      </c>
      <c r="F1034" t="s">
        <v>8116</v>
      </c>
      <c r="G1034" t="s">
        <v>8111</v>
      </c>
      <c r="H1034" t="s">
        <v>5474</v>
      </c>
      <c r="I1034" t="s">
        <v>8117</v>
      </c>
      <c r="J1034" t="s">
        <v>5484</v>
      </c>
      <c r="K1034" t="s">
        <v>5471</v>
      </c>
      <c r="L1034" t="s">
        <v>5471</v>
      </c>
      <c r="M1034" t="s">
        <v>5471</v>
      </c>
    </row>
    <row r="1035" spans="1:13" x14ac:dyDescent="0.3">
      <c r="A1035" t="s">
        <v>3397</v>
      </c>
      <c r="B1035" t="s">
        <v>8118</v>
      </c>
      <c r="C1035" t="s">
        <v>5487</v>
      </c>
      <c r="D1035" t="s">
        <v>4119</v>
      </c>
      <c r="E1035" t="s">
        <v>5471</v>
      </c>
      <c r="F1035" t="s">
        <v>8103</v>
      </c>
      <c r="G1035" t="s">
        <v>8119</v>
      </c>
      <c r="H1035" t="s">
        <v>5474</v>
      </c>
      <c r="I1035" t="s">
        <v>8120</v>
      </c>
      <c r="J1035" t="s">
        <v>5484</v>
      </c>
      <c r="K1035" t="s">
        <v>5471</v>
      </c>
      <c r="L1035" t="s">
        <v>5471</v>
      </c>
      <c r="M1035" t="s">
        <v>5471</v>
      </c>
    </row>
    <row r="1036" spans="1:13" x14ac:dyDescent="0.3">
      <c r="A1036" t="s">
        <v>3383</v>
      </c>
      <c r="B1036" t="s">
        <v>5586</v>
      </c>
      <c r="C1036" t="s">
        <v>5487</v>
      </c>
      <c r="D1036" t="s">
        <v>4119</v>
      </c>
      <c r="E1036" t="s">
        <v>5471</v>
      </c>
      <c r="F1036" t="s">
        <v>8059</v>
      </c>
      <c r="G1036" t="s">
        <v>8121</v>
      </c>
      <c r="H1036" t="s">
        <v>5474</v>
      </c>
      <c r="I1036" t="s">
        <v>8122</v>
      </c>
      <c r="J1036" t="s">
        <v>5484</v>
      </c>
      <c r="K1036" t="s">
        <v>5471</v>
      </c>
      <c r="L1036" t="s">
        <v>5471</v>
      </c>
      <c r="M1036" t="s">
        <v>5471</v>
      </c>
    </row>
    <row r="1037" spans="1:13" x14ac:dyDescent="0.3">
      <c r="A1037" t="s">
        <v>3397</v>
      </c>
      <c r="B1037" t="s">
        <v>8113</v>
      </c>
      <c r="C1037" t="s">
        <v>5487</v>
      </c>
      <c r="D1037" t="s">
        <v>4119</v>
      </c>
      <c r="E1037" t="s">
        <v>5471</v>
      </c>
      <c r="F1037" t="s">
        <v>8123</v>
      </c>
      <c r="G1037" t="s">
        <v>8114</v>
      </c>
      <c r="H1037" t="s">
        <v>5474</v>
      </c>
      <c r="I1037" t="s">
        <v>8124</v>
      </c>
      <c r="J1037" t="s">
        <v>5484</v>
      </c>
      <c r="K1037" t="s">
        <v>5471</v>
      </c>
      <c r="L1037" t="s">
        <v>5471</v>
      </c>
      <c r="M1037" t="s">
        <v>5471</v>
      </c>
    </row>
    <row r="1038" spans="1:13" x14ac:dyDescent="0.3">
      <c r="A1038" t="s">
        <v>3383</v>
      </c>
      <c r="B1038" t="s">
        <v>6026</v>
      </c>
      <c r="C1038" t="s">
        <v>5487</v>
      </c>
      <c r="D1038" t="s">
        <v>4119</v>
      </c>
      <c r="E1038" t="s">
        <v>5532</v>
      </c>
      <c r="F1038" t="s">
        <v>8075</v>
      </c>
      <c r="G1038" t="s">
        <v>8125</v>
      </c>
      <c r="H1038" t="s">
        <v>5474</v>
      </c>
      <c r="I1038" t="s">
        <v>8126</v>
      </c>
      <c r="J1038" t="s">
        <v>5484</v>
      </c>
      <c r="K1038" t="s">
        <v>5471</v>
      </c>
      <c r="L1038" t="s">
        <v>5471</v>
      </c>
      <c r="M1038" t="s">
        <v>5471</v>
      </c>
    </row>
    <row r="1039" spans="1:13" x14ac:dyDescent="0.3">
      <c r="A1039" t="s">
        <v>3397</v>
      </c>
      <c r="B1039" t="s">
        <v>8118</v>
      </c>
      <c r="C1039" t="s">
        <v>5487</v>
      </c>
      <c r="D1039" t="s">
        <v>4119</v>
      </c>
      <c r="E1039" t="s">
        <v>5471</v>
      </c>
      <c r="F1039" t="s">
        <v>8127</v>
      </c>
      <c r="G1039" t="s">
        <v>8128</v>
      </c>
      <c r="H1039" t="s">
        <v>5474</v>
      </c>
      <c r="I1039" t="s">
        <v>8129</v>
      </c>
      <c r="J1039" t="s">
        <v>5484</v>
      </c>
      <c r="K1039" t="s">
        <v>5471</v>
      </c>
      <c r="L1039" t="s">
        <v>5471</v>
      </c>
      <c r="M1039" t="s">
        <v>5471</v>
      </c>
    </row>
    <row r="1040" spans="1:13" x14ac:dyDescent="0.3">
      <c r="A1040" t="s">
        <v>3383</v>
      </c>
      <c r="B1040" t="s">
        <v>5997</v>
      </c>
      <c r="C1040" t="s">
        <v>5487</v>
      </c>
      <c r="D1040" t="s">
        <v>4119</v>
      </c>
      <c r="E1040" t="s">
        <v>5471</v>
      </c>
      <c r="F1040" t="s">
        <v>8059</v>
      </c>
      <c r="G1040" t="s">
        <v>8080</v>
      </c>
      <c r="H1040" t="s">
        <v>5474</v>
      </c>
      <c r="I1040" t="s">
        <v>8130</v>
      </c>
      <c r="J1040" t="s">
        <v>5484</v>
      </c>
      <c r="K1040" t="s">
        <v>5471</v>
      </c>
      <c r="L1040" t="s">
        <v>5471</v>
      </c>
      <c r="M1040" t="s">
        <v>5471</v>
      </c>
    </row>
    <row r="1041" spans="1:13" x14ac:dyDescent="0.3">
      <c r="A1041" t="s">
        <v>3397</v>
      </c>
      <c r="B1041" t="s">
        <v>8131</v>
      </c>
      <c r="C1041" t="s">
        <v>5487</v>
      </c>
      <c r="D1041" t="s">
        <v>4119</v>
      </c>
      <c r="E1041" t="s">
        <v>5471</v>
      </c>
      <c r="F1041" t="s">
        <v>8132</v>
      </c>
      <c r="G1041" t="s">
        <v>8133</v>
      </c>
      <c r="H1041" t="s">
        <v>5474</v>
      </c>
      <c r="I1041" t="s">
        <v>8134</v>
      </c>
      <c r="J1041" t="s">
        <v>5484</v>
      </c>
      <c r="K1041" t="s">
        <v>5471</v>
      </c>
      <c r="L1041" t="s">
        <v>5471</v>
      </c>
      <c r="M1041" t="s">
        <v>5471</v>
      </c>
    </row>
    <row r="1042" spans="1:13" x14ac:dyDescent="0.3">
      <c r="A1042" t="s">
        <v>3397</v>
      </c>
      <c r="B1042" t="s">
        <v>8131</v>
      </c>
      <c r="C1042" t="s">
        <v>5487</v>
      </c>
      <c r="D1042" t="s">
        <v>4119</v>
      </c>
      <c r="E1042" t="s">
        <v>5471</v>
      </c>
      <c r="F1042" t="s">
        <v>8135</v>
      </c>
      <c r="G1042" t="s">
        <v>8136</v>
      </c>
      <c r="H1042" t="s">
        <v>5474</v>
      </c>
      <c r="I1042" t="s">
        <v>8137</v>
      </c>
      <c r="J1042" t="s">
        <v>5484</v>
      </c>
      <c r="K1042" t="s">
        <v>5471</v>
      </c>
      <c r="L1042" t="s">
        <v>5471</v>
      </c>
      <c r="M1042" t="s">
        <v>5471</v>
      </c>
    </row>
    <row r="1043" spans="1:13" x14ac:dyDescent="0.3">
      <c r="A1043" t="s">
        <v>3383</v>
      </c>
      <c r="B1043" t="s">
        <v>5997</v>
      </c>
      <c r="C1043" t="s">
        <v>5487</v>
      </c>
      <c r="D1043" t="s">
        <v>4119</v>
      </c>
      <c r="E1043" t="s">
        <v>5471</v>
      </c>
      <c r="F1043" t="s">
        <v>8059</v>
      </c>
      <c r="G1043" t="s">
        <v>8125</v>
      </c>
      <c r="H1043" t="s">
        <v>5474</v>
      </c>
      <c r="I1043" t="s">
        <v>8138</v>
      </c>
      <c r="J1043" t="s">
        <v>5484</v>
      </c>
      <c r="K1043" t="s">
        <v>5471</v>
      </c>
      <c r="L1043" t="s">
        <v>5471</v>
      </c>
      <c r="M1043" t="s">
        <v>5471</v>
      </c>
    </row>
    <row r="1044" spans="1:13" x14ac:dyDescent="0.3">
      <c r="A1044" t="s">
        <v>3383</v>
      </c>
      <c r="B1044" t="s">
        <v>5997</v>
      </c>
      <c r="C1044" t="s">
        <v>5487</v>
      </c>
      <c r="D1044" t="s">
        <v>4119</v>
      </c>
      <c r="E1044" t="s">
        <v>5471</v>
      </c>
      <c r="F1044" t="s">
        <v>8059</v>
      </c>
      <c r="G1044" t="s">
        <v>8106</v>
      </c>
      <c r="H1044" t="s">
        <v>5474</v>
      </c>
      <c r="I1044" t="s">
        <v>8139</v>
      </c>
      <c r="J1044" t="s">
        <v>5484</v>
      </c>
      <c r="K1044" t="s">
        <v>5471</v>
      </c>
      <c r="L1044" t="s">
        <v>5471</v>
      </c>
      <c r="M1044" t="s">
        <v>5471</v>
      </c>
    </row>
    <row r="1045" spans="1:13" x14ac:dyDescent="0.3">
      <c r="A1045" t="s">
        <v>3397</v>
      </c>
      <c r="B1045" t="s">
        <v>8140</v>
      </c>
      <c r="C1045" t="s">
        <v>5487</v>
      </c>
      <c r="D1045" t="s">
        <v>4119</v>
      </c>
      <c r="E1045" t="s">
        <v>5471</v>
      </c>
      <c r="F1045" t="s">
        <v>8141</v>
      </c>
      <c r="G1045" t="s">
        <v>8142</v>
      </c>
      <c r="H1045" t="s">
        <v>5474</v>
      </c>
      <c r="I1045" t="s">
        <v>8143</v>
      </c>
      <c r="J1045" t="s">
        <v>5484</v>
      </c>
      <c r="K1045" t="s">
        <v>5471</v>
      </c>
      <c r="L1045" t="s">
        <v>5471</v>
      </c>
      <c r="M1045" t="s">
        <v>5471</v>
      </c>
    </row>
    <row r="1046" spans="1:13" x14ac:dyDescent="0.3">
      <c r="A1046" t="s">
        <v>3383</v>
      </c>
      <c r="B1046" t="s">
        <v>6009</v>
      </c>
      <c r="C1046" t="s">
        <v>5470</v>
      </c>
      <c r="D1046" t="s">
        <v>4119</v>
      </c>
      <c r="E1046" t="s">
        <v>5532</v>
      </c>
      <c r="F1046" t="s">
        <v>8144</v>
      </c>
      <c r="G1046" t="s">
        <v>6011</v>
      </c>
      <c r="H1046" t="s">
        <v>5474</v>
      </c>
      <c r="I1046" t="s">
        <v>8145</v>
      </c>
      <c r="J1046" t="s">
        <v>5476</v>
      </c>
      <c r="K1046" t="s">
        <v>5471</v>
      </c>
      <c r="L1046" t="s">
        <v>5471</v>
      </c>
      <c r="M1046" t="s">
        <v>5471</v>
      </c>
    </row>
    <row r="1047" spans="1:13" x14ac:dyDescent="0.3">
      <c r="A1047" t="s">
        <v>3383</v>
      </c>
      <c r="B1047" t="s">
        <v>5986</v>
      </c>
      <c r="C1047" t="s">
        <v>5487</v>
      </c>
      <c r="D1047" t="s">
        <v>4119</v>
      </c>
      <c r="E1047" t="s">
        <v>5532</v>
      </c>
      <c r="F1047" t="s">
        <v>8146</v>
      </c>
      <c r="G1047" t="s">
        <v>8147</v>
      </c>
      <c r="H1047" t="s">
        <v>5474</v>
      </c>
      <c r="I1047" t="s">
        <v>8148</v>
      </c>
      <c r="J1047" t="s">
        <v>5476</v>
      </c>
      <c r="K1047" t="s">
        <v>5471</v>
      </c>
      <c r="L1047" t="s">
        <v>5471</v>
      </c>
      <c r="M1047" t="s">
        <v>5471</v>
      </c>
    </row>
    <row r="1048" spans="1:13" x14ac:dyDescent="0.3">
      <c r="A1048" t="s">
        <v>3397</v>
      </c>
      <c r="B1048" t="s">
        <v>8149</v>
      </c>
      <c r="C1048" t="s">
        <v>5487</v>
      </c>
      <c r="D1048" t="s">
        <v>4119</v>
      </c>
      <c r="E1048" t="s">
        <v>5471</v>
      </c>
      <c r="F1048" t="s">
        <v>8150</v>
      </c>
      <c r="G1048" t="s">
        <v>8151</v>
      </c>
      <c r="H1048" t="s">
        <v>5474</v>
      </c>
      <c r="I1048" t="s">
        <v>8152</v>
      </c>
      <c r="J1048" t="s">
        <v>5484</v>
      </c>
      <c r="K1048" t="s">
        <v>5471</v>
      </c>
      <c r="L1048" t="s">
        <v>5471</v>
      </c>
      <c r="M1048" t="s">
        <v>5471</v>
      </c>
    </row>
    <row r="1049" spans="1:13" x14ac:dyDescent="0.3">
      <c r="A1049" t="s">
        <v>3397</v>
      </c>
      <c r="B1049" t="s">
        <v>8153</v>
      </c>
      <c r="C1049" t="s">
        <v>5487</v>
      </c>
      <c r="D1049" t="s">
        <v>4119</v>
      </c>
      <c r="E1049" t="s">
        <v>5471</v>
      </c>
      <c r="F1049" t="s">
        <v>8154</v>
      </c>
      <c r="G1049" t="s">
        <v>8155</v>
      </c>
      <c r="H1049" t="s">
        <v>5474</v>
      </c>
      <c r="I1049" t="s">
        <v>8156</v>
      </c>
      <c r="J1049" t="s">
        <v>5476</v>
      </c>
      <c r="K1049" t="s">
        <v>5471</v>
      </c>
      <c r="L1049" t="s">
        <v>5471</v>
      </c>
      <c r="M1049" t="s">
        <v>5471</v>
      </c>
    </row>
    <row r="1050" spans="1:13" x14ac:dyDescent="0.3">
      <c r="A1050" t="s">
        <v>3397</v>
      </c>
      <c r="B1050" t="s">
        <v>8157</v>
      </c>
      <c r="C1050" t="s">
        <v>5487</v>
      </c>
      <c r="D1050" t="s">
        <v>4119</v>
      </c>
      <c r="E1050" t="s">
        <v>5471</v>
      </c>
      <c r="F1050" t="s">
        <v>8158</v>
      </c>
      <c r="G1050" t="s">
        <v>8159</v>
      </c>
      <c r="H1050" t="s">
        <v>5474</v>
      </c>
      <c r="I1050" t="s">
        <v>8160</v>
      </c>
      <c r="J1050" t="s">
        <v>5476</v>
      </c>
      <c r="K1050" t="s">
        <v>5471</v>
      </c>
      <c r="L1050" t="s">
        <v>5471</v>
      </c>
      <c r="M1050" t="s">
        <v>5471</v>
      </c>
    </row>
    <row r="1051" spans="1:13" x14ac:dyDescent="0.3">
      <c r="A1051" t="s">
        <v>3383</v>
      </c>
      <c r="B1051" t="s">
        <v>7444</v>
      </c>
      <c r="C1051" t="s">
        <v>5470</v>
      </c>
      <c r="D1051" t="s">
        <v>4119</v>
      </c>
      <c r="E1051" t="s">
        <v>5532</v>
      </c>
      <c r="F1051" t="s">
        <v>8161</v>
      </c>
      <c r="G1051" t="s">
        <v>8162</v>
      </c>
      <c r="H1051" t="s">
        <v>5474</v>
      </c>
      <c r="I1051" t="s">
        <v>8163</v>
      </c>
      <c r="J1051" t="s">
        <v>5476</v>
      </c>
      <c r="K1051" t="s">
        <v>5471</v>
      </c>
      <c r="L1051" t="s">
        <v>5471</v>
      </c>
      <c r="M1051" t="s">
        <v>5471</v>
      </c>
    </row>
    <row r="1052" spans="1:13" x14ac:dyDescent="0.3">
      <c r="A1052" t="s">
        <v>3397</v>
      </c>
      <c r="B1052" t="s">
        <v>8164</v>
      </c>
      <c r="C1052" t="s">
        <v>5487</v>
      </c>
      <c r="D1052" t="s">
        <v>4119</v>
      </c>
      <c r="E1052" t="s">
        <v>5471</v>
      </c>
      <c r="F1052" t="s">
        <v>8165</v>
      </c>
      <c r="G1052" t="s">
        <v>8166</v>
      </c>
      <c r="H1052" t="s">
        <v>5474</v>
      </c>
      <c r="I1052" t="s">
        <v>8167</v>
      </c>
      <c r="J1052" t="s">
        <v>5476</v>
      </c>
      <c r="K1052" t="s">
        <v>5471</v>
      </c>
      <c r="L1052" t="s">
        <v>5471</v>
      </c>
      <c r="M1052" t="s">
        <v>5471</v>
      </c>
    </row>
    <row r="1053" spans="1:13" x14ac:dyDescent="0.3">
      <c r="A1053" t="s">
        <v>3397</v>
      </c>
      <c r="B1053" t="s">
        <v>8168</v>
      </c>
      <c r="C1053" t="s">
        <v>5487</v>
      </c>
      <c r="D1053" t="s">
        <v>4119</v>
      </c>
      <c r="E1053" t="s">
        <v>5471</v>
      </c>
      <c r="F1053" t="s">
        <v>8169</v>
      </c>
      <c r="G1053" t="s">
        <v>8170</v>
      </c>
      <c r="H1053" t="s">
        <v>5474</v>
      </c>
      <c r="I1053" t="s">
        <v>8171</v>
      </c>
      <c r="J1053" t="s">
        <v>5476</v>
      </c>
      <c r="K1053" t="s">
        <v>5471</v>
      </c>
      <c r="L1053" t="s">
        <v>5471</v>
      </c>
      <c r="M1053" t="s">
        <v>5471</v>
      </c>
    </row>
    <row r="1054" spans="1:13" x14ac:dyDescent="0.3">
      <c r="A1054" t="s">
        <v>3397</v>
      </c>
      <c r="B1054" t="s">
        <v>8172</v>
      </c>
      <c r="C1054" t="s">
        <v>5487</v>
      </c>
      <c r="D1054" t="s">
        <v>4119</v>
      </c>
      <c r="E1054" t="s">
        <v>5471</v>
      </c>
      <c r="F1054" t="s">
        <v>8173</v>
      </c>
      <c r="G1054" t="s">
        <v>8174</v>
      </c>
      <c r="H1054" t="s">
        <v>5474</v>
      </c>
      <c r="I1054" t="s">
        <v>8175</v>
      </c>
      <c r="J1054" t="s">
        <v>5476</v>
      </c>
      <c r="K1054" t="s">
        <v>5471</v>
      </c>
      <c r="L1054" t="s">
        <v>5471</v>
      </c>
      <c r="M1054" t="s">
        <v>5471</v>
      </c>
    </row>
    <row r="1055" spans="1:13" x14ac:dyDescent="0.3">
      <c r="A1055" t="s">
        <v>3383</v>
      </c>
      <c r="B1055" t="s">
        <v>8176</v>
      </c>
      <c r="C1055" t="s">
        <v>5487</v>
      </c>
      <c r="D1055" t="s">
        <v>4119</v>
      </c>
      <c r="E1055" t="s">
        <v>5532</v>
      </c>
      <c r="F1055" t="s">
        <v>8177</v>
      </c>
      <c r="G1055" t="s">
        <v>8178</v>
      </c>
      <c r="H1055" t="s">
        <v>5474</v>
      </c>
      <c r="I1055" t="s">
        <v>8179</v>
      </c>
      <c r="J1055" t="s">
        <v>5476</v>
      </c>
      <c r="K1055" t="s">
        <v>5471</v>
      </c>
      <c r="L1055" t="s">
        <v>5471</v>
      </c>
      <c r="M1055" t="s">
        <v>5471</v>
      </c>
    </row>
    <row r="1056" spans="1:13" x14ac:dyDescent="0.3">
      <c r="A1056" t="s">
        <v>3397</v>
      </c>
      <c r="B1056" t="s">
        <v>8180</v>
      </c>
      <c r="C1056" t="s">
        <v>5487</v>
      </c>
      <c r="D1056" t="s">
        <v>4119</v>
      </c>
      <c r="E1056" t="s">
        <v>5471</v>
      </c>
      <c r="F1056" t="s">
        <v>8181</v>
      </c>
      <c r="G1056" t="s">
        <v>8182</v>
      </c>
      <c r="H1056" t="s">
        <v>5474</v>
      </c>
      <c r="I1056" t="s">
        <v>8183</v>
      </c>
      <c r="J1056" t="s">
        <v>5476</v>
      </c>
      <c r="K1056" t="s">
        <v>5471</v>
      </c>
      <c r="L1056" t="s">
        <v>5471</v>
      </c>
      <c r="M1056" t="s">
        <v>5471</v>
      </c>
    </row>
    <row r="1057" spans="1:13" x14ac:dyDescent="0.3">
      <c r="A1057" t="s">
        <v>3397</v>
      </c>
      <c r="B1057" t="s">
        <v>8184</v>
      </c>
      <c r="C1057" t="s">
        <v>5487</v>
      </c>
      <c r="D1057" t="s">
        <v>4119</v>
      </c>
      <c r="E1057" t="s">
        <v>5471</v>
      </c>
      <c r="F1057" t="s">
        <v>8185</v>
      </c>
      <c r="G1057" t="s">
        <v>8186</v>
      </c>
      <c r="H1057" t="s">
        <v>5474</v>
      </c>
      <c r="I1057" t="s">
        <v>8187</v>
      </c>
      <c r="J1057" t="s">
        <v>5484</v>
      </c>
      <c r="K1057" t="s">
        <v>5471</v>
      </c>
      <c r="L1057" t="s">
        <v>5471</v>
      </c>
      <c r="M1057" t="s">
        <v>5471</v>
      </c>
    </row>
    <row r="1058" spans="1:13" x14ac:dyDescent="0.3">
      <c r="A1058" t="s">
        <v>3397</v>
      </c>
      <c r="B1058" t="s">
        <v>8188</v>
      </c>
      <c r="C1058" t="s">
        <v>5487</v>
      </c>
      <c r="D1058" t="s">
        <v>4119</v>
      </c>
      <c r="E1058" t="s">
        <v>5471</v>
      </c>
      <c r="F1058" t="s">
        <v>8189</v>
      </c>
      <c r="G1058" t="s">
        <v>8190</v>
      </c>
      <c r="H1058" t="s">
        <v>5474</v>
      </c>
      <c r="I1058" t="s">
        <v>8191</v>
      </c>
      <c r="J1058" t="s">
        <v>5484</v>
      </c>
      <c r="K1058" t="s">
        <v>5471</v>
      </c>
      <c r="L1058" t="s">
        <v>5471</v>
      </c>
      <c r="M1058" t="s">
        <v>5471</v>
      </c>
    </row>
    <row r="1059" spans="1:13" x14ac:dyDescent="0.3">
      <c r="A1059" t="s">
        <v>3383</v>
      </c>
      <c r="B1059" t="s">
        <v>6030</v>
      </c>
      <c r="C1059" t="s">
        <v>5487</v>
      </c>
      <c r="D1059" t="s">
        <v>4119</v>
      </c>
      <c r="E1059" t="s">
        <v>5471</v>
      </c>
      <c r="F1059" t="s">
        <v>8192</v>
      </c>
      <c r="G1059" t="s">
        <v>8193</v>
      </c>
      <c r="H1059" t="s">
        <v>5474</v>
      </c>
      <c r="I1059" t="s">
        <v>8194</v>
      </c>
      <c r="J1059" t="s">
        <v>5476</v>
      </c>
      <c r="K1059" t="s">
        <v>5471</v>
      </c>
      <c r="L1059" t="s">
        <v>5471</v>
      </c>
      <c r="M1059" t="s">
        <v>5471</v>
      </c>
    </row>
    <row r="1060" spans="1:13" x14ac:dyDescent="0.3">
      <c r="A1060" t="s">
        <v>3383</v>
      </c>
      <c r="B1060" t="s">
        <v>5986</v>
      </c>
      <c r="C1060" t="s">
        <v>5487</v>
      </c>
      <c r="D1060" t="s">
        <v>4119</v>
      </c>
      <c r="E1060" t="s">
        <v>5532</v>
      </c>
      <c r="F1060" t="s">
        <v>8195</v>
      </c>
      <c r="G1060" t="s">
        <v>8147</v>
      </c>
      <c r="H1060" t="s">
        <v>5474</v>
      </c>
      <c r="I1060" t="s">
        <v>8196</v>
      </c>
      <c r="J1060" t="s">
        <v>5476</v>
      </c>
      <c r="K1060" t="s">
        <v>5471</v>
      </c>
      <c r="L1060" t="s">
        <v>5471</v>
      </c>
      <c r="M1060" t="s">
        <v>5471</v>
      </c>
    </row>
    <row r="1061" spans="1:13" x14ac:dyDescent="0.3">
      <c r="A1061" t="s">
        <v>3383</v>
      </c>
      <c r="B1061" t="s">
        <v>6616</v>
      </c>
      <c r="C1061" t="s">
        <v>5470</v>
      </c>
      <c r="D1061" t="s">
        <v>4119</v>
      </c>
      <c r="E1061" t="s">
        <v>5471</v>
      </c>
      <c r="F1061" t="s">
        <v>8197</v>
      </c>
      <c r="G1061" t="s">
        <v>8198</v>
      </c>
      <c r="H1061" t="s">
        <v>5474</v>
      </c>
      <c r="I1061" t="s">
        <v>8199</v>
      </c>
      <c r="J1061" t="s">
        <v>5476</v>
      </c>
      <c r="K1061" t="s">
        <v>5471</v>
      </c>
      <c r="L1061" t="s">
        <v>5471</v>
      </c>
      <c r="M1061" t="s">
        <v>5471</v>
      </c>
    </row>
    <row r="1062" spans="1:13" x14ac:dyDescent="0.3">
      <c r="A1062" t="s">
        <v>3397</v>
      </c>
      <c r="B1062" t="s">
        <v>8200</v>
      </c>
      <c r="C1062" t="s">
        <v>5487</v>
      </c>
      <c r="D1062" t="s">
        <v>4119</v>
      </c>
      <c r="E1062" t="s">
        <v>5595</v>
      </c>
      <c r="F1062" t="s">
        <v>8201</v>
      </c>
      <c r="G1062" t="s">
        <v>8202</v>
      </c>
      <c r="H1062" t="s">
        <v>5474</v>
      </c>
      <c r="I1062" t="s">
        <v>8203</v>
      </c>
      <c r="J1062" t="s">
        <v>5476</v>
      </c>
      <c r="K1062" t="s">
        <v>5471</v>
      </c>
      <c r="L1062" t="s">
        <v>5471</v>
      </c>
      <c r="M1062" t="s">
        <v>5471</v>
      </c>
    </row>
    <row r="1063" spans="1:13" x14ac:dyDescent="0.3">
      <c r="A1063" t="s">
        <v>3397</v>
      </c>
      <c r="B1063" t="s">
        <v>8200</v>
      </c>
      <c r="C1063" t="s">
        <v>5487</v>
      </c>
      <c r="D1063" t="s">
        <v>4119</v>
      </c>
      <c r="E1063" t="s">
        <v>5595</v>
      </c>
      <c r="F1063" t="s">
        <v>8204</v>
      </c>
      <c r="G1063" t="s">
        <v>8205</v>
      </c>
      <c r="H1063" t="s">
        <v>5474</v>
      </c>
      <c r="I1063" t="s">
        <v>8206</v>
      </c>
      <c r="J1063" t="s">
        <v>5476</v>
      </c>
      <c r="K1063" t="s">
        <v>5471</v>
      </c>
      <c r="L1063" t="s">
        <v>5471</v>
      </c>
      <c r="M1063" t="s">
        <v>5471</v>
      </c>
    </row>
    <row r="1064" spans="1:13" x14ac:dyDescent="0.3">
      <c r="A1064" t="s">
        <v>3397</v>
      </c>
      <c r="B1064" t="s">
        <v>8200</v>
      </c>
      <c r="C1064" t="s">
        <v>5487</v>
      </c>
      <c r="D1064" t="s">
        <v>4119</v>
      </c>
      <c r="E1064" t="s">
        <v>5595</v>
      </c>
      <c r="F1064" t="s">
        <v>8207</v>
      </c>
      <c r="G1064" t="s">
        <v>8202</v>
      </c>
      <c r="H1064" t="s">
        <v>5474</v>
      </c>
      <c r="I1064" t="s">
        <v>8208</v>
      </c>
      <c r="J1064" t="s">
        <v>5476</v>
      </c>
      <c r="K1064" t="s">
        <v>5471</v>
      </c>
      <c r="L1064" t="s">
        <v>5471</v>
      </c>
      <c r="M1064" t="s">
        <v>5471</v>
      </c>
    </row>
    <row r="1065" spans="1:13" x14ac:dyDescent="0.3">
      <c r="A1065" t="s">
        <v>3397</v>
      </c>
      <c r="B1065" t="s">
        <v>5842</v>
      </c>
      <c r="C1065" t="s">
        <v>5487</v>
      </c>
      <c r="D1065" t="s">
        <v>4119</v>
      </c>
      <c r="E1065" t="s">
        <v>5595</v>
      </c>
      <c r="F1065" t="s">
        <v>8209</v>
      </c>
      <c r="G1065" t="s">
        <v>8210</v>
      </c>
      <c r="H1065" t="s">
        <v>5474</v>
      </c>
      <c r="I1065" t="s">
        <v>8211</v>
      </c>
      <c r="J1065" t="s">
        <v>5476</v>
      </c>
      <c r="K1065" t="s">
        <v>5471</v>
      </c>
      <c r="L1065" t="s">
        <v>5471</v>
      </c>
      <c r="M1065" t="s">
        <v>5471</v>
      </c>
    </row>
    <row r="1066" spans="1:13" x14ac:dyDescent="0.3">
      <c r="A1066" t="s">
        <v>3397</v>
      </c>
      <c r="B1066" t="s">
        <v>5842</v>
      </c>
      <c r="C1066" t="s">
        <v>5487</v>
      </c>
      <c r="D1066" t="s">
        <v>4119</v>
      </c>
      <c r="E1066" t="s">
        <v>5595</v>
      </c>
      <c r="F1066" t="s">
        <v>8212</v>
      </c>
      <c r="G1066" t="s">
        <v>8210</v>
      </c>
      <c r="H1066" t="s">
        <v>5474</v>
      </c>
      <c r="I1066" t="s">
        <v>8213</v>
      </c>
      <c r="J1066" t="s">
        <v>5476</v>
      </c>
      <c r="K1066" t="s">
        <v>5471</v>
      </c>
      <c r="L1066" t="s">
        <v>5471</v>
      </c>
      <c r="M1066" t="s">
        <v>5471</v>
      </c>
    </row>
    <row r="1067" spans="1:13" x14ac:dyDescent="0.3">
      <c r="A1067" t="s">
        <v>3397</v>
      </c>
      <c r="B1067" t="s">
        <v>5842</v>
      </c>
      <c r="C1067" t="s">
        <v>5487</v>
      </c>
      <c r="D1067" t="s">
        <v>4119</v>
      </c>
      <c r="E1067" t="s">
        <v>5595</v>
      </c>
      <c r="F1067" t="s">
        <v>8214</v>
      </c>
      <c r="G1067" t="s">
        <v>8210</v>
      </c>
      <c r="H1067" t="s">
        <v>5474</v>
      </c>
      <c r="I1067" t="s">
        <v>8215</v>
      </c>
      <c r="J1067" t="s">
        <v>5476</v>
      </c>
      <c r="K1067" t="s">
        <v>5471</v>
      </c>
      <c r="L1067" t="s">
        <v>5471</v>
      </c>
      <c r="M1067" t="s">
        <v>5471</v>
      </c>
    </row>
    <row r="1068" spans="1:13" x14ac:dyDescent="0.3">
      <c r="A1068" t="s">
        <v>3397</v>
      </c>
      <c r="B1068" t="s">
        <v>5842</v>
      </c>
      <c r="C1068" t="s">
        <v>5487</v>
      </c>
      <c r="D1068" t="s">
        <v>4119</v>
      </c>
      <c r="E1068" t="s">
        <v>5595</v>
      </c>
      <c r="F1068" t="s">
        <v>8216</v>
      </c>
      <c r="G1068" t="s">
        <v>8210</v>
      </c>
      <c r="H1068" t="s">
        <v>5474</v>
      </c>
      <c r="I1068" t="s">
        <v>8217</v>
      </c>
      <c r="J1068" t="s">
        <v>5476</v>
      </c>
      <c r="K1068" t="s">
        <v>5471</v>
      </c>
      <c r="L1068" t="s">
        <v>5471</v>
      </c>
      <c r="M1068" t="s">
        <v>5471</v>
      </c>
    </row>
    <row r="1069" spans="1:13" x14ac:dyDescent="0.3">
      <c r="A1069" t="s">
        <v>3397</v>
      </c>
      <c r="B1069" t="s">
        <v>5842</v>
      </c>
      <c r="C1069" t="s">
        <v>5487</v>
      </c>
      <c r="D1069" t="s">
        <v>4119</v>
      </c>
      <c r="E1069" t="s">
        <v>5595</v>
      </c>
      <c r="F1069" t="s">
        <v>8212</v>
      </c>
      <c r="G1069" t="s">
        <v>8218</v>
      </c>
      <c r="H1069" t="s">
        <v>5474</v>
      </c>
      <c r="I1069" t="s">
        <v>8219</v>
      </c>
      <c r="J1069" t="s">
        <v>5476</v>
      </c>
      <c r="K1069" t="s">
        <v>5471</v>
      </c>
      <c r="L1069" t="s">
        <v>5471</v>
      </c>
      <c r="M1069" t="s">
        <v>5471</v>
      </c>
    </row>
    <row r="1070" spans="1:13" x14ac:dyDescent="0.3">
      <c r="A1070" t="s">
        <v>3397</v>
      </c>
      <c r="B1070" t="s">
        <v>5842</v>
      </c>
      <c r="C1070" t="s">
        <v>5487</v>
      </c>
      <c r="D1070" t="s">
        <v>4119</v>
      </c>
      <c r="E1070" t="s">
        <v>5595</v>
      </c>
      <c r="F1070" t="s">
        <v>8220</v>
      </c>
      <c r="G1070" t="s">
        <v>8218</v>
      </c>
      <c r="H1070" t="s">
        <v>5474</v>
      </c>
      <c r="I1070" t="s">
        <v>8221</v>
      </c>
      <c r="J1070" t="s">
        <v>5476</v>
      </c>
      <c r="K1070" t="s">
        <v>5471</v>
      </c>
      <c r="L1070" t="s">
        <v>5471</v>
      </c>
      <c r="M1070" t="s">
        <v>5471</v>
      </c>
    </row>
    <row r="1071" spans="1:13" x14ac:dyDescent="0.3">
      <c r="A1071" t="s">
        <v>3397</v>
      </c>
      <c r="B1071" t="s">
        <v>5842</v>
      </c>
      <c r="C1071" t="s">
        <v>5487</v>
      </c>
      <c r="D1071" t="s">
        <v>4119</v>
      </c>
      <c r="E1071" t="s">
        <v>5595</v>
      </c>
      <c r="F1071" t="s">
        <v>8222</v>
      </c>
      <c r="G1071" t="s">
        <v>8218</v>
      </c>
      <c r="H1071" t="s">
        <v>5474</v>
      </c>
      <c r="I1071" t="s">
        <v>8223</v>
      </c>
      <c r="J1071" t="s">
        <v>5476</v>
      </c>
      <c r="K1071" t="s">
        <v>5471</v>
      </c>
      <c r="L1071" t="s">
        <v>5471</v>
      </c>
      <c r="M1071" t="s">
        <v>5471</v>
      </c>
    </row>
    <row r="1072" spans="1:13" x14ac:dyDescent="0.3">
      <c r="A1072" t="s">
        <v>3397</v>
      </c>
      <c r="B1072" t="s">
        <v>5842</v>
      </c>
      <c r="C1072" t="s">
        <v>5487</v>
      </c>
      <c r="D1072" t="s">
        <v>4119</v>
      </c>
      <c r="E1072" t="s">
        <v>5595</v>
      </c>
      <c r="F1072" t="s">
        <v>8224</v>
      </c>
      <c r="G1072" t="s">
        <v>8218</v>
      </c>
      <c r="H1072" t="s">
        <v>5474</v>
      </c>
      <c r="I1072" t="s">
        <v>8225</v>
      </c>
      <c r="J1072" t="s">
        <v>5476</v>
      </c>
      <c r="K1072" t="s">
        <v>5471</v>
      </c>
      <c r="L1072" t="s">
        <v>5471</v>
      </c>
      <c r="M1072" t="s">
        <v>5471</v>
      </c>
    </row>
    <row r="1073" spans="1:13" x14ac:dyDescent="0.3">
      <c r="A1073" t="s">
        <v>3397</v>
      </c>
      <c r="B1073" t="s">
        <v>5842</v>
      </c>
      <c r="C1073" t="s">
        <v>5487</v>
      </c>
      <c r="D1073" t="s">
        <v>4119</v>
      </c>
      <c r="E1073" t="s">
        <v>5595</v>
      </c>
      <c r="F1073" t="s">
        <v>8226</v>
      </c>
      <c r="G1073" t="s">
        <v>8227</v>
      </c>
      <c r="H1073" t="s">
        <v>5474</v>
      </c>
      <c r="I1073" t="s">
        <v>8228</v>
      </c>
      <c r="J1073" t="s">
        <v>5476</v>
      </c>
      <c r="K1073" t="s">
        <v>5471</v>
      </c>
      <c r="L1073" t="s">
        <v>5471</v>
      </c>
      <c r="M1073" t="s">
        <v>5471</v>
      </c>
    </row>
    <row r="1074" spans="1:13" x14ac:dyDescent="0.3">
      <c r="A1074" t="s">
        <v>3397</v>
      </c>
      <c r="B1074" t="s">
        <v>8229</v>
      </c>
      <c r="C1074" t="s">
        <v>5487</v>
      </c>
      <c r="D1074" t="s">
        <v>4119</v>
      </c>
      <c r="E1074" t="s">
        <v>5843</v>
      </c>
      <c r="F1074" t="s">
        <v>8230</v>
      </c>
      <c r="G1074" t="s">
        <v>8231</v>
      </c>
      <c r="H1074" t="s">
        <v>5474</v>
      </c>
      <c r="I1074" t="s">
        <v>8232</v>
      </c>
      <c r="J1074" t="s">
        <v>5476</v>
      </c>
      <c r="K1074" t="s">
        <v>5471</v>
      </c>
      <c r="L1074" t="s">
        <v>5471</v>
      </c>
      <c r="M1074" t="s">
        <v>5471</v>
      </c>
    </row>
    <row r="1075" spans="1:13" x14ac:dyDescent="0.3">
      <c r="A1075" t="s">
        <v>3388</v>
      </c>
      <c r="B1075" t="s">
        <v>8233</v>
      </c>
      <c r="C1075" t="s">
        <v>5470</v>
      </c>
      <c r="D1075" t="s">
        <v>4119</v>
      </c>
      <c r="E1075" t="s">
        <v>5471</v>
      </c>
      <c r="F1075" t="s">
        <v>8234</v>
      </c>
      <c r="G1075" t="s">
        <v>7968</v>
      </c>
      <c r="H1075" t="s">
        <v>5474</v>
      </c>
      <c r="I1075" t="s">
        <v>8235</v>
      </c>
      <c r="J1075" t="s">
        <v>5476</v>
      </c>
      <c r="K1075" t="s">
        <v>5471</v>
      </c>
      <c r="L1075" t="s">
        <v>5471</v>
      </c>
      <c r="M1075" t="s">
        <v>5471</v>
      </c>
    </row>
    <row r="1076" spans="1:13" x14ac:dyDescent="0.3">
      <c r="A1076" t="s">
        <v>3383</v>
      </c>
      <c r="B1076" t="s">
        <v>6178</v>
      </c>
      <c r="C1076" t="s">
        <v>5470</v>
      </c>
      <c r="D1076" t="s">
        <v>4119</v>
      </c>
      <c r="E1076" t="s">
        <v>5471</v>
      </c>
      <c r="F1076" t="s">
        <v>6708</v>
      </c>
      <c r="G1076" t="s">
        <v>8236</v>
      </c>
      <c r="H1076" t="s">
        <v>5474</v>
      </c>
      <c r="I1076" t="s">
        <v>8237</v>
      </c>
      <c r="J1076" t="s">
        <v>5476</v>
      </c>
      <c r="K1076" t="s">
        <v>5471</v>
      </c>
      <c r="L1076" t="s">
        <v>5471</v>
      </c>
      <c r="M1076" t="s">
        <v>5471</v>
      </c>
    </row>
    <row r="1077" spans="1:13" x14ac:dyDescent="0.3">
      <c r="A1077" t="s">
        <v>3383</v>
      </c>
      <c r="B1077" t="s">
        <v>6178</v>
      </c>
      <c r="C1077" t="s">
        <v>5470</v>
      </c>
      <c r="D1077" t="s">
        <v>4119</v>
      </c>
      <c r="E1077" t="s">
        <v>5471</v>
      </c>
      <c r="F1077" t="s">
        <v>6710</v>
      </c>
      <c r="G1077" t="s">
        <v>8236</v>
      </c>
      <c r="H1077" t="s">
        <v>5474</v>
      </c>
      <c r="I1077" t="s">
        <v>8238</v>
      </c>
      <c r="J1077" t="s">
        <v>5476</v>
      </c>
      <c r="K1077" t="s">
        <v>5471</v>
      </c>
      <c r="L1077" t="s">
        <v>5471</v>
      </c>
      <c r="M1077" t="s">
        <v>5471</v>
      </c>
    </row>
    <row r="1078" spans="1:13" x14ac:dyDescent="0.3">
      <c r="A1078" t="s">
        <v>3383</v>
      </c>
      <c r="B1078" t="s">
        <v>6178</v>
      </c>
      <c r="C1078" t="s">
        <v>5470</v>
      </c>
      <c r="D1078" t="s">
        <v>4119</v>
      </c>
      <c r="E1078" t="s">
        <v>5471</v>
      </c>
      <c r="F1078" t="s">
        <v>6712</v>
      </c>
      <c r="G1078" t="s">
        <v>8236</v>
      </c>
      <c r="H1078" t="s">
        <v>5474</v>
      </c>
      <c r="I1078" t="s">
        <v>8239</v>
      </c>
      <c r="J1078" t="s">
        <v>5476</v>
      </c>
      <c r="K1078" t="s">
        <v>5471</v>
      </c>
      <c r="L1078" t="s">
        <v>5471</v>
      </c>
      <c r="M1078" t="s">
        <v>5471</v>
      </c>
    </row>
    <row r="1079" spans="1:13" x14ac:dyDescent="0.3">
      <c r="A1079" t="s">
        <v>3383</v>
      </c>
      <c r="B1079" t="s">
        <v>6178</v>
      </c>
      <c r="C1079" t="s">
        <v>5470</v>
      </c>
      <c r="D1079" t="s">
        <v>4119</v>
      </c>
      <c r="E1079" t="s">
        <v>5471</v>
      </c>
      <c r="F1079" t="s">
        <v>8240</v>
      </c>
      <c r="G1079" t="s">
        <v>8236</v>
      </c>
      <c r="H1079" t="s">
        <v>5474</v>
      </c>
      <c r="I1079" t="s">
        <v>8241</v>
      </c>
      <c r="J1079" t="s">
        <v>5484</v>
      </c>
      <c r="K1079" t="s">
        <v>5471</v>
      </c>
      <c r="L1079" t="s">
        <v>5471</v>
      </c>
      <c r="M1079" t="s">
        <v>5471</v>
      </c>
    </row>
    <row r="1080" spans="1:13" x14ac:dyDescent="0.3">
      <c r="A1080" t="s">
        <v>3383</v>
      </c>
      <c r="B1080" t="s">
        <v>6178</v>
      </c>
      <c r="C1080" t="s">
        <v>5470</v>
      </c>
      <c r="D1080" t="s">
        <v>4119</v>
      </c>
      <c r="E1080" t="s">
        <v>5471</v>
      </c>
      <c r="F1080" t="s">
        <v>8242</v>
      </c>
      <c r="G1080" t="s">
        <v>8236</v>
      </c>
      <c r="H1080" t="s">
        <v>5474</v>
      </c>
      <c r="I1080" t="s">
        <v>8243</v>
      </c>
      <c r="J1080" t="s">
        <v>5484</v>
      </c>
      <c r="K1080" t="s">
        <v>5471</v>
      </c>
      <c r="L1080" t="s">
        <v>5471</v>
      </c>
      <c r="M1080" t="s">
        <v>5471</v>
      </c>
    </row>
    <row r="1081" spans="1:13" x14ac:dyDescent="0.3">
      <c r="A1081" t="s">
        <v>3383</v>
      </c>
      <c r="B1081" t="s">
        <v>6178</v>
      </c>
      <c r="C1081" t="s">
        <v>5470</v>
      </c>
      <c r="D1081" t="s">
        <v>4119</v>
      </c>
      <c r="E1081" t="s">
        <v>5471</v>
      </c>
      <c r="F1081" t="s">
        <v>8244</v>
      </c>
      <c r="G1081" t="s">
        <v>8236</v>
      </c>
      <c r="H1081" t="s">
        <v>5474</v>
      </c>
      <c r="I1081" t="s">
        <v>8245</v>
      </c>
      <c r="J1081" t="s">
        <v>5484</v>
      </c>
      <c r="K1081" t="s">
        <v>5471</v>
      </c>
      <c r="L1081" t="s">
        <v>5471</v>
      </c>
      <c r="M1081" t="s">
        <v>5471</v>
      </c>
    </row>
    <row r="1082" spans="1:13" x14ac:dyDescent="0.3">
      <c r="A1082" t="s">
        <v>3383</v>
      </c>
      <c r="B1082" t="s">
        <v>6178</v>
      </c>
      <c r="C1082" t="s">
        <v>5470</v>
      </c>
      <c r="D1082" t="s">
        <v>4119</v>
      </c>
      <c r="E1082" t="s">
        <v>5471</v>
      </c>
      <c r="F1082" t="s">
        <v>8246</v>
      </c>
      <c r="G1082" t="s">
        <v>8236</v>
      </c>
      <c r="H1082" t="s">
        <v>5474</v>
      </c>
      <c r="I1082" t="s">
        <v>8247</v>
      </c>
      <c r="J1082" t="s">
        <v>5484</v>
      </c>
      <c r="K1082" t="s">
        <v>5471</v>
      </c>
      <c r="L1082" t="s">
        <v>5471</v>
      </c>
      <c r="M1082" t="s">
        <v>5471</v>
      </c>
    </row>
    <row r="1083" spans="1:13" x14ac:dyDescent="0.3">
      <c r="A1083" t="s">
        <v>3383</v>
      </c>
      <c r="B1083" t="s">
        <v>6178</v>
      </c>
      <c r="C1083" t="s">
        <v>5470</v>
      </c>
      <c r="D1083" t="s">
        <v>4119</v>
      </c>
      <c r="E1083" t="s">
        <v>5471</v>
      </c>
      <c r="F1083" t="s">
        <v>8248</v>
      </c>
      <c r="G1083" t="s">
        <v>8236</v>
      </c>
      <c r="H1083" t="s">
        <v>5474</v>
      </c>
      <c r="I1083" t="s">
        <v>8249</v>
      </c>
      <c r="J1083" t="s">
        <v>5484</v>
      </c>
      <c r="K1083" t="s">
        <v>5471</v>
      </c>
      <c r="L1083" t="s">
        <v>5471</v>
      </c>
      <c r="M1083" t="s">
        <v>5471</v>
      </c>
    </row>
    <row r="1084" spans="1:13" x14ac:dyDescent="0.3">
      <c r="A1084" t="s">
        <v>3383</v>
      </c>
      <c r="B1084" t="s">
        <v>6178</v>
      </c>
      <c r="C1084" t="s">
        <v>5470</v>
      </c>
      <c r="D1084" t="s">
        <v>4119</v>
      </c>
      <c r="E1084" t="s">
        <v>5471</v>
      </c>
      <c r="F1084" t="s">
        <v>8250</v>
      </c>
      <c r="G1084" t="s">
        <v>8251</v>
      </c>
      <c r="H1084" t="s">
        <v>5474</v>
      </c>
      <c r="I1084" t="s">
        <v>8252</v>
      </c>
      <c r="J1084" t="s">
        <v>5484</v>
      </c>
      <c r="K1084" t="s">
        <v>5471</v>
      </c>
      <c r="L1084" t="s">
        <v>5471</v>
      </c>
      <c r="M1084" t="s">
        <v>5471</v>
      </c>
    </row>
    <row r="1085" spans="1:13" x14ac:dyDescent="0.3">
      <c r="A1085" t="s">
        <v>3388</v>
      </c>
      <c r="B1085" t="s">
        <v>8253</v>
      </c>
      <c r="C1085" t="s">
        <v>5470</v>
      </c>
      <c r="D1085" t="s">
        <v>4119</v>
      </c>
      <c r="E1085" t="s">
        <v>5471</v>
      </c>
      <c r="F1085" t="s">
        <v>8254</v>
      </c>
      <c r="G1085" t="s">
        <v>8255</v>
      </c>
      <c r="H1085" t="s">
        <v>5474</v>
      </c>
      <c r="I1085" t="s">
        <v>8256</v>
      </c>
      <c r="J1085" t="s">
        <v>5476</v>
      </c>
      <c r="K1085" t="s">
        <v>5471</v>
      </c>
      <c r="L1085" t="s">
        <v>5471</v>
      </c>
      <c r="M1085" t="s">
        <v>5471</v>
      </c>
    </row>
    <row r="1086" spans="1:13" x14ac:dyDescent="0.3">
      <c r="A1086" t="s">
        <v>3383</v>
      </c>
      <c r="B1086" t="s">
        <v>6178</v>
      </c>
      <c r="C1086" t="s">
        <v>5470</v>
      </c>
      <c r="D1086" t="s">
        <v>4119</v>
      </c>
      <c r="E1086" t="s">
        <v>5471</v>
      </c>
      <c r="F1086" t="s">
        <v>8257</v>
      </c>
      <c r="G1086" t="s">
        <v>8258</v>
      </c>
      <c r="H1086" t="s">
        <v>5474</v>
      </c>
      <c r="I1086" t="s">
        <v>8259</v>
      </c>
      <c r="J1086" t="s">
        <v>5484</v>
      </c>
      <c r="K1086" t="s">
        <v>5471</v>
      </c>
      <c r="L1086" t="s">
        <v>5471</v>
      </c>
      <c r="M1086" t="s">
        <v>5471</v>
      </c>
    </row>
    <row r="1087" spans="1:13" x14ac:dyDescent="0.3">
      <c r="A1087" t="s">
        <v>3383</v>
      </c>
      <c r="B1087" t="s">
        <v>6178</v>
      </c>
      <c r="C1087" t="s">
        <v>5470</v>
      </c>
      <c r="D1087" t="s">
        <v>4119</v>
      </c>
      <c r="E1087" t="s">
        <v>5471</v>
      </c>
      <c r="F1087" t="s">
        <v>8260</v>
      </c>
      <c r="G1087" t="s">
        <v>8258</v>
      </c>
      <c r="H1087" t="s">
        <v>5474</v>
      </c>
      <c r="I1087" t="s">
        <v>8261</v>
      </c>
      <c r="J1087" t="s">
        <v>5484</v>
      </c>
      <c r="K1087" t="s">
        <v>5471</v>
      </c>
      <c r="L1087" t="s">
        <v>5471</v>
      </c>
      <c r="M1087" t="s">
        <v>5471</v>
      </c>
    </row>
    <row r="1088" spans="1:13" x14ac:dyDescent="0.3">
      <c r="A1088" t="s">
        <v>3383</v>
      </c>
      <c r="B1088" t="s">
        <v>6178</v>
      </c>
      <c r="C1088" t="s">
        <v>5470</v>
      </c>
      <c r="D1088" t="s">
        <v>4119</v>
      </c>
      <c r="E1088" t="s">
        <v>5471</v>
      </c>
      <c r="F1088" t="s">
        <v>8262</v>
      </c>
      <c r="G1088" t="s">
        <v>8258</v>
      </c>
      <c r="H1088" t="s">
        <v>5474</v>
      </c>
      <c r="I1088" t="s">
        <v>8263</v>
      </c>
      <c r="J1088" t="s">
        <v>5484</v>
      </c>
      <c r="K1088" t="s">
        <v>5471</v>
      </c>
      <c r="L1088" t="s">
        <v>5471</v>
      </c>
      <c r="M1088" t="s">
        <v>5471</v>
      </c>
    </row>
    <row r="1089" spans="1:13" x14ac:dyDescent="0.3">
      <c r="A1089" t="s">
        <v>3383</v>
      </c>
      <c r="B1089" t="s">
        <v>6178</v>
      </c>
      <c r="C1089" t="s">
        <v>5470</v>
      </c>
      <c r="D1089" t="s">
        <v>4119</v>
      </c>
      <c r="E1089" t="s">
        <v>5471</v>
      </c>
      <c r="F1089" t="s">
        <v>8264</v>
      </c>
      <c r="G1089" t="s">
        <v>8258</v>
      </c>
      <c r="H1089" t="s">
        <v>5474</v>
      </c>
      <c r="I1089" t="s">
        <v>8265</v>
      </c>
      <c r="J1089" t="s">
        <v>5484</v>
      </c>
      <c r="K1089" t="s">
        <v>5471</v>
      </c>
      <c r="L1089" t="s">
        <v>5471</v>
      </c>
      <c r="M1089" t="s">
        <v>5471</v>
      </c>
    </row>
    <row r="1090" spans="1:13" x14ac:dyDescent="0.3">
      <c r="A1090" t="s">
        <v>3383</v>
      </c>
      <c r="B1090" t="s">
        <v>6178</v>
      </c>
      <c r="C1090" t="s">
        <v>5470</v>
      </c>
      <c r="D1090" t="s">
        <v>4119</v>
      </c>
      <c r="E1090" t="s">
        <v>5471</v>
      </c>
      <c r="F1090" t="s">
        <v>8266</v>
      </c>
      <c r="G1090" t="s">
        <v>8258</v>
      </c>
      <c r="H1090" t="s">
        <v>5474</v>
      </c>
      <c r="I1090" t="s">
        <v>8267</v>
      </c>
      <c r="J1090" t="s">
        <v>5484</v>
      </c>
      <c r="K1090" t="s">
        <v>5471</v>
      </c>
      <c r="L1090" t="s">
        <v>5471</v>
      </c>
      <c r="M1090" t="s">
        <v>5471</v>
      </c>
    </row>
    <row r="1091" spans="1:13" x14ac:dyDescent="0.3">
      <c r="A1091" t="s">
        <v>3383</v>
      </c>
      <c r="B1091" t="s">
        <v>6178</v>
      </c>
      <c r="C1091" t="s">
        <v>5470</v>
      </c>
      <c r="D1091" t="s">
        <v>4119</v>
      </c>
      <c r="E1091" t="s">
        <v>5471</v>
      </c>
      <c r="F1091" t="s">
        <v>8268</v>
      </c>
      <c r="G1091" t="s">
        <v>8258</v>
      </c>
      <c r="H1091" t="s">
        <v>5474</v>
      </c>
      <c r="I1091" t="s">
        <v>8269</v>
      </c>
      <c r="J1091" t="s">
        <v>5484</v>
      </c>
      <c r="K1091" t="s">
        <v>5471</v>
      </c>
      <c r="L1091" t="s">
        <v>5471</v>
      </c>
      <c r="M1091" t="s">
        <v>5471</v>
      </c>
    </row>
    <row r="1092" spans="1:13" x14ac:dyDescent="0.3">
      <c r="A1092" t="s">
        <v>3383</v>
      </c>
      <c r="B1092" t="s">
        <v>6178</v>
      </c>
      <c r="C1092" t="s">
        <v>5470</v>
      </c>
      <c r="D1092" t="s">
        <v>4119</v>
      </c>
      <c r="E1092" t="s">
        <v>5471</v>
      </c>
      <c r="F1092" t="s">
        <v>8270</v>
      </c>
      <c r="G1092" t="s">
        <v>8258</v>
      </c>
      <c r="H1092" t="s">
        <v>5474</v>
      </c>
      <c r="I1092" t="s">
        <v>8271</v>
      </c>
      <c r="J1092" t="s">
        <v>5484</v>
      </c>
      <c r="K1092" t="s">
        <v>5471</v>
      </c>
      <c r="L1092" t="s">
        <v>5471</v>
      </c>
      <c r="M1092" t="s">
        <v>5471</v>
      </c>
    </row>
    <row r="1093" spans="1:13" x14ac:dyDescent="0.3">
      <c r="A1093" t="s">
        <v>3383</v>
      </c>
      <c r="B1093" t="s">
        <v>6178</v>
      </c>
      <c r="C1093" t="s">
        <v>5470</v>
      </c>
      <c r="D1093" t="s">
        <v>4119</v>
      </c>
      <c r="E1093" t="s">
        <v>5471</v>
      </c>
      <c r="F1093" t="s">
        <v>8272</v>
      </c>
      <c r="G1093" t="s">
        <v>8251</v>
      </c>
      <c r="H1093" t="s">
        <v>5474</v>
      </c>
      <c r="I1093" t="s">
        <v>8273</v>
      </c>
      <c r="J1093" t="s">
        <v>5484</v>
      </c>
      <c r="K1093" t="s">
        <v>5471</v>
      </c>
      <c r="L1093" t="s">
        <v>5471</v>
      </c>
      <c r="M1093" t="s">
        <v>5471</v>
      </c>
    </row>
    <row r="1094" spans="1:13" x14ac:dyDescent="0.3">
      <c r="A1094" t="s">
        <v>3388</v>
      </c>
      <c r="B1094" t="s">
        <v>8274</v>
      </c>
      <c r="C1094" t="s">
        <v>5470</v>
      </c>
      <c r="D1094" t="s">
        <v>4119</v>
      </c>
      <c r="E1094" t="s">
        <v>5471</v>
      </c>
      <c r="F1094" t="s">
        <v>8275</v>
      </c>
      <c r="G1094" t="s">
        <v>8276</v>
      </c>
      <c r="H1094" t="s">
        <v>5474</v>
      </c>
      <c r="I1094" t="s">
        <v>8277</v>
      </c>
      <c r="J1094" t="s">
        <v>5476</v>
      </c>
      <c r="K1094" t="s">
        <v>5471</v>
      </c>
      <c r="L1094" t="s">
        <v>5471</v>
      </c>
      <c r="M1094" t="s">
        <v>5471</v>
      </c>
    </row>
    <row r="1095" spans="1:13" x14ac:dyDescent="0.3">
      <c r="A1095" t="s">
        <v>3388</v>
      </c>
      <c r="B1095" t="s">
        <v>8274</v>
      </c>
      <c r="C1095" t="s">
        <v>5470</v>
      </c>
      <c r="D1095" t="s">
        <v>4119</v>
      </c>
      <c r="E1095" t="s">
        <v>5471</v>
      </c>
      <c r="F1095" t="s">
        <v>8275</v>
      </c>
      <c r="G1095" t="s">
        <v>8278</v>
      </c>
      <c r="H1095" t="s">
        <v>5474</v>
      </c>
      <c r="I1095" t="s">
        <v>8279</v>
      </c>
      <c r="J1095" t="s">
        <v>5476</v>
      </c>
      <c r="K1095" t="s">
        <v>5471</v>
      </c>
      <c r="L1095" t="s">
        <v>5471</v>
      </c>
      <c r="M1095" t="s">
        <v>5471</v>
      </c>
    </row>
    <row r="1096" spans="1:13" x14ac:dyDescent="0.3">
      <c r="A1096" t="s">
        <v>3388</v>
      </c>
      <c r="B1096" t="s">
        <v>8280</v>
      </c>
      <c r="C1096" t="s">
        <v>5470</v>
      </c>
      <c r="D1096" t="s">
        <v>4119</v>
      </c>
      <c r="E1096" t="s">
        <v>5471</v>
      </c>
      <c r="F1096" t="s">
        <v>8281</v>
      </c>
      <c r="G1096" t="s">
        <v>8282</v>
      </c>
      <c r="H1096" t="s">
        <v>5474</v>
      </c>
      <c r="I1096" t="s">
        <v>8283</v>
      </c>
      <c r="J1096" t="s">
        <v>5476</v>
      </c>
      <c r="K1096" t="s">
        <v>5471</v>
      </c>
      <c r="L1096" t="s">
        <v>5471</v>
      </c>
      <c r="M1096" t="s">
        <v>5471</v>
      </c>
    </row>
    <row r="1097" spans="1:13" x14ac:dyDescent="0.3">
      <c r="A1097" t="s">
        <v>3388</v>
      </c>
      <c r="B1097" t="s">
        <v>8284</v>
      </c>
      <c r="C1097" t="s">
        <v>5470</v>
      </c>
      <c r="D1097" t="s">
        <v>4119</v>
      </c>
      <c r="E1097" t="s">
        <v>5471</v>
      </c>
      <c r="F1097" t="s">
        <v>8285</v>
      </c>
      <c r="G1097" t="s">
        <v>8286</v>
      </c>
      <c r="H1097" t="s">
        <v>5474</v>
      </c>
      <c r="I1097" t="s">
        <v>8287</v>
      </c>
      <c r="J1097" t="s">
        <v>5476</v>
      </c>
      <c r="K1097" t="s">
        <v>5471</v>
      </c>
      <c r="L1097" t="s">
        <v>5471</v>
      </c>
      <c r="M1097" t="s">
        <v>5471</v>
      </c>
    </row>
    <row r="1098" spans="1:13" x14ac:dyDescent="0.3">
      <c r="A1098" t="s">
        <v>3388</v>
      </c>
      <c r="B1098" t="s">
        <v>8288</v>
      </c>
      <c r="C1098" t="s">
        <v>5470</v>
      </c>
      <c r="D1098" t="s">
        <v>4119</v>
      </c>
      <c r="E1098" t="s">
        <v>5471</v>
      </c>
      <c r="F1098" t="s">
        <v>8289</v>
      </c>
      <c r="G1098" t="s">
        <v>8290</v>
      </c>
      <c r="H1098" t="s">
        <v>5474</v>
      </c>
      <c r="I1098" t="s">
        <v>8291</v>
      </c>
      <c r="J1098" t="s">
        <v>5476</v>
      </c>
      <c r="K1098" t="s">
        <v>5471</v>
      </c>
      <c r="L1098" t="s">
        <v>5471</v>
      </c>
      <c r="M1098" t="s">
        <v>5471</v>
      </c>
    </row>
    <row r="1099" spans="1:13" x14ac:dyDescent="0.3">
      <c r="A1099" t="s">
        <v>3388</v>
      </c>
      <c r="B1099" t="s">
        <v>8036</v>
      </c>
      <c r="C1099" t="s">
        <v>5470</v>
      </c>
      <c r="D1099" t="s">
        <v>4119</v>
      </c>
      <c r="E1099" t="s">
        <v>5471</v>
      </c>
      <c r="F1099" t="s">
        <v>8292</v>
      </c>
      <c r="G1099" t="s">
        <v>8038</v>
      </c>
      <c r="H1099" t="s">
        <v>5474</v>
      </c>
      <c r="I1099" t="s">
        <v>8293</v>
      </c>
      <c r="J1099" t="s">
        <v>5476</v>
      </c>
      <c r="K1099" t="s">
        <v>5471</v>
      </c>
      <c r="L1099" t="s">
        <v>5471</v>
      </c>
      <c r="M1099" t="s">
        <v>5471</v>
      </c>
    </row>
    <row r="1100" spans="1:13" x14ac:dyDescent="0.3">
      <c r="A1100" t="s">
        <v>3388</v>
      </c>
      <c r="B1100" t="s">
        <v>8028</v>
      </c>
      <c r="C1100" t="s">
        <v>5470</v>
      </c>
      <c r="D1100" t="s">
        <v>4119</v>
      </c>
      <c r="E1100" t="s">
        <v>5471</v>
      </c>
      <c r="F1100" t="s">
        <v>8294</v>
      </c>
      <c r="G1100" t="s">
        <v>8030</v>
      </c>
      <c r="H1100" t="s">
        <v>5474</v>
      </c>
      <c r="I1100" t="s">
        <v>8295</v>
      </c>
      <c r="J1100" t="s">
        <v>5476</v>
      </c>
      <c r="K1100" t="s">
        <v>5471</v>
      </c>
      <c r="L1100" t="s">
        <v>5471</v>
      </c>
      <c r="M1100" t="s">
        <v>5471</v>
      </c>
    </row>
    <row r="1101" spans="1:13" x14ac:dyDescent="0.3">
      <c r="A1101" t="s">
        <v>3388</v>
      </c>
      <c r="B1101" t="s">
        <v>8296</v>
      </c>
      <c r="C1101" t="s">
        <v>5470</v>
      </c>
      <c r="D1101" t="s">
        <v>4119</v>
      </c>
      <c r="E1101" t="s">
        <v>5471</v>
      </c>
      <c r="F1101" t="s">
        <v>8297</v>
      </c>
      <c r="G1101" t="s">
        <v>8298</v>
      </c>
      <c r="H1101" t="s">
        <v>5474</v>
      </c>
      <c r="I1101" t="s">
        <v>8299</v>
      </c>
      <c r="J1101" t="s">
        <v>5476</v>
      </c>
      <c r="K1101" t="s">
        <v>5471</v>
      </c>
      <c r="L1101" t="s">
        <v>5471</v>
      </c>
      <c r="M1101" t="s">
        <v>5471</v>
      </c>
    </row>
    <row r="1102" spans="1:13" x14ac:dyDescent="0.3">
      <c r="A1102" t="s">
        <v>3388</v>
      </c>
      <c r="B1102" t="s">
        <v>8296</v>
      </c>
      <c r="C1102" t="s">
        <v>5470</v>
      </c>
      <c r="D1102" t="s">
        <v>4119</v>
      </c>
      <c r="E1102" t="s">
        <v>5471</v>
      </c>
      <c r="F1102" t="s">
        <v>8300</v>
      </c>
      <c r="G1102" t="s">
        <v>8298</v>
      </c>
      <c r="H1102" t="s">
        <v>5474</v>
      </c>
      <c r="I1102" t="s">
        <v>8301</v>
      </c>
      <c r="J1102" t="s">
        <v>5476</v>
      </c>
      <c r="K1102" t="s">
        <v>5471</v>
      </c>
      <c r="L1102" t="s">
        <v>5471</v>
      </c>
      <c r="M1102" t="s">
        <v>5471</v>
      </c>
    </row>
    <row r="1103" spans="1:13" x14ac:dyDescent="0.3">
      <c r="A1103" t="s">
        <v>3388</v>
      </c>
      <c r="B1103" t="s">
        <v>8302</v>
      </c>
      <c r="C1103" t="s">
        <v>5470</v>
      </c>
      <c r="D1103" t="s">
        <v>4119</v>
      </c>
      <c r="E1103" t="s">
        <v>5471</v>
      </c>
      <c r="F1103" t="s">
        <v>8303</v>
      </c>
      <c r="G1103" t="s">
        <v>8304</v>
      </c>
      <c r="H1103" t="s">
        <v>5474</v>
      </c>
      <c r="I1103" t="s">
        <v>8305</v>
      </c>
      <c r="J1103" t="s">
        <v>5476</v>
      </c>
      <c r="K1103" t="s">
        <v>5471</v>
      </c>
      <c r="L1103" t="s">
        <v>5471</v>
      </c>
      <c r="M1103" t="s">
        <v>5471</v>
      </c>
    </row>
    <row r="1104" spans="1:13" x14ac:dyDescent="0.3">
      <c r="A1104" t="s">
        <v>3388</v>
      </c>
      <c r="B1104" t="s">
        <v>8302</v>
      </c>
      <c r="C1104" t="s">
        <v>5470</v>
      </c>
      <c r="D1104" t="s">
        <v>4119</v>
      </c>
      <c r="E1104" t="s">
        <v>5471</v>
      </c>
      <c r="F1104" t="s">
        <v>8306</v>
      </c>
      <c r="G1104" t="s">
        <v>8304</v>
      </c>
      <c r="H1104" t="s">
        <v>5474</v>
      </c>
      <c r="I1104" t="s">
        <v>8307</v>
      </c>
      <c r="J1104" t="s">
        <v>5476</v>
      </c>
      <c r="K1104" t="s">
        <v>5471</v>
      </c>
      <c r="L1104" t="s">
        <v>5471</v>
      </c>
      <c r="M1104" t="s">
        <v>5471</v>
      </c>
    </row>
    <row r="1105" spans="1:13" x14ac:dyDescent="0.3">
      <c r="A1105" t="s">
        <v>3388</v>
      </c>
      <c r="B1105" t="s">
        <v>8308</v>
      </c>
      <c r="C1105" t="s">
        <v>5470</v>
      </c>
      <c r="D1105" t="s">
        <v>4119</v>
      </c>
      <c r="E1105" t="s">
        <v>5471</v>
      </c>
      <c r="F1105" t="s">
        <v>8309</v>
      </c>
      <c r="G1105" t="s">
        <v>8310</v>
      </c>
      <c r="H1105" t="s">
        <v>5474</v>
      </c>
      <c r="I1105" t="s">
        <v>8311</v>
      </c>
      <c r="J1105" t="s">
        <v>5476</v>
      </c>
      <c r="K1105" t="s">
        <v>5471</v>
      </c>
      <c r="L1105" t="s">
        <v>5471</v>
      </c>
      <c r="M1105" t="s">
        <v>5471</v>
      </c>
    </row>
    <row r="1106" spans="1:13" x14ac:dyDescent="0.3">
      <c r="A1106" t="s">
        <v>3388</v>
      </c>
      <c r="B1106" t="s">
        <v>8312</v>
      </c>
      <c r="C1106" t="s">
        <v>5470</v>
      </c>
      <c r="D1106" t="s">
        <v>4119</v>
      </c>
      <c r="E1106" t="s">
        <v>5471</v>
      </c>
      <c r="F1106" t="s">
        <v>8309</v>
      </c>
      <c r="G1106" t="s">
        <v>8313</v>
      </c>
      <c r="H1106" t="s">
        <v>5474</v>
      </c>
      <c r="I1106" t="s">
        <v>8314</v>
      </c>
      <c r="J1106" t="s">
        <v>5476</v>
      </c>
      <c r="K1106" t="s">
        <v>5471</v>
      </c>
      <c r="L1106" t="s">
        <v>5471</v>
      </c>
      <c r="M1106" t="s">
        <v>5471</v>
      </c>
    </row>
    <row r="1107" spans="1:13" x14ac:dyDescent="0.3">
      <c r="A1107" t="s">
        <v>3388</v>
      </c>
      <c r="B1107" t="s">
        <v>8315</v>
      </c>
      <c r="C1107" t="s">
        <v>5470</v>
      </c>
      <c r="D1107" t="s">
        <v>4119</v>
      </c>
      <c r="E1107" t="s">
        <v>5471</v>
      </c>
      <c r="F1107" t="s">
        <v>8316</v>
      </c>
      <c r="G1107" t="s">
        <v>8317</v>
      </c>
      <c r="H1107" t="s">
        <v>5474</v>
      </c>
      <c r="I1107" t="s">
        <v>8318</v>
      </c>
      <c r="J1107" t="s">
        <v>5476</v>
      </c>
      <c r="K1107" t="s">
        <v>5471</v>
      </c>
      <c r="L1107" t="s">
        <v>5471</v>
      </c>
      <c r="M1107" t="s">
        <v>5471</v>
      </c>
    </row>
    <row r="1108" spans="1:13" x14ac:dyDescent="0.3">
      <c r="A1108" t="s">
        <v>3388</v>
      </c>
      <c r="B1108" t="s">
        <v>8315</v>
      </c>
      <c r="C1108" t="s">
        <v>5470</v>
      </c>
      <c r="D1108" t="s">
        <v>4119</v>
      </c>
      <c r="E1108" t="s">
        <v>5471</v>
      </c>
      <c r="F1108" t="s">
        <v>8319</v>
      </c>
      <c r="G1108" t="s">
        <v>8317</v>
      </c>
      <c r="H1108" t="s">
        <v>5474</v>
      </c>
      <c r="I1108" t="s">
        <v>8320</v>
      </c>
      <c r="J1108" t="s">
        <v>5476</v>
      </c>
      <c r="K1108" t="s">
        <v>5471</v>
      </c>
      <c r="L1108" t="s">
        <v>5471</v>
      </c>
      <c r="M1108" t="s">
        <v>5471</v>
      </c>
    </row>
    <row r="1109" spans="1:13" x14ac:dyDescent="0.3">
      <c r="A1109" t="s">
        <v>3388</v>
      </c>
      <c r="B1109" t="s">
        <v>8315</v>
      </c>
      <c r="C1109" t="s">
        <v>5470</v>
      </c>
      <c r="D1109" t="s">
        <v>4119</v>
      </c>
      <c r="E1109" t="s">
        <v>5471</v>
      </c>
      <c r="F1109" t="s">
        <v>8321</v>
      </c>
      <c r="G1109" t="s">
        <v>8317</v>
      </c>
      <c r="H1109" t="s">
        <v>5474</v>
      </c>
      <c r="I1109" t="s">
        <v>8322</v>
      </c>
      <c r="J1109" t="s">
        <v>5476</v>
      </c>
      <c r="K1109" t="s">
        <v>5471</v>
      </c>
      <c r="L1109" t="s">
        <v>5471</v>
      </c>
      <c r="M1109" t="s">
        <v>5471</v>
      </c>
    </row>
    <row r="1110" spans="1:13" x14ac:dyDescent="0.3">
      <c r="A1110" t="s">
        <v>3388</v>
      </c>
      <c r="B1110" t="s">
        <v>8315</v>
      </c>
      <c r="C1110" t="s">
        <v>5470</v>
      </c>
      <c r="D1110" t="s">
        <v>4119</v>
      </c>
      <c r="E1110" t="s">
        <v>5471</v>
      </c>
      <c r="F1110" t="s">
        <v>8323</v>
      </c>
      <c r="G1110" t="s">
        <v>8317</v>
      </c>
      <c r="H1110" t="s">
        <v>5474</v>
      </c>
      <c r="I1110" t="s">
        <v>8324</v>
      </c>
      <c r="J1110" t="s">
        <v>5476</v>
      </c>
      <c r="K1110" t="s">
        <v>5471</v>
      </c>
      <c r="L1110" t="s">
        <v>5471</v>
      </c>
      <c r="M1110" t="s">
        <v>5471</v>
      </c>
    </row>
    <row r="1111" spans="1:13" x14ac:dyDescent="0.3">
      <c r="A1111" t="s">
        <v>3388</v>
      </c>
      <c r="B1111" t="s">
        <v>8315</v>
      </c>
      <c r="C1111" t="s">
        <v>5470</v>
      </c>
      <c r="D1111" t="s">
        <v>4119</v>
      </c>
      <c r="E1111" t="s">
        <v>5471</v>
      </c>
      <c r="F1111" t="s">
        <v>8325</v>
      </c>
      <c r="G1111" t="s">
        <v>8317</v>
      </c>
      <c r="H1111" t="s">
        <v>5474</v>
      </c>
      <c r="I1111" t="s">
        <v>8326</v>
      </c>
      <c r="J1111" t="s">
        <v>5476</v>
      </c>
      <c r="K1111" t="s">
        <v>5471</v>
      </c>
      <c r="L1111" t="s">
        <v>5471</v>
      </c>
      <c r="M1111" t="s">
        <v>5471</v>
      </c>
    </row>
    <row r="1112" spans="1:13" x14ac:dyDescent="0.3">
      <c r="A1112" t="s">
        <v>3388</v>
      </c>
      <c r="B1112" t="s">
        <v>8315</v>
      </c>
      <c r="C1112" t="s">
        <v>5470</v>
      </c>
      <c r="D1112" t="s">
        <v>4119</v>
      </c>
      <c r="E1112" t="s">
        <v>5471</v>
      </c>
      <c r="F1112" t="s">
        <v>8327</v>
      </c>
      <c r="G1112" t="s">
        <v>8317</v>
      </c>
      <c r="H1112" t="s">
        <v>5474</v>
      </c>
      <c r="I1112" t="s">
        <v>8328</v>
      </c>
      <c r="J1112" t="s">
        <v>5476</v>
      </c>
      <c r="K1112" t="s">
        <v>5471</v>
      </c>
      <c r="L1112" t="s">
        <v>5471</v>
      </c>
      <c r="M1112" t="s">
        <v>5471</v>
      </c>
    </row>
    <row r="1113" spans="1:13" x14ac:dyDescent="0.3">
      <c r="A1113" t="s">
        <v>3383</v>
      </c>
      <c r="B1113" t="s">
        <v>6178</v>
      </c>
      <c r="C1113" t="s">
        <v>5470</v>
      </c>
      <c r="D1113" t="s">
        <v>4119</v>
      </c>
      <c r="E1113" t="s">
        <v>5471</v>
      </c>
      <c r="F1113" t="s">
        <v>8329</v>
      </c>
      <c r="G1113" t="s">
        <v>8251</v>
      </c>
      <c r="H1113" t="s">
        <v>5474</v>
      </c>
      <c r="I1113" t="s">
        <v>8330</v>
      </c>
      <c r="J1113" t="s">
        <v>5476</v>
      </c>
      <c r="K1113" t="s">
        <v>5471</v>
      </c>
      <c r="L1113" t="s">
        <v>5471</v>
      </c>
      <c r="M1113" t="s">
        <v>5471</v>
      </c>
    </row>
    <row r="1114" spans="1:13" x14ac:dyDescent="0.3">
      <c r="A1114" t="s">
        <v>3383</v>
      </c>
      <c r="B1114" t="s">
        <v>6178</v>
      </c>
      <c r="C1114" t="s">
        <v>5470</v>
      </c>
      <c r="D1114" t="s">
        <v>4119</v>
      </c>
      <c r="E1114" t="s">
        <v>5471</v>
      </c>
      <c r="F1114" t="s">
        <v>8331</v>
      </c>
      <c r="G1114" t="s">
        <v>8251</v>
      </c>
      <c r="H1114" t="s">
        <v>5474</v>
      </c>
      <c r="I1114" t="s">
        <v>8332</v>
      </c>
      <c r="J1114" t="s">
        <v>5476</v>
      </c>
      <c r="K1114" t="s">
        <v>5471</v>
      </c>
      <c r="L1114" t="s">
        <v>5471</v>
      </c>
      <c r="M1114" t="s">
        <v>5471</v>
      </c>
    </row>
    <row r="1115" spans="1:13" x14ac:dyDescent="0.3">
      <c r="A1115" t="s">
        <v>3383</v>
      </c>
      <c r="B1115" t="s">
        <v>6178</v>
      </c>
      <c r="C1115" t="s">
        <v>5470</v>
      </c>
      <c r="D1115" t="s">
        <v>4119</v>
      </c>
      <c r="E1115" t="s">
        <v>5471</v>
      </c>
      <c r="F1115" t="s">
        <v>8333</v>
      </c>
      <c r="G1115" t="s">
        <v>8251</v>
      </c>
      <c r="H1115" t="s">
        <v>5474</v>
      </c>
      <c r="I1115" t="s">
        <v>8334</v>
      </c>
      <c r="J1115" t="s">
        <v>5476</v>
      </c>
      <c r="K1115" t="s">
        <v>5471</v>
      </c>
      <c r="L1115" t="s">
        <v>5471</v>
      </c>
      <c r="M1115" t="s">
        <v>5471</v>
      </c>
    </row>
    <row r="1116" spans="1:13" x14ac:dyDescent="0.3">
      <c r="A1116" t="s">
        <v>3383</v>
      </c>
      <c r="B1116" t="s">
        <v>6178</v>
      </c>
      <c r="C1116" t="s">
        <v>5470</v>
      </c>
      <c r="D1116" t="s">
        <v>4119</v>
      </c>
      <c r="E1116" t="s">
        <v>5471</v>
      </c>
      <c r="F1116" t="s">
        <v>8335</v>
      </c>
      <c r="G1116" t="s">
        <v>8251</v>
      </c>
      <c r="H1116" t="s">
        <v>5474</v>
      </c>
      <c r="I1116" t="s">
        <v>8336</v>
      </c>
      <c r="J1116" t="s">
        <v>5476</v>
      </c>
      <c r="K1116" t="s">
        <v>5471</v>
      </c>
      <c r="L1116" t="s">
        <v>5471</v>
      </c>
      <c r="M1116" t="s">
        <v>5471</v>
      </c>
    </row>
    <row r="1117" spans="1:13" x14ac:dyDescent="0.3">
      <c r="A1117" t="s">
        <v>3383</v>
      </c>
      <c r="B1117" t="s">
        <v>6178</v>
      </c>
      <c r="C1117" t="s">
        <v>5470</v>
      </c>
      <c r="D1117" t="s">
        <v>4119</v>
      </c>
      <c r="E1117" t="s">
        <v>5471</v>
      </c>
      <c r="F1117" t="s">
        <v>8337</v>
      </c>
      <c r="G1117" t="s">
        <v>8251</v>
      </c>
      <c r="H1117" t="s">
        <v>5474</v>
      </c>
      <c r="I1117" t="s">
        <v>8338</v>
      </c>
      <c r="J1117" t="s">
        <v>5476</v>
      </c>
      <c r="K1117" t="s">
        <v>5471</v>
      </c>
      <c r="L1117" t="s">
        <v>5471</v>
      </c>
      <c r="M1117" t="s">
        <v>5471</v>
      </c>
    </row>
    <row r="1118" spans="1:13" x14ac:dyDescent="0.3">
      <c r="A1118" t="s">
        <v>3383</v>
      </c>
      <c r="B1118" t="s">
        <v>6178</v>
      </c>
      <c r="C1118" t="s">
        <v>5470</v>
      </c>
      <c r="D1118" t="s">
        <v>4119</v>
      </c>
      <c r="E1118" t="s">
        <v>5471</v>
      </c>
      <c r="F1118" t="s">
        <v>8339</v>
      </c>
      <c r="G1118" t="s">
        <v>8251</v>
      </c>
      <c r="H1118" t="s">
        <v>5474</v>
      </c>
      <c r="I1118" t="s">
        <v>8340</v>
      </c>
      <c r="J1118" t="s">
        <v>5476</v>
      </c>
      <c r="K1118" t="s">
        <v>5471</v>
      </c>
      <c r="L1118" t="s">
        <v>5471</v>
      </c>
      <c r="M1118" t="s">
        <v>5471</v>
      </c>
    </row>
    <row r="1119" spans="1:13" x14ac:dyDescent="0.3">
      <c r="A1119" t="s">
        <v>3383</v>
      </c>
      <c r="B1119" t="s">
        <v>6178</v>
      </c>
      <c r="C1119" t="s">
        <v>5470</v>
      </c>
      <c r="D1119" t="s">
        <v>4119</v>
      </c>
      <c r="E1119" t="s">
        <v>5471</v>
      </c>
      <c r="F1119" t="s">
        <v>8341</v>
      </c>
      <c r="G1119" t="s">
        <v>8236</v>
      </c>
      <c r="H1119" t="s">
        <v>5474</v>
      </c>
      <c r="I1119" t="s">
        <v>8342</v>
      </c>
      <c r="J1119" t="s">
        <v>5476</v>
      </c>
      <c r="K1119" t="s">
        <v>5471</v>
      </c>
      <c r="L1119" t="s">
        <v>5471</v>
      </c>
      <c r="M1119" t="s">
        <v>5471</v>
      </c>
    </row>
    <row r="1120" spans="1:13" x14ac:dyDescent="0.3">
      <c r="A1120" t="s">
        <v>3383</v>
      </c>
      <c r="B1120" t="s">
        <v>6178</v>
      </c>
      <c r="C1120" t="s">
        <v>5470</v>
      </c>
      <c r="D1120" t="s">
        <v>4119</v>
      </c>
      <c r="E1120" t="s">
        <v>5471</v>
      </c>
      <c r="F1120" t="s">
        <v>8343</v>
      </c>
      <c r="G1120" t="s">
        <v>8236</v>
      </c>
      <c r="H1120" t="s">
        <v>5474</v>
      </c>
      <c r="I1120" t="s">
        <v>8344</v>
      </c>
      <c r="J1120" t="s">
        <v>5476</v>
      </c>
      <c r="K1120" t="s">
        <v>5471</v>
      </c>
      <c r="L1120" t="s">
        <v>5471</v>
      </c>
      <c r="M1120" t="s">
        <v>5471</v>
      </c>
    </row>
    <row r="1121" spans="1:13" x14ac:dyDescent="0.3">
      <c r="A1121" t="s">
        <v>3383</v>
      </c>
      <c r="B1121" t="s">
        <v>6178</v>
      </c>
      <c r="C1121" t="s">
        <v>5470</v>
      </c>
      <c r="D1121" t="s">
        <v>4119</v>
      </c>
      <c r="E1121" t="s">
        <v>5471</v>
      </c>
      <c r="F1121" t="s">
        <v>8345</v>
      </c>
      <c r="G1121" t="s">
        <v>8236</v>
      </c>
      <c r="H1121" t="s">
        <v>5474</v>
      </c>
      <c r="I1121" t="s">
        <v>8346</v>
      </c>
      <c r="J1121" t="s">
        <v>5476</v>
      </c>
      <c r="K1121" t="s">
        <v>5471</v>
      </c>
      <c r="L1121" t="s">
        <v>5471</v>
      </c>
      <c r="M1121" t="s">
        <v>5471</v>
      </c>
    </row>
    <row r="1122" spans="1:13" x14ac:dyDescent="0.3">
      <c r="A1122" t="s">
        <v>3388</v>
      </c>
      <c r="B1122" t="s">
        <v>7221</v>
      </c>
      <c r="C1122" t="s">
        <v>5470</v>
      </c>
      <c r="D1122" t="s">
        <v>4119</v>
      </c>
      <c r="E1122" t="s">
        <v>5471</v>
      </c>
      <c r="F1122" t="s">
        <v>8347</v>
      </c>
      <c r="G1122" t="s">
        <v>7223</v>
      </c>
      <c r="H1122" t="s">
        <v>5474</v>
      </c>
      <c r="I1122" t="s">
        <v>8348</v>
      </c>
      <c r="J1122" t="s">
        <v>5476</v>
      </c>
      <c r="K1122" t="s">
        <v>5471</v>
      </c>
      <c r="L1122" t="s">
        <v>5471</v>
      </c>
      <c r="M1122" t="s">
        <v>5471</v>
      </c>
    </row>
    <row r="1123" spans="1:13" x14ac:dyDescent="0.3">
      <c r="A1123" t="s">
        <v>3388</v>
      </c>
      <c r="B1123" t="s">
        <v>7221</v>
      </c>
      <c r="C1123" t="s">
        <v>5470</v>
      </c>
      <c r="D1123" t="s">
        <v>4119</v>
      </c>
      <c r="E1123" t="s">
        <v>5471</v>
      </c>
      <c r="F1123" t="s">
        <v>8349</v>
      </c>
      <c r="G1123" t="s">
        <v>7223</v>
      </c>
      <c r="H1123" t="s">
        <v>5474</v>
      </c>
      <c r="I1123" t="s">
        <v>8350</v>
      </c>
      <c r="J1123" t="s">
        <v>5476</v>
      </c>
      <c r="K1123" t="s">
        <v>5471</v>
      </c>
      <c r="L1123" t="s">
        <v>5471</v>
      </c>
      <c r="M1123" t="s">
        <v>5471</v>
      </c>
    </row>
    <row r="1124" spans="1:13" x14ac:dyDescent="0.3">
      <c r="A1124" t="s">
        <v>3388</v>
      </c>
      <c r="B1124" t="s">
        <v>7221</v>
      </c>
      <c r="C1124" t="s">
        <v>5470</v>
      </c>
      <c r="D1124" t="s">
        <v>4119</v>
      </c>
      <c r="E1124" t="s">
        <v>5471</v>
      </c>
      <c r="F1124" t="s">
        <v>8351</v>
      </c>
      <c r="G1124" t="s">
        <v>7223</v>
      </c>
      <c r="H1124" t="s">
        <v>5474</v>
      </c>
      <c r="I1124" t="s">
        <v>8352</v>
      </c>
      <c r="J1124" t="s">
        <v>5476</v>
      </c>
      <c r="K1124" t="s">
        <v>5471</v>
      </c>
      <c r="L1124" t="s">
        <v>5471</v>
      </c>
      <c r="M1124" t="s">
        <v>5471</v>
      </c>
    </row>
    <row r="1125" spans="1:13" x14ac:dyDescent="0.3">
      <c r="A1125" t="s">
        <v>3388</v>
      </c>
      <c r="B1125" t="s">
        <v>8353</v>
      </c>
      <c r="C1125" t="s">
        <v>5470</v>
      </c>
      <c r="D1125" t="s">
        <v>4119</v>
      </c>
      <c r="E1125" t="s">
        <v>5471</v>
      </c>
      <c r="F1125" t="s">
        <v>8354</v>
      </c>
      <c r="G1125" t="s">
        <v>5473</v>
      </c>
      <c r="H1125" t="s">
        <v>5474</v>
      </c>
      <c r="I1125" t="s">
        <v>8355</v>
      </c>
      <c r="J1125" t="s">
        <v>5476</v>
      </c>
      <c r="K1125" t="s">
        <v>5471</v>
      </c>
      <c r="L1125" t="s">
        <v>5471</v>
      </c>
      <c r="M1125" t="s">
        <v>5471</v>
      </c>
    </row>
    <row r="1126" spans="1:13" x14ac:dyDescent="0.3">
      <c r="A1126" t="s">
        <v>3388</v>
      </c>
      <c r="B1126" t="s">
        <v>8353</v>
      </c>
      <c r="C1126" t="s">
        <v>5470</v>
      </c>
      <c r="D1126" t="s">
        <v>4119</v>
      </c>
      <c r="E1126" t="s">
        <v>5471</v>
      </c>
      <c r="F1126" t="s">
        <v>8356</v>
      </c>
      <c r="G1126" t="s">
        <v>5473</v>
      </c>
      <c r="H1126" t="s">
        <v>5474</v>
      </c>
      <c r="I1126" t="s">
        <v>8357</v>
      </c>
      <c r="J1126" t="s">
        <v>5476</v>
      </c>
      <c r="K1126" t="s">
        <v>5471</v>
      </c>
      <c r="L1126" t="s">
        <v>5471</v>
      </c>
      <c r="M1126" t="s">
        <v>5471</v>
      </c>
    </row>
    <row r="1127" spans="1:13" x14ac:dyDescent="0.3">
      <c r="A1127" t="s">
        <v>3388</v>
      </c>
      <c r="B1127" t="s">
        <v>8353</v>
      </c>
      <c r="C1127" t="s">
        <v>5470</v>
      </c>
      <c r="D1127" t="s">
        <v>4119</v>
      </c>
      <c r="E1127" t="s">
        <v>5471</v>
      </c>
      <c r="F1127" t="s">
        <v>8358</v>
      </c>
      <c r="G1127" t="s">
        <v>5473</v>
      </c>
      <c r="H1127" t="s">
        <v>5474</v>
      </c>
      <c r="I1127" t="s">
        <v>8359</v>
      </c>
      <c r="J1127" t="s">
        <v>5476</v>
      </c>
      <c r="K1127" t="s">
        <v>5471</v>
      </c>
      <c r="L1127" t="s">
        <v>5471</v>
      </c>
      <c r="M1127" t="s">
        <v>5471</v>
      </c>
    </row>
    <row r="1128" spans="1:13" x14ac:dyDescent="0.3">
      <c r="A1128" t="s">
        <v>3388</v>
      </c>
      <c r="B1128" t="s">
        <v>8353</v>
      </c>
      <c r="C1128" t="s">
        <v>5470</v>
      </c>
      <c r="D1128" t="s">
        <v>4119</v>
      </c>
      <c r="E1128" t="s">
        <v>5471</v>
      </c>
      <c r="F1128" t="s">
        <v>8360</v>
      </c>
      <c r="G1128" t="s">
        <v>5473</v>
      </c>
      <c r="H1128" t="s">
        <v>5474</v>
      </c>
      <c r="I1128" t="s">
        <v>8361</v>
      </c>
      <c r="J1128" t="s">
        <v>5476</v>
      </c>
      <c r="K1128" t="s">
        <v>5471</v>
      </c>
      <c r="L1128" t="s">
        <v>5471</v>
      </c>
      <c r="M1128" t="s">
        <v>5471</v>
      </c>
    </row>
    <row r="1129" spans="1:13" x14ac:dyDescent="0.3">
      <c r="A1129" t="s">
        <v>3388</v>
      </c>
      <c r="B1129" t="s">
        <v>8253</v>
      </c>
      <c r="C1129" t="s">
        <v>5470</v>
      </c>
      <c r="D1129" t="s">
        <v>4119</v>
      </c>
      <c r="E1129" t="s">
        <v>5471</v>
      </c>
      <c r="F1129" t="s">
        <v>8362</v>
      </c>
      <c r="G1129" t="s">
        <v>8255</v>
      </c>
      <c r="H1129" t="s">
        <v>5474</v>
      </c>
      <c r="I1129" t="s">
        <v>8363</v>
      </c>
      <c r="J1129" t="s">
        <v>5476</v>
      </c>
      <c r="K1129" t="s">
        <v>5471</v>
      </c>
      <c r="L1129" t="s">
        <v>5471</v>
      </c>
      <c r="M1129" t="s">
        <v>5471</v>
      </c>
    </row>
    <row r="1130" spans="1:13" x14ac:dyDescent="0.3">
      <c r="A1130" t="s">
        <v>3388</v>
      </c>
      <c r="B1130" t="s">
        <v>8253</v>
      </c>
      <c r="C1130" t="s">
        <v>5470</v>
      </c>
      <c r="D1130" t="s">
        <v>4119</v>
      </c>
      <c r="E1130" t="s">
        <v>5471</v>
      </c>
      <c r="F1130" t="s">
        <v>8364</v>
      </c>
      <c r="G1130" t="s">
        <v>8255</v>
      </c>
      <c r="H1130" t="s">
        <v>5474</v>
      </c>
      <c r="I1130" t="s">
        <v>8365</v>
      </c>
      <c r="J1130" t="s">
        <v>5476</v>
      </c>
      <c r="K1130" t="s">
        <v>5471</v>
      </c>
      <c r="L1130" t="s">
        <v>5471</v>
      </c>
      <c r="M1130" t="s">
        <v>5471</v>
      </c>
    </row>
    <row r="1131" spans="1:13" x14ac:dyDescent="0.3">
      <c r="A1131" t="s">
        <v>3388</v>
      </c>
      <c r="B1131" t="s">
        <v>8253</v>
      </c>
      <c r="C1131" t="s">
        <v>5470</v>
      </c>
      <c r="D1131" t="s">
        <v>4119</v>
      </c>
      <c r="E1131" t="s">
        <v>5471</v>
      </c>
      <c r="F1131" t="s">
        <v>8366</v>
      </c>
      <c r="G1131" t="s">
        <v>8255</v>
      </c>
      <c r="H1131" t="s">
        <v>5474</v>
      </c>
      <c r="I1131" t="s">
        <v>8367</v>
      </c>
      <c r="J1131" t="s">
        <v>5476</v>
      </c>
      <c r="K1131" t="s">
        <v>5471</v>
      </c>
      <c r="L1131" t="s">
        <v>5471</v>
      </c>
      <c r="M1131" t="s">
        <v>5471</v>
      </c>
    </row>
    <row r="1132" spans="1:13" x14ac:dyDescent="0.3">
      <c r="A1132" t="s">
        <v>3388</v>
      </c>
      <c r="B1132" t="s">
        <v>8368</v>
      </c>
      <c r="C1132" t="s">
        <v>5470</v>
      </c>
      <c r="D1132" t="s">
        <v>4119</v>
      </c>
      <c r="E1132" t="s">
        <v>5471</v>
      </c>
      <c r="F1132" t="s">
        <v>8369</v>
      </c>
      <c r="G1132" t="s">
        <v>8370</v>
      </c>
      <c r="H1132" t="s">
        <v>5474</v>
      </c>
      <c r="I1132" t="s">
        <v>8371</v>
      </c>
      <c r="J1132" t="s">
        <v>5476</v>
      </c>
      <c r="K1132" t="s">
        <v>5471</v>
      </c>
      <c r="L1132" t="s">
        <v>5471</v>
      </c>
      <c r="M1132" t="s">
        <v>5471</v>
      </c>
    </row>
    <row r="1133" spans="1:13" x14ac:dyDescent="0.3">
      <c r="A1133" t="s">
        <v>3388</v>
      </c>
      <c r="B1133" t="s">
        <v>8372</v>
      </c>
      <c r="C1133" t="s">
        <v>5470</v>
      </c>
      <c r="D1133" t="s">
        <v>4119</v>
      </c>
      <c r="E1133" t="s">
        <v>5471</v>
      </c>
      <c r="F1133" t="s">
        <v>8373</v>
      </c>
      <c r="G1133" t="s">
        <v>8374</v>
      </c>
      <c r="H1133" t="s">
        <v>5474</v>
      </c>
      <c r="I1133" t="s">
        <v>8375</v>
      </c>
      <c r="J1133" t="s">
        <v>5476</v>
      </c>
      <c r="K1133" t="s">
        <v>5471</v>
      </c>
      <c r="L1133" t="s">
        <v>5471</v>
      </c>
      <c r="M1133" t="s">
        <v>5471</v>
      </c>
    </row>
    <row r="1134" spans="1:13" x14ac:dyDescent="0.3">
      <c r="A1134" t="s">
        <v>3383</v>
      </c>
      <c r="B1134" t="s">
        <v>5332</v>
      </c>
      <c r="C1134" t="s">
        <v>5470</v>
      </c>
      <c r="D1134" t="s">
        <v>4119</v>
      </c>
      <c r="E1134" t="s">
        <v>5756</v>
      </c>
      <c r="F1134" t="s">
        <v>8376</v>
      </c>
      <c r="G1134" t="s">
        <v>6295</v>
      </c>
      <c r="H1134" t="s">
        <v>5474</v>
      </c>
      <c r="I1134" t="s">
        <v>8377</v>
      </c>
      <c r="J1134" t="s">
        <v>5484</v>
      </c>
      <c r="K1134" t="s">
        <v>5471</v>
      </c>
      <c r="L1134" t="s">
        <v>5471</v>
      </c>
      <c r="M1134" t="s">
        <v>5471</v>
      </c>
    </row>
    <row r="1135" spans="1:13" x14ac:dyDescent="0.3">
      <c r="A1135" t="s">
        <v>3383</v>
      </c>
      <c r="B1135" t="s">
        <v>5332</v>
      </c>
      <c r="C1135" t="s">
        <v>5470</v>
      </c>
      <c r="D1135" t="s">
        <v>4119</v>
      </c>
      <c r="E1135" t="s">
        <v>5756</v>
      </c>
      <c r="F1135" t="s">
        <v>8378</v>
      </c>
      <c r="G1135" t="s">
        <v>6586</v>
      </c>
      <c r="H1135" t="s">
        <v>5474</v>
      </c>
      <c r="I1135" t="s">
        <v>8379</v>
      </c>
      <c r="J1135" t="s">
        <v>5484</v>
      </c>
      <c r="K1135" t="s">
        <v>5471</v>
      </c>
      <c r="L1135" t="s">
        <v>5471</v>
      </c>
      <c r="M1135" t="s">
        <v>5471</v>
      </c>
    </row>
    <row r="1136" spans="1:13" x14ac:dyDescent="0.3">
      <c r="A1136" t="s">
        <v>3383</v>
      </c>
      <c r="B1136" t="s">
        <v>6178</v>
      </c>
      <c r="C1136" t="s">
        <v>5470</v>
      </c>
      <c r="D1136" t="s">
        <v>4119</v>
      </c>
      <c r="E1136" t="s">
        <v>5471</v>
      </c>
      <c r="F1136" t="s">
        <v>8380</v>
      </c>
      <c r="G1136" t="s">
        <v>6201</v>
      </c>
      <c r="H1136" t="s">
        <v>5474</v>
      </c>
      <c r="I1136" t="s">
        <v>8381</v>
      </c>
      <c r="J1136" t="s">
        <v>5476</v>
      </c>
      <c r="K1136" t="s">
        <v>5471</v>
      </c>
      <c r="L1136" t="s">
        <v>5471</v>
      </c>
      <c r="M1136" t="s">
        <v>5471</v>
      </c>
    </row>
    <row r="1137" spans="1:13" x14ac:dyDescent="0.3">
      <c r="A1137" t="s">
        <v>3383</v>
      </c>
      <c r="B1137" t="s">
        <v>6178</v>
      </c>
      <c r="C1137" t="s">
        <v>5470</v>
      </c>
      <c r="D1137" t="s">
        <v>4119</v>
      </c>
      <c r="E1137" t="s">
        <v>5471</v>
      </c>
      <c r="F1137" t="s">
        <v>8382</v>
      </c>
      <c r="G1137" t="s">
        <v>6199</v>
      </c>
      <c r="H1137" t="s">
        <v>5474</v>
      </c>
      <c r="I1137" t="s">
        <v>8383</v>
      </c>
      <c r="J1137" t="s">
        <v>5476</v>
      </c>
      <c r="K1137" t="s">
        <v>5471</v>
      </c>
      <c r="L1137" t="s">
        <v>5471</v>
      </c>
      <c r="M1137" t="s">
        <v>5471</v>
      </c>
    </row>
    <row r="1138" spans="1:13" x14ac:dyDescent="0.3">
      <c r="A1138" t="s">
        <v>3383</v>
      </c>
      <c r="B1138" t="s">
        <v>6178</v>
      </c>
      <c r="C1138" t="s">
        <v>5470</v>
      </c>
      <c r="D1138" t="s">
        <v>4119</v>
      </c>
      <c r="E1138" t="s">
        <v>5471</v>
      </c>
      <c r="F1138" t="s">
        <v>8384</v>
      </c>
      <c r="G1138" t="s">
        <v>8385</v>
      </c>
      <c r="H1138" t="s">
        <v>5474</v>
      </c>
      <c r="I1138" t="s">
        <v>8386</v>
      </c>
      <c r="J1138" t="s">
        <v>5476</v>
      </c>
      <c r="K1138" t="s">
        <v>5471</v>
      </c>
      <c r="L1138" t="s">
        <v>5471</v>
      </c>
      <c r="M1138" t="s">
        <v>5471</v>
      </c>
    </row>
    <row r="1139" spans="1:13" x14ac:dyDescent="0.3">
      <c r="A1139" t="s">
        <v>3383</v>
      </c>
      <c r="B1139" t="s">
        <v>6178</v>
      </c>
      <c r="C1139" t="s">
        <v>5470</v>
      </c>
      <c r="D1139" t="s">
        <v>4119</v>
      </c>
      <c r="E1139" t="s">
        <v>5471</v>
      </c>
      <c r="F1139" t="s">
        <v>8387</v>
      </c>
      <c r="G1139" t="s">
        <v>6289</v>
      </c>
      <c r="H1139" t="s">
        <v>5474</v>
      </c>
      <c r="I1139" t="s">
        <v>8388</v>
      </c>
      <c r="J1139" t="s">
        <v>5476</v>
      </c>
      <c r="K1139" t="s">
        <v>5471</v>
      </c>
      <c r="L1139" t="s">
        <v>5471</v>
      </c>
      <c r="M1139" t="s">
        <v>5471</v>
      </c>
    </row>
    <row r="1140" spans="1:13" x14ac:dyDescent="0.3">
      <c r="A1140" t="s">
        <v>3383</v>
      </c>
      <c r="B1140" t="s">
        <v>5294</v>
      </c>
      <c r="C1140" t="s">
        <v>5470</v>
      </c>
      <c r="D1140" t="s">
        <v>4119</v>
      </c>
      <c r="E1140" t="s">
        <v>5756</v>
      </c>
      <c r="F1140" t="s">
        <v>8389</v>
      </c>
      <c r="G1140" t="s">
        <v>6279</v>
      </c>
      <c r="H1140" t="s">
        <v>5474</v>
      </c>
      <c r="I1140" t="s">
        <v>8390</v>
      </c>
      <c r="J1140" t="s">
        <v>5484</v>
      </c>
      <c r="K1140" t="s">
        <v>5471</v>
      </c>
      <c r="L1140" t="s">
        <v>5471</v>
      </c>
      <c r="M1140" t="s">
        <v>5471</v>
      </c>
    </row>
    <row r="1141" spans="1:13" x14ac:dyDescent="0.3">
      <c r="A1141" t="s">
        <v>3383</v>
      </c>
      <c r="B1141" t="s">
        <v>5294</v>
      </c>
      <c r="C1141" t="s">
        <v>5470</v>
      </c>
      <c r="D1141" t="s">
        <v>4119</v>
      </c>
      <c r="E1141" t="s">
        <v>5756</v>
      </c>
      <c r="F1141" t="s">
        <v>8391</v>
      </c>
      <c r="G1141" t="s">
        <v>6283</v>
      </c>
      <c r="H1141" t="s">
        <v>5474</v>
      </c>
      <c r="I1141" t="s">
        <v>8392</v>
      </c>
      <c r="J1141" t="s">
        <v>5484</v>
      </c>
      <c r="K1141" t="s">
        <v>5471</v>
      </c>
      <c r="L1141" t="s">
        <v>5471</v>
      </c>
      <c r="M1141" t="s">
        <v>5471</v>
      </c>
    </row>
    <row r="1142" spans="1:13" x14ac:dyDescent="0.3">
      <c r="A1142" t="s">
        <v>3383</v>
      </c>
      <c r="B1142" t="s">
        <v>5294</v>
      </c>
      <c r="C1142" t="s">
        <v>5470</v>
      </c>
      <c r="D1142" t="s">
        <v>4119</v>
      </c>
      <c r="E1142" t="s">
        <v>5756</v>
      </c>
      <c r="F1142" t="s">
        <v>8393</v>
      </c>
      <c r="G1142" t="s">
        <v>6277</v>
      </c>
      <c r="H1142" t="s">
        <v>5474</v>
      </c>
      <c r="I1142" t="s">
        <v>8394</v>
      </c>
      <c r="J1142" t="s">
        <v>5484</v>
      </c>
      <c r="K1142" t="s">
        <v>5471</v>
      </c>
      <c r="L1142" t="s">
        <v>5471</v>
      </c>
      <c r="M1142" t="s">
        <v>5471</v>
      </c>
    </row>
    <row r="1143" spans="1:13" x14ac:dyDescent="0.3">
      <c r="A1143" t="s">
        <v>3383</v>
      </c>
      <c r="B1143" t="s">
        <v>5294</v>
      </c>
      <c r="C1143" t="s">
        <v>5470</v>
      </c>
      <c r="D1143" t="s">
        <v>4119</v>
      </c>
      <c r="E1143" t="s">
        <v>5756</v>
      </c>
      <c r="F1143" t="s">
        <v>8395</v>
      </c>
      <c r="G1143" t="s">
        <v>6201</v>
      </c>
      <c r="H1143" t="s">
        <v>5474</v>
      </c>
      <c r="I1143" t="s">
        <v>8396</v>
      </c>
      <c r="J1143" t="s">
        <v>5484</v>
      </c>
      <c r="K1143" t="s">
        <v>5471</v>
      </c>
      <c r="L1143" t="s">
        <v>5471</v>
      </c>
      <c r="M1143" t="s">
        <v>5471</v>
      </c>
    </row>
    <row r="1144" spans="1:13" x14ac:dyDescent="0.3">
      <c r="A1144" t="s">
        <v>3383</v>
      </c>
      <c r="B1144" t="s">
        <v>5332</v>
      </c>
      <c r="C1144" t="s">
        <v>5470</v>
      </c>
      <c r="D1144" t="s">
        <v>4119</v>
      </c>
      <c r="E1144" t="s">
        <v>5756</v>
      </c>
      <c r="F1144" t="s">
        <v>8376</v>
      </c>
      <c r="G1144" t="s">
        <v>6295</v>
      </c>
      <c r="H1144" t="s">
        <v>5474</v>
      </c>
      <c r="I1144" t="s">
        <v>8397</v>
      </c>
      <c r="J1144" t="s">
        <v>5484</v>
      </c>
      <c r="K1144" t="s">
        <v>5471</v>
      </c>
      <c r="L1144" t="s">
        <v>5471</v>
      </c>
      <c r="M1144" t="s">
        <v>5471</v>
      </c>
    </row>
    <row r="1145" spans="1:13" x14ac:dyDescent="0.3">
      <c r="A1145" t="s">
        <v>3383</v>
      </c>
      <c r="B1145" t="s">
        <v>5294</v>
      </c>
      <c r="C1145" t="s">
        <v>5470</v>
      </c>
      <c r="D1145" t="s">
        <v>4119</v>
      </c>
      <c r="E1145" t="s">
        <v>5756</v>
      </c>
      <c r="F1145" t="s">
        <v>8398</v>
      </c>
      <c r="G1145" t="s">
        <v>6199</v>
      </c>
      <c r="H1145" t="s">
        <v>5474</v>
      </c>
      <c r="I1145" t="s">
        <v>8399</v>
      </c>
      <c r="J1145" t="s">
        <v>5484</v>
      </c>
      <c r="K1145" t="s">
        <v>5471</v>
      </c>
      <c r="L1145" t="s">
        <v>5471</v>
      </c>
      <c r="M1145" t="s">
        <v>5471</v>
      </c>
    </row>
    <row r="1146" spans="1:13" x14ac:dyDescent="0.3">
      <c r="A1146" t="s">
        <v>3383</v>
      </c>
      <c r="B1146" t="s">
        <v>5332</v>
      </c>
      <c r="C1146" t="s">
        <v>5470</v>
      </c>
      <c r="D1146" t="s">
        <v>4119</v>
      </c>
      <c r="E1146" t="s">
        <v>5756</v>
      </c>
      <c r="F1146" t="s">
        <v>8378</v>
      </c>
      <c r="G1146" t="s">
        <v>6291</v>
      </c>
      <c r="H1146" t="s">
        <v>5474</v>
      </c>
      <c r="I1146" t="s">
        <v>8400</v>
      </c>
      <c r="J1146" t="s">
        <v>5484</v>
      </c>
      <c r="K1146" t="s">
        <v>5471</v>
      </c>
      <c r="L1146" t="s">
        <v>5471</v>
      </c>
      <c r="M1146" t="s">
        <v>5471</v>
      </c>
    </row>
    <row r="1147" spans="1:13" x14ac:dyDescent="0.3">
      <c r="A1147" t="s">
        <v>3383</v>
      </c>
      <c r="B1147" t="s">
        <v>8401</v>
      </c>
      <c r="C1147" t="s">
        <v>5470</v>
      </c>
      <c r="D1147" t="s">
        <v>4119</v>
      </c>
      <c r="E1147" t="s">
        <v>5471</v>
      </c>
      <c r="F1147" t="s">
        <v>8402</v>
      </c>
      <c r="G1147" t="s">
        <v>8403</v>
      </c>
      <c r="H1147" t="s">
        <v>5474</v>
      </c>
      <c r="I1147" t="s">
        <v>8404</v>
      </c>
      <c r="J1147" t="s">
        <v>5476</v>
      </c>
      <c r="K1147" t="s">
        <v>5471</v>
      </c>
      <c r="L1147" t="s">
        <v>5471</v>
      </c>
      <c r="M1147" t="s">
        <v>5471</v>
      </c>
    </row>
    <row r="1148" spans="1:13" x14ac:dyDescent="0.3">
      <c r="A1148" t="s">
        <v>3383</v>
      </c>
      <c r="B1148" t="s">
        <v>8401</v>
      </c>
      <c r="C1148" t="s">
        <v>5470</v>
      </c>
      <c r="D1148" t="s">
        <v>4119</v>
      </c>
      <c r="E1148" t="s">
        <v>5471</v>
      </c>
      <c r="F1148" t="s">
        <v>8405</v>
      </c>
      <c r="G1148" t="s">
        <v>8403</v>
      </c>
      <c r="H1148" t="s">
        <v>5474</v>
      </c>
      <c r="I1148" t="s">
        <v>8406</v>
      </c>
      <c r="J1148" t="s">
        <v>5476</v>
      </c>
      <c r="K1148" t="s">
        <v>5471</v>
      </c>
      <c r="L1148" t="s">
        <v>5471</v>
      </c>
      <c r="M1148" t="s">
        <v>5471</v>
      </c>
    </row>
    <row r="1149" spans="1:13" x14ac:dyDescent="0.3">
      <c r="A1149" t="s">
        <v>3383</v>
      </c>
      <c r="B1149" t="s">
        <v>6009</v>
      </c>
      <c r="C1149" t="s">
        <v>5470</v>
      </c>
      <c r="D1149" t="s">
        <v>4119</v>
      </c>
      <c r="E1149" t="s">
        <v>5480</v>
      </c>
      <c r="F1149" t="s">
        <v>8407</v>
      </c>
      <c r="G1149" t="s">
        <v>6011</v>
      </c>
      <c r="H1149" t="s">
        <v>5474</v>
      </c>
      <c r="I1149" t="s">
        <v>8408</v>
      </c>
      <c r="J1149" t="s">
        <v>5484</v>
      </c>
      <c r="K1149" t="s">
        <v>5471</v>
      </c>
      <c r="L1149" t="s">
        <v>5471</v>
      </c>
      <c r="M1149" t="s">
        <v>5471</v>
      </c>
    </row>
    <row r="1150" spans="1:13" x14ac:dyDescent="0.3">
      <c r="A1150" t="s">
        <v>3383</v>
      </c>
      <c r="B1150" t="s">
        <v>8409</v>
      </c>
      <c r="C1150" t="s">
        <v>5470</v>
      </c>
      <c r="D1150" t="s">
        <v>4119</v>
      </c>
      <c r="E1150" t="s">
        <v>5471</v>
      </c>
      <c r="F1150" t="s">
        <v>8410</v>
      </c>
      <c r="G1150" t="s">
        <v>8411</v>
      </c>
      <c r="H1150" t="s">
        <v>5474</v>
      </c>
      <c r="I1150" t="s">
        <v>8412</v>
      </c>
      <c r="J1150" t="s">
        <v>5476</v>
      </c>
      <c r="K1150" t="s">
        <v>5471</v>
      </c>
      <c r="L1150" t="s">
        <v>5471</v>
      </c>
      <c r="M1150" t="s">
        <v>5471</v>
      </c>
    </row>
    <row r="1151" spans="1:13" x14ac:dyDescent="0.3">
      <c r="A1151" t="s">
        <v>3383</v>
      </c>
      <c r="B1151" t="s">
        <v>6187</v>
      </c>
      <c r="C1151" t="s">
        <v>5470</v>
      </c>
      <c r="D1151" t="s">
        <v>4119</v>
      </c>
      <c r="E1151" t="s">
        <v>5471</v>
      </c>
      <c r="F1151" t="s">
        <v>8413</v>
      </c>
      <c r="G1151" t="s">
        <v>7463</v>
      </c>
      <c r="H1151" t="s">
        <v>5474</v>
      </c>
      <c r="I1151" t="s">
        <v>8414</v>
      </c>
      <c r="J1151" t="s">
        <v>5484</v>
      </c>
      <c r="K1151" t="s">
        <v>5471</v>
      </c>
      <c r="L1151" t="s">
        <v>5471</v>
      </c>
      <c r="M1151" t="s">
        <v>5471</v>
      </c>
    </row>
    <row r="1152" spans="1:13" x14ac:dyDescent="0.3">
      <c r="A1152" t="s">
        <v>3383</v>
      </c>
      <c r="B1152" t="s">
        <v>8409</v>
      </c>
      <c r="C1152" t="s">
        <v>5470</v>
      </c>
      <c r="D1152" t="s">
        <v>4119</v>
      </c>
      <c r="E1152" t="s">
        <v>5532</v>
      </c>
      <c r="F1152" t="s">
        <v>8415</v>
      </c>
      <c r="G1152" t="s">
        <v>8416</v>
      </c>
      <c r="H1152" t="s">
        <v>5474</v>
      </c>
      <c r="I1152" t="s">
        <v>8417</v>
      </c>
      <c r="J1152" t="s">
        <v>5484</v>
      </c>
      <c r="K1152" t="s">
        <v>5471</v>
      </c>
      <c r="L1152" t="s">
        <v>5471</v>
      </c>
      <c r="M1152" t="s">
        <v>5471</v>
      </c>
    </row>
    <row r="1153" spans="1:13" x14ac:dyDescent="0.3">
      <c r="A1153" t="s">
        <v>3383</v>
      </c>
      <c r="B1153" t="s">
        <v>8409</v>
      </c>
      <c r="C1153" t="s">
        <v>5470</v>
      </c>
      <c r="D1153" t="s">
        <v>4119</v>
      </c>
      <c r="E1153" t="s">
        <v>5532</v>
      </c>
      <c r="F1153" t="s">
        <v>8415</v>
      </c>
      <c r="G1153" t="s">
        <v>8418</v>
      </c>
      <c r="H1153" t="s">
        <v>5474</v>
      </c>
      <c r="I1153" t="s">
        <v>8419</v>
      </c>
      <c r="J1153" t="s">
        <v>5484</v>
      </c>
      <c r="K1153" t="s">
        <v>5471</v>
      </c>
      <c r="L1153" t="s">
        <v>5471</v>
      </c>
      <c r="M1153" t="s">
        <v>5471</v>
      </c>
    </row>
    <row r="1154" spans="1:13" x14ac:dyDescent="0.3">
      <c r="A1154" t="s">
        <v>3383</v>
      </c>
      <c r="B1154" t="s">
        <v>8409</v>
      </c>
      <c r="C1154" t="s">
        <v>5470</v>
      </c>
      <c r="D1154" t="s">
        <v>4119</v>
      </c>
      <c r="E1154" t="s">
        <v>5532</v>
      </c>
      <c r="F1154" t="s">
        <v>8420</v>
      </c>
      <c r="G1154" t="s">
        <v>8421</v>
      </c>
      <c r="H1154" t="s">
        <v>5474</v>
      </c>
      <c r="I1154" t="s">
        <v>8422</v>
      </c>
      <c r="J1154" t="s">
        <v>5484</v>
      </c>
      <c r="K1154" t="s">
        <v>5471</v>
      </c>
      <c r="L1154" t="s">
        <v>5471</v>
      </c>
      <c r="M1154" t="s">
        <v>5471</v>
      </c>
    </row>
    <row r="1155" spans="1:13" x14ac:dyDescent="0.3">
      <c r="A1155" t="s">
        <v>3383</v>
      </c>
      <c r="B1155" t="s">
        <v>6009</v>
      </c>
      <c r="C1155" t="s">
        <v>5470</v>
      </c>
      <c r="D1155" t="s">
        <v>4119</v>
      </c>
      <c r="E1155" t="s">
        <v>5532</v>
      </c>
      <c r="F1155" t="s">
        <v>8423</v>
      </c>
      <c r="G1155" t="s">
        <v>6011</v>
      </c>
      <c r="H1155" t="s">
        <v>5474</v>
      </c>
      <c r="I1155" t="s">
        <v>8424</v>
      </c>
      <c r="J1155" t="s">
        <v>5484</v>
      </c>
      <c r="K1155" t="s">
        <v>5471</v>
      </c>
      <c r="L1155" t="s">
        <v>5471</v>
      </c>
      <c r="M1155" t="s">
        <v>5471</v>
      </c>
    </row>
    <row r="1156" spans="1:13" x14ac:dyDescent="0.3">
      <c r="A1156" t="s">
        <v>3383</v>
      </c>
      <c r="B1156" t="s">
        <v>6009</v>
      </c>
      <c r="C1156" t="s">
        <v>5470</v>
      </c>
      <c r="D1156" t="s">
        <v>4119</v>
      </c>
      <c r="E1156" t="s">
        <v>5471</v>
      </c>
      <c r="F1156" t="s">
        <v>8425</v>
      </c>
      <c r="G1156" t="s">
        <v>6011</v>
      </c>
      <c r="H1156" t="s">
        <v>5474</v>
      </c>
      <c r="I1156" t="s">
        <v>8426</v>
      </c>
      <c r="J1156" t="s">
        <v>5476</v>
      </c>
      <c r="K1156" t="s">
        <v>5471</v>
      </c>
      <c r="L1156" t="s">
        <v>5471</v>
      </c>
      <c r="M1156" t="s">
        <v>5471</v>
      </c>
    </row>
    <row r="1157" spans="1:13" x14ac:dyDescent="0.3">
      <c r="A1157" t="s">
        <v>3383</v>
      </c>
      <c r="B1157" t="s">
        <v>6009</v>
      </c>
      <c r="C1157" t="s">
        <v>5470</v>
      </c>
      <c r="D1157" t="s">
        <v>4119</v>
      </c>
      <c r="E1157" t="s">
        <v>5532</v>
      </c>
      <c r="F1157" t="s">
        <v>8427</v>
      </c>
      <c r="G1157" t="s">
        <v>8428</v>
      </c>
      <c r="H1157" t="s">
        <v>5474</v>
      </c>
      <c r="I1157" t="s">
        <v>8429</v>
      </c>
      <c r="J1157" t="s">
        <v>5484</v>
      </c>
      <c r="K1157" t="s">
        <v>5471</v>
      </c>
      <c r="L1157" t="s">
        <v>5471</v>
      </c>
      <c r="M1157" t="s">
        <v>5471</v>
      </c>
    </row>
    <row r="1158" spans="1:13" x14ac:dyDescent="0.3">
      <c r="A1158" t="s">
        <v>3383</v>
      </c>
      <c r="B1158" t="s">
        <v>8430</v>
      </c>
      <c r="C1158" t="s">
        <v>5470</v>
      </c>
      <c r="D1158" t="s">
        <v>4119</v>
      </c>
      <c r="E1158" t="s">
        <v>5471</v>
      </c>
      <c r="F1158" t="s">
        <v>8431</v>
      </c>
      <c r="G1158" t="s">
        <v>8416</v>
      </c>
      <c r="H1158" t="s">
        <v>5474</v>
      </c>
      <c r="I1158" t="s">
        <v>8432</v>
      </c>
      <c r="J1158" t="s">
        <v>5484</v>
      </c>
      <c r="K1158" t="s">
        <v>5471</v>
      </c>
      <c r="L1158" t="s">
        <v>5471</v>
      </c>
      <c r="M1158" t="s">
        <v>5471</v>
      </c>
    </row>
    <row r="1159" spans="1:13" x14ac:dyDescent="0.3">
      <c r="A1159" t="s">
        <v>3383</v>
      </c>
      <c r="B1159" t="s">
        <v>8430</v>
      </c>
      <c r="C1159" t="s">
        <v>5470</v>
      </c>
      <c r="D1159" t="s">
        <v>4119</v>
      </c>
      <c r="E1159" t="s">
        <v>5471</v>
      </c>
      <c r="F1159" t="s">
        <v>8433</v>
      </c>
      <c r="G1159" t="s">
        <v>8418</v>
      </c>
      <c r="H1159" t="s">
        <v>5474</v>
      </c>
      <c r="I1159" t="s">
        <v>8434</v>
      </c>
      <c r="J1159" t="s">
        <v>5484</v>
      </c>
      <c r="K1159" t="s">
        <v>5471</v>
      </c>
      <c r="L1159" t="s">
        <v>5471</v>
      </c>
      <c r="M1159" t="s">
        <v>5471</v>
      </c>
    </row>
    <row r="1160" spans="1:13" x14ac:dyDescent="0.3">
      <c r="A1160" t="s">
        <v>3383</v>
      </c>
      <c r="B1160" t="s">
        <v>8430</v>
      </c>
      <c r="C1160" t="s">
        <v>5470</v>
      </c>
      <c r="D1160" t="s">
        <v>4119</v>
      </c>
      <c r="E1160" t="s">
        <v>5471</v>
      </c>
      <c r="F1160" t="s">
        <v>8420</v>
      </c>
      <c r="G1160" t="s">
        <v>8421</v>
      </c>
      <c r="H1160" t="s">
        <v>5474</v>
      </c>
      <c r="I1160" t="s">
        <v>8435</v>
      </c>
      <c r="J1160" t="s">
        <v>5484</v>
      </c>
      <c r="K1160" t="s">
        <v>5471</v>
      </c>
      <c r="L1160" t="s">
        <v>5471</v>
      </c>
      <c r="M1160" t="s">
        <v>5471</v>
      </c>
    </row>
    <row r="1161" spans="1:13" x14ac:dyDescent="0.3">
      <c r="A1161" t="s">
        <v>3383</v>
      </c>
      <c r="B1161" t="s">
        <v>6009</v>
      </c>
      <c r="C1161" t="s">
        <v>5470</v>
      </c>
      <c r="D1161" t="s">
        <v>4119</v>
      </c>
      <c r="E1161" t="s">
        <v>5532</v>
      </c>
      <c r="F1161" t="s">
        <v>8436</v>
      </c>
      <c r="G1161" t="s">
        <v>6011</v>
      </c>
      <c r="H1161" t="s">
        <v>5474</v>
      </c>
      <c r="I1161" t="s">
        <v>8437</v>
      </c>
      <c r="J1161" t="s">
        <v>5484</v>
      </c>
      <c r="K1161" t="s">
        <v>5471</v>
      </c>
      <c r="L1161" t="s">
        <v>5471</v>
      </c>
      <c r="M1161" t="s">
        <v>5471</v>
      </c>
    </row>
    <row r="1162" spans="1:13" x14ac:dyDescent="0.3">
      <c r="A1162" t="s">
        <v>3383</v>
      </c>
      <c r="B1162" t="s">
        <v>6051</v>
      </c>
      <c r="C1162" t="s">
        <v>5470</v>
      </c>
      <c r="D1162" t="s">
        <v>4119</v>
      </c>
      <c r="E1162" t="s">
        <v>5756</v>
      </c>
      <c r="F1162" t="s">
        <v>8438</v>
      </c>
      <c r="G1162" t="s">
        <v>6053</v>
      </c>
      <c r="H1162" t="s">
        <v>5474</v>
      </c>
      <c r="I1162" t="s">
        <v>8439</v>
      </c>
      <c r="J1162" t="s">
        <v>5484</v>
      </c>
      <c r="K1162" t="s">
        <v>5471</v>
      </c>
      <c r="L1162" t="s">
        <v>5471</v>
      </c>
      <c r="M1162" t="s">
        <v>5471</v>
      </c>
    </row>
    <row r="1163" spans="1:13" x14ac:dyDescent="0.3">
      <c r="A1163" t="s">
        <v>3383</v>
      </c>
      <c r="B1163" t="s">
        <v>6187</v>
      </c>
      <c r="C1163" t="s">
        <v>5470</v>
      </c>
      <c r="D1163" t="s">
        <v>4119</v>
      </c>
      <c r="E1163" t="s">
        <v>5756</v>
      </c>
      <c r="F1163" t="s">
        <v>8440</v>
      </c>
      <c r="G1163" t="s">
        <v>7463</v>
      </c>
      <c r="H1163" t="s">
        <v>5474</v>
      </c>
      <c r="I1163" t="s">
        <v>8441</v>
      </c>
      <c r="J1163" t="s">
        <v>5476</v>
      </c>
      <c r="K1163" t="s">
        <v>5471</v>
      </c>
      <c r="L1163" t="s">
        <v>5471</v>
      </c>
      <c r="M1163" t="s">
        <v>5471</v>
      </c>
    </row>
    <row r="1164" spans="1:13" x14ac:dyDescent="0.3">
      <c r="A1164" t="s">
        <v>3383</v>
      </c>
      <c r="B1164" t="s">
        <v>6051</v>
      </c>
      <c r="C1164" t="s">
        <v>5470</v>
      </c>
      <c r="D1164" t="s">
        <v>4119</v>
      </c>
      <c r="E1164" t="s">
        <v>5532</v>
      </c>
      <c r="F1164" t="s">
        <v>8442</v>
      </c>
      <c r="G1164" t="s">
        <v>8443</v>
      </c>
      <c r="H1164" t="s">
        <v>5474</v>
      </c>
      <c r="I1164" t="s">
        <v>8444</v>
      </c>
      <c r="J1164" t="s">
        <v>5476</v>
      </c>
      <c r="K1164" t="s">
        <v>5471</v>
      </c>
      <c r="L1164" t="s">
        <v>5471</v>
      </c>
      <c r="M1164" t="s">
        <v>5471</v>
      </c>
    </row>
    <row r="1165" spans="1:13" x14ac:dyDescent="0.3">
      <c r="A1165" t="s">
        <v>3383</v>
      </c>
      <c r="B1165" t="s">
        <v>6051</v>
      </c>
      <c r="C1165" t="s">
        <v>5470</v>
      </c>
      <c r="D1165" t="s">
        <v>4119</v>
      </c>
      <c r="E1165" t="s">
        <v>5756</v>
      </c>
      <c r="F1165" t="s">
        <v>8445</v>
      </c>
      <c r="G1165" t="s">
        <v>6283</v>
      </c>
      <c r="H1165" t="s">
        <v>5474</v>
      </c>
      <c r="I1165" t="s">
        <v>8446</v>
      </c>
      <c r="J1165" t="s">
        <v>5476</v>
      </c>
      <c r="K1165" t="s">
        <v>5471</v>
      </c>
      <c r="L1165" t="s">
        <v>5471</v>
      </c>
      <c r="M1165" t="s">
        <v>5471</v>
      </c>
    </row>
    <row r="1166" spans="1:13" x14ac:dyDescent="0.3">
      <c r="A1166" t="s">
        <v>3383</v>
      </c>
      <c r="B1166" t="s">
        <v>8447</v>
      </c>
      <c r="C1166" t="s">
        <v>5470</v>
      </c>
      <c r="D1166" t="s">
        <v>4119</v>
      </c>
      <c r="E1166" t="s">
        <v>5471</v>
      </c>
      <c r="F1166" t="s">
        <v>8448</v>
      </c>
      <c r="G1166" t="s">
        <v>8449</v>
      </c>
      <c r="H1166" t="s">
        <v>5474</v>
      </c>
      <c r="I1166" t="s">
        <v>8450</v>
      </c>
      <c r="J1166" t="s">
        <v>5484</v>
      </c>
      <c r="K1166" t="s">
        <v>5471</v>
      </c>
      <c r="L1166" t="s">
        <v>5471</v>
      </c>
      <c r="M1166" t="s">
        <v>5471</v>
      </c>
    </row>
    <row r="1167" spans="1:13" x14ac:dyDescent="0.3">
      <c r="A1167" t="s">
        <v>3383</v>
      </c>
      <c r="B1167" t="s">
        <v>6122</v>
      </c>
      <c r="C1167" t="s">
        <v>5470</v>
      </c>
      <c r="D1167" t="s">
        <v>4119</v>
      </c>
      <c r="E1167" t="s">
        <v>5532</v>
      </c>
      <c r="F1167" t="s">
        <v>8451</v>
      </c>
      <c r="G1167" t="s">
        <v>7128</v>
      </c>
      <c r="H1167" t="s">
        <v>5474</v>
      </c>
      <c r="I1167" t="s">
        <v>8452</v>
      </c>
      <c r="J1167" t="s">
        <v>5476</v>
      </c>
      <c r="K1167" t="s">
        <v>5471</v>
      </c>
      <c r="L1167" t="s">
        <v>5471</v>
      </c>
      <c r="M1167" t="s">
        <v>5471</v>
      </c>
    </row>
    <row r="1168" spans="1:13" x14ac:dyDescent="0.3">
      <c r="A1168" t="s">
        <v>3383</v>
      </c>
      <c r="B1168" t="s">
        <v>6187</v>
      </c>
      <c r="C1168" t="s">
        <v>5470</v>
      </c>
      <c r="D1168" t="s">
        <v>4119</v>
      </c>
      <c r="E1168" t="s">
        <v>5756</v>
      </c>
      <c r="F1168" t="s">
        <v>8453</v>
      </c>
      <c r="G1168" t="s">
        <v>7463</v>
      </c>
      <c r="H1168" t="s">
        <v>5474</v>
      </c>
      <c r="I1168" t="s">
        <v>8454</v>
      </c>
      <c r="J1168" t="s">
        <v>5484</v>
      </c>
      <c r="K1168" t="s">
        <v>5471</v>
      </c>
      <c r="L1168" t="s">
        <v>5471</v>
      </c>
      <c r="M1168" t="s">
        <v>5471</v>
      </c>
    </row>
    <row r="1169" spans="1:13" x14ac:dyDescent="0.3">
      <c r="A1169" t="s">
        <v>3383</v>
      </c>
      <c r="B1169" t="s">
        <v>6187</v>
      </c>
      <c r="C1169" t="s">
        <v>5470</v>
      </c>
      <c r="D1169" t="s">
        <v>4119</v>
      </c>
      <c r="E1169" t="s">
        <v>5756</v>
      </c>
      <c r="F1169" t="s">
        <v>8455</v>
      </c>
      <c r="G1169" t="s">
        <v>8456</v>
      </c>
      <c r="H1169" t="s">
        <v>5474</v>
      </c>
      <c r="I1169" t="s">
        <v>8457</v>
      </c>
      <c r="J1169" t="s">
        <v>5476</v>
      </c>
      <c r="K1169" t="s">
        <v>5471</v>
      </c>
      <c r="L1169" t="s">
        <v>5471</v>
      </c>
      <c r="M1169" t="s">
        <v>5471</v>
      </c>
    </row>
    <row r="1170" spans="1:13" x14ac:dyDescent="0.3">
      <c r="A1170" t="s">
        <v>3383</v>
      </c>
      <c r="B1170" t="s">
        <v>6187</v>
      </c>
      <c r="C1170" t="s">
        <v>5470</v>
      </c>
      <c r="D1170" t="s">
        <v>4119</v>
      </c>
      <c r="E1170" t="s">
        <v>5756</v>
      </c>
      <c r="F1170" t="s">
        <v>8458</v>
      </c>
      <c r="G1170" t="s">
        <v>7455</v>
      </c>
      <c r="H1170" t="s">
        <v>5474</v>
      </c>
      <c r="I1170" t="s">
        <v>8459</v>
      </c>
      <c r="J1170" t="s">
        <v>5484</v>
      </c>
      <c r="K1170" t="s">
        <v>5471</v>
      </c>
      <c r="L1170" t="s">
        <v>5471</v>
      </c>
      <c r="M1170" t="s">
        <v>5471</v>
      </c>
    </row>
    <row r="1171" spans="1:13" x14ac:dyDescent="0.3">
      <c r="A1171" t="s">
        <v>3383</v>
      </c>
      <c r="B1171" t="s">
        <v>6187</v>
      </c>
      <c r="C1171" t="s">
        <v>5470</v>
      </c>
      <c r="D1171" t="s">
        <v>4119</v>
      </c>
      <c r="E1171" t="s">
        <v>5756</v>
      </c>
      <c r="F1171" t="s">
        <v>8460</v>
      </c>
      <c r="G1171" t="s">
        <v>7455</v>
      </c>
      <c r="H1171" t="s">
        <v>5474</v>
      </c>
      <c r="I1171" t="s">
        <v>8461</v>
      </c>
      <c r="J1171" t="s">
        <v>5476</v>
      </c>
      <c r="K1171" t="s">
        <v>5471</v>
      </c>
      <c r="L1171" t="s">
        <v>5471</v>
      </c>
      <c r="M1171" t="s">
        <v>5471</v>
      </c>
    </row>
    <row r="1172" spans="1:13" x14ac:dyDescent="0.3">
      <c r="A1172" t="s">
        <v>3383</v>
      </c>
      <c r="B1172" t="s">
        <v>6187</v>
      </c>
      <c r="C1172" t="s">
        <v>5470</v>
      </c>
      <c r="D1172" t="s">
        <v>4119</v>
      </c>
      <c r="E1172" t="s">
        <v>5756</v>
      </c>
      <c r="F1172" t="s">
        <v>8462</v>
      </c>
      <c r="G1172" t="s">
        <v>6197</v>
      </c>
      <c r="H1172" t="s">
        <v>5474</v>
      </c>
      <c r="I1172" t="s">
        <v>8463</v>
      </c>
      <c r="J1172" t="s">
        <v>5476</v>
      </c>
      <c r="K1172" t="s">
        <v>5471</v>
      </c>
      <c r="L1172" t="s">
        <v>5471</v>
      </c>
      <c r="M1172" t="s">
        <v>5471</v>
      </c>
    </row>
    <row r="1173" spans="1:13" x14ac:dyDescent="0.3">
      <c r="A1173" t="s">
        <v>3383</v>
      </c>
      <c r="B1173" t="s">
        <v>7444</v>
      </c>
      <c r="C1173" t="s">
        <v>5470</v>
      </c>
      <c r="D1173" t="s">
        <v>4119</v>
      </c>
      <c r="E1173" t="s">
        <v>5532</v>
      </c>
      <c r="F1173" t="s">
        <v>8464</v>
      </c>
      <c r="G1173" t="s">
        <v>7446</v>
      </c>
      <c r="H1173" t="s">
        <v>5474</v>
      </c>
      <c r="I1173" t="s">
        <v>8465</v>
      </c>
      <c r="J1173" t="s">
        <v>5484</v>
      </c>
      <c r="K1173" t="s">
        <v>5471</v>
      </c>
      <c r="L1173" t="s">
        <v>5471</v>
      </c>
      <c r="M1173" t="s">
        <v>5471</v>
      </c>
    </row>
    <row r="1174" spans="1:13" x14ac:dyDescent="0.3">
      <c r="A1174" t="s">
        <v>3383</v>
      </c>
      <c r="B1174" t="s">
        <v>7440</v>
      </c>
      <c r="C1174" t="s">
        <v>5470</v>
      </c>
      <c r="D1174" t="s">
        <v>4119</v>
      </c>
      <c r="E1174" t="s">
        <v>5756</v>
      </c>
      <c r="F1174" t="s">
        <v>8466</v>
      </c>
      <c r="G1174" t="s">
        <v>7442</v>
      </c>
      <c r="H1174" t="s">
        <v>5474</v>
      </c>
      <c r="I1174" t="s">
        <v>8467</v>
      </c>
      <c r="J1174" t="s">
        <v>5484</v>
      </c>
      <c r="K1174" t="s">
        <v>5471</v>
      </c>
      <c r="L1174" t="s">
        <v>5471</v>
      </c>
      <c r="M1174" t="s">
        <v>5471</v>
      </c>
    </row>
    <row r="1175" spans="1:13" x14ac:dyDescent="0.3">
      <c r="A1175" t="s">
        <v>3383</v>
      </c>
      <c r="B1175" t="s">
        <v>7440</v>
      </c>
      <c r="C1175" t="s">
        <v>5470</v>
      </c>
      <c r="D1175" t="s">
        <v>4119</v>
      </c>
      <c r="E1175" t="s">
        <v>5756</v>
      </c>
      <c r="F1175" t="s">
        <v>8468</v>
      </c>
      <c r="G1175" t="s">
        <v>7442</v>
      </c>
      <c r="H1175" t="s">
        <v>5474</v>
      </c>
      <c r="I1175" t="s">
        <v>8469</v>
      </c>
      <c r="J1175" t="s">
        <v>5484</v>
      </c>
      <c r="K1175" t="s">
        <v>5471</v>
      </c>
      <c r="L1175" t="s">
        <v>5471</v>
      </c>
      <c r="M1175" t="s">
        <v>5471</v>
      </c>
    </row>
    <row r="1176" spans="1:13" x14ac:dyDescent="0.3">
      <c r="A1176" t="s">
        <v>3383</v>
      </c>
      <c r="B1176" t="s">
        <v>7444</v>
      </c>
      <c r="C1176" t="s">
        <v>5470</v>
      </c>
      <c r="D1176" t="s">
        <v>4119</v>
      </c>
      <c r="E1176" t="s">
        <v>5532</v>
      </c>
      <c r="F1176" t="s">
        <v>8470</v>
      </c>
      <c r="G1176" t="s">
        <v>7446</v>
      </c>
      <c r="H1176" t="s">
        <v>5474</v>
      </c>
      <c r="I1176" t="s">
        <v>8471</v>
      </c>
      <c r="J1176" t="s">
        <v>5484</v>
      </c>
      <c r="K1176" t="s">
        <v>5471</v>
      </c>
      <c r="L1176" t="s">
        <v>5471</v>
      </c>
      <c r="M1176" t="s">
        <v>5471</v>
      </c>
    </row>
    <row r="1177" spans="1:13" x14ac:dyDescent="0.3">
      <c r="A1177" t="s">
        <v>3383</v>
      </c>
      <c r="B1177" t="s">
        <v>7457</v>
      </c>
      <c r="C1177" t="s">
        <v>5470</v>
      </c>
      <c r="D1177" t="s">
        <v>4119</v>
      </c>
      <c r="E1177" t="s">
        <v>5471</v>
      </c>
      <c r="F1177" t="s">
        <v>8472</v>
      </c>
      <c r="G1177" t="s">
        <v>8473</v>
      </c>
      <c r="H1177" t="s">
        <v>5474</v>
      </c>
      <c r="I1177" t="s">
        <v>8474</v>
      </c>
      <c r="J1177" t="s">
        <v>5484</v>
      </c>
      <c r="K1177" t="s">
        <v>5471</v>
      </c>
      <c r="L1177" t="s">
        <v>5471</v>
      </c>
      <c r="M1177" t="s">
        <v>5471</v>
      </c>
    </row>
    <row r="1178" spans="1:13" x14ac:dyDescent="0.3">
      <c r="A1178" t="s">
        <v>3383</v>
      </c>
      <c r="B1178" t="s">
        <v>8475</v>
      </c>
      <c r="C1178" t="s">
        <v>5487</v>
      </c>
      <c r="D1178" t="s">
        <v>4119</v>
      </c>
      <c r="E1178" t="s">
        <v>5756</v>
      </c>
      <c r="F1178" t="s">
        <v>8476</v>
      </c>
      <c r="G1178" t="s">
        <v>8477</v>
      </c>
      <c r="H1178" t="s">
        <v>5474</v>
      </c>
      <c r="I1178" t="s">
        <v>8478</v>
      </c>
      <c r="J1178" t="s">
        <v>5476</v>
      </c>
      <c r="K1178" t="s">
        <v>5471</v>
      </c>
      <c r="L1178" t="s">
        <v>5471</v>
      </c>
      <c r="M1178" t="s">
        <v>5471</v>
      </c>
    </row>
    <row r="1179" spans="1:13" x14ac:dyDescent="0.3">
      <c r="A1179" t="s">
        <v>3383</v>
      </c>
      <c r="B1179" t="s">
        <v>6009</v>
      </c>
      <c r="C1179" t="s">
        <v>5470</v>
      </c>
      <c r="D1179" t="s">
        <v>4119</v>
      </c>
      <c r="E1179" t="s">
        <v>5532</v>
      </c>
      <c r="F1179" t="s">
        <v>8479</v>
      </c>
      <c r="G1179" t="s">
        <v>6011</v>
      </c>
      <c r="H1179" t="s">
        <v>5474</v>
      </c>
      <c r="I1179" t="s">
        <v>8480</v>
      </c>
      <c r="J1179" t="s">
        <v>5484</v>
      </c>
      <c r="K1179" t="s">
        <v>5471</v>
      </c>
      <c r="L1179" t="s">
        <v>5471</v>
      </c>
      <c r="M1179" t="s">
        <v>5471</v>
      </c>
    </row>
    <row r="1180" spans="1:13" x14ac:dyDescent="0.3">
      <c r="A1180" t="s">
        <v>3383</v>
      </c>
      <c r="B1180" t="s">
        <v>8475</v>
      </c>
      <c r="C1180" t="s">
        <v>5487</v>
      </c>
      <c r="D1180" t="s">
        <v>4119</v>
      </c>
      <c r="E1180" t="s">
        <v>5756</v>
      </c>
      <c r="F1180" t="s">
        <v>8481</v>
      </c>
      <c r="G1180" t="s">
        <v>8477</v>
      </c>
      <c r="H1180" t="s">
        <v>5474</v>
      </c>
      <c r="I1180" t="s">
        <v>8482</v>
      </c>
      <c r="J1180" t="s">
        <v>5476</v>
      </c>
      <c r="K1180" t="s">
        <v>5471</v>
      </c>
      <c r="L1180" t="s">
        <v>5471</v>
      </c>
      <c r="M1180" t="s">
        <v>5471</v>
      </c>
    </row>
    <row r="1181" spans="1:13" x14ac:dyDescent="0.3">
      <c r="A1181" t="s">
        <v>3383</v>
      </c>
      <c r="B1181" t="s">
        <v>8483</v>
      </c>
      <c r="C1181" t="s">
        <v>5487</v>
      </c>
      <c r="D1181" t="s">
        <v>4119</v>
      </c>
      <c r="E1181" t="s">
        <v>5756</v>
      </c>
      <c r="F1181" t="s">
        <v>8484</v>
      </c>
      <c r="G1181" t="s">
        <v>8485</v>
      </c>
      <c r="H1181" t="s">
        <v>5474</v>
      </c>
      <c r="I1181" t="s">
        <v>8486</v>
      </c>
      <c r="J1181" t="s">
        <v>5476</v>
      </c>
      <c r="K1181" t="s">
        <v>5471</v>
      </c>
      <c r="L1181" t="s">
        <v>5471</v>
      </c>
      <c r="M1181" t="s">
        <v>5471</v>
      </c>
    </row>
    <row r="1182" spans="1:13" x14ac:dyDescent="0.3">
      <c r="A1182" t="s">
        <v>3383</v>
      </c>
      <c r="B1182" t="s">
        <v>8487</v>
      </c>
      <c r="C1182" t="s">
        <v>5470</v>
      </c>
      <c r="D1182" t="s">
        <v>4119</v>
      </c>
      <c r="E1182" t="s">
        <v>5532</v>
      </c>
      <c r="F1182" t="s">
        <v>8488</v>
      </c>
      <c r="G1182" t="s">
        <v>8489</v>
      </c>
      <c r="H1182" t="s">
        <v>5474</v>
      </c>
      <c r="I1182" t="s">
        <v>8490</v>
      </c>
      <c r="J1182" t="s">
        <v>5484</v>
      </c>
      <c r="K1182" t="s">
        <v>5471</v>
      </c>
      <c r="L1182" t="s">
        <v>5471</v>
      </c>
      <c r="M1182" t="s">
        <v>5471</v>
      </c>
    </row>
    <row r="1183" spans="1:13" x14ac:dyDescent="0.3">
      <c r="A1183" t="s">
        <v>3383</v>
      </c>
      <c r="B1183" t="s">
        <v>8483</v>
      </c>
      <c r="C1183" t="s">
        <v>5487</v>
      </c>
      <c r="D1183" t="s">
        <v>4119</v>
      </c>
      <c r="E1183" t="s">
        <v>5756</v>
      </c>
      <c r="F1183" t="s">
        <v>8491</v>
      </c>
      <c r="G1183" t="s">
        <v>8485</v>
      </c>
      <c r="H1183" t="s">
        <v>5474</v>
      </c>
      <c r="I1183" t="s">
        <v>8492</v>
      </c>
      <c r="J1183" t="s">
        <v>5476</v>
      </c>
      <c r="K1183" t="s">
        <v>5471</v>
      </c>
      <c r="L1183" t="s">
        <v>5471</v>
      </c>
      <c r="M1183" t="s">
        <v>5471</v>
      </c>
    </row>
    <row r="1184" spans="1:13" x14ac:dyDescent="0.3">
      <c r="A1184" t="s">
        <v>3383</v>
      </c>
      <c r="B1184" t="s">
        <v>8483</v>
      </c>
      <c r="C1184" t="s">
        <v>5487</v>
      </c>
      <c r="D1184" t="s">
        <v>4119</v>
      </c>
      <c r="E1184" t="s">
        <v>5756</v>
      </c>
      <c r="F1184" t="s">
        <v>8493</v>
      </c>
      <c r="G1184" t="s">
        <v>8494</v>
      </c>
      <c r="H1184" t="s">
        <v>5474</v>
      </c>
      <c r="I1184" t="s">
        <v>8495</v>
      </c>
      <c r="J1184" t="s">
        <v>5476</v>
      </c>
      <c r="K1184" t="s">
        <v>5471</v>
      </c>
      <c r="L1184" t="s">
        <v>5471</v>
      </c>
      <c r="M1184" t="s">
        <v>5471</v>
      </c>
    </row>
    <row r="1185" spans="1:13" x14ac:dyDescent="0.3">
      <c r="A1185" t="s">
        <v>3383</v>
      </c>
      <c r="B1185" t="s">
        <v>8483</v>
      </c>
      <c r="C1185" t="s">
        <v>5487</v>
      </c>
      <c r="D1185" t="s">
        <v>4119</v>
      </c>
      <c r="E1185" t="s">
        <v>5756</v>
      </c>
      <c r="F1185" t="s">
        <v>8496</v>
      </c>
      <c r="G1185" t="s">
        <v>8485</v>
      </c>
      <c r="H1185" t="s">
        <v>5474</v>
      </c>
      <c r="I1185" t="s">
        <v>8497</v>
      </c>
      <c r="J1185" t="s">
        <v>5476</v>
      </c>
      <c r="K1185" t="s">
        <v>5471</v>
      </c>
      <c r="L1185" t="s">
        <v>5471</v>
      </c>
      <c r="M1185" t="s">
        <v>5471</v>
      </c>
    </row>
    <row r="1186" spans="1:13" x14ac:dyDescent="0.3">
      <c r="A1186" t="s">
        <v>3383</v>
      </c>
      <c r="B1186" t="s">
        <v>8483</v>
      </c>
      <c r="C1186" t="s">
        <v>5487</v>
      </c>
      <c r="D1186" t="s">
        <v>4119</v>
      </c>
      <c r="E1186" t="s">
        <v>5756</v>
      </c>
      <c r="F1186" t="s">
        <v>8498</v>
      </c>
      <c r="G1186" t="s">
        <v>8494</v>
      </c>
      <c r="H1186" t="s">
        <v>5474</v>
      </c>
      <c r="I1186" t="s">
        <v>8499</v>
      </c>
      <c r="J1186" t="s">
        <v>5476</v>
      </c>
      <c r="K1186" t="s">
        <v>5471</v>
      </c>
      <c r="L1186" t="s">
        <v>5471</v>
      </c>
      <c r="M1186" t="s">
        <v>5471</v>
      </c>
    </row>
    <row r="1187" spans="1:13" x14ac:dyDescent="0.3">
      <c r="A1187" t="s">
        <v>3383</v>
      </c>
      <c r="B1187" t="s">
        <v>8483</v>
      </c>
      <c r="C1187" t="s">
        <v>5487</v>
      </c>
      <c r="D1187" t="s">
        <v>4119</v>
      </c>
      <c r="E1187" t="s">
        <v>5756</v>
      </c>
      <c r="F1187" t="s">
        <v>8500</v>
      </c>
      <c r="G1187" t="s">
        <v>8494</v>
      </c>
      <c r="H1187" t="s">
        <v>5474</v>
      </c>
      <c r="I1187" t="s">
        <v>8501</v>
      </c>
      <c r="J1187" t="s">
        <v>5476</v>
      </c>
      <c r="K1187" t="s">
        <v>5471</v>
      </c>
      <c r="L1187" t="s">
        <v>5471</v>
      </c>
      <c r="M1187" t="s">
        <v>5471</v>
      </c>
    </row>
    <row r="1188" spans="1:13" x14ac:dyDescent="0.3">
      <c r="A1188" t="s">
        <v>3383</v>
      </c>
      <c r="B1188" t="s">
        <v>8483</v>
      </c>
      <c r="C1188" t="s">
        <v>5487</v>
      </c>
      <c r="D1188" t="s">
        <v>4119</v>
      </c>
      <c r="E1188" t="s">
        <v>5532</v>
      </c>
      <c r="F1188" t="s">
        <v>8502</v>
      </c>
      <c r="G1188" t="s">
        <v>8503</v>
      </c>
      <c r="H1188" t="s">
        <v>5474</v>
      </c>
      <c r="I1188" t="s">
        <v>8504</v>
      </c>
      <c r="J1188" t="s">
        <v>5476</v>
      </c>
      <c r="K1188" t="s">
        <v>5471</v>
      </c>
      <c r="L1188" t="s">
        <v>5471</v>
      </c>
      <c r="M1188" t="s">
        <v>5471</v>
      </c>
    </row>
    <row r="1189" spans="1:13" x14ac:dyDescent="0.3">
      <c r="A1189" t="s">
        <v>3383</v>
      </c>
      <c r="B1189" t="s">
        <v>8483</v>
      </c>
      <c r="C1189" t="s">
        <v>5487</v>
      </c>
      <c r="D1189" t="s">
        <v>4119</v>
      </c>
      <c r="E1189" t="s">
        <v>5756</v>
      </c>
      <c r="F1189" t="s">
        <v>8505</v>
      </c>
      <c r="G1189" t="s">
        <v>8506</v>
      </c>
      <c r="H1189" t="s">
        <v>5474</v>
      </c>
      <c r="I1189" t="s">
        <v>8507</v>
      </c>
      <c r="J1189" t="s">
        <v>5476</v>
      </c>
      <c r="K1189" t="s">
        <v>5471</v>
      </c>
      <c r="L1189" t="s">
        <v>5471</v>
      </c>
      <c r="M1189" t="s">
        <v>5471</v>
      </c>
    </row>
    <row r="1190" spans="1:13" x14ac:dyDescent="0.3">
      <c r="A1190" t="s">
        <v>3388</v>
      </c>
      <c r="B1190" t="s">
        <v>5531</v>
      </c>
      <c r="C1190" t="s">
        <v>5470</v>
      </c>
      <c r="D1190" t="s">
        <v>4119</v>
      </c>
      <c r="E1190" t="s">
        <v>5532</v>
      </c>
      <c r="F1190" t="s">
        <v>8508</v>
      </c>
      <c r="G1190" t="s">
        <v>8509</v>
      </c>
      <c r="H1190" t="s">
        <v>5474</v>
      </c>
      <c r="I1190" t="s">
        <v>8510</v>
      </c>
      <c r="J1190" t="s">
        <v>5484</v>
      </c>
      <c r="K1190" t="s">
        <v>5471</v>
      </c>
      <c r="L1190" t="s">
        <v>5471</v>
      </c>
      <c r="M1190" t="s">
        <v>5471</v>
      </c>
    </row>
    <row r="1191" spans="1:13" x14ac:dyDescent="0.3">
      <c r="A1191" t="s">
        <v>3383</v>
      </c>
      <c r="B1191" t="s">
        <v>8483</v>
      </c>
      <c r="C1191" t="s">
        <v>5487</v>
      </c>
      <c r="D1191" t="s">
        <v>4119</v>
      </c>
      <c r="E1191" t="s">
        <v>5756</v>
      </c>
      <c r="F1191" t="s">
        <v>8511</v>
      </c>
      <c r="G1191" t="s">
        <v>8503</v>
      </c>
      <c r="H1191" t="s">
        <v>5474</v>
      </c>
      <c r="I1191" t="s">
        <v>8512</v>
      </c>
      <c r="J1191" t="s">
        <v>5476</v>
      </c>
      <c r="K1191" t="s">
        <v>5471</v>
      </c>
      <c r="L1191" t="s">
        <v>5471</v>
      </c>
      <c r="M1191" t="s">
        <v>5471</v>
      </c>
    </row>
    <row r="1192" spans="1:13" x14ac:dyDescent="0.3">
      <c r="A1192" t="s">
        <v>3383</v>
      </c>
      <c r="B1192" t="s">
        <v>6187</v>
      </c>
      <c r="C1192" t="s">
        <v>5470</v>
      </c>
      <c r="D1192" t="s">
        <v>4119</v>
      </c>
      <c r="E1192" t="s">
        <v>5532</v>
      </c>
      <c r="F1192" t="s">
        <v>8488</v>
      </c>
      <c r="G1192" t="s">
        <v>8513</v>
      </c>
      <c r="H1192" t="s">
        <v>5474</v>
      </c>
      <c r="I1192" t="s">
        <v>8514</v>
      </c>
      <c r="J1192" t="s">
        <v>5484</v>
      </c>
      <c r="K1192" t="s">
        <v>5471</v>
      </c>
      <c r="L1192" t="s">
        <v>5471</v>
      </c>
      <c r="M1192" t="s">
        <v>5471</v>
      </c>
    </row>
    <row r="1193" spans="1:13" x14ac:dyDescent="0.3">
      <c r="A1193" t="s">
        <v>3383</v>
      </c>
      <c r="B1193" t="s">
        <v>8483</v>
      </c>
      <c r="C1193" t="s">
        <v>5487</v>
      </c>
      <c r="D1193" t="s">
        <v>4119</v>
      </c>
      <c r="E1193" t="s">
        <v>5532</v>
      </c>
      <c r="F1193" t="s">
        <v>8515</v>
      </c>
      <c r="G1193" t="s">
        <v>8516</v>
      </c>
      <c r="H1193" t="s">
        <v>5474</v>
      </c>
      <c r="I1193" t="s">
        <v>8517</v>
      </c>
      <c r="J1193" t="s">
        <v>5476</v>
      </c>
      <c r="K1193" t="s">
        <v>5471</v>
      </c>
      <c r="L1193" t="s">
        <v>5471</v>
      </c>
      <c r="M1193" t="s">
        <v>5471</v>
      </c>
    </row>
    <row r="1194" spans="1:13" x14ac:dyDescent="0.3">
      <c r="A1194" t="s">
        <v>3383</v>
      </c>
      <c r="B1194" t="s">
        <v>6051</v>
      </c>
      <c r="C1194" t="s">
        <v>5470</v>
      </c>
      <c r="D1194" t="s">
        <v>4119</v>
      </c>
      <c r="E1194" t="s">
        <v>5756</v>
      </c>
      <c r="F1194" t="s">
        <v>8488</v>
      </c>
      <c r="G1194" t="s">
        <v>6204</v>
      </c>
      <c r="H1194" t="s">
        <v>5474</v>
      </c>
      <c r="I1194" t="s">
        <v>8518</v>
      </c>
      <c r="J1194" t="s">
        <v>5484</v>
      </c>
      <c r="K1194" t="s">
        <v>5471</v>
      </c>
      <c r="L1194" t="s">
        <v>5471</v>
      </c>
      <c r="M1194" t="s">
        <v>5471</v>
      </c>
    </row>
    <row r="1195" spans="1:13" x14ac:dyDescent="0.3">
      <c r="A1195" t="s">
        <v>3383</v>
      </c>
      <c r="B1195" t="s">
        <v>8483</v>
      </c>
      <c r="C1195" t="s">
        <v>5487</v>
      </c>
      <c r="D1195" t="s">
        <v>4119</v>
      </c>
      <c r="E1195" t="s">
        <v>5756</v>
      </c>
      <c r="F1195" t="s">
        <v>8519</v>
      </c>
      <c r="G1195" t="s">
        <v>8520</v>
      </c>
      <c r="H1195" t="s">
        <v>5474</v>
      </c>
      <c r="I1195" t="s">
        <v>8521</v>
      </c>
      <c r="J1195" t="s">
        <v>5476</v>
      </c>
      <c r="K1195" t="s">
        <v>5471</v>
      </c>
      <c r="L1195" t="s">
        <v>5471</v>
      </c>
      <c r="M1195" t="s">
        <v>5471</v>
      </c>
    </row>
    <row r="1196" spans="1:13" x14ac:dyDescent="0.3">
      <c r="A1196" t="s">
        <v>3383</v>
      </c>
      <c r="B1196" t="s">
        <v>8483</v>
      </c>
      <c r="C1196" t="s">
        <v>5487</v>
      </c>
      <c r="D1196" t="s">
        <v>4119</v>
      </c>
      <c r="E1196" t="s">
        <v>5532</v>
      </c>
      <c r="F1196" t="s">
        <v>8522</v>
      </c>
      <c r="G1196" t="s">
        <v>8506</v>
      </c>
      <c r="H1196" t="s">
        <v>5474</v>
      </c>
      <c r="I1196" t="s">
        <v>8523</v>
      </c>
      <c r="J1196" t="s">
        <v>5476</v>
      </c>
      <c r="K1196" t="s">
        <v>5471</v>
      </c>
      <c r="L1196" t="s">
        <v>5471</v>
      </c>
      <c r="M1196" t="s">
        <v>5471</v>
      </c>
    </row>
    <row r="1197" spans="1:13" x14ac:dyDescent="0.3">
      <c r="A1197" t="s">
        <v>3383</v>
      </c>
      <c r="B1197" t="s">
        <v>6187</v>
      </c>
      <c r="C1197" t="s">
        <v>5470</v>
      </c>
      <c r="D1197" t="s">
        <v>4119</v>
      </c>
      <c r="E1197" t="s">
        <v>5756</v>
      </c>
      <c r="F1197" t="s">
        <v>8488</v>
      </c>
      <c r="G1197" t="s">
        <v>8524</v>
      </c>
      <c r="H1197" t="s">
        <v>5474</v>
      </c>
      <c r="I1197" t="s">
        <v>8525</v>
      </c>
      <c r="J1197" t="s">
        <v>5484</v>
      </c>
      <c r="K1197" t="s">
        <v>5471</v>
      </c>
      <c r="L1197" t="s">
        <v>5471</v>
      </c>
      <c r="M1197" t="s">
        <v>5471</v>
      </c>
    </row>
    <row r="1198" spans="1:13" x14ac:dyDescent="0.3">
      <c r="A1198" t="s">
        <v>3383</v>
      </c>
      <c r="B1198" t="s">
        <v>8526</v>
      </c>
      <c r="C1198" t="s">
        <v>5470</v>
      </c>
      <c r="D1198" t="s">
        <v>4119</v>
      </c>
      <c r="E1198" t="s">
        <v>5471</v>
      </c>
      <c r="F1198" t="s">
        <v>8527</v>
      </c>
      <c r="G1198" t="s">
        <v>8528</v>
      </c>
      <c r="H1198" t="s">
        <v>5474</v>
      </c>
      <c r="I1198" t="s">
        <v>8529</v>
      </c>
      <c r="J1198" t="s">
        <v>5476</v>
      </c>
      <c r="K1198" t="s">
        <v>5471</v>
      </c>
      <c r="L1198" t="s">
        <v>5471</v>
      </c>
      <c r="M1198" t="s">
        <v>5471</v>
      </c>
    </row>
    <row r="1199" spans="1:13" x14ac:dyDescent="0.3">
      <c r="A1199" t="s">
        <v>3383</v>
      </c>
      <c r="B1199" t="s">
        <v>8526</v>
      </c>
      <c r="C1199" t="s">
        <v>5470</v>
      </c>
      <c r="D1199" t="s">
        <v>4119</v>
      </c>
      <c r="E1199" t="s">
        <v>5471</v>
      </c>
      <c r="F1199" t="s">
        <v>8530</v>
      </c>
      <c r="G1199" t="s">
        <v>8528</v>
      </c>
      <c r="H1199" t="s">
        <v>5474</v>
      </c>
      <c r="I1199" t="s">
        <v>8531</v>
      </c>
      <c r="J1199" t="s">
        <v>5476</v>
      </c>
      <c r="K1199" t="s">
        <v>5471</v>
      </c>
      <c r="L1199" t="s">
        <v>5471</v>
      </c>
      <c r="M1199" t="s">
        <v>5471</v>
      </c>
    </row>
    <row r="1200" spans="1:13" x14ac:dyDescent="0.3">
      <c r="A1200" t="s">
        <v>3383</v>
      </c>
      <c r="B1200" t="s">
        <v>8475</v>
      </c>
      <c r="C1200" t="s">
        <v>5487</v>
      </c>
      <c r="D1200" t="s">
        <v>4119</v>
      </c>
      <c r="E1200" t="s">
        <v>5756</v>
      </c>
      <c r="F1200" t="s">
        <v>8532</v>
      </c>
      <c r="G1200" t="s">
        <v>8533</v>
      </c>
      <c r="H1200" t="s">
        <v>5474</v>
      </c>
      <c r="I1200" t="s">
        <v>8534</v>
      </c>
      <c r="J1200" t="s">
        <v>5476</v>
      </c>
      <c r="K1200" t="s">
        <v>5471</v>
      </c>
      <c r="L1200" t="s">
        <v>5471</v>
      </c>
      <c r="M1200" t="s">
        <v>5471</v>
      </c>
    </row>
    <row r="1201" spans="1:13" x14ac:dyDescent="0.3">
      <c r="A1201" t="s">
        <v>3383</v>
      </c>
      <c r="B1201" t="s">
        <v>8475</v>
      </c>
      <c r="C1201" t="s">
        <v>5487</v>
      </c>
      <c r="D1201" t="s">
        <v>4119</v>
      </c>
      <c r="E1201" t="s">
        <v>5756</v>
      </c>
      <c r="F1201" t="s">
        <v>8535</v>
      </c>
      <c r="G1201" t="s">
        <v>8533</v>
      </c>
      <c r="H1201" t="s">
        <v>5474</v>
      </c>
      <c r="I1201" t="s">
        <v>8536</v>
      </c>
      <c r="J1201" t="s">
        <v>5476</v>
      </c>
      <c r="K1201" t="s">
        <v>5471</v>
      </c>
      <c r="L1201" t="s">
        <v>5471</v>
      </c>
      <c r="M1201" t="s">
        <v>5471</v>
      </c>
    </row>
    <row r="1202" spans="1:13" x14ac:dyDescent="0.3">
      <c r="A1202" t="s">
        <v>3383</v>
      </c>
      <c r="B1202" t="s">
        <v>8475</v>
      </c>
      <c r="C1202" t="s">
        <v>5487</v>
      </c>
      <c r="D1202" t="s">
        <v>4119</v>
      </c>
      <c r="E1202" t="s">
        <v>5756</v>
      </c>
      <c r="F1202" t="s">
        <v>8537</v>
      </c>
      <c r="G1202" t="s">
        <v>8533</v>
      </c>
      <c r="H1202" t="s">
        <v>5474</v>
      </c>
      <c r="I1202" t="s">
        <v>8538</v>
      </c>
      <c r="J1202" t="s">
        <v>5476</v>
      </c>
      <c r="K1202" t="s">
        <v>5471</v>
      </c>
      <c r="L1202" t="s">
        <v>5471</v>
      </c>
      <c r="M1202" t="s">
        <v>5471</v>
      </c>
    </row>
    <row r="1203" spans="1:13" x14ac:dyDescent="0.3">
      <c r="A1203" t="s">
        <v>3383</v>
      </c>
      <c r="B1203" t="s">
        <v>8475</v>
      </c>
      <c r="C1203" t="s">
        <v>5487</v>
      </c>
      <c r="D1203" t="s">
        <v>4119</v>
      </c>
      <c r="E1203" t="s">
        <v>5756</v>
      </c>
      <c r="F1203" t="s">
        <v>8539</v>
      </c>
      <c r="G1203" t="s">
        <v>8533</v>
      </c>
      <c r="H1203" t="s">
        <v>5474</v>
      </c>
      <c r="I1203" t="s">
        <v>8540</v>
      </c>
      <c r="J1203" t="s">
        <v>5476</v>
      </c>
      <c r="K1203" t="s">
        <v>5471</v>
      </c>
      <c r="L1203" t="s">
        <v>5471</v>
      </c>
      <c r="M1203" t="s">
        <v>5471</v>
      </c>
    </row>
    <row r="1204" spans="1:13" x14ac:dyDescent="0.3">
      <c r="A1204" t="s">
        <v>3383</v>
      </c>
      <c r="B1204" t="s">
        <v>8475</v>
      </c>
      <c r="C1204" t="s">
        <v>5487</v>
      </c>
      <c r="D1204" t="s">
        <v>4119</v>
      </c>
      <c r="E1204" t="s">
        <v>5756</v>
      </c>
      <c r="F1204" t="s">
        <v>8539</v>
      </c>
      <c r="G1204" t="s">
        <v>8533</v>
      </c>
      <c r="H1204" t="s">
        <v>5474</v>
      </c>
      <c r="I1204" t="s">
        <v>8541</v>
      </c>
      <c r="J1204" t="s">
        <v>5476</v>
      </c>
      <c r="K1204" t="s">
        <v>5471</v>
      </c>
      <c r="L1204" t="s">
        <v>5471</v>
      </c>
      <c r="M1204" t="s">
        <v>5471</v>
      </c>
    </row>
    <row r="1205" spans="1:13" x14ac:dyDescent="0.3">
      <c r="A1205" t="s">
        <v>3383</v>
      </c>
      <c r="B1205" t="s">
        <v>8475</v>
      </c>
      <c r="C1205" t="s">
        <v>5487</v>
      </c>
      <c r="D1205" t="s">
        <v>4119</v>
      </c>
      <c r="E1205" t="s">
        <v>5756</v>
      </c>
      <c r="F1205" t="s">
        <v>8542</v>
      </c>
      <c r="G1205" t="s">
        <v>8477</v>
      </c>
      <c r="H1205" t="s">
        <v>5474</v>
      </c>
      <c r="I1205" t="s">
        <v>8543</v>
      </c>
      <c r="J1205" t="s">
        <v>5476</v>
      </c>
      <c r="K1205" t="s">
        <v>5471</v>
      </c>
      <c r="L1205" t="s">
        <v>5471</v>
      </c>
      <c r="M1205" t="s">
        <v>5471</v>
      </c>
    </row>
    <row r="1206" spans="1:13" x14ac:dyDescent="0.3">
      <c r="A1206" t="s">
        <v>3383</v>
      </c>
      <c r="B1206" t="s">
        <v>8475</v>
      </c>
      <c r="C1206" t="s">
        <v>5487</v>
      </c>
      <c r="D1206" t="s">
        <v>4119</v>
      </c>
      <c r="E1206" t="s">
        <v>5756</v>
      </c>
      <c r="F1206" t="s">
        <v>8544</v>
      </c>
      <c r="G1206" t="s">
        <v>8477</v>
      </c>
      <c r="H1206" t="s">
        <v>5474</v>
      </c>
      <c r="I1206" t="s">
        <v>8545</v>
      </c>
      <c r="J1206" t="s">
        <v>5476</v>
      </c>
      <c r="K1206" t="s">
        <v>5471</v>
      </c>
      <c r="L1206" t="s">
        <v>5471</v>
      </c>
      <c r="M1206" t="s">
        <v>5471</v>
      </c>
    </row>
    <row r="1207" spans="1:13" x14ac:dyDescent="0.3">
      <c r="A1207" t="s">
        <v>3388</v>
      </c>
      <c r="B1207" t="s">
        <v>5531</v>
      </c>
      <c r="C1207" t="s">
        <v>5470</v>
      </c>
      <c r="D1207" t="s">
        <v>4119</v>
      </c>
      <c r="E1207" t="s">
        <v>5532</v>
      </c>
      <c r="F1207" t="s">
        <v>8546</v>
      </c>
      <c r="G1207" t="s">
        <v>8547</v>
      </c>
      <c r="H1207" t="s">
        <v>5474</v>
      </c>
      <c r="I1207" t="s">
        <v>8548</v>
      </c>
      <c r="J1207" t="s">
        <v>5484</v>
      </c>
      <c r="K1207" t="s">
        <v>5471</v>
      </c>
      <c r="L1207" t="s">
        <v>5471</v>
      </c>
      <c r="M1207" t="s">
        <v>5471</v>
      </c>
    </row>
    <row r="1208" spans="1:13" x14ac:dyDescent="0.3">
      <c r="A1208" t="s">
        <v>3383</v>
      </c>
      <c r="B1208" t="s">
        <v>8475</v>
      </c>
      <c r="C1208" t="s">
        <v>5487</v>
      </c>
      <c r="D1208" t="s">
        <v>4119</v>
      </c>
      <c r="E1208" t="s">
        <v>5756</v>
      </c>
      <c r="F1208" t="s">
        <v>8549</v>
      </c>
      <c r="G1208" t="s">
        <v>8533</v>
      </c>
      <c r="H1208" t="s">
        <v>5474</v>
      </c>
      <c r="I1208" t="s">
        <v>8550</v>
      </c>
      <c r="J1208" t="s">
        <v>5476</v>
      </c>
      <c r="K1208" t="s">
        <v>5471</v>
      </c>
      <c r="L1208" t="s">
        <v>5471</v>
      </c>
      <c r="M1208" t="s">
        <v>5471</v>
      </c>
    </row>
    <row r="1209" spans="1:13" x14ac:dyDescent="0.3">
      <c r="A1209" t="s">
        <v>3383</v>
      </c>
      <c r="B1209" t="s">
        <v>8475</v>
      </c>
      <c r="C1209" t="s">
        <v>5487</v>
      </c>
      <c r="D1209" t="s">
        <v>4119</v>
      </c>
      <c r="E1209" t="s">
        <v>5756</v>
      </c>
      <c r="F1209" t="s">
        <v>8551</v>
      </c>
      <c r="G1209" t="s">
        <v>8477</v>
      </c>
      <c r="H1209" t="s">
        <v>5474</v>
      </c>
      <c r="I1209" t="s">
        <v>8552</v>
      </c>
      <c r="J1209" t="s">
        <v>5476</v>
      </c>
      <c r="K1209" t="s">
        <v>5471</v>
      </c>
      <c r="L1209" t="s">
        <v>5471</v>
      </c>
      <c r="M1209" t="s">
        <v>5471</v>
      </c>
    </row>
    <row r="1210" spans="1:13" x14ac:dyDescent="0.3">
      <c r="A1210" t="s">
        <v>3383</v>
      </c>
      <c r="B1210" t="s">
        <v>8475</v>
      </c>
      <c r="C1210" t="s">
        <v>5487</v>
      </c>
      <c r="D1210" t="s">
        <v>4119</v>
      </c>
      <c r="E1210" t="s">
        <v>5756</v>
      </c>
      <c r="F1210" t="s">
        <v>8553</v>
      </c>
      <c r="G1210" t="s">
        <v>8533</v>
      </c>
      <c r="H1210" t="s">
        <v>5474</v>
      </c>
      <c r="I1210" t="s">
        <v>8554</v>
      </c>
      <c r="J1210" t="s">
        <v>5476</v>
      </c>
      <c r="K1210" t="s">
        <v>5471</v>
      </c>
      <c r="L1210" t="s">
        <v>5471</v>
      </c>
      <c r="M1210" t="s">
        <v>5471</v>
      </c>
    </row>
    <row r="1211" spans="1:13" x14ac:dyDescent="0.3">
      <c r="A1211" t="s">
        <v>3388</v>
      </c>
      <c r="B1211" t="s">
        <v>5531</v>
      </c>
      <c r="C1211" t="s">
        <v>5470</v>
      </c>
      <c r="D1211" t="s">
        <v>4119</v>
      </c>
      <c r="E1211" t="s">
        <v>5532</v>
      </c>
      <c r="F1211" t="s">
        <v>8555</v>
      </c>
      <c r="G1211" t="s">
        <v>8556</v>
      </c>
      <c r="H1211" t="s">
        <v>5474</v>
      </c>
      <c r="I1211" t="s">
        <v>8557</v>
      </c>
      <c r="J1211" t="s">
        <v>5484</v>
      </c>
      <c r="K1211" t="s">
        <v>5471</v>
      </c>
      <c r="L1211" t="s">
        <v>5471</v>
      </c>
      <c r="M1211" t="s">
        <v>5471</v>
      </c>
    </row>
    <row r="1212" spans="1:13" x14ac:dyDescent="0.3">
      <c r="A1212" t="s">
        <v>3383</v>
      </c>
      <c r="B1212" t="s">
        <v>8475</v>
      </c>
      <c r="C1212" t="s">
        <v>5487</v>
      </c>
      <c r="D1212" t="s">
        <v>4119</v>
      </c>
      <c r="E1212" t="s">
        <v>5756</v>
      </c>
      <c r="F1212" t="s">
        <v>8558</v>
      </c>
      <c r="G1212" t="s">
        <v>8477</v>
      </c>
      <c r="H1212" t="s">
        <v>5474</v>
      </c>
      <c r="I1212" t="s">
        <v>8559</v>
      </c>
      <c r="J1212" t="s">
        <v>5476</v>
      </c>
      <c r="K1212" t="s">
        <v>5471</v>
      </c>
      <c r="L1212" t="s">
        <v>5471</v>
      </c>
      <c r="M1212" t="s">
        <v>5471</v>
      </c>
    </row>
    <row r="1213" spans="1:13" x14ac:dyDescent="0.3">
      <c r="A1213" t="s">
        <v>3388</v>
      </c>
      <c r="B1213" t="s">
        <v>5531</v>
      </c>
      <c r="C1213" t="s">
        <v>5470</v>
      </c>
      <c r="D1213" t="s">
        <v>4119</v>
      </c>
      <c r="E1213" t="s">
        <v>5532</v>
      </c>
      <c r="F1213" t="s">
        <v>8560</v>
      </c>
      <c r="G1213" t="s">
        <v>8561</v>
      </c>
      <c r="H1213" t="s">
        <v>5474</v>
      </c>
      <c r="I1213" t="s">
        <v>8562</v>
      </c>
      <c r="J1213" t="s">
        <v>5484</v>
      </c>
      <c r="K1213" t="s">
        <v>5471</v>
      </c>
      <c r="L1213" t="s">
        <v>5471</v>
      </c>
      <c r="M1213" t="s">
        <v>5471</v>
      </c>
    </row>
    <row r="1214" spans="1:13" x14ac:dyDescent="0.3">
      <c r="A1214" t="s">
        <v>3388</v>
      </c>
      <c r="B1214" t="s">
        <v>5341</v>
      </c>
      <c r="C1214" t="s">
        <v>5470</v>
      </c>
      <c r="D1214" t="s">
        <v>4119</v>
      </c>
      <c r="E1214" t="s">
        <v>5532</v>
      </c>
      <c r="F1214" t="s">
        <v>8563</v>
      </c>
      <c r="G1214" t="s">
        <v>8564</v>
      </c>
      <c r="H1214" t="s">
        <v>5474</v>
      </c>
      <c r="I1214" t="s">
        <v>8565</v>
      </c>
      <c r="J1214" t="s">
        <v>5484</v>
      </c>
      <c r="K1214" t="s">
        <v>5471</v>
      </c>
      <c r="L1214" t="s">
        <v>5471</v>
      </c>
      <c r="M1214" t="s">
        <v>5471</v>
      </c>
    </row>
    <row r="1215" spans="1:13" x14ac:dyDescent="0.3">
      <c r="A1215" t="s">
        <v>3383</v>
      </c>
      <c r="B1215" t="s">
        <v>8475</v>
      </c>
      <c r="C1215" t="s">
        <v>5487</v>
      </c>
      <c r="D1215" t="s">
        <v>4119</v>
      </c>
      <c r="E1215" t="s">
        <v>5756</v>
      </c>
      <c r="F1215" t="s">
        <v>8566</v>
      </c>
      <c r="G1215" t="s">
        <v>8477</v>
      </c>
      <c r="H1215" t="s">
        <v>5474</v>
      </c>
      <c r="I1215" t="s">
        <v>8567</v>
      </c>
      <c r="J1215" t="s">
        <v>5476</v>
      </c>
      <c r="K1215" t="s">
        <v>5471</v>
      </c>
      <c r="L1215" t="s">
        <v>5471</v>
      </c>
      <c r="M1215" t="s">
        <v>5471</v>
      </c>
    </row>
    <row r="1216" spans="1:13" x14ac:dyDescent="0.3">
      <c r="A1216" t="s">
        <v>3383</v>
      </c>
      <c r="B1216" t="s">
        <v>8475</v>
      </c>
      <c r="C1216" t="s">
        <v>5487</v>
      </c>
      <c r="D1216" t="s">
        <v>4119</v>
      </c>
      <c r="E1216" t="s">
        <v>5756</v>
      </c>
      <c r="F1216" t="s">
        <v>8568</v>
      </c>
      <c r="G1216" t="s">
        <v>8477</v>
      </c>
      <c r="H1216" t="s">
        <v>5474</v>
      </c>
      <c r="I1216" t="s">
        <v>8569</v>
      </c>
      <c r="J1216" t="s">
        <v>5476</v>
      </c>
      <c r="K1216" t="s">
        <v>5471</v>
      </c>
      <c r="L1216" t="s">
        <v>5471</v>
      </c>
      <c r="M1216" t="s">
        <v>5471</v>
      </c>
    </row>
    <row r="1217" spans="1:13" x14ac:dyDescent="0.3">
      <c r="A1217" t="s">
        <v>3388</v>
      </c>
      <c r="B1217" t="s">
        <v>5341</v>
      </c>
      <c r="C1217" t="s">
        <v>5470</v>
      </c>
      <c r="D1217" t="s">
        <v>4119</v>
      </c>
      <c r="E1217" t="s">
        <v>5532</v>
      </c>
      <c r="F1217" t="s">
        <v>8570</v>
      </c>
      <c r="G1217" t="s">
        <v>8571</v>
      </c>
      <c r="H1217" t="s">
        <v>5474</v>
      </c>
      <c r="I1217" t="s">
        <v>8572</v>
      </c>
      <c r="J1217" t="s">
        <v>5484</v>
      </c>
      <c r="K1217" t="s">
        <v>5471</v>
      </c>
      <c r="L1217" t="s">
        <v>5471</v>
      </c>
      <c r="M1217" t="s">
        <v>5471</v>
      </c>
    </row>
    <row r="1218" spans="1:13" x14ac:dyDescent="0.3">
      <c r="A1218" t="s">
        <v>3388</v>
      </c>
      <c r="B1218" t="s">
        <v>8573</v>
      </c>
      <c r="C1218" t="s">
        <v>5470</v>
      </c>
      <c r="D1218" t="s">
        <v>4119</v>
      </c>
      <c r="E1218" t="s">
        <v>5532</v>
      </c>
      <c r="F1218" t="s">
        <v>8574</v>
      </c>
      <c r="G1218" t="s">
        <v>8575</v>
      </c>
      <c r="H1218" t="s">
        <v>5474</v>
      </c>
      <c r="I1218" t="s">
        <v>8576</v>
      </c>
      <c r="J1218" t="s">
        <v>5484</v>
      </c>
      <c r="K1218" t="s">
        <v>5471</v>
      </c>
      <c r="L1218" t="s">
        <v>5471</v>
      </c>
      <c r="M1218" t="s">
        <v>5471</v>
      </c>
    </row>
    <row r="1219" spans="1:13" x14ac:dyDescent="0.3">
      <c r="A1219" t="s">
        <v>3388</v>
      </c>
      <c r="B1219" t="s">
        <v>8577</v>
      </c>
      <c r="C1219" t="s">
        <v>5470</v>
      </c>
      <c r="D1219" t="s">
        <v>4119</v>
      </c>
      <c r="E1219" t="s">
        <v>5532</v>
      </c>
      <c r="F1219" t="s">
        <v>8578</v>
      </c>
      <c r="G1219" t="s">
        <v>8579</v>
      </c>
      <c r="H1219" t="s">
        <v>5474</v>
      </c>
      <c r="I1219" t="s">
        <v>8580</v>
      </c>
      <c r="J1219" t="s">
        <v>5484</v>
      </c>
      <c r="K1219" t="s">
        <v>5471</v>
      </c>
      <c r="L1219" t="s">
        <v>5471</v>
      </c>
      <c r="M1219" t="s">
        <v>5471</v>
      </c>
    </row>
    <row r="1220" spans="1:13" x14ac:dyDescent="0.3">
      <c r="A1220" t="s">
        <v>3388</v>
      </c>
      <c r="B1220" t="s">
        <v>8573</v>
      </c>
      <c r="C1220" t="s">
        <v>5470</v>
      </c>
      <c r="D1220" t="s">
        <v>4119</v>
      </c>
      <c r="E1220" t="s">
        <v>5532</v>
      </c>
      <c r="F1220" t="s">
        <v>8581</v>
      </c>
      <c r="G1220" t="s">
        <v>8582</v>
      </c>
      <c r="H1220" t="s">
        <v>5474</v>
      </c>
      <c r="I1220" t="s">
        <v>8583</v>
      </c>
      <c r="J1220" t="s">
        <v>5484</v>
      </c>
      <c r="K1220" t="s">
        <v>5471</v>
      </c>
      <c r="L1220" t="s">
        <v>5471</v>
      </c>
      <c r="M1220" t="s">
        <v>5471</v>
      </c>
    </row>
    <row r="1221" spans="1:13" x14ac:dyDescent="0.3">
      <c r="A1221" t="s">
        <v>3388</v>
      </c>
      <c r="B1221" t="s">
        <v>8573</v>
      </c>
      <c r="C1221" t="s">
        <v>5470</v>
      </c>
      <c r="D1221" t="s">
        <v>4119</v>
      </c>
      <c r="E1221" t="s">
        <v>5532</v>
      </c>
      <c r="F1221" t="s">
        <v>8584</v>
      </c>
      <c r="G1221" t="s">
        <v>8585</v>
      </c>
      <c r="H1221" t="s">
        <v>5474</v>
      </c>
      <c r="I1221" t="s">
        <v>8586</v>
      </c>
      <c r="J1221" t="s">
        <v>5484</v>
      </c>
      <c r="K1221" t="s">
        <v>5471</v>
      </c>
      <c r="L1221" t="s">
        <v>5471</v>
      </c>
      <c r="M1221" t="s">
        <v>5471</v>
      </c>
    </row>
    <row r="1222" spans="1:13" x14ac:dyDescent="0.3">
      <c r="A1222" t="s">
        <v>3397</v>
      </c>
      <c r="B1222" t="s">
        <v>5269</v>
      </c>
      <c r="C1222" t="s">
        <v>5487</v>
      </c>
      <c r="D1222" t="s">
        <v>4119</v>
      </c>
      <c r="E1222" t="s">
        <v>5595</v>
      </c>
      <c r="F1222" t="s">
        <v>8587</v>
      </c>
      <c r="G1222" t="s">
        <v>8588</v>
      </c>
      <c r="H1222" t="s">
        <v>5474</v>
      </c>
      <c r="I1222" t="s">
        <v>8589</v>
      </c>
      <c r="J1222" t="s">
        <v>5476</v>
      </c>
      <c r="K1222" t="s">
        <v>5471</v>
      </c>
      <c r="L1222" t="s">
        <v>5471</v>
      </c>
      <c r="M1222" t="s">
        <v>5471</v>
      </c>
    </row>
    <row r="1223" spans="1:13" x14ac:dyDescent="0.3">
      <c r="A1223" t="s">
        <v>3383</v>
      </c>
      <c r="B1223" t="s">
        <v>6187</v>
      </c>
      <c r="C1223" t="s">
        <v>5470</v>
      </c>
      <c r="D1223" t="s">
        <v>4119</v>
      </c>
      <c r="E1223" t="s">
        <v>5471</v>
      </c>
      <c r="F1223" t="s">
        <v>8590</v>
      </c>
      <c r="G1223" t="s">
        <v>7490</v>
      </c>
      <c r="H1223" t="s">
        <v>5474</v>
      </c>
      <c r="I1223" t="s">
        <v>8591</v>
      </c>
      <c r="J1223" t="s">
        <v>5484</v>
      </c>
      <c r="K1223" t="s">
        <v>5471</v>
      </c>
      <c r="L1223" t="s">
        <v>5471</v>
      </c>
      <c r="M1223" t="s">
        <v>5471</v>
      </c>
    </row>
    <row r="1224" spans="1:13" x14ac:dyDescent="0.3">
      <c r="A1224" t="s">
        <v>3383</v>
      </c>
      <c r="B1224" t="s">
        <v>6187</v>
      </c>
      <c r="C1224" t="s">
        <v>5470</v>
      </c>
      <c r="D1224" t="s">
        <v>4119</v>
      </c>
      <c r="E1224" t="s">
        <v>5471</v>
      </c>
      <c r="F1224" t="s">
        <v>8592</v>
      </c>
      <c r="G1224" t="s">
        <v>7490</v>
      </c>
      <c r="H1224" t="s">
        <v>5474</v>
      </c>
      <c r="I1224" t="s">
        <v>8593</v>
      </c>
      <c r="J1224" t="s">
        <v>5484</v>
      </c>
      <c r="K1224" t="s">
        <v>5471</v>
      </c>
      <c r="L1224" t="s">
        <v>5471</v>
      </c>
      <c r="M1224" t="s">
        <v>5471</v>
      </c>
    </row>
    <row r="1225" spans="1:13" x14ac:dyDescent="0.3">
      <c r="A1225" t="s">
        <v>3388</v>
      </c>
      <c r="B1225" t="s">
        <v>5522</v>
      </c>
      <c r="C1225" t="s">
        <v>5470</v>
      </c>
      <c r="D1225" t="s">
        <v>4119</v>
      </c>
      <c r="E1225" t="s">
        <v>5471</v>
      </c>
      <c r="F1225" t="s">
        <v>8594</v>
      </c>
      <c r="G1225" t="s">
        <v>8595</v>
      </c>
      <c r="H1225" t="s">
        <v>5474</v>
      </c>
      <c r="I1225" t="s">
        <v>8596</v>
      </c>
      <c r="J1225" t="s">
        <v>5484</v>
      </c>
      <c r="K1225" t="s">
        <v>5471</v>
      </c>
      <c r="L1225" t="s">
        <v>5471</v>
      </c>
      <c r="M1225" t="s">
        <v>5471</v>
      </c>
    </row>
    <row r="1226" spans="1:13" x14ac:dyDescent="0.3">
      <c r="A1226" t="s">
        <v>3388</v>
      </c>
      <c r="B1226" t="s">
        <v>5522</v>
      </c>
      <c r="C1226" t="s">
        <v>5470</v>
      </c>
      <c r="D1226" t="s">
        <v>4119</v>
      </c>
      <c r="E1226" t="s">
        <v>5471</v>
      </c>
      <c r="F1226" t="s">
        <v>8597</v>
      </c>
      <c r="G1226" t="s">
        <v>8598</v>
      </c>
      <c r="H1226" t="s">
        <v>5474</v>
      </c>
      <c r="I1226" t="s">
        <v>8599</v>
      </c>
      <c r="J1226" t="s">
        <v>5484</v>
      </c>
      <c r="K1226" t="s">
        <v>5471</v>
      </c>
      <c r="L1226" t="s">
        <v>5471</v>
      </c>
      <c r="M1226" t="s">
        <v>5471</v>
      </c>
    </row>
    <row r="1227" spans="1:13" x14ac:dyDescent="0.3">
      <c r="A1227" t="s">
        <v>3383</v>
      </c>
      <c r="B1227" t="s">
        <v>8600</v>
      </c>
      <c r="C1227" t="s">
        <v>5470</v>
      </c>
      <c r="D1227" t="s">
        <v>4119</v>
      </c>
      <c r="E1227" t="s">
        <v>5617</v>
      </c>
      <c r="F1227" t="s">
        <v>8601</v>
      </c>
      <c r="G1227" t="s">
        <v>8602</v>
      </c>
      <c r="H1227" t="s">
        <v>5474</v>
      </c>
      <c r="I1227" t="s">
        <v>8603</v>
      </c>
      <c r="J1227" t="s">
        <v>5484</v>
      </c>
      <c r="K1227" t="s">
        <v>5471</v>
      </c>
      <c r="L1227" t="s">
        <v>5471</v>
      </c>
      <c r="M1227" t="s">
        <v>5471</v>
      </c>
    </row>
    <row r="1228" spans="1:13" x14ac:dyDescent="0.3">
      <c r="A1228" t="s">
        <v>3383</v>
      </c>
      <c r="B1228" t="s">
        <v>8604</v>
      </c>
      <c r="C1228" t="s">
        <v>5470</v>
      </c>
      <c r="D1228" t="s">
        <v>4119</v>
      </c>
      <c r="E1228" t="s">
        <v>5471</v>
      </c>
      <c r="F1228" t="s">
        <v>8590</v>
      </c>
      <c r="G1228" t="s">
        <v>8605</v>
      </c>
      <c r="H1228" t="s">
        <v>5474</v>
      </c>
      <c r="I1228" t="s">
        <v>8606</v>
      </c>
      <c r="J1228" t="s">
        <v>5484</v>
      </c>
      <c r="K1228" t="s">
        <v>5471</v>
      </c>
      <c r="L1228" t="s">
        <v>5471</v>
      </c>
      <c r="M1228" t="s">
        <v>5471</v>
      </c>
    </row>
    <row r="1229" spans="1:13" x14ac:dyDescent="0.3">
      <c r="A1229" t="s">
        <v>3388</v>
      </c>
      <c r="B1229" t="s">
        <v>8607</v>
      </c>
      <c r="C1229" t="s">
        <v>5470</v>
      </c>
      <c r="D1229" t="s">
        <v>4119</v>
      </c>
      <c r="E1229" t="s">
        <v>5471</v>
      </c>
      <c r="F1229" t="s">
        <v>8608</v>
      </c>
      <c r="G1229" t="s">
        <v>8609</v>
      </c>
      <c r="H1229" t="s">
        <v>5474</v>
      </c>
      <c r="I1229" t="s">
        <v>8610</v>
      </c>
      <c r="J1229" t="s">
        <v>5484</v>
      </c>
      <c r="K1229" t="s">
        <v>5471</v>
      </c>
      <c r="L1229" t="s">
        <v>5471</v>
      </c>
      <c r="M1229" t="s">
        <v>5471</v>
      </c>
    </row>
    <row r="1230" spans="1:13" x14ac:dyDescent="0.3">
      <c r="A1230" t="s">
        <v>3388</v>
      </c>
      <c r="B1230" t="s">
        <v>8607</v>
      </c>
      <c r="C1230" t="s">
        <v>5470</v>
      </c>
      <c r="D1230" t="s">
        <v>4119</v>
      </c>
      <c r="E1230" t="s">
        <v>5471</v>
      </c>
      <c r="F1230" t="s">
        <v>8611</v>
      </c>
      <c r="G1230" t="s">
        <v>8612</v>
      </c>
      <c r="H1230" t="s">
        <v>5474</v>
      </c>
      <c r="I1230" t="s">
        <v>8613</v>
      </c>
      <c r="J1230" t="s">
        <v>5484</v>
      </c>
      <c r="K1230" t="s">
        <v>5471</v>
      </c>
      <c r="L1230" t="s">
        <v>5471</v>
      </c>
      <c r="M1230" t="s">
        <v>5471</v>
      </c>
    </row>
    <row r="1231" spans="1:13" x14ac:dyDescent="0.3">
      <c r="A1231" t="s">
        <v>3388</v>
      </c>
      <c r="B1231" t="s">
        <v>8607</v>
      </c>
      <c r="C1231" t="s">
        <v>5470</v>
      </c>
      <c r="D1231" t="s">
        <v>4119</v>
      </c>
      <c r="E1231" t="s">
        <v>5471</v>
      </c>
      <c r="F1231" t="s">
        <v>8614</v>
      </c>
      <c r="G1231" t="s">
        <v>8615</v>
      </c>
      <c r="H1231" t="s">
        <v>5474</v>
      </c>
      <c r="I1231" t="s">
        <v>8616</v>
      </c>
      <c r="J1231" t="s">
        <v>5484</v>
      </c>
      <c r="K1231" t="s">
        <v>5471</v>
      </c>
      <c r="L1231" t="s">
        <v>5471</v>
      </c>
      <c r="M1231" t="s">
        <v>5471</v>
      </c>
    </row>
    <row r="1232" spans="1:13" x14ac:dyDescent="0.3">
      <c r="A1232" t="s">
        <v>3388</v>
      </c>
      <c r="B1232" t="s">
        <v>7879</v>
      </c>
      <c r="C1232" t="s">
        <v>5470</v>
      </c>
      <c r="D1232" t="s">
        <v>4119</v>
      </c>
      <c r="E1232" t="s">
        <v>5471</v>
      </c>
      <c r="F1232" t="s">
        <v>8617</v>
      </c>
      <c r="G1232" t="s">
        <v>8618</v>
      </c>
      <c r="H1232" t="s">
        <v>5474</v>
      </c>
      <c r="I1232" t="s">
        <v>8619</v>
      </c>
      <c r="J1232" t="s">
        <v>5476</v>
      </c>
      <c r="K1232" t="s">
        <v>5471</v>
      </c>
      <c r="L1232" t="s">
        <v>5471</v>
      </c>
      <c r="M1232" t="s">
        <v>5471</v>
      </c>
    </row>
    <row r="1233" spans="1:13" x14ac:dyDescent="0.3">
      <c r="A1233" t="s">
        <v>3388</v>
      </c>
      <c r="B1233" t="s">
        <v>8607</v>
      </c>
      <c r="C1233" t="s">
        <v>5470</v>
      </c>
      <c r="D1233" t="s">
        <v>4119</v>
      </c>
      <c r="E1233" t="s">
        <v>5471</v>
      </c>
      <c r="F1233" t="s">
        <v>8620</v>
      </c>
      <c r="G1233" t="s">
        <v>8621</v>
      </c>
      <c r="H1233" t="s">
        <v>5474</v>
      </c>
      <c r="I1233" t="s">
        <v>8622</v>
      </c>
      <c r="J1233" t="s">
        <v>5484</v>
      </c>
      <c r="K1233" t="s">
        <v>5471</v>
      </c>
      <c r="L1233" t="s">
        <v>5471</v>
      </c>
      <c r="M1233" t="s">
        <v>5471</v>
      </c>
    </row>
    <row r="1234" spans="1:13" x14ac:dyDescent="0.3">
      <c r="A1234" t="s">
        <v>3388</v>
      </c>
      <c r="B1234" t="s">
        <v>8607</v>
      </c>
      <c r="C1234" t="s">
        <v>5470</v>
      </c>
      <c r="D1234" t="s">
        <v>4119</v>
      </c>
      <c r="E1234" t="s">
        <v>5471</v>
      </c>
      <c r="F1234" t="s">
        <v>8623</v>
      </c>
      <c r="G1234" t="s">
        <v>8624</v>
      </c>
      <c r="H1234" t="s">
        <v>5474</v>
      </c>
      <c r="I1234" t="s">
        <v>8625</v>
      </c>
      <c r="J1234" t="s">
        <v>5484</v>
      </c>
      <c r="K1234" t="s">
        <v>5471</v>
      </c>
      <c r="L1234" t="s">
        <v>5471</v>
      </c>
      <c r="M1234" t="s">
        <v>5471</v>
      </c>
    </row>
    <row r="1235" spans="1:13" x14ac:dyDescent="0.3">
      <c r="A1235" t="s">
        <v>3388</v>
      </c>
      <c r="B1235" t="s">
        <v>8607</v>
      </c>
      <c r="C1235" t="s">
        <v>5470</v>
      </c>
      <c r="D1235" t="s">
        <v>4119</v>
      </c>
      <c r="E1235" t="s">
        <v>5471</v>
      </c>
      <c r="F1235" t="s">
        <v>8626</v>
      </c>
      <c r="G1235" t="s">
        <v>8627</v>
      </c>
      <c r="H1235" t="s">
        <v>5474</v>
      </c>
      <c r="I1235" t="s">
        <v>8628</v>
      </c>
      <c r="J1235" t="s">
        <v>5484</v>
      </c>
      <c r="K1235" t="s">
        <v>5471</v>
      </c>
      <c r="L1235" t="s">
        <v>5471</v>
      </c>
      <c r="M1235" t="s">
        <v>5471</v>
      </c>
    </row>
    <row r="1236" spans="1:13" x14ac:dyDescent="0.3">
      <c r="A1236" t="s">
        <v>3388</v>
      </c>
      <c r="B1236" t="s">
        <v>8607</v>
      </c>
      <c r="C1236" t="s">
        <v>5470</v>
      </c>
      <c r="D1236" t="s">
        <v>4119</v>
      </c>
      <c r="E1236" t="s">
        <v>5471</v>
      </c>
      <c r="F1236" t="s">
        <v>8629</v>
      </c>
      <c r="G1236" t="s">
        <v>8630</v>
      </c>
      <c r="H1236" t="s">
        <v>5474</v>
      </c>
      <c r="I1236" t="s">
        <v>8631</v>
      </c>
      <c r="J1236" t="s">
        <v>5484</v>
      </c>
      <c r="K1236" t="s">
        <v>5471</v>
      </c>
      <c r="L1236" t="s">
        <v>5471</v>
      </c>
      <c r="M1236" t="s">
        <v>5471</v>
      </c>
    </row>
    <row r="1237" spans="1:13" x14ac:dyDescent="0.3">
      <c r="A1237" t="s">
        <v>3388</v>
      </c>
      <c r="B1237" t="s">
        <v>8607</v>
      </c>
      <c r="C1237" t="s">
        <v>5470</v>
      </c>
      <c r="D1237" t="s">
        <v>4119</v>
      </c>
      <c r="E1237" t="s">
        <v>5471</v>
      </c>
      <c r="F1237" t="s">
        <v>8632</v>
      </c>
      <c r="G1237" t="s">
        <v>8633</v>
      </c>
      <c r="H1237" t="s">
        <v>5474</v>
      </c>
      <c r="I1237" t="s">
        <v>8634</v>
      </c>
      <c r="J1237" t="s">
        <v>5484</v>
      </c>
      <c r="K1237" t="s">
        <v>5471</v>
      </c>
      <c r="L1237" t="s">
        <v>5471</v>
      </c>
      <c r="M1237" t="s">
        <v>5471</v>
      </c>
    </row>
    <row r="1238" spans="1:13" x14ac:dyDescent="0.3">
      <c r="A1238" t="s">
        <v>3388</v>
      </c>
      <c r="B1238" t="s">
        <v>8607</v>
      </c>
      <c r="C1238" t="s">
        <v>5470</v>
      </c>
      <c r="D1238" t="s">
        <v>4119</v>
      </c>
      <c r="E1238" t="s">
        <v>5471</v>
      </c>
      <c r="F1238" t="s">
        <v>8635</v>
      </c>
      <c r="G1238" t="s">
        <v>8636</v>
      </c>
      <c r="H1238" t="s">
        <v>5474</v>
      </c>
      <c r="I1238" t="s">
        <v>8637</v>
      </c>
      <c r="J1238" t="s">
        <v>5484</v>
      </c>
      <c r="K1238" t="s">
        <v>5471</v>
      </c>
      <c r="L1238" t="s">
        <v>5471</v>
      </c>
      <c r="M1238" t="s">
        <v>5471</v>
      </c>
    </row>
    <row r="1239" spans="1:13" x14ac:dyDescent="0.3">
      <c r="A1239" t="s">
        <v>3388</v>
      </c>
      <c r="B1239" t="s">
        <v>8607</v>
      </c>
      <c r="C1239" t="s">
        <v>5470</v>
      </c>
      <c r="D1239" t="s">
        <v>4119</v>
      </c>
      <c r="E1239" t="s">
        <v>5471</v>
      </c>
      <c r="F1239" t="s">
        <v>8638</v>
      </c>
      <c r="G1239" t="s">
        <v>8639</v>
      </c>
      <c r="H1239" t="s">
        <v>5474</v>
      </c>
      <c r="I1239" t="s">
        <v>8640</v>
      </c>
      <c r="J1239" t="s">
        <v>5484</v>
      </c>
      <c r="K1239" t="s">
        <v>5471</v>
      </c>
      <c r="L1239" t="s">
        <v>5471</v>
      </c>
      <c r="M1239" t="s">
        <v>5471</v>
      </c>
    </row>
    <row r="1240" spans="1:13" x14ac:dyDescent="0.3">
      <c r="A1240" t="s">
        <v>3388</v>
      </c>
      <c r="B1240" t="s">
        <v>8607</v>
      </c>
      <c r="C1240" t="s">
        <v>5470</v>
      </c>
      <c r="D1240" t="s">
        <v>4119</v>
      </c>
      <c r="E1240" t="s">
        <v>5471</v>
      </c>
      <c r="F1240" t="s">
        <v>8641</v>
      </c>
      <c r="G1240" t="s">
        <v>8642</v>
      </c>
      <c r="H1240" t="s">
        <v>5474</v>
      </c>
      <c r="I1240" t="s">
        <v>8643</v>
      </c>
      <c r="J1240" t="s">
        <v>5484</v>
      </c>
      <c r="K1240" t="s">
        <v>5471</v>
      </c>
      <c r="L1240" t="s">
        <v>5471</v>
      </c>
      <c r="M1240" t="s">
        <v>5471</v>
      </c>
    </row>
    <row r="1241" spans="1:13" x14ac:dyDescent="0.3">
      <c r="A1241" t="s">
        <v>3388</v>
      </c>
      <c r="B1241" t="s">
        <v>7879</v>
      </c>
      <c r="C1241" t="s">
        <v>5470</v>
      </c>
      <c r="D1241" t="s">
        <v>4119</v>
      </c>
      <c r="E1241" t="s">
        <v>5471</v>
      </c>
      <c r="F1241" t="s">
        <v>8617</v>
      </c>
      <c r="G1241" t="s">
        <v>7881</v>
      </c>
      <c r="H1241" t="s">
        <v>5474</v>
      </c>
      <c r="I1241" t="s">
        <v>8644</v>
      </c>
      <c r="J1241" t="s">
        <v>5476</v>
      </c>
      <c r="K1241" t="s">
        <v>5471</v>
      </c>
      <c r="L1241" t="s">
        <v>5471</v>
      </c>
      <c r="M1241" t="s">
        <v>5471</v>
      </c>
    </row>
    <row r="1242" spans="1:13" x14ac:dyDescent="0.3">
      <c r="A1242" t="s">
        <v>3388</v>
      </c>
      <c r="B1242" t="s">
        <v>8607</v>
      </c>
      <c r="C1242" t="s">
        <v>5470</v>
      </c>
      <c r="D1242" t="s">
        <v>4119</v>
      </c>
      <c r="E1242" t="s">
        <v>5471</v>
      </c>
      <c r="F1242" t="s">
        <v>8645</v>
      </c>
      <c r="G1242" t="s">
        <v>8646</v>
      </c>
      <c r="H1242" t="s">
        <v>5474</v>
      </c>
      <c r="I1242" t="s">
        <v>8647</v>
      </c>
      <c r="J1242" t="s">
        <v>5484</v>
      </c>
      <c r="K1242" t="s">
        <v>5471</v>
      </c>
      <c r="L1242" t="s">
        <v>5471</v>
      </c>
      <c r="M1242" t="s">
        <v>5471</v>
      </c>
    </row>
    <row r="1243" spans="1:13" x14ac:dyDescent="0.3">
      <c r="A1243" t="s">
        <v>3388</v>
      </c>
      <c r="B1243" t="s">
        <v>8607</v>
      </c>
      <c r="C1243" t="s">
        <v>5470</v>
      </c>
      <c r="D1243" t="s">
        <v>4119</v>
      </c>
      <c r="E1243" t="s">
        <v>5471</v>
      </c>
      <c r="F1243" t="s">
        <v>8648</v>
      </c>
      <c r="G1243" t="s">
        <v>8649</v>
      </c>
      <c r="H1243" t="s">
        <v>5474</v>
      </c>
      <c r="I1243" t="s">
        <v>8650</v>
      </c>
      <c r="J1243" t="s">
        <v>5484</v>
      </c>
      <c r="K1243" t="s">
        <v>5471</v>
      </c>
      <c r="L1243" t="s">
        <v>5471</v>
      </c>
      <c r="M1243" t="s">
        <v>5471</v>
      </c>
    </row>
    <row r="1244" spans="1:13" x14ac:dyDescent="0.3">
      <c r="A1244" t="s">
        <v>3388</v>
      </c>
      <c r="B1244" t="s">
        <v>8607</v>
      </c>
      <c r="C1244" t="s">
        <v>5470</v>
      </c>
      <c r="D1244" t="s">
        <v>4119</v>
      </c>
      <c r="E1244" t="s">
        <v>5471</v>
      </c>
      <c r="F1244" t="s">
        <v>8651</v>
      </c>
      <c r="G1244" t="s">
        <v>8652</v>
      </c>
      <c r="H1244" t="s">
        <v>5474</v>
      </c>
      <c r="I1244" t="s">
        <v>8653</v>
      </c>
      <c r="J1244" t="s">
        <v>5484</v>
      </c>
      <c r="K1244" t="s">
        <v>5471</v>
      </c>
      <c r="L1244" t="s">
        <v>5471</v>
      </c>
      <c r="M1244" t="s">
        <v>5471</v>
      </c>
    </row>
    <row r="1245" spans="1:13" x14ac:dyDescent="0.3">
      <c r="A1245" t="s">
        <v>3388</v>
      </c>
      <c r="B1245" t="s">
        <v>8280</v>
      </c>
      <c r="C1245" t="s">
        <v>5470</v>
      </c>
      <c r="D1245" t="s">
        <v>4119</v>
      </c>
      <c r="E1245" t="s">
        <v>5471</v>
      </c>
      <c r="F1245" t="s">
        <v>8654</v>
      </c>
      <c r="G1245" t="s">
        <v>8282</v>
      </c>
      <c r="H1245" t="s">
        <v>5474</v>
      </c>
      <c r="I1245" t="s">
        <v>8655</v>
      </c>
      <c r="J1245" t="s">
        <v>5476</v>
      </c>
      <c r="K1245" t="s">
        <v>5471</v>
      </c>
      <c r="L1245" t="s">
        <v>5471</v>
      </c>
      <c r="M1245" t="s">
        <v>5471</v>
      </c>
    </row>
    <row r="1246" spans="1:13" x14ac:dyDescent="0.3">
      <c r="A1246" t="s">
        <v>3388</v>
      </c>
      <c r="B1246" t="s">
        <v>8656</v>
      </c>
      <c r="C1246" t="s">
        <v>5470</v>
      </c>
      <c r="D1246" t="s">
        <v>4119</v>
      </c>
      <c r="E1246" t="s">
        <v>5532</v>
      </c>
      <c r="F1246" t="s">
        <v>8657</v>
      </c>
      <c r="G1246" t="s">
        <v>8658</v>
      </c>
      <c r="H1246" t="s">
        <v>5474</v>
      </c>
      <c r="I1246" t="s">
        <v>8659</v>
      </c>
      <c r="J1246" t="s">
        <v>5476</v>
      </c>
      <c r="K1246" t="s">
        <v>5471</v>
      </c>
      <c r="L1246" t="s">
        <v>5471</v>
      </c>
      <c r="M1246" t="s">
        <v>5471</v>
      </c>
    </row>
    <row r="1247" spans="1:13" x14ac:dyDescent="0.3">
      <c r="A1247" t="s">
        <v>3388</v>
      </c>
      <c r="B1247" t="s">
        <v>8280</v>
      </c>
      <c r="C1247" t="s">
        <v>5470</v>
      </c>
      <c r="D1247" t="s">
        <v>4119</v>
      </c>
      <c r="E1247" t="s">
        <v>5471</v>
      </c>
      <c r="F1247" t="s">
        <v>8660</v>
      </c>
      <c r="G1247" t="s">
        <v>8282</v>
      </c>
      <c r="H1247" t="s">
        <v>5474</v>
      </c>
      <c r="I1247" t="s">
        <v>8661</v>
      </c>
      <c r="J1247" t="s">
        <v>5476</v>
      </c>
      <c r="K1247" t="s">
        <v>5471</v>
      </c>
      <c r="L1247" t="s">
        <v>5471</v>
      </c>
      <c r="M1247" t="s">
        <v>5471</v>
      </c>
    </row>
    <row r="1248" spans="1:13" x14ac:dyDescent="0.3">
      <c r="A1248" t="s">
        <v>3388</v>
      </c>
      <c r="B1248" t="s">
        <v>8280</v>
      </c>
      <c r="C1248" t="s">
        <v>5470</v>
      </c>
      <c r="D1248" t="s">
        <v>4119</v>
      </c>
      <c r="E1248" t="s">
        <v>5471</v>
      </c>
      <c r="F1248" t="s">
        <v>8662</v>
      </c>
      <c r="G1248" t="s">
        <v>8282</v>
      </c>
      <c r="H1248" t="s">
        <v>5474</v>
      </c>
      <c r="I1248" t="s">
        <v>8663</v>
      </c>
      <c r="J1248" t="s">
        <v>5476</v>
      </c>
      <c r="K1248" t="s">
        <v>5471</v>
      </c>
      <c r="L1248" t="s">
        <v>5471</v>
      </c>
      <c r="M1248" t="s">
        <v>5471</v>
      </c>
    </row>
    <row r="1249" spans="1:13" x14ac:dyDescent="0.3">
      <c r="A1249" t="s">
        <v>3388</v>
      </c>
      <c r="B1249" t="s">
        <v>8280</v>
      </c>
      <c r="C1249" t="s">
        <v>5470</v>
      </c>
      <c r="D1249" t="s">
        <v>4119</v>
      </c>
      <c r="E1249" t="s">
        <v>5471</v>
      </c>
      <c r="F1249" t="s">
        <v>8664</v>
      </c>
      <c r="G1249" t="s">
        <v>8282</v>
      </c>
      <c r="H1249" t="s">
        <v>5474</v>
      </c>
      <c r="I1249" t="s">
        <v>8665</v>
      </c>
      <c r="J1249" t="s">
        <v>5476</v>
      </c>
      <c r="K1249" t="s">
        <v>5471</v>
      </c>
      <c r="L1249" t="s">
        <v>5471</v>
      </c>
      <c r="M1249" t="s">
        <v>5471</v>
      </c>
    </row>
    <row r="1250" spans="1:13" x14ac:dyDescent="0.3">
      <c r="A1250" t="s">
        <v>3388</v>
      </c>
      <c r="B1250" t="s">
        <v>8656</v>
      </c>
      <c r="C1250" t="s">
        <v>5470</v>
      </c>
      <c r="D1250" t="s">
        <v>4119</v>
      </c>
      <c r="E1250" t="s">
        <v>5532</v>
      </c>
      <c r="F1250" t="s">
        <v>8666</v>
      </c>
      <c r="G1250" t="s">
        <v>8667</v>
      </c>
      <c r="H1250" t="s">
        <v>5474</v>
      </c>
      <c r="I1250" t="s">
        <v>8668</v>
      </c>
      <c r="J1250" t="s">
        <v>5476</v>
      </c>
      <c r="K1250" t="s">
        <v>5471</v>
      </c>
      <c r="L1250" t="s">
        <v>5471</v>
      </c>
      <c r="M1250" t="s">
        <v>5471</v>
      </c>
    </row>
    <row r="1251" spans="1:13" x14ac:dyDescent="0.3">
      <c r="A1251" t="s">
        <v>3388</v>
      </c>
      <c r="B1251" t="s">
        <v>8280</v>
      </c>
      <c r="C1251" t="s">
        <v>5470</v>
      </c>
      <c r="D1251" t="s">
        <v>4119</v>
      </c>
      <c r="E1251" t="s">
        <v>5471</v>
      </c>
      <c r="F1251" t="s">
        <v>8669</v>
      </c>
      <c r="G1251" t="s">
        <v>8282</v>
      </c>
      <c r="H1251" t="s">
        <v>5474</v>
      </c>
      <c r="I1251" t="s">
        <v>8670</v>
      </c>
      <c r="J1251" t="s">
        <v>5476</v>
      </c>
      <c r="K1251" t="s">
        <v>5471</v>
      </c>
      <c r="L1251" t="s">
        <v>5471</v>
      </c>
      <c r="M1251" t="s">
        <v>5471</v>
      </c>
    </row>
    <row r="1252" spans="1:13" x14ac:dyDescent="0.3">
      <c r="A1252" t="s">
        <v>3388</v>
      </c>
      <c r="B1252" t="s">
        <v>8280</v>
      </c>
      <c r="C1252" t="s">
        <v>5470</v>
      </c>
      <c r="D1252" t="s">
        <v>4119</v>
      </c>
      <c r="E1252" t="s">
        <v>5471</v>
      </c>
      <c r="F1252" t="s">
        <v>8671</v>
      </c>
      <c r="G1252" t="s">
        <v>8282</v>
      </c>
      <c r="H1252" t="s">
        <v>5474</v>
      </c>
      <c r="I1252" t="s">
        <v>8672</v>
      </c>
      <c r="J1252" t="s">
        <v>5476</v>
      </c>
      <c r="K1252" t="s">
        <v>5471</v>
      </c>
      <c r="L1252" t="s">
        <v>5471</v>
      </c>
      <c r="M1252" t="s">
        <v>5471</v>
      </c>
    </row>
    <row r="1253" spans="1:13" x14ac:dyDescent="0.3">
      <c r="A1253" t="s">
        <v>3388</v>
      </c>
      <c r="B1253" t="s">
        <v>8656</v>
      </c>
      <c r="C1253" t="s">
        <v>5470</v>
      </c>
      <c r="D1253" t="s">
        <v>4119</v>
      </c>
      <c r="E1253" t="s">
        <v>5617</v>
      </c>
      <c r="F1253" t="s">
        <v>8673</v>
      </c>
      <c r="G1253" t="s">
        <v>8674</v>
      </c>
      <c r="H1253" t="s">
        <v>5474</v>
      </c>
      <c r="I1253" t="s">
        <v>8675</v>
      </c>
      <c r="J1253" t="s">
        <v>5476</v>
      </c>
      <c r="K1253" t="s">
        <v>5471</v>
      </c>
      <c r="L1253" t="s">
        <v>5471</v>
      </c>
      <c r="M1253" t="s">
        <v>5471</v>
      </c>
    </row>
    <row r="1254" spans="1:13" x14ac:dyDescent="0.3">
      <c r="A1254" t="s">
        <v>3388</v>
      </c>
      <c r="B1254" t="s">
        <v>8280</v>
      </c>
      <c r="C1254" t="s">
        <v>5470</v>
      </c>
      <c r="D1254" t="s">
        <v>4119</v>
      </c>
      <c r="E1254" t="s">
        <v>5471</v>
      </c>
      <c r="F1254" t="s">
        <v>8676</v>
      </c>
      <c r="G1254" t="s">
        <v>8282</v>
      </c>
      <c r="H1254" t="s">
        <v>5474</v>
      </c>
      <c r="I1254" t="s">
        <v>8677</v>
      </c>
      <c r="J1254" t="s">
        <v>5476</v>
      </c>
      <c r="K1254" t="s">
        <v>5471</v>
      </c>
      <c r="L1254" t="s">
        <v>5471</v>
      </c>
      <c r="M1254" t="s">
        <v>5471</v>
      </c>
    </row>
    <row r="1255" spans="1:13" x14ac:dyDescent="0.3">
      <c r="A1255" t="s">
        <v>3388</v>
      </c>
      <c r="B1255" t="s">
        <v>8656</v>
      </c>
      <c r="C1255" t="s">
        <v>5470</v>
      </c>
      <c r="D1255" t="s">
        <v>4119</v>
      </c>
      <c r="E1255" t="s">
        <v>5617</v>
      </c>
      <c r="F1255" t="s">
        <v>8678</v>
      </c>
      <c r="G1255" t="s">
        <v>8679</v>
      </c>
      <c r="H1255" t="s">
        <v>5474</v>
      </c>
      <c r="I1255" t="s">
        <v>8680</v>
      </c>
      <c r="J1255" t="s">
        <v>5476</v>
      </c>
      <c r="K1255" t="s">
        <v>5471</v>
      </c>
      <c r="L1255" t="s">
        <v>5471</v>
      </c>
      <c r="M1255" t="s">
        <v>5471</v>
      </c>
    </row>
    <row r="1256" spans="1:13" x14ac:dyDescent="0.3">
      <c r="A1256" t="s">
        <v>3388</v>
      </c>
      <c r="B1256" t="s">
        <v>8656</v>
      </c>
      <c r="C1256" t="s">
        <v>5470</v>
      </c>
      <c r="D1256" t="s">
        <v>4119</v>
      </c>
      <c r="E1256" t="s">
        <v>5617</v>
      </c>
      <c r="F1256" t="s">
        <v>8681</v>
      </c>
      <c r="G1256" t="s">
        <v>8682</v>
      </c>
      <c r="H1256" t="s">
        <v>5474</v>
      </c>
      <c r="I1256" t="s">
        <v>8683</v>
      </c>
      <c r="J1256" t="s">
        <v>5476</v>
      </c>
      <c r="K1256" t="s">
        <v>5471</v>
      </c>
      <c r="L1256" t="s">
        <v>5471</v>
      </c>
      <c r="M1256" t="s">
        <v>5471</v>
      </c>
    </row>
    <row r="1257" spans="1:13" x14ac:dyDescent="0.3">
      <c r="A1257" t="s">
        <v>3388</v>
      </c>
      <c r="B1257" t="s">
        <v>8656</v>
      </c>
      <c r="C1257" t="s">
        <v>5470</v>
      </c>
      <c r="D1257" t="s">
        <v>4119</v>
      </c>
      <c r="E1257" t="s">
        <v>5617</v>
      </c>
      <c r="F1257" t="s">
        <v>8684</v>
      </c>
      <c r="G1257" t="s">
        <v>8685</v>
      </c>
      <c r="H1257" t="s">
        <v>5474</v>
      </c>
      <c r="I1257" t="s">
        <v>8686</v>
      </c>
      <c r="J1257" t="s">
        <v>5476</v>
      </c>
      <c r="K1257" t="s">
        <v>5471</v>
      </c>
      <c r="L1257" t="s">
        <v>5471</v>
      </c>
      <c r="M1257" t="s">
        <v>5471</v>
      </c>
    </row>
    <row r="1258" spans="1:13" x14ac:dyDescent="0.3">
      <c r="A1258" t="s">
        <v>3388</v>
      </c>
      <c r="B1258" t="s">
        <v>8656</v>
      </c>
      <c r="C1258" t="s">
        <v>5470</v>
      </c>
      <c r="D1258" t="s">
        <v>4119</v>
      </c>
      <c r="E1258" t="s">
        <v>5617</v>
      </c>
      <c r="F1258" t="s">
        <v>8687</v>
      </c>
      <c r="G1258" t="s">
        <v>8688</v>
      </c>
      <c r="H1258" t="s">
        <v>5474</v>
      </c>
      <c r="I1258" t="s">
        <v>8689</v>
      </c>
      <c r="J1258" t="s">
        <v>5476</v>
      </c>
      <c r="K1258" t="s">
        <v>5471</v>
      </c>
      <c r="L1258" t="s">
        <v>5471</v>
      </c>
      <c r="M1258" t="s">
        <v>5471</v>
      </c>
    </row>
    <row r="1259" spans="1:13" x14ac:dyDescent="0.3">
      <c r="A1259" t="s">
        <v>3388</v>
      </c>
      <c r="B1259" t="s">
        <v>8690</v>
      </c>
      <c r="C1259" t="s">
        <v>5470</v>
      </c>
      <c r="D1259" t="s">
        <v>4119</v>
      </c>
      <c r="E1259" t="s">
        <v>5471</v>
      </c>
      <c r="F1259" t="s">
        <v>8691</v>
      </c>
      <c r="G1259" t="s">
        <v>8692</v>
      </c>
      <c r="H1259" t="s">
        <v>5474</v>
      </c>
      <c r="I1259" t="s">
        <v>8693</v>
      </c>
      <c r="J1259" t="s">
        <v>5476</v>
      </c>
      <c r="K1259" t="s">
        <v>5471</v>
      </c>
      <c r="L1259" t="s">
        <v>5471</v>
      </c>
      <c r="M1259" t="s">
        <v>5471</v>
      </c>
    </row>
    <row r="1260" spans="1:13" x14ac:dyDescent="0.3">
      <c r="A1260" t="s">
        <v>3388</v>
      </c>
      <c r="B1260" t="s">
        <v>8690</v>
      </c>
      <c r="C1260" t="s">
        <v>5470</v>
      </c>
      <c r="D1260" t="s">
        <v>4119</v>
      </c>
      <c r="E1260" t="s">
        <v>5471</v>
      </c>
      <c r="F1260" t="s">
        <v>8694</v>
      </c>
      <c r="G1260" t="s">
        <v>8692</v>
      </c>
      <c r="H1260" t="s">
        <v>5474</v>
      </c>
      <c r="I1260" t="s">
        <v>8695</v>
      </c>
      <c r="J1260" t="s">
        <v>5476</v>
      </c>
      <c r="K1260" t="s">
        <v>5471</v>
      </c>
      <c r="L1260" t="s">
        <v>5471</v>
      </c>
      <c r="M1260" t="s">
        <v>5471</v>
      </c>
    </row>
    <row r="1261" spans="1:13" x14ac:dyDescent="0.3">
      <c r="A1261" t="s">
        <v>3388</v>
      </c>
      <c r="B1261" t="s">
        <v>8656</v>
      </c>
      <c r="C1261" t="s">
        <v>5470</v>
      </c>
      <c r="D1261" t="s">
        <v>4119</v>
      </c>
      <c r="E1261" t="s">
        <v>5617</v>
      </c>
      <c r="F1261" t="s">
        <v>8696</v>
      </c>
      <c r="G1261" t="s">
        <v>8697</v>
      </c>
      <c r="H1261" t="s">
        <v>5474</v>
      </c>
      <c r="I1261" t="s">
        <v>8698</v>
      </c>
      <c r="J1261" t="s">
        <v>5476</v>
      </c>
      <c r="K1261" t="s">
        <v>5471</v>
      </c>
      <c r="L1261" t="s">
        <v>5471</v>
      </c>
      <c r="M1261" t="s">
        <v>5471</v>
      </c>
    </row>
    <row r="1262" spans="1:13" x14ac:dyDescent="0.3">
      <c r="A1262" t="s">
        <v>3388</v>
      </c>
      <c r="B1262" t="s">
        <v>8656</v>
      </c>
      <c r="C1262" t="s">
        <v>5470</v>
      </c>
      <c r="D1262" t="s">
        <v>4119</v>
      </c>
      <c r="E1262" t="s">
        <v>5617</v>
      </c>
      <c r="F1262" t="s">
        <v>8699</v>
      </c>
      <c r="G1262" t="s">
        <v>8700</v>
      </c>
      <c r="H1262" t="s">
        <v>5474</v>
      </c>
      <c r="I1262" t="s">
        <v>8701</v>
      </c>
      <c r="J1262" t="s">
        <v>5476</v>
      </c>
      <c r="K1262" t="s">
        <v>5471</v>
      </c>
      <c r="L1262" t="s">
        <v>5471</v>
      </c>
      <c r="M1262" t="s">
        <v>5471</v>
      </c>
    </row>
    <row r="1263" spans="1:13" x14ac:dyDescent="0.3">
      <c r="A1263" t="s">
        <v>3388</v>
      </c>
      <c r="B1263" t="s">
        <v>8690</v>
      </c>
      <c r="C1263" t="s">
        <v>5470</v>
      </c>
      <c r="D1263" t="s">
        <v>4119</v>
      </c>
      <c r="E1263" t="s">
        <v>5471</v>
      </c>
      <c r="F1263" t="s">
        <v>8702</v>
      </c>
      <c r="G1263" t="s">
        <v>8692</v>
      </c>
      <c r="H1263" t="s">
        <v>5474</v>
      </c>
      <c r="I1263" t="s">
        <v>8703</v>
      </c>
      <c r="J1263" t="s">
        <v>5476</v>
      </c>
      <c r="K1263" t="s">
        <v>5471</v>
      </c>
      <c r="L1263" t="s">
        <v>5471</v>
      </c>
      <c r="M1263" t="s">
        <v>5471</v>
      </c>
    </row>
    <row r="1264" spans="1:13" x14ac:dyDescent="0.3">
      <c r="A1264" t="s">
        <v>3388</v>
      </c>
      <c r="B1264" t="s">
        <v>8690</v>
      </c>
      <c r="C1264" t="s">
        <v>5470</v>
      </c>
      <c r="D1264" t="s">
        <v>4119</v>
      </c>
      <c r="E1264" t="s">
        <v>5471</v>
      </c>
      <c r="F1264" t="s">
        <v>8704</v>
      </c>
      <c r="G1264" t="s">
        <v>8692</v>
      </c>
      <c r="H1264" t="s">
        <v>5474</v>
      </c>
      <c r="I1264" t="s">
        <v>8705</v>
      </c>
      <c r="J1264" t="s">
        <v>5476</v>
      </c>
      <c r="K1264" t="s">
        <v>5471</v>
      </c>
      <c r="L1264" t="s">
        <v>5471</v>
      </c>
      <c r="M1264" t="s">
        <v>5471</v>
      </c>
    </row>
    <row r="1265" spans="1:13" x14ac:dyDescent="0.3">
      <c r="A1265" t="s">
        <v>3388</v>
      </c>
      <c r="B1265" t="s">
        <v>8656</v>
      </c>
      <c r="C1265" t="s">
        <v>5470</v>
      </c>
      <c r="D1265" t="s">
        <v>4119</v>
      </c>
      <c r="E1265" t="s">
        <v>5617</v>
      </c>
      <c r="F1265" t="s">
        <v>8706</v>
      </c>
      <c r="G1265" t="s">
        <v>8707</v>
      </c>
      <c r="H1265" t="s">
        <v>5474</v>
      </c>
      <c r="I1265" t="s">
        <v>8708</v>
      </c>
      <c r="J1265" t="s">
        <v>5476</v>
      </c>
      <c r="K1265" t="s">
        <v>5471</v>
      </c>
      <c r="L1265" t="s">
        <v>5471</v>
      </c>
      <c r="M1265" t="s">
        <v>5471</v>
      </c>
    </row>
    <row r="1266" spans="1:13" x14ac:dyDescent="0.3">
      <c r="A1266" t="s">
        <v>3388</v>
      </c>
      <c r="B1266" t="s">
        <v>8656</v>
      </c>
      <c r="C1266" t="s">
        <v>5470</v>
      </c>
      <c r="D1266" t="s">
        <v>4119</v>
      </c>
      <c r="E1266" t="s">
        <v>5617</v>
      </c>
      <c r="F1266" t="s">
        <v>8709</v>
      </c>
      <c r="G1266" t="s">
        <v>8710</v>
      </c>
      <c r="H1266" t="s">
        <v>5474</v>
      </c>
      <c r="I1266" t="s">
        <v>8711</v>
      </c>
      <c r="J1266" t="s">
        <v>5476</v>
      </c>
      <c r="K1266" t="s">
        <v>5471</v>
      </c>
      <c r="L1266" t="s">
        <v>5471</v>
      </c>
      <c r="M1266" t="s">
        <v>5471</v>
      </c>
    </row>
    <row r="1267" spans="1:13" x14ac:dyDescent="0.3">
      <c r="A1267" t="s">
        <v>3388</v>
      </c>
      <c r="B1267" t="s">
        <v>8690</v>
      </c>
      <c r="C1267" t="s">
        <v>5470</v>
      </c>
      <c r="D1267" t="s">
        <v>4119</v>
      </c>
      <c r="E1267" t="s">
        <v>5471</v>
      </c>
      <c r="F1267" t="s">
        <v>8712</v>
      </c>
      <c r="G1267" t="s">
        <v>8692</v>
      </c>
      <c r="H1267" t="s">
        <v>5474</v>
      </c>
      <c r="I1267" t="s">
        <v>8713</v>
      </c>
      <c r="J1267" t="s">
        <v>5476</v>
      </c>
      <c r="K1267" t="s">
        <v>5471</v>
      </c>
      <c r="L1267" t="s">
        <v>5471</v>
      </c>
      <c r="M1267" t="s">
        <v>5471</v>
      </c>
    </row>
    <row r="1268" spans="1:13" x14ac:dyDescent="0.3">
      <c r="A1268" t="s">
        <v>3388</v>
      </c>
      <c r="B1268" t="s">
        <v>8656</v>
      </c>
      <c r="C1268" t="s">
        <v>5470</v>
      </c>
      <c r="D1268" t="s">
        <v>4119</v>
      </c>
      <c r="E1268" t="s">
        <v>5617</v>
      </c>
      <c r="F1268" t="s">
        <v>8714</v>
      </c>
      <c r="G1268" t="s">
        <v>8715</v>
      </c>
      <c r="H1268" t="s">
        <v>5474</v>
      </c>
      <c r="I1268" t="s">
        <v>8716</v>
      </c>
      <c r="J1268" t="s">
        <v>5476</v>
      </c>
      <c r="K1268" t="s">
        <v>5471</v>
      </c>
      <c r="L1268" t="s">
        <v>5471</v>
      </c>
      <c r="M1268" t="s">
        <v>5471</v>
      </c>
    </row>
    <row r="1269" spans="1:13" x14ac:dyDescent="0.3">
      <c r="A1269" t="s">
        <v>3388</v>
      </c>
      <c r="B1269" t="s">
        <v>2749</v>
      </c>
      <c r="C1269" t="s">
        <v>5470</v>
      </c>
      <c r="D1269" t="s">
        <v>4119</v>
      </c>
      <c r="E1269" t="s">
        <v>5843</v>
      </c>
      <c r="F1269" t="s">
        <v>8717</v>
      </c>
      <c r="G1269" t="s">
        <v>7236</v>
      </c>
      <c r="H1269" t="s">
        <v>5474</v>
      </c>
      <c r="I1269" t="s">
        <v>8718</v>
      </c>
      <c r="J1269" t="s">
        <v>5476</v>
      </c>
      <c r="K1269" t="s">
        <v>5471</v>
      </c>
      <c r="L1269" t="s">
        <v>5471</v>
      </c>
      <c r="M1269" t="s">
        <v>5471</v>
      </c>
    </row>
    <row r="1270" spans="1:13" x14ac:dyDescent="0.3">
      <c r="A1270" t="s">
        <v>3388</v>
      </c>
      <c r="B1270" t="s">
        <v>8690</v>
      </c>
      <c r="C1270" t="s">
        <v>5470</v>
      </c>
      <c r="D1270" t="s">
        <v>4119</v>
      </c>
      <c r="E1270" t="s">
        <v>5471</v>
      </c>
      <c r="F1270" t="s">
        <v>8719</v>
      </c>
      <c r="G1270" t="s">
        <v>8692</v>
      </c>
      <c r="H1270" t="s">
        <v>5474</v>
      </c>
      <c r="I1270" t="s">
        <v>8720</v>
      </c>
      <c r="J1270" t="s">
        <v>5476</v>
      </c>
      <c r="K1270" t="s">
        <v>5471</v>
      </c>
      <c r="L1270" t="s">
        <v>5471</v>
      </c>
      <c r="M1270" t="s">
        <v>5471</v>
      </c>
    </row>
    <row r="1271" spans="1:13" x14ac:dyDescent="0.3">
      <c r="A1271" t="s">
        <v>3388</v>
      </c>
      <c r="B1271" t="s">
        <v>8690</v>
      </c>
      <c r="C1271" t="s">
        <v>5470</v>
      </c>
      <c r="D1271" t="s">
        <v>4119</v>
      </c>
      <c r="E1271" t="s">
        <v>5471</v>
      </c>
      <c r="F1271" t="s">
        <v>8721</v>
      </c>
      <c r="G1271" t="s">
        <v>8692</v>
      </c>
      <c r="H1271" t="s">
        <v>5474</v>
      </c>
      <c r="I1271" t="s">
        <v>8722</v>
      </c>
      <c r="J1271" t="s">
        <v>5476</v>
      </c>
      <c r="K1271" t="s">
        <v>5471</v>
      </c>
      <c r="L1271" t="s">
        <v>5471</v>
      </c>
      <c r="M1271" t="s">
        <v>5471</v>
      </c>
    </row>
    <row r="1272" spans="1:13" x14ac:dyDescent="0.3">
      <c r="A1272" t="s">
        <v>3388</v>
      </c>
      <c r="B1272" t="s">
        <v>8723</v>
      </c>
      <c r="C1272" t="s">
        <v>5470</v>
      </c>
      <c r="D1272" t="s">
        <v>4119</v>
      </c>
      <c r="E1272" t="s">
        <v>5471</v>
      </c>
      <c r="F1272" t="s">
        <v>8724</v>
      </c>
      <c r="G1272" t="s">
        <v>8725</v>
      </c>
      <c r="H1272" t="s">
        <v>5474</v>
      </c>
      <c r="I1272" t="s">
        <v>8726</v>
      </c>
      <c r="J1272" t="s">
        <v>5476</v>
      </c>
      <c r="K1272" t="s">
        <v>5471</v>
      </c>
      <c r="L1272" t="s">
        <v>5471</v>
      </c>
      <c r="M1272" t="s">
        <v>5471</v>
      </c>
    </row>
    <row r="1273" spans="1:13" x14ac:dyDescent="0.3">
      <c r="A1273" t="s">
        <v>3388</v>
      </c>
      <c r="B1273" t="s">
        <v>8690</v>
      </c>
      <c r="C1273" t="s">
        <v>5470</v>
      </c>
      <c r="D1273" t="s">
        <v>4119</v>
      </c>
      <c r="E1273" t="s">
        <v>5471</v>
      </c>
      <c r="F1273" t="s">
        <v>8727</v>
      </c>
      <c r="G1273" t="s">
        <v>8692</v>
      </c>
      <c r="H1273" t="s">
        <v>5474</v>
      </c>
      <c r="I1273" t="s">
        <v>8728</v>
      </c>
      <c r="J1273" t="s">
        <v>5476</v>
      </c>
      <c r="K1273" t="s">
        <v>5471</v>
      </c>
      <c r="L1273" t="s">
        <v>5471</v>
      </c>
      <c r="M1273" t="s">
        <v>5471</v>
      </c>
    </row>
    <row r="1274" spans="1:13" x14ac:dyDescent="0.3">
      <c r="A1274" t="s">
        <v>3388</v>
      </c>
      <c r="B1274" t="s">
        <v>8723</v>
      </c>
      <c r="C1274" t="s">
        <v>5470</v>
      </c>
      <c r="D1274" t="s">
        <v>4119</v>
      </c>
      <c r="E1274" t="s">
        <v>5471</v>
      </c>
      <c r="F1274" t="s">
        <v>8729</v>
      </c>
      <c r="G1274" t="s">
        <v>8725</v>
      </c>
      <c r="H1274" t="s">
        <v>5474</v>
      </c>
      <c r="I1274" t="s">
        <v>8730</v>
      </c>
      <c r="J1274" t="s">
        <v>5476</v>
      </c>
      <c r="K1274" t="s">
        <v>5471</v>
      </c>
      <c r="L1274" t="s">
        <v>5471</v>
      </c>
      <c r="M1274" t="s">
        <v>5471</v>
      </c>
    </row>
    <row r="1275" spans="1:13" x14ac:dyDescent="0.3">
      <c r="A1275" t="s">
        <v>3388</v>
      </c>
      <c r="B1275" t="s">
        <v>2749</v>
      </c>
      <c r="C1275" t="s">
        <v>5470</v>
      </c>
      <c r="D1275" t="s">
        <v>4119</v>
      </c>
      <c r="E1275" t="s">
        <v>5843</v>
      </c>
      <c r="F1275" t="s">
        <v>8731</v>
      </c>
      <c r="G1275" t="s">
        <v>8732</v>
      </c>
      <c r="H1275" t="s">
        <v>5474</v>
      </c>
      <c r="I1275" t="s">
        <v>8733</v>
      </c>
      <c r="J1275" t="s">
        <v>5476</v>
      </c>
      <c r="K1275" t="s">
        <v>5471</v>
      </c>
      <c r="L1275" t="s">
        <v>5471</v>
      </c>
      <c r="M1275" t="s">
        <v>5471</v>
      </c>
    </row>
    <row r="1276" spans="1:13" x14ac:dyDescent="0.3">
      <c r="A1276" t="s">
        <v>3388</v>
      </c>
      <c r="B1276" t="s">
        <v>8723</v>
      </c>
      <c r="C1276" t="s">
        <v>5470</v>
      </c>
      <c r="D1276" t="s">
        <v>4119</v>
      </c>
      <c r="E1276" t="s">
        <v>5471</v>
      </c>
      <c r="F1276" t="s">
        <v>8734</v>
      </c>
      <c r="G1276" t="s">
        <v>8725</v>
      </c>
      <c r="H1276" t="s">
        <v>5474</v>
      </c>
      <c r="I1276" t="s">
        <v>8735</v>
      </c>
      <c r="J1276" t="s">
        <v>5476</v>
      </c>
      <c r="K1276" t="s">
        <v>5471</v>
      </c>
      <c r="L1276" t="s">
        <v>5471</v>
      </c>
      <c r="M1276" t="s">
        <v>5471</v>
      </c>
    </row>
    <row r="1277" spans="1:13" x14ac:dyDescent="0.3">
      <c r="A1277" t="s">
        <v>3388</v>
      </c>
      <c r="B1277" t="s">
        <v>8723</v>
      </c>
      <c r="C1277" t="s">
        <v>5470</v>
      </c>
      <c r="D1277" t="s">
        <v>4119</v>
      </c>
      <c r="E1277" t="s">
        <v>5471</v>
      </c>
      <c r="F1277" t="s">
        <v>8736</v>
      </c>
      <c r="G1277" t="s">
        <v>8725</v>
      </c>
      <c r="H1277" t="s">
        <v>5474</v>
      </c>
      <c r="I1277" t="s">
        <v>8737</v>
      </c>
      <c r="J1277" t="s">
        <v>5476</v>
      </c>
      <c r="K1277" t="s">
        <v>5471</v>
      </c>
      <c r="L1277" t="s">
        <v>5471</v>
      </c>
      <c r="M1277" t="s">
        <v>5471</v>
      </c>
    </row>
    <row r="1278" spans="1:13" x14ac:dyDescent="0.3">
      <c r="A1278" t="s">
        <v>3388</v>
      </c>
      <c r="B1278" t="s">
        <v>8738</v>
      </c>
      <c r="C1278" t="s">
        <v>5470</v>
      </c>
      <c r="D1278" t="s">
        <v>4119</v>
      </c>
      <c r="E1278" t="s">
        <v>5471</v>
      </c>
      <c r="F1278" t="s">
        <v>8724</v>
      </c>
      <c r="G1278" t="s">
        <v>8739</v>
      </c>
      <c r="H1278" t="s">
        <v>5474</v>
      </c>
      <c r="I1278" t="s">
        <v>8740</v>
      </c>
      <c r="J1278" t="s">
        <v>5476</v>
      </c>
      <c r="K1278" t="s">
        <v>5471</v>
      </c>
      <c r="L1278" t="s">
        <v>5471</v>
      </c>
      <c r="M1278" t="s">
        <v>5471</v>
      </c>
    </row>
    <row r="1279" spans="1:13" x14ac:dyDescent="0.3">
      <c r="A1279" t="s">
        <v>3388</v>
      </c>
      <c r="B1279" t="s">
        <v>8723</v>
      </c>
      <c r="C1279" t="s">
        <v>5470</v>
      </c>
      <c r="D1279" t="s">
        <v>4119</v>
      </c>
      <c r="E1279" t="s">
        <v>5471</v>
      </c>
      <c r="F1279" t="s">
        <v>8741</v>
      </c>
      <c r="G1279" t="s">
        <v>8725</v>
      </c>
      <c r="H1279" t="s">
        <v>5474</v>
      </c>
      <c r="I1279" t="s">
        <v>8742</v>
      </c>
      <c r="J1279" t="s">
        <v>5476</v>
      </c>
      <c r="K1279" t="s">
        <v>5471</v>
      </c>
      <c r="L1279" t="s">
        <v>5471</v>
      </c>
      <c r="M1279" t="s">
        <v>5471</v>
      </c>
    </row>
    <row r="1280" spans="1:13" x14ac:dyDescent="0.3">
      <c r="A1280" t="s">
        <v>3388</v>
      </c>
      <c r="B1280" t="s">
        <v>8738</v>
      </c>
      <c r="C1280" t="s">
        <v>5470</v>
      </c>
      <c r="D1280" t="s">
        <v>4119</v>
      </c>
      <c r="E1280" t="s">
        <v>5471</v>
      </c>
      <c r="F1280" t="s">
        <v>8734</v>
      </c>
      <c r="G1280" t="s">
        <v>8739</v>
      </c>
      <c r="H1280" t="s">
        <v>5474</v>
      </c>
      <c r="I1280" t="s">
        <v>8743</v>
      </c>
      <c r="J1280" t="s">
        <v>5476</v>
      </c>
      <c r="K1280" t="s">
        <v>5471</v>
      </c>
      <c r="L1280" t="s">
        <v>5471</v>
      </c>
      <c r="M1280" t="s">
        <v>5471</v>
      </c>
    </row>
    <row r="1281" spans="1:13" x14ac:dyDescent="0.3">
      <c r="A1281" t="s">
        <v>3388</v>
      </c>
      <c r="B1281" t="s">
        <v>8723</v>
      </c>
      <c r="C1281" t="s">
        <v>5470</v>
      </c>
      <c r="D1281" t="s">
        <v>4119</v>
      </c>
      <c r="E1281" t="s">
        <v>5471</v>
      </c>
      <c r="F1281" t="s">
        <v>8744</v>
      </c>
      <c r="G1281" t="s">
        <v>8725</v>
      </c>
      <c r="H1281" t="s">
        <v>5474</v>
      </c>
      <c r="I1281" t="s">
        <v>8745</v>
      </c>
      <c r="J1281" t="s">
        <v>5476</v>
      </c>
      <c r="K1281" t="s">
        <v>5471</v>
      </c>
      <c r="L1281" t="s">
        <v>5471</v>
      </c>
      <c r="M1281" t="s">
        <v>5471</v>
      </c>
    </row>
    <row r="1282" spans="1:13" x14ac:dyDescent="0.3">
      <c r="A1282" t="s">
        <v>3388</v>
      </c>
      <c r="B1282" t="s">
        <v>8738</v>
      </c>
      <c r="C1282" t="s">
        <v>5470</v>
      </c>
      <c r="D1282" t="s">
        <v>4119</v>
      </c>
      <c r="E1282" t="s">
        <v>5471</v>
      </c>
      <c r="F1282" t="s">
        <v>8746</v>
      </c>
      <c r="G1282" t="s">
        <v>8739</v>
      </c>
      <c r="H1282" t="s">
        <v>5474</v>
      </c>
      <c r="I1282" t="s">
        <v>8747</v>
      </c>
      <c r="J1282" t="s">
        <v>5476</v>
      </c>
      <c r="K1282" t="s">
        <v>5471</v>
      </c>
      <c r="L1282" t="s">
        <v>5471</v>
      </c>
      <c r="M1282" t="s">
        <v>5471</v>
      </c>
    </row>
    <row r="1283" spans="1:13" x14ac:dyDescent="0.3">
      <c r="A1283" t="s">
        <v>3388</v>
      </c>
      <c r="B1283" t="s">
        <v>6452</v>
      </c>
      <c r="C1283" t="s">
        <v>5470</v>
      </c>
      <c r="D1283" t="s">
        <v>4119</v>
      </c>
      <c r="E1283" t="s">
        <v>5532</v>
      </c>
      <c r="F1283" t="s">
        <v>8748</v>
      </c>
      <c r="G1283" t="s">
        <v>8749</v>
      </c>
      <c r="H1283" t="s">
        <v>5474</v>
      </c>
      <c r="I1283" t="s">
        <v>8750</v>
      </c>
      <c r="J1283" t="s">
        <v>5484</v>
      </c>
      <c r="K1283" t="s">
        <v>5471</v>
      </c>
      <c r="L1283" t="s">
        <v>5471</v>
      </c>
      <c r="M1283" t="s">
        <v>5471</v>
      </c>
    </row>
    <row r="1284" spans="1:13" x14ac:dyDescent="0.3">
      <c r="A1284" t="s">
        <v>3388</v>
      </c>
      <c r="B1284" t="s">
        <v>8738</v>
      </c>
      <c r="C1284" t="s">
        <v>5470</v>
      </c>
      <c r="D1284" t="s">
        <v>4119</v>
      </c>
      <c r="E1284" t="s">
        <v>5471</v>
      </c>
      <c r="F1284" t="s">
        <v>8736</v>
      </c>
      <c r="G1284" t="s">
        <v>8739</v>
      </c>
      <c r="H1284" t="s">
        <v>5474</v>
      </c>
      <c r="I1284" t="s">
        <v>8751</v>
      </c>
      <c r="J1284" t="s">
        <v>5476</v>
      </c>
      <c r="K1284" t="s">
        <v>5471</v>
      </c>
      <c r="L1284" t="s">
        <v>5471</v>
      </c>
      <c r="M1284" t="s">
        <v>5471</v>
      </c>
    </row>
    <row r="1285" spans="1:13" x14ac:dyDescent="0.3">
      <c r="A1285" t="s">
        <v>3388</v>
      </c>
      <c r="B1285" t="s">
        <v>8738</v>
      </c>
      <c r="C1285" t="s">
        <v>5470</v>
      </c>
      <c r="D1285" t="s">
        <v>4119</v>
      </c>
      <c r="E1285" t="s">
        <v>5471</v>
      </c>
      <c r="F1285" t="s">
        <v>8729</v>
      </c>
      <c r="G1285" t="s">
        <v>8739</v>
      </c>
      <c r="H1285" t="s">
        <v>5474</v>
      </c>
      <c r="I1285" t="s">
        <v>8752</v>
      </c>
      <c r="J1285" t="s">
        <v>5476</v>
      </c>
      <c r="K1285" t="s">
        <v>5471</v>
      </c>
      <c r="L1285" t="s">
        <v>5471</v>
      </c>
      <c r="M1285" t="s">
        <v>5471</v>
      </c>
    </row>
    <row r="1286" spans="1:13" x14ac:dyDescent="0.3">
      <c r="A1286" t="s">
        <v>3388</v>
      </c>
      <c r="B1286" t="s">
        <v>8738</v>
      </c>
      <c r="C1286" t="s">
        <v>5470</v>
      </c>
      <c r="D1286" t="s">
        <v>4119</v>
      </c>
      <c r="E1286" t="s">
        <v>5471</v>
      </c>
      <c r="F1286" t="s">
        <v>8741</v>
      </c>
      <c r="G1286" t="s">
        <v>8739</v>
      </c>
      <c r="H1286" t="s">
        <v>5474</v>
      </c>
      <c r="I1286" t="s">
        <v>8753</v>
      </c>
      <c r="J1286" t="s">
        <v>5476</v>
      </c>
      <c r="K1286" t="s">
        <v>5471</v>
      </c>
      <c r="L1286" t="s">
        <v>5471</v>
      </c>
      <c r="M1286" t="s">
        <v>5471</v>
      </c>
    </row>
    <row r="1287" spans="1:13" x14ac:dyDescent="0.3">
      <c r="A1287" t="s">
        <v>3388</v>
      </c>
      <c r="B1287" t="s">
        <v>7893</v>
      </c>
      <c r="C1287" t="s">
        <v>5470</v>
      </c>
      <c r="D1287" t="s">
        <v>4119</v>
      </c>
      <c r="E1287" t="s">
        <v>5471</v>
      </c>
      <c r="F1287" t="s">
        <v>8754</v>
      </c>
      <c r="G1287" t="s">
        <v>7898</v>
      </c>
      <c r="H1287" t="s">
        <v>5474</v>
      </c>
      <c r="I1287" t="s">
        <v>8755</v>
      </c>
      <c r="J1287" t="s">
        <v>5476</v>
      </c>
      <c r="K1287" t="s">
        <v>5471</v>
      </c>
      <c r="L1287" t="s">
        <v>5471</v>
      </c>
      <c r="M1287" t="s">
        <v>5471</v>
      </c>
    </row>
    <row r="1288" spans="1:13" x14ac:dyDescent="0.3">
      <c r="A1288" t="s">
        <v>3388</v>
      </c>
      <c r="B1288" t="s">
        <v>6452</v>
      </c>
      <c r="C1288" t="s">
        <v>5470</v>
      </c>
      <c r="D1288" t="s">
        <v>4119</v>
      </c>
      <c r="E1288" t="s">
        <v>5532</v>
      </c>
      <c r="F1288" t="s">
        <v>8756</v>
      </c>
      <c r="G1288" t="s">
        <v>8757</v>
      </c>
      <c r="H1288" t="s">
        <v>5474</v>
      </c>
      <c r="I1288" t="s">
        <v>8758</v>
      </c>
      <c r="J1288" t="s">
        <v>5484</v>
      </c>
      <c r="K1288" t="s">
        <v>5471</v>
      </c>
      <c r="L1288" t="s">
        <v>5471</v>
      </c>
      <c r="M1288" t="s">
        <v>5471</v>
      </c>
    </row>
    <row r="1289" spans="1:13" x14ac:dyDescent="0.3">
      <c r="A1289" t="s">
        <v>3388</v>
      </c>
      <c r="B1289" t="s">
        <v>7893</v>
      </c>
      <c r="C1289" t="s">
        <v>5470</v>
      </c>
      <c r="D1289" t="s">
        <v>4119</v>
      </c>
      <c r="E1289" t="s">
        <v>5471</v>
      </c>
      <c r="F1289" t="s">
        <v>8759</v>
      </c>
      <c r="G1289" t="s">
        <v>7898</v>
      </c>
      <c r="H1289" t="s">
        <v>5474</v>
      </c>
      <c r="I1289" t="s">
        <v>8760</v>
      </c>
      <c r="J1289" t="s">
        <v>5476</v>
      </c>
      <c r="K1289" t="s">
        <v>5471</v>
      </c>
      <c r="L1289" t="s">
        <v>5471</v>
      </c>
      <c r="M1289" t="s">
        <v>5471</v>
      </c>
    </row>
    <row r="1290" spans="1:13" x14ac:dyDescent="0.3">
      <c r="A1290" t="s">
        <v>3388</v>
      </c>
      <c r="B1290" t="s">
        <v>7893</v>
      </c>
      <c r="C1290" t="s">
        <v>5470</v>
      </c>
      <c r="D1290" t="s">
        <v>4119</v>
      </c>
      <c r="E1290" t="s">
        <v>5471</v>
      </c>
      <c r="F1290" t="s">
        <v>8761</v>
      </c>
      <c r="G1290" t="s">
        <v>7898</v>
      </c>
      <c r="H1290" t="s">
        <v>5474</v>
      </c>
      <c r="I1290" t="s">
        <v>8762</v>
      </c>
      <c r="J1290" t="s">
        <v>5476</v>
      </c>
      <c r="K1290" t="s">
        <v>5471</v>
      </c>
      <c r="L1290" t="s">
        <v>5471</v>
      </c>
      <c r="M1290" t="s">
        <v>5471</v>
      </c>
    </row>
    <row r="1291" spans="1:13" x14ac:dyDescent="0.3">
      <c r="A1291" t="s">
        <v>3388</v>
      </c>
      <c r="B1291" t="s">
        <v>7893</v>
      </c>
      <c r="C1291" t="s">
        <v>5470</v>
      </c>
      <c r="D1291" t="s">
        <v>4119</v>
      </c>
      <c r="E1291" t="s">
        <v>5471</v>
      </c>
      <c r="F1291" t="s">
        <v>8763</v>
      </c>
      <c r="G1291" t="s">
        <v>7898</v>
      </c>
      <c r="H1291" t="s">
        <v>5474</v>
      </c>
      <c r="I1291" t="s">
        <v>8764</v>
      </c>
      <c r="J1291" t="s">
        <v>5476</v>
      </c>
      <c r="K1291" t="s">
        <v>5471</v>
      </c>
      <c r="L1291" t="s">
        <v>5471</v>
      </c>
      <c r="M1291" t="s">
        <v>5471</v>
      </c>
    </row>
    <row r="1292" spans="1:13" x14ac:dyDescent="0.3">
      <c r="A1292" t="s">
        <v>3388</v>
      </c>
      <c r="B1292" t="s">
        <v>7893</v>
      </c>
      <c r="C1292" t="s">
        <v>5470</v>
      </c>
      <c r="D1292" t="s">
        <v>4119</v>
      </c>
      <c r="E1292" t="s">
        <v>5471</v>
      </c>
      <c r="F1292" t="s">
        <v>8765</v>
      </c>
      <c r="G1292" t="s">
        <v>7898</v>
      </c>
      <c r="H1292" t="s">
        <v>5474</v>
      </c>
      <c r="I1292" t="s">
        <v>8766</v>
      </c>
      <c r="J1292" t="s">
        <v>5476</v>
      </c>
      <c r="K1292" t="s">
        <v>5471</v>
      </c>
      <c r="L1292" t="s">
        <v>5471</v>
      </c>
      <c r="M1292" t="s">
        <v>5471</v>
      </c>
    </row>
    <row r="1293" spans="1:13" x14ac:dyDescent="0.3">
      <c r="A1293" t="s">
        <v>3388</v>
      </c>
      <c r="B1293" t="s">
        <v>7893</v>
      </c>
      <c r="C1293" t="s">
        <v>5470</v>
      </c>
      <c r="D1293" t="s">
        <v>4119</v>
      </c>
      <c r="E1293" t="s">
        <v>5471</v>
      </c>
      <c r="F1293" t="s">
        <v>8767</v>
      </c>
      <c r="G1293" t="s">
        <v>7898</v>
      </c>
      <c r="H1293" t="s">
        <v>5474</v>
      </c>
      <c r="I1293" t="s">
        <v>8768</v>
      </c>
      <c r="J1293" t="s">
        <v>5476</v>
      </c>
      <c r="K1293" t="s">
        <v>5471</v>
      </c>
      <c r="L1293" t="s">
        <v>5471</v>
      </c>
      <c r="M1293" t="s">
        <v>5471</v>
      </c>
    </row>
    <row r="1294" spans="1:13" x14ac:dyDescent="0.3">
      <c r="A1294" t="s">
        <v>3388</v>
      </c>
      <c r="B1294" t="s">
        <v>7893</v>
      </c>
      <c r="C1294" t="s">
        <v>5470</v>
      </c>
      <c r="D1294" t="s">
        <v>4119</v>
      </c>
      <c r="E1294" t="s">
        <v>5471</v>
      </c>
      <c r="F1294" t="s">
        <v>8769</v>
      </c>
      <c r="G1294" t="s">
        <v>7898</v>
      </c>
      <c r="H1294" t="s">
        <v>5474</v>
      </c>
      <c r="I1294" t="s">
        <v>8770</v>
      </c>
      <c r="J1294" t="s">
        <v>5476</v>
      </c>
      <c r="K1294" t="s">
        <v>5471</v>
      </c>
      <c r="L1294" t="s">
        <v>5471</v>
      </c>
      <c r="M1294" t="s">
        <v>5471</v>
      </c>
    </row>
    <row r="1295" spans="1:13" x14ac:dyDescent="0.3">
      <c r="A1295" t="s">
        <v>3388</v>
      </c>
      <c r="B1295" t="s">
        <v>7893</v>
      </c>
      <c r="C1295" t="s">
        <v>5470</v>
      </c>
      <c r="D1295" t="s">
        <v>4119</v>
      </c>
      <c r="E1295" t="s">
        <v>5471</v>
      </c>
      <c r="F1295" t="s">
        <v>8763</v>
      </c>
      <c r="G1295" t="s">
        <v>7895</v>
      </c>
      <c r="H1295" t="s">
        <v>5474</v>
      </c>
      <c r="I1295" t="s">
        <v>8771</v>
      </c>
      <c r="J1295" t="s">
        <v>5476</v>
      </c>
      <c r="K1295" t="s">
        <v>5471</v>
      </c>
      <c r="L1295" t="s">
        <v>5471</v>
      </c>
      <c r="M1295" t="s">
        <v>5471</v>
      </c>
    </row>
    <row r="1296" spans="1:13" x14ac:dyDescent="0.3">
      <c r="A1296" t="s">
        <v>3388</v>
      </c>
      <c r="B1296" t="s">
        <v>7893</v>
      </c>
      <c r="C1296" t="s">
        <v>5470</v>
      </c>
      <c r="D1296" t="s">
        <v>4119</v>
      </c>
      <c r="E1296" t="s">
        <v>5471</v>
      </c>
      <c r="F1296" t="s">
        <v>8772</v>
      </c>
      <c r="G1296" t="s">
        <v>7898</v>
      </c>
      <c r="H1296" t="s">
        <v>5474</v>
      </c>
      <c r="I1296" t="s">
        <v>8773</v>
      </c>
      <c r="J1296" t="s">
        <v>5476</v>
      </c>
      <c r="K1296" t="s">
        <v>5471</v>
      </c>
      <c r="L1296" t="s">
        <v>5471</v>
      </c>
      <c r="M1296" t="s">
        <v>5471</v>
      </c>
    </row>
    <row r="1297" spans="1:13" x14ac:dyDescent="0.3">
      <c r="A1297" t="s">
        <v>3388</v>
      </c>
      <c r="B1297" t="s">
        <v>7893</v>
      </c>
      <c r="C1297" t="s">
        <v>5470</v>
      </c>
      <c r="D1297" t="s">
        <v>4119</v>
      </c>
      <c r="E1297" t="s">
        <v>5471</v>
      </c>
      <c r="F1297" t="s">
        <v>8765</v>
      </c>
      <c r="G1297" t="s">
        <v>7895</v>
      </c>
      <c r="H1297" t="s">
        <v>5474</v>
      </c>
      <c r="I1297" t="s">
        <v>8774</v>
      </c>
      <c r="J1297" t="s">
        <v>5476</v>
      </c>
      <c r="K1297" t="s">
        <v>5471</v>
      </c>
      <c r="L1297" t="s">
        <v>5471</v>
      </c>
      <c r="M1297" t="s">
        <v>5471</v>
      </c>
    </row>
    <row r="1298" spans="1:13" x14ac:dyDescent="0.3">
      <c r="A1298" t="s">
        <v>3388</v>
      </c>
      <c r="B1298" t="s">
        <v>7893</v>
      </c>
      <c r="C1298" t="s">
        <v>5470</v>
      </c>
      <c r="D1298" t="s">
        <v>4119</v>
      </c>
      <c r="E1298" t="s">
        <v>5471</v>
      </c>
      <c r="F1298" t="s">
        <v>8767</v>
      </c>
      <c r="G1298" t="s">
        <v>7895</v>
      </c>
      <c r="H1298" t="s">
        <v>5474</v>
      </c>
      <c r="I1298" t="s">
        <v>8775</v>
      </c>
      <c r="J1298" t="s">
        <v>5476</v>
      </c>
      <c r="K1298" t="s">
        <v>5471</v>
      </c>
      <c r="L1298" t="s">
        <v>5471</v>
      </c>
      <c r="M1298" t="s">
        <v>5471</v>
      </c>
    </row>
    <row r="1299" spans="1:13" x14ac:dyDescent="0.3">
      <c r="A1299" t="s">
        <v>3388</v>
      </c>
      <c r="B1299" t="s">
        <v>7893</v>
      </c>
      <c r="C1299" t="s">
        <v>5470</v>
      </c>
      <c r="D1299" t="s">
        <v>4119</v>
      </c>
      <c r="E1299" t="s">
        <v>5471</v>
      </c>
      <c r="F1299" t="s">
        <v>8761</v>
      </c>
      <c r="G1299" t="s">
        <v>7895</v>
      </c>
      <c r="H1299" t="s">
        <v>5474</v>
      </c>
      <c r="I1299" t="s">
        <v>8776</v>
      </c>
      <c r="J1299" t="s">
        <v>5476</v>
      </c>
      <c r="K1299" t="s">
        <v>5471</v>
      </c>
      <c r="L1299" t="s">
        <v>5471</v>
      </c>
      <c r="M1299" t="s">
        <v>5471</v>
      </c>
    </row>
    <row r="1300" spans="1:13" x14ac:dyDescent="0.3">
      <c r="A1300" t="s">
        <v>3388</v>
      </c>
      <c r="B1300" t="s">
        <v>6452</v>
      </c>
      <c r="C1300" t="s">
        <v>5470</v>
      </c>
      <c r="D1300" t="s">
        <v>4119</v>
      </c>
      <c r="E1300" t="s">
        <v>5756</v>
      </c>
      <c r="F1300" t="s">
        <v>8777</v>
      </c>
      <c r="G1300" t="s">
        <v>8778</v>
      </c>
      <c r="H1300" t="s">
        <v>5474</v>
      </c>
      <c r="I1300" t="s">
        <v>8779</v>
      </c>
      <c r="J1300" t="s">
        <v>5484</v>
      </c>
      <c r="K1300" t="s">
        <v>5471</v>
      </c>
      <c r="L1300" t="s">
        <v>5471</v>
      </c>
      <c r="M1300" t="s">
        <v>5471</v>
      </c>
    </row>
    <row r="1301" spans="1:13" x14ac:dyDescent="0.3">
      <c r="A1301" t="s">
        <v>3388</v>
      </c>
      <c r="B1301" t="s">
        <v>6452</v>
      </c>
      <c r="C1301" t="s">
        <v>5470</v>
      </c>
      <c r="D1301" t="s">
        <v>4119</v>
      </c>
      <c r="E1301" t="s">
        <v>5756</v>
      </c>
      <c r="F1301" t="s">
        <v>8780</v>
      </c>
      <c r="G1301" t="s">
        <v>8781</v>
      </c>
      <c r="H1301" t="s">
        <v>5474</v>
      </c>
      <c r="I1301" t="s">
        <v>8782</v>
      </c>
      <c r="J1301" t="s">
        <v>5484</v>
      </c>
      <c r="K1301" t="s">
        <v>5471</v>
      </c>
      <c r="L1301" t="s">
        <v>5471</v>
      </c>
      <c r="M1301" t="s">
        <v>5471</v>
      </c>
    </row>
    <row r="1302" spans="1:13" x14ac:dyDescent="0.3">
      <c r="A1302" t="s">
        <v>3388</v>
      </c>
      <c r="B1302" t="s">
        <v>6452</v>
      </c>
      <c r="C1302" t="s">
        <v>5470</v>
      </c>
      <c r="D1302" t="s">
        <v>4119</v>
      </c>
      <c r="E1302" t="s">
        <v>5756</v>
      </c>
      <c r="F1302" t="s">
        <v>8783</v>
      </c>
      <c r="G1302" t="s">
        <v>8784</v>
      </c>
      <c r="H1302" t="s">
        <v>5474</v>
      </c>
      <c r="I1302" t="s">
        <v>8785</v>
      </c>
      <c r="J1302" t="s">
        <v>5484</v>
      </c>
      <c r="K1302" t="s">
        <v>5471</v>
      </c>
      <c r="L1302" t="s">
        <v>5471</v>
      </c>
      <c r="M1302" t="s">
        <v>5471</v>
      </c>
    </row>
    <row r="1303" spans="1:13" x14ac:dyDescent="0.3">
      <c r="A1303" t="s">
        <v>3388</v>
      </c>
      <c r="B1303" t="s">
        <v>7893</v>
      </c>
      <c r="C1303" t="s">
        <v>5470</v>
      </c>
      <c r="D1303" t="s">
        <v>4119</v>
      </c>
      <c r="E1303" t="s">
        <v>5471</v>
      </c>
      <c r="F1303" t="s">
        <v>8754</v>
      </c>
      <c r="G1303" t="s">
        <v>7895</v>
      </c>
      <c r="H1303" t="s">
        <v>5474</v>
      </c>
      <c r="I1303" t="s">
        <v>8786</v>
      </c>
      <c r="J1303" t="s">
        <v>5476</v>
      </c>
      <c r="K1303" t="s">
        <v>5471</v>
      </c>
      <c r="L1303" t="s">
        <v>5471</v>
      </c>
      <c r="M1303" t="s">
        <v>5471</v>
      </c>
    </row>
    <row r="1304" spans="1:13" x14ac:dyDescent="0.3">
      <c r="A1304" t="s">
        <v>3388</v>
      </c>
      <c r="B1304" t="s">
        <v>5956</v>
      </c>
      <c r="C1304" t="s">
        <v>5470</v>
      </c>
      <c r="D1304" t="s">
        <v>4119</v>
      </c>
      <c r="E1304" t="s">
        <v>5532</v>
      </c>
      <c r="F1304" t="s">
        <v>8787</v>
      </c>
      <c r="G1304" t="s">
        <v>8575</v>
      </c>
      <c r="H1304" t="s">
        <v>5474</v>
      </c>
      <c r="I1304" t="s">
        <v>8788</v>
      </c>
      <c r="J1304" t="s">
        <v>5484</v>
      </c>
      <c r="K1304" t="s">
        <v>5471</v>
      </c>
      <c r="L1304" t="s">
        <v>5471</v>
      </c>
      <c r="M1304" t="s">
        <v>5471</v>
      </c>
    </row>
    <row r="1305" spans="1:13" x14ac:dyDescent="0.3">
      <c r="A1305" t="s">
        <v>3388</v>
      </c>
      <c r="B1305" t="s">
        <v>5956</v>
      </c>
      <c r="C1305" t="s">
        <v>5470</v>
      </c>
      <c r="D1305" t="s">
        <v>4119</v>
      </c>
      <c r="E1305" t="s">
        <v>5532</v>
      </c>
      <c r="F1305" t="s">
        <v>8789</v>
      </c>
      <c r="G1305" t="s">
        <v>8790</v>
      </c>
      <c r="H1305" t="s">
        <v>5474</v>
      </c>
      <c r="I1305" t="s">
        <v>8791</v>
      </c>
      <c r="J1305" t="s">
        <v>5484</v>
      </c>
      <c r="K1305" t="s">
        <v>5471</v>
      </c>
      <c r="L1305" t="s">
        <v>5471</v>
      </c>
      <c r="M1305" t="s">
        <v>5471</v>
      </c>
    </row>
    <row r="1306" spans="1:13" x14ac:dyDescent="0.3">
      <c r="A1306" t="s">
        <v>3388</v>
      </c>
      <c r="B1306" t="s">
        <v>5956</v>
      </c>
      <c r="C1306" t="s">
        <v>5470</v>
      </c>
      <c r="D1306" t="s">
        <v>4119</v>
      </c>
      <c r="E1306" t="s">
        <v>5532</v>
      </c>
      <c r="F1306" t="s">
        <v>8792</v>
      </c>
      <c r="G1306" t="s">
        <v>8575</v>
      </c>
      <c r="H1306" t="s">
        <v>5474</v>
      </c>
      <c r="I1306" t="s">
        <v>8793</v>
      </c>
      <c r="J1306" t="s">
        <v>5484</v>
      </c>
      <c r="K1306" t="s">
        <v>5471</v>
      </c>
      <c r="L1306" t="s">
        <v>5471</v>
      </c>
      <c r="M1306" t="s">
        <v>5471</v>
      </c>
    </row>
    <row r="1307" spans="1:13" x14ac:dyDescent="0.3">
      <c r="A1307" t="s">
        <v>3388</v>
      </c>
      <c r="B1307" t="s">
        <v>7893</v>
      </c>
      <c r="C1307" t="s">
        <v>5470</v>
      </c>
      <c r="D1307" t="s">
        <v>4119</v>
      </c>
      <c r="E1307" t="s">
        <v>5471</v>
      </c>
      <c r="F1307" t="s">
        <v>8794</v>
      </c>
      <c r="G1307" t="s">
        <v>7895</v>
      </c>
      <c r="H1307" t="s">
        <v>5474</v>
      </c>
      <c r="I1307" t="s">
        <v>8795</v>
      </c>
      <c r="J1307" t="s">
        <v>5476</v>
      </c>
      <c r="K1307" t="s">
        <v>5471</v>
      </c>
      <c r="L1307" t="s">
        <v>5471</v>
      </c>
      <c r="M1307" t="s">
        <v>5471</v>
      </c>
    </row>
    <row r="1308" spans="1:13" x14ac:dyDescent="0.3">
      <c r="A1308" t="s">
        <v>3388</v>
      </c>
      <c r="B1308" t="s">
        <v>7893</v>
      </c>
      <c r="C1308" t="s">
        <v>5470</v>
      </c>
      <c r="D1308" t="s">
        <v>4119</v>
      </c>
      <c r="E1308" t="s">
        <v>5471</v>
      </c>
      <c r="F1308" t="s">
        <v>8796</v>
      </c>
      <c r="G1308" t="s">
        <v>7895</v>
      </c>
      <c r="H1308" t="s">
        <v>5474</v>
      </c>
      <c r="I1308" t="s">
        <v>8797</v>
      </c>
      <c r="J1308" t="s">
        <v>5476</v>
      </c>
      <c r="K1308" t="s">
        <v>5471</v>
      </c>
      <c r="L1308" t="s">
        <v>5471</v>
      </c>
      <c r="M1308" t="s">
        <v>5471</v>
      </c>
    </row>
    <row r="1309" spans="1:13" x14ac:dyDescent="0.3">
      <c r="A1309" t="s">
        <v>3388</v>
      </c>
      <c r="B1309" t="s">
        <v>7893</v>
      </c>
      <c r="C1309" t="s">
        <v>5470</v>
      </c>
      <c r="D1309" t="s">
        <v>4119</v>
      </c>
      <c r="E1309" t="s">
        <v>5471</v>
      </c>
      <c r="F1309" t="s">
        <v>8759</v>
      </c>
      <c r="G1309" t="s">
        <v>7895</v>
      </c>
      <c r="H1309" t="s">
        <v>5474</v>
      </c>
      <c r="I1309" t="s">
        <v>8798</v>
      </c>
      <c r="J1309" t="s">
        <v>5476</v>
      </c>
      <c r="K1309" t="s">
        <v>5471</v>
      </c>
      <c r="L1309" t="s">
        <v>5471</v>
      </c>
      <c r="M1309" t="s">
        <v>5471</v>
      </c>
    </row>
    <row r="1310" spans="1:13" x14ac:dyDescent="0.3">
      <c r="A1310" t="s">
        <v>3388</v>
      </c>
      <c r="B1310" t="s">
        <v>8799</v>
      </c>
      <c r="C1310" t="s">
        <v>5470</v>
      </c>
      <c r="D1310" t="s">
        <v>4119</v>
      </c>
      <c r="E1310" t="s">
        <v>5532</v>
      </c>
      <c r="F1310" t="s">
        <v>8800</v>
      </c>
      <c r="G1310" t="s">
        <v>8801</v>
      </c>
      <c r="H1310" t="s">
        <v>5474</v>
      </c>
      <c r="I1310" t="s">
        <v>8802</v>
      </c>
      <c r="J1310" t="s">
        <v>5476</v>
      </c>
      <c r="K1310" t="s">
        <v>5471</v>
      </c>
      <c r="L1310" t="s">
        <v>5471</v>
      </c>
      <c r="M1310" t="s">
        <v>5471</v>
      </c>
    </row>
    <row r="1311" spans="1:13" x14ac:dyDescent="0.3">
      <c r="A1311" t="s">
        <v>3383</v>
      </c>
      <c r="B1311" t="s">
        <v>6018</v>
      </c>
      <c r="C1311" t="s">
        <v>5470</v>
      </c>
      <c r="D1311" t="s">
        <v>4119</v>
      </c>
      <c r="E1311" t="s">
        <v>5756</v>
      </c>
      <c r="F1311" t="s">
        <v>8803</v>
      </c>
      <c r="G1311" t="s">
        <v>8804</v>
      </c>
      <c r="H1311" t="s">
        <v>5474</v>
      </c>
      <c r="I1311" t="s">
        <v>8805</v>
      </c>
      <c r="J1311" t="s">
        <v>5476</v>
      </c>
      <c r="K1311" t="s">
        <v>5471</v>
      </c>
      <c r="L1311" t="s">
        <v>5471</v>
      </c>
      <c r="M1311" t="s">
        <v>5471</v>
      </c>
    </row>
    <row r="1312" spans="1:13" x14ac:dyDescent="0.3">
      <c r="A1312" t="s">
        <v>3383</v>
      </c>
      <c r="B1312" t="s">
        <v>5952</v>
      </c>
      <c r="C1312" t="s">
        <v>5470</v>
      </c>
      <c r="D1312" t="s">
        <v>4119</v>
      </c>
      <c r="E1312" t="s">
        <v>5480</v>
      </c>
      <c r="F1312" t="s">
        <v>8806</v>
      </c>
      <c r="G1312" t="s">
        <v>6557</v>
      </c>
      <c r="H1312" t="s">
        <v>5474</v>
      </c>
      <c r="I1312" t="s">
        <v>8807</v>
      </c>
      <c r="J1312" t="s">
        <v>5484</v>
      </c>
      <c r="K1312" t="s">
        <v>5471</v>
      </c>
      <c r="L1312" t="s">
        <v>5471</v>
      </c>
      <c r="M1312" t="s">
        <v>5471</v>
      </c>
    </row>
    <row r="1313" spans="1:13" x14ac:dyDescent="0.3">
      <c r="A1313" t="s">
        <v>3383</v>
      </c>
      <c r="B1313" t="s">
        <v>5952</v>
      </c>
      <c r="C1313" t="s">
        <v>5470</v>
      </c>
      <c r="D1313" t="s">
        <v>4119</v>
      </c>
      <c r="E1313" t="s">
        <v>5480</v>
      </c>
      <c r="F1313" t="s">
        <v>8808</v>
      </c>
      <c r="G1313" t="s">
        <v>6557</v>
      </c>
      <c r="H1313" t="s">
        <v>5474</v>
      </c>
      <c r="I1313" t="s">
        <v>8809</v>
      </c>
      <c r="J1313" t="s">
        <v>5484</v>
      </c>
      <c r="K1313" t="s">
        <v>5471</v>
      </c>
      <c r="L1313" t="s">
        <v>5471</v>
      </c>
      <c r="M1313" t="s">
        <v>5471</v>
      </c>
    </row>
    <row r="1314" spans="1:13" x14ac:dyDescent="0.3">
      <c r="A1314" t="s">
        <v>3383</v>
      </c>
      <c r="B1314" t="s">
        <v>6187</v>
      </c>
      <c r="C1314" t="s">
        <v>5470</v>
      </c>
      <c r="D1314" t="s">
        <v>4119</v>
      </c>
      <c r="E1314" t="s">
        <v>5756</v>
      </c>
      <c r="F1314" t="s">
        <v>8810</v>
      </c>
      <c r="G1314" t="s">
        <v>8524</v>
      </c>
      <c r="H1314" t="s">
        <v>5474</v>
      </c>
      <c r="I1314" t="s">
        <v>8811</v>
      </c>
      <c r="J1314" t="s">
        <v>5476</v>
      </c>
      <c r="K1314" t="s">
        <v>5471</v>
      </c>
      <c r="L1314" t="s">
        <v>5471</v>
      </c>
      <c r="M1314" t="s">
        <v>5471</v>
      </c>
    </row>
    <row r="1315" spans="1:13" x14ac:dyDescent="0.3">
      <c r="A1315" t="s">
        <v>3383</v>
      </c>
      <c r="B1315" t="s">
        <v>6051</v>
      </c>
      <c r="C1315" t="s">
        <v>5470</v>
      </c>
      <c r="D1315" t="s">
        <v>4119</v>
      </c>
      <c r="E1315" t="s">
        <v>5756</v>
      </c>
      <c r="F1315" t="s">
        <v>8812</v>
      </c>
      <c r="G1315" t="s">
        <v>6197</v>
      </c>
      <c r="H1315" t="s">
        <v>5474</v>
      </c>
      <c r="I1315" t="s">
        <v>8813</v>
      </c>
      <c r="J1315" t="s">
        <v>5476</v>
      </c>
      <c r="K1315" t="s">
        <v>5471</v>
      </c>
      <c r="L1315" t="s">
        <v>5471</v>
      </c>
      <c r="M1315" t="s">
        <v>5471</v>
      </c>
    </row>
    <row r="1316" spans="1:13" x14ac:dyDescent="0.3">
      <c r="A1316" t="s">
        <v>3383</v>
      </c>
      <c r="B1316" t="s">
        <v>6009</v>
      </c>
      <c r="C1316" t="s">
        <v>5470</v>
      </c>
      <c r="D1316" t="s">
        <v>4119</v>
      </c>
      <c r="E1316" t="s">
        <v>5532</v>
      </c>
      <c r="F1316" t="s">
        <v>8814</v>
      </c>
      <c r="G1316" t="s">
        <v>8815</v>
      </c>
      <c r="H1316" t="s">
        <v>5474</v>
      </c>
      <c r="I1316" t="s">
        <v>8816</v>
      </c>
      <c r="J1316" t="s">
        <v>5476</v>
      </c>
      <c r="K1316" t="s">
        <v>5471</v>
      </c>
      <c r="L1316" t="s">
        <v>5471</v>
      </c>
      <c r="M1316" t="s">
        <v>5471</v>
      </c>
    </row>
    <row r="1317" spans="1:13" x14ac:dyDescent="0.3">
      <c r="A1317" t="s">
        <v>3383</v>
      </c>
      <c r="B1317" t="s">
        <v>5586</v>
      </c>
      <c r="C1317" t="s">
        <v>5487</v>
      </c>
      <c r="D1317" t="s">
        <v>4119</v>
      </c>
      <c r="E1317" t="s">
        <v>5532</v>
      </c>
      <c r="F1317" t="s">
        <v>8817</v>
      </c>
      <c r="G1317" t="s">
        <v>8818</v>
      </c>
      <c r="H1317" t="s">
        <v>5474</v>
      </c>
      <c r="I1317" t="s">
        <v>8819</v>
      </c>
      <c r="J1317" t="s">
        <v>5484</v>
      </c>
      <c r="K1317" t="s">
        <v>5471</v>
      </c>
      <c r="L1317" t="s">
        <v>5471</v>
      </c>
      <c r="M1317" t="s">
        <v>5471</v>
      </c>
    </row>
    <row r="1318" spans="1:13" x14ac:dyDescent="0.3">
      <c r="A1318" t="s">
        <v>3383</v>
      </c>
      <c r="B1318" t="s">
        <v>8820</v>
      </c>
      <c r="C1318" t="s">
        <v>5470</v>
      </c>
      <c r="D1318" t="s">
        <v>4119</v>
      </c>
      <c r="E1318" t="s">
        <v>5532</v>
      </c>
      <c r="F1318" t="s">
        <v>8821</v>
      </c>
      <c r="G1318" t="s">
        <v>8822</v>
      </c>
      <c r="H1318" t="s">
        <v>5474</v>
      </c>
      <c r="I1318" t="s">
        <v>8823</v>
      </c>
      <c r="J1318" t="s">
        <v>5476</v>
      </c>
      <c r="K1318" t="s">
        <v>5471</v>
      </c>
      <c r="L1318" t="s">
        <v>5471</v>
      </c>
      <c r="M1318" t="s">
        <v>5471</v>
      </c>
    </row>
    <row r="1319" spans="1:13" x14ac:dyDescent="0.3">
      <c r="A1319" t="s">
        <v>3383</v>
      </c>
      <c r="B1319" t="s">
        <v>6187</v>
      </c>
      <c r="C1319" t="s">
        <v>5470</v>
      </c>
      <c r="D1319" t="s">
        <v>4119</v>
      </c>
      <c r="E1319" t="s">
        <v>5532</v>
      </c>
      <c r="F1319" t="s">
        <v>8824</v>
      </c>
      <c r="G1319" t="s">
        <v>8513</v>
      </c>
      <c r="H1319" t="s">
        <v>5474</v>
      </c>
      <c r="I1319" t="s">
        <v>8825</v>
      </c>
      <c r="J1319" t="s">
        <v>5484</v>
      </c>
      <c r="K1319" t="s">
        <v>5471</v>
      </c>
      <c r="L1319" t="s">
        <v>5471</v>
      </c>
      <c r="M1319" t="s">
        <v>5471</v>
      </c>
    </row>
    <row r="1320" spans="1:13" x14ac:dyDescent="0.3">
      <c r="A1320" t="s">
        <v>3383</v>
      </c>
      <c r="B1320" t="s">
        <v>8826</v>
      </c>
      <c r="C1320" t="s">
        <v>5470</v>
      </c>
      <c r="D1320" t="s">
        <v>4119</v>
      </c>
      <c r="E1320" t="s">
        <v>5532</v>
      </c>
      <c r="F1320" t="s">
        <v>8821</v>
      </c>
      <c r="G1320" t="s">
        <v>8827</v>
      </c>
      <c r="H1320" t="s">
        <v>5474</v>
      </c>
      <c r="I1320" t="s">
        <v>8828</v>
      </c>
      <c r="J1320" t="s">
        <v>5476</v>
      </c>
      <c r="K1320" t="s">
        <v>5471</v>
      </c>
      <c r="L1320" t="s">
        <v>5471</v>
      </c>
      <c r="M1320" t="s">
        <v>5471</v>
      </c>
    </row>
    <row r="1321" spans="1:13" x14ac:dyDescent="0.3">
      <c r="A1321" t="s">
        <v>3383</v>
      </c>
      <c r="B1321" t="s">
        <v>5586</v>
      </c>
      <c r="C1321" t="s">
        <v>5487</v>
      </c>
      <c r="D1321" t="s">
        <v>4119</v>
      </c>
      <c r="E1321" t="s">
        <v>5532</v>
      </c>
      <c r="F1321" t="s">
        <v>8829</v>
      </c>
      <c r="G1321" t="s">
        <v>8818</v>
      </c>
      <c r="H1321" t="s">
        <v>5474</v>
      </c>
      <c r="I1321" t="s">
        <v>8830</v>
      </c>
      <c r="J1321" t="s">
        <v>5484</v>
      </c>
      <c r="K1321" t="s">
        <v>5471</v>
      </c>
      <c r="L1321" t="s">
        <v>5471</v>
      </c>
      <c r="M1321" t="s">
        <v>5471</v>
      </c>
    </row>
    <row r="1322" spans="1:13" x14ac:dyDescent="0.3">
      <c r="A1322" t="s">
        <v>3383</v>
      </c>
      <c r="B1322" t="s">
        <v>7820</v>
      </c>
      <c r="C1322" t="s">
        <v>5487</v>
      </c>
      <c r="D1322" t="s">
        <v>4119</v>
      </c>
      <c r="E1322" t="s">
        <v>5532</v>
      </c>
      <c r="F1322" t="s">
        <v>8831</v>
      </c>
      <c r="G1322" t="s">
        <v>8832</v>
      </c>
      <c r="H1322" t="s">
        <v>5474</v>
      </c>
      <c r="I1322" t="s">
        <v>8833</v>
      </c>
      <c r="J1322" t="s">
        <v>5484</v>
      </c>
      <c r="K1322" t="s">
        <v>5471</v>
      </c>
      <c r="L1322" t="s">
        <v>5471</v>
      </c>
      <c r="M1322" t="s">
        <v>5471</v>
      </c>
    </row>
    <row r="1323" spans="1:13" x14ac:dyDescent="0.3">
      <c r="A1323" t="s">
        <v>3383</v>
      </c>
      <c r="B1323" t="s">
        <v>7820</v>
      </c>
      <c r="C1323" t="s">
        <v>5487</v>
      </c>
      <c r="D1323" t="s">
        <v>4119</v>
      </c>
      <c r="E1323" t="s">
        <v>5532</v>
      </c>
      <c r="F1323" t="s">
        <v>8831</v>
      </c>
      <c r="G1323" t="s">
        <v>8832</v>
      </c>
      <c r="H1323" t="s">
        <v>5474</v>
      </c>
      <c r="I1323" t="s">
        <v>8834</v>
      </c>
      <c r="J1323" t="s">
        <v>5484</v>
      </c>
      <c r="K1323" t="s">
        <v>5471</v>
      </c>
      <c r="L1323" t="s">
        <v>5471</v>
      </c>
      <c r="M1323" t="s">
        <v>5471</v>
      </c>
    </row>
    <row r="1324" spans="1:13" x14ac:dyDescent="0.3">
      <c r="A1324" t="s">
        <v>3383</v>
      </c>
      <c r="B1324" t="s">
        <v>5586</v>
      </c>
      <c r="C1324" t="s">
        <v>5487</v>
      </c>
      <c r="D1324" t="s">
        <v>4119</v>
      </c>
      <c r="E1324" t="s">
        <v>5532</v>
      </c>
      <c r="F1324" t="s">
        <v>8835</v>
      </c>
      <c r="G1324" t="s">
        <v>8818</v>
      </c>
      <c r="H1324" t="s">
        <v>5474</v>
      </c>
      <c r="I1324" t="s">
        <v>8836</v>
      </c>
      <c r="J1324" t="s">
        <v>5484</v>
      </c>
      <c r="K1324" t="s">
        <v>5471</v>
      </c>
      <c r="L1324" t="s">
        <v>5471</v>
      </c>
      <c r="M1324" t="s">
        <v>5471</v>
      </c>
    </row>
    <row r="1325" spans="1:13" x14ac:dyDescent="0.3">
      <c r="A1325" t="s">
        <v>3383</v>
      </c>
      <c r="B1325" t="s">
        <v>7820</v>
      </c>
      <c r="C1325" t="s">
        <v>5487</v>
      </c>
      <c r="D1325" t="s">
        <v>4119</v>
      </c>
      <c r="E1325" t="s">
        <v>5532</v>
      </c>
      <c r="F1325" t="s">
        <v>8831</v>
      </c>
      <c r="G1325" t="s">
        <v>8832</v>
      </c>
      <c r="H1325" t="s">
        <v>5474</v>
      </c>
      <c r="I1325" t="s">
        <v>8837</v>
      </c>
      <c r="J1325" t="s">
        <v>5484</v>
      </c>
      <c r="K1325" t="s">
        <v>5471</v>
      </c>
      <c r="L1325" t="s">
        <v>5471</v>
      </c>
      <c r="M1325" t="s">
        <v>5471</v>
      </c>
    </row>
    <row r="1326" spans="1:13" x14ac:dyDescent="0.3">
      <c r="A1326" t="s">
        <v>3383</v>
      </c>
      <c r="B1326" t="s">
        <v>7820</v>
      </c>
      <c r="C1326" t="s">
        <v>5487</v>
      </c>
      <c r="D1326" t="s">
        <v>4119</v>
      </c>
      <c r="E1326" t="s">
        <v>5532</v>
      </c>
      <c r="F1326" t="s">
        <v>8831</v>
      </c>
      <c r="G1326" t="s">
        <v>8838</v>
      </c>
      <c r="H1326" t="s">
        <v>5474</v>
      </c>
      <c r="I1326" t="s">
        <v>8839</v>
      </c>
      <c r="J1326" t="s">
        <v>5484</v>
      </c>
      <c r="K1326" t="s">
        <v>5471</v>
      </c>
      <c r="L1326" t="s">
        <v>5471</v>
      </c>
      <c r="M1326" t="s">
        <v>5471</v>
      </c>
    </row>
    <row r="1327" spans="1:13" x14ac:dyDescent="0.3">
      <c r="A1327" t="s">
        <v>3383</v>
      </c>
      <c r="B1327" t="s">
        <v>7820</v>
      </c>
      <c r="C1327" t="s">
        <v>5487</v>
      </c>
      <c r="D1327" t="s">
        <v>4119</v>
      </c>
      <c r="E1327" t="s">
        <v>5532</v>
      </c>
      <c r="F1327" t="s">
        <v>8840</v>
      </c>
      <c r="G1327" t="s">
        <v>8838</v>
      </c>
      <c r="H1327" t="s">
        <v>5474</v>
      </c>
      <c r="I1327" t="s">
        <v>8841</v>
      </c>
      <c r="J1327" t="s">
        <v>5484</v>
      </c>
      <c r="K1327" t="s">
        <v>5471</v>
      </c>
      <c r="L1327" t="s">
        <v>5471</v>
      </c>
      <c r="M1327" t="s">
        <v>5471</v>
      </c>
    </row>
    <row r="1328" spans="1:13" x14ac:dyDescent="0.3">
      <c r="A1328" t="s">
        <v>3383</v>
      </c>
      <c r="B1328" t="s">
        <v>7820</v>
      </c>
      <c r="C1328" t="s">
        <v>5487</v>
      </c>
      <c r="D1328" t="s">
        <v>4119</v>
      </c>
      <c r="E1328" t="s">
        <v>5532</v>
      </c>
      <c r="F1328" t="s">
        <v>8842</v>
      </c>
      <c r="G1328" t="s">
        <v>8838</v>
      </c>
      <c r="H1328" t="s">
        <v>5474</v>
      </c>
      <c r="I1328" t="s">
        <v>8843</v>
      </c>
      <c r="J1328" t="s">
        <v>5484</v>
      </c>
      <c r="K1328" t="s">
        <v>5471</v>
      </c>
      <c r="L1328" t="s">
        <v>5471</v>
      </c>
      <c r="M1328" t="s">
        <v>5471</v>
      </c>
    </row>
    <row r="1329" spans="1:13" x14ac:dyDescent="0.3">
      <c r="A1329" t="s">
        <v>3383</v>
      </c>
      <c r="B1329" t="s">
        <v>8062</v>
      </c>
      <c r="C1329" t="s">
        <v>5487</v>
      </c>
      <c r="D1329" t="s">
        <v>4119</v>
      </c>
      <c r="E1329" t="s">
        <v>5532</v>
      </c>
      <c r="F1329" t="s">
        <v>8844</v>
      </c>
      <c r="G1329" t="s">
        <v>8845</v>
      </c>
      <c r="H1329" t="s">
        <v>5474</v>
      </c>
      <c r="I1329" t="s">
        <v>8846</v>
      </c>
      <c r="J1329" t="s">
        <v>5476</v>
      </c>
      <c r="K1329" t="s">
        <v>5471</v>
      </c>
      <c r="L1329" t="s">
        <v>5471</v>
      </c>
      <c r="M1329" t="s">
        <v>5471</v>
      </c>
    </row>
    <row r="1330" spans="1:13" x14ac:dyDescent="0.3">
      <c r="A1330" t="s">
        <v>3388</v>
      </c>
      <c r="B1330" t="s">
        <v>5531</v>
      </c>
      <c r="C1330" t="s">
        <v>5470</v>
      </c>
      <c r="D1330" t="s">
        <v>4119</v>
      </c>
      <c r="E1330" t="s">
        <v>5532</v>
      </c>
      <c r="F1330" t="s">
        <v>8847</v>
      </c>
      <c r="G1330" t="s">
        <v>8848</v>
      </c>
      <c r="H1330" t="s">
        <v>5474</v>
      </c>
      <c r="I1330" t="s">
        <v>8849</v>
      </c>
      <c r="J1330" t="s">
        <v>5484</v>
      </c>
      <c r="K1330" t="s">
        <v>5471</v>
      </c>
      <c r="L1330" t="s">
        <v>5471</v>
      </c>
      <c r="M1330" t="s">
        <v>5471</v>
      </c>
    </row>
    <row r="1331" spans="1:13" x14ac:dyDescent="0.3">
      <c r="A1331" t="s">
        <v>3388</v>
      </c>
      <c r="B1331" t="s">
        <v>5531</v>
      </c>
      <c r="C1331" t="s">
        <v>5470</v>
      </c>
      <c r="D1331" t="s">
        <v>4119</v>
      </c>
      <c r="E1331" t="s">
        <v>5532</v>
      </c>
      <c r="F1331" t="s">
        <v>8850</v>
      </c>
      <c r="G1331" t="s">
        <v>8585</v>
      </c>
      <c r="H1331" t="s">
        <v>5474</v>
      </c>
      <c r="I1331" t="s">
        <v>8851</v>
      </c>
      <c r="J1331" t="s">
        <v>5484</v>
      </c>
      <c r="K1331" t="s">
        <v>5471</v>
      </c>
      <c r="L1331" t="s">
        <v>5471</v>
      </c>
      <c r="M1331" t="s">
        <v>5471</v>
      </c>
    </row>
    <row r="1332" spans="1:13" x14ac:dyDescent="0.3">
      <c r="A1332" t="s">
        <v>3388</v>
      </c>
      <c r="B1332" t="s">
        <v>5531</v>
      </c>
      <c r="C1332" t="s">
        <v>5470</v>
      </c>
      <c r="D1332" t="s">
        <v>4119</v>
      </c>
      <c r="E1332" t="s">
        <v>5532</v>
      </c>
      <c r="F1332" t="s">
        <v>8852</v>
      </c>
      <c r="G1332" t="s">
        <v>8853</v>
      </c>
      <c r="H1332" t="s">
        <v>5474</v>
      </c>
      <c r="I1332" t="s">
        <v>8854</v>
      </c>
      <c r="J1332" t="s">
        <v>5484</v>
      </c>
      <c r="K1332" t="s">
        <v>5471</v>
      </c>
      <c r="L1332" t="s">
        <v>5471</v>
      </c>
      <c r="M1332" t="s">
        <v>5471</v>
      </c>
    </row>
    <row r="1333" spans="1:13" x14ac:dyDescent="0.3">
      <c r="A1333" t="s">
        <v>3388</v>
      </c>
      <c r="B1333" t="s">
        <v>5531</v>
      </c>
      <c r="C1333" t="s">
        <v>5470</v>
      </c>
      <c r="D1333" t="s">
        <v>4119</v>
      </c>
      <c r="E1333" t="s">
        <v>5532</v>
      </c>
      <c r="F1333" t="s">
        <v>8855</v>
      </c>
      <c r="G1333" t="s">
        <v>8856</v>
      </c>
      <c r="H1333" t="s">
        <v>5474</v>
      </c>
      <c r="I1333" t="s">
        <v>8857</v>
      </c>
      <c r="J1333" t="s">
        <v>5484</v>
      </c>
      <c r="K1333" t="s">
        <v>5471</v>
      </c>
      <c r="L1333" t="s">
        <v>5471</v>
      </c>
      <c r="M1333" t="s">
        <v>5471</v>
      </c>
    </row>
    <row r="1334" spans="1:13" x14ac:dyDescent="0.3">
      <c r="A1334" t="s">
        <v>3388</v>
      </c>
      <c r="B1334" t="s">
        <v>5531</v>
      </c>
      <c r="C1334" t="s">
        <v>5470</v>
      </c>
      <c r="D1334" t="s">
        <v>4119</v>
      </c>
      <c r="E1334" t="s">
        <v>5532</v>
      </c>
      <c r="F1334" t="s">
        <v>8858</v>
      </c>
      <c r="G1334" t="s">
        <v>8575</v>
      </c>
      <c r="H1334" t="s">
        <v>5474</v>
      </c>
      <c r="I1334" t="s">
        <v>8859</v>
      </c>
      <c r="J1334" t="s">
        <v>5484</v>
      </c>
      <c r="K1334" t="s">
        <v>5471</v>
      </c>
      <c r="L1334" t="s">
        <v>5471</v>
      </c>
      <c r="M1334" t="s">
        <v>5471</v>
      </c>
    </row>
    <row r="1335" spans="1:13" x14ac:dyDescent="0.3">
      <c r="A1335" t="s">
        <v>3388</v>
      </c>
      <c r="B1335" t="s">
        <v>5531</v>
      </c>
      <c r="C1335" t="s">
        <v>5470</v>
      </c>
      <c r="D1335" t="s">
        <v>4119</v>
      </c>
      <c r="E1335" t="s">
        <v>5532</v>
      </c>
      <c r="F1335" t="s">
        <v>8860</v>
      </c>
      <c r="G1335" t="s">
        <v>8861</v>
      </c>
      <c r="H1335" t="s">
        <v>5474</v>
      </c>
      <c r="I1335" t="s">
        <v>8862</v>
      </c>
      <c r="J1335" t="s">
        <v>5484</v>
      </c>
      <c r="K1335" t="s">
        <v>5471</v>
      </c>
      <c r="L1335" t="s">
        <v>5471</v>
      </c>
      <c r="M1335" t="s">
        <v>5471</v>
      </c>
    </row>
    <row r="1336" spans="1:13" x14ac:dyDescent="0.3">
      <c r="A1336" t="s">
        <v>3383</v>
      </c>
      <c r="B1336" t="s">
        <v>8409</v>
      </c>
      <c r="C1336" t="s">
        <v>5470</v>
      </c>
      <c r="D1336" t="s">
        <v>4119</v>
      </c>
      <c r="E1336" t="s">
        <v>5532</v>
      </c>
      <c r="F1336" t="s">
        <v>8863</v>
      </c>
      <c r="G1336" t="s">
        <v>8864</v>
      </c>
      <c r="H1336" t="s">
        <v>5474</v>
      </c>
      <c r="I1336" t="s">
        <v>8865</v>
      </c>
      <c r="J1336" t="s">
        <v>5484</v>
      </c>
      <c r="K1336" t="s">
        <v>5471</v>
      </c>
      <c r="L1336" t="s">
        <v>5471</v>
      </c>
      <c r="M1336" t="s">
        <v>5471</v>
      </c>
    </row>
    <row r="1337" spans="1:13" x14ac:dyDescent="0.3">
      <c r="A1337" t="s">
        <v>3383</v>
      </c>
      <c r="B1337" t="s">
        <v>8409</v>
      </c>
      <c r="C1337" t="s">
        <v>5470</v>
      </c>
      <c r="D1337" t="s">
        <v>4119</v>
      </c>
      <c r="E1337" t="s">
        <v>5532</v>
      </c>
      <c r="F1337" t="s">
        <v>8866</v>
      </c>
      <c r="G1337" t="s">
        <v>8864</v>
      </c>
      <c r="H1337" t="s">
        <v>5474</v>
      </c>
      <c r="I1337" t="s">
        <v>8867</v>
      </c>
      <c r="J1337" t="s">
        <v>5476</v>
      </c>
      <c r="K1337" t="s">
        <v>5471</v>
      </c>
      <c r="L1337" t="s">
        <v>5471</v>
      </c>
      <c r="M1337" t="s">
        <v>5471</v>
      </c>
    </row>
    <row r="1338" spans="1:13" x14ac:dyDescent="0.3">
      <c r="A1338" t="s">
        <v>3383</v>
      </c>
      <c r="B1338" t="s">
        <v>6051</v>
      </c>
      <c r="C1338" t="s">
        <v>5470</v>
      </c>
      <c r="D1338" t="s">
        <v>4119</v>
      </c>
      <c r="E1338" t="s">
        <v>5532</v>
      </c>
      <c r="F1338" t="s">
        <v>8868</v>
      </c>
      <c r="G1338" t="s">
        <v>8869</v>
      </c>
      <c r="H1338" t="s">
        <v>5474</v>
      </c>
      <c r="I1338" t="s">
        <v>8870</v>
      </c>
      <c r="J1338" t="s">
        <v>5476</v>
      </c>
      <c r="K1338" t="s">
        <v>5471</v>
      </c>
      <c r="L1338" t="s">
        <v>5471</v>
      </c>
      <c r="M1338" t="s">
        <v>5471</v>
      </c>
    </row>
    <row r="1339" spans="1:13" x14ac:dyDescent="0.3">
      <c r="A1339" t="s">
        <v>3383</v>
      </c>
      <c r="B1339" t="s">
        <v>8871</v>
      </c>
      <c r="C1339" t="s">
        <v>5470</v>
      </c>
      <c r="D1339" t="s">
        <v>4119</v>
      </c>
      <c r="E1339" t="s">
        <v>5532</v>
      </c>
      <c r="F1339" t="s">
        <v>8872</v>
      </c>
      <c r="G1339" t="s">
        <v>8873</v>
      </c>
      <c r="H1339" t="s">
        <v>5474</v>
      </c>
      <c r="I1339" t="s">
        <v>8874</v>
      </c>
      <c r="J1339" t="s">
        <v>5476</v>
      </c>
      <c r="K1339" t="s">
        <v>5471</v>
      </c>
      <c r="L1339" t="s">
        <v>5471</v>
      </c>
      <c r="M1339" t="s">
        <v>5471</v>
      </c>
    </row>
    <row r="1340" spans="1:13" x14ac:dyDescent="0.3">
      <c r="A1340" t="s">
        <v>3383</v>
      </c>
      <c r="B1340" t="s">
        <v>8875</v>
      </c>
      <c r="C1340" t="s">
        <v>5470</v>
      </c>
      <c r="D1340" t="s">
        <v>4119</v>
      </c>
      <c r="E1340" t="s">
        <v>5532</v>
      </c>
      <c r="F1340" t="s">
        <v>8876</v>
      </c>
      <c r="G1340" t="s">
        <v>8877</v>
      </c>
      <c r="H1340" t="s">
        <v>5474</v>
      </c>
      <c r="I1340" t="s">
        <v>8878</v>
      </c>
      <c r="J1340" t="s">
        <v>5476</v>
      </c>
      <c r="K1340" t="s">
        <v>5471</v>
      </c>
      <c r="L1340" t="s">
        <v>5471</v>
      </c>
      <c r="M1340" t="s">
        <v>5471</v>
      </c>
    </row>
    <row r="1341" spans="1:13" x14ac:dyDescent="0.3">
      <c r="A1341" t="s">
        <v>3383</v>
      </c>
      <c r="B1341" t="s">
        <v>8875</v>
      </c>
      <c r="C1341" t="s">
        <v>5470</v>
      </c>
      <c r="D1341" t="s">
        <v>4119</v>
      </c>
      <c r="E1341" t="s">
        <v>5532</v>
      </c>
      <c r="F1341" t="s">
        <v>8879</v>
      </c>
      <c r="G1341" t="s">
        <v>8880</v>
      </c>
      <c r="H1341" t="s">
        <v>5474</v>
      </c>
      <c r="I1341" t="s">
        <v>8881</v>
      </c>
      <c r="J1341" t="s">
        <v>5476</v>
      </c>
      <c r="K1341" t="s">
        <v>5471</v>
      </c>
      <c r="L1341" t="s">
        <v>5471</v>
      </c>
      <c r="M1341" t="s">
        <v>5471</v>
      </c>
    </row>
    <row r="1342" spans="1:13" x14ac:dyDescent="0.3">
      <c r="A1342" t="s">
        <v>3383</v>
      </c>
      <c r="B1342" t="s">
        <v>8871</v>
      </c>
      <c r="C1342" t="s">
        <v>5470</v>
      </c>
      <c r="D1342" t="s">
        <v>4119</v>
      </c>
      <c r="E1342" t="s">
        <v>5532</v>
      </c>
      <c r="F1342" t="s">
        <v>8872</v>
      </c>
      <c r="G1342" t="s">
        <v>8882</v>
      </c>
      <c r="H1342" t="s">
        <v>5474</v>
      </c>
      <c r="I1342" t="s">
        <v>8883</v>
      </c>
      <c r="J1342" t="s">
        <v>5476</v>
      </c>
      <c r="K1342" t="s">
        <v>5471</v>
      </c>
      <c r="L1342" t="s">
        <v>5471</v>
      </c>
      <c r="M1342" t="s">
        <v>5471</v>
      </c>
    </row>
    <row r="1343" spans="1:13" x14ac:dyDescent="0.3">
      <c r="A1343" t="s">
        <v>3383</v>
      </c>
      <c r="B1343" t="s">
        <v>6122</v>
      </c>
      <c r="C1343" t="s">
        <v>5470</v>
      </c>
      <c r="D1343" t="s">
        <v>4119</v>
      </c>
      <c r="E1343" t="s">
        <v>5756</v>
      </c>
      <c r="F1343" t="s">
        <v>8884</v>
      </c>
      <c r="G1343" t="s">
        <v>8885</v>
      </c>
      <c r="H1343" t="s">
        <v>5474</v>
      </c>
      <c r="I1343" t="s">
        <v>8886</v>
      </c>
      <c r="J1343" t="s">
        <v>5484</v>
      </c>
      <c r="K1343" t="s">
        <v>5471</v>
      </c>
      <c r="L1343" t="s">
        <v>5471</v>
      </c>
      <c r="M1343" t="s">
        <v>5471</v>
      </c>
    </row>
    <row r="1344" spans="1:13" x14ac:dyDescent="0.3">
      <c r="A1344" t="s">
        <v>3383</v>
      </c>
      <c r="B1344" t="s">
        <v>6094</v>
      </c>
      <c r="C1344" t="s">
        <v>5470</v>
      </c>
      <c r="D1344" t="s">
        <v>4119</v>
      </c>
      <c r="E1344" t="s">
        <v>5532</v>
      </c>
      <c r="F1344" t="s">
        <v>8887</v>
      </c>
      <c r="G1344" t="s">
        <v>6095</v>
      </c>
      <c r="H1344" t="s">
        <v>5474</v>
      </c>
      <c r="I1344" t="s">
        <v>8888</v>
      </c>
      <c r="J1344" t="s">
        <v>5476</v>
      </c>
      <c r="K1344" t="s">
        <v>5471</v>
      </c>
      <c r="L1344" t="s">
        <v>5471</v>
      </c>
      <c r="M1344" t="s">
        <v>5471</v>
      </c>
    </row>
    <row r="1345" spans="1:13" x14ac:dyDescent="0.3">
      <c r="A1345" t="s">
        <v>3383</v>
      </c>
      <c r="B1345" t="s">
        <v>8820</v>
      </c>
      <c r="C1345" t="s">
        <v>5470</v>
      </c>
      <c r="D1345" t="s">
        <v>4119</v>
      </c>
      <c r="E1345" t="s">
        <v>5532</v>
      </c>
      <c r="F1345" t="s">
        <v>8889</v>
      </c>
      <c r="G1345" t="s">
        <v>8890</v>
      </c>
      <c r="H1345" t="s">
        <v>5474</v>
      </c>
      <c r="I1345" t="s">
        <v>8891</v>
      </c>
      <c r="J1345" t="s">
        <v>5476</v>
      </c>
      <c r="K1345" t="s">
        <v>5471</v>
      </c>
      <c r="L1345" t="s">
        <v>5471</v>
      </c>
      <c r="M1345" t="s">
        <v>5471</v>
      </c>
    </row>
    <row r="1346" spans="1:13" x14ac:dyDescent="0.3">
      <c r="A1346" t="s">
        <v>3383</v>
      </c>
      <c r="B1346" t="s">
        <v>6122</v>
      </c>
      <c r="C1346" t="s">
        <v>5470</v>
      </c>
      <c r="D1346" t="s">
        <v>4119</v>
      </c>
      <c r="E1346" t="s">
        <v>5756</v>
      </c>
      <c r="F1346" t="s">
        <v>8892</v>
      </c>
      <c r="G1346" t="s">
        <v>6123</v>
      </c>
      <c r="H1346" t="s">
        <v>5474</v>
      </c>
      <c r="I1346" t="s">
        <v>8893</v>
      </c>
      <c r="J1346" t="s">
        <v>5484</v>
      </c>
      <c r="K1346" t="s">
        <v>5471</v>
      </c>
      <c r="L1346" t="s">
        <v>5471</v>
      </c>
      <c r="M1346" t="s">
        <v>5471</v>
      </c>
    </row>
    <row r="1347" spans="1:13" x14ac:dyDescent="0.3">
      <c r="A1347" t="s">
        <v>3383</v>
      </c>
      <c r="B1347" t="s">
        <v>6122</v>
      </c>
      <c r="C1347" t="s">
        <v>5470</v>
      </c>
      <c r="D1347" t="s">
        <v>4119</v>
      </c>
      <c r="E1347" t="s">
        <v>5756</v>
      </c>
      <c r="F1347" t="s">
        <v>8894</v>
      </c>
      <c r="G1347" t="s">
        <v>6123</v>
      </c>
      <c r="H1347" t="s">
        <v>5474</v>
      </c>
      <c r="I1347" t="s">
        <v>8895</v>
      </c>
      <c r="J1347" t="s">
        <v>5484</v>
      </c>
      <c r="K1347" t="s">
        <v>5471</v>
      </c>
      <c r="L1347" t="s">
        <v>5471</v>
      </c>
      <c r="M1347" t="s">
        <v>5471</v>
      </c>
    </row>
    <row r="1348" spans="1:13" x14ac:dyDescent="0.3">
      <c r="A1348" t="s">
        <v>3383</v>
      </c>
      <c r="B1348" t="s">
        <v>6187</v>
      </c>
      <c r="C1348" t="s">
        <v>5470</v>
      </c>
      <c r="D1348" t="s">
        <v>4119</v>
      </c>
      <c r="E1348" t="s">
        <v>5532</v>
      </c>
      <c r="F1348" t="s">
        <v>8896</v>
      </c>
      <c r="G1348" t="s">
        <v>8513</v>
      </c>
      <c r="H1348" t="s">
        <v>5474</v>
      </c>
      <c r="I1348" t="s">
        <v>8897</v>
      </c>
      <c r="J1348" t="s">
        <v>5484</v>
      </c>
      <c r="K1348" t="s">
        <v>5471</v>
      </c>
      <c r="L1348" t="s">
        <v>5471</v>
      </c>
      <c r="M1348" t="s">
        <v>5471</v>
      </c>
    </row>
    <row r="1349" spans="1:13" x14ac:dyDescent="0.3">
      <c r="A1349" t="s">
        <v>3383</v>
      </c>
      <c r="B1349" t="s">
        <v>6122</v>
      </c>
      <c r="C1349" t="s">
        <v>5470</v>
      </c>
      <c r="D1349" t="s">
        <v>4119</v>
      </c>
      <c r="E1349" t="s">
        <v>5756</v>
      </c>
      <c r="F1349" t="s">
        <v>8898</v>
      </c>
      <c r="G1349" t="s">
        <v>8899</v>
      </c>
      <c r="H1349" t="s">
        <v>5474</v>
      </c>
      <c r="I1349" t="s">
        <v>8900</v>
      </c>
      <c r="J1349" t="s">
        <v>5484</v>
      </c>
      <c r="K1349" t="s">
        <v>5471</v>
      </c>
      <c r="L1349" t="s">
        <v>5471</v>
      </c>
      <c r="M1349" t="s">
        <v>5471</v>
      </c>
    </row>
    <row r="1350" spans="1:13" x14ac:dyDescent="0.3">
      <c r="A1350" t="s">
        <v>3383</v>
      </c>
      <c r="B1350" t="s">
        <v>8871</v>
      </c>
      <c r="C1350" t="s">
        <v>5470</v>
      </c>
      <c r="D1350" t="s">
        <v>4119</v>
      </c>
      <c r="E1350" t="s">
        <v>5532</v>
      </c>
      <c r="F1350" t="s">
        <v>8872</v>
      </c>
      <c r="G1350" t="s">
        <v>8901</v>
      </c>
      <c r="H1350" t="s">
        <v>5474</v>
      </c>
      <c r="I1350" t="s">
        <v>8902</v>
      </c>
      <c r="J1350" t="s">
        <v>5484</v>
      </c>
      <c r="K1350" t="s">
        <v>5471</v>
      </c>
      <c r="L1350" t="s">
        <v>5471</v>
      </c>
      <c r="M1350" t="s">
        <v>5471</v>
      </c>
    </row>
    <row r="1351" spans="1:13" x14ac:dyDescent="0.3">
      <c r="A1351" t="s">
        <v>3383</v>
      </c>
      <c r="B1351" t="s">
        <v>6122</v>
      </c>
      <c r="C1351" t="s">
        <v>5470</v>
      </c>
      <c r="D1351" t="s">
        <v>4119</v>
      </c>
      <c r="E1351" t="s">
        <v>5756</v>
      </c>
      <c r="F1351" t="s">
        <v>8903</v>
      </c>
      <c r="G1351" t="s">
        <v>8904</v>
      </c>
      <c r="H1351" t="s">
        <v>5474</v>
      </c>
      <c r="I1351" t="s">
        <v>8905</v>
      </c>
      <c r="J1351" t="s">
        <v>5484</v>
      </c>
      <c r="K1351" t="s">
        <v>5471</v>
      </c>
      <c r="L1351" t="s">
        <v>5471</v>
      </c>
      <c r="M1351" t="s">
        <v>5471</v>
      </c>
    </row>
    <row r="1352" spans="1:13" x14ac:dyDescent="0.3">
      <c r="A1352" t="s">
        <v>3383</v>
      </c>
      <c r="B1352" t="s">
        <v>8600</v>
      </c>
      <c r="C1352" t="s">
        <v>5470</v>
      </c>
      <c r="D1352" t="s">
        <v>4119</v>
      </c>
      <c r="E1352" t="s">
        <v>5617</v>
      </c>
      <c r="F1352" t="s">
        <v>8906</v>
      </c>
      <c r="G1352" t="s">
        <v>8907</v>
      </c>
      <c r="H1352" t="s">
        <v>5474</v>
      </c>
      <c r="I1352" t="s">
        <v>8908</v>
      </c>
      <c r="J1352" t="s">
        <v>5484</v>
      </c>
      <c r="K1352" t="s">
        <v>5471</v>
      </c>
      <c r="L1352" t="s">
        <v>5471</v>
      </c>
      <c r="M1352" t="s">
        <v>5471</v>
      </c>
    </row>
    <row r="1353" spans="1:13" x14ac:dyDescent="0.3">
      <c r="A1353" t="s">
        <v>3383</v>
      </c>
      <c r="B1353" t="s">
        <v>8871</v>
      </c>
      <c r="C1353" t="s">
        <v>5470</v>
      </c>
      <c r="D1353" t="s">
        <v>4119</v>
      </c>
      <c r="E1353" t="s">
        <v>5532</v>
      </c>
      <c r="F1353" t="s">
        <v>8909</v>
      </c>
      <c r="G1353" t="s">
        <v>8910</v>
      </c>
      <c r="H1353" t="s">
        <v>5474</v>
      </c>
      <c r="I1353" t="s">
        <v>8911</v>
      </c>
      <c r="J1353" t="s">
        <v>5476</v>
      </c>
      <c r="K1353" t="s">
        <v>5471</v>
      </c>
      <c r="L1353" t="s">
        <v>5471</v>
      </c>
      <c r="M1353" t="s">
        <v>5471</v>
      </c>
    </row>
    <row r="1354" spans="1:13" x14ac:dyDescent="0.3">
      <c r="A1354" t="s">
        <v>3383</v>
      </c>
      <c r="B1354" t="s">
        <v>8600</v>
      </c>
      <c r="C1354" t="s">
        <v>5470</v>
      </c>
      <c r="D1354" t="s">
        <v>4119</v>
      </c>
      <c r="E1354" t="s">
        <v>5617</v>
      </c>
      <c r="F1354" t="s">
        <v>8912</v>
      </c>
      <c r="G1354" t="s">
        <v>8907</v>
      </c>
      <c r="H1354" t="s">
        <v>5474</v>
      </c>
      <c r="I1354" t="s">
        <v>8913</v>
      </c>
      <c r="J1354" t="s">
        <v>5484</v>
      </c>
      <c r="K1354" t="s">
        <v>5471</v>
      </c>
      <c r="L1354" t="s">
        <v>5471</v>
      </c>
      <c r="M1354" t="s">
        <v>5471</v>
      </c>
    </row>
    <row r="1355" spans="1:13" x14ac:dyDescent="0.3">
      <c r="A1355" t="s">
        <v>3383</v>
      </c>
      <c r="B1355" t="s">
        <v>8871</v>
      </c>
      <c r="C1355" t="s">
        <v>5470</v>
      </c>
      <c r="D1355" t="s">
        <v>4119</v>
      </c>
      <c r="E1355" t="s">
        <v>5532</v>
      </c>
      <c r="F1355" t="s">
        <v>8914</v>
      </c>
      <c r="G1355" t="s">
        <v>8915</v>
      </c>
      <c r="H1355" t="s">
        <v>5474</v>
      </c>
      <c r="I1355" t="s">
        <v>8916</v>
      </c>
      <c r="J1355" t="s">
        <v>5476</v>
      </c>
      <c r="K1355" t="s">
        <v>5471</v>
      </c>
      <c r="L1355" t="s">
        <v>5471</v>
      </c>
      <c r="M1355" t="s">
        <v>5471</v>
      </c>
    </row>
    <row r="1356" spans="1:13" x14ac:dyDescent="0.3">
      <c r="A1356" t="s">
        <v>3383</v>
      </c>
      <c r="B1356" t="s">
        <v>8600</v>
      </c>
      <c r="C1356" t="s">
        <v>5470</v>
      </c>
      <c r="D1356" t="s">
        <v>4119</v>
      </c>
      <c r="E1356" t="s">
        <v>5617</v>
      </c>
      <c r="F1356" t="s">
        <v>8917</v>
      </c>
      <c r="G1356" t="s">
        <v>8907</v>
      </c>
      <c r="H1356" t="s">
        <v>5474</v>
      </c>
      <c r="I1356" t="s">
        <v>8918</v>
      </c>
      <c r="J1356" t="s">
        <v>5484</v>
      </c>
      <c r="K1356" t="s">
        <v>5471</v>
      </c>
      <c r="L1356" t="s">
        <v>5471</v>
      </c>
      <c r="M1356" t="s">
        <v>5471</v>
      </c>
    </row>
    <row r="1357" spans="1:13" x14ac:dyDescent="0.3">
      <c r="A1357" t="s">
        <v>3383</v>
      </c>
      <c r="B1357" t="s">
        <v>6051</v>
      </c>
      <c r="C1357" t="s">
        <v>5470</v>
      </c>
      <c r="D1357" t="s">
        <v>4119</v>
      </c>
      <c r="E1357" t="s">
        <v>5756</v>
      </c>
      <c r="F1357" t="s">
        <v>8872</v>
      </c>
      <c r="G1357" t="s">
        <v>6405</v>
      </c>
      <c r="H1357" t="s">
        <v>5474</v>
      </c>
      <c r="I1357" t="s">
        <v>8919</v>
      </c>
      <c r="J1357" t="s">
        <v>5484</v>
      </c>
      <c r="K1357" t="s">
        <v>5471</v>
      </c>
      <c r="L1357" t="s">
        <v>5471</v>
      </c>
      <c r="M1357" t="s">
        <v>5471</v>
      </c>
    </row>
    <row r="1358" spans="1:13" x14ac:dyDescent="0.3">
      <c r="A1358" t="s">
        <v>3383</v>
      </c>
      <c r="B1358" t="s">
        <v>6051</v>
      </c>
      <c r="C1358" t="s">
        <v>5470</v>
      </c>
      <c r="D1358" t="s">
        <v>4119</v>
      </c>
      <c r="E1358" t="s">
        <v>5756</v>
      </c>
      <c r="F1358" t="s">
        <v>8872</v>
      </c>
      <c r="G1358" t="s">
        <v>8920</v>
      </c>
      <c r="H1358" t="s">
        <v>5474</v>
      </c>
      <c r="I1358" t="s">
        <v>8921</v>
      </c>
      <c r="J1358" t="s">
        <v>5476</v>
      </c>
      <c r="K1358" t="s">
        <v>5471</v>
      </c>
      <c r="L1358" t="s">
        <v>5471</v>
      </c>
      <c r="M1358" t="s">
        <v>5471</v>
      </c>
    </row>
    <row r="1359" spans="1:13" x14ac:dyDescent="0.3">
      <c r="A1359" t="s">
        <v>3383</v>
      </c>
      <c r="B1359" t="s">
        <v>8922</v>
      </c>
      <c r="C1359" t="s">
        <v>5470</v>
      </c>
      <c r="D1359" t="s">
        <v>4119</v>
      </c>
      <c r="E1359" t="s">
        <v>5532</v>
      </c>
      <c r="F1359" t="s">
        <v>8923</v>
      </c>
      <c r="G1359" t="s">
        <v>8924</v>
      </c>
      <c r="H1359" t="s">
        <v>5474</v>
      </c>
      <c r="I1359" t="s">
        <v>8925</v>
      </c>
      <c r="J1359" t="s">
        <v>5476</v>
      </c>
      <c r="K1359" t="s">
        <v>5471</v>
      </c>
      <c r="L1359" t="s">
        <v>5471</v>
      </c>
      <c r="M1359" t="s">
        <v>5471</v>
      </c>
    </row>
    <row r="1360" spans="1:13" x14ac:dyDescent="0.3">
      <c r="A1360" t="s">
        <v>3383</v>
      </c>
      <c r="B1360" t="s">
        <v>8826</v>
      </c>
      <c r="C1360" t="s">
        <v>5470</v>
      </c>
      <c r="D1360" t="s">
        <v>4119</v>
      </c>
      <c r="E1360" t="s">
        <v>5532</v>
      </c>
      <c r="F1360" t="s">
        <v>8926</v>
      </c>
      <c r="G1360" t="s">
        <v>8927</v>
      </c>
      <c r="H1360" t="s">
        <v>5474</v>
      </c>
      <c r="I1360" t="s">
        <v>8928</v>
      </c>
      <c r="J1360" t="s">
        <v>5476</v>
      </c>
      <c r="K1360" t="s">
        <v>5471</v>
      </c>
      <c r="L1360" t="s">
        <v>5471</v>
      </c>
      <c r="M1360" t="s">
        <v>5471</v>
      </c>
    </row>
    <row r="1361" spans="1:13" x14ac:dyDescent="0.3">
      <c r="A1361" t="s">
        <v>3383</v>
      </c>
      <c r="B1361" t="s">
        <v>8871</v>
      </c>
      <c r="C1361" t="s">
        <v>5470</v>
      </c>
      <c r="D1361" t="s">
        <v>4119</v>
      </c>
      <c r="E1361" t="s">
        <v>5471</v>
      </c>
      <c r="F1361" t="s">
        <v>8887</v>
      </c>
      <c r="G1361" t="s">
        <v>8929</v>
      </c>
      <c r="H1361" t="s">
        <v>5474</v>
      </c>
      <c r="I1361" t="s">
        <v>8930</v>
      </c>
      <c r="J1361" t="s">
        <v>5476</v>
      </c>
      <c r="K1361" t="s">
        <v>5471</v>
      </c>
      <c r="L1361" t="s">
        <v>5471</v>
      </c>
      <c r="M1361" t="s">
        <v>5471</v>
      </c>
    </row>
    <row r="1362" spans="1:13" x14ac:dyDescent="0.3">
      <c r="A1362" t="s">
        <v>3383</v>
      </c>
      <c r="B1362" t="s">
        <v>8922</v>
      </c>
      <c r="C1362" t="s">
        <v>5470</v>
      </c>
      <c r="D1362" t="s">
        <v>4119</v>
      </c>
      <c r="E1362" t="s">
        <v>5532</v>
      </c>
      <c r="F1362" t="s">
        <v>8931</v>
      </c>
      <c r="G1362" t="s">
        <v>8932</v>
      </c>
      <c r="H1362" t="s">
        <v>5474</v>
      </c>
      <c r="I1362" t="s">
        <v>8933</v>
      </c>
      <c r="J1362" t="s">
        <v>5476</v>
      </c>
      <c r="K1362" t="s">
        <v>5471</v>
      </c>
      <c r="L1362" t="s">
        <v>5471</v>
      </c>
      <c r="M1362" t="s">
        <v>5471</v>
      </c>
    </row>
    <row r="1363" spans="1:13" x14ac:dyDescent="0.3">
      <c r="A1363" t="s">
        <v>3383</v>
      </c>
      <c r="B1363" t="s">
        <v>8871</v>
      </c>
      <c r="C1363" t="s">
        <v>5470</v>
      </c>
      <c r="D1363" t="s">
        <v>4119</v>
      </c>
      <c r="E1363" t="s">
        <v>5532</v>
      </c>
      <c r="F1363" t="s">
        <v>8934</v>
      </c>
      <c r="G1363" t="s">
        <v>8929</v>
      </c>
      <c r="H1363" t="s">
        <v>5474</v>
      </c>
      <c r="I1363" t="s">
        <v>8935</v>
      </c>
      <c r="J1363" t="s">
        <v>5484</v>
      </c>
      <c r="K1363" t="s">
        <v>5471</v>
      </c>
      <c r="L1363" t="s">
        <v>5471</v>
      </c>
      <c r="M1363" t="s">
        <v>5471</v>
      </c>
    </row>
    <row r="1364" spans="1:13" x14ac:dyDescent="0.3">
      <c r="A1364" t="s">
        <v>3383</v>
      </c>
      <c r="B1364" t="s">
        <v>7444</v>
      </c>
      <c r="C1364" t="s">
        <v>5470</v>
      </c>
      <c r="D1364" t="s">
        <v>4119</v>
      </c>
      <c r="E1364" t="s">
        <v>5532</v>
      </c>
      <c r="F1364" t="s">
        <v>8936</v>
      </c>
      <c r="G1364" t="s">
        <v>8162</v>
      </c>
      <c r="H1364" t="s">
        <v>5474</v>
      </c>
      <c r="I1364" t="s">
        <v>8937</v>
      </c>
      <c r="J1364" t="s">
        <v>5484</v>
      </c>
      <c r="K1364" t="s">
        <v>5471</v>
      </c>
      <c r="L1364" t="s">
        <v>5471</v>
      </c>
      <c r="M1364" t="s">
        <v>5471</v>
      </c>
    </row>
    <row r="1365" spans="1:13" x14ac:dyDescent="0.3">
      <c r="A1365" t="s">
        <v>3383</v>
      </c>
      <c r="B1365" t="s">
        <v>8875</v>
      </c>
      <c r="C1365" t="s">
        <v>5470</v>
      </c>
      <c r="D1365" t="s">
        <v>4119</v>
      </c>
      <c r="E1365" t="s">
        <v>5532</v>
      </c>
      <c r="F1365" t="s">
        <v>8934</v>
      </c>
      <c r="G1365" t="s">
        <v>8938</v>
      </c>
      <c r="H1365" t="s">
        <v>5474</v>
      </c>
      <c r="I1365" t="s">
        <v>8939</v>
      </c>
      <c r="J1365" t="s">
        <v>5484</v>
      </c>
      <c r="K1365" t="s">
        <v>5471</v>
      </c>
      <c r="L1365" t="s">
        <v>5471</v>
      </c>
      <c r="M1365" t="s">
        <v>5471</v>
      </c>
    </row>
    <row r="1366" spans="1:13" x14ac:dyDescent="0.3">
      <c r="A1366" t="s">
        <v>3383</v>
      </c>
      <c r="B1366" t="s">
        <v>7444</v>
      </c>
      <c r="C1366" t="s">
        <v>5470</v>
      </c>
      <c r="D1366" t="s">
        <v>4119</v>
      </c>
      <c r="E1366" t="s">
        <v>5532</v>
      </c>
      <c r="F1366" t="s">
        <v>8940</v>
      </c>
      <c r="G1366" t="s">
        <v>8941</v>
      </c>
      <c r="H1366" t="s">
        <v>5474</v>
      </c>
      <c r="I1366" t="s">
        <v>8942</v>
      </c>
      <c r="J1366" t="s">
        <v>5484</v>
      </c>
      <c r="K1366" t="s">
        <v>5471</v>
      </c>
      <c r="L1366" t="s">
        <v>5471</v>
      </c>
      <c r="M1366" t="s">
        <v>5471</v>
      </c>
    </row>
    <row r="1367" spans="1:13" x14ac:dyDescent="0.3">
      <c r="A1367" t="s">
        <v>3383</v>
      </c>
      <c r="B1367" t="s">
        <v>8943</v>
      </c>
      <c r="C1367" t="s">
        <v>5470</v>
      </c>
      <c r="D1367" t="s">
        <v>4119</v>
      </c>
      <c r="E1367" t="s">
        <v>5532</v>
      </c>
      <c r="F1367" t="s">
        <v>8934</v>
      </c>
      <c r="G1367" t="s">
        <v>8944</v>
      </c>
      <c r="H1367" t="s">
        <v>5474</v>
      </c>
      <c r="I1367" t="s">
        <v>8945</v>
      </c>
      <c r="J1367" t="s">
        <v>5484</v>
      </c>
      <c r="K1367" t="s">
        <v>5471</v>
      </c>
      <c r="L1367" t="s">
        <v>5471</v>
      </c>
      <c r="M1367" t="s">
        <v>5471</v>
      </c>
    </row>
    <row r="1368" spans="1:13" x14ac:dyDescent="0.3">
      <c r="A1368" t="s">
        <v>3383</v>
      </c>
      <c r="B1368" t="s">
        <v>7444</v>
      </c>
      <c r="C1368" t="s">
        <v>5470</v>
      </c>
      <c r="D1368" t="s">
        <v>4119</v>
      </c>
      <c r="E1368" t="s">
        <v>5532</v>
      </c>
      <c r="F1368" t="s">
        <v>8946</v>
      </c>
      <c r="G1368" t="s">
        <v>8947</v>
      </c>
      <c r="H1368" t="s">
        <v>5474</v>
      </c>
      <c r="I1368" t="s">
        <v>8948</v>
      </c>
      <c r="J1368" t="s">
        <v>5484</v>
      </c>
      <c r="K1368" t="s">
        <v>5471</v>
      </c>
      <c r="L1368" t="s">
        <v>5471</v>
      </c>
      <c r="M1368" t="s">
        <v>5471</v>
      </c>
    </row>
    <row r="1369" spans="1:13" x14ac:dyDescent="0.3">
      <c r="A1369" t="s">
        <v>3383</v>
      </c>
      <c r="B1369" t="s">
        <v>6094</v>
      </c>
      <c r="C1369" t="s">
        <v>5470</v>
      </c>
      <c r="D1369" t="s">
        <v>4119</v>
      </c>
      <c r="E1369" t="s">
        <v>5532</v>
      </c>
      <c r="F1369" t="s">
        <v>8934</v>
      </c>
      <c r="G1369" t="s">
        <v>6095</v>
      </c>
      <c r="H1369" t="s">
        <v>5474</v>
      </c>
      <c r="I1369" t="s">
        <v>8949</v>
      </c>
      <c r="J1369" t="s">
        <v>5484</v>
      </c>
      <c r="K1369" t="s">
        <v>5471</v>
      </c>
      <c r="L1369" t="s">
        <v>5471</v>
      </c>
      <c r="M1369" t="s">
        <v>5471</v>
      </c>
    </row>
    <row r="1370" spans="1:13" x14ac:dyDescent="0.3">
      <c r="A1370" t="s">
        <v>3397</v>
      </c>
      <c r="B1370" t="s">
        <v>8950</v>
      </c>
      <c r="C1370" t="s">
        <v>5487</v>
      </c>
      <c r="D1370" t="s">
        <v>4119</v>
      </c>
      <c r="E1370" t="s">
        <v>5471</v>
      </c>
      <c r="F1370" t="s">
        <v>8951</v>
      </c>
      <c r="G1370" t="s">
        <v>8952</v>
      </c>
      <c r="H1370" t="s">
        <v>5474</v>
      </c>
      <c r="I1370" t="s">
        <v>8953</v>
      </c>
      <c r="J1370" t="s">
        <v>5476</v>
      </c>
      <c r="K1370" t="s">
        <v>5471</v>
      </c>
      <c r="L1370" t="s">
        <v>5471</v>
      </c>
      <c r="M1370" t="s">
        <v>5471</v>
      </c>
    </row>
    <row r="1371" spans="1:13" x14ac:dyDescent="0.3">
      <c r="A1371" t="s">
        <v>3397</v>
      </c>
      <c r="B1371" t="s">
        <v>8950</v>
      </c>
      <c r="C1371" t="s">
        <v>5487</v>
      </c>
      <c r="D1371" t="s">
        <v>4119</v>
      </c>
      <c r="E1371" t="s">
        <v>5471</v>
      </c>
      <c r="F1371" t="s">
        <v>8954</v>
      </c>
      <c r="G1371" t="s">
        <v>8952</v>
      </c>
      <c r="H1371" t="s">
        <v>5474</v>
      </c>
      <c r="I1371" t="s">
        <v>8955</v>
      </c>
      <c r="J1371" t="s">
        <v>5476</v>
      </c>
      <c r="K1371" t="s">
        <v>5471</v>
      </c>
      <c r="L1371" t="s">
        <v>5471</v>
      </c>
      <c r="M1371" t="s">
        <v>5471</v>
      </c>
    </row>
    <row r="1372" spans="1:13" x14ac:dyDescent="0.3">
      <c r="A1372" t="s">
        <v>3397</v>
      </c>
      <c r="B1372" t="s">
        <v>8950</v>
      </c>
      <c r="C1372" t="s">
        <v>5487</v>
      </c>
      <c r="D1372" t="s">
        <v>4119</v>
      </c>
      <c r="E1372" t="s">
        <v>5471</v>
      </c>
      <c r="F1372" t="s">
        <v>8956</v>
      </c>
      <c r="G1372" t="s">
        <v>8952</v>
      </c>
      <c r="H1372" t="s">
        <v>5474</v>
      </c>
      <c r="I1372" t="s">
        <v>8957</v>
      </c>
      <c r="J1372" t="s">
        <v>5476</v>
      </c>
      <c r="K1372" t="s">
        <v>5471</v>
      </c>
      <c r="L1372" t="s">
        <v>5471</v>
      </c>
      <c r="M1372" t="s">
        <v>5471</v>
      </c>
    </row>
    <row r="1373" spans="1:13" x14ac:dyDescent="0.3">
      <c r="A1373" t="s">
        <v>3397</v>
      </c>
      <c r="B1373" t="s">
        <v>8950</v>
      </c>
      <c r="C1373" t="s">
        <v>5487</v>
      </c>
      <c r="D1373" t="s">
        <v>4119</v>
      </c>
      <c r="E1373" t="s">
        <v>5471</v>
      </c>
      <c r="F1373" t="s">
        <v>8958</v>
      </c>
      <c r="G1373" t="s">
        <v>8952</v>
      </c>
      <c r="H1373" t="s">
        <v>5474</v>
      </c>
      <c r="I1373" t="s">
        <v>8959</v>
      </c>
      <c r="J1373" t="s">
        <v>5476</v>
      </c>
      <c r="K1373" t="s">
        <v>5471</v>
      </c>
      <c r="L1373" t="s">
        <v>5471</v>
      </c>
      <c r="M1373" t="s">
        <v>5471</v>
      </c>
    </row>
    <row r="1374" spans="1:13" x14ac:dyDescent="0.3">
      <c r="A1374" t="s">
        <v>3397</v>
      </c>
      <c r="B1374" t="s">
        <v>8950</v>
      </c>
      <c r="C1374" t="s">
        <v>5487</v>
      </c>
      <c r="D1374" t="s">
        <v>4119</v>
      </c>
      <c r="E1374" t="s">
        <v>5471</v>
      </c>
      <c r="F1374" t="s">
        <v>8960</v>
      </c>
      <c r="G1374" t="s">
        <v>8952</v>
      </c>
      <c r="H1374" t="s">
        <v>5474</v>
      </c>
      <c r="I1374" t="s">
        <v>8961</v>
      </c>
      <c r="J1374" t="s">
        <v>5476</v>
      </c>
      <c r="K1374" t="s">
        <v>5471</v>
      </c>
      <c r="L1374" t="s">
        <v>5471</v>
      </c>
      <c r="M1374" t="s">
        <v>5471</v>
      </c>
    </row>
    <row r="1375" spans="1:13" x14ac:dyDescent="0.3">
      <c r="A1375" t="s">
        <v>3397</v>
      </c>
      <c r="B1375" t="s">
        <v>8950</v>
      </c>
      <c r="C1375" t="s">
        <v>5487</v>
      </c>
      <c r="D1375" t="s">
        <v>4119</v>
      </c>
      <c r="E1375" t="s">
        <v>5471</v>
      </c>
      <c r="F1375" t="s">
        <v>8962</v>
      </c>
      <c r="G1375" t="s">
        <v>8952</v>
      </c>
      <c r="H1375" t="s">
        <v>5474</v>
      </c>
      <c r="I1375" t="s">
        <v>8963</v>
      </c>
      <c r="J1375" t="s">
        <v>5476</v>
      </c>
      <c r="K1375" t="s">
        <v>5471</v>
      </c>
      <c r="L1375" t="s">
        <v>5471</v>
      </c>
      <c r="M1375" t="s">
        <v>5471</v>
      </c>
    </row>
    <row r="1376" spans="1:13" x14ac:dyDescent="0.3">
      <c r="A1376" t="s">
        <v>3383</v>
      </c>
      <c r="B1376" t="s">
        <v>7444</v>
      </c>
      <c r="C1376" t="s">
        <v>5470</v>
      </c>
      <c r="D1376" t="s">
        <v>4119</v>
      </c>
      <c r="E1376" t="s">
        <v>5532</v>
      </c>
      <c r="F1376" t="s">
        <v>8946</v>
      </c>
      <c r="G1376" t="s">
        <v>7446</v>
      </c>
      <c r="H1376" t="s">
        <v>5474</v>
      </c>
      <c r="I1376" t="s">
        <v>8964</v>
      </c>
      <c r="J1376" t="s">
        <v>5484</v>
      </c>
      <c r="K1376" t="s">
        <v>5471</v>
      </c>
      <c r="L1376" t="s">
        <v>5471</v>
      </c>
      <c r="M1376" t="s">
        <v>5471</v>
      </c>
    </row>
    <row r="1377" spans="1:13" x14ac:dyDescent="0.3">
      <c r="A1377" t="s">
        <v>3383</v>
      </c>
      <c r="B1377" t="s">
        <v>6122</v>
      </c>
      <c r="C1377" t="s">
        <v>5470</v>
      </c>
      <c r="D1377" t="s">
        <v>4119</v>
      </c>
      <c r="E1377" t="s">
        <v>5756</v>
      </c>
      <c r="F1377" t="s">
        <v>8965</v>
      </c>
      <c r="G1377" t="s">
        <v>7497</v>
      </c>
      <c r="H1377" t="s">
        <v>5474</v>
      </c>
      <c r="I1377" t="s">
        <v>8966</v>
      </c>
      <c r="J1377" t="s">
        <v>5476</v>
      </c>
      <c r="K1377" t="s">
        <v>5471</v>
      </c>
      <c r="L1377" t="s">
        <v>5471</v>
      </c>
      <c r="M1377" t="s">
        <v>5471</v>
      </c>
    </row>
    <row r="1378" spans="1:13" x14ac:dyDescent="0.3">
      <c r="A1378" t="s">
        <v>3383</v>
      </c>
      <c r="B1378" t="s">
        <v>7444</v>
      </c>
      <c r="C1378" t="s">
        <v>5470</v>
      </c>
      <c r="D1378" t="s">
        <v>4119</v>
      </c>
      <c r="E1378" t="s">
        <v>5532</v>
      </c>
      <c r="F1378" t="s">
        <v>8946</v>
      </c>
      <c r="G1378" t="s">
        <v>8967</v>
      </c>
      <c r="H1378" t="s">
        <v>5474</v>
      </c>
      <c r="I1378" t="s">
        <v>8968</v>
      </c>
      <c r="J1378" t="s">
        <v>5484</v>
      </c>
      <c r="K1378" t="s">
        <v>5471</v>
      </c>
      <c r="L1378" t="s">
        <v>5471</v>
      </c>
      <c r="M1378" t="s">
        <v>5471</v>
      </c>
    </row>
    <row r="1379" spans="1:13" x14ac:dyDescent="0.3">
      <c r="A1379" t="s">
        <v>3383</v>
      </c>
      <c r="B1379" t="s">
        <v>6122</v>
      </c>
      <c r="C1379" t="s">
        <v>5470</v>
      </c>
      <c r="D1379" t="s">
        <v>4119</v>
      </c>
      <c r="E1379" t="s">
        <v>5756</v>
      </c>
      <c r="F1379" t="s">
        <v>8969</v>
      </c>
      <c r="G1379" t="s">
        <v>8970</v>
      </c>
      <c r="H1379" t="s">
        <v>5474</v>
      </c>
      <c r="I1379" t="s">
        <v>8971</v>
      </c>
      <c r="J1379" t="s">
        <v>5484</v>
      </c>
      <c r="K1379" t="s">
        <v>5471</v>
      </c>
      <c r="L1379" t="s">
        <v>5471</v>
      </c>
      <c r="M1379" t="s">
        <v>5471</v>
      </c>
    </row>
    <row r="1380" spans="1:13" x14ac:dyDescent="0.3">
      <c r="A1380" t="s">
        <v>3383</v>
      </c>
      <c r="B1380" t="s">
        <v>7444</v>
      </c>
      <c r="C1380" t="s">
        <v>5470</v>
      </c>
      <c r="D1380" t="s">
        <v>4119</v>
      </c>
      <c r="E1380" t="s">
        <v>5532</v>
      </c>
      <c r="F1380" t="s">
        <v>8946</v>
      </c>
      <c r="G1380" t="s">
        <v>8972</v>
      </c>
      <c r="H1380" t="s">
        <v>5474</v>
      </c>
      <c r="I1380" t="s">
        <v>8973</v>
      </c>
      <c r="J1380" t="s">
        <v>5484</v>
      </c>
      <c r="K1380" t="s">
        <v>5471</v>
      </c>
      <c r="L1380" t="s">
        <v>5471</v>
      </c>
      <c r="M1380" t="s">
        <v>5471</v>
      </c>
    </row>
    <row r="1381" spans="1:13" x14ac:dyDescent="0.3">
      <c r="A1381" t="s">
        <v>3397</v>
      </c>
      <c r="B1381" t="s">
        <v>8950</v>
      </c>
      <c r="C1381" t="s">
        <v>5487</v>
      </c>
      <c r="D1381" t="s">
        <v>4119</v>
      </c>
      <c r="E1381" t="s">
        <v>5471</v>
      </c>
      <c r="F1381" t="s">
        <v>8974</v>
      </c>
      <c r="G1381" t="s">
        <v>8952</v>
      </c>
      <c r="H1381" t="s">
        <v>5474</v>
      </c>
      <c r="I1381" t="s">
        <v>8975</v>
      </c>
      <c r="J1381" t="s">
        <v>5476</v>
      </c>
      <c r="K1381" t="s">
        <v>5471</v>
      </c>
      <c r="L1381" t="s">
        <v>5471</v>
      </c>
      <c r="M1381" t="s">
        <v>5471</v>
      </c>
    </row>
    <row r="1382" spans="1:13" x14ac:dyDescent="0.3">
      <c r="A1382" t="s">
        <v>3397</v>
      </c>
      <c r="B1382" t="s">
        <v>8950</v>
      </c>
      <c r="C1382" t="s">
        <v>5487</v>
      </c>
      <c r="D1382" t="s">
        <v>4119</v>
      </c>
      <c r="E1382" t="s">
        <v>5471</v>
      </c>
      <c r="F1382" t="s">
        <v>8976</v>
      </c>
      <c r="G1382" t="s">
        <v>8977</v>
      </c>
      <c r="H1382" t="s">
        <v>5474</v>
      </c>
      <c r="I1382" t="s">
        <v>8978</v>
      </c>
      <c r="J1382" t="s">
        <v>5476</v>
      </c>
      <c r="K1382" t="s">
        <v>5471</v>
      </c>
      <c r="L1382" t="s">
        <v>5471</v>
      </c>
      <c r="M1382" t="s">
        <v>5471</v>
      </c>
    </row>
    <row r="1383" spans="1:13" x14ac:dyDescent="0.3">
      <c r="A1383" t="s">
        <v>3383</v>
      </c>
      <c r="B1383" t="s">
        <v>7444</v>
      </c>
      <c r="C1383" t="s">
        <v>5470</v>
      </c>
      <c r="D1383" t="s">
        <v>4119</v>
      </c>
      <c r="E1383" t="s">
        <v>5532</v>
      </c>
      <c r="F1383" t="s">
        <v>8940</v>
      </c>
      <c r="G1383" t="s">
        <v>8979</v>
      </c>
      <c r="H1383" t="s">
        <v>5474</v>
      </c>
      <c r="I1383" t="s">
        <v>8980</v>
      </c>
      <c r="J1383" t="s">
        <v>5484</v>
      </c>
      <c r="K1383" t="s">
        <v>5471</v>
      </c>
      <c r="L1383" t="s">
        <v>5471</v>
      </c>
      <c r="M1383" t="s">
        <v>5471</v>
      </c>
    </row>
    <row r="1384" spans="1:13" x14ac:dyDescent="0.3">
      <c r="A1384" t="s">
        <v>3397</v>
      </c>
      <c r="B1384" t="s">
        <v>8950</v>
      </c>
      <c r="C1384" t="s">
        <v>5487</v>
      </c>
      <c r="D1384" t="s">
        <v>4119</v>
      </c>
      <c r="E1384" t="s">
        <v>5471</v>
      </c>
      <c r="F1384" t="s">
        <v>8981</v>
      </c>
      <c r="G1384" t="s">
        <v>8977</v>
      </c>
      <c r="H1384" t="s">
        <v>5474</v>
      </c>
      <c r="I1384" t="s">
        <v>8982</v>
      </c>
      <c r="J1384" t="s">
        <v>5476</v>
      </c>
      <c r="K1384" t="s">
        <v>5471</v>
      </c>
      <c r="L1384" t="s">
        <v>5471</v>
      </c>
      <c r="M1384" t="s">
        <v>5471</v>
      </c>
    </row>
    <row r="1385" spans="1:13" x14ac:dyDescent="0.3">
      <c r="A1385" t="s">
        <v>3397</v>
      </c>
      <c r="B1385" t="s">
        <v>8950</v>
      </c>
      <c r="C1385" t="s">
        <v>5487</v>
      </c>
      <c r="D1385" t="s">
        <v>4119</v>
      </c>
      <c r="E1385" t="s">
        <v>5471</v>
      </c>
      <c r="F1385" t="s">
        <v>8983</v>
      </c>
      <c r="G1385" t="s">
        <v>8977</v>
      </c>
      <c r="H1385" t="s">
        <v>5474</v>
      </c>
      <c r="I1385" t="s">
        <v>8984</v>
      </c>
      <c r="J1385" t="s">
        <v>5476</v>
      </c>
      <c r="K1385" t="s">
        <v>5471</v>
      </c>
      <c r="L1385" t="s">
        <v>5471</v>
      </c>
      <c r="M1385" t="s">
        <v>5471</v>
      </c>
    </row>
    <row r="1386" spans="1:13" x14ac:dyDescent="0.3">
      <c r="A1386" t="s">
        <v>3397</v>
      </c>
      <c r="B1386" t="s">
        <v>8950</v>
      </c>
      <c r="C1386" t="s">
        <v>5487</v>
      </c>
      <c r="D1386" t="s">
        <v>4119</v>
      </c>
      <c r="E1386" t="s">
        <v>5471</v>
      </c>
      <c r="F1386" t="s">
        <v>8985</v>
      </c>
      <c r="G1386" t="s">
        <v>8977</v>
      </c>
      <c r="H1386" t="s">
        <v>5474</v>
      </c>
      <c r="I1386" t="s">
        <v>8986</v>
      </c>
      <c r="J1386" t="s">
        <v>5476</v>
      </c>
      <c r="K1386" t="s">
        <v>5471</v>
      </c>
      <c r="L1386" t="s">
        <v>5471</v>
      </c>
      <c r="M1386" t="s">
        <v>5471</v>
      </c>
    </row>
    <row r="1387" spans="1:13" x14ac:dyDescent="0.3">
      <c r="A1387" t="s">
        <v>3397</v>
      </c>
      <c r="B1387" t="s">
        <v>8950</v>
      </c>
      <c r="C1387" t="s">
        <v>5487</v>
      </c>
      <c r="D1387" t="s">
        <v>4119</v>
      </c>
      <c r="E1387" t="s">
        <v>5471</v>
      </c>
      <c r="F1387" t="s">
        <v>8987</v>
      </c>
      <c r="G1387" t="s">
        <v>8977</v>
      </c>
      <c r="H1387" t="s">
        <v>5474</v>
      </c>
      <c r="I1387" t="s">
        <v>8988</v>
      </c>
      <c r="J1387" t="s">
        <v>5476</v>
      </c>
      <c r="K1387" t="s">
        <v>5471</v>
      </c>
      <c r="L1387" t="s">
        <v>5471</v>
      </c>
      <c r="M1387" t="s">
        <v>5471</v>
      </c>
    </row>
    <row r="1388" spans="1:13" x14ac:dyDescent="0.3">
      <c r="A1388" t="s">
        <v>3397</v>
      </c>
      <c r="B1388" t="s">
        <v>8950</v>
      </c>
      <c r="C1388" t="s">
        <v>5487</v>
      </c>
      <c r="D1388" t="s">
        <v>4119</v>
      </c>
      <c r="E1388" t="s">
        <v>5471</v>
      </c>
      <c r="F1388" t="s">
        <v>8989</v>
      </c>
      <c r="G1388" t="s">
        <v>8977</v>
      </c>
      <c r="H1388" t="s">
        <v>5474</v>
      </c>
      <c r="I1388" t="s">
        <v>8990</v>
      </c>
      <c r="J1388" t="s">
        <v>5476</v>
      </c>
      <c r="K1388" t="s">
        <v>5471</v>
      </c>
      <c r="L1388" t="s">
        <v>5471</v>
      </c>
      <c r="M1388" t="s">
        <v>5471</v>
      </c>
    </row>
    <row r="1389" spans="1:13" x14ac:dyDescent="0.3">
      <c r="A1389" t="s">
        <v>3397</v>
      </c>
      <c r="B1389" t="s">
        <v>8950</v>
      </c>
      <c r="C1389" t="s">
        <v>5487</v>
      </c>
      <c r="D1389" t="s">
        <v>4119</v>
      </c>
      <c r="E1389" t="s">
        <v>5471</v>
      </c>
      <c r="F1389" t="s">
        <v>8991</v>
      </c>
      <c r="G1389" t="s">
        <v>8977</v>
      </c>
      <c r="H1389" t="s">
        <v>5474</v>
      </c>
      <c r="I1389" t="s">
        <v>8992</v>
      </c>
      <c r="J1389" t="s">
        <v>5476</v>
      </c>
      <c r="K1389" t="s">
        <v>5471</v>
      </c>
      <c r="L1389" t="s">
        <v>5471</v>
      </c>
      <c r="M1389" t="s">
        <v>5471</v>
      </c>
    </row>
    <row r="1390" spans="1:13" x14ac:dyDescent="0.3">
      <c r="A1390" t="s">
        <v>3397</v>
      </c>
      <c r="B1390" t="s">
        <v>8993</v>
      </c>
      <c r="C1390" t="s">
        <v>5487</v>
      </c>
      <c r="D1390" t="s">
        <v>4119</v>
      </c>
      <c r="E1390" t="s">
        <v>5471</v>
      </c>
      <c r="F1390" t="s">
        <v>8994</v>
      </c>
      <c r="G1390" t="s">
        <v>8995</v>
      </c>
      <c r="H1390" t="s">
        <v>5474</v>
      </c>
      <c r="I1390" t="s">
        <v>8996</v>
      </c>
      <c r="J1390" t="s">
        <v>5476</v>
      </c>
      <c r="K1390" t="s">
        <v>5471</v>
      </c>
      <c r="L1390" t="s">
        <v>5471</v>
      </c>
      <c r="M1390" t="s">
        <v>5471</v>
      </c>
    </row>
    <row r="1391" spans="1:13" x14ac:dyDescent="0.3">
      <c r="A1391" t="s">
        <v>3397</v>
      </c>
      <c r="B1391" t="s">
        <v>8993</v>
      </c>
      <c r="C1391" t="s">
        <v>5487</v>
      </c>
      <c r="D1391" t="s">
        <v>4119</v>
      </c>
      <c r="E1391" t="s">
        <v>5471</v>
      </c>
      <c r="F1391" t="s">
        <v>8997</v>
      </c>
      <c r="G1391" t="s">
        <v>8995</v>
      </c>
      <c r="H1391" t="s">
        <v>5474</v>
      </c>
      <c r="I1391" t="s">
        <v>8998</v>
      </c>
      <c r="J1391" t="s">
        <v>5476</v>
      </c>
      <c r="K1391" t="s">
        <v>5471</v>
      </c>
      <c r="L1391" t="s">
        <v>5471</v>
      </c>
      <c r="M1391" t="s">
        <v>5471</v>
      </c>
    </row>
    <row r="1392" spans="1:13" x14ac:dyDescent="0.3">
      <c r="A1392" t="s">
        <v>3397</v>
      </c>
      <c r="B1392" t="s">
        <v>8993</v>
      </c>
      <c r="C1392" t="s">
        <v>5487</v>
      </c>
      <c r="D1392" t="s">
        <v>4119</v>
      </c>
      <c r="E1392" t="s">
        <v>5471</v>
      </c>
      <c r="F1392" t="s">
        <v>8999</v>
      </c>
      <c r="G1392" t="s">
        <v>8995</v>
      </c>
      <c r="H1392" t="s">
        <v>5474</v>
      </c>
      <c r="I1392" t="s">
        <v>9000</v>
      </c>
      <c r="J1392" t="s">
        <v>5476</v>
      </c>
      <c r="K1392" t="s">
        <v>5471</v>
      </c>
      <c r="L1392" t="s">
        <v>5471</v>
      </c>
      <c r="M1392" t="s">
        <v>5471</v>
      </c>
    </row>
    <row r="1393" spans="1:13" x14ac:dyDescent="0.3">
      <c r="A1393" t="s">
        <v>3397</v>
      </c>
      <c r="B1393" t="s">
        <v>9001</v>
      </c>
      <c r="C1393" t="s">
        <v>5487</v>
      </c>
      <c r="D1393" t="s">
        <v>4119</v>
      </c>
      <c r="E1393" t="s">
        <v>5471</v>
      </c>
      <c r="F1393" t="s">
        <v>9002</v>
      </c>
      <c r="G1393" t="s">
        <v>9003</v>
      </c>
      <c r="H1393" t="s">
        <v>5474</v>
      </c>
      <c r="I1393" t="s">
        <v>9004</v>
      </c>
      <c r="J1393" t="s">
        <v>5476</v>
      </c>
      <c r="K1393" t="s">
        <v>5471</v>
      </c>
      <c r="L1393" t="s">
        <v>5471</v>
      </c>
      <c r="M1393" t="s">
        <v>5471</v>
      </c>
    </row>
    <row r="1394" spans="1:13" x14ac:dyDescent="0.3">
      <c r="A1394" t="s">
        <v>3397</v>
      </c>
      <c r="B1394" t="s">
        <v>5594</v>
      </c>
      <c r="C1394" t="s">
        <v>5487</v>
      </c>
      <c r="D1394" t="s">
        <v>4119</v>
      </c>
      <c r="E1394" t="s">
        <v>5595</v>
      </c>
      <c r="F1394" t="s">
        <v>9005</v>
      </c>
      <c r="G1394" t="s">
        <v>7355</v>
      </c>
      <c r="H1394" t="s">
        <v>5474</v>
      </c>
      <c r="I1394" t="s">
        <v>9006</v>
      </c>
      <c r="J1394" t="s">
        <v>5476</v>
      </c>
      <c r="K1394" t="s">
        <v>5471</v>
      </c>
      <c r="L1394" t="s">
        <v>5471</v>
      </c>
      <c r="M1394" t="s">
        <v>5471</v>
      </c>
    </row>
    <row r="1395" spans="1:13" x14ac:dyDescent="0.3">
      <c r="A1395" t="s">
        <v>3397</v>
      </c>
      <c r="B1395" t="s">
        <v>5594</v>
      </c>
      <c r="C1395" t="s">
        <v>5487</v>
      </c>
      <c r="D1395" t="s">
        <v>4119</v>
      </c>
      <c r="E1395" t="s">
        <v>5595</v>
      </c>
      <c r="F1395" t="s">
        <v>9007</v>
      </c>
      <c r="G1395" t="s">
        <v>7360</v>
      </c>
      <c r="H1395" t="s">
        <v>5474</v>
      </c>
      <c r="I1395" t="s">
        <v>9008</v>
      </c>
      <c r="J1395" t="s">
        <v>5476</v>
      </c>
      <c r="K1395" t="s">
        <v>5471</v>
      </c>
      <c r="L1395" t="s">
        <v>5471</v>
      </c>
      <c r="M1395" t="s">
        <v>5471</v>
      </c>
    </row>
    <row r="1396" spans="1:13" x14ac:dyDescent="0.3">
      <c r="A1396" t="s">
        <v>3397</v>
      </c>
      <c r="B1396" t="s">
        <v>5594</v>
      </c>
      <c r="C1396" t="s">
        <v>5487</v>
      </c>
      <c r="D1396" t="s">
        <v>4119</v>
      </c>
      <c r="E1396" t="s">
        <v>5595</v>
      </c>
      <c r="F1396" t="s">
        <v>9009</v>
      </c>
      <c r="G1396" t="s">
        <v>7360</v>
      </c>
      <c r="H1396" t="s">
        <v>5474</v>
      </c>
      <c r="I1396" t="s">
        <v>9010</v>
      </c>
      <c r="J1396" t="s">
        <v>5476</v>
      </c>
      <c r="K1396" t="s">
        <v>5471</v>
      </c>
      <c r="L1396" t="s">
        <v>5471</v>
      </c>
      <c r="M1396" t="s">
        <v>5471</v>
      </c>
    </row>
    <row r="1397" spans="1:13" x14ac:dyDescent="0.3">
      <c r="A1397" t="s">
        <v>3397</v>
      </c>
      <c r="B1397" t="s">
        <v>5594</v>
      </c>
      <c r="C1397" t="s">
        <v>5487</v>
      </c>
      <c r="D1397" t="s">
        <v>4119</v>
      </c>
      <c r="E1397" t="s">
        <v>5595</v>
      </c>
      <c r="F1397" t="s">
        <v>9011</v>
      </c>
      <c r="G1397" t="s">
        <v>9012</v>
      </c>
      <c r="H1397" t="s">
        <v>5474</v>
      </c>
      <c r="I1397" t="s">
        <v>9013</v>
      </c>
      <c r="J1397" t="s">
        <v>5476</v>
      </c>
      <c r="K1397" t="s">
        <v>5471</v>
      </c>
      <c r="L1397" t="s">
        <v>5471</v>
      </c>
      <c r="M1397" t="s">
        <v>5471</v>
      </c>
    </row>
    <row r="1398" spans="1:13" x14ac:dyDescent="0.3">
      <c r="A1398" t="s">
        <v>3397</v>
      </c>
      <c r="B1398" t="s">
        <v>5594</v>
      </c>
      <c r="C1398" t="s">
        <v>5487</v>
      </c>
      <c r="D1398" t="s">
        <v>4119</v>
      </c>
      <c r="E1398" t="s">
        <v>5595</v>
      </c>
      <c r="F1398" t="s">
        <v>9014</v>
      </c>
      <c r="G1398" t="s">
        <v>9012</v>
      </c>
      <c r="H1398" t="s">
        <v>5474</v>
      </c>
      <c r="I1398" t="s">
        <v>9015</v>
      </c>
      <c r="J1398" t="s">
        <v>5476</v>
      </c>
      <c r="K1398" t="s">
        <v>5471</v>
      </c>
      <c r="L1398" t="s">
        <v>5471</v>
      </c>
      <c r="M1398" t="s">
        <v>5471</v>
      </c>
    </row>
    <row r="1399" spans="1:13" x14ac:dyDescent="0.3">
      <c r="A1399" t="s">
        <v>3397</v>
      </c>
      <c r="B1399" t="s">
        <v>5594</v>
      </c>
      <c r="C1399" t="s">
        <v>5487</v>
      </c>
      <c r="D1399" t="s">
        <v>4119</v>
      </c>
      <c r="E1399" t="s">
        <v>5595</v>
      </c>
      <c r="F1399" t="s">
        <v>9016</v>
      </c>
      <c r="G1399" t="s">
        <v>9012</v>
      </c>
      <c r="H1399" t="s">
        <v>5474</v>
      </c>
      <c r="I1399" t="s">
        <v>9017</v>
      </c>
      <c r="J1399" t="s">
        <v>5476</v>
      </c>
      <c r="K1399" t="s">
        <v>5471</v>
      </c>
      <c r="L1399" t="s">
        <v>5471</v>
      </c>
      <c r="M1399" t="s">
        <v>5471</v>
      </c>
    </row>
    <row r="1400" spans="1:13" x14ac:dyDescent="0.3">
      <c r="A1400" t="s">
        <v>3397</v>
      </c>
      <c r="B1400" t="s">
        <v>5594</v>
      </c>
      <c r="C1400" t="s">
        <v>5487</v>
      </c>
      <c r="D1400" t="s">
        <v>4119</v>
      </c>
      <c r="E1400" t="s">
        <v>5595</v>
      </c>
      <c r="F1400" t="s">
        <v>9018</v>
      </c>
      <c r="G1400" t="s">
        <v>9019</v>
      </c>
      <c r="H1400" t="s">
        <v>5474</v>
      </c>
      <c r="I1400" t="s">
        <v>9020</v>
      </c>
      <c r="J1400" t="s">
        <v>5476</v>
      </c>
      <c r="K1400" t="s">
        <v>5471</v>
      </c>
      <c r="L1400" t="s">
        <v>5471</v>
      </c>
      <c r="M1400" t="s">
        <v>5471</v>
      </c>
    </row>
    <row r="1401" spans="1:13" x14ac:dyDescent="0.3">
      <c r="A1401" t="s">
        <v>3397</v>
      </c>
      <c r="B1401" t="s">
        <v>5594</v>
      </c>
      <c r="C1401" t="s">
        <v>5487</v>
      </c>
      <c r="D1401" t="s">
        <v>4119</v>
      </c>
      <c r="E1401" t="s">
        <v>5595</v>
      </c>
      <c r="F1401" t="s">
        <v>9021</v>
      </c>
      <c r="G1401" t="s">
        <v>9019</v>
      </c>
      <c r="H1401" t="s">
        <v>5474</v>
      </c>
      <c r="I1401" t="s">
        <v>9022</v>
      </c>
      <c r="J1401" t="s">
        <v>5476</v>
      </c>
      <c r="K1401" t="s">
        <v>5471</v>
      </c>
      <c r="L1401" t="s">
        <v>5471</v>
      </c>
      <c r="M1401" t="s">
        <v>5471</v>
      </c>
    </row>
    <row r="1402" spans="1:13" x14ac:dyDescent="0.3">
      <c r="A1402" t="s">
        <v>3397</v>
      </c>
      <c r="B1402" t="s">
        <v>5594</v>
      </c>
      <c r="C1402" t="s">
        <v>5487</v>
      </c>
      <c r="D1402" t="s">
        <v>4119</v>
      </c>
      <c r="E1402" t="s">
        <v>5595</v>
      </c>
      <c r="F1402" t="s">
        <v>9023</v>
      </c>
      <c r="G1402" t="s">
        <v>9019</v>
      </c>
      <c r="H1402" t="s">
        <v>5474</v>
      </c>
      <c r="I1402" t="s">
        <v>9024</v>
      </c>
      <c r="J1402" t="s">
        <v>5476</v>
      </c>
      <c r="K1402" t="s">
        <v>5471</v>
      </c>
      <c r="L1402" t="s">
        <v>5471</v>
      </c>
      <c r="M1402" t="s">
        <v>5471</v>
      </c>
    </row>
    <row r="1403" spans="1:13" x14ac:dyDescent="0.3">
      <c r="A1403" t="s">
        <v>3397</v>
      </c>
      <c r="B1403" t="s">
        <v>5594</v>
      </c>
      <c r="C1403" t="s">
        <v>5487</v>
      </c>
      <c r="D1403" t="s">
        <v>4119</v>
      </c>
      <c r="E1403" t="s">
        <v>5595</v>
      </c>
      <c r="F1403" t="s">
        <v>9025</v>
      </c>
      <c r="G1403" t="s">
        <v>9026</v>
      </c>
      <c r="H1403" t="s">
        <v>5474</v>
      </c>
      <c r="I1403" t="s">
        <v>9027</v>
      </c>
      <c r="J1403" t="s">
        <v>5476</v>
      </c>
      <c r="K1403" t="s">
        <v>5471</v>
      </c>
      <c r="L1403" t="s">
        <v>5471</v>
      </c>
      <c r="M1403" t="s">
        <v>5471</v>
      </c>
    </row>
    <row r="1404" spans="1:13" x14ac:dyDescent="0.3">
      <c r="A1404" t="s">
        <v>3397</v>
      </c>
      <c r="B1404" t="s">
        <v>5594</v>
      </c>
      <c r="C1404" t="s">
        <v>5487</v>
      </c>
      <c r="D1404" t="s">
        <v>4119</v>
      </c>
      <c r="E1404" t="s">
        <v>5595</v>
      </c>
      <c r="F1404" t="s">
        <v>9028</v>
      </c>
      <c r="G1404" t="s">
        <v>9029</v>
      </c>
      <c r="H1404" t="s">
        <v>5474</v>
      </c>
      <c r="I1404" t="s">
        <v>9030</v>
      </c>
      <c r="J1404" t="s">
        <v>5476</v>
      </c>
      <c r="K1404" t="s">
        <v>5471</v>
      </c>
      <c r="L1404" t="s">
        <v>5471</v>
      </c>
      <c r="M1404" t="s">
        <v>5471</v>
      </c>
    </row>
    <row r="1405" spans="1:13" x14ac:dyDescent="0.3">
      <c r="A1405" t="s">
        <v>3397</v>
      </c>
      <c r="B1405" t="s">
        <v>5594</v>
      </c>
      <c r="C1405" t="s">
        <v>5487</v>
      </c>
      <c r="D1405" t="s">
        <v>4119</v>
      </c>
      <c r="E1405" t="s">
        <v>5595</v>
      </c>
      <c r="F1405" t="s">
        <v>9031</v>
      </c>
      <c r="G1405" t="s">
        <v>9029</v>
      </c>
      <c r="H1405" t="s">
        <v>5474</v>
      </c>
      <c r="I1405" t="s">
        <v>9032</v>
      </c>
      <c r="J1405" t="s">
        <v>5476</v>
      </c>
      <c r="K1405" t="s">
        <v>5471</v>
      </c>
      <c r="L1405" t="s">
        <v>5471</v>
      </c>
      <c r="M1405" t="s">
        <v>5471</v>
      </c>
    </row>
    <row r="1406" spans="1:13" x14ac:dyDescent="0.3">
      <c r="A1406" t="s">
        <v>3397</v>
      </c>
      <c r="B1406" t="s">
        <v>5594</v>
      </c>
      <c r="C1406" t="s">
        <v>5487</v>
      </c>
      <c r="D1406" t="s">
        <v>4119</v>
      </c>
      <c r="E1406" t="s">
        <v>5595</v>
      </c>
      <c r="F1406" t="s">
        <v>9033</v>
      </c>
      <c r="G1406" t="s">
        <v>9029</v>
      </c>
      <c r="H1406" t="s">
        <v>5474</v>
      </c>
      <c r="I1406" t="s">
        <v>9034</v>
      </c>
      <c r="J1406" t="s">
        <v>5476</v>
      </c>
      <c r="K1406" t="s">
        <v>5471</v>
      </c>
      <c r="L1406" t="s">
        <v>5471</v>
      </c>
      <c r="M1406" t="s">
        <v>5471</v>
      </c>
    </row>
    <row r="1407" spans="1:13" x14ac:dyDescent="0.3">
      <c r="A1407" t="s">
        <v>3397</v>
      </c>
      <c r="B1407" t="s">
        <v>5594</v>
      </c>
      <c r="C1407" t="s">
        <v>5487</v>
      </c>
      <c r="D1407" t="s">
        <v>4119</v>
      </c>
      <c r="E1407" t="s">
        <v>5595</v>
      </c>
      <c r="F1407" t="s">
        <v>9035</v>
      </c>
      <c r="G1407" t="s">
        <v>9036</v>
      </c>
      <c r="H1407" t="s">
        <v>5474</v>
      </c>
      <c r="I1407" t="s">
        <v>9037</v>
      </c>
      <c r="J1407" t="s">
        <v>5476</v>
      </c>
      <c r="K1407" t="s">
        <v>5471</v>
      </c>
      <c r="L1407" t="s">
        <v>5471</v>
      </c>
      <c r="M1407" t="s">
        <v>5471</v>
      </c>
    </row>
    <row r="1408" spans="1:13" x14ac:dyDescent="0.3">
      <c r="A1408" t="s">
        <v>3397</v>
      </c>
      <c r="B1408" t="s">
        <v>5594</v>
      </c>
      <c r="C1408" t="s">
        <v>5487</v>
      </c>
      <c r="D1408" t="s">
        <v>4119</v>
      </c>
      <c r="E1408" t="s">
        <v>5595</v>
      </c>
      <c r="F1408" t="s">
        <v>9038</v>
      </c>
      <c r="G1408" t="s">
        <v>9036</v>
      </c>
      <c r="H1408" t="s">
        <v>5474</v>
      </c>
      <c r="I1408" t="s">
        <v>9039</v>
      </c>
      <c r="J1408" t="s">
        <v>5476</v>
      </c>
      <c r="K1408" t="s">
        <v>5471</v>
      </c>
      <c r="L1408" t="s">
        <v>5471</v>
      </c>
      <c r="M1408" t="s">
        <v>5471</v>
      </c>
    </row>
    <row r="1409" spans="1:13" x14ac:dyDescent="0.3">
      <c r="A1409" t="s">
        <v>3397</v>
      </c>
      <c r="B1409" t="s">
        <v>5594</v>
      </c>
      <c r="C1409" t="s">
        <v>5487</v>
      </c>
      <c r="D1409" t="s">
        <v>4119</v>
      </c>
      <c r="E1409" t="s">
        <v>5595</v>
      </c>
      <c r="F1409" t="s">
        <v>9040</v>
      </c>
      <c r="G1409" t="s">
        <v>9036</v>
      </c>
      <c r="H1409" t="s">
        <v>5474</v>
      </c>
      <c r="I1409" t="s">
        <v>9041</v>
      </c>
      <c r="J1409" t="s">
        <v>5476</v>
      </c>
      <c r="K1409" t="s">
        <v>5471</v>
      </c>
      <c r="L1409" t="s">
        <v>5471</v>
      </c>
      <c r="M1409" t="s">
        <v>5471</v>
      </c>
    </row>
    <row r="1410" spans="1:13" x14ac:dyDescent="0.3">
      <c r="A1410" t="s">
        <v>3397</v>
      </c>
      <c r="B1410" t="s">
        <v>5594</v>
      </c>
      <c r="C1410" t="s">
        <v>5487</v>
      </c>
      <c r="D1410" t="s">
        <v>4119</v>
      </c>
      <c r="E1410" t="s">
        <v>5595</v>
      </c>
      <c r="F1410" t="s">
        <v>9042</v>
      </c>
      <c r="G1410" t="s">
        <v>9043</v>
      </c>
      <c r="H1410" t="s">
        <v>5474</v>
      </c>
      <c r="I1410" t="s">
        <v>9044</v>
      </c>
      <c r="J1410" t="s">
        <v>5476</v>
      </c>
      <c r="K1410" t="s">
        <v>5471</v>
      </c>
      <c r="L1410" t="s">
        <v>5471</v>
      </c>
      <c r="M1410" t="s">
        <v>5471</v>
      </c>
    </row>
    <row r="1411" spans="1:13" x14ac:dyDescent="0.3">
      <c r="A1411" t="s">
        <v>3397</v>
      </c>
      <c r="B1411" t="s">
        <v>5594</v>
      </c>
      <c r="C1411" t="s">
        <v>5487</v>
      </c>
      <c r="D1411" t="s">
        <v>4119</v>
      </c>
      <c r="E1411" t="s">
        <v>5595</v>
      </c>
      <c r="F1411" t="s">
        <v>9045</v>
      </c>
      <c r="G1411" t="s">
        <v>9043</v>
      </c>
      <c r="H1411" t="s">
        <v>5474</v>
      </c>
      <c r="I1411" t="s">
        <v>9046</v>
      </c>
      <c r="J1411" t="s">
        <v>5476</v>
      </c>
      <c r="K1411" t="s">
        <v>5471</v>
      </c>
      <c r="L1411" t="s">
        <v>5471</v>
      </c>
      <c r="M1411" t="s">
        <v>5471</v>
      </c>
    </row>
    <row r="1412" spans="1:13" x14ac:dyDescent="0.3">
      <c r="A1412" t="s">
        <v>3397</v>
      </c>
      <c r="B1412" t="s">
        <v>5594</v>
      </c>
      <c r="C1412" t="s">
        <v>5487</v>
      </c>
      <c r="D1412" t="s">
        <v>4119</v>
      </c>
      <c r="E1412" t="s">
        <v>5595</v>
      </c>
      <c r="F1412" t="s">
        <v>9047</v>
      </c>
      <c r="G1412" t="s">
        <v>9043</v>
      </c>
      <c r="H1412" t="s">
        <v>5474</v>
      </c>
      <c r="I1412" t="s">
        <v>9048</v>
      </c>
      <c r="J1412" t="s">
        <v>5476</v>
      </c>
      <c r="K1412" t="s">
        <v>5471</v>
      </c>
      <c r="L1412" t="s">
        <v>5471</v>
      </c>
      <c r="M1412" t="s">
        <v>5471</v>
      </c>
    </row>
    <row r="1413" spans="1:13" x14ac:dyDescent="0.3">
      <c r="A1413" t="s">
        <v>3397</v>
      </c>
      <c r="B1413" t="s">
        <v>5594</v>
      </c>
      <c r="C1413" t="s">
        <v>5487</v>
      </c>
      <c r="D1413" t="s">
        <v>4119</v>
      </c>
      <c r="E1413" t="s">
        <v>5595</v>
      </c>
      <c r="F1413" t="s">
        <v>9049</v>
      </c>
      <c r="G1413" t="s">
        <v>9050</v>
      </c>
      <c r="H1413" t="s">
        <v>5474</v>
      </c>
      <c r="I1413" t="s">
        <v>9051</v>
      </c>
      <c r="J1413" t="s">
        <v>5476</v>
      </c>
      <c r="K1413" t="s">
        <v>5471</v>
      </c>
      <c r="L1413" t="s">
        <v>5471</v>
      </c>
      <c r="M1413" t="s">
        <v>5471</v>
      </c>
    </row>
    <row r="1414" spans="1:13" x14ac:dyDescent="0.3">
      <c r="A1414" t="s">
        <v>3397</v>
      </c>
      <c r="B1414" t="s">
        <v>5594</v>
      </c>
      <c r="C1414" t="s">
        <v>5487</v>
      </c>
      <c r="D1414" t="s">
        <v>4119</v>
      </c>
      <c r="E1414" t="s">
        <v>5595</v>
      </c>
      <c r="F1414" t="s">
        <v>9052</v>
      </c>
      <c r="G1414" t="s">
        <v>9050</v>
      </c>
      <c r="H1414" t="s">
        <v>5474</v>
      </c>
      <c r="I1414" t="s">
        <v>9053</v>
      </c>
      <c r="J1414" t="s">
        <v>5476</v>
      </c>
      <c r="K1414" t="s">
        <v>5471</v>
      </c>
      <c r="L1414" t="s">
        <v>5471</v>
      </c>
      <c r="M1414" t="s">
        <v>5471</v>
      </c>
    </row>
    <row r="1415" spans="1:13" x14ac:dyDescent="0.3">
      <c r="A1415" t="s">
        <v>3397</v>
      </c>
      <c r="B1415" t="s">
        <v>5594</v>
      </c>
      <c r="C1415" t="s">
        <v>5487</v>
      </c>
      <c r="D1415" t="s">
        <v>4119</v>
      </c>
      <c r="E1415" t="s">
        <v>5595</v>
      </c>
      <c r="F1415" t="s">
        <v>9054</v>
      </c>
      <c r="G1415" t="s">
        <v>9050</v>
      </c>
      <c r="H1415" t="s">
        <v>5474</v>
      </c>
      <c r="I1415" t="s">
        <v>9055</v>
      </c>
      <c r="J1415" t="s">
        <v>5476</v>
      </c>
      <c r="K1415" t="s">
        <v>5471</v>
      </c>
      <c r="L1415" t="s">
        <v>5471</v>
      </c>
      <c r="M1415" t="s">
        <v>5471</v>
      </c>
    </row>
    <row r="1416" spans="1:13" x14ac:dyDescent="0.3">
      <c r="A1416" t="s">
        <v>3383</v>
      </c>
      <c r="B1416" t="s">
        <v>5332</v>
      </c>
      <c r="C1416" t="s">
        <v>5470</v>
      </c>
      <c r="D1416" t="s">
        <v>4119</v>
      </c>
      <c r="E1416" t="s">
        <v>5756</v>
      </c>
      <c r="F1416" t="s">
        <v>9056</v>
      </c>
      <c r="G1416" t="s">
        <v>6595</v>
      </c>
      <c r="H1416" t="s">
        <v>5474</v>
      </c>
      <c r="I1416" t="s">
        <v>9057</v>
      </c>
      <c r="J1416" t="s">
        <v>5484</v>
      </c>
      <c r="K1416" t="s">
        <v>5471</v>
      </c>
      <c r="L1416" t="s">
        <v>5471</v>
      </c>
      <c r="M1416" t="s">
        <v>5471</v>
      </c>
    </row>
    <row r="1417" spans="1:13" x14ac:dyDescent="0.3">
      <c r="A1417" t="s">
        <v>3383</v>
      </c>
      <c r="B1417" t="s">
        <v>5332</v>
      </c>
      <c r="C1417" t="s">
        <v>5470</v>
      </c>
      <c r="D1417" t="s">
        <v>4119</v>
      </c>
      <c r="E1417" t="s">
        <v>5532</v>
      </c>
      <c r="F1417" t="s">
        <v>9058</v>
      </c>
      <c r="G1417" t="s">
        <v>6595</v>
      </c>
      <c r="H1417" t="s">
        <v>5474</v>
      </c>
      <c r="I1417" t="s">
        <v>9059</v>
      </c>
      <c r="J1417" t="s">
        <v>5484</v>
      </c>
      <c r="K1417" t="s">
        <v>5471</v>
      </c>
      <c r="L1417" t="s">
        <v>5471</v>
      </c>
      <c r="M1417" t="s">
        <v>5471</v>
      </c>
    </row>
    <row r="1418" spans="1:13" x14ac:dyDescent="0.3">
      <c r="A1418" t="s">
        <v>3383</v>
      </c>
      <c r="B1418" t="s">
        <v>5332</v>
      </c>
      <c r="C1418" t="s">
        <v>5470</v>
      </c>
      <c r="D1418" t="s">
        <v>4119</v>
      </c>
      <c r="E1418" t="s">
        <v>5480</v>
      </c>
      <c r="F1418" t="s">
        <v>9060</v>
      </c>
      <c r="G1418" t="s">
        <v>6595</v>
      </c>
      <c r="H1418" t="s">
        <v>5474</v>
      </c>
      <c r="I1418" t="s">
        <v>9061</v>
      </c>
      <c r="J1418" t="s">
        <v>5484</v>
      </c>
      <c r="K1418" t="s">
        <v>5471</v>
      </c>
      <c r="L1418" t="s">
        <v>5471</v>
      </c>
      <c r="M1418" t="s">
        <v>5471</v>
      </c>
    </row>
    <row r="1419" spans="1:13" x14ac:dyDescent="0.3">
      <c r="A1419" t="s">
        <v>3383</v>
      </c>
      <c r="B1419" t="s">
        <v>5332</v>
      </c>
      <c r="C1419" t="s">
        <v>5470</v>
      </c>
      <c r="D1419" t="s">
        <v>4119</v>
      </c>
      <c r="E1419" t="s">
        <v>5756</v>
      </c>
      <c r="F1419" t="s">
        <v>9062</v>
      </c>
      <c r="G1419" t="s">
        <v>6105</v>
      </c>
      <c r="H1419" t="s">
        <v>5474</v>
      </c>
      <c r="I1419" t="s">
        <v>9063</v>
      </c>
      <c r="J1419" t="s">
        <v>5476</v>
      </c>
      <c r="K1419" t="s">
        <v>5471</v>
      </c>
      <c r="L1419" t="s">
        <v>5471</v>
      </c>
      <c r="M1419" t="s">
        <v>5471</v>
      </c>
    </row>
    <row r="1420" spans="1:13" x14ac:dyDescent="0.3">
      <c r="A1420" t="s">
        <v>3383</v>
      </c>
      <c r="B1420" t="s">
        <v>5332</v>
      </c>
      <c r="C1420" t="s">
        <v>5470</v>
      </c>
      <c r="D1420" t="s">
        <v>4119</v>
      </c>
      <c r="E1420" t="s">
        <v>5756</v>
      </c>
      <c r="F1420" t="s">
        <v>9064</v>
      </c>
      <c r="G1420" t="s">
        <v>6595</v>
      </c>
      <c r="H1420" t="s">
        <v>5474</v>
      </c>
      <c r="I1420" t="s">
        <v>9065</v>
      </c>
      <c r="J1420" t="s">
        <v>5476</v>
      </c>
      <c r="K1420" t="s">
        <v>5471</v>
      </c>
      <c r="L1420" t="s">
        <v>5471</v>
      </c>
      <c r="M1420" t="s">
        <v>5471</v>
      </c>
    </row>
    <row r="1421" spans="1:13" x14ac:dyDescent="0.3">
      <c r="A1421" t="s">
        <v>3383</v>
      </c>
      <c r="B1421" t="s">
        <v>6022</v>
      </c>
      <c r="C1421" t="s">
        <v>5487</v>
      </c>
      <c r="D1421" t="s">
        <v>4119</v>
      </c>
      <c r="E1421" t="s">
        <v>5532</v>
      </c>
      <c r="F1421" t="s">
        <v>9066</v>
      </c>
      <c r="G1421" t="s">
        <v>6023</v>
      </c>
      <c r="H1421" t="s">
        <v>5474</v>
      </c>
      <c r="I1421" t="s">
        <v>9067</v>
      </c>
      <c r="J1421" t="s">
        <v>5484</v>
      </c>
      <c r="K1421" t="s">
        <v>5471</v>
      </c>
      <c r="L1421" t="s">
        <v>5471</v>
      </c>
      <c r="M1421" t="s">
        <v>5471</v>
      </c>
    </row>
    <row r="1422" spans="1:13" x14ac:dyDescent="0.3">
      <c r="A1422" t="s">
        <v>3388</v>
      </c>
      <c r="B1422" t="s">
        <v>5531</v>
      </c>
      <c r="C1422" t="s">
        <v>5470</v>
      </c>
      <c r="D1422" t="s">
        <v>4119</v>
      </c>
      <c r="E1422" t="s">
        <v>5617</v>
      </c>
      <c r="F1422" t="s">
        <v>9068</v>
      </c>
      <c r="G1422" t="s">
        <v>9069</v>
      </c>
      <c r="H1422" t="s">
        <v>5474</v>
      </c>
      <c r="I1422" t="s">
        <v>9070</v>
      </c>
      <c r="J1422" t="s">
        <v>5484</v>
      </c>
      <c r="K1422" t="s">
        <v>5471</v>
      </c>
      <c r="L1422" t="s">
        <v>5471</v>
      </c>
      <c r="M1422" t="s">
        <v>5471</v>
      </c>
    </row>
    <row r="1423" spans="1:13" x14ac:dyDescent="0.3">
      <c r="A1423" t="s">
        <v>3388</v>
      </c>
      <c r="B1423" t="s">
        <v>5531</v>
      </c>
      <c r="C1423" t="s">
        <v>5470</v>
      </c>
      <c r="D1423" t="s">
        <v>4119</v>
      </c>
      <c r="E1423" t="s">
        <v>5532</v>
      </c>
      <c r="F1423" t="s">
        <v>9071</v>
      </c>
      <c r="G1423" t="s">
        <v>9072</v>
      </c>
      <c r="H1423" t="s">
        <v>5474</v>
      </c>
      <c r="I1423" t="s">
        <v>9073</v>
      </c>
      <c r="J1423" t="s">
        <v>5484</v>
      </c>
      <c r="K1423" t="s">
        <v>5471</v>
      </c>
      <c r="L1423" t="s">
        <v>5471</v>
      </c>
      <c r="M1423" t="s">
        <v>5471</v>
      </c>
    </row>
    <row r="1424" spans="1:13" x14ac:dyDescent="0.3">
      <c r="A1424" t="s">
        <v>3388</v>
      </c>
      <c r="B1424" t="s">
        <v>5531</v>
      </c>
      <c r="C1424" t="s">
        <v>5470</v>
      </c>
      <c r="D1424" t="s">
        <v>4119</v>
      </c>
      <c r="E1424" t="s">
        <v>5532</v>
      </c>
      <c r="F1424" t="s">
        <v>9074</v>
      </c>
      <c r="G1424" t="s">
        <v>9072</v>
      </c>
      <c r="H1424" t="s">
        <v>5474</v>
      </c>
      <c r="I1424" t="s">
        <v>9075</v>
      </c>
      <c r="J1424" t="s">
        <v>5484</v>
      </c>
      <c r="K1424" t="s">
        <v>5471</v>
      </c>
      <c r="L1424" t="s">
        <v>5471</v>
      </c>
      <c r="M1424" t="s">
        <v>5471</v>
      </c>
    </row>
    <row r="1425" spans="1:13" x14ac:dyDescent="0.3">
      <c r="A1425" t="s">
        <v>3388</v>
      </c>
      <c r="B1425" t="s">
        <v>5531</v>
      </c>
      <c r="C1425" t="s">
        <v>5470</v>
      </c>
      <c r="D1425" t="s">
        <v>4119</v>
      </c>
      <c r="E1425" t="s">
        <v>5532</v>
      </c>
      <c r="F1425" t="s">
        <v>9076</v>
      </c>
      <c r="G1425" t="s">
        <v>9072</v>
      </c>
      <c r="H1425" t="s">
        <v>5474</v>
      </c>
      <c r="I1425" t="s">
        <v>9077</v>
      </c>
      <c r="J1425" t="s">
        <v>5484</v>
      </c>
      <c r="K1425" t="s">
        <v>5471</v>
      </c>
      <c r="L1425" t="s">
        <v>5471</v>
      </c>
      <c r="M1425" t="s">
        <v>5471</v>
      </c>
    </row>
    <row r="1426" spans="1:13" x14ac:dyDescent="0.3">
      <c r="A1426" t="s">
        <v>3388</v>
      </c>
      <c r="B1426" t="s">
        <v>5531</v>
      </c>
      <c r="C1426" t="s">
        <v>5470</v>
      </c>
      <c r="D1426" t="s">
        <v>4119</v>
      </c>
      <c r="E1426" t="s">
        <v>5532</v>
      </c>
      <c r="F1426" t="s">
        <v>9078</v>
      </c>
      <c r="G1426" t="s">
        <v>9072</v>
      </c>
      <c r="H1426" t="s">
        <v>5474</v>
      </c>
      <c r="I1426" t="s">
        <v>9079</v>
      </c>
      <c r="J1426" t="s">
        <v>5484</v>
      </c>
      <c r="K1426" t="s">
        <v>5471</v>
      </c>
      <c r="L1426" t="s">
        <v>5471</v>
      </c>
      <c r="M1426" t="s">
        <v>5471</v>
      </c>
    </row>
    <row r="1427" spans="1:13" x14ac:dyDescent="0.3">
      <c r="A1427" t="s">
        <v>3388</v>
      </c>
      <c r="B1427" t="s">
        <v>5531</v>
      </c>
      <c r="C1427" t="s">
        <v>5470</v>
      </c>
      <c r="D1427" t="s">
        <v>4119</v>
      </c>
      <c r="E1427" t="s">
        <v>5532</v>
      </c>
      <c r="F1427" t="s">
        <v>9080</v>
      </c>
      <c r="G1427" t="s">
        <v>9072</v>
      </c>
      <c r="H1427" t="s">
        <v>5474</v>
      </c>
      <c r="I1427" t="s">
        <v>9081</v>
      </c>
      <c r="J1427" t="s">
        <v>5484</v>
      </c>
      <c r="K1427" t="s">
        <v>5471</v>
      </c>
      <c r="L1427" t="s">
        <v>5471</v>
      </c>
      <c r="M1427" t="s">
        <v>5471</v>
      </c>
    </row>
    <row r="1428" spans="1:13" x14ac:dyDescent="0.3">
      <c r="A1428" t="s">
        <v>3388</v>
      </c>
      <c r="B1428" t="s">
        <v>5531</v>
      </c>
      <c r="C1428" t="s">
        <v>5470</v>
      </c>
      <c r="D1428" t="s">
        <v>4119</v>
      </c>
      <c r="E1428" t="s">
        <v>5532</v>
      </c>
      <c r="F1428" t="s">
        <v>9082</v>
      </c>
      <c r="G1428" t="s">
        <v>9072</v>
      </c>
      <c r="H1428" t="s">
        <v>5474</v>
      </c>
      <c r="I1428" t="s">
        <v>9083</v>
      </c>
      <c r="J1428" t="s">
        <v>5484</v>
      </c>
      <c r="K1428" t="s">
        <v>5471</v>
      </c>
      <c r="L1428" t="s">
        <v>5471</v>
      </c>
      <c r="M1428" t="s">
        <v>5471</v>
      </c>
    </row>
    <row r="1429" spans="1:13" x14ac:dyDescent="0.3">
      <c r="A1429" t="s">
        <v>3388</v>
      </c>
      <c r="B1429" t="s">
        <v>5531</v>
      </c>
      <c r="C1429" t="s">
        <v>5470</v>
      </c>
      <c r="D1429" t="s">
        <v>4119</v>
      </c>
      <c r="E1429" t="s">
        <v>5532</v>
      </c>
      <c r="F1429" t="s">
        <v>9084</v>
      </c>
      <c r="G1429" t="s">
        <v>9072</v>
      </c>
      <c r="H1429" t="s">
        <v>5474</v>
      </c>
      <c r="I1429" t="s">
        <v>9085</v>
      </c>
      <c r="J1429" t="s">
        <v>5484</v>
      </c>
      <c r="K1429" t="s">
        <v>5471</v>
      </c>
      <c r="L1429" t="s">
        <v>5471</v>
      </c>
      <c r="M1429" t="s">
        <v>5471</v>
      </c>
    </row>
    <row r="1430" spans="1:13" x14ac:dyDescent="0.3">
      <c r="A1430" t="s">
        <v>3388</v>
      </c>
      <c r="B1430" t="s">
        <v>5531</v>
      </c>
      <c r="C1430" t="s">
        <v>5470</v>
      </c>
      <c r="D1430" t="s">
        <v>4119</v>
      </c>
      <c r="E1430" t="s">
        <v>5532</v>
      </c>
      <c r="F1430" t="s">
        <v>9086</v>
      </c>
      <c r="G1430" t="s">
        <v>9072</v>
      </c>
      <c r="H1430" t="s">
        <v>5474</v>
      </c>
      <c r="I1430" t="s">
        <v>9087</v>
      </c>
      <c r="J1430" t="s">
        <v>5484</v>
      </c>
      <c r="K1430" t="s">
        <v>5471</v>
      </c>
      <c r="L1430" t="s">
        <v>5471</v>
      </c>
      <c r="M1430" t="s">
        <v>5471</v>
      </c>
    </row>
    <row r="1431" spans="1:13" x14ac:dyDescent="0.3">
      <c r="A1431" t="s">
        <v>3388</v>
      </c>
      <c r="B1431" t="s">
        <v>5531</v>
      </c>
      <c r="C1431" t="s">
        <v>5470</v>
      </c>
      <c r="D1431" t="s">
        <v>4119</v>
      </c>
      <c r="E1431" t="s">
        <v>5532</v>
      </c>
      <c r="F1431" t="s">
        <v>9088</v>
      </c>
      <c r="G1431" t="s">
        <v>9072</v>
      </c>
      <c r="H1431" t="s">
        <v>5474</v>
      </c>
      <c r="I1431" t="s">
        <v>9089</v>
      </c>
      <c r="J1431" t="s">
        <v>5484</v>
      </c>
      <c r="K1431" t="s">
        <v>5471</v>
      </c>
      <c r="L1431" t="s">
        <v>5471</v>
      </c>
      <c r="M1431" t="s">
        <v>5471</v>
      </c>
    </row>
    <row r="1432" spans="1:13" x14ac:dyDescent="0.3">
      <c r="A1432" t="s">
        <v>3388</v>
      </c>
      <c r="B1432" t="s">
        <v>5531</v>
      </c>
      <c r="C1432" t="s">
        <v>5470</v>
      </c>
      <c r="D1432" t="s">
        <v>4119</v>
      </c>
      <c r="E1432" t="s">
        <v>5532</v>
      </c>
      <c r="F1432" t="s">
        <v>9090</v>
      </c>
      <c r="G1432" t="s">
        <v>8861</v>
      </c>
      <c r="H1432" t="s">
        <v>5474</v>
      </c>
      <c r="I1432" t="s">
        <v>9091</v>
      </c>
      <c r="J1432" t="s">
        <v>5484</v>
      </c>
      <c r="K1432" t="s">
        <v>5471</v>
      </c>
      <c r="L1432" t="s">
        <v>5471</v>
      </c>
      <c r="M1432" t="s">
        <v>5471</v>
      </c>
    </row>
    <row r="1433" spans="1:13" x14ac:dyDescent="0.3">
      <c r="A1433" t="s">
        <v>3388</v>
      </c>
      <c r="B1433" t="s">
        <v>5531</v>
      </c>
      <c r="C1433" t="s">
        <v>5470</v>
      </c>
      <c r="D1433" t="s">
        <v>4119</v>
      </c>
      <c r="E1433" t="s">
        <v>5532</v>
      </c>
      <c r="F1433" t="s">
        <v>9092</v>
      </c>
      <c r="G1433" t="s">
        <v>8861</v>
      </c>
      <c r="H1433" t="s">
        <v>5474</v>
      </c>
      <c r="I1433" t="s">
        <v>9093</v>
      </c>
      <c r="J1433" t="s">
        <v>5484</v>
      </c>
      <c r="K1433" t="s">
        <v>5471</v>
      </c>
      <c r="L1433" t="s">
        <v>5471</v>
      </c>
      <c r="M1433" t="s">
        <v>5471</v>
      </c>
    </row>
    <row r="1434" spans="1:13" x14ac:dyDescent="0.3">
      <c r="A1434" t="s">
        <v>3388</v>
      </c>
      <c r="B1434" t="s">
        <v>5531</v>
      </c>
      <c r="C1434" t="s">
        <v>5470</v>
      </c>
      <c r="D1434" t="s">
        <v>4119</v>
      </c>
      <c r="E1434" t="s">
        <v>5532</v>
      </c>
      <c r="F1434" t="s">
        <v>9094</v>
      </c>
      <c r="G1434" t="s">
        <v>8861</v>
      </c>
      <c r="H1434" t="s">
        <v>5474</v>
      </c>
      <c r="I1434" t="s">
        <v>9095</v>
      </c>
      <c r="J1434" t="s">
        <v>5484</v>
      </c>
      <c r="K1434" t="s">
        <v>5471</v>
      </c>
      <c r="L1434" t="s">
        <v>5471</v>
      </c>
      <c r="M1434" t="s">
        <v>5471</v>
      </c>
    </row>
    <row r="1435" spans="1:13" x14ac:dyDescent="0.3">
      <c r="A1435" t="s">
        <v>3388</v>
      </c>
      <c r="B1435" t="s">
        <v>5531</v>
      </c>
      <c r="C1435" t="s">
        <v>5470</v>
      </c>
      <c r="D1435" t="s">
        <v>4119</v>
      </c>
      <c r="E1435" t="s">
        <v>5532</v>
      </c>
      <c r="F1435" t="s">
        <v>9096</v>
      </c>
      <c r="G1435" t="s">
        <v>8509</v>
      </c>
      <c r="H1435" t="s">
        <v>5474</v>
      </c>
      <c r="I1435" t="s">
        <v>9097</v>
      </c>
      <c r="J1435" t="s">
        <v>5484</v>
      </c>
      <c r="K1435" t="s">
        <v>5471</v>
      </c>
      <c r="L1435" t="s">
        <v>5471</v>
      </c>
      <c r="M1435" t="s">
        <v>5471</v>
      </c>
    </row>
    <row r="1436" spans="1:13" x14ac:dyDescent="0.3">
      <c r="A1436" t="s">
        <v>3388</v>
      </c>
      <c r="B1436" t="s">
        <v>5531</v>
      </c>
      <c r="C1436" t="s">
        <v>5470</v>
      </c>
      <c r="D1436" t="s">
        <v>4119</v>
      </c>
      <c r="E1436" t="s">
        <v>5532</v>
      </c>
      <c r="F1436" t="s">
        <v>9098</v>
      </c>
      <c r="G1436" t="s">
        <v>8564</v>
      </c>
      <c r="H1436" t="s">
        <v>5474</v>
      </c>
      <c r="I1436" t="s">
        <v>9099</v>
      </c>
      <c r="J1436" t="s">
        <v>5484</v>
      </c>
      <c r="K1436" t="s">
        <v>5471</v>
      </c>
      <c r="L1436" t="s">
        <v>5471</v>
      </c>
      <c r="M1436" t="s">
        <v>5471</v>
      </c>
    </row>
    <row r="1437" spans="1:13" x14ac:dyDescent="0.3">
      <c r="A1437" t="s">
        <v>3388</v>
      </c>
      <c r="B1437" t="s">
        <v>5531</v>
      </c>
      <c r="C1437" t="s">
        <v>5470</v>
      </c>
      <c r="D1437" t="s">
        <v>4119</v>
      </c>
      <c r="E1437" t="s">
        <v>5532</v>
      </c>
      <c r="F1437" t="s">
        <v>9100</v>
      </c>
      <c r="G1437" t="s">
        <v>8564</v>
      </c>
      <c r="H1437" t="s">
        <v>5474</v>
      </c>
      <c r="I1437" t="s">
        <v>9101</v>
      </c>
      <c r="J1437" t="s">
        <v>5484</v>
      </c>
      <c r="K1437" t="s">
        <v>5471</v>
      </c>
      <c r="L1437" t="s">
        <v>5471</v>
      </c>
      <c r="M1437" t="s">
        <v>5471</v>
      </c>
    </row>
    <row r="1438" spans="1:13" x14ac:dyDescent="0.3">
      <c r="A1438" t="s">
        <v>3388</v>
      </c>
      <c r="B1438" t="s">
        <v>5531</v>
      </c>
      <c r="C1438" t="s">
        <v>5470</v>
      </c>
      <c r="D1438" t="s">
        <v>4119</v>
      </c>
      <c r="E1438" t="s">
        <v>5532</v>
      </c>
      <c r="F1438" t="s">
        <v>9102</v>
      </c>
      <c r="G1438" t="s">
        <v>8564</v>
      </c>
      <c r="H1438" t="s">
        <v>5474</v>
      </c>
      <c r="I1438" t="s">
        <v>9103</v>
      </c>
      <c r="J1438" t="s">
        <v>5484</v>
      </c>
      <c r="K1438" t="s">
        <v>5471</v>
      </c>
      <c r="L1438" t="s">
        <v>5471</v>
      </c>
      <c r="M1438" t="s">
        <v>5471</v>
      </c>
    </row>
    <row r="1439" spans="1:13" x14ac:dyDescent="0.3">
      <c r="A1439" t="s">
        <v>3388</v>
      </c>
      <c r="B1439" t="s">
        <v>5531</v>
      </c>
      <c r="C1439" t="s">
        <v>5470</v>
      </c>
      <c r="D1439" t="s">
        <v>4119</v>
      </c>
      <c r="E1439" t="s">
        <v>5532</v>
      </c>
      <c r="F1439" t="s">
        <v>9104</v>
      </c>
      <c r="G1439" t="s">
        <v>8564</v>
      </c>
      <c r="H1439" t="s">
        <v>5474</v>
      </c>
      <c r="I1439" t="s">
        <v>9105</v>
      </c>
      <c r="J1439" t="s">
        <v>5484</v>
      </c>
      <c r="K1439" t="s">
        <v>5471</v>
      </c>
      <c r="L1439" t="s">
        <v>5471</v>
      </c>
      <c r="M1439" t="s">
        <v>5471</v>
      </c>
    </row>
    <row r="1440" spans="1:13" x14ac:dyDescent="0.3">
      <c r="A1440" t="s">
        <v>3388</v>
      </c>
      <c r="B1440" t="s">
        <v>5531</v>
      </c>
      <c r="C1440" t="s">
        <v>5470</v>
      </c>
      <c r="D1440" t="s">
        <v>4119</v>
      </c>
      <c r="E1440" t="s">
        <v>5532</v>
      </c>
      <c r="F1440" t="s">
        <v>9106</v>
      </c>
      <c r="G1440" t="s">
        <v>8564</v>
      </c>
      <c r="H1440" t="s">
        <v>5474</v>
      </c>
      <c r="I1440" t="s">
        <v>9107</v>
      </c>
      <c r="J1440" t="s">
        <v>5484</v>
      </c>
      <c r="K1440" t="s">
        <v>5471</v>
      </c>
      <c r="L1440" t="s">
        <v>5471</v>
      </c>
      <c r="M1440" t="s">
        <v>5471</v>
      </c>
    </row>
    <row r="1441" spans="1:13" x14ac:dyDescent="0.3">
      <c r="A1441" t="s">
        <v>3388</v>
      </c>
      <c r="B1441" t="s">
        <v>5531</v>
      </c>
      <c r="C1441" t="s">
        <v>5470</v>
      </c>
      <c r="D1441" t="s">
        <v>4119</v>
      </c>
      <c r="E1441" t="s">
        <v>5532</v>
      </c>
      <c r="F1441" t="s">
        <v>9108</v>
      </c>
      <c r="G1441" t="s">
        <v>8564</v>
      </c>
      <c r="H1441" t="s">
        <v>5474</v>
      </c>
      <c r="I1441" t="s">
        <v>9109</v>
      </c>
      <c r="J1441" t="s">
        <v>5484</v>
      </c>
      <c r="K1441" t="s">
        <v>5471</v>
      </c>
      <c r="L1441" t="s">
        <v>5471</v>
      </c>
      <c r="M1441" t="s">
        <v>5471</v>
      </c>
    </row>
    <row r="1442" spans="1:13" x14ac:dyDescent="0.3">
      <c r="A1442" t="s">
        <v>3388</v>
      </c>
      <c r="B1442" t="s">
        <v>5531</v>
      </c>
      <c r="C1442" t="s">
        <v>5470</v>
      </c>
      <c r="D1442" t="s">
        <v>4119</v>
      </c>
      <c r="E1442" t="s">
        <v>5532</v>
      </c>
      <c r="F1442" t="s">
        <v>9110</v>
      </c>
      <c r="G1442" t="s">
        <v>8571</v>
      </c>
      <c r="H1442" t="s">
        <v>5474</v>
      </c>
      <c r="I1442" t="s">
        <v>9111</v>
      </c>
      <c r="J1442" t="s">
        <v>5484</v>
      </c>
      <c r="K1442" t="s">
        <v>5471</v>
      </c>
      <c r="L1442" t="s">
        <v>5471</v>
      </c>
      <c r="M1442" t="s">
        <v>5471</v>
      </c>
    </row>
    <row r="1443" spans="1:13" x14ac:dyDescent="0.3">
      <c r="A1443" t="s">
        <v>3388</v>
      </c>
      <c r="B1443" t="s">
        <v>5531</v>
      </c>
      <c r="C1443" t="s">
        <v>5470</v>
      </c>
      <c r="D1443" t="s">
        <v>4119</v>
      </c>
      <c r="E1443" t="s">
        <v>5532</v>
      </c>
      <c r="F1443" t="s">
        <v>9112</v>
      </c>
      <c r="G1443" t="s">
        <v>8571</v>
      </c>
      <c r="H1443" t="s">
        <v>5474</v>
      </c>
      <c r="I1443" t="s">
        <v>9113</v>
      </c>
      <c r="J1443" t="s">
        <v>5484</v>
      </c>
      <c r="K1443" t="s">
        <v>5471</v>
      </c>
      <c r="L1443" t="s">
        <v>5471</v>
      </c>
      <c r="M1443" t="s">
        <v>5471</v>
      </c>
    </row>
    <row r="1444" spans="1:13" x14ac:dyDescent="0.3">
      <c r="A1444" t="s">
        <v>3388</v>
      </c>
      <c r="B1444" t="s">
        <v>5531</v>
      </c>
      <c r="C1444" t="s">
        <v>5470</v>
      </c>
      <c r="D1444" t="s">
        <v>4119</v>
      </c>
      <c r="E1444" t="s">
        <v>5532</v>
      </c>
      <c r="F1444" t="s">
        <v>9114</v>
      </c>
      <c r="G1444" t="s">
        <v>8848</v>
      </c>
      <c r="H1444" t="s">
        <v>5474</v>
      </c>
      <c r="I1444" t="s">
        <v>9115</v>
      </c>
      <c r="J1444" t="s">
        <v>5484</v>
      </c>
      <c r="K1444" t="s">
        <v>5471</v>
      </c>
      <c r="L1444" t="s">
        <v>5471</v>
      </c>
      <c r="M1444" t="s">
        <v>5471</v>
      </c>
    </row>
    <row r="1445" spans="1:13" x14ac:dyDescent="0.3">
      <c r="A1445" t="s">
        <v>3388</v>
      </c>
      <c r="B1445" t="s">
        <v>5531</v>
      </c>
      <c r="C1445" t="s">
        <v>5470</v>
      </c>
      <c r="D1445" t="s">
        <v>4119</v>
      </c>
      <c r="E1445" t="s">
        <v>5532</v>
      </c>
      <c r="F1445" t="s">
        <v>9116</v>
      </c>
      <c r="G1445" t="s">
        <v>8848</v>
      </c>
      <c r="H1445" t="s">
        <v>5474</v>
      </c>
      <c r="I1445" t="s">
        <v>9117</v>
      </c>
      <c r="J1445" t="s">
        <v>5484</v>
      </c>
      <c r="K1445" t="s">
        <v>5471</v>
      </c>
      <c r="L1445" t="s">
        <v>5471</v>
      </c>
      <c r="M1445" t="s">
        <v>5471</v>
      </c>
    </row>
    <row r="1446" spans="1:13" x14ac:dyDescent="0.3">
      <c r="A1446" t="s">
        <v>3388</v>
      </c>
      <c r="B1446" t="s">
        <v>5531</v>
      </c>
      <c r="C1446" t="s">
        <v>5470</v>
      </c>
      <c r="D1446" t="s">
        <v>4119</v>
      </c>
      <c r="E1446" t="s">
        <v>5532</v>
      </c>
      <c r="F1446" t="s">
        <v>9118</v>
      </c>
      <c r="G1446" t="s">
        <v>8571</v>
      </c>
      <c r="H1446" t="s">
        <v>5474</v>
      </c>
      <c r="I1446" t="s">
        <v>9119</v>
      </c>
      <c r="J1446" t="s">
        <v>5484</v>
      </c>
      <c r="K1446" t="s">
        <v>5471</v>
      </c>
      <c r="L1446" t="s">
        <v>5471</v>
      </c>
      <c r="M1446" t="s">
        <v>5471</v>
      </c>
    </row>
    <row r="1447" spans="1:13" x14ac:dyDescent="0.3">
      <c r="A1447" t="s">
        <v>3388</v>
      </c>
      <c r="B1447" t="s">
        <v>5531</v>
      </c>
      <c r="C1447" t="s">
        <v>5470</v>
      </c>
      <c r="D1447" t="s">
        <v>4119</v>
      </c>
      <c r="E1447" t="s">
        <v>5532</v>
      </c>
      <c r="F1447" t="s">
        <v>9120</v>
      </c>
      <c r="G1447" t="s">
        <v>8848</v>
      </c>
      <c r="H1447" t="s">
        <v>5474</v>
      </c>
      <c r="I1447" t="s">
        <v>9121</v>
      </c>
      <c r="J1447" t="s">
        <v>5484</v>
      </c>
      <c r="K1447" t="s">
        <v>5471</v>
      </c>
      <c r="L1447" t="s">
        <v>5471</v>
      </c>
      <c r="M1447" t="s">
        <v>5471</v>
      </c>
    </row>
    <row r="1448" spans="1:13" x14ac:dyDescent="0.3">
      <c r="A1448" t="s">
        <v>3388</v>
      </c>
      <c r="B1448" t="s">
        <v>5531</v>
      </c>
      <c r="C1448" t="s">
        <v>5470</v>
      </c>
      <c r="D1448" t="s">
        <v>4119</v>
      </c>
      <c r="E1448" t="s">
        <v>5532</v>
      </c>
      <c r="F1448" t="s">
        <v>9122</v>
      </c>
      <c r="G1448" t="s">
        <v>8848</v>
      </c>
      <c r="H1448" t="s">
        <v>5474</v>
      </c>
      <c r="I1448" t="s">
        <v>9123</v>
      </c>
      <c r="J1448" t="s">
        <v>5484</v>
      </c>
      <c r="K1448" t="s">
        <v>5471</v>
      </c>
      <c r="L1448" t="s">
        <v>5471</v>
      </c>
      <c r="M1448" t="s">
        <v>5471</v>
      </c>
    </row>
    <row r="1449" spans="1:13" x14ac:dyDescent="0.3">
      <c r="A1449" t="s">
        <v>3388</v>
      </c>
      <c r="B1449" t="s">
        <v>5531</v>
      </c>
      <c r="C1449" t="s">
        <v>5470</v>
      </c>
      <c r="D1449" t="s">
        <v>4119</v>
      </c>
      <c r="E1449" t="s">
        <v>5532</v>
      </c>
      <c r="F1449" t="s">
        <v>9124</v>
      </c>
      <c r="G1449" t="s">
        <v>8848</v>
      </c>
      <c r="H1449" t="s">
        <v>5474</v>
      </c>
      <c r="I1449" t="s">
        <v>9125</v>
      </c>
      <c r="J1449" t="s">
        <v>5484</v>
      </c>
      <c r="K1449" t="s">
        <v>5471</v>
      </c>
      <c r="L1449" t="s">
        <v>5471</v>
      </c>
      <c r="M1449" t="s">
        <v>5471</v>
      </c>
    </row>
    <row r="1450" spans="1:13" x14ac:dyDescent="0.3">
      <c r="A1450" t="s">
        <v>3388</v>
      </c>
      <c r="B1450" t="s">
        <v>5531</v>
      </c>
      <c r="C1450" t="s">
        <v>5470</v>
      </c>
      <c r="D1450" t="s">
        <v>4119</v>
      </c>
      <c r="E1450" t="s">
        <v>5532</v>
      </c>
      <c r="F1450" t="s">
        <v>9126</v>
      </c>
      <c r="G1450" t="s">
        <v>8848</v>
      </c>
      <c r="H1450" t="s">
        <v>5474</v>
      </c>
      <c r="I1450" t="s">
        <v>9127</v>
      </c>
      <c r="J1450" t="s">
        <v>5484</v>
      </c>
      <c r="K1450" t="s">
        <v>5471</v>
      </c>
      <c r="L1450" t="s">
        <v>5471</v>
      </c>
      <c r="M1450" t="s">
        <v>5471</v>
      </c>
    </row>
    <row r="1451" spans="1:13" x14ac:dyDescent="0.3">
      <c r="A1451" t="s">
        <v>3388</v>
      </c>
      <c r="B1451" t="s">
        <v>5531</v>
      </c>
      <c r="C1451" t="s">
        <v>5470</v>
      </c>
      <c r="D1451" t="s">
        <v>4119</v>
      </c>
      <c r="E1451" t="s">
        <v>5532</v>
      </c>
      <c r="F1451" t="s">
        <v>9128</v>
      </c>
      <c r="G1451" t="s">
        <v>8575</v>
      </c>
      <c r="H1451" t="s">
        <v>5474</v>
      </c>
      <c r="I1451" t="s">
        <v>9129</v>
      </c>
      <c r="J1451" t="s">
        <v>5484</v>
      </c>
      <c r="K1451" t="s">
        <v>5471</v>
      </c>
      <c r="L1451" t="s">
        <v>5471</v>
      </c>
      <c r="M1451" t="s">
        <v>5471</v>
      </c>
    </row>
    <row r="1452" spans="1:13" x14ac:dyDescent="0.3">
      <c r="A1452" t="s">
        <v>3388</v>
      </c>
      <c r="B1452" t="s">
        <v>5531</v>
      </c>
      <c r="C1452" t="s">
        <v>5470</v>
      </c>
      <c r="D1452" t="s">
        <v>4119</v>
      </c>
      <c r="E1452" t="s">
        <v>5532</v>
      </c>
      <c r="F1452" t="s">
        <v>9130</v>
      </c>
      <c r="G1452" t="s">
        <v>8575</v>
      </c>
      <c r="H1452" t="s">
        <v>5474</v>
      </c>
      <c r="I1452" t="s">
        <v>9131</v>
      </c>
      <c r="J1452" t="s">
        <v>5484</v>
      </c>
      <c r="K1452" t="s">
        <v>5471</v>
      </c>
      <c r="L1452" t="s">
        <v>5471</v>
      </c>
      <c r="M1452" t="s">
        <v>5471</v>
      </c>
    </row>
    <row r="1453" spans="1:13" x14ac:dyDescent="0.3">
      <c r="A1453" t="s">
        <v>3388</v>
      </c>
      <c r="B1453" t="s">
        <v>5531</v>
      </c>
      <c r="C1453" t="s">
        <v>5470</v>
      </c>
      <c r="D1453" t="s">
        <v>4119</v>
      </c>
      <c r="E1453" t="s">
        <v>5532</v>
      </c>
      <c r="F1453" t="s">
        <v>9132</v>
      </c>
      <c r="G1453" t="s">
        <v>8575</v>
      </c>
      <c r="H1453" t="s">
        <v>5474</v>
      </c>
      <c r="I1453" t="s">
        <v>9133</v>
      </c>
      <c r="J1453" t="s">
        <v>5484</v>
      </c>
      <c r="K1453" t="s">
        <v>5471</v>
      </c>
      <c r="L1453" t="s">
        <v>5471</v>
      </c>
      <c r="M1453" t="s">
        <v>5471</v>
      </c>
    </row>
    <row r="1454" spans="1:13" x14ac:dyDescent="0.3">
      <c r="A1454" t="s">
        <v>3397</v>
      </c>
      <c r="B1454" t="s">
        <v>5269</v>
      </c>
      <c r="C1454" t="s">
        <v>5487</v>
      </c>
      <c r="D1454" t="s">
        <v>4119</v>
      </c>
      <c r="E1454" t="s">
        <v>5595</v>
      </c>
      <c r="F1454" t="s">
        <v>9134</v>
      </c>
      <c r="G1454" t="s">
        <v>9135</v>
      </c>
      <c r="H1454" t="s">
        <v>5474</v>
      </c>
      <c r="I1454" t="s">
        <v>9136</v>
      </c>
      <c r="J1454" t="s">
        <v>5476</v>
      </c>
      <c r="K1454" t="s">
        <v>5471</v>
      </c>
      <c r="L1454" t="s">
        <v>5471</v>
      </c>
      <c r="M1454" t="s">
        <v>5471</v>
      </c>
    </row>
    <row r="1455" spans="1:13" x14ac:dyDescent="0.3">
      <c r="A1455" t="s">
        <v>3383</v>
      </c>
      <c r="B1455" t="s">
        <v>5332</v>
      </c>
      <c r="C1455" t="s">
        <v>5470</v>
      </c>
      <c r="D1455" t="s">
        <v>4119</v>
      </c>
      <c r="E1455" t="s">
        <v>5756</v>
      </c>
      <c r="F1455" t="s">
        <v>9137</v>
      </c>
      <c r="G1455" t="s">
        <v>6105</v>
      </c>
      <c r="H1455" t="s">
        <v>5474</v>
      </c>
      <c r="I1455" t="s">
        <v>9138</v>
      </c>
      <c r="J1455" t="s">
        <v>5476</v>
      </c>
      <c r="K1455" t="s">
        <v>5471</v>
      </c>
      <c r="L1455" t="s">
        <v>5471</v>
      </c>
      <c r="M1455" t="s">
        <v>5471</v>
      </c>
    </row>
    <row r="1456" spans="1:13" x14ac:dyDescent="0.3">
      <c r="A1456" t="s">
        <v>3397</v>
      </c>
      <c r="B1456" t="s">
        <v>5269</v>
      </c>
      <c r="C1456" t="s">
        <v>5487</v>
      </c>
      <c r="D1456" t="s">
        <v>4119</v>
      </c>
      <c r="E1456" t="s">
        <v>5595</v>
      </c>
      <c r="F1456" t="s">
        <v>9139</v>
      </c>
      <c r="G1456" t="s">
        <v>9135</v>
      </c>
      <c r="H1456" t="s">
        <v>5474</v>
      </c>
      <c r="I1456" t="s">
        <v>9140</v>
      </c>
      <c r="J1456" t="s">
        <v>5476</v>
      </c>
      <c r="K1456" t="s">
        <v>5471</v>
      </c>
      <c r="L1456" t="s">
        <v>5471</v>
      </c>
      <c r="M1456" t="s">
        <v>5471</v>
      </c>
    </row>
    <row r="1457" spans="1:13" x14ac:dyDescent="0.3">
      <c r="A1457" t="s">
        <v>3397</v>
      </c>
      <c r="B1457" t="s">
        <v>5269</v>
      </c>
      <c r="C1457" t="s">
        <v>5487</v>
      </c>
      <c r="D1457" t="s">
        <v>4119</v>
      </c>
      <c r="E1457" t="s">
        <v>5595</v>
      </c>
      <c r="F1457" t="s">
        <v>9141</v>
      </c>
      <c r="G1457" t="s">
        <v>9135</v>
      </c>
      <c r="H1457" t="s">
        <v>5474</v>
      </c>
      <c r="I1457" t="s">
        <v>9142</v>
      </c>
      <c r="J1457" t="s">
        <v>5476</v>
      </c>
      <c r="K1457" t="s">
        <v>5471</v>
      </c>
      <c r="L1457" t="s">
        <v>5471</v>
      </c>
      <c r="M1457" t="s">
        <v>5471</v>
      </c>
    </row>
    <row r="1458" spans="1:13" x14ac:dyDescent="0.3">
      <c r="A1458" t="s">
        <v>3383</v>
      </c>
      <c r="B1458" t="s">
        <v>5332</v>
      </c>
      <c r="C1458" t="s">
        <v>5470</v>
      </c>
      <c r="D1458" t="s">
        <v>4119</v>
      </c>
      <c r="E1458" t="s">
        <v>5756</v>
      </c>
      <c r="F1458" t="s">
        <v>9143</v>
      </c>
      <c r="G1458" t="s">
        <v>6105</v>
      </c>
      <c r="H1458" t="s">
        <v>5474</v>
      </c>
      <c r="I1458" t="s">
        <v>9144</v>
      </c>
      <c r="J1458" t="s">
        <v>5476</v>
      </c>
      <c r="K1458" t="s">
        <v>5471</v>
      </c>
      <c r="L1458" t="s">
        <v>5471</v>
      </c>
      <c r="M1458" t="s">
        <v>5471</v>
      </c>
    </row>
    <row r="1459" spans="1:13" x14ac:dyDescent="0.3">
      <c r="A1459" t="s">
        <v>3383</v>
      </c>
      <c r="B1459" t="s">
        <v>5332</v>
      </c>
      <c r="C1459" t="s">
        <v>5470</v>
      </c>
      <c r="D1459" t="s">
        <v>4119</v>
      </c>
      <c r="E1459" t="s">
        <v>5756</v>
      </c>
      <c r="F1459" t="s">
        <v>9145</v>
      </c>
      <c r="G1459" t="s">
        <v>6105</v>
      </c>
      <c r="H1459" t="s">
        <v>5474</v>
      </c>
      <c r="I1459" t="s">
        <v>9146</v>
      </c>
      <c r="J1459" t="s">
        <v>5476</v>
      </c>
      <c r="K1459" t="s">
        <v>5471</v>
      </c>
      <c r="L1459" t="s">
        <v>5471</v>
      </c>
      <c r="M1459" t="s">
        <v>5471</v>
      </c>
    </row>
    <row r="1460" spans="1:13" x14ac:dyDescent="0.3">
      <c r="A1460" t="s">
        <v>3383</v>
      </c>
      <c r="B1460" t="s">
        <v>5332</v>
      </c>
      <c r="C1460" t="s">
        <v>5470</v>
      </c>
      <c r="D1460" t="s">
        <v>4119</v>
      </c>
      <c r="E1460" t="s">
        <v>5756</v>
      </c>
      <c r="F1460" t="s">
        <v>9147</v>
      </c>
      <c r="G1460" t="s">
        <v>6241</v>
      </c>
      <c r="H1460" t="s">
        <v>5474</v>
      </c>
      <c r="I1460" t="s">
        <v>9148</v>
      </c>
      <c r="J1460" t="s">
        <v>5476</v>
      </c>
      <c r="K1460" t="s">
        <v>5471</v>
      </c>
      <c r="L1460" t="s">
        <v>5471</v>
      </c>
      <c r="M1460" t="s">
        <v>5471</v>
      </c>
    </row>
    <row r="1461" spans="1:13" x14ac:dyDescent="0.3">
      <c r="A1461" t="s">
        <v>3383</v>
      </c>
      <c r="B1461" t="s">
        <v>5332</v>
      </c>
      <c r="C1461" t="s">
        <v>5470</v>
      </c>
      <c r="D1461" t="s">
        <v>4119</v>
      </c>
      <c r="E1461" t="s">
        <v>5532</v>
      </c>
      <c r="F1461" t="s">
        <v>9149</v>
      </c>
      <c r="G1461" t="s">
        <v>6662</v>
      </c>
      <c r="H1461" t="s">
        <v>5474</v>
      </c>
      <c r="I1461" t="s">
        <v>9150</v>
      </c>
      <c r="J1461" t="s">
        <v>5484</v>
      </c>
      <c r="K1461" t="s">
        <v>5471</v>
      </c>
      <c r="L1461" t="s">
        <v>5471</v>
      </c>
      <c r="M1461" t="s">
        <v>5471</v>
      </c>
    </row>
    <row r="1462" spans="1:13" x14ac:dyDescent="0.3">
      <c r="A1462" t="s">
        <v>3383</v>
      </c>
      <c r="B1462" t="s">
        <v>5332</v>
      </c>
      <c r="C1462" t="s">
        <v>5470</v>
      </c>
      <c r="D1462" t="s">
        <v>4119</v>
      </c>
      <c r="E1462" t="s">
        <v>5532</v>
      </c>
      <c r="F1462" t="s">
        <v>9151</v>
      </c>
      <c r="G1462" t="s">
        <v>6662</v>
      </c>
      <c r="H1462" t="s">
        <v>5474</v>
      </c>
      <c r="I1462" t="s">
        <v>9152</v>
      </c>
      <c r="J1462" t="s">
        <v>5484</v>
      </c>
      <c r="K1462" t="s">
        <v>5471</v>
      </c>
      <c r="L1462" t="s">
        <v>5471</v>
      </c>
      <c r="M1462" t="s">
        <v>5471</v>
      </c>
    </row>
    <row r="1463" spans="1:13" x14ac:dyDescent="0.3">
      <c r="A1463" t="s">
        <v>3383</v>
      </c>
      <c r="B1463" t="s">
        <v>5332</v>
      </c>
      <c r="C1463" t="s">
        <v>5470</v>
      </c>
      <c r="D1463" t="s">
        <v>4119</v>
      </c>
      <c r="E1463" t="s">
        <v>5756</v>
      </c>
      <c r="F1463" t="s">
        <v>9153</v>
      </c>
      <c r="G1463" t="s">
        <v>6241</v>
      </c>
      <c r="H1463" t="s">
        <v>5474</v>
      </c>
      <c r="I1463" t="s">
        <v>9154</v>
      </c>
      <c r="J1463" t="s">
        <v>5476</v>
      </c>
      <c r="K1463" t="s">
        <v>5471</v>
      </c>
      <c r="L1463" t="s">
        <v>5471</v>
      </c>
      <c r="M1463" t="s">
        <v>5471</v>
      </c>
    </row>
    <row r="1464" spans="1:13" x14ac:dyDescent="0.3">
      <c r="A1464" t="s">
        <v>3383</v>
      </c>
      <c r="B1464" t="s">
        <v>5332</v>
      </c>
      <c r="C1464" t="s">
        <v>5470</v>
      </c>
      <c r="D1464" t="s">
        <v>4119</v>
      </c>
      <c r="E1464" t="s">
        <v>5532</v>
      </c>
      <c r="F1464" t="s">
        <v>9155</v>
      </c>
      <c r="G1464" t="s">
        <v>6662</v>
      </c>
      <c r="H1464" t="s">
        <v>5474</v>
      </c>
      <c r="I1464" t="s">
        <v>9156</v>
      </c>
      <c r="J1464" t="s">
        <v>5484</v>
      </c>
      <c r="K1464" t="s">
        <v>5471</v>
      </c>
      <c r="L1464" t="s">
        <v>5471</v>
      </c>
      <c r="M1464" t="s">
        <v>5471</v>
      </c>
    </row>
    <row r="1465" spans="1:13" x14ac:dyDescent="0.3">
      <c r="A1465" t="s">
        <v>3383</v>
      </c>
      <c r="B1465" t="s">
        <v>5332</v>
      </c>
      <c r="C1465" t="s">
        <v>5470</v>
      </c>
      <c r="D1465" t="s">
        <v>4119</v>
      </c>
      <c r="E1465" t="s">
        <v>5756</v>
      </c>
      <c r="F1465" t="s">
        <v>9157</v>
      </c>
      <c r="G1465" t="s">
        <v>6207</v>
      </c>
      <c r="H1465" t="s">
        <v>5474</v>
      </c>
      <c r="I1465" t="s">
        <v>9158</v>
      </c>
      <c r="J1465" t="s">
        <v>5476</v>
      </c>
      <c r="K1465" t="s">
        <v>5471</v>
      </c>
      <c r="L1465" t="s">
        <v>5471</v>
      </c>
      <c r="M1465" t="s">
        <v>5471</v>
      </c>
    </row>
    <row r="1466" spans="1:13" x14ac:dyDescent="0.3">
      <c r="A1466" t="s">
        <v>3383</v>
      </c>
      <c r="B1466" t="s">
        <v>5332</v>
      </c>
      <c r="C1466" t="s">
        <v>5470</v>
      </c>
      <c r="D1466" t="s">
        <v>4119</v>
      </c>
      <c r="E1466" t="s">
        <v>5756</v>
      </c>
      <c r="F1466" t="s">
        <v>9159</v>
      </c>
      <c r="G1466" t="s">
        <v>9160</v>
      </c>
      <c r="H1466" t="s">
        <v>5474</v>
      </c>
      <c r="I1466" t="s">
        <v>9161</v>
      </c>
      <c r="J1466" t="s">
        <v>5476</v>
      </c>
      <c r="K1466" t="s">
        <v>5471</v>
      </c>
      <c r="L1466" t="s">
        <v>5471</v>
      </c>
      <c r="M1466" t="s">
        <v>5471</v>
      </c>
    </row>
    <row r="1467" spans="1:13" x14ac:dyDescent="0.3">
      <c r="A1467" t="s">
        <v>3383</v>
      </c>
      <c r="B1467" t="s">
        <v>5332</v>
      </c>
      <c r="C1467" t="s">
        <v>5470</v>
      </c>
      <c r="D1467" t="s">
        <v>4119</v>
      </c>
      <c r="E1467" t="s">
        <v>5756</v>
      </c>
      <c r="F1467" t="s">
        <v>9162</v>
      </c>
      <c r="G1467" t="s">
        <v>9163</v>
      </c>
      <c r="H1467" t="s">
        <v>5474</v>
      </c>
      <c r="I1467" t="s">
        <v>9164</v>
      </c>
      <c r="J1467" t="s">
        <v>5476</v>
      </c>
      <c r="K1467" t="s">
        <v>5471</v>
      </c>
      <c r="L1467" t="s">
        <v>5471</v>
      </c>
      <c r="M1467" t="s">
        <v>5471</v>
      </c>
    </row>
    <row r="1468" spans="1:13" x14ac:dyDescent="0.3">
      <c r="A1468" t="s">
        <v>3383</v>
      </c>
      <c r="B1468" t="s">
        <v>5332</v>
      </c>
      <c r="C1468" t="s">
        <v>5470</v>
      </c>
      <c r="D1468" t="s">
        <v>4119</v>
      </c>
      <c r="E1468" t="s">
        <v>5756</v>
      </c>
      <c r="F1468" t="s">
        <v>9165</v>
      </c>
      <c r="G1468" t="s">
        <v>9163</v>
      </c>
      <c r="H1468" t="s">
        <v>5474</v>
      </c>
      <c r="I1468" t="s">
        <v>9166</v>
      </c>
      <c r="J1468" t="s">
        <v>5476</v>
      </c>
      <c r="K1468" t="s">
        <v>5471</v>
      </c>
      <c r="L1468" t="s">
        <v>5471</v>
      </c>
      <c r="M1468" t="s">
        <v>5471</v>
      </c>
    </row>
    <row r="1469" spans="1:13" x14ac:dyDescent="0.3">
      <c r="A1469" t="s">
        <v>3397</v>
      </c>
      <c r="B1469" t="s">
        <v>5287</v>
      </c>
      <c r="C1469" t="s">
        <v>5487</v>
      </c>
      <c r="D1469" t="s">
        <v>4119</v>
      </c>
      <c r="E1469" t="s">
        <v>5595</v>
      </c>
      <c r="F1469" t="s">
        <v>9167</v>
      </c>
      <c r="G1469" t="s">
        <v>9168</v>
      </c>
      <c r="H1469" t="s">
        <v>5474</v>
      </c>
      <c r="I1469" t="s">
        <v>9169</v>
      </c>
      <c r="J1469" t="s">
        <v>5476</v>
      </c>
      <c r="K1469" t="s">
        <v>5471</v>
      </c>
      <c r="L1469" t="s">
        <v>5471</v>
      </c>
      <c r="M1469" t="s">
        <v>5471</v>
      </c>
    </row>
    <row r="1470" spans="1:13" x14ac:dyDescent="0.3">
      <c r="A1470" t="s">
        <v>3397</v>
      </c>
      <c r="B1470" t="s">
        <v>5287</v>
      </c>
      <c r="C1470" t="s">
        <v>5487</v>
      </c>
      <c r="D1470" t="s">
        <v>4119</v>
      </c>
      <c r="E1470" t="s">
        <v>5595</v>
      </c>
      <c r="F1470" t="s">
        <v>9170</v>
      </c>
      <c r="G1470" t="s">
        <v>9171</v>
      </c>
      <c r="H1470" t="s">
        <v>5474</v>
      </c>
      <c r="I1470" t="s">
        <v>9172</v>
      </c>
      <c r="J1470" t="s">
        <v>5476</v>
      </c>
      <c r="K1470" t="s">
        <v>5471</v>
      </c>
      <c r="L1470" t="s">
        <v>5471</v>
      </c>
      <c r="M1470" t="s">
        <v>5471</v>
      </c>
    </row>
    <row r="1471" spans="1:13" x14ac:dyDescent="0.3">
      <c r="A1471" t="s">
        <v>3397</v>
      </c>
      <c r="B1471" t="s">
        <v>5287</v>
      </c>
      <c r="C1471" t="s">
        <v>5487</v>
      </c>
      <c r="D1471" t="s">
        <v>4119</v>
      </c>
      <c r="E1471" t="s">
        <v>5595</v>
      </c>
      <c r="F1471" t="s">
        <v>9173</v>
      </c>
      <c r="G1471" t="s">
        <v>9171</v>
      </c>
      <c r="H1471" t="s">
        <v>5474</v>
      </c>
      <c r="I1471" t="s">
        <v>9174</v>
      </c>
      <c r="J1471" t="s">
        <v>5476</v>
      </c>
      <c r="K1471" t="s">
        <v>5471</v>
      </c>
      <c r="L1471" t="s">
        <v>5471</v>
      </c>
      <c r="M1471" t="s">
        <v>5471</v>
      </c>
    </row>
    <row r="1472" spans="1:13" x14ac:dyDescent="0.3">
      <c r="A1472" t="s">
        <v>3397</v>
      </c>
      <c r="B1472" t="s">
        <v>5287</v>
      </c>
      <c r="C1472" t="s">
        <v>5487</v>
      </c>
      <c r="D1472" t="s">
        <v>4119</v>
      </c>
      <c r="E1472" t="s">
        <v>5595</v>
      </c>
      <c r="F1472" t="s">
        <v>9175</v>
      </c>
      <c r="G1472" t="s">
        <v>9168</v>
      </c>
      <c r="H1472" t="s">
        <v>5474</v>
      </c>
      <c r="I1472" t="s">
        <v>9176</v>
      </c>
      <c r="J1472" t="s">
        <v>5476</v>
      </c>
      <c r="K1472" t="s">
        <v>5471</v>
      </c>
      <c r="L1472" t="s">
        <v>5471</v>
      </c>
      <c r="M1472" t="s">
        <v>5471</v>
      </c>
    </row>
    <row r="1473" spans="1:13" x14ac:dyDescent="0.3">
      <c r="A1473" t="s">
        <v>3397</v>
      </c>
      <c r="B1473" t="s">
        <v>5287</v>
      </c>
      <c r="C1473" t="s">
        <v>5487</v>
      </c>
      <c r="D1473" t="s">
        <v>4119</v>
      </c>
      <c r="E1473" t="s">
        <v>5595</v>
      </c>
      <c r="F1473" t="s">
        <v>9177</v>
      </c>
      <c r="G1473" t="s">
        <v>9178</v>
      </c>
      <c r="H1473" t="s">
        <v>5474</v>
      </c>
      <c r="I1473" t="s">
        <v>9179</v>
      </c>
      <c r="J1473" t="s">
        <v>5476</v>
      </c>
      <c r="K1473" t="s">
        <v>5471</v>
      </c>
      <c r="L1473" t="s">
        <v>5471</v>
      </c>
      <c r="M1473" t="s">
        <v>5471</v>
      </c>
    </row>
    <row r="1474" spans="1:13" x14ac:dyDescent="0.3">
      <c r="A1474" t="s">
        <v>3397</v>
      </c>
      <c r="B1474" t="s">
        <v>5287</v>
      </c>
      <c r="C1474" t="s">
        <v>5487</v>
      </c>
      <c r="D1474" t="s">
        <v>4119</v>
      </c>
      <c r="E1474" t="s">
        <v>5595</v>
      </c>
      <c r="F1474" t="s">
        <v>9180</v>
      </c>
      <c r="G1474" t="s">
        <v>9178</v>
      </c>
      <c r="H1474" t="s">
        <v>5474</v>
      </c>
      <c r="I1474" t="s">
        <v>9181</v>
      </c>
      <c r="J1474" t="s">
        <v>5476</v>
      </c>
      <c r="K1474" t="s">
        <v>5471</v>
      </c>
      <c r="L1474" t="s">
        <v>5471</v>
      </c>
      <c r="M1474" t="s">
        <v>5471</v>
      </c>
    </row>
    <row r="1475" spans="1:13" x14ac:dyDescent="0.3">
      <c r="A1475" t="s">
        <v>3397</v>
      </c>
      <c r="B1475" t="s">
        <v>5287</v>
      </c>
      <c r="C1475" t="s">
        <v>5487</v>
      </c>
      <c r="D1475" t="s">
        <v>4119</v>
      </c>
      <c r="E1475" t="s">
        <v>5595</v>
      </c>
      <c r="F1475" t="s">
        <v>9182</v>
      </c>
      <c r="G1475" t="s">
        <v>9168</v>
      </c>
      <c r="H1475" t="s">
        <v>5474</v>
      </c>
      <c r="I1475" t="s">
        <v>9183</v>
      </c>
      <c r="J1475" t="s">
        <v>5476</v>
      </c>
      <c r="K1475" t="s">
        <v>5471</v>
      </c>
      <c r="L1475" t="s">
        <v>5471</v>
      </c>
      <c r="M1475" t="s">
        <v>5471</v>
      </c>
    </row>
    <row r="1476" spans="1:13" x14ac:dyDescent="0.3">
      <c r="A1476" t="s">
        <v>3397</v>
      </c>
      <c r="B1476" t="s">
        <v>5287</v>
      </c>
      <c r="C1476" t="s">
        <v>5487</v>
      </c>
      <c r="D1476" t="s">
        <v>4119</v>
      </c>
      <c r="E1476" t="s">
        <v>5595</v>
      </c>
      <c r="F1476" t="s">
        <v>9184</v>
      </c>
      <c r="G1476" t="s">
        <v>9178</v>
      </c>
      <c r="H1476" t="s">
        <v>5474</v>
      </c>
      <c r="I1476" t="s">
        <v>9185</v>
      </c>
      <c r="J1476" t="s">
        <v>5476</v>
      </c>
      <c r="K1476" t="s">
        <v>5471</v>
      </c>
      <c r="L1476" t="s">
        <v>5471</v>
      </c>
      <c r="M1476" t="s">
        <v>5471</v>
      </c>
    </row>
    <row r="1477" spans="1:13" x14ac:dyDescent="0.3">
      <c r="A1477" t="s">
        <v>3383</v>
      </c>
      <c r="B1477" t="s">
        <v>5332</v>
      </c>
      <c r="C1477" t="s">
        <v>5470</v>
      </c>
      <c r="D1477" t="s">
        <v>4119</v>
      </c>
      <c r="E1477" t="s">
        <v>5756</v>
      </c>
      <c r="F1477" t="s">
        <v>9186</v>
      </c>
      <c r="G1477" t="s">
        <v>6241</v>
      </c>
      <c r="H1477" t="s">
        <v>5474</v>
      </c>
      <c r="I1477" t="s">
        <v>9187</v>
      </c>
      <c r="J1477" t="s">
        <v>5484</v>
      </c>
      <c r="K1477" t="s">
        <v>5471</v>
      </c>
      <c r="L1477" t="s">
        <v>5471</v>
      </c>
      <c r="M1477" t="s">
        <v>5471</v>
      </c>
    </row>
    <row r="1478" spans="1:13" x14ac:dyDescent="0.3">
      <c r="A1478" t="s">
        <v>3397</v>
      </c>
      <c r="B1478" t="s">
        <v>3397</v>
      </c>
      <c r="C1478" t="s">
        <v>5487</v>
      </c>
      <c r="D1478" t="s">
        <v>4119</v>
      </c>
      <c r="E1478" t="s">
        <v>5595</v>
      </c>
      <c r="F1478" t="s">
        <v>9188</v>
      </c>
      <c r="G1478" t="s">
        <v>9189</v>
      </c>
      <c r="H1478" t="s">
        <v>5474</v>
      </c>
      <c r="I1478" t="s">
        <v>9190</v>
      </c>
      <c r="J1478" t="s">
        <v>5476</v>
      </c>
      <c r="K1478" t="s">
        <v>5471</v>
      </c>
      <c r="L1478" t="s">
        <v>5471</v>
      </c>
      <c r="M1478" t="s">
        <v>5471</v>
      </c>
    </row>
    <row r="1479" spans="1:13" x14ac:dyDescent="0.3">
      <c r="A1479" t="s">
        <v>3397</v>
      </c>
      <c r="B1479" t="s">
        <v>3397</v>
      </c>
      <c r="C1479" t="s">
        <v>5487</v>
      </c>
      <c r="D1479" t="s">
        <v>4119</v>
      </c>
      <c r="E1479" t="s">
        <v>5595</v>
      </c>
      <c r="F1479" t="s">
        <v>9191</v>
      </c>
      <c r="G1479" t="s">
        <v>9189</v>
      </c>
      <c r="H1479" t="s">
        <v>5474</v>
      </c>
      <c r="I1479" t="s">
        <v>9192</v>
      </c>
      <c r="J1479" t="s">
        <v>5476</v>
      </c>
      <c r="K1479" t="s">
        <v>5471</v>
      </c>
      <c r="L1479" t="s">
        <v>5471</v>
      </c>
      <c r="M1479" t="s">
        <v>5471</v>
      </c>
    </row>
    <row r="1480" spans="1:13" x14ac:dyDescent="0.3">
      <c r="A1480" t="s">
        <v>3397</v>
      </c>
      <c r="B1480" t="s">
        <v>3397</v>
      </c>
      <c r="C1480" t="s">
        <v>5487</v>
      </c>
      <c r="D1480" t="s">
        <v>4119</v>
      </c>
      <c r="E1480" t="s">
        <v>5595</v>
      </c>
      <c r="F1480" t="s">
        <v>9193</v>
      </c>
      <c r="G1480" t="s">
        <v>9194</v>
      </c>
      <c r="H1480" t="s">
        <v>5474</v>
      </c>
      <c r="I1480" t="s">
        <v>9195</v>
      </c>
      <c r="J1480" t="s">
        <v>5476</v>
      </c>
      <c r="K1480" t="s">
        <v>5471</v>
      </c>
      <c r="L1480" t="s">
        <v>5471</v>
      </c>
      <c r="M1480" t="s">
        <v>5471</v>
      </c>
    </row>
    <row r="1481" spans="1:13" x14ac:dyDescent="0.3">
      <c r="A1481" t="s">
        <v>3397</v>
      </c>
      <c r="B1481" t="s">
        <v>3397</v>
      </c>
      <c r="C1481" t="s">
        <v>5487</v>
      </c>
      <c r="D1481" t="s">
        <v>4119</v>
      </c>
      <c r="E1481" t="s">
        <v>5595</v>
      </c>
      <c r="F1481" t="s">
        <v>9196</v>
      </c>
      <c r="G1481" t="s">
        <v>9189</v>
      </c>
      <c r="H1481" t="s">
        <v>5474</v>
      </c>
      <c r="I1481" t="s">
        <v>9197</v>
      </c>
      <c r="J1481" t="s">
        <v>5476</v>
      </c>
      <c r="K1481" t="s">
        <v>5471</v>
      </c>
      <c r="L1481" t="s">
        <v>5471</v>
      </c>
      <c r="M1481" t="s">
        <v>5471</v>
      </c>
    </row>
    <row r="1482" spans="1:13" x14ac:dyDescent="0.3">
      <c r="A1482" t="s">
        <v>3397</v>
      </c>
      <c r="B1482" t="s">
        <v>3397</v>
      </c>
      <c r="C1482" t="s">
        <v>5487</v>
      </c>
      <c r="D1482" t="s">
        <v>4119</v>
      </c>
      <c r="E1482" t="s">
        <v>5595</v>
      </c>
      <c r="F1482" t="s">
        <v>9198</v>
      </c>
      <c r="G1482" t="s">
        <v>9194</v>
      </c>
      <c r="H1482" t="s">
        <v>5474</v>
      </c>
      <c r="I1482" t="s">
        <v>9199</v>
      </c>
      <c r="J1482" t="s">
        <v>5476</v>
      </c>
      <c r="K1482" t="s">
        <v>5471</v>
      </c>
      <c r="L1482" t="s">
        <v>5471</v>
      </c>
      <c r="M1482" t="s">
        <v>5471</v>
      </c>
    </row>
    <row r="1483" spans="1:13" x14ac:dyDescent="0.3">
      <c r="A1483" t="s">
        <v>3397</v>
      </c>
      <c r="B1483" t="s">
        <v>3397</v>
      </c>
      <c r="C1483" t="s">
        <v>5487</v>
      </c>
      <c r="D1483" t="s">
        <v>4119</v>
      </c>
      <c r="E1483" t="s">
        <v>5595</v>
      </c>
      <c r="F1483" t="s">
        <v>9200</v>
      </c>
      <c r="G1483" t="s">
        <v>9194</v>
      </c>
      <c r="H1483" t="s">
        <v>5474</v>
      </c>
      <c r="I1483" t="s">
        <v>9201</v>
      </c>
      <c r="J1483" t="s">
        <v>5476</v>
      </c>
      <c r="K1483" t="s">
        <v>5471</v>
      </c>
      <c r="L1483" t="s">
        <v>5471</v>
      </c>
      <c r="M1483" t="s">
        <v>5471</v>
      </c>
    </row>
    <row r="1484" spans="1:13" x14ac:dyDescent="0.3">
      <c r="A1484" t="s">
        <v>3383</v>
      </c>
      <c r="B1484" t="s">
        <v>5332</v>
      </c>
      <c r="C1484" t="s">
        <v>5470</v>
      </c>
      <c r="D1484" t="s">
        <v>4119</v>
      </c>
      <c r="E1484" t="s">
        <v>5756</v>
      </c>
      <c r="F1484" t="s">
        <v>9202</v>
      </c>
      <c r="G1484" t="s">
        <v>9160</v>
      </c>
      <c r="H1484" t="s">
        <v>5474</v>
      </c>
      <c r="I1484" t="s">
        <v>9203</v>
      </c>
      <c r="J1484" t="s">
        <v>5476</v>
      </c>
      <c r="K1484" t="s">
        <v>5471</v>
      </c>
      <c r="L1484" t="s">
        <v>5471</v>
      </c>
      <c r="M1484" t="s">
        <v>5471</v>
      </c>
    </row>
    <row r="1485" spans="1:13" x14ac:dyDescent="0.3">
      <c r="A1485" t="s">
        <v>3383</v>
      </c>
      <c r="B1485" t="s">
        <v>5332</v>
      </c>
      <c r="C1485" t="s">
        <v>5470</v>
      </c>
      <c r="D1485" t="s">
        <v>4119</v>
      </c>
      <c r="E1485" t="s">
        <v>5756</v>
      </c>
      <c r="F1485" t="s">
        <v>9204</v>
      </c>
      <c r="G1485" t="s">
        <v>9205</v>
      </c>
      <c r="H1485" t="s">
        <v>5474</v>
      </c>
      <c r="I1485" t="s">
        <v>9206</v>
      </c>
      <c r="J1485" t="s">
        <v>5476</v>
      </c>
      <c r="K1485" t="s">
        <v>5471</v>
      </c>
      <c r="L1485" t="s">
        <v>5471</v>
      </c>
      <c r="M1485" t="s">
        <v>5471</v>
      </c>
    </row>
    <row r="1486" spans="1:13" x14ac:dyDescent="0.3">
      <c r="A1486" t="s">
        <v>3383</v>
      </c>
      <c r="B1486" t="s">
        <v>5332</v>
      </c>
      <c r="C1486" t="s">
        <v>5470</v>
      </c>
      <c r="D1486" t="s">
        <v>4119</v>
      </c>
      <c r="E1486" t="s">
        <v>5756</v>
      </c>
      <c r="F1486" t="s">
        <v>9207</v>
      </c>
      <c r="G1486" t="s">
        <v>6239</v>
      </c>
      <c r="H1486" t="s">
        <v>5474</v>
      </c>
      <c r="I1486" t="s">
        <v>9208</v>
      </c>
      <c r="J1486" t="s">
        <v>5476</v>
      </c>
      <c r="K1486" t="s">
        <v>5471</v>
      </c>
      <c r="L1486" t="s">
        <v>5471</v>
      </c>
      <c r="M1486" t="s">
        <v>5471</v>
      </c>
    </row>
    <row r="1487" spans="1:13" x14ac:dyDescent="0.3">
      <c r="A1487" t="s">
        <v>3383</v>
      </c>
      <c r="B1487" t="s">
        <v>5332</v>
      </c>
      <c r="C1487" t="s">
        <v>5470</v>
      </c>
      <c r="D1487" t="s">
        <v>4119</v>
      </c>
      <c r="E1487" t="s">
        <v>5756</v>
      </c>
      <c r="F1487" t="s">
        <v>9209</v>
      </c>
      <c r="G1487" t="s">
        <v>6239</v>
      </c>
      <c r="H1487" t="s">
        <v>5474</v>
      </c>
      <c r="I1487" t="s">
        <v>9210</v>
      </c>
      <c r="J1487" t="s">
        <v>5476</v>
      </c>
      <c r="K1487" t="s">
        <v>5471</v>
      </c>
      <c r="L1487" t="s">
        <v>5471</v>
      </c>
      <c r="M1487" t="s">
        <v>5471</v>
      </c>
    </row>
    <row r="1488" spans="1:13" x14ac:dyDescent="0.3">
      <c r="A1488" t="s">
        <v>3383</v>
      </c>
      <c r="B1488" t="s">
        <v>5332</v>
      </c>
      <c r="C1488" t="s">
        <v>5470</v>
      </c>
      <c r="D1488" t="s">
        <v>4119</v>
      </c>
      <c r="E1488" t="s">
        <v>5756</v>
      </c>
      <c r="F1488" t="s">
        <v>9211</v>
      </c>
      <c r="G1488" t="s">
        <v>9163</v>
      </c>
      <c r="H1488" t="s">
        <v>5474</v>
      </c>
      <c r="I1488" t="s">
        <v>9212</v>
      </c>
      <c r="J1488" t="s">
        <v>5476</v>
      </c>
      <c r="K1488" t="s">
        <v>5471</v>
      </c>
      <c r="L1488" t="s">
        <v>5471</v>
      </c>
      <c r="M1488" t="s">
        <v>5471</v>
      </c>
    </row>
    <row r="1489" spans="1:13" x14ac:dyDescent="0.3">
      <c r="A1489" t="s">
        <v>3383</v>
      </c>
      <c r="B1489" t="s">
        <v>7444</v>
      </c>
      <c r="C1489" t="s">
        <v>5470</v>
      </c>
      <c r="D1489" t="s">
        <v>4119</v>
      </c>
      <c r="E1489" t="s">
        <v>5532</v>
      </c>
      <c r="F1489" t="s">
        <v>9213</v>
      </c>
      <c r="G1489" t="s">
        <v>8947</v>
      </c>
      <c r="H1489" t="s">
        <v>5474</v>
      </c>
      <c r="I1489" t="s">
        <v>9214</v>
      </c>
      <c r="J1489" t="s">
        <v>5484</v>
      </c>
      <c r="K1489" t="s">
        <v>5471</v>
      </c>
      <c r="L1489" t="s">
        <v>5471</v>
      </c>
      <c r="M1489" t="s">
        <v>5471</v>
      </c>
    </row>
    <row r="1490" spans="1:13" x14ac:dyDescent="0.3">
      <c r="A1490" t="s">
        <v>3383</v>
      </c>
      <c r="B1490" t="s">
        <v>5332</v>
      </c>
      <c r="C1490" t="s">
        <v>5470</v>
      </c>
      <c r="D1490" t="s">
        <v>4119</v>
      </c>
      <c r="E1490" t="s">
        <v>5756</v>
      </c>
      <c r="F1490" t="s">
        <v>9215</v>
      </c>
      <c r="G1490" t="s">
        <v>9163</v>
      </c>
      <c r="H1490" t="s">
        <v>5474</v>
      </c>
      <c r="I1490" t="s">
        <v>9216</v>
      </c>
      <c r="J1490" t="s">
        <v>5476</v>
      </c>
      <c r="K1490" t="s">
        <v>5471</v>
      </c>
      <c r="L1490" t="s">
        <v>5471</v>
      </c>
      <c r="M1490" t="s">
        <v>5471</v>
      </c>
    </row>
    <row r="1491" spans="1:13" x14ac:dyDescent="0.3">
      <c r="A1491" t="s">
        <v>3383</v>
      </c>
      <c r="B1491" t="s">
        <v>5332</v>
      </c>
      <c r="C1491" t="s">
        <v>5470</v>
      </c>
      <c r="D1491" t="s">
        <v>4119</v>
      </c>
      <c r="E1491" t="s">
        <v>5532</v>
      </c>
      <c r="F1491" t="s">
        <v>9217</v>
      </c>
      <c r="G1491" t="s">
        <v>6239</v>
      </c>
      <c r="H1491" t="s">
        <v>5474</v>
      </c>
      <c r="I1491" t="s">
        <v>9218</v>
      </c>
      <c r="J1491" t="s">
        <v>5484</v>
      </c>
      <c r="K1491" t="s">
        <v>5471</v>
      </c>
      <c r="L1491" t="s">
        <v>5471</v>
      </c>
      <c r="M1491" t="s">
        <v>5471</v>
      </c>
    </row>
    <row r="1492" spans="1:13" x14ac:dyDescent="0.3">
      <c r="A1492" t="s">
        <v>3383</v>
      </c>
      <c r="B1492" t="s">
        <v>5332</v>
      </c>
      <c r="C1492" t="s">
        <v>5470</v>
      </c>
      <c r="D1492" t="s">
        <v>4119</v>
      </c>
      <c r="E1492" t="s">
        <v>5532</v>
      </c>
      <c r="F1492" t="s">
        <v>9219</v>
      </c>
      <c r="G1492" t="s">
        <v>6239</v>
      </c>
      <c r="H1492" t="s">
        <v>5474</v>
      </c>
      <c r="I1492" t="s">
        <v>9220</v>
      </c>
      <c r="J1492" t="s">
        <v>5484</v>
      </c>
      <c r="K1492" t="s">
        <v>5471</v>
      </c>
      <c r="L1492" t="s">
        <v>5471</v>
      </c>
      <c r="M1492" t="s">
        <v>5471</v>
      </c>
    </row>
    <row r="1493" spans="1:13" x14ac:dyDescent="0.3">
      <c r="A1493" t="s">
        <v>3397</v>
      </c>
      <c r="B1493" t="s">
        <v>9221</v>
      </c>
      <c r="C1493" t="s">
        <v>6342</v>
      </c>
      <c r="D1493" t="s">
        <v>4119</v>
      </c>
      <c r="E1493" t="s">
        <v>5471</v>
      </c>
      <c r="F1493" t="s">
        <v>9222</v>
      </c>
      <c r="G1493" t="s">
        <v>9223</v>
      </c>
      <c r="H1493" t="s">
        <v>5474</v>
      </c>
      <c r="I1493" t="s">
        <v>9224</v>
      </c>
      <c r="J1493" t="s">
        <v>5476</v>
      </c>
      <c r="K1493" t="s">
        <v>5471</v>
      </c>
      <c r="L1493" t="s">
        <v>5471</v>
      </c>
      <c r="M1493" t="s">
        <v>5471</v>
      </c>
    </row>
    <row r="1494" spans="1:13" x14ac:dyDescent="0.3">
      <c r="A1494" t="s">
        <v>3397</v>
      </c>
      <c r="B1494" t="s">
        <v>9221</v>
      </c>
      <c r="C1494" t="s">
        <v>6342</v>
      </c>
      <c r="D1494" t="s">
        <v>4119</v>
      </c>
      <c r="E1494" t="s">
        <v>5471</v>
      </c>
      <c r="F1494" t="s">
        <v>9225</v>
      </c>
      <c r="G1494" t="s">
        <v>9226</v>
      </c>
      <c r="H1494" t="s">
        <v>5474</v>
      </c>
      <c r="I1494" t="s">
        <v>9227</v>
      </c>
      <c r="J1494" t="s">
        <v>5476</v>
      </c>
      <c r="K1494" t="s">
        <v>5471</v>
      </c>
      <c r="L1494" t="s">
        <v>5471</v>
      </c>
      <c r="M1494" t="s">
        <v>5471</v>
      </c>
    </row>
    <row r="1495" spans="1:13" x14ac:dyDescent="0.3">
      <c r="A1495" t="s">
        <v>3397</v>
      </c>
      <c r="B1495" t="s">
        <v>9221</v>
      </c>
      <c r="C1495" t="s">
        <v>6342</v>
      </c>
      <c r="D1495" t="s">
        <v>4119</v>
      </c>
      <c r="E1495" t="s">
        <v>5471</v>
      </c>
      <c r="F1495" t="s">
        <v>9228</v>
      </c>
      <c r="G1495" t="s">
        <v>9223</v>
      </c>
      <c r="H1495" t="s">
        <v>5474</v>
      </c>
      <c r="I1495" t="s">
        <v>9229</v>
      </c>
      <c r="J1495" t="s">
        <v>5476</v>
      </c>
      <c r="K1495" t="s">
        <v>5471</v>
      </c>
      <c r="L1495" t="s">
        <v>5471</v>
      </c>
      <c r="M1495" t="s">
        <v>5471</v>
      </c>
    </row>
    <row r="1496" spans="1:13" x14ac:dyDescent="0.3">
      <c r="A1496" t="s">
        <v>3397</v>
      </c>
      <c r="B1496" t="s">
        <v>9221</v>
      </c>
      <c r="C1496" t="s">
        <v>6342</v>
      </c>
      <c r="D1496" t="s">
        <v>4119</v>
      </c>
      <c r="E1496" t="s">
        <v>5471</v>
      </c>
      <c r="F1496" t="s">
        <v>9230</v>
      </c>
      <c r="G1496" t="s">
        <v>9223</v>
      </c>
      <c r="H1496" t="s">
        <v>5474</v>
      </c>
      <c r="I1496" t="s">
        <v>9231</v>
      </c>
      <c r="J1496" t="s">
        <v>5476</v>
      </c>
      <c r="K1496" t="s">
        <v>5471</v>
      </c>
      <c r="L1496" t="s">
        <v>5471</v>
      </c>
      <c r="M1496" t="s">
        <v>5471</v>
      </c>
    </row>
    <row r="1497" spans="1:13" x14ac:dyDescent="0.3">
      <c r="A1497" t="s">
        <v>3397</v>
      </c>
      <c r="B1497" t="s">
        <v>9221</v>
      </c>
      <c r="C1497" t="s">
        <v>6342</v>
      </c>
      <c r="D1497" t="s">
        <v>4119</v>
      </c>
      <c r="E1497" t="s">
        <v>5471</v>
      </c>
      <c r="F1497" t="s">
        <v>9232</v>
      </c>
      <c r="G1497" t="s">
        <v>9226</v>
      </c>
      <c r="H1497" t="s">
        <v>5474</v>
      </c>
      <c r="I1497" t="s">
        <v>9233</v>
      </c>
      <c r="J1497" t="s">
        <v>5476</v>
      </c>
      <c r="K1497" t="s">
        <v>5471</v>
      </c>
      <c r="L1497" t="s">
        <v>5471</v>
      </c>
      <c r="M1497" t="s">
        <v>5471</v>
      </c>
    </row>
    <row r="1498" spans="1:13" x14ac:dyDescent="0.3">
      <c r="A1498" t="s">
        <v>3397</v>
      </c>
      <c r="B1498" t="s">
        <v>9221</v>
      </c>
      <c r="C1498" t="s">
        <v>6342</v>
      </c>
      <c r="D1498" t="s">
        <v>4119</v>
      </c>
      <c r="E1498" t="s">
        <v>5471</v>
      </c>
      <c r="F1498" t="s">
        <v>9234</v>
      </c>
      <c r="G1498" t="s">
        <v>9226</v>
      </c>
      <c r="H1498" t="s">
        <v>5474</v>
      </c>
      <c r="I1498" t="s">
        <v>9235</v>
      </c>
      <c r="J1498" t="s">
        <v>5476</v>
      </c>
      <c r="K1498" t="s">
        <v>5471</v>
      </c>
      <c r="L1498" t="s">
        <v>5471</v>
      </c>
      <c r="M1498" t="s">
        <v>5471</v>
      </c>
    </row>
    <row r="1499" spans="1:13" x14ac:dyDescent="0.3">
      <c r="A1499" t="s">
        <v>3397</v>
      </c>
      <c r="B1499" t="s">
        <v>9221</v>
      </c>
      <c r="C1499" t="s">
        <v>6342</v>
      </c>
      <c r="D1499" t="s">
        <v>4119</v>
      </c>
      <c r="E1499" t="s">
        <v>5471</v>
      </c>
      <c r="F1499" t="s">
        <v>9236</v>
      </c>
      <c r="G1499" t="s">
        <v>9226</v>
      </c>
      <c r="H1499" t="s">
        <v>5474</v>
      </c>
      <c r="I1499" t="s">
        <v>9237</v>
      </c>
      <c r="J1499" t="s">
        <v>5476</v>
      </c>
      <c r="K1499" t="s">
        <v>5471</v>
      </c>
      <c r="L1499" t="s">
        <v>5471</v>
      </c>
      <c r="M1499" t="s">
        <v>5471</v>
      </c>
    </row>
    <row r="1500" spans="1:13" x14ac:dyDescent="0.3">
      <c r="A1500" t="s">
        <v>3397</v>
      </c>
      <c r="B1500" t="s">
        <v>9221</v>
      </c>
      <c r="C1500" t="s">
        <v>6342</v>
      </c>
      <c r="D1500" t="s">
        <v>4119</v>
      </c>
      <c r="E1500" t="s">
        <v>5471</v>
      </c>
      <c r="F1500" t="s">
        <v>9238</v>
      </c>
      <c r="G1500" t="s">
        <v>9226</v>
      </c>
      <c r="H1500" t="s">
        <v>5474</v>
      </c>
      <c r="I1500" t="s">
        <v>9239</v>
      </c>
      <c r="J1500" t="s">
        <v>5476</v>
      </c>
      <c r="K1500" t="s">
        <v>5471</v>
      </c>
      <c r="L1500" t="s">
        <v>5471</v>
      </c>
      <c r="M1500" t="s">
        <v>5471</v>
      </c>
    </row>
    <row r="1501" spans="1:13" x14ac:dyDescent="0.3">
      <c r="A1501" t="s">
        <v>3397</v>
      </c>
      <c r="B1501" t="s">
        <v>9221</v>
      </c>
      <c r="C1501" t="s">
        <v>6342</v>
      </c>
      <c r="D1501" t="s">
        <v>4119</v>
      </c>
      <c r="E1501" t="s">
        <v>5471</v>
      </c>
      <c r="F1501" t="s">
        <v>9240</v>
      </c>
      <c r="G1501" t="s">
        <v>9241</v>
      </c>
      <c r="H1501" t="s">
        <v>5474</v>
      </c>
      <c r="I1501" t="s">
        <v>9242</v>
      </c>
      <c r="J1501" t="s">
        <v>5476</v>
      </c>
      <c r="K1501" t="s">
        <v>5471</v>
      </c>
      <c r="L1501" t="s">
        <v>5471</v>
      </c>
      <c r="M1501" t="s">
        <v>5471</v>
      </c>
    </row>
    <row r="1502" spans="1:13" x14ac:dyDescent="0.3">
      <c r="A1502" t="s">
        <v>3397</v>
      </c>
      <c r="B1502" t="s">
        <v>9221</v>
      </c>
      <c r="C1502" t="s">
        <v>6342</v>
      </c>
      <c r="D1502" t="s">
        <v>4119</v>
      </c>
      <c r="E1502" t="s">
        <v>5471</v>
      </c>
      <c r="F1502" t="s">
        <v>9243</v>
      </c>
      <c r="G1502" t="s">
        <v>9241</v>
      </c>
      <c r="H1502" t="s">
        <v>5474</v>
      </c>
      <c r="I1502" t="s">
        <v>9244</v>
      </c>
      <c r="J1502" t="s">
        <v>5476</v>
      </c>
      <c r="K1502" t="s">
        <v>5471</v>
      </c>
      <c r="L1502" t="s">
        <v>5471</v>
      </c>
      <c r="M1502" t="s">
        <v>5471</v>
      </c>
    </row>
    <row r="1503" spans="1:13" x14ac:dyDescent="0.3">
      <c r="A1503" t="s">
        <v>3397</v>
      </c>
      <c r="B1503" t="s">
        <v>6331</v>
      </c>
      <c r="C1503" t="s">
        <v>5487</v>
      </c>
      <c r="D1503" t="s">
        <v>4119</v>
      </c>
      <c r="E1503" t="s">
        <v>6332</v>
      </c>
      <c r="F1503" t="s">
        <v>9245</v>
      </c>
      <c r="G1503" t="s">
        <v>9246</v>
      </c>
      <c r="H1503" t="s">
        <v>5474</v>
      </c>
      <c r="I1503" t="s">
        <v>9247</v>
      </c>
      <c r="J1503" t="s">
        <v>5476</v>
      </c>
      <c r="K1503" t="s">
        <v>5471</v>
      </c>
      <c r="L1503" t="s">
        <v>5471</v>
      </c>
      <c r="M1503" t="s">
        <v>5471</v>
      </c>
    </row>
    <row r="1504" spans="1:13" x14ac:dyDescent="0.3">
      <c r="A1504" t="s">
        <v>3397</v>
      </c>
      <c r="B1504" t="s">
        <v>6331</v>
      </c>
      <c r="C1504" t="s">
        <v>5487</v>
      </c>
      <c r="D1504" t="s">
        <v>4119</v>
      </c>
      <c r="E1504" t="s">
        <v>6332</v>
      </c>
      <c r="F1504" t="s">
        <v>9248</v>
      </c>
      <c r="G1504" t="s">
        <v>9246</v>
      </c>
      <c r="H1504" t="s">
        <v>5474</v>
      </c>
      <c r="I1504" t="s">
        <v>9249</v>
      </c>
      <c r="J1504" t="s">
        <v>5476</v>
      </c>
      <c r="K1504" t="s">
        <v>5471</v>
      </c>
      <c r="L1504" t="s">
        <v>5471</v>
      </c>
      <c r="M1504" t="s">
        <v>5471</v>
      </c>
    </row>
    <row r="1505" spans="1:13" x14ac:dyDescent="0.3">
      <c r="A1505" t="s">
        <v>3383</v>
      </c>
      <c r="B1505" t="s">
        <v>5330</v>
      </c>
      <c r="C1505" t="s">
        <v>5470</v>
      </c>
      <c r="D1505" t="s">
        <v>4119</v>
      </c>
      <c r="E1505" t="s">
        <v>5532</v>
      </c>
      <c r="F1505" t="s">
        <v>9250</v>
      </c>
      <c r="G1505" t="s">
        <v>6098</v>
      </c>
      <c r="H1505" t="s">
        <v>5474</v>
      </c>
      <c r="I1505" t="s">
        <v>9251</v>
      </c>
      <c r="J1505" t="s">
        <v>5476</v>
      </c>
      <c r="K1505" t="s">
        <v>5471</v>
      </c>
      <c r="L1505" t="s">
        <v>5471</v>
      </c>
      <c r="M1505" t="s">
        <v>5471</v>
      </c>
    </row>
    <row r="1506" spans="1:13" x14ac:dyDescent="0.3">
      <c r="A1506" t="s">
        <v>3383</v>
      </c>
      <c r="B1506" t="s">
        <v>5330</v>
      </c>
      <c r="C1506" t="s">
        <v>5470</v>
      </c>
      <c r="D1506" t="s">
        <v>4119</v>
      </c>
      <c r="E1506" t="s">
        <v>5532</v>
      </c>
      <c r="F1506" t="s">
        <v>9252</v>
      </c>
      <c r="G1506" t="s">
        <v>9253</v>
      </c>
      <c r="H1506" t="s">
        <v>5474</v>
      </c>
      <c r="I1506" t="s">
        <v>9254</v>
      </c>
      <c r="J1506" t="s">
        <v>5476</v>
      </c>
      <c r="K1506" t="s">
        <v>5471</v>
      </c>
      <c r="L1506" t="s">
        <v>5471</v>
      </c>
      <c r="M1506" t="s">
        <v>5471</v>
      </c>
    </row>
    <row r="1507" spans="1:13" x14ac:dyDescent="0.3">
      <c r="A1507" t="s">
        <v>3397</v>
      </c>
      <c r="B1507" t="s">
        <v>6341</v>
      </c>
      <c r="C1507" t="s">
        <v>6342</v>
      </c>
      <c r="D1507" t="s">
        <v>4119</v>
      </c>
      <c r="E1507" t="s">
        <v>5471</v>
      </c>
      <c r="F1507" t="s">
        <v>9236</v>
      </c>
      <c r="G1507" t="s">
        <v>9255</v>
      </c>
      <c r="H1507" t="s">
        <v>5474</v>
      </c>
      <c r="I1507" t="s">
        <v>9256</v>
      </c>
      <c r="J1507" t="s">
        <v>5476</v>
      </c>
      <c r="K1507" t="s">
        <v>5471</v>
      </c>
      <c r="L1507" t="s">
        <v>5471</v>
      </c>
      <c r="M1507" t="s">
        <v>5471</v>
      </c>
    </row>
    <row r="1508" spans="1:13" x14ac:dyDescent="0.3">
      <c r="A1508" t="s">
        <v>3383</v>
      </c>
      <c r="B1508" t="s">
        <v>5330</v>
      </c>
      <c r="C1508" t="s">
        <v>5470</v>
      </c>
      <c r="D1508" t="s">
        <v>4119</v>
      </c>
      <c r="E1508" t="s">
        <v>5532</v>
      </c>
      <c r="F1508" t="s">
        <v>9257</v>
      </c>
      <c r="G1508" t="s">
        <v>9258</v>
      </c>
      <c r="H1508" t="s">
        <v>5474</v>
      </c>
      <c r="I1508" t="s">
        <v>9259</v>
      </c>
      <c r="J1508" t="s">
        <v>5476</v>
      </c>
      <c r="K1508" t="s">
        <v>5471</v>
      </c>
      <c r="L1508" t="s">
        <v>5471</v>
      </c>
      <c r="M1508" t="s">
        <v>5471</v>
      </c>
    </row>
    <row r="1509" spans="1:13" x14ac:dyDescent="0.3">
      <c r="A1509" t="s">
        <v>3397</v>
      </c>
      <c r="B1509" t="s">
        <v>5594</v>
      </c>
      <c r="C1509" t="s">
        <v>5487</v>
      </c>
      <c r="D1509" t="s">
        <v>4119</v>
      </c>
      <c r="E1509" t="s">
        <v>6332</v>
      </c>
      <c r="F1509" t="s">
        <v>9260</v>
      </c>
      <c r="G1509" t="s">
        <v>9261</v>
      </c>
      <c r="H1509" t="s">
        <v>5474</v>
      </c>
      <c r="I1509" t="s">
        <v>9262</v>
      </c>
      <c r="J1509" t="s">
        <v>5476</v>
      </c>
      <c r="K1509" t="s">
        <v>5471</v>
      </c>
      <c r="L1509" t="s">
        <v>5471</v>
      </c>
      <c r="M1509" t="s">
        <v>5471</v>
      </c>
    </row>
    <row r="1510" spans="1:13" x14ac:dyDescent="0.3">
      <c r="A1510" t="s">
        <v>3383</v>
      </c>
      <c r="B1510" t="s">
        <v>5330</v>
      </c>
      <c r="C1510" t="s">
        <v>5470</v>
      </c>
      <c r="D1510" t="s">
        <v>4119</v>
      </c>
      <c r="E1510" t="s">
        <v>5532</v>
      </c>
      <c r="F1510" t="s">
        <v>9263</v>
      </c>
      <c r="G1510" t="s">
        <v>9264</v>
      </c>
      <c r="H1510" t="s">
        <v>5474</v>
      </c>
      <c r="I1510" t="s">
        <v>9265</v>
      </c>
      <c r="J1510" t="s">
        <v>5476</v>
      </c>
      <c r="K1510" t="s">
        <v>5471</v>
      </c>
      <c r="L1510" t="s">
        <v>5471</v>
      </c>
      <c r="M1510" t="s">
        <v>5471</v>
      </c>
    </row>
    <row r="1511" spans="1:13" x14ac:dyDescent="0.3">
      <c r="A1511" t="s">
        <v>3397</v>
      </c>
      <c r="B1511" t="s">
        <v>5594</v>
      </c>
      <c r="C1511" t="s">
        <v>5487</v>
      </c>
      <c r="D1511" t="s">
        <v>4119</v>
      </c>
      <c r="E1511" t="s">
        <v>6332</v>
      </c>
      <c r="F1511" t="s">
        <v>9266</v>
      </c>
      <c r="G1511" t="s">
        <v>9267</v>
      </c>
      <c r="H1511" t="s">
        <v>5474</v>
      </c>
      <c r="I1511" t="s">
        <v>9268</v>
      </c>
      <c r="J1511" t="s">
        <v>5476</v>
      </c>
      <c r="K1511" t="s">
        <v>5471</v>
      </c>
      <c r="L1511" t="s">
        <v>5471</v>
      </c>
      <c r="M1511" t="s">
        <v>5471</v>
      </c>
    </row>
    <row r="1512" spans="1:13" x14ac:dyDescent="0.3">
      <c r="A1512" t="s">
        <v>3397</v>
      </c>
      <c r="B1512" t="s">
        <v>5594</v>
      </c>
      <c r="C1512" t="s">
        <v>5487</v>
      </c>
      <c r="D1512" t="s">
        <v>4119</v>
      </c>
      <c r="E1512" t="s">
        <v>6332</v>
      </c>
      <c r="F1512" t="s">
        <v>9269</v>
      </c>
      <c r="G1512" t="s">
        <v>9261</v>
      </c>
      <c r="H1512" t="s">
        <v>5474</v>
      </c>
      <c r="I1512" t="s">
        <v>9270</v>
      </c>
      <c r="J1512" t="s">
        <v>5476</v>
      </c>
      <c r="K1512" t="s">
        <v>5471</v>
      </c>
      <c r="L1512" t="s">
        <v>5471</v>
      </c>
      <c r="M1512" t="s">
        <v>5471</v>
      </c>
    </row>
    <row r="1513" spans="1:13" x14ac:dyDescent="0.3">
      <c r="A1513" t="s">
        <v>3397</v>
      </c>
      <c r="B1513" t="s">
        <v>5594</v>
      </c>
      <c r="C1513" t="s">
        <v>5487</v>
      </c>
      <c r="D1513" t="s">
        <v>4119</v>
      </c>
      <c r="E1513" t="s">
        <v>6332</v>
      </c>
      <c r="F1513" t="s">
        <v>9271</v>
      </c>
      <c r="G1513" t="s">
        <v>9272</v>
      </c>
      <c r="H1513" t="s">
        <v>5474</v>
      </c>
      <c r="I1513" t="s">
        <v>9273</v>
      </c>
      <c r="J1513" t="s">
        <v>5476</v>
      </c>
      <c r="K1513" t="s">
        <v>5471</v>
      </c>
      <c r="L1513" t="s">
        <v>5471</v>
      </c>
      <c r="M1513" t="s">
        <v>5471</v>
      </c>
    </row>
    <row r="1514" spans="1:13" x14ac:dyDescent="0.3">
      <c r="A1514" t="s">
        <v>3397</v>
      </c>
      <c r="B1514" t="s">
        <v>5594</v>
      </c>
      <c r="C1514" t="s">
        <v>5487</v>
      </c>
      <c r="D1514" t="s">
        <v>4119</v>
      </c>
      <c r="E1514" t="s">
        <v>6332</v>
      </c>
      <c r="F1514" t="s">
        <v>9274</v>
      </c>
      <c r="G1514" t="s">
        <v>9272</v>
      </c>
      <c r="H1514" t="s">
        <v>5474</v>
      </c>
      <c r="I1514" t="s">
        <v>9275</v>
      </c>
      <c r="J1514" t="s">
        <v>5476</v>
      </c>
      <c r="K1514" t="s">
        <v>5471</v>
      </c>
      <c r="L1514" t="s">
        <v>5471</v>
      </c>
      <c r="M1514" t="s">
        <v>5471</v>
      </c>
    </row>
    <row r="1515" spans="1:13" x14ac:dyDescent="0.3">
      <c r="A1515" t="s">
        <v>3397</v>
      </c>
      <c r="B1515" t="s">
        <v>5594</v>
      </c>
      <c r="C1515" t="s">
        <v>5487</v>
      </c>
      <c r="D1515" t="s">
        <v>4119</v>
      </c>
      <c r="E1515" t="s">
        <v>6332</v>
      </c>
      <c r="F1515" t="s">
        <v>9276</v>
      </c>
      <c r="G1515" t="s">
        <v>9272</v>
      </c>
      <c r="H1515" t="s">
        <v>5474</v>
      </c>
      <c r="I1515" t="s">
        <v>9277</v>
      </c>
      <c r="J1515" t="s">
        <v>5476</v>
      </c>
      <c r="K1515" t="s">
        <v>5471</v>
      </c>
      <c r="L1515" t="s">
        <v>5471</v>
      </c>
      <c r="M1515" t="s">
        <v>5471</v>
      </c>
    </row>
    <row r="1516" spans="1:13" x14ac:dyDescent="0.3">
      <c r="A1516" t="s">
        <v>3397</v>
      </c>
      <c r="B1516" t="s">
        <v>5594</v>
      </c>
      <c r="C1516" t="s">
        <v>5487</v>
      </c>
      <c r="D1516" t="s">
        <v>4119</v>
      </c>
      <c r="E1516" t="s">
        <v>6332</v>
      </c>
      <c r="F1516" t="s">
        <v>9278</v>
      </c>
      <c r="G1516" t="s">
        <v>9272</v>
      </c>
      <c r="H1516" t="s">
        <v>5474</v>
      </c>
      <c r="I1516" t="s">
        <v>9279</v>
      </c>
      <c r="J1516" t="s">
        <v>5476</v>
      </c>
      <c r="K1516" t="s">
        <v>5471</v>
      </c>
      <c r="L1516" t="s">
        <v>5471</v>
      </c>
      <c r="M1516" t="s">
        <v>5471</v>
      </c>
    </row>
    <row r="1517" spans="1:13" x14ac:dyDescent="0.3">
      <c r="A1517" t="s">
        <v>3397</v>
      </c>
      <c r="B1517" t="s">
        <v>5594</v>
      </c>
      <c r="C1517" t="s">
        <v>5487</v>
      </c>
      <c r="D1517" t="s">
        <v>4119</v>
      </c>
      <c r="E1517" t="s">
        <v>6332</v>
      </c>
      <c r="F1517" t="s">
        <v>9280</v>
      </c>
      <c r="G1517" t="s">
        <v>9272</v>
      </c>
      <c r="H1517" t="s">
        <v>5474</v>
      </c>
      <c r="I1517" t="s">
        <v>9281</v>
      </c>
      <c r="J1517" t="s">
        <v>5476</v>
      </c>
      <c r="K1517" t="s">
        <v>5471</v>
      </c>
      <c r="L1517" t="s">
        <v>5471</v>
      </c>
      <c r="M1517" t="s">
        <v>5471</v>
      </c>
    </row>
    <row r="1518" spans="1:13" x14ac:dyDescent="0.3">
      <c r="A1518" t="s">
        <v>3383</v>
      </c>
      <c r="B1518" t="s">
        <v>5330</v>
      </c>
      <c r="C1518" t="s">
        <v>5470</v>
      </c>
      <c r="D1518" t="s">
        <v>4119</v>
      </c>
      <c r="E1518" t="s">
        <v>5532</v>
      </c>
      <c r="F1518" t="s">
        <v>9282</v>
      </c>
      <c r="G1518" t="s">
        <v>5871</v>
      </c>
      <c r="H1518" t="s">
        <v>5474</v>
      </c>
      <c r="I1518" t="s">
        <v>9283</v>
      </c>
      <c r="J1518" t="s">
        <v>5476</v>
      </c>
      <c r="K1518" t="s">
        <v>5471</v>
      </c>
      <c r="L1518" t="s">
        <v>5471</v>
      </c>
      <c r="M1518" t="s">
        <v>5471</v>
      </c>
    </row>
    <row r="1519" spans="1:13" x14ac:dyDescent="0.3">
      <c r="A1519" t="s">
        <v>3383</v>
      </c>
      <c r="B1519" t="s">
        <v>5330</v>
      </c>
      <c r="C1519" t="s">
        <v>5470</v>
      </c>
      <c r="D1519" t="s">
        <v>4119</v>
      </c>
      <c r="E1519" t="s">
        <v>5532</v>
      </c>
      <c r="F1519" t="s">
        <v>9282</v>
      </c>
      <c r="G1519" t="s">
        <v>5871</v>
      </c>
      <c r="H1519" t="s">
        <v>5474</v>
      </c>
      <c r="I1519" t="s">
        <v>9284</v>
      </c>
      <c r="J1519" t="s">
        <v>5476</v>
      </c>
      <c r="K1519" t="s">
        <v>5471</v>
      </c>
      <c r="L1519" t="s">
        <v>5471</v>
      </c>
      <c r="M1519" t="s">
        <v>5471</v>
      </c>
    </row>
    <row r="1520" spans="1:13" x14ac:dyDescent="0.3">
      <c r="A1520" t="s">
        <v>3383</v>
      </c>
      <c r="B1520" t="s">
        <v>5330</v>
      </c>
      <c r="C1520" t="s">
        <v>5470</v>
      </c>
      <c r="D1520" t="s">
        <v>4119</v>
      </c>
      <c r="E1520" t="s">
        <v>5532</v>
      </c>
      <c r="F1520" t="s">
        <v>9285</v>
      </c>
      <c r="G1520" t="s">
        <v>9286</v>
      </c>
      <c r="H1520" t="s">
        <v>5474</v>
      </c>
      <c r="I1520" t="s">
        <v>9287</v>
      </c>
      <c r="J1520" t="s">
        <v>5476</v>
      </c>
      <c r="K1520" t="s">
        <v>5471</v>
      </c>
      <c r="L1520" t="s">
        <v>5471</v>
      </c>
      <c r="M1520" t="s">
        <v>5471</v>
      </c>
    </row>
    <row r="1521" spans="1:13" x14ac:dyDescent="0.3">
      <c r="A1521" t="s">
        <v>3388</v>
      </c>
      <c r="B1521" t="s">
        <v>9288</v>
      </c>
      <c r="C1521" t="s">
        <v>5470</v>
      </c>
      <c r="D1521" t="s">
        <v>4119</v>
      </c>
      <c r="E1521" t="s">
        <v>5471</v>
      </c>
      <c r="F1521" t="s">
        <v>9289</v>
      </c>
      <c r="G1521" t="s">
        <v>9290</v>
      </c>
      <c r="H1521" t="s">
        <v>5474</v>
      </c>
      <c r="I1521" t="s">
        <v>9291</v>
      </c>
      <c r="J1521" t="s">
        <v>5476</v>
      </c>
      <c r="K1521" t="s">
        <v>5471</v>
      </c>
      <c r="L1521" t="s">
        <v>5471</v>
      </c>
      <c r="M1521" t="s">
        <v>5471</v>
      </c>
    </row>
    <row r="1522" spans="1:13" x14ac:dyDescent="0.3">
      <c r="A1522" t="s">
        <v>3388</v>
      </c>
      <c r="B1522" t="s">
        <v>9292</v>
      </c>
      <c r="C1522" t="s">
        <v>5470</v>
      </c>
      <c r="D1522" t="s">
        <v>4119</v>
      </c>
      <c r="E1522" t="s">
        <v>5471</v>
      </c>
      <c r="F1522" t="s">
        <v>9293</v>
      </c>
      <c r="G1522" t="s">
        <v>9294</v>
      </c>
      <c r="H1522" t="s">
        <v>5474</v>
      </c>
      <c r="I1522" t="s">
        <v>9295</v>
      </c>
      <c r="J1522" t="s">
        <v>5476</v>
      </c>
      <c r="K1522" t="s">
        <v>5471</v>
      </c>
      <c r="L1522" t="s">
        <v>5471</v>
      </c>
      <c r="M1522" t="s">
        <v>5471</v>
      </c>
    </row>
    <row r="1523" spans="1:13" x14ac:dyDescent="0.3">
      <c r="A1523" t="s">
        <v>3388</v>
      </c>
      <c r="B1523" t="s">
        <v>9296</v>
      </c>
      <c r="C1523" t="s">
        <v>5470</v>
      </c>
      <c r="D1523" t="s">
        <v>4119</v>
      </c>
      <c r="E1523" t="s">
        <v>5471</v>
      </c>
      <c r="F1523" t="s">
        <v>9297</v>
      </c>
      <c r="G1523" t="s">
        <v>9298</v>
      </c>
      <c r="H1523" t="s">
        <v>5474</v>
      </c>
      <c r="I1523" t="s">
        <v>9299</v>
      </c>
      <c r="J1523" t="s">
        <v>5476</v>
      </c>
      <c r="K1523" t="s">
        <v>5471</v>
      </c>
      <c r="L1523" t="s">
        <v>5471</v>
      </c>
      <c r="M1523" t="s">
        <v>5471</v>
      </c>
    </row>
    <row r="1524" spans="1:13" x14ac:dyDescent="0.3">
      <c r="A1524" t="s">
        <v>3388</v>
      </c>
      <c r="B1524" t="s">
        <v>9300</v>
      </c>
      <c r="C1524" t="s">
        <v>5470</v>
      </c>
      <c r="D1524" t="s">
        <v>4119</v>
      </c>
      <c r="E1524" t="s">
        <v>5471</v>
      </c>
      <c r="F1524" t="s">
        <v>9301</v>
      </c>
      <c r="G1524" t="s">
        <v>9302</v>
      </c>
      <c r="H1524" t="s">
        <v>5474</v>
      </c>
      <c r="I1524" t="s">
        <v>9303</v>
      </c>
      <c r="J1524" t="s">
        <v>5476</v>
      </c>
      <c r="K1524" t="s">
        <v>5471</v>
      </c>
      <c r="L1524" t="s">
        <v>5471</v>
      </c>
      <c r="M1524" t="s">
        <v>5471</v>
      </c>
    </row>
    <row r="1525" spans="1:13" x14ac:dyDescent="0.3">
      <c r="A1525" t="s">
        <v>3388</v>
      </c>
      <c r="B1525" t="s">
        <v>9304</v>
      </c>
      <c r="C1525" t="s">
        <v>5470</v>
      </c>
      <c r="D1525" t="s">
        <v>4119</v>
      </c>
      <c r="E1525" t="s">
        <v>5471</v>
      </c>
      <c r="F1525" t="s">
        <v>9305</v>
      </c>
      <c r="G1525" t="s">
        <v>9306</v>
      </c>
      <c r="H1525" t="s">
        <v>5474</v>
      </c>
      <c r="I1525" t="s">
        <v>9307</v>
      </c>
      <c r="J1525" t="s">
        <v>5476</v>
      </c>
      <c r="K1525" t="s">
        <v>5471</v>
      </c>
      <c r="L1525" t="s">
        <v>5471</v>
      </c>
      <c r="M1525" t="s">
        <v>5471</v>
      </c>
    </row>
    <row r="1526" spans="1:13" x14ac:dyDescent="0.3">
      <c r="A1526" t="s">
        <v>3388</v>
      </c>
      <c r="B1526" t="s">
        <v>9308</v>
      </c>
      <c r="C1526" t="s">
        <v>5470</v>
      </c>
      <c r="D1526" t="s">
        <v>4119</v>
      </c>
      <c r="E1526" t="s">
        <v>5471</v>
      </c>
      <c r="F1526" t="s">
        <v>9309</v>
      </c>
      <c r="G1526" t="s">
        <v>9310</v>
      </c>
      <c r="H1526" t="s">
        <v>5474</v>
      </c>
      <c r="I1526" t="s">
        <v>9311</v>
      </c>
      <c r="J1526" t="s">
        <v>5476</v>
      </c>
      <c r="K1526" t="s">
        <v>5471</v>
      </c>
      <c r="L1526" t="s">
        <v>5471</v>
      </c>
      <c r="M1526" t="s">
        <v>5471</v>
      </c>
    </row>
    <row r="1527" spans="1:13" x14ac:dyDescent="0.3">
      <c r="A1527" t="s">
        <v>3388</v>
      </c>
      <c r="B1527" t="s">
        <v>9308</v>
      </c>
      <c r="C1527" t="s">
        <v>5470</v>
      </c>
      <c r="D1527" t="s">
        <v>4119</v>
      </c>
      <c r="E1527" t="s">
        <v>5471</v>
      </c>
      <c r="F1527" t="s">
        <v>9312</v>
      </c>
      <c r="G1527" t="s">
        <v>9310</v>
      </c>
      <c r="H1527" t="s">
        <v>5474</v>
      </c>
      <c r="I1527" t="s">
        <v>9313</v>
      </c>
      <c r="J1527" t="s">
        <v>5476</v>
      </c>
      <c r="K1527" t="s">
        <v>5471</v>
      </c>
      <c r="L1527" t="s">
        <v>5471</v>
      </c>
      <c r="M1527" t="s">
        <v>5471</v>
      </c>
    </row>
    <row r="1528" spans="1:13" x14ac:dyDescent="0.3">
      <c r="A1528" t="s">
        <v>3388</v>
      </c>
      <c r="B1528" t="s">
        <v>9308</v>
      </c>
      <c r="C1528" t="s">
        <v>5470</v>
      </c>
      <c r="D1528" t="s">
        <v>4119</v>
      </c>
      <c r="E1528" t="s">
        <v>5471</v>
      </c>
      <c r="F1528" t="s">
        <v>9314</v>
      </c>
      <c r="G1528" t="s">
        <v>9315</v>
      </c>
      <c r="H1528" t="s">
        <v>5474</v>
      </c>
      <c r="I1528" t="s">
        <v>9316</v>
      </c>
      <c r="J1528" t="s">
        <v>5476</v>
      </c>
      <c r="K1528" t="s">
        <v>5471</v>
      </c>
      <c r="L1528" t="s">
        <v>5471</v>
      </c>
      <c r="M1528" t="s">
        <v>5471</v>
      </c>
    </row>
    <row r="1529" spans="1:13" x14ac:dyDescent="0.3">
      <c r="A1529" t="s">
        <v>3388</v>
      </c>
      <c r="B1529" t="s">
        <v>7879</v>
      </c>
      <c r="C1529" t="s">
        <v>5470</v>
      </c>
      <c r="D1529" t="s">
        <v>4119</v>
      </c>
      <c r="E1529" t="s">
        <v>5471</v>
      </c>
      <c r="F1529" t="s">
        <v>9317</v>
      </c>
      <c r="G1529" t="s">
        <v>8618</v>
      </c>
      <c r="H1529" t="s">
        <v>5474</v>
      </c>
      <c r="I1529" t="s">
        <v>9318</v>
      </c>
      <c r="J1529" t="s">
        <v>5476</v>
      </c>
      <c r="K1529" t="s">
        <v>5471</v>
      </c>
      <c r="L1529" t="s">
        <v>5471</v>
      </c>
      <c r="M1529" t="s">
        <v>5471</v>
      </c>
    </row>
    <row r="1530" spans="1:13" x14ac:dyDescent="0.3">
      <c r="A1530" t="s">
        <v>3388</v>
      </c>
      <c r="B1530" t="s">
        <v>7879</v>
      </c>
      <c r="C1530" t="s">
        <v>5470</v>
      </c>
      <c r="D1530" t="s">
        <v>4119</v>
      </c>
      <c r="E1530" t="s">
        <v>5471</v>
      </c>
      <c r="F1530" t="s">
        <v>9319</v>
      </c>
      <c r="G1530" t="s">
        <v>7881</v>
      </c>
      <c r="H1530" t="s">
        <v>5474</v>
      </c>
      <c r="I1530" t="s">
        <v>9320</v>
      </c>
      <c r="J1530" t="s">
        <v>5476</v>
      </c>
      <c r="K1530" t="s">
        <v>5471</v>
      </c>
      <c r="L1530" t="s">
        <v>5471</v>
      </c>
      <c r="M1530" t="s">
        <v>5471</v>
      </c>
    </row>
    <row r="1531" spans="1:13" x14ac:dyDescent="0.3">
      <c r="A1531" t="s">
        <v>3388</v>
      </c>
      <c r="B1531" t="s">
        <v>7883</v>
      </c>
      <c r="C1531" t="s">
        <v>5470</v>
      </c>
      <c r="D1531" t="s">
        <v>4119</v>
      </c>
      <c r="E1531" t="s">
        <v>5471</v>
      </c>
      <c r="F1531" t="s">
        <v>9321</v>
      </c>
      <c r="G1531" t="s">
        <v>9298</v>
      </c>
      <c r="H1531" t="s">
        <v>5474</v>
      </c>
      <c r="I1531" t="s">
        <v>9322</v>
      </c>
      <c r="J1531" t="s">
        <v>5476</v>
      </c>
      <c r="K1531" t="s">
        <v>5471</v>
      </c>
      <c r="L1531" t="s">
        <v>5471</v>
      </c>
      <c r="M1531" t="s">
        <v>5471</v>
      </c>
    </row>
    <row r="1532" spans="1:13" x14ac:dyDescent="0.3">
      <c r="A1532" t="s">
        <v>3388</v>
      </c>
      <c r="B1532" t="s">
        <v>9292</v>
      </c>
      <c r="C1532" t="s">
        <v>5470</v>
      </c>
      <c r="D1532" t="s">
        <v>4119</v>
      </c>
      <c r="E1532" t="s">
        <v>5471</v>
      </c>
      <c r="F1532" t="s">
        <v>9323</v>
      </c>
      <c r="G1532" t="s">
        <v>9324</v>
      </c>
      <c r="H1532" t="s">
        <v>5474</v>
      </c>
      <c r="I1532" t="s">
        <v>9325</v>
      </c>
      <c r="J1532" t="s">
        <v>5476</v>
      </c>
      <c r="K1532" t="s">
        <v>5471</v>
      </c>
      <c r="L1532" t="s">
        <v>5471</v>
      </c>
      <c r="M1532" t="s">
        <v>5471</v>
      </c>
    </row>
    <row r="1533" spans="1:13" x14ac:dyDescent="0.3">
      <c r="A1533" t="s">
        <v>3388</v>
      </c>
      <c r="B1533" t="s">
        <v>9304</v>
      </c>
      <c r="C1533" t="s">
        <v>5470</v>
      </c>
      <c r="D1533" t="s">
        <v>4119</v>
      </c>
      <c r="E1533" t="s">
        <v>5471</v>
      </c>
      <c r="F1533" t="s">
        <v>9326</v>
      </c>
      <c r="G1533" t="s">
        <v>9306</v>
      </c>
      <c r="H1533" t="s">
        <v>5474</v>
      </c>
      <c r="I1533" t="s">
        <v>9327</v>
      </c>
      <c r="J1533" t="s">
        <v>5476</v>
      </c>
      <c r="K1533" t="s">
        <v>5471</v>
      </c>
      <c r="L1533" t="s">
        <v>5471</v>
      </c>
      <c r="M1533" t="s">
        <v>5471</v>
      </c>
    </row>
    <row r="1534" spans="1:13" x14ac:dyDescent="0.3">
      <c r="A1534" t="s">
        <v>3388</v>
      </c>
      <c r="B1534" t="s">
        <v>8690</v>
      </c>
      <c r="C1534" t="s">
        <v>5470</v>
      </c>
      <c r="D1534" t="s">
        <v>4119</v>
      </c>
      <c r="E1534" t="s">
        <v>5471</v>
      </c>
      <c r="F1534" t="s">
        <v>9328</v>
      </c>
      <c r="G1534" t="s">
        <v>8692</v>
      </c>
      <c r="H1534" t="s">
        <v>5474</v>
      </c>
      <c r="I1534" t="s">
        <v>9329</v>
      </c>
      <c r="J1534" t="s">
        <v>5476</v>
      </c>
      <c r="K1534" t="s">
        <v>5471</v>
      </c>
      <c r="L1534" t="s">
        <v>5471</v>
      </c>
      <c r="M1534" t="s">
        <v>5471</v>
      </c>
    </row>
    <row r="1535" spans="1:13" x14ac:dyDescent="0.3">
      <c r="A1535" t="s">
        <v>3397</v>
      </c>
      <c r="B1535" t="s">
        <v>8200</v>
      </c>
      <c r="C1535" t="s">
        <v>5487</v>
      </c>
      <c r="D1535" t="s">
        <v>4119</v>
      </c>
      <c r="E1535" t="s">
        <v>5595</v>
      </c>
      <c r="F1535" t="s">
        <v>9330</v>
      </c>
      <c r="G1535" t="s">
        <v>8205</v>
      </c>
      <c r="H1535" t="s">
        <v>5474</v>
      </c>
      <c r="I1535" t="s">
        <v>9331</v>
      </c>
      <c r="J1535" t="s">
        <v>5476</v>
      </c>
      <c r="K1535" t="s">
        <v>5471</v>
      </c>
      <c r="L1535" t="s">
        <v>5471</v>
      </c>
      <c r="M1535" t="s">
        <v>5471</v>
      </c>
    </row>
    <row r="1536" spans="1:13" x14ac:dyDescent="0.3">
      <c r="A1536" t="s">
        <v>3397</v>
      </c>
      <c r="B1536" t="s">
        <v>9332</v>
      </c>
      <c r="C1536" t="s">
        <v>5487</v>
      </c>
      <c r="D1536" t="s">
        <v>4119</v>
      </c>
      <c r="E1536" t="s">
        <v>5471</v>
      </c>
      <c r="F1536" t="s">
        <v>9333</v>
      </c>
      <c r="G1536" t="s">
        <v>9334</v>
      </c>
      <c r="H1536" t="s">
        <v>5474</v>
      </c>
      <c r="I1536" t="s">
        <v>9335</v>
      </c>
      <c r="J1536" t="s">
        <v>5476</v>
      </c>
      <c r="K1536" t="s">
        <v>5471</v>
      </c>
      <c r="L1536" t="s">
        <v>5471</v>
      </c>
      <c r="M1536" t="s">
        <v>5471</v>
      </c>
    </row>
    <row r="1537" spans="1:13" x14ac:dyDescent="0.3">
      <c r="A1537" t="s">
        <v>3397</v>
      </c>
      <c r="B1537" t="s">
        <v>9332</v>
      </c>
      <c r="C1537" t="s">
        <v>5487</v>
      </c>
      <c r="D1537" t="s">
        <v>4119</v>
      </c>
      <c r="E1537" t="s">
        <v>5471</v>
      </c>
      <c r="F1537" t="s">
        <v>8212</v>
      </c>
      <c r="G1537" t="s">
        <v>9334</v>
      </c>
      <c r="H1537" t="s">
        <v>5474</v>
      </c>
      <c r="I1537" t="s">
        <v>9336</v>
      </c>
      <c r="J1537" t="s">
        <v>5476</v>
      </c>
      <c r="K1537" t="s">
        <v>5471</v>
      </c>
      <c r="L1537" t="s">
        <v>5471</v>
      </c>
      <c r="M1537" t="s">
        <v>5471</v>
      </c>
    </row>
    <row r="1538" spans="1:13" x14ac:dyDescent="0.3">
      <c r="A1538" t="s">
        <v>3397</v>
      </c>
      <c r="B1538" t="s">
        <v>9332</v>
      </c>
      <c r="C1538" t="s">
        <v>5487</v>
      </c>
      <c r="D1538" t="s">
        <v>4119</v>
      </c>
      <c r="E1538" t="s">
        <v>5471</v>
      </c>
      <c r="F1538" t="s">
        <v>9337</v>
      </c>
      <c r="G1538" t="s">
        <v>9334</v>
      </c>
      <c r="H1538" t="s">
        <v>5474</v>
      </c>
      <c r="I1538" t="s">
        <v>9338</v>
      </c>
      <c r="J1538" t="s">
        <v>5476</v>
      </c>
      <c r="K1538" t="s">
        <v>5471</v>
      </c>
      <c r="L1538" t="s">
        <v>5471</v>
      </c>
      <c r="M1538" t="s">
        <v>5471</v>
      </c>
    </row>
    <row r="1539" spans="1:13" x14ac:dyDescent="0.3">
      <c r="A1539" t="s">
        <v>3397</v>
      </c>
      <c r="B1539" t="s">
        <v>9332</v>
      </c>
      <c r="C1539" t="s">
        <v>5487</v>
      </c>
      <c r="D1539" t="s">
        <v>4119</v>
      </c>
      <c r="E1539" t="s">
        <v>5471</v>
      </c>
      <c r="F1539" t="s">
        <v>9339</v>
      </c>
      <c r="G1539" t="s">
        <v>9340</v>
      </c>
      <c r="H1539" t="s">
        <v>5474</v>
      </c>
      <c r="I1539" t="s">
        <v>9341</v>
      </c>
      <c r="J1539" t="s">
        <v>5476</v>
      </c>
      <c r="K1539" t="s">
        <v>5471</v>
      </c>
      <c r="L1539" t="s">
        <v>5471</v>
      </c>
      <c r="M1539" t="s">
        <v>5471</v>
      </c>
    </row>
    <row r="1540" spans="1:13" x14ac:dyDescent="0.3">
      <c r="A1540" t="s">
        <v>3397</v>
      </c>
      <c r="B1540" t="s">
        <v>9332</v>
      </c>
      <c r="C1540" t="s">
        <v>5487</v>
      </c>
      <c r="D1540" t="s">
        <v>4119</v>
      </c>
      <c r="E1540" t="s">
        <v>5471</v>
      </c>
      <c r="F1540" t="s">
        <v>8212</v>
      </c>
      <c r="G1540" t="s">
        <v>9342</v>
      </c>
      <c r="H1540" t="s">
        <v>5474</v>
      </c>
      <c r="I1540" t="s">
        <v>9343</v>
      </c>
      <c r="J1540" t="s">
        <v>5476</v>
      </c>
      <c r="K1540" t="s">
        <v>5471</v>
      </c>
      <c r="L1540" t="s">
        <v>5471</v>
      </c>
      <c r="M1540" t="s">
        <v>5471</v>
      </c>
    </row>
    <row r="1541" spans="1:13" x14ac:dyDescent="0.3">
      <c r="A1541" t="s">
        <v>3397</v>
      </c>
      <c r="B1541" t="s">
        <v>9332</v>
      </c>
      <c r="C1541" t="s">
        <v>5487</v>
      </c>
      <c r="D1541" t="s">
        <v>4119</v>
      </c>
      <c r="E1541" t="s">
        <v>5471</v>
      </c>
      <c r="F1541" t="s">
        <v>9344</v>
      </c>
      <c r="G1541" t="s">
        <v>9345</v>
      </c>
      <c r="H1541" t="s">
        <v>5474</v>
      </c>
      <c r="I1541" t="s">
        <v>9346</v>
      </c>
      <c r="J1541" t="s">
        <v>5476</v>
      </c>
      <c r="K1541" t="s">
        <v>5471</v>
      </c>
      <c r="L1541" t="s">
        <v>5471</v>
      </c>
      <c r="M1541" t="s">
        <v>5471</v>
      </c>
    </row>
    <row r="1542" spans="1:13" x14ac:dyDescent="0.3">
      <c r="A1542" t="s">
        <v>3397</v>
      </c>
      <c r="B1542" t="s">
        <v>9332</v>
      </c>
      <c r="C1542" t="s">
        <v>5487</v>
      </c>
      <c r="D1542" t="s">
        <v>4119</v>
      </c>
      <c r="E1542" t="s">
        <v>5471</v>
      </c>
      <c r="F1542" t="s">
        <v>9333</v>
      </c>
      <c r="G1542" t="s">
        <v>9342</v>
      </c>
      <c r="H1542" t="s">
        <v>5474</v>
      </c>
      <c r="I1542" t="s">
        <v>9347</v>
      </c>
      <c r="J1542" t="s">
        <v>5476</v>
      </c>
      <c r="K1542" t="s">
        <v>5471</v>
      </c>
      <c r="L1542" t="s">
        <v>5471</v>
      </c>
      <c r="M1542" t="s">
        <v>5471</v>
      </c>
    </row>
    <row r="1543" spans="1:13" x14ac:dyDescent="0.3">
      <c r="A1543" t="s">
        <v>3397</v>
      </c>
      <c r="B1543" t="s">
        <v>9332</v>
      </c>
      <c r="C1543" t="s">
        <v>5487</v>
      </c>
      <c r="D1543" t="s">
        <v>4119</v>
      </c>
      <c r="E1543" t="s">
        <v>5471</v>
      </c>
      <c r="F1543" t="s">
        <v>9348</v>
      </c>
      <c r="G1543" t="s">
        <v>9342</v>
      </c>
      <c r="H1543" t="s">
        <v>5474</v>
      </c>
      <c r="I1543" t="s">
        <v>9349</v>
      </c>
      <c r="J1543" t="s">
        <v>5476</v>
      </c>
      <c r="K1543" t="s">
        <v>5471</v>
      </c>
      <c r="L1543" t="s">
        <v>5471</v>
      </c>
      <c r="M1543" t="s">
        <v>5471</v>
      </c>
    </row>
    <row r="1544" spans="1:13" x14ac:dyDescent="0.3">
      <c r="A1544" t="s">
        <v>3397</v>
      </c>
      <c r="B1544" t="s">
        <v>9332</v>
      </c>
      <c r="C1544" t="s">
        <v>5487</v>
      </c>
      <c r="D1544" t="s">
        <v>4119</v>
      </c>
      <c r="E1544" t="s">
        <v>5471</v>
      </c>
      <c r="F1544" t="s">
        <v>9350</v>
      </c>
      <c r="G1544" t="s">
        <v>9340</v>
      </c>
      <c r="H1544" t="s">
        <v>5474</v>
      </c>
      <c r="I1544" t="s">
        <v>9351</v>
      </c>
      <c r="J1544" t="s">
        <v>5476</v>
      </c>
      <c r="K1544" t="s">
        <v>5471</v>
      </c>
      <c r="L1544" t="s">
        <v>5471</v>
      </c>
      <c r="M1544" t="s">
        <v>5471</v>
      </c>
    </row>
    <row r="1545" spans="1:13" x14ac:dyDescent="0.3">
      <c r="A1545" t="s">
        <v>3397</v>
      </c>
      <c r="B1545" t="s">
        <v>9332</v>
      </c>
      <c r="C1545" t="s">
        <v>5487</v>
      </c>
      <c r="D1545" t="s">
        <v>4119</v>
      </c>
      <c r="E1545" t="s">
        <v>5471</v>
      </c>
      <c r="F1545" t="s">
        <v>9352</v>
      </c>
      <c r="G1545" t="s">
        <v>9340</v>
      </c>
      <c r="H1545" t="s">
        <v>5474</v>
      </c>
      <c r="I1545" t="s">
        <v>9353</v>
      </c>
      <c r="J1545" t="s">
        <v>5476</v>
      </c>
      <c r="K1545" t="s">
        <v>5471</v>
      </c>
      <c r="L1545" t="s">
        <v>5471</v>
      </c>
      <c r="M1545" t="s">
        <v>5471</v>
      </c>
    </row>
    <row r="1546" spans="1:13" x14ac:dyDescent="0.3">
      <c r="A1546" t="s">
        <v>3397</v>
      </c>
      <c r="B1546" t="s">
        <v>9332</v>
      </c>
      <c r="C1546" t="s">
        <v>5487</v>
      </c>
      <c r="D1546" t="s">
        <v>4119</v>
      </c>
      <c r="E1546" t="s">
        <v>5471</v>
      </c>
      <c r="F1546" t="s">
        <v>9354</v>
      </c>
      <c r="G1546" t="s">
        <v>9340</v>
      </c>
      <c r="H1546" t="s">
        <v>5474</v>
      </c>
      <c r="I1546" t="s">
        <v>9355</v>
      </c>
      <c r="J1546" t="s">
        <v>5476</v>
      </c>
      <c r="K1546" t="s">
        <v>5471</v>
      </c>
      <c r="L1546" t="s">
        <v>5471</v>
      </c>
      <c r="M1546" t="s">
        <v>5471</v>
      </c>
    </row>
    <row r="1547" spans="1:13" x14ac:dyDescent="0.3">
      <c r="A1547" t="s">
        <v>3397</v>
      </c>
      <c r="B1547" t="s">
        <v>9332</v>
      </c>
      <c r="C1547" t="s">
        <v>5487</v>
      </c>
      <c r="D1547" t="s">
        <v>4119</v>
      </c>
      <c r="E1547" t="s">
        <v>5471</v>
      </c>
      <c r="F1547" t="s">
        <v>9356</v>
      </c>
      <c r="G1547" t="s">
        <v>9340</v>
      </c>
      <c r="H1547" t="s">
        <v>5474</v>
      </c>
      <c r="I1547" t="s">
        <v>9357</v>
      </c>
      <c r="J1547" t="s">
        <v>5476</v>
      </c>
      <c r="K1547" t="s">
        <v>5471</v>
      </c>
      <c r="L1547" t="s">
        <v>5471</v>
      </c>
      <c r="M1547" t="s">
        <v>5471</v>
      </c>
    </row>
    <row r="1548" spans="1:13" x14ac:dyDescent="0.3">
      <c r="A1548" t="s">
        <v>3388</v>
      </c>
      <c r="B1548" t="s">
        <v>7879</v>
      </c>
      <c r="C1548" t="s">
        <v>5470</v>
      </c>
      <c r="D1548" t="s">
        <v>4119</v>
      </c>
      <c r="E1548" t="s">
        <v>5471</v>
      </c>
      <c r="F1548" t="s">
        <v>9358</v>
      </c>
      <c r="G1548" t="s">
        <v>8618</v>
      </c>
      <c r="H1548" t="s">
        <v>5474</v>
      </c>
      <c r="I1548" t="s">
        <v>9359</v>
      </c>
      <c r="J1548" t="s">
        <v>5476</v>
      </c>
      <c r="K1548" t="s">
        <v>5471</v>
      </c>
      <c r="L1548" t="s">
        <v>5471</v>
      </c>
      <c r="M1548" t="s">
        <v>5471</v>
      </c>
    </row>
    <row r="1549" spans="1:13" x14ac:dyDescent="0.3">
      <c r="A1549" t="s">
        <v>3388</v>
      </c>
      <c r="B1549" t="s">
        <v>7879</v>
      </c>
      <c r="C1549" t="s">
        <v>5470</v>
      </c>
      <c r="D1549" t="s">
        <v>4119</v>
      </c>
      <c r="E1549" t="s">
        <v>5471</v>
      </c>
      <c r="F1549" t="s">
        <v>9360</v>
      </c>
      <c r="G1549" t="s">
        <v>8618</v>
      </c>
      <c r="H1549" t="s">
        <v>5474</v>
      </c>
      <c r="I1549" t="s">
        <v>9361</v>
      </c>
      <c r="J1549" t="s">
        <v>5476</v>
      </c>
      <c r="K1549" t="s">
        <v>5471</v>
      </c>
      <c r="L1549" t="s">
        <v>5471</v>
      </c>
      <c r="M1549" t="s">
        <v>5471</v>
      </c>
    </row>
    <row r="1550" spans="1:13" x14ac:dyDescent="0.3">
      <c r="A1550" t="s">
        <v>3388</v>
      </c>
      <c r="B1550" t="s">
        <v>5531</v>
      </c>
      <c r="C1550" t="s">
        <v>5470</v>
      </c>
      <c r="D1550" t="s">
        <v>4119</v>
      </c>
      <c r="E1550" t="s">
        <v>5532</v>
      </c>
      <c r="F1550" t="s">
        <v>9362</v>
      </c>
      <c r="G1550" t="s">
        <v>8575</v>
      </c>
      <c r="H1550" t="s">
        <v>5474</v>
      </c>
      <c r="I1550" t="s">
        <v>9363</v>
      </c>
      <c r="J1550" t="s">
        <v>5484</v>
      </c>
      <c r="K1550" t="s">
        <v>5471</v>
      </c>
      <c r="L1550" t="s">
        <v>5471</v>
      </c>
      <c r="M1550" t="s">
        <v>5471</v>
      </c>
    </row>
    <row r="1551" spans="1:13" x14ac:dyDescent="0.3">
      <c r="A1551" t="s">
        <v>3388</v>
      </c>
      <c r="B1551" t="s">
        <v>5531</v>
      </c>
      <c r="C1551" t="s">
        <v>5470</v>
      </c>
      <c r="D1551" t="s">
        <v>4119</v>
      </c>
      <c r="E1551" t="s">
        <v>5532</v>
      </c>
      <c r="F1551" t="s">
        <v>9364</v>
      </c>
      <c r="G1551" t="s">
        <v>8575</v>
      </c>
      <c r="H1551" t="s">
        <v>5474</v>
      </c>
      <c r="I1551" t="s">
        <v>9365</v>
      </c>
      <c r="J1551" t="s">
        <v>5484</v>
      </c>
      <c r="K1551" t="s">
        <v>5471</v>
      </c>
      <c r="L1551" t="s">
        <v>5471</v>
      </c>
      <c r="M1551" t="s">
        <v>5471</v>
      </c>
    </row>
    <row r="1552" spans="1:13" x14ac:dyDescent="0.3">
      <c r="A1552" t="s">
        <v>3388</v>
      </c>
      <c r="B1552" t="s">
        <v>5531</v>
      </c>
      <c r="C1552" t="s">
        <v>5470</v>
      </c>
      <c r="D1552" t="s">
        <v>4119</v>
      </c>
      <c r="E1552" t="s">
        <v>5532</v>
      </c>
      <c r="F1552" t="s">
        <v>9366</v>
      </c>
      <c r="G1552" t="s">
        <v>8575</v>
      </c>
      <c r="H1552" t="s">
        <v>5474</v>
      </c>
      <c r="I1552" t="s">
        <v>9367</v>
      </c>
      <c r="J1552" t="s">
        <v>5484</v>
      </c>
      <c r="K1552" t="s">
        <v>5471</v>
      </c>
      <c r="L1552" t="s">
        <v>5471</v>
      </c>
      <c r="M1552" t="s">
        <v>5471</v>
      </c>
    </row>
    <row r="1553" spans="1:13" x14ac:dyDescent="0.3">
      <c r="A1553" t="s">
        <v>3388</v>
      </c>
      <c r="B1553" t="s">
        <v>5531</v>
      </c>
      <c r="C1553" t="s">
        <v>5470</v>
      </c>
      <c r="D1553" t="s">
        <v>4119</v>
      </c>
      <c r="E1553" t="s">
        <v>5532</v>
      </c>
      <c r="F1553" t="s">
        <v>9368</v>
      </c>
      <c r="G1553" t="s">
        <v>8585</v>
      </c>
      <c r="H1553" t="s">
        <v>5474</v>
      </c>
      <c r="I1553" t="s">
        <v>9369</v>
      </c>
      <c r="J1553" t="s">
        <v>5484</v>
      </c>
      <c r="K1553" t="s">
        <v>5471</v>
      </c>
      <c r="L1553" t="s">
        <v>5471</v>
      </c>
      <c r="M1553" t="s">
        <v>5471</v>
      </c>
    </row>
    <row r="1554" spans="1:13" x14ac:dyDescent="0.3">
      <c r="A1554" t="s">
        <v>3388</v>
      </c>
      <c r="B1554" t="s">
        <v>5531</v>
      </c>
      <c r="C1554" t="s">
        <v>5470</v>
      </c>
      <c r="D1554" t="s">
        <v>4119</v>
      </c>
      <c r="E1554" t="s">
        <v>5532</v>
      </c>
      <c r="F1554" t="s">
        <v>9370</v>
      </c>
      <c r="G1554" t="s">
        <v>8585</v>
      </c>
      <c r="H1554" t="s">
        <v>5474</v>
      </c>
      <c r="I1554" t="s">
        <v>9371</v>
      </c>
      <c r="J1554" t="s">
        <v>5484</v>
      </c>
      <c r="K1554" t="s">
        <v>5471</v>
      </c>
      <c r="L1554" t="s">
        <v>5471</v>
      </c>
      <c r="M1554" t="s">
        <v>5471</v>
      </c>
    </row>
    <row r="1555" spans="1:13" x14ac:dyDescent="0.3">
      <c r="A1555" t="s">
        <v>3388</v>
      </c>
      <c r="B1555" t="s">
        <v>5531</v>
      </c>
      <c r="C1555" t="s">
        <v>5470</v>
      </c>
      <c r="D1555" t="s">
        <v>4119</v>
      </c>
      <c r="E1555" t="s">
        <v>5532</v>
      </c>
      <c r="F1555" t="s">
        <v>9372</v>
      </c>
      <c r="G1555" t="s">
        <v>8585</v>
      </c>
      <c r="H1555" t="s">
        <v>5474</v>
      </c>
      <c r="I1555" t="s">
        <v>9373</v>
      </c>
      <c r="J1555" t="s">
        <v>5484</v>
      </c>
      <c r="K1555" t="s">
        <v>5471</v>
      </c>
      <c r="L1555" t="s">
        <v>5471</v>
      </c>
      <c r="M1555" t="s">
        <v>5471</v>
      </c>
    </row>
    <row r="1556" spans="1:13" x14ac:dyDescent="0.3">
      <c r="A1556" t="s">
        <v>3388</v>
      </c>
      <c r="B1556" t="s">
        <v>5531</v>
      </c>
      <c r="C1556" t="s">
        <v>5470</v>
      </c>
      <c r="D1556" t="s">
        <v>4119</v>
      </c>
      <c r="E1556" t="s">
        <v>5532</v>
      </c>
      <c r="F1556" t="s">
        <v>9374</v>
      </c>
      <c r="G1556" t="s">
        <v>8585</v>
      </c>
      <c r="H1556" t="s">
        <v>5474</v>
      </c>
      <c r="I1556" t="s">
        <v>9375</v>
      </c>
      <c r="J1556" t="s">
        <v>5484</v>
      </c>
      <c r="K1556" t="s">
        <v>5471</v>
      </c>
      <c r="L1556" t="s">
        <v>5471</v>
      </c>
      <c r="M1556" t="s">
        <v>5471</v>
      </c>
    </row>
    <row r="1557" spans="1:13" x14ac:dyDescent="0.3">
      <c r="A1557" t="s">
        <v>3388</v>
      </c>
      <c r="B1557" t="s">
        <v>5531</v>
      </c>
      <c r="C1557" t="s">
        <v>5470</v>
      </c>
      <c r="D1557" t="s">
        <v>4119</v>
      </c>
      <c r="E1557" t="s">
        <v>5532</v>
      </c>
      <c r="F1557" t="s">
        <v>9376</v>
      </c>
      <c r="G1557" t="s">
        <v>8585</v>
      </c>
      <c r="H1557" t="s">
        <v>5474</v>
      </c>
      <c r="I1557" t="s">
        <v>9377</v>
      </c>
      <c r="J1557" t="s">
        <v>5484</v>
      </c>
      <c r="K1557" t="s">
        <v>5471</v>
      </c>
      <c r="L1557" t="s">
        <v>5471</v>
      </c>
      <c r="M1557" t="s">
        <v>5471</v>
      </c>
    </row>
    <row r="1558" spans="1:13" x14ac:dyDescent="0.3">
      <c r="A1558" t="s">
        <v>3388</v>
      </c>
      <c r="B1558" t="s">
        <v>5531</v>
      </c>
      <c r="C1558" t="s">
        <v>5470</v>
      </c>
      <c r="D1558" t="s">
        <v>4119</v>
      </c>
      <c r="E1558" t="s">
        <v>5532</v>
      </c>
      <c r="F1558" t="s">
        <v>9378</v>
      </c>
      <c r="G1558" t="s">
        <v>8585</v>
      </c>
      <c r="H1558" t="s">
        <v>5474</v>
      </c>
      <c r="I1558" t="s">
        <v>9379</v>
      </c>
      <c r="J1558" t="s">
        <v>5484</v>
      </c>
      <c r="K1558" t="s">
        <v>5471</v>
      </c>
      <c r="L1558" t="s">
        <v>5471</v>
      </c>
      <c r="M1558" t="s">
        <v>5471</v>
      </c>
    </row>
    <row r="1559" spans="1:13" x14ac:dyDescent="0.3">
      <c r="A1559" t="s">
        <v>3388</v>
      </c>
      <c r="B1559" t="s">
        <v>5531</v>
      </c>
      <c r="C1559" t="s">
        <v>5470</v>
      </c>
      <c r="D1559" t="s">
        <v>4119</v>
      </c>
      <c r="E1559" t="s">
        <v>5532</v>
      </c>
      <c r="F1559" t="s">
        <v>9380</v>
      </c>
      <c r="G1559" t="s">
        <v>9381</v>
      </c>
      <c r="H1559" t="s">
        <v>5474</v>
      </c>
      <c r="I1559" t="s">
        <v>9382</v>
      </c>
      <c r="J1559" t="s">
        <v>5484</v>
      </c>
      <c r="K1559" t="s">
        <v>5471</v>
      </c>
      <c r="L1559" t="s">
        <v>5471</v>
      </c>
      <c r="M1559" t="s">
        <v>5471</v>
      </c>
    </row>
    <row r="1560" spans="1:13" x14ac:dyDescent="0.3">
      <c r="A1560" t="s">
        <v>3388</v>
      </c>
      <c r="B1560" t="s">
        <v>5531</v>
      </c>
      <c r="C1560" t="s">
        <v>5470</v>
      </c>
      <c r="D1560" t="s">
        <v>4119</v>
      </c>
      <c r="E1560" t="s">
        <v>5532</v>
      </c>
      <c r="F1560" t="s">
        <v>9383</v>
      </c>
      <c r="G1560" t="s">
        <v>9381</v>
      </c>
      <c r="H1560" t="s">
        <v>5474</v>
      </c>
      <c r="I1560" t="s">
        <v>9384</v>
      </c>
      <c r="J1560" t="s">
        <v>5484</v>
      </c>
      <c r="K1560" t="s">
        <v>5471</v>
      </c>
      <c r="L1560" t="s">
        <v>5471</v>
      </c>
      <c r="M1560" t="s">
        <v>5471</v>
      </c>
    </row>
    <row r="1561" spans="1:13" x14ac:dyDescent="0.3">
      <c r="A1561" t="s">
        <v>3388</v>
      </c>
      <c r="B1561" t="s">
        <v>5531</v>
      </c>
      <c r="C1561" t="s">
        <v>5470</v>
      </c>
      <c r="D1561" t="s">
        <v>4119</v>
      </c>
      <c r="E1561" t="s">
        <v>5532</v>
      </c>
      <c r="F1561" t="s">
        <v>9385</v>
      </c>
      <c r="G1561" t="s">
        <v>9381</v>
      </c>
      <c r="H1561" t="s">
        <v>5474</v>
      </c>
      <c r="I1561" t="s">
        <v>9386</v>
      </c>
      <c r="J1561" t="s">
        <v>5484</v>
      </c>
      <c r="K1561" t="s">
        <v>5471</v>
      </c>
      <c r="L1561" t="s">
        <v>5471</v>
      </c>
      <c r="M1561" t="s">
        <v>5471</v>
      </c>
    </row>
    <row r="1562" spans="1:13" x14ac:dyDescent="0.3">
      <c r="A1562" t="s">
        <v>3388</v>
      </c>
      <c r="B1562" t="s">
        <v>5531</v>
      </c>
      <c r="C1562" t="s">
        <v>5470</v>
      </c>
      <c r="D1562" t="s">
        <v>4119</v>
      </c>
      <c r="E1562" t="s">
        <v>5532</v>
      </c>
      <c r="F1562" t="s">
        <v>9387</v>
      </c>
      <c r="G1562" t="s">
        <v>9381</v>
      </c>
      <c r="H1562" t="s">
        <v>5474</v>
      </c>
      <c r="I1562" t="s">
        <v>9388</v>
      </c>
      <c r="J1562" t="s">
        <v>5484</v>
      </c>
      <c r="K1562" t="s">
        <v>5471</v>
      </c>
      <c r="L1562" t="s">
        <v>5471</v>
      </c>
      <c r="M1562" t="s">
        <v>5471</v>
      </c>
    </row>
    <row r="1563" spans="1:13" x14ac:dyDescent="0.3">
      <c r="A1563" t="s">
        <v>3388</v>
      </c>
      <c r="B1563" t="s">
        <v>5531</v>
      </c>
      <c r="C1563" t="s">
        <v>5470</v>
      </c>
      <c r="D1563" t="s">
        <v>4119</v>
      </c>
      <c r="E1563" t="s">
        <v>5532</v>
      </c>
      <c r="F1563" t="s">
        <v>9389</v>
      </c>
      <c r="G1563" t="s">
        <v>9381</v>
      </c>
      <c r="H1563" t="s">
        <v>5474</v>
      </c>
      <c r="I1563" t="s">
        <v>9390</v>
      </c>
      <c r="J1563" t="s">
        <v>5484</v>
      </c>
      <c r="K1563" t="s">
        <v>5471</v>
      </c>
      <c r="L1563" t="s">
        <v>5471</v>
      </c>
      <c r="M1563" t="s">
        <v>5471</v>
      </c>
    </row>
    <row r="1564" spans="1:13" x14ac:dyDescent="0.3">
      <c r="A1564" t="s">
        <v>3388</v>
      </c>
      <c r="B1564" t="s">
        <v>5531</v>
      </c>
      <c r="C1564" t="s">
        <v>5470</v>
      </c>
      <c r="D1564" t="s">
        <v>4119</v>
      </c>
      <c r="E1564" t="s">
        <v>5532</v>
      </c>
      <c r="F1564" t="s">
        <v>9391</v>
      </c>
      <c r="G1564" t="s">
        <v>9381</v>
      </c>
      <c r="H1564" t="s">
        <v>5474</v>
      </c>
      <c r="I1564" t="s">
        <v>9392</v>
      </c>
      <c r="J1564" t="s">
        <v>5484</v>
      </c>
      <c r="K1564" t="s">
        <v>5471</v>
      </c>
      <c r="L1564" t="s">
        <v>5471</v>
      </c>
      <c r="M1564" t="s">
        <v>5471</v>
      </c>
    </row>
    <row r="1565" spans="1:13" x14ac:dyDescent="0.3">
      <c r="A1565" t="s">
        <v>3388</v>
      </c>
      <c r="B1565" t="s">
        <v>5531</v>
      </c>
      <c r="C1565" t="s">
        <v>5470</v>
      </c>
      <c r="D1565" t="s">
        <v>4119</v>
      </c>
      <c r="E1565" t="s">
        <v>5532</v>
      </c>
      <c r="F1565" t="s">
        <v>9393</v>
      </c>
      <c r="G1565" t="s">
        <v>9381</v>
      </c>
      <c r="H1565" t="s">
        <v>5474</v>
      </c>
      <c r="I1565" t="s">
        <v>9394</v>
      </c>
      <c r="J1565" t="s">
        <v>5484</v>
      </c>
      <c r="K1565" t="s">
        <v>5471</v>
      </c>
      <c r="L1565" t="s">
        <v>5471</v>
      </c>
      <c r="M1565" t="s">
        <v>5471</v>
      </c>
    </row>
    <row r="1566" spans="1:13" x14ac:dyDescent="0.3">
      <c r="A1566" t="s">
        <v>3388</v>
      </c>
      <c r="B1566" t="s">
        <v>5531</v>
      </c>
      <c r="C1566" t="s">
        <v>5470</v>
      </c>
      <c r="D1566" t="s">
        <v>4119</v>
      </c>
      <c r="E1566" t="s">
        <v>5532</v>
      </c>
      <c r="F1566" t="s">
        <v>9395</v>
      </c>
      <c r="G1566" t="s">
        <v>9381</v>
      </c>
      <c r="H1566" t="s">
        <v>5474</v>
      </c>
      <c r="I1566" t="s">
        <v>9396</v>
      </c>
      <c r="J1566" t="s">
        <v>5484</v>
      </c>
      <c r="K1566" t="s">
        <v>5471</v>
      </c>
      <c r="L1566" t="s">
        <v>5471</v>
      </c>
      <c r="M1566" t="s">
        <v>5471</v>
      </c>
    </row>
    <row r="1567" spans="1:13" x14ac:dyDescent="0.3">
      <c r="A1567" t="s">
        <v>3388</v>
      </c>
      <c r="B1567" t="s">
        <v>5531</v>
      </c>
      <c r="C1567" t="s">
        <v>5470</v>
      </c>
      <c r="D1567" t="s">
        <v>4119</v>
      </c>
      <c r="E1567" t="s">
        <v>5532</v>
      </c>
      <c r="F1567" t="s">
        <v>9397</v>
      </c>
      <c r="G1567" t="s">
        <v>9381</v>
      </c>
      <c r="H1567" t="s">
        <v>5474</v>
      </c>
      <c r="I1567" t="s">
        <v>9398</v>
      </c>
      <c r="J1567" t="s">
        <v>5484</v>
      </c>
      <c r="K1567" t="s">
        <v>5471</v>
      </c>
      <c r="L1567" t="s">
        <v>5471</v>
      </c>
      <c r="M1567" t="s">
        <v>5471</v>
      </c>
    </row>
    <row r="1568" spans="1:13" x14ac:dyDescent="0.3">
      <c r="A1568" t="s">
        <v>3388</v>
      </c>
      <c r="B1568" t="s">
        <v>5531</v>
      </c>
      <c r="C1568" t="s">
        <v>5470</v>
      </c>
      <c r="D1568" t="s">
        <v>4119</v>
      </c>
      <c r="E1568" t="s">
        <v>5532</v>
      </c>
      <c r="F1568" t="s">
        <v>9399</v>
      </c>
      <c r="G1568" t="s">
        <v>9400</v>
      </c>
      <c r="H1568" t="s">
        <v>5474</v>
      </c>
      <c r="I1568" t="s">
        <v>9401</v>
      </c>
      <c r="J1568" t="s">
        <v>5484</v>
      </c>
      <c r="K1568" t="s">
        <v>5471</v>
      </c>
      <c r="L1568" t="s">
        <v>5471</v>
      </c>
      <c r="M1568" t="s">
        <v>5471</v>
      </c>
    </row>
    <row r="1569" spans="1:13" x14ac:dyDescent="0.3">
      <c r="A1569" t="s">
        <v>3388</v>
      </c>
      <c r="B1569" t="s">
        <v>5531</v>
      </c>
      <c r="C1569" t="s">
        <v>5470</v>
      </c>
      <c r="D1569" t="s">
        <v>4119</v>
      </c>
      <c r="E1569" t="s">
        <v>5532</v>
      </c>
      <c r="F1569" t="s">
        <v>9402</v>
      </c>
      <c r="G1569" t="s">
        <v>9400</v>
      </c>
      <c r="H1569" t="s">
        <v>5474</v>
      </c>
      <c r="I1569" t="s">
        <v>9403</v>
      </c>
      <c r="J1569" t="s">
        <v>5484</v>
      </c>
      <c r="K1569" t="s">
        <v>5471</v>
      </c>
      <c r="L1569" t="s">
        <v>5471</v>
      </c>
      <c r="M1569" t="s">
        <v>5471</v>
      </c>
    </row>
    <row r="1570" spans="1:13" x14ac:dyDescent="0.3">
      <c r="A1570" t="s">
        <v>3388</v>
      </c>
      <c r="B1570" t="s">
        <v>5531</v>
      </c>
      <c r="C1570" t="s">
        <v>5470</v>
      </c>
      <c r="D1570" t="s">
        <v>4119</v>
      </c>
      <c r="E1570" t="s">
        <v>5532</v>
      </c>
      <c r="F1570" t="s">
        <v>9404</v>
      </c>
      <c r="G1570" t="s">
        <v>8853</v>
      </c>
      <c r="H1570" t="s">
        <v>5474</v>
      </c>
      <c r="I1570" t="s">
        <v>9405</v>
      </c>
      <c r="J1570" t="s">
        <v>5484</v>
      </c>
      <c r="K1570" t="s">
        <v>5471</v>
      </c>
      <c r="L1570" t="s">
        <v>5471</v>
      </c>
      <c r="M1570" t="s">
        <v>5471</v>
      </c>
    </row>
    <row r="1571" spans="1:13" x14ac:dyDescent="0.3">
      <c r="A1571" t="s">
        <v>3388</v>
      </c>
      <c r="B1571" t="s">
        <v>5531</v>
      </c>
      <c r="C1571" t="s">
        <v>5470</v>
      </c>
      <c r="D1571" t="s">
        <v>4119</v>
      </c>
      <c r="E1571" t="s">
        <v>5532</v>
      </c>
      <c r="F1571" t="s">
        <v>9406</v>
      </c>
      <c r="G1571" t="s">
        <v>8853</v>
      </c>
      <c r="H1571" t="s">
        <v>5474</v>
      </c>
      <c r="I1571" t="s">
        <v>9407</v>
      </c>
      <c r="J1571" t="s">
        <v>5484</v>
      </c>
      <c r="K1571" t="s">
        <v>5471</v>
      </c>
      <c r="L1571" t="s">
        <v>5471</v>
      </c>
      <c r="M1571" t="s">
        <v>5471</v>
      </c>
    </row>
    <row r="1572" spans="1:13" x14ac:dyDescent="0.3">
      <c r="A1572" t="s">
        <v>3388</v>
      </c>
      <c r="B1572" t="s">
        <v>5531</v>
      </c>
      <c r="C1572" t="s">
        <v>5470</v>
      </c>
      <c r="D1572" t="s">
        <v>4119</v>
      </c>
      <c r="E1572" t="s">
        <v>5532</v>
      </c>
      <c r="F1572" t="s">
        <v>9408</v>
      </c>
      <c r="G1572" t="s">
        <v>8853</v>
      </c>
      <c r="H1572" t="s">
        <v>5474</v>
      </c>
      <c r="I1572" t="s">
        <v>9409</v>
      </c>
      <c r="J1572" t="s">
        <v>5484</v>
      </c>
      <c r="K1572" t="s">
        <v>5471</v>
      </c>
      <c r="L1572" t="s">
        <v>5471</v>
      </c>
      <c r="M1572" t="s">
        <v>5471</v>
      </c>
    </row>
    <row r="1573" spans="1:13" x14ac:dyDescent="0.3">
      <c r="A1573" t="s">
        <v>3388</v>
      </c>
      <c r="B1573" t="s">
        <v>5531</v>
      </c>
      <c r="C1573" t="s">
        <v>5470</v>
      </c>
      <c r="D1573" t="s">
        <v>4119</v>
      </c>
      <c r="E1573" t="s">
        <v>5532</v>
      </c>
      <c r="F1573" t="s">
        <v>9410</v>
      </c>
      <c r="G1573" t="s">
        <v>8853</v>
      </c>
      <c r="H1573" t="s">
        <v>5474</v>
      </c>
      <c r="I1573" t="s">
        <v>9411</v>
      </c>
      <c r="J1573" t="s">
        <v>5484</v>
      </c>
      <c r="K1573" t="s">
        <v>5471</v>
      </c>
      <c r="L1573" t="s">
        <v>5471</v>
      </c>
      <c r="M1573" t="s">
        <v>5471</v>
      </c>
    </row>
    <row r="1574" spans="1:13" x14ac:dyDescent="0.3">
      <c r="A1574" t="s">
        <v>3388</v>
      </c>
      <c r="B1574" t="s">
        <v>5531</v>
      </c>
      <c r="C1574" t="s">
        <v>5470</v>
      </c>
      <c r="D1574" t="s">
        <v>4119</v>
      </c>
      <c r="E1574" t="s">
        <v>5532</v>
      </c>
      <c r="F1574" t="s">
        <v>9412</v>
      </c>
      <c r="G1574" t="s">
        <v>8853</v>
      </c>
      <c r="H1574" t="s">
        <v>5474</v>
      </c>
      <c r="I1574" t="s">
        <v>9413</v>
      </c>
      <c r="J1574" t="s">
        <v>5484</v>
      </c>
      <c r="K1574" t="s">
        <v>5471</v>
      </c>
      <c r="L1574" t="s">
        <v>5471</v>
      </c>
      <c r="M1574" t="s">
        <v>5471</v>
      </c>
    </row>
    <row r="1575" spans="1:13" x14ac:dyDescent="0.3">
      <c r="A1575" t="s">
        <v>3388</v>
      </c>
      <c r="B1575" t="s">
        <v>5531</v>
      </c>
      <c r="C1575" t="s">
        <v>5470</v>
      </c>
      <c r="D1575" t="s">
        <v>4119</v>
      </c>
      <c r="E1575" t="s">
        <v>5532</v>
      </c>
      <c r="F1575" t="s">
        <v>9414</v>
      </c>
      <c r="G1575" t="s">
        <v>8853</v>
      </c>
      <c r="H1575" t="s">
        <v>5474</v>
      </c>
      <c r="I1575" t="s">
        <v>9415</v>
      </c>
      <c r="J1575" t="s">
        <v>5484</v>
      </c>
      <c r="K1575" t="s">
        <v>5471</v>
      </c>
      <c r="L1575" t="s">
        <v>5471</v>
      </c>
      <c r="M1575" t="s">
        <v>5471</v>
      </c>
    </row>
    <row r="1576" spans="1:13" x14ac:dyDescent="0.3">
      <c r="A1576" t="s">
        <v>3388</v>
      </c>
      <c r="B1576" t="s">
        <v>5531</v>
      </c>
      <c r="C1576" t="s">
        <v>5470</v>
      </c>
      <c r="D1576" t="s">
        <v>4119</v>
      </c>
      <c r="E1576" t="s">
        <v>5532</v>
      </c>
      <c r="F1576" t="s">
        <v>9416</v>
      </c>
      <c r="G1576" t="s">
        <v>8853</v>
      </c>
      <c r="H1576" t="s">
        <v>5474</v>
      </c>
      <c r="I1576" t="s">
        <v>9417</v>
      </c>
      <c r="J1576" t="s">
        <v>5484</v>
      </c>
      <c r="K1576" t="s">
        <v>5471</v>
      </c>
      <c r="L1576" t="s">
        <v>5471</v>
      </c>
      <c r="M1576" t="s">
        <v>5471</v>
      </c>
    </row>
    <row r="1577" spans="1:13" x14ac:dyDescent="0.3">
      <c r="A1577" t="s">
        <v>3388</v>
      </c>
      <c r="B1577" t="s">
        <v>5531</v>
      </c>
      <c r="C1577" t="s">
        <v>5470</v>
      </c>
      <c r="D1577" t="s">
        <v>4119</v>
      </c>
      <c r="E1577" t="s">
        <v>5532</v>
      </c>
      <c r="F1577" t="s">
        <v>9418</v>
      </c>
      <c r="G1577" t="s">
        <v>8853</v>
      </c>
      <c r="H1577" t="s">
        <v>5474</v>
      </c>
      <c r="I1577" t="s">
        <v>9419</v>
      </c>
      <c r="J1577" t="s">
        <v>5484</v>
      </c>
      <c r="K1577" t="s">
        <v>5471</v>
      </c>
      <c r="L1577" t="s">
        <v>5471</v>
      </c>
      <c r="M1577" t="s">
        <v>5471</v>
      </c>
    </row>
    <row r="1578" spans="1:13" x14ac:dyDescent="0.3">
      <c r="A1578" t="s">
        <v>3388</v>
      </c>
      <c r="B1578" t="s">
        <v>5531</v>
      </c>
      <c r="C1578" t="s">
        <v>5470</v>
      </c>
      <c r="D1578" t="s">
        <v>4119</v>
      </c>
      <c r="E1578" t="s">
        <v>5532</v>
      </c>
      <c r="F1578" t="s">
        <v>9420</v>
      </c>
      <c r="G1578" t="s">
        <v>8853</v>
      </c>
      <c r="H1578" t="s">
        <v>5474</v>
      </c>
      <c r="I1578" t="s">
        <v>9421</v>
      </c>
      <c r="J1578" t="s">
        <v>5484</v>
      </c>
      <c r="K1578" t="s">
        <v>5471</v>
      </c>
      <c r="L1578" t="s">
        <v>5471</v>
      </c>
      <c r="M1578" t="s">
        <v>5471</v>
      </c>
    </row>
    <row r="1579" spans="1:13" x14ac:dyDescent="0.3">
      <c r="A1579" t="s">
        <v>3388</v>
      </c>
      <c r="B1579" t="s">
        <v>5531</v>
      </c>
      <c r="C1579" t="s">
        <v>5470</v>
      </c>
      <c r="D1579" t="s">
        <v>4119</v>
      </c>
      <c r="E1579" t="s">
        <v>5532</v>
      </c>
      <c r="F1579" t="s">
        <v>9422</v>
      </c>
      <c r="G1579" t="s">
        <v>8853</v>
      </c>
      <c r="H1579" t="s">
        <v>5474</v>
      </c>
      <c r="I1579" t="s">
        <v>9423</v>
      </c>
      <c r="J1579" t="s">
        <v>5484</v>
      </c>
      <c r="K1579" t="s">
        <v>5471</v>
      </c>
      <c r="L1579" t="s">
        <v>5471</v>
      </c>
      <c r="M1579" t="s">
        <v>5471</v>
      </c>
    </row>
    <row r="1580" spans="1:13" x14ac:dyDescent="0.3">
      <c r="A1580" t="s">
        <v>3388</v>
      </c>
      <c r="B1580" t="s">
        <v>5531</v>
      </c>
      <c r="C1580" t="s">
        <v>5470</v>
      </c>
      <c r="D1580" t="s">
        <v>4119</v>
      </c>
      <c r="E1580" t="s">
        <v>5532</v>
      </c>
      <c r="F1580" t="s">
        <v>9424</v>
      </c>
      <c r="G1580" t="s">
        <v>8853</v>
      </c>
      <c r="H1580" t="s">
        <v>5474</v>
      </c>
      <c r="I1580" t="s">
        <v>9425</v>
      </c>
      <c r="J1580" t="s">
        <v>5484</v>
      </c>
      <c r="K1580" t="s">
        <v>5471</v>
      </c>
      <c r="L1580" t="s">
        <v>5471</v>
      </c>
      <c r="M1580" t="s">
        <v>5471</v>
      </c>
    </row>
    <row r="1581" spans="1:13" x14ac:dyDescent="0.3">
      <c r="A1581" t="s">
        <v>3388</v>
      </c>
      <c r="B1581" t="s">
        <v>5531</v>
      </c>
      <c r="C1581" t="s">
        <v>5470</v>
      </c>
      <c r="D1581" t="s">
        <v>4119</v>
      </c>
      <c r="E1581" t="s">
        <v>5532</v>
      </c>
      <c r="F1581" t="s">
        <v>9426</v>
      </c>
      <c r="G1581" t="s">
        <v>8853</v>
      </c>
      <c r="H1581" t="s">
        <v>5474</v>
      </c>
      <c r="I1581" t="s">
        <v>9427</v>
      </c>
      <c r="J1581" t="s">
        <v>5484</v>
      </c>
      <c r="K1581" t="s">
        <v>5471</v>
      </c>
      <c r="L1581" t="s">
        <v>5471</v>
      </c>
      <c r="M1581" t="s">
        <v>5471</v>
      </c>
    </row>
    <row r="1582" spans="1:13" x14ac:dyDescent="0.3">
      <c r="A1582" t="s">
        <v>3388</v>
      </c>
      <c r="B1582" t="s">
        <v>5531</v>
      </c>
      <c r="C1582" t="s">
        <v>5470</v>
      </c>
      <c r="D1582" t="s">
        <v>4119</v>
      </c>
      <c r="E1582" t="s">
        <v>5532</v>
      </c>
      <c r="F1582" t="s">
        <v>9428</v>
      </c>
      <c r="G1582" t="s">
        <v>8853</v>
      </c>
      <c r="H1582" t="s">
        <v>5474</v>
      </c>
      <c r="I1582" t="s">
        <v>9429</v>
      </c>
      <c r="J1582" t="s">
        <v>5484</v>
      </c>
      <c r="K1582" t="s">
        <v>5471</v>
      </c>
      <c r="L1582" t="s">
        <v>5471</v>
      </c>
      <c r="M1582" t="s">
        <v>5471</v>
      </c>
    </row>
    <row r="1583" spans="1:13" x14ac:dyDescent="0.3">
      <c r="A1583" t="s">
        <v>3388</v>
      </c>
      <c r="B1583" t="s">
        <v>5531</v>
      </c>
      <c r="C1583" t="s">
        <v>5470</v>
      </c>
      <c r="D1583" t="s">
        <v>4119</v>
      </c>
      <c r="E1583" t="s">
        <v>5532</v>
      </c>
      <c r="F1583" t="s">
        <v>9430</v>
      </c>
      <c r="G1583" t="s">
        <v>8856</v>
      </c>
      <c r="H1583" t="s">
        <v>5474</v>
      </c>
      <c r="I1583" t="s">
        <v>9431</v>
      </c>
      <c r="J1583" t="s">
        <v>5484</v>
      </c>
      <c r="K1583" t="s">
        <v>5471</v>
      </c>
      <c r="L1583" t="s">
        <v>5471</v>
      </c>
      <c r="M1583" t="s">
        <v>5471</v>
      </c>
    </row>
    <row r="1584" spans="1:13" x14ac:dyDescent="0.3">
      <c r="A1584" t="s">
        <v>3388</v>
      </c>
      <c r="B1584" t="s">
        <v>5531</v>
      </c>
      <c r="C1584" t="s">
        <v>5470</v>
      </c>
      <c r="D1584" t="s">
        <v>4119</v>
      </c>
      <c r="E1584" t="s">
        <v>5532</v>
      </c>
      <c r="F1584" t="s">
        <v>9432</v>
      </c>
      <c r="G1584" t="s">
        <v>8547</v>
      </c>
      <c r="H1584" t="s">
        <v>5474</v>
      </c>
      <c r="I1584" t="s">
        <v>9433</v>
      </c>
      <c r="J1584" t="s">
        <v>5484</v>
      </c>
      <c r="K1584" t="s">
        <v>5471</v>
      </c>
      <c r="L1584" t="s">
        <v>5471</v>
      </c>
      <c r="M1584" t="s">
        <v>5471</v>
      </c>
    </row>
    <row r="1585" spans="1:13" x14ac:dyDescent="0.3">
      <c r="A1585" t="s">
        <v>3388</v>
      </c>
      <c r="B1585" t="s">
        <v>5531</v>
      </c>
      <c r="C1585" t="s">
        <v>5470</v>
      </c>
      <c r="D1585" t="s">
        <v>4119</v>
      </c>
      <c r="E1585" t="s">
        <v>5532</v>
      </c>
      <c r="F1585" t="s">
        <v>9434</v>
      </c>
      <c r="G1585" t="s">
        <v>8547</v>
      </c>
      <c r="H1585" t="s">
        <v>5474</v>
      </c>
      <c r="I1585" t="s">
        <v>9435</v>
      </c>
      <c r="J1585" t="s">
        <v>5484</v>
      </c>
      <c r="K1585" t="s">
        <v>5471</v>
      </c>
      <c r="L1585" t="s">
        <v>5471</v>
      </c>
      <c r="M1585" t="s">
        <v>5471</v>
      </c>
    </row>
    <row r="1586" spans="1:13" x14ac:dyDescent="0.3">
      <c r="A1586" t="s">
        <v>3388</v>
      </c>
      <c r="B1586" t="s">
        <v>5531</v>
      </c>
      <c r="C1586" t="s">
        <v>5470</v>
      </c>
      <c r="D1586" t="s">
        <v>4119</v>
      </c>
      <c r="E1586" t="s">
        <v>5532</v>
      </c>
      <c r="F1586" t="s">
        <v>9436</v>
      </c>
      <c r="G1586" t="s">
        <v>8856</v>
      </c>
      <c r="H1586" t="s">
        <v>5474</v>
      </c>
      <c r="I1586" t="s">
        <v>9437</v>
      </c>
      <c r="J1586" t="s">
        <v>5484</v>
      </c>
      <c r="K1586" t="s">
        <v>5471</v>
      </c>
      <c r="L1586" t="s">
        <v>5471</v>
      </c>
      <c r="M1586" t="s">
        <v>5471</v>
      </c>
    </row>
    <row r="1587" spans="1:13" x14ac:dyDescent="0.3">
      <c r="A1587" t="s">
        <v>3388</v>
      </c>
      <c r="B1587" t="s">
        <v>5531</v>
      </c>
      <c r="C1587" t="s">
        <v>5470</v>
      </c>
      <c r="D1587" t="s">
        <v>4119</v>
      </c>
      <c r="E1587" t="s">
        <v>5532</v>
      </c>
      <c r="F1587" t="s">
        <v>9438</v>
      </c>
      <c r="G1587" t="s">
        <v>8547</v>
      </c>
      <c r="H1587" t="s">
        <v>5474</v>
      </c>
      <c r="I1587" t="s">
        <v>9439</v>
      </c>
      <c r="J1587" t="s">
        <v>5484</v>
      </c>
      <c r="K1587" t="s">
        <v>5471</v>
      </c>
      <c r="L1587" t="s">
        <v>5471</v>
      </c>
      <c r="M1587" t="s">
        <v>5471</v>
      </c>
    </row>
    <row r="1588" spans="1:13" x14ac:dyDescent="0.3">
      <c r="A1588" t="s">
        <v>3388</v>
      </c>
      <c r="B1588" t="s">
        <v>5531</v>
      </c>
      <c r="C1588" t="s">
        <v>5470</v>
      </c>
      <c r="D1588" t="s">
        <v>4119</v>
      </c>
      <c r="E1588" t="s">
        <v>5532</v>
      </c>
      <c r="F1588" t="s">
        <v>9440</v>
      </c>
      <c r="G1588" t="s">
        <v>8556</v>
      </c>
      <c r="H1588" t="s">
        <v>5474</v>
      </c>
      <c r="I1588" t="s">
        <v>9441</v>
      </c>
      <c r="J1588" t="s">
        <v>5484</v>
      </c>
      <c r="K1588" t="s">
        <v>5471</v>
      </c>
      <c r="L1588" t="s">
        <v>5471</v>
      </c>
      <c r="M1588" t="s">
        <v>5471</v>
      </c>
    </row>
    <row r="1589" spans="1:13" x14ac:dyDescent="0.3">
      <c r="A1589" t="s">
        <v>3388</v>
      </c>
      <c r="B1589" t="s">
        <v>5531</v>
      </c>
      <c r="C1589" t="s">
        <v>5470</v>
      </c>
      <c r="D1589" t="s">
        <v>4119</v>
      </c>
      <c r="E1589" t="s">
        <v>5532</v>
      </c>
      <c r="F1589" t="s">
        <v>9442</v>
      </c>
      <c r="G1589" t="s">
        <v>8556</v>
      </c>
      <c r="H1589" t="s">
        <v>5474</v>
      </c>
      <c r="I1589" t="s">
        <v>9443</v>
      </c>
      <c r="J1589" t="s">
        <v>5484</v>
      </c>
      <c r="K1589" t="s">
        <v>5471</v>
      </c>
      <c r="L1589" t="s">
        <v>5471</v>
      </c>
      <c r="M1589" t="s">
        <v>5471</v>
      </c>
    </row>
    <row r="1590" spans="1:13" x14ac:dyDescent="0.3">
      <c r="A1590" t="s">
        <v>3388</v>
      </c>
      <c r="B1590" t="s">
        <v>5531</v>
      </c>
      <c r="C1590" t="s">
        <v>5470</v>
      </c>
      <c r="D1590" t="s">
        <v>4119</v>
      </c>
      <c r="E1590" t="s">
        <v>5532</v>
      </c>
      <c r="F1590" t="s">
        <v>9444</v>
      </c>
      <c r="G1590" t="s">
        <v>8509</v>
      </c>
      <c r="H1590" t="s">
        <v>5474</v>
      </c>
      <c r="I1590" t="s">
        <v>9445</v>
      </c>
      <c r="J1590" t="s">
        <v>5484</v>
      </c>
      <c r="K1590" t="s">
        <v>5471</v>
      </c>
      <c r="L1590" t="s">
        <v>5471</v>
      </c>
      <c r="M1590" t="s">
        <v>5471</v>
      </c>
    </row>
    <row r="1591" spans="1:13" x14ac:dyDescent="0.3">
      <c r="A1591" t="s">
        <v>3388</v>
      </c>
      <c r="B1591" t="s">
        <v>5531</v>
      </c>
      <c r="C1591" t="s">
        <v>5470</v>
      </c>
      <c r="D1591" t="s">
        <v>4119</v>
      </c>
      <c r="E1591" t="s">
        <v>5532</v>
      </c>
      <c r="F1591" t="s">
        <v>9446</v>
      </c>
      <c r="G1591" t="s">
        <v>8848</v>
      </c>
      <c r="H1591" t="s">
        <v>5474</v>
      </c>
      <c r="I1591" t="s">
        <v>9447</v>
      </c>
      <c r="J1591" t="s">
        <v>5484</v>
      </c>
      <c r="K1591" t="s">
        <v>5471</v>
      </c>
      <c r="L1591" t="s">
        <v>5471</v>
      </c>
      <c r="M1591" t="s">
        <v>5471</v>
      </c>
    </row>
    <row r="1592" spans="1:13" x14ac:dyDescent="0.3">
      <c r="A1592" t="s">
        <v>3388</v>
      </c>
      <c r="B1592" t="s">
        <v>5531</v>
      </c>
      <c r="C1592" t="s">
        <v>5470</v>
      </c>
      <c r="D1592" t="s">
        <v>4119</v>
      </c>
      <c r="E1592" t="s">
        <v>5532</v>
      </c>
      <c r="F1592" t="s">
        <v>9448</v>
      </c>
      <c r="G1592" t="s">
        <v>8585</v>
      </c>
      <c r="H1592" t="s">
        <v>5474</v>
      </c>
      <c r="I1592" t="s">
        <v>9449</v>
      </c>
      <c r="J1592" t="s">
        <v>5484</v>
      </c>
      <c r="K1592" t="s">
        <v>5471</v>
      </c>
      <c r="L1592" t="s">
        <v>5471</v>
      </c>
      <c r="M1592" t="s">
        <v>5471</v>
      </c>
    </row>
    <row r="1593" spans="1:13" x14ac:dyDescent="0.3">
      <c r="A1593" t="s">
        <v>3388</v>
      </c>
      <c r="B1593" t="s">
        <v>5531</v>
      </c>
      <c r="C1593" t="s">
        <v>5470</v>
      </c>
      <c r="D1593" t="s">
        <v>4119</v>
      </c>
      <c r="E1593" t="s">
        <v>5532</v>
      </c>
      <c r="F1593" t="s">
        <v>9450</v>
      </c>
      <c r="G1593" t="s">
        <v>8575</v>
      </c>
      <c r="H1593" t="s">
        <v>5474</v>
      </c>
      <c r="I1593" t="s">
        <v>9451</v>
      </c>
      <c r="J1593" t="s">
        <v>5484</v>
      </c>
      <c r="K1593" t="s">
        <v>5471</v>
      </c>
      <c r="L1593" t="s">
        <v>5471</v>
      </c>
      <c r="M1593" t="s">
        <v>5471</v>
      </c>
    </row>
    <row r="1594" spans="1:13" x14ac:dyDescent="0.3">
      <c r="A1594" t="s">
        <v>3388</v>
      </c>
      <c r="B1594" t="s">
        <v>5531</v>
      </c>
      <c r="C1594" t="s">
        <v>5470</v>
      </c>
      <c r="D1594" t="s">
        <v>4119</v>
      </c>
      <c r="E1594" t="s">
        <v>5532</v>
      </c>
      <c r="F1594" t="s">
        <v>9452</v>
      </c>
      <c r="G1594" t="s">
        <v>9381</v>
      </c>
      <c r="H1594" t="s">
        <v>5474</v>
      </c>
      <c r="I1594" t="s">
        <v>9453</v>
      </c>
      <c r="J1594" t="s">
        <v>5484</v>
      </c>
      <c r="K1594" t="s">
        <v>5471</v>
      </c>
      <c r="L1594" t="s">
        <v>5471</v>
      </c>
      <c r="M1594" t="s">
        <v>5471</v>
      </c>
    </row>
    <row r="1595" spans="1:13" x14ac:dyDescent="0.3">
      <c r="A1595" t="s">
        <v>3388</v>
      </c>
      <c r="B1595" t="s">
        <v>5531</v>
      </c>
      <c r="C1595" t="s">
        <v>5470</v>
      </c>
      <c r="D1595" t="s">
        <v>4119</v>
      </c>
      <c r="E1595" t="s">
        <v>5532</v>
      </c>
      <c r="F1595" t="s">
        <v>9454</v>
      </c>
      <c r="G1595" t="s">
        <v>8582</v>
      </c>
      <c r="H1595" t="s">
        <v>5474</v>
      </c>
      <c r="I1595" t="s">
        <v>9455</v>
      </c>
      <c r="J1595" t="s">
        <v>5484</v>
      </c>
      <c r="K1595" t="s">
        <v>5471</v>
      </c>
      <c r="L1595" t="s">
        <v>5471</v>
      </c>
      <c r="M1595" t="s">
        <v>5471</v>
      </c>
    </row>
    <row r="1596" spans="1:13" x14ac:dyDescent="0.3">
      <c r="A1596" t="s">
        <v>3388</v>
      </c>
      <c r="B1596" t="s">
        <v>5531</v>
      </c>
      <c r="C1596" t="s">
        <v>5470</v>
      </c>
      <c r="D1596" t="s">
        <v>4119</v>
      </c>
      <c r="E1596" t="s">
        <v>5532</v>
      </c>
      <c r="F1596" t="s">
        <v>9456</v>
      </c>
      <c r="G1596" t="s">
        <v>8853</v>
      </c>
      <c r="H1596" t="s">
        <v>5474</v>
      </c>
      <c r="I1596" t="s">
        <v>9457</v>
      </c>
      <c r="J1596" t="s">
        <v>5484</v>
      </c>
      <c r="K1596" t="s">
        <v>5471</v>
      </c>
      <c r="L1596" t="s">
        <v>5471</v>
      </c>
      <c r="M1596" t="s">
        <v>5471</v>
      </c>
    </row>
    <row r="1597" spans="1:13" x14ac:dyDescent="0.3">
      <c r="A1597" t="s">
        <v>3388</v>
      </c>
      <c r="B1597" t="s">
        <v>5531</v>
      </c>
      <c r="C1597" t="s">
        <v>5470</v>
      </c>
      <c r="D1597" t="s">
        <v>4119</v>
      </c>
      <c r="E1597" t="s">
        <v>5532</v>
      </c>
      <c r="F1597" t="s">
        <v>9458</v>
      </c>
      <c r="G1597" t="s">
        <v>8556</v>
      </c>
      <c r="H1597" t="s">
        <v>5474</v>
      </c>
      <c r="I1597" t="s">
        <v>9459</v>
      </c>
      <c r="J1597" t="s">
        <v>5484</v>
      </c>
      <c r="K1597" t="s">
        <v>5471</v>
      </c>
      <c r="L1597" t="s">
        <v>5471</v>
      </c>
      <c r="M1597" t="s">
        <v>5471</v>
      </c>
    </row>
    <row r="1598" spans="1:13" x14ac:dyDescent="0.3">
      <c r="A1598" t="s">
        <v>3388</v>
      </c>
      <c r="B1598" t="s">
        <v>5531</v>
      </c>
      <c r="C1598" t="s">
        <v>5470</v>
      </c>
      <c r="D1598" t="s">
        <v>4119</v>
      </c>
      <c r="E1598" t="s">
        <v>5532</v>
      </c>
      <c r="F1598" t="s">
        <v>9460</v>
      </c>
      <c r="G1598" t="s">
        <v>9072</v>
      </c>
      <c r="H1598" t="s">
        <v>5474</v>
      </c>
      <c r="I1598" t="s">
        <v>9461</v>
      </c>
      <c r="J1598" t="s">
        <v>5484</v>
      </c>
      <c r="K1598" t="s">
        <v>5471</v>
      </c>
      <c r="L1598" t="s">
        <v>5471</v>
      </c>
      <c r="M1598" t="s">
        <v>5471</v>
      </c>
    </row>
    <row r="1599" spans="1:13" x14ac:dyDescent="0.3">
      <c r="A1599" t="s">
        <v>3388</v>
      </c>
      <c r="B1599" t="s">
        <v>5531</v>
      </c>
      <c r="C1599" t="s">
        <v>5470</v>
      </c>
      <c r="D1599" t="s">
        <v>4119</v>
      </c>
      <c r="E1599" t="s">
        <v>5532</v>
      </c>
      <c r="F1599" t="s">
        <v>9462</v>
      </c>
      <c r="G1599" t="s">
        <v>8856</v>
      </c>
      <c r="H1599" t="s">
        <v>5474</v>
      </c>
      <c r="I1599" t="s">
        <v>9463</v>
      </c>
      <c r="J1599" t="s">
        <v>5484</v>
      </c>
      <c r="K1599" t="s">
        <v>5471</v>
      </c>
      <c r="L1599" t="s">
        <v>5471</v>
      </c>
      <c r="M1599" t="s">
        <v>5471</v>
      </c>
    </row>
    <row r="1600" spans="1:13" x14ac:dyDescent="0.3">
      <c r="A1600" t="s">
        <v>3388</v>
      </c>
      <c r="B1600" t="s">
        <v>7879</v>
      </c>
      <c r="C1600" t="s">
        <v>5470</v>
      </c>
      <c r="D1600" t="s">
        <v>4119</v>
      </c>
      <c r="E1600" t="s">
        <v>5471</v>
      </c>
      <c r="F1600" t="s">
        <v>9464</v>
      </c>
      <c r="G1600" t="s">
        <v>7881</v>
      </c>
      <c r="H1600" t="s">
        <v>5474</v>
      </c>
      <c r="I1600" t="s">
        <v>9465</v>
      </c>
      <c r="J1600" t="s">
        <v>5476</v>
      </c>
      <c r="K1600" t="s">
        <v>5471</v>
      </c>
      <c r="L1600" t="s">
        <v>5471</v>
      </c>
      <c r="M1600" t="s">
        <v>5471</v>
      </c>
    </row>
    <row r="1601" spans="1:13" x14ac:dyDescent="0.3">
      <c r="A1601" t="s">
        <v>3388</v>
      </c>
      <c r="B1601" t="s">
        <v>7879</v>
      </c>
      <c r="C1601" t="s">
        <v>5470</v>
      </c>
      <c r="D1601" t="s">
        <v>4119</v>
      </c>
      <c r="E1601" t="s">
        <v>5471</v>
      </c>
      <c r="F1601" t="s">
        <v>9466</v>
      </c>
      <c r="G1601" t="s">
        <v>7881</v>
      </c>
      <c r="H1601" t="s">
        <v>5474</v>
      </c>
      <c r="I1601" t="s">
        <v>9467</v>
      </c>
      <c r="J1601" t="s">
        <v>5476</v>
      </c>
      <c r="K1601" t="s">
        <v>5471</v>
      </c>
      <c r="L1601" t="s">
        <v>5471</v>
      </c>
      <c r="M1601" t="s">
        <v>5471</v>
      </c>
    </row>
    <row r="1602" spans="1:13" x14ac:dyDescent="0.3">
      <c r="A1602" t="s">
        <v>3388</v>
      </c>
      <c r="B1602" t="s">
        <v>9468</v>
      </c>
      <c r="C1602" t="s">
        <v>5470</v>
      </c>
      <c r="D1602" t="s">
        <v>4119</v>
      </c>
      <c r="E1602" t="s">
        <v>5471</v>
      </c>
      <c r="F1602" t="s">
        <v>9469</v>
      </c>
      <c r="G1602" t="s">
        <v>9298</v>
      </c>
      <c r="H1602" t="s">
        <v>5474</v>
      </c>
      <c r="I1602" t="s">
        <v>9470</v>
      </c>
      <c r="J1602" t="s">
        <v>5476</v>
      </c>
      <c r="K1602" t="s">
        <v>5471</v>
      </c>
      <c r="L1602" t="s">
        <v>5471</v>
      </c>
      <c r="M1602" t="s">
        <v>5471</v>
      </c>
    </row>
    <row r="1603" spans="1:13" x14ac:dyDescent="0.3">
      <c r="A1603" t="s">
        <v>3388</v>
      </c>
      <c r="B1603" t="s">
        <v>9468</v>
      </c>
      <c r="C1603" t="s">
        <v>5470</v>
      </c>
      <c r="D1603" t="s">
        <v>4119</v>
      </c>
      <c r="E1603" t="s">
        <v>5471</v>
      </c>
      <c r="F1603" t="s">
        <v>9471</v>
      </c>
      <c r="G1603" t="s">
        <v>9298</v>
      </c>
      <c r="H1603" t="s">
        <v>5474</v>
      </c>
      <c r="I1603" t="s">
        <v>9472</v>
      </c>
      <c r="J1603" t="s">
        <v>5476</v>
      </c>
      <c r="K1603" t="s">
        <v>5471</v>
      </c>
      <c r="L1603" t="s">
        <v>5471</v>
      </c>
      <c r="M1603" t="s">
        <v>5471</v>
      </c>
    </row>
    <row r="1604" spans="1:13" x14ac:dyDescent="0.3">
      <c r="A1604" t="s">
        <v>3388</v>
      </c>
      <c r="B1604" t="s">
        <v>9468</v>
      </c>
      <c r="C1604" t="s">
        <v>5470</v>
      </c>
      <c r="D1604" t="s">
        <v>4119</v>
      </c>
      <c r="E1604" t="s">
        <v>5471</v>
      </c>
      <c r="F1604" t="s">
        <v>9473</v>
      </c>
      <c r="G1604" t="s">
        <v>9298</v>
      </c>
      <c r="H1604" t="s">
        <v>5474</v>
      </c>
      <c r="I1604" t="s">
        <v>9474</v>
      </c>
      <c r="J1604" t="s">
        <v>5476</v>
      </c>
      <c r="K1604" t="s">
        <v>5471</v>
      </c>
      <c r="L1604" t="s">
        <v>5471</v>
      </c>
      <c r="M1604" t="s">
        <v>5471</v>
      </c>
    </row>
    <row r="1605" spans="1:13" x14ac:dyDescent="0.3">
      <c r="A1605" t="s">
        <v>3388</v>
      </c>
      <c r="B1605" t="s">
        <v>9468</v>
      </c>
      <c r="C1605" t="s">
        <v>5470</v>
      </c>
      <c r="D1605" t="s">
        <v>4119</v>
      </c>
      <c r="E1605" t="s">
        <v>5471</v>
      </c>
      <c r="F1605" t="s">
        <v>9475</v>
      </c>
      <c r="G1605" t="s">
        <v>9298</v>
      </c>
      <c r="H1605" t="s">
        <v>5474</v>
      </c>
      <c r="I1605" t="s">
        <v>9476</v>
      </c>
      <c r="J1605" t="s">
        <v>5476</v>
      </c>
      <c r="K1605" t="s">
        <v>5471</v>
      </c>
      <c r="L1605" t="s">
        <v>5471</v>
      </c>
      <c r="M1605" t="s">
        <v>5471</v>
      </c>
    </row>
    <row r="1606" spans="1:13" x14ac:dyDescent="0.3">
      <c r="A1606" t="s">
        <v>3388</v>
      </c>
      <c r="B1606" t="s">
        <v>9468</v>
      </c>
      <c r="C1606" t="s">
        <v>5470</v>
      </c>
      <c r="D1606" t="s">
        <v>4119</v>
      </c>
      <c r="E1606" t="s">
        <v>5471</v>
      </c>
      <c r="F1606" t="s">
        <v>9477</v>
      </c>
      <c r="G1606" t="s">
        <v>9298</v>
      </c>
      <c r="H1606" t="s">
        <v>5474</v>
      </c>
      <c r="I1606" t="s">
        <v>9478</v>
      </c>
      <c r="J1606" t="s">
        <v>5476</v>
      </c>
      <c r="K1606" t="s">
        <v>5471</v>
      </c>
      <c r="L1606" t="s">
        <v>5471</v>
      </c>
      <c r="M1606" t="s">
        <v>5471</v>
      </c>
    </row>
    <row r="1607" spans="1:13" x14ac:dyDescent="0.3">
      <c r="A1607" t="s">
        <v>3388</v>
      </c>
      <c r="B1607" t="s">
        <v>9468</v>
      </c>
      <c r="C1607" t="s">
        <v>5470</v>
      </c>
      <c r="D1607" t="s">
        <v>4119</v>
      </c>
      <c r="E1607" t="s">
        <v>5471</v>
      </c>
      <c r="F1607" t="s">
        <v>9479</v>
      </c>
      <c r="G1607" t="s">
        <v>9298</v>
      </c>
      <c r="H1607" t="s">
        <v>5474</v>
      </c>
      <c r="I1607" t="s">
        <v>9480</v>
      </c>
      <c r="J1607" t="s">
        <v>5476</v>
      </c>
      <c r="K1607" t="s">
        <v>5471</v>
      </c>
      <c r="L1607" t="s">
        <v>5471</v>
      </c>
      <c r="M1607" t="s">
        <v>5471</v>
      </c>
    </row>
    <row r="1608" spans="1:13" x14ac:dyDescent="0.3">
      <c r="A1608" t="s">
        <v>3388</v>
      </c>
      <c r="B1608" t="s">
        <v>7883</v>
      </c>
      <c r="C1608" t="s">
        <v>5470</v>
      </c>
      <c r="D1608" t="s">
        <v>4119</v>
      </c>
      <c r="E1608" t="s">
        <v>5471</v>
      </c>
      <c r="F1608" t="s">
        <v>9481</v>
      </c>
      <c r="G1608" t="s">
        <v>9298</v>
      </c>
      <c r="H1608" t="s">
        <v>5474</v>
      </c>
      <c r="I1608" t="s">
        <v>9482</v>
      </c>
      <c r="J1608" t="s">
        <v>5476</v>
      </c>
      <c r="K1608" t="s">
        <v>5471</v>
      </c>
      <c r="L1608" t="s">
        <v>5471</v>
      </c>
      <c r="M1608" t="s">
        <v>5471</v>
      </c>
    </row>
    <row r="1609" spans="1:13" x14ac:dyDescent="0.3">
      <c r="A1609" t="s">
        <v>3397</v>
      </c>
      <c r="B1609" t="s">
        <v>5287</v>
      </c>
      <c r="C1609" t="s">
        <v>5487</v>
      </c>
      <c r="D1609" t="s">
        <v>4119</v>
      </c>
      <c r="E1609" t="s">
        <v>5595</v>
      </c>
      <c r="F1609" t="s">
        <v>9483</v>
      </c>
      <c r="G1609" t="s">
        <v>9171</v>
      </c>
      <c r="H1609" t="s">
        <v>5474</v>
      </c>
      <c r="I1609" t="s">
        <v>9484</v>
      </c>
      <c r="J1609" t="s">
        <v>5476</v>
      </c>
      <c r="K1609" t="s">
        <v>5471</v>
      </c>
      <c r="L1609" t="s">
        <v>5471</v>
      </c>
      <c r="M1609" t="s">
        <v>5471</v>
      </c>
    </row>
    <row r="1610" spans="1:13" x14ac:dyDescent="0.3">
      <c r="A1610" t="s">
        <v>3388</v>
      </c>
      <c r="B1610" t="s">
        <v>7883</v>
      </c>
      <c r="C1610" t="s">
        <v>5470</v>
      </c>
      <c r="D1610" t="s">
        <v>4119</v>
      </c>
      <c r="E1610" t="s">
        <v>5471</v>
      </c>
      <c r="F1610" t="s">
        <v>9485</v>
      </c>
      <c r="G1610" t="s">
        <v>9298</v>
      </c>
      <c r="H1610" t="s">
        <v>5474</v>
      </c>
      <c r="I1610" t="s">
        <v>9486</v>
      </c>
      <c r="J1610" t="s">
        <v>5476</v>
      </c>
      <c r="K1610" t="s">
        <v>5471</v>
      </c>
      <c r="L1610" t="s">
        <v>5471</v>
      </c>
      <c r="M1610" t="s">
        <v>5471</v>
      </c>
    </row>
    <row r="1611" spans="1:13" x14ac:dyDescent="0.3">
      <c r="A1611" t="s">
        <v>3388</v>
      </c>
      <c r="B1611" t="s">
        <v>9487</v>
      </c>
      <c r="C1611" t="s">
        <v>5470</v>
      </c>
      <c r="D1611" t="s">
        <v>4119</v>
      </c>
      <c r="E1611" t="s">
        <v>5471</v>
      </c>
      <c r="F1611" t="s">
        <v>9488</v>
      </c>
      <c r="G1611" t="s">
        <v>9298</v>
      </c>
      <c r="H1611" t="s">
        <v>5474</v>
      </c>
      <c r="I1611" t="s">
        <v>9489</v>
      </c>
      <c r="J1611" t="s">
        <v>5476</v>
      </c>
      <c r="K1611" t="s">
        <v>5471</v>
      </c>
      <c r="L1611" t="s">
        <v>5471</v>
      </c>
      <c r="M1611" t="s">
        <v>5471</v>
      </c>
    </row>
    <row r="1612" spans="1:13" x14ac:dyDescent="0.3">
      <c r="A1612" t="s">
        <v>3388</v>
      </c>
      <c r="B1612" t="s">
        <v>9487</v>
      </c>
      <c r="C1612" t="s">
        <v>5470</v>
      </c>
      <c r="D1612" t="s">
        <v>4119</v>
      </c>
      <c r="E1612" t="s">
        <v>5471</v>
      </c>
      <c r="F1612" t="s">
        <v>9490</v>
      </c>
      <c r="G1612" t="s">
        <v>9298</v>
      </c>
      <c r="H1612" t="s">
        <v>5474</v>
      </c>
      <c r="I1612" t="s">
        <v>9491</v>
      </c>
      <c r="J1612" t="s">
        <v>5476</v>
      </c>
      <c r="K1612" t="s">
        <v>5471</v>
      </c>
      <c r="L1612" t="s">
        <v>5471</v>
      </c>
      <c r="M1612" t="s">
        <v>5471</v>
      </c>
    </row>
    <row r="1613" spans="1:13" x14ac:dyDescent="0.3">
      <c r="A1613" t="s">
        <v>3388</v>
      </c>
      <c r="B1613" t="s">
        <v>8280</v>
      </c>
      <c r="C1613" t="s">
        <v>5470</v>
      </c>
      <c r="D1613" t="s">
        <v>4119</v>
      </c>
      <c r="E1613" t="s">
        <v>5471</v>
      </c>
      <c r="F1613" t="s">
        <v>9492</v>
      </c>
      <c r="G1613" t="s">
        <v>8282</v>
      </c>
      <c r="H1613" t="s">
        <v>5474</v>
      </c>
      <c r="I1613" t="s">
        <v>9493</v>
      </c>
      <c r="J1613" t="s">
        <v>5476</v>
      </c>
      <c r="K1613" t="s">
        <v>5471</v>
      </c>
      <c r="L1613" t="s">
        <v>5471</v>
      </c>
      <c r="M1613" t="s">
        <v>5471</v>
      </c>
    </row>
    <row r="1614" spans="1:13" x14ac:dyDescent="0.3">
      <c r="A1614" t="s">
        <v>3388</v>
      </c>
      <c r="B1614" t="s">
        <v>9304</v>
      </c>
      <c r="C1614" t="s">
        <v>5470</v>
      </c>
      <c r="D1614" t="s">
        <v>4119</v>
      </c>
      <c r="E1614" t="s">
        <v>5471</v>
      </c>
      <c r="F1614" t="s">
        <v>9494</v>
      </c>
      <c r="G1614" t="s">
        <v>9306</v>
      </c>
      <c r="H1614" t="s">
        <v>5474</v>
      </c>
      <c r="I1614" t="s">
        <v>9495</v>
      </c>
      <c r="J1614" t="s">
        <v>5476</v>
      </c>
      <c r="K1614" t="s">
        <v>5471</v>
      </c>
      <c r="L1614" t="s">
        <v>5471</v>
      </c>
      <c r="M1614" t="s">
        <v>5471</v>
      </c>
    </row>
    <row r="1615" spans="1:13" x14ac:dyDescent="0.3">
      <c r="A1615" t="s">
        <v>3388</v>
      </c>
      <c r="B1615" t="s">
        <v>9304</v>
      </c>
      <c r="C1615" t="s">
        <v>5470</v>
      </c>
      <c r="D1615" t="s">
        <v>4119</v>
      </c>
      <c r="E1615" t="s">
        <v>5471</v>
      </c>
      <c r="F1615" t="s">
        <v>9496</v>
      </c>
      <c r="G1615" t="s">
        <v>9306</v>
      </c>
      <c r="H1615" t="s">
        <v>5474</v>
      </c>
      <c r="I1615" t="s">
        <v>9497</v>
      </c>
      <c r="J1615" t="s">
        <v>5476</v>
      </c>
      <c r="K1615" t="s">
        <v>5471</v>
      </c>
      <c r="L1615" t="s">
        <v>5471</v>
      </c>
      <c r="M1615" t="s">
        <v>5471</v>
      </c>
    </row>
    <row r="1616" spans="1:13" x14ac:dyDescent="0.3">
      <c r="A1616" t="s">
        <v>3397</v>
      </c>
      <c r="B1616" t="s">
        <v>9498</v>
      </c>
      <c r="C1616" t="s">
        <v>5487</v>
      </c>
      <c r="D1616" t="s">
        <v>4119</v>
      </c>
      <c r="E1616" t="s">
        <v>5471</v>
      </c>
      <c r="F1616" t="s">
        <v>9499</v>
      </c>
      <c r="G1616" t="s">
        <v>9500</v>
      </c>
      <c r="H1616" t="s">
        <v>5474</v>
      </c>
      <c r="I1616" t="s">
        <v>9501</v>
      </c>
      <c r="J1616" t="s">
        <v>5476</v>
      </c>
      <c r="K1616" t="s">
        <v>5471</v>
      </c>
      <c r="L1616" t="s">
        <v>5471</v>
      </c>
      <c r="M1616" t="s">
        <v>5471</v>
      </c>
    </row>
    <row r="1617" spans="1:13" x14ac:dyDescent="0.3">
      <c r="A1617" t="s">
        <v>3388</v>
      </c>
      <c r="B1617" t="s">
        <v>9304</v>
      </c>
      <c r="C1617" t="s">
        <v>5470</v>
      </c>
      <c r="D1617" t="s">
        <v>4119</v>
      </c>
      <c r="E1617" t="s">
        <v>5471</v>
      </c>
      <c r="F1617" t="s">
        <v>9502</v>
      </c>
      <c r="G1617" t="s">
        <v>9306</v>
      </c>
      <c r="H1617" t="s">
        <v>5474</v>
      </c>
      <c r="I1617" t="s">
        <v>9503</v>
      </c>
      <c r="J1617" t="s">
        <v>5476</v>
      </c>
      <c r="K1617" t="s">
        <v>5471</v>
      </c>
      <c r="L1617" t="s">
        <v>5471</v>
      </c>
      <c r="M1617" t="s">
        <v>5471</v>
      </c>
    </row>
    <row r="1618" spans="1:13" x14ac:dyDescent="0.3">
      <c r="A1618" t="s">
        <v>3397</v>
      </c>
      <c r="B1618" t="s">
        <v>9504</v>
      </c>
      <c r="C1618" t="s">
        <v>5487</v>
      </c>
      <c r="D1618" t="s">
        <v>4119</v>
      </c>
      <c r="E1618" t="s">
        <v>5471</v>
      </c>
      <c r="F1618" t="s">
        <v>9499</v>
      </c>
      <c r="G1618" t="s">
        <v>9505</v>
      </c>
      <c r="H1618" t="s">
        <v>5474</v>
      </c>
      <c r="I1618" t="s">
        <v>9506</v>
      </c>
      <c r="J1618" t="s">
        <v>5476</v>
      </c>
      <c r="K1618" t="s">
        <v>5471</v>
      </c>
      <c r="L1618" t="s">
        <v>5471</v>
      </c>
      <c r="M1618" t="s">
        <v>5471</v>
      </c>
    </row>
    <row r="1619" spans="1:13" x14ac:dyDescent="0.3">
      <c r="A1619" t="s">
        <v>3388</v>
      </c>
      <c r="B1619" t="s">
        <v>9304</v>
      </c>
      <c r="C1619" t="s">
        <v>5470</v>
      </c>
      <c r="D1619" t="s">
        <v>4119</v>
      </c>
      <c r="E1619" t="s">
        <v>5471</v>
      </c>
      <c r="F1619" t="s">
        <v>9507</v>
      </c>
      <c r="G1619" t="s">
        <v>9306</v>
      </c>
      <c r="H1619" t="s">
        <v>5474</v>
      </c>
      <c r="I1619" t="s">
        <v>9508</v>
      </c>
      <c r="J1619" t="s">
        <v>5476</v>
      </c>
      <c r="K1619" t="s">
        <v>5471</v>
      </c>
      <c r="L1619" t="s">
        <v>5471</v>
      </c>
      <c r="M1619" t="s">
        <v>5471</v>
      </c>
    </row>
    <row r="1620" spans="1:13" x14ac:dyDescent="0.3">
      <c r="A1620" t="s">
        <v>3388</v>
      </c>
      <c r="B1620" t="s">
        <v>9304</v>
      </c>
      <c r="C1620" t="s">
        <v>5470</v>
      </c>
      <c r="D1620" t="s">
        <v>4119</v>
      </c>
      <c r="E1620" t="s">
        <v>5471</v>
      </c>
      <c r="F1620" t="s">
        <v>9509</v>
      </c>
      <c r="G1620" t="s">
        <v>9306</v>
      </c>
      <c r="H1620" t="s">
        <v>5474</v>
      </c>
      <c r="I1620" t="s">
        <v>9510</v>
      </c>
      <c r="J1620" t="s">
        <v>5476</v>
      </c>
      <c r="K1620" t="s">
        <v>5471</v>
      </c>
      <c r="L1620" t="s">
        <v>5471</v>
      </c>
      <c r="M1620" t="s">
        <v>5471</v>
      </c>
    </row>
    <row r="1621" spans="1:13" x14ac:dyDescent="0.3">
      <c r="A1621" t="s">
        <v>3383</v>
      </c>
      <c r="B1621" t="s">
        <v>9511</v>
      </c>
      <c r="C1621" t="s">
        <v>5470</v>
      </c>
      <c r="D1621" t="s">
        <v>4119</v>
      </c>
      <c r="E1621" t="s">
        <v>5471</v>
      </c>
      <c r="F1621" t="s">
        <v>9512</v>
      </c>
      <c r="G1621" t="s">
        <v>9513</v>
      </c>
      <c r="H1621" t="s">
        <v>5474</v>
      </c>
      <c r="I1621" t="s">
        <v>9514</v>
      </c>
      <c r="J1621" t="s">
        <v>5476</v>
      </c>
      <c r="K1621" t="s">
        <v>5471</v>
      </c>
      <c r="L1621" t="s">
        <v>5471</v>
      </c>
      <c r="M1621" t="s">
        <v>5471</v>
      </c>
    </row>
    <row r="1622" spans="1:13" x14ac:dyDescent="0.3">
      <c r="A1622" t="s">
        <v>3397</v>
      </c>
      <c r="B1622" t="s">
        <v>9515</v>
      </c>
      <c r="C1622" t="s">
        <v>5487</v>
      </c>
      <c r="D1622" t="s">
        <v>4119</v>
      </c>
      <c r="E1622" t="s">
        <v>5471</v>
      </c>
      <c r="F1622" t="s">
        <v>9516</v>
      </c>
      <c r="G1622" t="s">
        <v>9517</v>
      </c>
      <c r="H1622" t="s">
        <v>5474</v>
      </c>
      <c r="I1622" t="s">
        <v>9518</v>
      </c>
      <c r="J1622" t="s">
        <v>5476</v>
      </c>
      <c r="K1622" t="s">
        <v>5471</v>
      </c>
      <c r="L1622" t="s">
        <v>5471</v>
      </c>
      <c r="M1622" t="s">
        <v>5471</v>
      </c>
    </row>
    <row r="1623" spans="1:13" x14ac:dyDescent="0.3">
      <c r="A1623" t="s">
        <v>3397</v>
      </c>
      <c r="B1623" t="s">
        <v>9515</v>
      </c>
      <c r="C1623" t="s">
        <v>5487</v>
      </c>
      <c r="D1623" t="s">
        <v>4119</v>
      </c>
      <c r="E1623" t="s">
        <v>5471</v>
      </c>
      <c r="F1623" t="s">
        <v>9519</v>
      </c>
      <c r="G1623" t="s">
        <v>9520</v>
      </c>
      <c r="H1623" t="s">
        <v>5474</v>
      </c>
      <c r="I1623" t="s">
        <v>9521</v>
      </c>
      <c r="J1623" t="s">
        <v>5476</v>
      </c>
      <c r="K1623" t="s">
        <v>5471</v>
      </c>
      <c r="L1623" t="s">
        <v>5471</v>
      </c>
      <c r="M1623" t="s">
        <v>5471</v>
      </c>
    </row>
    <row r="1624" spans="1:13" x14ac:dyDescent="0.3">
      <c r="A1624" t="s">
        <v>3397</v>
      </c>
      <c r="B1624" t="s">
        <v>9515</v>
      </c>
      <c r="C1624" t="s">
        <v>5487</v>
      </c>
      <c r="D1624" t="s">
        <v>4119</v>
      </c>
      <c r="E1624" t="s">
        <v>5471</v>
      </c>
      <c r="F1624" t="s">
        <v>9522</v>
      </c>
      <c r="G1624" t="s">
        <v>9523</v>
      </c>
      <c r="H1624" t="s">
        <v>5474</v>
      </c>
      <c r="I1624" t="s">
        <v>9524</v>
      </c>
      <c r="J1624" t="s">
        <v>5476</v>
      </c>
      <c r="K1624" t="s">
        <v>5471</v>
      </c>
      <c r="L1624" t="s">
        <v>5471</v>
      </c>
      <c r="M1624" t="s">
        <v>5471</v>
      </c>
    </row>
    <row r="1625" spans="1:13" x14ac:dyDescent="0.3">
      <c r="A1625" t="s">
        <v>3397</v>
      </c>
      <c r="B1625" t="s">
        <v>9515</v>
      </c>
      <c r="C1625" t="s">
        <v>5487</v>
      </c>
      <c r="D1625" t="s">
        <v>4119</v>
      </c>
      <c r="E1625" t="s">
        <v>5471</v>
      </c>
      <c r="F1625" t="s">
        <v>9525</v>
      </c>
      <c r="G1625" t="s">
        <v>9526</v>
      </c>
      <c r="H1625" t="s">
        <v>5474</v>
      </c>
      <c r="I1625" t="s">
        <v>9527</v>
      </c>
      <c r="J1625" t="s">
        <v>5476</v>
      </c>
      <c r="K1625" t="s">
        <v>5471</v>
      </c>
      <c r="L1625" t="s">
        <v>5471</v>
      </c>
      <c r="M1625" t="s">
        <v>5471</v>
      </c>
    </row>
    <row r="1626" spans="1:13" x14ac:dyDescent="0.3">
      <c r="A1626" t="s">
        <v>3383</v>
      </c>
      <c r="B1626" t="s">
        <v>8871</v>
      </c>
      <c r="C1626" t="s">
        <v>5470</v>
      </c>
      <c r="D1626" t="s">
        <v>4119</v>
      </c>
      <c r="E1626" t="s">
        <v>5532</v>
      </c>
      <c r="F1626" t="s">
        <v>9528</v>
      </c>
      <c r="G1626" t="s">
        <v>8910</v>
      </c>
      <c r="H1626" t="s">
        <v>5474</v>
      </c>
      <c r="I1626" t="s">
        <v>9529</v>
      </c>
      <c r="J1626" t="s">
        <v>5484</v>
      </c>
      <c r="K1626" t="s">
        <v>5471</v>
      </c>
      <c r="L1626" t="s">
        <v>5471</v>
      </c>
      <c r="M1626" t="s">
        <v>5471</v>
      </c>
    </row>
    <row r="1627" spans="1:13" x14ac:dyDescent="0.3">
      <c r="A1627" t="s">
        <v>3388</v>
      </c>
      <c r="B1627" t="s">
        <v>9530</v>
      </c>
      <c r="C1627" t="s">
        <v>5470</v>
      </c>
      <c r="D1627" t="s">
        <v>4119</v>
      </c>
      <c r="E1627" t="s">
        <v>5471</v>
      </c>
      <c r="F1627" t="s">
        <v>9531</v>
      </c>
      <c r="G1627" t="s">
        <v>9532</v>
      </c>
      <c r="H1627" t="s">
        <v>5474</v>
      </c>
      <c r="I1627" t="s">
        <v>9533</v>
      </c>
      <c r="J1627" t="s">
        <v>5476</v>
      </c>
      <c r="K1627" t="s">
        <v>5471</v>
      </c>
      <c r="L1627" t="s">
        <v>5471</v>
      </c>
      <c r="M1627" t="s">
        <v>5471</v>
      </c>
    </row>
    <row r="1628" spans="1:13" x14ac:dyDescent="0.3">
      <c r="A1628" t="s">
        <v>3388</v>
      </c>
      <c r="B1628" t="s">
        <v>9530</v>
      </c>
      <c r="C1628" t="s">
        <v>5470</v>
      </c>
      <c r="D1628" t="s">
        <v>4119</v>
      </c>
      <c r="E1628" t="s">
        <v>5471</v>
      </c>
      <c r="F1628" t="s">
        <v>9534</v>
      </c>
      <c r="G1628" t="s">
        <v>9532</v>
      </c>
      <c r="H1628" t="s">
        <v>5474</v>
      </c>
      <c r="I1628" t="s">
        <v>9535</v>
      </c>
      <c r="J1628" t="s">
        <v>5476</v>
      </c>
      <c r="K1628" t="s">
        <v>5471</v>
      </c>
      <c r="L1628" t="s">
        <v>5471</v>
      </c>
      <c r="M1628" t="s">
        <v>5471</v>
      </c>
    </row>
    <row r="1629" spans="1:13" x14ac:dyDescent="0.3">
      <c r="A1629" t="s">
        <v>3388</v>
      </c>
      <c r="B1629" t="s">
        <v>9530</v>
      </c>
      <c r="C1629" t="s">
        <v>5470</v>
      </c>
      <c r="D1629" t="s">
        <v>4119</v>
      </c>
      <c r="E1629" t="s">
        <v>5471</v>
      </c>
      <c r="F1629" t="s">
        <v>9536</v>
      </c>
      <c r="G1629" t="s">
        <v>9532</v>
      </c>
      <c r="H1629" t="s">
        <v>5474</v>
      </c>
      <c r="I1629" t="s">
        <v>9537</v>
      </c>
      <c r="J1629" t="s">
        <v>5476</v>
      </c>
      <c r="K1629" t="s">
        <v>5471</v>
      </c>
      <c r="L1629" t="s">
        <v>5471</v>
      </c>
      <c r="M1629" t="s">
        <v>5471</v>
      </c>
    </row>
    <row r="1630" spans="1:13" x14ac:dyDescent="0.3">
      <c r="A1630" t="s">
        <v>3383</v>
      </c>
      <c r="B1630" t="s">
        <v>8871</v>
      </c>
      <c r="C1630" t="s">
        <v>5470</v>
      </c>
      <c r="D1630" t="s">
        <v>4119</v>
      </c>
      <c r="E1630" t="s">
        <v>5532</v>
      </c>
      <c r="F1630" t="s">
        <v>9538</v>
      </c>
      <c r="G1630" t="s">
        <v>8910</v>
      </c>
      <c r="H1630" t="s">
        <v>5474</v>
      </c>
      <c r="I1630" t="s">
        <v>9539</v>
      </c>
      <c r="J1630" t="s">
        <v>5476</v>
      </c>
      <c r="K1630" t="s">
        <v>5471</v>
      </c>
      <c r="L1630" t="s">
        <v>5471</v>
      </c>
      <c r="M1630" t="s">
        <v>5471</v>
      </c>
    </row>
    <row r="1631" spans="1:13" x14ac:dyDescent="0.3">
      <c r="A1631" t="s">
        <v>3383</v>
      </c>
      <c r="B1631" t="s">
        <v>8871</v>
      </c>
      <c r="C1631" t="s">
        <v>5470</v>
      </c>
      <c r="D1631" t="s">
        <v>4119</v>
      </c>
      <c r="E1631" t="s">
        <v>5532</v>
      </c>
      <c r="F1631" t="s">
        <v>9540</v>
      </c>
      <c r="G1631" t="s">
        <v>8915</v>
      </c>
      <c r="H1631" t="s">
        <v>5474</v>
      </c>
      <c r="I1631" t="s">
        <v>9541</v>
      </c>
      <c r="J1631" t="s">
        <v>5476</v>
      </c>
      <c r="K1631" t="s">
        <v>5471</v>
      </c>
      <c r="L1631" t="s">
        <v>5471</v>
      </c>
      <c r="M1631" t="s">
        <v>5471</v>
      </c>
    </row>
    <row r="1632" spans="1:13" x14ac:dyDescent="0.3">
      <c r="A1632" t="s">
        <v>3383</v>
      </c>
      <c r="B1632" t="s">
        <v>8871</v>
      </c>
      <c r="C1632" t="s">
        <v>5470</v>
      </c>
      <c r="D1632" t="s">
        <v>4119</v>
      </c>
      <c r="E1632" t="s">
        <v>5532</v>
      </c>
      <c r="F1632" t="s">
        <v>9540</v>
      </c>
      <c r="G1632" t="s">
        <v>8915</v>
      </c>
      <c r="H1632" t="s">
        <v>5474</v>
      </c>
      <c r="I1632" t="s">
        <v>9542</v>
      </c>
      <c r="J1632" t="s">
        <v>5476</v>
      </c>
      <c r="K1632" t="s">
        <v>5471</v>
      </c>
      <c r="L1632" t="s">
        <v>5471</v>
      </c>
      <c r="M1632" t="s">
        <v>5471</v>
      </c>
    </row>
    <row r="1633" spans="1:13" x14ac:dyDescent="0.3">
      <c r="A1633" t="s">
        <v>3383</v>
      </c>
      <c r="B1633" t="s">
        <v>8875</v>
      </c>
      <c r="C1633" t="s">
        <v>5470</v>
      </c>
      <c r="D1633" t="s">
        <v>4119</v>
      </c>
      <c r="E1633" t="s">
        <v>5532</v>
      </c>
      <c r="F1633" t="s">
        <v>9543</v>
      </c>
      <c r="G1633" t="s">
        <v>8880</v>
      </c>
      <c r="H1633" t="s">
        <v>5474</v>
      </c>
      <c r="I1633" t="s">
        <v>9544</v>
      </c>
      <c r="J1633" t="s">
        <v>5476</v>
      </c>
      <c r="K1633" t="s">
        <v>5471</v>
      </c>
      <c r="L1633" t="s">
        <v>5471</v>
      </c>
      <c r="M1633" t="s">
        <v>5471</v>
      </c>
    </row>
    <row r="1634" spans="1:13" x14ac:dyDescent="0.3">
      <c r="A1634" t="s">
        <v>3383</v>
      </c>
      <c r="B1634" t="s">
        <v>8875</v>
      </c>
      <c r="C1634" t="s">
        <v>5470</v>
      </c>
      <c r="D1634" t="s">
        <v>4119</v>
      </c>
      <c r="E1634" t="s">
        <v>5532</v>
      </c>
      <c r="F1634" t="s">
        <v>9545</v>
      </c>
      <c r="G1634" t="s">
        <v>8877</v>
      </c>
      <c r="H1634" t="s">
        <v>5474</v>
      </c>
      <c r="I1634" t="s">
        <v>9546</v>
      </c>
      <c r="J1634" t="s">
        <v>5476</v>
      </c>
      <c r="K1634" t="s">
        <v>5471</v>
      </c>
      <c r="L1634" t="s">
        <v>5471</v>
      </c>
      <c r="M1634" t="s">
        <v>5471</v>
      </c>
    </row>
    <row r="1635" spans="1:13" x14ac:dyDescent="0.3">
      <c r="A1635" t="s">
        <v>3383</v>
      </c>
      <c r="B1635" t="s">
        <v>8943</v>
      </c>
      <c r="C1635" t="s">
        <v>5470</v>
      </c>
      <c r="D1635" t="s">
        <v>4119</v>
      </c>
      <c r="E1635" t="s">
        <v>5532</v>
      </c>
      <c r="F1635" t="s">
        <v>9547</v>
      </c>
      <c r="G1635" t="s">
        <v>9548</v>
      </c>
      <c r="H1635" t="s">
        <v>5474</v>
      </c>
      <c r="I1635" t="s">
        <v>9549</v>
      </c>
      <c r="J1635" t="s">
        <v>5476</v>
      </c>
      <c r="K1635" t="s">
        <v>5471</v>
      </c>
      <c r="L1635" t="s">
        <v>5471</v>
      </c>
      <c r="M1635" t="s">
        <v>5471</v>
      </c>
    </row>
    <row r="1636" spans="1:13" x14ac:dyDescent="0.3">
      <c r="A1636" t="s">
        <v>3388</v>
      </c>
      <c r="B1636" t="s">
        <v>5531</v>
      </c>
      <c r="C1636" t="s">
        <v>5470</v>
      </c>
      <c r="D1636" t="s">
        <v>4119</v>
      </c>
      <c r="E1636" t="s">
        <v>5532</v>
      </c>
      <c r="F1636" t="s">
        <v>9550</v>
      </c>
      <c r="G1636" t="s">
        <v>8564</v>
      </c>
      <c r="H1636" t="s">
        <v>5474</v>
      </c>
      <c r="I1636" t="s">
        <v>9551</v>
      </c>
      <c r="J1636" t="s">
        <v>5484</v>
      </c>
      <c r="K1636" t="s">
        <v>5471</v>
      </c>
      <c r="L1636" t="s">
        <v>5471</v>
      </c>
      <c r="M1636" t="s">
        <v>5471</v>
      </c>
    </row>
    <row r="1637" spans="1:13" x14ac:dyDescent="0.3">
      <c r="A1637" t="s">
        <v>3388</v>
      </c>
      <c r="B1637" t="s">
        <v>5531</v>
      </c>
      <c r="C1637" t="s">
        <v>5470</v>
      </c>
      <c r="D1637" t="s">
        <v>4119</v>
      </c>
      <c r="E1637" t="s">
        <v>5532</v>
      </c>
      <c r="F1637" t="s">
        <v>9552</v>
      </c>
      <c r="G1637" t="s">
        <v>8571</v>
      </c>
      <c r="H1637" t="s">
        <v>5474</v>
      </c>
      <c r="I1637" t="s">
        <v>9553</v>
      </c>
      <c r="J1637" t="s">
        <v>5484</v>
      </c>
      <c r="K1637" t="s">
        <v>5471</v>
      </c>
      <c r="L1637" t="s">
        <v>5471</v>
      </c>
      <c r="M1637" t="s">
        <v>5471</v>
      </c>
    </row>
    <row r="1638" spans="1:13" x14ac:dyDescent="0.3">
      <c r="A1638" t="s">
        <v>3388</v>
      </c>
      <c r="B1638" t="s">
        <v>5531</v>
      </c>
      <c r="C1638" t="s">
        <v>5470</v>
      </c>
      <c r="D1638" t="s">
        <v>4119</v>
      </c>
      <c r="E1638" t="s">
        <v>5532</v>
      </c>
      <c r="F1638" t="s">
        <v>9554</v>
      </c>
      <c r="G1638" t="s">
        <v>8585</v>
      </c>
      <c r="H1638" t="s">
        <v>5474</v>
      </c>
      <c r="I1638" t="s">
        <v>9555</v>
      </c>
      <c r="J1638" t="s">
        <v>5484</v>
      </c>
      <c r="K1638" t="s">
        <v>5471</v>
      </c>
      <c r="L1638" t="s">
        <v>5471</v>
      </c>
      <c r="M1638" t="s">
        <v>5471</v>
      </c>
    </row>
    <row r="1639" spans="1:13" x14ac:dyDescent="0.3">
      <c r="A1639" t="s">
        <v>3388</v>
      </c>
      <c r="B1639" t="s">
        <v>5531</v>
      </c>
      <c r="C1639" t="s">
        <v>5470</v>
      </c>
      <c r="D1639" t="s">
        <v>4119</v>
      </c>
      <c r="E1639" t="s">
        <v>5532</v>
      </c>
      <c r="F1639" t="s">
        <v>9556</v>
      </c>
      <c r="G1639" t="s">
        <v>8575</v>
      </c>
      <c r="H1639" t="s">
        <v>5474</v>
      </c>
      <c r="I1639" t="s">
        <v>9557</v>
      </c>
      <c r="J1639" t="s">
        <v>5484</v>
      </c>
      <c r="K1639" t="s">
        <v>5471</v>
      </c>
      <c r="L1639" t="s">
        <v>5471</v>
      </c>
      <c r="M1639" t="s">
        <v>5471</v>
      </c>
    </row>
    <row r="1640" spans="1:13" x14ac:dyDescent="0.3">
      <c r="A1640" t="s">
        <v>3388</v>
      </c>
      <c r="B1640" t="s">
        <v>5531</v>
      </c>
      <c r="C1640" t="s">
        <v>5470</v>
      </c>
      <c r="D1640" t="s">
        <v>4119</v>
      </c>
      <c r="E1640" t="s">
        <v>5532</v>
      </c>
      <c r="F1640" t="s">
        <v>9558</v>
      </c>
      <c r="G1640" t="s">
        <v>8848</v>
      </c>
      <c r="H1640" t="s">
        <v>5474</v>
      </c>
      <c r="I1640" t="s">
        <v>9559</v>
      </c>
      <c r="J1640" t="s">
        <v>5484</v>
      </c>
      <c r="K1640" t="s">
        <v>5471</v>
      </c>
      <c r="L1640" t="s">
        <v>5471</v>
      </c>
      <c r="M1640" t="s">
        <v>5471</v>
      </c>
    </row>
    <row r="1641" spans="1:13" x14ac:dyDescent="0.3">
      <c r="A1641" t="s">
        <v>3388</v>
      </c>
      <c r="B1641" t="s">
        <v>5531</v>
      </c>
      <c r="C1641" t="s">
        <v>5470</v>
      </c>
      <c r="D1641" t="s">
        <v>4119</v>
      </c>
      <c r="E1641" t="s">
        <v>5532</v>
      </c>
      <c r="F1641" t="s">
        <v>9560</v>
      </c>
      <c r="G1641" t="s">
        <v>8853</v>
      </c>
      <c r="H1641" t="s">
        <v>5474</v>
      </c>
      <c r="I1641" t="s">
        <v>9561</v>
      </c>
      <c r="J1641" t="s">
        <v>5484</v>
      </c>
      <c r="K1641" t="s">
        <v>5471</v>
      </c>
      <c r="L1641" t="s">
        <v>5471</v>
      </c>
      <c r="M1641" t="s">
        <v>5471</v>
      </c>
    </row>
    <row r="1642" spans="1:13" x14ac:dyDescent="0.3">
      <c r="A1642" t="s">
        <v>3388</v>
      </c>
      <c r="B1642" t="s">
        <v>5531</v>
      </c>
      <c r="C1642" t="s">
        <v>5470</v>
      </c>
      <c r="D1642" t="s">
        <v>4119</v>
      </c>
      <c r="E1642" t="s">
        <v>5532</v>
      </c>
      <c r="F1642" t="s">
        <v>9562</v>
      </c>
      <c r="G1642" t="s">
        <v>8582</v>
      </c>
      <c r="H1642" t="s">
        <v>5474</v>
      </c>
      <c r="I1642" t="s">
        <v>9563</v>
      </c>
      <c r="J1642" t="s">
        <v>5484</v>
      </c>
      <c r="K1642" t="s">
        <v>5471</v>
      </c>
      <c r="L1642" t="s">
        <v>5471</v>
      </c>
      <c r="M1642" t="s">
        <v>5471</v>
      </c>
    </row>
    <row r="1643" spans="1:13" x14ac:dyDescent="0.3">
      <c r="A1643" t="s">
        <v>3388</v>
      </c>
      <c r="B1643" t="s">
        <v>9564</v>
      </c>
      <c r="C1643" t="s">
        <v>5470</v>
      </c>
      <c r="D1643" t="s">
        <v>4119</v>
      </c>
      <c r="E1643" t="s">
        <v>5471</v>
      </c>
      <c r="F1643" t="s">
        <v>9565</v>
      </c>
      <c r="G1643" t="s">
        <v>9566</v>
      </c>
      <c r="H1643" t="s">
        <v>5474</v>
      </c>
      <c r="I1643" t="s">
        <v>9567</v>
      </c>
      <c r="J1643" t="s">
        <v>5476</v>
      </c>
      <c r="K1643" t="s">
        <v>5471</v>
      </c>
      <c r="L1643" t="s">
        <v>5471</v>
      </c>
      <c r="M1643" t="s">
        <v>5471</v>
      </c>
    </row>
    <row r="1644" spans="1:13" x14ac:dyDescent="0.3">
      <c r="A1644" t="s">
        <v>3388</v>
      </c>
      <c r="B1644" t="s">
        <v>7350</v>
      </c>
      <c r="C1644" t="s">
        <v>5470</v>
      </c>
      <c r="D1644" t="s">
        <v>4119</v>
      </c>
      <c r="E1644" t="s">
        <v>5471</v>
      </c>
      <c r="F1644" t="s">
        <v>9568</v>
      </c>
      <c r="G1644" t="s">
        <v>7352</v>
      </c>
      <c r="H1644" t="s">
        <v>5474</v>
      </c>
      <c r="I1644" t="s">
        <v>9569</v>
      </c>
      <c r="J1644" t="s">
        <v>5476</v>
      </c>
      <c r="K1644" t="s">
        <v>5471</v>
      </c>
      <c r="L1644" t="s">
        <v>5471</v>
      </c>
      <c r="M1644" t="s">
        <v>5471</v>
      </c>
    </row>
    <row r="1645" spans="1:13" x14ac:dyDescent="0.3">
      <c r="A1645" t="s">
        <v>3383</v>
      </c>
      <c r="B1645" t="s">
        <v>8871</v>
      </c>
      <c r="C1645" t="s">
        <v>5470</v>
      </c>
      <c r="D1645" t="s">
        <v>4119</v>
      </c>
      <c r="E1645" t="s">
        <v>5532</v>
      </c>
      <c r="F1645" t="s">
        <v>9570</v>
      </c>
      <c r="G1645" t="s">
        <v>8929</v>
      </c>
      <c r="H1645" t="s">
        <v>5474</v>
      </c>
      <c r="I1645" t="s">
        <v>9571</v>
      </c>
      <c r="J1645" t="s">
        <v>5484</v>
      </c>
      <c r="K1645" t="s">
        <v>5471</v>
      </c>
      <c r="L1645" t="s">
        <v>5471</v>
      </c>
      <c r="M1645" t="s">
        <v>5471</v>
      </c>
    </row>
    <row r="1646" spans="1:13" x14ac:dyDescent="0.3">
      <c r="A1646" t="s">
        <v>3383</v>
      </c>
      <c r="B1646" t="s">
        <v>6122</v>
      </c>
      <c r="C1646" t="s">
        <v>5470</v>
      </c>
      <c r="D1646" t="s">
        <v>4119</v>
      </c>
      <c r="E1646" t="s">
        <v>5756</v>
      </c>
      <c r="F1646" t="s">
        <v>9570</v>
      </c>
      <c r="G1646" t="s">
        <v>6123</v>
      </c>
      <c r="H1646" t="s">
        <v>5474</v>
      </c>
      <c r="I1646" t="s">
        <v>9572</v>
      </c>
      <c r="J1646" t="s">
        <v>5484</v>
      </c>
      <c r="K1646" t="s">
        <v>5471</v>
      </c>
      <c r="L1646" t="s">
        <v>5471</v>
      </c>
      <c r="M1646" t="s">
        <v>5471</v>
      </c>
    </row>
    <row r="1647" spans="1:13" x14ac:dyDescent="0.3">
      <c r="A1647" t="s">
        <v>3383</v>
      </c>
      <c r="B1647" t="s">
        <v>6009</v>
      </c>
      <c r="C1647" t="s">
        <v>5470</v>
      </c>
      <c r="D1647" t="s">
        <v>4119</v>
      </c>
      <c r="E1647" t="s">
        <v>5532</v>
      </c>
      <c r="F1647" t="s">
        <v>9570</v>
      </c>
      <c r="G1647" t="s">
        <v>6011</v>
      </c>
      <c r="H1647" t="s">
        <v>5474</v>
      </c>
      <c r="I1647" t="s">
        <v>9573</v>
      </c>
      <c r="J1647" t="s">
        <v>5484</v>
      </c>
      <c r="K1647" t="s">
        <v>5471</v>
      </c>
      <c r="L1647" t="s">
        <v>5471</v>
      </c>
      <c r="M1647" t="s">
        <v>5471</v>
      </c>
    </row>
    <row r="1648" spans="1:13" x14ac:dyDescent="0.3">
      <c r="A1648" t="s">
        <v>3383</v>
      </c>
      <c r="B1648" t="s">
        <v>6187</v>
      </c>
      <c r="C1648" t="s">
        <v>5470</v>
      </c>
      <c r="D1648" t="s">
        <v>4119</v>
      </c>
      <c r="E1648" t="s">
        <v>5756</v>
      </c>
      <c r="F1648" t="s">
        <v>9570</v>
      </c>
      <c r="G1648" t="s">
        <v>7490</v>
      </c>
      <c r="H1648" t="s">
        <v>5474</v>
      </c>
      <c r="I1648" t="s">
        <v>9574</v>
      </c>
      <c r="J1648" t="s">
        <v>5476</v>
      </c>
      <c r="K1648" t="s">
        <v>5471</v>
      </c>
      <c r="L1648" t="s">
        <v>5471</v>
      </c>
      <c r="M1648" t="s">
        <v>5471</v>
      </c>
    </row>
    <row r="1649" spans="1:13" x14ac:dyDescent="0.3">
      <c r="A1649" t="s">
        <v>3383</v>
      </c>
      <c r="B1649" t="s">
        <v>6051</v>
      </c>
      <c r="C1649" t="s">
        <v>5470</v>
      </c>
      <c r="D1649" t="s">
        <v>4119</v>
      </c>
      <c r="E1649" t="s">
        <v>5756</v>
      </c>
      <c r="F1649" t="s">
        <v>9570</v>
      </c>
      <c r="G1649" t="s">
        <v>6053</v>
      </c>
      <c r="H1649" t="s">
        <v>5474</v>
      </c>
      <c r="I1649" t="s">
        <v>9575</v>
      </c>
      <c r="J1649" t="s">
        <v>5476</v>
      </c>
      <c r="K1649" t="s">
        <v>5471</v>
      </c>
      <c r="L1649" t="s">
        <v>5471</v>
      </c>
      <c r="M1649" t="s">
        <v>5471</v>
      </c>
    </row>
    <row r="1650" spans="1:13" x14ac:dyDescent="0.3">
      <c r="A1650" t="s">
        <v>3383</v>
      </c>
      <c r="B1650" t="s">
        <v>8875</v>
      </c>
      <c r="C1650" t="s">
        <v>5470</v>
      </c>
      <c r="D1650" t="s">
        <v>4119</v>
      </c>
      <c r="E1650" t="s">
        <v>5532</v>
      </c>
      <c r="F1650" t="s">
        <v>9576</v>
      </c>
      <c r="G1650" t="s">
        <v>8938</v>
      </c>
      <c r="H1650" t="s">
        <v>5474</v>
      </c>
      <c r="I1650" t="s">
        <v>9577</v>
      </c>
      <c r="J1650" t="s">
        <v>5484</v>
      </c>
      <c r="K1650" t="s">
        <v>5471</v>
      </c>
      <c r="L1650" t="s">
        <v>5471</v>
      </c>
      <c r="M1650" t="s">
        <v>5471</v>
      </c>
    </row>
    <row r="1651" spans="1:13" x14ac:dyDescent="0.3">
      <c r="A1651" t="s">
        <v>3388</v>
      </c>
      <c r="B1651" t="s">
        <v>9578</v>
      </c>
      <c r="C1651" t="s">
        <v>5470</v>
      </c>
      <c r="D1651" t="s">
        <v>4119</v>
      </c>
      <c r="E1651" t="s">
        <v>5471</v>
      </c>
      <c r="F1651" t="s">
        <v>9579</v>
      </c>
      <c r="G1651" t="s">
        <v>9580</v>
      </c>
      <c r="H1651" t="s">
        <v>5474</v>
      </c>
      <c r="I1651" t="s">
        <v>9581</v>
      </c>
      <c r="J1651" t="s">
        <v>5476</v>
      </c>
      <c r="K1651" t="s">
        <v>5471</v>
      </c>
      <c r="L1651" t="s">
        <v>5471</v>
      </c>
      <c r="M1651" t="s">
        <v>5471</v>
      </c>
    </row>
    <row r="1652" spans="1:13" x14ac:dyDescent="0.3">
      <c r="A1652" t="s">
        <v>3388</v>
      </c>
      <c r="B1652" t="s">
        <v>9578</v>
      </c>
      <c r="C1652" t="s">
        <v>5470</v>
      </c>
      <c r="D1652" t="s">
        <v>4119</v>
      </c>
      <c r="E1652" t="s">
        <v>5471</v>
      </c>
      <c r="F1652" t="s">
        <v>9582</v>
      </c>
      <c r="G1652" t="s">
        <v>9580</v>
      </c>
      <c r="H1652" t="s">
        <v>5474</v>
      </c>
      <c r="I1652" t="s">
        <v>9583</v>
      </c>
      <c r="J1652" t="s">
        <v>5476</v>
      </c>
      <c r="K1652" t="s">
        <v>5471</v>
      </c>
      <c r="L1652" t="s">
        <v>5471</v>
      </c>
      <c r="M1652" t="s">
        <v>5471</v>
      </c>
    </row>
    <row r="1653" spans="1:13" x14ac:dyDescent="0.3">
      <c r="A1653" t="s">
        <v>3388</v>
      </c>
      <c r="B1653" t="s">
        <v>9578</v>
      </c>
      <c r="C1653" t="s">
        <v>5470</v>
      </c>
      <c r="D1653" t="s">
        <v>4119</v>
      </c>
      <c r="E1653" t="s">
        <v>5471</v>
      </c>
      <c r="F1653" t="s">
        <v>9584</v>
      </c>
      <c r="G1653" t="s">
        <v>9580</v>
      </c>
      <c r="H1653" t="s">
        <v>5474</v>
      </c>
      <c r="I1653" t="s">
        <v>9585</v>
      </c>
      <c r="J1653" t="s">
        <v>5476</v>
      </c>
      <c r="K1653" t="s">
        <v>5471</v>
      </c>
      <c r="L1653" t="s">
        <v>5471</v>
      </c>
      <c r="M1653" t="s">
        <v>5471</v>
      </c>
    </row>
    <row r="1654" spans="1:13" x14ac:dyDescent="0.3">
      <c r="A1654" t="s">
        <v>3388</v>
      </c>
      <c r="B1654" t="s">
        <v>9578</v>
      </c>
      <c r="C1654" t="s">
        <v>5470</v>
      </c>
      <c r="D1654" t="s">
        <v>4119</v>
      </c>
      <c r="E1654" t="s">
        <v>5471</v>
      </c>
      <c r="F1654" t="s">
        <v>9586</v>
      </c>
      <c r="G1654" t="s">
        <v>9580</v>
      </c>
      <c r="H1654" t="s">
        <v>5474</v>
      </c>
      <c r="I1654" t="s">
        <v>9587</v>
      </c>
      <c r="J1654" t="s">
        <v>5476</v>
      </c>
      <c r="K1654" t="s">
        <v>5471</v>
      </c>
      <c r="L1654" t="s">
        <v>5471</v>
      </c>
      <c r="M1654" t="s">
        <v>5471</v>
      </c>
    </row>
    <row r="1655" spans="1:13" x14ac:dyDescent="0.3">
      <c r="A1655" t="s">
        <v>3388</v>
      </c>
      <c r="B1655" t="s">
        <v>9578</v>
      </c>
      <c r="C1655" t="s">
        <v>5470</v>
      </c>
      <c r="D1655" t="s">
        <v>4119</v>
      </c>
      <c r="E1655" t="s">
        <v>5471</v>
      </c>
      <c r="F1655" t="s">
        <v>9588</v>
      </c>
      <c r="G1655" t="s">
        <v>9580</v>
      </c>
      <c r="H1655" t="s">
        <v>5474</v>
      </c>
      <c r="I1655" t="s">
        <v>9589</v>
      </c>
      <c r="J1655" t="s">
        <v>5476</v>
      </c>
      <c r="K1655" t="s">
        <v>5471</v>
      </c>
      <c r="L1655" t="s">
        <v>5471</v>
      </c>
      <c r="M1655" t="s">
        <v>5471</v>
      </c>
    </row>
    <row r="1656" spans="1:13" x14ac:dyDescent="0.3">
      <c r="A1656" t="s">
        <v>3388</v>
      </c>
      <c r="B1656" t="s">
        <v>9578</v>
      </c>
      <c r="C1656" t="s">
        <v>5470</v>
      </c>
      <c r="D1656" t="s">
        <v>4119</v>
      </c>
      <c r="E1656" t="s">
        <v>5471</v>
      </c>
      <c r="F1656" t="s">
        <v>9590</v>
      </c>
      <c r="G1656" t="s">
        <v>9580</v>
      </c>
      <c r="H1656" t="s">
        <v>5474</v>
      </c>
      <c r="I1656" t="s">
        <v>9591</v>
      </c>
      <c r="J1656" t="s">
        <v>5476</v>
      </c>
      <c r="K1656" t="s">
        <v>5471</v>
      </c>
      <c r="L1656" t="s">
        <v>5471</v>
      </c>
      <c r="M1656" t="s">
        <v>5471</v>
      </c>
    </row>
    <row r="1657" spans="1:13" x14ac:dyDescent="0.3">
      <c r="A1657" t="s">
        <v>3388</v>
      </c>
      <c r="B1657" t="s">
        <v>9578</v>
      </c>
      <c r="C1657" t="s">
        <v>5470</v>
      </c>
      <c r="D1657" t="s">
        <v>4119</v>
      </c>
      <c r="E1657" t="s">
        <v>5471</v>
      </c>
      <c r="F1657" t="s">
        <v>9592</v>
      </c>
      <c r="G1657" t="s">
        <v>9593</v>
      </c>
      <c r="H1657" t="s">
        <v>5474</v>
      </c>
      <c r="I1657" t="s">
        <v>9594</v>
      </c>
      <c r="J1657" t="s">
        <v>5476</v>
      </c>
      <c r="K1657" t="s">
        <v>5471</v>
      </c>
      <c r="L1657" t="s">
        <v>5471</v>
      </c>
      <c r="M1657" t="s">
        <v>5471</v>
      </c>
    </row>
    <row r="1658" spans="1:13" x14ac:dyDescent="0.3">
      <c r="A1658" t="s">
        <v>3388</v>
      </c>
      <c r="B1658" t="s">
        <v>9578</v>
      </c>
      <c r="C1658" t="s">
        <v>5470</v>
      </c>
      <c r="D1658" t="s">
        <v>4119</v>
      </c>
      <c r="E1658" t="s">
        <v>5471</v>
      </c>
      <c r="F1658" t="s">
        <v>9595</v>
      </c>
      <c r="G1658" t="s">
        <v>9593</v>
      </c>
      <c r="H1658" t="s">
        <v>5474</v>
      </c>
      <c r="I1658" t="s">
        <v>9596</v>
      </c>
      <c r="J1658" t="s">
        <v>5476</v>
      </c>
      <c r="K1658" t="s">
        <v>5471</v>
      </c>
      <c r="L1658" t="s">
        <v>5471</v>
      </c>
      <c r="M1658" t="s">
        <v>5471</v>
      </c>
    </row>
    <row r="1659" spans="1:13" x14ac:dyDescent="0.3">
      <c r="A1659" t="s">
        <v>3388</v>
      </c>
      <c r="B1659" t="s">
        <v>9578</v>
      </c>
      <c r="C1659" t="s">
        <v>5470</v>
      </c>
      <c r="D1659" t="s">
        <v>4119</v>
      </c>
      <c r="E1659" t="s">
        <v>5471</v>
      </c>
      <c r="F1659" t="s">
        <v>9597</v>
      </c>
      <c r="G1659" t="s">
        <v>9593</v>
      </c>
      <c r="H1659" t="s">
        <v>5474</v>
      </c>
      <c r="I1659" t="s">
        <v>9598</v>
      </c>
      <c r="J1659" t="s">
        <v>5476</v>
      </c>
      <c r="K1659" t="s">
        <v>5471</v>
      </c>
      <c r="L1659" t="s">
        <v>5471</v>
      </c>
      <c r="M1659" t="s">
        <v>5471</v>
      </c>
    </row>
    <row r="1660" spans="1:13" x14ac:dyDescent="0.3">
      <c r="A1660" t="s">
        <v>3388</v>
      </c>
      <c r="B1660" t="s">
        <v>9578</v>
      </c>
      <c r="C1660" t="s">
        <v>5470</v>
      </c>
      <c r="D1660" t="s">
        <v>4119</v>
      </c>
      <c r="E1660" t="s">
        <v>5471</v>
      </c>
      <c r="F1660" t="s">
        <v>9599</v>
      </c>
      <c r="G1660" t="s">
        <v>9593</v>
      </c>
      <c r="H1660" t="s">
        <v>5474</v>
      </c>
      <c r="I1660" t="s">
        <v>9600</v>
      </c>
      <c r="J1660" t="s">
        <v>5476</v>
      </c>
      <c r="K1660" t="s">
        <v>5471</v>
      </c>
      <c r="L1660" t="s">
        <v>5471</v>
      </c>
      <c r="M1660" t="s">
        <v>5471</v>
      </c>
    </row>
    <row r="1661" spans="1:13" x14ac:dyDescent="0.3">
      <c r="A1661" t="s">
        <v>3388</v>
      </c>
      <c r="B1661" t="s">
        <v>9578</v>
      </c>
      <c r="C1661" t="s">
        <v>5470</v>
      </c>
      <c r="D1661" t="s">
        <v>4119</v>
      </c>
      <c r="E1661" t="s">
        <v>5471</v>
      </c>
      <c r="F1661" t="s">
        <v>9601</v>
      </c>
      <c r="G1661" t="s">
        <v>9593</v>
      </c>
      <c r="H1661" t="s">
        <v>5474</v>
      </c>
      <c r="I1661" t="s">
        <v>9602</v>
      </c>
      <c r="J1661" t="s">
        <v>5476</v>
      </c>
      <c r="K1661" t="s">
        <v>5471</v>
      </c>
      <c r="L1661" t="s">
        <v>5471</v>
      </c>
      <c r="M1661" t="s">
        <v>5471</v>
      </c>
    </row>
    <row r="1662" spans="1:13" x14ac:dyDescent="0.3">
      <c r="A1662" t="s">
        <v>3388</v>
      </c>
      <c r="B1662" t="s">
        <v>9578</v>
      </c>
      <c r="C1662" t="s">
        <v>5470</v>
      </c>
      <c r="D1662" t="s">
        <v>4119</v>
      </c>
      <c r="E1662" t="s">
        <v>5471</v>
      </c>
      <c r="F1662" t="s">
        <v>9603</v>
      </c>
      <c r="G1662" t="s">
        <v>9593</v>
      </c>
      <c r="H1662" t="s">
        <v>5474</v>
      </c>
      <c r="I1662" t="s">
        <v>9604</v>
      </c>
      <c r="J1662" t="s">
        <v>5476</v>
      </c>
      <c r="K1662" t="s">
        <v>5471</v>
      </c>
      <c r="L1662" t="s">
        <v>5471</v>
      </c>
      <c r="M1662" t="s">
        <v>5471</v>
      </c>
    </row>
    <row r="1663" spans="1:13" x14ac:dyDescent="0.3">
      <c r="A1663" t="s">
        <v>3388</v>
      </c>
      <c r="B1663" t="s">
        <v>9578</v>
      </c>
      <c r="C1663" t="s">
        <v>5470</v>
      </c>
      <c r="D1663" t="s">
        <v>4119</v>
      </c>
      <c r="E1663" t="s">
        <v>5471</v>
      </c>
      <c r="F1663" t="s">
        <v>9605</v>
      </c>
      <c r="G1663" t="s">
        <v>9593</v>
      </c>
      <c r="H1663" t="s">
        <v>5474</v>
      </c>
      <c r="I1663" t="s">
        <v>9606</v>
      </c>
      <c r="J1663" t="s">
        <v>5476</v>
      </c>
      <c r="K1663" t="s">
        <v>5471</v>
      </c>
      <c r="L1663" t="s">
        <v>5471</v>
      </c>
      <c r="M1663" t="s">
        <v>5471</v>
      </c>
    </row>
    <row r="1664" spans="1:13" x14ac:dyDescent="0.3">
      <c r="A1664" t="s">
        <v>3388</v>
      </c>
      <c r="B1664" t="s">
        <v>9578</v>
      </c>
      <c r="C1664" t="s">
        <v>5470</v>
      </c>
      <c r="D1664" t="s">
        <v>4119</v>
      </c>
      <c r="E1664" t="s">
        <v>5471</v>
      </c>
      <c r="F1664" t="s">
        <v>9607</v>
      </c>
      <c r="G1664" t="s">
        <v>9593</v>
      </c>
      <c r="H1664" t="s">
        <v>5474</v>
      </c>
      <c r="I1664" t="s">
        <v>9608</v>
      </c>
      <c r="J1664" t="s">
        <v>5476</v>
      </c>
      <c r="K1664" t="s">
        <v>5471</v>
      </c>
      <c r="L1664" t="s">
        <v>5471</v>
      </c>
      <c r="M1664" t="s">
        <v>5471</v>
      </c>
    </row>
    <row r="1665" spans="1:13" x14ac:dyDescent="0.3">
      <c r="A1665" t="s">
        <v>3388</v>
      </c>
      <c r="B1665" t="s">
        <v>9578</v>
      </c>
      <c r="C1665" t="s">
        <v>5470</v>
      </c>
      <c r="D1665" t="s">
        <v>4119</v>
      </c>
      <c r="E1665" t="s">
        <v>5471</v>
      </c>
      <c r="F1665" t="s">
        <v>9609</v>
      </c>
      <c r="G1665" t="s">
        <v>9593</v>
      </c>
      <c r="H1665" t="s">
        <v>5474</v>
      </c>
      <c r="I1665" t="s">
        <v>9610</v>
      </c>
      <c r="J1665" t="s">
        <v>5476</v>
      </c>
      <c r="K1665" t="s">
        <v>5471</v>
      </c>
      <c r="L1665" t="s">
        <v>5471</v>
      </c>
      <c r="M1665" t="s">
        <v>5471</v>
      </c>
    </row>
    <row r="1666" spans="1:13" x14ac:dyDescent="0.3">
      <c r="A1666" t="s">
        <v>3388</v>
      </c>
      <c r="B1666" t="s">
        <v>9611</v>
      </c>
      <c r="C1666" t="s">
        <v>5470</v>
      </c>
      <c r="D1666" t="s">
        <v>4119</v>
      </c>
      <c r="E1666" t="s">
        <v>5471</v>
      </c>
      <c r="F1666" t="s">
        <v>9612</v>
      </c>
      <c r="G1666" t="s">
        <v>9613</v>
      </c>
      <c r="H1666" t="s">
        <v>5474</v>
      </c>
      <c r="I1666" t="s">
        <v>9614</v>
      </c>
      <c r="J1666" t="s">
        <v>5476</v>
      </c>
      <c r="K1666" t="s">
        <v>5471</v>
      </c>
      <c r="L1666" t="s">
        <v>5471</v>
      </c>
      <c r="M1666" t="s">
        <v>5471</v>
      </c>
    </row>
    <row r="1667" spans="1:13" x14ac:dyDescent="0.3">
      <c r="A1667" t="s">
        <v>3388</v>
      </c>
      <c r="B1667" t="s">
        <v>9611</v>
      </c>
      <c r="C1667" t="s">
        <v>5470</v>
      </c>
      <c r="D1667" t="s">
        <v>4119</v>
      </c>
      <c r="E1667" t="s">
        <v>5471</v>
      </c>
      <c r="F1667" t="s">
        <v>9615</v>
      </c>
      <c r="G1667" t="s">
        <v>9613</v>
      </c>
      <c r="H1667" t="s">
        <v>5474</v>
      </c>
      <c r="I1667" t="s">
        <v>9616</v>
      </c>
      <c r="J1667" t="s">
        <v>5476</v>
      </c>
      <c r="K1667" t="s">
        <v>5471</v>
      </c>
      <c r="L1667" t="s">
        <v>5471</v>
      </c>
      <c r="M1667" t="s">
        <v>5471</v>
      </c>
    </row>
    <row r="1668" spans="1:13" x14ac:dyDescent="0.3">
      <c r="A1668" t="s">
        <v>3388</v>
      </c>
      <c r="B1668" t="s">
        <v>9611</v>
      </c>
      <c r="C1668" t="s">
        <v>5470</v>
      </c>
      <c r="D1668" t="s">
        <v>4119</v>
      </c>
      <c r="E1668" t="s">
        <v>5471</v>
      </c>
      <c r="F1668" t="s">
        <v>9617</v>
      </c>
      <c r="G1668" t="s">
        <v>9613</v>
      </c>
      <c r="H1668" t="s">
        <v>5474</v>
      </c>
      <c r="I1668" t="s">
        <v>9618</v>
      </c>
      <c r="J1668" t="s">
        <v>5476</v>
      </c>
      <c r="K1668" t="s">
        <v>5471</v>
      </c>
      <c r="L1668" t="s">
        <v>5471</v>
      </c>
      <c r="M1668" t="s">
        <v>5471</v>
      </c>
    </row>
    <row r="1669" spans="1:13" x14ac:dyDescent="0.3">
      <c r="A1669" t="s">
        <v>3388</v>
      </c>
      <c r="B1669" t="s">
        <v>9611</v>
      </c>
      <c r="C1669" t="s">
        <v>5470</v>
      </c>
      <c r="D1669" t="s">
        <v>4119</v>
      </c>
      <c r="E1669" t="s">
        <v>5471</v>
      </c>
      <c r="F1669" t="s">
        <v>9619</v>
      </c>
      <c r="G1669" t="s">
        <v>9613</v>
      </c>
      <c r="H1669" t="s">
        <v>5474</v>
      </c>
      <c r="I1669" t="s">
        <v>9620</v>
      </c>
      <c r="J1669" t="s">
        <v>5476</v>
      </c>
      <c r="K1669" t="s">
        <v>5471</v>
      </c>
      <c r="L1669" t="s">
        <v>5471</v>
      </c>
      <c r="M1669" t="s">
        <v>5471</v>
      </c>
    </row>
    <row r="1670" spans="1:13" x14ac:dyDescent="0.3">
      <c r="A1670" t="s">
        <v>3388</v>
      </c>
      <c r="B1670" t="s">
        <v>9611</v>
      </c>
      <c r="C1670" t="s">
        <v>5470</v>
      </c>
      <c r="D1670" t="s">
        <v>4119</v>
      </c>
      <c r="E1670" t="s">
        <v>5471</v>
      </c>
      <c r="F1670" t="s">
        <v>9621</v>
      </c>
      <c r="G1670" t="s">
        <v>9613</v>
      </c>
      <c r="H1670" t="s">
        <v>5474</v>
      </c>
      <c r="I1670" t="s">
        <v>9622</v>
      </c>
      <c r="J1670" t="s">
        <v>5476</v>
      </c>
      <c r="K1670" t="s">
        <v>5471</v>
      </c>
      <c r="L1670" t="s">
        <v>5471</v>
      </c>
      <c r="M1670" t="s">
        <v>5471</v>
      </c>
    </row>
    <row r="1671" spans="1:13" x14ac:dyDescent="0.3">
      <c r="A1671" t="s">
        <v>3388</v>
      </c>
      <c r="B1671" t="s">
        <v>9611</v>
      </c>
      <c r="C1671" t="s">
        <v>5470</v>
      </c>
      <c r="D1671" t="s">
        <v>4119</v>
      </c>
      <c r="E1671" t="s">
        <v>5471</v>
      </c>
      <c r="F1671" t="s">
        <v>9623</v>
      </c>
      <c r="G1671" t="s">
        <v>9613</v>
      </c>
      <c r="H1671" t="s">
        <v>5474</v>
      </c>
      <c r="I1671" t="s">
        <v>9624</v>
      </c>
      <c r="J1671" t="s">
        <v>5476</v>
      </c>
      <c r="K1671" t="s">
        <v>5471</v>
      </c>
      <c r="L1671" t="s">
        <v>5471</v>
      </c>
      <c r="M1671" t="s">
        <v>5471</v>
      </c>
    </row>
    <row r="1672" spans="1:13" x14ac:dyDescent="0.3">
      <c r="A1672" t="s">
        <v>3388</v>
      </c>
      <c r="B1672" t="s">
        <v>9611</v>
      </c>
      <c r="C1672" t="s">
        <v>5470</v>
      </c>
      <c r="D1672" t="s">
        <v>4119</v>
      </c>
      <c r="E1672" t="s">
        <v>5471</v>
      </c>
      <c r="F1672" t="s">
        <v>9625</v>
      </c>
      <c r="G1672" t="s">
        <v>9613</v>
      </c>
      <c r="H1672" t="s">
        <v>5474</v>
      </c>
      <c r="I1672" t="s">
        <v>9626</v>
      </c>
      <c r="J1672" t="s">
        <v>5476</v>
      </c>
      <c r="K1672" t="s">
        <v>5471</v>
      </c>
      <c r="L1672" t="s">
        <v>5471</v>
      </c>
      <c r="M1672" t="s">
        <v>5471</v>
      </c>
    </row>
    <row r="1673" spans="1:13" x14ac:dyDescent="0.3">
      <c r="A1673" t="s">
        <v>3388</v>
      </c>
      <c r="B1673" t="s">
        <v>9611</v>
      </c>
      <c r="C1673" t="s">
        <v>5470</v>
      </c>
      <c r="D1673" t="s">
        <v>4119</v>
      </c>
      <c r="E1673" t="s">
        <v>5471</v>
      </c>
      <c r="F1673" t="s">
        <v>9627</v>
      </c>
      <c r="G1673" t="s">
        <v>9613</v>
      </c>
      <c r="H1673" t="s">
        <v>5474</v>
      </c>
      <c r="I1673" t="s">
        <v>9628</v>
      </c>
      <c r="J1673" t="s">
        <v>5476</v>
      </c>
      <c r="K1673" t="s">
        <v>5471</v>
      </c>
      <c r="L1673" t="s">
        <v>5471</v>
      </c>
      <c r="M1673" t="s">
        <v>5471</v>
      </c>
    </row>
    <row r="1674" spans="1:13" x14ac:dyDescent="0.3">
      <c r="A1674" t="s">
        <v>3388</v>
      </c>
      <c r="B1674" t="s">
        <v>9611</v>
      </c>
      <c r="C1674" t="s">
        <v>5470</v>
      </c>
      <c r="D1674" t="s">
        <v>4119</v>
      </c>
      <c r="E1674" t="s">
        <v>5471</v>
      </c>
      <c r="F1674" t="s">
        <v>9629</v>
      </c>
      <c r="G1674" t="s">
        <v>9613</v>
      </c>
      <c r="H1674" t="s">
        <v>5474</v>
      </c>
      <c r="I1674" t="s">
        <v>9630</v>
      </c>
      <c r="J1674" t="s">
        <v>5476</v>
      </c>
      <c r="K1674" t="s">
        <v>5471</v>
      </c>
      <c r="L1674" t="s">
        <v>5471</v>
      </c>
      <c r="M1674" t="s">
        <v>5471</v>
      </c>
    </row>
    <row r="1675" spans="1:13" x14ac:dyDescent="0.3">
      <c r="A1675" t="s">
        <v>3388</v>
      </c>
      <c r="B1675" t="s">
        <v>9611</v>
      </c>
      <c r="C1675" t="s">
        <v>5470</v>
      </c>
      <c r="D1675" t="s">
        <v>4119</v>
      </c>
      <c r="E1675" t="s">
        <v>5471</v>
      </c>
      <c r="F1675" t="s">
        <v>9631</v>
      </c>
      <c r="G1675" t="s">
        <v>9613</v>
      </c>
      <c r="H1675" t="s">
        <v>5474</v>
      </c>
      <c r="I1675" t="s">
        <v>9632</v>
      </c>
      <c r="J1675" t="s">
        <v>5476</v>
      </c>
      <c r="K1675" t="s">
        <v>5471</v>
      </c>
      <c r="L1675" t="s">
        <v>5471</v>
      </c>
      <c r="M1675" t="s">
        <v>5471</v>
      </c>
    </row>
    <row r="1676" spans="1:13" x14ac:dyDescent="0.3">
      <c r="A1676" t="s">
        <v>3383</v>
      </c>
      <c r="B1676" t="s">
        <v>8871</v>
      </c>
      <c r="C1676" t="s">
        <v>5470</v>
      </c>
      <c r="D1676" t="s">
        <v>4119</v>
      </c>
      <c r="E1676" t="s">
        <v>5532</v>
      </c>
      <c r="F1676" t="s">
        <v>9576</v>
      </c>
      <c r="G1676" t="s">
        <v>8929</v>
      </c>
      <c r="H1676" t="s">
        <v>5474</v>
      </c>
      <c r="I1676" t="s">
        <v>9633</v>
      </c>
      <c r="J1676" t="s">
        <v>5484</v>
      </c>
      <c r="K1676" t="s">
        <v>5471</v>
      </c>
      <c r="L1676" t="s">
        <v>5471</v>
      </c>
      <c r="M1676" t="s">
        <v>5471</v>
      </c>
    </row>
    <row r="1677" spans="1:13" x14ac:dyDescent="0.3">
      <c r="A1677" t="s">
        <v>3383</v>
      </c>
      <c r="B1677" t="s">
        <v>6122</v>
      </c>
      <c r="C1677" t="s">
        <v>5470</v>
      </c>
      <c r="D1677" t="s">
        <v>4119</v>
      </c>
      <c r="E1677" t="s">
        <v>5756</v>
      </c>
      <c r="F1677" t="s">
        <v>9576</v>
      </c>
      <c r="G1677" t="s">
        <v>6123</v>
      </c>
      <c r="H1677" t="s">
        <v>5474</v>
      </c>
      <c r="I1677" t="s">
        <v>9634</v>
      </c>
      <c r="J1677" t="s">
        <v>5484</v>
      </c>
      <c r="K1677" t="s">
        <v>5471</v>
      </c>
      <c r="L1677" t="s">
        <v>5471</v>
      </c>
      <c r="M1677" t="s">
        <v>5471</v>
      </c>
    </row>
    <row r="1678" spans="1:13" x14ac:dyDescent="0.3">
      <c r="A1678" t="s">
        <v>3383</v>
      </c>
      <c r="B1678" t="s">
        <v>8483</v>
      </c>
      <c r="C1678" t="s">
        <v>5487</v>
      </c>
      <c r="D1678" t="s">
        <v>4119</v>
      </c>
      <c r="E1678" t="s">
        <v>5756</v>
      </c>
      <c r="F1678" t="s">
        <v>9635</v>
      </c>
      <c r="G1678" t="s">
        <v>8485</v>
      </c>
      <c r="H1678" t="s">
        <v>5474</v>
      </c>
      <c r="I1678" t="s">
        <v>9636</v>
      </c>
      <c r="J1678" t="s">
        <v>5476</v>
      </c>
      <c r="K1678" t="s">
        <v>5471</v>
      </c>
      <c r="L1678" t="s">
        <v>5471</v>
      </c>
      <c r="M1678" t="s">
        <v>5471</v>
      </c>
    </row>
    <row r="1679" spans="1:13" x14ac:dyDescent="0.3">
      <c r="A1679" t="s">
        <v>3383</v>
      </c>
      <c r="B1679" t="s">
        <v>8483</v>
      </c>
      <c r="C1679" t="s">
        <v>5487</v>
      </c>
      <c r="D1679" t="s">
        <v>4119</v>
      </c>
      <c r="E1679" t="s">
        <v>5756</v>
      </c>
      <c r="F1679" t="s">
        <v>9637</v>
      </c>
      <c r="G1679" t="s">
        <v>8485</v>
      </c>
      <c r="H1679" t="s">
        <v>5474</v>
      </c>
      <c r="I1679" t="s">
        <v>9638</v>
      </c>
      <c r="J1679" t="s">
        <v>5476</v>
      </c>
      <c r="K1679" t="s">
        <v>5471</v>
      </c>
      <c r="L1679" t="s">
        <v>5471</v>
      </c>
      <c r="M1679" t="s">
        <v>5471</v>
      </c>
    </row>
    <row r="1680" spans="1:13" x14ac:dyDescent="0.3">
      <c r="A1680" t="s">
        <v>3383</v>
      </c>
      <c r="B1680" t="s">
        <v>8483</v>
      </c>
      <c r="C1680" t="s">
        <v>5487</v>
      </c>
      <c r="D1680" t="s">
        <v>4119</v>
      </c>
      <c r="E1680" t="s">
        <v>5756</v>
      </c>
      <c r="F1680" t="s">
        <v>9639</v>
      </c>
      <c r="G1680" t="s">
        <v>8485</v>
      </c>
      <c r="H1680" t="s">
        <v>5474</v>
      </c>
      <c r="I1680" t="s">
        <v>9640</v>
      </c>
      <c r="J1680" t="s">
        <v>5476</v>
      </c>
      <c r="K1680" t="s">
        <v>5471</v>
      </c>
      <c r="L1680" t="s">
        <v>5471</v>
      </c>
      <c r="M1680" t="s">
        <v>5471</v>
      </c>
    </row>
    <row r="1681" spans="1:13" x14ac:dyDescent="0.3">
      <c r="A1681" t="s">
        <v>3383</v>
      </c>
      <c r="B1681" t="s">
        <v>6187</v>
      </c>
      <c r="C1681" t="s">
        <v>5470</v>
      </c>
      <c r="D1681" t="s">
        <v>4119</v>
      </c>
      <c r="E1681" t="s">
        <v>5756</v>
      </c>
      <c r="F1681" t="s">
        <v>9576</v>
      </c>
      <c r="G1681" t="s">
        <v>7490</v>
      </c>
      <c r="H1681" t="s">
        <v>5474</v>
      </c>
      <c r="I1681" t="s">
        <v>9641</v>
      </c>
      <c r="J1681" t="s">
        <v>5484</v>
      </c>
      <c r="K1681" t="s">
        <v>5471</v>
      </c>
      <c r="L1681" t="s">
        <v>5471</v>
      </c>
      <c r="M1681" t="s">
        <v>5471</v>
      </c>
    </row>
    <row r="1682" spans="1:13" x14ac:dyDescent="0.3">
      <c r="A1682" t="s">
        <v>3383</v>
      </c>
      <c r="B1682" t="s">
        <v>8483</v>
      </c>
      <c r="C1682" t="s">
        <v>5487</v>
      </c>
      <c r="D1682" t="s">
        <v>4119</v>
      </c>
      <c r="E1682" t="s">
        <v>5756</v>
      </c>
      <c r="F1682" t="s">
        <v>9642</v>
      </c>
      <c r="G1682" t="s">
        <v>8494</v>
      </c>
      <c r="H1682" t="s">
        <v>5474</v>
      </c>
      <c r="I1682" t="s">
        <v>9643</v>
      </c>
      <c r="J1682" t="s">
        <v>5476</v>
      </c>
      <c r="K1682" t="s">
        <v>5471</v>
      </c>
      <c r="L1682" t="s">
        <v>5471</v>
      </c>
      <c r="M1682" t="s">
        <v>5471</v>
      </c>
    </row>
    <row r="1683" spans="1:13" x14ac:dyDescent="0.3">
      <c r="A1683" t="s">
        <v>3383</v>
      </c>
      <c r="B1683" t="s">
        <v>8483</v>
      </c>
      <c r="C1683" t="s">
        <v>5487</v>
      </c>
      <c r="D1683" t="s">
        <v>4119</v>
      </c>
      <c r="E1683" t="s">
        <v>5756</v>
      </c>
      <c r="F1683" t="s">
        <v>9644</v>
      </c>
      <c r="G1683" t="s">
        <v>8494</v>
      </c>
      <c r="H1683" t="s">
        <v>5474</v>
      </c>
      <c r="I1683" t="s">
        <v>9645</v>
      </c>
      <c r="J1683" t="s">
        <v>5476</v>
      </c>
      <c r="K1683" t="s">
        <v>5471</v>
      </c>
      <c r="L1683" t="s">
        <v>5471</v>
      </c>
      <c r="M1683" t="s">
        <v>5471</v>
      </c>
    </row>
    <row r="1684" spans="1:13" x14ac:dyDescent="0.3">
      <c r="A1684" t="s">
        <v>3383</v>
      </c>
      <c r="B1684" t="s">
        <v>8483</v>
      </c>
      <c r="C1684" t="s">
        <v>5487</v>
      </c>
      <c r="D1684" t="s">
        <v>4119</v>
      </c>
      <c r="E1684" t="s">
        <v>5756</v>
      </c>
      <c r="F1684" t="s">
        <v>9646</v>
      </c>
      <c r="G1684" t="s">
        <v>8494</v>
      </c>
      <c r="H1684" t="s">
        <v>5474</v>
      </c>
      <c r="I1684" t="s">
        <v>9647</v>
      </c>
      <c r="J1684" t="s">
        <v>5476</v>
      </c>
      <c r="K1684" t="s">
        <v>5471</v>
      </c>
      <c r="L1684" t="s">
        <v>5471</v>
      </c>
      <c r="M1684" t="s">
        <v>5471</v>
      </c>
    </row>
    <row r="1685" spans="1:13" x14ac:dyDescent="0.3">
      <c r="A1685" t="s">
        <v>3383</v>
      </c>
      <c r="B1685" t="s">
        <v>6051</v>
      </c>
      <c r="C1685" t="s">
        <v>5470</v>
      </c>
      <c r="D1685" t="s">
        <v>4119</v>
      </c>
      <c r="E1685" t="s">
        <v>5756</v>
      </c>
      <c r="F1685" t="s">
        <v>9576</v>
      </c>
      <c r="G1685" t="s">
        <v>6053</v>
      </c>
      <c r="H1685" t="s">
        <v>5474</v>
      </c>
      <c r="I1685" t="s">
        <v>9648</v>
      </c>
      <c r="J1685" t="s">
        <v>5484</v>
      </c>
      <c r="K1685" t="s">
        <v>5471</v>
      </c>
      <c r="L1685" t="s">
        <v>5471</v>
      </c>
      <c r="M1685" t="s">
        <v>5471</v>
      </c>
    </row>
    <row r="1686" spans="1:13" x14ac:dyDescent="0.3">
      <c r="A1686" t="s">
        <v>3383</v>
      </c>
      <c r="B1686" t="s">
        <v>8483</v>
      </c>
      <c r="C1686" t="s">
        <v>5487</v>
      </c>
      <c r="D1686" t="s">
        <v>4119</v>
      </c>
      <c r="E1686" t="s">
        <v>5756</v>
      </c>
      <c r="F1686" t="s">
        <v>9649</v>
      </c>
      <c r="G1686" t="s">
        <v>8503</v>
      </c>
      <c r="H1686" t="s">
        <v>5474</v>
      </c>
      <c r="I1686" t="s">
        <v>9650</v>
      </c>
      <c r="J1686" t="s">
        <v>5476</v>
      </c>
      <c r="K1686" t="s">
        <v>5471</v>
      </c>
      <c r="L1686" t="s">
        <v>5471</v>
      </c>
      <c r="M1686" t="s">
        <v>5471</v>
      </c>
    </row>
    <row r="1687" spans="1:13" x14ac:dyDescent="0.3">
      <c r="A1687" t="s">
        <v>3383</v>
      </c>
      <c r="B1687" t="s">
        <v>8483</v>
      </c>
      <c r="C1687" t="s">
        <v>5487</v>
      </c>
      <c r="D1687" t="s">
        <v>4119</v>
      </c>
      <c r="E1687" t="s">
        <v>5756</v>
      </c>
      <c r="F1687" t="s">
        <v>9651</v>
      </c>
      <c r="G1687" t="s">
        <v>8506</v>
      </c>
      <c r="H1687" t="s">
        <v>5474</v>
      </c>
      <c r="I1687" t="s">
        <v>9652</v>
      </c>
      <c r="J1687" t="s">
        <v>5476</v>
      </c>
      <c r="K1687" t="s">
        <v>5471</v>
      </c>
      <c r="L1687" t="s">
        <v>5471</v>
      </c>
      <c r="M1687" t="s">
        <v>5471</v>
      </c>
    </row>
    <row r="1688" spans="1:13" x14ac:dyDescent="0.3">
      <c r="A1688" t="s">
        <v>3383</v>
      </c>
      <c r="B1688" t="s">
        <v>8483</v>
      </c>
      <c r="C1688" t="s">
        <v>5487</v>
      </c>
      <c r="D1688" t="s">
        <v>4119</v>
      </c>
      <c r="E1688" t="s">
        <v>5532</v>
      </c>
      <c r="F1688" t="s">
        <v>9653</v>
      </c>
      <c r="G1688" t="s">
        <v>8506</v>
      </c>
      <c r="H1688" t="s">
        <v>5474</v>
      </c>
      <c r="I1688" t="s">
        <v>9654</v>
      </c>
      <c r="J1688" t="s">
        <v>5476</v>
      </c>
      <c r="K1688" t="s">
        <v>5471</v>
      </c>
      <c r="L1688" t="s">
        <v>5471</v>
      </c>
      <c r="M1688" t="s">
        <v>5471</v>
      </c>
    </row>
    <row r="1689" spans="1:13" x14ac:dyDescent="0.3">
      <c r="A1689" t="s">
        <v>3383</v>
      </c>
      <c r="B1689" t="s">
        <v>8483</v>
      </c>
      <c r="C1689" t="s">
        <v>5487</v>
      </c>
      <c r="D1689" t="s">
        <v>4119</v>
      </c>
      <c r="E1689" t="s">
        <v>5532</v>
      </c>
      <c r="F1689" t="s">
        <v>9655</v>
      </c>
      <c r="G1689" t="s">
        <v>8503</v>
      </c>
      <c r="H1689" t="s">
        <v>5474</v>
      </c>
      <c r="I1689" t="s">
        <v>9656</v>
      </c>
      <c r="J1689" t="s">
        <v>5476</v>
      </c>
      <c r="K1689" t="s">
        <v>5471</v>
      </c>
      <c r="L1689" t="s">
        <v>5471</v>
      </c>
      <c r="M1689" t="s">
        <v>5471</v>
      </c>
    </row>
    <row r="1690" spans="1:13" x14ac:dyDescent="0.3">
      <c r="A1690" t="s">
        <v>3383</v>
      </c>
      <c r="B1690" t="s">
        <v>8475</v>
      </c>
      <c r="C1690" t="s">
        <v>5487</v>
      </c>
      <c r="D1690" t="s">
        <v>4119</v>
      </c>
      <c r="E1690" t="s">
        <v>5756</v>
      </c>
      <c r="F1690" t="s">
        <v>9657</v>
      </c>
      <c r="G1690" t="s">
        <v>8533</v>
      </c>
      <c r="H1690" t="s">
        <v>5474</v>
      </c>
      <c r="I1690" t="s">
        <v>9658</v>
      </c>
      <c r="J1690" t="s">
        <v>5476</v>
      </c>
      <c r="K1690" t="s">
        <v>5471</v>
      </c>
      <c r="L1690" t="s">
        <v>5471</v>
      </c>
      <c r="M1690" t="s">
        <v>5471</v>
      </c>
    </row>
    <row r="1691" spans="1:13" x14ac:dyDescent="0.3">
      <c r="A1691" t="s">
        <v>3383</v>
      </c>
      <c r="B1691" t="s">
        <v>8475</v>
      </c>
      <c r="C1691" t="s">
        <v>5487</v>
      </c>
      <c r="D1691" t="s">
        <v>4119</v>
      </c>
      <c r="E1691" t="s">
        <v>5756</v>
      </c>
      <c r="F1691" t="s">
        <v>9659</v>
      </c>
      <c r="G1691" t="s">
        <v>8533</v>
      </c>
      <c r="H1691" t="s">
        <v>5474</v>
      </c>
      <c r="I1691" t="s">
        <v>9660</v>
      </c>
      <c r="J1691" t="s">
        <v>5476</v>
      </c>
      <c r="K1691" t="s">
        <v>5471</v>
      </c>
      <c r="L1691" t="s">
        <v>5471</v>
      </c>
      <c r="M1691" t="s">
        <v>5471</v>
      </c>
    </row>
    <row r="1692" spans="1:13" x14ac:dyDescent="0.3">
      <c r="A1692" t="s">
        <v>3383</v>
      </c>
      <c r="B1692" t="s">
        <v>8483</v>
      </c>
      <c r="C1692" t="s">
        <v>5487</v>
      </c>
      <c r="D1692" t="s">
        <v>4119</v>
      </c>
      <c r="E1692" t="s">
        <v>5756</v>
      </c>
      <c r="F1692" t="s">
        <v>9661</v>
      </c>
      <c r="G1692" t="s">
        <v>8494</v>
      </c>
      <c r="H1692" t="s">
        <v>5474</v>
      </c>
      <c r="I1692" t="s">
        <v>9662</v>
      </c>
      <c r="J1692" t="s">
        <v>5476</v>
      </c>
      <c r="K1692" t="s">
        <v>5471</v>
      </c>
      <c r="L1692" t="s">
        <v>5471</v>
      </c>
      <c r="M1692" t="s">
        <v>5471</v>
      </c>
    </row>
    <row r="1693" spans="1:13" x14ac:dyDescent="0.3">
      <c r="A1693" t="s">
        <v>3383</v>
      </c>
      <c r="B1693" t="s">
        <v>8483</v>
      </c>
      <c r="C1693" t="s">
        <v>5487</v>
      </c>
      <c r="D1693" t="s">
        <v>4119</v>
      </c>
      <c r="E1693" t="s">
        <v>5756</v>
      </c>
      <c r="F1693" t="s">
        <v>9663</v>
      </c>
      <c r="G1693" t="s">
        <v>8494</v>
      </c>
      <c r="H1693" t="s">
        <v>5474</v>
      </c>
      <c r="I1693" t="s">
        <v>9664</v>
      </c>
      <c r="J1693" t="s">
        <v>5476</v>
      </c>
      <c r="K1693" t="s">
        <v>5471</v>
      </c>
      <c r="L1693" t="s">
        <v>5471</v>
      </c>
      <c r="M1693" t="s">
        <v>5471</v>
      </c>
    </row>
    <row r="1694" spans="1:13" x14ac:dyDescent="0.3">
      <c r="A1694" t="s">
        <v>3383</v>
      </c>
      <c r="B1694" t="s">
        <v>8475</v>
      </c>
      <c r="C1694" t="s">
        <v>5487</v>
      </c>
      <c r="D1694" t="s">
        <v>4119</v>
      </c>
      <c r="E1694" t="s">
        <v>5756</v>
      </c>
      <c r="F1694" t="s">
        <v>9665</v>
      </c>
      <c r="G1694" t="s">
        <v>8533</v>
      </c>
      <c r="H1694" t="s">
        <v>5474</v>
      </c>
      <c r="I1694" t="s">
        <v>9666</v>
      </c>
      <c r="J1694" t="s">
        <v>5476</v>
      </c>
      <c r="K1694" t="s">
        <v>5471</v>
      </c>
      <c r="L1694" t="s">
        <v>5471</v>
      </c>
      <c r="M1694" t="s">
        <v>5471</v>
      </c>
    </row>
    <row r="1695" spans="1:13" x14ac:dyDescent="0.3">
      <c r="A1695" t="s">
        <v>3383</v>
      </c>
      <c r="B1695" t="s">
        <v>8475</v>
      </c>
      <c r="C1695" t="s">
        <v>5487</v>
      </c>
      <c r="D1695" t="s">
        <v>4119</v>
      </c>
      <c r="E1695" t="s">
        <v>5756</v>
      </c>
      <c r="F1695" t="s">
        <v>9667</v>
      </c>
      <c r="G1695" t="s">
        <v>8477</v>
      </c>
      <c r="H1695" t="s">
        <v>5474</v>
      </c>
      <c r="I1695" t="s">
        <v>9668</v>
      </c>
      <c r="J1695" t="s">
        <v>5476</v>
      </c>
      <c r="K1695" t="s">
        <v>5471</v>
      </c>
      <c r="L1695" t="s">
        <v>5471</v>
      </c>
      <c r="M1695" t="s">
        <v>5471</v>
      </c>
    </row>
    <row r="1696" spans="1:13" x14ac:dyDescent="0.3">
      <c r="A1696" t="s">
        <v>3383</v>
      </c>
      <c r="B1696" t="s">
        <v>8475</v>
      </c>
      <c r="C1696" t="s">
        <v>5487</v>
      </c>
      <c r="D1696" t="s">
        <v>4119</v>
      </c>
      <c r="E1696" t="s">
        <v>5756</v>
      </c>
      <c r="F1696" t="s">
        <v>9669</v>
      </c>
      <c r="G1696" t="s">
        <v>8477</v>
      </c>
      <c r="H1696" t="s">
        <v>5474</v>
      </c>
      <c r="I1696" t="s">
        <v>9670</v>
      </c>
      <c r="J1696" t="s">
        <v>5476</v>
      </c>
      <c r="K1696" t="s">
        <v>5471</v>
      </c>
      <c r="L1696" t="s">
        <v>5471</v>
      </c>
      <c r="M1696" t="s">
        <v>5471</v>
      </c>
    </row>
    <row r="1697" spans="1:13" x14ac:dyDescent="0.3">
      <c r="A1697" t="s">
        <v>3383</v>
      </c>
      <c r="B1697" t="s">
        <v>8475</v>
      </c>
      <c r="C1697" t="s">
        <v>5487</v>
      </c>
      <c r="D1697" t="s">
        <v>4119</v>
      </c>
      <c r="E1697" t="s">
        <v>5756</v>
      </c>
      <c r="F1697" t="s">
        <v>9671</v>
      </c>
      <c r="G1697" t="s">
        <v>8477</v>
      </c>
      <c r="H1697" t="s">
        <v>5474</v>
      </c>
      <c r="I1697" t="s">
        <v>9672</v>
      </c>
      <c r="J1697" t="s">
        <v>5476</v>
      </c>
      <c r="K1697" t="s">
        <v>5471</v>
      </c>
      <c r="L1697" t="s">
        <v>5471</v>
      </c>
      <c r="M1697" t="s">
        <v>5471</v>
      </c>
    </row>
    <row r="1698" spans="1:13" x14ac:dyDescent="0.3">
      <c r="A1698" t="s">
        <v>3383</v>
      </c>
      <c r="B1698" t="s">
        <v>8475</v>
      </c>
      <c r="C1698" t="s">
        <v>5487</v>
      </c>
      <c r="D1698" t="s">
        <v>4119</v>
      </c>
      <c r="E1698" t="s">
        <v>5756</v>
      </c>
      <c r="F1698" t="s">
        <v>9673</v>
      </c>
      <c r="G1698" t="s">
        <v>8533</v>
      </c>
      <c r="H1698" t="s">
        <v>5474</v>
      </c>
      <c r="I1698" t="s">
        <v>9674</v>
      </c>
      <c r="J1698" t="s">
        <v>5476</v>
      </c>
      <c r="K1698" t="s">
        <v>5471</v>
      </c>
      <c r="L1698" t="s">
        <v>5471</v>
      </c>
      <c r="M1698" t="s">
        <v>5471</v>
      </c>
    </row>
    <row r="1699" spans="1:13" x14ac:dyDescent="0.3">
      <c r="A1699" t="s">
        <v>3383</v>
      </c>
      <c r="B1699" t="s">
        <v>8475</v>
      </c>
      <c r="C1699" t="s">
        <v>5487</v>
      </c>
      <c r="D1699" t="s">
        <v>4119</v>
      </c>
      <c r="E1699" t="s">
        <v>5756</v>
      </c>
      <c r="F1699" t="s">
        <v>9675</v>
      </c>
      <c r="G1699" t="s">
        <v>8477</v>
      </c>
      <c r="H1699" t="s">
        <v>5474</v>
      </c>
      <c r="I1699" t="s">
        <v>9676</v>
      </c>
      <c r="J1699" t="s">
        <v>5476</v>
      </c>
      <c r="K1699" t="s">
        <v>5471</v>
      </c>
      <c r="L1699" t="s">
        <v>5471</v>
      </c>
      <c r="M1699" t="s">
        <v>5471</v>
      </c>
    </row>
    <row r="1700" spans="1:13" x14ac:dyDescent="0.3">
      <c r="A1700" t="s">
        <v>3380</v>
      </c>
      <c r="B1700" t="s">
        <v>9677</v>
      </c>
      <c r="C1700" t="s">
        <v>6342</v>
      </c>
      <c r="D1700" t="s">
        <v>4056</v>
      </c>
      <c r="E1700" t="s">
        <v>5532</v>
      </c>
      <c r="F1700" t="s">
        <v>9678</v>
      </c>
      <c r="G1700" t="s">
        <v>9679</v>
      </c>
      <c r="H1700" t="s">
        <v>5474</v>
      </c>
      <c r="I1700" t="s">
        <v>9680</v>
      </c>
      <c r="J1700" t="s">
        <v>5476</v>
      </c>
      <c r="K1700" t="s">
        <v>9681</v>
      </c>
      <c r="L1700" t="s">
        <v>5478</v>
      </c>
      <c r="M1700" t="s">
        <v>5471</v>
      </c>
    </row>
    <row r="1701" spans="1:13" x14ac:dyDescent="0.3">
      <c r="A1701" t="s">
        <v>3380</v>
      </c>
      <c r="B1701" t="s">
        <v>9677</v>
      </c>
      <c r="C1701" t="s">
        <v>6342</v>
      </c>
      <c r="D1701" t="s">
        <v>4056</v>
      </c>
      <c r="E1701" t="s">
        <v>5532</v>
      </c>
      <c r="F1701" t="s">
        <v>9682</v>
      </c>
      <c r="G1701" t="s">
        <v>9683</v>
      </c>
      <c r="H1701" t="s">
        <v>5474</v>
      </c>
      <c r="I1701" t="s">
        <v>9684</v>
      </c>
      <c r="J1701" t="s">
        <v>5476</v>
      </c>
      <c r="K1701" t="s">
        <v>9685</v>
      </c>
      <c r="L1701" t="s">
        <v>5478</v>
      </c>
      <c r="M1701" t="s">
        <v>5471</v>
      </c>
    </row>
    <row r="1702" spans="1:13" x14ac:dyDescent="0.3">
      <c r="A1702" t="s">
        <v>3380</v>
      </c>
      <c r="B1702" t="s">
        <v>9677</v>
      </c>
      <c r="C1702" t="s">
        <v>6342</v>
      </c>
      <c r="D1702" t="s">
        <v>4056</v>
      </c>
      <c r="E1702" t="s">
        <v>5532</v>
      </c>
      <c r="F1702" t="s">
        <v>9686</v>
      </c>
      <c r="G1702" t="s">
        <v>9687</v>
      </c>
      <c r="H1702" t="s">
        <v>5474</v>
      </c>
      <c r="I1702" t="s">
        <v>9688</v>
      </c>
      <c r="J1702" t="s">
        <v>5476</v>
      </c>
      <c r="K1702" t="s">
        <v>9689</v>
      </c>
      <c r="L1702" t="s">
        <v>5478</v>
      </c>
      <c r="M1702" t="s">
        <v>5471</v>
      </c>
    </row>
    <row r="1703" spans="1:13" x14ac:dyDescent="0.3">
      <c r="A1703" t="s">
        <v>3388</v>
      </c>
      <c r="B1703" t="s">
        <v>7088</v>
      </c>
      <c r="C1703" t="s">
        <v>5470</v>
      </c>
      <c r="D1703" t="s">
        <v>4081</v>
      </c>
      <c r="E1703" t="s">
        <v>5471</v>
      </c>
      <c r="F1703" t="s">
        <v>9690</v>
      </c>
      <c r="G1703" t="s">
        <v>9691</v>
      </c>
      <c r="H1703" t="s">
        <v>5474</v>
      </c>
      <c r="I1703" t="s">
        <v>9692</v>
      </c>
      <c r="J1703" t="s">
        <v>5484</v>
      </c>
      <c r="K1703" t="s">
        <v>9693</v>
      </c>
      <c r="L1703" t="s">
        <v>5471</v>
      </c>
      <c r="M1703" t="s">
        <v>5471</v>
      </c>
    </row>
    <row r="1704" spans="1:13" x14ac:dyDescent="0.3">
      <c r="A1704" t="s">
        <v>3388</v>
      </c>
      <c r="B1704" t="s">
        <v>6540</v>
      </c>
      <c r="C1704" t="s">
        <v>5470</v>
      </c>
      <c r="D1704" t="s">
        <v>4081</v>
      </c>
      <c r="E1704" t="s">
        <v>5617</v>
      </c>
      <c r="F1704" t="s">
        <v>9694</v>
      </c>
      <c r="G1704" t="s">
        <v>9695</v>
      </c>
      <c r="H1704" t="s">
        <v>5474</v>
      </c>
      <c r="I1704" t="s">
        <v>9696</v>
      </c>
      <c r="J1704" t="s">
        <v>5476</v>
      </c>
      <c r="K1704" t="s">
        <v>9697</v>
      </c>
      <c r="L1704" t="s">
        <v>5471</v>
      </c>
      <c r="M1704" t="s">
        <v>5471</v>
      </c>
    </row>
    <row r="1705" spans="1:13" x14ac:dyDescent="0.3">
      <c r="A1705" t="s">
        <v>3380</v>
      </c>
      <c r="B1705" t="s">
        <v>5276</v>
      </c>
      <c r="C1705" t="s">
        <v>6342</v>
      </c>
      <c r="D1705" t="s">
        <v>4119</v>
      </c>
      <c r="E1705" t="s">
        <v>5617</v>
      </c>
      <c r="F1705" t="s">
        <v>9698</v>
      </c>
      <c r="G1705" t="s">
        <v>9699</v>
      </c>
      <c r="H1705" t="s">
        <v>5474</v>
      </c>
      <c r="I1705" t="s">
        <v>9700</v>
      </c>
      <c r="J1705" t="s">
        <v>5476</v>
      </c>
      <c r="K1705" t="s">
        <v>9701</v>
      </c>
      <c r="L1705" t="s">
        <v>5471</v>
      </c>
      <c r="M1705" t="s">
        <v>5471</v>
      </c>
    </row>
    <row r="1706" spans="1:13" x14ac:dyDescent="0.3">
      <c r="A1706" t="s">
        <v>3380</v>
      </c>
      <c r="B1706" t="s">
        <v>9702</v>
      </c>
      <c r="C1706" t="s">
        <v>6342</v>
      </c>
      <c r="D1706" t="s">
        <v>4119</v>
      </c>
      <c r="E1706" t="s">
        <v>5617</v>
      </c>
      <c r="F1706" t="s">
        <v>9703</v>
      </c>
      <c r="G1706" t="s">
        <v>9704</v>
      </c>
      <c r="H1706" t="s">
        <v>5474</v>
      </c>
      <c r="I1706" t="s">
        <v>9705</v>
      </c>
      <c r="J1706" t="s">
        <v>5476</v>
      </c>
      <c r="K1706" t="s">
        <v>9701</v>
      </c>
      <c r="L1706" t="s">
        <v>5471</v>
      </c>
      <c r="M1706" t="s">
        <v>5471</v>
      </c>
    </row>
    <row r="1707" spans="1:13" x14ac:dyDescent="0.3">
      <c r="A1707" t="s">
        <v>3380</v>
      </c>
      <c r="B1707" t="s">
        <v>9677</v>
      </c>
      <c r="C1707" t="s">
        <v>6342</v>
      </c>
      <c r="D1707" t="s">
        <v>4058</v>
      </c>
      <c r="E1707" t="s">
        <v>5532</v>
      </c>
      <c r="F1707" t="s">
        <v>9706</v>
      </c>
      <c r="G1707" t="s">
        <v>9687</v>
      </c>
      <c r="H1707" t="s">
        <v>5474</v>
      </c>
      <c r="I1707" t="s">
        <v>9707</v>
      </c>
      <c r="J1707" t="s">
        <v>5476</v>
      </c>
      <c r="K1707" t="s">
        <v>9708</v>
      </c>
      <c r="L1707" t="s">
        <v>9709</v>
      </c>
      <c r="M1707" t="s">
        <v>5471</v>
      </c>
    </row>
    <row r="1708" spans="1:13" x14ac:dyDescent="0.3">
      <c r="A1708" t="s">
        <v>3380</v>
      </c>
      <c r="B1708" t="s">
        <v>9677</v>
      </c>
      <c r="C1708" t="s">
        <v>6342</v>
      </c>
      <c r="D1708" t="s">
        <v>4058</v>
      </c>
      <c r="E1708" t="s">
        <v>5532</v>
      </c>
      <c r="F1708" t="s">
        <v>9710</v>
      </c>
      <c r="G1708" t="s">
        <v>9683</v>
      </c>
      <c r="H1708" t="s">
        <v>5474</v>
      </c>
      <c r="I1708" t="s">
        <v>9711</v>
      </c>
      <c r="J1708" t="s">
        <v>5476</v>
      </c>
      <c r="K1708" t="s">
        <v>9712</v>
      </c>
      <c r="L1708" t="s">
        <v>9709</v>
      </c>
      <c r="M1708" t="s">
        <v>5471</v>
      </c>
    </row>
    <row r="1709" spans="1:13" x14ac:dyDescent="0.3">
      <c r="A1709" t="s">
        <v>3380</v>
      </c>
      <c r="B1709" t="s">
        <v>9713</v>
      </c>
      <c r="C1709" t="s">
        <v>6342</v>
      </c>
      <c r="D1709" t="s">
        <v>4058</v>
      </c>
      <c r="E1709" t="s">
        <v>5532</v>
      </c>
      <c r="F1709" t="s">
        <v>9714</v>
      </c>
      <c r="G1709" t="s">
        <v>9715</v>
      </c>
      <c r="H1709" t="s">
        <v>5474</v>
      </c>
      <c r="I1709" t="s">
        <v>9716</v>
      </c>
      <c r="J1709" t="s">
        <v>5476</v>
      </c>
      <c r="K1709" t="s">
        <v>9717</v>
      </c>
      <c r="L1709" t="s">
        <v>9709</v>
      </c>
      <c r="M1709" t="s">
        <v>5471</v>
      </c>
    </row>
    <row r="1710" spans="1:13" x14ac:dyDescent="0.3">
      <c r="A1710" t="s">
        <v>3380</v>
      </c>
      <c r="B1710" t="s">
        <v>5337</v>
      </c>
      <c r="C1710" t="s">
        <v>6342</v>
      </c>
      <c r="D1710" t="s">
        <v>4058</v>
      </c>
      <c r="E1710" t="s">
        <v>5532</v>
      </c>
      <c r="F1710" t="s">
        <v>9718</v>
      </c>
      <c r="G1710" t="s">
        <v>9719</v>
      </c>
      <c r="H1710" t="s">
        <v>5474</v>
      </c>
      <c r="I1710" t="s">
        <v>9720</v>
      </c>
      <c r="J1710" t="s">
        <v>5476</v>
      </c>
      <c r="K1710" t="s">
        <v>9721</v>
      </c>
      <c r="L1710" t="s">
        <v>9709</v>
      </c>
      <c r="M1710" t="s">
        <v>5471</v>
      </c>
    </row>
    <row r="1711" spans="1:13" x14ac:dyDescent="0.3">
      <c r="A1711" t="s">
        <v>3380</v>
      </c>
      <c r="B1711" t="s">
        <v>9677</v>
      </c>
      <c r="C1711" t="s">
        <v>6342</v>
      </c>
      <c r="D1711" t="s">
        <v>4052</v>
      </c>
      <c r="E1711" t="s">
        <v>5532</v>
      </c>
      <c r="F1711" t="s">
        <v>9722</v>
      </c>
      <c r="G1711" t="s">
        <v>9679</v>
      </c>
      <c r="H1711" t="s">
        <v>5474</v>
      </c>
      <c r="I1711" t="s">
        <v>9723</v>
      </c>
      <c r="J1711" t="s">
        <v>5476</v>
      </c>
      <c r="K1711" t="s">
        <v>9724</v>
      </c>
      <c r="L1711" t="s">
        <v>5478</v>
      </c>
      <c r="M1711" t="s">
        <v>5471</v>
      </c>
    </row>
    <row r="1712" spans="1:13" x14ac:dyDescent="0.3">
      <c r="A1712" t="s">
        <v>3380</v>
      </c>
      <c r="B1712" t="s">
        <v>9677</v>
      </c>
      <c r="C1712" t="s">
        <v>6342</v>
      </c>
      <c r="D1712" t="s">
        <v>4052</v>
      </c>
      <c r="E1712" t="s">
        <v>5532</v>
      </c>
      <c r="F1712" t="s">
        <v>9725</v>
      </c>
      <c r="G1712" t="s">
        <v>9683</v>
      </c>
      <c r="H1712" t="s">
        <v>5474</v>
      </c>
      <c r="I1712" t="s">
        <v>9726</v>
      </c>
      <c r="J1712" t="s">
        <v>5476</v>
      </c>
      <c r="K1712" t="s">
        <v>9727</v>
      </c>
      <c r="L1712" t="s">
        <v>5478</v>
      </c>
      <c r="M1712" t="s">
        <v>5471</v>
      </c>
    </row>
    <row r="1713" spans="1:13" x14ac:dyDescent="0.3">
      <c r="A1713" t="s">
        <v>3380</v>
      </c>
      <c r="B1713" t="s">
        <v>9677</v>
      </c>
      <c r="C1713" t="s">
        <v>6342</v>
      </c>
      <c r="D1713" t="s">
        <v>4052</v>
      </c>
      <c r="E1713" t="s">
        <v>5532</v>
      </c>
      <c r="F1713" t="s">
        <v>9728</v>
      </c>
      <c r="G1713" t="s">
        <v>9687</v>
      </c>
      <c r="H1713" t="s">
        <v>5474</v>
      </c>
      <c r="I1713" t="s">
        <v>9729</v>
      </c>
      <c r="J1713" t="s">
        <v>5476</v>
      </c>
      <c r="K1713" t="s">
        <v>9730</v>
      </c>
      <c r="L1713" t="s">
        <v>5478</v>
      </c>
      <c r="M1713" t="s">
        <v>5471</v>
      </c>
    </row>
    <row r="1714" spans="1:13" x14ac:dyDescent="0.3">
      <c r="A1714" t="s">
        <v>3397</v>
      </c>
      <c r="B1714" t="s">
        <v>5269</v>
      </c>
      <c r="C1714" t="s">
        <v>5487</v>
      </c>
      <c r="D1714" t="s">
        <v>4200</v>
      </c>
      <c r="E1714" t="s">
        <v>5756</v>
      </c>
      <c r="F1714" t="s">
        <v>9731</v>
      </c>
      <c r="G1714" t="s">
        <v>7418</v>
      </c>
      <c r="H1714" t="s">
        <v>5474</v>
      </c>
      <c r="I1714" t="s">
        <v>9732</v>
      </c>
      <c r="J1714" t="s">
        <v>5476</v>
      </c>
      <c r="K1714" t="s">
        <v>9733</v>
      </c>
      <c r="L1714" t="s">
        <v>5471</v>
      </c>
      <c r="M1714" t="s">
        <v>5471</v>
      </c>
    </row>
    <row r="1715" spans="1:13" x14ac:dyDescent="0.3">
      <c r="A1715" t="s">
        <v>3397</v>
      </c>
      <c r="B1715" t="s">
        <v>5269</v>
      </c>
      <c r="C1715" t="s">
        <v>5487</v>
      </c>
      <c r="D1715" t="s">
        <v>4052</v>
      </c>
      <c r="E1715" t="s">
        <v>5756</v>
      </c>
      <c r="F1715" t="s">
        <v>9734</v>
      </c>
      <c r="G1715" t="s">
        <v>7418</v>
      </c>
      <c r="H1715" t="s">
        <v>5474</v>
      </c>
      <c r="I1715" t="s">
        <v>9735</v>
      </c>
      <c r="J1715" t="s">
        <v>5476</v>
      </c>
      <c r="K1715" t="s">
        <v>9736</v>
      </c>
      <c r="L1715" t="s">
        <v>5471</v>
      </c>
      <c r="M1715" t="s">
        <v>5471</v>
      </c>
    </row>
    <row r="1716" spans="1:13" x14ac:dyDescent="0.3">
      <c r="A1716" t="s">
        <v>3397</v>
      </c>
      <c r="B1716" t="s">
        <v>7391</v>
      </c>
      <c r="C1716" t="s">
        <v>5487</v>
      </c>
      <c r="D1716" t="s">
        <v>4200</v>
      </c>
      <c r="E1716" t="s">
        <v>5480</v>
      </c>
      <c r="F1716" t="s">
        <v>9737</v>
      </c>
      <c r="G1716" t="s">
        <v>7393</v>
      </c>
      <c r="H1716" t="s">
        <v>5474</v>
      </c>
      <c r="I1716" t="s">
        <v>9738</v>
      </c>
      <c r="J1716" t="s">
        <v>5476</v>
      </c>
      <c r="K1716" t="s">
        <v>9739</v>
      </c>
      <c r="L1716" t="s">
        <v>5471</v>
      </c>
      <c r="M1716" t="s">
        <v>5471</v>
      </c>
    </row>
    <row r="1717" spans="1:13" x14ac:dyDescent="0.3">
      <c r="A1717" t="s">
        <v>3397</v>
      </c>
      <c r="B1717" t="s">
        <v>7391</v>
      </c>
      <c r="C1717" t="s">
        <v>5487</v>
      </c>
      <c r="D1717" t="s">
        <v>4052</v>
      </c>
      <c r="E1717" t="s">
        <v>5843</v>
      </c>
      <c r="F1717" t="s">
        <v>9740</v>
      </c>
      <c r="G1717" t="s">
        <v>7393</v>
      </c>
      <c r="H1717" t="s">
        <v>5474</v>
      </c>
      <c r="I1717" t="s">
        <v>9741</v>
      </c>
      <c r="J1717" t="s">
        <v>5476</v>
      </c>
      <c r="K1717" t="s">
        <v>9742</v>
      </c>
      <c r="L1717" t="s">
        <v>5471</v>
      </c>
      <c r="M1717" t="s">
        <v>5471</v>
      </c>
    </row>
    <row r="1718" spans="1:13" x14ac:dyDescent="0.3">
      <c r="A1718" t="s">
        <v>3397</v>
      </c>
      <c r="B1718" t="s">
        <v>9743</v>
      </c>
      <c r="C1718" t="s">
        <v>5487</v>
      </c>
      <c r="D1718" t="s">
        <v>4200</v>
      </c>
      <c r="E1718" t="s">
        <v>5843</v>
      </c>
      <c r="F1718" t="s">
        <v>9744</v>
      </c>
      <c r="G1718" t="s">
        <v>9745</v>
      </c>
      <c r="H1718" t="s">
        <v>5474</v>
      </c>
      <c r="I1718" t="s">
        <v>9746</v>
      </c>
      <c r="J1718" t="s">
        <v>5476</v>
      </c>
      <c r="K1718" t="s">
        <v>9747</v>
      </c>
      <c r="L1718" t="s">
        <v>5471</v>
      </c>
      <c r="M1718" t="s">
        <v>5471</v>
      </c>
    </row>
    <row r="1719" spans="1:13" x14ac:dyDescent="0.3">
      <c r="A1719" t="s">
        <v>3397</v>
      </c>
      <c r="B1719" t="s">
        <v>9743</v>
      </c>
      <c r="C1719" t="s">
        <v>5487</v>
      </c>
      <c r="D1719" t="s">
        <v>4200</v>
      </c>
      <c r="E1719" t="s">
        <v>5843</v>
      </c>
      <c r="F1719" t="s">
        <v>9748</v>
      </c>
      <c r="G1719" t="s">
        <v>9745</v>
      </c>
      <c r="H1719" t="s">
        <v>5474</v>
      </c>
      <c r="I1719" t="s">
        <v>9749</v>
      </c>
      <c r="J1719" t="s">
        <v>5476</v>
      </c>
      <c r="K1719" t="s">
        <v>9750</v>
      </c>
      <c r="L1719" t="s">
        <v>5471</v>
      </c>
      <c r="M1719" t="s">
        <v>5471</v>
      </c>
    </row>
    <row r="1720" spans="1:13" x14ac:dyDescent="0.3">
      <c r="A1720" t="s">
        <v>3397</v>
      </c>
      <c r="B1720" t="s">
        <v>9743</v>
      </c>
      <c r="C1720" t="s">
        <v>5487</v>
      </c>
      <c r="D1720" t="s">
        <v>4200</v>
      </c>
      <c r="E1720" t="s">
        <v>5843</v>
      </c>
      <c r="F1720" t="s">
        <v>9751</v>
      </c>
      <c r="G1720" t="s">
        <v>9745</v>
      </c>
      <c r="H1720" t="s">
        <v>5474</v>
      </c>
      <c r="I1720" t="s">
        <v>9752</v>
      </c>
      <c r="J1720" t="s">
        <v>5476</v>
      </c>
      <c r="K1720" t="s">
        <v>9753</v>
      </c>
      <c r="L1720" t="s">
        <v>5471</v>
      </c>
      <c r="M1720" t="s">
        <v>5471</v>
      </c>
    </row>
    <row r="1721" spans="1:13" x14ac:dyDescent="0.3">
      <c r="A1721" t="s">
        <v>3397</v>
      </c>
      <c r="B1721" t="s">
        <v>9743</v>
      </c>
      <c r="C1721" t="s">
        <v>5487</v>
      </c>
      <c r="D1721" t="s">
        <v>4200</v>
      </c>
      <c r="E1721" t="s">
        <v>5843</v>
      </c>
      <c r="F1721" t="s">
        <v>9754</v>
      </c>
      <c r="G1721" t="s">
        <v>9745</v>
      </c>
      <c r="H1721" t="s">
        <v>5474</v>
      </c>
      <c r="I1721" t="s">
        <v>9755</v>
      </c>
      <c r="J1721" t="s">
        <v>5476</v>
      </c>
      <c r="K1721" t="s">
        <v>9747</v>
      </c>
      <c r="L1721" t="s">
        <v>5471</v>
      </c>
      <c r="M1721" t="s">
        <v>5471</v>
      </c>
    </row>
    <row r="1722" spans="1:13" x14ac:dyDescent="0.3">
      <c r="A1722" t="s">
        <v>3397</v>
      </c>
      <c r="B1722" t="s">
        <v>9743</v>
      </c>
      <c r="C1722" t="s">
        <v>5487</v>
      </c>
      <c r="D1722" t="s">
        <v>4200</v>
      </c>
      <c r="E1722" t="s">
        <v>5843</v>
      </c>
      <c r="F1722" t="s">
        <v>9756</v>
      </c>
      <c r="G1722" t="s">
        <v>9745</v>
      </c>
      <c r="H1722" t="s">
        <v>5474</v>
      </c>
      <c r="I1722" t="s">
        <v>9757</v>
      </c>
      <c r="J1722" t="s">
        <v>5476</v>
      </c>
      <c r="K1722" t="s">
        <v>9750</v>
      </c>
      <c r="L1722" t="s">
        <v>5471</v>
      </c>
      <c r="M1722" t="s">
        <v>5471</v>
      </c>
    </row>
    <row r="1723" spans="1:13" x14ac:dyDescent="0.3">
      <c r="A1723" t="s">
        <v>3397</v>
      </c>
      <c r="B1723" t="s">
        <v>9743</v>
      </c>
      <c r="C1723" t="s">
        <v>5487</v>
      </c>
      <c r="D1723" t="s">
        <v>4200</v>
      </c>
      <c r="E1723" t="s">
        <v>5843</v>
      </c>
      <c r="F1723" t="s">
        <v>9758</v>
      </c>
      <c r="G1723" t="s">
        <v>9745</v>
      </c>
      <c r="H1723" t="s">
        <v>5474</v>
      </c>
      <c r="I1723" t="s">
        <v>9759</v>
      </c>
      <c r="J1723" t="s">
        <v>5476</v>
      </c>
      <c r="K1723" t="s">
        <v>9753</v>
      </c>
      <c r="L1723" t="s">
        <v>5471</v>
      </c>
      <c r="M1723" t="s">
        <v>5471</v>
      </c>
    </row>
    <row r="1724" spans="1:13" x14ac:dyDescent="0.3">
      <c r="A1724" t="s">
        <v>3397</v>
      </c>
      <c r="B1724" t="s">
        <v>7391</v>
      </c>
      <c r="C1724" t="s">
        <v>5487</v>
      </c>
      <c r="D1724" t="s">
        <v>4052</v>
      </c>
      <c r="E1724" t="s">
        <v>5756</v>
      </c>
      <c r="F1724" t="s">
        <v>9760</v>
      </c>
      <c r="G1724" t="s">
        <v>9761</v>
      </c>
      <c r="H1724" t="s">
        <v>5474</v>
      </c>
      <c r="I1724" t="s">
        <v>9762</v>
      </c>
      <c r="J1724" t="s">
        <v>5476</v>
      </c>
      <c r="K1724" t="s">
        <v>9763</v>
      </c>
      <c r="L1724" t="s">
        <v>5471</v>
      </c>
      <c r="M1724" t="s">
        <v>5471</v>
      </c>
    </row>
    <row r="1725" spans="1:13" x14ac:dyDescent="0.3">
      <c r="A1725" t="s">
        <v>3397</v>
      </c>
      <c r="B1725" t="s">
        <v>7391</v>
      </c>
      <c r="C1725" t="s">
        <v>5487</v>
      </c>
      <c r="D1725" t="s">
        <v>4052</v>
      </c>
      <c r="E1725" t="s">
        <v>5843</v>
      </c>
      <c r="F1725" t="s">
        <v>9764</v>
      </c>
      <c r="G1725" t="s">
        <v>7411</v>
      </c>
      <c r="H1725" t="s">
        <v>5474</v>
      </c>
      <c r="I1725" t="s">
        <v>9765</v>
      </c>
      <c r="J1725" t="s">
        <v>5476</v>
      </c>
      <c r="K1725" t="s">
        <v>9766</v>
      </c>
      <c r="L1725" t="s">
        <v>5471</v>
      </c>
      <c r="M1725" t="s">
        <v>5471</v>
      </c>
    </row>
    <row r="1726" spans="1:13" x14ac:dyDescent="0.3">
      <c r="A1726" t="s">
        <v>3397</v>
      </c>
      <c r="B1726" t="s">
        <v>5347</v>
      </c>
      <c r="C1726" t="s">
        <v>5487</v>
      </c>
      <c r="D1726" t="s">
        <v>4052</v>
      </c>
      <c r="E1726" t="s">
        <v>5595</v>
      </c>
      <c r="F1726" t="s">
        <v>9767</v>
      </c>
      <c r="G1726" t="s">
        <v>9768</v>
      </c>
      <c r="H1726" t="s">
        <v>5474</v>
      </c>
      <c r="I1726" t="s">
        <v>9769</v>
      </c>
      <c r="J1726" t="s">
        <v>5476</v>
      </c>
      <c r="K1726" t="s">
        <v>9770</v>
      </c>
      <c r="L1726" t="s">
        <v>5471</v>
      </c>
      <c r="M1726" t="s">
        <v>5471</v>
      </c>
    </row>
    <row r="1727" spans="1:13" x14ac:dyDescent="0.3">
      <c r="A1727" t="s">
        <v>3397</v>
      </c>
      <c r="B1727" t="s">
        <v>5255</v>
      </c>
      <c r="C1727" t="s">
        <v>5487</v>
      </c>
      <c r="D1727" t="s">
        <v>9771</v>
      </c>
      <c r="E1727" t="s">
        <v>9772</v>
      </c>
      <c r="F1727" t="s">
        <v>9773</v>
      </c>
      <c r="G1727" t="s">
        <v>9774</v>
      </c>
      <c r="H1727" t="s">
        <v>5474</v>
      </c>
      <c r="I1727" t="s">
        <v>9775</v>
      </c>
      <c r="J1727" t="s">
        <v>5476</v>
      </c>
      <c r="K1727" t="s">
        <v>9776</v>
      </c>
      <c r="L1727" t="s">
        <v>5471</v>
      </c>
      <c r="M1727" t="s">
        <v>5471</v>
      </c>
    </row>
    <row r="1728" spans="1:13" x14ac:dyDescent="0.3">
      <c r="A1728" t="s">
        <v>3397</v>
      </c>
      <c r="B1728" t="s">
        <v>5255</v>
      </c>
      <c r="C1728" t="s">
        <v>5487</v>
      </c>
      <c r="D1728" t="s">
        <v>9771</v>
      </c>
      <c r="E1728" t="s">
        <v>9772</v>
      </c>
      <c r="F1728" t="s">
        <v>9777</v>
      </c>
      <c r="G1728" t="s">
        <v>9778</v>
      </c>
      <c r="H1728" t="s">
        <v>5474</v>
      </c>
      <c r="I1728" t="s">
        <v>9779</v>
      </c>
      <c r="J1728" t="s">
        <v>5476</v>
      </c>
      <c r="K1728" t="s">
        <v>9780</v>
      </c>
      <c r="L1728" t="s">
        <v>5471</v>
      </c>
      <c r="M1728" t="s">
        <v>5471</v>
      </c>
    </row>
    <row r="1729" spans="1:13" x14ac:dyDescent="0.3">
      <c r="A1729" t="s">
        <v>3397</v>
      </c>
      <c r="B1729" t="s">
        <v>5269</v>
      </c>
      <c r="C1729" t="s">
        <v>5487</v>
      </c>
      <c r="D1729" t="s">
        <v>4058</v>
      </c>
      <c r="E1729" t="s">
        <v>5756</v>
      </c>
      <c r="F1729" t="s">
        <v>9781</v>
      </c>
      <c r="G1729" t="s">
        <v>7418</v>
      </c>
      <c r="H1729" t="s">
        <v>5474</v>
      </c>
      <c r="I1729" t="s">
        <v>9782</v>
      </c>
      <c r="J1729" t="s">
        <v>5476</v>
      </c>
      <c r="K1729" t="s">
        <v>9783</v>
      </c>
      <c r="L1729" t="s">
        <v>5471</v>
      </c>
      <c r="M1729" t="s">
        <v>5471</v>
      </c>
    </row>
    <row r="1730" spans="1:13" x14ac:dyDescent="0.3">
      <c r="A1730" t="s">
        <v>3397</v>
      </c>
      <c r="B1730" t="s">
        <v>5269</v>
      </c>
      <c r="C1730" t="s">
        <v>5487</v>
      </c>
      <c r="D1730" t="s">
        <v>4058</v>
      </c>
      <c r="E1730" t="s">
        <v>5756</v>
      </c>
      <c r="F1730" t="s">
        <v>9784</v>
      </c>
      <c r="G1730" t="s">
        <v>7418</v>
      </c>
      <c r="H1730" t="s">
        <v>5474</v>
      </c>
      <c r="I1730" t="s">
        <v>9785</v>
      </c>
      <c r="J1730" t="s">
        <v>5476</v>
      </c>
      <c r="K1730" t="s">
        <v>9786</v>
      </c>
      <c r="L1730" t="s">
        <v>5471</v>
      </c>
      <c r="M1730" t="s">
        <v>5471</v>
      </c>
    </row>
    <row r="1731" spans="1:13" x14ac:dyDescent="0.3">
      <c r="A1731" t="s">
        <v>3397</v>
      </c>
      <c r="B1731" t="s">
        <v>5269</v>
      </c>
      <c r="C1731" t="s">
        <v>5487</v>
      </c>
      <c r="D1731" t="s">
        <v>4058</v>
      </c>
      <c r="E1731" t="s">
        <v>5756</v>
      </c>
      <c r="F1731" t="s">
        <v>9787</v>
      </c>
      <c r="G1731" t="s">
        <v>7418</v>
      </c>
      <c r="H1731" t="s">
        <v>5474</v>
      </c>
      <c r="I1731" t="s">
        <v>9788</v>
      </c>
      <c r="J1731" t="s">
        <v>5476</v>
      </c>
      <c r="K1731" t="s">
        <v>9789</v>
      </c>
      <c r="L1731" t="s">
        <v>5471</v>
      </c>
      <c r="M1731" t="s">
        <v>5471</v>
      </c>
    </row>
    <row r="1732" spans="1:13" x14ac:dyDescent="0.3">
      <c r="A1732" t="s">
        <v>3397</v>
      </c>
      <c r="B1732" t="s">
        <v>7391</v>
      </c>
      <c r="C1732" t="s">
        <v>5487</v>
      </c>
      <c r="D1732" t="s">
        <v>4058</v>
      </c>
      <c r="E1732" t="s">
        <v>5843</v>
      </c>
      <c r="F1732" t="s">
        <v>9790</v>
      </c>
      <c r="G1732" t="s">
        <v>7393</v>
      </c>
      <c r="H1732" t="s">
        <v>5474</v>
      </c>
      <c r="I1732" t="s">
        <v>9791</v>
      </c>
      <c r="J1732" t="s">
        <v>5476</v>
      </c>
      <c r="K1732" t="s">
        <v>9792</v>
      </c>
      <c r="L1732" t="s">
        <v>5471</v>
      </c>
      <c r="M1732" t="s">
        <v>5471</v>
      </c>
    </row>
    <row r="1733" spans="1:13" x14ac:dyDescent="0.3">
      <c r="A1733" t="s">
        <v>3397</v>
      </c>
      <c r="B1733" t="s">
        <v>7391</v>
      </c>
      <c r="C1733" t="s">
        <v>5487</v>
      </c>
      <c r="D1733" t="s">
        <v>4058</v>
      </c>
      <c r="E1733" t="s">
        <v>5843</v>
      </c>
      <c r="F1733" t="s">
        <v>9793</v>
      </c>
      <c r="G1733" t="s">
        <v>7393</v>
      </c>
      <c r="H1733" t="s">
        <v>5474</v>
      </c>
      <c r="I1733" t="s">
        <v>9794</v>
      </c>
      <c r="J1733" t="s">
        <v>5476</v>
      </c>
      <c r="K1733" t="s">
        <v>9795</v>
      </c>
      <c r="L1733" t="s">
        <v>5471</v>
      </c>
      <c r="M1733" t="s">
        <v>5471</v>
      </c>
    </row>
    <row r="1734" spans="1:13" x14ac:dyDescent="0.3">
      <c r="A1734" t="s">
        <v>3397</v>
      </c>
      <c r="B1734" t="s">
        <v>7391</v>
      </c>
      <c r="C1734" t="s">
        <v>5487</v>
      </c>
      <c r="D1734" t="s">
        <v>4058</v>
      </c>
      <c r="E1734" t="s">
        <v>5843</v>
      </c>
      <c r="F1734" t="s">
        <v>9796</v>
      </c>
      <c r="G1734" t="s">
        <v>7393</v>
      </c>
      <c r="H1734" t="s">
        <v>5474</v>
      </c>
      <c r="I1734" t="s">
        <v>9797</v>
      </c>
      <c r="J1734" t="s">
        <v>5476</v>
      </c>
      <c r="K1734" t="s">
        <v>9798</v>
      </c>
      <c r="L1734" t="s">
        <v>5471</v>
      </c>
      <c r="M1734" t="s">
        <v>5471</v>
      </c>
    </row>
    <row r="1735" spans="1:13" x14ac:dyDescent="0.3">
      <c r="A1735" t="s">
        <v>3397</v>
      </c>
      <c r="B1735" t="s">
        <v>7391</v>
      </c>
      <c r="C1735" t="s">
        <v>5487</v>
      </c>
      <c r="D1735" t="s">
        <v>4058</v>
      </c>
      <c r="E1735" t="s">
        <v>5843</v>
      </c>
      <c r="F1735" t="s">
        <v>9799</v>
      </c>
      <c r="G1735" t="s">
        <v>7393</v>
      </c>
      <c r="H1735" t="s">
        <v>5474</v>
      </c>
      <c r="I1735" t="s">
        <v>9800</v>
      </c>
      <c r="J1735" t="s">
        <v>5476</v>
      </c>
      <c r="K1735" t="s">
        <v>9801</v>
      </c>
      <c r="L1735" t="s">
        <v>5471</v>
      </c>
      <c r="M1735" t="s">
        <v>5471</v>
      </c>
    </row>
    <row r="1736" spans="1:13" x14ac:dyDescent="0.3">
      <c r="A1736" t="s">
        <v>3397</v>
      </c>
      <c r="B1736" t="s">
        <v>7391</v>
      </c>
      <c r="C1736" t="s">
        <v>5487</v>
      </c>
      <c r="D1736" t="s">
        <v>4058</v>
      </c>
      <c r="E1736" t="s">
        <v>5843</v>
      </c>
      <c r="F1736" t="s">
        <v>9802</v>
      </c>
      <c r="G1736" t="s">
        <v>7393</v>
      </c>
      <c r="H1736" t="s">
        <v>5474</v>
      </c>
      <c r="I1736" t="s">
        <v>9803</v>
      </c>
      <c r="J1736" t="s">
        <v>5476</v>
      </c>
      <c r="K1736" t="s">
        <v>9804</v>
      </c>
      <c r="L1736" t="s">
        <v>5471</v>
      </c>
      <c r="M1736" t="s">
        <v>5471</v>
      </c>
    </row>
    <row r="1737" spans="1:13" x14ac:dyDescent="0.3">
      <c r="A1737" t="s">
        <v>3397</v>
      </c>
      <c r="B1737" t="s">
        <v>7391</v>
      </c>
      <c r="C1737" t="s">
        <v>5487</v>
      </c>
      <c r="D1737" t="s">
        <v>4058</v>
      </c>
      <c r="E1737" t="s">
        <v>5756</v>
      </c>
      <c r="F1737" t="s">
        <v>9805</v>
      </c>
      <c r="G1737" t="s">
        <v>7393</v>
      </c>
      <c r="H1737" t="s">
        <v>5474</v>
      </c>
      <c r="I1737" t="s">
        <v>9806</v>
      </c>
      <c r="J1737" t="s">
        <v>5476</v>
      </c>
      <c r="K1737" t="s">
        <v>9807</v>
      </c>
      <c r="L1737" t="s">
        <v>5471</v>
      </c>
      <c r="M1737" t="s">
        <v>5471</v>
      </c>
    </row>
    <row r="1738" spans="1:13" x14ac:dyDescent="0.3">
      <c r="A1738" t="s">
        <v>3397</v>
      </c>
      <c r="B1738" t="s">
        <v>7391</v>
      </c>
      <c r="C1738" t="s">
        <v>5487</v>
      </c>
      <c r="D1738" t="s">
        <v>4058</v>
      </c>
      <c r="E1738" t="s">
        <v>5756</v>
      </c>
      <c r="F1738" t="s">
        <v>9808</v>
      </c>
      <c r="G1738" t="s">
        <v>7393</v>
      </c>
      <c r="H1738" t="s">
        <v>5474</v>
      </c>
      <c r="I1738" t="s">
        <v>9809</v>
      </c>
      <c r="J1738" t="s">
        <v>5476</v>
      </c>
      <c r="K1738" t="s">
        <v>9810</v>
      </c>
      <c r="L1738" t="s">
        <v>5471</v>
      </c>
      <c r="M1738" t="s">
        <v>5471</v>
      </c>
    </row>
    <row r="1739" spans="1:13" x14ac:dyDescent="0.3">
      <c r="A1739" t="s">
        <v>3397</v>
      </c>
      <c r="B1739" t="s">
        <v>7391</v>
      </c>
      <c r="C1739" t="s">
        <v>5487</v>
      </c>
      <c r="D1739" t="s">
        <v>4058</v>
      </c>
      <c r="E1739" t="s">
        <v>5756</v>
      </c>
      <c r="F1739" t="s">
        <v>9811</v>
      </c>
      <c r="G1739" t="s">
        <v>7393</v>
      </c>
      <c r="H1739" t="s">
        <v>5474</v>
      </c>
      <c r="I1739" t="s">
        <v>9812</v>
      </c>
      <c r="J1739" t="s">
        <v>5476</v>
      </c>
      <c r="K1739" t="s">
        <v>9813</v>
      </c>
      <c r="L1739" t="s">
        <v>5471</v>
      </c>
      <c r="M1739" t="s">
        <v>5471</v>
      </c>
    </row>
    <row r="1740" spans="1:13" x14ac:dyDescent="0.3">
      <c r="A1740" t="s">
        <v>3397</v>
      </c>
      <c r="B1740" t="s">
        <v>7391</v>
      </c>
      <c r="C1740" t="s">
        <v>5487</v>
      </c>
      <c r="D1740" t="s">
        <v>4058</v>
      </c>
      <c r="E1740" t="s">
        <v>5843</v>
      </c>
      <c r="F1740" t="s">
        <v>9814</v>
      </c>
      <c r="G1740" t="s">
        <v>7411</v>
      </c>
      <c r="H1740" t="s">
        <v>5474</v>
      </c>
      <c r="I1740" t="s">
        <v>9815</v>
      </c>
      <c r="J1740" t="s">
        <v>5476</v>
      </c>
      <c r="K1740" t="s">
        <v>9816</v>
      </c>
      <c r="L1740" t="s">
        <v>5471</v>
      </c>
      <c r="M1740" t="s">
        <v>5471</v>
      </c>
    </row>
    <row r="1741" spans="1:13" x14ac:dyDescent="0.3">
      <c r="A1741" t="s">
        <v>3397</v>
      </c>
      <c r="B1741" t="s">
        <v>7391</v>
      </c>
      <c r="C1741" t="s">
        <v>5487</v>
      </c>
      <c r="D1741" t="s">
        <v>4058</v>
      </c>
      <c r="E1741" t="s">
        <v>5843</v>
      </c>
      <c r="F1741" t="s">
        <v>9817</v>
      </c>
      <c r="G1741" t="s">
        <v>7411</v>
      </c>
      <c r="H1741" t="s">
        <v>5474</v>
      </c>
      <c r="I1741" t="s">
        <v>9818</v>
      </c>
      <c r="J1741" t="s">
        <v>5476</v>
      </c>
      <c r="K1741" t="s">
        <v>9819</v>
      </c>
      <c r="L1741" t="s">
        <v>5471</v>
      </c>
      <c r="M1741" t="s">
        <v>5471</v>
      </c>
    </row>
    <row r="1742" spans="1:13" x14ac:dyDescent="0.3">
      <c r="A1742" t="s">
        <v>3397</v>
      </c>
      <c r="B1742" t="s">
        <v>7391</v>
      </c>
      <c r="C1742" t="s">
        <v>5487</v>
      </c>
      <c r="D1742" t="s">
        <v>4058</v>
      </c>
      <c r="E1742" t="s">
        <v>5843</v>
      </c>
      <c r="F1742" t="s">
        <v>9820</v>
      </c>
      <c r="G1742" t="s">
        <v>7411</v>
      </c>
      <c r="H1742" t="s">
        <v>5474</v>
      </c>
      <c r="I1742" t="s">
        <v>9821</v>
      </c>
      <c r="J1742" t="s">
        <v>5476</v>
      </c>
      <c r="K1742" t="s">
        <v>9822</v>
      </c>
      <c r="L1742" t="s">
        <v>5471</v>
      </c>
      <c r="M1742" t="s">
        <v>5471</v>
      </c>
    </row>
    <row r="1743" spans="1:13" x14ac:dyDescent="0.3">
      <c r="A1743" t="s">
        <v>3397</v>
      </c>
      <c r="B1743" t="s">
        <v>7391</v>
      </c>
      <c r="C1743" t="s">
        <v>5487</v>
      </c>
      <c r="D1743" t="s">
        <v>4058</v>
      </c>
      <c r="E1743" t="s">
        <v>5843</v>
      </c>
      <c r="F1743" t="s">
        <v>9823</v>
      </c>
      <c r="G1743" t="s">
        <v>7411</v>
      </c>
      <c r="H1743" t="s">
        <v>5474</v>
      </c>
      <c r="I1743" t="s">
        <v>9824</v>
      </c>
      <c r="J1743" t="s">
        <v>5476</v>
      </c>
      <c r="K1743" t="s">
        <v>9825</v>
      </c>
      <c r="L1743" t="s">
        <v>5471</v>
      </c>
      <c r="M1743" t="s">
        <v>5471</v>
      </c>
    </row>
    <row r="1744" spans="1:13" x14ac:dyDescent="0.3">
      <c r="A1744" t="s">
        <v>3397</v>
      </c>
      <c r="B1744" t="s">
        <v>7391</v>
      </c>
      <c r="C1744" t="s">
        <v>5487</v>
      </c>
      <c r="D1744" t="s">
        <v>4058</v>
      </c>
      <c r="E1744" t="s">
        <v>5843</v>
      </c>
      <c r="F1744" t="s">
        <v>9826</v>
      </c>
      <c r="G1744" t="s">
        <v>7411</v>
      </c>
      <c r="H1744" t="s">
        <v>5474</v>
      </c>
      <c r="I1744" t="s">
        <v>9827</v>
      </c>
      <c r="J1744" t="s">
        <v>5476</v>
      </c>
      <c r="K1744" t="s">
        <v>9828</v>
      </c>
      <c r="L1744" t="s">
        <v>5471</v>
      </c>
      <c r="M1744" t="s">
        <v>5471</v>
      </c>
    </row>
    <row r="1745" spans="1:13" x14ac:dyDescent="0.3">
      <c r="A1745" t="s">
        <v>3397</v>
      </c>
      <c r="B1745" t="s">
        <v>7391</v>
      </c>
      <c r="C1745" t="s">
        <v>5487</v>
      </c>
      <c r="D1745" t="s">
        <v>4058</v>
      </c>
      <c r="E1745" t="s">
        <v>5756</v>
      </c>
      <c r="F1745" t="s">
        <v>9829</v>
      </c>
      <c r="G1745" t="s">
        <v>7411</v>
      </c>
      <c r="H1745" t="s">
        <v>5474</v>
      </c>
      <c r="I1745" t="s">
        <v>9830</v>
      </c>
      <c r="J1745" t="s">
        <v>5476</v>
      </c>
      <c r="K1745" t="s">
        <v>9831</v>
      </c>
      <c r="L1745" t="s">
        <v>5471</v>
      </c>
      <c r="M1745" t="s">
        <v>5471</v>
      </c>
    </row>
    <row r="1746" spans="1:13" x14ac:dyDescent="0.3">
      <c r="A1746" t="s">
        <v>3397</v>
      </c>
      <c r="B1746" t="s">
        <v>9832</v>
      </c>
      <c r="C1746" t="s">
        <v>5487</v>
      </c>
      <c r="D1746" t="s">
        <v>9833</v>
      </c>
      <c r="E1746" t="s">
        <v>5471</v>
      </c>
      <c r="F1746" t="s">
        <v>9834</v>
      </c>
      <c r="G1746" t="s">
        <v>9178</v>
      </c>
      <c r="H1746" t="s">
        <v>5474</v>
      </c>
      <c r="I1746" t="s">
        <v>9835</v>
      </c>
      <c r="J1746" t="s">
        <v>5476</v>
      </c>
      <c r="K1746" t="s">
        <v>9836</v>
      </c>
      <c r="L1746" t="s">
        <v>5478</v>
      </c>
      <c r="M1746" t="s">
        <v>5471</v>
      </c>
    </row>
    <row r="1747" spans="1:13" x14ac:dyDescent="0.3">
      <c r="A1747" t="s">
        <v>3397</v>
      </c>
      <c r="B1747" t="s">
        <v>9837</v>
      </c>
      <c r="C1747" t="s">
        <v>5487</v>
      </c>
      <c r="D1747" t="s">
        <v>9833</v>
      </c>
      <c r="E1747" t="s">
        <v>5471</v>
      </c>
      <c r="F1747" t="s">
        <v>9838</v>
      </c>
      <c r="G1747" t="s">
        <v>9839</v>
      </c>
      <c r="H1747" t="s">
        <v>5474</v>
      </c>
      <c r="I1747" t="s">
        <v>9840</v>
      </c>
      <c r="J1747" t="s">
        <v>5476</v>
      </c>
      <c r="K1747" t="s">
        <v>9836</v>
      </c>
      <c r="L1747" t="s">
        <v>5478</v>
      </c>
      <c r="M1747" t="s">
        <v>5471</v>
      </c>
    </row>
    <row r="1748" spans="1:13" x14ac:dyDescent="0.3">
      <c r="A1748" t="s">
        <v>3397</v>
      </c>
      <c r="B1748" t="s">
        <v>5269</v>
      </c>
      <c r="C1748" t="s">
        <v>5487</v>
      </c>
      <c r="D1748" t="s">
        <v>4056</v>
      </c>
      <c r="E1748" t="s">
        <v>5756</v>
      </c>
      <c r="F1748" t="s">
        <v>9841</v>
      </c>
      <c r="G1748" t="s">
        <v>7418</v>
      </c>
      <c r="H1748" t="s">
        <v>5474</v>
      </c>
      <c r="I1748" t="s">
        <v>9842</v>
      </c>
      <c r="J1748" t="s">
        <v>5476</v>
      </c>
      <c r="K1748" t="s">
        <v>9843</v>
      </c>
      <c r="L1748" t="s">
        <v>5471</v>
      </c>
      <c r="M1748" t="s">
        <v>5471</v>
      </c>
    </row>
    <row r="1749" spans="1:13" x14ac:dyDescent="0.3">
      <c r="A1749" t="s">
        <v>3397</v>
      </c>
      <c r="B1749" t="s">
        <v>5269</v>
      </c>
      <c r="C1749" t="s">
        <v>5487</v>
      </c>
      <c r="D1749" t="s">
        <v>4056</v>
      </c>
      <c r="E1749" t="s">
        <v>5756</v>
      </c>
      <c r="F1749" t="s">
        <v>9844</v>
      </c>
      <c r="G1749" t="s">
        <v>7418</v>
      </c>
      <c r="H1749" t="s">
        <v>5474</v>
      </c>
      <c r="I1749" t="s">
        <v>9845</v>
      </c>
      <c r="J1749" t="s">
        <v>5476</v>
      </c>
      <c r="K1749" t="s">
        <v>9846</v>
      </c>
      <c r="L1749" t="s">
        <v>5471</v>
      </c>
      <c r="M1749" t="s">
        <v>5471</v>
      </c>
    </row>
    <row r="1750" spans="1:13" x14ac:dyDescent="0.3">
      <c r="A1750" t="s">
        <v>3397</v>
      </c>
      <c r="B1750" t="s">
        <v>5269</v>
      </c>
      <c r="C1750" t="s">
        <v>5487</v>
      </c>
      <c r="D1750" t="s">
        <v>4056</v>
      </c>
      <c r="E1750" t="s">
        <v>5756</v>
      </c>
      <c r="F1750" t="s">
        <v>9847</v>
      </c>
      <c r="G1750" t="s">
        <v>7418</v>
      </c>
      <c r="H1750" t="s">
        <v>5474</v>
      </c>
      <c r="I1750" t="s">
        <v>9848</v>
      </c>
      <c r="J1750" t="s">
        <v>5476</v>
      </c>
      <c r="K1750" t="s">
        <v>9849</v>
      </c>
      <c r="L1750" t="s">
        <v>5471</v>
      </c>
      <c r="M1750" t="s">
        <v>5471</v>
      </c>
    </row>
    <row r="1751" spans="1:13" x14ac:dyDescent="0.3">
      <c r="A1751" t="s">
        <v>3397</v>
      </c>
      <c r="B1751" t="s">
        <v>7391</v>
      </c>
      <c r="C1751" t="s">
        <v>5487</v>
      </c>
      <c r="D1751" t="s">
        <v>4200</v>
      </c>
      <c r="E1751" t="s">
        <v>5480</v>
      </c>
      <c r="F1751" t="s">
        <v>9850</v>
      </c>
      <c r="G1751" t="s">
        <v>7393</v>
      </c>
      <c r="H1751" t="s">
        <v>5474</v>
      </c>
      <c r="I1751" t="s">
        <v>9851</v>
      </c>
      <c r="J1751" t="s">
        <v>5476</v>
      </c>
      <c r="K1751" t="s">
        <v>9852</v>
      </c>
      <c r="L1751" t="s">
        <v>5471</v>
      </c>
      <c r="M1751" t="s">
        <v>5471</v>
      </c>
    </row>
    <row r="1752" spans="1:13" x14ac:dyDescent="0.3">
      <c r="A1752" t="s">
        <v>3397</v>
      </c>
      <c r="B1752" t="s">
        <v>7391</v>
      </c>
      <c r="C1752" t="s">
        <v>5487</v>
      </c>
      <c r="D1752" t="s">
        <v>4200</v>
      </c>
      <c r="E1752" t="s">
        <v>5480</v>
      </c>
      <c r="F1752" t="s">
        <v>9853</v>
      </c>
      <c r="G1752" t="s">
        <v>7411</v>
      </c>
      <c r="H1752" t="s">
        <v>5474</v>
      </c>
      <c r="I1752" t="s">
        <v>9854</v>
      </c>
      <c r="J1752" t="s">
        <v>5476</v>
      </c>
      <c r="K1752" t="s">
        <v>9855</v>
      </c>
      <c r="L1752" t="s">
        <v>5471</v>
      </c>
      <c r="M1752" t="s">
        <v>5471</v>
      </c>
    </row>
    <row r="1753" spans="1:13" x14ac:dyDescent="0.3">
      <c r="A1753" t="s">
        <v>3397</v>
      </c>
      <c r="B1753" t="s">
        <v>7391</v>
      </c>
      <c r="C1753" t="s">
        <v>5487</v>
      </c>
      <c r="D1753" t="s">
        <v>4200</v>
      </c>
      <c r="E1753" t="s">
        <v>5480</v>
      </c>
      <c r="F1753" t="s">
        <v>9856</v>
      </c>
      <c r="G1753" t="s">
        <v>7411</v>
      </c>
      <c r="H1753" t="s">
        <v>5474</v>
      </c>
      <c r="I1753" t="s">
        <v>9857</v>
      </c>
      <c r="J1753" t="s">
        <v>5476</v>
      </c>
      <c r="K1753" t="s">
        <v>9858</v>
      </c>
      <c r="L1753" t="s">
        <v>5471</v>
      </c>
      <c r="M1753" t="s">
        <v>5471</v>
      </c>
    </row>
    <row r="1754" spans="1:13" x14ac:dyDescent="0.3">
      <c r="A1754" t="s">
        <v>3397</v>
      </c>
      <c r="B1754" t="s">
        <v>5989</v>
      </c>
      <c r="C1754" t="s">
        <v>5487</v>
      </c>
      <c r="D1754" t="s">
        <v>4081</v>
      </c>
      <c r="E1754" t="s">
        <v>5756</v>
      </c>
      <c r="F1754" t="s">
        <v>9859</v>
      </c>
      <c r="G1754" t="s">
        <v>9860</v>
      </c>
      <c r="H1754" t="s">
        <v>5474</v>
      </c>
      <c r="I1754" t="s">
        <v>9861</v>
      </c>
      <c r="J1754" t="s">
        <v>5476</v>
      </c>
      <c r="K1754" t="s">
        <v>5471</v>
      </c>
      <c r="L1754" t="s">
        <v>5471</v>
      </c>
      <c r="M1754" t="s">
        <v>5471</v>
      </c>
    </row>
    <row r="1755" spans="1:13" x14ac:dyDescent="0.3">
      <c r="A1755" t="s">
        <v>3397</v>
      </c>
      <c r="B1755" t="s">
        <v>5989</v>
      </c>
      <c r="C1755" t="s">
        <v>5487</v>
      </c>
      <c r="D1755" t="s">
        <v>4081</v>
      </c>
      <c r="E1755" t="s">
        <v>5756</v>
      </c>
      <c r="F1755" t="s">
        <v>9862</v>
      </c>
      <c r="G1755" t="s">
        <v>9860</v>
      </c>
      <c r="H1755" t="s">
        <v>5474</v>
      </c>
      <c r="I1755" t="s">
        <v>9863</v>
      </c>
      <c r="J1755" t="s">
        <v>5476</v>
      </c>
      <c r="K1755" t="s">
        <v>5471</v>
      </c>
      <c r="L1755" t="s">
        <v>5471</v>
      </c>
      <c r="M1755" t="s">
        <v>5471</v>
      </c>
    </row>
    <row r="1756" spans="1:13" x14ac:dyDescent="0.3">
      <c r="A1756" t="s">
        <v>3397</v>
      </c>
      <c r="B1756" t="s">
        <v>5292</v>
      </c>
      <c r="C1756" t="s">
        <v>5487</v>
      </c>
      <c r="D1756" t="s">
        <v>4200</v>
      </c>
      <c r="E1756" t="s">
        <v>5756</v>
      </c>
      <c r="F1756" t="s">
        <v>9864</v>
      </c>
      <c r="G1756" t="s">
        <v>9865</v>
      </c>
      <c r="H1756" t="s">
        <v>5474</v>
      </c>
      <c r="I1756" t="s">
        <v>9866</v>
      </c>
      <c r="J1756" t="s">
        <v>5476</v>
      </c>
      <c r="K1756" t="s">
        <v>9867</v>
      </c>
      <c r="L1756" t="s">
        <v>5471</v>
      </c>
      <c r="M1756" t="s">
        <v>5471</v>
      </c>
    </row>
    <row r="1757" spans="1:13" x14ac:dyDescent="0.3">
      <c r="A1757" t="s">
        <v>3397</v>
      </c>
      <c r="B1757" t="s">
        <v>5292</v>
      </c>
      <c r="C1757" t="s">
        <v>5487</v>
      </c>
      <c r="D1757" t="s">
        <v>4200</v>
      </c>
      <c r="E1757" t="s">
        <v>5756</v>
      </c>
      <c r="F1757" t="s">
        <v>9868</v>
      </c>
      <c r="G1757" t="s">
        <v>9865</v>
      </c>
      <c r="H1757" t="s">
        <v>5474</v>
      </c>
      <c r="I1757" t="s">
        <v>9869</v>
      </c>
      <c r="J1757" t="s">
        <v>5476</v>
      </c>
      <c r="K1757" t="s">
        <v>9870</v>
      </c>
      <c r="L1757" t="s">
        <v>5471</v>
      </c>
      <c r="M1757" t="s">
        <v>5471</v>
      </c>
    </row>
    <row r="1758" spans="1:13" x14ac:dyDescent="0.3">
      <c r="A1758" t="s">
        <v>3397</v>
      </c>
      <c r="B1758" t="s">
        <v>5292</v>
      </c>
      <c r="C1758" t="s">
        <v>5487</v>
      </c>
      <c r="D1758" t="s">
        <v>4200</v>
      </c>
      <c r="E1758" t="s">
        <v>5756</v>
      </c>
      <c r="F1758" t="s">
        <v>9871</v>
      </c>
      <c r="G1758" t="s">
        <v>9865</v>
      </c>
      <c r="H1758" t="s">
        <v>5474</v>
      </c>
      <c r="I1758" t="s">
        <v>9872</v>
      </c>
      <c r="J1758" t="s">
        <v>5476</v>
      </c>
      <c r="K1758" t="s">
        <v>9873</v>
      </c>
      <c r="L1758" t="s">
        <v>5471</v>
      </c>
      <c r="M1758" t="s">
        <v>5471</v>
      </c>
    </row>
    <row r="1759" spans="1:13" x14ac:dyDescent="0.3">
      <c r="A1759" t="s">
        <v>3397</v>
      </c>
      <c r="B1759" t="s">
        <v>5292</v>
      </c>
      <c r="C1759" t="s">
        <v>5487</v>
      </c>
      <c r="D1759" t="s">
        <v>4200</v>
      </c>
      <c r="E1759" t="s">
        <v>5595</v>
      </c>
      <c r="F1759" t="s">
        <v>9874</v>
      </c>
      <c r="G1759" t="s">
        <v>9865</v>
      </c>
      <c r="H1759" t="s">
        <v>5474</v>
      </c>
      <c r="I1759" t="s">
        <v>9875</v>
      </c>
      <c r="J1759" t="s">
        <v>5476</v>
      </c>
      <c r="K1759" t="s">
        <v>9876</v>
      </c>
      <c r="L1759" t="s">
        <v>5471</v>
      </c>
      <c r="M1759" t="s">
        <v>5471</v>
      </c>
    </row>
    <row r="1760" spans="1:13" x14ac:dyDescent="0.3">
      <c r="A1760" t="s">
        <v>3397</v>
      </c>
      <c r="B1760" t="s">
        <v>5292</v>
      </c>
      <c r="C1760" t="s">
        <v>5487</v>
      </c>
      <c r="D1760" t="s">
        <v>4200</v>
      </c>
      <c r="E1760" t="s">
        <v>5595</v>
      </c>
      <c r="F1760" t="s">
        <v>9877</v>
      </c>
      <c r="G1760" t="s">
        <v>9865</v>
      </c>
      <c r="H1760" t="s">
        <v>5474</v>
      </c>
      <c r="I1760" t="s">
        <v>9878</v>
      </c>
      <c r="J1760" t="s">
        <v>5476</v>
      </c>
      <c r="K1760" t="s">
        <v>9879</v>
      </c>
      <c r="L1760" t="s">
        <v>5471</v>
      </c>
      <c r="M1760" t="s">
        <v>5471</v>
      </c>
    </row>
    <row r="1761" spans="1:13" x14ac:dyDescent="0.3">
      <c r="A1761" t="s">
        <v>3397</v>
      </c>
      <c r="B1761" t="s">
        <v>5292</v>
      </c>
      <c r="C1761" t="s">
        <v>5487</v>
      </c>
      <c r="D1761" t="s">
        <v>4200</v>
      </c>
      <c r="E1761" t="s">
        <v>5595</v>
      </c>
      <c r="F1761" t="s">
        <v>9880</v>
      </c>
      <c r="G1761" t="s">
        <v>9865</v>
      </c>
      <c r="H1761" t="s">
        <v>5474</v>
      </c>
      <c r="I1761" t="s">
        <v>9881</v>
      </c>
      <c r="J1761" t="s">
        <v>5476</v>
      </c>
      <c r="K1761" t="s">
        <v>9882</v>
      </c>
      <c r="L1761" t="s">
        <v>5471</v>
      </c>
      <c r="M1761" t="s">
        <v>5471</v>
      </c>
    </row>
    <row r="1762" spans="1:13" x14ac:dyDescent="0.3">
      <c r="A1762" t="s">
        <v>3397</v>
      </c>
      <c r="B1762" t="s">
        <v>5292</v>
      </c>
      <c r="C1762" t="s">
        <v>5487</v>
      </c>
      <c r="D1762" t="s">
        <v>4200</v>
      </c>
      <c r="E1762" t="s">
        <v>5756</v>
      </c>
      <c r="F1762" t="s">
        <v>9883</v>
      </c>
      <c r="G1762" t="s">
        <v>9884</v>
      </c>
      <c r="H1762" t="s">
        <v>5474</v>
      </c>
      <c r="I1762" t="s">
        <v>9885</v>
      </c>
      <c r="J1762" t="s">
        <v>5476</v>
      </c>
      <c r="K1762" t="s">
        <v>9886</v>
      </c>
      <c r="L1762" t="s">
        <v>5471</v>
      </c>
      <c r="M1762" t="s">
        <v>5471</v>
      </c>
    </row>
    <row r="1763" spans="1:13" x14ac:dyDescent="0.3">
      <c r="A1763" t="s">
        <v>3397</v>
      </c>
      <c r="B1763" t="s">
        <v>5292</v>
      </c>
      <c r="C1763" t="s">
        <v>5487</v>
      </c>
      <c r="D1763" t="s">
        <v>4200</v>
      </c>
      <c r="E1763" t="s">
        <v>5756</v>
      </c>
      <c r="F1763" t="s">
        <v>9887</v>
      </c>
      <c r="G1763" t="s">
        <v>9884</v>
      </c>
      <c r="H1763" t="s">
        <v>5474</v>
      </c>
      <c r="I1763" t="s">
        <v>9888</v>
      </c>
      <c r="J1763" t="s">
        <v>5476</v>
      </c>
      <c r="K1763" t="s">
        <v>9889</v>
      </c>
      <c r="L1763" t="s">
        <v>5471</v>
      </c>
      <c r="M1763" t="s">
        <v>5471</v>
      </c>
    </row>
    <row r="1764" spans="1:13" x14ac:dyDescent="0.3">
      <c r="A1764" t="s">
        <v>3397</v>
      </c>
      <c r="B1764" t="s">
        <v>5292</v>
      </c>
      <c r="C1764" t="s">
        <v>5487</v>
      </c>
      <c r="D1764" t="s">
        <v>4200</v>
      </c>
      <c r="E1764" t="s">
        <v>5756</v>
      </c>
      <c r="F1764" t="s">
        <v>9890</v>
      </c>
      <c r="G1764" t="s">
        <v>9884</v>
      </c>
      <c r="H1764" t="s">
        <v>5474</v>
      </c>
      <c r="I1764" t="s">
        <v>9891</v>
      </c>
      <c r="J1764" t="s">
        <v>5476</v>
      </c>
      <c r="K1764" t="s">
        <v>9892</v>
      </c>
      <c r="L1764" t="s">
        <v>5471</v>
      </c>
      <c r="M1764" t="s">
        <v>5471</v>
      </c>
    </row>
    <row r="1765" spans="1:13" x14ac:dyDescent="0.3">
      <c r="A1765" t="s">
        <v>3397</v>
      </c>
      <c r="B1765" t="s">
        <v>5292</v>
      </c>
      <c r="C1765" t="s">
        <v>5487</v>
      </c>
      <c r="D1765" t="s">
        <v>4200</v>
      </c>
      <c r="E1765" t="s">
        <v>5595</v>
      </c>
      <c r="F1765" t="s">
        <v>9893</v>
      </c>
      <c r="G1765" t="s">
        <v>9884</v>
      </c>
      <c r="H1765" t="s">
        <v>5474</v>
      </c>
      <c r="I1765" t="s">
        <v>9894</v>
      </c>
      <c r="J1765" t="s">
        <v>5476</v>
      </c>
      <c r="K1765" t="s">
        <v>9895</v>
      </c>
      <c r="L1765" t="s">
        <v>5471</v>
      </c>
      <c r="M1765" t="s">
        <v>5471</v>
      </c>
    </row>
    <row r="1766" spans="1:13" x14ac:dyDescent="0.3">
      <c r="A1766" t="s">
        <v>3397</v>
      </c>
      <c r="B1766" t="s">
        <v>5292</v>
      </c>
      <c r="C1766" t="s">
        <v>5487</v>
      </c>
      <c r="D1766" t="s">
        <v>4200</v>
      </c>
      <c r="E1766" t="s">
        <v>5595</v>
      </c>
      <c r="F1766" t="s">
        <v>9896</v>
      </c>
      <c r="G1766" t="s">
        <v>9884</v>
      </c>
      <c r="H1766" t="s">
        <v>5474</v>
      </c>
      <c r="I1766" t="s">
        <v>9897</v>
      </c>
      <c r="J1766" t="s">
        <v>5476</v>
      </c>
      <c r="K1766" t="s">
        <v>9898</v>
      </c>
      <c r="L1766" t="s">
        <v>5471</v>
      </c>
      <c r="M1766" t="s">
        <v>5471</v>
      </c>
    </row>
    <row r="1767" spans="1:13" x14ac:dyDescent="0.3">
      <c r="A1767" t="s">
        <v>3397</v>
      </c>
      <c r="B1767" t="s">
        <v>5292</v>
      </c>
      <c r="C1767" t="s">
        <v>5487</v>
      </c>
      <c r="D1767" t="s">
        <v>4200</v>
      </c>
      <c r="E1767" t="s">
        <v>5595</v>
      </c>
      <c r="F1767" t="s">
        <v>9899</v>
      </c>
      <c r="G1767" t="s">
        <v>9884</v>
      </c>
      <c r="H1767" t="s">
        <v>5474</v>
      </c>
      <c r="I1767" t="s">
        <v>9900</v>
      </c>
      <c r="J1767" t="s">
        <v>5476</v>
      </c>
      <c r="K1767" t="s">
        <v>9901</v>
      </c>
      <c r="L1767" t="s">
        <v>5471</v>
      </c>
      <c r="M1767" t="s">
        <v>5471</v>
      </c>
    </row>
    <row r="1768" spans="1:13" x14ac:dyDescent="0.3">
      <c r="A1768" t="s">
        <v>3397</v>
      </c>
      <c r="B1768" t="s">
        <v>5292</v>
      </c>
      <c r="C1768" t="s">
        <v>5487</v>
      </c>
      <c r="D1768" t="s">
        <v>4200</v>
      </c>
      <c r="E1768" t="s">
        <v>5595</v>
      </c>
      <c r="F1768" t="s">
        <v>9902</v>
      </c>
      <c r="G1768" t="s">
        <v>9903</v>
      </c>
      <c r="H1768" t="s">
        <v>5474</v>
      </c>
      <c r="I1768" t="s">
        <v>9904</v>
      </c>
      <c r="J1768" t="s">
        <v>5476</v>
      </c>
      <c r="K1768" t="s">
        <v>9905</v>
      </c>
      <c r="L1768" t="s">
        <v>5471</v>
      </c>
      <c r="M1768" t="s">
        <v>5471</v>
      </c>
    </row>
    <row r="1769" spans="1:13" x14ac:dyDescent="0.3">
      <c r="A1769" t="s">
        <v>3397</v>
      </c>
      <c r="B1769" t="s">
        <v>5292</v>
      </c>
      <c r="C1769" t="s">
        <v>5487</v>
      </c>
      <c r="D1769" t="s">
        <v>4200</v>
      </c>
      <c r="E1769" t="s">
        <v>5756</v>
      </c>
      <c r="F1769" t="s">
        <v>9906</v>
      </c>
      <c r="G1769" t="s">
        <v>9903</v>
      </c>
      <c r="H1769" t="s">
        <v>5474</v>
      </c>
      <c r="I1769" t="s">
        <v>9907</v>
      </c>
      <c r="J1769" t="s">
        <v>5476</v>
      </c>
      <c r="K1769" t="s">
        <v>9908</v>
      </c>
      <c r="L1769" t="s">
        <v>5471</v>
      </c>
      <c r="M1769" t="s">
        <v>5471</v>
      </c>
    </row>
    <row r="1770" spans="1:13" x14ac:dyDescent="0.3">
      <c r="A1770" t="s">
        <v>3397</v>
      </c>
      <c r="B1770" t="s">
        <v>5292</v>
      </c>
      <c r="C1770" t="s">
        <v>5487</v>
      </c>
      <c r="D1770" t="s">
        <v>4200</v>
      </c>
      <c r="E1770" t="s">
        <v>5756</v>
      </c>
      <c r="F1770" t="s">
        <v>9909</v>
      </c>
      <c r="G1770" t="s">
        <v>9903</v>
      </c>
      <c r="H1770" t="s">
        <v>5474</v>
      </c>
      <c r="I1770" t="s">
        <v>9910</v>
      </c>
      <c r="J1770" t="s">
        <v>5476</v>
      </c>
      <c r="K1770" t="s">
        <v>9911</v>
      </c>
      <c r="L1770" t="s">
        <v>5471</v>
      </c>
      <c r="M1770" t="s">
        <v>5471</v>
      </c>
    </row>
    <row r="1771" spans="1:13" x14ac:dyDescent="0.3">
      <c r="A1771" t="s">
        <v>3397</v>
      </c>
      <c r="B1771" t="s">
        <v>5292</v>
      </c>
      <c r="C1771" t="s">
        <v>5487</v>
      </c>
      <c r="D1771" t="s">
        <v>4200</v>
      </c>
      <c r="E1771" t="s">
        <v>5595</v>
      </c>
      <c r="F1771" t="s">
        <v>9912</v>
      </c>
      <c r="G1771" t="s">
        <v>9903</v>
      </c>
      <c r="H1771" t="s">
        <v>5474</v>
      </c>
      <c r="I1771" t="s">
        <v>9913</v>
      </c>
      <c r="J1771" t="s">
        <v>5476</v>
      </c>
      <c r="K1771" t="s">
        <v>9914</v>
      </c>
      <c r="L1771" t="s">
        <v>5471</v>
      </c>
      <c r="M1771" t="s">
        <v>5471</v>
      </c>
    </row>
    <row r="1772" spans="1:13" x14ac:dyDescent="0.3">
      <c r="A1772" t="s">
        <v>3397</v>
      </c>
      <c r="B1772" t="s">
        <v>5292</v>
      </c>
      <c r="C1772" t="s">
        <v>5487</v>
      </c>
      <c r="D1772" t="s">
        <v>4200</v>
      </c>
      <c r="E1772" t="s">
        <v>5595</v>
      </c>
      <c r="F1772" t="s">
        <v>9915</v>
      </c>
      <c r="G1772" t="s">
        <v>9903</v>
      </c>
      <c r="H1772" t="s">
        <v>5474</v>
      </c>
      <c r="I1772" t="s">
        <v>9916</v>
      </c>
      <c r="J1772" t="s">
        <v>5476</v>
      </c>
      <c r="K1772" t="s">
        <v>9917</v>
      </c>
      <c r="L1772" t="s">
        <v>5471</v>
      </c>
      <c r="M1772" t="s">
        <v>5471</v>
      </c>
    </row>
    <row r="1773" spans="1:13" x14ac:dyDescent="0.3">
      <c r="A1773" t="s">
        <v>3397</v>
      </c>
      <c r="B1773" t="s">
        <v>5292</v>
      </c>
      <c r="C1773" t="s">
        <v>5487</v>
      </c>
      <c r="D1773" t="s">
        <v>4200</v>
      </c>
      <c r="E1773" t="s">
        <v>5595</v>
      </c>
      <c r="F1773" t="s">
        <v>9918</v>
      </c>
      <c r="G1773" t="s">
        <v>9903</v>
      </c>
      <c r="H1773" t="s">
        <v>5474</v>
      </c>
      <c r="I1773" t="s">
        <v>9919</v>
      </c>
      <c r="J1773" t="s">
        <v>5476</v>
      </c>
      <c r="K1773" t="s">
        <v>9920</v>
      </c>
      <c r="L1773" t="s">
        <v>5471</v>
      </c>
      <c r="M1773" t="s">
        <v>5471</v>
      </c>
    </row>
    <row r="1774" spans="1:13" x14ac:dyDescent="0.3">
      <c r="A1774" t="s">
        <v>3388</v>
      </c>
      <c r="B1774" t="s">
        <v>9921</v>
      </c>
      <c r="C1774" t="s">
        <v>5470</v>
      </c>
      <c r="D1774" t="s">
        <v>4052</v>
      </c>
      <c r="E1774" t="s">
        <v>5617</v>
      </c>
      <c r="F1774" t="s">
        <v>9922</v>
      </c>
      <c r="G1774" t="s">
        <v>9923</v>
      </c>
      <c r="H1774" t="s">
        <v>5474</v>
      </c>
      <c r="I1774" t="s">
        <v>9924</v>
      </c>
      <c r="J1774" t="s">
        <v>5476</v>
      </c>
      <c r="K1774" t="s">
        <v>9925</v>
      </c>
      <c r="L1774" t="s">
        <v>5478</v>
      </c>
      <c r="M1774" t="s">
        <v>5471</v>
      </c>
    </row>
    <row r="1775" spans="1:13" x14ac:dyDescent="0.3">
      <c r="A1775" t="s">
        <v>3388</v>
      </c>
      <c r="B1775" t="s">
        <v>9921</v>
      </c>
      <c r="C1775" t="s">
        <v>5470</v>
      </c>
      <c r="D1775" t="s">
        <v>4052</v>
      </c>
      <c r="E1775" t="s">
        <v>5617</v>
      </c>
      <c r="F1775" t="s">
        <v>9926</v>
      </c>
      <c r="G1775" t="s">
        <v>9927</v>
      </c>
      <c r="H1775" t="s">
        <v>5474</v>
      </c>
      <c r="I1775" t="s">
        <v>9928</v>
      </c>
      <c r="J1775" t="s">
        <v>5476</v>
      </c>
      <c r="K1775" t="s">
        <v>9929</v>
      </c>
      <c r="L1775" t="s">
        <v>5478</v>
      </c>
      <c r="M1775" t="s">
        <v>5471</v>
      </c>
    </row>
    <row r="1776" spans="1:13" x14ac:dyDescent="0.3">
      <c r="A1776" t="s">
        <v>3388</v>
      </c>
      <c r="B1776" t="s">
        <v>9921</v>
      </c>
      <c r="C1776" t="s">
        <v>5470</v>
      </c>
      <c r="D1776" t="s">
        <v>4052</v>
      </c>
      <c r="E1776" t="s">
        <v>5617</v>
      </c>
      <c r="F1776" t="s">
        <v>9930</v>
      </c>
      <c r="G1776" t="s">
        <v>9931</v>
      </c>
      <c r="H1776" t="s">
        <v>5474</v>
      </c>
      <c r="I1776" t="s">
        <v>9932</v>
      </c>
      <c r="J1776" t="s">
        <v>5476</v>
      </c>
      <c r="K1776" t="s">
        <v>9933</v>
      </c>
      <c r="L1776" t="s">
        <v>5478</v>
      </c>
      <c r="M1776" t="s">
        <v>5471</v>
      </c>
    </row>
    <row r="1777" spans="1:13" x14ac:dyDescent="0.3">
      <c r="A1777" t="s">
        <v>3380</v>
      </c>
      <c r="B1777" t="s">
        <v>9934</v>
      </c>
      <c r="C1777" t="s">
        <v>6342</v>
      </c>
      <c r="D1777" t="s">
        <v>4119</v>
      </c>
      <c r="E1777" t="s">
        <v>9935</v>
      </c>
      <c r="F1777" t="s">
        <v>9936</v>
      </c>
      <c r="G1777" t="s">
        <v>9937</v>
      </c>
      <c r="H1777" t="s">
        <v>5474</v>
      </c>
      <c r="I1777" t="s">
        <v>9938</v>
      </c>
      <c r="J1777" t="s">
        <v>5476</v>
      </c>
      <c r="K1777" t="s">
        <v>9939</v>
      </c>
      <c r="L1777" t="s">
        <v>5471</v>
      </c>
      <c r="M1777" t="s">
        <v>5471</v>
      </c>
    </row>
    <row r="1778" spans="1:13" x14ac:dyDescent="0.3">
      <c r="A1778" t="s">
        <v>3380</v>
      </c>
      <c r="B1778" t="s">
        <v>9713</v>
      </c>
      <c r="C1778" t="s">
        <v>6342</v>
      </c>
      <c r="D1778" t="s">
        <v>9940</v>
      </c>
      <c r="E1778" t="s">
        <v>9935</v>
      </c>
      <c r="F1778" t="s">
        <v>9941</v>
      </c>
      <c r="G1778" t="s">
        <v>9942</v>
      </c>
      <c r="H1778" t="s">
        <v>5474</v>
      </c>
      <c r="I1778" t="s">
        <v>9943</v>
      </c>
      <c r="J1778" t="s">
        <v>5476</v>
      </c>
      <c r="K1778" t="s">
        <v>9944</v>
      </c>
      <c r="L1778" t="s">
        <v>5471</v>
      </c>
      <c r="M1778" t="s">
        <v>5471</v>
      </c>
    </row>
    <row r="1779" spans="1:13" x14ac:dyDescent="0.3">
      <c r="A1779" t="s">
        <v>3380</v>
      </c>
      <c r="B1779" t="s">
        <v>9713</v>
      </c>
      <c r="C1779" t="s">
        <v>6342</v>
      </c>
      <c r="D1779" t="s">
        <v>9940</v>
      </c>
      <c r="E1779" t="s">
        <v>9935</v>
      </c>
      <c r="F1779" t="s">
        <v>9945</v>
      </c>
      <c r="G1779" t="s">
        <v>9942</v>
      </c>
      <c r="H1779" t="s">
        <v>5474</v>
      </c>
      <c r="I1779" t="s">
        <v>9946</v>
      </c>
      <c r="J1779" t="s">
        <v>5476</v>
      </c>
      <c r="K1779" t="s">
        <v>9947</v>
      </c>
      <c r="L1779" t="s">
        <v>5471</v>
      </c>
      <c r="M1779" t="s">
        <v>5471</v>
      </c>
    </row>
    <row r="1780" spans="1:13" x14ac:dyDescent="0.3">
      <c r="A1780" t="s">
        <v>3380</v>
      </c>
      <c r="B1780" t="s">
        <v>9934</v>
      </c>
      <c r="C1780" t="s">
        <v>6342</v>
      </c>
      <c r="D1780" t="s">
        <v>4119</v>
      </c>
      <c r="E1780" t="s">
        <v>9935</v>
      </c>
      <c r="F1780" t="s">
        <v>9948</v>
      </c>
      <c r="G1780" t="s">
        <v>9949</v>
      </c>
      <c r="H1780" t="s">
        <v>5474</v>
      </c>
      <c r="I1780" t="s">
        <v>9950</v>
      </c>
      <c r="J1780" t="s">
        <v>5476</v>
      </c>
      <c r="K1780" t="s">
        <v>9951</v>
      </c>
      <c r="L1780" t="s">
        <v>5471</v>
      </c>
      <c r="M1780" t="s">
        <v>5471</v>
      </c>
    </row>
    <row r="1781" spans="1:13" x14ac:dyDescent="0.3">
      <c r="A1781" t="s">
        <v>3383</v>
      </c>
      <c r="B1781" t="s">
        <v>5324</v>
      </c>
      <c r="C1781" t="s">
        <v>5487</v>
      </c>
      <c r="D1781" t="s">
        <v>9940</v>
      </c>
      <c r="E1781" t="s">
        <v>5532</v>
      </c>
      <c r="F1781" t="s">
        <v>9952</v>
      </c>
      <c r="G1781" t="s">
        <v>9953</v>
      </c>
      <c r="H1781" t="s">
        <v>5474</v>
      </c>
      <c r="I1781" t="s">
        <v>9954</v>
      </c>
      <c r="J1781" t="s">
        <v>5476</v>
      </c>
      <c r="K1781" t="s">
        <v>9955</v>
      </c>
      <c r="L1781" t="s">
        <v>5471</v>
      </c>
      <c r="M1781" t="s">
        <v>5471</v>
      </c>
    </row>
    <row r="1782" spans="1:13" x14ac:dyDescent="0.3">
      <c r="A1782" t="s">
        <v>3380</v>
      </c>
      <c r="B1782" t="s">
        <v>9934</v>
      </c>
      <c r="C1782" t="s">
        <v>6342</v>
      </c>
      <c r="D1782" t="s">
        <v>4119</v>
      </c>
      <c r="E1782" t="s">
        <v>9935</v>
      </c>
      <c r="F1782" t="s">
        <v>9956</v>
      </c>
      <c r="G1782" t="s">
        <v>9949</v>
      </c>
      <c r="H1782" t="s">
        <v>5474</v>
      </c>
      <c r="I1782" t="s">
        <v>9957</v>
      </c>
      <c r="J1782" t="s">
        <v>5476</v>
      </c>
      <c r="K1782" t="s">
        <v>5471</v>
      </c>
      <c r="L1782" t="s">
        <v>5471</v>
      </c>
      <c r="M1782" t="s">
        <v>5471</v>
      </c>
    </row>
    <row r="1783" spans="1:13" x14ac:dyDescent="0.3">
      <c r="A1783" t="s">
        <v>3383</v>
      </c>
      <c r="B1783" t="s">
        <v>5324</v>
      </c>
      <c r="C1783" t="s">
        <v>5487</v>
      </c>
      <c r="D1783" t="s">
        <v>9958</v>
      </c>
      <c r="E1783" t="s">
        <v>5480</v>
      </c>
      <c r="F1783" t="s">
        <v>9959</v>
      </c>
      <c r="G1783" t="s">
        <v>9960</v>
      </c>
      <c r="H1783" t="s">
        <v>5474</v>
      </c>
      <c r="I1783" t="s">
        <v>9961</v>
      </c>
      <c r="J1783" t="s">
        <v>5476</v>
      </c>
      <c r="K1783" t="s">
        <v>9962</v>
      </c>
      <c r="L1783" t="s">
        <v>5471</v>
      </c>
      <c r="M1783" t="s">
        <v>5471</v>
      </c>
    </row>
    <row r="1784" spans="1:13" x14ac:dyDescent="0.3">
      <c r="A1784" t="s">
        <v>3383</v>
      </c>
      <c r="B1784" t="s">
        <v>5324</v>
      </c>
      <c r="C1784" t="s">
        <v>5487</v>
      </c>
      <c r="D1784" t="s">
        <v>9958</v>
      </c>
      <c r="E1784" t="s">
        <v>5480</v>
      </c>
      <c r="F1784" t="s">
        <v>9963</v>
      </c>
      <c r="G1784" t="s">
        <v>9964</v>
      </c>
      <c r="H1784" t="s">
        <v>5474</v>
      </c>
      <c r="I1784" t="s">
        <v>9965</v>
      </c>
      <c r="J1784" t="s">
        <v>5476</v>
      </c>
      <c r="K1784" t="s">
        <v>9966</v>
      </c>
      <c r="L1784" t="s">
        <v>5471</v>
      </c>
      <c r="M1784" t="s">
        <v>5471</v>
      </c>
    </row>
    <row r="1785" spans="1:13" x14ac:dyDescent="0.3">
      <c r="A1785" t="s">
        <v>3380</v>
      </c>
      <c r="B1785" t="s">
        <v>9713</v>
      </c>
      <c r="C1785" t="s">
        <v>6342</v>
      </c>
      <c r="D1785" t="s">
        <v>9940</v>
      </c>
      <c r="E1785" t="s">
        <v>9935</v>
      </c>
      <c r="F1785" t="s">
        <v>9967</v>
      </c>
      <c r="G1785" t="s">
        <v>9942</v>
      </c>
      <c r="H1785" t="s">
        <v>5474</v>
      </c>
      <c r="I1785" t="s">
        <v>9968</v>
      </c>
      <c r="J1785" t="s">
        <v>5476</v>
      </c>
      <c r="K1785" t="s">
        <v>9969</v>
      </c>
      <c r="L1785" t="s">
        <v>5471</v>
      </c>
      <c r="M1785" t="s">
        <v>5471</v>
      </c>
    </row>
    <row r="1786" spans="1:13" x14ac:dyDescent="0.3">
      <c r="A1786" t="s">
        <v>3383</v>
      </c>
      <c r="B1786" t="s">
        <v>5324</v>
      </c>
      <c r="C1786" t="s">
        <v>5487</v>
      </c>
      <c r="D1786" t="s">
        <v>9958</v>
      </c>
      <c r="E1786" t="s">
        <v>5480</v>
      </c>
      <c r="F1786" t="s">
        <v>9970</v>
      </c>
      <c r="G1786" t="s">
        <v>9971</v>
      </c>
      <c r="H1786" t="s">
        <v>5474</v>
      </c>
      <c r="I1786" t="s">
        <v>9972</v>
      </c>
      <c r="J1786" t="s">
        <v>5476</v>
      </c>
      <c r="K1786" t="s">
        <v>9973</v>
      </c>
      <c r="L1786" t="s">
        <v>5471</v>
      </c>
      <c r="M1786" t="s">
        <v>5471</v>
      </c>
    </row>
    <row r="1787" spans="1:13" x14ac:dyDescent="0.3">
      <c r="A1787" t="s">
        <v>3383</v>
      </c>
      <c r="B1787" t="s">
        <v>5330</v>
      </c>
      <c r="C1787" t="s">
        <v>5470</v>
      </c>
      <c r="D1787" t="s">
        <v>4081</v>
      </c>
      <c r="E1787" t="s">
        <v>5532</v>
      </c>
      <c r="F1787" t="s">
        <v>9974</v>
      </c>
      <c r="G1787" t="s">
        <v>5871</v>
      </c>
      <c r="H1787" t="s">
        <v>5474</v>
      </c>
      <c r="I1787" t="s">
        <v>9975</v>
      </c>
      <c r="J1787" t="s">
        <v>5476</v>
      </c>
      <c r="K1787" t="s">
        <v>9976</v>
      </c>
      <c r="L1787" t="s">
        <v>5471</v>
      </c>
      <c r="M1787" t="s">
        <v>5471</v>
      </c>
    </row>
    <row r="1788" spans="1:13" x14ac:dyDescent="0.3">
      <c r="A1788" t="s">
        <v>3383</v>
      </c>
      <c r="B1788" t="s">
        <v>5332</v>
      </c>
      <c r="C1788" t="s">
        <v>5470</v>
      </c>
      <c r="D1788" t="s">
        <v>4081</v>
      </c>
      <c r="E1788" t="s">
        <v>5756</v>
      </c>
      <c r="F1788" t="s">
        <v>9977</v>
      </c>
      <c r="G1788" t="s">
        <v>6239</v>
      </c>
      <c r="H1788" t="s">
        <v>5474</v>
      </c>
      <c r="I1788" t="s">
        <v>9978</v>
      </c>
      <c r="J1788" t="s">
        <v>5476</v>
      </c>
      <c r="K1788" t="s">
        <v>9979</v>
      </c>
      <c r="L1788" t="s">
        <v>5471</v>
      </c>
      <c r="M1788" t="s">
        <v>5471</v>
      </c>
    </row>
    <row r="1789" spans="1:13" x14ac:dyDescent="0.3">
      <c r="A1789" t="s">
        <v>3380</v>
      </c>
      <c r="B1789" t="s">
        <v>9934</v>
      </c>
      <c r="C1789" t="s">
        <v>6342</v>
      </c>
      <c r="D1789" t="s">
        <v>4119</v>
      </c>
      <c r="E1789" t="s">
        <v>9935</v>
      </c>
      <c r="F1789" t="s">
        <v>9980</v>
      </c>
      <c r="G1789" t="s">
        <v>9937</v>
      </c>
      <c r="H1789" t="s">
        <v>5474</v>
      </c>
      <c r="I1789" t="s">
        <v>9981</v>
      </c>
      <c r="J1789" t="s">
        <v>5476</v>
      </c>
      <c r="K1789" t="s">
        <v>5471</v>
      </c>
      <c r="L1789" t="s">
        <v>5471</v>
      </c>
      <c r="M1789" t="s">
        <v>5471</v>
      </c>
    </row>
    <row r="1790" spans="1:13" x14ac:dyDescent="0.3">
      <c r="A1790" t="s">
        <v>3380</v>
      </c>
      <c r="B1790" t="s">
        <v>9713</v>
      </c>
      <c r="C1790" t="s">
        <v>6342</v>
      </c>
      <c r="D1790" t="s">
        <v>9940</v>
      </c>
      <c r="E1790" t="s">
        <v>9935</v>
      </c>
      <c r="F1790" t="s">
        <v>9982</v>
      </c>
      <c r="G1790" t="s">
        <v>9983</v>
      </c>
      <c r="H1790" t="s">
        <v>5474</v>
      </c>
      <c r="I1790" t="s">
        <v>9984</v>
      </c>
      <c r="J1790" t="s">
        <v>5476</v>
      </c>
      <c r="K1790" t="s">
        <v>9985</v>
      </c>
      <c r="L1790" t="s">
        <v>5471</v>
      </c>
      <c r="M1790" t="s">
        <v>5471</v>
      </c>
    </row>
    <row r="1791" spans="1:13" x14ac:dyDescent="0.3">
      <c r="A1791" t="s">
        <v>3380</v>
      </c>
      <c r="B1791" t="s">
        <v>9713</v>
      </c>
      <c r="C1791" t="s">
        <v>6342</v>
      </c>
      <c r="D1791" t="s">
        <v>9940</v>
      </c>
      <c r="E1791" t="s">
        <v>9935</v>
      </c>
      <c r="F1791" t="s">
        <v>9986</v>
      </c>
      <c r="G1791" t="s">
        <v>9987</v>
      </c>
      <c r="H1791" t="s">
        <v>5474</v>
      </c>
      <c r="I1791" t="s">
        <v>9988</v>
      </c>
      <c r="J1791" t="s">
        <v>5476</v>
      </c>
      <c r="K1791" t="s">
        <v>9989</v>
      </c>
      <c r="L1791" t="s">
        <v>5471</v>
      </c>
      <c r="M1791" t="s">
        <v>5471</v>
      </c>
    </row>
    <row r="1792" spans="1:13" x14ac:dyDescent="0.3">
      <c r="A1792" t="s">
        <v>3383</v>
      </c>
      <c r="B1792" t="s">
        <v>8922</v>
      </c>
      <c r="C1792" t="s">
        <v>5470</v>
      </c>
      <c r="D1792" t="s">
        <v>9940</v>
      </c>
      <c r="E1792" t="s">
        <v>5532</v>
      </c>
      <c r="F1792" t="s">
        <v>9990</v>
      </c>
      <c r="G1792" t="s">
        <v>9991</v>
      </c>
      <c r="H1792" t="s">
        <v>5474</v>
      </c>
      <c r="I1792" t="s">
        <v>9992</v>
      </c>
      <c r="J1792" t="s">
        <v>5476</v>
      </c>
      <c r="K1792" t="s">
        <v>9993</v>
      </c>
      <c r="L1792" t="s">
        <v>5471</v>
      </c>
      <c r="M1792" t="s">
        <v>5471</v>
      </c>
    </row>
    <row r="1793" spans="1:13" x14ac:dyDescent="0.3">
      <c r="A1793" t="s">
        <v>3380</v>
      </c>
      <c r="B1793" t="s">
        <v>9713</v>
      </c>
      <c r="C1793" t="s">
        <v>6342</v>
      </c>
      <c r="D1793" t="s">
        <v>9940</v>
      </c>
      <c r="E1793" t="s">
        <v>9935</v>
      </c>
      <c r="F1793" t="s">
        <v>9994</v>
      </c>
      <c r="G1793" t="s">
        <v>9987</v>
      </c>
      <c r="H1793" t="s">
        <v>5474</v>
      </c>
      <c r="I1793" t="s">
        <v>9995</v>
      </c>
      <c r="J1793" t="s">
        <v>5476</v>
      </c>
      <c r="K1793" t="s">
        <v>9996</v>
      </c>
      <c r="L1793" t="s">
        <v>5471</v>
      </c>
      <c r="M1793" t="s">
        <v>5471</v>
      </c>
    </row>
    <row r="1794" spans="1:13" x14ac:dyDescent="0.3">
      <c r="A1794" t="s">
        <v>3380</v>
      </c>
      <c r="B1794" t="s">
        <v>9713</v>
      </c>
      <c r="C1794" t="s">
        <v>6342</v>
      </c>
      <c r="D1794" t="s">
        <v>9940</v>
      </c>
      <c r="E1794" t="s">
        <v>9935</v>
      </c>
      <c r="F1794" t="s">
        <v>9997</v>
      </c>
      <c r="G1794" t="s">
        <v>9987</v>
      </c>
      <c r="H1794" t="s">
        <v>5474</v>
      </c>
      <c r="I1794" t="s">
        <v>9998</v>
      </c>
      <c r="J1794" t="s">
        <v>5476</v>
      </c>
      <c r="K1794" t="s">
        <v>9999</v>
      </c>
      <c r="L1794" t="s">
        <v>5471</v>
      </c>
      <c r="M1794" t="s">
        <v>5471</v>
      </c>
    </row>
    <row r="1795" spans="1:13" x14ac:dyDescent="0.3">
      <c r="A1795" t="s">
        <v>3383</v>
      </c>
      <c r="B1795" t="s">
        <v>6051</v>
      </c>
      <c r="C1795" t="s">
        <v>5470</v>
      </c>
      <c r="D1795" t="s">
        <v>9940</v>
      </c>
      <c r="E1795" t="s">
        <v>5756</v>
      </c>
      <c r="F1795" t="s">
        <v>10000</v>
      </c>
      <c r="G1795" t="s">
        <v>6283</v>
      </c>
      <c r="H1795" t="s">
        <v>5474</v>
      </c>
      <c r="I1795" t="s">
        <v>10001</v>
      </c>
      <c r="J1795" t="s">
        <v>5476</v>
      </c>
      <c r="K1795" t="s">
        <v>10002</v>
      </c>
      <c r="L1795" t="s">
        <v>5471</v>
      </c>
      <c r="M1795" t="s">
        <v>5471</v>
      </c>
    </row>
    <row r="1796" spans="1:13" x14ac:dyDescent="0.3">
      <c r="A1796" t="s">
        <v>3383</v>
      </c>
      <c r="B1796" t="s">
        <v>6122</v>
      </c>
      <c r="C1796" t="s">
        <v>5470</v>
      </c>
      <c r="D1796" t="s">
        <v>4081</v>
      </c>
      <c r="E1796" t="s">
        <v>5756</v>
      </c>
      <c r="F1796" t="s">
        <v>10003</v>
      </c>
      <c r="G1796" t="s">
        <v>8970</v>
      </c>
      <c r="H1796" t="s">
        <v>5474</v>
      </c>
      <c r="I1796" t="s">
        <v>10004</v>
      </c>
      <c r="J1796" t="s">
        <v>5476</v>
      </c>
      <c r="K1796" t="s">
        <v>10005</v>
      </c>
      <c r="L1796" t="s">
        <v>5471</v>
      </c>
      <c r="M1796" t="s">
        <v>5471</v>
      </c>
    </row>
    <row r="1797" spans="1:13" x14ac:dyDescent="0.3">
      <c r="A1797" t="s">
        <v>3380</v>
      </c>
      <c r="B1797" t="s">
        <v>9934</v>
      </c>
      <c r="C1797" t="s">
        <v>6342</v>
      </c>
      <c r="D1797" t="s">
        <v>4119</v>
      </c>
      <c r="E1797" t="s">
        <v>9935</v>
      </c>
      <c r="F1797" t="s">
        <v>10006</v>
      </c>
      <c r="G1797" t="s">
        <v>10007</v>
      </c>
      <c r="H1797" t="s">
        <v>5474</v>
      </c>
      <c r="I1797" t="s">
        <v>10008</v>
      </c>
      <c r="J1797" t="s">
        <v>5476</v>
      </c>
      <c r="K1797" t="s">
        <v>10009</v>
      </c>
      <c r="L1797" t="s">
        <v>5471</v>
      </c>
      <c r="M1797" t="s">
        <v>5471</v>
      </c>
    </row>
    <row r="1798" spans="1:13" x14ac:dyDescent="0.3">
      <c r="A1798" t="s">
        <v>3380</v>
      </c>
      <c r="B1798" t="s">
        <v>9934</v>
      </c>
      <c r="C1798" t="s">
        <v>6342</v>
      </c>
      <c r="D1798" t="s">
        <v>4119</v>
      </c>
      <c r="E1798" t="s">
        <v>9935</v>
      </c>
      <c r="F1798" t="s">
        <v>10010</v>
      </c>
      <c r="G1798" t="s">
        <v>10007</v>
      </c>
      <c r="H1798" t="s">
        <v>5474</v>
      </c>
      <c r="I1798" t="s">
        <v>10011</v>
      </c>
      <c r="J1798" t="s">
        <v>5476</v>
      </c>
      <c r="K1798" t="s">
        <v>5471</v>
      </c>
      <c r="L1798" t="s">
        <v>5471</v>
      </c>
      <c r="M1798" t="s">
        <v>5471</v>
      </c>
    </row>
    <row r="1799" spans="1:13" x14ac:dyDescent="0.3">
      <c r="A1799" t="s">
        <v>3383</v>
      </c>
      <c r="B1799" t="s">
        <v>6122</v>
      </c>
      <c r="C1799" t="s">
        <v>5470</v>
      </c>
      <c r="D1799" t="s">
        <v>4081</v>
      </c>
      <c r="E1799" t="s">
        <v>5756</v>
      </c>
      <c r="F1799" t="s">
        <v>10012</v>
      </c>
      <c r="G1799" t="s">
        <v>7497</v>
      </c>
      <c r="H1799" t="s">
        <v>5474</v>
      </c>
      <c r="I1799" t="s">
        <v>10013</v>
      </c>
      <c r="J1799" t="s">
        <v>5476</v>
      </c>
      <c r="K1799" t="s">
        <v>10014</v>
      </c>
      <c r="L1799" t="s">
        <v>5471</v>
      </c>
      <c r="M1799" t="s">
        <v>5471</v>
      </c>
    </row>
    <row r="1800" spans="1:13" x14ac:dyDescent="0.3">
      <c r="A1800" t="s">
        <v>3380</v>
      </c>
      <c r="B1800" t="s">
        <v>9934</v>
      </c>
      <c r="C1800" t="s">
        <v>6342</v>
      </c>
      <c r="D1800" t="s">
        <v>4119</v>
      </c>
      <c r="E1800" t="s">
        <v>9935</v>
      </c>
      <c r="F1800" t="s">
        <v>10015</v>
      </c>
      <c r="G1800" t="s">
        <v>10016</v>
      </c>
      <c r="H1800" t="s">
        <v>5474</v>
      </c>
      <c r="I1800" t="s">
        <v>10017</v>
      </c>
      <c r="J1800" t="s">
        <v>5476</v>
      </c>
      <c r="K1800" t="s">
        <v>10018</v>
      </c>
      <c r="L1800" t="s">
        <v>5471</v>
      </c>
      <c r="M1800" t="s">
        <v>5471</v>
      </c>
    </row>
    <row r="1801" spans="1:13" x14ac:dyDescent="0.3">
      <c r="A1801" t="s">
        <v>3380</v>
      </c>
      <c r="B1801" t="s">
        <v>9934</v>
      </c>
      <c r="C1801" t="s">
        <v>6342</v>
      </c>
      <c r="D1801" t="s">
        <v>4119</v>
      </c>
      <c r="E1801" t="s">
        <v>9935</v>
      </c>
      <c r="F1801" t="s">
        <v>10019</v>
      </c>
      <c r="G1801" t="s">
        <v>10016</v>
      </c>
      <c r="H1801" t="s">
        <v>5474</v>
      </c>
      <c r="I1801" t="s">
        <v>10020</v>
      </c>
      <c r="J1801" t="s">
        <v>5476</v>
      </c>
      <c r="K1801" t="s">
        <v>5471</v>
      </c>
      <c r="L1801" t="s">
        <v>5471</v>
      </c>
      <c r="M1801" t="s">
        <v>5471</v>
      </c>
    </row>
    <row r="1802" spans="1:13" x14ac:dyDescent="0.3">
      <c r="A1802" t="s">
        <v>3380</v>
      </c>
      <c r="B1802" t="s">
        <v>9934</v>
      </c>
      <c r="C1802" t="s">
        <v>6342</v>
      </c>
      <c r="D1802" t="s">
        <v>4119</v>
      </c>
      <c r="E1802" t="s">
        <v>9935</v>
      </c>
      <c r="F1802" t="s">
        <v>10021</v>
      </c>
      <c r="G1802" t="s">
        <v>10022</v>
      </c>
      <c r="H1802" t="s">
        <v>5474</v>
      </c>
      <c r="I1802" t="s">
        <v>10023</v>
      </c>
      <c r="J1802" t="s">
        <v>5476</v>
      </c>
      <c r="K1802" t="s">
        <v>10024</v>
      </c>
      <c r="L1802" t="s">
        <v>5471</v>
      </c>
      <c r="M1802" t="s">
        <v>5471</v>
      </c>
    </row>
    <row r="1803" spans="1:13" x14ac:dyDescent="0.3">
      <c r="A1803" t="s">
        <v>3380</v>
      </c>
      <c r="B1803" t="s">
        <v>9934</v>
      </c>
      <c r="C1803" t="s">
        <v>6342</v>
      </c>
      <c r="D1803" t="s">
        <v>4119</v>
      </c>
      <c r="E1803" t="s">
        <v>9935</v>
      </c>
      <c r="F1803" t="s">
        <v>10025</v>
      </c>
      <c r="G1803" t="s">
        <v>10022</v>
      </c>
      <c r="H1803" t="s">
        <v>5474</v>
      </c>
      <c r="I1803" t="s">
        <v>10026</v>
      </c>
      <c r="J1803" t="s">
        <v>5476</v>
      </c>
      <c r="K1803" t="s">
        <v>5471</v>
      </c>
      <c r="L1803" t="s">
        <v>5471</v>
      </c>
      <c r="M1803" t="s">
        <v>5471</v>
      </c>
    </row>
    <row r="1804" spans="1:13" x14ac:dyDescent="0.3">
      <c r="A1804" t="s">
        <v>3380</v>
      </c>
      <c r="B1804" t="s">
        <v>5281</v>
      </c>
      <c r="C1804" t="s">
        <v>5487</v>
      </c>
      <c r="D1804" t="s">
        <v>4081</v>
      </c>
      <c r="E1804" t="s">
        <v>5532</v>
      </c>
      <c r="F1804" t="s">
        <v>10027</v>
      </c>
      <c r="G1804" t="s">
        <v>10028</v>
      </c>
      <c r="H1804" t="s">
        <v>5474</v>
      </c>
      <c r="I1804" t="s">
        <v>10029</v>
      </c>
      <c r="J1804" t="s">
        <v>5476</v>
      </c>
      <c r="K1804" t="s">
        <v>10030</v>
      </c>
      <c r="L1804" t="s">
        <v>5471</v>
      </c>
      <c r="M1804" t="s">
        <v>5471</v>
      </c>
    </row>
    <row r="1805" spans="1:13" x14ac:dyDescent="0.3">
      <c r="A1805" t="s">
        <v>3380</v>
      </c>
      <c r="B1805" t="s">
        <v>5281</v>
      </c>
      <c r="C1805" t="s">
        <v>5487</v>
      </c>
      <c r="D1805" t="s">
        <v>4081</v>
      </c>
      <c r="E1805" t="s">
        <v>5532</v>
      </c>
      <c r="F1805" t="s">
        <v>10031</v>
      </c>
      <c r="G1805" t="s">
        <v>10032</v>
      </c>
      <c r="H1805" t="s">
        <v>5474</v>
      </c>
      <c r="I1805" t="s">
        <v>10033</v>
      </c>
      <c r="J1805" t="s">
        <v>5476</v>
      </c>
      <c r="K1805" t="s">
        <v>10034</v>
      </c>
      <c r="L1805" t="s">
        <v>5471</v>
      </c>
      <c r="M1805" t="s">
        <v>5471</v>
      </c>
    </row>
    <row r="1806" spans="1:13" x14ac:dyDescent="0.3">
      <c r="A1806" t="s">
        <v>3380</v>
      </c>
      <c r="B1806" t="s">
        <v>5281</v>
      </c>
      <c r="C1806" t="s">
        <v>5487</v>
      </c>
      <c r="D1806" t="s">
        <v>4081</v>
      </c>
      <c r="E1806" t="s">
        <v>5532</v>
      </c>
      <c r="F1806" t="s">
        <v>10035</v>
      </c>
      <c r="G1806" t="s">
        <v>10036</v>
      </c>
      <c r="H1806" t="s">
        <v>5474</v>
      </c>
      <c r="I1806" t="s">
        <v>10037</v>
      </c>
      <c r="J1806" t="s">
        <v>5476</v>
      </c>
      <c r="K1806" t="s">
        <v>10038</v>
      </c>
      <c r="L1806" t="s">
        <v>5471</v>
      </c>
      <c r="M1806" t="s">
        <v>5471</v>
      </c>
    </row>
    <row r="1807" spans="1:13" x14ac:dyDescent="0.3">
      <c r="A1807" t="s">
        <v>3388</v>
      </c>
      <c r="B1807" t="s">
        <v>5296</v>
      </c>
      <c r="C1807" t="s">
        <v>5470</v>
      </c>
      <c r="D1807" t="s">
        <v>5471</v>
      </c>
      <c r="E1807" t="s">
        <v>5843</v>
      </c>
      <c r="F1807" t="s">
        <v>10039</v>
      </c>
      <c r="G1807" t="s">
        <v>10040</v>
      </c>
      <c r="H1807" t="s">
        <v>5471</v>
      </c>
      <c r="I1807" t="s">
        <v>10041</v>
      </c>
      <c r="J1807" t="s">
        <v>5476</v>
      </c>
      <c r="K1807" t="s">
        <v>5471</v>
      </c>
      <c r="L1807" t="s">
        <v>5471</v>
      </c>
      <c r="M1807" t="s">
        <v>5471</v>
      </c>
    </row>
    <row r="1808" spans="1:13" x14ac:dyDescent="0.3">
      <c r="A1808" t="s">
        <v>3380</v>
      </c>
      <c r="B1808" t="s">
        <v>9934</v>
      </c>
      <c r="C1808" t="s">
        <v>6342</v>
      </c>
      <c r="D1808" t="s">
        <v>9940</v>
      </c>
      <c r="E1808" t="s">
        <v>9935</v>
      </c>
      <c r="F1808" t="s">
        <v>10042</v>
      </c>
      <c r="G1808" t="s">
        <v>9937</v>
      </c>
      <c r="H1808" t="s">
        <v>5474</v>
      </c>
      <c r="I1808" t="s">
        <v>10043</v>
      </c>
      <c r="J1808" t="s">
        <v>5476</v>
      </c>
      <c r="K1808" t="s">
        <v>9944</v>
      </c>
      <c r="L1808" t="s">
        <v>5471</v>
      </c>
      <c r="M1808" t="s">
        <v>5471</v>
      </c>
    </row>
    <row r="1809" spans="1:13" x14ac:dyDescent="0.3">
      <c r="A1809" t="s">
        <v>3380</v>
      </c>
      <c r="B1809" t="s">
        <v>9934</v>
      </c>
      <c r="C1809" t="s">
        <v>6342</v>
      </c>
      <c r="D1809" t="s">
        <v>9940</v>
      </c>
      <c r="E1809" t="s">
        <v>9935</v>
      </c>
      <c r="F1809" t="s">
        <v>10044</v>
      </c>
      <c r="G1809" t="s">
        <v>9937</v>
      </c>
      <c r="H1809" t="s">
        <v>5474</v>
      </c>
      <c r="I1809" t="s">
        <v>10045</v>
      </c>
      <c r="J1809" t="s">
        <v>5476</v>
      </c>
      <c r="K1809" t="s">
        <v>9947</v>
      </c>
      <c r="L1809" t="s">
        <v>5471</v>
      </c>
      <c r="M1809" t="s">
        <v>5471</v>
      </c>
    </row>
    <row r="1810" spans="1:13" x14ac:dyDescent="0.3">
      <c r="A1810" t="s">
        <v>3380</v>
      </c>
      <c r="B1810" t="s">
        <v>9934</v>
      </c>
      <c r="C1810" t="s">
        <v>6342</v>
      </c>
      <c r="D1810" t="s">
        <v>9940</v>
      </c>
      <c r="E1810" t="s">
        <v>9935</v>
      </c>
      <c r="F1810" t="s">
        <v>10046</v>
      </c>
      <c r="G1810" t="s">
        <v>9937</v>
      </c>
      <c r="H1810" t="s">
        <v>5474</v>
      </c>
      <c r="I1810" t="s">
        <v>10047</v>
      </c>
      <c r="J1810" t="s">
        <v>5476</v>
      </c>
      <c r="K1810" t="s">
        <v>9969</v>
      </c>
      <c r="L1810" t="s">
        <v>5471</v>
      </c>
      <c r="M1810" t="s">
        <v>5471</v>
      </c>
    </row>
    <row r="1811" spans="1:13" x14ac:dyDescent="0.3">
      <c r="A1811" t="s">
        <v>3380</v>
      </c>
      <c r="B1811" t="s">
        <v>9934</v>
      </c>
      <c r="C1811" t="s">
        <v>6342</v>
      </c>
      <c r="D1811" t="s">
        <v>9940</v>
      </c>
      <c r="E1811" t="s">
        <v>9935</v>
      </c>
      <c r="F1811" t="s">
        <v>10048</v>
      </c>
      <c r="G1811" t="s">
        <v>10049</v>
      </c>
      <c r="H1811" t="s">
        <v>5474</v>
      </c>
      <c r="I1811" t="s">
        <v>10050</v>
      </c>
      <c r="J1811" t="s">
        <v>5476</v>
      </c>
      <c r="K1811" t="s">
        <v>9985</v>
      </c>
      <c r="L1811" t="s">
        <v>5471</v>
      </c>
      <c r="M1811" t="s">
        <v>5471</v>
      </c>
    </row>
    <row r="1812" spans="1:13" x14ac:dyDescent="0.3">
      <c r="A1812" t="s">
        <v>3380</v>
      </c>
      <c r="B1812" t="s">
        <v>10051</v>
      </c>
      <c r="C1812" t="s">
        <v>6342</v>
      </c>
      <c r="D1812" t="s">
        <v>4081</v>
      </c>
      <c r="E1812" t="s">
        <v>9935</v>
      </c>
      <c r="F1812" t="s">
        <v>10052</v>
      </c>
      <c r="G1812" t="s">
        <v>10053</v>
      </c>
      <c r="H1812" t="s">
        <v>5474</v>
      </c>
      <c r="I1812" t="s">
        <v>10054</v>
      </c>
      <c r="J1812" t="s">
        <v>5476</v>
      </c>
      <c r="K1812" t="s">
        <v>10055</v>
      </c>
      <c r="L1812" t="s">
        <v>5471</v>
      </c>
      <c r="M1812" t="s">
        <v>5471</v>
      </c>
    </row>
    <row r="1813" spans="1:13" x14ac:dyDescent="0.3">
      <c r="A1813" t="s">
        <v>3380</v>
      </c>
      <c r="B1813" t="s">
        <v>10051</v>
      </c>
      <c r="C1813" t="s">
        <v>6342</v>
      </c>
      <c r="D1813" t="s">
        <v>4081</v>
      </c>
      <c r="E1813" t="s">
        <v>9935</v>
      </c>
      <c r="F1813" t="s">
        <v>10056</v>
      </c>
      <c r="G1813" t="s">
        <v>10053</v>
      </c>
      <c r="H1813" t="s">
        <v>5474</v>
      </c>
      <c r="I1813" t="s">
        <v>10057</v>
      </c>
      <c r="J1813" t="s">
        <v>5476</v>
      </c>
      <c r="K1813" t="s">
        <v>10058</v>
      </c>
      <c r="L1813" t="s">
        <v>5471</v>
      </c>
      <c r="M1813" t="s">
        <v>5471</v>
      </c>
    </row>
    <row r="1814" spans="1:13" x14ac:dyDescent="0.3">
      <c r="A1814" t="s">
        <v>3380</v>
      </c>
      <c r="B1814" t="s">
        <v>10051</v>
      </c>
      <c r="C1814" t="s">
        <v>6342</v>
      </c>
      <c r="D1814" t="s">
        <v>4081</v>
      </c>
      <c r="E1814" t="s">
        <v>9935</v>
      </c>
      <c r="F1814" t="s">
        <v>10059</v>
      </c>
      <c r="G1814" t="s">
        <v>10053</v>
      </c>
      <c r="H1814" t="s">
        <v>5474</v>
      </c>
      <c r="I1814" t="s">
        <v>10060</v>
      </c>
      <c r="J1814" t="s">
        <v>5476</v>
      </c>
      <c r="K1814" t="s">
        <v>10061</v>
      </c>
      <c r="L1814" t="s">
        <v>5471</v>
      </c>
      <c r="M1814" t="s">
        <v>5471</v>
      </c>
    </row>
    <row r="1815" spans="1:13" x14ac:dyDescent="0.3">
      <c r="A1815" t="s">
        <v>3380</v>
      </c>
      <c r="B1815" t="s">
        <v>10051</v>
      </c>
      <c r="C1815" t="s">
        <v>6342</v>
      </c>
      <c r="D1815" t="s">
        <v>4081</v>
      </c>
      <c r="E1815" t="s">
        <v>9935</v>
      </c>
      <c r="F1815" t="s">
        <v>10062</v>
      </c>
      <c r="G1815" t="s">
        <v>10063</v>
      </c>
      <c r="H1815" t="s">
        <v>5474</v>
      </c>
      <c r="I1815" t="s">
        <v>10064</v>
      </c>
      <c r="J1815" t="s">
        <v>5476</v>
      </c>
      <c r="K1815" t="s">
        <v>10065</v>
      </c>
      <c r="L1815" t="s">
        <v>5471</v>
      </c>
      <c r="M1815" t="s">
        <v>5471</v>
      </c>
    </row>
    <row r="1816" spans="1:13" x14ac:dyDescent="0.3">
      <c r="A1816" t="s">
        <v>3380</v>
      </c>
      <c r="B1816" t="s">
        <v>10051</v>
      </c>
      <c r="C1816" t="s">
        <v>6342</v>
      </c>
      <c r="D1816" t="s">
        <v>4081</v>
      </c>
      <c r="E1816" t="s">
        <v>9935</v>
      </c>
      <c r="F1816" t="s">
        <v>10066</v>
      </c>
      <c r="G1816" t="s">
        <v>10063</v>
      </c>
      <c r="H1816" t="s">
        <v>5474</v>
      </c>
      <c r="I1816" t="s">
        <v>10067</v>
      </c>
      <c r="J1816" t="s">
        <v>5476</v>
      </c>
      <c r="K1816" t="s">
        <v>10068</v>
      </c>
      <c r="L1816" t="s">
        <v>5471</v>
      </c>
      <c r="M1816" t="s">
        <v>5471</v>
      </c>
    </row>
    <row r="1817" spans="1:13" x14ac:dyDescent="0.3">
      <c r="A1817" t="s">
        <v>3380</v>
      </c>
      <c r="B1817" t="s">
        <v>10051</v>
      </c>
      <c r="C1817" t="s">
        <v>6342</v>
      </c>
      <c r="D1817" t="s">
        <v>4081</v>
      </c>
      <c r="E1817" t="s">
        <v>9935</v>
      </c>
      <c r="F1817" t="s">
        <v>10069</v>
      </c>
      <c r="G1817" t="s">
        <v>10063</v>
      </c>
      <c r="H1817" t="s">
        <v>5474</v>
      </c>
      <c r="I1817" t="s">
        <v>10070</v>
      </c>
      <c r="J1817" t="s">
        <v>5476</v>
      </c>
      <c r="K1817" t="s">
        <v>10071</v>
      </c>
      <c r="L1817" t="s">
        <v>5471</v>
      </c>
      <c r="M1817" t="s">
        <v>5471</v>
      </c>
    </row>
    <row r="1818" spans="1:13" x14ac:dyDescent="0.3">
      <c r="A1818" t="s">
        <v>3383</v>
      </c>
      <c r="B1818" t="s">
        <v>5320</v>
      </c>
      <c r="C1818" t="s">
        <v>5470</v>
      </c>
      <c r="D1818" t="s">
        <v>4119</v>
      </c>
      <c r="E1818" t="s">
        <v>5843</v>
      </c>
      <c r="F1818" t="s">
        <v>10072</v>
      </c>
      <c r="G1818" t="s">
        <v>10073</v>
      </c>
      <c r="H1818" t="s">
        <v>5474</v>
      </c>
      <c r="I1818" t="s">
        <v>10074</v>
      </c>
      <c r="J1818" t="s">
        <v>5476</v>
      </c>
      <c r="K1818" t="s">
        <v>10075</v>
      </c>
      <c r="L1818" t="s">
        <v>5471</v>
      </c>
      <c r="M1818" t="s">
        <v>5471</v>
      </c>
    </row>
    <row r="1819" spans="1:13" x14ac:dyDescent="0.3">
      <c r="A1819" t="s">
        <v>3380</v>
      </c>
      <c r="B1819" t="s">
        <v>10051</v>
      </c>
      <c r="C1819" t="s">
        <v>6342</v>
      </c>
      <c r="D1819" t="s">
        <v>9940</v>
      </c>
      <c r="E1819" t="s">
        <v>9935</v>
      </c>
      <c r="F1819" t="s">
        <v>10076</v>
      </c>
      <c r="G1819" t="s">
        <v>10077</v>
      </c>
      <c r="H1819" t="s">
        <v>5474</v>
      </c>
      <c r="I1819" t="s">
        <v>10078</v>
      </c>
      <c r="J1819" t="s">
        <v>5476</v>
      </c>
      <c r="K1819" t="s">
        <v>9944</v>
      </c>
      <c r="L1819" t="s">
        <v>5471</v>
      </c>
      <c r="M1819" t="s">
        <v>5471</v>
      </c>
    </row>
    <row r="1820" spans="1:13" x14ac:dyDescent="0.3">
      <c r="A1820" t="s">
        <v>3380</v>
      </c>
      <c r="B1820" t="s">
        <v>10051</v>
      </c>
      <c r="C1820" t="s">
        <v>6342</v>
      </c>
      <c r="D1820" t="s">
        <v>9940</v>
      </c>
      <c r="E1820" t="s">
        <v>9935</v>
      </c>
      <c r="F1820" t="s">
        <v>10079</v>
      </c>
      <c r="G1820" t="s">
        <v>10077</v>
      </c>
      <c r="H1820" t="s">
        <v>5474</v>
      </c>
      <c r="I1820" t="s">
        <v>10080</v>
      </c>
      <c r="J1820" t="s">
        <v>5476</v>
      </c>
      <c r="K1820" t="s">
        <v>9947</v>
      </c>
      <c r="L1820" t="s">
        <v>5471</v>
      </c>
      <c r="M1820" t="s">
        <v>5471</v>
      </c>
    </row>
    <row r="1821" spans="1:13" x14ac:dyDescent="0.3">
      <c r="A1821" t="s">
        <v>3388</v>
      </c>
      <c r="B1821" t="s">
        <v>9921</v>
      </c>
      <c r="C1821" t="s">
        <v>5470</v>
      </c>
      <c r="D1821" t="s">
        <v>4052</v>
      </c>
      <c r="E1821" t="s">
        <v>5617</v>
      </c>
      <c r="F1821" t="s">
        <v>10081</v>
      </c>
      <c r="G1821" t="s">
        <v>10082</v>
      </c>
      <c r="H1821" t="s">
        <v>5474</v>
      </c>
      <c r="I1821" t="s">
        <v>10083</v>
      </c>
      <c r="J1821" t="s">
        <v>5476</v>
      </c>
      <c r="K1821" t="s">
        <v>10084</v>
      </c>
      <c r="L1821" t="s">
        <v>5478</v>
      </c>
      <c r="M1821" t="s">
        <v>5471</v>
      </c>
    </row>
    <row r="1822" spans="1:13" x14ac:dyDescent="0.3">
      <c r="A1822" t="s">
        <v>3380</v>
      </c>
      <c r="B1822" t="s">
        <v>10051</v>
      </c>
      <c r="C1822" t="s">
        <v>6342</v>
      </c>
      <c r="D1822" t="s">
        <v>9940</v>
      </c>
      <c r="E1822" t="s">
        <v>9935</v>
      </c>
      <c r="F1822" t="s">
        <v>10085</v>
      </c>
      <c r="G1822" t="s">
        <v>10077</v>
      </c>
      <c r="H1822" t="s">
        <v>5474</v>
      </c>
      <c r="I1822" t="s">
        <v>10086</v>
      </c>
      <c r="J1822" t="s">
        <v>5476</v>
      </c>
      <c r="K1822" t="s">
        <v>9969</v>
      </c>
      <c r="L1822" t="s">
        <v>5471</v>
      </c>
      <c r="M1822" t="s">
        <v>5471</v>
      </c>
    </row>
    <row r="1823" spans="1:13" x14ac:dyDescent="0.3">
      <c r="A1823" t="s">
        <v>3380</v>
      </c>
      <c r="B1823" t="s">
        <v>10051</v>
      </c>
      <c r="C1823" t="s">
        <v>6342</v>
      </c>
      <c r="D1823" t="s">
        <v>9940</v>
      </c>
      <c r="E1823" t="s">
        <v>9935</v>
      </c>
      <c r="F1823" t="s">
        <v>10087</v>
      </c>
      <c r="G1823" t="s">
        <v>10088</v>
      </c>
      <c r="H1823" t="s">
        <v>5474</v>
      </c>
      <c r="I1823" t="s">
        <v>10089</v>
      </c>
      <c r="J1823" t="s">
        <v>5476</v>
      </c>
      <c r="K1823" t="s">
        <v>10090</v>
      </c>
      <c r="L1823" t="s">
        <v>5471</v>
      </c>
      <c r="M1823" t="s">
        <v>5471</v>
      </c>
    </row>
    <row r="1824" spans="1:13" x14ac:dyDescent="0.3">
      <c r="A1824" t="s">
        <v>3380</v>
      </c>
      <c r="B1824" t="s">
        <v>10051</v>
      </c>
      <c r="C1824" t="s">
        <v>6342</v>
      </c>
      <c r="D1824" t="s">
        <v>9940</v>
      </c>
      <c r="E1824" t="s">
        <v>9935</v>
      </c>
      <c r="F1824" t="s">
        <v>10091</v>
      </c>
      <c r="G1824" t="s">
        <v>10092</v>
      </c>
      <c r="H1824" t="s">
        <v>5474</v>
      </c>
      <c r="I1824" t="s">
        <v>10093</v>
      </c>
      <c r="J1824" t="s">
        <v>5476</v>
      </c>
      <c r="K1824" t="s">
        <v>9989</v>
      </c>
      <c r="L1824" t="s">
        <v>5471</v>
      </c>
      <c r="M1824" t="s">
        <v>5471</v>
      </c>
    </row>
    <row r="1825" spans="1:13" x14ac:dyDescent="0.3">
      <c r="A1825" t="s">
        <v>3380</v>
      </c>
      <c r="B1825" t="s">
        <v>10051</v>
      </c>
      <c r="C1825" t="s">
        <v>6342</v>
      </c>
      <c r="D1825" t="s">
        <v>9940</v>
      </c>
      <c r="E1825" t="s">
        <v>9935</v>
      </c>
      <c r="F1825" t="s">
        <v>10094</v>
      </c>
      <c r="G1825" t="s">
        <v>10092</v>
      </c>
      <c r="H1825" t="s">
        <v>5474</v>
      </c>
      <c r="I1825" t="s">
        <v>10095</v>
      </c>
      <c r="J1825" t="s">
        <v>5476</v>
      </c>
      <c r="K1825" t="s">
        <v>9999</v>
      </c>
      <c r="L1825" t="s">
        <v>5471</v>
      </c>
      <c r="M1825" t="s">
        <v>5471</v>
      </c>
    </row>
    <row r="1826" spans="1:13" x14ac:dyDescent="0.3">
      <c r="A1826" t="s">
        <v>3380</v>
      </c>
      <c r="B1826" t="s">
        <v>10096</v>
      </c>
      <c r="C1826" t="s">
        <v>6342</v>
      </c>
      <c r="D1826" t="s">
        <v>9958</v>
      </c>
      <c r="E1826" t="s">
        <v>5532</v>
      </c>
      <c r="F1826" t="s">
        <v>10097</v>
      </c>
      <c r="G1826" t="s">
        <v>10098</v>
      </c>
      <c r="H1826" t="s">
        <v>5474</v>
      </c>
      <c r="I1826" t="s">
        <v>10099</v>
      </c>
      <c r="J1826" t="s">
        <v>5476</v>
      </c>
      <c r="K1826" t="s">
        <v>10100</v>
      </c>
      <c r="L1826" t="s">
        <v>5471</v>
      </c>
      <c r="M1826" t="s">
        <v>5471</v>
      </c>
    </row>
    <row r="1827" spans="1:13" x14ac:dyDescent="0.3">
      <c r="A1827" t="s">
        <v>3380</v>
      </c>
      <c r="B1827" t="s">
        <v>10096</v>
      </c>
      <c r="C1827" t="s">
        <v>6342</v>
      </c>
      <c r="D1827" t="s">
        <v>9958</v>
      </c>
      <c r="E1827" t="s">
        <v>5532</v>
      </c>
      <c r="F1827" t="s">
        <v>10101</v>
      </c>
      <c r="G1827" t="s">
        <v>10102</v>
      </c>
      <c r="H1827" t="s">
        <v>5474</v>
      </c>
      <c r="I1827" t="s">
        <v>10103</v>
      </c>
      <c r="J1827" t="s">
        <v>5476</v>
      </c>
      <c r="K1827" t="s">
        <v>10104</v>
      </c>
      <c r="L1827" t="s">
        <v>5471</v>
      </c>
      <c r="M1827" t="s">
        <v>5471</v>
      </c>
    </row>
    <row r="1828" spans="1:13" x14ac:dyDescent="0.3">
      <c r="A1828" t="s">
        <v>3380</v>
      </c>
      <c r="B1828" t="s">
        <v>10105</v>
      </c>
      <c r="C1828" t="s">
        <v>6342</v>
      </c>
      <c r="D1828" t="s">
        <v>4081</v>
      </c>
      <c r="E1828" t="s">
        <v>5532</v>
      </c>
      <c r="F1828" t="s">
        <v>10106</v>
      </c>
      <c r="G1828" t="s">
        <v>10107</v>
      </c>
      <c r="H1828" t="s">
        <v>5474</v>
      </c>
      <c r="I1828" t="s">
        <v>10108</v>
      </c>
      <c r="J1828" t="s">
        <v>5476</v>
      </c>
      <c r="K1828" t="s">
        <v>10065</v>
      </c>
      <c r="L1828" t="s">
        <v>5471</v>
      </c>
      <c r="M1828" t="s">
        <v>5471</v>
      </c>
    </row>
    <row r="1829" spans="1:13" x14ac:dyDescent="0.3">
      <c r="A1829" t="s">
        <v>3380</v>
      </c>
      <c r="B1829" t="s">
        <v>10105</v>
      </c>
      <c r="C1829" t="s">
        <v>6342</v>
      </c>
      <c r="D1829" t="s">
        <v>4081</v>
      </c>
      <c r="E1829" t="s">
        <v>5532</v>
      </c>
      <c r="F1829" t="s">
        <v>10109</v>
      </c>
      <c r="G1829" t="s">
        <v>10107</v>
      </c>
      <c r="H1829" t="s">
        <v>5474</v>
      </c>
      <c r="I1829" t="s">
        <v>10110</v>
      </c>
      <c r="J1829" t="s">
        <v>5476</v>
      </c>
      <c r="K1829" t="s">
        <v>10068</v>
      </c>
      <c r="L1829" t="s">
        <v>5471</v>
      </c>
      <c r="M1829" t="s">
        <v>5471</v>
      </c>
    </row>
    <row r="1830" spans="1:13" x14ac:dyDescent="0.3">
      <c r="A1830" t="s">
        <v>3380</v>
      </c>
      <c r="B1830" t="s">
        <v>10105</v>
      </c>
      <c r="C1830" t="s">
        <v>6342</v>
      </c>
      <c r="D1830" t="s">
        <v>4081</v>
      </c>
      <c r="E1830" t="s">
        <v>5532</v>
      </c>
      <c r="F1830" t="s">
        <v>10111</v>
      </c>
      <c r="G1830" t="s">
        <v>10107</v>
      </c>
      <c r="H1830" t="s">
        <v>5474</v>
      </c>
      <c r="I1830" t="s">
        <v>10112</v>
      </c>
      <c r="J1830" t="s">
        <v>5476</v>
      </c>
      <c r="K1830" t="s">
        <v>10071</v>
      </c>
      <c r="L1830" t="s">
        <v>5471</v>
      </c>
      <c r="M1830" t="s">
        <v>5471</v>
      </c>
    </row>
    <row r="1831" spans="1:13" x14ac:dyDescent="0.3">
      <c r="A1831" t="s">
        <v>3380</v>
      </c>
      <c r="B1831" t="s">
        <v>10105</v>
      </c>
      <c r="C1831" t="s">
        <v>6342</v>
      </c>
      <c r="D1831" t="s">
        <v>4081</v>
      </c>
      <c r="E1831" t="s">
        <v>5532</v>
      </c>
      <c r="F1831" t="s">
        <v>10113</v>
      </c>
      <c r="G1831" t="s">
        <v>10107</v>
      </c>
      <c r="H1831" t="s">
        <v>5474</v>
      </c>
      <c r="I1831" t="s">
        <v>10114</v>
      </c>
      <c r="J1831" t="s">
        <v>5476</v>
      </c>
      <c r="K1831" t="s">
        <v>10115</v>
      </c>
      <c r="L1831" t="s">
        <v>5471</v>
      </c>
      <c r="M1831" t="s">
        <v>5471</v>
      </c>
    </row>
    <row r="1832" spans="1:13" x14ac:dyDescent="0.3">
      <c r="A1832" t="s">
        <v>3380</v>
      </c>
      <c r="B1832" t="s">
        <v>5261</v>
      </c>
      <c r="C1832" t="s">
        <v>6342</v>
      </c>
      <c r="D1832" t="s">
        <v>4058</v>
      </c>
      <c r="E1832" t="s">
        <v>5532</v>
      </c>
      <c r="F1832" t="s">
        <v>10116</v>
      </c>
      <c r="G1832" t="s">
        <v>10117</v>
      </c>
      <c r="H1832" t="s">
        <v>5474</v>
      </c>
      <c r="I1832" t="s">
        <v>10118</v>
      </c>
      <c r="J1832" t="s">
        <v>5476</v>
      </c>
      <c r="K1832" t="s">
        <v>10119</v>
      </c>
      <c r="L1832" t="s">
        <v>9709</v>
      </c>
      <c r="M1832" t="s">
        <v>5471</v>
      </c>
    </row>
    <row r="1833" spans="1:13" x14ac:dyDescent="0.3">
      <c r="A1833" t="s">
        <v>3380</v>
      </c>
      <c r="B1833" t="s">
        <v>5261</v>
      </c>
      <c r="C1833" t="s">
        <v>6342</v>
      </c>
      <c r="D1833" t="s">
        <v>4058</v>
      </c>
      <c r="E1833" t="s">
        <v>5532</v>
      </c>
      <c r="F1833" t="s">
        <v>10120</v>
      </c>
      <c r="G1833" t="s">
        <v>10121</v>
      </c>
      <c r="H1833" t="s">
        <v>5474</v>
      </c>
      <c r="I1833" t="s">
        <v>10122</v>
      </c>
      <c r="J1833" t="s">
        <v>5476</v>
      </c>
      <c r="K1833" t="s">
        <v>10123</v>
      </c>
      <c r="L1833" t="s">
        <v>9709</v>
      </c>
      <c r="M1833" t="s">
        <v>5471</v>
      </c>
    </row>
    <row r="1834" spans="1:13" x14ac:dyDescent="0.3">
      <c r="A1834" t="s">
        <v>3380</v>
      </c>
      <c r="B1834" t="s">
        <v>5261</v>
      </c>
      <c r="C1834" t="s">
        <v>6342</v>
      </c>
      <c r="D1834" t="s">
        <v>4058</v>
      </c>
      <c r="E1834" t="s">
        <v>5532</v>
      </c>
      <c r="F1834" t="s">
        <v>10124</v>
      </c>
      <c r="G1834" t="s">
        <v>10125</v>
      </c>
      <c r="H1834" t="s">
        <v>5474</v>
      </c>
      <c r="I1834" t="s">
        <v>10126</v>
      </c>
      <c r="J1834" t="s">
        <v>5476</v>
      </c>
      <c r="K1834" t="s">
        <v>10127</v>
      </c>
      <c r="L1834" t="s">
        <v>9709</v>
      </c>
      <c r="M1834" t="s">
        <v>5471</v>
      </c>
    </row>
    <row r="1835" spans="1:13" x14ac:dyDescent="0.3">
      <c r="A1835" t="s">
        <v>3380</v>
      </c>
      <c r="B1835" t="s">
        <v>5261</v>
      </c>
      <c r="C1835" t="s">
        <v>6342</v>
      </c>
      <c r="D1835" t="s">
        <v>4058</v>
      </c>
      <c r="E1835" t="s">
        <v>5532</v>
      </c>
      <c r="F1835" t="s">
        <v>10128</v>
      </c>
      <c r="G1835" t="s">
        <v>10129</v>
      </c>
      <c r="H1835" t="s">
        <v>5474</v>
      </c>
      <c r="I1835" t="s">
        <v>10130</v>
      </c>
      <c r="J1835" t="s">
        <v>5476</v>
      </c>
      <c r="K1835" t="s">
        <v>10131</v>
      </c>
      <c r="L1835" t="s">
        <v>9709</v>
      </c>
      <c r="M1835" t="s">
        <v>5471</v>
      </c>
    </row>
    <row r="1836" spans="1:13" x14ac:dyDescent="0.3">
      <c r="A1836" t="s">
        <v>3380</v>
      </c>
      <c r="B1836" t="s">
        <v>10132</v>
      </c>
      <c r="C1836" t="s">
        <v>6342</v>
      </c>
      <c r="D1836" t="s">
        <v>9958</v>
      </c>
      <c r="E1836" t="s">
        <v>5532</v>
      </c>
      <c r="F1836" t="s">
        <v>10133</v>
      </c>
      <c r="G1836" t="s">
        <v>10134</v>
      </c>
      <c r="H1836" t="s">
        <v>5474</v>
      </c>
      <c r="I1836" t="s">
        <v>10135</v>
      </c>
      <c r="J1836" t="s">
        <v>5476</v>
      </c>
      <c r="K1836" t="s">
        <v>10136</v>
      </c>
      <c r="L1836" t="s">
        <v>5471</v>
      </c>
      <c r="M1836" t="s">
        <v>5471</v>
      </c>
    </row>
    <row r="1837" spans="1:13" x14ac:dyDescent="0.3">
      <c r="A1837" t="s">
        <v>3380</v>
      </c>
      <c r="B1837" t="s">
        <v>10137</v>
      </c>
      <c r="C1837" t="s">
        <v>6342</v>
      </c>
      <c r="D1837" t="s">
        <v>4058</v>
      </c>
      <c r="E1837" t="s">
        <v>5532</v>
      </c>
      <c r="F1837" t="s">
        <v>10138</v>
      </c>
      <c r="G1837" t="s">
        <v>10139</v>
      </c>
      <c r="H1837" t="s">
        <v>5474</v>
      </c>
      <c r="I1837" t="s">
        <v>10140</v>
      </c>
      <c r="J1837" t="s">
        <v>5476</v>
      </c>
      <c r="K1837" t="s">
        <v>10119</v>
      </c>
      <c r="L1837" t="s">
        <v>9709</v>
      </c>
      <c r="M1837" t="s">
        <v>5471</v>
      </c>
    </row>
    <row r="1838" spans="1:13" x14ac:dyDescent="0.3">
      <c r="A1838" t="s">
        <v>3380</v>
      </c>
      <c r="B1838" t="s">
        <v>10137</v>
      </c>
      <c r="C1838" t="s">
        <v>6342</v>
      </c>
      <c r="D1838" t="s">
        <v>4058</v>
      </c>
      <c r="E1838" t="s">
        <v>5532</v>
      </c>
      <c r="F1838" t="s">
        <v>10141</v>
      </c>
      <c r="G1838" t="s">
        <v>10142</v>
      </c>
      <c r="H1838" t="s">
        <v>5474</v>
      </c>
      <c r="I1838" t="s">
        <v>10143</v>
      </c>
      <c r="J1838" t="s">
        <v>5476</v>
      </c>
      <c r="K1838" t="s">
        <v>10123</v>
      </c>
      <c r="L1838" t="s">
        <v>9709</v>
      </c>
      <c r="M1838" t="s">
        <v>5471</v>
      </c>
    </row>
    <row r="1839" spans="1:13" x14ac:dyDescent="0.3">
      <c r="A1839" t="s">
        <v>3380</v>
      </c>
      <c r="B1839" t="s">
        <v>10137</v>
      </c>
      <c r="C1839" t="s">
        <v>6342</v>
      </c>
      <c r="D1839" t="s">
        <v>4058</v>
      </c>
      <c r="E1839" t="s">
        <v>5532</v>
      </c>
      <c r="F1839" t="s">
        <v>10144</v>
      </c>
      <c r="G1839" t="s">
        <v>10145</v>
      </c>
      <c r="H1839" t="s">
        <v>5474</v>
      </c>
      <c r="I1839" t="s">
        <v>10146</v>
      </c>
      <c r="J1839" t="s">
        <v>5476</v>
      </c>
      <c r="K1839" t="s">
        <v>10147</v>
      </c>
      <c r="L1839" t="s">
        <v>9709</v>
      </c>
      <c r="M1839" t="s">
        <v>5471</v>
      </c>
    </row>
    <row r="1840" spans="1:13" x14ac:dyDescent="0.3">
      <c r="A1840" t="s">
        <v>3380</v>
      </c>
      <c r="B1840" t="s">
        <v>10137</v>
      </c>
      <c r="C1840" t="s">
        <v>6342</v>
      </c>
      <c r="D1840" t="s">
        <v>4058</v>
      </c>
      <c r="E1840" t="s">
        <v>5532</v>
      </c>
      <c r="F1840" t="s">
        <v>10148</v>
      </c>
      <c r="G1840" t="s">
        <v>10149</v>
      </c>
      <c r="H1840" t="s">
        <v>5474</v>
      </c>
      <c r="I1840" t="s">
        <v>10150</v>
      </c>
      <c r="J1840" t="s">
        <v>5476</v>
      </c>
      <c r="K1840" t="s">
        <v>10151</v>
      </c>
      <c r="L1840" t="s">
        <v>9709</v>
      </c>
      <c r="M1840" t="s">
        <v>5471</v>
      </c>
    </row>
    <row r="1841" spans="1:13" x14ac:dyDescent="0.3">
      <c r="A1841" t="s">
        <v>3380</v>
      </c>
      <c r="B1841" t="s">
        <v>5306</v>
      </c>
      <c r="C1841" t="s">
        <v>6342</v>
      </c>
      <c r="D1841" t="s">
        <v>4058</v>
      </c>
      <c r="E1841" t="s">
        <v>5532</v>
      </c>
      <c r="F1841" t="s">
        <v>10152</v>
      </c>
      <c r="G1841" t="s">
        <v>10153</v>
      </c>
      <c r="H1841" t="s">
        <v>5474</v>
      </c>
      <c r="I1841" t="s">
        <v>10154</v>
      </c>
      <c r="J1841" t="s">
        <v>5476</v>
      </c>
      <c r="K1841" t="s">
        <v>10155</v>
      </c>
      <c r="L1841" t="s">
        <v>9709</v>
      </c>
      <c r="M1841" t="s">
        <v>5471</v>
      </c>
    </row>
    <row r="1842" spans="1:13" x14ac:dyDescent="0.3">
      <c r="A1842" t="s">
        <v>3380</v>
      </c>
      <c r="B1842" t="s">
        <v>5306</v>
      </c>
      <c r="C1842" t="s">
        <v>6342</v>
      </c>
      <c r="D1842" t="s">
        <v>4058</v>
      </c>
      <c r="E1842" t="s">
        <v>5532</v>
      </c>
      <c r="F1842" t="s">
        <v>10156</v>
      </c>
      <c r="G1842" t="s">
        <v>10157</v>
      </c>
      <c r="H1842" t="s">
        <v>5474</v>
      </c>
      <c r="I1842" t="s">
        <v>10158</v>
      </c>
      <c r="J1842" t="s">
        <v>5476</v>
      </c>
      <c r="K1842" t="s">
        <v>10159</v>
      </c>
      <c r="L1842" t="s">
        <v>9709</v>
      </c>
      <c r="M1842" t="s">
        <v>5471</v>
      </c>
    </row>
    <row r="1843" spans="1:13" x14ac:dyDescent="0.3">
      <c r="A1843" t="s">
        <v>3388</v>
      </c>
      <c r="B1843" t="s">
        <v>5531</v>
      </c>
      <c r="C1843" t="s">
        <v>5470</v>
      </c>
      <c r="D1843" t="s">
        <v>4119</v>
      </c>
      <c r="E1843" t="s">
        <v>5532</v>
      </c>
      <c r="F1843" t="s">
        <v>10160</v>
      </c>
      <c r="G1843" t="s">
        <v>9069</v>
      </c>
      <c r="H1843" t="s">
        <v>5474</v>
      </c>
      <c r="I1843" t="s">
        <v>10161</v>
      </c>
      <c r="J1843" t="s">
        <v>5476</v>
      </c>
      <c r="K1843" t="s">
        <v>5471</v>
      </c>
      <c r="L1843" t="s">
        <v>5471</v>
      </c>
      <c r="M1843" t="s">
        <v>5471</v>
      </c>
    </row>
    <row r="1844" spans="1:13" x14ac:dyDescent="0.3">
      <c r="A1844" t="s">
        <v>3388</v>
      </c>
      <c r="B1844" t="s">
        <v>5531</v>
      </c>
      <c r="C1844" t="s">
        <v>5470</v>
      </c>
      <c r="D1844" t="s">
        <v>4119</v>
      </c>
      <c r="E1844" t="s">
        <v>5532</v>
      </c>
      <c r="F1844" t="s">
        <v>10162</v>
      </c>
      <c r="G1844" t="s">
        <v>10163</v>
      </c>
      <c r="H1844" t="s">
        <v>5474</v>
      </c>
      <c r="I1844" t="s">
        <v>10164</v>
      </c>
      <c r="J1844" t="s">
        <v>5484</v>
      </c>
      <c r="K1844" t="s">
        <v>5471</v>
      </c>
      <c r="L1844" t="s">
        <v>5471</v>
      </c>
      <c r="M1844" t="s">
        <v>5471</v>
      </c>
    </row>
    <row r="1845" spans="1:13" x14ac:dyDescent="0.3">
      <c r="A1845" t="s">
        <v>3388</v>
      </c>
      <c r="B1845" t="s">
        <v>5531</v>
      </c>
      <c r="C1845" t="s">
        <v>5470</v>
      </c>
      <c r="D1845" t="s">
        <v>4119</v>
      </c>
      <c r="E1845" t="s">
        <v>5532</v>
      </c>
      <c r="F1845" t="s">
        <v>10165</v>
      </c>
      <c r="G1845" t="s">
        <v>5546</v>
      </c>
      <c r="H1845" t="s">
        <v>5474</v>
      </c>
      <c r="I1845" t="s">
        <v>10166</v>
      </c>
      <c r="J1845" t="s">
        <v>5484</v>
      </c>
      <c r="K1845" t="s">
        <v>5471</v>
      </c>
      <c r="L1845" t="s">
        <v>5471</v>
      </c>
      <c r="M1845" t="s">
        <v>5471</v>
      </c>
    </row>
    <row r="1846" spans="1:13" x14ac:dyDescent="0.3">
      <c r="A1846" t="s">
        <v>3388</v>
      </c>
      <c r="B1846" t="s">
        <v>5531</v>
      </c>
      <c r="C1846" t="s">
        <v>5470</v>
      </c>
      <c r="D1846" t="s">
        <v>4119</v>
      </c>
      <c r="E1846" t="s">
        <v>5532</v>
      </c>
      <c r="F1846" t="s">
        <v>10167</v>
      </c>
      <c r="G1846" t="s">
        <v>5550</v>
      </c>
      <c r="H1846" t="s">
        <v>5474</v>
      </c>
      <c r="I1846" t="s">
        <v>10168</v>
      </c>
      <c r="J1846" t="s">
        <v>5476</v>
      </c>
      <c r="K1846" t="s">
        <v>5471</v>
      </c>
      <c r="L1846" t="s">
        <v>5471</v>
      </c>
      <c r="M1846" t="s">
        <v>5471</v>
      </c>
    </row>
    <row r="1847" spans="1:13" x14ac:dyDescent="0.3">
      <c r="A1847" t="s">
        <v>3388</v>
      </c>
      <c r="B1847" t="s">
        <v>5531</v>
      </c>
      <c r="C1847" t="s">
        <v>5470</v>
      </c>
      <c r="D1847" t="s">
        <v>4119</v>
      </c>
      <c r="E1847" t="s">
        <v>5532</v>
      </c>
      <c r="F1847" t="s">
        <v>10169</v>
      </c>
      <c r="G1847" t="s">
        <v>5554</v>
      </c>
      <c r="H1847" t="s">
        <v>5474</v>
      </c>
      <c r="I1847" t="s">
        <v>10170</v>
      </c>
      <c r="J1847" t="s">
        <v>5476</v>
      </c>
      <c r="K1847" t="s">
        <v>5471</v>
      </c>
      <c r="L1847" t="s">
        <v>5471</v>
      </c>
      <c r="M1847" t="s">
        <v>5471</v>
      </c>
    </row>
    <row r="1848" spans="1:13" x14ac:dyDescent="0.3">
      <c r="A1848" t="s">
        <v>3388</v>
      </c>
      <c r="B1848" t="s">
        <v>5531</v>
      </c>
      <c r="C1848" t="s">
        <v>5470</v>
      </c>
      <c r="D1848" t="s">
        <v>4119</v>
      </c>
      <c r="E1848" t="s">
        <v>5532</v>
      </c>
      <c r="F1848" t="s">
        <v>10171</v>
      </c>
      <c r="G1848" t="s">
        <v>10172</v>
      </c>
      <c r="H1848" t="s">
        <v>5474</v>
      </c>
      <c r="I1848" t="s">
        <v>10173</v>
      </c>
      <c r="J1848" t="s">
        <v>5476</v>
      </c>
      <c r="K1848" t="s">
        <v>5471</v>
      </c>
      <c r="L1848" t="s">
        <v>5471</v>
      </c>
      <c r="M1848" t="s">
        <v>5471</v>
      </c>
    </row>
    <row r="1849" spans="1:13" x14ac:dyDescent="0.3">
      <c r="A1849" t="s">
        <v>3388</v>
      </c>
      <c r="B1849" t="s">
        <v>5531</v>
      </c>
      <c r="C1849" t="s">
        <v>5470</v>
      </c>
      <c r="D1849" t="s">
        <v>4119</v>
      </c>
      <c r="E1849" t="s">
        <v>5532</v>
      </c>
      <c r="F1849" t="s">
        <v>10174</v>
      </c>
      <c r="G1849" t="s">
        <v>10175</v>
      </c>
      <c r="H1849" t="s">
        <v>5474</v>
      </c>
      <c r="I1849" t="s">
        <v>10176</v>
      </c>
      <c r="J1849" t="s">
        <v>5476</v>
      </c>
      <c r="K1849" t="s">
        <v>5471</v>
      </c>
      <c r="L1849" t="s">
        <v>5471</v>
      </c>
      <c r="M1849" t="s">
        <v>5471</v>
      </c>
    </row>
    <row r="1850" spans="1:13" x14ac:dyDescent="0.3">
      <c r="A1850" t="s">
        <v>3388</v>
      </c>
      <c r="B1850" t="s">
        <v>5531</v>
      </c>
      <c r="C1850" t="s">
        <v>5470</v>
      </c>
      <c r="D1850" t="s">
        <v>4119</v>
      </c>
      <c r="E1850" t="s">
        <v>5532</v>
      </c>
      <c r="F1850" t="s">
        <v>10177</v>
      </c>
      <c r="G1850" t="s">
        <v>10178</v>
      </c>
      <c r="H1850" t="s">
        <v>5474</v>
      </c>
      <c r="I1850" t="s">
        <v>10179</v>
      </c>
      <c r="J1850" t="s">
        <v>5476</v>
      </c>
      <c r="K1850" t="s">
        <v>5471</v>
      </c>
      <c r="L1850" t="s">
        <v>5471</v>
      </c>
      <c r="M1850" t="s">
        <v>5471</v>
      </c>
    </row>
    <row r="1851" spans="1:13" x14ac:dyDescent="0.3">
      <c r="A1851" t="s">
        <v>3388</v>
      </c>
      <c r="B1851" t="s">
        <v>5531</v>
      </c>
      <c r="C1851" t="s">
        <v>5470</v>
      </c>
      <c r="D1851" t="s">
        <v>4119</v>
      </c>
      <c r="E1851" t="s">
        <v>5532</v>
      </c>
      <c r="F1851" t="s">
        <v>10180</v>
      </c>
      <c r="G1851" t="s">
        <v>5538</v>
      </c>
      <c r="H1851" t="s">
        <v>5474</v>
      </c>
      <c r="I1851" t="s">
        <v>10181</v>
      </c>
      <c r="J1851" t="s">
        <v>5476</v>
      </c>
      <c r="K1851" t="s">
        <v>5471</v>
      </c>
      <c r="L1851" t="s">
        <v>5471</v>
      </c>
      <c r="M1851" t="s">
        <v>5471</v>
      </c>
    </row>
    <row r="1852" spans="1:13" x14ac:dyDescent="0.3">
      <c r="A1852" t="s">
        <v>3388</v>
      </c>
      <c r="B1852" t="s">
        <v>5531</v>
      </c>
      <c r="C1852" t="s">
        <v>5470</v>
      </c>
      <c r="D1852" t="s">
        <v>4119</v>
      </c>
      <c r="E1852" t="s">
        <v>5532</v>
      </c>
      <c r="F1852" t="s">
        <v>10182</v>
      </c>
      <c r="G1852" t="s">
        <v>5542</v>
      </c>
      <c r="H1852" t="s">
        <v>5474</v>
      </c>
      <c r="I1852" t="s">
        <v>10183</v>
      </c>
      <c r="J1852" t="s">
        <v>5476</v>
      </c>
      <c r="K1852" t="s">
        <v>5471</v>
      </c>
      <c r="L1852" t="s">
        <v>5471</v>
      </c>
      <c r="M1852" t="s">
        <v>5471</v>
      </c>
    </row>
    <row r="1853" spans="1:13" x14ac:dyDescent="0.3">
      <c r="A1853" t="s">
        <v>3388</v>
      </c>
      <c r="B1853" t="s">
        <v>5531</v>
      </c>
      <c r="C1853" t="s">
        <v>5470</v>
      </c>
      <c r="D1853" t="s">
        <v>4119</v>
      </c>
      <c r="E1853" t="s">
        <v>5532</v>
      </c>
      <c r="F1853" t="s">
        <v>10184</v>
      </c>
      <c r="G1853" t="s">
        <v>10185</v>
      </c>
      <c r="H1853" t="s">
        <v>5474</v>
      </c>
      <c r="I1853" t="s">
        <v>10186</v>
      </c>
      <c r="J1853" t="s">
        <v>5476</v>
      </c>
      <c r="K1853" t="s">
        <v>5471</v>
      </c>
      <c r="L1853" t="s">
        <v>5471</v>
      </c>
      <c r="M1853" t="s">
        <v>5471</v>
      </c>
    </row>
    <row r="1854" spans="1:13" x14ac:dyDescent="0.3">
      <c r="A1854" t="s">
        <v>3388</v>
      </c>
      <c r="B1854" t="s">
        <v>5531</v>
      </c>
      <c r="C1854" t="s">
        <v>5470</v>
      </c>
      <c r="D1854" t="s">
        <v>4119</v>
      </c>
      <c r="E1854" t="s">
        <v>5532</v>
      </c>
      <c r="F1854" t="s">
        <v>10187</v>
      </c>
      <c r="G1854" t="s">
        <v>10188</v>
      </c>
      <c r="H1854" t="s">
        <v>5474</v>
      </c>
      <c r="I1854" t="s">
        <v>10189</v>
      </c>
      <c r="J1854" t="s">
        <v>5476</v>
      </c>
      <c r="K1854" t="s">
        <v>5471</v>
      </c>
      <c r="L1854" t="s">
        <v>5471</v>
      </c>
      <c r="M1854" t="s">
        <v>5471</v>
      </c>
    </row>
    <row r="1855" spans="1:13" x14ac:dyDescent="0.3">
      <c r="A1855" t="s">
        <v>3388</v>
      </c>
      <c r="B1855" t="s">
        <v>5531</v>
      </c>
      <c r="C1855" t="s">
        <v>5470</v>
      </c>
      <c r="D1855" t="s">
        <v>4119</v>
      </c>
      <c r="E1855" t="s">
        <v>5532</v>
      </c>
      <c r="F1855" t="s">
        <v>10190</v>
      </c>
      <c r="G1855" t="s">
        <v>10191</v>
      </c>
      <c r="H1855" t="s">
        <v>5474</v>
      </c>
      <c r="I1855" t="s">
        <v>10192</v>
      </c>
      <c r="J1855" t="s">
        <v>5476</v>
      </c>
      <c r="K1855" t="s">
        <v>5471</v>
      </c>
      <c r="L1855" t="s">
        <v>5471</v>
      </c>
      <c r="M1855" t="s">
        <v>5471</v>
      </c>
    </row>
    <row r="1856" spans="1:13" x14ac:dyDescent="0.3">
      <c r="A1856" t="s">
        <v>3388</v>
      </c>
      <c r="B1856" t="s">
        <v>5531</v>
      </c>
      <c r="C1856" t="s">
        <v>5470</v>
      </c>
      <c r="D1856" t="s">
        <v>4119</v>
      </c>
      <c r="E1856" t="s">
        <v>5532</v>
      </c>
      <c r="F1856" t="s">
        <v>10193</v>
      </c>
      <c r="G1856" t="s">
        <v>10194</v>
      </c>
      <c r="H1856" t="s">
        <v>5474</v>
      </c>
      <c r="I1856" t="s">
        <v>10195</v>
      </c>
      <c r="J1856" t="s">
        <v>5476</v>
      </c>
      <c r="K1856" t="s">
        <v>5471</v>
      </c>
      <c r="L1856" t="s">
        <v>5471</v>
      </c>
      <c r="M1856" t="s">
        <v>5471</v>
      </c>
    </row>
    <row r="1857" spans="1:13" x14ac:dyDescent="0.3">
      <c r="A1857" t="s">
        <v>3388</v>
      </c>
      <c r="B1857" t="s">
        <v>5531</v>
      </c>
      <c r="C1857" t="s">
        <v>5470</v>
      </c>
      <c r="D1857" t="s">
        <v>4119</v>
      </c>
      <c r="E1857" t="s">
        <v>5532</v>
      </c>
      <c r="F1857" t="s">
        <v>10196</v>
      </c>
      <c r="G1857" t="s">
        <v>9069</v>
      </c>
      <c r="H1857" t="s">
        <v>5474</v>
      </c>
      <c r="I1857" t="s">
        <v>10197</v>
      </c>
      <c r="J1857" t="s">
        <v>5476</v>
      </c>
      <c r="K1857" t="s">
        <v>5471</v>
      </c>
      <c r="L1857" t="s">
        <v>5471</v>
      </c>
      <c r="M1857" t="s">
        <v>5471</v>
      </c>
    </row>
    <row r="1858" spans="1:13" x14ac:dyDescent="0.3">
      <c r="A1858" t="s">
        <v>3388</v>
      </c>
      <c r="B1858" t="s">
        <v>5531</v>
      </c>
      <c r="C1858" t="s">
        <v>5470</v>
      </c>
      <c r="D1858" t="s">
        <v>4119</v>
      </c>
      <c r="E1858" t="s">
        <v>5532</v>
      </c>
      <c r="F1858" t="s">
        <v>10198</v>
      </c>
      <c r="G1858" t="s">
        <v>9069</v>
      </c>
      <c r="H1858" t="s">
        <v>5474</v>
      </c>
      <c r="I1858" t="s">
        <v>10199</v>
      </c>
      <c r="J1858" t="s">
        <v>5476</v>
      </c>
      <c r="K1858" t="s">
        <v>5471</v>
      </c>
      <c r="L1858" t="s">
        <v>5471</v>
      </c>
      <c r="M1858" t="s">
        <v>5471</v>
      </c>
    </row>
    <row r="1859" spans="1:13" x14ac:dyDescent="0.3">
      <c r="A1859" t="s">
        <v>3388</v>
      </c>
      <c r="B1859" t="s">
        <v>5531</v>
      </c>
      <c r="C1859" t="s">
        <v>5470</v>
      </c>
      <c r="D1859" t="s">
        <v>4119</v>
      </c>
      <c r="E1859" t="s">
        <v>5532</v>
      </c>
      <c r="F1859" t="s">
        <v>10200</v>
      </c>
      <c r="G1859" t="s">
        <v>10201</v>
      </c>
      <c r="H1859" t="s">
        <v>5474</v>
      </c>
      <c r="I1859" t="s">
        <v>10202</v>
      </c>
      <c r="J1859" t="s">
        <v>5476</v>
      </c>
      <c r="K1859" t="s">
        <v>5471</v>
      </c>
      <c r="L1859" t="s">
        <v>5471</v>
      </c>
      <c r="M1859" t="s">
        <v>5471</v>
      </c>
    </row>
    <row r="1860" spans="1:13" x14ac:dyDescent="0.3">
      <c r="A1860" t="s">
        <v>3388</v>
      </c>
      <c r="B1860" t="s">
        <v>5531</v>
      </c>
      <c r="C1860" t="s">
        <v>5470</v>
      </c>
      <c r="D1860" t="s">
        <v>4119</v>
      </c>
      <c r="E1860" t="s">
        <v>5532</v>
      </c>
      <c r="F1860" t="s">
        <v>10203</v>
      </c>
      <c r="G1860" t="s">
        <v>10204</v>
      </c>
      <c r="H1860" t="s">
        <v>5474</v>
      </c>
      <c r="I1860" t="s">
        <v>10205</v>
      </c>
      <c r="J1860" t="s">
        <v>5476</v>
      </c>
      <c r="K1860" t="s">
        <v>5471</v>
      </c>
      <c r="L1860" t="s">
        <v>5471</v>
      </c>
      <c r="M1860" t="s">
        <v>5471</v>
      </c>
    </row>
    <row r="1861" spans="1:13" x14ac:dyDescent="0.3">
      <c r="A1861" t="s">
        <v>3388</v>
      </c>
      <c r="B1861" t="s">
        <v>5531</v>
      </c>
      <c r="C1861" t="s">
        <v>5470</v>
      </c>
      <c r="D1861" t="s">
        <v>4119</v>
      </c>
      <c r="E1861" t="s">
        <v>5532</v>
      </c>
      <c r="F1861" t="s">
        <v>10206</v>
      </c>
      <c r="G1861" t="s">
        <v>10207</v>
      </c>
      <c r="H1861" t="s">
        <v>5474</v>
      </c>
      <c r="I1861" t="s">
        <v>10208</v>
      </c>
      <c r="J1861" t="s">
        <v>5476</v>
      </c>
      <c r="K1861" t="s">
        <v>5471</v>
      </c>
      <c r="L1861" t="s">
        <v>5471</v>
      </c>
      <c r="M1861" t="s">
        <v>5471</v>
      </c>
    </row>
    <row r="1862" spans="1:13" x14ac:dyDescent="0.3">
      <c r="A1862" t="s">
        <v>3380</v>
      </c>
      <c r="B1862" t="s">
        <v>10209</v>
      </c>
      <c r="C1862" t="s">
        <v>6342</v>
      </c>
      <c r="D1862" t="s">
        <v>10210</v>
      </c>
      <c r="E1862" t="s">
        <v>5471</v>
      </c>
      <c r="F1862" t="s">
        <v>10211</v>
      </c>
      <c r="G1862" t="s">
        <v>10209</v>
      </c>
      <c r="H1862" t="s">
        <v>5474</v>
      </c>
      <c r="I1862" t="s">
        <v>10212</v>
      </c>
      <c r="J1862" t="s">
        <v>5476</v>
      </c>
      <c r="K1862" t="s">
        <v>10213</v>
      </c>
      <c r="L1862" t="s">
        <v>5471</v>
      </c>
      <c r="M1862" t="s">
        <v>5471</v>
      </c>
    </row>
    <row r="1863" spans="1:13" x14ac:dyDescent="0.3">
      <c r="A1863" t="s">
        <v>3380</v>
      </c>
      <c r="B1863" t="s">
        <v>10214</v>
      </c>
      <c r="C1863" t="s">
        <v>6342</v>
      </c>
      <c r="D1863" t="s">
        <v>10210</v>
      </c>
      <c r="E1863" t="s">
        <v>5471</v>
      </c>
      <c r="F1863" t="s">
        <v>10215</v>
      </c>
      <c r="G1863" t="s">
        <v>10214</v>
      </c>
      <c r="H1863" t="s">
        <v>5474</v>
      </c>
      <c r="I1863" t="s">
        <v>10216</v>
      </c>
      <c r="J1863" t="s">
        <v>5476</v>
      </c>
      <c r="K1863" t="s">
        <v>10217</v>
      </c>
      <c r="L1863" t="s">
        <v>5471</v>
      </c>
      <c r="M1863" t="s">
        <v>5471</v>
      </c>
    </row>
    <row r="1864" spans="1:13" x14ac:dyDescent="0.3">
      <c r="A1864" t="s">
        <v>3397</v>
      </c>
      <c r="B1864" t="s">
        <v>5269</v>
      </c>
      <c r="C1864" t="s">
        <v>5487</v>
      </c>
      <c r="D1864" t="s">
        <v>10218</v>
      </c>
      <c r="E1864" t="s">
        <v>5843</v>
      </c>
      <c r="F1864" t="s">
        <v>10219</v>
      </c>
      <c r="G1864" t="s">
        <v>10220</v>
      </c>
      <c r="H1864" t="s">
        <v>5474</v>
      </c>
      <c r="I1864" t="s">
        <v>10221</v>
      </c>
      <c r="J1864" t="s">
        <v>5476</v>
      </c>
      <c r="K1864" t="s">
        <v>10222</v>
      </c>
      <c r="L1864" t="s">
        <v>5471</v>
      </c>
      <c r="M1864" t="s">
        <v>5471</v>
      </c>
    </row>
    <row r="1865" spans="1:13" x14ac:dyDescent="0.3">
      <c r="A1865" t="s">
        <v>3397</v>
      </c>
      <c r="B1865" t="s">
        <v>5269</v>
      </c>
      <c r="C1865" t="s">
        <v>5487</v>
      </c>
      <c r="D1865" t="s">
        <v>10218</v>
      </c>
      <c r="E1865" t="s">
        <v>5843</v>
      </c>
      <c r="F1865" t="s">
        <v>10223</v>
      </c>
      <c r="G1865" t="s">
        <v>10220</v>
      </c>
      <c r="H1865" t="s">
        <v>5474</v>
      </c>
      <c r="I1865" t="s">
        <v>10224</v>
      </c>
      <c r="J1865" t="s">
        <v>5476</v>
      </c>
      <c r="K1865" t="s">
        <v>10225</v>
      </c>
      <c r="L1865" t="s">
        <v>5471</v>
      </c>
      <c r="M1865" t="s">
        <v>5471</v>
      </c>
    </row>
    <row r="1866" spans="1:13" x14ac:dyDescent="0.3">
      <c r="A1866" t="s">
        <v>3397</v>
      </c>
      <c r="B1866" t="s">
        <v>5269</v>
      </c>
      <c r="C1866" t="s">
        <v>5487</v>
      </c>
      <c r="D1866" t="s">
        <v>10218</v>
      </c>
      <c r="E1866" t="s">
        <v>5843</v>
      </c>
      <c r="F1866" t="s">
        <v>10226</v>
      </c>
      <c r="G1866" t="s">
        <v>10220</v>
      </c>
      <c r="H1866" t="s">
        <v>5474</v>
      </c>
      <c r="I1866" t="s">
        <v>10227</v>
      </c>
      <c r="J1866" t="s">
        <v>5476</v>
      </c>
      <c r="K1866" t="s">
        <v>10228</v>
      </c>
      <c r="L1866" t="s">
        <v>5471</v>
      </c>
      <c r="M1866" t="s">
        <v>5471</v>
      </c>
    </row>
    <row r="1867" spans="1:13" x14ac:dyDescent="0.3">
      <c r="A1867" t="s">
        <v>3397</v>
      </c>
      <c r="B1867" t="s">
        <v>5269</v>
      </c>
      <c r="C1867" t="s">
        <v>5487</v>
      </c>
      <c r="D1867" t="s">
        <v>10218</v>
      </c>
      <c r="E1867" t="s">
        <v>5480</v>
      </c>
      <c r="F1867" t="s">
        <v>10229</v>
      </c>
      <c r="G1867" t="s">
        <v>7418</v>
      </c>
      <c r="H1867" t="s">
        <v>5474</v>
      </c>
      <c r="I1867" t="s">
        <v>10230</v>
      </c>
      <c r="J1867" t="s">
        <v>5476</v>
      </c>
      <c r="K1867" t="s">
        <v>10231</v>
      </c>
      <c r="L1867" t="s">
        <v>5471</v>
      </c>
      <c r="M1867" t="s">
        <v>5471</v>
      </c>
    </row>
    <row r="1868" spans="1:13" x14ac:dyDescent="0.3">
      <c r="A1868" t="s">
        <v>3397</v>
      </c>
      <c r="B1868" t="s">
        <v>5269</v>
      </c>
      <c r="C1868" t="s">
        <v>5487</v>
      </c>
      <c r="D1868" t="s">
        <v>10218</v>
      </c>
      <c r="E1868" t="s">
        <v>5480</v>
      </c>
      <c r="F1868" t="s">
        <v>10232</v>
      </c>
      <c r="G1868" t="s">
        <v>7418</v>
      </c>
      <c r="H1868" t="s">
        <v>5474</v>
      </c>
      <c r="I1868" t="s">
        <v>10233</v>
      </c>
      <c r="J1868" t="s">
        <v>5476</v>
      </c>
      <c r="K1868" t="s">
        <v>10234</v>
      </c>
      <c r="L1868" t="s">
        <v>5471</v>
      </c>
      <c r="M1868" t="s">
        <v>5471</v>
      </c>
    </row>
    <row r="1869" spans="1:13" x14ac:dyDescent="0.3">
      <c r="A1869" t="s">
        <v>3397</v>
      </c>
      <c r="B1869" t="s">
        <v>5269</v>
      </c>
      <c r="C1869" t="s">
        <v>5487</v>
      </c>
      <c r="D1869" t="s">
        <v>10218</v>
      </c>
      <c r="E1869" t="s">
        <v>5480</v>
      </c>
      <c r="F1869" t="s">
        <v>10235</v>
      </c>
      <c r="G1869" t="s">
        <v>7418</v>
      </c>
      <c r="H1869" t="s">
        <v>5474</v>
      </c>
      <c r="I1869" t="s">
        <v>10236</v>
      </c>
      <c r="J1869" t="s">
        <v>5476</v>
      </c>
      <c r="K1869" t="s">
        <v>10237</v>
      </c>
      <c r="L1869" t="s">
        <v>5471</v>
      </c>
      <c r="M1869" t="s">
        <v>5471</v>
      </c>
    </row>
    <row r="1870" spans="1:13" x14ac:dyDescent="0.3">
      <c r="A1870" t="s">
        <v>3397</v>
      </c>
      <c r="B1870" t="s">
        <v>5259</v>
      </c>
      <c r="C1870" t="s">
        <v>5487</v>
      </c>
      <c r="D1870" t="s">
        <v>4052</v>
      </c>
      <c r="E1870" t="s">
        <v>5617</v>
      </c>
      <c r="F1870" t="s">
        <v>10238</v>
      </c>
      <c r="G1870" t="s">
        <v>10239</v>
      </c>
      <c r="H1870" t="s">
        <v>5474</v>
      </c>
      <c r="I1870" t="s">
        <v>10240</v>
      </c>
      <c r="J1870" t="s">
        <v>5476</v>
      </c>
      <c r="K1870" t="s">
        <v>10241</v>
      </c>
      <c r="L1870" t="s">
        <v>5471</v>
      </c>
      <c r="M1870" t="s">
        <v>5471</v>
      </c>
    </row>
    <row r="1871" spans="1:13" x14ac:dyDescent="0.3">
      <c r="A1871" t="s">
        <v>3397</v>
      </c>
      <c r="B1871" t="s">
        <v>5259</v>
      </c>
      <c r="C1871" t="s">
        <v>5487</v>
      </c>
      <c r="D1871" t="s">
        <v>4052</v>
      </c>
      <c r="E1871" t="s">
        <v>5532</v>
      </c>
      <c r="F1871" t="s">
        <v>10242</v>
      </c>
      <c r="G1871" t="s">
        <v>10243</v>
      </c>
      <c r="H1871" t="s">
        <v>5474</v>
      </c>
      <c r="I1871" t="s">
        <v>10244</v>
      </c>
      <c r="J1871" t="s">
        <v>5476</v>
      </c>
      <c r="K1871" t="s">
        <v>10245</v>
      </c>
      <c r="L1871" t="s">
        <v>5471</v>
      </c>
      <c r="M1871" t="s">
        <v>5471</v>
      </c>
    </row>
    <row r="1872" spans="1:13" x14ac:dyDescent="0.3">
      <c r="A1872" t="s">
        <v>3397</v>
      </c>
      <c r="B1872" t="s">
        <v>5259</v>
      </c>
      <c r="C1872" t="s">
        <v>5487</v>
      </c>
      <c r="D1872" t="s">
        <v>4052</v>
      </c>
      <c r="E1872" t="s">
        <v>5532</v>
      </c>
      <c r="F1872" t="s">
        <v>10246</v>
      </c>
      <c r="G1872" t="s">
        <v>10247</v>
      </c>
      <c r="H1872" t="s">
        <v>5474</v>
      </c>
      <c r="I1872" t="s">
        <v>10248</v>
      </c>
      <c r="J1872" t="s">
        <v>5476</v>
      </c>
      <c r="K1872" t="s">
        <v>10249</v>
      </c>
      <c r="L1872" t="s">
        <v>5471</v>
      </c>
      <c r="M1872" t="s">
        <v>5471</v>
      </c>
    </row>
    <row r="1873" spans="1:13" x14ac:dyDescent="0.3">
      <c r="A1873" t="s">
        <v>3397</v>
      </c>
      <c r="B1873" t="s">
        <v>5259</v>
      </c>
      <c r="C1873" t="s">
        <v>5487</v>
      </c>
      <c r="D1873" t="s">
        <v>4052</v>
      </c>
      <c r="E1873" t="s">
        <v>5532</v>
      </c>
      <c r="F1873" t="s">
        <v>10250</v>
      </c>
      <c r="G1873" t="s">
        <v>5690</v>
      </c>
      <c r="H1873" t="s">
        <v>5474</v>
      </c>
      <c r="I1873" t="s">
        <v>10251</v>
      </c>
      <c r="J1873" t="s">
        <v>5476</v>
      </c>
      <c r="K1873" t="s">
        <v>10252</v>
      </c>
      <c r="L1873" t="s">
        <v>5471</v>
      </c>
      <c r="M1873" t="s">
        <v>5471</v>
      </c>
    </row>
    <row r="1874" spans="1:13" x14ac:dyDescent="0.3">
      <c r="A1874" t="s">
        <v>3397</v>
      </c>
      <c r="B1874" t="s">
        <v>7391</v>
      </c>
      <c r="C1874" t="s">
        <v>5487</v>
      </c>
      <c r="D1874" t="s">
        <v>4056</v>
      </c>
      <c r="E1874" t="s">
        <v>5756</v>
      </c>
      <c r="F1874" t="s">
        <v>10253</v>
      </c>
      <c r="G1874" t="s">
        <v>10254</v>
      </c>
      <c r="H1874" t="s">
        <v>5474</v>
      </c>
      <c r="I1874" t="s">
        <v>10255</v>
      </c>
      <c r="J1874" t="s">
        <v>5476</v>
      </c>
      <c r="K1874" t="s">
        <v>10256</v>
      </c>
      <c r="L1874" t="s">
        <v>5471</v>
      </c>
      <c r="M1874" t="s">
        <v>5471</v>
      </c>
    </row>
    <row r="1875" spans="1:13" x14ac:dyDescent="0.3">
      <c r="A1875" t="s">
        <v>3397</v>
      </c>
      <c r="B1875" t="s">
        <v>7391</v>
      </c>
      <c r="C1875" t="s">
        <v>5487</v>
      </c>
      <c r="D1875" t="s">
        <v>4056</v>
      </c>
      <c r="E1875" t="s">
        <v>5756</v>
      </c>
      <c r="F1875" t="s">
        <v>10257</v>
      </c>
      <c r="G1875" t="s">
        <v>10254</v>
      </c>
      <c r="H1875" t="s">
        <v>5474</v>
      </c>
      <c r="I1875" t="s">
        <v>10258</v>
      </c>
      <c r="J1875" t="s">
        <v>5476</v>
      </c>
      <c r="K1875" t="s">
        <v>10259</v>
      </c>
      <c r="L1875" t="s">
        <v>5471</v>
      </c>
      <c r="M1875" t="s">
        <v>5471</v>
      </c>
    </row>
    <row r="1876" spans="1:13" x14ac:dyDescent="0.3">
      <c r="A1876" t="s">
        <v>3397</v>
      </c>
      <c r="B1876" t="s">
        <v>7391</v>
      </c>
      <c r="C1876" t="s">
        <v>5487</v>
      </c>
      <c r="D1876" t="s">
        <v>4056</v>
      </c>
      <c r="E1876" t="s">
        <v>5756</v>
      </c>
      <c r="F1876" t="s">
        <v>10260</v>
      </c>
      <c r="G1876" t="s">
        <v>10254</v>
      </c>
      <c r="H1876" t="s">
        <v>5474</v>
      </c>
      <c r="I1876" t="s">
        <v>10261</v>
      </c>
      <c r="J1876" t="s">
        <v>5476</v>
      </c>
      <c r="K1876" t="s">
        <v>10262</v>
      </c>
      <c r="L1876" t="s">
        <v>5471</v>
      </c>
      <c r="M1876" t="s">
        <v>5471</v>
      </c>
    </row>
    <row r="1877" spans="1:13" x14ac:dyDescent="0.3">
      <c r="A1877" t="s">
        <v>3397</v>
      </c>
      <c r="B1877" t="s">
        <v>7391</v>
      </c>
      <c r="C1877" t="s">
        <v>5487</v>
      </c>
      <c r="D1877" t="s">
        <v>4056</v>
      </c>
      <c r="E1877" t="s">
        <v>5756</v>
      </c>
      <c r="F1877" t="s">
        <v>10263</v>
      </c>
      <c r="G1877" t="s">
        <v>10264</v>
      </c>
      <c r="H1877" t="s">
        <v>5474</v>
      </c>
      <c r="I1877" t="s">
        <v>10265</v>
      </c>
      <c r="J1877" t="s">
        <v>5476</v>
      </c>
      <c r="K1877" t="s">
        <v>10266</v>
      </c>
      <c r="L1877" t="s">
        <v>5471</v>
      </c>
      <c r="M1877" t="s">
        <v>5471</v>
      </c>
    </row>
    <row r="1878" spans="1:13" x14ac:dyDescent="0.3">
      <c r="A1878" t="s">
        <v>3397</v>
      </c>
      <c r="B1878" t="s">
        <v>7391</v>
      </c>
      <c r="C1878" t="s">
        <v>5487</v>
      </c>
      <c r="D1878" t="s">
        <v>4056</v>
      </c>
      <c r="E1878" t="s">
        <v>5756</v>
      </c>
      <c r="F1878" t="s">
        <v>10267</v>
      </c>
      <c r="G1878" t="s">
        <v>10264</v>
      </c>
      <c r="H1878" t="s">
        <v>5474</v>
      </c>
      <c r="I1878" t="s">
        <v>10268</v>
      </c>
      <c r="J1878" t="s">
        <v>5476</v>
      </c>
      <c r="K1878" t="s">
        <v>10269</v>
      </c>
      <c r="L1878" t="s">
        <v>5471</v>
      </c>
      <c r="M1878" t="s">
        <v>5471</v>
      </c>
    </row>
    <row r="1879" spans="1:13" x14ac:dyDescent="0.3">
      <c r="A1879" t="s">
        <v>3397</v>
      </c>
      <c r="B1879" t="s">
        <v>7391</v>
      </c>
      <c r="C1879" t="s">
        <v>5487</v>
      </c>
      <c r="D1879" t="s">
        <v>4056</v>
      </c>
      <c r="E1879" t="s">
        <v>5756</v>
      </c>
      <c r="F1879" t="s">
        <v>10270</v>
      </c>
      <c r="G1879" t="s">
        <v>10264</v>
      </c>
      <c r="H1879" t="s">
        <v>5474</v>
      </c>
      <c r="I1879" t="s">
        <v>10271</v>
      </c>
      <c r="J1879" t="s">
        <v>5476</v>
      </c>
      <c r="K1879" t="s">
        <v>10272</v>
      </c>
      <c r="L1879" t="s">
        <v>5471</v>
      </c>
      <c r="M1879" t="s">
        <v>5471</v>
      </c>
    </row>
    <row r="1880" spans="1:13" x14ac:dyDescent="0.3">
      <c r="A1880" t="s">
        <v>3397</v>
      </c>
      <c r="B1880" t="s">
        <v>7391</v>
      </c>
      <c r="C1880" t="s">
        <v>5487</v>
      </c>
      <c r="D1880" t="s">
        <v>4056</v>
      </c>
      <c r="E1880" t="s">
        <v>5756</v>
      </c>
      <c r="F1880" t="s">
        <v>10273</v>
      </c>
      <c r="G1880" t="s">
        <v>10274</v>
      </c>
      <c r="H1880" t="s">
        <v>5474</v>
      </c>
      <c r="I1880" t="s">
        <v>10275</v>
      </c>
      <c r="J1880" t="s">
        <v>5476</v>
      </c>
      <c r="K1880" t="s">
        <v>10276</v>
      </c>
      <c r="L1880" t="s">
        <v>5471</v>
      </c>
      <c r="M1880" t="s">
        <v>5471</v>
      </c>
    </row>
    <row r="1881" spans="1:13" x14ac:dyDescent="0.3">
      <c r="A1881" t="s">
        <v>3397</v>
      </c>
      <c r="B1881" t="s">
        <v>7391</v>
      </c>
      <c r="C1881" t="s">
        <v>5487</v>
      </c>
      <c r="D1881" t="s">
        <v>4056</v>
      </c>
      <c r="E1881" t="s">
        <v>5756</v>
      </c>
      <c r="F1881" t="s">
        <v>10277</v>
      </c>
      <c r="G1881" t="s">
        <v>10274</v>
      </c>
      <c r="H1881" t="s">
        <v>5474</v>
      </c>
      <c r="I1881" t="s">
        <v>10278</v>
      </c>
      <c r="J1881" t="s">
        <v>5476</v>
      </c>
      <c r="K1881" t="s">
        <v>10279</v>
      </c>
      <c r="L1881" t="s">
        <v>5471</v>
      </c>
      <c r="M1881" t="s">
        <v>5471</v>
      </c>
    </row>
    <row r="1882" spans="1:13" x14ac:dyDescent="0.3">
      <c r="A1882" t="s">
        <v>3397</v>
      </c>
      <c r="B1882" t="s">
        <v>7391</v>
      </c>
      <c r="C1882" t="s">
        <v>5487</v>
      </c>
      <c r="D1882" t="s">
        <v>4056</v>
      </c>
      <c r="E1882" t="s">
        <v>5756</v>
      </c>
      <c r="F1882" t="s">
        <v>10280</v>
      </c>
      <c r="G1882" t="s">
        <v>10274</v>
      </c>
      <c r="H1882" t="s">
        <v>5474</v>
      </c>
      <c r="I1882" t="s">
        <v>10281</v>
      </c>
      <c r="J1882" t="s">
        <v>5476</v>
      </c>
      <c r="K1882" t="s">
        <v>10282</v>
      </c>
      <c r="L1882" t="s">
        <v>5471</v>
      </c>
      <c r="M1882" t="s">
        <v>5471</v>
      </c>
    </row>
    <row r="1883" spans="1:13" x14ac:dyDescent="0.3">
      <c r="A1883" t="s">
        <v>3397</v>
      </c>
      <c r="B1883" t="s">
        <v>7391</v>
      </c>
      <c r="C1883" t="s">
        <v>5487</v>
      </c>
      <c r="D1883" t="s">
        <v>4200</v>
      </c>
      <c r="E1883" t="s">
        <v>5756</v>
      </c>
      <c r="F1883" t="s">
        <v>10283</v>
      </c>
      <c r="G1883" t="s">
        <v>10274</v>
      </c>
      <c r="H1883" t="s">
        <v>5474</v>
      </c>
      <c r="I1883" t="s">
        <v>10284</v>
      </c>
      <c r="J1883" t="s">
        <v>5476</v>
      </c>
      <c r="K1883" t="s">
        <v>10285</v>
      </c>
      <c r="L1883" t="s">
        <v>5471</v>
      </c>
      <c r="M1883" t="s">
        <v>5471</v>
      </c>
    </row>
    <row r="1884" spans="1:13" x14ac:dyDescent="0.3">
      <c r="A1884" t="s">
        <v>3397</v>
      </c>
      <c r="B1884" t="s">
        <v>7391</v>
      </c>
      <c r="C1884" t="s">
        <v>5487</v>
      </c>
      <c r="D1884" t="s">
        <v>4200</v>
      </c>
      <c r="E1884" t="s">
        <v>5756</v>
      </c>
      <c r="F1884" t="s">
        <v>10286</v>
      </c>
      <c r="G1884" t="s">
        <v>10274</v>
      </c>
      <c r="H1884" t="s">
        <v>5474</v>
      </c>
      <c r="I1884" t="s">
        <v>10287</v>
      </c>
      <c r="J1884" t="s">
        <v>5476</v>
      </c>
      <c r="K1884" t="s">
        <v>10288</v>
      </c>
      <c r="L1884" t="s">
        <v>5471</v>
      </c>
      <c r="M1884" t="s">
        <v>5471</v>
      </c>
    </row>
    <row r="1885" spans="1:13" x14ac:dyDescent="0.3">
      <c r="A1885" t="s">
        <v>3397</v>
      </c>
      <c r="B1885" t="s">
        <v>7391</v>
      </c>
      <c r="C1885" t="s">
        <v>5487</v>
      </c>
      <c r="D1885" t="s">
        <v>4200</v>
      </c>
      <c r="E1885" t="s">
        <v>5756</v>
      </c>
      <c r="F1885" t="s">
        <v>10289</v>
      </c>
      <c r="G1885" t="s">
        <v>10274</v>
      </c>
      <c r="H1885" t="s">
        <v>5474</v>
      </c>
      <c r="I1885" t="s">
        <v>10290</v>
      </c>
      <c r="J1885" t="s">
        <v>5476</v>
      </c>
      <c r="K1885" t="s">
        <v>10291</v>
      </c>
      <c r="L1885" t="s">
        <v>5471</v>
      </c>
      <c r="M1885" t="s">
        <v>5471</v>
      </c>
    </row>
    <row r="1886" spans="1:13" x14ac:dyDescent="0.3">
      <c r="A1886" t="s">
        <v>3397</v>
      </c>
      <c r="B1886" t="s">
        <v>7391</v>
      </c>
      <c r="C1886" t="s">
        <v>5487</v>
      </c>
      <c r="D1886" t="s">
        <v>4056</v>
      </c>
      <c r="E1886" t="s">
        <v>5756</v>
      </c>
      <c r="F1886" t="s">
        <v>10292</v>
      </c>
      <c r="G1886" t="s">
        <v>10293</v>
      </c>
      <c r="H1886" t="s">
        <v>5474</v>
      </c>
      <c r="I1886" t="s">
        <v>10294</v>
      </c>
      <c r="J1886" t="s">
        <v>5476</v>
      </c>
      <c r="K1886" t="s">
        <v>10295</v>
      </c>
      <c r="L1886" t="s">
        <v>5471</v>
      </c>
      <c r="M1886" t="s">
        <v>5471</v>
      </c>
    </row>
    <row r="1887" spans="1:13" x14ac:dyDescent="0.3">
      <c r="A1887" t="s">
        <v>3397</v>
      </c>
      <c r="B1887" t="s">
        <v>7391</v>
      </c>
      <c r="C1887" t="s">
        <v>5487</v>
      </c>
      <c r="D1887" t="s">
        <v>4056</v>
      </c>
      <c r="E1887" t="s">
        <v>5756</v>
      </c>
      <c r="F1887" t="s">
        <v>10296</v>
      </c>
      <c r="G1887" t="s">
        <v>10293</v>
      </c>
      <c r="H1887" t="s">
        <v>5474</v>
      </c>
      <c r="I1887" t="s">
        <v>10297</v>
      </c>
      <c r="J1887" t="s">
        <v>5476</v>
      </c>
      <c r="K1887" t="s">
        <v>10298</v>
      </c>
      <c r="L1887" t="s">
        <v>5471</v>
      </c>
      <c r="M1887" t="s">
        <v>5471</v>
      </c>
    </row>
    <row r="1888" spans="1:13" x14ac:dyDescent="0.3">
      <c r="A1888" t="s">
        <v>3397</v>
      </c>
      <c r="B1888" t="s">
        <v>7391</v>
      </c>
      <c r="C1888" t="s">
        <v>5487</v>
      </c>
      <c r="D1888" t="s">
        <v>4056</v>
      </c>
      <c r="E1888" t="s">
        <v>5756</v>
      </c>
      <c r="F1888" t="s">
        <v>10299</v>
      </c>
      <c r="G1888" t="s">
        <v>10293</v>
      </c>
      <c r="H1888" t="s">
        <v>5474</v>
      </c>
      <c r="I1888" t="s">
        <v>10300</v>
      </c>
      <c r="J1888" t="s">
        <v>5476</v>
      </c>
      <c r="K1888" t="s">
        <v>10301</v>
      </c>
      <c r="L1888" t="s">
        <v>5471</v>
      </c>
      <c r="M1888" t="s">
        <v>5471</v>
      </c>
    </row>
    <row r="1889" spans="1:13" x14ac:dyDescent="0.3">
      <c r="A1889" t="s">
        <v>3397</v>
      </c>
      <c r="B1889" t="s">
        <v>7391</v>
      </c>
      <c r="C1889" t="s">
        <v>5487</v>
      </c>
      <c r="D1889" t="s">
        <v>4200</v>
      </c>
      <c r="E1889" t="s">
        <v>5756</v>
      </c>
      <c r="F1889" t="s">
        <v>10302</v>
      </c>
      <c r="G1889" t="s">
        <v>10293</v>
      </c>
      <c r="H1889" t="s">
        <v>5474</v>
      </c>
      <c r="I1889" t="s">
        <v>10303</v>
      </c>
      <c r="J1889" t="s">
        <v>5476</v>
      </c>
      <c r="K1889" t="s">
        <v>10304</v>
      </c>
      <c r="L1889" t="s">
        <v>5471</v>
      </c>
      <c r="M1889" t="s">
        <v>5471</v>
      </c>
    </row>
    <row r="1890" spans="1:13" x14ac:dyDescent="0.3">
      <c r="A1890" t="s">
        <v>3397</v>
      </c>
      <c r="B1890" t="s">
        <v>7391</v>
      </c>
      <c r="C1890" t="s">
        <v>5487</v>
      </c>
      <c r="D1890" t="s">
        <v>4200</v>
      </c>
      <c r="E1890" t="s">
        <v>5756</v>
      </c>
      <c r="F1890" t="s">
        <v>10305</v>
      </c>
      <c r="G1890" t="s">
        <v>10293</v>
      </c>
      <c r="H1890" t="s">
        <v>5474</v>
      </c>
      <c r="I1890" t="s">
        <v>10306</v>
      </c>
      <c r="J1890" t="s">
        <v>5476</v>
      </c>
      <c r="K1890" t="s">
        <v>10307</v>
      </c>
      <c r="L1890" t="s">
        <v>5471</v>
      </c>
      <c r="M1890" t="s">
        <v>5471</v>
      </c>
    </row>
    <row r="1891" spans="1:13" x14ac:dyDescent="0.3">
      <c r="A1891" t="s">
        <v>3397</v>
      </c>
      <c r="B1891" t="s">
        <v>7391</v>
      </c>
      <c r="C1891" t="s">
        <v>5487</v>
      </c>
      <c r="D1891" t="s">
        <v>4200</v>
      </c>
      <c r="E1891" t="s">
        <v>5756</v>
      </c>
      <c r="F1891" t="s">
        <v>10308</v>
      </c>
      <c r="G1891" t="s">
        <v>10293</v>
      </c>
      <c r="H1891" t="s">
        <v>5474</v>
      </c>
      <c r="I1891" t="s">
        <v>10309</v>
      </c>
      <c r="J1891" t="s">
        <v>5476</v>
      </c>
      <c r="K1891" t="s">
        <v>10310</v>
      </c>
      <c r="L1891" t="s">
        <v>5471</v>
      </c>
      <c r="M1891" t="s">
        <v>5471</v>
      </c>
    </row>
    <row r="1892" spans="1:13" x14ac:dyDescent="0.3">
      <c r="A1892" t="s">
        <v>3397</v>
      </c>
      <c r="B1892" t="s">
        <v>7391</v>
      </c>
      <c r="C1892" t="s">
        <v>5487</v>
      </c>
      <c r="D1892" t="s">
        <v>4058</v>
      </c>
      <c r="E1892" t="s">
        <v>5756</v>
      </c>
      <c r="F1892" t="s">
        <v>10311</v>
      </c>
      <c r="G1892" t="s">
        <v>10312</v>
      </c>
      <c r="H1892" t="s">
        <v>5474</v>
      </c>
      <c r="I1892" t="s">
        <v>10313</v>
      </c>
      <c r="J1892" t="s">
        <v>5476</v>
      </c>
      <c r="K1892" t="s">
        <v>10314</v>
      </c>
      <c r="L1892" t="s">
        <v>5471</v>
      </c>
      <c r="M1892" t="s">
        <v>5471</v>
      </c>
    </row>
    <row r="1893" spans="1:13" x14ac:dyDescent="0.3">
      <c r="A1893" t="s">
        <v>3397</v>
      </c>
      <c r="B1893" t="s">
        <v>7391</v>
      </c>
      <c r="C1893" t="s">
        <v>5487</v>
      </c>
      <c r="D1893" t="s">
        <v>4058</v>
      </c>
      <c r="E1893" t="s">
        <v>5756</v>
      </c>
      <c r="F1893" t="s">
        <v>10315</v>
      </c>
      <c r="G1893" t="s">
        <v>10312</v>
      </c>
      <c r="H1893" t="s">
        <v>5474</v>
      </c>
      <c r="I1893" t="s">
        <v>10316</v>
      </c>
      <c r="J1893" t="s">
        <v>5476</v>
      </c>
      <c r="K1893" t="s">
        <v>10317</v>
      </c>
      <c r="L1893" t="s">
        <v>5471</v>
      </c>
      <c r="M1893" t="s">
        <v>5471</v>
      </c>
    </row>
    <row r="1894" spans="1:13" x14ac:dyDescent="0.3">
      <c r="A1894" t="s">
        <v>3397</v>
      </c>
      <c r="B1894" t="s">
        <v>7391</v>
      </c>
      <c r="C1894" t="s">
        <v>5487</v>
      </c>
      <c r="D1894" t="s">
        <v>4200</v>
      </c>
      <c r="E1894" t="s">
        <v>5756</v>
      </c>
      <c r="F1894" t="s">
        <v>10318</v>
      </c>
      <c r="G1894" t="s">
        <v>10312</v>
      </c>
      <c r="H1894" t="s">
        <v>5474</v>
      </c>
      <c r="I1894" t="s">
        <v>10319</v>
      </c>
      <c r="J1894" t="s">
        <v>5476</v>
      </c>
      <c r="K1894" t="s">
        <v>10320</v>
      </c>
      <c r="L1894" t="s">
        <v>5471</v>
      </c>
      <c r="M1894" t="s">
        <v>5471</v>
      </c>
    </row>
    <row r="1895" spans="1:13" x14ac:dyDescent="0.3">
      <c r="A1895" t="s">
        <v>3397</v>
      </c>
      <c r="B1895" t="s">
        <v>7391</v>
      </c>
      <c r="C1895" t="s">
        <v>5487</v>
      </c>
      <c r="D1895" t="s">
        <v>4200</v>
      </c>
      <c r="E1895" t="s">
        <v>5756</v>
      </c>
      <c r="F1895" t="s">
        <v>10321</v>
      </c>
      <c r="G1895" t="s">
        <v>10312</v>
      </c>
      <c r="H1895" t="s">
        <v>5474</v>
      </c>
      <c r="I1895" t="s">
        <v>10322</v>
      </c>
      <c r="J1895" t="s">
        <v>5476</v>
      </c>
      <c r="K1895" t="s">
        <v>10323</v>
      </c>
      <c r="L1895" t="s">
        <v>5471</v>
      </c>
      <c r="M1895" t="s">
        <v>5471</v>
      </c>
    </row>
    <row r="1896" spans="1:13" x14ac:dyDescent="0.3">
      <c r="A1896" t="s">
        <v>3397</v>
      </c>
      <c r="B1896" t="s">
        <v>7391</v>
      </c>
      <c r="C1896" t="s">
        <v>5487</v>
      </c>
      <c r="D1896" t="s">
        <v>4200</v>
      </c>
      <c r="E1896" t="s">
        <v>5756</v>
      </c>
      <c r="F1896" t="s">
        <v>10324</v>
      </c>
      <c r="G1896" t="s">
        <v>10312</v>
      </c>
      <c r="H1896" t="s">
        <v>5474</v>
      </c>
      <c r="I1896" t="s">
        <v>10325</v>
      </c>
      <c r="J1896" t="s">
        <v>5476</v>
      </c>
      <c r="K1896" t="s">
        <v>10326</v>
      </c>
      <c r="L1896" t="s">
        <v>5471</v>
      </c>
      <c r="M1896" t="s">
        <v>5471</v>
      </c>
    </row>
    <row r="1897" spans="1:13" x14ac:dyDescent="0.3">
      <c r="A1897" t="s">
        <v>3397</v>
      </c>
      <c r="B1897" t="s">
        <v>7391</v>
      </c>
      <c r="C1897" t="s">
        <v>5487</v>
      </c>
      <c r="D1897" t="s">
        <v>4200</v>
      </c>
      <c r="E1897" t="s">
        <v>5756</v>
      </c>
      <c r="F1897" t="s">
        <v>10327</v>
      </c>
      <c r="G1897" t="s">
        <v>10328</v>
      </c>
      <c r="H1897" t="s">
        <v>5474</v>
      </c>
      <c r="I1897" t="s">
        <v>10329</v>
      </c>
      <c r="J1897" t="s">
        <v>5476</v>
      </c>
      <c r="K1897" t="s">
        <v>10330</v>
      </c>
      <c r="L1897" t="s">
        <v>5471</v>
      </c>
      <c r="M1897" t="s">
        <v>5471</v>
      </c>
    </row>
    <row r="1898" spans="1:13" x14ac:dyDescent="0.3">
      <c r="A1898" t="s">
        <v>3397</v>
      </c>
      <c r="B1898" t="s">
        <v>7391</v>
      </c>
      <c r="C1898" t="s">
        <v>5487</v>
      </c>
      <c r="D1898" t="s">
        <v>4200</v>
      </c>
      <c r="E1898" t="s">
        <v>5756</v>
      </c>
      <c r="F1898" t="s">
        <v>10331</v>
      </c>
      <c r="G1898" t="s">
        <v>10328</v>
      </c>
      <c r="H1898" t="s">
        <v>5474</v>
      </c>
      <c r="I1898" t="s">
        <v>10332</v>
      </c>
      <c r="J1898" t="s">
        <v>5476</v>
      </c>
      <c r="K1898" t="s">
        <v>10333</v>
      </c>
      <c r="L1898" t="s">
        <v>5471</v>
      </c>
      <c r="M1898" t="s">
        <v>5471</v>
      </c>
    </row>
    <row r="1899" spans="1:13" x14ac:dyDescent="0.3">
      <c r="A1899" t="s">
        <v>3397</v>
      </c>
      <c r="B1899" t="s">
        <v>7391</v>
      </c>
      <c r="C1899" t="s">
        <v>5487</v>
      </c>
      <c r="D1899" t="s">
        <v>4058</v>
      </c>
      <c r="E1899" t="s">
        <v>5756</v>
      </c>
      <c r="F1899" t="s">
        <v>10334</v>
      </c>
      <c r="G1899" t="s">
        <v>10335</v>
      </c>
      <c r="H1899" t="s">
        <v>5474</v>
      </c>
      <c r="I1899" t="s">
        <v>10336</v>
      </c>
      <c r="J1899" t="s">
        <v>5476</v>
      </c>
      <c r="K1899" t="s">
        <v>10337</v>
      </c>
      <c r="L1899" t="s">
        <v>5471</v>
      </c>
      <c r="M1899" t="s">
        <v>5471</v>
      </c>
    </row>
    <row r="1900" spans="1:13" x14ac:dyDescent="0.3">
      <c r="A1900" t="s">
        <v>3397</v>
      </c>
      <c r="B1900" t="s">
        <v>7391</v>
      </c>
      <c r="C1900" t="s">
        <v>5487</v>
      </c>
      <c r="D1900" t="s">
        <v>4056</v>
      </c>
      <c r="E1900" t="s">
        <v>5756</v>
      </c>
      <c r="F1900" t="s">
        <v>10338</v>
      </c>
      <c r="G1900" t="s">
        <v>10335</v>
      </c>
      <c r="H1900" t="s">
        <v>5474</v>
      </c>
      <c r="I1900" t="s">
        <v>10339</v>
      </c>
      <c r="J1900" t="s">
        <v>5476</v>
      </c>
      <c r="K1900" t="s">
        <v>10340</v>
      </c>
      <c r="L1900" t="s">
        <v>5471</v>
      </c>
      <c r="M1900" t="s">
        <v>5471</v>
      </c>
    </row>
    <row r="1901" spans="1:13" x14ac:dyDescent="0.3">
      <c r="A1901" t="s">
        <v>3397</v>
      </c>
      <c r="B1901" t="s">
        <v>7391</v>
      </c>
      <c r="C1901" t="s">
        <v>5487</v>
      </c>
      <c r="D1901" t="s">
        <v>4056</v>
      </c>
      <c r="E1901" t="s">
        <v>5756</v>
      </c>
      <c r="F1901" t="s">
        <v>10341</v>
      </c>
      <c r="G1901" t="s">
        <v>10335</v>
      </c>
      <c r="H1901" t="s">
        <v>5474</v>
      </c>
      <c r="I1901" t="s">
        <v>10342</v>
      </c>
      <c r="J1901" t="s">
        <v>5476</v>
      </c>
      <c r="K1901" t="s">
        <v>10343</v>
      </c>
      <c r="L1901" t="s">
        <v>5471</v>
      </c>
      <c r="M1901" t="s">
        <v>5471</v>
      </c>
    </row>
    <row r="1902" spans="1:13" x14ac:dyDescent="0.3">
      <c r="A1902" t="s">
        <v>3397</v>
      </c>
      <c r="B1902" t="s">
        <v>7391</v>
      </c>
      <c r="C1902" t="s">
        <v>5487</v>
      </c>
      <c r="D1902" t="s">
        <v>4056</v>
      </c>
      <c r="E1902" t="s">
        <v>5756</v>
      </c>
      <c r="F1902" t="s">
        <v>10344</v>
      </c>
      <c r="G1902" t="s">
        <v>10335</v>
      </c>
      <c r="H1902" t="s">
        <v>5474</v>
      </c>
      <c r="I1902" t="s">
        <v>10345</v>
      </c>
      <c r="J1902" t="s">
        <v>5476</v>
      </c>
      <c r="K1902" t="s">
        <v>10346</v>
      </c>
      <c r="L1902" t="s">
        <v>5471</v>
      </c>
      <c r="M1902" t="s">
        <v>5471</v>
      </c>
    </row>
    <row r="1903" spans="1:13" x14ac:dyDescent="0.3">
      <c r="A1903" t="s">
        <v>3397</v>
      </c>
      <c r="B1903" t="s">
        <v>7391</v>
      </c>
      <c r="C1903" t="s">
        <v>5487</v>
      </c>
      <c r="D1903" t="s">
        <v>4200</v>
      </c>
      <c r="E1903" t="s">
        <v>5756</v>
      </c>
      <c r="F1903" t="s">
        <v>10347</v>
      </c>
      <c r="G1903" t="s">
        <v>10335</v>
      </c>
      <c r="H1903" t="s">
        <v>5474</v>
      </c>
      <c r="I1903" t="s">
        <v>10348</v>
      </c>
      <c r="J1903" t="s">
        <v>5476</v>
      </c>
      <c r="K1903" t="s">
        <v>10349</v>
      </c>
      <c r="L1903" t="s">
        <v>5471</v>
      </c>
      <c r="M1903" t="s">
        <v>5471</v>
      </c>
    </row>
    <row r="1904" spans="1:13" x14ac:dyDescent="0.3">
      <c r="A1904" t="s">
        <v>3397</v>
      </c>
      <c r="B1904" t="s">
        <v>7391</v>
      </c>
      <c r="C1904" t="s">
        <v>5487</v>
      </c>
      <c r="D1904" t="s">
        <v>4200</v>
      </c>
      <c r="E1904" t="s">
        <v>5756</v>
      </c>
      <c r="F1904" t="s">
        <v>10350</v>
      </c>
      <c r="G1904" t="s">
        <v>10335</v>
      </c>
      <c r="H1904" t="s">
        <v>5474</v>
      </c>
      <c r="I1904" t="s">
        <v>10351</v>
      </c>
      <c r="J1904" t="s">
        <v>5476</v>
      </c>
      <c r="K1904" t="s">
        <v>10352</v>
      </c>
      <c r="L1904" t="s">
        <v>5471</v>
      </c>
      <c r="M1904" t="s">
        <v>5471</v>
      </c>
    </row>
    <row r="1905" spans="1:13" x14ac:dyDescent="0.3">
      <c r="A1905" t="s">
        <v>3397</v>
      </c>
      <c r="B1905" t="s">
        <v>7391</v>
      </c>
      <c r="C1905" t="s">
        <v>5487</v>
      </c>
      <c r="D1905" t="s">
        <v>4200</v>
      </c>
      <c r="E1905" t="s">
        <v>5756</v>
      </c>
      <c r="F1905" t="s">
        <v>10353</v>
      </c>
      <c r="G1905" t="s">
        <v>10335</v>
      </c>
      <c r="H1905" t="s">
        <v>5474</v>
      </c>
      <c r="I1905" t="s">
        <v>10354</v>
      </c>
      <c r="J1905" t="s">
        <v>5476</v>
      </c>
      <c r="K1905" t="s">
        <v>10355</v>
      </c>
      <c r="L1905" t="s">
        <v>5471</v>
      </c>
      <c r="M1905" t="s">
        <v>5471</v>
      </c>
    </row>
    <row r="1906" spans="1:13" x14ac:dyDescent="0.3">
      <c r="A1906" t="s">
        <v>3397</v>
      </c>
      <c r="B1906" t="s">
        <v>7391</v>
      </c>
      <c r="C1906" t="s">
        <v>5487</v>
      </c>
      <c r="D1906" t="s">
        <v>4056</v>
      </c>
      <c r="E1906" t="s">
        <v>5756</v>
      </c>
      <c r="F1906" t="s">
        <v>10356</v>
      </c>
      <c r="G1906" t="s">
        <v>10357</v>
      </c>
      <c r="H1906" t="s">
        <v>5474</v>
      </c>
      <c r="I1906" t="s">
        <v>10358</v>
      </c>
      <c r="J1906" t="s">
        <v>5476</v>
      </c>
      <c r="K1906" t="s">
        <v>10359</v>
      </c>
      <c r="L1906" t="s">
        <v>5471</v>
      </c>
      <c r="M1906" t="s">
        <v>5471</v>
      </c>
    </row>
    <row r="1907" spans="1:13" x14ac:dyDescent="0.3">
      <c r="A1907" t="s">
        <v>3397</v>
      </c>
      <c r="B1907" t="s">
        <v>7391</v>
      </c>
      <c r="C1907" t="s">
        <v>5487</v>
      </c>
      <c r="D1907" t="s">
        <v>4056</v>
      </c>
      <c r="E1907" t="s">
        <v>5756</v>
      </c>
      <c r="F1907" t="s">
        <v>10360</v>
      </c>
      <c r="G1907" t="s">
        <v>10357</v>
      </c>
      <c r="H1907" t="s">
        <v>5474</v>
      </c>
      <c r="I1907" t="s">
        <v>10361</v>
      </c>
      <c r="J1907" t="s">
        <v>5476</v>
      </c>
      <c r="K1907" t="s">
        <v>10362</v>
      </c>
      <c r="L1907" t="s">
        <v>5471</v>
      </c>
      <c r="M1907" t="s">
        <v>5471</v>
      </c>
    </row>
    <row r="1908" spans="1:13" x14ac:dyDescent="0.3">
      <c r="A1908" t="s">
        <v>3397</v>
      </c>
      <c r="B1908" t="s">
        <v>7391</v>
      </c>
      <c r="C1908" t="s">
        <v>5487</v>
      </c>
      <c r="D1908" t="s">
        <v>4056</v>
      </c>
      <c r="E1908" t="s">
        <v>5756</v>
      </c>
      <c r="F1908" t="s">
        <v>10363</v>
      </c>
      <c r="G1908" t="s">
        <v>10357</v>
      </c>
      <c r="H1908" t="s">
        <v>5474</v>
      </c>
      <c r="I1908" t="s">
        <v>10364</v>
      </c>
      <c r="J1908" t="s">
        <v>5476</v>
      </c>
      <c r="K1908" t="s">
        <v>10365</v>
      </c>
      <c r="L1908" t="s">
        <v>5471</v>
      </c>
      <c r="M1908" t="s">
        <v>5471</v>
      </c>
    </row>
    <row r="1909" spans="1:13" x14ac:dyDescent="0.3">
      <c r="A1909" t="s">
        <v>3397</v>
      </c>
      <c r="B1909" t="s">
        <v>7391</v>
      </c>
      <c r="C1909" t="s">
        <v>5487</v>
      </c>
      <c r="D1909" t="s">
        <v>4058</v>
      </c>
      <c r="E1909" t="s">
        <v>5756</v>
      </c>
      <c r="F1909" t="s">
        <v>10366</v>
      </c>
      <c r="G1909" t="s">
        <v>10357</v>
      </c>
      <c r="H1909" t="s">
        <v>5474</v>
      </c>
      <c r="I1909" t="s">
        <v>10367</v>
      </c>
      <c r="J1909" t="s">
        <v>5476</v>
      </c>
      <c r="K1909" t="s">
        <v>10368</v>
      </c>
      <c r="L1909" t="s">
        <v>5471</v>
      </c>
      <c r="M1909" t="s">
        <v>5471</v>
      </c>
    </row>
    <row r="1910" spans="1:13" x14ac:dyDescent="0.3">
      <c r="A1910" t="s">
        <v>3397</v>
      </c>
      <c r="B1910" t="s">
        <v>7391</v>
      </c>
      <c r="C1910" t="s">
        <v>5487</v>
      </c>
      <c r="D1910" t="s">
        <v>4058</v>
      </c>
      <c r="E1910" t="s">
        <v>5756</v>
      </c>
      <c r="F1910" t="s">
        <v>10369</v>
      </c>
      <c r="G1910" t="s">
        <v>10357</v>
      </c>
      <c r="H1910" t="s">
        <v>5474</v>
      </c>
      <c r="I1910" t="s">
        <v>10370</v>
      </c>
      <c r="J1910" t="s">
        <v>5476</v>
      </c>
      <c r="K1910" t="s">
        <v>10371</v>
      </c>
      <c r="L1910" t="s">
        <v>5471</v>
      </c>
      <c r="M1910" t="s">
        <v>5471</v>
      </c>
    </row>
    <row r="1911" spans="1:13" x14ac:dyDescent="0.3">
      <c r="A1911" t="s">
        <v>3397</v>
      </c>
      <c r="B1911" t="s">
        <v>7391</v>
      </c>
      <c r="C1911" t="s">
        <v>5487</v>
      </c>
      <c r="D1911" t="s">
        <v>4058</v>
      </c>
      <c r="E1911" t="s">
        <v>5756</v>
      </c>
      <c r="F1911" t="s">
        <v>10372</v>
      </c>
      <c r="G1911" t="s">
        <v>10357</v>
      </c>
      <c r="H1911" t="s">
        <v>5474</v>
      </c>
      <c r="I1911" t="s">
        <v>10373</v>
      </c>
      <c r="J1911" t="s">
        <v>5476</v>
      </c>
      <c r="K1911" t="s">
        <v>10374</v>
      </c>
      <c r="L1911" t="s">
        <v>5471</v>
      </c>
      <c r="M1911" t="s">
        <v>5471</v>
      </c>
    </row>
    <row r="1912" spans="1:13" x14ac:dyDescent="0.3">
      <c r="A1912" t="s">
        <v>3397</v>
      </c>
      <c r="B1912" t="s">
        <v>7391</v>
      </c>
      <c r="C1912" t="s">
        <v>5487</v>
      </c>
      <c r="D1912" t="s">
        <v>4058</v>
      </c>
      <c r="E1912" t="s">
        <v>5756</v>
      </c>
      <c r="F1912" t="s">
        <v>10375</v>
      </c>
      <c r="G1912" t="s">
        <v>10357</v>
      </c>
      <c r="H1912" t="s">
        <v>5474</v>
      </c>
      <c r="I1912" t="s">
        <v>10376</v>
      </c>
      <c r="J1912" t="s">
        <v>5476</v>
      </c>
      <c r="K1912" t="s">
        <v>10377</v>
      </c>
      <c r="L1912" t="s">
        <v>5471</v>
      </c>
      <c r="M1912" t="s">
        <v>5471</v>
      </c>
    </row>
    <row r="1913" spans="1:13" x14ac:dyDescent="0.3">
      <c r="A1913" t="s">
        <v>3397</v>
      </c>
      <c r="B1913" t="s">
        <v>5594</v>
      </c>
      <c r="C1913" t="s">
        <v>5487</v>
      </c>
      <c r="D1913" t="s">
        <v>10218</v>
      </c>
      <c r="E1913" t="s">
        <v>5756</v>
      </c>
      <c r="F1913" t="s">
        <v>10378</v>
      </c>
      <c r="G1913" t="s">
        <v>10379</v>
      </c>
      <c r="H1913" t="s">
        <v>5474</v>
      </c>
      <c r="I1913" t="s">
        <v>10380</v>
      </c>
      <c r="J1913" t="s">
        <v>5476</v>
      </c>
      <c r="K1913" t="s">
        <v>10381</v>
      </c>
      <c r="L1913" t="s">
        <v>5471</v>
      </c>
      <c r="M1913" t="s">
        <v>5471</v>
      </c>
    </row>
    <row r="1914" spans="1:13" x14ac:dyDescent="0.3">
      <c r="A1914" t="s">
        <v>3397</v>
      </c>
      <c r="B1914" t="s">
        <v>5594</v>
      </c>
      <c r="C1914" t="s">
        <v>5487</v>
      </c>
      <c r="D1914" t="s">
        <v>10218</v>
      </c>
      <c r="E1914" t="s">
        <v>5756</v>
      </c>
      <c r="F1914" t="s">
        <v>10382</v>
      </c>
      <c r="G1914" t="s">
        <v>10379</v>
      </c>
      <c r="H1914" t="s">
        <v>5474</v>
      </c>
      <c r="I1914" t="s">
        <v>10383</v>
      </c>
      <c r="J1914" t="s">
        <v>5476</v>
      </c>
      <c r="K1914" t="s">
        <v>10384</v>
      </c>
      <c r="L1914" t="s">
        <v>5471</v>
      </c>
      <c r="M1914" t="s">
        <v>5471</v>
      </c>
    </row>
    <row r="1915" spans="1:13" x14ac:dyDescent="0.3">
      <c r="A1915" t="s">
        <v>3397</v>
      </c>
      <c r="B1915" t="s">
        <v>5594</v>
      </c>
      <c r="C1915" t="s">
        <v>5487</v>
      </c>
      <c r="D1915" t="s">
        <v>10218</v>
      </c>
      <c r="E1915" t="s">
        <v>5756</v>
      </c>
      <c r="F1915" t="s">
        <v>10385</v>
      </c>
      <c r="G1915" t="s">
        <v>10379</v>
      </c>
      <c r="H1915" t="s">
        <v>5474</v>
      </c>
      <c r="I1915" t="s">
        <v>10386</v>
      </c>
      <c r="J1915" t="s">
        <v>5476</v>
      </c>
      <c r="K1915" t="s">
        <v>10387</v>
      </c>
      <c r="L1915" t="s">
        <v>5471</v>
      </c>
      <c r="M1915" t="s">
        <v>5471</v>
      </c>
    </row>
    <row r="1916" spans="1:13" x14ac:dyDescent="0.3">
      <c r="A1916" t="s">
        <v>3397</v>
      </c>
      <c r="B1916" t="s">
        <v>5594</v>
      </c>
      <c r="C1916" t="s">
        <v>5487</v>
      </c>
      <c r="D1916" t="s">
        <v>10218</v>
      </c>
      <c r="E1916" t="s">
        <v>6332</v>
      </c>
      <c r="F1916" t="s">
        <v>10388</v>
      </c>
      <c r="G1916" t="s">
        <v>10389</v>
      </c>
      <c r="H1916" t="s">
        <v>5474</v>
      </c>
      <c r="I1916" t="s">
        <v>10390</v>
      </c>
      <c r="J1916" t="s">
        <v>5476</v>
      </c>
      <c r="K1916" t="s">
        <v>10391</v>
      </c>
      <c r="L1916" t="s">
        <v>5471</v>
      </c>
      <c r="M1916" t="s">
        <v>5471</v>
      </c>
    </row>
    <row r="1917" spans="1:13" x14ac:dyDescent="0.3">
      <c r="A1917" t="s">
        <v>3397</v>
      </c>
      <c r="B1917" t="s">
        <v>5594</v>
      </c>
      <c r="C1917" t="s">
        <v>5487</v>
      </c>
      <c r="D1917" t="s">
        <v>10218</v>
      </c>
      <c r="E1917" t="s">
        <v>6332</v>
      </c>
      <c r="F1917" t="s">
        <v>10392</v>
      </c>
      <c r="G1917" t="s">
        <v>10393</v>
      </c>
      <c r="H1917" t="s">
        <v>5474</v>
      </c>
      <c r="I1917" t="s">
        <v>10394</v>
      </c>
      <c r="J1917" t="s">
        <v>5476</v>
      </c>
      <c r="K1917" t="s">
        <v>10395</v>
      </c>
      <c r="L1917" t="s">
        <v>5471</v>
      </c>
      <c r="M1917" t="s">
        <v>5471</v>
      </c>
    </row>
    <row r="1918" spans="1:13" x14ac:dyDescent="0.3">
      <c r="A1918" t="s">
        <v>3397</v>
      </c>
      <c r="B1918" t="s">
        <v>5594</v>
      </c>
      <c r="C1918" t="s">
        <v>5487</v>
      </c>
      <c r="D1918" t="s">
        <v>10218</v>
      </c>
      <c r="E1918" t="s">
        <v>6332</v>
      </c>
      <c r="F1918" t="s">
        <v>10396</v>
      </c>
      <c r="G1918" t="s">
        <v>10389</v>
      </c>
      <c r="H1918" t="s">
        <v>5474</v>
      </c>
      <c r="I1918" t="s">
        <v>10397</v>
      </c>
      <c r="J1918" t="s">
        <v>5476</v>
      </c>
      <c r="K1918" t="s">
        <v>10398</v>
      </c>
      <c r="L1918" t="s">
        <v>5471</v>
      </c>
      <c r="M1918" t="s">
        <v>5471</v>
      </c>
    </row>
    <row r="1919" spans="1:13" x14ac:dyDescent="0.3">
      <c r="A1919" t="s">
        <v>3397</v>
      </c>
      <c r="B1919" t="s">
        <v>5594</v>
      </c>
      <c r="C1919" t="s">
        <v>5487</v>
      </c>
      <c r="D1919" t="s">
        <v>4056</v>
      </c>
      <c r="E1919" t="s">
        <v>6332</v>
      </c>
      <c r="F1919" t="s">
        <v>10399</v>
      </c>
      <c r="G1919" t="s">
        <v>10389</v>
      </c>
      <c r="H1919" t="s">
        <v>5474</v>
      </c>
      <c r="I1919" t="s">
        <v>10400</v>
      </c>
      <c r="J1919" t="s">
        <v>5476</v>
      </c>
      <c r="K1919" t="s">
        <v>10401</v>
      </c>
      <c r="L1919" t="s">
        <v>5471</v>
      </c>
      <c r="M1919" t="s">
        <v>5471</v>
      </c>
    </row>
    <row r="1920" spans="1:13" x14ac:dyDescent="0.3">
      <c r="A1920" t="s">
        <v>3397</v>
      </c>
      <c r="B1920" t="s">
        <v>5594</v>
      </c>
      <c r="C1920" t="s">
        <v>5487</v>
      </c>
      <c r="D1920" t="s">
        <v>4056</v>
      </c>
      <c r="E1920" t="s">
        <v>6332</v>
      </c>
      <c r="F1920" t="s">
        <v>10402</v>
      </c>
      <c r="G1920" t="s">
        <v>10389</v>
      </c>
      <c r="H1920" t="s">
        <v>5474</v>
      </c>
      <c r="I1920" t="s">
        <v>10403</v>
      </c>
      <c r="J1920" t="s">
        <v>5476</v>
      </c>
      <c r="K1920" t="s">
        <v>10404</v>
      </c>
      <c r="L1920" t="s">
        <v>5471</v>
      </c>
      <c r="M1920" t="s">
        <v>5471</v>
      </c>
    </row>
    <row r="1921" spans="1:13" x14ac:dyDescent="0.3">
      <c r="A1921" t="s">
        <v>3397</v>
      </c>
      <c r="B1921" t="s">
        <v>5594</v>
      </c>
      <c r="C1921" t="s">
        <v>5487</v>
      </c>
      <c r="D1921" t="s">
        <v>4056</v>
      </c>
      <c r="E1921" t="s">
        <v>6332</v>
      </c>
      <c r="F1921" t="s">
        <v>10405</v>
      </c>
      <c r="G1921" t="s">
        <v>10389</v>
      </c>
      <c r="H1921" t="s">
        <v>5474</v>
      </c>
      <c r="I1921" t="s">
        <v>10406</v>
      </c>
      <c r="J1921" t="s">
        <v>5476</v>
      </c>
      <c r="K1921" t="s">
        <v>10407</v>
      </c>
      <c r="L1921" t="s">
        <v>5471</v>
      </c>
      <c r="M1921" t="s">
        <v>5471</v>
      </c>
    </row>
    <row r="1922" spans="1:13" x14ac:dyDescent="0.3">
      <c r="A1922" t="s">
        <v>3383</v>
      </c>
      <c r="B1922" t="s">
        <v>6113</v>
      </c>
      <c r="C1922" t="s">
        <v>5487</v>
      </c>
      <c r="D1922" t="s">
        <v>9940</v>
      </c>
      <c r="E1922" t="s">
        <v>5532</v>
      </c>
      <c r="F1922" t="s">
        <v>10408</v>
      </c>
      <c r="G1922" t="s">
        <v>10409</v>
      </c>
      <c r="H1922" t="s">
        <v>5474</v>
      </c>
      <c r="I1922" t="s">
        <v>10410</v>
      </c>
      <c r="J1922" t="s">
        <v>5476</v>
      </c>
      <c r="K1922" t="s">
        <v>10411</v>
      </c>
      <c r="L1922" t="s">
        <v>5471</v>
      </c>
      <c r="M1922" t="s">
        <v>5471</v>
      </c>
    </row>
    <row r="1923" spans="1:13" x14ac:dyDescent="0.3">
      <c r="A1923" t="s">
        <v>3383</v>
      </c>
      <c r="B1923" t="s">
        <v>6113</v>
      </c>
      <c r="C1923" t="s">
        <v>5487</v>
      </c>
      <c r="D1923" t="s">
        <v>9940</v>
      </c>
      <c r="E1923" t="s">
        <v>5532</v>
      </c>
      <c r="F1923" t="s">
        <v>10412</v>
      </c>
      <c r="G1923" t="s">
        <v>10409</v>
      </c>
      <c r="H1923" t="s">
        <v>5474</v>
      </c>
      <c r="I1923" t="s">
        <v>10413</v>
      </c>
      <c r="J1923" t="s">
        <v>5476</v>
      </c>
      <c r="K1923" t="s">
        <v>10414</v>
      </c>
      <c r="L1923" t="s">
        <v>5471</v>
      </c>
      <c r="M1923" t="s">
        <v>5471</v>
      </c>
    </row>
    <row r="1924" spans="1:13" x14ac:dyDescent="0.3">
      <c r="A1924" t="s">
        <v>3383</v>
      </c>
      <c r="B1924" t="s">
        <v>6113</v>
      </c>
      <c r="C1924" t="s">
        <v>5487</v>
      </c>
      <c r="D1924" t="s">
        <v>9940</v>
      </c>
      <c r="E1924" t="s">
        <v>5532</v>
      </c>
      <c r="F1924" t="s">
        <v>10412</v>
      </c>
      <c r="G1924" t="s">
        <v>10409</v>
      </c>
      <c r="H1924" t="s">
        <v>5474</v>
      </c>
      <c r="I1924" t="s">
        <v>10415</v>
      </c>
      <c r="J1924" t="s">
        <v>5476</v>
      </c>
      <c r="K1924" t="s">
        <v>10416</v>
      </c>
      <c r="L1924" t="s">
        <v>5471</v>
      </c>
      <c r="M1924" t="s">
        <v>5471</v>
      </c>
    </row>
    <row r="1925" spans="1:13" x14ac:dyDescent="0.3">
      <c r="A1925" t="s">
        <v>3388</v>
      </c>
      <c r="B1925" t="s">
        <v>10417</v>
      </c>
      <c r="C1925" t="s">
        <v>5470</v>
      </c>
      <c r="D1925" t="s">
        <v>4119</v>
      </c>
      <c r="E1925" t="s">
        <v>5471</v>
      </c>
      <c r="F1925" t="s">
        <v>10418</v>
      </c>
      <c r="G1925" t="s">
        <v>10419</v>
      </c>
      <c r="H1925" t="s">
        <v>5474</v>
      </c>
      <c r="I1925" t="s">
        <v>10420</v>
      </c>
      <c r="J1925" t="s">
        <v>5484</v>
      </c>
      <c r="K1925" t="s">
        <v>5471</v>
      </c>
      <c r="L1925" t="s">
        <v>5471</v>
      </c>
      <c r="M1925" t="s">
        <v>5471</v>
      </c>
    </row>
    <row r="1926" spans="1:13" x14ac:dyDescent="0.3">
      <c r="A1926" t="s">
        <v>3388</v>
      </c>
      <c r="B1926" t="s">
        <v>10421</v>
      </c>
      <c r="C1926" t="s">
        <v>5470</v>
      </c>
      <c r="D1926" t="s">
        <v>4119</v>
      </c>
      <c r="E1926" t="s">
        <v>5471</v>
      </c>
      <c r="F1926" t="s">
        <v>10422</v>
      </c>
      <c r="G1926" t="s">
        <v>10423</v>
      </c>
      <c r="H1926" t="s">
        <v>5474</v>
      </c>
      <c r="I1926" t="s">
        <v>10424</v>
      </c>
      <c r="J1926" t="s">
        <v>5476</v>
      </c>
      <c r="K1926" t="s">
        <v>10425</v>
      </c>
      <c r="L1926" t="s">
        <v>5471</v>
      </c>
      <c r="M1926" t="s">
        <v>5471</v>
      </c>
    </row>
    <row r="1927" spans="1:13" x14ac:dyDescent="0.3">
      <c r="A1927" t="s">
        <v>3388</v>
      </c>
      <c r="B1927" t="s">
        <v>10426</v>
      </c>
      <c r="C1927" t="s">
        <v>5470</v>
      </c>
      <c r="D1927" t="s">
        <v>10210</v>
      </c>
      <c r="E1927" t="s">
        <v>5471</v>
      </c>
      <c r="F1927" t="s">
        <v>10427</v>
      </c>
      <c r="G1927" t="s">
        <v>10428</v>
      </c>
      <c r="H1927" t="s">
        <v>5474</v>
      </c>
      <c r="I1927" t="s">
        <v>10429</v>
      </c>
      <c r="J1927" t="s">
        <v>5476</v>
      </c>
      <c r="K1927" t="s">
        <v>10430</v>
      </c>
      <c r="L1927" t="s">
        <v>5471</v>
      </c>
      <c r="M1927" t="s">
        <v>5471</v>
      </c>
    </row>
    <row r="1928" spans="1:13" x14ac:dyDescent="0.3">
      <c r="A1928" t="s">
        <v>3388</v>
      </c>
      <c r="B1928" t="s">
        <v>10426</v>
      </c>
      <c r="C1928" t="s">
        <v>5470</v>
      </c>
      <c r="D1928" t="s">
        <v>10210</v>
      </c>
      <c r="E1928" t="s">
        <v>5471</v>
      </c>
      <c r="F1928" t="s">
        <v>10431</v>
      </c>
      <c r="G1928" t="s">
        <v>10428</v>
      </c>
      <c r="H1928" t="s">
        <v>5474</v>
      </c>
      <c r="I1928" t="s">
        <v>10432</v>
      </c>
      <c r="J1928" t="s">
        <v>5476</v>
      </c>
      <c r="K1928" t="s">
        <v>10433</v>
      </c>
      <c r="L1928" t="s">
        <v>5471</v>
      </c>
      <c r="M1928" t="s">
        <v>5471</v>
      </c>
    </row>
    <row r="1929" spans="1:13" x14ac:dyDescent="0.3">
      <c r="A1929" t="s">
        <v>3388</v>
      </c>
      <c r="B1929" t="s">
        <v>10434</v>
      </c>
      <c r="C1929" t="s">
        <v>5470</v>
      </c>
      <c r="D1929" t="s">
        <v>10210</v>
      </c>
      <c r="E1929" t="s">
        <v>5471</v>
      </c>
      <c r="F1929" t="s">
        <v>10435</v>
      </c>
      <c r="G1929" t="s">
        <v>8304</v>
      </c>
      <c r="H1929" t="s">
        <v>5474</v>
      </c>
      <c r="I1929" t="s">
        <v>10436</v>
      </c>
      <c r="J1929" t="s">
        <v>5476</v>
      </c>
      <c r="K1929" t="s">
        <v>10437</v>
      </c>
      <c r="L1929" t="s">
        <v>5471</v>
      </c>
      <c r="M1929" t="s">
        <v>5471</v>
      </c>
    </row>
    <row r="1930" spans="1:13" x14ac:dyDescent="0.3">
      <c r="A1930" t="s">
        <v>3388</v>
      </c>
      <c r="B1930" t="s">
        <v>10438</v>
      </c>
      <c r="C1930" t="s">
        <v>5470</v>
      </c>
      <c r="D1930" t="s">
        <v>4119</v>
      </c>
      <c r="E1930" t="s">
        <v>5471</v>
      </c>
      <c r="F1930" t="s">
        <v>10439</v>
      </c>
      <c r="G1930" t="s">
        <v>8015</v>
      </c>
      <c r="H1930" t="s">
        <v>5474</v>
      </c>
      <c r="I1930" t="s">
        <v>10440</v>
      </c>
      <c r="J1930" t="s">
        <v>5476</v>
      </c>
      <c r="K1930" t="s">
        <v>10441</v>
      </c>
      <c r="L1930" t="s">
        <v>5471</v>
      </c>
      <c r="M1930" t="s">
        <v>5471</v>
      </c>
    </row>
    <row r="1931" spans="1:13" x14ac:dyDescent="0.3">
      <c r="A1931" t="s">
        <v>3388</v>
      </c>
      <c r="B1931" t="s">
        <v>10442</v>
      </c>
      <c r="C1931" t="s">
        <v>5470</v>
      </c>
      <c r="D1931" t="s">
        <v>4119</v>
      </c>
      <c r="E1931" t="s">
        <v>5471</v>
      </c>
      <c r="F1931" t="s">
        <v>10443</v>
      </c>
      <c r="G1931" t="s">
        <v>10444</v>
      </c>
      <c r="H1931" t="s">
        <v>5474</v>
      </c>
      <c r="I1931" t="s">
        <v>10445</v>
      </c>
      <c r="J1931" t="s">
        <v>5476</v>
      </c>
      <c r="K1931" t="s">
        <v>10446</v>
      </c>
      <c r="L1931" t="s">
        <v>5471</v>
      </c>
      <c r="M1931" t="s">
        <v>5471</v>
      </c>
    </row>
    <row r="1932" spans="1:13" x14ac:dyDescent="0.3">
      <c r="A1932" t="s">
        <v>3388</v>
      </c>
      <c r="B1932" t="s">
        <v>10447</v>
      </c>
      <c r="C1932" t="s">
        <v>5470</v>
      </c>
      <c r="D1932" t="s">
        <v>4119</v>
      </c>
      <c r="E1932" t="s">
        <v>5471</v>
      </c>
      <c r="F1932" t="s">
        <v>10448</v>
      </c>
      <c r="G1932" t="s">
        <v>10449</v>
      </c>
      <c r="H1932" t="s">
        <v>5474</v>
      </c>
      <c r="I1932" t="s">
        <v>10450</v>
      </c>
      <c r="J1932" t="s">
        <v>5476</v>
      </c>
      <c r="K1932" t="s">
        <v>10451</v>
      </c>
      <c r="L1932" t="s">
        <v>5471</v>
      </c>
      <c r="M1932" t="s">
        <v>5471</v>
      </c>
    </row>
    <row r="1933" spans="1:13" x14ac:dyDescent="0.3">
      <c r="A1933" t="s">
        <v>3388</v>
      </c>
      <c r="B1933" t="s">
        <v>10452</v>
      </c>
      <c r="C1933" t="s">
        <v>5470</v>
      </c>
      <c r="D1933" t="s">
        <v>4119</v>
      </c>
      <c r="E1933" t="s">
        <v>5471</v>
      </c>
      <c r="F1933" t="s">
        <v>10453</v>
      </c>
      <c r="G1933" t="s">
        <v>10454</v>
      </c>
      <c r="H1933" t="s">
        <v>5474</v>
      </c>
      <c r="I1933" t="s">
        <v>10455</v>
      </c>
      <c r="J1933" t="s">
        <v>5476</v>
      </c>
      <c r="K1933" t="s">
        <v>10456</v>
      </c>
      <c r="L1933" t="s">
        <v>5471</v>
      </c>
      <c r="M1933" t="s">
        <v>5471</v>
      </c>
    </row>
    <row r="1934" spans="1:13" x14ac:dyDescent="0.3">
      <c r="A1934" t="s">
        <v>3388</v>
      </c>
      <c r="B1934" t="s">
        <v>10457</v>
      </c>
      <c r="C1934" t="s">
        <v>5470</v>
      </c>
      <c r="D1934" t="s">
        <v>4119</v>
      </c>
      <c r="E1934" t="s">
        <v>5471</v>
      </c>
      <c r="F1934" t="s">
        <v>10458</v>
      </c>
      <c r="G1934" t="s">
        <v>10459</v>
      </c>
      <c r="H1934" t="s">
        <v>5474</v>
      </c>
      <c r="I1934" t="s">
        <v>10460</v>
      </c>
      <c r="J1934" t="s">
        <v>5476</v>
      </c>
      <c r="K1934" t="s">
        <v>10461</v>
      </c>
      <c r="L1934" t="s">
        <v>5471</v>
      </c>
      <c r="M1934" t="s">
        <v>5471</v>
      </c>
    </row>
    <row r="1935" spans="1:13" x14ac:dyDescent="0.3">
      <c r="A1935" t="s">
        <v>3388</v>
      </c>
      <c r="B1935" t="s">
        <v>10457</v>
      </c>
      <c r="C1935" t="s">
        <v>5470</v>
      </c>
      <c r="D1935" t="s">
        <v>4119</v>
      </c>
      <c r="E1935" t="s">
        <v>5471</v>
      </c>
      <c r="F1935" t="s">
        <v>10462</v>
      </c>
      <c r="G1935" t="s">
        <v>10459</v>
      </c>
      <c r="H1935" t="s">
        <v>5474</v>
      </c>
      <c r="I1935" t="s">
        <v>10463</v>
      </c>
      <c r="J1935" t="s">
        <v>5476</v>
      </c>
      <c r="K1935" t="s">
        <v>10461</v>
      </c>
      <c r="L1935" t="s">
        <v>5471</v>
      </c>
      <c r="M1935" t="s">
        <v>5471</v>
      </c>
    </row>
    <row r="1936" spans="1:13" x14ac:dyDescent="0.3">
      <c r="A1936" t="s">
        <v>3388</v>
      </c>
      <c r="B1936" t="s">
        <v>10464</v>
      </c>
      <c r="C1936" t="s">
        <v>5470</v>
      </c>
      <c r="D1936" t="s">
        <v>4119</v>
      </c>
      <c r="E1936" t="s">
        <v>5471</v>
      </c>
      <c r="F1936" t="s">
        <v>10465</v>
      </c>
      <c r="G1936" t="s">
        <v>10466</v>
      </c>
      <c r="H1936" t="s">
        <v>5474</v>
      </c>
      <c r="I1936" t="s">
        <v>10467</v>
      </c>
      <c r="J1936" t="s">
        <v>5476</v>
      </c>
      <c r="K1936" t="s">
        <v>10468</v>
      </c>
      <c r="L1936" t="s">
        <v>5471</v>
      </c>
      <c r="M1936" t="s">
        <v>5471</v>
      </c>
    </row>
    <row r="1937" spans="1:13" x14ac:dyDescent="0.3">
      <c r="A1937" t="s">
        <v>3388</v>
      </c>
      <c r="B1937" t="s">
        <v>10469</v>
      </c>
      <c r="C1937" t="s">
        <v>5470</v>
      </c>
      <c r="D1937" t="s">
        <v>4119</v>
      </c>
      <c r="E1937" t="s">
        <v>5471</v>
      </c>
      <c r="F1937" t="s">
        <v>10470</v>
      </c>
      <c r="G1937" t="s">
        <v>10471</v>
      </c>
      <c r="H1937" t="s">
        <v>5474</v>
      </c>
      <c r="I1937" t="s">
        <v>10472</v>
      </c>
      <c r="J1937" t="s">
        <v>5476</v>
      </c>
      <c r="K1937" t="s">
        <v>10473</v>
      </c>
      <c r="L1937" t="s">
        <v>5471</v>
      </c>
      <c r="M1937" t="s">
        <v>5471</v>
      </c>
    </row>
    <row r="1938" spans="1:13" x14ac:dyDescent="0.3">
      <c r="A1938" t="s">
        <v>3388</v>
      </c>
      <c r="B1938" t="s">
        <v>10474</v>
      </c>
      <c r="C1938" t="s">
        <v>5470</v>
      </c>
      <c r="D1938" t="s">
        <v>4119</v>
      </c>
      <c r="E1938" t="s">
        <v>5471</v>
      </c>
      <c r="F1938" t="s">
        <v>10475</v>
      </c>
      <c r="G1938" t="s">
        <v>10476</v>
      </c>
      <c r="H1938" t="s">
        <v>5474</v>
      </c>
      <c r="I1938" t="s">
        <v>10477</v>
      </c>
      <c r="J1938" t="s">
        <v>5476</v>
      </c>
      <c r="K1938" t="s">
        <v>10478</v>
      </c>
      <c r="L1938" t="s">
        <v>5471</v>
      </c>
      <c r="M1938" t="s">
        <v>5471</v>
      </c>
    </row>
    <row r="1939" spans="1:13" x14ac:dyDescent="0.3">
      <c r="A1939" t="s">
        <v>3388</v>
      </c>
      <c r="B1939" t="s">
        <v>10474</v>
      </c>
      <c r="C1939" t="s">
        <v>5470</v>
      </c>
      <c r="D1939" t="s">
        <v>4119</v>
      </c>
      <c r="E1939" t="s">
        <v>5471</v>
      </c>
      <c r="F1939" t="s">
        <v>10479</v>
      </c>
      <c r="G1939" t="s">
        <v>10476</v>
      </c>
      <c r="H1939" t="s">
        <v>5474</v>
      </c>
      <c r="I1939" t="s">
        <v>10480</v>
      </c>
      <c r="J1939" t="s">
        <v>5476</v>
      </c>
      <c r="K1939" t="s">
        <v>10478</v>
      </c>
      <c r="L1939" t="s">
        <v>5471</v>
      </c>
      <c r="M1939" t="s">
        <v>5471</v>
      </c>
    </row>
    <row r="1940" spans="1:13" x14ac:dyDescent="0.3">
      <c r="A1940" t="s">
        <v>3388</v>
      </c>
      <c r="B1940" t="s">
        <v>10481</v>
      </c>
      <c r="C1940" t="s">
        <v>5470</v>
      </c>
      <c r="D1940" t="s">
        <v>4119</v>
      </c>
      <c r="E1940" t="s">
        <v>5471</v>
      </c>
      <c r="F1940" t="s">
        <v>10482</v>
      </c>
      <c r="G1940" t="s">
        <v>10483</v>
      </c>
      <c r="H1940" t="s">
        <v>5474</v>
      </c>
      <c r="I1940" t="s">
        <v>10484</v>
      </c>
      <c r="J1940" t="s">
        <v>5476</v>
      </c>
      <c r="K1940" t="s">
        <v>10485</v>
      </c>
      <c r="L1940" t="s">
        <v>5471</v>
      </c>
      <c r="M1940" t="s">
        <v>5471</v>
      </c>
    </row>
    <row r="1941" spans="1:13" x14ac:dyDescent="0.3">
      <c r="A1941" t="s">
        <v>3388</v>
      </c>
      <c r="B1941" t="s">
        <v>10486</v>
      </c>
      <c r="C1941" t="s">
        <v>5470</v>
      </c>
      <c r="D1941" t="s">
        <v>4119</v>
      </c>
      <c r="E1941" t="s">
        <v>5471</v>
      </c>
      <c r="F1941" t="s">
        <v>10487</v>
      </c>
      <c r="G1941" t="s">
        <v>10488</v>
      </c>
      <c r="H1941" t="s">
        <v>5474</v>
      </c>
      <c r="I1941" t="s">
        <v>10489</v>
      </c>
      <c r="J1941" t="s">
        <v>5476</v>
      </c>
      <c r="K1941" t="s">
        <v>10490</v>
      </c>
      <c r="L1941" t="s">
        <v>5471</v>
      </c>
      <c r="M1941" t="s">
        <v>5471</v>
      </c>
    </row>
    <row r="1942" spans="1:13" x14ac:dyDescent="0.3">
      <c r="A1942" t="s">
        <v>3388</v>
      </c>
      <c r="B1942" t="s">
        <v>10491</v>
      </c>
      <c r="C1942" t="s">
        <v>5470</v>
      </c>
      <c r="D1942" t="s">
        <v>4119</v>
      </c>
      <c r="E1942" t="s">
        <v>5471</v>
      </c>
      <c r="F1942" t="s">
        <v>10492</v>
      </c>
      <c r="G1942" t="s">
        <v>10493</v>
      </c>
      <c r="H1942" t="s">
        <v>5474</v>
      </c>
      <c r="I1942" t="s">
        <v>10494</v>
      </c>
      <c r="J1942" t="s">
        <v>5476</v>
      </c>
      <c r="K1942" t="s">
        <v>10495</v>
      </c>
      <c r="L1942" t="s">
        <v>5471</v>
      </c>
      <c r="M1942" t="s">
        <v>5471</v>
      </c>
    </row>
    <row r="1943" spans="1:13" x14ac:dyDescent="0.3">
      <c r="A1943" t="s">
        <v>3388</v>
      </c>
      <c r="B1943" t="s">
        <v>10496</v>
      </c>
      <c r="C1943" t="s">
        <v>5470</v>
      </c>
      <c r="D1943" t="s">
        <v>4119</v>
      </c>
      <c r="E1943" t="s">
        <v>5471</v>
      </c>
      <c r="F1943" t="s">
        <v>10497</v>
      </c>
      <c r="G1943" t="s">
        <v>10498</v>
      </c>
      <c r="H1943" t="s">
        <v>5474</v>
      </c>
      <c r="I1943" t="s">
        <v>10499</v>
      </c>
      <c r="J1943" t="s">
        <v>5476</v>
      </c>
      <c r="K1943" t="s">
        <v>10500</v>
      </c>
      <c r="L1943" t="s">
        <v>5471</v>
      </c>
      <c r="M1943" t="s">
        <v>5471</v>
      </c>
    </row>
    <row r="1944" spans="1:13" x14ac:dyDescent="0.3">
      <c r="A1944" t="s">
        <v>3388</v>
      </c>
      <c r="B1944" t="s">
        <v>10501</v>
      </c>
      <c r="C1944" t="s">
        <v>5470</v>
      </c>
      <c r="D1944" t="s">
        <v>4119</v>
      </c>
      <c r="E1944" t="s">
        <v>5471</v>
      </c>
      <c r="F1944" t="s">
        <v>10502</v>
      </c>
      <c r="G1944" t="s">
        <v>10503</v>
      </c>
      <c r="H1944" t="s">
        <v>5474</v>
      </c>
      <c r="I1944" t="s">
        <v>10504</v>
      </c>
      <c r="J1944" t="s">
        <v>5476</v>
      </c>
      <c r="K1944" t="s">
        <v>10505</v>
      </c>
      <c r="L1944" t="s">
        <v>5471</v>
      </c>
      <c r="M1944" t="s">
        <v>5471</v>
      </c>
    </row>
    <row r="1945" spans="1:13" x14ac:dyDescent="0.3">
      <c r="A1945" t="s">
        <v>3388</v>
      </c>
      <c r="B1945" t="s">
        <v>10501</v>
      </c>
      <c r="C1945" t="s">
        <v>5470</v>
      </c>
      <c r="D1945" t="s">
        <v>4119</v>
      </c>
      <c r="E1945" t="s">
        <v>5471</v>
      </c>
      <c r="F1945" t="s">
        <v>10506</v>
      </c>
      <c r="G1945" t="s">
        <v>10503</v>
      </c>
      <c r="H1945" t="s">
        <v>5474</v>
      </c>
      <c r="I1945" t="s">
        <v>10507</v>
      </c>
      <c r="J1945" t="s">
        <v>5476</v>
      </c>
      <c r="K1945" t="s">
        <v>10505</v>
      </c>
      <c r="L1945" t="s">
        <v>5471</v>
      </c>
      <c r="M1945" t="s">
        <v>5471</v>
      </c>
    </row>
    <row r="1946" spans="1:13" x14ac:dyDescent="0.3">
      <c r="A1946" t="s">
        <v>3388</v>
      </c>
      <c r="B1946" t="s">
        <v>10508</v>
      </c>
      <c r="C1946" t="s">
        <v>5470</v>
      </c>
      <c r="D1946" t="s">
        <v>4119</v>
      </c>
      <c r="E1946" t="s">
        <v>5471</v>
      </c>
      <c r="F1946" t="s">
        <v>10509</v>
      </c>
      <c r="G1946" t="s">
        <v>10510</v>
      </c>
      <c r="H1946" t="s">
        <v>5474</v>
      </c>
      <c r="I1946" t="s">
        <v>10511</v>
      </c>
      <c r="J1946" t="s">
        <v>5476</v>
      </c>
      <c r="K1946" t="s">
        <v>10512</v>
      </c>
      <c r="L1946" t="s">
        <v>5471</v>
      </c>
      <c r="M1946" t="s">
        <v>5471</v>
      </c>
    </row>
    <row r="1947" spans="1:13" x14ac:dyDescent="0.3">
      <c r="A1947" t="s">
        <v>3388</v>
      </c>
      <c r="B1947" t="s">
        <v>10513</v>
      </c>
      <c r="C1947" t="s">
        <v>5470</v>
      </c>
      <c r="D1947" t="s">
        <v>4119</v>
      </c>
      <c r="E1947" t="s">
        <v>5471</v>
      </c>
      <c r="F1947" t="s">
        <v>10514</v>
      </c>
      <c r="G1947" t="s">
        <v>10515</v>
      </c>
      <c r="H1947" t="s">
        <v>5474</v>
      </c>
      <c r="I1947" t="s">
        <v>10516</v>
      </c>
      <c r="J1947" t="s">
        <v>5476</v>
      </c>
      <c r="K1947" t="s">
        <v>10517</v>
      </c>
      <c r="L1947" t="s">
        <v>5471</v>
      </c>
      <c r="M1947" t="s">
        <v>5471</v>
      </c>
    </row>
    <row r="1948" spans="1:13" x14ac:dyDescent="0.3">
      <c r="A1948" t="s">
        <v>3388</v>
      </c>
      <c r="B1948" t="s">
        <v>10518</v>
      </c>
      <c r="C1948" t="s">
        <v>5470</v>
      </c>
      <c r="D1948" t="s">
        <v>4119</v>
      </c>
      <c r="E1948" t="s">
        <v>5471</v>
      </c>
      <c r="F1948" t="s">
        <v>10519</v>
      </c>
      <c r="G1948" t="s">
        <v>10520</v>
      </c>
      <c r="H1948" t="s">
        <v>5474</v>
      </c>
      <c r="I1948" t="s">
        <v>10521</v>
      </c>
      <c r="J1948" t="s">
        <v>5476</v>
      </c>
      <c r="K1948" t="s">
        <v>10522</v>
      </c>
      <c r="L1948" t="s">
        <v>5471</v>
      </c>
      <c r="M1948" t="s">
        <v>5471</v>
      </c>
    </row>
    <row r="1949" spans="1:13" x14ac:dyDescent="0.3">
      <c r="A1949" t="s">
        <v>3388</v>
      </c>
      <c r="B1949" t="s">
        <v>10523</v>
      </c>
      <c r="C1949" t="s">
        <v>5470</v>
      </c>
      <c r="D1949" t="s">
        <v>4119</v>
      </c>
      <c r="E1949" t="s">
        <v>5471</v>
      </c>
      <c r="F1949" t="s">
        <v>10524</v>
      </c>
      <c r="G1949" t="s">
        <v>10525</v>
      </c>
      <c r="H1949" t="s">
        <v>5474</v>
      </c>
      <c r="I1949" t="s">
        <v>10526</v>
      </c>
      <c r="J1949" t="s">
        <v>5476</v>
      </c>
      <c r="K1949" t="s">
        <v>10527</v>
      </c>
      <c r="L1949" t="s">
        <v>5471</v>
      </c>
      <c r="M1949" t="s">
        <v>5471</v>
      </c>
    </row>
    <row r="1950" spans="1:13" x14ac:dyDescent="0.3">
      <c r="A1950" t="s">
        <v>3388</v>
      </c>
      <c r="B1950" t="s">
        <v>10528</v>
      </c>
      <c r="C1950" t="s">
        <v>5470</v>
      </c>
      <c r="D1950" t="s">
        <v>4119</v>
      </c>
      <c r="E1950" t="s">
        <v>5471</v>
      </c>
      <c r="F1950" t="s">
        <v>10529</v>
      </c>
      <c r="G1950" t="s">
        <v>7885</v>
      </c>
      <c r="H1950" t="s">
        <v>5474</v>
      </c>
      <c r="I1950" t="s">
        <v>10530</v>
      </c>
      <c r="J1950" t="s">
        <v>5476</v>
      </c>
      <c r="K1950" t="s">
        <v>10531</v>
      </c>
      <c r="L1950" t="s">
        <v>5471</v>
      </c>
      <c r="M1950" t="s">
        <v>5471</v>
      </c>
    </row>
    <row r="1951" spans="1:13" x14ac:dyDescent="0.3">
      <c r="A1951" t="s">
        <v>3388</v>
      </c>
      <c r="B1951" t="s">
        <v>6478</v>
      </c>
      <c r="C1951" t="s">
        <v>5470</v>
      </c>
      <c r="D1951" t="s">
        <v>4200</v>
      </c>
      <c r="E1951" t="s">
        <v>5480</v>
      </c>
      <c r="F1951" t="s">
        <v>10532</v>
      </c>
      <c r="G1951" t="s">
        <v>10533</v>
      </c>
      <c r="H1951" t="s">
        <v>5474</v>
      </c>
      <c r="I1951" t="s">
        <v>10534</v>
      </c>
      <c r="J1951" t="s">
        <v>5484</v>
      </c>
      <c r="K1951" t="s">
        <v>10535</v>
      </c>
      <c r="L1951" t="s">
        <v>5471</v>
      </c>
      <c r="M1951" t="s">
        <v>5471</v>
      </c>
    </row>
    <row r="1952" spans="1:13" x14ac:dyDescent="0.3">
      <c r="A1952" t="s">
        <v>3388</v>
      </c>
      <c r="B1952" t="s">
        <v>6478</v>
      </c>
      <c r="C1952" t="s">
        <v>5470</v>
      </c>
      <c r="D1952" t="s">
        <v>4200</v>
      </c>
      <c r="E1952" t="s">
        <v>5480</v>
      </c>
      <c r="F1952" t="s">
        <v>10536</v>
      </c>
      <c r="G1952" t="s">
        <v>10533</v>
      </c>
      <c r="H1952" t="s">
        <v>5474</v>
      </c>
      <c r="I1952" t="s">
        <v>10537</v>
      </c>
      <c r="J1952" t="s">
        <v>5484</v>
      </c>
      <c r="K1952" t="s">
        <v>10538</v>
      </c>
      <c r="L1952" t="s">
        <v>5471</v>
      </c>
      <c r="M1952" t="s">
        <v>5471</v>
      </c>
    </row>
    <row r="1953" spans="1:13" x14ac:dyDescent="0.3">
      <c r="A1953" t="s">
        <v>3380</v>
      </c>
      <c r="B1953" t="s">
        <v>10539</v>
      </c>
      <c r="C1953" t="s">
        <v>6342</v>
      </c>
      <c r="D1953" t="s">
        <v>4119</v>
      </c>
      <c r="E1953" t="s">
        <v>9935</v>
      </c>
      <c r="F1953" t="s">
        <v>10540</v>
      </c>
      <c r="G1953" t="s">
        <v>10541</v>
      </c>
      <c r="H1953" t="s">
        <v>5474</v>
      </c>
      <c r="I1953" t="s">
        <v>10542</v>
      </c>
      <c r="J1953" t="s">
        <v>5476</v>
      </c>
      <c r="K1953" t="s">
        <v>10543</v>
      </c>
      <c r="L1953" t="s">
        <v>5471</v>
      </c>
      <c r="M1953" t="s">
        <v>5471</v>
      </c>
    </row>
    <row r="1954" spans="1:13" x14ac:dyDescent="0.3">
      <c r="A1954" t="s">
        <v>3380</v>
      </c>
      <c r="B1954" t="s">
        <v>10539</v>
      </c>
      <c r="C1954" t="s">
        <v>6342</v>
      </c>
      <c r="D1954" t="s">
        <v>4119</v>
      </c>
      <c r="E1954" t="s">
        <v>9935</v>
      </c>
      <c r="F1954" t="s">
        <v>10544</v>
      </c>
      <c r="G1954" t="s">
        <v>10545</v>
      </c>
      <c r="H1954" t="s">
        <v>5474</v>
      </c>
      <c r="I1954" t="s">
        <v>10546</v>
      </c>
      <c r="J1954" t="s">
        <v>5476</v>
      </c>
      <c r="K1954" t="s">
        <v>10547</v>
      </c>
      <c r="L1954" t="s">
        <v>5471</v>
      </c>
      <c r="M1954" t="s">
        <v>5471</v>
      </c>
    </row>
    <row r="1955" spans="1:13" x14ac:dyDescent="0.3">
      <c r="A1955" t="s">
        <v>3380</v>
      </c>
      <c r="B1955" t="s">
        <v>10539</v>
      </c>
      <c r="C1955" t="s">
        <v>6342</v>
      </c>
      <c r="D1955" t="s">
        <v>4119</v>
      </c>
      <c r="E1955" t="s">
        <v>9935</v>
      </c>
      <c r="F1955" t="s">
        <v>10548</v>
      </c>
      <c r="G1955" t="s">
        <v>10549</v>
      </c>
      <c r="H1955" t="s">
        <v>5474</v>
      </c>
      <c r="I1955" t="s">
        <v>10550</v>
      </c>
      <c r="J1955" t="s">
        <v>5476</v>
      </c>
      <c r="K1955" t="s">
        <v>10551</v>
      </c>
      <c r="L1955" t="s">
        <v>5471</v>
      </c>
      <c r="M1955" t="s">
        <v>5471</v>
      </c>
    </row>
    <row r="1956" spans="1:13" x14ac:dyDescent="0.3">
      <c r="A1956" t="s">
        <v>3380</v>
      </c>
      <c r="B1956" t="s">
        <v>10539</v>
      </c>
      <c r="C1956" t="s">
        <v>6342</v>
      </c>
      <c r="D1956" t="s">
        <v>4119</v>
      </c>
      <c r="E1956" t="s">
        <v>9935</v>
      </c>
      <c r="F1956" t="s">
        <v>10552</v>
      </c>
      <c r="G1956" t="s">
        <v>10553</v>
      </c>
      <c r="H1956" t="s">
        <v>5474</v>
      </c>
      <c r="I1956" t="s">
        <v>10554</v>
      </c>
      <c r="J1956" t="s">
        <v>5476</v>
      </c>
      <c r="K1956" t="s">
        <v>10555</v>
      </c>
      <c r="L1956" t="s">
        <v>5471</v>
      </c>
      <c r="M1956" t="s">
        <v>5471</v>
      </c>
    </row>
    <row r="1957" spans="1:13" x14ac:dyDescent="0.3">
      <c r="A1957" t="s">
        <v>3380</v>
      </c>
      <c r="B1957" t="s">
        <v>10539</v>
      </c>
      <c r="C1957" t="s">
        <v>6342</v>
      </c>
      <c r="D1957" t="s">
        <v>4119</v>
      </c>
      <c r="E1957" t="s">
        <v>9935</v>
      </c>
      <c r="F1957" t="s">
        <v>10556</v>
      </c>
      <c r="G1957" t="s">
        <v>10553</v>
      </c>
      <c r="H1957" t="s">
        <v>5474</v>
      </c>
      <c r="I1957" t="s">
        <v>10557</v>
      </c>
      <c r="J1957" t="s">
        <v>5476</v>
      </c>
      <c r="K1957" t="s">
        <v>10558</v>
      </c>
      <c r="L1957" t="s">
        <v>5471</v>
      </c>
      <c r="M1957" t="s">
        <v>5471</v>
      </c>
    </row>
    <row r="1958" spans="1:13" x14ac:dyDescent="0.3">
      <c r="A1958" t="s">
        <v>3397</v>
      </c>
      <c r="B1958" t="s">
        <v>5292</v>
      </c>
      <c r="C1958" t="s">
        <v>5487</v>
      </c>
      <c r="D1958" t="s">
        <v>4119</v>
      </c>
      <c r="E1958" t="s">
        <v>5595</v>
      </c>
      <c r="F1958" t="s">
        <v>10559</v>
      </c>
      <c r="G1958" t="s">
        <v>10560</v>
      </c>
      <c r="H1958" t="s">
        <v>5474</v>
      </c>
      <c r="I1958" t="s">
        <v>10561</v>
      </c>
      <c r="J1958" t="s">
        <v>5476</v>
      </c>
      <c r="K1958" t="s">
        <v>10562</v>
      </c>
      <c r="L1958" t="s">
        <v>5471</v>
      </c>
      <c r="M1958" t="s">
        <v>5471</v>
      </c>
    </row>
    <row r="1959" spans="1:13" x14ac:dyDescent="0.3">
      <c r="A1959" t="s">
        <v>3380</v>
      </c>
      <c r="B1959" t="s">
        <v>10539</v>
      </c>
      <c r="C1959" t="s">
        <v>6342</v>
      </c>
      <c r="D1959" t="s">
        <v>4119</v>
      </c>
      <c r="E1959" t="s">
        <v>9935</v>
      </c>
      <c r="F1959" t="s">
        <v>10563</v>
      </c>
      <c r="G1959" t="s">
        <v>10541</v>
      </c>
      <c r="H1959" t="s">
        <v>5474</v>
      </c>
      <c r="I1959" t="s">
        <v>10564</v>
      </c>
      <c r="J1959" t="s">
        <v>5476</v>
      </c>
      <c r="K1959" t="s">
        <v>10565</v>
      </c>
      <c r="L1959" t="s">
        <v>5471</v>
      </c>
      <c r="M1959" t="s">
        <v>5471</v>
      </c>
    </row>
    <row r="1960" spans="1:13" x14ac:dyDescent="0.3">
      <c r="A1960" t="s">
        <v>3380</v>
      </c>
      <c r="B1960" t="s">
        <v>10539</v>
      </c>
      <c r="C1960" t="s">
        <v>6342</v>
      </c>
      <c r="D1960" t="s">
        <v>4119</v>
      </c>
      <c r="E1960" t="s">
        <v>9935</v>
      </c>
      <c r="F1960" t="s">
        <v>10566</v>
      </c>
      <c r="G1960" t="s">
        <v>10545</v>
      </c>
      <c r="H1960" t="s">
        <v>5474</v>
      </c>
      <c r="I1960" t="s">
        <v>10567</v>
      </c>
      <c r="J1960" t="s">
        <v>5476</v>
      </c>
      <c r="K1960" t="s">
        <v>10568</v>
      </c>
      <c r="L1960" t="s">
        <v>5471</v>
      </c>
      <c r="M1960" t="s">
        <v>5471</v>
      </c>
    </row>
    <row r="1961" spans="1:13" x14ac:dyDescent="0.3">
      <c r="A1961" t="s">
        <v>3397</v>
      </c>
      <c r="B1961" t="s">
        <v>5292</v>
      </c>
      <c r="C1961" t="s">
        <v>5487</v>
      </c>
      <c r="D1961" t="s">
        <v>4119</v>
      </c>
      <c r="E1961" t="s">
        <v>5595</v>
      </c>
      <c r="F1961" t="s">
        <v>10569</v>
      </c>
      <c r="G1961" t="s">
        <v>10560</v>
      </c>
      <c r="H1961" t="s">
        <v>5474</v>
      </c>
      <c r="I1961" t="s">
        <v>10570</v>
      </c>
      <c r="J1961" t="s">
        <v>5476</v>
      </c>
      <c r="K1961" t="s">
        <v>10571</v>
      </c>
      <c r="L1961" t="s">
        <v>5471</v>
      </c>
      <c r="M1961" t="s">
        <v>5471</v>
      </c>
    </row>
    <row r="1962" spans="1:13" x14ac:dyDescent="0.3">
      <c r="A1962" t="s">
        <v>3380</v>
      </c>
      <c r="B1962" t="s">
        <v>10539</v>
      </c>
      <c r="C1962" t="s">
        <v>6342</v>
      </c>
      <c r="D1962" t="s">
        <v>4119</v>
      </c>
      <c r="E1962" t="s">
        <v>9935</v>
      </c>
      <c r="F1962" t="s">
        <v>10572</v>
      </c>
      <c r="G1962" t="s">
        <v>10549</v>
      </c>
      <c r="H1962" t="s">
        <v>5474</v>
      </c>
      <c r="I1962" t="s">
        <v>10573</v>
      </c>
      <c r="J1962" t="s">
        <v>5476</v>
      </c>
      <c r="K1962" t="s">
        <v>10574</v>
      </c>
      <c r="L1962" t="s">
        <v>5471</v>
      </c>
      <c r="M1962" t="s">
        <v>5471</v>
      </c>
    </row>
    <row r="1963" spans="1:13" x14ac:dyDescent="0.3">
      <c r="A1963" t="s">
        <v>3380</v>
      </c>
      <c r="B1963" t="s">
        <v>10539</v>
      </c>
      <c r="C1963" t="s">
        <v>6342</v>
      </c>
      <c r="D1963" t="s">
        <v>4119</v>
      </c>
      <c r="E1963" t="s">
        <v>9935</v>
      </c>
      <c r="F1963" t="s">
        <v>10575</v>
      </c>
      <c r="G1963" t="s">
        <v>10576</v>
      </c>
      <c r="H1963" t="s">
        <v>5474</v>
      </c>
      <c r="I1963" t="s">
        <v>10577</v>
      </c>
      <c r="J1963" t="s">
        <v>5476</v>
      </c>
      <c r="K1963" t="s">
        <v>10578</v>
      </c>
      <c r="L1963" t="s">
        <v>5471</v>
      </c>
      <c r="M1963" t="s">
        <v>5471</v>
      </c>
    </row>
    <row r="1964" spans="1:13" x14ac:dyDescent="0.3">
      <c r="A1964" t="s">
        <v>3380</v>
      </c>
      <c r="B1964" t="s">
        <v>10539</v>
      </c>
      <c r="C1964" t="s">
        <v>6342</v>
      </c>
      <c r="D1964" t="s">
        <v>4119</v>
      </c>
      <c r="E1964" t="s">
        <v>9935</v>
      </c>
      <c r="F1964" t="s">
        <v>10579</v>
      </c>
      <c r="G1964" t="s">
        <v>10580</v>
      </c>
      <c r="H1964" t="s">
        <v>5474</v>
      </c>
      <c r="I1964" t="s">
        <v>10581</v>
      </c>
      <c r="J1964" t="s">
        <v>5476</v>
      </c>
      <c r="K1964" t="s">
        <v>10582</v>
      </c>
      <c r="L1964" t="s">
        <v>5471</v>
      </c>
      <c r="M1964" t="s">
        <v>5471</v>
      </c>
    </row>
    <row r="1965" spans="1:13" x14ac:dyDescent="0.3">
      <c r="A1965" t="s">
        <v>3397</v>
      </c>
      <c r="B1965" t="s">
        <v>5842</v>
      </c>
      <c r="C1965" t="s">
        <v>5487</v>
      </c>
      <c r="D1965" t="s">
        <v>4119</v>
      </c>
      <c r="E1965" t="s">
        <v>5595</v>
      </c>
      <c r="F1965" t="s">
        <v>10583</v>
      </c>
      <c r="G1965" t="s">
        <v>8210</v>
      </c>
      <c r="H1965" t="s">
        <v>5474</v>
      </c>
      <c r="I1965" t="s">
        <v>10584</v>
      </c>
      <c r="J1965" t="s">
        <v>5476</v>
      </c>
      <c r="K1965" t="s">
        <v>10585</v>
      </c>
      <c r="L1965" t="s">
        <v>5471</v>
      </c>
      <c r="M1965" t="s">
        <v>5471</v>
      </c>
    </row>
    <row r="1966" spans="1:13" x14ac:dyDescent="0.3">
      <c r="A1966" t="s">
        <v>3397</v>
      </c>
      <c r="B1966" t="s">
        <v>5842</v>
      </c>
      <c r="C1966" t="s">
        <v>5487</v>
      </c>
      <c r="D1966" t="s">
        <v>4119</v>
      </c>
      <c r="E1966" t="s">
        <v>5595</v>
      </c>
      <c r="F1966" t="s">
        <v>10586</v>
      </c>
      <c r="G1966" t="s">
        <v>8218</v>
      </c>
      <c r="H1966" t="s">
        <v>5474</v>
      </c>
      <c r="I1966" t="s">
        <v>10587</v>
      </c>
      <c r="J1966" t="s">
        <v>5476</v>
      </c>
      <c r="K1966" t="s">
        <v>10588</v>
      </c>
      <c r="L1966" t="s">
        <v>5471</v>
      </c>
      <c r="M1966" t="s">
        <v>5471</v>
      </c>
    </row>
    <row r="1967" spans="1:13" x14ac:dyDescent="0.3">
      <c r="A1967" t="s">
        <v>3380</v>
      </c>
      <c r="B1967" t="s">
        <v>10539</v>
      </c>
      <c r="C1967" t="s">
        <v>6342</v>
      </c>
      <c r="D1967" t="s">
        <v>4119</v>
      </c>
      <c r="E1967" t="s">
        <v>9935</v>
      </c>
      <c r="F1967" t="s">
        <v>10589</v>
      </c>
      <c r="G1967" t="s">
        <v>10553</v>
      </c>
      <c r="H1967" t="s">
        <v>5474</v>
      </c>
      <c r="I1967" t="s">
        <v>10590</v>
      </c>
      <c r="J1967" t="s">
        <v>5476</v>
      </c>
      <c r="K1967" t="s">
        <v>10591</v>
      </c>
      <c r="L1967" t="s">
        <v>5471</v>
      </c>
      <c r="M1967" t="s">
        <v>5471</v>
      </c>
    </row>
    <row r="1968" spans="1:13" x14ac:dyDescent="0.3">
      <c r="A1968" t="s">
        <v>3397</v>
      </c>
      <c r="B1968" t="s">
        <v>5842</v>
      </c>
      <c r="C1968" t="s">
        <v>5487</v>
      </c>
      <c r="D1968" t="s">
        <v>4119</v>
      </c>
      <c r="E1968" t="s">
        <v>5595</v>
      </c>
      <c r="F1968" t="s">
        <v>10592</v>
      </c>
      <c r="G1968" t="s">
        <v>8227</v>
      </c>
      <c r="H1968" t="s">
        <v>5474</v>
      </c>
      <c r="I1968" t="s">
        <v>10593</v>
      </c>
      <c r="J1968" t="s">
        <v>5476</v>
      </c>
      <c r="K1968" t="s">
        <v>10594</v>
      </c>
      <c r="L1968" t="s">
        <v>5471</v>
      </c>
      <c r="M1968" t="s">
        <v>5471</v>
      </c>
    </row>
    <row r="1969" spans="1:13" x14ac:dyDescent="0.3">
      <c r="A1969" t="s">
        <v>3397</v>
      </c>
      <c r="B1969" t="s">
        <v>5292</v>
      </c>
      <c r="C1969" t="s">
        <v>5487</v>
      </c>
      <c r="D1969" t="s">
        <v>4119</v>
      </c>
      <c r="E1969" t="s">
        <v>5595</v>
      </c>
      <c r="F1969" t="s">
        <v>10595</v>
      </c>
      <c r="G1969" t="s">
        <v>10560</v>
      </c>
      <c r="H1969" t="s">
        <v>5474</v>
      </c>
      <c r="I1969" t="s">
        <v>10596</v>
      </c>
      <c r="J1969" t="s">
        <v>5476</v>
      </c>
      <c r="K1969" t="s">
        <v>10597</v>
      </c>
      <c r="L1969" t="s">
        <v>5471</v>
      </c>
      <c r="M1969" t="s">
        <v>5471</v>
      </c>
    </row>
    <row r="1970" spans="1:13" x14ac:dyDescent="0.3">
      <c r="A1970" t="s">
        <v>3380</v>
      </c>
      <c r="B1970" t="s">
        <v>10539</v>
      </c>
      <c r="C1970" t="s">
        <v>6342</v>
      </c>
      <c r="D1970" t="s">
        <v>4119</v>
      </c>
      <c r="E1970" t="s">
        <v>9935</v>
      </c>
      <c r="F1970" t="s">
        <v>10598</v>
      </c>
      <c r="G1970" t="s">
        <v>10553</v>
      </c>
      <c r="H1970" t="s">
        <v>5474</v>
      </c>
      <c r="I1970" t="s">
        <v>10599</v>
      </c>
      <c r="J1970" t="s">
        <v>5476</v>
      </c>
      <c r="K1970" t="s">
        <v>10600</v>
      </c>
      <c r="L1970" t="s">
        <v>5471</v>
      </c>
      <c r="M1970" t="s">
        <v>5471</v>
      </c>
    </row>
    <row r="1971" spans="1:13" x14ac:dyDescent="0.3">
      <c r="A1971" t="s">
        <v>3380</v>
      </c>
      <c r="B1971" t="s">
        <v>10539</v>
      </c>
      <c r="C1971" t="s">
        <v>6342</v>
      </c>
      <c r="D1971" t="s">
        <v>4119</v>
      </c>
      <c r="E1971" t="s">
        <v>9935</v>
      </c>
      <c r="F1971" t="s">
        <v>10601</v>
      </c>
      <c r="G1971" t="s">
        <v>10553</v>
      </c>
      <c r="H1971" t="s">
        <v>5474</v>
      </c>
      <c r="I1971" t="s">
        <v>10602</v>
      </c>
      <c r="J1971" t="s">
        <v>5476</v>
      </c>
      <c r="K1971" t="s">
        <v>10603</v>
      </c>
      <c r="L1971" t="s">
        <v>5471</v>
      </c>
      <c r="M1971" t="s">
        <v>5471</v>
      </c>
    </row>
    <row r="1972" spans="1:13" x14ac:dyDescent="0.3">
      <c r="A1972" t="s">
        <v>3397</v>
      </c>
      <c r="B1972" t="s">
        <v>5842</v>
      </c>
      <c r="C1972" t="s">
        <v>5487</v>
      </c>
      <c r="D1972" t="s">
        <v>4119</v>
      </c>
      <c r="E1972" t="s">
        <v>5595</v>
      </c>
      <c r="F1972" t="s">
        <v>10604</v>
      </c>
      <c r="G1972" t="s">
        <v>10605</v>
      </c>
      <c r="H1972" t="s">
        <v>5474</v>
      </c>
      <c r="I1972" t="s">
        <v>10606</v>
      </c>
      <c r="J1972" t="s">
        <v>5476</v>
      </c>
      <c r="K1972" t="s">
        <v>10607</v>
      </c>
      <c r="L1972" t="s">
        <v>5471</v>
      </c>
      <c r="M1972" t="s">
        <v>5471</v>
      </c>
    </row>
    <row r="1973" spans="1:13" x14ac:dyDescent="0.3">
      <c r="A1973" t="s">
        <v>3380</v>
      </c>
      <c r="B1973" t="s">
        <v>10539</v>
      </c>
      <c r="C1973" t="s">
        <v>6342</v>
      </c>
      <c r="D1973" t="s">
        <v>4119</v>
      </c>
      <c r="E1973" t="s">
        <v>9935</v>
      </c>
      <c r="F1973" t="s">
        <v>10608</v>
      </c>
      <c r="G1973" t="s">
        <v>10553</v>
      </c>
      <c r="H1973" t="s">
        <v>5474</v>
      </c>
      <c r="I1973" t="s">
        <v>10609</v>
      </c>
      <c r="J1973" t="s">
        <v>5476</v>
      </c>
      <c r="K1973" t="s">
        <v>10610</v>
      </c>
      <c r="L1973" t="s">
        <v>5471</v>
      </c>
      <c r="M1973" t="s">
        <v>5471</v>
      </c>
    </row>
    <row r="1974" spans="1:13" x14ac:dyDescent="0.3">
      <c r="A1974" t="s">
        <v>3397</v>
      </c>
      <c r="B1974" t="s">
        <v>5292</v>
      </c>
      <c r="C1974" t="s">
        <v>5487</v>
      </c>
      <c r="D1974" t="s">
        <v>4119</v>
      </c>
      <c r="E1974" t="s">
        <v>5595</v>
      </c>
      <c r="F1974" t="s">
        <v>10611</v>
      </c>
      <c r="G1974" t="s">
        <v>10612</v>
      </c>
      <c r="H1974" t="s">
        <v>5474</v>
      </c>
      <c r="I1974" t="s">
        <v>10613</v>
      </c>
      <c r="J1974" t="s">
        <v>5476</v>
      </c>
      <c r="K1974" t="s">
        <v>10614</v>
      </c>
      <c r="L1974" t="s">
        <v>5471</v>
      </c>
      <c r="M1974" t="s">
        <v>5471</v>
      </c>
    </row>
    <row r="1975" spans="1:13" x14ac:dyDescent="0.3">
      <c r="A1975" t="s">
        <v>3397</v>
      </c>
      <c r="B1975" t="s">
        <v>5292</v>
      </c>
      <c r="C1975" t="s">
        <v>5487</v>
      </c>
      <c r="D1975" t="s">
        <v>4119</v>
      </c>
      <c r="E1975" t="s">
        <v>5595</v>
      </c>
      <c r="F1975" t="s">
        <v>10615</v>
      </c>
      <c r="G1975" t="s">
        <v>10612</v>
      </c>
      <c r="H1975" t="s">
        <v>5474</v>
      </c>
      <c r="I1975" t="s">
        <v>10616</v>
      </c>
      <c r="J1975" t="s">
        <v>5476</v>
      </c>
      <c r="K1975" t="s">
        <v>10617</v>
      </c>
      <c r="L1975" t="s">
        <v>5471</v>
      </c>
      <c r="M1975" t="s">
        <v>5471</v>
      </c>
    </row>
    <row r="1976" spans="1:13" x14ac:dyDescent="0.3">
      <c r="A1976" t="s">
        <v>3397</v>
      </c>
      <c r="B1976" t="s">
        <v>5292</v>
      </c>
      <c r="C1976" t="s">
        <v>5487</v>
      </c>
      <c r="D1976" t="s">
        <v>4119</v>
      </c>
      <c r="E1976" t="s">
        <v>5595</v>
      </c>
      <c r="F1976" t="s">
        <v>10618</v>
      </c>
      <c r="G1976" t="s">
        <v>10612</v>
      </c>
      <c r="H1976" t="s">
        <v>5474</v>
      </c>
      <c r="I1976" t="s">
        <v>10619</v>
      </c>
      <c r="J1976" t="s">
        <v>5476</v>
      </c>
      <c r="K1976" t="s">
        <v>10620</v>
      </c>
      <c r="L1976" t="s">
        <v>5471</v>
      </c>
      <c r="M1976" t="s">
        <v>5471</v>
      </c>
    </row>
    <row r="1977" spans="1:13" x14ac:dyDescent="0.3">
      <c r="A1977" t="s">
        <v>3397</v>
      </c>
      <c r="B1977" t="s">
        <v>5842</v>
      </c>
      <c r="C1977" t="s">
        <v>5487</v>
      </c>
      <c r="D1977" t="s">
        <v>4119</v>
      </c>
      <c r="E1977" t="s">
        <v>5595</v>
      </c>
      <c r="F1977" t="s">
        <v>10621</v>
      </c>
      <c r="G1977" t="s">
        <v>10622</v>
      </c>
      <c r="H1977" t="s">
        <v>5474</v>
      </c>
      <c r="I1977" t="s">
        <v>10623</v>
      </c>
      <c r="J1977" t="s">
        <v>5476</v>
      </c>
      <c r="K1977" t="s">
        <v>10624</v>
      </c>
      <c r="L1977" t="s">
        <v>5471</v>
      </c>
      <c r="M1977" t="s">
        <v>5471</v>
      </c>
    </row>
    <row r="1978" spans="1:13" x14ac:dyDescent="0.3">
      <c r="A1978" t="s">
        <v>3397</v>
      </c>
      <c r="B1978" t="s">
        <v>5842</v>
      </c>
      <c r="C1978" t="s">
        <v>5487</v>
      </c>
      <c r="D1978" t="s">
        <v>4119</v>
      </c>
      <c r="E1978" t="s">
        <v>5595</v>
      </c>
      <c r="F1978" t="s">
        <v>10625</v>
      </c>
      <c r="G1978" t="s">
        <v>10626</v>
      </c>
      <c r="H1978" t="s">
        <v>5474</v>
      </c>
      <c r="I1978" t="s">
        <v>10627</v>
      </c>
      <c r="J1978" t="s">
        <v>5476</v>
      </c>
      <c r="K1978" t="s">
        <v>10625</v>
      </c>
      <c r="L1978" t="s">
        <v>5471</v>
      </c>
      <c r="M1978" t="s">
        <v>5471</v>
      </c>
    </row>
    <row r="1979" spans="1:13" x14ac:dyDescent="0.3">
      <c r="A1979" t="s">
        <v>3397</v>
      </c>
      <c r="B1979" t="s">
        <v>5292</v>
      </c>
      <c r="C1979" t="s">
        <v>5487</v>
      </c>
      <c r="D1979" t="s">
        <v>4119</v>
      </c>
      <c r="E1979" t="s">
        <v>5595</v>
      </c>
      <c r="F1979" t="s">
        <v>10628</v>
      </c>
      <c r="G1979" t="s">
        <v>6444</v>
      </c>
      <c r="H1979" t="s">
        <v>5474</v>
      </c>
      <c r="I1979" t="s">
        <v>10629</v>
      </c>
      <c r="J1979" t="s">
        <v>5476</v>
      </c>
      <c r="K1979" t="s">
        <v>10630</v>
      </c>
      <c r="L1979" t="s">
        <v>5471</v>
      </c>
      <c r="M1979" t="s">
        <v>5471</v>
      </c>
    </row>
    <row r="1980" spans="1:13" x14ac:dyDescent="0.3">
      <c r="A1980" t="s">
        <v>3397</v>
      </c>
      <c r="B1980" t="s">
        <v>5842</v>
      </c>
      <c r="C1980" t="s">
        <v>5487</v>
      </c>
      <c r="D1980" t="s">
        <v>4119</v>
      </c>
      <c r="E1980" t="s">
        <v>5595</v>
      </c>
      <c r="F1980" t="s">
        <v>10631</v>
      </c>
      <c r="G1980" t="s">
        <v>10632</v>
      </c>
      <c r="H1980" t="s">
        <v>5474</v>
      </c>
      <c r="I1980" t="s">
        <v>10633</v>
      </c>
      <c r="J1980" t="s">
        <v>5476</v>
      </c>
      <c r="K1980" t="s">
        <v>10631</v>
      </c>
      <c r="L1980" t="s">
        <v>5471</v>
      </c>
      <c r="M1980" t="s">
        <v>5471</v>
      </c>
    </row>
    <row r="1981" spans="1:13" x14ac:dyDescent="0.3">
      <c r="A1981" t="s">
        <v>3397</v>
      </c>
      <c r="B1981" t="s">
        <v>5292</v>
      </c>
      <c r="C1981" t="s">
        <v>5487</v>
      </c>
      <c r="D1981" t="s">
        <v>4119</v>
      </c>
      <c r="E1981" t="s">
        <v>5595</v>
      </c>
      <c r="F1981" t="s">
        <v>10634</v>
      </c>
      <c r="G1981" t="s">
        <v>6444</v>
      </c>
      <c r="H1981" t="s">
        <v>5474</v>
      </c>
      <c r="I1981" t="s">
        <v>10635</v>
      </c>
      <c r="J1981" t="s">
        <v>5476</v>
      </c>
      <c r="K1981" t="s">
        <v>10636</v>
      </c>
      <c r="L1981" t="s">
        <v>5471</v>
      </c>
      <c r="M1981" t="s">
        <v>5471</v>
      </c>
    </row>
    <row r="1982" spans="1:13" x14ac:dyDescent="0.3">
      <c r="A1982" t="s">
        <v>3397</v>
      </c>
      <c r="B1982" t="s">
        <v>5842</v>
      </c>
      <c r="C1982" t="s">
        <v>5487</v>
      </c>
      <c r="D1982" t="s">
        <v>4119</v>
      </c>
      <c r="E1982" t="s">
        <v>5595</v>
      </c>
      <c r="F1982" t="s">
        <v>10637</v>
      </c>
      <c r="G1982" t="s">
        <v>10638</v>
      </c>
      <c r="H1982" t="s">
        <v>5474</v>
      </c>
      <c r="I1982" t="s">
        <v>10639</v>
      </c>
      <c r="J1982" t="s">
        <v>5476</v>
      </c>
      <c r="K1982" t="s">
        <v>10637</v>
      </c>
      <c r="L1982" t="s">
        <v>5471</v>
      </c>
      <c r="M1982" t="s">
        <v>5471</v>
      </c>
    </row>
    <row r="1983" spans="1:13" x14ac:dyDescent="0.3">
      <c r="A1983" t="s">
        <v>3397</v>
      </c>
      <c r="B1983" t="s">
        <v>5842</v>
      </c>
      <c r="C1983" t="s">
        <v>5487</v>
      </c>
      <c r="D1983" t="s">
        <v>4119</v>
      </c>
      <c r="E1983" t="s">
        <v>5595</v>
      </c>
      <c r="F1983" t="s">
        <v>10640</v>
      </c>
      <c r="G1983" t="s">
        <v>10641</v>
      </c>
      <c r="H1983" t="s">
        <v>5474</v>
      </c>
      <c r="I1983" t="s">
        <v>10642</v>
      </c>
      <c r="J1983" t="s">
        <v>5476</v>
      </c>
      <c r="K1983" t="s">
        <v>10643</v>
      </c>
      <c r="L1983" t="s">
        <v>5471</v>
      </c>
      <c r="M1983" t="s">
        <v>5471</v>
      </c>
    </row>
    <row r="1984" spans="1:13" x14ac:dyDescent="0.3">
      <c r="A1984" t="s">
        <v>3397</v>
      </c>
      <c r="B1984" t="s">
        <v>5842</v>
      </c>
      <c r="C1984" t="s">
        <v>5487</v>
      </c>
      <c r="D1984" t="s">
        <v>4119</v>
      </c>
      <c r="E1984" t="s">
        <v>5595</v>
      </c>
      <c r="F1984" t="s">
        <v>10644</v>
      </c>
      <c r="G1984" t="s">
        <v>10645</v>
      </c>
      <c r="H1984" t="s">
        <v>5474</v>
      </c>
      <c r="I1984" t="s">
        <v>10646</v>
      </c>
      <c r="J1984" t="s">
        <v>5476</v>
      </c>
      <c r="K1984" t="s">
        <v>10647</v>
      </c>
      <c r="L1984" t="s">
        <v>5471</v>
      </c>
      <c r="M1984" t="s">
        <v>5471</v>
      </c>
    </row>
    <row r="1985" spans="1:13" x14ac:dyDescent="0.3">
      <c r="A1985" t="s">
        <v>3397</v>
      </c>
      <c r="B1985" t="s">
        <v>5842</v>
      </c>
      <c r="C1985" t="s">
        <v>5487</v>
      </c>
      <c r="D1985" t="s">
        <v>4119</v>
      </c>
      <c r="E1985" t="s">
        <v>5595</v>
      </c>
      <c r="F1985" t="s">
        <v>10648</v>
      </c>
      <c r="G1985" t="s">
        <v>10649</v>
      </c>
      <c r="H1985" t="s">
        <v>5474</v>
      </c>
      <c r="I1985" t="s">
        <v>10650</v>
      </c>
      <c r="J1985" t="s">
        <v>5476</v>
      </c>
      <c r="K1985" t="s">
        <v>10651</v>
      </c>
      <c r="L1985" t="s">
        <v>5471</v>
      </c>
      <c r="M1985" t="s">
        <v>5471</v>
      </c>
    </row>
    <row r="1986" spans="1:13" x14ac:dyDescent="0.3">
      <c r="A1986" t="s">
        <v>3397</v>
      </c>
      <c r="B1986" t="s">
        <v>5842</v>
      </c>
      <c r="C1986" t="s">
        <v>5487</v>
      </c>
      <c r="D1986" t="s">
        <v>4119</v>
      </c>
      <c r="E1986" t="s">
        <v>5595</v>
      </c>
      <c r="F1986" t="s">
        <v>10652</v>
      </c>
      <c r="G1986" t="s">
        <v>10653</v>
      </c>
      <c r="H1986" t="s">
        <v>5474</v>
      </c>
      <c r="I1986" t="s">
        <v>10654</v>
      </c>
      <c r="J1986" t="s">
        <v>5476</v>
      </c>
      <c r="K1986" t="s">
        <v>10655</v>
      </c>
      <c r="L1986" t="s">
        <v>5471</v>
      </c>
      <c r="M1986" t="s">
        <v>5471</v>
      </c>
    </row>
    <row r="1987" spans="1:13" x14ac:dyDescent="0.3">
      <c r="A1987" t="s">
        <v>3397</v>
      </c>
      <c r="B1987" t="s">
        <v>5292</v>
      </c>
      <c r="C1987" t="s">
        <v>5487</v>
      </c>
      <c r="D1987" t="s">
        <v>4119</v>
      </c>
      <c r="E1987" t="s">
        <v>5595</v>
      </c>
      <c r="F1987" t="s">
        <v>10656</v>
      </c>
      <c r="G1987" t="s">
        <v>6446</v>
      </c>
      <c r="H1987" t="s">
        <v>5474</v>
      </c>
      <c r="I1987" t="s">
        <v>10657</v>
      </c>
      <c r="J1987" t="s">
        <v>5476</v>
      </c>
      <c r="K1987" t="s">
        <v>10658</v>
      </c>
      <c r="L1987" t="s">
        <v>5471</v>
      </c>
      <c r="M1987" t="s">
        <v>5471</v>
      </c>
    </row>
    <row r="1988" spans="1:13" x14ac:dyDescent="0.3">
      <c r="A1988" t="s">
        <v>3397</v>
      </c>
      <c r="B1988" t="s">
        <v>5292</v>
      </c>
      <c r="C1988" t="s">
        <v>5487</v>
      </c>
      <c r="D1988" t="s">
        <v>4119</v>
      </c>
      <c r="E1988" t="s">
        <v>5595</v>
      </c>
      <c r="F1988" t="s">
        <v>10659</v>
      </c>
      <c r="G1988" t="s">
        <v>6446</v>
      </c>
      <c r="H1988" t="s">
        <v>5474</v>
      </c>
      <c r="I1988" t="s">
        <v>10660</v>
      </c>
      <c r="J1988" t="s">
        <v>5476</v>
      </c>
      <c r="K1988" t="s">
        <v>10661</v>
      </c>
      <c r="L1988" t="s">
        <v>5471</v>
      </c>
      <c r="M1988" t="s">
        <v>5471</v>
      </c>
    </row>
    <row r="1989" spans="1:13" x14ac:dyDescent="0.3">
      <c r="A1989" t="s">
        <v>3388</v>
      </c>
      <c r="B1989" t="s">
        <v>7109</v>
      </c>
      <c r="C1989" t="s">
        <v>5470</v>
      </c>
      <c r="D1989" t="s">
        <v>4119</v>
      </c>
      <c r="E1989" t="s">
        <v>5756</v>
      </c>
      <c r="F1989" t="s">
        <v>10662</v>
      </c>
      <c r="G1989" t="s">
        <v>10663</v>
      </c>
      <c r="H1989" t="s">
        <v>5474</v>
      </c>
      <c r="I1989" t="s">
        <v>10664</v>
      </c>
      <c r="J1989" t="s">
        <v>5476</v>
      </c>
      <c r="K1989" t="s">
        <v>10665</v>
      </c>
      <c r="L1989" t="s">
        <v>5471</v>
      </c>
      <c r="M1989" t="s">
        <v>5471</v>
      </c>
    </row>
    <row r="1990" spans="1:13" x14ac:dyDescent="0.3">
      <c r="A1990" t="s">
        <v>3380</v>
      </c>
      <c r="B1990" t="s">
        <v>10539</v>
      </c>
      <c r="C1990" t="s">
        <v>6342</v>
      </c>
      <c r="D1990" t="s">
        <v>4119</v>
      </c>
      <c r="E1990" t="s">
        <v>9935</v>
      </c>
      <c r="F1990" t="s">
        <v>10666</v>
      </c>
      <c r="G1990" t="s">
        <v>10553</v>
      </c>
      <c r="H1990" t="s">
        <v>5474</v>
      </c>
      <c r="I1990" t="s">
        <v>10667</v>
      </c>
      <c r="J1990" t="s">
        <v>5476</v>
      </c>
      <c r="K1990" t="s">
        <v>10668</v>
      </c>
      <c r="L1990" t="s">
        <v>5471</v>
      </c>
      <c r="M1990" t="s">
        <v>5471</v>
      </c>
    </row>
    <row r="1991" spans="1:13" x14ac:dyDescent="0.3">
      <c r="A1991" t="s">
        <v>3397</v>
      </c>
      <c r="B1991" t="s">
        <v>5761</v>
      </c>
      <c r="C1991" t="s">
        <v>5487</v>
      </c>
      <c r="D1991" t="s">
        <v>4119</v>
      </c>
      <c r="E1991" t="s">
        <v>5756</v>
      </c>
      <c r="F1991" t="s">
        <v>10669</v>
      </c>
      <c r="G1991" t="s">
        <v>10670</v>
      </c>
      <c r="H1991" t="s">
        <v>5474</v>
      </c>
      <c r="I1991" t="s">
        <v>10671</v>
      </c>
      <c r="J1991" t="s">
        <v>5476</v>
      </c>
      <c r="K1991" t="s">
        <v>10672</v>
      </c>
      <c r="L1991" t="s">
        <v>5471</v>
      </c>
      <c r="M1991" t="s">
        <v>5471</v>
      </c>
    </row>
    <row r="1992" spans="1:13" x14ac:dyDescent="0.3">
      <c r="A1992" t="s">
        <v>3380</v>
      </c>
      <c r="B1992" t="s">
        <v>10673</v>
      </c>
      <c r="C1992" t="s">
        <v>6342</v>
      </c>
      <c r="D1992" t="s">
        <v>4119</v>
      </c>
      <c r="E1992" t="s">
        <v>9935</v>
      </c>
      <c r="F1992" t="s">
        <v>10674</v>
      </c>
      <c r="G1992" t="s">
        <v>10675</v>
      </c>
      <c r="H1992" t="s">
        <v>5474</v>
      </c>
      <c r="I1992" t="s">
        <v>10676</v>
      </c>
      <c r="J1992" t="s">
        <v>5476</v>
      </c>
      <c r="K1992" t="s">
        <v>10677</v>
      </c>
      <c r="L1992" t="s">
        <v>5471</v>
      </c>
      <c r="M1992" t="s">
        <v>5471</v>
      </c>
    </row>
    <row r="1993" spans="1:13" x14ac:dyDescent="0.3">
      <c r="A1993" t="s">
        <v>3397</v>
      </c>
      <c r="B1993" t="s">
        <v>5761</v>
      </c>
      <c r="C1993" t="s">
        <v>5487</v>
      </c>
      <c r="D1993" t="s">
        <v>4119</v>
      </c>
      <c r="E1993" t="s">
        <v>5756</v>
      </c>
      <c r="F1993" t="s">
        <v>10678</v>
      </c>
      <c r="G1993" t="s">
        <v>10670</v>
      </c>
      <c r="H1993" t="s">
        <v>5474</v>
      </c>
      <c r="I1993" t="s">
        <v>10679</v>
      </c>
      <c r="J1993" t="s">
        <v>5476</v>
      </c>
      <c r="K1993" t="s">
        <v>10680</v>
      </c>
      <c r="L1993" t="s">
        <v>5471</v>
      </c>
      <c r="M1993" t="s">
        <v>5471</v>
      </c>
    </row>
    <row r="1994" spans="1:13" x14ac:dyDescent="0.3">
      <c r="A1994" t="s">
        <v>3397</v>
      </c>
      <c r="B1994" t="s">
        <v>5761</v>
      </c>
      <c r="C1994" t="s">
        <v>5487</v>
      </c>
      <c r="D1994" t="s">
        <v>4119</v>
      </c>
      <c r="E1994" t="s">
        <v>5756</v>
      </c>
      <c r="F1994" t="s">
        <v>10681</v>
      </c>
      <c r="G1994" t="s">
        <v>10670</v>
      </c>
      <c r="H1994" t="s">
        <v>5474</v>
      </c>
      <c r="I1994" t="s">
        <v>10682</v>
      </c>
      <c r="J1994" t="s">
        <v>5476</v>
      </c>
      <c r="K1994" t="s">
        <v>10683</v>
      </c>
      <c r="L1994" t="s">
        <v>5471</v>
      </c>
      <c r="M1994" t="s">
        <v>5471</v>
      </c>
    </row>
    <row r="1995" spans="1:13" x14ac:dyDescent="0.3">
      <c r="A1995" t="s">
        <v>3380</v>
      </c>
      <c r="B1995" t="s">
        <v>10673</v>
      </c>
      <c r="C1995" t="s">
        <v>6342</v>
      </c>
      <c r="D1995" t="s">
        <v>4119</v>
      </c>
      <c r="E1995" t="s">
        <v>9935</v>
      </c>
      <c r="F1995" t="s">
        <v>10684</v>
      </c>
      <c r="G1995" t="s">
        <v>10685</v>
      </c>
      <c r="H1995" t="s">
        <v>5474</v>
      </c>
      <c r="I1995" t="s">
        <v>10686</v>
      </c>
      <c r="J1995" t="s">
        <v>5476</v>
      </c>
      <c r="K1995" t="s">
        <v>10687</v>
      </c>
      <c r="L1995" t="s">
        <v>5471</v>
      </c>
      <c r="M1995" t="s">
        <v>5471</v>
      </c>
    </row>
    <row r="1996" spans="1:13" x14ac:dyDescent="0.3">
      <c r="A1996" t="s">
        <v>3380</v>
      </c>
      <c r="B1996" t="s">
        <v>10673</v>
      </c>
      <c r="C1996" t="s">
        <v>6342</v>
      </c>
      <c r="D1996" t="s">
        <v>4119</v>
      </c>
      <c r="E1996" t="s">
        <v>9935</v>
      </c>
      <c r="F1996" t="s">
        <v>10688</v>
      </c>
      <c r="G1996" t="s">
        <v>10689</v>
      </c>
      <c r="H1996" t="s">
        <v>5474</v>
      </c>
      <c r="I1996" t="s">
        <v>10690</v>
      </c>
      <c r="J1996" t="s">
        <v>5476</v>
      </c>
      <c r="K1996" t="s">
        <v>10691</v>
      </c>
      <c r="L1996" t="s">
        <v>5471</v>
      </c>
      <c r="M1996" t="s">
        <v>5471</v>
      </c>
    </row>
    <row r="1997" spans="1:13" x14ac:dyDescent="0.3">
      <c r="A1997" t="s">
        <v>3397</v>
      </c>
      <c r="B1997" t="s">
        <v>5761</v>
      </c>
      <c r="C1997" t="s">
        <v>5487</v>
      </c>
      <c r="D1997" t="s">
        <v>4119</v>
      </c>
      <c r="E1997" t="s">
        <v>5756</v>
      </c>
      <c r="F1997" t="s">
        <v>10692</v>
      </c>
      <c r="G1997" t="s">
        <v>10693</v>
      </c>
      <c r="H1997" t="s">
        <v>5474</v>
      </c>
      <c r="I1997" t="s">
        <v>10694</v>
      </c>
      <c r="J1997" t="s">
        <v>5476</v>
      </c>
      <c r="K1997" t="s">
        <v>10695</v>
      </c>
      <c r="L1997" t="s">
        <v>5471</v>
      </c>
      <c r="M1997" t="s">
        <v>5471</v>
      </c>
    </row>
    <row r="1998" spans="1:13" x14ac:dyDescent="0.3">
      <c r="A1998" t="s">
        <v>3380</v>
      </c>
      <c r="B1998" t="s">
        <v>10673</v>
      </c>
      <c r="C1998" t="s">
        <v>6342</v>
      </c>
      <c r="D1998" t="s">
        <v>4119</v>
      </c>
      <c r="E1998" t="s">
        <v>9935</v>
      </c>
      <c r="F1998" t="s">
        <v>10696</v>
      </c>
      <c r="G1998" t="s">
        <v>10697</v>
      </c>
      <c r="H1998" t="s">
        <v>5474</v>
      </c>
      <c r="I1998" t="s">
        <v>10698</v>
      </c>
      <c r="J1998" t="s">
        <v>5476</v>
      </c>
      <c r="K1998" t="s">
        <v>10699</v>
      </c>
      <c r="L1998" t="s">
        <v>5471</v>
      </c>
      <c r="M1998" t="s">
        <v>5471</v>
      </c>
    </row>
    <row r="1999" spans="1:13" x14ac:dyDescent="0.3">
      <c r="A1999" t="s">
        <v>3380</v>
      </c>
      <c r="B1999" t="s">
        <v>10673</v>
      </c>
      <c r="C1999" t="s">
        <v>6342</v>
      </c>
      <c r="D1999" t="s">
        <v>4119</v>
      </c>
      <c r="E1999" t="s">
        <v>9935</v>
      </c>
      <c r="F1999" t="s">
        <v>10700</v>
      </c>
      <c r="G1999" t="s">
        <v>10701</v>
      </c>
      <c r="H1999" t="s">
        <v>5474</v>
      </c>
      <c r="I1999" t="s">
        <v>10702</v>
      </c>
      <c r="J1999" t="s">
        <v>5476</v>
      </c>
      <c r="K1999" t="s">
        <v>10703</v>
      </c>
      <c r="L1999" t="s">
        <v>5471</v>
      </c>
      <c r="M1999" t="s">
        <v>5471</v>
      </c>
    </row>
    <row r="2000" spans="1:13" x14ac:dyDescent="0.3">
      <c r="A2000" t="s">
        <v>3397</v>
      </c>
      <c r="B2000" t="s">
        <v>5761</v>
      </c>
      <c r="C2000" t="s">
        <v>5487</v>
      </c>
      <c r="D2000" t="s">
        <v>4119</v>
      </c>
      <c r="E2000" t="s">
        <v>5756</v>
      </c>
      <c r="F2000" t="s">
        <v>10704</v>
      </c>
      <c r="G2000" t="s">
        <v>10693</v>
      </c>
      <c r="H2000" t="s">
        <v>5474</v>
      </c>
      <c r="I2000" t="s">
        <v>10705</v>
      </c>
      <c r="J2000" t="s">
        <v>5476</v>
      </c>
      <c r="K2000" t="s">
        <v>10706</v>
      </c>
      <c r="L2000" t="s">
        <v>5471</v>
      </c>
      <c r="M2000" t="s">
        <v>5471</v>
      </c>
    </row>
    <row r="2001" spans="1:13" x14ac:dyDescent="0.3">
      <c r="A2001" t="s">
        <v>3380</v>
      </c>
      <c r="B2001" t="s">
        <v>10673</v>
      </c>
      <c r="C2001" t="s">
        <v>6342</v>
      </c>
      <c r="D2001" t="s">
        <v>4119</v>
      </c>
      <c r="E2001" t="s">
        <v>9935</v>
      </c>
      <c r="F2001" t="s">
        <v>10707</v>
      </c>
      <c r="G2001" t="s">
        <v>10708</v>
      </c>
      <c r="H2001" t="s">
        <v>5474</v>
      </c>
      <c r="I2001" t="s">
        <v>10709</v>
      </c>
      <c r="J2001" t="s">
        <v>5476</v>
      </c>
      <c r="K2001" t="s">
        <v>10710</v>
      </c>
      <c r="L2001" t="s">
        <v>5471</v>
      </c>
      <c r="M2001" t="s">
        <v>5471</v>
      </c>
    </row>
    <row r="2002" spans="1:13" x14ac:dyDescent="0.3">
      <c r="A2002" t="s">
        <v>3380</v>
      </c>
      <c r="B2002" t="s">
        <v>9934</v>
      </c>
      <c r="C2002" t="s">
        <v>6342</v>
      </c>
      <c r="D2002" t="s">
        <v>4119</v>
      </c>
      <c r="E2002" t="s">
        <v>9935</v>
      </c>
      <c r="F2002" t="s">
        <v>10711</v>
      </c>
      <c r="G2002" t="s">
        <v>10712</v>
      </c>
      <c r="H2002" t="s">
        <v>5474</v>
      </c>
      <c r="I2002" t="s">
        <v>10713</v>
      </c>
      <c r="J2002" t="s">
        <v>5476</v>
      </c>
      <c r="K2002" t="s">
        <v>10714</v>
      </c>
      <c r="L2002" t="s">
        <v>5471</v>
      </c>
      <c r="M2002" t="s">
        <v>5471</v>
      </c>
    </row>
    <row r="2003" spans="1:13" x14ac:dyDescent="0.3">
      <c r="A2003" t="s">
        <v>3397</v>
      </c>
      <c r="B2003" t="s">
        <v>10715</v>
      </c>
      <c r="C2003" t="s">
        <v>5470</v>
      </c>
      <c r="D2003" t="s">
        <v>4119</v>
      </c>
      <c r="E2003" t="s">
        <v>5756</v>
      </c>
      <c r="F2003" t="s">
        <v>10716</v>
      </c>
      <c r="G2003" t="s">
        <v>10670</v>
      </c>
      <c r="H2003" t="s">
        <v>5474</v>
      </c>
      <c r="I2003" t="s">
        <v>10717</v>
      </c>
      <c r="J2003" t="s">
        <v>5476</v>
      </c>
      <c r="K2003" t="s">
        <v>10672</v>
      </c>
      <c r="L2003" t="s">
        <v>5471</v>
      </c>
      <c r="M2003" t="s">
        <v>5471</v>
      </c>
    </row>
    <row r="2004" spans="1:13" x14ac:dyDescent="0.3">
      <c r="A2004" t="s">
        <v>3397</v>
      </c>
      <c r="B2004" t="s">
        <v>10715</v>
      </c>
      <c r="C2004" t="s">
        <v>5470</v>
      </c>
      <c r="D2004" t="s">
        <v>4119</v>
      </c>
      <c r="E2004" t="s">
        <v>5756</v>
      </c>
      <c r="F2004" t="s">
        <v>10718</v>
      </c>
      <c r="G2004" t="s">
        <v>10670</v>
      </c>
      <c r="H2004" t="s">
        <v>5474</v>
      </c>
      <c r="I2004" t="s">
        <v>10719</v>
      </c>
      <c r="J2004" t="s">
        <v>5476</v>
      </c>
      <c r="K2004" t="s">
        <v>10680</v>
      </c>
      <c r="L2004" t="s">
        <v>5471</v>
      </c>
      <c r="M2004" t="s">
        <v>5471</v>
      </c>
    </row>
    <row r="2005" spans="1:13" x14ac:dyDescent="0.3">
      <c r="A2005" t="s">
        <v>3388</v>
      </c>
      <c r="B2005" t="s">
        <v>7109</v>
      </c>
      <c r="C2005" t="s">
        <v>5470</v>
      </c>
      <c r="D2005" t="s">
        <v>4119</v>
      </c>
      <c r="E2005" t="s">
        <v>5756</v>
      </c>
      <c r="F2005" t="s">
        <v>10720</v>
      </c>
      <c r="G2005" t="s">
        <v>10663</v>
      </c>
      <c r="H2005" t="s">
        <v>5474</v>
      </c>
      <c r="I2005" t="s">
        <v>10721</v>
      </c>
      <c r="J2005" t="s">
        <v>5476</v>
      </c>
      <c r="K2005" t="s">
        <v>10722</v>
      </c>
      <c r="L2005" t="s">
        <v>5471</v>
      </c>
      <c r="M2005" t="s">
        <v>5471</v>
      </c>
    </row>
    <row r="2006" spans="1:13" x14ac:dyDescent="0.3">
      <c r="A2006" t="s">
        <v>3388</v>
      </c>
      <c r="B2006" t="s">
        <v>7109</v>
      </c>
      <c r="C2006" t="s">
        <v>5470</v>
      </c>
      <c r="D2006" t="s">
        <v>4119</v>
      </c>
      <c r="E2006" t="s">
        <v>5756</v>
      </c>
      <c r="F2006" t="s">
        <v>10723</v>
      </c>
      <c r="G2006" t="s">
        <v>10724</v>
      </c>
      <c r="H2006" t="s">
        <v>5474</v>
      </c>
      <c r="I2006" t="s">
        <v>10725</v>
      </c>
      <c r="J2006" t="s">
        <v>5476</v>
      </c>
      <c r="K2006" t="s">
        <v>10726</v>
      </c>
      <c r="L2006" t="s">
        <v>5471</v>
      </c>
      <c r="M2006" t="s">
        <v>5471</v>
      </c>
    </row>
    <row r="2007" spans="1:13" x14ac:dyDescent="0.3">
      <c r="A2007" t="s">
        <v>3388</v>
      </c>
      <c r="B2007" t="s">
        <v>7109</v>
      </c>
      <c r="C2007" t="s">
        <v>5470</v>
      </c>
      <c r="D2007" t="s">
        <v>4119</v>
      </c>
      <c r="E2007" t="s">
        <v>5756</v>
      </c>
      <c r="F2007" t="s">
        <v>10727</v>
      </c>
      <c r="G2007" t="s">
        <v>10728</v>
      </c>
      <c r="H2007" t="s">
        <v>5474</v>
      </c>
      <c r="I2007" t="s">
        <v>10729</v>
      </c>
      <c r="J2007" t="s">
        <v>5476</v>
      </c>
      <c r="K2007" t="s">
        <v>10730</v>
      </c>
      <c r="L2007" t="s">
        <v>5471</v>
      </c>
      <c r="M2007" t="s">
        <v>5471</v>
      </c>
    </row>
    <row r="2008" spans="1:13" x14ac:dyDescent="0.3">
      <c r="A2008" t="s">
        <v>3388</v>
      </c>
      <c r="B2008" t="s">
        <v>7109</v>
      </c>
      <c r="C2008" t="s">
        <v>5470</v>
      </c>
      <c r="D2008" t="s">
        <v>4119</v>
      </c>
      <c r="E2008" t="s">
        <v>5480</v>
      </c>
      <c r="F2008" t="s">
        <v>10731</v>
      </c>
      <c r="G2008" t="s">
        <v>10732</v>
      </c>
      <c r="H2008" t="s">
        <v>5474</v>
      </c>
      <c r="I2008" t="s">
        <v>10733</v>
      </c>
      <c r="J2008" t="s">
        <v>5476</v>
      </c>
      <c r="K2008" t="s">
        <v>10722</v>
      </c>
      <c r="L2008" t="s">
        <v>5471</v>
      </c>
      <c r="M2008" t="s">
        <v>5471</v>
      </c>
    </row>
    <row r="2009" spans="1:13" x14ac:dyDescent="0.3">
      <c r="A2009" t="s">
        <v>3388</v>
      </c>
      <c r="B2009" t="s">
        <v>7109</v>
      </c>
      <c r="C2009" t="s">
        <v>5470</v>
      </c>
      <c r="D2009" t="s">
        <v>4119</v>
      </c>
      <c r="E2009" t="s">
        <v>5480</v>
      </c>
      <c r="F2009" t="s">
        <v>10734</v>
      </c>
      <c r="G2009" t="s">
        <v>10732</v>
      </c>
      <c r="H2009" t="s">
        <v>5474</v>
      </c>
      <c r="I2009" t="s">
        <v>10735</v>
      </c>
      <c r="J2009" t="s">
        <v>5476</v>
      </c>
      <c r="K2009" t="s">
        <v>10736</v>
      </c>
      <c r="L2009" t="s">
        <v>5471</v>
      </c>
      <c r="M2009" t="s">
        <v>5471</v>
      </c>
    </row>
    <row r="2010" spans="1:13" x14ac:dyDescent="0.3">
      <c r="A2010" t="s">
        <v>3388</v>
      </c>
      <c r="B2010" t="s">
        <v>7109</v>
      </c>
      <c r="C2010" t="s">
        <v>5470</v>
      </c>
      <c r="D2010" t="s">
        <v>4119</v>
      </c>
      <c r="E2010" t="s">
        <v>5480</v>
      </c>
      <c r="F2010" t="s">
        <v>10737</v>
      </c>
      <c r="G2010" t="s">
        <v>10738</v>
      </c>
      <c r="H2010" t="s">
        <v>5474</v>
      </c>
      <c r="I2010" t="s">
        <v>10739</v>
      </c>
      <c r="J2010" t="s">
        <v>5476</v>
      </c>
      <c r="K2010" t="s">
        <v>10740</v>
      </c>
      <c r="L2010" t="s">
        <v>5471</v>
      </c>
      <c r="M2010" t="s">
        <v>5471</v>
      </c>
    </row>
    <row r="2011" spans="1:13" x14ac:dyDescent="0.3">
      <c r="A2011" t="s">
        <v>3388</v>
      </c>
      <c r="B2011" t="s">
        <v>7109</v>
      </c>
      <c r="C2011" t="s">
        <v>5470</v>
      </c>
      <c r="D2011" t="s">
        <v>4119</v>
      </c>
      <c r="E2011" t="s">
        <v>5480</v>
      </c>
      <c r="F2011" t="s">
        <v>10741</v>
      </c>
      <c r="G2011" t="s">
        <v>10732</v>
      </c>
      <c r="H2011" t="s">
        <v>5474</v>
      </c>
      <c r="I2011" t="s">
        <v>10742</v>
      </c>
      <c r="J2011" t="s">
        <v>5476</v>
      </c>
      <c r="K2011" t="s">
        <v>10722</v>
      </c>
      <c r="L2011" t="s">
        <v>5471</v>
      </c>
      <c r="M2011" t="s">
        <v>5471</v>
      </c>
    </row>
    <row r="2012" spans="1:13" x14ac:dyDescent="0.3">
      <c r="A2012" t="s">
        <v>3388</v>
      </c>
      <c r="B2012" t="s">
        <v>7109</v>
      </c>
      <c r="C2012" t="s">
        <v>5470</v>
      </c>
      <c r="D2012" t="s">
        <v>4119</v>
      </c>
      <c r="E2012" t="s">
        <v>5480</v>
      </c>
      <c r="F2012" t="s">
        <v>10743</v>
      </c>
      <c r="G2012" t="s">
        <v>10738</v>
      </c>
      <c r="H2012" t="s">
        <v>5474</v>
      </c>
      <c r="I2012" t="s">
        <v>10744</v>
      </c>
      <c r="J2012" t="s">
        <v>5476</v>
      </c>
      <c r="K2012" t="s">
        <v>10745</v>
      </c>
      <c r="L2012" t="s">
        <v>5471</v>
      </c>
      <c r="M2012" t="s">
        <v>5471</v>
      </c>
    </row>
    <row r="2013" spans="1:13" x14ac:dyDescent="0.3">
      <c r="A2013" t="s">
        <v>3388</v>
      </c>
      <c r="B2013" t="s">
        <v>7109</v>
      </c>
      <c r="C2013" t="s">
        <v>5470</v>
      </c>
      <c r="D2013" t="s">
        <v>4119</v>
      </c>
      <c r="E2013" t="s">
        <v>5756</v>
      </c>
      <c r="F2013" t="s">
        <v>10746</v>
      </c>
      <c r="G2013" t="s">
        <v>10663</v>
      </c>
      <c r="H2013" t="s">
        <v>5474</v>
      </c>
      <c r="I2013" t="s">
        <v>10747</v>
      </c>
      <c r="J2013" t="s">
        <v>5476</v>
      </c>
      <c r="K2013" t="s">
        <v>10722</v>
      </c>
      <c r="L2013" t="s">
        <v>5471</v>
      </c>
      <c r="M2013" t="s">
        <v>5471</v>
      </c>
    </row>
    <row r="2014" spans="1:13" x14ac:dyDescent="0.3">
      <c r="A2014" t="s">
        <v>3388</v>
      </c>
      <c r="B2014" t="s">
        <v>7109</v>
      </c>
      <c r="C2014" t="s">
        <v>5470</v>
      </c>
      <c r="D2014" t="s">
        <v>4119</v>
      </c>
      <c r="E2014" t="s">
        <v>5480</v>
      </c>
      <c r="F2014" t="s">
        <v>10748</v>
      </c>
      <c r="G2014" t="s">
        <v>10738</v>
      </c>
      <c r="H2014" t="s">
        <v>5474</v>
      </c>
      <c r="I2014" t="s">
        <v>10749</v>
      </c>
      <c r="J2014" t="s">
        <v>5476</v>
      </c>
      <c r="K2014" t="s">
        <v>10665</v>
      </c>
      <c r="L2014" t="s">
        <v>5471</v>
      </c>
      <c r="M2014" t="s">
        <v>5471</v>
      </c>
    </row>
    <row r="2015" spans="1:13" x14ac:dyDescent="0.3">
      <c r="A2015" t="s">
        <v>3388</v>
      </c>
      <c r="B2015" t="s">
        <v>7109</v>
      </c>
      <c r="C2015" t="s">
        <v>5470</v>
      </c>
      <c r="D2015" t="s">
        <v>4119</v>
      </c>
      <c r="E2015" t="s">
        <v>5480</v>
      </c>
      <c r="F2015" t="s">
        <v>10750</v>
      </c>
      <c r="G2015" t="s">
        <v>10732</v>
      </c>
      <c r="H2015" t="s">
        <v>5474</v>
      </c>
      <c r="I2015" t="s">
        <v>10751</v>
      </c>
      <c r="J2015" t="s">
        <v>5476</v>
      </c>
      <c r="K2015" t="s">
        <v>10752</v>
      </c>
      <c r="L2015" t="s">
        <v>5471</v>
      </c>
      <c r="M2015" t="s">
        <v>5471</v>
      </c>
    </row>
    <row r="2016" spans="1:13" x14ac:dyDescent="0.3">
      <c r="A2016" t="s">
        <v>3388</v>
      </c>
      <c r="B2016" t="s">
        <v>7109</v>
      </c>
      <c r="C2016" t="s">
        <v>5470</v>
      </c>
      <c r="D2016" t="s">
        <v>4119</v>
      </c>
      <c r="E2016" t="s">
        <v>5480</v>
      </c>
      <c r="F2016" t="s">
        <v>10753</v>
      </c>
      <c r="G2016" t="s">
        <v>10732</v>
      </c>
      <c r="H2016" t="s">
        <v>5474</v>
      </c>
      <c r="I2016" t="s">
        <v>10754</v>
      </c>
      <c r="J2016" t="s">
        <v>5476</v>
      </c>
      <c r="K2016" t="s">
        <v>10755</v>
      </c>
      <c r="L2016" t="s">
        <v>5471</v>
      </c>
      <c r="M2016" t="s">
        <v>5471</v>
      </c>
    </row>
    <row r="2017" spans="1:13" x14ac:dyDescent="0.3">
      <c r="A2017" t="s">
        <v>3388</v>
      </c>
      <c r="B2017" t="s">
        <v>7109</v>
      </c>
      <c r="C2017" t="s">
        <v>5470</v>
      </c>
      <c r="D2017" t="s">
        <v>4119</v>
      </c>
      <c r="E2017" t="s">
        <v>5480</v>
      </c>
      <c r="F2017" t="s">
        <v>10756</v>
      </c>
      <c r="G2017" t="s">
        <v>10738</v>
      </c>
      <c r="H2017" t="s">
        <v>5474</v>
      </c>
      <c r="I2017" t="s">
        <v>10757</v>
      </c>
      <c r="J2017" t="s">
        <v>5476</v>
      </c>
      <c r="K2017" t="s">
        <v>10758</v>
      </c>
      <c r="L2017" t="s">
        <v>5471</v>
      </c>
      <c r="M2017" t="s">
        <v>5471</v>
      </c>
    </row>
    <row r="2018" spans="1:13" x14ac:dyDescent="0.3">
      <c r="A2018" t="s">
        <v>3388</v>
      </c>
      <c r="B2018" t="s">
        <v>7109</v>
      </c>
      <c r="C2018" t="s">
        <v>5470</v>
      </c>
      <c r="D2018" t="s">
        <v>4119</v>
      </c>
      <c r="E2018" t="s">
        <v>5756</v>
      </c>
      <c r="F2018" t="s">
        <v>10759</v>
      </c>
      <c r="G2018" t="s">
        <v>10663</v>
      </c>
      <c r="H2018" t="s">
        <v>5474</v>
      </c>
      <c r="I2018" t="s">
        <v>10760</v>
      </c>
      <c r="J2018" t="s">
        <v>5476</v>
      </c>
      <c r="K2018" t="s">
        <v>10722</v>
      </c>
      <c r="L2018" t="s">
        <v>5471</v>
      </c>
      <c r="M2018" t="s">
        <v>5471</v>
      </c>
    </row>
    <row r="2019" spans="1:13" x14ac:dyDescent="0.3">
      <c r="A2019" t="s">
        <v>3388</v>
      </c>
      <c r="B2019" t="s">
        <v>7109</v>
      </c>
      <c r="C2019" t="s">
        <v>5470</v>
      </c>
      <c r="D2019" t="s">
        <v>4119</v>
      </c>
      <c r="E2019" t="s">
        <v>5756</v>
      </c>
      <c r="F2019" t="s">
        <v>10761</v>
      </c>
      <c r="G2019" t="s">
        <v>10663</v>
      </c>
      <c r="H2019" t="s">
        <v>5474</v>
      </c>
      <c r="I2019" t="s">
        <v>10762</v>
      </c>
      <c r="J2019" t="s">
        <v>5476</v>
      </c>
      <c r="K2019" t="s">
        <v>10665</v>
      </c>
      <c r="L2019" t="s">
        <v>5471</v>
      </c>
      <c r="M2019" t="s">
        <v>5471</v>
      </c>
    </row>
    <row r="2020" spans="1:13" x14ac:dyDescent="0.3">
      <c r="A2020" t="s">
        <v>3388</v>
      </c>
      <c r="B2020" t="s">
        <v>7109</v>
      </c>
      <c r="C2020" t="s">
        <v>5470</v>
      </c>
      <c r="D2020" t="s">
        <v>4119</v>
      </c>
      <c r="E2020" t="s">
        <v>5756</v>
      </c>
      <c r="F2020" t="s">
        <v>10763</v>
      </c>
      <c r="G2020" t="s">
        <v>10724</v>
      </c>
      <c r="H2020" t="s">
        <v>5474</v>
      </c>
      <c r="I2020" t="s">
        <v>10764</v>
      </c>
      <c r="J2020" t="s">
        <v>5476</v>
      </c>
      <c r="K2020" t="s">
        <v>10722</v>
      </c>
      <c r="L2020" t="s">
        <v>5471</v>
      </c>
      <c r="M2020" t="s">
        <v>5471</v>
      </c>
    </row>
    <row r="2021" spans="1:13" x14ac:dyDescent="0.3">
      <c r="A2021" t="s">
        <v>3397</v>
      </c>
      <c r="B2021" t="s">
        <v>10715</v>
      </c>
      <c r="C2021" t="s">
        <v>5470</v>
      </c>
      <c r="D2021" t="s">
        <v>4119</v>
      </c>
      <c r="E2021" t="s">
        <v>5756</v>
      </c>
      <c r="F2021" t="s">
        <v>10765</v>
      </c>
      <c r="G2021" t="s">
        <v>10670</v>
      </c>
      <c r="H2021" t="s">
        <v>5474</v>
      </c>
      <c r="I2021" t="s">
        <v>10766</v>
      </c>
      <c r="J2021" t="s">
        <v>5476</v>
      </c>
      <c r="K2021" t="s">
        <v>10683</v>
      </c>
      <c r="L2021" t="s">
        <v>5471</v>
      </c>
      <c r="M2021" t="s">
        <v>5471</v>
      </c>
    </row>
    <row r="2022" spans="1:13" x14ac:dyDescent="0.3">
      <c r="A2022" t="s">
        <v>3397</v>
      </c>
      <c r="B2022" t="s">
        <v>10715</v>
      </c>
      <c r="C2022" t="s">
        <v>5470</v>
      </c>
      <c r="D2022" t="s">
        <v>4119</v>
      </c>
      <c r="E2022" t="s">
        <v>5756</v>
      </c>
      <c r="F2022" t="s">
        <v>10767</v>
      </c>
      <c r="G2022" t="s">
        <v>10768</v>
      </c>
      <c r="H2022" t="s">
        <v>5474</v>
      </c>
      <c r="I2022" t="s">
        <v>10769</v>
      </c>
      <c r="J2022" t="s">
        <v>5476</v>
      </c>
      <c r="K2022" t="s">
        <v>10695</v>
      </c>
      <c r="L2022" t="s">
        <v>5471</v>
      </c>
      <c r="M2022" t="s">
        <v>5471</v>
      </c>
    </row>
    <row r="2023" spans="1:13" x14ac:dyDescent="0.3">
      <c r="A2023" t="s">
        <v>3397</v>
      </c>
      <c r="B2023" t="s">
        <v>10715</v>
      </c>
      <c r="C2023" t="s">
        <v>5470</v>
      </c>
      <c r="D2023" t="s">
        <v>4119</v>
      </c>
      <c r="E2023" t="s">
        <v>5756</v>
      </c>
      <c r="F2023" t="s">
        <v>10770</v>
      </c>
      <c r="G2023" t="s">
        <v>10768</v>
      </c>
      <c r="H2023" t="s">
        <v>5474</v>
      </c>
      <c r="I2023" t="s">
        <v>10771</v>
      </c>
      <c r="J2023" t="s">
        <v>5476</v>
      </c>
      <c r="K2023" t="s">
        <v>10706</v>
      </c>
      <c r="L2023" t="s">
        <v>5471</v>
      </c>
      <c r="M2023" t="s">
        <v>5471</v>
      </c>
    </row>
    <row r="2024" spans="1:13" x14ac:dyDescent="0.3">
      <c r="A2024" t="s">
        <v>3397</v>
      </c>
      <c r="B2024" t="s">
        <v>10715</v>
      </c>
      <c r="C2024" t="s">
        <v>5470</v>
      </c>
      <c r="D2024" t="s">
        <v>4119</v>
      </c>
      <c r="E2024" t="s">
        <v>5756</v>
      </c>
      <c r="F2024" t="s">
        <v>10772</v>
      </c>
      <c r="G2024" t="s">
        <v>10768</v>
      </c>
      <c r="H2024" t="s">
        <v>5474</v>
      </c>
      <c r="I2024" t="s">
        <v>10773</v>
      </c>
      <c r="J2024" t="s">
        <v>5476</v>
      </c>
      <c r="K2024" t="s">
        <v>10774</v>
      </c>
      <c r="L2024" t="s">
        <v>5471</v>
      </c>
      <c r="M2024" t="s">
        <v>5471</v>
      </c>
    </row>
    <row r="2025" spans="1:13" x14ac:dyDescent="0.3">
      <c r="A2025" t="s">
        <v>3397</v>
      </c>
      <c r="B2025" t="s">
        <v>10715</v>
      </c>
      <c r="C2025" t="s">
        <v>5470</v>
      </c>
      <c r="D2025" t="s">
        <v>4119</v>
      </c>
      <c r="E2025" t="s">
        <v>5756</v>
      </c>
      <c r="F2025" t="s">
        <v>10775</v>
      </c>
      <c r="G2025" t="s">
        <v>6272</v>
      </c>
      <c r="H2025" t="s">
        <v>5474</v>
      </c>
      <c r="I2025" t="s">
        <v>10776</v>
      </c>
      <c r="J2025" t="s">
        <v>5476</v>
      </c>
      <c r="K2025" t="s">
        <v>10777</v>
      </c>
      <c r="L2025" t="s">
        <v>5471</v>
      </c>
      <c r="M2025" t="s">
        <v>5471</v>
      </c>
    </row>
    <row r="2026" spans="1:13" x14ac:dyDescent="0.3">
      <c r="A2026" t="s">
        <v>3397</v>
      </c>
      <c r="B2026" t="s">
        <v>10715</v>
      </c>
      <c r="C2026" t="s">
        <v>5470</v>
      </c>
      <c r="D2026" t="s">
        <v>4119</v>
      </c>
      <c r="E2026" t="s">
        <v>5756</v>
      </c>
      <c r="F2026" t="s">
        <v>10778</v>
      </c>
      <c r="G2026" t="s">
        <v>6272</v>
      </c>
      <c r="H2026" t="s">
        <v>5474</v>
      </c>
      <c r="I2026" t="s">
        <v>10779</v>
      </c>
      <c r="J2026" t="s">
        <v>5476</v>
      </c>
      <c r="K2026" t="s">
        <v>10780</v>
      </c>
      <c r="L2026" t="s">
        <v>5471</v>
      </c>
      <c r="M2026" t="s">
        <v>5471</v>
      </c>
    </row>
    <row r="2027" spans="1:13" x14ac:dyDescent="0.3">
      <c r="A2027" t="s">
        <v>3397</v>
      </c>
      <c r="B2027" t="s">
        <v>10715</v>
      </c>
      <c r="C2027" t="s">
        <v>5470</v>
      </c>
      <c r="D2027" t="s">
        <v>4119</v>
      </c>
      <c r="E2027" t="s">
        <v>5756</v>
      </c>
      <c r="F2027" t="s">
        <v>10781</v>
      </c>
      <c r="G2027" t="s">
        <v>6272</v>
      </c>
      <c r="H2027" t="s">
        <v>5474</v>
      </c>
      <c r="I2027" t="s">
        <v>10782</v>
      </c>
      <c r="J2027" t="s">
        <v>5476</v>
      </c>
      <c r="K2027" t="s">
        <v>10783</v>
      </c>
      <c r="L2027" t="s">
        <v>5471</v>
      </c>
      <c r="M2027" t="s">
        <v>5471</v>
      </c>
    </row>
    <row r="2028" spans="1:13" x14ac:dyDescent="0.3">
      <c r="A2028" t="s">
        <v>3397</v>
      </c>
      <c r="B2028" t="s">
        <v>10715</v>
      </c>
      <c r="C2028" t="s">
        <v>5470</v>
      </c>
      <c r="D2028" t="s">
        <v>4119</v>
      </c>
      <c r="E2028" t="s">
        <v>5756</v>
      </c>
      <c r="F2028" t="s">
        <v>10784</v>
      </c>
      <c r="G2028" t="s">
        <v>10785</v>
      </c>
      <c r="H2028" t="s">
        <v>5474</v>
      </c>
      <c r="I2028" t="s">
        <v>10786</v>
      </c>
      <c r="J2028" t="s">
        <v>5476</v>
      </c>
      <c r="K2028" t="s">
        <v>10787</v>
      </c>
      <c r="L2028" t="s">
        <v>5471</v>
      </c>
      <c r="M2028" t="s">
        <v>5471</v>
      </c>
    </row>
    <row r="2029" spans="1:13" x14ac:dyDescent="0.3">
      <c r="A2029" t="s">
        <v>3397</v>
      </c>
      <c r="B2029" t="s">
        <v>10715</v>
      </c>
      <c r="C2029" t="s">
        <v>5470</v>
      </c>
      <c r="D2029" t="s">
        <v>4119</v>
      </c>
      <c r="E2029" t="s">
        <v>5756</v>
      </c>
      <c r="F2029" t="s">
        <v>10788</v>
      </c>
      <c r="G2029" t="s">
        <v>10785</v>
      </c>
      <c r="H2029" t="s">
        <v>5474</v>
      </c>
      <c r="I2029" t="s">
        <v>10789</v>
      </c>
      <c r="J2029" t="s">
        <v>5476</v>
      </c>
      <c r="K2029" t="s">
        <v>10790</v>
      </c>
      <c r="L2029" t="s">
        <v>5471</v>
      </c>
      <c r="M2029" t="s">
        <v>5471</v>
      </c>
    </row>
    <row r="2030" spans="1:13" x14ac:dyDescent="0.3">
      <c r="A2030" t="s">
        <v>3380</v>
      </c>
      <c r="B2030" t="s">
        <v>10673</v>
      </c>
      <c r="C2030" t="s">
        <v>6342</v>
      </c>
      <c r="D2030" t="s">
        <v>4119</v>
      </c>
      <c r="E2030" t="s">
        <v>9935</v>
      </c>
      <c r="F2030" t="s">
        <v>10791</v>
      </c>
      <c r="G2030" t="s">
        <v>10792</v>
      </c>
      <c r="H2030" t="s">
        <v>5474</v>
      </c>
      <c r="I2030" t="s">
        <v>10793</v>
      </c>
      <c r="J2030" t="s">
        <v>5476</v>
      </c>
      <c r="K2030" t="s">
        <v>10794</v>
      </c>
      <c r="L2030" t="s">
        <v>5471</v>
      </c>
      <c r="M2030" t="s">
        <v>5471</v>
      </c>
    </row>
    <row r="2031" spans="1:13" x14ac:dyDescent="0.3">
      <c r="A2031" t="s">
        <v>3397</v>
      </c>
      <c r="B2031" t="s">
        <v>10715</v>
      </c>
      <c r="C2031" t="s">
        <v>5470</v>
      </c>
      <c r="D2031" t="s">
        <v>4119</v>
      </c>
      <c r="E2031" t="s">
        <v>5756</v>
      </c>
      <c r="F2031" t="s">
        <v>10795</v>
      </c>
      <c r="G2031" t="s">
        <v>10785</v>
      </c>
      <c r="H2031" t="s">
        <v>5474</v>
      </c>
      <c r="I2031" t="s">
        <v>10796</v>
      </c>
      <c r="J2031" t="s">
        <v>5476</v>
      </c>
      <c r="K2031" t="s">
        <v>10797</v>
      </c>
      <c r="L2031" t="s">
        <v>5471</v>
      </c>
      <c r="M2031" t="s">
        <v>5471</v>
      </c>
    </row>
    <row r="2032" spans="1:13" x14ac:dyDescent="0.3">
      <c r="A2032" t="s">
        <v>3380</v>
      </c>
      <c r="B2032" t="s">
        <v>10673</v>
      </c>
      <c r="C2032" t="s">
        <v>6342</v>
      </c>
      <c r="D2032" t="s">
        <v>4119</v>
      </c>
      <c r="E2032" t="s">
        <v>9935</v>
      </c>
      <c r="F2032" t="s">
        <v>10798</v>
      </c>
      <c r="G2032" t="s">
        <v>10799</v>
      </c>
      <c r="H2032" t="s">
        <v>5474</v>
      </c>
      <c r="I2032" t="s">
        <v>10800</v>
      </c>
      <c r="J2032" t="s">
        <v>5476</v>
      </c>
      <c r="K2032" t="s">
        <v>10801</v>
      </c>
      <c r="L2032" t="s">
        <v>5471</v>
      </c>
      <c r="M2032" t="s">
        <v>5471</v>
      </c>
    </row>
    <row r="2033" spans="1:13" x14ac:dyDescent="0.3">
      <c r="A2033" t="s">
        <v>3380</v>
      </c>
      <c r="B2033" t="s">
        <v>10673</v>
      </c>
      <c r="C2033" t="s">
        <v>6342</v>
      </c>
      <c r="D2033" t="s">
        <v>4119</v>
      </c>
      <c r="E2033" t="s">
        <v>9935</v>
      </c>
      <c r="F2033" t="s">
        <v>10802</v>
      </c>
      <c r="G2033" t="s">
        <v>10799</v>
      </c>
      <c r="H2033" t="s">
        <v>5474</v>
      </c>
      <c r="I2033" t="s">
        <v>10803</v>
      </c>
      <c r="J2033" t="s">
        <v>5476</v>
      </c>
      <c r="K2033" t="s">
        <v>10804</v>
      </c>
      <c r="L2033" t="s">
        <v>5471</v>
      </c>
      <c r="M2033" t="s">
        <v>5471</v>
      </c>
    </row>
    <row r="2034" spans="1:13" x14ac:dyDescent="0.3">
      <c r="A2034" t="s">
        <v>3388</v>
      </c>
      <c r="B2034" t="s">
        <v>2749</v>
      </c>
      <c r="C2034" t="s">
        <v>5470</v>
      </c>
      <c r="D2034" t="s">
        <v>4119</v>
      </c>
      <c r="E2034" t="s">
        <v>5532</v>
      </c>
      <c r="F2034" t="s">
        <v>10805</v>
      </c>
      <c r="G2034" t="s">
        <v>10806</v>
      </c>
      <c r="H2034" t="s">
        <v>5474</v>
      </c>
      <c r="I2034" t="s">
        <v>10807</v>
      </c>
      <c r="J2034" t="s">
        <v>5476</v>
      </c>
      <c r="K2034" t="s">
        <v>10808</v>
      </c>
      <c r="L2034" t="s">
        <v>5471</v>
      </c>
      <c r="M2034" t="s">
        <v>5471</v>
      </c>
    </row>
    <row r="2035" spans="1:13" x14ac:dyDescent="0.3">
      <c r="A2035" t="s">
        <v>3380</v>
      </c>
      <c r="B2035" t="s">
        <v>10673</v>
      </c>
      <c r="C2035" t="s">
        <v>6342</v>
      </c>
      <c r="D2035" t="s">
        <v>4119</v>
      </c>
      <c r="E2035" t="s">
        <v>9935</v>
      </c>
      <c r="F2035" t="s">
        <v>10809</v>
      </c>
      <c r="G2035" t="s">
        <v>10799</v>
      </c>
      <c r="H2035" t="s">
        <v>5474</v>
      </c>
      <c r="I2035" t="s">
        <v>10810</v>
      </c>
      <c r="J2035" t="s">
        <v>5476</v>
      </c>
      <c r="K2035" t="s">
        <v>10811</v>
      </c>
      <c r="L2035" t="s">
        <v>5471</v>
      </c>
      <c r="M2035" t="s">
        <v>5471</v>
      </c>
    </row>
    <row r="2036" spans="1:13" x14ac:dyDescent="0.3">
      <c r="A2036" t="s">
        <v>3380</v>
      </c>
      <c r="B2036" t="s">
        <v>10673</v>
      </c>
      <c r="C2036" t="s">
        <v>6342</v>
      </c>
      <c r="D2036" t="s">
        <v>4119</v>
      </c>
      <c r="E2036" t="s">
        <v>9935</v>
      </c>
      <c r="F2036" t="s">
        <v>10812</v>
      </c>
      <c r="G2036" t="s">
        <v>10799</v>
      </c>
      <c r="H2036" t="s">
        <v>5474</v>
      </c>
      <c r="I2036" t="s">
        <v>10813</v>
      </c>
      <c r="J2036" t="s">
        <v>5476</v>
      </c>
      <c r="K2036" t="s">
        <v>10814</v>
      </c>
      <c r="L2036" t="s">
        <v>5471</v>
      </c>
      <c r="M2036" t="s">
        <v>5471</v>
      </c>
    </row>
    <row r="2037" spans="1:13" x14ac:dyDescent="0.3">
      <c r="A2037" t="s">
        <v>3380</v>
      </c>
      <c r="B2037" t="s">
        <v>10673</v>
      </c>
      <c r="C2037" t="s">
        <v>6342</v>
      </c>
      <c r="D2037" t="s">
        <v>4119</v>
      </c>
      <c r="E2037" t="s">
        <v>9935</v>
      </c>
      <c r="F2037" t="s">
        <v>10815</v>
      </c>
      <c r="G2037" t="s">
        <v>10799</v>
      </c>
      <c r="H2037" t="s">
        <v>5474</v>
      </c>
      <c r="I2037" t="s">
        <v>10816</v>
      </c>
      <c r="J2037" t="s">
        <v>5476</v>
      </c>
      <c r="K2037" t="s">
        <v>10817</v>
      </c>
      <c r="L2037" t="s">
        <v>5471</v>
      </c>
      <c r="M2037" t="s">
        <v>5471</v>
      </c>
    </row>
    <row r="2038" spans="1:13" x14ac:dyDescent="0.3">
      <c r="A2038" t="s">
        <v>3380</v>
      </c>
      <c r="B2038" t="s">
        <v>10673</v>
      </c>
      <c r="C2038" t="s">
        <v>6342</v>
      </c>
      <c r="D2038" t="s">
        <v>4119</v>
      </c>
      <c r="E2038" t="s">
        <v>9935</v>
      </c>
      <c r="F2038" t="s">
        <v>10818</v>
      </c>
      <c r="G2038" t="s">
        <v>10675</v>
      </c>
      <c r="H2038" t="s">
        <v>5474</v>
      </c>
      <c r="I2038" t="s">
        <v>10819</v>
      </c>
      <c r="J2038" t="s">
        <v>5476</v>
      </c>
      <c r="K2038" t="s">
        <v>10820</v>
      </c>
      <c r="L2038" t="s">
        <v>5471</v>
      </c>
      <c r="M2038" t="s">
        <v>5471</v>
      </c>
    </row>
    <row r="2039" spans="1:13" x14ac:dyDescent="0.3">
      <c r="A2039" t="s">
        <v>3380</v>
      </c>
      <c r="B2039" t="s">
        <v>10673</v>
      </c>
      <c r="C2039" t="s">
        <v>6342</v>
      </c>
      <c r="D2039" t="s">
        <v>4119</v>
      </c>
      <c r="E2039" t="s">
        <v>9935</v>
      </c>
      <c r="F2039" t="s">
        <v>10821</v>
      </c>
      <c r="G2039" t="s">
        <v>10685</v>
      </c>
      <c r="H2039" t="s">
        <v>5474</v>
      </c>
      <c r="I2039" t="s">
        <v>10822</v>
      </c>
      <c r="J2039" t="s">
        <v>5476</v>
      </c>
      <c r="K2039" t="s">
        <v>10823</v>
      </c>
      <c r="L2039" t="s">
        <v>5471</v>
      </c>
      <c r="M2039" t="s">
        <v>5471</v>
      </c>
    </row>
    <row r="2040" spans="1:13" x14ac:dyDescent="0.3">
      <c r="A2040" t="s">
        <v>3380</v>
      </c>
      <c r="B2040" t="s">
        <v>10673</v>
      </c>
      <c r="C2040" t="s">
        <v>6342</v>
      </c>
      <c r="D2040" t="s">
        <v>4119</v>
      </c>
      <c r="E2040" t="s">
        <v>9935</v>
      </c>
      <c r="F2040" t="s">
        <v>10824</v>
      </c>
      <c r="G2040" t="s">
        <v>10689</v>
      </c>
      <c r="H2040" t="s">
        <v>5474</v>
      </c>
      <c r="I2040" t="s">
        <v>10825</v>
      </c>
      <c r="J2040" t="s">
        <v>5476</v>
      </c>
      <c r="K2040" t="s">
        <v>10826</v>
      </c>
      <c r="L2040" t="s">
        <v>5471</v>
      </c>
      <c r="M2040" t="s">
        <v>5471</v>
      </c>
    </row>
    <row r="2041" spans="1:13" x14ac:dyDescent="0.3">
      <c r="A2041" t="s">
        <v>3388</v>
      </c>
      <c r="B2041" t="s">
        <v>5956</v>
      </c>
      <c r="C2041" t="s">
        <v>5470</v>
      </c>
      <c r="D2041" t="s">
        <v>4119</v>
      </c>
      <c r="E2041" t="s">
        <v>5532</v>
      </c>
      <c r="F2041" t="s">
        <v>10827</v>
      </c>
      <c r="G2041" t="s">
        <v>10828</v>
      </c>
      <c r="H2041" t="s">
        <v>5474</v>
      </c>
      <c r="I2041" t="s">
        <v>10829</v>
      </c>
      <c r="J2041" t="s">
        <v>5476</v>
      </c>
      <c r="K2041" t="s">
        <v>10830</v>
      </c>
      <c r="L2041" t="s">
        <v>5471</v>
      </c>
      <c r="M2041" t="s">
        <v>5471</v>
      </c>
    </row>
    <row r="2042" spans="1:13" x14ac:dyDescent="0.3">
      <c r="A2042" t="s">
        <v>3388</v>
      </c>
      <c r="B2042" t="s">
        <v>5956</v>
      </c>
      <c r="C2042" t="s">
        <v>5470</v>
      </c>
      <c r="D2042" t="s">
        <v>4119</v>
      </c>
      <c r="E2042" t="s">
        <v>5532</v>
      </c>
      <c r="F2042" t="s">
        <v>10831</v>
      </c>
      <c r="G2042" t="s">
        <v>10832</v>
      </c>
      <c r="H2042" t="s">
        <v>5474</v>
      </c>
      <c r="I2042" t="s">
        <v>10833</v>
      </c>
      <c r="J2042" t="s">
        <v>5476</v>
      </c>
      <c r="K2042" t="s">
        <v>10834</v>
      </c>
      <c r="L2042" t="s">
        <v>5471</v>
      </c>
      <c r="M2042" t="s">
        <v>5471</v>
      </c>
    </row>
    <row r="2043" spans="1:13" x14ac:dyDescent="0.3">
      <c r="A2043" t="s">
        <v>3380</v>
      </c>
      <c r="B2043" t="s">
        <v>10673</v>
      </c>
      <c r="C2043" t="s">
        <v>6342</v>
      </c>
      <c r="D2043" t="s">
        <v>4119</v>
      </c>
      <c r="E2043" t="s">
        <v>9935</v>
      </c>
      <c r="F2043" t="s">
        <v>10835</v>
      </c>
      <c r="G2043" t="s">
        <v>10697</v>
      </c>
      <c r="H2043" t="s">
        <v>5474</v>
      </c>
      <c r="I2043" t="s">
        <v>10836</v>
      </c>
      <c r="J2043" t="s">
        <v>5476</v>
      </c>
      <c r="K2043" t="s">
        <v>10837</v>
      </c>
      <c r="L2043" t="s">
        <v>5471</v>
      </c>
      <c r="M2043" t="s">
        <v>5471</v>
      </c>
    </row>
    <row r="2044" spans="1:13" x14ac:dyDescent="0.3">
      <c r="A2044" t="s">
        <v>3388</v>
      </c>
      <c r="B2044" t="s">
        <v>7109</v>
      </c>
      <c r="C2044" t="s">
        <v>5470</v>
      </c>
      <c r="D2044" t="s">
        <v>4058</v>
      </c>
      <c r="E2044" t="s">
        <v>5532</v>
      </c>
      <c r="F2044" t="s">
        <v>10838</v>
      </c>
      <c r="G2044" t="s">
        <v>10732</v>
      </c>
      <c r="H2044" t="s">
        <v>5474</v>
      </c>
      <c r="I2044" t="s">
        <v>10839</v>
      </c>
      <c r="J2044" t="s">
        <v>5476</v>
      </c>
      <c r="K2044" t="s">
        <v>10840</v>
      </c>
      <c r="L2044" t="s">
        <v>5471</v>
      </c>
      <c r="M2044" t="s">
        <v>5471</v>
      </c>
    </row>
    <row r="2045" spans="1:13" x14ac:dyDescent="0.3">
      <c r="A2045" t="s">
        <v>3380</v>
      </c>
      <c r="B2045" t="s">
        <v>10673</v>
      </c>
      <c r="C2045" t="s">
        <v>6342</v>
      </c>
      <c r="D2045" t="s">
        <v>4119</v>
      </c>
      <c r="E2045" t="s">
        <v>9935</v>
      </c>
      <c r="F2045" t="s">
        <v>10841</v>
      </c>
      <c r="G2045" t="s">
        <v>10708</v>
      </c>
      <c r="H2045" t="s">
        <v>5474</v>
      </c>
      <c r="I2045" t="s">
        <v>10842</v>
      </c>
      <c r="J2045" t="s">
        <v>5476</v>
      </c>
      <c r="K2045" t="s">
        <v>10843</v>
      </c>
      <c r="L2045" t="s">
        <v>5471</v>
      </c>
      <c r="M2045" t="s">
        <v>5471</v>
      </c>
    </row>
    <row r="2046" spans="1:13" x14ac:dyDescent="0.3">
      <c r="A2046" t="s">
        <v>3380</v>
      </c>
      <c r="B2046" t="s">
        <v>10673</v>
      </c>
      <c r="C2046" t="s">
        <v>6342</v>
      </c>
      <c r="D2046" t="s">
        <v>4119</v>
      </c>
      <c r="E2046" t="s">
        <v>9935</v>
      </c>
      <c r="F2046" t="s">
        <v>10844</v>
      </c>
      <c r="G2046" t="s">
        <v>10799</v>
      </c>
      <c r="H2046" t="s">
        <v>5474</v>
      </c>
      <c r="I2046" t="s">
        <v>10845</v>
      </c>
      <c r="J2046" t="s">
        <v>5476</v>
      </c>
      <c r="K2046" t="s">
        <v>10600</v>
      </c>
      <c r="L2046" t="s">
        <v>5471</v>
      </c>
      <c r="M2046" t="s">
        <v>5471</v>
      </c>
    </row>
    <row r="2047" spans="1:13" x14ac:dyDescent="0.3">
      <c r="A2047" t="s">
        <v>3380</v>
      </c>
      <c r="B2047" t="s">
        <v>10673</v>
      </c>
      <c r="C2047" t="s">
        <v>6342</v>
      </c>
      <c r="D2047" t="s">
        <v>4119</v>
      </c>
      <c r="E2047" t="s">
        <v>9935</v>
      </c>
      <c r="F2047" t="s">
        <v>10846</v>
      </c>
      <c r="G2047" t="s">
        <v>10799</v>
      </c>
      <c r="H2047" t="s">
        <v>5474</v>
      </c>
      <c r="I2047" t="s">
        <v>10847</v>
      </c>
      <c r="J2047" t="s">
        <v>5476</v>
      </c>
      <c r="K2047" t="s">
        <v>10848</v>
      </c>
      <c r="L2047" t="s">
        <v>5471</v>
      </c>
      <c r="M2047" t="s">
        <v>5471</v>
      </c>
    </row>
    <row r="2048" spans="1:13" x14ac:dyDescent="0.3">
      <c r="A2048" t="s">
        <v>3388</v>
      </c>
      <c r="B2048" t="s">
        <v>7109</v>
      </c>
      <c r="C2048" t="s">
        <v>5470</v>
      </c>
      <c r="D2048" t="s">
        <v>4058</v>
      </c>
      <c r="E2048" t="s">
        <v>5532</v>
      </c>
      <c r="F2048" t="s">
        <v>10849</v>
      </c>
      <c r="G2048" t="s">
        <v>10732</v>
      </c>
      <c r="H2048" t="s">
        <v>5474</v>
      </c>
      <c r="I2048" t="s">
        <v>10850</v>
      </c>
      <c r="J2048" t="s">
        <v>5476</v>
      </c>
      <c r="K2048" t="s">
        <v>10851</v>
      </c>
      <c r="L2048" t="s">
        <v>5471</v>
      </c>
      <c r="M2048" t="s">
        <v>5471</v>
      </c>
    </row>
    <row r="2049" spans="1:13" x14ac:dyDescent="0.3">
      <c r="A2049" t="s">
        <v>3388</v>
      </c>
      <c r="B2049" t="s">
        <v>10852</v>
      </c>
      <c r="C2049" t="s">
        <v>5470</v>
      </c>
      <c r="D2049" t="s">
        <v>4119</v>
      </c>
      <c r="E2049" t="s">
        <v>5756</v>
      </c>
      <c r="F2049" t="s">
        <v>10853</v>
      </c>
      <c r="G2049" t="s">
        <v>10854</v>
      </c>
      <c r="H2049" t="s">
        <v>5474</v>
      </c>
      <c r="I2049" t="s">
        <v>10855</v>
      </c>
      <c r="J2049" t="s">
        <v>5476</v>
      </c>
      <c r="K2049" t="s">
        <v>10856</v>
      </c>
      <c r="L2049" t="s">
        <v>5471</v>
      </c>
      <c r="M2049" t="s">
        <v>5471</v>
      </c>
    </row>
    <row r="2050" spans="1:13" x14ac:dyDescent="0.3">
      <c r="A2050" t="s">
        <v>3388</v>
      </c>
      <c r="B2050" t="s">
        <v>10857</v>
      </c>
      <c r="C2050" t="s">
        <v>5470</v>
      </c>
      <c r="D2050" t="s">
        <v>4119</v>
      </c>
      <c r="E2050" t="s">
        <v>5756</v>
      </c>
      <c r="F2050" t="s">
        <v>10858</v>
      </c>
      <c r="G2050" t="s">
        <v>10859</v>
      </c>
      <c r="H2050" t="s">
        <v>5474</v>
      </c>
      <c r="I2050" t="s">
        <v>10860</v>
      </c>
      <c r="J2050" t="s">
        <v>5476</v>
      </c>
      <c r="K2050" t="s">
        <v>10861</v>
      </c>
      <c r="L2050" t="s">
        <v>5471</v>
      </c>
      <c r="M2050" t="s">
        <v>5471</v>
      </c>
    </row>
    <row r="2051" spans="1:13" x14ac:dyDescent="0.3">
      <c r="A2051" t="s">
        <v>3388</v>
      </c>
      <c r="B2051" t="s">
        <v>10857</v>
      </c>
      <c r="C2051" t="s">
        <v>5470</v>
      </c>
      <c r="D2051" t="s">
        <v>4119</v>
      </c>
      <c r="E2051" t="s">
        <v>5756</v>
      </c>
      <c r="F2051" t="s">
        <v>10862</v>
      </c>
      <c r="G2051" t="s">
        <v>10859</v>
      </c>
      <c r="H2051" t="s">
        <v>5474</v>
      </c>
      <c r="I2051" t="s">
        <v>10863</v>
      </c>
      <c r="J2051" t="s">
        <v>5476</v>
      </c>
      <c r="K2051" t="s">
        <v>10864</v>
      </c>
      <c r="L2051" t="s">
        <v>5471</v>
      </c>
      <c r="M2051" t="s">
        <v>5471</v>
      </c>
    </row>
    <row r="2052" spans="1:13" x14ac:dyDescent="0.3">
      <c r="A2052" t="s">
        <v>3388</v>
      </c>
      <c r="B2052" t="s">
        <v>10865</v>
      </c>
      <c r="C2052" t="s">
        <v>5470</v>
      </c>
      <c r="D2052" t="s">
        <v>4119</v>
      </c>
      <c r="E2052" t="s">
        <v>5756</v>
      </c>
      <c r="F2052" t="s">
        <v>10866</v>
      </c>
      <c r="G2052" t="s">
        <v>10867</v>
      </c>
      <c r="H2052" t="s">
        <v>5474</v>
      </c>
      <c r="I2052" t="s">
        <v>10868</v>
      </c>
      <c r="J2052" t="s">
        <v>5476</v>
      </c>
      <c r="K2052" t="s">
        <v>10869</v>
      </c>
      <c r="L2052" t="s">
        <v>5471</v>
      </c>
      <c r="M2052" t="s">
        <v>5471</v>
      </c>
    </row>
    <row r="2053" spans="1:13" x14ac:dyDescent="0.3">
      <c r="A2053" t="s">
        <v>3388</v>
      </c>
      <c r="B2053" t="s">
        <v>10870</v>
      </c>
      <c r="C2053" t="s">
        <v>5470</v>
      </c>
      <c r="D2053" t="s">
        <v>4119</v>
      </c>
      <c r="E2053" t="s">
        <v>5532</v>
      </c>
      <c r="F2053" t="s">
        <v>10871</v>
      </c>
      <c r="G2053" t="s">
        <v>10872</v>
      </c>
      <c r="H2053" t="s">
        <v>5474</v>
      </c>
      <c r="I2053" t="s">
        <v>10873</v>
      </c>
      <c r="J2053" t="s">
        <v>5476</v>
      </c>
      <c r="K2053" t="s">
        <v>10874</v>
      </c>
      <c r="L2053" t="s">
        <v>5471</v>
      </c>
      <c r="M2053" t="s">
        <v>5471</v>
      </c>
    </row>
    <row r="2054" spans="1:13" x14ac:dyDescent="0.3">
      <c r="A2054" t="s">
        <v>3388</v>
      </c>
      <c r="B2054" t="s">
        <v>5956</v>
      </c>
      <c r="C2054" t="s">
        <v>5470</v>
      </c>
      <c r="D2054" t="s">
        <v>4119</v>
      </c>
      <c r="E2054" t="s">
        <v>5532</v>
      </c>
      <c r="F2054" t="s">
        <v>10875</v>
      </c>
      <c r="G2054" t="s">
        <v>10876</v>
      </c>
      <c r="H2054" t="s">
        <v>5474</v>
      </c>
      <c r="I2054" t="s">
        <v>10877</v>
      </c>
      <c r="J2054" t="s">
        <v>5476</v>
      </c>
      <c r="K2054" t="s">
        <v>10878</v>
      </c>
      <c r="L2054" t="s">
        <v>5471</v>
      </c>
      <c r="M2054" t="s">
        <v>5471</v>
      </c>
    </row>
    <row r="2055" spans="1:13" x14ac:dyDescent="0.3">
      <c r="A2055" t="s">
        <v>3383</v>
      </c>
      <c r="B2055" t="s">
        <v>6113</v>
      </c>
      <c r="C2055" t="s">
        <v>5487</v>
      </c>
      <c r="D2055" t="s">
        <v>10218</v>
      </c>
      <c r="E2055" t="s">
        <v>5532</v>
      </c>
      <c r="F2055" t="s">
        <v>10879</v>
      </c>
      <c r="G2055" t="s">
        <v>10880</v>
      </c>
      <c r="H2055" t="s">
        <v>5474</v>
      </c>
      <c r="I2055" t="s">
        <v>10881</v>
      </c>
      <c r="J2055" t="s">
        <v>5476</v>
      </c>
      <c r="K2055" t="s">
        <v>10882</v>
      </c>
      <c r="L2055" t="s">
        <v>5471</v>
      </c>
      <c r="M2055" t="s">
        <v>5471</v>
      </c>
    </row>
    <row r="2056" spans="1:13" x14ac:dyDescent="0.3">
      <c r="A2056" t="s">
        <v>3383</v>
      </c>
      <c r="B2056" t="s">
        <v>6113</v>
      </c>
      <c r="C2056" t="s">
        <v>5487</v>
      </c>
      <c r="D2056" t="s">
        <v>10218</v>
      </c>
      <c r="E2056" t="s">
        <v>5532</v>
      </c>
      <c r="F2056" t="s">
        <v>10883</v>
      </c>
      <c r="G2056" t="s">
        <v>10880</v>
      </c>
      <c r="H2056" t="s">
        <v>5474</v>
      </c>
      <c r="I2056" t="s">
        <v>10884</v>
      </c>
      <c r="J2056" t="s">
        <v>5476</v>
      </c>
      <c r="K2056" t="s">
        <v>10882</v>
      </c>
      <c r="L2056" t="s">
        <v>5471</v>
      </c>
      <c r="M2056" t="s">
        <v>5471</v>
      </c>
    </row>
    <row r="2057" spans="1:13" x14ac:dyDescent="0.3">
      <c r="A2057" t="s">
        <v>3383</v>
      </c>
      <c r="B2057" t="s">
        <v>6067</v>
      </c>
      <c r="C2057" t="s">
        <v>5487</v>
      </c>
      <c r="D2057" t="s">
        <v>10218</v>
      </c>
      <c r="E2057" t="s">
        <v>5532</v>
      </c>
      <c r="F2057" t="s">
        <v>10885</v>
      </c>
      <c r="G2057" t="s">
        <v>10886</v>
      </c>
      <c r="H2057" t="s">
        <v>5474</v>
      </c>
      <c r="I2057" t="s">
        <v>10887</v>
      </c>
      <c r="J2057" t="s">
        <v>5476</v>
      </c>
      <c r="K2057" t="s">
        <v>10888</v>
      </c>
      <c r="L2057" t="s">
        <v>5471</v>
      </c>
      <c r="M2057" t="s">
        <v>5471</v>
      </c>
    </row>
    <row r="2058" spans="1:13" x14ac:dyDescent="0.3">
      <c r="A2058" t="s">
        <v>3383</v>
      </c>
      <c r="B2058" t="s">
        <v>6005</v>
      </c>
      <c r="C2058" t="s">
        <v>5487</v>
      </c>
      <c r="D2058" t="s">
        <v>10218</v>
      </c>
      <c r="E2058" t="s">
        <v>5532</v>
      </c>
      <c r="F2058" t="s">
        <v>10889</v>
      </c>
      <c r="G2058" t="s">
        <v>10890</v>
      </c>
      <c r="H2058" t="s">
        <v>5474</v>
      </c>
      <c r="I2058" t="s">
        <v>10891</v>
      </c>
      <c r="J2058" t="s">
        <v>5476</v>
      </c>
      <c r="K2058" t="s">
        <v>10892</v>
      </c>
      <c r="L2058" t="s">
        <v>5471</v>
      </c>
      <c r="M2058" t="s">
        <v>5471</v>
      </c>
    </row>
    <row r="2059" spans="1:13" x14ac:dyDescent="0.3">
      <c r="A2059" t="s">
        <v>3383</v>
      </c>
      <c r="B2059" t="s">
        <v>6005</v>
      </c>
      <c r="C2059" t="s">
        <v>5487</v>
      </c>
      <c r="D2059" t="s">
        <v>10218</v>
      </c>
      <c r="E2059" t="s">
        <v>5532</v>
      </c>
      <c r="F2059" t="s">
        <v>10893</v>
      </c>
      <c r="G2059" t="s">
        <v>10894</v>
      </c>
      <c r="H2059" t="s">
        <v>5474</v>
      </c>
      <c r="I2059" t="s">
        <v>10895</v>
      </c>
      <c r="J2059" t="s">
        <v>5476</v>
      </c>
      <c r="K2059" t="s">
        <v>10896</v>
      </c>
      <c r="L2059" t="s">
        <v>5471</v>
      </c>
      <c r="M2059" t="s">
        <v>5471</v>
      </c>
    </row>
    <row r="2060" spans="1:13" x14ac:dyDescent="0.3">
      <c r="A2060" t="s">
        <v>3383</v>
      </c>
      <c r="B2060" t="s">
        <v>6005</v>
      </c>
      <c r="C2060" t="s">
        <v>5487</v>
      </c>
      <c r="D2060" t="s">
        <v>10218</v>
      </c>
      <c r="E2060" t="s">
        <v>5843</v>
      </c>
      <c r="F2060" t="s">
        <v>10897</v>
      </c>
      <c r="G2060" t="s">
        <v>10894</v>
      </c>
      <c r="H2060" t="s">
        <v>5474</v>
      </c>
      <c r="I2060" t="s">
        <v>10898</v>
      </c>
      <c r="J2060" t="s">
        <v>5476</v>
      </c>
      <c r="K2060" t="s">
        <v>10899</v>
      </c>
      <c r="L2060" t="s">
        <v>5471</v>
      </c>
      <c r="M2060" t="s">
        <v>5471</v>
      </c>
    </row>
    <row r="2061" spans="1:13" x14ac:dyDescent="0.3">
      <c r="A2061" t="s">
        <v>3388</v>
      </c>
      <c r="B2061" t="s">
        <v>2749</v>
      </c>
      <c r="C2061" t="s">
        <v>5470</v>
      </c>
      <c r="D2061" t="s">
        <v>4119</v>
      </c>
      <c r="E2061" t="s">
        <v>5532</v>
      </c>
      <c r="F2061" t="s">
        <v>10900</v>
      </c>
      <c r="G2061" t="s">
        <v>10901</v>
      </c>
      <c r="H2061" t="s">
        <v>5474</v>
      </c>
      <c r="I2061" t="s">
        <v>10902</v>
      </c>
      <c r="J2061" t="s">
        <v>5476</v>
      </c>
      <c r="K2061" t="s">
        <v>10903</v>
      </c>
      <c r="L2061" t="s">
        <v>5471</v>
      </c>
      <c r="M2061" t="s">
        <v>5471</v>
      </c>
    </row>
    <row r="2062" spans="1:13" x14ac:dyDescent="0.3">
      <c r="A2062" t="s">
        <v>3388</v>
      </c>
      <c r="B2062" t="s">
        <v>2749</v>
      </c>
      <c r="C2062" t="s">
        <v>5470</v>
      </c>
      <c r="D2062" t="s">
        <v>4119</v>
      </c>
      <c r="E2062" t="s">
        <v>5532</v>
      </c>
      <c r="F2062" t="s">
        <v>10904</v>
      </c>
      <c r="G2062" t="s">
        <v>10901</v>
      </c>
      <c r="H2062" t="s">
        <v>5474</v>
      </c>
      <c r="I2062" t="s">
        <v>10905</v>
      </c>
      <c r="J2062" t="s">
        <v>5476</v>
      </c>
      <c r="K2062" t="s">
        <v>10906</v>
      </c>
      <c r="L2062" t="s">
        <v>5471</v>
      </c>
      <c r="M2062" t="s">
        <v>5471</v>
      </c>
    </row>
    <row r="2063" spans="1:13" x14ac:dyDescent="0.3">
      <c r="A2063" t="s">
        <v>3383</v>
      </c>
      <c r="B2063" t="s">
        <v>6005</v>
      </c>
      <c r="C2063" t="s">
        <v>5487</v>
      </c>
      <c r="D2063" t="s">
        <v>10218</v>
      </c>
      <c r="E2063" t="s">
        <v>5843</v>
      </c>
      <c r="F2063" t="s">
        <v>10907</v>
      </c>
      <c r="G2063" t="s">
        <v>10908</v>
      </c>
      <c r="H2063" t="s">
        <v>5474</v>
      </c>
      <c r="I2063" t="s">
        <v>10909</v>
      </c>
      <c r="J2063" t="s">
        <v>5476</v>
      </c>
      <c r="K2063" t="s">
        <v>10910</v>
      </c>
      <c r="L2063" t="s">
        <v>5471</v>
      </c>
      <c r="M2063" t="s">
        <v>5471</v>
      </c>
    </row>
    <row r="2064" spans="1:13" x14ac:dyDescent="0.3">
      <c r="A2064" t="s">
        <v>3383</v>
      </c>
      <c r="B2064" t="s">
        <v>5324</v>
      </c>
      <c r="C2064" t="s">
        <v>5487</v>
      </c>
      <c r="D2064" t="s">
        <v>10218</v>
      </c>
      <c r="E2064" t="s">
        <v>5532</v>
      </c>
      <c r="F2064" t="s">
        <v>10911</v>
      </c>
      <c r="G2064" t="s">
        <v>10912</v>
      </c>
      <c r="H2064" t="s">
        <v>5474</v>
      </c>
      <c r="I2064" t="s">
        <v>10913</v>
      </c>
      <c r="J2064" t="s">
        <v>5476</v>
      </c>
      <c r="K2064" t="s">
        <v>10914</v>
      </c>
      <c r="L2064" t="s">
        <v>5471</v>
      </c>
      <c r="M2064" t="s">
        <v>5471</v>
      </c>
    </row>
    <row r="2065" spans="1:13" x14ac:dyDescent="0.3">
      <c r="A2065" t="s">
        <v>3383</v>
      </c>
      <c r="B2065" t="s">
        <v>6005</v>
      </c>
      <c r="C2065" t="s">
        <v>5487</v>
      </c>
      <c r="D2065" t="s">
        <v>10218</v>
      </c>
      <c r="E2065" t="s">
        <v>5532</v>
      </c>
      <c r="F2065" t="s">
        <v>10915</v>
      </c>
      <c r="G2065" t="s">
        <v>10912</v>
      </c>
      <c r="H2065" t="s">
        <v>5474</v>
      </c>
      <c r="I2065" t="s">
        <v>10916</v>
      </c>
      <c r="J2065" t="s">
        <v>5476</v>
      </c>
      <c r="K2065" t="s">
        <v>10917</v>
      </c>
      <c r="L2065" t="s">
        <v>5471</v>
      </c>
      <c r="M2065" t="s">
        <v>5471</v>
      </c>
    </row>
    <row r="2066" spans="1:13" x14ac:dyDescent="0.3">
      <c r="A2066" t="s">
        <v>3380</v>
      </c>
      <c r="B2066" t="s">
        <v>10673</v>
      </c>
      <c r="C2066" t="s">
        <v>6342</v>
      </c>
      <c r="D2066" t="s">
        <v>4119</v>
      </c>
      <c r="E2066" t="s">
        <v>9935</v>
      </c>
      <c r="F2066" t="s">
        <v>10918</v>
      </c>
      <c r="G2066" t="s">
        <v>10799</v>
      </c>
      <c r="H2066" t="s">
        <v>5474</v>
      </c>
      <c r="I2066" t="s">
        <v>10919</v>
      </c>
      <c r="J2066" t="s">
        <v>5476</v>
      </c>
      <c r="K2066" t="s">
        <v>10920</v>
      </c>
      <c r="L2066" t="s">
        <v>5471</v>
      </c>
      <c r="M2066" t="s">
        <v>5471</v>
      </c>
    </row>
    <row r="2067" spans="1:13" x14ac:dyDescent="0.3">
      <c r="A2067" t="s">
        <v>3380</v>
      </c>
      <c r="B2067" t="s">
        <v>10673</v>
      </c>
      <c r="C2067" t="s">
        <v>6342</v>
      </c>
      <c r="D2067" t="s">
        <v>4119</v>
      </c>
      <c r="E2067" t="s">
        <v>9935</v>
      </c>
      <c r="F2067" t="s">
        <v>10921</v>
      </c>
      <c r="G2067" t="s">
        <v>10799</v>
      </c>
      <c r="H2067" t="s">
        <v>5474</v>
      </c>
      <c r="I2067" t="s">
        <v>10922</v>
      </c>
      <c r="J2067" t="s">
        <v>5476</v>
      </c>
      <c r="K2067" t="s">
        <v>10610</v>
      </c>
      <c r="L2067" t="s">
        <v>5471</v>
      </c>
      <c r="M2067" t="s">
        <v>5471</v>
      </c>
    </row>
    <row r="2068" spans="1:13" x14ac:dyDescent="0.3">
      <c r="A2068" t="s">
        <v>3380</v>
      </c>
      <c r="B2068" t="s">
        <v>10673</v>
      </c>
      <c r="C2068" t="s">
        <v>6342</v>
      </c>
      <c r="D2068" t="s">
        <v>4119</v>
      </c>
      <c r="E2068" t="s">
        <v>9935</v>
      </c>
      <c r="F2068" t="s">
        <v>10923</v>
      </c>
      <c r="G2068" t="s">
        <v>10799</v>
      </c>
      <c r="H2068" t="s">
        <v>5474</v>
      </c>
      <c r="I2068" t="s">
        <v>10924</v>
      </c>
      <c r="J2068" t="s">
        <v>5476</v>
      </c>
      <c r="K2068" t="s">
        <v>10925</v>
      </c>
      <c r="L2068" t="s">
        <v>5471</v>
      </c>
      <c r="M2068" t="s">
        <v>5471</v>
      </c>
    </row>
    <row r="2069" spans="1:13" x14ac:dyDescent="0.3">
      <c r="A2069" t="s">
        <v>3380</v>
      </c>
      <c r="B2069" t="s">
        <v>10539</v>
      </c>
      <c r="C2069" t="s">
        <v>6342</v>
      </c>
      <c r="D2069" t="s">
        <v>4119</v>
      </c>
      <c r="E2069" t="s">
        <v>9935</v>
      </c>
      <c r="F2069" t="s">
        <v>10926</v>
      </c>
      <c r="G2069" t="s">
        <v>10541</v>
      </c>
      <c r="H2069" t="s">
        <v>5474</v>
      </c>
      <c r="I2069" t="s">
        <v>10927</v>
      </c>
      <c r="J2069" t="s">
        <v>5476</v>
      </c>
      <c r="K2069" t="s">
        <v>10928</v>
      </c>
      <c r="L2069" t="s">
        <v>5471</v>
      </c>
      <c r="M2069" t="s">
        <v>5471</v>
      </c>
    </row>
    <row r="2070" spans="1:13" x14ac:dyDescent="0.3">
      <c r="A2070" t="s">
        <v>3380</v>
      </c>
      <c r="B2070" t="s">
        <v>9934</v>
      </c>
      <c r="C2070" t="s">
        <v>6342</v>
      </c>
      <c r="D2070" t="s">
        <v>4119</v>
      </c>
      <c r="E2070" t="s">
        <v>9935</v>
      </c>
      <c r="F2070" t="s">
        <v>10929</v>
      </c>
      <c r="G2070" t="s">
        <v>10930</v>
      </c>
      <c r="H2070" t="s">
        <v>5474</v>
      </c>
      <c r="I2070" t="s">
        <v>10931</v>
      </c>
      <c r="J2070" t="s">
        <v>5476</v>
      </c>
      <c r="K2070" t="s">
        <v>10932</v>
      </c>
      <c r="L2070" t="s">
        <v>5471</v>
      </c>
      <c r="M2070" t="s">
        <v>5471</v>
      </c>
    </row>
    <row r="2071" spans="1:13" x14ac:dyDescent="0.3">
      <c r="A2071" t="s">
        <v>3383</v>
      </c>
      <c r="B2071" t="s">
        <v>5324</v>
      </c>
      <c r="C2071" t="s">
        <v>5487</v>
      </c>
      <c r="D2071" t="s">
        <v>10218</v>
      </c>
      <c r="E2071" t="s">
        <v>5532</v>
      </c>
      <c r="F2071" t="s">
        <v>10933</v>
      </c>
      <c r="G2071" t="s">
        <v>10912</v>
      </c>
      <c r="H2071" t="s">
        <v>5474</v>
      </c>
      <c r="I2071" t="s">
        <v>10934</v>
      </c>
      <c r="J2071" t="s">
        <v>5476</v>
      </c>
      <c r="K2071" t="s">
        <v>10935</v>
      </c>
      <c r="L2071" t="s">
        <v>5471</v>
      </c>
      <c r="M2071" t="s">
        <v>5471</v>
      </c>
    </row>
    <row r="2072" spans="1:13" x14ac:dyDescent="0.3">
      <c r="A2072" t="s">
        <v>3383</v>
      </c>
      <c r="B2072" t="s">
        <v>5324</v>
      </c>
      <c r="C2072" t="s">
        <v>5487</v>
      </c>
      <c r="D2072" t="s">
        <v>4052</v>
      </c>
      <c r="E2072" t="s">
        <v>5532</v>
      </c>
      <c r="F2072" t="s">
        <v>10936</v>
      </c>
      <c r="G2072" t="s">
        <v>10937</v>
      </c>
      <c r="H2072" t="s">
        <v>5474</v>
      </c>
      <c r="I2072" t="s">
        <v>10938</v>
      </c>
      <c r="J2072" t="s">
        <v>5476</v>
      </c>
      <c r="K2072" t="s">
        <v>10939</v>
      </c>
      <c r="L2072" t="s">
        <v>5471</v>
      </c>
      <c r="M2072" t="s">
        <v>5471</v>
      </c>
    </row>
    <row r="2073" spans="1:13" x14ac:dyDescent="0.3">
      <c r="A2073" t="s">
        <v>3383</v>
      </c>
      <c r="B2073" t="s">
        <v>6022</v>
      </c>
      <c r="C2073" t="s">
        <v>5487</v>
      </c>
      <c r="D2073" t="s">
        <v>4052</v>
      </c>
      <c r="E2073" t="s">
        <v>5532</v>
      </c>
      <c r="F2073" t="s">
        <v>10940</v>
      </c>
      <c r="G2073" t="s">
        <v>10941</v>
      </c>
      <c r="H2073" t="s">
        <v>5474</v>
      </c>
      <c r="I2073" t="s">
        <v>10942</v>
      </c>
      <c r="J2073" t="s">
        <v>5476</v>
      </c>
      <c r="K2073" t="s">
        <v>10943</v>
      </c>
      <c r="L2073" t="s">
        <v>5471</v>
      </c>
      <c r="M2073" t="s">
        <v>5471</v>
      </c>
    </row>
    <row r="2074" spans="1:13" x14ac:dyDescent="0.3">
      <c r="A2074" t="s">
        <v>3383</v>
      </c>
      <c r="B2074" t="s">
        <v>6034</v>
      </c>
      <c r="C2074" t="s">
        <v>5487</v>
      </c>
      <c r="D2074" t="s">
        <v>4052</v>
      </c>
      <c r="E2074" t="s">
        <v>5532</v>
      </c>
      <c r="F2074" t="s">
        <v>10944</v>
      </c>
      <c r="G2074" t="s">
        <v>10945</v>
      </c>
      <c r="H2074" t="s">
        <v>5474</v>
      </c>
      <c r="I2074" t="s">
        <v>10946</v>
      </c>
      <c r="J2074" t="s">
        <v>5476</v>
      </c>
      <c r="K2074" t="s">
        <v>10947</v>
      </c>
      <c r="L2074" t="s">
        <v>5471</v>
      </c>
      <c r="M2074" t="s">
        <v>5471</v>
      </c>
    </row>
    <row r="2075" spans="1:13" x14ac:dyDescent="0.3">
      <c r="A2075" t="s">
        <v>3383</v>
      </c>
      <c r="B2075" t="s">
        <v>6034</v>
      </c>
      <c r="C2075" t="s">
        <v>5487</v>
      </c>
      <c r="D2075" t="s">
        <v>4119</v>
      </c>
      <c r="E2075" t="s">
        <v>5532</v>
      </c>
      <c r="F2075" t="s">
        <v>10948</v>
      </c>
      <c r="G2075" t="s">
        <v>8193</v>
      </c>
      <c r="H2075" t="s">
        <v>5474</v>
      </c>
      <c r="I2075" t="s">
        <v>10949</v>
      </c>
      <c r="J2075" t="s">
        <v>5476</v>
      </c>
      <c r="K2075" t="s">
        <v>10950</v>
      </c>
      <c r="L2075" t="s">
        <v>5471</v>
      </c>
      <c r="M2075" t="s">
        <v>5471</v>
      </c>
    </row>
    <row r="2076" spans="1:13" x14ac:dyDescent="0.3">
      <c r="A2076" t="s">
        <v>3388</v>
      </c>
      <c r="B2076" t="s">
        <v>7109</v>
      </c>
      <c r="C2076" t="s">
        <v>5470</v>
      </c>
      <c r="D2076" t="s">
        <v>4058</v>
      </c>
      <c r="E2076" t="s">
        <v>5532</v>
      </c>
      <c r="F2076" t="s">
        <v>10951</v>
      </c>
      <c r="G2076" t="s">
        <v>10952</v>
      </c>
      <c r="H2076" t="s">
        <v>5474</v>
      </c>
      <c r="I2076" t="s">
        <v>10953</v>
      </c>
      <c r="J2076" t="s">
        <v>5476</v>
      </c>
      <c r="K2076" t="s">
        <v>10954</v>
      </c>
      <c r="L2076" t="s">
        <v>5471</v>
      </c>
      <c r="M2076" t="s">
        <v>5471</v>
      </c>
    </row>
    <row r="2077" spans="1:13" x14ac:dyDescent="0.3">
      <c r="A2077" t="s">
        <v>3388</v>
      </c>
      <c r="B2077" t="s">
        <v>7109</v>
      </c>
      <c r="C2077" t="s">
        <v>5470</v>
      </c>
      <c r="D2077" t="s">
        <v>4058</v>
      </c>
      <c r="E2077" t="s">
        <v>5532</v>
      </c>
      <c r="F2077" t="s">
        <v>10955</v>
      </c>
      <c r="G2077" t="s">
        <v>10732</v>
      </c>
      <c r="H2077" t="s">
        <v>5474</v>
      </c>
      <c r="I2077" t="s">
        <v>10956</v>
      </c>
      <c r="J2077" t="s">
        <v>5476</v>
      </c>
      <c r="K2077" t="s">
        <v>10957</v>
      </c>
      <c r="L2077" t="s">
        <v>5471</v>
      </c>
      <c r="M2077" t="s">
        <v>5471</v>
      </c>
    </row>
    <row r="2078" spans="1:13" x14ac:dyDescent="0.3">
      <c r="A2078" t="s">
        <v>3388</v>
      </c>
      <c r="B2078" t="s">
        <v>7109</v>
      </c>
      <c r="C2078" t="s">
        <v>5470</v>
      </c>
      <c r="D2078" t="s">
        <v>4058</v>
      </c>
      <c r="E2078" t="s">
        <v>5532</v>
      </c>
      <c r="F2078" t="s">
        <v>10958</v>
      </c>
      <c r="G2078" t="s">
        <v>10732</v>
      </c>
      <c r="H2078" t="s">
        <v>5474</v>
      </c>
      <c r="I2078" t="s">
        <v>10959</v>
      </c>
      <c r="J2078" t="s">
        <v>5476</v>
      </c>
      <c r="K2078" t="s">
        <v>10960</v>
      </c>
      <c r="L2078" t="s">
        <v>5471</v>
      </c>
      <c r="M2078" t="s">
        <v>5471</v>
      </c>
    </row>
    <row r="2079" spans="1:13" x14ac:dyDescent="0.3">
      <c r="A2079" t="s">
        <v>3388</v>
      </c>
      <c r="B2079" t="s">
        <v>10961</v>
      </c>
      <c r="C2079" t="s">
        <v>5470</v>
      </c>
      <c r="D2079" t="s">
        <v>4052</v>
      </c>
      <c r="E2079" t="s">
        <v>5532</v>
      </c>
      <c r="F2079" t="s">
        <v>10962</v>
      </c>
      <c r="G2079" t="s">
        <v>10963</v>
      </c>
      <c r="H2079" t="s">
        <v>5474</v>
      </c>
      <c r="I2079" t="s">
        <v>10964</v>
      </c>
      <c r="J2079" t="s">
        <v>5476</v>
      </c>
      <c r="K2079" t="s">
        <v>10965</v>
      </c>
      <c r="L2079" t="s">
        <v>5471</v>
      </c>
      <c r="M2079" t="s">
        <v>5471</v>
      </c>
    </row>
    <row r="2080" spans="1:13" x14ac:dyDescent="0.3">
      <c r="A2080" t="s">
        <v>3380</v>
      </c>
      <c r="B2080" t="s">
        <v>10966</v>
      </c>
      <c r="C2080" t="s">
        <v>6342</v>
      </c>
      <c r="D2080" t="s">
        <v>4119</v>
      </c>
      <c r="E2080" t="s">
        <v>5532</v>
      </c>
      <c r="F2080" t="s">
        <v>10967</v>
      </c>
      <c r="G2080" t="s">
        <v>10968</v>
      </c>
      <c r="H2080" t="s">
        <v>5474</v>
      </c>
      <c r="I2080" t="s">
        <v>10969</v>
      </c>
      <c r="J2080" t="s">
        <v>5476</v>
      </c>
      <c r="K2080" t="s">
        <v>10970</v>
      </c>
      <c r="L2080" t="s">
        <v>5471</v>
      </c>
      <c r="M2080" t="s">
        <v>5471</v>
      </c>
    </row>
    <row r="2081" spans="1:13" x14ac:dyDescent="0.3">
      <c r="A2081" t="s">
        <v>3380</v>
      </c>
      <c r="B2081" t="s">
        <v>10966</v>
      </c>
      <c r="C2081" t="s">
        <v>6342</v>
      </c>
      <c r="D2081" t="s">
        <v>4119</v>
      </c>
      <c r="E2081" t="s">
        <v>5532</v>
      </c>
      <c r="F2081" t="s">
        <v>10971</v>
      </c>
      <c r="G2081" t="s">
        <v>10972</v>
      </c>
      <c r="H2081" t="s">
        <v>5474</v>
      </c>
      <c r="I2081" t="s">
        <v>10973</v>
      </c>
      <c r="J2081" t="s">
        <v>5476</v>
      </c>
      <c r="K2081" t="s">
        <v>10974</v>
      </c>
      <c r="L2081" t="s">
        <v>5471</v>
      </c>
      <c r="M2081" t="s">
        <v>5471</v>
      </c>
    </row>
    <row r="2082" spans="1:13" x14ac:dyDescent="0.3">
      <c r="A2082" t="s">
        <v>3380</v>
      </c>
      <c r="B2082" t="s">
        <v>10539</v>
      </c>
      <c r="C2082" t="s">
        <v>6342</v>
      </c>
      <c r="D2082" t="s">
        <v>4119</v>
      </c>
      <c r="E2082" t="s">
        <v>9935</v>
      </c>
      <c r="F2082" t="s">
        <v>10975</v>
      </c>
      <c r="G2082" t="s">
        <v>10553</v>
      </c>
      <c r="H2082" t="s">
        <v>5474</v>
      </c>
      <c r="I2082" t="s">
        <v>10976</v>
      </c>
      <c r="J2082" t="s">
        <v>5476</v>
      </c>
      <c r="K2082" t="s">
        <v>10928</v>
      </c>
      <c r="L2082" t="s">
        <v>5471</v>
      </c>
      <c r="M2082" t="s">
        <v>5471</v>
      </c>
    </row>
    <row r="2083" spans="1:13" x14ac:dyDescent="0.3">
      <c r="A2083" t="s">
        <v>3380</v>
      </c>
      <c r="B2083" t="s">
        <v>10539</v>
      </c>
      <c r="C2083" t="s">
        <v>6342</v>
      </c>
      <c r="D2083" t="s">
        <v>4119</v>
      </c>
      <c r="E2083" t="s">
        <v>9935</v>
      </c>
      <c r="F2083" t="s">
        <v>10977</v>
      </c>
      <c r="G2083" t="s">
        <v>10553</v>
      </c>
      <c r="H2083" t="s">
        <v>5474</v>
      </c>
      <c r="I2083" t="s">
        <v>10978</v>
      </c>
      <c r="J2083" t="s">
        <v>5476</v>
      </c>
      <c r="K2083" t="s">
        <v>10979</v>
      </c>
      <c r="L2083" t="s">
        <v>5471</v>
      </c>
      <c r="M2083" t="s">
        <v>5471</v>
      </c>
    </row>
    <row r="2084" spans="1:13" x14ac:dyDescent="0.3">
      <c r="A2084" t="s">
        <v>3380</v>
      </c>
      <c r="B2084" t="s">
        <v>10539</v>
      </c>
      <c r="C2084" t="s">
        <v>6342</v>
      </c>
      <c r="D2084" t="s">
        <v>4119</v>
      </c>
      <c r="E2084" t="s">
        <v>9935</v>
      </c>
      <c r="F2084" t="s">
        <v>10980</v>
      </c>
      <c r="G2084" t="s">
        <v>10553</v>
      </c>
      <c r="H2084" t="s">
        <v>5474</v>
      </c>
      <c r="I2084" t="s">
        <v>10981</v>
      </c>
      <c r="J2084" t="s">
        <v>5476</v>
      </c>
      <c r="K2084" t="s">
        <v>10982</v>
      </c>
      <c r="L2084" t="s">
        <v>5471</v>
      </c>
      <c r="M2084" t="s">
        <v>5471</v>
      </c>
    </row>
    <row r="2085" spans="1:13" x14ac:dyDescent="0.3">
      <c r="A2085" t="s">
        <v>3380</v>
      </c>
      <c r="B2085" t="s">
        <v>10966</v>
      </c>
      <c r="C2085" t="s">
        <v>6342</v>
      </c>
      <c r="D2085" t="s">
        <v>4119</v>
      </c>
      <c r="E2085" t="s">
        <v>5532</v>
      </c>
      <c r="F2085" t="s">
        <v>10983</v>
      </c>
      <c r="G2085" t="s">
        <v>10984</v>
      </c>
      <c r="H2085" t="s">
        <v>5474</v>
      </c>
      <c r="I2085" t="s">
        <v>10985</v>
      </c>
      <c r="J2085" t="s">
        <v>5476</v>
      </c>
      <c r="K2085" t="s">
        <v>10986</v>
      </c>
      <c r="L2085" t="s">
        <v>5471</v>
      </c>
      <c r="M2085" t="s">
        <v>5471</v>
      </c>
    </row>
    <row r="2086" spans="1:13" x14ac:dyDescent="0.3">
      <c r="A2086" t="s">
        <v>3380</v>
      </c>
      <c r="B2086" t="s">
        <v>10539</v>
      </c>
      <c r="C2086" t="s">
        <v>6342</v>
      </c>
      <c r="D2086" t="s">
        <v>4119</v>
      </c>
      <c r="E2086" t="s">
        <v>9935</v>
      </c>
      <c r="F2086" t="s">
        <v>10987</v>
      </c>
      <c r="G2086" t="s">
        <v>10553</v>
      </c>
      <c r="H2086" t="s">
        <v>5474</v>
      </c>
      <c r="I2086" t="s">
        <v>10988</v>
      </c>
      <c r="J2086" t="s">
        <v>5476</v>
      </c>
      <c r="K2086" t="s">
        <v>10989</v>
      </c>
      <c r="L2086" t="s">
        <v>5471</v>
      </c>
      <c r="M2086" t="s">
        <v>5471</v>
      </c>
    </row>
    <row r="2087" spans="1:13" x14ac:dyDescent="0.3">
      <c r="A2087" t="s">
        <v>3380</v>
      </c>
      <c r="B2087" t="s">
        <v>10966</v>
      </c>
      <c r="C2087" t="s">
        <v>6342</v>
      </c>
      <c r="D2087" t="s">
        <v>4119</v>
      </c>
      <c r="E2087" t="s">
        <v>5532</v>
      </c>
      <c r="F2087" t="s">
        <v>10990</v>
      </c>
      <c r="G2087" t="s">
        <v>10991</v>
      </c>
      <c r="H2087" t="s">
        <v>5474</v>
      </c>
      <c r="I2087" t="s">
        <v>10992</v>
      </c>
      <c r="J2087" t="s">
        <v>5476</v>
      </c>
      <c r="K2087" t="s">
        <v>10993</v>
      </c>
      <c r="L2087" t="s">
        <v>5471</v>
      </c>
      <c r="M2087" t="s">
        <v>5471</v>
      </c>
    </row>
    <row r="2088" spans="1:13" x14ac:dyDescent="0.3">
      <c r="A2088" t="s">
        <v>3380</v>
      </c>
      <c r="B2088" t="s">
        <v>10539</v>
      </c>
      <c r="C2088" t="s">
        <v>6342</v>
      </c>
      <c r="D2088" t="s">
        <v>4119</v>
      </c>
      <c r="E2088" t="s">
        <v>9935</v>
      </c>
      <c r="F2088" t="s">
        <v>10994</v>
      </c>
      <c r="G2088" t="s">
        <v>10553</v>
      </c>
      <c r="H2088" t="s">
        <v>5474</v>
      </c>
      <c r="I2088" t="s">
        <v>10995</v>
      </c>
      <c r="J2088" t="s">
        <v>5476</v>
      </c>
      <c r="K2088" t="s">
        <v>10996</v>
      </c>
      <c r="L2088" t="s">
        <v>5471</v>
      </c>
      <c r="M2088" t="s">
        <v>5471</v>
      </c>
    </row>
    <row r="2089" spans="1:13" x14ac:dyDescent="0.3">
      <c r="A2089" t="s">
        <v>3380</v>
      </c>
      <c r="B2089" t="s">
        <v>10966</v>
      </c>
      <c r="C2089" t="s">
        <v>6342</v>
      </c>
      <c r="D2089" t="s">
        <v>4119</v>
      </c>
      <c r="E2089" t="s">
        <v>5532</v>
      </c>
      <c r="F2089" t="s">
        <v>10997</v>
      </c>
      <c r="G2089" t="s">
        <v>10998</v>
      </c>
      <c r="H2089" t="s">
        <v>5474</v>
      </c>
      <c r="I2089" t="s">
        <v>10999</v>
      </c>
      <c r="J2089" t="s">
        <v>5476</v>
      </c>
      <c r="K2089" t="s">
        <v>11000</v>
      </c>
      <c r="L2089" t="s">
        <v>5471</v>
      </c>
      <c r="M2089" t="s">
        <v>5471</v>
      </c>
    </row>
    <row r="2090" spans="1:13" x14ac:dyDescent="0.3">
      <c r="A2090" t="s">
        <v>3380</v>
      </c>
      <c r="B2090" t="s">
        <v>10539</v>
      </c>
      <c r="C2090" t="s">
        <v>6342</v>
      </c>
      <c r="D2090" t="s">
        <v>4119</v>
      </c>
      <c r="E2090" t="s">
        <v>9935</v>
      </c>
      <c r="F2090" t="s">
        <v>11001</v>
      </c>
      <c r="G2090" t="s">
        <v>10553</v>
      </c>
      <c r="H2090" t="s">
        <v>5474</v>
      </c>
      <c r="I2090" t="s">
        <v>11002</v>
      </c>
      <c r="J2090" t="s">
        <v>5476</v>
      </c>
      <c r="K2090" t="s">
        <v>11003</v>
      </c>
      <c r="L2090" t="s">
        <v>5471</v>
      </c>
      <c r="M2090" t="s">
        <v>5471</v>
      </c>
    </row>
    <row r="2091" spans="1:13" x14ac:dyDescent="0.3">
      <c r="A2091" t="s">
        <v>3380</v>
      </c>
      <c r="B2091" t="s">
        <v>10539</v>
      </c>
      <c r="C2091" t="s">
        <v>6342</v>
      </c>
      <c r="D2091" t="s">
        <v>4119</v>
      </c>
      <c r="E2091" t="s">
        <v>9935</v>
      </c>
      <c r="F2091" t="s">
        <v>11004</v>
      </c>
      <c r="G2091" t="s">
        <v>10553</v>
      </c>
      <c r="H2091" t="s">
        <v>5474</v>
      </c>
      <c r="I2091" t="s">
        <v>11005</v>
      </c>
      <c r="J2091" t="s">
        <v>5476</v>
      </c>
      <c r="K2091" t="s">
        <v>11006</v>
      </c>
      <c r="L2091" t="s">
        <v>5471</v>
      </c>
      <c r="M2091" t="s">
        <v>5471</v>
      </c>
    </row>
    <row r="2092" spans="1:13" x14ac:dyDescent="0.3">
      <c r="A2092" t="s">
        <v>3380</v>
      </c>
      <c r="B2092" t="s">
        <v>10539</v>
      </c>
      <c r="C2092" t="s">
        <v>6342</v>
      </c>
      <c r="D2092" t="s">
        <v>4119</v>
      </c>
      <c r="E2092" t="s">
        <v>9935</v>
      </c>
      <c r="F2092" t="s">
        <v>11007</v>
      </c>
      <c r="G2092" t="s">
        <v>10553</v>
      </c>
      <c r="H2092" t="s">
        <v>5474</v>
      </c>
      <c r="I2092" t="s">
        <v>11008</v>
      </c>
      <c r="J2092" t="s">
        <v>5476</v>
      </c>
      <c r="K2092" t="s">
        <v>11009</v>
      </c>
      <c r="L2092" t="s">
        <v>5471</v>
      </c>
      <c r="M2092" t="s">
        <v>5471</v>
      </c>
    </row>
    <row r="2093" spans="1:13" x14ac:dyDescent="0.3">
      <c r="A2093" t="s">
        <v>3380</v>
      </c>
      <c r="B2093" t="s">
        <v>10539</v>
      </c>
      <c r="C2093" t="s">
        <v>6342</v>
      </c>
      <c r="D2093" t="s">
        <v>4119</v>
      </c>
      <c r="E2093" t="s">
        <v>9935</v>
      </c>
      <c r="F2093" t="s">
        <v>11010</v>
      </c>
      <c r="G2093" t="s">
        <v>10553</v>
      </c>
      <c r="H2093" t="s">
        <v>5474</v>
      </c>
      <c r="I2093" t="s">
        <v>11011</v>
      </c>
      <c r="J2093" t="s">
        <v>5476</v>
      </c>
      <c r="K2093" t="s">
        <v>11012</v>
      </c>
      <c r="L2093" t="s">
        <v>5471</v>
      </c>
      <c r="M2093" t="s">
        <v>5471</v>
      </c>
    </row>
    <row r="2094" spans="1:13" x14ac:dyDescent="0.3">
      <c r="A2094" t="s">
        <v>3380</v>
      </c>
      <c r="B2094" t="s">
        <v>10966</v>
      </c>
      <c r="C2094" t="s">
        <v>6342</v>
      </c>
      <c r="D2094" t="s">
        <v>4119</v>
      </c>
      <c r="E2094" t="s">
        <v>5532</v>
      </c>
      <c r="F2094" t="s">
        <v>11013</v>
      </c>
      <c r="G2094" t="s">
        <v>11014</v>
      </c>
      <c r="H2094" t="s">
        <v>5474</v>
      </c>
      <c r="I2094" t="s">
        <v>11015</v>
      </c>
      <c r="J2094" t="s">
        <v>5476</v>
      </c>
      <c r="K2094" t="s">
        <v>11016</v>
      </c>
      <c r="L2094" t="s">
        <v>5471</v>
      </c>
      <c r="M2094" t="s">
        <v>5471</v>
      </c>
    </row>
    <row r="2095" spans="1:13" x14ac:dyDescent="0.3">
      <c r="A2095" t="s">
        <v>3380</v>
      </c>
      <c r="B2095" t="s">
        <v>10966</v>
      </c>
      <c r="C2095" t="s">
        <v>6342</v>
      </c>
      <c r="D2095" t="s">
        <v>4119</v>
      </c>
      <c r="E2095" t="s">
        <v>5532</v>
      </c>
      <c r="F2095" t="s">
        <v>11017</v>
      </c>
      <c r="G2095" t="s">
        <v>11018</v>
      </c>
      <c r="H2095" t="s">
        <v>5474</v>
      </c>
      <c r="I2095" t="s">
        <v>11019</v>
      </c>
      <c r="J2095" t="s">
        <v>5476</v>
      </c>
      <c r="K2095" t="s">
        <v>11020</v>
      </c>
      <c r="L2095" t="s">
        <v>5471</v>
      </c>
      <c r="M2095" t="s">
        <v>5471</v>
      </c>
    </row>
    <row r="2096" spans="1:13" x14ac:dyDescent="0.3">
      <c r="A2096" t="s">
        <v>3380</v>
      </c>
      <c r="B2096" t="s">
        <v>10966</v>
      </c>
      <c r="C2096" t="s">
        <v>6342</v>
      </c>
      <c r="D2096" t="s">
        <v>4119</v>
      </c>
      <c r="E2096" t="s">
        <v>5532</v>
      </c>
      <c r="F2096" t="s">
        <v>11021</v>
      </c>
      <c r="G2096" t="s">
        <v>11022</v>
      </c>
      <c r="H2096" t="s">
        <v>5474</v>
      </c>
      <c r="I2096" t="s">
        <v>11023</v>
      </c>
      <c r="J2096" t="s">
        <v>5476</v>
      </c>
      <c r="K2096" t="s">
        <v>11024</v>
      </c>
      <c r="L2096" t="s">
        <v>5471</v>
      </c>
      <c r="M2096" t="s">
        <v>5471</v>
      </c>
    </row>
    <row r="2097" spans="1:13" x14ac:dyDescent="0.3">
      <c r="A2097" t="s">
        <v>3380</v>
      </c>
      <c r="B2097" t="s">
        <v>10673</v>
      </c>
      <c r="C2097" t="s">
        <v>6342</v>
      </c>
      <c r="D2097" t="s">
        <v>4119</v>
      </c>
      <c r="E2097" t="s">
        <v>5480</v>
      </c>
      <c r="F2097" t="s">
        <v>11025</v>
      </c>
      <c r="G2097" t="s">
        <v>10799</v>
      </c>
      <c r="H2097" t="s">
        <v>5474</v>
      </c>
      <c r="I2097" t="s">
        <v>11026</v>
      </c>
      <c r="J2097" t="s">
        <v>5476</v>
      </c>
      <c r="K2097" t="s">
        <v>10979</v>
      </c>
      <c r="L2097" t="s">
        <v>5471</v>
      </c>
      <c r="M2097" t="s">
        <v>5471</v>
      </c>
    </row>
    <row r="2098" spans="1:13" x14ac:dyDescent="0.3">
      <c r="A2098" t="s">
        <v>3380</v>
      </c>
      <c r="B2098" t="s">
        <v>10673</v>
      </c>
      <c r="C2098" t="s">
        <v>6342</v>
      </c>
      <c r="D2098" t="s">
        <v>4119</v>
      </c>
      <c r="E2098" t="s">
        <v>5480</v>
      </c>
      <c r="F2098" t="s">
        <v>11027</v>
      </c>
      <c r="G2098" t="s">
        <v>10799</v>
      </c>
      <c r="H2098" t="s">
        <v>5474</v>
      </c>
      <c r="I2098" t="s">
        <v>11028</v>
      </c>
      <c r="J2098" t="s">
        <v>5476</v>
      </c>
      <c r="K2098" t="s">
        <v>10982</v>
      </c>
      <c r="L2098" t="s">
        <v>5471</v>
      </c>
      <c r="M2098" t="s">
        <v>5471</v>
      </c>
    </row>
    <row r="2099" spans="1:13" x14ac:dyDescent="0.3">
      <c r="A2099" t="s">
        <v>3380</v>
      </c>
      <c r="B2099" t="s">
        <v>10966</v>
      </c>
      <c r="C2099" t="s">
        <v>6342</v>
      </c>
      <c r="D2099" t="s">
        <v>4119</v>
      </c>
      <c r="E2099" t="s">
        <v>5532</v>
      </c>
      <c r="F2099" t="s">
        <v>11029</v>
      </c>
      <c r="G2099" t="s">
        <v>11030</v>
      </c>
      <c r="H2099" t="s">
        <v>5474</v>
      </c>
      <c r="I2099" t="s">
        <v>11031</v>
      </c>
      <c r="J2099" t="s">
        <v>5476</v>
      </c>
      <c r="K2099" t="s">
        <v>11032</v>
      </c>
      <c r="L2099" t="s">
        <v>5471</v>
      </c>
      <c r="M2099" t="s">
        <v>5471</v>
      </c>
    </row>
    <row r="2100" spans="1:13" x14ac:dyDescent="0.3">
      <c r="A2100" t="s">
        <v>3380</v>
      </c>
      <c r="B2100" t="s">
        <v>10966</v>
      </c>
      <c r="C2100" t="s">
        <v>6342</v>
      </c>
      <c r="D2100" t="s">
        <v>4119</v>
      </c>
      <c r="E2100" t="s">
        <v>5532</v>
      </c>
      <c r="F2100" t="s">
        <v>11033</v>
      </c>
      <c r="G2100" t="s">
        <v>11034</v>
      </c>
      <c r="H2100" t="s">
        <v>5474</v>
      </c>
      <c r="I2100" t="s">
        <v>11035</v>
      </c>
      <c r="J2100" t="s">
        <v>5476</v>
      </c>
      <c r="K2100" t="s">
        <v>11036</v>
      </c>
      <c r="L2100" t="s">
        <v>5471</v>
      </c>
      <c r="M2100" t="s">
        <v>5471</v>
      </c>
    </row>
    <row r="2101" spans="1:13" x14ac:dyDescent="0.3">
      <c r="A2101" t="s">
        <v>3380</v>
      </c>
      <c r="B2101" t="s">
        <v>10966</v>
      </c>
      <c r="C2101" t="s">
        <v>6342</v>
      </c>
      <c r="D2101" t="s">
        <v>4119</v>
      </c>
      <c r="E2101" t="s">
        <v>5532</v>
      </c>
      <c r="F2101" t="s">
        <v>11037</v>
      </c>
      <c r="G2101" t="s">
        <v>11034</v>
      </c>
      <c r="H2101" t="s">
        <v>5474</v>
      </c>
      <c r="I2101" t="s">
        <v>11038</v>
      </c>
      <c r="J2101" t="s">
        <v>5476</v>
      </c>
      <c r="K2101" t="s">
        <v>11039</v>
      </c>
      <c r="L2101" t="s">
        <v>5471</v>
      </c>
      <c r="M2101" t="s">
        <v>5471</v>
      </c>
    </row>
    <row r="2102" spans="1:13" x14ac:dyDescent="0.3">
      <c r="A2102" t="s">
        <v>3388</v>
      </c>
      <c r="B2102" t="s">
        <v>10870</v>
      </c>
      <c r="C2102" t="s">
        <v>5470</v>
      </c>
      <c r="D2102" t="s">
        <v>4058</v>
      </c>
      <c r="E2102" t="s">
        <v>5532</v>
      </c>
      <c r="F2102" t="s">
        <v>11040</v>
      </c>
      <c r="G2102" t="s">
        <v>11041</v>
      </c>
      <c r="H2102" t="s">
        <v>5474</v>
      </c>
      <c r="I2102" t="s">
        <v>11042</v>
      </c>
      <c r="J2102" t="s">
        <v>5476</v>
      </c>
      <c r="K2102" t="s">
        <v>11043</v>
      </c>
      <c r="L2102" t="s">
        <v>5471</v>
      </c>
      <c r="M2102" t="s">
        <v>5471</v>
      </c>
    </row>
    <row r="2103" spans="1:13" x14ac:dyDescent="0.3">
      <c r="A2103" t="s">
        <v>3388</v>
      </c>
      <c r="B2103" t="s">
        <v>10870</v>
      </c>
      <c r="C2103" t="s">
        <v>5470</v>
      </c>
      <c r="D2103" t="s">
        <v>4058</v>
      </c>
      <c r="E2103" t="s">
        <v>5532</v>
      </c>
      <c r="F2103" t="s">
        <v>11044</v>
      </c>
      <c r="G2103" t="s">
        <v>11041</v>
      </c>
      <c r="H2103" t="s">
        <v>5474</v>
      </c>
      <c r="I2103" t="s">
        <v>11045</v>
      </c>
      <c r="J2103" t="s">
        <v>5476</v>
      </c>
      <c r="K2103" t="s">
        <v>11046</v>
      </c>
      <c r="L2103" t="s">
        <v>5471</v>
      </c>
      <c r="M2103" t="s">
        <v>5471</v>
      </c>
    </row>
    <row r="2104" spans="1:13" x14ac:dyDescent="0.3">
      <c r="A2104" t="s">
        <v>3380</v>
      </c>
      <c r="B2104" t="s">
        <v>10966</v>
      </c>
      <c r="C2104" t="s">
        <v>6342</v>
      </c>
      <c r="D2104" t="s">
        <v>4119</v>
      </c>
      <c r="E2104" t="s">
        <v>5532</v>
      </c>
      <c r="F2104" t="s">
        <v>11047</v>
      </c>
      <c r="G2104" t="s">
        <v>10984</v>
      </c>
      <c r="H2104" t="s">
        <v>5474</v>
      </c>
      <c r="I2104" t="s">
        <v>11048</v>
      </c>
      <c r="J2104" t="s">
        <v>5476</v>
      </c>
      <c r="K2104" t="s">
        <v>11049</v>
      </c>
      <c r="L2104" t="s">
        <v>5471</v>
      </c>
      <c r="M2104" t="s">
        <v>5471</v>
      </c>
    </row>
    <row r="2105" spans="1:13" x14ac:dyDescent="0.3">
      <c r="A2105" t="s">
        <v>3380</v>
      </c>
      <c r="B2105" t="s">
        <v>10966</v>
      </c>
      <c r="C2105" t="s">
        <v>6342</v>
      </c>
      <c r="D2105" t="s">
        <v>4119</v>
      </c>
      <c r="E2105" t="s">
        <v>5532</v>
      </c>
      <c r="F2105" t="s">
        <v>11050</v>
      </c>
      <c r="G2105" t="s">
        <v>10991</v>
      </c>
      <c r="H2105" t="s">
        <v>5474</v>
      </c>
      <c r="I2105" t="s">
        <v>11051</v>
      </c>
      <c r="J2105" t="s">
        <v>5476</v>
      </c>
      <c r="K2105" t="s">
        <v>11052</v>
      </c>
      <c r="L2105" t="s">
        <v>5471</v>
      </c>
      <c r="M2105" t="s">
        <v>5471</v>
      </c>
    </row>
    <row r="2106" spans="1:13" x14ac:dyDescent="0.3">
      <c r="A2106" t="s">
        <v>3388</v>
      </c>
      <c r="B2106" t="s">
        <v>10961</v>
      </c>
      <c r="C2106" t="s">
        <v>5470</v>
      </c>
      <c r="D2106" t="s">
        <v>4052</v>
      </c>
      <c r="E2106" t="s">
        <v>5532</v>
      </c>
      <c r="F2106" t="s">
        <v>11053</v>
      </c>
      <c r="G2106" t="s">
        <v>11054</v>
      </c>
      <c r="H2106" t="s">
        <v>5474</v>
      </c>
      <c r="I2106" t="s">
        <v>11055</v>
      </c>
      <c r="J2106" t="s">
        <v>5476</v>
      </c>
      <c r="K2106" t="s">
        <v>11056</v>
      </c>
      <c r="L2106" t="s">
        <v>5471</v>
      </c>
      <c r="M2106" t="s">
        <v>5471</v>
      </c>
    </row>
    <row r="2107" spans="1:13" x14ac:dyDescent="0.3">
      <c r="A2107" t="s">
        <v>3388</v>
      </c>
      <c r="B2107" t="s">
        <v>6478</v>
      </c>
      <c r="C2107" t="s">
        <v>5470</v>
      </c>
      <c r="D2107" t="s">
        <v>4052</v>
      </c>
      <c r="E2107" t="s">
        <v>5532</v>
      </c>
      <c r="F2107" t="s">
        <v>11057</v>
      </c>
      <c r="G2107" t="s">
        <v>11058</v>
      </c>
      <c r="H2107" t="s">
        <v>5474</v>
      </c>
      <c r="I2107" t="s">
        <v>11059</v>
      </c>
      <c r="J2107" t="s">
        <v>5484</v>
      </c>
      <c r="K2107" t="s">
        <v>11060</v>
      </c>
      <c r="L2107" t="s">
        <v>5471</v>
      </c>
      <c r="M2107" t="s">
        <v>5471</v>
      </c>
    </row>
    <row r="2108" spans="1:13" x14ac:dyDescent="0.3">
      <c r="A2108" t="s">
        <v>3380</v>
      </c>
      <c r="B2108" t="s">
        <v>11061</v>
      </c>
      <c r="C2108" t="s">
        <v>6342</v>
      </c>
      <c r="D2108" t="s">
        <v>4119</v>
      </c>
      <c r="E2108" t="s">
        <v>5532</v>
      </c>
      <c r="F2108" t="s">
        <v>11062</v>
      </c>
      <c r="G2108" t="s">
        <v>11063</v>
      </c>
      <c r="H2108" t="s">
        <v>5474</v>
      </c>
      <c r="I2108" t="s">
        <v>11064</v>
      </c>
      <c r="J2108" t="s">
        <v>5476</v>
      </c>
      <c r="K2108" t="s">
        <v>11065</v>
      </c>
      <c r="L2108" t="s">
        <v>5471</v>
      </c>
      <c r="M2108" t="s">
        <v>5471</v>
      </c>
    </row>
    <row r="2109" spans="1:13" x14ac:dyDescent="0.3">
      <c r="A2109" t="s">
        <v>3388</v>
      </c>
      <c r="B2109" t="s">
        <v>5531</v>
      </c>
      <c r="C2109" t="s">
        <v>5470</v>
      </c>
      <c r="D2109" t="s">
        <v>4056</v>
      </c>
      <c r="E2109" t="s">
        <v>5617</v>
      </c>
      <c r="F2109" t="s">
        <v>11066</v>
      </c>
      <c r="G2109" t="s">
        <v>11067</v>
      </c>
      <c r="H2109" t="s">
        <v>5474</v>
      </c>
      <c r="I2109" t="s">
        <v>11068</v>
      </c>
      <c r="J2109" t="s">
        <v>5484</v>
      </c>
      <c r="K2109" t="s">
        <v>11069</v>
      </c>
      <c r="L2109" t="s">
        <v>5471</v>
      </c>
      <c r="M2109" t="s">
        <v>5471</v>
      </c>
    </row>
    <row r="2110" spans="1:13" x14ac:dyDescent="0.3">
      <c r="A2110" t="s">
        <v>3388</v>
      </c>
      <c r="B2110" t="s">
        <v>5531</v>
      </c>
      <c r="C2110" t="s">
        <v>5470</v>
      </c>
      <c r="D2110" t="s">
        <v>4056</v>
      </c>
      <c r="E2110" t="s">
        <v>5617</v>
      </c>
      <c r="F2110" t="s">
        <v>11070</v>
      </c>
      <c r="G2110" t="s">
        <v>11067</v>
      </c>
      <c r="H2110" t="s">
        <v>5474</v>
      </c>
      <c r="I2110" t="s">
        <v>11071</v>
      </c>
      <c r="J2110" t="s">
        <v>5484</v>
      </c>
      <c r="K2110" t="s">
        <v>11072</v>
      </c>
      <c r="L2110" t="s">
        <v>5471</v>
      </c>
      <c r="M2110" t="s">
        <v>5471</v>
      </c>
    </row>
    <row r="2111" spans="1:13" x14ac:dyDescent="0.3">
      <c r="A2111" t="s">
        <v>3388</v>
      </c>
      <c r="B2111" t="s">
        <v>5956</v>
      </c>
      <c r="C2111" t="s">
        <v>5470</v>
      </c>
      <c r="D2111" t="s">
        <v>4119</v>
      </c>
      <c r="E2111" t="s">
        <v>5532</v>
      </c>
      <c r="F2111" t="s">
        <v>11073</v>
      </c>
      <c r="G2111" t="s">
        <v>10876</v>
      </c>
      <c r="H2111" t="s">
        <v>5474</v>
      </c>
      <c r="I2111" t="s">
        <v>11074</v>
      </c>
      <c r="J2111" t="s">
        <v>5476</v>
      </c>
      <c r="K2111" t="s">
        <v>11075</v>
      </c>
      <c r="L2111" t="s">
        <v>5471</v>
      </c>
      <c r="M2111" t="s">
        <v>5471</v>
      </c>
    </row>
    <row r="2112" spans="1:13" x14ac:dyDescent="0.3">
      <c r="A2112" t="s">
        <v>3388</v>
      </c>
      <c r="B2112" t="s">
        <v>5263</v>
      </c>
      <c r="C2112" t="s">
        <v>5470</v>
      </c>
      <c r="D2112" t="s">
        <v>4119</v>
      </c>
      <c r="E2112" t="s">
        <v>5532</v>
      </c>
      <c r="F2112" t="s">
        <v>11076</v>
      </c>
      <c r="G2112" t="s">
        <v>11077</v>
      </c>
      <c r="H2112" t="s">
        <v>5474</v>
      </c>
      <c r="I2112" t="s">
        <v>11078</v>
      </c>
      <c r="J2112" t="s">
        <v>5476</v>
      </c>
      <c r="K2112" t="s">
        <v>11079</v>
      </c>
      <c r="L2112" t="s">
        <v>5471</v>
      </c>
      <c r="M2112" t="s">
        <v>5471</v>
      </c>
    </row>
    <row r="2113" spans="1:13" x14ac:dyDescent="0.3">
      <c r="A2113" t="s">
        <v>3388</v>
      </c>
      <c r="B2113" t="s">
        <v>5310</v>
      </c>
      <c r="C2113" t="s">
        <v>5470</v>
      </c>
      <c r="D2113" t="s">
        <v>4119</v>
      </c>
      <c r="E2113" t="s">
        <v>5532</v>
      </c>
      <c r="F2113" t="s">
        <v>11080</v>
      </c>
      <c r="G2113" t="s">
        <v>11081</v>
      </c>
      <c r="H2113" t="s">
        <v>5474</v>
      </c>
      <c r="I2113" t="s">
        <v>11082</v>
      </c>
      <c r="J2113" t="s">
        <v>5476</v>
      </c>
      <c r="K2113" t="s">
        <v>11083</v>
      </c>
      <c r="L2113" t="s">
        <v>5471</v>
      </c>
      <c r="M2113" t="s">
        <v>5471</v>
      </c>
    </row>
    <row r="2114" spans="1:13" x14ac:dyDescent="0.3">
      <c r="A2114" t="s">
        <v>3388</v>
      </c>
      <c r="B2114" t="s">
        <v>11084</v>
      </c>
      <c r="C2114" t="s">
        <v>5470</v>
      </c>
      <c r="D2114" t="s">
        <v>4119</v>
      </c>
      <c r="E2114" t="s">
        <v>5532</v>
      </c>
      <c r="F2114" t="s">
        <v>11085</v>
      </c>
      <c r="G2114" t="s">
        <v>11086</v>
      </c>
      <c r="H2114" t="s">
        <v>5474</v>
      </c>
      <c r="I2114" t="s">
        <v>11087</v>
      </c>
      <c r="J2114" t="s">
        <v>5476</v>
      </c>
      <c r="K2114" t="s">
        <v>11088</v>
      </c>
      <c r="L2114" t="s">
        <v>5471</v>
      </c>
      <c r="M2114" t="s">
        <v>5471</v>
      </c>
    </row>
    <row r="2115" spans="1:13" x14ac:dyDescent="0.3">
      <c r="A2115" t="s">
        <v>3388</v>
      </c>
      <c r="B2115" t="s">
        <v>11089</v>
      </c>
      <c r="C2115" t="s">
        <v>5470</v>
      </c>
      <c r="D2115" t="s">
        <v>4119</v>
      </c>
      <c r="E2115" t="s">
        <v>5532</v>
      </c>
      <c r="F2115" t="s">
        <v>11090</v>
      </c>
      <c r="G2115" t="s">
        <v>11091</v>
      </c>
      <c r="H2115" t="s">
        <v>5474</v>
      </c>
      <c r="I2115" t="s">
        <v>11092</v>
      </c>
      <c r="J2115" t="s">
        <v>5476</v>
      </c>
      <c r="K2115" t="s">
        <v>11093</v>
      </c>
      <c r="L2115" t="s">
        <v>5471</v>
      </c>
      <c r="M2115" t="s">
        <v>5471</v>
      </c>
    </row>
    <row r="2116" spans="1:13" x14ac:dyDescent="0.3">
      <c r="A2116" t="s">
        <v>3388</v>
      </c>
      <c r="B2116" t="s">
        <v>11094</v>
      </c>
      <c r="C2116" t="s">
        <v>5470</v>
      </c>
      <c r="D2116" t="s">
        <v>4119</v>
      </c>
      <c r="E2116" t="s">
        <v>5756</v>
      </c>
      <c r="F2116" t="s">
        <v>11095</v>
      </c>
      <c r="G2116" t="s">
        <v>11096</v>
      </c>
      <c r="H2116" t="s">
        <v>5474</v>
      </c>
      <c r="I2116" t="s">
        <v>11097</v>
      </c>
      <c r="J2116" t="s">
        <v>5476</v>
      </c>
      <c r="K2116" t="s">
        <v>11098</v>
      </c>
      <c r="L2116" t="s">
        <v>5471</v>
      </c>
      <c r="M2116" t="s">
        <v>5471</v>
      </c>
    </row>
    <row r="2117" spans="1:13" x14ac:dyDescent="0.3">
      <c r="A2117" t="s">
        <v>3388</v>
      </c>
      <c r="B2117" t="s">
        <v>11099</v>
      </c>
      <c r="C2117" t="s">
        <v>5470</v>
      </c>
      <c r="D2117" t="s">
        <v>4119</v>
      </c>
      <c r="E2117" t="s">
        <v>5532</v>
      </c>
      <c r="F2117" t="s">
        <v>11100</v>
      </c>
      <c r="G2117" t="s">
        <v>11101</v>
      </c>
      <c r="H2117" t="s">
        <v>5474</v>
      </c>
      <c r="I2117" t="s">
        <v>11102</v>
      </c>
      <c r="J2117" t="s">
        <v>5476</v>
      </c>
      <c r="K2117" t="s">
        <v>11103</v>
      </c>
      <c r="L2117" t="s">
        <v>5471</v>
      </c>
      <c r="M2117" t="s">
        <v>5471</v>
      </c>
    </row>
    <row r="2118" spans="1:13" x14ac:dyDescent="0.3">
      <c r="A2118" t="s">
        <v>3388</v>
      </c>
      <c r="B2118" t="s">
        <v>11104</v>
      </c>
      <c r="C2118" t="s">
        <v>5470</v>
      </c>
      <c r="D2118" t="s">
        <v>4119</v>
      </c>
      <c r="E2118" t="s">
        <v>5532</v>
      </c>
      <c r="F2118" t="s">
        <v>11105</v>
      </c>
      <c r="G2118" t="s">
        <v>11106</v>
      </c>
      <c r="H2118" t="s">
        <v>5474</v>
      </c>
      <c r="I2118" t="s">
        <v>11107</v>
      </c>
      <c r="J2118" t="s">
        <v>5476</v>
      </c>
      <c r="K2118" t="s">
        <v>11108</v>
      </c>
      <c r="L2118" t="s">
        <v>5471</v>
      </c>
      <c r="M2118" t="s">
        <v>5471</v>
      </c>
    </row>
    <row r="2119" spans="1:13" x14ac:dyDescent="0.3">
      <c r="A2119" t="s">
        <v>3388</v>
      </c>
      <c r="B2119" t="s">
        <v>5341</v>
      </c>
      <c r="C2119" t="s">
        <v>5470</v>
      </c>
      <c r="D2119" t="s">
        <v>4119</v>
      </c>
      <c r="E2119" t="s">
        <v>5532</v>
      </c>
      <c r="F2119" t="s">
        <v>11109</v>
      </c>
      <c r="G2119" t="s">
        <v>11110</v>
      </c>
      <c r="H2119" t="s">
        <v>5474</v>
      </c>
      <c r="I2119" t="s">
        <v>11111</v>
      </c>
      <c r="J2119" t="s">
        <v>5476</v>
      </c>
      <c r="K2119" t="s">
        <v>11112</v>
      </c>
      <c r="L2119" t="s">
        <v>5471</v>
      </c>
      <c r="M2119" t="s">
        <v>5471</v>
      </c>
    </row>
    <row r="2120" spans="1:13" x14ac:dyDescent="0.3">
      <c r="A2120" t="s">
        <v>3388</v>
      </c>
      <c r="B2120" t="s">
        <v>10870</v>
      </c>
      <c r="C2120" t="s">
        <v>5470</v>
      </c>
      <c r="D2120" t="s">
        <v>4119</v>
      </c>
      <c r="E2120" t="s">
        <v>5532</v>
      </c>
      <c r="F2120" t="s">
        <v>11113</v>
      </c>
      <c r="G2120" t="s">
        <v>10872</v>
      </c>
      <c r="H2120" t="s">
        <v>5474</v>
      </c>
      <c r="I2120" t="s">
        <v>11114</v>
      </c>
      <c r="J2120" t="s">
        <v>5476</v>
      </c>
      <c r="K2120" t="s">
        <v>11115</v>
      </c>
      <c r="L2120" t="s">
        <v>5471</v>
      </c>
      <c r="M2120" t="s">
        <v>5471</v>
      </c>
    </row>
    <row r="2121" spans="1:13" x14ac:dyDescent="0.3">
      <c r="A2121" t="s">
        <v>3388</v>
      </c>
      <c r="B2121" t="s">
        <v>5316</v>
      </c>
      <c r="C2121" t="s">
        <v>5470</v>
      </c>
      <c r="D2121" t="s">
        <v>4119</v>
      </c>
      <c r="E2121" t="s">
        <v>5532</v>
      </c>
      <c r="F2121" t="s">
        <v>11116</v>
      </c>
      <c r="G2121" t="s">
        <v>11117</v>
      </c>
      <c r="H2121" t="s">
        <v>5474</v>
      </c>
      <c r="I2121" t="s">
        <v>11118</v>
      </c>
      <c r="J2121" t="s">
        <v>5476</v>
      </c>
      <c r="K2121" t="s">
        <v>11119</v>
      </c>
      <c r="L2121" t="s">
        <v>5471</v>
      </c>
      <c r="M2121" t="s">
        <v>5471</v>
      </c>
    </row>
    <row r="2122" spans="1:13" x14ac:dyDescent="0.3">
      <c r="A2122" t="s">
        <v>3388</v>
      </c>
      <c r="B2122" t="s">
        <v>11120</v>
      </c>
      <c r="C2122" t="s">
        <v>5470</v>
      </c>
      <c r="D2122" t="s">
        <v>4119</v>
      </c>
      <c r="E2122" t="s">
        <v>5532</v>
      </c>
      <c r="F2122" t="s">
        <v>11121</v>
      </c>
      <c r="G2122" t="s">
        <v>11122</v>
      </c>
      <c r="H2122" t="s">
        <v>5474</v>
      </c>
      <c r="I2122" t="s">
        <v>11123</v>
      </c>
      <c r="J2122" t="s">
        <v>5476</v>
      </c>
      <c r="K2122" t="s">
        <v>11124</v>
      </c>
      <c r="L2122" t="s">
        <v>5471</v>
      </c>
      <c r="M2122" t="s">
        <v>5471</v>
      </c>
    </row>
    <row r="2123" spans="1:13" x14ac:dyDescent="0.3">
      <c r="A2123" t="s">
        <v>3388</v>
      </c>
      <c r="B2123" t="s">
        <v>8577</v>
      </c>
      <c r="C2123" t="s">
        <v>5470</v>
      </c>
      <c r="D2123" t="s">
        <v>4119</v>
      </c>
      <c r="E2123" t="s">
        <v>5532</v>
      </c>
      <c r="F2123" t="s">
        <v>11125</v>
      </c>
      <c r="G2123" t="s">
        <v>11126</v>
      </c>
      <c r="H2123" t="s">
        <v>5474</v>
      </c>
      <c r="I2123" t="s">
        <v>11127</v>
      </c>
      <c r="J2123" t="s">
        <v>5476</v>
      </c>
      <c r="K2123" t="s">
        <v>11128</v>
      </c>
      <c r="L2123" t="s">
        <v>5471</v>
      </c>
      <c r="M2123" t="s">
        <v>5471</v>
      </c>
    </row>
    <row r="2124" spans="1:13" x14ac:dyDescent="0.3">
      <c r="A2124" t="s">
        <v>3388</v>
      </c>
      <c r="B2124" t="s">
        <v>7088</v>
      </c>
      <c r="C2124" t="s">
        <v>5470</v>
      </c>
      <c r="D2124" t="s">
        <v>4058</v>
      </c>
      <c r="E2124" t="s">
        <v>5532</v>
      </c>
      <c r="F2124" t="s">
        <v>11129</v>
      </c>
      <c r="G2124" t="s">
        <v>11130</v>
      </c>
      <c r="H2124" t="s">
        <v>5474</v>
      </c>
      <c r="I2124" t="s">
        <v>11131</v>
      </c>
      <c r="J2124" t="s">
        <v>5476</v>
      </c>
      <c r="K2124" t="s">
        <v>11132</v>
      </c>
      <c r="L2124" t="s">
        <v>5471</v>
      </c>
      <c r="M2124" t="s">
        <v>5471</v>
      </c>
    </row>
    <row r="2125" spans="1:13" x14ac:dyDescent="0.3">
      <c r="A2125" t="s">
        <v>3388</v>
      </c>
      <c r="B2125" t="s">
        <v>6478</v>
      </c>
      <c r="C2125" t="s">
        <v>5470</v>
      </c>
      <c r="D2125" t="s">
        <v>4058</v>
      </c>
      <c r="E2125" t="s">
        <v>5617</v>
      </c>
      <c r="F2125" t="s">
        <v>11133</v>
      </c>
      <c r="G2125" t="s">
        <v>11134</v>
      </c>
      <c r="H2125" t="s">
        <v>5474</v>
      </c>
      <c r="I2125" t="s">
        <v>11135</v>
      </c>
      <c r="J2125" t="s">
        <v>5484</v>
      </c>
      <c r="K2125" t="s">
        <v>11136</v>
      </c>
      <c r="L2125" t="s">
        <v>5471</v>
      </c>
      <c r="M2125" t="s">
        <v>5471</v>
      </c>
    </row>
    <row r="2126" spans="1:13" x14ac:dyDescent="0.3">
      <c r="A2126" t="s">
        <v>3388</v>
      </c>
      <c r="B2126" t="s">
        <v>6478</v>
      </c>
      <c r="C2126" t="s">
        <v>5470</v>
      </c>
      <c r="D2126" t="s">
        <v>4058</v>
      </c>
      <c r="E2126" t="s">
        <v>5617</v>
      </c>
      <c r="F2126" t="s">
        <v>11137</v>
      </c>
      <c r="G2126" t="s">
        <v>11134</v>
      </c>
      <c r="H2126" t="s">
        <v>5474</v>
      </c>
      <c r="I2126" t="s">
        <v>11138</v>
      </c>
      <c r="J2126" t="s">
        <v>5484</v>
      </c>
      <c r="K2126" t="s">
        <v>11139</v>
      </c>
      <c r="L2126" t="s">
        <v>5471</v>
      </c>
      <c r="M2126" t="s">
        <v>5471</v>
      </c>
    </row>
    <row r="2127" spans="1:13" x14ac:dyDescent="0.3">
      <c r="A2127" t="s">
        <v>3388</v>
      </c>
      <c r="B2127" t="s">
        <v>6478</v>
      </c>
      <c r="C2127" t="s">
        <v>5470</v>
      </c>
      <c r="D2127" t="s">
        <v>4058</v>
      </c>
      <c r="E2127" t="s">
        <v>5617</v>
      </c>
      <c r="F2127" t="s">
        <v>11140</v>
      </c>
      <c r="G2127" t="s">
        <v>11134</v>
      </c>
      <c r="H2127" t="s">
        <v>5474</v>
      </c>
      <c r="I2127" t="s">
        <v>11141</v>
      </c>
      <c r="J2127" t="s">
        <v>5484</v>
      </c>
      <c r="K2127" t="s">
        <v>11142</v>
      </c>
      <c r="L2127" t="s">
        <v>5471</v>
      </c>
      <c r="M2127" t="s">
        <v>5471</v>
      </c>
    </row>
    <row r="2128" spans="1:13" x14ac:dyDescent="0.3">
      <c r="A2128" t="s">
        <v>3388</v>
      </c>
      <c r="B2128" t="s">
        <v>6478</v>
      </c>
      <c r="C2128" t="s">
        <v>5470</v>
      </c>
      <c r="D2128" t="s">
        <v>4058</v>
      </c>
      <c r="E2128" t="s">
        <v>5617</v>
      </c>
      <c r="F2128" t="s">
        <v>11143</v>
      </c>
      <c r="G2128" t="s">
        <v>11144</v>
      </c>
      <c r="H2128" t="s">
        <v>5474</v>
      </c>
      <c r="I2128" t="s">
        <v>11145</v>
      </c>
      <c r="J2128" t="s">
        <v>5484</v>
      </c>
      <c r="K2128" t="s">
        <v>11146</v>
      </c>
      <c r="L2128" t="s">
        <v>5471</v>
      </c>
      <c r="M2128" t="s">
        <v>5471</v>
      </c>
    </row>
    <row r="2129" spans="1:13" x14ac:dyDescent="0.3">
      <c r="A2129" t="s">
        <v>3388</v>
      </c>
      <c r="B2129" t="s">
        <v>6478</v>
      </c>
      <c r="C2129" t="s">
        <v>5470</v>
      </c>
      <c r="D2129" t="s">
        <v>4058</v>
      </c>
      <c r="E2129" t="s">
        <v>5617</v>
      </c>
      <c r="F2129" t="s">
        <v>11147</v>
      </c>
      <c r="G2129" t="s">
        <v>11144</v>
      </c>
      <c r="H2129" t="s">
        <v>5474</v>
      </c>
      <c r="I2129" t="s">
        <v>11148</v>
      </c>
      <c r="J2129" t="s">
        <v>5484</v>
      </c>
      <c r="K2129" t="s">
        <v>11149</v>
      </c>
      <c r="L2129" t="s">
        <v>5471</v>
      </c>
      <c r="M2129" t="s">
        <v>5471</v>
      </c>
    </row>
    <row r="2130" spans="1:13" x14ac:dyDescent="0.3">
      <c r="A2130" t="s">
        <v>3388</v>
      </c>
      <c r="B2130" t="s">
        <v>6478</v>
      </c>
      <c r="C2130" t="s">
        <v>5470</v>
      </c>
      <c r="D2130" t="s">
        <v>4058</v>
      </c>
      <c r="E2130" t="s">
        <v>5617</v>
      </c>
      <c r="F2130" t="s">
        <v>11150</v>
      </c>
      <c r="G2130" t="s">
        <v>11144</v>
      </c>
      <c r="H2130" t="s">
        <v>5474</v>
      </c>
      <c r="I2130" t="s">
        <v>11151</v>
      </c>
      <c r="J2130" t="s">
        <v>5484</v>
      </c>
      <c r="K2130" t="s">
        <v>11152</v>
      </c>
      <c r="L2130" t="s">
        <v>5471</v>
      </c>
      <c r="M2130" t="s">
        <v>5471</v>
      </c>
    </row>
    <row r="2131" spans="1:13" x14ac:dyDescent="0.3">
      <c r="A2131" t="s">
        <v>3388</v>
      </c>
      <c r="B2131" t="s">
        <v>11153</v>
      </c>
      <c r="C2131" t="s">
        <v>5470</v>
      </c>
      <c r="D2131" t="s">
        <v>4058</v>
      </c>
      <c r="E2131" t="s">
        <v>5532</v>
      </c>
      <c r="F2131" t="s">
        <v>11154</v>
      </c>
      <c r="G2131" t="s">
        <v>11155</v>
      </c>
      <c r="H2131" t="s">
        <v>5474</v>
      </c>
      <c r="I2131" t="s">
        <v>11156</v>
      </c>
      <c r="J2131" t="s">
        <v>5476</v>
      </c>
      <c r="K2131" t="s">
        <v>11157</v>
      </c>
      <c r="L2131" t="s">
        <v>5471</v>
      </c>
      <c r="M2131" t="s">
        <v>5471</v>
      </c>
    </row>
    <row r="2132" spans="1:13" x14ac:dyDescent="0.3">
      <c r="A2132" t="s">
        <v>3388</v>
      </c>
      <c r="B2132" t="s">
        <v>11153</v>
      </c>
      <c r="C2132" t="s">
        <v>5470</v>
      </c>
      <c r="D2132" t="s">
        <v>4058</v>
      </c>
      <c r="E2132" t="s">
        <v>5532</v>
      </c>
      <c r="F2132" t="s">
        <v>11158</v>
      </c>
      <c r="G2132" t="s">
        <v>11155</v>
      </c>
      <c r="H2132" t="s">
        <v>5474</v>
      </c>
      <c r="I2132" t="s">
        <v>11159</v>
      </c>
      <c r="J2132" t="s">
        <v>5476</v>
      </c>
      <c r="K2132" t="s">
        <v>11160</v>
      </c>
      <c r="L2132" t="s">
        <v>5471</v>
      </c>
      <c r="M2132" t="s">
        <v>5471</v>
      </c>
    </row>
    <row r="2133" spans="1:13" x14ac:dyDescent="0.3">
      <c r="A2133" t="s">
        <v>3388</v>
      </c>
      <c r="B2133" t="s">
        <v>11153</v>
      </c>
      <c r="C2133" t="s">
        <v>5470</v>
      </c>
      <c r="D2133" t="s">
        <v>4058</v>
      </c>
      <c r="E2133" t="s">
        <v>5532</v>
      </c>
      <c r="F2133" t="s">
        <v>11161</v>
      </c>
      <c r="G2133" t="s">
        <v>11162</v>
      </c>
      <c r="H2133" t="s">
        <v>5474</v>
      </c>
      <c r="I2133" t="s">
        <v>11163</v>
      </c>
      <c r="J2133" t="s">
        <v>5476</v>
      </c>
      <c r="K2133" t="s">
        <v>11164</v>
      </c>
      <c r="L2133" t="s">
        <v>5471</v>
      </c>
      <c r="M2133" t="s">
        <v>5471</v>
      </c>
    </row>
    <row r="2134" spans="1:13" x14ac:dyDescent="0.3">
      <c r="A2134" t="s">
        <v>3388</v>
      </c>
      <c r="B2134" t="s">
        <v>11153</v>
      </c>
      <c r="C2134" t="s">
        <v>5470</v>
      </c>
      <c r="D2134" t="s">
        <v>4058</v>
      </c>
      <c r="E2134" t="s">
        <v>5532</v>
      </c>
      <c r="F2134" t="s">
        <v>11165</v>
      </c>
      <c r="G2134" t="s">
        <v>11162</v>
      </c>
      <c r="H2134" t="s">
        <v>5474</v>
      </c>
      <c r="I2134" t="s">
        <v>11166</v>
      </c>
      <c r="J2134" t="s">
        <v>5476</v>
      </c>
      <c r="K2134" t="s">
        <v>11167</v>
      </c>
      <c r="L2134" t="s">
        <v>5471</v>
      </c>
      <c r="M2134" t="s">
        <v>5471</v>
      </c>
    </row>
    <row r="2135" spans="1:13" x14ac:dyDescent="0.3">
      <c r="A2135" t="s">
        <v>3388</v>
      </c>
      <c r="B2135" t="s">
        <v>6478</v>
      </c>
      <c r="C2135" t="s">
        <v>5470</v>
      </c>
      <c r="D2135" t="s">
        <v>4058</v>
      </c>
      <c r="E2135" t="s">
        <v>5532</v>
      </c>
      <c r="F2135" t="s">
        <v>11168</v>
      </c>
      <c r="G2135" t="s">
        <v>11058</v>
      </c>
      <c r="H2135" t="s">
        <v>5474</v>
      </c>
      <c r="I2135" t="s">
        <v>11169</v>
      </c>
      <c r="J2135" t="s">
        <v>5484</v>
      </c>
      <c r="K2135" t="s">
        <v>11170</v>
      </c>
      <c r="L2135" t="s">
        <v>5471</v>
      </c>
      <c r="M2135" t="s">
        <v>5471</v>
      </c>
    </row>
    <row r="2136" spans="1:13" x14ac:dyDescent="0.3">
      <c r="A2136" t="s">
        <v>3388</v>
      </c>
      <c r="B2136" t="s">
        <v>6478</v>
      </c>
      <c r="C2136" t="s">
        <v>5470</v>
      </c>
      <c r="D2136" t="s">
        <v>4058</v>
      </c>
      <c r="E2136" t="s">
        <v>5532</v>
      </c>
      <c r="F2136" t="s">
        <v>11171</v>
      </c>
      <c r="G2136" t="s">
        <v>11058</v>
      </c>
      <c r="H2136" t="s">
        <v>5474</v>
      </c>
      <c r="I2136" t="s">
        <v>11172</v>
      </c>
      <c r="J2136" t="s">
        <v>5484</v>
      </c>
      <c r="K2136" t="s">
        <v>11173</v>
      </c>
      <c r="L2136" t="s">
        <v>5471</v>
      </c>
      <c r="M2136" t="s">
        <v>5471</v>
      </c>
    </row>
    <row r="2137" spans="1:13" x14ac:dyDescent="0.3">
      <c r="A2137" t="s">
        <v>3388</v>
      </c>
      <c r="B2137" t="s">
        <v>6478</v>
      </c>
      <c r="C2137" t="s">
        <v>5470</v>
      </c>
      <c r="D2137" t="s">
        <v>4058</v>
      </c>
      <c r="E2137" t="s">
        <v>5532</v>
      </c>
      <c r="F2137" t="s">
        <v>11174</v>
      </c>
      <c r="G2137" t="s">
        <v>11058</v>
      </c>
      <c r="H2137" t="s">
        <v>5474</v>
      </c>
      <c r="I2137" t="s">
        <v>11175</v>
      </c>
      <c r="J2137" t="s">
        <v>5484</v>
      </c>
      <c r="K2137" t="s">
        <v>11176</v>
      </c>
      <c r="L2137" t="s">
        <v>5471</v>
      </c>
      <c r="M2137" t="s">
        <v>5471</v>
      </c>
    </row>
    <row r="2138" spans="1:13" x14ac:dyDescent="0.3">
      <c r="A2138" t="s">
        <v>3388</v>
      </c>
      <c r="B2138" t="s">
        <v>6478</v>
      </c>
      <c r="C2138" t="s">
        <v>5470</v>
      </c>
      <c r="D2138" t="s">
        <v>4058</v>
      </c>
      <c r="E2138" t="s">
        <v>5532</v>
      </c>
      <c r="F2138" t="s">
        <v>11177</v>
      </c>
      <c r="G2138" t="s">
        <v>10483</v>
      </c>
      <c r="H2138" t="s">
        <v>5474</v>
      </c>
      <c r="I2138" t="s">
        <v>11178</v>
      </c>
      <c r="J2138" t="s">
        <v>5484</v>
      </c>
      <c r="K2138" t="s">
        <v>11179</v>
      </c>
      <c r="L2138" t="s">
        <v>5471</v>
      </c>
      <c r="M2138" t="s">
        <v>5471</v>
      </c>
    </row>
    <row r="2139" spans="1:13" x14ac:dyDescent="0.3">
      <c r="A2139" t="s">
        <v>3388</v>
      </c>
      <c r="B2139" t="s">
        <v>6478</v>
      </c>
      <c r="C2139" t="s">
        <v>5470</v>
      </c>
      <c r="D2139" t="s">
        <v>4058</v>
      </c>
      <c r="E2139" t="s">
        <v>5532</v>
      </c>
      <c r="F2139" t="s">
        <v>11180</v>
      </c>
      <c r="G2139" t="s">
        <v>10483</v>
      </c>
      <c r="H2139" t="s">
        <v>5474</v>
      </c>
      <c r="I2139" t="s">
        <v>11181</v>
      </c>
      <c r="J2139" t="s">
        <v>5484</v>
      </c>
      <c r="K2139" t="s">
        <v>11182</v>
      </c>
      <c r="L2139" t="s">
        <v>5471</v>
      </c>
      <c r="M2139" t="s">
        <v>5471</v>
      </c>
    </row>
    <row r="2140" spans="1:13" x14ac:dyDescent="0.3">
      <c r="A2140" t="s">
        <v>3388</v>
      </c>
      <c r="B2140" t="s">
        <v>6478</v>
      </c>
      <c r="C2140" t="s">
        <v>5470</v>
      </c>
      <c r="D2140" t="s">
        <v>4058</v>
      </c>
      <c r="E2140" t="s">
        <v>5532</v>
      </c>
      <c r="F2140" t="s">
        <v>11183</v>
      </c>
      <c r="G2140" t="s">
        <v>10483</v>
      </c>
      <c r="H2140" t="s">
        <v>5474</v>
      </c>
      <c r="I2140" t="s">
        <v>11184</v>
      </c>
      <c r="J2140" t="s">
        <v>5484</v>
      </c>
      <c r="K2140" t="s">
        <v>11185</v>
      </c>
      <c r="L2140" t="s">
        <v>5471</v>
      </c>
      <c r="M2140" t="s">
        <v>5471</v>
      </c>
    </row>
    <row r="2141" spans="1:13" x14ac:dyDescent="0.3">
      <c r="A2141" t="s">
        <v>3388</v>
      </c>
      <c r="B2141" t="s">
        <v>11186</v>
      </c>
      <c r="C2141" t="s">
        <v>5470</v>
      </c>
      <c r="D2141" t="s">
        <v>4058</v>
      </c>
      <c r="E2141" t="s">
        <v>5532</v>
      </c>
      <c r="F2141" t="s">
        <v>11187</v>
      </c>
      <c r="G2141" t="s">
        <v>11188</v>
      </c>
      <c r="H2141" t="s">
        <v>5474</v>
      </c>
      <c r="I2141" t="s">
        <v>11189</v>
      </c>
      <c r="J2141" t="s">
        <v>5476</v>
      </c>
      <c r="K2141" t="s">
        <v>11190</v>
      </c>
      <c r="L2141" t="s">
        <v>5471</v>
      </c>
      <c r="M2141" t="s">
        <v>5471</v>
      </c>
    </row>
    <row r="2142" spans="1:13" x14ac:dyDescent="0.3">
      <c r="A2142" t="s">
        <v>3388</v>
      </c>
      <c r="B2142" t="s">
        <v>11186</v>
      </c>
      <c r="C2142" t="s">
        <v>5470</v>
      </c>
      <c r="D2142" t="s">
        <v>4058</v>
      </c>
      <c r="E2142" t="s">
        <v>5532</v>
      </c>
      <c r="F2142" t="s">
        <v>11191</v>
      </c>
      <c r="G2142" t="s">
        <v>11188</v>
      </c>
      <c r="H2142" t="s">
        <v>5474</v>
      </c>
      <c r="I2142" t="s">
        <v>11192</v>
      </c>
      <c r="J2142" t="s">
        <v>5476</v>
      </c>
      <c r="K2142" t="s">
        <v>11193</v>
      </c>
      <c r="L2142" t="s">
        <v>5471</v>
      </c>
      <c r="M2142" t="s">
        <v>5471</v>
      </c>
    </row>
    <row r="2143" spans="1:13" x14ac:dyDescent="0.3">
      <c r="A2143" t="s">
        <v>3388</v>
      </c>
      <c r="B2143" t="s">
        <v>11186</v>
      </c>
      <c r="C2143" t="s">
        <v>5470</v>
      </c>
      <c r="D2143" t="s">
        <v>4058</v>
      </c>
      <c r="E2143" t="s">
        <v>5532</v>
      </c>
      <c r="F2143" t="s">
        <v>11194</v>
      </c>
      <c r="G2143" t="s">
        <v>11188</v>
      </c>
      <c r="H2143" t="s">
        <v>5474</v>
      </c>
      <c r="I2143" t="s">
        <v>11195</v>
      </c>
      <c r="J2143" t="s">
        <v>5476</v>
      </c>
      <c r="K2143" t="s">
        <v>11196</v>
      </c>
      <c r="L2143" t="s">
        <v>5471</v>
      </c>
      <c r="M2143" t="s">
        <v>5471</v>
      </c>
    </row>
    <row r="2144" spans="1:13" x14ac:dyDescent="0.3">
      <c r="A2144" t="s">
        <v>3388</v>
      </c>
      <c r="B2144" t="s">
        <v>7088</v>
      </c>
      <c r="C2144" t="s">
        <v>5470</v>
      </c>
      <c r="D2144" t="s">
        <v>4058</v>
      </c>
      <c r="E2144" t="s">
        <v>5532</v>
      </c>
      <c r="F2144" t="s">
        <v>11197</v>
      </c>
      <c r="G2144" t="s">
        <v>11130</v>
      </c>
      <c r="H2144" t="s">
        <v>5474</v>
      </c>
      <c r="I2144" t="s">
        <v>11198</v>
      </c>
      <c r="J2144" t="s">
        <v>5476</v>
      </c>
      <c r="K2144" t="s">
        <v>11199</v>
      </c>
      <c r="L2144" t="s">
        <v>5471</v>
      </c>
      <c r="M2144" t="s">
        <v>5471</v>
      </c>
    </row>
    <row r="2145" spans="1:13" x14ac:dyDescent="0.3">
      <c r="A2145" t="s">
        <v>3388</v>
      </c>
      <c r="B2145" t="s">
        <v>11153</v>
      </c>
      <c r="C2145" t="s">
        <v>5470</v>
      </c>
      <c r="D2145" t="s">
        <v>4058</v>
      </c>
      <c r="E2145" t="s">
        <v>5532</v>
      </c>
      <c r="F2145" t="s">
        <v>11200</v>
      </c>
      <c r="G2145" t="s">
        <v>10423</v>
      </c>
      <c r="H2145" t="s">
        <v>5474</v>
      </c>
      <c r="I2145" t="s">
        <v>11201</v>
      </c>
      <c r="J2145" t="s">
        <v>5476</v>
      </c>
      <c r="K2145" t="s">
        <v>11202</v>
      </c>
      <c r="L2145" t="s">
        <v>5471</v>
      </c>
      <c r="M2145" t="s">
        <v>5471</v>
      </c>
    </row>
    <row r="2146" spans="1:13" x14ac:dyDescent="0.3">
      <c r="A2146" t="s">
        <v>3388</v>
      </c>
      <c r="B2146" t="s">
        <v>11153</v>
      </c>
      <c r="C2146" t="s">
        <v>5470</v>
      </c>
      <c r="D2146" t="s">
        <v>4058</v>
      </c>
      <c r="E2146" t="s">
        <v>5532</v>
      </c>
      <c r="F2146" t="s">
        <v>11203</v>
      </c>
      <c r="G2146" t="s">
        <v>10423</v>
      </c>
      <c r="H2146" t="s">
        <v>5474</v>
      </c>
      <c r="I2146" t="s">
        <v>11204</v>
      </c>
      <c r="J2146" t="s">
        <v>5476</v>
      </c>
      <c r="K2146" t="s">
        <v>11205</v>
      </c>
      <c r="L2146" t="s">
        <v>5471</v>
      </c>
      <c r="M2146" t="s">
        <v>5471</v>
      </c>
    </row>
    <row r="2147" spans="1:13" x14ac:dyDescent="0.3">
      <c r="A2147" t="s">
        <v>3388</v>
      </c>
      <c r="B2147" t="s">
        <v>11153</v>
      </c>
      <c r="C2147" t="s">
        <v>5470</v>
      </c>
      <c r="D2147" t="s">
        <v>4058</v>
      </c>
      <c r="E2147" t="s">
        <v>5532</v>
      </c>
      <c r="F2147" t="s">
        <v>11206</v>
      </c>
      <c r="G2147" t="s">
        <v>10423</v>
      </c>
      <c r="H2147" t="s">
        <v>5474</v>
      </c>
      <c r="I2147" t="s">
        <v>11207</v>
      </c>
      <c r="J2147" t="s">
        <v>5476</v>
      </c>
      <c r="K2147" t="s">
        <v>11208</v>
      </c>
      <c r="L2147" t="s">
        <v>5471</v>
      </c>
      <c r="M2147" t="s">
        <v>5471</v>
      </c>
    </row>
    <row r="2148" spans="1:13" x14ac:dyDescent="0.3">
      <c r="A2148" t="s">
        <v>3388</v>
      </c>
      <c r="B2148" t="s">
        <v>5531</v>
      </c>
      <c r="C2148" t="s">
        <v>5470</v>
      </c>
      <c r="D2148" t="s">
        <v>4058</v>
      </c>
      <c r="E2148" t="s">
        <v>5617</v>
      </c>
      <c r="F2148" t="s">
        <v>11209</v>
      </c>
      <c r="G2148" t="s">
        <v>11210</v>
      </c>
      <c r="H2148" t="s">
        <v>5474</v>
      </c>
      <c r="I2148" t="s">
        <v>11211</v>
      </c>
      <c r="J2148" t="s">
        <v>5484</v>
      </c>
      <c r="K2148" t="s">
        <v>11212</v>
      </c>
      <c r="L2148" t="s">
        <v>5471</v>
      </c>
      <c r="M2148" t="s">
        <v>5471</v>
      </c>
    </row>
    <row r="2149" spans="1:13" x14ac:dyDescent="0.3">
      <c r="A2149" t="s">
        <v>3388</v>
      </c>
      <c r="B2149" t="s">
        <v>5531</v>
      </c>
      <c r="C2149" t="s">
        <v>5470</v>
      </c>
      <c r="D2149" t="s">
        <v>4058</v>
      </c>
      <c r="E2149" t="s">
        <v>5617</v>
      </c>
      <c r="F2149" t="s">
        <v>11213</v>
      </c>
      <c r="G2149" t="s">
        <v>11210</v>
      </c>
      <c r="H2149" t="s">
        <v>5474</v>
      </c>
      <c r="I2149" t="s">
        <v>11214</v>
      </c>
      <c r="J2149" t="s">
        <v>5484</v>
      </c>
      <c r="K2149" t="s">
        <v>11215</v>
      </c>
      <c r="L2149" t="s">
        <v>5471</v>
      </c>
      <c r="M2149" t="s">
        <v>5471</v>
      </c>
    </row>
    <row r="2150" spans="1:13" x14ac:dyDescent="0.3">
      <c r="A2150" t="s">
        <v>3383</v>
      </c>
      <c r="B2150" t="s">
        <v>6005</v>
      </c>
      <c r="C2150" t="s">
        <v>5487</v>
      </c>
      <c r="D2150" t="s">
        <v>4052</v>
      </c>
      <c r="E2150" t="s">
        <v>5532</v>
      </c>
      <c r="F2150" t="s">
        <v>11216</v>
      </c>
      <c r="G2150" t="s">
        <v>10894</v>
      </c>
      <c r="H2150" t="s">
        <v>5474</v>
      </c>
      <c r="I2150" t="s">
        <v>11217</v>
      </c>
      <c r="J2150" t="s">
        <v>5476</v>
      </c>
      <c r="K2150" t="s">
        <v>11218</v>
      </c>
      <c r="L2150" t="s">
        <v>5471</v>
      </c>
      <c r="M2150" t="s">
        <v>5471</v>
      </c>
    </row>
    <row r="2151" spans="1:13" x14ac:dyDescent="0.3">
      <c r="A2151" t="s">
        <v>3383</v>
      </c>
      <c r="B2151" t="s">
        <v>6005</v>
      </c>
      <c r="C2151" t="s">
        <v>5487</v>
      </c>
      <c r="D2151" t="s">
        <v>4052</v>
      </c>
      <c r="E2151" t="s">
        <v>5532</v>
      </c>
      <c r="F2151" t="s">
        <v>11219</v>
      </c>
      <c r="G2151" t="s">
        <v>11220</v>
      </c>
      <c r="H2151" t="s">
        <v>5474</v>
      </c>
      <c r="I2151" t="s">
        <v>11221</v>
      </c>
      <c r="J2151" t="s">
        <v>5476</v>
      </c>
      <c r="K2151" t="s">
        <v>11222</v>
      </c>
      <c r="L2151" t="s">
        <v>5471</v>
      </c>
      <c r="M2151" t="s">
        <v>5471</v>
      </c>
    </row>
    <row r="2152" spans="1:13" x14ac:dyDescent="0.3">
      <c r="A2152" t="s">
        <v>3383</v>
      </c>
      <c r="B2152" t="s">
        <v>6022</v>
      </c>
      <c r="C2152" t="s">
        <v>5487</v>
      </c>
      <c r="D2152" t="s">
        <v>4052</v>
      </c>
      <c r="E2152" t="s">
        <v>5843</v>
      </c>
      <c r="F2152" t="s">
        <v>11223</v>
      </c>
      <c r="G2152" t="s">
        <v>11224</v>
      </c>
      <c r="H2152" t="s">
        <v>5474</v>
      </c>
      <c r="I2152" t="s">
        <v>11225</v>
      </c>
      <c r="J2152" t="s">
        <v>5476</v>
      </c>
      <c r="K2152" t="s">
        <v>11226</v>
      </c>
      <c r="L2152" t="s">
        <v>5471</v>
      </c>
      <c r="M2152" t="s">
        <v>5471</v>
      </c>
    </row>
    <row r="2153" spans="1:13" x14ac:dyDescent="0.3">
      <c r="A2153" t="s">
        <v>3383</v>
      </c>
      <c r="B2153" t="s">
        <v>6022</v>
      </c>
      <c r="C2153" t="s">
        <v>5487</v>
      </c>
      <c r="D2153" t="s">
        <v>4052</v>
      </c>
      <c r="E2153" t="s">
        <v>5532</v>
      </c>
      <c r="F2153" t="s">
        <v>11227</v>
      </c>
      <c r="G2153" t="s">
        <v>11224</v>
      </c>
      <c r="H2153" t="s">
        <v>5474</v>
      </c>
      <c r="I2153" t="s">
        <v>11228</v>
      </c>
      <c r="J2153" t="s">
        <v>5476</v>
      </c>
      <c r="K2153" t="s">
        <v>11229</v>
      </c>
      <c r="L2153" t="s">
        <v>5471</v>
      </c>
      <c r="M2153" t="s">
        <v>5471</v>
      </c>
    </row>
    <row r="2154" spans="1:13" x14ac:dyDescent="0.3">
      <c r="A2154" t="s">
        <v>3383</v>
      </c>
      <c r="B2154" t="s">
        <v>5339</v>
      </c>
      <c r="C2154" t="s">
        <v>5487</v>
      </c>
      <c r="D2154" t="s">
        <v>4052</v>
      </c>
      <c r="E2154" t="s">
        <v>5532</v>
      </c>
      <c r="F2154" t="s">
        <v>11230</v>
      </c>
      <c r="G2154" t="s">
        <v>11231</v>
      </c>
      <c r="H2154" t="s">
        <v>5474</v>
      </c>
      <c r="I2154" t="s">
        <v>11232</v>
      </c>
      <c r="J2154" t="s">
        <v>5476</v>
      </c>
      <c r="K2154" t="s">
        <v>11233</v>
      </c>
      <c r="L2154" t="s">
        <v>5471</v>
      </c>
      <c r="M2154" t="s">
        <v>5471</v>
      </c>
    </row>
    <row r="2155" spans="1:13" x14ac:dyDescent="0.3">
      <c r="A2155" t="s">
        <v>3383</v>
      </c>
      <c r="B2155" t="s">
        <v>6067</v>
      </c>
      <c r="C2155" t="s">
        <v>5487</v>
      </c>
      <c r="D2155" t="s">
        <v>4081</v>
      </c>
      <c r="E2155" t="s">
        <v>5532</v>
      </c>
      <c r="F2155" t="s">
        <v>11234</v>
      </c>
      <c r="G2155" t="s">
        <v>11235</v>
      </c>
      <c r="H2155" t="s">
        <v>5474</v>
      </c>
      <c r="I2155" t="s">
        <v>11236</v>
      </c>
      <c r="J2155" t="s">
        <v>5476</v>
      </c>
      <c r="K2155" t="s">
        <v>11237</v>
      </c>
      <c r="L2155" t="s">
        <v>5471</v>
      </c>
      <c r="M2155" t="s">
        <v>5471</v>
      </c>
    </row>
    <row r="2156" spans="1:13" x14ac:dyDescent="0.3">
      <c r="A2156" t="s">
        <v>3383</v>
      </c>
      <c r="B2156" t="s">
        <v>5339</v>
      </c>
      <c r="C2156" t="s">
        <v>5487</v>
      </c>
      <c r="D2156" t="s">
        <v>4081</v>
      </c>
      <c r="E2156" t="s">
        <v>5532</v>
      </c>
      <c r="F2156" t="s">
        <v>11234</v>
      </c>
      <c r="G2156" t="s">
        <v>11238</v>
      </c>
      <c r="H2156" t="s">
        <v>5474</v>
      </c>
      <c r="I2156" t="s">
        <v>11239</v>
      </c>
      <c r="J2156" t="s">
        <v>5476</v>
      </c>
      <c r="K2156" t="s">
        <v>11237</v>
      </c>
      <c r="L2156" t="s">
        <v>5471</v>
      </c>
      <c r="M2156" t="s">
        <v>5471</v>
      </c>
    </row>
    <row r="2157" spans="1:13" x14ac:dyDescent="0.3">
      <c r="A2157" t="s">
        <v>3383</v>
      </c>
      <c r="B2157" t="s">
        <v>11240</v>
      </c>
      <c r="C2157" t="s">
        <v>5487</v>
      </c>
      <c r="D2157" t="s">
        <v>4119</v>
      </c>
      <c r="E2157" t="s">
        <v>5532</v>
      </c>
      <c r="F2157" t="s">
        <v>11241</v>
      </c>
      <c r="G2157" t="s">
        <v>6036</v>
      </c>
      <c r="H2157" t="s">
        <v>5474</v>
      </c>
      <c r="I2157" t="s">
        <v>11242</v>
      </c>
      <c r="J2157" t="s">
        <v>5484</v>
      </c>
      <c r="K2157" t="s">
        <v>11243</v>
      </c>
      <c r="L2157" t="s">
        <v>5471</v>
      </c>
      <c r="M2157" t="s">
        <v>5471</v>
      </c>
    </row>
    <row r="2158" spans="1:13" x14ac:dyDescent="0.3">
      <c r="A2158" t="s">
        <v>3383</v>
      </c>
      <c r="B2158" t="s">
        <v>6022</v>
      </c>
      <c r="C2158" t="s">
        <v>5487</v>
      </c>
      <c r="D2158" t="s">
        <v>4119</v>
      </c>
      <c r="E2158" t="s">
        <v>5532</v>
      </c>
      <c r="F2158" t="s">
        <v>11244</v>
      </c>
      <c r="G2158" t="s">
        <v>11245</v>
      </c>
      <c r="H2158" t="s">
        <v>5474</v>
      </c>
      <c r="I2158" t="s">
        <v>11246</v>
      </c>
      <c r="J2158" t="s">
        <v>5484</v>
      </c>
      <c r="K2158" t="s">
        <v>11247</v>
      </c>
      <c r="L2158" t="s">
        <v>5471</v>
      </c>
      <c r="M2158" t="s">
        <v>5471</v>
      </c>
    </row>
    <row r="2159" spans="1:13" x14ac:dyDescent="0.3">
      <c r="A2159" t="s">
        <v>3383</v>
      </c>
      <c r="B2159" t="s">
        <v>6067</v>
      </c>
      <c r="C2159" t="s">
        <v>5487</v>
      </c>
      <c r="D2159" t="s">
        <v>4058</v>
      </c>
      <c r="E2159" t="s">
        <v>5532</v>
      </c>
      <c r="F2159" t="s">
        <v>11248</v>
      </c>
      <c r="G2159" t="s">
        <v>11249</v>
      </c>
      <c r="H2159" t="s">
        <v>5474</v>
      </c>
      <c r="I2159" t="s">
        <v>11250</v>
      </c>
      <c r="J2159" t="s">
        <v>5484</v>
      </c>
      <c r="K2159" t="s">
        <v>11251</v>
      </c>
      <c r="L2159" t="s">
        <v>5471</v>
      </c>
      <c r="M2159" t="s">
        <v>5471</v>
      </c>
    </row>
    <row r="2160" spans="1:13" x14ac:dyDescent="0.3">
      <c r="A2160" t="s">
        <v>3383</v>
      </c>
      <c r="B2160" t="s">
        <v>7820</v>
      </c>
      <c r="C2160" t="s">
        <v>5487</v>
      </c>
      <c r="D2160" t="s">
        <v>4200</v>
      </c>
      <c r="E2160" t="s">
        <v>5532</v>
      </c>
      <c r="F2160" t="s">
        <v>11252</v>
      </c>
      <c r="G2160" t="s">
        <v>11253</v>
      </c>
      <c r="H2160" t="s">
        <v>5474</v>
      </c>
      <c r="I2160" t="s">
        <v>11254</v>
      </c>
      <c r="J2160" t="s">
        <v>5484</v>
      </c>
      <c r="K2160" t="s">
        <v>11255</v>
      </c>
      <c r="L2160" t="s">
        <v>5471</v>
      </c>
      <c r="M2160" t="s">
        <v>5471</v>
      </c>
    </row>
    <row r="2161" spans="1:13" x14ac:dyDescent="0.3">
      <c r="A2161" t="s">
        <v>3383</v>
      </c>
      <c r="B2161" t="s">
        <v>7820</v>
      </c>
      <c r="C2161" t="s">
        <v>5487</v>
      </c>
      <c r="D2161" t="s">
        <v>4200</v>
      </c>
      <c r="E2161" t="s">
        <v>5532</v>
      </c>
      <c r="F2161" t="s">
        <v>11256</v>
      </c>
      <c r="G2161" t="s">
        <v>11253</v>
      </c>
      <c r="H2161" t="s">
        <v>5474</v>
      </c>
      <c r="I2161" t="s">
        <v>11257</v>
      </c>
      <c r="J2161" t="s">
        <v>5484</v>
      </c>
      <c r="K2161" t="s">
        <v>11258</v>
      </c>
      <c r="L2161" t="s">
        <v>5471</v>
      </c>
      <c r="M2161" t="s">
        <v>5471</v>
      </c>
    </row>
    <row r="2162" spans="1:13" x14ac:dyDescent="0.3">
      <c r="A2162" t="s">
        <v>3383</v>
      </c>
      <c r="B2162" t="s">
        <v>7820</v>
      </c>
      <c r="C2162" t="s">
        <v>5487</v>
      </c>
      <c r="D2162" t="s">
        <v>4200</v>
      </c>
      <c r="E2162" t="s">
        <v>5532</v>
      </c>
      <c r="F2162" t="s">
        <v>11259</v>
      </c>
      <c r="G2162" t="s">
        <v>11253</v>
      </c>
      <c r="H2162" t="s">
        <v>5474</v>
      </c>
      <c r="I2162" t="s">
        <v>11260</v>
      </c>
      <c r="J2162" t="s">
        <v>5484</v>
      </c>
      <c r="K2162" t="s">
        <v>11261</v>
      </c>
      <c r="L2162" t="s">
        <v>5471</v>
      </c>
      <c r="M2162" t="s">
        <v>5471</v>
      </c>
    </row>
    <row r="2163" spans="1:13" x14ac:dyDescent="0.3">
      <c r="A2163" t="s">
        <v>3383</v>
      </c>
      <c r="B2163" t="s">
        <v>7643</v>
      </c>
      <c r="C2163" t="s">
        <v>5487</v>
      </c>
      <c r="D2163" t="s">
        <v>4200</v>
      </c>
      <c r="E2163" t="s">
        <v>5532</v>
      </c>
      <c r="F2163" t="s">
        <v>11262</v>
      </c>
      <c r="G2163" t="s">
        <v>11263</v>
      </c>
      <c r="H2163" t="s">
        <v>5474</v>
      </c>
      <c r="I2163" t="s">
        <v>11264</v>
      </c>
      <c r="J2163" t="s">
        <v>5484</v>
      </c>
      <c r="K2163" t="s">
        <v>11265</v>
      </c>
      <c r="L2163" t="s">
        <v>5471</v>
      </c>
      <c r="M2163" t="s">
        <v>5471</v>
      </c>
    </row>
    <row r="2164" spans="1:13" x14ac:dyDescent="0.3">
      <c r="A2164" t="s">
        <v>3383</v>
      </c>
      <c r="B2164" t="s">
        <v>7643</v>
      </c>
      <c r="C2164" t="s">
        <v>5487</v>
      </c>
      <c r="D2164" t="s">
        <v>4200</v>
      </c>
      <c r="E2164" t="s">
        <v>5532</v>
      </c>
      <c r="F2164" t="s">
        <v>11266</v>
      </c>
      <c r="G2164" t="s">
        <v>11263</v>
      </c>
      <c r="H2164" t="s">
        <v>5474</v>
      </c>
      <c r="I2164" t="s">
        <v>11267</v>
      </c>
      <c r="J2164" t="s">
        <v>5484</v>
      </c>
      <c r="K2164" t="s">
        <v>11268</v>
      </c>
      <c r="L2164" t="s">
        <v>5471</v>
      </c>
      <c r="M2164" t="s">
        <v>5471</v>
      </c>
    </row>
    <row r="2165" spans="1:13" x14ac:dyDescent="0.3">
      <c r="A2165" t="s">
        <v>3383</v>
      </c>
      <c r="B2165" t="s">
        <v>7643</v>
      </c>
      <c r="C2165" t="s">
        <v>5487</v>
      </c>
      <c r="D2165" t="s">
        <v>4200</v>
      </c>
      <c r="E2165" t="s">
        <v>5532</v>
      </c>
      <c r="F2165" t="s">
        <v>11269</v>
      </c>
      <c r="G2165" t="s">
        <v>11263</v>
      </c>
      <c r="H2165" t="s">
        <v>5474</v>
      </c>
      <c r="I2165" t="s">
        <v>11270</v>
      </c>
      <c r="J2165" t="s">
        <v>5484</v>
      </c>
      <c r="K2165" t="s">
        <v>11271</v>
      </c>
      <c r="L2165" t="s">
        <v>5471</v>
      </c>
      <c r="M2165" t="s">
        <v>5471</v>
      </c>
    </row>
    <row r="2166" spans="1:13" x14ac:dyDescent="0.3">
      <c r="A2166" t="s">
        <v>3383</v>
      </c>
      <c r="B2166" t="s">
        <v>7820</v>
      </c>
      <c r="C2166" t="s">
        <v>5487</v>
      </c>
      <c r="D2166" t="s">
        <v>4200</v>
      </c>
      <c r="E2166" t="s">
        <v>5532</v>
      </c>
      <c r="F2166" t="s">
        <v>11272</v>
      </c>
      <c r="G2166" t="s">
        <v>11273</v>
      </c>
      <c r="H2166" t="s">
        <v>5474</v>
      </c>
      <c r="I2166" t="s">
        <v>11274</v>
      </c>
      <c r="J2166" t="s">
        <v>5484</v>
      </c>
      <c r="K2166" t="s">
        <v>11275</v>
      </c>
      <c r="L2166" t="s">
        <v>5471</v>
      </c>
      <c r="M2166" t="s">
        <v>5471</v>
      </c>
    </row>
    <row r="2167" spans="1:13" x14ac:dyDescent="0.3">
      <c r="A2167" t="s">
        <v>3383</v>
      </c>
      <c r="B2167" t="s">
        <v>7820</v>
      </c>
      <c r="C2167" t="s">
        <v>5487</v>
      </c>
      <c r="D2167" t="s">
        <v>4200</v>
      </c>
      <c r="E2167" t="s">
        <v>5532</v>
      </c>
      <c r="F2167" t="s">
        <v>11276</v>
      </c>
      <c r="G2167" t="s">
        <v>11273</v>
      </c>
      <c r="H2167" t="s">
        <v>5474</v>
      </c>
      <c r="I2167" t="s">
        <v>11277</v>
      </c>
      <c r="J2167" t="s">
        <v>5484</v>
      </c>
      <c r="K2167" t="s">
        <v>11278</v>
      </c>
      <c r="L2167" t="s">
        <v>5471</v>
      </c>
      <c r="M2167" t="s">
        <v>5471</v>
      </c>
    </row>
    <row r="2168" spans="1:13" x14ac:dyDescent="0.3">
      <c r="A2168" t="s">
        <v>3383</v>
      </c>
      <c r="B2168" t="s">
        <v>7820</v>
      </c>
      <c r="C2168" t="s">
        <v>5487</v>
      </c>
      <c r="D2168" t="s">
        <v>4200</v>
      </c>
      <c r="E2168" t="s">
        <v>5532</v>
      </c>
      <c r="F2168" t="s">
        <v>11279</v>
      </c>
      <c r="G2168" t="s">
        <v>11273</v>
      </c>
      <c r="H2168" t="s">
        <v>5474</v>
      </c>
      <c r="I2168" t="s">
        <v>11280</v>
      </c>
      <c r="J2168" t="s">
        <v>5484</v>
      </c>
      <c r="K2168" t="s">
        <v>11281</v>
      </c>
      <c r="L2168" t="s">
        <v>5471</v>
      </c>
      <c r="M2168" t="s">
        <v>5471</v>
      </c>
    </row>
    <row r="2169" spans="1:13" x14ac:dyDescent="0.3">
      <c r="A2169" t="s">
        <v>3383</v>
      </c>
      <c r="B2169" t="s">
        <v>8062</v>
      </c>
      <c r="C2169" t="s">
        <v>5487</v>
      </c>
      <c r="D2169" t="s">
        <v>4200</v>
      </c>
      <c r="E2169" t="s">
        <v>5532</v>
      </c>
      <c r="F2169" t="s">
        <v>11282</v>
      </c>
      <c r="G2169" t="s">
        <v>8080</v>
      </c>
      <c r="H2169" t="s">
        <v>5474</v>
      </c>
      <c r="I2169" t="s">
        <v>11283</v>
      </c>
      <c r="J2169" t="s">
        <v>5484</v>
      </c>
      <c r="K2169" t="s">
        <v>11284</v>
      </c>
      <c r="L2169" t="s">
        <v>5471</v>
      </c>
      <c r="M2169" t="s">
        <v>5471</v>
      </c>
    </row>
    <row r="2170" spans="1:13" x14ac:dyDescent="0.3">
      <c r="A2170" t="s">
        <v>3383</v>
      </c>
      <c r="B2170" t="s">
        <v>8062</v>
      </c>
      <c r="C2170" t="s">
        <v>5487</v>
      </c>
      <c r="D2170" t="s">
        <v>4200</v>
      </c>
      <c r="E2170" t="s">
        <v>5532</v>
      </c>
      <c r="F2170" t="s">
        <v>11285</v>
      </c>
      <c r="G2170" t="s">
        <v>8080</v>
      </c>
      <c r="H2170" t="s">
        <v>5474</v>
      </c>
      <c r="I2170" t="s">
        <v>11286</v>
      </c>
      <c r="J2170" t="s">
        <v>5484</v>
      </c>
      <c r="K2170" t="s">
        <v>11287</v>
      </c>
      <c r="L2170" t="s">
        <v>5471</v>
      </c>
      <c r="M2170" t="s">
        <v>5471</v>
      </c>
    </row>
    <row r="2171" spans="1:13" x14ac:dyDescent="0.3">
      <c r="A2171" t="s">
        <v>3383</v>
      </c>
      <c r="B2171" t="s">
        <v>8062</v>
      </c>
      <c r="C2171" t="s">
        <v>5487</v>
      </c>
      <c r="D2171" t="s">
        <v>10218</v>
      </c>
      <c r="E2171" t="s">
        <v>5532</v>
      </c>
      <c r="F2171" t="s">
        <v>11288</v>
      </c>
      <c r="G2171" t="s">
        <v>8845</v>
      </c>
      <c r="H2171" t="s">
        <v>5474</v>
      </c>
      <c r="I2171" t="s">
        <v>11289</v>
      </c>
      <c r="J2171" t="s">
        <v>5476</v>
      </c>
      <c r="K2171" t="s">
        <v>11290</v>
      </c>
      <c r="L2171" t="s">
        <v>5471</v>
      </c>
      <c r="M2171" t="s">
        <v>5471</v>
      </c>
    </row>
    <row r="2172" spans="1:13" x14ac:dyDescent="0.3">
      <c r="A2172" t="s">
        <v>3388</v>
      </c>
      <c r="B2172" t="s">
        <v>5272</v>
      </c>
      <c r="C2172" t="s">
        <v>5470</v>
      </c>
      <c r="D2172" t="s">
        <v>4058</v>
      </c>
      <c r="E2172" t="s">
        <v>5480</v>
      </c>
      <c r="F2172" t="s">
        <v>11291</v>
      </c>
      <c r="G2172" t="s">
        <v>11292</v>
      </c>
      <c r="H2172" t="s">
        <v>5474</v>
      </c>
      <c r="I2172" t="s">
        <v>11293</v>
      </c>
      <c r="J2172" t="s">
        <v>5476</v>
      </c>
      <c r="K2172" t="s">
        <v>11294</v>
      </c>
      <c r="L2172" t="s">
        <v>5471</v>
      </c>
      <c r="M2172" t="s">
        <v>5471</v>
      </c>
    </row>
    <row r="2173" spans="1:13" x14ac:dyDescent="0.3">
      <c r="A2173" t="s">
        <v>3388</v>
      </c>
      <c r="B2173" t="s">
        <v>5272</v>
      </c>
      <c r="C2173" t="s">
        <v>5470</v>
      </c>
      <c r="D2173" t="s">
        <v>4058</v>
      </c>
      <c r="E2173" t="s">
        <v>5480</v>
      </c>
      <c r="F2173" t="s">
        <v>11295</v>
      </c>
      <c r="G2173" t="s">
        <v>11292</v>
      </c>
      <c r="H2173" t="s">
        <v>5474</v>
      </c>
      <c r="I2173" t="s">
        <v>11296</v>
      </c>
      <c r="J2173" t="s">
        <v>5476</v>
      </c>
      <c r="K2173" t="s">
        <v>11297</v>
      </c>
      <c r="L2173" t="s">
        <v>5471</v>
      </c>
      <c r="M2173" t="s">
        <v>5471</v>
      </c>
    </row>
    <row r="2174" spans="1:13" x14ac:dyDescent="0.3">
      <c r="A2174" t="s">
        <v>3388</v>
      </c>
      <c r="B2174" t="s">
        <v>5272</v>
      </c>
      <c r="C2174" t="s">
        <v>5470</v>
      </c>
      <c r="D2174" t="s">
        <v>4058</v>
      </c>
      <c r="E2174" t="s">
        <v>5480</v>
      </c>
      <c r="F2174" t="s">
        <v>11298</v>
      </c>
      <c r="G2174" t="s">
        <v>11292</v>
      </c>
      <c r="H2174" t="s">
        <v>5474</v>
      </c>
      <c r="I2174" t="s">
        <v>11299</v>
      </c>
      <c r="J2174" t="s">
        <v>5484</v>
      </c>
      <c r="K2174" t="s">
        <v>11300</v>
      </c>
      <c r="L2174" t="s">
        <v>5471</v>
      </c>
      <c r="M2174" t="s">
        <v>5471</v>
      </c>
    </row>
    <row r="2175" spans="1:13" x14ac:dyDescent="0.3">
      <c r="A2175" t="s">
        <v>3388</v>
      </c>
      <c r="B2175" t="s">
        <v>5272</v>
      </c>
      <c r="C2175" t="s">
        <v>5470</v>
      </c>
      <c r="D2175" t="s">
        <v>4058</v>
      </c>
      <c r="E2175" t="s">
        <v>5480</v>
      </c>
      <c r="F2175" t="s">
        <v>11301</v>
      </c>
      <c r="G2175" t="s">
        <v>11302</v>
      </c>
      <c r="H2175" t="s">
        <v>5474</v>
      </c>
      <c r="I2175" t="s">
        <v>11303</v>
      </c>
      <c r="J2175" t="s">
        <v>5476</v>
      </c>
      <c r="K2175" t="s">
        <v>11304</v>
      </c>
      <c r="L2175" t="s">
        <v>5471</v>
      </c>
      <c r="M2175" t="s">
        <v>5471</v>
      </c>
    </row>
    <row r="2176" spans="1:13" x14ac:dyDescent="0.3">
      <c r="A2176" t="s">
        <v>3388</v>
      </c>
      <c r="B2176" t="s">
        <v>5272</v>
      </c>
      <c r="C2176" t="s">
        <v>5470</v>
      </c>
      <c r="D2176" t="s">
        <v>4058</v>
      </c>
      <c r="E2176" t="s">
        <v>5480</v>
      </c>
      <c r="F2176" t="s">
        <v>11305</v>
      </c>
      <c r="G2176" t="s">
        <v>11302</v>
      </c>
      <c r="H2176" t="s">
        <v>5474</v>
      </c>
      <c r="I2176" t="s">
        <v>11306</v>
      </c>
      <c r="J2176" t="s">
        <v>5476</v>
      </c>
      <c r="K2176" t="s">
        <v>11307</v>
      </c>
      <c r="L2176" t="s">
        <v>5471</v>
      </c>
      <c r="M2176" t="s">
        <v>5471</v>
      </c>
    </row>
    <row r="2177" spans="1:13" x14ac:dyDescent="0.3">
      <c r="A2177" t="s">
        <v>3388</v>
      </c>
      <c r="B2177" t="s">
        <v>5272</v>
      </c>
      <c r="C2177" t="s">
        <v>5470</v>
      </c>
      <c r="D2177" t="s">
        <v>4058</v>
      </c>
      <c r="E2177" t="s">
        <v>5480</v>
      </c>
      <c r="F2177" t="s">
        <v>11308</v>
      </c>
      <c r="G2177" t="s">
        <v>11302</v>
      </c>
      <c r="H2177" t="s">
        <v>5474</v>
      </c>
      <c r="I2177" t="s">
        <v>11309</v>
      </c>
      <c r="J2177" t="s">
        <v>5476</v>
      </c>
      <c r="K2177" t="s">
        <v>11310</v>
      </c>
      <c r="L2177" t="s">
        <v>5471</v>
      </c>
      <c r="M2177" t="s">
        <v>5471</v>
      </c>
    </row>
    <row r="2178" spans="1:13" x14ac:dyDescent="0.3">
      <c r="A2178" t="s">
        <v>3388</v>
      </c>
      <c r="B2178" t="s">
        <v>11311</v>
      </c>
      <c r="C2178" t="s">
        <v>5470</v>
      </c>
      <c r="D2178" t="s">
        <v>4058</v>
      </c>
      <c r="E2178" t="s">
        <v>5756</v>
      </c>
      <c r="F2178" t="s">
        <v>11312</v>
      </c>
      <c r="G2178" t="s">
        <v>11313</v>
      </c>
      <c r="H2178" t="s">
        <v>5474</v>
      </c>
      <c r="I2178" t="s">
        <v>11314</v>
      </c>
      <c r="J2178" t="s">
        <v>5476</v>
      </c>
      <c r="K2178" t="s">
        <v>11315</v>
      </c>
      <c r="L2178" t="s">
        <v>5471</v>
      </c>
      <c r="M2178" t="s">
        <v>5471</v>
      </c>
    </row>
    <row r="2179" spans="1:13" x14ac:dyDescent="0.3">
      <c r="A2179" t="s">
        <v>3388</v>
      </c>
      <c r="B2179" t="s">
        <v>11311</v>
      </c>
      <c r="C2179" t="s">
        <v>5470</v>
      </c>
      <c r="D2179" t="s">
        <v>4058</v>
      </c>
      <c r="E2179" t="s">
        <v>5756</v>
      </c>
      <c r="F2179" t="s">
        <v>11316</v>
      </c>
      <c r="G2179" t="s">
        <v>11317</v>
      </c>
      <c r="H2179" t="s">
        <v>5474</v>
      </c>
      <c r="I2179" t="s">
        <v>11318</v>
      </c>
      <c r="J2179" t="s">
        <v>5476</v>
      </c>
      <c r="K2179" t="s">
        <v>11319</v>
      </c>
      <c r="L2179" t="s">
        <v>5471</v>
      </c>
      <c r="M2179" t="s">
        <v>5471</v>
      </c>
    </row>
    <row r="2180" spans="1:13" x14ac:dyDescent="0.3">
      <c r="A2180" t="s">
        <v>3388</v>
      </c>
      <c r="B2180" t="s">
        <v>5296</v>
      </c>
      <c r="C2180" t="s">
        <v>5470</v>
      </c>
      <c r="D2180" t="s">
        <v>4058</v>
      </c>
      <c r="E2180" t="s">
        <v>5843</v>
      </c>
      <c r="F2180" t="s">
        <v>11320</v>
      </c>
      <c r="G2180" t="s">
        <v>11321</v>
      </c>
      <c r="H2180" t="s">
        <v>5474</v>
      </c>
      <c r="I2180" t="s">
        <v>11322</v>
      </c>
      <c r="J2180" t="s">
        <v>5484</v>
      </c>
      <c r="K2180" t="s">
        <v>11323</v>
      </c>
      <c r="L2180" t="s">
        <v>5471</v>
      </c>
      <c r="M2180" t="s">
        <v>5471</v>
      </c>
    </row>
    <row r="2181" spans="1:13" x14ac:dyDescent="0.3">
      <c r="A2181" t="s">
        <v>3388</v>
      </c>
      <c r="B2181" t="s">
        <v>11153</v>
      </c>
      <c r="C2181" t="s">
        <v>5470</v>
      </c>
      <c r="D2181" t="s">
        <v>4058</v>
      </c>
      <c r="E2181" t="s">
        <v>5532</v>
      </c>
      <c r="F2181" t="s">
        <v>11324</v>
      </c>
      <c r="G2181" t="s">
        <v>11325</v>
      </c>
      <c r="H2181" t="s">
        <v>5474</v>
      </c>
      <c r="I2181" t="s">
        <v>11326</v>
      </c>
      <c r="J2181" t="s">
        <v>5476</v>
      </c>
      <c r="K2181" t="s">
        <v>11327</v>
      </c>
      <c r="L2181" t="s">
        <v>5471</v>
      </c>
      <c r="M2181" t="s">
        <v>5471</v>
      </c>
    </row>
    <row r="2182" spans="1:13" x14ac:dyDescent="0.3">
      <c r="A2182" t="s">
        <v>3388</v>
      </c>
      <c r="B2182" t="s">
        <v>11153</v>
      </c>
      <c r="C2182" t="s">
        <v>5470</v>
      </c>
      <c r="D2182" t="s">
        <v>4058</v>
      </c>
      <c r="E2182" t="s">
        <v>5532</v>
      </c>
      <c r="F2182" t="s">
        <v>11328</v>
      </c>
      <c r="G2182" t="s">
        <v>11325</v>
      </c>
      <c r="H2182" t="s">
        <v>5474</v>
      </c>
      <c r="I2182" t="s">
        <v>11329</v>
      </c>
      <c r="J2182" t="s">
        <v>5476</v>
      </c>
      <c r="K2182" t="s">
        <v>11330</v>
      </c>
      <c r="L2182" t="s">
        <v>5471</v>
      </c>
      <c r="M2182" t="s">
        <v>5471</v>
      </c>
    </row>
    <row r="2183" spans="1:13" x14ac:dyDescent="0.3">
      <c r="A2183" t="s">
        <v>3388</v>
      </c>
      <c r="B2183" t="s">
        <v>11153</v>
      </c>
      <c r="C2183" t="s">
        <v>5470</v>
      </c>
      <c r="D2183" t="s">
        <v>4058</v>
      </c>
      <c r="E2183" t="s">
        <v>5532</v>
      </c>
      <c r="F2183" t="s">
        <v>11331</v>
      </c>
      <c r="G2183" t="s">
        <v>11325</v>
      </c>
      <c r="H2183" t="s">
        <v>5474</v>
      </c>
      <c r="I2183" t="s">
        <v>11332</v>
      </c>
      <c r="J2183" t="s">
        <v>5476</v>
      </c>
      <c r="K2183" t="s">
        <v>11333</v>
      </c>
      <c r="L2183" t="s">
        <v>5471</v>
      </c>
      <c r="M2183" t="s">
        <v>5471</v>
      </c>
    </row>
    <row r="2184" spans="1:13" x14ac:dyDescent="0.3">
      <c r="A2184" t="s">
        <v>3388</v>
      </c>
      <c r="B2184" t="s">
        <v>6478</v>
      </c>
      <c r="C2184" t="s">
        <v>5470</v>
      </c>
      <c r="D2184" t="s">
        <v>4058</v>
      </c>
      <c r="E2184" t="s">
        <v>5532</v>
      </c>
      <c r="F2184" t="s">
        <v>11334</v>
      </c>
      <c r="G2184" t="s">
        <v>11335</v>
      </c>
      <c r="H2184" t="s">
        <v>5474</v>
      </c>
      <c r="I2184" t="s">
        <v>11336</v>
      </c>
      <c r="J2184" t="s">
        <v>5484</v>
      </c>
      <c r="K2184" t="s">
        <v>11337</v>
      </c>
      <c r="L2184" t="s">
        <v>5471</v>
      </c>
      <c r="M2184" t="s">
        <v>5471</v>
      </c>
    </row>
    <row r="2185" spans="1:13" x14ac:dyDescent="0.3">
      <c r="A2185" t="s">
        <v>3388</v>
      </c>
      <c r="B2185" t="s">
        <v>6478</v>
      </c>
      <c r="C2185" t="s">
        <v>5470</v>
      </c>
      <c r="D2185" t="s">
        <v>4058</v>
      </c>
      <c r="E2185" t="s">
        <v>5532</v>
      </c>
      <c r="F2185" t="s">
        <v>11338</v>
      </c>
      <c r="G2185" t="s">
        <v>11335</v>
      </c>
      <c r="H2185" t="s">
        <v>5474</v>
      </c>
      <c r="I2185" t="s">
        <v>11339</v>
      </c>
      <c r="J2185" t="s">
        <v>5484</v>
      </c>
      <c r="K2185" t="s">
        <v>11340</v>
      </c>
      <c r="L2185" t="s">
        <v>5471</v>
      </c>
      <c r="M2185" t="s">
        <v>5471</v>
      </c>
    </row>
    <row r="2186" spans="1:13" x14ac:dyDescent="0.3">
      <c r="A2186" t="s">
        <v>3388</v>
      </c>
      <c r="B2186" t="s">
        <v>6478</v>
      </c>
      <c r="C2186" t="s">
        <v>5470</v>
      </c>
      <c r="D2186" t="s">
        <v>4058</v>
      </c>
      <c r="E2186" t="s">
        <v>5532</v>
      </c>
      <c r="F2186" t="s">
        <v>11341</v>
      </c>
      <c r="G2186" t="s">
        <v>11335</v>
      </c>
      <c r="H2186" t="s">
        <v>5474</v>
      </c>
      <c r="I2186" t="s">
        <v>11342</v>
      </c>
      <c r="J2186" t="s">
        <v>5484</v>
      </c>
      <c r="K2186" t="s">
        <v>11343</v>
      </c>
      <c r="L2186" t="s">
        <v>5471</v>
      </c>
      <c r="M2186" t="s">
        <v>5471</v>
      </c>
    </row>
    <row r="2187" spans="1:13" x14ac:dyDescent="0.3">
      <c r="A2187" t="s">
        <v>3388</v>
      </c>
      <c r="B2187" t="s">
        <v>7109</v>
      </c>
      <c r="C2187" t="s">
        <v>5470</v>
      </c>
      <c r="D2187" t="s">
        <v>4119</v>
      </c>
      <c r="E2187" t="s">
        <v>5756</v>
      </c>
      <c r="F2187" t="s">
        <v>11344</v>
      </c>
      <c r="G2187" t="s">
        <v>10728</v>
      </c>
      <c r="H2187" t="s">
        <v>5474</v>
      </c>
      <c r="I2187" t="s">
        <v>11345</v>
      </c>
      <c r="J2187" t="s">
        <v>5476</v>
      </c>
      <c r="K2187" t="s">
        <v>10665</v>
      </c>
      <c r="L2187" t="s">
        <v>5471</v>
      </c>
      <c r="M2187" t="s">
        <v>5471</v>
      </c>
    </row>
    <row r="2188" spans="1:13" x14ac:dyDescent="0.3">
      <c r="A2188" t="s">
        <v>3388</v>
      </c>
      <c r="B2188" t="s">
        <v>11346</v>
      </c>
      <c r="C2188" t="s">
        <v>5470</v>
      </c>
      <c r="D2188" t="s">
        <v>4119</v>
      </c>
      <c r="E2188" t="s">
        <v>5843</v>
      </c>
      <c r="F2188" t="s">
        <v>11347</v>
      </c>
      <c r="G2188" t="s">
        <v>11348</v>
      </c>
      <c r="H2188" t="s">
        <v>5474</v>
      </c>
      <c r="I2188" t="s">
        <v>11349</v>
      </c>
      <c r="J2188" t="s">
        <v>5476</v>
      </c>
      <c r="K2188" t="s">
        <v>11350</v>
      </c>
      <c r="L2188" t="s">
        <v>5471</v>
      </c>
      <c r="M2188" t="s">
        <v>5471</v>
      </c>
    </row>
    <row r="2189" spans="1:13" x14ac:dyDescent="0.3">
      <c r="A2189" t="s">
        <v>3388</v>
      </c>
      <c r="B2189" t="s">
        <v>5531</v>
      </c>
      <c r="C2189" t="s">
        <v>5470</v>
      </c>
      <c r="D2189" t="s">
        <v>4119</v>
      </c>
      <c r="E2189" t="s">
        <v>5532</v>
      </c>
      <c r="F2189" t="s">
        <v>11351</v>
      </c>
      <c r="G2189" t="s">
        <v>9069</v>
      </c>
      <c r="H2189" t="s">
        <v>5474</v>
      </c>
      <c r="I2189" t="s">
        <v>11352</v>
      </c>
      <c r="J2189" t="s">
        <v>5484</v>
      </c>
      <c r="K2189" t="s">
        <v>11353</v>
      </c>
      <c r="L2189" t="s">
        <v>5471</v>
      </c>
      <c r="M2189" t="s">
        <v>5471</v>
      </c>
    </row>
    <row r="2190" spans="1:13" x14ac:dyDescent="0.3">
      <c r="A2190" t="s">
        <v>3388</v>
      </c>
      <c r="B2190" t="s">
        <v>8573</v>
      </c>
      <c r="C2190" t="s">
        <v>5470</v>
      </c>
      <c r="D2190" t="s">
        <v>4119</v>
      </c>
      <c r="E2190" t="s">
        <v>5756</v>
      </c>
      <c r="F2190" t="s">
        <v>11354</v>
      </c>
      <c r="G2190" t="s">
        <v>11355</v>
      </c>
      <c r="H2190" t="s">
        <v>5474</v>
      </c>
      <c r="I2190" t="s">
        <v>11356</v>
      </c>
      <c r="J2190" t="s">
        <v>5476</v>
      </c>
      <c r="K2190" t="s">
        <v>11357</v>
      </c>
      <c r="L2190" t="s">
        <v>5471</v>
      </c>
      <c r="M2190" t="s">
        <v>5471</v>
      </c>
    </row>
    <row r="2191" spans="1:13" x14ac:dyDescent="0.3">
      <c r="A2191" t="s">
        <v>3388</v>
      </c>
      <c r="B2191" t="s">
        <v>8573</v>
      </c>
      <c r="C2191" t="s">
        <v>5470</v>
      </c>
      <c r="D2191" t="s">
        <v>4119</v>
      </c>
      <c r="E2191" t="s">
        <v>5756</v>
      </c>
      <c r="F2191" t="s">
        <v>11358</v>
      </c>
      <c r="G2191" t="s">
        <v>11355</v>
      </c>
      <c r="H2191" t="s">
        <v>5474</v>
      </c>
      <c r="I2191" t="s">
        <v>11359</v>
      </c>
      <c r="J2191" t="s">
        <v>5476</v>
      </c>
      <c r="K2191" t="s">
        <v>11360</v>
      </c>
      <c r="L2191" t="s">
        <v>5471</v>
      </c>
      <c r="M2191" t="s">
        <v>5471</v>
      </c>
    </row>
    <row r="2192" spans="1:13" x14ac:dyDescent="0.3">
      <c r="A2192" t="s">
        <v>3388</v>
      </c>
      <c r="B2192" t="s">
        <v>7109</v>
      </c>
      <c r="C2192" t="s">
        <v>5470</v>
      </c>
      <c r="D2192" t="s">
        <v>4119</v>
      </c>
      <c r="E2192" t="s">
        <v>5480</v>
      </c>
      <c r="F2192" t="s">
        <v>11361</v>
      </c>
      <c r="G2192" t="s">
        <v>10732</v>
      </c>
      <c r="H2192" t="s">
        <v>5474</v>
      </c>
      <c r="I2192" t="s">
        <v>11362</v>
      </c>
      <c r="J2192" t="s">
        <v>5476</v>
      </c>
      <c r="K2192" t="s">
        <v>10722</v>
      </c>
      <c r="L2192" t="s">
        <v>5471</v>
      </c>
      <c r="M2192" t="s">
        <v>5471</v>
      </c>
    </row>
    <row r="2193" spans="1:13" x14ac:dyDescent="0.3">
      <c r="A2193" t="s">
        <v>3388</v>
      </c>
      <c r="B2193" t="s">
        <v>7109</v>
      </c>
      <c r="C2193" t="s">
        <v>5470</v>
      </c>
      <c r="D2193" t="s">
        <v>4119</v>
      </c>
      <c r="E2193" t="s">
        <v>5756</v>
      </c>
      <c r="F2193" t="s">
        <v>11363</v>
      </c>
      <c r="G2193" t="s">
        <v>10663</v>
      </c>
      <c r="H2193" t="s">
        <v>5474</v>
      </c>
      <c r="I2193" t="s">
        <v>11364</v>
      </c>
      <c r="J2193" t="s">
        <v>5476</v>
      </c>
      <c r="K2193" t="s">
        <v>10722</v>
      </c>
      <c r="L2193" t="s">
        <v>5471</v>
      </c>
      <c r="M2193" t="s">
        <v>5471</v>
      </c>
    </row>
    <row r="2194" spans="1:13" x14ac:dyDescent="0.3">
      <c r="A2194" t="s">
        <v>3388</v>
      </c>
      <c r="B2194" t="s">
        <v>7109</v>
      </c>
      <c r="C2194" t="s">
        <v>5470</v>
      </c>
      <c r="D2194" t="s">
        <v>4119</v>
      </c>
      <c r="E2194" t="s">
        <v>5756</v>
      </c>
      <c r="F2194" t="s">
        <v>11365</v>
      </c>
      <c r="G2194" t="s">
        <v>10663</v>
      </c>
      <c r="H2194" t="s">
        <v>5474</v>
      </c>
      <c r="I2194" t="s">
        <v>11366</v>
      </c>
      <c r="J2194" t="s">
        <v>5476</v>
      </c>
      <c r="K2194" t="s">
        <v>10665</v>
      </c>
      <c r="L2194" t="s">
        <v>5471</v>
      </c>
      <c r="M2194" t="s">
        <v>5471</v>
      </c>
    </row>
    <row r="2195" spans="1:13" x14ac:dyDescent="0.3">
      <c r="A2195" t="s">
        <v>3383</v>
      </c>
      <c r="B2195" t="s">
        <v>6067</v>
      </c>
      <c r="C2195" t="s">
        <v>5487</v>
      </c>
      <c r="D2195" t="s">
        <v>4052</v>
      </c>
      <c r="E2195" t="s">
        <v>5532</v>
      </c>
      <c r="F2195" t="s">
        <v>11367</v>
      </c>
      <c r="G2195" t="s">
        <v>11249</v>
      </c>
      <c r="H2195" t="s">
        <v>5474</v>
      </c>
      <c r="I2195" t="s">
        <v>11368</v>
      </c>
      <c r="J2195" t="s">
        <v>5476</v>
      </c>
      <c r="K2195" t="s">
        <v>11369</v>
      </c>
      <c r="L2195" t="s">
        <v>5471</v>
      </c>
      <c r="M2195" t="s">
        <v>5471</v>
      </c>
    </row>
    <row r="2196" spans="1:13" x14ac:dyDescent="0.3">
      <c r="A2196" t="s">
        <v>3383</v>
      </c>
      <c r="B2196" t="s">
        <v>6022</v>
      </c>
      <c r="C2196" t="s">
        <v>5487</v>
      </c>
      <c r="D2196" t="s">
        <v>4052</v>
      </c>
      <c r="E2196" t="s">
        <v>5843</v>
      </c>
      <c r="F2196" t="s">
        <v>11370</v>
      </c>
      <c r="G2196" t="s">
        <v>11224</v>
      </c>
      <c r="H2196" t="s">
        <v>5474</v>
      </c>
      <c r="I2196" t="s">
        <v>11371</v>
      </c>
      <c r="J2196" t="s">
        <v>5476</v>
      </c>
      <c r="K2196" t="s">
        <v>11372</v>
      </c>
      <c r="L2196" t="s">
        <v>5471</v>
      </c>
      <c r="M2196" t="s">
        <v>5471</v>
      </c>
    </row>
    <row r="2197" spans="1:13" x14ac:dyDescent="0.3">
      <c r="A2197" t="s">
        <v>3383</v>
      </c>
      <c r="B2197" t="s">
        <v>6022</v>
      </c>
      <c r="C2197" t="s">
        <v>5487</v>
      </c>
      <c r="D2197" t="s">
        <v>4119</v>
      </c>
      <c r="E2197" t="s">
        <v>5532</v>
      </c>
      <c r="F2197" t="s">
        <v>11373</v>
      </c>
      <c r="G2197" t="s">
        <v>11374</v>
      </c>
      <c r="H2197" t="s">
        <v>5474</v>
      </c>
      <c r="I2197" t="s">
        <v>11375</v>
      </c>
      <c r="J2197" t="s">
        <v>5484</v>
      </c>
      <c r="K2197" t="s">
        <v>11376</v>
      </c>
      <c r="L2197" t="s">
        <v>5471</v>
      </c>
      <c r="M2197" t="s">
        <v>5471</v>
      </c>
    </row>
    <row r="2198" spans="1:13" x14ac:dyDescent="0.3">
      <c r="A2198" t="s">
        <v>3383</v>
      </c>
      <c r="B2198" t="s">
        <v>8176</v>
      </c>
      <c r="C2198" t="s">
        <v>5487</v>
      </c>
      <c r="D2198" t="s">
        <v>4119</v>
      </c>
      <c r="E2198" t="s">
        <v>5532</v>
      </c>
      <c r="F2198" t="s">
        <v>11377</v>
      </c>
      <c r="G2198" t="s">
        <v>10886</v>
      </c>
      <c r="H2198" t="s">
        <v>5474</v>
      </c>
      <c r="I2198" t="s">
        <v>11378</v>
      </c>
      <c r="J2198" t="s">
        <v>5484</v>
      </c>
      <c r="K2198" t="s">
        <v>11379</v>
      </c>
      <c r="L2198" t="s">
        <v>5471</v>
      </c>
      <c r="M2198" t="s">
        <v>5471</v>
      </c>
    </row>
    <row r="2199" spans="1:13" x14ac:dyDescent="0.3">
      <c r="A2199" t="s">
        <v>3383</v>
      </c>
      <c r="B2199" t="s">
        <v>8176</v>
      </c>
      <c r="C2199" t="s">
        <v>5487</v>
      </c>
      <c r="D2199" t="s">
        <v>4119</v>
      </c>
      <c r="E2199" t="s">
        <v>5532</v>
      </c>
      <c r="F2199" t="s">
        <v>11373</v>
      </c>
      <c r="G2199" t="s">
        <v>11374</v>
      </c>
      <c r="H2199" t="s">
        <v>5474</v>
      </c>
      <c r="I2199" t="s">
        <v>11380</v>
      </c>
      <c r="J2199" t="s">
        <v>5476</v>
      </c>
      <c r="K2199" t="s">
        <v>11381</v>
      </c>
      <c r="L2199" t="s">
        <v>5471</v>
      </c>
      <c r="M2199" t="s">
        <v>5471</v>
      </c>
    </row>
    <row r="2200" spans="1:13" x14ac:dyDescent="0.3">
      <c r="A2200" t="s">
        <v>3383</v>
      </c>
      <c r="B2200" t="s">
        <v>6034</v>
      </c>
      <c r="C2200" t="s">
        <v>5487</v>
      </c>
      <c r="D2200" t="s">
        <v>4119</v>
      </c>
      <c r="E2200" t="s">
        <v>5532</v>
      </c>
      <c r="F2200" t="s">
        <v>11382</v>
      </c>
      <c r="G2200" t="s">
        <v>11383</v>
      </c>
      <c r="H2200" t="s">
        <v>5474</v>
      </c>
      <c r="I2200" t="s">
        <v>11384</v>
      </c>
      <c r="J2200" t="s">
        <v>5484</v>
      </c>
      <c r="K2200" t="s">
        <v>11385</v>
      </c>
      <c r="L2200" t="s">
        <v>5471</v>
      </c>
      <c r="M2200" t="s">
        <v>5471</v>
      </c>
    </row>
    <row r="2201" spans="1:13" x14ac:dyDescent="0.3">
      <c r="A2201" t="s">
        <v>3383</v>
      </c>
      <c r="B2201" t="s">
        <v>6034</v>
      </c>
      <c r="C2201" t="s">
        <v>5487</v>
      </c>
      <c r="D2201" t="s">
        <v>4119</v>
      </c>
      <c r="E2201" t="s">
        <v>5532</v>
      </c>
      <c r="F2201" t="s">
        <v>11241</v>
      </c>
      <c r="G2201" t="s">
        <v>11386</v>
      </c>
      <c r="H2201" t="s">
        <v>5474</v>
      </c>
      <c r="I2201" t="s">
        <v>11387</v>
      </c>
      <c r="J2201" t="s">
        <v>5484</v>
      </c>
      <c r="K2201" t="s">
        <v>11243</v>
      </c>
      <c r="L2201" t="s">
        <v>5471</v>
      </c>
      <c r="M2201" t="s">
        <v>5471</v>
      </c>
    </row>
    <row r="2202" spans="1:13" x14ac:dyDescent="0.3">
      <c r="A2202" t="s">
        <v>3383</v>
      </c>
      <c r="B2202" t="s">
        <v>6034</v>
      </c>
      <c r="C2202" t="s">
        <v>5487</v>
      </c>
      <c r="D2202" t="s">
        <v>4119</v>
      </c>
      <c r="E2202" t="s">
        <v>5532</v>
      </c>
      <c r="F2202" t="s">
        <v>11388</v>
      </c>
      <c r="G2202" t="s">
        <v>11389</v>
      </c>
      <c r="H2202" t="s">
        <v>5474</v>
      </c>
      <c r="I2202" t="s">
        <v>11390</v>
      </c>
      <c r="J2202" t="s">
        <v>5484</v>
      </c>
      <c r="K2202" t="s">
        <v>11391</v>
      </c>
      <c r="L2202" t="s">
        <v>5471</v>
      </c>
      <c r="M2202" t="s">
        <v>5471</v>
      </c>
    </row>
    <row r="2203" spans="1:13" x14ac:dyDescent="0.3">
      <c r="A2203" t="s">
        <v>3383</v>
      </c>
      <c r="B2203" t="s">
        <v>8176</v>
      </c>
      <c r="C2203" t="s">
        <v>5487</v>
      </c>
      <c r="D2203" t="s">
        <v>4119</v>
      </c>
      <c r="E2203" t="s">
        <v>5532</v>
      </c>
      <c r="F2203" t="s">
        <v>11392</v>
      </c>
      <c r="G2203" t="s">
        <v>11393</v>
      </c>
      <c r="H2203" t="s">
        <v>5474</v>
      </c>
      <c r="I2203" t="s">
        <v>11394</v>
      </c>
      <c r="J2203" t="s">
        <v>5484</v>
      </c>
      <c r="K2203" t="s">
        <v>11395</v>
      </c>
      <c r="L2203" t="s">
        <v>5471</v>
      </c>
      <c r="M2203" t="s">
        <v>5471</v>
      </c>
    </row>
    <row r="2204" spans="1:13" x14ac:dyDescent="0.3">
      <c r="A2204" t="s">
        <v>3383</v>
      </c>
      <c r="B2204" t="s">
        <v>6034</v>
      </c>
      <c r="C2204" t="s">
        <v>5487</v>
      </c>
      <c r="D2204" t="s">
        <v>4119</v>
      </c>
      <c r="E2204" t="s">
        <v>5532</v>
      </c>
      <c r="F2204" t="s">
        <v>11396</v>
      </c>
      <c r="G2204" t="s">
        <v>8193</v>
      </c>
      <c r="H2204" t="s">
        <v>5474</v>
      </c>
      <c r="I2204" t="s">
        <v>11397</v>
      </c>
      <c r="J2204" t="s">
        <v>5484</v>
      </c>
      <c r="K2204" t="s">
        <v>11398</v>
      </c>
      <c r="L2204" t="s">
        <v>5471</v>
      </c>
      <c r="M2204" t="s">
        <v>5471</v>
      </c>
    </row>
    <row r="2205" spans="1:13" x14ac:dyDescent="0.3">
      <c r="A2205" t="s">
        <v>3383</v>
      </c>
      <c r="B2205" t="s">
        <v>5304</v>
      </c>
      <c r="C2205" t="s">
        <v>5487</v>
      </c>
      <c r="D2205" t="s">
        <v>4052</v>
      </c>
      <c r="E2205" t="s">
        <v>5532</v>
      </c>
      <c r="F2205" t="s">
        <v>11399</v>
      </c>
      <c r="G2205" t="s">
        <v>8106</v>
      </c>
      <c r="H2205" t="s">
        <v>5474</v>
      </c>
      <c r="I2205" t="s">
        <v>11400</v>
      </c>
      <c r="J2205" t="s">
        <v>5476</v>
      </c>
      <c r="K2205" t="s">
        <v>11401</v>
      </c>
      <c r="L2205" t="s">
        <v>5471</v>
      </c>
      <c r="M2205" t="s">
        <v>5471</v>
      </c>
    </row>
    <row r="2206" spans="1:13" x14ac:dyDescent="0.3">
      <c r="A2206" t="s">
        <v>3383</v>
      </c>
      <c r="B2206" t="s">
        <v>5304</v>
      </c>
      <c r="C2206" t="s">
        <v>5487</v>
      </c>
      <c r="D2206" t="s">
        <v>4052</v>
      </c>
      <c r="E2206" t="s">
        <v>5532</v>
      </c>
      <c r="F2206" t="s">
        <v>11402</v>
      </c>
      <c r="G2206" t="s">
        <v>8089</v>
      </c>
      <c r="H2206" t="s">
        <v>5474</v>
      </c>
      <c r="I2206" t="s">
        <v>11403</v>
      </c>
      <c r="J2206" t="s">
        <v>5476</v>
      </c>
      <c r="K2206" t="s">
        <v>11404</v>
      </c>
      <c r="L2206" t="s">
        <v>5471</v>
      </c>
      <c r="M2206" t="s">
        <v>5471</v>
      </c>
    </row>
    <row r="2207" spans="1:13" x14ac:dyDescent="0.3">
      <c r="A2207" t="s">
        <v>3383</v>
      </c>
      <c r="B2207" t="s">
        <v>5304</v>
      </c>
      <c r="C2207" t="s">
        <v>5487</v>
      </c>
      <c r="D2207" t="s">
        <v>4119</v>
      </c>
      <c r="E2207" t="s">
        <v>5532</v>
      </c>
      <c r="F2207" t="s">
        <v>11405</v>
      </c>
      <c r="G2207" t="s">
        <v>11406</v>
      </c>
      <c r="H2207" t="s">
        <v>5474</v>
      </c>
      <c r="I2207" t="s">
        <v>11407</v>
      </c>
      <c r="J2207" t="s">
        <v>5476</v>
      </c>
      <c r="K2207" t="s">
        <v>11408</v>
      </c>
      <c r="L2207" t="s">
        <v>5471</v>
      </c>
      <c r="M2207" t="s">
        <v>5471</v>
      </c>
    </row>
    <row r="2208" spans="1:13" x14ac:dyDescent="0.3">
      <c r="A2208" t="s">
        <v>3383</v>
      </c>
      <c r="B2208" t="s">
        <v>7643</v>
      </c>
      <c r="C2208" t="s">
        <v>5487</v>
      </c>
      <c r="D2208" t="s">
        <v>4052</v>
      </c>
      <c r="E2208" t="s">
        <v>5532</v>
      </c>
      <c r="F2208" t="s">
        <v>11409</v>
      </c>
      <c r="G2208" t="s">
        <v>8084</v>
      </c>
      <c r="H2208" t="s">
        <v>5474</v>
      </c>
      <c r="I2208" t="s">
        <v>11410</v>
      </c>
      <c r="J2208" t="s">
        <v>5476</v>
      </c>
      <c r="K2208" t="s">
        <v>11411</v>
      </c>
      <c r="L2208" t="s">
        <v>5471</v>
      </c>
      <c r="M2208" t="s">
        <v>5471</v>
      </c>
    </row>
    <row r="2209" spans="1:13" x14ac:dyDescent="0.3">
      <c r="A2209" t="s">
        <v>3383</v>
      </c>
      <c r="B2209" t="s">
        <v>5304</v>
      </c>
      <c r="C2209" t="s">
        <v>5487</v>
      </c>
      <c r="D2209" t="s">
        <v>4052</v>
      </c>
      <c r="E2209" t="s">
        <v>5532</v>
      </c>
      <c r="F2209" t="s">
        <v>11412</v>
      </c>
      <c r="G2209" t="s">
        <v>11413</v>
      </c>
      <c r="H2209" t="s">
        <v>5474</v>
      </c>
      <c r="I2209" t="s">
        <v>11414</v>
      </c>
      <c r="J2209" t="s">
        <v>5476</v>
      </c>
      <c r="K2209" t="s">
        <v>11415</v>
      </c>
      <c r="L2209" t="s">
        <v>5471</v>
      </c>
      <c r="M2209" t="s">
        <v>5471</v>
      </c>
    </row>
    <row r="2210" spans="1:13" x14ac:dyDescent="0.3">
      <c r="A2210" t="s">
        <v>3388</v>
      </c>
      <c r="B2210" t="s">
        <v>6128</v>
      </c>
      <c r="C2210" t="s">
        <v>5470</v>
      </c>
      <c r="D2210" t="s">
        <v>4056</v>
      </c>
      <c r="E2210" t="s">
        <v>5532</v>
      </c>
      <c r="F2210" t="s">
        <v>11416</v>
      </c>
      <c r="G2210" t="s">
        <v>11417</v>
      </c>
      <c r="H2210" t="s">
        <v>5474</v>
      </c>
      <c r="I2210" t="s">
        <v>11418</v>
      </c>
      <c r="J2210" t="s">
        <v>5484</v>
      </c>
      <c r="K2210" t="s">
        <v>11419</v>
      </c>
      <c r="L2210" t="s">
        <v>5471</v>
      </c>
      <c r="M2210" t="s">
        <v>5471</v>
      </c>
    </row>
    <row r="2211" spans="1:13" x14ac:dyDescent="0.3">
      <c r="A2211" t="s">
        <v>3388</v>
      </c>
      <c r="B2211" t="s">
        <v>6128</v>
      </c>
      <c r="C2211" t="s">
        <v>5470</v>
      </c>
      <c r="D2211" t="s">
        <v>4056</v>
      </c>
      <c r="E2211" t="s">
        <v>5532</v>
      </c>
      <c r="F2211" t="s">
        <v>11420</v>
      </c>
      <c r="G2211" t="s">
        <v>11417</v>
      </c>
      <c r="H2211" t="s">
        <v>5474</v>
      </c>
      <c r="I2211" t="s">
        <v>11421</v>
      </c>
      <c r="J2211" t="s">
        <v>5484</v>
      </c>
      <c r="K2211" t="s">
        <v>11422</v>
      </c>
      <c r="L2211" t="s">
        <v>5471</v>
      </c>
      <c r="M2211" t="s">
        <v>5471</v>
      </c>
    </row>
    <row r="2212" spans="1:13" x14ac:dyDescent="0.3">
      <c r="A2212" t="s">
        <v>3388</v>
      </c>
      <c r="B2212" t="s">
        <v>11423</v>
      </c>
      <c r="C2212" t="s">
        <v>5470</v>
      </c>
      <c r="D2212" t="s">
        <v>4058</v>
      </c>
      <c r="E2212" t="s">
        <v>5532</v>
      </c>
      <c r="F2212" t="s">
        <v>11424</v>
      </c>
      <c r="G2212" t="s">
        <v>11425</v>
      </c>
      <c r="H2212" t="s">
        <v>5474</v>
      </c>
      <c r="I2212" t="s">
        <v>11426</v>
      </c>
      <c r="J2212" t="s">
        <v>5476</v>
      </c>
      <c r="K2212" t="s">
        <v>11427</v>
      </c>
      <c r="L2212" t="s">
        <v>5471</v>
      </c>
      <c r="M2212" t="s">
        <v>5471</v>
      </c>
    </row>
    <row r="2213" spans="1:13" x14ac:dyDescent="0.3">
      <c r="A2213" t="s">
        <v>3388</v>
      </c>
      <c r="B2213" t="s">
        <v>6478</v>
      </c>
      <c r="C2213" t="s">
        <v>5470</v>
      </c>
      <c r="D2213" t="s">
        <v>4058</v>
      </c>
      <c r="E2213" t="s">
        <v>5532</v>
      </c>
      <c r="F2213" t="s">
        <v>11428</v>
      </c>
      <c r="G2213" t="s">
        <v>11429</v>
      </c>
      <c r="H2213" t="s">
        <v>5474</v>
      </c>
      <c r="I2213" t="s">
        <v>11430</v>
      </c>
      <c r="J2213" t="s">
        <v>5484</v>
      </c>
      <c r="K2213" t="s">
        <v>11431</v>
      </c>
      <c r="L2213" t="s">
        <v>5471</v>
      </c>
      <c r="M2213" t="s">
        <v>5471</v>
      </c>
    </row>
    <row r="2214" spans="1:13" x14ac:dyDescent="0.3">
      <c r="A2214" t="s">
        <v>3388</v>
      </c>
      <c r="B2214" t="s">
        <v>6478</v>
      </c>
      <c r="C2214" t="s">
        <v>5470</v>
      </c>
      <c r="D2214" t="s">
        <v>4058</v>
      </c>
      <c r="E2214" t="s">
        <v>5532</v>
      </c>
      <c r="F2214" t="s">
        <v>11432</v>
      </c>
      <c r="G2214" t="s">
        <v>11429</v>
      </c>
      <c r="H2214" t="s">
        <v>5474</v>
      </c>
      <c r="I2214" t="s">
        <v>11433</v>
      </c>
      <c r="J2214" t="s">
        <v>5484</v>
      </c>
      <c r="K2214" t="s">
        <v>11434</v>
      </c>
      <c r="L2214" t="s">
        <v>5471</v>
      </c>
      <c r="M2214" t="s">
        <v>5471</v>
      </c>
    </row>
    <row r="2215" spans="1:13" x14ac:dyDescent="0.3">
      <c r="A2215" t="s">
        <v>3388</v>
      </c>
      <c r="B2215" t="s">
        <v>6478</v>
      </c>
      <c r="C2215" t="s">
        <v>5470</v>
      </c>
      <c r="D2215" t="s">
        <v>4058</v>
      </c>
      <c r="E2215" t="s">
        <v>5532</v>
      </c>
      <c r="F2215" t="s">
        <v>11435</v>
      </c>
      <c r="G2215" t="s">
        <v>11436</v>
      </c>
      <c r="H2215" t="s">
        <v>5474</v>
      </c>
      <c r="I2215" t="s">
        <v>11437</v>
      </c>
      <c r="J2215" t="s">
        <v>5484</v>
      </c>
      <c r="K2215" t="s">
        <v>11438</v>
      </c>
      <c r="L2215" t="s">
        <v>5471</v>
      </c>
      <c r="M2215" t="s">
        <v>5471</v>
      </c>
    </row>
    <row r="2216" spans="1:13" x14ac:dyDescent="0.3">
      <c r="A2216" t="s">
        <v>3388</v>
      </c>
      <c r="B2216" t="s">
        <v>6478</v>
      </c>
      <c r="C2216" t="s">
        <v>5470</v>
      </c>
      <c r="D2216" t="s">
        <v>4058</v>
      </c>
      <c r="E2216" t="s">
        <v>5532</v>
      </c>
      <c r="F2216" t="s">
        <v>11439</v>
      </c>
      <c r="G2216" t="s">
        <v>11436</v>
      </c>
      <c r="H2216" t="s">
        <v>5474</v>
      </c>
      <c r="I2216" t="s">
        <v>11440</v>
      </c>
      <c r="J2216" t="s">
        <v>5484</v>
      </c>
      <c r="K2216" t="s">
        <v>11441</v>
      </c>
      <c r="L2216" t="s">
        <v>5471</v>
      </c>
      <c r="M2216" t="s">
        <v>5471</v>
      </c>
    </row>
    <row r="2217" spans="1:13" x14ac:dyDescent="0.3">
      <c r="A2217" t="s">
        <v>3388</v>
      </c>
      <c r="B2217" t="s">
        <v>6478</v>
      </c>
      <c r="C2217" t="s">
        <v>5470</v>
      </c>
      <c r="D2217" t="s">
        <v>4058</v>
      </c>
      <c r="E2217" t="s">
        <v>5532</v>
      </c>
      <c r="F2217" t="s">
        <v>11442</v>
      </c>
      <c r="G2217" t="s">
        <v>11436</v>
      </c>
      <c r="H2217" t="s">
        <v>5474</v>
      </c>
      <c r="I2217" t="s">
        <v>11443</v>
      </c>
      <c r="J2217" t="s">
        <v>5484</v>
      </c>
      <c r="K2217" t="s">
        <v>11444</v>
      </c>
      <c r="L2217" t="s">
        <v>5471</v>
      </c>
      <c r="M2217" t="s">
        <v>5471</v>
      </c>
    </row>
    <row r="2218" spans="1:13" x14ac:dyDescent="0.3">
      <c r="A2218" t="s">
        <v>3388</v>
      </c>
      <c r="B2218" t="s">
        <v>11153</v>
      </c>
      <c r="C2218" t="s">
        <v>5470</v>
      </c>
      <c r="D2218" t="s">
        <v>4058</v>
      </c>
      <c r="E2218" t="s">
        <v>5532</v>
      </c>
      <c r="F2218" t="s">
        <v>11445</v>
      </c>
      <c r="G2218" t="s">
        <v>11446</v>
      </c>
      <c r="H2218" t="s">
        <v>5474</v>
      </c>
      <c r="I2218" t="s">
        <v>11447</v>
      </c>
      <c r="J2218" t="s">
        <v>5476</v>
      </c>
      <c r="K2218" t="s">
        <v>11448</v>
      </c>
      <c r="L2218" t="s">
        <v>5471</v>
      </c>
      <c r="M2218" t="s">
        <v>5471</v>
      </c>
    </row>
    <row r="2219" spans="1:13" x14ac:dyDescent="0.3">
      <c r="A2219" t="s">
        <v>3388</v>
      </c>
      <c r="B2219" t="s">
        <v>11153</v>
      </c>
      <c r="C2219" t="s">
        <v>5470</v>
      </c>
      <c r="D2219" t="s">
        <v>4058</v>
      </c>
      <c r="E2219" t="s">
        <v>5532</v>
      </c>
      <c r="F2219" t="s">
        <v>11449</v>
      </c>
      <c r="G2219" t="s">
        <v>11446</v>
      </c>
      <c r="H2219" t="s">
        <v>5474</v>
      </c>
      <c r="I2219" t="s">
        <v>11450</v>
      </c>
      <c r="J2219" t="s">
        <v>5476</v>
      </c>
      <c r="K2219" t="s">
        <v>11451</v>
      </c>
      <c r="L2219" t="s">
        <v>5471</v>
      </c>
      <c r="M2219" t="s">
        <v>5471</v>
      </c>
    </row>
    <row r="2220" spans="1:13" x14ac:dyDescent="0.3">
      <c r="A2220" t="s">
        <v>3388</v>
      </c>
      <c r="B2220" t="s">
        <v>11153</v>
      </c>
      <c r="C2220" t="s">
        <v>5470</v>
      </c>
      <c r="D2220" t="s">
        <v>4058</v>
      </c>
      <c r="E2220" t="s">
        <v>5532</v>
      </c>
      <c r="F2220" t="s">
        <v>11452</v>
      </c>
      <c r="G2220" t="s">
        <v>11446</v>
      </c>
      <c r="H2220" t="s">
        <v>5474</v>
      </c>
      <c r="I2220" t="s">
        <v>11453</v>
      </c>
      <c r="J2220" t="s">
        <v>5476</v>
      </c>
      <c r="K2220" t="s">
        <v>11454</v>
      </c>
      <c r="L2220" t="s">
        <v>5471</v>
      </c>
      <c r="M2220" t="s">
        <v>5471</v>
      </c>
    </row>
    <row r="2221" spans="1:13" x14ac:dyDescent="0.3">
      <c r="A2221" t="s">
        <v>3388</v>
      </c>
      <c r="B2221" t="s">
        <v>11153</v>
      </c>
      <c r="C2221" t="s">
        <v>5470</v>
      </c>
      <c r="D2221" t="s">
        <v>4058</v>
      </c>
      <c r="E2221" t="s">
        <v>5532</v>
      </c>
      <c r="F2221" t="s">
        <v>11455</v>
      </c>
      <c r="G2221" t="s">
        <v>11456</v>
      </c>
      <c r="H2221" t="s">
        <v>5474</v>
      </c>
      <c r="I2221" t="s">
        <v>11457</v>
      </c>
      <c r="J2221" t="s">
        <v>5476</v>
      </c>
      <c r="K2221" t="s">
        <v>11458</v>
      </c>
      <c r="L2221" t="s">
        <v>5471</v>
      </c>
      <c r="M2221" t="s">
        <v>5471</v>
      </c>
    </row>
    <row r="2222" spans="1:13" x14ac:dyDescent="0.3">
      <c r="A2222" t="s">
        <v>3388</v>
      </c>
      <c r="B2222" t="s">
        <v>11153</v>
      </c>
      <c r="C2222" t="s">
        <v>5470</v>
      </c>
      <c r="D2222" t="s">
        <v>4058</v>
      </c>
      <c r="E2222" t="s">
        <v>5532</v>
      </c>
      <c r="F2222" t="s">
        <v>11459</v>
      </c>
      <c r="G2222" t="s">
        <v>11456</v>
      </c>
      <c r="H2222" t="s">
        <v>5474</v>
      </c>
      <c r="I2222" t="s">
        <v>11460</v>
      </c>
      <c r="J2222" t="s">
        <v>5476</v>
      </c>
      <c r="K2222" t="s">
        <v>11461</v>
      </c>
      <c r="L2222" t="s">
        <v>5471</v>
      </c>
      <c r="M2222" t="s">
        <v>5471</v>
      </c>
    </row>
    <row r="2223" spans="1:13" x14ac:dyDescent="0.3">
      <c r="A2223" t="s">
        <v>3388</v>
      </c>
      <c r="B2223" t="s">
        <v>11153</v>
      </c>
      <c r="C2223" t="s">
        <v>5470</v>
      </c>
      <c r="D2223" t="s">
        <v>4058</v>
      </c>
      <c r="E2223" t="s">
        <v>5532</v>
      </c>
      <c r="F2223" t="s">
        <v>11462</v>
      </c>
      <c r="G2223" t="s">
        <v>11456</v>
      </c>
      <c r="H2223" t="s">
        <v>5474</v>
      </c>
      <c r="I2223" t="s">
        <v>11463</v>
      </c>
      <c r="J2223" t="s">
        <v>5476</v>
      </c>
      <c r="K2223" t="s">
        <v>11464</v>
      </c>
      <c r="L2223" t="s">
        <v>5471</v>
      </c>
      <c r="M2223" t="s">
        <v>5471</v>
      </c>
    </row>
    <row r="2224" spans="1:13" x14ac:dyDescent="0.3">
      <c r="A2224" t="s">
        <v>3383</v>
      </c>
      <c r="B2224" t="s">
        <v>6063</v>
      </c>
      <c r="C2224" t="s">
        <v>5470</v>
      </c>
      <c r="D2224" t="s">
        <v>4081</v>
      </c>
      <c r="E2224" t="s">
        <v>5480</v>
      </c>
      <c r="F2224" t="s">
        <v>11465</v>
      </c>
      <c r="G2224" t="s">
        <v>11466</v>
      </c>
      <c r="H2224" t="s">
        <v>5474</v>
      </c>
      <c r="I2224" t="s">
        <v>11467</v>
      </c>
      <c r="J2224" t="s">
        <v>5484</v>
      </c>
      <c r="K2224" t="s">
        <v>11468</v>
      </c>
      <c r="L2224" t="s">
        <v>5471</v>
      </c>
      <c r="M2224" t="s">
        <v>5471</v>
      </c>
    </row>
    <row r="2225" spans="1:13" x14ac:dyDescent="0.3">
      <c r="A2225" t="s">
        <v>3383</v>
      </c>
      <c r="B2225" t="s">
        <v>6063</v>
      </c>
      <c r="C2225" t="s">
        <v>5470</v>
      </c>
      <c r="D2225" t="s">
        <v>9940</v>
      </c>
      <c r="E2225" t="s">
        <v>5756</v>
      </c>
      <c r="F2225" t="s">
        <v>11469</v>
      </c>
      <c r="G2225" t="s">
        <v>6274</v>
      </c>
      <c r="H2225" t="s">
        <v>5474</v>
      </c>
      <c r="I2225" t="s">
        <v>11470</v>
      </c>
      <c r="J2225" t="s">
        <v>5484</v>
      </c>
      <c r="K2225" t="s">
        <v>11471</v>
      </c>
      <c r="L2225" t="s">
        <v>5471</v>
      </c>
      <c r="M2225" t="s">
        <v>5471</v>
      </c>
    </row>
    <row r="2226" spans="1:13" x14ac:dyDescent="0.3">
      <c r="A2226" t="s">
        <v>3383</v>
      </c>
      <c r="B2226" t="s">
        <v>6018</v>
      </c>
      <c r="C2226" t="s">
        <v>5470</v>
      </c>
      <c r="D2226" t="s">
        <v>9940</v>
      </c>
      <c r="E2226" t="s">
        <v>5756</v>
      </c>
      <c r="F2226" t="s">
        <v>11472</v>
      </c>
      <c r="G2226" t="s">
        <v>11473</v>
      </c>
      <c r="H2226" t="s">
        <v>5474</v>
      </c>
      <c r="I2226" t="s">
        <v>11474</v>
      </c>
      <c r="J2226" t="s">
        <v>5484</v>
      </c>
      <c r="K2226" t="s">
        <v>11475</v>
      </c>
      <c r="L2226" t="s">
        <v>5471</v>
      </c>
      <c r="M2226" t="s">
        <v>5471</v>
      </c>
    </row>
    <row r="2227" spans="1:13" x14ac:dyDescent="0.3">
      <c r="A2227" t="s">
        <v>3383</v>
      </c>
      <c r="B2227" t="s">
        <v>6018</v>
      </c>
      <c r="C2227" t="s">
        <v>5470</v>
      </c>
      <c r="D2227" t="s">
        <v>9940</v>
      </c>
      <c r="E2227" t="s">
        <v>5756</v>
      </c>
      <c r="F2227" t="s">
        <v>11476</v>
      </c>
      <c r="G2227" t="s">
        <v>6279</v>
      </c>
      <c r="H2227" t="s">
        <v>5474</v>
      </c>
      <c r="I2227" t="s">
        <v>11477</v>
      </c>
      <c r="J2227" t="s">
        <v>5484</v>
      </c>
      <c r="K2227" t="s">
        <v>11478</v>
      </c>
      <c r="L2227" t="s">
        <v>5471</v>
      </c>
      <c r="M2227" t="s">
        <v>5471</v>
      </c>
    </row>
    <row r="2228" spans="1:13" x14ac:dyDescent="0.3">
      <c r="A2228" t="s">
        <v>3383</v>
      </c>
      <c r="B2228" t="s">
        <v>6067</v>
      </c>
      <c r="C2228" t="s">
        <v>5487</v>
      </c>
      <c r="D2228" t="s">
        <v>4058</v>
      </c>
      <c r="E2228" t="s">
        <v>5532</v>
      </c>
      <c r="F2228" t="s">
        <v>11479</v>
      </c>
      <c r="G2228" t="s">
        <v>11249</v>
      </c>
      <c r="H2228" t="s">
        <v>5474</v>
      </c>
      <c r="I2228" t="s">
        <v>11480</v>
      </c>
      <c r="J2228" t="s">
        <v>5484</v>
      </c>
      <c r="K2228" t="s">
        <v>11481</v>
      </c>
      <c r="L2228" t="s">
        <v>5471</v>
      </c>
      <c r="M2228" t="s">
        <v>5471</v>
      </c>
    </row>
    <row r="2229" spans="1:13" x14ac:dyDescent="0.3">
      <c r="A2229" t="s">
        <v>3397</v>
      </c>
      <c r="B2229" t="s">
        <v>5255</v>
      </c>
      <c r="C2229" t="s">
        <v>5487</v>
      </c>
      <c r="D2229" t="s">
        <v>9958</v>
      </c>
      <c r="E2229" t="s">
        <v>5595</v>
      </c>
      <c r="F2229" t="s">
        <v>11482</v>
      </c>
      <c r="G2229" t="s">
        <v>11483</v>
      </c>
      <c r="H2229" t="s">
        <v>5474</v>
      </c>
      <c r="I2229" t="s">
        <v>11484</v>
      </c>
      <c r="J2229" t="s">
        <v>5476</v>
      </c>
      <c r="K2229" t="s">
        <v>11485</v>
      </c>
      <c r="L2229" t="s">
        <v>5471</v>
      </c>
      <c r="M2229" t="s">
        <v>5471</v>
      </c>
    </row>
    <row r="2230" spans="1:13" x14ac:dyDescent="0.3">
      <c r="A2230" t="s">
        <v>3383</v>
      </c>
      <c r="B2230" t="s">
        <v>8062</v>
      </c>
      <c r="C2230" t="s">
        <v>5487</v>
      </c>
      <c r="D2230" t="s">
        <v>10218</v>
      </c>
      <c r="E2230" t="s">
        <v>5532</v>
      </c>
      <c r="F2230" t="s">
        <v>11486</v>
      </c>
      <c r="G2230" t="s">
        <v>8845</v>
      </c>
      <c r="H2230" t="s">
        <v>5474</v>
      </c>
      <c r="I2230" t="s">
        <v>11487</v>
      </c>
      <c r="J2230" t="s">
        <v>5476</v>
      </c>
      <c r="K2230" t="s">
        <v>11488</v>
      </c>
      <c r="L2230" t="s">
        <v>5471</v>
      </c>
      <c r="M2230" t="s">
        <v>5471</v>
      </c>
    </row>
    <row r="2231" spans="1:13" x14ac:dyDescent="0.3">
      <c r="A2231" t="s">
        <v>3383</v>
      </c>
      <c r="B2231" t="s">
        <v>8062</v>
      </c>
      <c r="C2231" t="s">
        <v>5487</v>
      </c>
      <c r="D2231" t="s">
        <v>10218</v>
      </c>
      <c r="E2231" t="s">
        <v>5532</v>
      </c>
      <c r="F2231" t="s">
        <v>11489</v>
      </c>
      <c r="G2231" t="s">
        <v>8845</v>
      </c>
      <c r="H2231" t="s">
        <v>5474</v>
      </c>
      <c r="I2231" t="s">
        <v>11490</v>
      </c>
      <c r="J2231" t="s">
        <v>5476</v>
      </c>
      <c r="K2231" t="s">
        <v>11491</v>
      </c>
      <c r="L2231" t="s">
        <v>5471</v>
      </c>
      <c r="M2231" t="s">
        <v>5471</v>
      </c>
    </row>
    <row r="2232" spans="1:13" x14ac:dyDescent="0.3">
      <c r="A2232" t="s">
        <v>3383</v>
      </c>
      <c r="B2232" t="s">
        <v>8062</v>
      </c>
      <c r="C2232" t="s">
        <v>5487</v>
      </c>
      <c r="D2232" t="s">
        <v>10218</v>
      </c>
      <c r="E2232" t="s">
        <v>5532</v>
      </c>
      <c r="F2232" t="s">
        <v>11492</v>
      </c>
      <c r="G2232" t="s">
        <v>8845</v>
      </c>
      <c r="H2232" t="s">
        <v>5474</v>
      </c>
      <c r="I2232" t="s">
        <v>11493</v>
      </c>
      <c r="J2232" t="s">
        <v>5476</v>
      </c>
      <c r="K2232" t="s">
        <v>11494</v>
      </c>
      <c r="L2232" t="s">
        <v>5471</v>
      </c>
      <c r="M2232" t="s">
        <v>5471</v>
      </c>
    </row>
    <row r="2233" spans="1:13" x14ac:dyDescent="0.3">
      <c r="A2233" t="s">
        <v>3383</v>
      </c>
      <c r="B2233" t="s">
        <v>8062</v>
      </c>
      <c r="C2233" t="s">
        <v>5487</v>
      </c>
      <c r="D2233" t="s">
        <v>4200</v>
      </c>
      <c r="E2233" t="s">
        <v>5532</v>
      </c>
      <c r="F2233" t="s">
        <v>11495</v>
      </c>
      <c r="G2233" t="s">
        <v>8845</v>
      </c>
      <c r="H2233" t="s">
        <v>5474</v>
      </c>
      <c r="I2233" t="s">
        <v>11496</v>
      </c>
      <c r="J2233" t="s">
        <v>5484</v>
      </c>
      <c r="K2233" t="s">
        <v>11497</v>
      </c>
      <c r="L2233" t="s">
        <v>5471</v>
      </c>
      <c r="M2233" t="s">
        <v>5471</v>
      </c>
    </row>
    <row r="2234" spans="1:13" x14ac:dyDescent="0.3">
      <c r="A2234" t="s">
        <v>3380</v>
      </c>
      <c r="B2234" t="s">
        <v>10673</v>
      </c>
      <c r="C2234" t="s">
        <v>6342</v>
      </c>
      <c r="D2234" t="s">
        <v>4119</v>
      </c>
      <c r="E2234" t="s">
        <v>9935</v>
      </c>
      <c r="F2234" t="s">
        <v>11498</v>
      </c>
      <c r="G2234" t="s">
        <v>10799</v>
      </c>
      <c r="H2234" t="s">
        <v>5474</v>
      </c>
      <c r="I2234" t="s">
        <v>11499</v>
      </c>
      <c r="J2234" t="s">
        <v>5476</v>
      </c>
      <c r="K2234" t="s">
        <v>11500</v>
      </c>
      <c r="L2234" t="s">
        <v>5471</v>
      </c>
      <c r="M2234" t="s">
        <v>5471</v>
      </c>
    </row>
    <row r="2235" spans="1:13" x14ac:dyDescent="0.3">
      <c r="A2235" t="s">
        <v>3380</v>
      </c>
      <c r="B2235" t="s">
        <v>10673</v>
      </c>
      <c r="C2235" t="s">
        <v>6342</v>
      </c>
      <c r="D2235" t="s">
        <v>4119</v>
      </c>
      <c r="E2235" t="s">
        <v>9935</v>
      </c>
      <c r="F2235" t="s">
        <v>11501</v>
      </c>
      <c r="G2235" t="s">
        <v>10799</v>
      </c>
      <c r="H2235" t="s">
        <v>5474</v>
      </c>
      <c r="I2235" t="s">
        <v>11502</v>
      </c>
      <c r="J2235" t="s">
        <v>5476</v>
      </c>
      <c r="K2235" t="s">
        <v>11503</v>
      </c>
      <c r="L2235" t="s">
        <v>5471</v>
      </c>
      <c r="M2235" t="s">
        <v>5471</v>
      </c>
    </row>
    <row r="2236" spans="1:13" x14ac:dyDescent="0.3">
      <c r="A2236" t="s">
        <v>3380</v>
      </c>
      <c r="B2236" t="s">
        <v>10673</v>
      </c>
      <c r="C2236" t="s">
        <v>6342</v>
      </c>
      <c r="D2236" t="s">
        <v>4119</v>
      </c>
      <c r="E2236" t="s">
        <v>9935</v>
      </c>
      <c r="F2236" t="s">
        <v>11504</v>
      </c>
      <c r="G2236" t="s">
        <v>10799</v>
      </c>
      <c r="H2236" t="s">
        <v>5474</v>
      </c>
      <c r="I2236" t="s">
        <v>11505</v>
      </c>
      <c r="J2236" t="s">
        <v>5476</v>
      </c>
      <c r="K2236" t="s">
        <v>11012</v>
      </c>
      <c r="L2236" t="s">
        <v>5471</v>
      </c>
      <c r="M2236" t="s">
        <v>5471</v>
      </c>
    </row>
    <row r="2237" spans="1:13" x14ac:dyDescent="0.3">
      <c r="A2237" t="s">
        <v>3380</v>
      </c>
      <c r="B2237" t="s">
        <v>10673</v>
      </c>
      <c r="C2237" t="s">
        <v>6342</v>
      </c>
      <c r="D2237" t="s">
        <v>4119</v>
      </c>
      <c r="E2237" t="s">
        <v>9935</v>
      </c>
      <c r="F2237" t="s">
        <v>11506</v>
      </c>
      <c r="G2237" t="s">
        <v>10799</v>
      </c>
      <c r="H2237" t="s">
        <v>5474</v>
      </c>
      <c r="I2237" t="s">
        <v>11507</v>
      </c>
      <c r="J2237" t="s">
        <v>5476</v>
      </c>
      <c r="K2237" t="s">
        <v>11009</v>
      </c>
      <c r="L2237" t="s">
        <v>5471</v>
      </c>
      <c r="M2237" t="s">
        <v>5471</v>
      </c>
    </row>
    <row r="2238" spans="1:13" x14ac:dyDescent="0.3">
      <c r="A2238" t="s">
        <v>3380</v>
      </c>
      <c r="B2238" t="s">
        <v>10673</v>
      </c>
      <c r="C2238" t="s">
        <v>6342</v>
      </c>
      <c r="D2238" t="s">
        <v>4119</v>
      </c>
      <c r="E2238" t="s">
        <v>9935</v>
      </c>
      <c r="F2238" t="s">
        <v>11508</v>
      </c>
      <c r="G2238" t="s">
        <v>10799</v>
      </c>
      <c r="H2238" t="s">
        <v>5474</v>
      </c>
      <c r="I2238" t="s">
        <v>11509</v>
      </c>
      <c r="J2238" t="s">
        <v>5476</v>
      </c>
      <c r="K2238" t="s">
        <v>11006</v>
      </c>
      <c r="L2238" t="s">
        <v>5471</v>
      </c>
      <c r="M2238" t="s">
        <v>5471</v>
      </c>
    </row>
    <row r="2239" spans="1:13" x14ac:dyDescent="0.3">
      <c r="A2239" t="s">
        <v>3380</v>
      </c>
      <c r="B2239" t="s">
        <v>10673</v>
      </c>
      <c r="C2239" t="s">
        <v>6342</v>
      </c>
      <c r="D2239" t="s">
        <v>4119</v>
      </c>
      <c r="E2239" t="s">
        <v>9935</v>
      </c>
      <c r="F2239" t="s">
        <v>11510</v>
      </c>
      <c r="G2239" t="s">
        <v>10799</v>
      </c>
      <c r="H2239" t="s">
        <v>5474</v>
      </c>
      <c r="I2239" t="s">
        <v>11511</v>
      </c>
      <c r="J2239" t="s">
        <v>5476</v>
      </c>
      <c r="K2239" t="s">
        <v>11003</v>
      </c>
      <c r="L2239" t="s">
        <v>5471</v>
      </c>
      <c r="M2239" t="s">
        <v>5471</v>
      </c>
    </row>
    <row r="2240" spans="1:13" x14ac:dyDescent="0.3">
      <c r="A2240" t="s">
        <v>3383</v>
      </c>
      <c r="B2240" t="s">
        <v>5332</v>
      </c>
      <c r="C2240" t="s">
        <v>5470</v>
      </c>
      <c r="D2240" t="s">
        <v>4056</v>
      </c>
      <c r="E2240" t="s">
        <v>5532</v>
      </c>
      <c r="F2240" t="s">
        <v>11512</v>
      </c>
      <c r="G2240" t="s">
        <v>11513</v>
      </c>
      <c r="H2240" t="s">
        <v>5474</v>
      </c>
      <c r="I2240" t="s">
        <v>11514</v>
      </c>
      <c r="J2240" t="s">
        <v>5476</v>
      </c>
      <c r="K2240" t="s">
        <v>11515</v>
      </c>
      <c r="L2240" t="s">
        <v>5471</v>
      </c>
      <c r="M2240" t="s">
        <v>5471</v>
      </c>
    </row>
    <row r="2241" spans="1:13" x14ac:dyDescent="0.3">
      <c r="A2241" t="s">
        <v>3383</v>
      </c>
      <c r="B2241" t="s">
        <v>5805</v>
      </c>
      <c r="C2241" t="s">
        <v>5470</v>
      </c>
      <c r="D2241" t="s">
        <v>4056</v>
      </c>
      <c r="E2241" t="s">
        <v>5532</v>
      </c>
      <c r="F2241" t="s">
        <v>11516</v>
      </c>
      <c r="G2241" t="s">
        <v>5817</v>
      </c>
      <c r="H2241" t="s">
        <v>5474</v>
      </c>
      <c r="I2241" t="s">
        <v>11517</v>
      </c>
      <c r="J2241" t="s">
        <v>5476</v>
      </c>
      <c r="K2241" t="s">
        <v>11518</v>
      </c>
      <c r="L2241" t="s">
        <v>5471</v>
      </c>
      <c r="M2241" t="s">
        <v>5471</v>
      </c>
    </row>
    <row r="2242" spans="1:13" x14ac:dyDescent="0.3">
      <c r="A2242" t="s">
        <v>3383</v>
      </c>
      <c r="B2242" t="s">
        <v>5332</v>
      </c>
      <c r="C2242" t="s">
        <v>5470</v>
      </c>
      <c r="D2242" t="s">
        <v>4056</v>
      </c>
      <c r="E2242" t="s">
        <v>5532</v>
      </c>
      <c r="F2242" t="s">
        <v>11519</v>
      </c>
      <c r="G2242" t="s">
        <v>11513</v>
      </c>
      <c r="H2242" t="s">
        <v>5474</v>
      </c>
      <c r="I2242" t="s">
        <v>11520</v>
      </c>
      <c r="J2242" t="s">
        <v>5484</v>
      </c>
      <c r="K2242" t="s">
        <v>11521</v>
      </c>
      <c r="L2242" t="s">
        <v>5471</v>
      </c>
      <c r="M2242" t="s">
        <v>5471</v>
      </c>
    </row>
    <row r="2243" spans="1:13" x14ac:dyDescent="0.3">
      <c r="A2243" t="s">
        <v>3383</v>
      </c>
      <c r="B2243" t="s">
        <v>5805</v>
      </c>
      <c r="C2243" t="s">
        <v>5470</v>
      </c>
      <c r="D2243" t="s">
        <v>4056</v>
      </c>
      <c r="E2243" t="s">
        <v>5532</v>
      </c>
      <c r="F2243" t="s">
        <v>11522</v>
      </c>
      <c r="G2243" t="s">
        <v>5817</v>
      </c>
      <c r="H2243" t="s">
        <v>5474</v>
      </c>
      <c r="I2243" t="s">
        <v>11523</v>
      </c>
      <c r="J2243" t="s">
        <v>5476</v>
      </c>
      <c r="K2243" t="s">
        <v>11524</v>
      </c>
      <c r="L2243" t="s">
        <v>5471</v>
      </c>
      <c r="M2243" t="s">
        <v>5471</v>
      </c>
    </row>
    <row r="2244" spans="1:13" x14ac:dyDescent="0.3">
      <c r="A2244" t="s">
        <v>3383</v>
      </c>
      <c r="B2244" t="s">
        <v>5805</v>
      </c>
      <c r="C2244" t="s">
        <v>5470</v>
      </c>
      <c r="D2244" t="s">
        <v>4056</v>
      </c>
      <c r="E2244" t="s">
        <v>5532</v>
      </c>
      <c r="F2244" t="s">
        <v>11525</v>
      </c>
      <c r="G2244" t="s">
        <v>5817</v>
      </c>
      <c r="H2244" t="s">
        <v>5474</v>
      </c>
      <c r="I2244" t="s">
        <v>11526</v>
      </c>
      <c r="J2244" t="s">
        <v>5476</v>
      </c>
      <c r="K2244" t="s">
        <v>11527</v>
      </c>
      <c r="L2244" t="s">
        <v>5471</v>
      </c>
      <c r="M2244" t="s">
        <v>5471</v>
      </c>
    </row>
    <row r="2245" spans="1:13" x14ac:dyDescent="0.3">
      <c r="A2245" t="s">
        <v>3383</v>
      </c>
      <c r="B2245" t="s">
        <v>5320</v>
      </c>
      <c r="C2245" t="s">
        <v>5470</v>
      </c>
      <c r="D2245" t="s">
        <v>4056</v>
      </c>
      <c r="E2245" t="s">
        <v>5532</v>
      </c>
      <c r="F2245" t="s">
        <v>11528</v>
      </c>
      <c r="G2245" t="s">
        <v>7799</v>
      </c>
      <c r="H2245" t="s">
        <v>5474</v>
      </c>
      <c r="I2245" t="s">
        <v>11529</v>
      </c>
      <c r="J2245" t="s">
        <v>5484</v>
      </c>
      <c r="K2245" t="s">
        <v>11530</v>
      </c>
      <c r="L2245" t="s">
        <v>5471</v>
      </c>
      <c r="M2245" t="s">
        <v>5471</v>
      </c>
    </row>
    <row r="2246" spans="1:13" x14ac:dyDescent="0.3">
      <c r="A2246" t="s">
        <v>3383</v>
      </c>
      <c r="B2246" t="s">
        <v>5332</v>
      </c>
      <c r="C2246" t="s">
        <v>5470</v>
      </c>
      <c r="D2246" t="s">
        <v>4056</v>
      </c>
      <c r="E2246" t="s">
        <v>5532</v>
      </c>
      <c r="F2246" t="s">
        <v>11531</v>
      </c>
      <c r="G2246" t="s">
        <v>6653</v>
      </c>
      <c r="H2246" t="s">
        <v>5474</v>
      </c>
      <c r="I2246" t="s">
        <v>11532</v>
      </c>
      <c r="J2246" t="s">
        <v>5484</v>
      </c>
      <c r="K2246" t="s">
        <v>11533</v>
      </c>
      <c r="L2246" t="s">
        <v>5471</v>
      </c>
      <c r="M2246" t="s">
        <v>5471</v>
      </c>
    </row>
    <row r="2247" spans="1:13" x14ac:dyDescent="0.3">
      <c r="A2247" t="s">
        <v>3383</v>
      </c>
      <c r="B2247" t="s">
        <v>5332</v>
      </c>
      <c r="C2247" t="s">
        <v>5470</v>
      </c>
      <c r="D2247" t="s">
        <v>4056</v>
      </c>
      <c r="E2247" t="s">
        <v>5532</v>
      </c>
      <c r="F2247" t="s">
        <v>11534</v>
      </c>
      <c r="G2247" t="s">
        <v>6586</v>
      </c>
      <c r="H2247" t="s">
        <v>5474</v>
      </c>
      <c r="I2247" t="s">
        <v>11535</v>
      </c>
      <c r="J2247" t="s">
        <v>5484</v>
      </c>
      <c r="K2247" t="s">
        <v>11533</v>
      </c>
      <c r="L2247" t="s">
        <v>5471</v>
      </c>
      <c r="M2247" t="s">
        <v>5471</v>
      </c>
    </row>
    <row r="2248" spans="1:13" x14ac:dyDescent="0.3">
      <c r="A2248" t="s">
        <v>3383</v>
      </c>
      <c r="B2248" t="s">
        <v>5332</v>
      </c>
      <c r="C2248" t="s">
        <v>5470</v>
      </c>
      <c r="D2248" t="s">
        <v>4056</v>
      </c>
      <c r="E2248" t="s">
        <v>5532</v>
      </c>
      <c r="F2248" t="s">
        <v>11536</v>
      </c>
      <c r="G2248" t="s">
        <v>6586</v>
      </c>
      <c r="H2248" t="s">
        <v>5474</v>
      </c>
      <c r="I2248" t="s">
        <v>11537</v>
      </c>
      <c r="J2248" t="s">
        <v>5484</v>
      </c>
      <c r="K2248" t="s">
        <v>11533</v>
      </c>
      <c r="L2248" t="s">
        <v>5471</v>
      </c>
      <c r="M2248" t="s">
        <v>5471</v>
      </c>
    </row>
    <row r="2249" spans="1:13" x14ac:dyDescent="0.3">
      <c r="A2249" t="s">
        <v>3383</v>
      </c>
      <c r="B2249" t="s">
        <v>5952</v>
      </c>
      <c r="C2249" t="s">
        <v>5470</v>
      </c>
      <c r="D2249" t="s">
        <v>4200</v>
      </c>
      <c r="E2249" t="s">
        <v>5617</v>
      </c>
      <c r="F2249" t="s">
        <v>11538</v>
      </c>
      <c r="G2249" t="s">
        <v>7528</v>
      </c>
      <c r="H2249" t="s">
        <v>5474</v>
      </c>
      <c r="I2249" t="s">
        <v>11539</v>
      </c>
      <c r="J2249" t="s">
        <v>5484</v>
      </c>
      <c r="K2249" t="s">
        <v>11540</v>
      </c>
      <c r="L2249" t="s">
        <v>5471</v>
      </c>
      <c r="M2249" t="s">
        <v>5471</v>
      </c>
    </row>
    <row r="2250" spans="1:13" x14ac:dyDescent="0.3">
      <c r="A2250" t="s">
        <v>3383</v>
      </c>
      <c r="B2250" t="s">
        <v>5952</v>
      </c>
      <c r="C2250" t="s">
        <v>5470</v>
      </c>
      <c r="D2250" t="s">
        <v>4200</v>
      </c>
      <c r="E2250" t="s">
        <v>5617</v>
      </c>
      <c r="F2250" t="s">
        <v>11541</v>
      </c>
      <c r="G2250" t="s">
        <v>7528</v>
      </c>
      <c r="H2250" t="s">
        <v>5474</v>
      </c>
      <c r="I2250" t="s">
        <v>11542</v>
      </c>
      <c r="J2250" t="s">
        <v>5484</v>
      </c>
      <c r="K2250" t="s">
        <v>11543</v>
      </c>
      <c r="L2250" t="s">
        <v>5471</v>
      </c>
      <c r="M2250" t="s">
        <v>5471</v>
      </c>
    </row>
    <row r="2251" spans="1:13" x14ac:dyDescent="0.3">
      <c r="A2251" t="s">
        <v>3380</v>
      </c>
      <c r="B2251" t="s">
        <v>9713</v>
      </c>
      <c r="C2251" t="s">
        <v>6342</v>
      </c>
      <c r="D2251" t="s">
        <v>4119</v>
      </c>
      <c r="E2251" t="s">
        <v>9935</v>
      </c>
      <c r="F2251" t="s">
        <v>11544</v>
      </c>
      <c r="G2251" t="s">
        <v>9715</v>
      </c>
      <c r="H2251" t="s">
        <v>5474</v>
      </c>
      <c r="I2251" t="s">
        <v>11545</v>
      </c>
      <c r="J2251" t="s">
        <v>5476</v>
      </c>
      <c r="K2251" t="s">
        <v>11546</v>
      </c>
      <c r="L2251" t="s">
        <v>5471</v>
      </c>
      <c r="M2251" t="s">
        <v>5471</v>
      </c>
    </row>
    <row r="2252" spans="1:13" x14ac:dyDescent="0.3">
      <c r="A2252" t="s">
        <v>3388</v>
      </c>
      <c r="B2252" t="s">
        <v>8573</v>
      </c>
      <c r="C2252" t="s">
        <v>5470</v>
      </c>
      <c r="D2252" t="s">
        <v>4119</v>
      </c>
      <c r="E2252" t="s">
        <v>5756</v>
      </c>
      <c r="F2252" t="s">
        <v>11547</v>
      </c>
      <c r="G2252" t="s">
        <v>11355</v>
      </c>
      <c r="H2252" t="s">
        <v>5474</v>
      </c>
      <c r="I2252" t="s">
        <v>11548</v>
      </c>
      <c r="J2252" t="s">
        <v>5476</v>
      </c>
      <c r="K2252" t="s">
        <v>11549</v>
      </c>
      <c r="L2252" t="s">
        <v>5471</v>
      </c>
      <c r="M2252" t="s">
        <v>5471</v>
      </c>
    </row>
    <row r="2253" spans="1:13" x14ac:dyDescent="0.3">
      <c r="A2253" t="s">
        <v>3380</v>
      </c>
      <c r="B2253" t="s">
        <v>9713</v>
      </c>
      <c r="C2253" t="s">
        <v>6342</v>
      </c>
      <c r="D2253" t="s">
        <v>4119</v>
      </c>
      <c r="E2253" t="s">
        <v>5480</v>
      </c>
      <c r="F2253" t="s">
        <v>11550</v>
      </c>
      <c r="G2253" t="s">
        <v>9715</v>
      </c>
      <c r="H2253" t="s">
        <v>5474</v>
      </c>
      <c r="I2253" t="s">
        <v>11551</v>
      </c>
      <c r="J2253" t="s">
        <v>5476</v>
      </c>
      <c r="K2253" t="s">
        <v>10982</v>
      </c>
      <c r="L2253" t="s">
        <v>5471</v>
      </c>
      <c r="M2253" t="s">
        <v>5471</v>
      </c>
    </row>
    <row r="2254" spans="1:13" x14ac:dyDescent="0.3">
      <c r="A2254" t="s">
        <v>3388</v>
      </c>
      <c r="B2254" t="s">
        <v>8577</v>
      </c>
      <c r="C2254" t="s">
        <v>5470</v>
      </c>
      <c r="D2254" t="s">
        <v>4119</v>
      </c>
      <c r="E2254" t="s">
        <v>5532</v>
      </c>
      <c r="F2254" t="s">
        <v>11552</v>
      </c>
      <c r="G2254" t="s">
        <v>11553</v>
      </c>
      <c r="H2254" t="s">
        <v>5474</v>
      </c>
      <c r="I2254" t="s">
        <v>11554</v>
      </c>
      <c r="J2254" t="s">
        <v>5476</v>
      </c>
      <c r="K2254" t="s">
        <v>11555</v>
      </c>
      <c r="L2254" t="s">
        <v>5471</v>
      </c>
      <c r="M2254" t="s">
        <v>5471</v>
      </c>
    </row>
    <row r="2255" spans="1:13" x14ac:dyDescent="0.3">
      <c r="A2255" t="s">
        <v>3380</v>
      </c>
      <c r="B2255" t="s">
        <v>9713</v>
      </c>
      <c r="C2255" t="s">
        <v>6342</v>
      </c>
      <c r="D2255" t="s">
        <v>4119</v>
      </c>
      <c r="E2255" t="s">
        <v>5532</v>
      </c>
      <c r="F2255" t="s">
        <v>11556</v>
      </c>
      <c r="G2255" t="s">
        <v>9715</v>
      </c>
      <c r="H2255" t="s">
        <v>5474</v>
      </c>
      <c r="I2255" t="s">
        <v>11557</v>
      </c>
      <c r="J2255" t="s">
        <v>5476</v>
      </c>
      <c r="K2255" t="s">
        <v>11558</v>
      </c>
      <c r="L2255" t="s">
        <v>5471</v>
      </c>
      <c r="M2255" t="s">
        <v>5471</v>
      </c>
    </row>
    <row r="2256" spans="1:13" x14ac:dyDescent="0.3">
      <c r="A2256" t="s">
        <v>3380</v>
      </c>
      <c r="B2256" t="s">
        <v>9713</v>
      </c>
      <c r="C2256" t="s">
        <v>6342</v>
      </c>
      <c r="D2256" t="s">
        <v>4119</v>
      </c>
      <c r="E2256" t="s">
        <v>9935</v>
      </c>
      <c r="F2256" t="s">
        <v>11559</v>
      </c>
      <c r="G2256" t="s">
        <v>9715</v>
      </c>
      <c r="H2256" t="s">
        <v>5474</v>
      </c>
      <c r="I2256" t="s">
        <v>11560</v>
      </c>
      <c r="J2256" t="s">
        <v>5476</v>
      </c>
      <c r="K2256" t="s">
        <v>11561</v>
      </c>
      <c r="L2256" t="s">
        <v>5471</v>
      </c>
      <c r="M2256" t="s">
        <v>5471</v>
      </c>
    </row>
    <row r="2257" spans="1:13" x14ac:dyDescent="0.3">
      <c r="A2257" t="s">
        <v>3388</v>
      </c>
      <c r="B2257" t="s">
        <v>6478</v>
      </c>
      <c r="C2257" t="s">
        <v>5470</v>
      </c>
      <c r="D2257" t="s">
        <v>4058</v>
      </c>
      <c r="E2257" t="s">
        <v>5532</v>
      </c>
      <c r="F2257" t="s">
        <v>11562</v>
      </c>
      <c r="G2257" t="s">
        <v>11429</v>
      </c>
      <c r="H2257" t="s">
        <v>5474</v>
      </c>
      <c r="I2257" t="s">
        <v>11563</v>
      </c>
      <c r="J2257" t="s">
        <v>5484</v>
      </c>
      <c r="K2257" t="s">
        <v>11564</v>
      </c>
      <c r="L2257" t="s">
        <v>5471</v>
      </c>
      <c r="M2257" t="s">
        <v>5471</v>
      </c>
    </row>
    <row r="2258" spans="1:13" x14ac:dyDescent="0.3">
      <c r="A2258" t="s">
        <v>3380</v>
      </c>
      <c r="B2258" t="s">
        <v>9713</v>
      </c>
      <c r="C2258" t="s">
        <v>6342</v>
      </c>
      <c r="D2258" t="s">
        <v>4119</v>
      </c>
      <c r="E2258" t="s">
        <v>5843</v>
      </c>
      <c r="F2258" t="s">
        <v>11565</v>
      </c>
      <c r="G2258" t="s">
        <v>11566</v>
      </c>
      <c r="H2258" t="s">
        <v>5474</v>
      </c>
      <c r="I2258" t="s">
        <v>11567</v>
      </c>
      <c r="J2258" t="s">
        <v>5476</v>
      </c>
      <c r="K2258" t="s">
        <v>11568</v>
      </c>
      <c r="L2258" t="s">
        <v>5471</v>
      </c>
      <c r="M2258" t="s">
        <v>5471</v>
      </c>
    </row>
    <row r="2259" spans="1:13" x14ac:dyDescent="0.3">
      <c r="A2259" t="s">
        <v>3383</v>
      </c>
      <c r="B2259" t="s">
        <v>8062</v>
      </c>
      <c r="C2259" t="s">
        <v>5487</v>
      </c>
      <c r="D2259" t="s">
        <v>10218</v>
      </c>
      <c r="E2259" t="s">
        <v>5532</v>
      </c>
      <c r="F2259" t="s">
        <v>11569</v>
      </c>
      <c r="G2259" t="s">
        <v>8845</v>
      </c>
      <c r="H2259" t="s">
        <v>5474</v>
      </c>
      <c r="I2259" t="s">
        <v>11570</v>
      </c>
      <c r="J2259" t="s">
        <v>5476</v>
      </c>
      <c r="K2259" t="s">
        <v>11571</v>
      </c>
      <c r="L2259" t="s">
        <v>5471</v>
      </c>
      <c r="M2259" t="s">
        <v>5471</v>
      </c>
    </row>
    <row r="2260" spans="1:13" x14ac:dyDescent="0.3">
      <c r="A2260" t="s">
        <v>3380</v>
      </c>
      <c r="B2260" t="s">
        <v>9713</v>
      </c>
      <c r="C2260" t="s">
        <v>6342</v>
      </c>
      <c r="D2260" t="s">
        <v>4119</v>
      </c>
      <c r="E2260" t="s">
        <v>5843</v>
      </c>
      <c r="F2260" t="s">
        <v>11572</v>
      </c>
      <c r="G2260" t="s">
        <v>11573</v>
      </c>
      <c r="H2260" t="s">
        <v>5474</v>
      </c>
      <c r="I2260" t="s">
        <v>11574</v>
      </c>
      <c r="J2260" t="s">
        <v>5476</v>
      </c>
      <c r="K2260" t="s">
        <v>11575</v>
      </c>
      <c r="L2260" t="s">
        <v>5471</v>
      </c>
      <c r="M2260" t="s">
        <v>5471</v>
      </c>
    </row>
    <row r="2261" spans="1:13" x14ac:dyDescent="0.3">
      <c r="A2261" t="s">
        <v>3380</v>
      </c>
      <c r="B2261" t="s">
        <v>9713</v>
      </c>
      <c r="C2261" t="s">
        <v>6342</v>
      </c>
      <c r="D2261" t="s">
        <v>4119</v>
      </c>
      <c r="E2261" t="s">
        <v>5843</v>
      </c>
      <c r="F2261" t="s">
        <v>11576</v>
      </c>
      <c r="G2261" t="s">
        <v>9715</v>
      </c>
      <c r="H2261" t="s">
        <v>5474</v>
      </c>
      <c r="I2261" t="s">
        <v>11577</v>
      </c>
      <c r="J2261" t="s">
        <v>5476</v>
      </c>
      <c r="K2261" t="s">
        <v>11578</v>
      </c>
      <c r="L2261" t="s">
        <v>5471</v>
      </c>
      <c r="M2261" t="s">
        <v>5471</v>
      </c>
    </row>
    <row r="2262" spans="1:13" x14ac:dyDescent="0.3">
      <c r="A2262" t="s">
        <v>3380</v>
      </c>
      <c r="B2262" t="s">
        <v>9713</v>
      </c>
      <c r="C2262" t="s">
        <v>6342</v>
      </c>
      <c r="D2262" t="s">
        <v>4119</v>
      </c>
      <c r="E2262" t="s">
        <v>5843</v>
      </c>
      <c r="F2262" t="s">
        <v>11579</v>
      </c>
      <c r="G2262" t="s">
        <v>9715</v>
      </c>
      <c r="H2262" t="s">
        <v>5474</v>
      </c>
      <c r="I2262" t="s">
        <v>11580</v>
      </c>
      <c r="J2262" t="s">
        <v>5476</v>
      </c>
      <c r="K2262" t="s">
        <v>11581</v>
      </c>
      <c r="L2262" t="s">
        <v>5471</v>
      </c>
      <c r="M2262" t="s">
        <v>5471</v>
      </c>
    </row>
    <row r="2263" spans="1:13" x14ac:dyDescent="0.3">
      <c r="A2263" t="s">
        <v>3380</v>
      </c>
      <c r="B2263" t="s">
        <v>9713</v>
      </c>
      <c r="C2263" t="s">
        <v>6342</v>
      </c>
      <c r="D2263" t="s">
        <v>4119</v>
      </c>
      <c r="E2263" t="s">
        <v>5843</v>
      </c>
      <c r="F2263" t="s">
        <v>11582</v>
      </c>
      <c r="G2263" t="s">
        <v>11583</v>
      </c>
      <c r="H2263" t="s">
        <v>5474</v>
      </c>
      <c r="I2263" t="s">
        <v>11584</v>
      </c>
      <c r="J2263" t="s">
        <v>5476</v>
      </c>
      <c r="K2263" t="s">
        <v>11585</v>
      </c>
      <c r="L2263" t="s">
        <v>5471</v>
      </c>
      <c r="M2263" t="s">
        <v>5471</v>
      </c>
    </row>
    <row r="2264" spans="1:13" x14ac:dyDescent="0.3">
      <c r="A2264" t="s">
        <v>3380</v>
      </c>
      <c r="B2264" t="s">
        <v>9713</v>
      </c>
      <c r="C2264" t="s">
        <v>6342</v>
      </c>
      <c r="D2264" t="s">
        <v>4119</v>
      </c>
      <c r="E2264" t="s">
        <v>5843</v>
      </c>
      <c r="F2264" t="s">
        <v>11586</v>
      </c>
      <c r="G2264" t="s">
        <v>11587</v>
      </c>
      <c r="H2264" t="s">
        <v>5474</v>
      </c>
      <c r="I2264" t="s">
        <v>11588</v>
      </c>
      <c r="J2264" t="s">
        <v>5476</v>
      </c>
      <c r="K2264" t="s">
        <v>11589</v>
      </c>
      <c r="L2264" t="s">
        <v>5471</v>
      </c>
      <c r="M2264" t="s">
        <v>5471</v>
      </c>
    </row>
    <row r="2265" spans="1:13" x14ac:dyDescent="0.3">
      <c r="A2265" t="s">
        <v>3380</v>
      </c>
      <c r="B2265" t="s">
        <v>9713</v>
      </c>
      <c r="C2265" t="s">
        <v>6342</v>
      </c>
      <c r="D2265" t="s">
        <v>4119</v>
      </c>
      <c r="E2265" t="s">
        <v>5843</v>
      </c>
      <c r="F2265" t="s">
        <v>11590</v>
      </c>
      <c r="G2265" t="s">
        <v>11591</v>
      </c>
      <c r="H2265" t="s">
        <v>5474</v>
      </c>
      <c r="I2265" t="s">
        <v>11592</v>
      </c>
      <c r="J2265" t="s">
        <v>5476</v>
      </c>
      <c r="K2265" t="s">
        <v>11593</v>
      </c>
      <c r="L2265" t="s">
        <v>5471</v>
      </c>
      <c r="M2265" t="s">
        <v>5471</v>
      </c>
    </row>
    <row r="2266" spans="1:13" x14ac:dyDescent="0.3">
      <c r="A2266" t="s">
        <v>3380</v>
      </c>
      <c r="B2266" t="s">
        <v>9713</v>
      </c>
      <c r="C2266" t="s">
        <v>6342</v>
      </c>
      <c r="D2266" t="s">
        <v>4119</v>
      </c>
      <c r="E2266" t="s">
        <v>9935</v>
      </c>
      <c r="F2266" t="s">
        <v>11594</v>
      </c>
      <c r="G2266" t="s">
        <v>11595</v>
      </c>
      <c r="H2266" t="s">
        <v>5474</v>
      </c>
      <c r="I2266" t="s">
        <v>11596</v>
      </c>
      <c r="J2266" t="s">
        <v>5476</v>
      </c>
      <c r="K2266" t="s">
        <v>11597</v>
      </c>
      <c r="L2266" t="s">
        <v>5471</v>
      </c>
      <c r="M2266" t="s">
        <v>5471</v>
      </c>
    </row>
    <row r="2267" spans="1:13" x14ac:dyDescent="0.3">
      <c r="A2267" t="s">
        <v>3380</v>
      </c>
      <c r="B2267" t="s">
        <v>9713</v>
      </c>
      <c r="C2267" t="s">
        <v>6342</v>
      </c>
      <c r="D2267" t="s">
        <v>4119</v>
      </c>
      <c r="E2267" t="s">
        <v>5532</v>
      </c>
      <c r="F2267" t="s">
        <v>11598</v>
      </c>
      <c r="G2267" t="s">
        <v>11595</v>
      </c>
      <c r="H2267" t="s">
        <v>5474</v>
      </c>
      <c r="I2267" t="s">
        <v>11599</v>
      </c>
      <c r="J2267" t="s">
        <v>5476</v>
      </c>
      <c r="K2267" t="s">
        <v>11600</v>
      </c>
      <c r="L2267" t="s">
        <v>5471</v>
      </c>
      <c r="M2267" t="s">
        <v>5471</v>
      </c>
    </row>
    <row r="2268" spans="1:13" x14ac:dyDescent="0.3">
      <c r="A2268" t="s">
        <v>3397</v>
      </c>
      <c r="B2268" t="s">
        <v>7391</v>
      </c>
      <c r="C2268" t="s">
        <v>5487</v>
      </c>
      <c r="D2268" t="s">
        <v>4052</v>
      </c>
      <c r="E2268" t="s">
        <v>5756</v>
      </c>
      <c r="F2268" t="s">
        <v>11601</v>
      </c>
      <c r="G2268" t="s">
        <v>7411</v>
      </c>
      <c r="H2268" t="s">
        <v>5474</v>
      </c>
      <c r="I2268" t="s">
        <v>11602</v>
      </c>
      <c r="J2268" t="s">
        <v>5476</v>
      </c>
      <c r="K2268" t="s">
        <v>11603</v>
      </c>
      <c r="L2268" t="s">
        <v>5471</v>
      </c>
      <c r="M2268" t="s">
        <v>5471</v>
      </c>
    </row>
    <row r="2269" spans="1:13" x14ac:dyDescent="0.3">
      <c r="A2269" t="s">
        <v>3383</v>
      </c>
      <c r="B2269" t="s">
        <v>5952</v>
      </c>
      <c r="C2269" t="s">
        <v>5470</v>
      </c>
      <c r="D2269" t="s">
        <v>4200</v>
      </c>
      <c r="E2269" t="s">
        <v>5617</v>
      </c>
      <c r="F2269" t="s">
        <v>11604</v>
      </c>
      <c r="G2269" t="s">
        <v>7528</v>
      </c>
      <c r="H2269" t="s">
        <v>5474</v>
      </c>
      <c r="I2269" t="s">
        <v>11605</v>
      </c>
      <c r="J2269" t="s">
        <v>5484</v>
      </c>
      <c r="K2269" t="s">
        <v>11606</v>
      </c>
      <c r="L2269" t="s">
        <v>5471</v>
      </c>
      <c r="M2269" t="s">
        <v>5471</v>
      </c>
    </row>
    <row r="2270" spans="1:13" x14ac:dyDescent="0.3">
      <c r="A2270" t="s">
        <v>3383</v>
      </c>
      <c r="B2270" t="s">
        <v>5952</v>
      </c>
      <c r="C2270" t="s">
        <v>5470</v>
      </c>
      <c r="D2270" t="s">
        <v>4056</v>
      </c>
      <c r="E2270" t="s">
        <v>5617</v>
      </c>
      <c r="F2270" t="s">
        <v>11607</v>
      </c>
      <c r="G2270" t="s">
        <v>7528</v>
      </c>
      <c r="H2270" t="s">
        <v>5474</v>
      </c>
      <c r="I2270" t="s">
        <v>11608</v>
      </c>
      <c r="J2270" t="s">
        <v>5484</v>
      </c>
      <c r="K2270" t="s">
        <v>11609</v>
      </c>
      <c r="L2270" t="s">
        <v>5471</v>
      </c>
      <c r="M2270" t="s">
        <v>5471</v>
      </c>
    </row>
    <row r="2271" spans="1:13" x14ac:dyDescent="0.3">
      <c r="A2271" t="s">
        <v>3383</v>
      </c>
      <c r="B2271" t="s">
        <v>5332</v>
      </c>
      <c r="C2271" t="s">
        <v>5470</v>
      </c>
      <c r="D2271" t="s">
        <v>4056</v>
      </c>
      <c r="E2271" t="s">
        <v>5532</v>
      </c>
      <c r="F2271" t="s">
        <v>11610</v>
      </c>
      <c r="G2271" t="s">
        <v>6592</v>
      </c>
      <c r="H2271" t="s">
        <v>5474</v>
      </c>
      <c r="I2271" t="s">
        <v>11611</v>
      </c>
      <c r="J2271" t="s">
        <v>5484</v>
      </c>
      <c r="K2271" t="s">
        <v>11612</v>
      </c>
      <c r="L2271" t="s">
        <v>5471</v>
      </c>
      <c r="M2271" t="s">
        <v>5471</v>
      </c>
    </row>
    <row r="2272" spans="1:13" x14ac:dyDescent="0.3">
      <c r="A2272" t="s">
        <v>3383</v>
      </c>
      <c r="B2272" t="s">
        <v>5332</v>
      </c>
      <c r="C2272" t="s">
        <v>5470</v>
      </c>
      <c r="D2272" t="s">
        <v>4056</v>
      </c>
      <c r="E2272" t="s">
        <v>5532</v>
      </c>
      <c r="F2272" t="s">
        <v>11613</v>
      </c>
      <c r="G2272" t="s">
        <v>6592</v>
      </c>
      <c r="H2272" t="s">
        <v>5474</v>
      </c>
      <c r="I2272" t="s">
        <v>11614</v>
      </c>
      <c r="J2272" t="s">
        <v>5484</v>
      </c>
      <c r="K2272" t="s">
        <v>11612</v>
      </c>
      <c r="L2272" t="s">
        <v>5471</v>
      </c>
      <c r="M2272" t="s">
        <v>5471</v>
      </c>
    </row>
    <row r="2273" spans="1:13" x14ac:dyDescent="0.3">
      <c r="A2273" t="s">
        <v>3383</v>
      </c>
      <c r="B2273" t="s">
        <v>5332</v>
      </c>
      <c r="C2273" t="s">
        <v>5470</v>
      </c>
      <c r="D2273" t="s">
        <v>4056</v>
      </c>
      <c r="E2273" t="s">
        <v>5532</v>
      </c>
      <c r="F2273" t="s">
        <v>11615</v>
      </c>
      <c r="G2273" t="s">
        <v>6589</v>
      </c>
      <c r="H2273" t="s">
        <v>5474</v>
      </c>
      <c r="I2273" t="s">
        <v>11616</v>
      </c>
      <c r="J2273" t="s">
        <v>5484</v>
      </c>
      <c r="K2273" t="s">
        <v>11617</v>
      </c>
      <c r="L2273" t="s">
        <v>5471</v>
      </c>
      <c r="M2273" t="s">
        <v>5471</v>
      </c>
    </row>
    <row r="2274" spans="1:13" x14ac:dyDescent="0.3">
      <c r="A2274" t="s">
        <v>3383</v>
      </c>
      <c r="B2274" t="s">
        <v>5332</v>
      </c>
      <c r="C2274" t="s">
        <v>5470</v>
      </c>
      <c r="D2274" t="s">
        <v>4056</v>
      </c>
      <c r="E2274" t="s">
        <v>5532</v>
      </c>
      <c r="F2274" t="s">
        <v>11618</v>
      </c>
      <c r="G2274" t="s">
        <v>11619</v>
      </c>
      <c r="H2274" t="s">
        <v>5474</v>
      </c>
      <c r="I2274" t="s">
        <v>11620</v>
      </c>
      <c r="J2274" t="s">
        <v>5484</v>
      </c>
      <c r="K2274" t="s">
        <v>11621</v>
      </c>
      <c r="L2274" t="s">
        <v>5471</v>
      </c>
      <c r="M2274" t="s">
        <v>5471</v>
      </c>
    </row>
    <row r="2275" spans="1:13" x14ac:dyDescent="0.3">
      <c r="A2275" t="s">
        <v>3383</v>
      </c>
      <c r="B2275" t="s">
        <v>5332</v>
      </c>
      <c r="C2275" t="s">
        <v>5470</v>
      </c>
      <c r="D2275" t="s">
        <v>4056</v>
      </c>
      <c r="E2275" t="s">
        <v>5532</v>
      </c>
      <c r="F2275" t="s">
        <v>11622</v>
      </c>
      <c r="G2275" t="s">
        <v>11619</v>
      </c>
      <c r="H2275" t="s">
        <v>5474</v>
      </c>
      <c r="I2275" t="s">
        <v>11623</v>
      </c>
      <c r="J2275" t="s">
        <v>5484</v>
      </c>
      <c r="K2275" t="s">
        <v>11621</v>
      </c>
      <c r="L2275" t="s">
        <v>5471</v>
      </c>
      <c r="M2275" t="s">
        <v>5471</v>
      </c>
    </row>
    <row r="2276" spans="1:13" x14ac:dyDescent="0.3">
      <c r="A2276" t="s">
        <v>3383</v>
      </c>
      <c r="B2276" t="s">
        <v>5332</v>
      </c>
      <c r="C2276" t="s">
        <v>5470</v>
      </c>
      <c r="D2276" t="s">
        <v>4056</v>
      </c>
      <c r="E2276" t="s">
        <v>5532</v>
      </c>
      <c r="F2276" t="s">
        <v>11624</v>
      </c>
      <c r="G2276" t="s">
        <v>11619</v>
      </c>
      <c r="H2276" t="s">
        <v>5474</v>
      </c>
      <c r="I2276" t="s">
        <v>11625</v>
      </c>
      <c r="J2276" t="s">
        <v>5484</v>
      </c>
      <c r="K2276" t="s">
        <v>11621</v>
      </c>
      <c r="L2276" t="s">
        <v>5471</v>
      </c>
      <c r="M2276" t="s">
        <v>5471</v>
      </c>
    </row>
    <row r="2277" spans="1:13" x14ac:dyDescent="0.3">
      <c r="A2277" t="s">
        <v>3383</v>
      </c>
      <c r="B2277" t="s">
        <v>5332</v>
      </c>
      <c r="C2277" t="s">
        <v>5470</v>
      </c>
      <c r="D2277" t="s">
        <v>4056</v>
      </c>
      <c r="E2277" t="s">
        <v>5532</v>
      </c>
      <c r="F2277" t="s">
        <v>11626</v>
      </c>
      <c r="G2277" t="s">
        <v>11627</v>
      </c>
      <c r="H2277" t="s">
        <v>5474</v>
      </c>
      <c r="I2277" t="s">
        <v>11628</v>
      </c>
      <c r="J2277" t="s">
        <v>5484</v>
      </c>
      <c r="K2277" t="s">
        <v>11629</v>
      </c>
      <c r="L2277" t="s">
        <v>5471</v>
      </c>
      <c r="M2277" t="s">
        <v>5471</v>
      </c>
    </row>
    <row r="2278" spans="1:13" x14ac:dyDescent="0.3">
      <c r="A2278" t="s">
        <v>3383</v>
      </c>
      <c r="B2278" t="s">
        <v>5332</v>
      </c>
      <c r="C2278" t="s">
        <v>5470</v>
      </c>
      <c r="D2278" t="s">
        <v>4056</v>
      </c>
      <c r="E2278" t="s">
        <v>5532</v>
      </c>
      <c r="F2278" t="s">
        <v>11630</v>
      </c>
      <c r="G2278" t="s">
        <v>11627</v>
      </c>
      <c r="H2278" t="s">
        <v>5474</v>
      </c>
      <c r="I2278" t="s">
        <v>11631</v>
      </c>
      <c r="J2278" t="s">
        <v>5484</v>
      </c>
      <c r="K2278" t="s">
        <v>11629</v>
      </c>
      <c r="L2278" t="s">
        <v>5471</v>
      </c>
      <c r="M2278" t="s">
        <v>5471</v>
      </c>
    </row>
    <row r="2279" spans="1:13" x14ac:dyDescent="0.3">
      <c r="A2279" t="s">
        <v>3383</v>
      </c>
      <c r="B2279" t="s">
        <v>5332</v>
      </c>
      <c r="C2279" t="s">
        <v>5470</v>
      </c>
      <c r="D2279" t="s">
        <v>4056</v>
      </c>
      <c r="E2279" t="s">
        <v>5532</v>
      </c>
      <c r="F2279" t="s">
        <v>11632</v>
      </c>
      <c r="G2279" t="s">
        <v>11627</v>
      </c>
      <c r="H2279" t="s">
        <v>5474</v>
      </c>
      <c r="I2279" t="s">
        <v>11633</v>
      </c>
      <c r="J2279" t="s">
        <v>5484</v>
      </c>
      <c r="K2279" t="s">
        <v>11629</v>
      </c>
      <c r="L2279" t="s">
        <v>5471</v>
      </c>
      <c r="M2279" t="s">
        <v>5471</v>
      </c>
    </row>
    <row r="2280" spans="1:13" x14ac:dyDescent="0.3">
      <c r="A2280" t="s">
        <v>3383</v>
      </c>
      <c r="B2280" t="s">
        <v>5332</v>
      </c>
      <c r="C2280" t="s">
        <v>5470</v>
      </c>
      <c r="D2280" t="s">
        <v>4056</v>
      </c>
      <c r="E2280" t="s">
        <v>5532</v>
      </c>
      <c r="F2280" t="s">
        <v>11634</v>
      </c>
      <c r="G2280" t="s">
        <v>6595</v>
      </c>
      <c r="H2280" t="s">
        <v>5474</v>
      </c>
      <c r="I2280" t="s">
        <v>11635</v>
      </c>
      <c r="J2280" t="s">
        <v>5484</v>
      </c>
      <c r="K2280" t="s">
        <v>11636</v>
      </c>
      <c r="L2280" t="s">
        <v>5471</v>
      </c>
      <c r="M2280" t="s">
        <v>5471</v>
      </c>
    </row>
    <row r="2281" spans="1:13" x14ac:dyDescent="0.3">
      <c r="A2281" t="s">
        <v>3383</v>
      </c>
      <c r="B2281" t="s">
        <v>5332</v>
      </c>
      <c r="C2281" t="s">
        <v>5470</v>
      </c>
      <c r="D2281" t="s">
        <v>4056</v>
      </c>
      <c r="E2281" t="s">
        <v>5532</v>
      </c>
      <c r="F2281" t="s">
        <v>11637</v>
      </c>
      <c r="G2281" t="s">
        <v>6595</v>
      </c>
      <c r="H2281" t="s">
        <v>5474</v>
      </c>
      <c r="I2281" t="s">
        <v>11638</v>
      </c>
      <c r="J2281" t="s">
        <v>5484</v>
      </c>
      <c r="K2281" t="s">
        <v>11636</v>
      </c>
      <c r="L2281" t="s">
        <v>5471</v>
      </c>
      <c r="M2281" t="s">
        <v>5471</v>
      </c>
    </row>
    <row r="2282" spans="1:13" x14ac:dyDescent="0.3">
      <c r="A2282" t="s">
        <v>3383</v>
      </c>
      <c r="B2282" t="s">
        <v>5332</v>
      </c>
      <c r="C2282" t="s">
        <v>5470</v>
      </c>
      <c r="D2282" t="s">
        <v>4056</v>
      </c>
      <c r="E2282" t="s">
        <v>5532</v>
      </c>
      <c r="F2282" t="s">
        <v>11639</v>
      </c>
      <c r="G2282" t="s">
        <v>6595</v>
      </c>
      <c r="H2282" t="s">
        <v>5474</v>
      </c>
      <c r="I2282" t="s">
        <v>11640</v>
      </c>
      <c r="J2282" t="s">
        <v>5484</v>
      </c>
      <c r="K2282" t="s">
        <v>11636</v>
      </c>
      <c r="L2282" t="s">
        <v>5471</v>
      </c>
      <c r="M2282" t="s">
        <v>5471</v>
      </c>
    </row>
    <row r="2283" spans="1:13" x14ac:dyDescent="0.3">
      <c r="A2283" t="s">
        <v>3383</v>
      </c>
      <c r="B2283" t="s">
        <v>5332</v>
      </c>
      <c r="C2283" t="s">
        <v>5470</v>
      </c>
      <c r="D2283" t="s">
        <v>4056</v>
      </c>
      <c r="E2283" t="s">
        <v>5532</v>
      </c>
      <c r="F2283" t="s">
        <v>11641</v>
      </c>
      <c r="G2283" t="s">
        <v>6241</v>
      </c>
      <c r="H2283" t="s">
        <v>5474</v>
      </c>
      <c r="I2283" t="s">
        <v>11642</v>
      </c>
      <c r="J2283" t="s">
        <v>5476</v>
      </c>
      <c r="K2283" t="s">
        <v>11643</v>
      </c>
      <c r="L2283" t="s">
        <v>5471</v>
      </c>
      <c r="M2283" t="s">
        <v>5471</v>
      </c>
    </row>
    <row r="2284" spans="1:13" x14ac:dyDescent="0.3">
      <c r="A2284" t="s">
        <v>3383</v>
      </c>
      <c r="B2284" t="s">
        <v>5332</v>
      </c>
      <c r="C2284" t="s">
        <v>5470</v>
      </c>
      <c r="D2284" t="s">
        <v>4056</v>
      </c>
      <c r="E2284" t="s">
        <v>5532</v>
      </c>
      <c r="F2284" t="s">
        <v>11644</v>
      </c>
      <c r="G2284" t="s">
        <v>6241</v>
      </c>
      <c r="H2284" t="s">
        <v>5474</v>
      </c>
      <c r="I2284" t="s">
        <v>11645</v>
      </c>
      <c r="J2284" t="s">
        <v>5476</v>
      </c>
      <c r="K2284" t="s">
        <v>11643</v>
      </c>
      <c r="L2284" t="s">
        <v>5471</v>
      </c>
      <c r="M2284" t="s">
        <v>5471</v>
      </c>
    </row>
    <row r="2285" spans="1:13" x14ac:dyDescent="0.3">
      <c r="A2285" t="s">
        <v>3383</v>
      </c>
      <c r="B2285" t="s">
        <v>5332</v>
      </c>
      <c r="C2285" t="s">
        <v>5470</v>
      </c>
      <c r="D2285" t="s">
        <v>4056</v>
      </c>
      <c r="E2285" t="s">
        <v>5532</v>
      </c>
      <c r="F2285" t="s">
        <v>11646</v>
      </c>
      <c r="G2285" t="s">
        <v>6241</v>
      </c>
      <c r="H2285" t="s">
        <v>5474</v>
      </c>
      <c r="I2285" t="s">
        <v>11647</v>
      </c>
      <c r="J2285" t="s">
        <v>5476</v>
      </c>
      <c r="K2285" t="s">
        <v>11643</v>
      </c>
      <c r="L2285" t="s">
        <v>5471</v>
      </c>
      <c r="M2285" t="s">
        <v>5471</v>
      </c>
    </row>
    <row r="2286" spans="1:13" x14ac:dyDescent="0.3">
      <c r="A2286" t="s">
        <v>3383</v>
      </c>
      <c r="B2286" t="s">
        <v>5332</v>
      </c>
      <c r="C2286" t="s">
        <v>5470</v>
      </c>
      <c r="D2286" t="s">
        <v>4056</v>
      </c>
      <c r="E2286" t="s">
        <v>5532</v>
      </c>
      <c r="F2286" t="s">
        <v>11648</v>
      </c>
      <c r="G2286" t="s">
        <v>6241</v>
      </c>
      <c r="H2286" t="s">
        <v>5474</v>
      </c>
      <c r="I2286" t="s">
        <v>11649</v>
      </c>
      <c r="J2286" t="s">
        <v>5476</v>
      </c>
      <c r="K2286" t="s">
        <v>11650</v>
      </c>
      <c r="L2286" t="s">
        <v>5471</v>
      </c>
      <c r="M2286" t="s">
        <v>5471</v>
      </c>
    </row>
    <row r="2287" spans="1:13" x14ac:dyDescent="0.3">
      <c r="A2287" t="s">
        <v>3383</v>
      </c>
      <c r="B2287" t="s">
        <v>5332</v>
      </c>
      <c r="C2287" t="s">
        <v>5470</v>
      </c>
      <c r="D2287" t="s">
        <v>4056</v>
      </c>
      <c r="E2287" t="s">
        <v>5532</v>
      </c>
      <c r="F2287" t="s">
        <v>11651</v>
      </c>
      <c r="G2287" t="s">
        <v>6241</v>
      </c>
      <c r="H2287" t="s">
        <v>5474</v>
      </c>
      <c r="I2287" t="s">
        <v>11652</v>
      </c>
      <c r="J2287" t="s">
        <v>5476</v>
      </c>
      <c r="K2287" t="s">
        <v>11650</v>
      </c>
      <c r="L2287" t="s">
        <v>5471</v>
      </c>
      <c r="M2287" t="s">
        <v>5471</v>
      </c>
    </row>
    <row r="2288" spans="1:13" x14ac:dyDescent="0.3">
      <c r="A2288" t="s">
        <v>3383</v>
      </c>
      <c r="B2288" t="s">
        <v>5332</v>
      </c>
      <c r="C2288" t="s">
        <v>5470</v>
      </c>
      <c r="D2288" t="s">
        <v>4056</v>
      </c>
      <c r="E2288" t="s">
        <v>5532</v>
      </c>
      <c r="F2288" t="s">
        <v>11653</v>
      </c>
      <c r="G2288" t="s">
        <v>6241</v>
      </c>
      <c r="H2288" t="s">
        <v>5474</v>
      </c>
      <c r="I2288" t="s">
        <v>11654</v>
      </c>
      <c r="J2288" t="s">
        <v>5476</v>
      </c>
      <c r="K2288" t="s">
        <v>11650</v>
      </c>
      <c r="L2288" t="s">
        <v>5471</v>
      </c>
      <c r="M2288" t="s">
        <v>5471</v>
      </c>
    </row>
    <row r="2289" spans="1:13" x14ac:dyDescent="0.3">
      <c r="A2289" t="s">
        <v>3397</v>
      </c>
      <c r="B2289" t="s">
        <v>5318</v>
      </c>
      <c r="C2289" t="s">
        <v>5487</v>
      </c>
      <c r="D2289" t="s">
        <v>4200</v>
      </c>
      <c r="E2289" t="s">
        <v>5756</v>
      </c>
      <c r="F2289" t="s">
        <v>11655</v>
      </c>
      <c r="G2289" t="s">
        <v>6960</v>
      </c>
      <c r="H2289" t="s">
        <v>5474</v>
      </c>
      <c r="I2289" t="s">
        <v>11656</v>
      </c>
      <c r="J2289" t="s">
        <v>5476</v>
      </c>
      <c r="K2289" t="s">
        <v>5471</v>
      </c>
      <c r="L2289" t="s">
        <v>5471</v>
      </c>
      <c r="M2289" t="s">
        <v>5471</v>
      </c>
    </row>
    <row r="2290" spans="1:13" x14ac:dyDescent="0.3">
      <c r="A2290" t="s">
        <v>3397</v>
      </c>
      <c r="B2290" t="s">
        <v>5318</v>
      </c>
      <c r="C2290" t="s">
        <v>5487</v>
      </c>
      <c r="D2290" t="s">
        <v>4200</v>
      </c>
      <c r="E2290" t="s">
        <v>5756</v>
      </c>
      <c r="F2290" t="s">
        <v>11657</v>
      </c>
      <c r="G2290" t="s">
        <v>6960</v>
      </c>
      <c r="H2290" t="s">
        <v>5474</v>
      </c>
      <c r="I2290" t="s">
        <v>11658</v>
      </c>
      <c r="J2290" t="s">
        <v>5476</v>
      </c>
      <c r="K2290" t="s">
        <v>5471</v>
      </c>
      <c r="L2290" t="s">
        <v>5471</v>
      </c>
      <c r="M2290" t="s">
        <v>5471</v>
      </c>
    </row>
    <row r="2291" spans="1:13" x14ac:dyDescent="0.3">
      <c r="A2291" t="s">
        <v>3397</v>
      </c>
      <c r="B2291" t="s">
        <v>5318</v>
      </c>
      <c r="C2291" t="s">
        <v>5487</v>
      </c>
      <c r="D2291" t="s">
        <v>4119</v>
      </c>
      <c r="E2291" t="s">
        <v>5756</v>
      </c>
      <c r="F2291" t="s">
        <v>11659</v>
      </c>
      <c r="G2291" t="s">
        <v>6960</v>
      </c>
      <c r="H2291" t="s">
        <v>5474</v>
      </c>
      <c r="I2291" t="s">
        <v>11660</v>
      </c>
      <c r="J2291" t="s">
        <v>5476</v>
      </c>
      <c r="K2291" t="s">
        <v>5471</v>
      </c>
      <c r="L2291" t="s">
        <v>5471</v>
      </c>
      <c r="M2291" t="s">
        <v>5471</v>
      </c>
    </row>
    <row r="2292" spans="1:13" x14ac:dyDescent="0.3">
      <c r="A2292" t="s">
        <v>3380</v>
      </c>
      <c r="B2292" t="s">
        <v>10137</v>
      </c>
      <c r="C2292" t="s">
        <v>6342</v>
      </c>
      <c r="D2292" t="s">
        <v>4119</v>
      </c>
      <c r="E2292" t="s">
        <v>9935</v>
      </c>
      <c r="F2292" t="s">
        <v>11661</v>
      </c>
      <c r="G2292" t="s">
        <v>11662</v>
      </c>
      <c r="H2292" t="s">
        <v>5474</v>
      </c>
      <c r="I2292" t="s">
        <v>11663</v>
      </c>
      <c r="J2292" t="s">
        <v>5476</v>
      </c>
      <c r="K2292" t="s">
        <v>11664</v>
      </c>
      <c r="L2292" t="s">
        <v>5471</v>
      </c>
      <c r="M2292" t="s">
        <v>5471</v>
      </c>
    </row>
    <row r="2293" spans="1:13" x14ac:dyDescent="0.3">
      <c r="A2293" t="s">
        <v>3380</v>
      </c>
      <c r="B2293" t="s">
        <v>5247</v>
      </c>
      <c r="C2293" t="s">
        <v>6342</v>
      </c>
      <c r="D2293" t="s">
        <v>4119</v>
      </c>
      <c r="E2293" t="s">
        <v>9935</v>
      </c>
      <c r="F2293" t="s">
        <v>11665</v>
      </c>
      <c r="G2293" t="s">
        <v>11666</v>
      </c>
      <c r="H2293" t="s">
        <v>5474</v>
      </c>
      <c r="I2293" t="s">
        <v>11667</v>
      </c>
      <c r="J2293" t="s">
        <v>5476</v>
      </c>
      <c r="K2293" t="s">
        <v>11664</v>
      </c>
      <c r="L2293" t="s">
        <v>5471</v>
      </c>
      <c r="M2293" t="s">
        <v>5471</v>
      </c>
    </row>
    <row r="2294" spans="1:13" x14ac:dyDescent="0.3">
      <c r="A2294" t="s">
        <v>3383</v>
      </c>
      <c r="B2294" t="s">
        <v>5332</v>
      </c>
      <c r="C2294" t="s">
        <v>5470</v>
      </c>
      <c r="D2294" t="s">
        <v>4056</v>
      </c>
      <c r="E2294" t="s">
        <v>5756</v>
      </c>
      <c r="F2294" t="s">
        <v>11668</v>
      </c>
      <c r="G2294" t="s">
        <v>11669</v>
      </c>
      <c r="H2294" t="s">
        <v>5474</v>
      </c>
      <c r="I2294" t="s">
        <v>11670</v>
      </c>
      <c r="J2294" t="s">
        <v>5476</v>
      </c>
      <c r="K2294" t="s">
        <v>11515</v>
      </c>
      <c r="L2294" t="s">
        <v>5471</v>
      </c>
      <c r="M2294" t="s">
        <v>5471</v>
      </c>
    </row>
    <row r="2295" spans="1:13" x14ac:dyDescent="0.3">
      <c r="A2295" t="s">
        <v>3383</v>
      </c>
      <c r="B2295" t="s">
        <v>5332</v>
      </c>
      <c r="C2295" t="s">
        <v>5470</v>
      </c>
      <c r="D2295" t="s">
        <v>4056</v>
      </c>
      <c r="E2295" t="s">
        <v>5756</v>
      </c>
      <c r="F2295" t="s">
        <v>11671</v>
      </c>
      <c r="G2295" t="s">
        <v>11672</v>
      </c>
      <c r="H2295" t="s">
        <v>5474</v>
      </c>
      <c r="I2295" t="s">
        <v>11673</v>
      </c>
      <c r="J2295" t="s">
        <v>5476</v>
      </c>
      <c r="K2295" t="s">
        <v>11674</v>
      </c>
      <c r="L2295" t="s">
        <v>5471</v>
      </c>
      <c r="M2295" t="s">
        <v>5471</v>
      </c>
    </row>
    <row r="2296" spans="1:13" x14ac:dyDescent="0.3">
      <c r="A2296" t="s">
        <v>3383</v>
      </c>
      <c r="B2296" t="s">
        <v>5332</v>
      </c>
      <c r="C2296" t="s">
        <v>5470</v>
      </c>
      <c r="D2296" t="s">
        <v>4056</v>
      </c>
      <c r="E2296" t="s">
        <v>5756</v>
      </c>
      <c r="F2296" t="s">
        <v>11675</v>
      </c>
      <c r="G2296" t="s">
        <v>6595</v>
      </c>
      <c r="H2296" t="s">
        <v>5474</v>
      </c>
      <c r="I2296" t="s">
        <v>11676</v>
      </c>
      <c r="J2296" t="s">
        <v>5476</v>
      </c>
      <c r="K2296" t="s">
        <v>11674</v>
      </c>
      <c r="L2296" t="s">
        <v>5471</v>
      </c>
      <c r="M2296" t="s">
        <v>5471</v>
      </c>
    </row>
    <row r="2297" spans="1:13" x14ac:dyDescent="0.3">
      <c r="A2297" t="s">
        <v>3380</v>
      </c>
      <c r="B2297" t="s">
        <v>11677</v>
      </c>
      <c r="C2297" t="s">
        <v>6342</v>
      </c>
      <c r="D2297" t="s">
        <v>4119</v>
      </c>
      <c r="E2297" t="s">
        <v>5532</v>
      </c>
      <c r="F2297" t="s">
        <v>11678</v>
      </c>
      <c r="G2297" t="s">
        <v>11679</v>
      </c>
      <c r="H2297" t="s">
        <v>5474</v>
      </c>
      <c r="I2297" t="s">
        <v>11680</v>
      </c>
      <c r="J2297" t="s">
        <v>5476</v>
      </c>
      <c r="K2297" t="s">
        <v>11681</v>
      </c>
      <c r="L2297" t="s">
        <v>5471</v>
      </c>
      <c r="M2297" t="s">
        <v>5471</v>
      </c>
    </row>
    <row r="2298" spans="1:13" x14ac:dyDescent="0.3">
      <c r="A2298" t="s">
        <v>3383</v>
      </c>
      <c r="B2298" t="s">
        <v>5332</v>
      </c>
      <c r="C2298" t="s">
        <v>5470</v>
      </c>
      <c r="D2298" t="s">
        <v>4056</v>
      </c>
      <c r="E2298" t="s">
        <v>5756</v>
      </c>
      <c r="F2298" t="s">
        <v>11682</v>
      </c>
      <c r="G2298" t="s">
        <v>6595</v>
      </c>
      <c r="H2298" t="s">
        <v>5474</v>
      </c>
      <c r="I2298" t="s">
        <v>11683</v>
      </c>
      <c r="J2298" t="s">
        <v>5476</v>
      </c>
      <c r="K2298" t="s">
        <v>11674</v>
      </c>
      <c r="L2298" t="s">
        <v>5471</v>
      </c>
      <c r="M2298" t="s">
        <v>5471</v>
      </c>
    </row>
    <row r="2299" spans="1:13" x14ac:dyDescent="0.3">
      <c r="A2299" t="s">
        <v>3388</v>
      </c>
      <c r="B2299" t="s">
        <v>10464</v>
      </c>
      <c r="C2299" t="s">
        <v>5470</v>
      </c>
      <c r="D2299" t="s">
        <v>4119</v>
      </c>
      <c r="E2299" t="s">
        <v>5471</v>
      </c>
      <c r="F2299" t="s">
        <v>11684</v>
      </c>
      <c r="G2299" t="s">
        <v>11685</v>
      </c>
      <c r="H2299" t="s">
        <v>5474</v>
      </c>
      <c r="I2299" t="s">
        <v>11686</v>
      </c>
      <c r="J2299" t="s">
        <v>5476</v>
      </c>
      <c r="K2299" t="s">
        <v>11687</v>
      </c>
      <c r="L2299" t="s">
        <v>5471</v>
      </c>
      <c r="M2299" t="s">
        <v>5471</v>
      </c>
    </row>
    <row r="2300" spans="1:13" x14ac:dyDescent="0.3">
      <c r="A2300" t="s">
        <v>3383</v>
      </c>
      <c r="B2300" t="s">
        <v>5332</v>
      </c>
      <c r="C2300" t="s">
        <v>5470</v>
      </c>
      <c r="D2300" t="s">
        <v>4056</v>
      </c>
      <c r="E2300" t="s">
        <v>5756</v>
      </c>
      <c r="F2300" t="s">
        <v>11688</v>
      </c>
      <c r="G2300" t="s">
        <v>6241</v>
      </c>
      <c r="H2300" t="s">
        <v>5474</v>
      </c>
      <c r="I2300" t="s">
        <v>11689</v>
      </c>
      <c r="J2300" t="s">
        <v>5476</v>
      </c>
      <c r="K2300" t="s">
        <v>11690</v>
      </c>
      <c r="L2300" t="s">
        <v>5471</v>
      </c>
      <c r="M2300" t="s">
        <v>5471</v>
      </c>
    </row>
    <row r="2301" spans="1:13" x14ac:dyDescent="0.3">
      <c r="A2301" t="s">
        <v>3383</v>
      </c>
      <c r="B2301" t="s">
        <v>5332</v>
      </c>
      <c r="C2301" t="s">
        <v>5470</v>
      </c>
      <c r="D2301" t="s">
        <v>4056</v>
      </c>
      <c r="E2301" t="s">
        <v>5756</v>
      </c>
      <c r="F2301" t="s">
        <v>11691</v>
      </c>
      <c r="G2301" t="s">
        <v>6241</v>
      </c>
      <c r="H2301" t="s">
        <v>5474</v>
      </c>
      <c r="I2301" t="s">
        <v>11692</v>
      </c>
      <c r="J2301" t="s">
        <v>5476</v>
      </c>
      <c r="K2301" t="s">
        <v>11690</v>
      </c>
      <c r="L2301" t="s">
        <v>5471</v>
      </c>
      <c r="M2301" t="s">
        <v>5471</v>
      </c>
    </row>
    <row r="2302" spans="1:13" x14ac:dyDescent="0.3">
      <c r="A2302" t="s">
        <v>3383</v>
      </c>
      <c r="B2302" t="s">
        <v>5332</v>
      </c>
      <c r="C2302" t="s">
        <v>5470</v>
      </c>
      <c r="D2302" t="s">
        <v>4056</v>
      </c>
      <c r="E2302" t="s">
        <v>5756</v>
      </c>
      <c r="F2302" t="s">
        <v>11693</v>
      </c>
      <c r="G2302" t="s">
        <v>6239</v>
      </c>
      <c r="H2302" t="s">
        <v>5474</v>
      </c>
      <c r="I2302" t="s">
        <v>11694</v>
      </c>
      <c r="J2302" t="s">
        <v>5476</v>
      </c>
      <c r="K2302" t="s">
        <v>11695</v>
      </c>
      <c r="L2302" t="s">
        <v>5471</v>
      </c>
      <c r="M2302" t="s">
        <v>5471</v>
      </c>
    </row>
    <row r="2303" spans="1:13" x14ac:dyDescent="0.3">
      <c r="A2303" t="s">
        <v>3383</v>
      </c>
      <c r="B2303" t="s">
        <v>5332</v>
      </c>
      <c r="C2303" t="s">
        <v>5470</v>
      </c>
      <c r="D2303" t="s">
        <v>4056</v>
      </c>
      <c r="E2303" t="s">
        <v>5756</v>
      </c>
      <c r="F2303" t="s">
        <v>11696</v>
      </c>
      <c r="G2303" t="s">
        <v>6239</v>
      </c>
      <c r="H2303" t="s">
        <v>5474</v>
      </c>
      <c r="I2303" t="s">
        <v>11697</v>
      </c>
      <c r="J2303" t="s">
        <v>5476</v>
      </c>
      <c r="K2303" t="s">
        <v>11695</v>
      </c>
      <c r="L2303" t="s">
        <v>5471</v>
      </c>
      <c r="M2303" t="s">
        <v>5471</v>
      </c>
    </row>
    <row r="2304" spans="1:13" x14ac:dyDescent="0.3">
      <c r="A2304" t="s">
        <v>3383</v>
      </c>
      <c r="B2304" t="s">
        <v>5332</v>
      </c>
      <c r="C2304" t="s">
        <v>5470</v>
      </c>
      <c r="D2304" t="s">
        <v>4056</v>
      </c>
      <c r="E2304" t="s">
        <v>5756</v>
      </c>
      <c r="F2304" t="s">
        <v>11698</v>
      </c>
      <c r="G2304" t="s">
        <v>6239</v>
      </c>
      <c r="H2304" t="s">
        <v>5474</v>
      </c>
      <c r="I2304" t="s">
        <v>11699</v>
      </c>
      <c r="J2304" t="s">
        <v>5476</v>
      </c>
      <c r="K2304" t="s">
        <v>11695</v>
      </c>
      <c r="L2304" t="s">
        <v>5471</v>
      </c>
      <c r="M2304" t="s">
        <v>5471</v>
      </c>
    </row>
    <row r="2305" spans="1:13" x14ac:dyDescent="0.3">
      <c r="A2305" t="s">
        <v>3383</v>
      </c>
      <c r="B2305" t="s">
        <v>5332</v>
      </c>
      <c r="C2305" t="s">
        <v>5470</v>
      </c>
      <c r="D2305" t="s">
        <v>4056</v>
      </c>
      <c r="E2305" t="s">
        <v>5532</v>
      </c>
      <c r="F2305" t="s">
        <v>11700</v>
      </c>
      <c r="G2305" t="s">
        <v>11701</v>
      </c>
      <c r="H2305" t="s">
        <v>5474</v>
      </c>
      <c r="I2305" t="s">
        <v>11702</v>
      </c>
      <c r="J2305" t="s">
        <v>5484</v>
      </c>
      <c r="K2305" t="s">
        <v>11703</v>
      </c>
      <c r="L2305" t="s">
        <v>5471</v>
      </c>
      <c r="M2305" t="s">
        <v>5471</v>
      </c>
    </row>
    <row r="2306" spans="1:13" x14ac:dyDescent="0.3">
      <c r="A2306" t="s">
        <v>3383</v>
      </c>
      <c r="B2306" t="s">
        <v>5332</v>
      </c>
      <c r="C2306" t="s">
        <v>5470</v>
      </c>
      <c r="D2306" t="s">
        <v>4056</v>
      </c>
      <c r="E2306" t="s">
        <v>5532</v>
      </c>
      <c r="F2306" t="s">
        <v>11704</v>
      </c>
      <c r="G2306" t="s">
        <v>11701</v>
      </c>
      <c r="H2306" t="s">
        <v>5474</v>
      </c>
      <c r="I2306" t="s">
        <v>11705</v>
      </c>
      <c r="J2306" t="s">
        <v>5484</v>
      </c>
      <c r="K2306" t="s">
        <v>11703</v>
      </c>
      <c r="L2306" t="s">
        <v>5471</v>
      </c>
      <c r="M2306" t="s">
        <v>5471</v>
      </c>
    </row>
    <row r="2307" spans="1:13" x14ac:dyDescent="0.3">
      <c r="A2307" t="s">
        <v>3383</v>
      </c>
      <c r="B2307" t="s">
        <v>5332</v>
      </c>
      <c r="C2307" t="s">
        <v>5470</v>
      </c>
      <c r="D2307" t="s">
        <v>4056</v>
      </c>
      <c r="E2307" t="s">
        <v>5532</v>
      </c>
      <c r="F2307" t="s">
        <v>11706</v>
      </c>
      <c r="G2307" t="s">
        <v>11701</v>
      </c>
      <c r="H2307" t="s">
        <v>5474</v>
      </c>
      <c r="I2307" t="s">
        <v>11707</v>
      </c>
      <c r="J2307" t="s">
        <v>5484</v>
      </c>
      <c r="K2307" t="s">
        <v>11703</v>
      </c>
      <c r="L2307" t="s">
        <v>5471</v>
      </c>
      <c r="M2307" t="s">
        <v>5471</v>
      </c>
    </row>
    <row r="2308" spans="1:13" x14ac:dyDescent="0.3">
      <c r="A2308" t="s">
        <v>3383</v>
      </c>
      <c r="B2308" t="s">
        <v>6051</v>
      </c>
      <c r="C2308" t="s">
        <v>5470</v>
      </c>
      <c r="D2308" t="s">
        <v>4056</v>
      </c>
      <c r="E2308" t="s">
        <v>5756</v>
      </c>
      <c r="F2308" t="s">
        <v>11708</v>
      </c>
      <c r="G2308" t="s">
        <v>6053</v>
      </c>
      <c r="H2308" t="s">
        <v>5474</v>
      </c>
      <c r="I2308" t="s">
        <v>11709</v>
      </c>
      <c r="J2308" t="s">
        <v>5484</v>
      </c>
      <c r="K2308" t="s">
        <v>11710</v>
      </c>
      <c r="L2308" t="s">
        <v>5471</v>
      </c>
      <c r="M2308" t="s">
        <v>5471</v>
      </c>
    </row>
    <row r="2309" spans="1:13" x14ac:dyDescent="0.3">
      <c r="A2309" t="s">
        <v>3383</v>
      </c>
      <c r="B2309" t="s">
        <v>6051</v>
      </c>
      <c r="C2309" t="s">
        <v>5470</v>
      </c>
      <c r="D2309" t="s">
        <v>4056</v>
      </c>
      <c r="E2309" t="s">
        <v>5756</v>
      </c>
      <c r="F2309" t="s">
        <v>11711</v>
      </c>
      <c r="G2309" t="s">
        <v>6053</v>
      </c>
      <c r="H2309" t="s">
        <v>5474</v>
      </c>
      <c r="I2309" t="s">
        <v>11712</v>
      </c>
      <c r="J2309" t="s">
        <v>5484</v>
      </c>
      <c r="K2309" t="s">
        <v>11713</v>
      </c>
      <c r="L2309" t="s">
        <v>5471</v>
      </c>
      <c r="M2309" t="s">
        <v>5471</v>
      </c>
    </row>
    <row r="2310" spans="1:13" x14ac:dyDescent="0.3">
      <c r="A2310" t="s">
        <v>3383</v>
      </c>
      <c r="B2310" t="s">
        <v>8062</v>
      </c>
      <c r="C2310" t="s">
        <v>5487</v>
      </c>
      <c r="D2310" t="s">
        <v>10218</v>
      </c>
      <c r="E2310" t="s">
        <v>5532</v>
      </c>
      <c r="F2310" t="s">
        <v>11714</v>
      </c>
      <c r="G2310" t="s">
        <v>8845</v>
      </c>
      <c r="H2310" t="s">
        <v>5474</v>
      </c>
      <c r="I2310" t="s">
        <v>11715</v>
      </c>
      <c r="J2310" t="s">
        <v>5476</v>
      </c>
      <c r="K2310" t="s">
        <v>11716</v>
      </c>
      <c r="L2310" t="s">
        <v>5471</v>
      </c>
      <c r="M2310" t="s">
        <v>5471</v>
      </c>
    </row>
    <row r="2311" spans="1:13" x14ac:dyDescent="0.3">
      <c r="A2311" t="s">
        <v>3383</v>
      </c>
      <c r="B2311" t="s">
        <v>8062</v>
      </c>
      <c r="C2311" t="s">
        <v>5487</v>
      </c>
      <c r="D2311" t="s">
        <v>10218</v>
      </c>
      <c r="E2311" t="s">
        <v>5532</v>
      </c>
      <c r="F2311" t="s">
        <v>11717</v>
      </c>
      <c r="G2311" t="s">
        <v>8845</v>
      </c>
      <c r="H2311" t="s">
        <v>5474</v>
      </c>
      <c r="I2311" t="s">
        <v>11718</v>
      </c>
      <c r="J2311" t="s">
        <v>5476</v>
      </c>
      <c r="K2311" t="s">
        <v>11719</v>
      </c>
      <c r="L2311" t="s">
        <v>5471</v>
      </c>
      <c r="M2311" t="s">
        <v>5471</v>
      </c>
    </row>
    <row r="2312" spans="1:13" x14ac:dyDescent="0.3">
      <c r="A2312" t="s">
        <v>3383</v>
      </c>
      <c r="B2312" t="s">
        <v>6051</v>
      </c>
      <c r="C2312" t="s">
        <v>5470</v>
      </c>
      <c r="D2312" t="s">
        <v>4056</v>
      </c>
      <c r="E2312" t="s">
        <v>5756</v>
      </c>
      <c r="F2312" t="s">
        <v>11720</v>
      </c>
      <c r="G2312" t="s">
        <v>6053</v>
      </c>
      <c r="H2312" t="s">
        <v>5474</v>
      </c>
      <c r="I2312" t="s">
        <v>11721</v>
      </c>
      <c r="J2312" t="s">
        <v>5484</v>
      </c>
      <c r="K2312" t="s">
        <v>11722</v>
      </c>
      <c r="L2312" t="s">
        <v>5471</v>
      </c>
      <c r="M2312" t="s">
        <v>5471</v>
      </c>
    </row>
    <row r="2313" spans="1:13" x14ac:dyDescent="0.3">
      <c r="A2313" t="s">
        <v>3383</v>
      </c>
      <c r="B2313" t="s">
        <v>8062</v>
      </c>
      <c r="C2313" t="s">
        <v>5487</v>
      </c>
      <c r="D2313" t="s">
        <v>10218</v>
      </c>
      <c r="E2313" t="s">
        <v>5532</v>
      </c>
      <c r="F2313" t="s">
        <v>11723</v>
      </c>
      <c r="G2313" t="s">
        <v>8845</v>
      </c>
      <c r="H2313" t="s">
        <v>5474</v>
      </c>
      <c r="I2313" t="s">
        <v>11724</v>
      </c>
      <c r="J2313" t="s">
        <v>5476</v>
      </c>
      <c r="K2313" t="s">
        <v>11725</v>
      </c>
      <c r="L2313" t="s">
        <v>5471</v>
      </c>
      <c r="M2313" t="s">
        <v>5471</v>
      </c>
    </row>
    <row r="2314" spans="1:13" x14ac:dyDescent="0.3">
      <c r="A2314" t="s">
        <v>3383</v>
      </c>
      <c r="B2314" t="s">
        <v>6051</v>
      </c>
      <c r="C2314" t="s">
        <v>5470</v>
      </c>
      <c r="D2314" t="s">
        <v>4056</v>
      </c>
      <c r="E2314" t="s">
        <v>5756</v>
      </c>
      <c r="F2314" t="s">
        <v>11726</v>
      </c>
      <c r="G2314" t="s">
        <v>6197</v>
      </c>
      <c r="H2314" t="s">
        <v>5474</v>
      </c>
      <c r="I2314" t="s">
        <v>11727</v>
      </c>
      <c r="J2314" t="s">
        <v>5476</v>
      </c>
      <c r="K2314" t="s">
        <v>11728</v>
      </c>
      <c r="L2314" t="s">
        <v>5471</v>
      </c>
      <c r="M2314" t="s">
        <v>5471</v>
      </c>
    </row>
    <row r="2315" spans="1:13" x14ac:dyDescent="0.3">
      <c r="A2315" t="s">
        <v>3383</v>
      </c>
      <c r="B2315" t="s">
        <v>6051</v>
      </c>
      <c r="C2315" t="s">
        <v>5470</v>
      </c>
      <c r="D2315" t="s">
        <v>4056</v>
      </c>
      <c r="E2315" t="s">
        <v>5756</v>
      </c>
      <c r="F2315" t="s">
        <v>11729</v>
      </c>
      <c r="G2315" t="s">
        <v>6197</v>
      </c>
      <c r="H2315" t="s">
        <v>5474</v>
      </c>
      <c r="I2315" t="s">
        <v>11730</v>
      </c>
      <c r="J2315" t="s">
        <v>5476</v>
      </c>
      <c r="K2315" t="s">
        <v>11731</v>
      </c>
      <c r="L2315" t="s">
        <v>5471</v>
      </c>
      <c r="M2315" t="s">
        <v>5471</v>
      </c>
    </row>
    <row r="2316" spans="1:13" x14ac:dyDescent="0.3">
      <c r="A2316" t="s">
        <v>3383</v>
      </c>
      <c r="B2316" t="s">
        <v>8062</v>
      </c>
      <c r="C2316" t="s">
        <v>5487</v>
      </c>
      <c r="D2316" t="s">
        <v>10218</v>
      </c>
      <c r="E2316" t="s">
        <v>5532</v>
      </c>
      <c r="F2316" t="s">
        <v>11732</v>
      </c>
      <c r="G2316" t="s">
        <v>8845</v>
      </c>
      <c r="H2316" t="s">
        <v>5474</v>
      </c>
      <c r="I2316" t="s">
        <v>11733</v>
      </c>
      <c r="J2316" t="s">
        <v>5476</v>
      </c>
      <c r="K2316" t="s">
        <v>11734</v>
      </c>
      <c r="L2316" t="s">
        <v>5471</v>
      </c>
      <c r="M2316" t="s">
        <v>5471</v>
      </c>
    </row>
    <row r="2317" spans="1:13" x14ac:dyDescent="0.3">
      <c r="A2317" t="s">
        <v>3383</v>
      </c>
      <c r="B2317" t="s">
        <v>6051</v>
      </c>
      <c r="C2317" t="s">
        <v>5470</v>
      </c>
      <c r="D2317" t="s">
        <v>4056</v>
      </c>
      <c r="E2317" t="s">
        <v>5756</v>
      </c>
      <c r="F2317" t="s">
        <v>11735</v>
      </c>
      <c r="G2317" t="s">
        <v>6197</v>
      </c>
      <c r="H2317" t="s">
        <v>5474</v>
      </c>
      <c r="I2317" t="s">
        <v>11736</v>
      </c>
      <c r="J2317" t="s">
        <v>5476</v>
      </c>
      <c r="K2317" t="s">
        <v>11737</v>
      </c>
      <c r="L2317" t="s">
        <v>5471</v>
      </c>
      <c r="M2317" t="s">
        <v>5471</v>
      </c>
    </row>
    <row r="2318" spans="1:13" x14ac:dyDescent="0.3">
      <c r="A2318" t="s">
        <v>3383</v>
      </c>
      <c r="B2318" t="s">
        <v>6051</v>
      </c>
      <c r="C2318" t="s">
        <v>5470</v>
      </c>
      <c r="D2318" t="s">
        <v>4056</v>
      </c>
      <c r="E2318" t="s">
        <v>5756</v>
      </c>
      <c r="F2318" t="s">
        <v>11735</v>
      </c>
      <c r="G2318" t="s">
        <v>6197</v>
      </c>
      <c r="H2318" t="s">
        <v>5474</v>
      </c>
      <c r="I2318" t="s">
        <v>11738</v>
      </c>
      <c r="J2318" t="s">
        <v>5484</v>
      </c>
      <c r="K2318" t="s">
        <v>11739</v>
      </c>
      <c r="L2318" t="s">
        <v>5471</v>
      </c>
      <c r="M2318" t="s">
        <v>5471</v>
      </c>
    </row>
    <row r="2319" spans="1:13" x14ac:dyDescent="0.3">
      <c r="A2319" t="s">
        <v>3383</v>
      </c>
      <c r="B2319" t="s">
        <v>8062</v>
      </c>
      <c r="C2319" t="s">
        <v>5487</v>
      </c>
      <c r="D2319" t="s">
        <v>10218</v>
      </c>
      <c r="E2319" t="s">
        <v>5532</v>
      </c>
      <c r="F2319" t="s">
        <v>11740</v>
      </c>
      <c r="G2319" t="s">
        <v>8845</v>
      </c>
      <c r="H2319" t="s">
        <v>5474</v>
      </c>
      <c r="I2319" t="s">
        <v>11741</v>
      </c>
      <c r="J2319" t="s">
        <v>5476</v>
      </c>
      <c r="K2319" t="s">
        <v>11742</v>
      </c>
      <c r="L2319" t="s">
        <v>5471</v>
      </c>
      <c r="M2319" t="s">
        <v>5471</v>
      </c>
    </row>
    <row r="2320" spans="1:13" x14ac:dyDescent="0.3">
      <c r="A2320" t="s">
        <v>3383</v>
      </c>
      <c r="B2320" t="s">
        <v>6051</v>
      </c>
      <c r="C2320" t="s">
        <v>5470</v>
      </c>
      <c r="D2320" t="s">
        <v>4056</v>
      </c>
      <c r="E2320" t="s">
        <v>5756</v>
      </c>
      <c r="F2320" t="s">
        <v>11743</v>
      </c>
      <c r="G2320" t="s">
        <v>6197</v>
      </c>
      <c r="H2320" t="s">
        <v>5474</v>
      </c>
      <c r="I2320" t="s">
        <v>11744</v>
      </c>
      <c r="J2320" t="s">
        <v>5484</v>
      </c>
      <c r="K2320" t="s">
        <v>11745</v>
      </c>
      <c r="L2320" t="s">
        <v>5471</v>
      </c>
      <c r="M2320" t="s">
        <v>5471</v>
      </c>
    </row>
    <row r="2321" spans="1:13" x14ac:dyDescent="0.3">
      <c r="A2321" t="s">
        <v>3383</v>
      </c>
      <c r="B2321" t="s">
        <v>6051</v>
      </c>
      <c r="C2321" t="s">
        <v>5470</v>
      </c>
      <c r="D2321" t="s">
        <v>4056</v>
      </c>
      <c r="E2321" t="s">
        <v>5756</v>
      </c>
      <c r="F2321" t="s">
        <v>11746</v>
      </c>
      <c r="G2321" t="s">
        <v>6197</v>
      </c>
      <c r="H2321" t="s">
        <v>5474</v>
      </c>
      <c r="I2321" t="s">
        <v>11747</v>
      </c>
      <c r="J2321" t="s">
        <v>5484</v>
      </c>
      <c r="K2321" t="s">
        <v>11748</v>
      </c>
      <c r="L2321" t="s">
        <v>5471</v>
      </c>
      <c r="M2321" t="s">
        <v>5471</v>
      </c>
    </row>
    <row r="2322" spans="1:13" x14ac:dyDescent="0.3">
      <c r="A2322" t="s">
        <v>3383</v>
      </c>
      <c r="B2322" t="s">
        <v>8062</v>
      </c>
      <c r="C2322" t="s">
        <v>5487</v>
      </c>
      <c r="D2322" t="s">
        <v>10218</v>
      </c>
      <c r="E2322" t="s">
        <v>5532</v>
      </c>
      <c r="F2322" t="s">
        <v>11749</v>
      </c>
      <c r="G2322" t="s">
        <v>8845</v>
      </c>
      <c r="H2322" t="s">
        <v>5474</v>
      </c>
      <c r="I2322" t="s">
        <v>11750</v>
      </c>
      <c r="J2322" t="s">
        <v>5476</v>
      </c>
      <c r="K2322" t="s">
        <v>11751</v>
      </c>
      <c r="L2322" t="s">
        <v>5471</v>
      </c>
      <c r="M2322" t="s">
        <v>5471</v>
      </c>
    </row>
    <row r="2323" spans="1:13" x14ac:dyDescent="0.3">
      <c r="A2323" t="s">
        <v>3383</v>
      </c>
      <c r="B2323" t="s">
        <v>8062</v>
      </c>
      <c r="C2323" t="s">
        <v>5487</v>
      </c>
      <c r="D2323" t="s">
        <v>10218</v>
      </c>
      <c r="E2323" t="s">
        <v>5532</v>
      </c>
      <c r="F2323" t="s">
        <v>11752</v>
      </c>
      <c r="G2323" t="s">
        <v>8845</v>
      </c>
      <c r="H2323" t="s">
        <v>5474</v>
      </c>
      <c r="I2323" t="s">
        <v>11753</v>
      </c>
      <c r="J2323" t="s">
        <v>5476</v>
      </c>
      <c r="K2323" t="s">
        <v>11754</v>
      </c>
      <c r="L2323" t="s">
        <v>5471</v>
      </c>
      <c r="M2323" t="s">
        <v>5471</v>
      </c>
    </row>
    <row r="2324" spans="1:13" x14ac:dyDescent="0.3">
      <c r="A2324" t="s">
        <v>3383</v>
      </c>
      <c r="B2324" t="s">
        <v>8062</v>
      </c>
      <c r="C2324" t="s">
        <v>5487</v>
      </c>
      <c r="D2324" t="s">
        <v>10218</v>
      </c>
      <c r="E2324" t="s">
        <v>5532</v>
      </c>
      <c r="F2324" t="s">
        <v>11755</v>
      </c>
      <c r="G2324" t="s">
        <v>8845</v>
      </c>
      <c r="H2324" t="s">
        <v>5474</v>
      </c>
      <c r="I2324" t="s">
        <v>11756</v>
      </c>
      <c r="J2324" t="s">
        <v>5476</v>
      </c>
      <c r="K2324" t="s">
        <v>11757</v>
      </c>
      <c r="L2324" t="s">
        <v>5471</v>
      </c>
      <c r="M2324" t="s">
        <v>5471</v>
      </c>
    </row>
    <row r="2325" spans="1:13" x14ac:dyDescent="0.3">
      <c r="A2325" t="s">
        <v>3383</v>
      </c>
      <c r="B2325" t="s">
        <v>8062</v>
      </c>
      <c r="C2325" t="s">
        <v>5487</v>
      </c>
      <c r="D2325" t="s">
        <v>10218</v>
      </c>
      <c r="E2325" t="s">
        <v>5532</v>
      </c>
      <c r="F2325" t="s">
        <v>11758</v>
      </c>
      <c r="G2325" t="s">
        <v>8845</v>
      </c>
      <c r="H2325" t="s">
        <v>5474</v>
      </c>
      <c r="I2325" t="s">
        <v>11759</v>
      </c>
      <c r="J2325" t="s">
        <v>5476</v>
      </c>
      <c r="K2325" t="s">
        <v>11760</v>
      </c>
      <c r="L2325" t="s">
        <v>5471</v>
      </c>
      <c r="M2325" t="s">
        <v>5471</v>
      </c>
    </row>
    <row r="2326" spans="1:13" x14ac:dyDescent="0.3">
      <c r="A2326" t="s">
        <v>3383</v>
      </c>
      <c r="B2326" t="s">
        <v>8062</v>
      </c>
      <c r="C2326" t="s">
        <v>5487</v>
      </c>
      <c r="D2326" t="s">
        <v>4056</v>
      </c>
      <c r="E2326" t="s">
        <v>5532</v>
      </c>
      <c r="F2326" t="s">
        <v>11761</v>
      </c>
      <c r="G2326" t="s">
        <v>8845</v>
      </c>
      <c r="H2326" t="s">
        <v>5474</v>
      </c>
      <c r="I2326" t="s">
        <v>11762</v>
      </c>
      <c r="J2326" t="s">
        <v>5484</v>
      </c>
      <c r="K2326" t="s">
        <v>11763</v>
      </c>
      <c r="L2326" t="s">
        <v>5471</v>
      </c>
      <c r="M2326" t="s">
        <v>5471</v>
      </c>
    </row>
    <row r="2327" spans="1:13" x14ac:dyDescent="0.3">
      <c r="A2327" t="s">
        <v>3383</v>
      </c>
      <c r="B2327" t="s">
        <v>8062</v>
      </c>
      <c r="C2327" t="s">
        <v>5487</v>
      </c>
      <c r="D2327" t="s">
        <v>4056</v>
      </c>
      <c r="E2327" t="s">
        <v>5532</v>
      </c>
      <c r="F2327" t="s">
        <v>11764</v>
      </c>
      <c r="G2327" t="s">
        <v>8845</v>
      </c>
      <c r="H2327" t="s">
        <v>5474</v>
      </c>
      <c r="I2327" t="s">
        <v>11765</v>
      </c>
      <c r="J2327" t="s">
        <v>5484</v>
      </c>
      <c r="K2327" t="s">
        <v>11766</v>
      </c>
      <c r="L2327" t="s">
        <v>5471</v>
      </c>
      <c r="M2327" t="s">
        <v>5471</v>
      </c>
    </row>
    <row r="2328" spans="1:13" x14ac:dyDescent="0.3">
      <c r="A2328" t="s">
        <v>3383</v>
      </c>
      <c r="B2328" t="s">
        <v>8062</v>
      </c>
      <c r="C2328" t="s">
        <v>5487</v>
      </c>
      <c r="D2328" t="s">
        <v>4056</v>
      </c>
      <c r="E2328" t="s">
        <v>5532</v>
      </c>
      <c r="F2328" t="s">
        <v>11767</v>
      </c>
      <c r="G2328" t="s">
        <v>8845</v>
      </c>
      <c r="H2328" t="s">
        <v>5474</v>
      </c>
      <c r="I2328" t="s">
        <v>11768</v>
      </c>
      <c r="J2328" t="s">
        <v>5484</v>
      </c>
      <c r="K2328" t="s">
        <v>11769</v>
      </c>
      <c r="L2328" t="s">
        <v>5471</v>
      </c>
      <c r="M2328" t="s">
        <v>5471</v>
      </c>
    </row>
    <row r="2329" spans="1:13" x14ac:dyDescent="0.3">
      <c r="A2329" t="s">
        <v>3383</v>
      </c>
      <c r="B2329" t="s">
        <v>8062</v>
      </c>
      <c r="C2329" t="s">
        <v>5487</v>
      </c>
      <c r="D2329" t="s">
        <v>4056</v>
      </c>
      <c r="E2329" t="s">
        <v>5532</v>
      </c>
      <c r="F2329" t="s">
        <v>11770</v>
      </c>
      <c r="G2329" t="s">
        <v>8845</v>
      </c>
      <c r="H2329" t="s">
        <v>5474</v>
      </c>
      <c r="I2329" t="s">
        <v>11771</v>
      </c>
      <c r="J2329" t="s">
        <v>5484</v>
      </c>
      <c r="K2329" t="s">
        <v>11772</v>
      </c>
      <c r="L2329" t="s">
        <v>5471</v>
      </c>
      <c r="M2329" t="s">
        <v>5471</v>
      </c>
    </row>
    <row r="2330" spans="1:13" x14ac:dyDescent="0.3">
      <c r="A2330" t="s">
        <v>3383</v>
      </c>
      <c r="B2330" t="s">
        <v>8062</v>
      </c>
      <c r="C2330" t="s">
        <v>5487</v>
      </c>
      <c r="D2330" t="s">
        <v>4056</v>
      </c>
      <c r="E2330" t="s">
        <v>5532</v>
      </c>
      <c r="F2330" t="s">
        <v>11773</v>
      </c>
      <c r="G2330" t="s">
        <v>8845</v>
      </c>
      <c r="H2330" t="s">
        <v>5474</v>
      </c>
      <c r="I2330" t="s">
        <v>11774</v>
      </c>
      <c r="J2330" t="s">
        <v>5484</v>
      </c>
      <c r="K2330" t="s">
        <v>11775</v>
      </c>
      <c r="L2330" t="s">
        <v>5471</v>
      </c>
      <c r="M2330" t="s">
        <v>5471</v>
      </c>
    </row>
    <row r="2331" spans="1:13" x14ac:dyDescent="0.3">
      <c r="A2331" t="s">
        <v>3383</v>
      </c>
      <c r="B2331" t="s">
        <v>8062</v>
      </c>
      <c r="C2331" t="s">
        <v>5487</v>
      </c>
      <c r="D2331" t="s">
        <v>10218</v>
      </c>
      <c r="E2331" t="s">
        <v>5532</v>
      </c>
      <c r="F2331" t="s">
        <v>11776</v>
      </c>
      <c r="G2331" t="s">
        <v>8845</v>
      </c>
      <c r="H2331" t="s">
        <v>5474</v>
      </c>
      <c r="I2331" t="s">
        <v>11777</v>
      </c>
      <c r="J2331" t="s">
        <v>5476</v>
      </c>
      <c r="K2331" t="s">
        <v>11778</v>
      </c>
      <c r="L2331" t="s">
        <v>5471</v>
      </c>
      <c r="M2331" t="s">
        <v>5471</v>
      </c>
    </row>
    <row r="2332" spans="1:13" x14ac:dyDescent="0.3">
      <c r="A2332" t="s">
        <v>3383</v>
      </c>
      <c r="B2332" t="s">
        <v>8062</v>
      </c>
      <c r="C2332" t="s">
        <v>5487</v>
      </c>
      <c r="D2332" t="s">
        <v>4056</v>
      </c>
      <c r="E2332" t="s">
        <v>5532</v>
      </c>
      <c r="F2332" t="s">
        <v>11779</v>
      </c>
      <c r="G2332" t="s">
        <v>8845</v>
      </c>
      <c r="H2332" t="s">
        <v>5474</v>
      </c>
      <c r="I2332" t="s">
        <v>11780</v>
      </c>
      <c r="J2332" t="s">
        <v>5484</v>
      </c>
      <c r="K2332" t="s">
        <v>11781</v>
      </c>
      <c r="L2332" t="s">
        <v>5471</v>
      </c>
      <c r="M2332" t="s">
        <v>5471</v>
      </c>
    </row>
    <row r="2333" spans="1:13" x14ac:dyDescent="0.3">
      <c r="A2333" t="s">
        <v>3383</v>
      </c>
      <c r="B2333" t="s">
        <v>8062</v>
      </c>
      <c r="C2333" t="s">
        <v>5487</v>
      </c>
      <c r="D2333" t="s">
        <v>4056</v>
      </c>
      <c r="E2333" t="s">
        <v>5532</v>
      </c>
      <c r="F2333" t="s">
        <v>11782</v>
      </c>
      <c r="G2333" t="s">
        <v>8845</v>
      </c>
      <c r="H2333" t="s">
        <v>5474</v>
      </c>
      <c r="I2333" t="s">
        <v>11783</v>
      </c>
      <c r="J2333" t="s">
        <v>5484</v>
      </c>
      <c r="K2333" t="s">
        <v>11784</v>
      </c>
      <c r="L2333" t="s">
        <v>5471</v>
      </c>
      <c r="M2333" t="s">
        <v>5471</v>
      </c>
    </row>
    <row r="2334" spans="1:13" x14ac:dyDescent="0.3">
      <c r="A2334" t="s">
        <v>3383</v>
      </c>
      <c r="B2334" t="s">
        <v>8062</v>
      </c>
      <c r="C2334" t="s">
        <v>5487</v>
      </c>
      <c r="D2334" t="s">
        <v>4056</v>
      </c>
      <c r="E2334" t="s">
        <v>5532</v>
      </c>
      <c r="F2334" t="s">
        <v>11785</v>
      </c>
      <c r="G2334" t="s">
        <v>8845</v>
      </c>
      <c r="H2334" t="s">
        <v>5474</v>
      </c>
      <c r="I2334" t="s">
        <v>11786</v>
      </c>
      <c r="J2334" t="s">
        <v>5484</v>
      </c>
      <c r="K2334" t="s">
        <v>11787</v>
      </c>
      <c r="L2334" t="s">
        <v>5471</v>
      </c>
      <c r="M2334" t="s">
        <v>5471</v>
      </c>
    </row>
    <row r="2335" spans="1:13" x14ac:dyDescent="0.3">
      <c r="A2335" t="s">
        <v>3383</v>
      </c>
      <c r="B2335" t="s">
        <v>8062</v>
      </c>
      <c r="C2335" t="s">
        <v>5487</v>
      </c>
      <c r="D2335" t="s">
        <v>4056</v>
      </c>
      <c r="E2335" t="s">
        <v>5532</v>
      </c>
      <c r="F2335" t="s">
        <v>11788</v>
      </c>
      <c r="G2335" t="s">
        <v>8845</v>
      </c>
      <c r="H2335" t="s">
        <v>5474</v>
      </c>
      <c r="I2335" t="s">
        <v>11789</v>
      </c>
      <c r="J2335" t="s">
        <v>5484</v>
      </c>
      <c r="K2335" t="s">
        <v>11790</v>
      </c>
      <c r="L2335" t="s">
        <v>5471</v>
      </c>
      <c r="M2335" t="s">
        <v>5471</v>
      </c>
    </row>
    <row r="2336" spans="1:13" x14ac:dyDescent="0.3">
      <c r="A2336" t="s">
        <v>3383</v>
      </c>
      <c r="B2336" t="s">
        <v>8062</v>
      </c>
      <c r="C2336" t="s">
        <v>5487</v>
      </c>
      <c r="D2336" t="s">
        <v>4056</v>
      </c>
      <c r="E2336" t="s">
        <v>5532</v>
      </c>
      <c r="F2336" t="s">
        <v>11791</v>
      </c>
      <c r="G2336" t="s">
        <v>8845</v>
      </c>
      <c r="H2336" t="s">
        <v>5474</v>
      </c>
      <c r="I2336" t="s">
        <v>11792</v>
      </c>
      <c r="J2336" t="s">
        <v>5484</v>
      </c>
      <c r="K2336" t="s">
        <v>11793</v>
      </c>
      <c r="L2336" t="s">
        <v>5471</v>
      </c>
      <c r="M2336" t="s">
        <v>5471</v>
      </c>
    </row>
    <row r="2337" spans="1:13" x14ac:dyDescent="0.3">
      <c r="A2337" t="s">
        <v>3383</v>
      </c>
      <c r="B2337" t="s">
        <v>8062</v>
      </c>
      <c r="C2337" t="s">
        <v>5487</v>
      </c>
      <c r="D2337" t="s">
        <v>4056</v>
      </c>
      <c r="E2337" t="s">
        <v>5532</v>
      </c>
      <c r="F2337" t="s">
        <v>11794</v>
      </c>
      <c r="G2337" t="s">
        <v>8845</v>
      </c>
      <c r="H2337" t="s">
        <v>5474</v>
      </c>
      <c r="I2337" t="s">
        <v>11795</v>
      </c>
      <c r="J2337" t="s">
        <v>5484</v>
      </c>
      <c r="K2337" t="s">
        <v>11796</v>
      </c>
      <c r="L2337" t="s">
        <v>5471</v>
      </c>
      <c r="M2337" t="s">
        <v>5471</v>
      </c>
    </row>
    <row r="2338" spans="1:13" x14ac:dyDescent="0.3">
      <c r="A2338" t="s">
        <v>3383</v>
      </c>
      <c r="B2338" t="s">
        <v>8062</v>
      </c>
      <c r="C2338" t="s">
        <v>5487</v>
      </c>
      <c r="D2338" t="s">
        <v>4056</v>
      </c>
      <c r="E2338" t="s">
        <v>5532</v>
      </c>
      <c r="F2338" t="s">
        <v>11797</v>
      </c>
      <c r="G2338" t="s">
        <v>8845</v>
      </c>
      <c r="H2338" t="s">
        <v>5474</v>
      </c>
      <c r="I2338" t="s">
        <v>11798</v>
      </c>
      <c r="J2338" t="s">
        <v>5484</v>
      </c>
      <c r="K2338" t="s">
        <v>11799</v>
      </c>
      <c r="L2338" t="s">
        <v>5471</v>
      </c>
      <c r="M2338" t="s">
        <v>5471</v>
      </c>
    </row>
    <row r="2339" spans="1:13" x14ac:dyDescent="0.3">
      <c r="A2339" t="s">
        <v>3383</v>
      </c>
      <c r="B2339" t="s">
        <v>8062</v>
      </c>
      <c r="C2339" t="s">
        <v>5487</v>
      </c>
      <c r="D2339" t="s">
        <v>4056</v>
      </c>
      <c r="E2339" t="s">
        <v>5532</v>
      </c>
      <c r="F2339" t="s">
        <v>11800</v>
      </c>
      <c r="G2339" t="s">
        <v>8845</v>
      </c>
      <c r="H2339" t="s">
        <v>5474</v>
      </c>
      <c r="I2339" t="s">
        <v>11801</v>
      </c>
      <c r="J2339" t="s">
        <v>5484</v>
      </c>
      <c r="K2339" t="s">
        <v>11802</v>
      </c>
      <c r="L2339" t="s">
        <v>5471</v>
      </c>
      <c r="M2339" t="s">
        <v>5471</v>
      </c>
    </row>
    <row r="2340" spans="1:13" x14ac:dyDescent="0.3">
      <c r="A2340" t="s">
        <v>3383</v>
      </c>
      <c r="B2340" t="s">
        <v>8062</v>
      </c>
      <c r="C2340" t="s">
        <v>5487</v>
      </c>
      <c r="D2340" t="s">
        <v>4056</v>
      </c>
      <c r="E2340" t="s">
        <v>5532</v>
      </c>
      <c r="F2340" t="s">
        <v>11803</v>
      </c>
      <c r="G2340" t="s">
        <v>8845</v>
      </c>
      <c r="H2340" t="s">
        <v>5474</v>
      </c>
      <c r="I2340" t="s">
        <v>11804</v>
      </c>
      <c r="J2340" t="s">
        <v>5484</v>
      </c>
      <c r="K2340" t="s">
        <v>11805</v>
      </c>
      <c r="L2340" t="s">
        <v>5471</v>
      </c>
      <c r="M2340" t="s">
        <v>5471</v>
      </c>
    </row>
    <row r="2341" spans="1:13" x14ac:dyDescent="0.3">
      <c r="A2341" t="s">
        <v>3383</v>
      </c>
      <c r="B2341" t="s">
        <v>6083</v>
      </c>
      <c r="C2341" t="s">
        <v>5487</v>
      </c>
      <c r="D2341" t="s">
        <v>4119</v>
      </c>
      <c r="E2341" t="s">
        <v>5532</v>
      </c>
      <c r="F2341" t="s">
        <v>11806</v>
      </c>
      <c r="G2341" t="s">
        <v>6270</v>
      </c>
      <c r="H2341" t="s">
        <v>5474</v>
      </c>
      <c r="I2341" t="s">
        <v>11807</v>
      </c>
      <c r="J2341" t="s">
        <v>5484</v>
      </c>
      <c r="K2341" t="s">
        <v>9836</v>
      </c>
      <c r="L2341" t="s">
        <v>5471</v>
      </c>
      <c r="M2341" t="s">
        <v>5471</v>
      </c>
    </row>
    <row r="2342" spans="1:13" x14ac:dyDescent="0.3">
      <c r="A2342" t="s">
        <v>3383</v>
      </c>
      <c r="B2342" t="s">
        <v>8062</v>
      </c>
      <c r="C2342" t="s">
        <v>5487</v>
      </c>
      <c r="D2342" t="s">
        <v>4056</v>
      </c>
      <c r="E2342" t="s">
        <v>5532</v>
      </c>
      <c r="F2342" t="s">
        <v>11808</v>
      </c>
      <c r="G2342" t="s">
        <v>8845</v>
      </c>
      <c r="H2342" t="s">
        <v>5474</v>
      </c>
      <c r="I2342" t="s">
        <v>11809</v>
      </c>
      <c r="J2342" t="s">
        <v>5484</v>
      </c>
      <c r="K2342" t="s">
        <v>11810</v>
      </c>
      <c r="L2342" t="s">
        <v>5471</v>
      </c>
      <c r="M2342" t="s">
        <v>5471</v>
      </c>
    </row>
    <row r="2343" spans="1:13" x14ac:dyDescent="0.3">
      <c r="A2343" t="s">
        <v>3383</v>
      </c>
      <c r="B2343" t="s">
        <v>5304</v>
      </c>
      <c r="C2343" t="s">
        <v>5487</v>
      </c>
      <c r="D2343" t="s">
        <v>4052</v>
      </c>
      <c r="E2343" t="s">
        <v>5532</v>
      </c>
      <c r="F2343" t="s">
        <v>11811</v>
      </c>
      <c r="G2343" t="s">
        <v>11812</v>
      </c>
      <c r="H2343" t="s">
        <v>5474</v>
      </c>
      <c r="I2343" t="s">
        <v>11813</v>
      </c>
      <c r="J2343" t="s">
        <v>5484</v>
      </c>
      <c r="K2343" t="s">
        <v>11814</v>
      </c>
      <c r="L2343" t="s">
        <v>5471</v>
      </c>
      <c r="M2343" t="s">
        <v>5471</v>
      </c>
    </row>
    <row r="2344" spans="1:13" x14ac:dyDescent="0.3">
      <c r="A2344" t="s">
        <v>3383</v>
      </c>
      <c r="B2344" t="s">
        <v>5304</v>
      </c>
      <c r="C2344" t="s">
        <v>5487</v>
      </c>
      <c r="D2344" t="s">
        <v>4052</v>
      </c>
      <c r="E2344" t="s">
        <v>5532</v>
      </c>
      <c r="F2344" t="s">
        <v>11815</v>
      </c>
      <c r="G2344" t="s">
        <v>11816</v>
      </c>
      <c r="H2344" t="s">
        <v>5474</v>
      </c>
      <c r="I2344" t="s">
        <v>11817</v>
      </c>
      <c r="J2344" t="s">
        <v>5476</v>
      </c>
      <c r="K2344" t="s">
        <v>11818</v>
      </c>
      <c r="L2344" t="s">
        <v>5471</v>
      </c>
      <c r="M2344" t="s">
        <v>5471</v>
      </c>
    </row>
    <row r="2345" spans="1:13" x14ac:dyDescent="0.3">
      <c r="A2345" t="s">
        <v>3383</v>
      </c>
      <c r="B2345" t="s">
        <v>5304</v>
      </c>
      <c r="C2345" t="s">
        <v>5487</v>
      </c>
      <c r="D2345" t="s">
        <v>4052</v>
      </c>
      <c r="E2345" t="s">
        <v>5532</v>
      </c>
      <c r="F2345" t="s">
        <v>11819</v>
      </c>
      <c r="G2345" t="s">
        <v>8076</v>
      </c>
      <c r="H2345" t="s">
        <v>5474</v>
      </c>
      <c r="I2345" t="s">
        <v>11820</v>
      </c>
      <c r="J2345" t="s">
        <v>5476</v>
      </c>
      <c r="K2345" t="s">
        <v>11821</v>
      </c>
      <c r="L2345" t="s">
        <v>5471</v>
      </c>
      <c r="M2345" t="s">
        <v>5471</v>
      </c>
    </row>
    <row r="2346" spans="1:13" x14ac:dyDescent="0.3">
      <c r="A2346" t="s">
        <v>3383</v>
      </c>
      <c r="B2346" t="s">
        <v>5304</v>
      </c>
      <c r="C2346" t="s">
        <v>5487</v>
      </c>
      <c r="D2346" t="s">
        <v>4052</v>
      </c>
      <c r="E2346" t="s">
        <v>5532</v>
      </c>
      <c r="F2346" t="s">
        <v>11822</v>
      </c>
      <c r="G2346" t="s">
        <v>11823</v>
      </c>
      <c r="H2346" t="s">
        <v>5474</v>
      </c>
      <c r="I2346" t="s">
        <v>11824</v>
      </c>
      <c r="J2346" t="s">
        <v>5476</v>
      </c>
      <c r="K2346" t="s">
        <v>11825</v>
      </c>
      <c r="L2346" t="s">
        <v>5471</v>
      </c>
      <c r="M2346" t="s">
        <v>5471</v>
      </c>
    </row>
    <row r="2347" spans="1:13" x14ac:dyDescent="0.3">
      <c r="A2347" t="s">
        <v>3383</v>
      </c>
      <c r="B2347" t="s">
        <v>5304</v>
      </c>
      <c r="C2347" t="s">
        <v>5487</v>
      </c>
      <c r="D2347" t="s">
        <v>4052</v>
      </c>
      <c r="E2347" t="s">
        <v>5532</v>
      </c>
      <c r="F2347" t="s">
        <v>11826</v>
      </c>
      <c r="G2347" t="s">
        <v>11827</v>
      </c>
      <c r="H2347" t="s">
        <v>5474</v>
      </c>
      <c r="I2347" t="s">
        <v>11828</v>
      </c>
      <c r="J2347" t="s">
        <v>5476</v>
      </c>
      <c r="K2347" t="s">
        <v>11825</v>
      </c>
      <c r="L2347" t="s">
        <v>5471</v>
      </c>
      <c r="M2347" t="s">
        <v>5471</v>
      </c>
    </row>
    <row r="2348" spans="1:13" x14ac:dyDescent="0.3">
      <c r="A2348" t="s">
        <v>3383</v>
      </c>
      <c r="B2348" t="s">
        <v>5320</v>
      </c>
      <c r="C2348" t="s">
        <v>5470</v>
      </c>
      <c r="D2348" t="s">
        <v>4056</v>
      </c>
      <c r="E2348" t="s">
        <v>5532</v>
      </c>
      <c r="F2348" t="s">
        <v>11829</v>
      </c>
      <c r="G2348" t="s">
        <v>11830</v>
      </c>
      <c r="H2348" t="s">
        <v>5474</v>
      </c>
      <c r="I2348" t="s">
        <v>11831</v>
      </c>
      <c r="J2348" t="s">
        <v>5484</v>
      </c>
      <c r="K2348" t="s">
        <v>11832</v>
      </c>
      <c r="L2348" t="s">
        <v>5471</v>
      </c>
      <c r="M2348" t="s">
        <v>5471</v>
      </c>
    </row>
    <row r="2349" spans="1:13" x14ac:dyDescent="0.3">
      <c r="A2349" t="s">
        <v>3383</v>
      </c>
      <c r="B2349" t="s">
        <v>5320</v>
      </c>
      <c r="C2349" t="s">
        <v>5470</v>
      </c>
      <c r="D2349" t="s">
        <v>4056</v>
      </c>
      <c r="E2349" t="s">
        <v>5532</v>
      </c>
      <c r="F2349" t="s">
        <v>11833</v>
      </c>
      <c r="G2349" t="s">
        <v>7513</v>
      </c>
      <c r="H2349" t="s">
        <v>5474</v>
      </c>
      <c r="I2349" t="s">
        <v>11834</v>
      </c>
      <c r="J2349" t="s">
        <v>5484</v>
      </c>
      <c r="K2349" t="s">
        <v>11835</v>
      </c>
      <c r="L2349" t="s">
        <v>5471</v>
      </c>
      <c r="M2349" t="s">
        <v>5471</v>
      </c>
    </row>
    <row r="2350" spans="1:13" x14ac:dyDescent="0.3">
      <c r="A2350" t="s">
        <v>3383</v>
      </c>
      <c r="B2350" t="s">
        <v>5320</v>
      </c>
      <c r="C2350" t="s">
        <v>5470</v>
      </c>
      <c r="D2350" t="s">
        <v>4056</v>
      </c>
      <c r="E2350" t="s">
        <v>5532</v>
      </c>
      <c r="F2350" t="s">
        <v>11836</v>
      </c>
      <c r="G2350" t="s">
        <v>11837</v>
      </c>
      <c r="H2350" t="s">
        <v>5474</v>
      </c>
      <c r="I2350" t="s">
        <v>11838</v>
      </c>
      <c r="J2350" t="s">
        <v>5484</v>
      </c>
      <c r="K2350" t="s">
        <v>11839</v>
      </c>
      <c r="L2350" t="s">
        <v>5471</v>
      </c>
      <c r="M2350" t="s">
        <v>5471</v>
      </c>
    </row>
    <row r="2351" spans="1:13" x14ac:dyDescent="0.3">
      <c r="A2351" t="s">
        <v>3383</v>
      </c>
      <c r="B2351" t="s">
        <v>5320</v>
      </c>
      <c r="C2351" t="s">
        <v>5470</v>
      </c>
      <c r="D2351" t="s">
        <v>4056</v>
      </c>
      <c r="E2351" t="s">
        <v>5532</v>
      </c>
      <c r="F2351" t="s">
        <v>11840</v>
      </c>
      <c r="G2351" t="s">
        <v>6577</v>
      </c>
      <c r="H2351" t="s">
        <v>5474</v>
      </c>
      <c r="I2351" t="s">
        <v>11841</v>
      </c>
      <c r="J2351" t="s">
        <v>5484</v>
      </c>
      <c r="K2351" t="s">
        <v>11842</v>
      </c>
      <c r="L2351" t="s">
        <v>5471</v>
      </c>
      <c r="M2351" t="s">
        <v>5471</v>
      </c>
    </row>
    <row r="2352" spans="1:13" x14ac:dyDescent="0.3">
      <c r="A2352" t="s">
        <v>3383</v>
      </c>
      <c r="B2352" t="s">
        <v>5320</v>
      </c>
      <c r="C2352" t="s">
        <v>5470</v>
      </c>
      <c r="D2352" t="s">
        <v>4056</v>
      </c>
      <c r="E2352" t="s">
        <v>5532</v>
      </c>
      <c r="F2352" t="s">
        <v>11843</v>
      </c>
      <c r="G2352" t="s">
        <v>11844</v>
      </c>
      <c r="H2352" t="s">
        <v>5474</v>
      </c>
      <c r="I2352" t="s">
        <v>11845</v>
      </c>
      <c r="J2352" t="s">
        <v>5484</v>
      </c>
      <c r="K2352" t="s">
        <v>11846</v>
      </c>
      <c r="L2352" t="s">
        <v>5471</v>
      </c>
      <c r="M2352" t="s">
        <v>5471</v>
      </c>
    </row>
    <row r="2353" spans="1:13" x14ac:dyDescent="0.3">
      <c r="A2353" t="s">
        <v>3383</v>
      </c>
      <c r="B2353" t="s">
        <v>5320</v>
      </c>
      <c r="C2353" t="s">
        <v>5470</v>
      </c>
      <c r="D2353" t="s">
        <v>4056</v>
      </c>
      <c r="E2353" t="s">
        <v>5532</v>
      </c>
      <c r="F2353" t="s">
        <v>11847</v>
      </c>
      <c r="G2353" t="s">
        <v>7799</v>
      </c>
      <c r="H2353" t="s">
        <v>5474</v>
      </c>
      <c r="I2353" t="s">
        <v>11848</v>
      </c>
      <c r="J2353" t="s">
        <v>5484</v>
      </c>
      <c r="K2353" t="s">
        <v>11849</v>
      </c>
      <c r="L2353" t="s">
        <v>5471</v>
      </c>
      <c r="M2353" t="s">
        <v>5471</v>
      </c>
    </row>
    <row r="2354" spans="1:13" x14ac:dyDescent="0.3">
      <c r="A2354" t="s">
        <v>3383</v>
      </c>
      <c r="B2354" t="s">
        <v>5294</v>
      </c>
      <c r="C2354" t="s">
        <v>5470</v>
      </c>
      <c r="D2354" t="s">
        <v>4056</v>
      </c>
      <c r="E2354" t="s">
        <v>5532</v>
      </c>
      <c r="F2354" t="s">
        <v>11850</v>
      </c>
      <c r="G2354" t="s">
        <v>11851</v>
      </c>
      <c r="H2354" t="s">
        <v>5474</v>
      </c>
      <c r="I2354" t="s">
        <v>11852</v>
      </c>
      <c r="J2354" t="s">
        <v>5484</v>
      </c>
      <c r="K2354" t="s">
        <v>11853</v>
      </c>
      <c r="L2354" t="s">
        <v>5471</v>
      </c>
      <c r="M2354" t="s">
        <v>5471</v>
      </c>
    </row>
    <row r="2355" spans="1:13" x14ac:dyDescent="0.3">
      <c r="A2355" t="s">
        <v>3383</v>
      </c>
      <c r="B2355" t="s">
        <v>5332</v>
      </c>
      <c r="C2355" t="s">
        <v>5470</v>
      </c>
      <c r="D2355" t="s">
        <v>4056</v>
      </c>
      <c r="E2355" t="s">
        <v>5532</v>
      </c>
      <c r="F2355" t="s">
        <v>11854</v>
      </c>
      <c r="G2355" t="s">
        <v>11513</v>
      </c>
      <c r="H2355" t="s">
        <v>5474</v>
      </c>
      <c r="I2355" t="s">
        <v>11855</v>
      </c>
      <c r="J2355" t="s">
        <v>5484</v>
      </c>
      <c r="K2355" t="s">
        <v>11521</v>
      </c>
      <c r="L2355" t="s">
        <v>5471</v>
      </c>
      <c r="M2355" t="s">
        <v>5471</v>
      </c>
    </row>
    <row r="2356" spans="1:13" x14ac:dyDescent="0.3">
      <c r="A2356" t="s">
        <v>3383</v>
      </c>
      <c r="B2356" t="s">
        <v>7820</v>
      </c>
      <c r="C2356" t="s">
        <v>5487</v>
      </c>
      <c r="D2356" t="s">
        <v>4052</v>
      </c>
      <c r="E2356" t="s">
        <v>5532</v>
      </c>
      <c r="F2356" t="s">
        <v>11856</v>
      </c>
      <c r="G2356" t="s">
        <v>11857</v>
      </c>
      <c r="H2356" t="s">
        <v>5474</v>
      </c>
      <c r="I2356" t="s">
        <v>11858</v>
      </c>
      <c r="J2356" t="s">
        <v>5476</v>
      </c>
      <c r="K2356" t="s">
        <v>11859</v>
      </c>
      <c r="L2356" t="s">
        <v>5471</v>
      </c>
      <c r="M2356" t="s">
        <v>5471</v>
      </c>
    </row>
    <row r="2357" spans="1:13" x14ac:dyDescent="0.3">
      <c r="A2357" t="s">
        <v>3383</v>
      </c>
      <c r="B2357" t="s">
        <v>5294</v>
      </c>
      <c r="C2357" t="s">
        <v>5470</v>
      </c>
      <c r="D2357" t="s">
        <v>4056</v>
      </c>
      <c r="E2357" t="s">
        <v>5756</v>
      </c>
      <c r="F2357" t="s">
        <v>11860</v>
      </c>
      <c r="G2357" t="s">
        <v>5977</v>
      </c>
      <c r="H2357" t="s">
        <v>5474</v>
      </c>
      <c r="I2357" t="s">
        <v>11861</v>
      </c>
      <c r="J2357" t="s">
        <v>5476</v>
      </c>
      <c r="K2357" t="s">
        <v>11862</v>
      </c>
      <c r="L2357" t="s">
        <v>5471</v>
      </c>
      <c r="M2357" t="s">
        <v>5471</v>
      </c>
    </row>
    <row r="2358" spans="1:13" x14ac:dyDescent="0.3">
      <c r="A2358" t="s">
        <v>3383</v>
      </c>
      <c r="B2358" t="s">
        <v>6113</v>
      </c>
      <c r="C2358" t="s">
        <v>5487</v>
      </c>
      <c r="D2358" t="s">
        <v>4119</v>
      </c>
      <c r="E2358" t="s">
        <v>5532</v>
      </c>
      <c r="F2358" t="s">
        <v>11863</v>
      </c>
      <c r="G2358" t="s">
        <v>10880</v>
      </c>
      <c r="H2358" t="s">
        <v>5474</v>
      </c>
      <c r="I2358" t="s">
        <v>11864</v>
      </c>
      <c r="J2358" t="s">
        <v>5476</v>
      </c>
      <c r="K2358" t="s">
        <v>5471</v>
      </c>
      <c r="L2358" t="s">
        <v>5471</v>
      </c>
      <c r="M2358" t="s">
        <v>5471</v>
      </c>
    </row>
    <row r="2359" spans="1:13" x14ac:dyDescent="0.3">
      <c r="A2359" t="s">
        <v>3383</v>
      </c>
      <c r="B2359" t="s">
        <v>7820</v>
      </c>
      <c r="C2359" t="s">
        <v>5487</v>
      </c>
      <c r="D2359" t="s">
        <v>4052</v>
      </c>
      <c r="E2359" t="s">
        <v>5532</v>
      </c>
      <c r="F2359" t="s">
        <v>11865</v>
      </c>
      <c r="G2359" t="s">
        <v>11866</v>
      </c>
      <c r="H2359" t="s">
        <v>5474</v>
      </c>
      <c r="I2359" t="s">
        <v>11867</v>
      </c>
      <c r="J2359" t="s">
        <v>5476</v>
      </c>
      <c r="K2359" t="s">
        <v>11868</v>
      </c>
      <c r="L2359" t="s">
        <v>5471</v>
      </c>
      <c r="M2359" t="s">
        <v>5471</v>
      </c>
    </row>
    <row r="2360" spans="1:13" x14ac:dyDescent="0.3">
      <c r="A2360" t="s">
        <v>3383</v>
      </c>
      <c r="B2360" t="s">
        <v>6083</v>
      </c>
      <c r="C2360" t="s">
        <v>5487</v>
      </c>
      <c r="D2360" t="s">
        <v>4119</v>
      </c>
      <c r="E2360" t="s">
        <v>5532</v>
      </c>
      <c r="F2360" t="s">
        <v>11869</v>
      </c>
      <c r="G2360" t="s">
        <v>11870</v>
      </c>
      <c r="H2360" t="s">
        <v>5474</v>
      </c>
      <c r="I2360" t="s">
        <v>11871</v>
      </c>
      <c r="J2360" t="s">
        <v>5476</v>
      </c>
      <c r="K2360" t="s">
        <v>5471</v>
      </c>
      <c r="L2360" t="s">
        <v>5471</v>
      </c>
      <c r="M2360" t="s">
        <v>5471</v>
      </c>
    </row>
    <row r="2361" spans="1:13" x14ac:dyDescent="0.3">
      <c r="A2361" t="s">
        <v>3383</v>
      </c>
      <c r="B2361" t="s">
        <v>7643</v>
      </c>
      <c r="C2361" t="s">
        <v>5487</v>
      </c>
      <c r="D2361" t="s">
        <v>4052</v>
      </c>
      <c r="E2361" t="s">
        <v>5532</v>
      </c>
      <c r="F2361" t="s">
        <v>11872</v>
      </c>
      <c r="G2361" t="s">
        <v>8084</v>
      </c>
      <c r="H2361" t="s">
        <v>5474</v>
      </c>
      <c r="I2361" t="s">
        <v>11873</v>
      </c>
      <c r="J2361" t="s">
        <v>5476</v>
      </c>
      <c r="K2361" t="s">
        <v>11874</v>
      </c>
      <c r="L2361" t="s">
        <v>5471</v>
      </c>
      <c r="M2361" t="s">
        <v>5471</v>
      </c>
    </row>
    <row r="2362" spans="1:13" x14ac:dyDescent="0.3">
      <c r="A2362" t="s">
        <v>3383</v>
      </c>
      <c r="B2362" t="s">
        <v>7643</v>
      </c>
      <c r="C2362" t="s">
        <v>5487</v>
      </c>
      <c r="D2362" t="s">
        <v>4052</v>
      </c>
      <c r="E2362" t="s">
        <v>5532</v>
      </c>
      <c r="F2362" t="s">
        <v>11875</v>
      </c>
      <c r="G2362" t="s">
        <v>11876</v>
      </c>
      <c r="H2362" t="s">
        <v>5474</v>
      </c>
      <c r="I2362" t="s">
        <v>11877</v>
      </c>
      <c r="J2362" t="s">
        <v>5476</v>
      </c>
      <c r="K2362" t="s">
        <v>11878</v>
      </c>
      <c r="L2362" t="s">
        <v>5471</v>
      </c>
      <c r="M2362" t="s">
        <v>5471</v>
      </c>
    </row>
    <row r="2363" spans="1:13" x14ac:dyDescent="0.3">
      <c r="A2363" t="s">
        <v>3383</v>
      </c>
      <c r="B2363" t="s">
        <v>6113</v>
      </c>
      <c r="C2363" t="s">
        <v>5487</v>
      </c>
      <c r="D2363" t="s">
        <v>4119</v>
      </c>
      <c r="E2363" t="s">
        <v>5480</v>
      </c>
      <c r="F2363" t="s">
        <v>11879</v>
      </c>
      <c r="G2363" t="s">
        <v>6114</v>
      </c>
      <c r="H2363" t="s">
        <v>5474</v>
      </c>
      <c r="I2363" t="s">
        <v>11880</v>
      </c>
      <c r="J2363" t="s">
        <v>5476</v>
      </c>
      <c r="K2363" t="s">
        <v>5471</v>
      </c>
      <c r="L2363" t="s">
        <v>5471</v>
      </c>
      <c r="M2363" t="s">
        <v>5471</v>
      </c>
    </row>
    <row r="2364" spans="1:13" x14ac:dyDescent="0.3">
      <c r="A2364" t="s">
        <v>3383</v>
      </c>
      <c r="B2364" t="s">
        <v>7643</v>
      </c>
      <c r="C2364" t="s">
        <v>5487</v>
      </c>
      <c r="D2364" t="s">
        <v>4052</v>
      </c>
      <c r="E2364" t="s">
        <v>5532</v>
      </c>
      <c r="F2364" t="s">
        <v>11881</v>
      </c>
      <c r="G2364" t="s">
        <v>11882</v>
      </c>
      <c r="H2364" t="s">
        <v>5474</v>
      </c>
      <c r="I2364" t="s">
        <v>11883</v>
      </c>
      <c r="J2364" t="s">
        <v>5476</v>
      </c>
      <c r="K2364" t="s">
        <v>11884</v>
      </c>
      <c r="L2364" t="s">
        <v>5471</v>
      </c>
      <c r="M2364" t="s">
        <v>5471</v>
      </c>
    </row>
    <row r="2365" spans="1:13" x14ac:dyDescent="0.3">
      <c r="A2365" t="s">
        <v>3383</v>
      </c>
      <c r="B2365" t="s">
        <v>7820</v>
      </c>
      <c r="C2365" t="s">
        <v>5487</v>
      </c>
      <c r="D2365" t="s">
        <v>4119</v>
      </c>
      <c r="E2365" t="s">
        <v>5532</v>
      </c>
      <c r="F2365" t="s">
        <v>11885</v>
      </c>
      <c r="G2365" t="s">
        <v>11866</v>
      </c>
      <c r="H2365" t="s">
        <v>5474</v>
      </c>
      <c r="I2365" t="s">
        <v>11886</v>
      </c>
      <c r="J2365" t="s">
        <v>5476</v>
      </c>
      <c r="K2365" t="s">
        <v>5471</v>
      </c>
      <c r="L2365" t="s">
        <v>5471</v>
      </c>
      <c r="M2365" t="s">
        <v>5471</v>
      </c>
    </row>
    <row r="2366" spans="1:13" x14ac:dyDescent="0.3">
      <c r="A2366" t="s">
        <v>3383</v>
      </c>
      <c r="B2366" t="s">
        <v>7643</v>
      </c>
      <c r="C2366" t="s">
        <v>5487</v>
      </c>
      <c r="D2366" t="s">
        <v>4052</v>
      </c>
      <c r="E2366" t="s">
        <v>5532</v>
      </c>
      <c r="F2366" t="s">
        <v>11887</v>
      </c>
      <c r="G2366" t="s">
        <v>11888</v>
      </c>
      <c r="H2366" t="s">
        <v>5474</v>
      </c>
      <c r="I2366" t="s">
        <v>11889</v>
      </c>
      <c r="J2366" t="s">
        <v>5476</v>
      </c>
      <c r="K2366" t="s">
        <v>11890</v>
      </c>
      <c r="L2366" t="s">
        <v>5471</v>
      </c>
      <c r="M2366" t="s">
        <v>5471</v>
      </c>
    </row>
    <row r="2367" spans="1:13" x14ac:dyDescent="0.3">
      <c r="A2367" t="s">
        <v>3383</v>
      </c>
      <c r="B2367" t="s">
        <v>8826</v>
      </c>
      <c r="C2367" t="s">
        <v>5470</v>
      </c>
      <c r="D2367" t="s">
        <v>4058</v>
      </c>
      <c r="E2367" t="s">
        <v>5532</v>
      </c>
      <c r="F2367" t="s">
        <v>11891</v>
      </c>
      <c r="G2367" t="s">
        <v>11892</v>
      </c>
      <c r="H2367" t="s">
        <v>5474</v>
      </c>
      <c r="I2367" t="s">
        <v>11893</v>
      </c>
      <c r="J2367" t="s">
        <v>5476</v>
      </c>
      <c r="K2367" t="s">
        <v>11894</v>
      </c>
      <c r="L2367" t="s">
        <v>5471</v>
      </c>
      <c r="M2367" t="s">
        <v>5471</v>
      </c>
    </row>
    <row r="2368" spans="1:13" x14ac:dyDescent="0.3">
      <c r="A2368" t="s">
        <v>3383</v>
      </c>
      <c r="B2368" t="s">
        <v>6067</v>
      </c>
      <c r="C2368" t="s">
        <v>5487</v>
      </c>
      <c r="D2368" t="s">
        <v>4119</v>
      </c>
      <c r="E2368" t="s">
        <v>5532</v>
      </c>
      <c r="F2368" t="s">
        <v>11895</v>
      </c>
      <c r="G2368" t="s">
        <v>11896</v>
      </c>
      <c r="H2368" t="s">
        <v>5474</v>
      </c>
      <c r="I2368" t="s">
        <v>11897</v>
      </c>
      <c r="J2368" t="s">
        <v>5476</v>
      </c>
      <c r="K2368" t="s">
        <v>5471</v>
      </c>
      <c r="L2368" t="s">
        <v>5471</v>
      </c>
      <c r="M2368" t="s">
        <v>5471</v>
      </c>
    </row>
    <row r="2369" spans="1:13" x14ac:dyDescent="0.3">
      <c r="A2369" t="s">
        <v>3383</v>
      </c>
      <c r="B2369" t="s">
        <v>5304</v>
      </c>
      <c r="C2369" t="s">
        <v>5487</v>
      </c>
      <c r="D2369" t="s">
        <v>4119</v>
      </c>
      <c r="E2369" t="s">
        <v>5532</v>
      </c>
      <c r="F2369" t="s">
        <v>11898</v>
      </c>
      <c r="G2369" t="s">
        <v>11406</v>
      </c>
      <c r="H2369" t="s">
        <v>5474</v>
      </c>
      <c r="I2369" t="s">
        <v>11899</v>
      </c>
      <c r="J2369" t="s">
        <v>5476</v>
      </c>
      <c r="K2369" t="s">
        <v>11408</v>
      </c>
      <c r="L2369" t="s">
        <v>5471</v>
      </c>
      <c r="M2369" t="s">
        <v>5471</v>
      </c>
    </row>
    <row r="2370" spans="1:13" x14ac:dyDescent="0.3">
      <c r="A2370" t="s">
        <v>3383</v>
      </c>
      <c r="B2370" t="s">
        <v>6067</v>
      </c>
      <c r="C2370" t="s">
        <v>5487</v>
      </c>
      <c r="D2370" t="s">
        <v>4119</v>
      </c>
      <c r="E2370" t="s">
        <v>5532</v>
      </c>
      <c r="F2370" t="s">
        <v>11900</v>
      </c>
      <c r="G2370" t="s">
        <v>11249</v>
      </c>
      <c r="H2370" t="s">
        <v>5474</v>
      </c>
      <c r="I2370" t="s">
        <v>11901</v>
      </c>
      <c r="J2370" t="s">
        <v>5476</v>
      </c>
      <c r="K2370" t="s">
        <v>5471</v>
      </c>
      <c r="L2370" t="s">
        <v>5471</v>
      </c>
      <c r="M2370" t="s">
        <v>5471</v>
      </c>
    </row>
    <row r="2371" spans="1:13" x14ac:dyDescent="0.3">
      <c r="A2371" t="s">
        <v>3383</v>
      </c>
      <c r="B2371" t="s">
        <v>7820</v>
      </c>
      <c r="C2371" t="s">
        <v>5487</v>
      </c>
      <c r="D2371" t="s">
        <v>4119</v>
      </c>
      <c r="E2371" t="s">
        <v>5532</v>
      </c>
      <c r="F2371" t="s">
        <v>11902</v>
      </c>
      <c r="G2371" t="s">
        <v>10945</v>
      </c>
      <c r="H2371" t="s">
        <v>5474</v>
      </c>
      <c r="I2371" t="s">
        <v>11903</v>
      </c>
      <c r="J2371" t="s">
        <v>5476</v>
      </c>
      <c r="K2371" t="s">
        <v>5471</v>
      </c>
      <c r="L2371" t="s">
        <v>5471</v>
      </c>
      <c r="M2371" t="s">
        <v>5471</v>
      </c>
    </row>
    <row r="2372" spans="1:13" x14ac:dyDescent="0.3">
      <c r="A2372" t="s">
        <v>3383</v>
      </c>
      <c r="B2372" t="s">
        <v>6067</v>
      </c>
      <c r="C2372" t="s">
        <v>5487</v>
      </c>
      <c r="D2372" t="s">
        <v>4119</v>
      </c>
      <c r="E2372" t="s">
        <v>5532</v>
      </c>
      <c r="F2372" t="s">
        <v>11904</v>
      </c>
      <c r="G2372" t="s">
        <v>11905</v>
      </c>
      <c r="H2372" t="s">
        <v>5474</v>
      </c>
      <c r="I2372" t="s">
        <v>11906</v>
      </c>
      <c r="J2372" t="s">
        <v>5476</v>
      </c>
      <c r="K2372" t="s">
        <v>5471</v>
      </c>
      <c r="L2372" t="s">
        <v>5471</v>
      </c>
      <c r="M2372" t="s">
        <v>5471</v>
      </c>
    </row>
    <row r="2373" spans="1:13" x14ac:dyDescent="0.3">
      <c r="A2373" t="s">
        <v>3383</v>
      </c>
      <c r="B2373" t="s">
        <v>7820</v>
      </c>
      <c r="C2373" t="s">
        <v>5487</v>
      </c>
      <c r="D2373" t="s">
        <v>4119</v>
      </c>
      <c r="E2373" t="s">
        <v>5532</v>
      </c>
      <c r="F2373" t="s">
        <v>11907</v>
      </c>
      <c r="G2373" t="s">
        <v>11908</v>
      </c>
      <c r="H2373" t="s">
        <v>5474</v>
      </c>
      <c r="I2373" t="s">
        <v>11909</v>
      </c>
      <c r="J2373" t="s">
        <v>5476</v>
      </c>
      <c r="K2373" t="s">
        <v>5471</v>
      </c>
      <c r="L2373" t="s">
        <v>5471</v>
      </c>
      <c r="M2373" t="s">
        <v>5471</v>
      </c>
    </row>
    <row r="2374" spans="1:13" x14ac:dyDescent="0.3">
      <c r="A2374" t="s">
        <v>3383</v>
      </c>
      <c r="B2374" t="s">
        <v>6067</v>
      </c>
      <c r="C2374" t="s">
        <v>5487</v>
      </c>
      <c r="D2374" t="s">
        <v>4119</v>
      </c>
      <c r="E2374" t="s">
        <v>5480</v>
      </c>
      <c r="F2374" t="s">
        <v>11910</v>
      </c>
      <c r="G2374" t="s">
        <v>6068</v>
      </c>
      <c r="H2374" t="s">
        <v>5474</v>
      </c>
      <c r="I2374" t="s">
        <v>11911</v>
      </c>
      <c r="J2374" t="s">
        <v>5476</v>
      </c>
      <c r="K2374" t="s">
        <v>5471</v>
      </c>
      <c r="L2374" t="s">
        <v>5471</v>
      </c>
      <c r="M2374" t="s">
        <v>5471</v>
      </c>
    </row>
    <row r="2375" spans="1:13" x14ac:dyDescent="0.3">
      <c r="A2375" t="s">
        <v>3383</v>
      </c>
      <c r="B2375" t="s">
        <v>7820</v>
      </c>
      <c r="C2375" t="s">
        <v>5487</v>
      </c>
      <c r="D2375" t="s">
        <v>4119</v>
      </c>
      <c r="E2375" t="s">
        <v>5532</v>
      </c>
      <c r="F2375" t="s">
        <v>11912</v>
      </c>
      <c r="G2375" t="s">
        <v>11913</v>
      </c>
      <c r="H2375" t="s">
        <v>5474</v>
      </c>
      <c r="I2375" t="s">
        <v>11914</v>
      </c>
      <c r="J2375" t="s">
        <v>5476</v>
      </c>
      <c r="K2375" t="s">
        <v>5471</v>
      </c>
      <c r="L2375" t="s">
        <v>5471</v>
      </c>
      <c r="M2375" t="s">
        <v>5471</v>
      </c>
    </row>
    <row r="2376" spans="1:13" x14ac:dyDescent="0.3">
      <c r="A2376" t="s">
        <v>3383</v>
      </c>
      <c r="B2376" t="s">
        <v>6034</v>
      </c>
      <c r="C2376" t="s">
        <v>5487</v>
      </c>
      <c r="D2376" t="s">
        <v>4119</v>
      </c>
      <c r="E2376" t="s">
        <v>5532</v>
      </c>
      <c r="F2376" t="s">
        <v>11915</v>
      </c>
      <c r="G2376" t="s">
        <v>6039</v>
      </c>
      <c r="H2376" t="s">
        <v>5474</v>
      </c>
      <c r="I2376" t="s">
        <v>11916</v>
      </c>
      <c r="J2376" t="s">
        <v>5476</v>
      </c>
      <c r="K2376" t="s">
        <v>5471</v>
      </c>
      <c r="L2376" t="s">
        <v>5471</v>
      </c>
      <c r="M2376" t="s">
        <v>5471</v>
      </c>
    </row>
    <row r="2377" spans="1:13" x14ac:dyDescent="0.3">
      <c r="A2377" t="s">
        <v>3383</v>
      </c>
      <c r="B2377" t="s">
        <v>7820</v>
      </c>
      <c r="C2377" t="s">
        <v>5487</v>
      </c>
      <c r="D2377" t="s">
        <v>4119</v>
      </c>
      <c r="E2377" t="s">
        <v>5532</v>
      </c>
      <c r="F2377" t="s">
        <v>11917</v>
      </c>
      <c r="G2377" t="s">
        <v>8838</v>
      </c>
      <c r="H2377" t="s">
        <v>5474</v>
      </c>
      <c r="I2377" t="s">
        <v>11918</v>
      </c>
      <c r="J2377" t="s">
        <v>5476</v>
      </c>
      <c r="K2377" t="s">
        <v>5471</v>
      </c>
      <c r="L2377" t="s">
        <v>5471</v>
      </c>
      <c r="M2377" t="s">
        <v>5471</v>
      </c>
    </row>
    <row r="2378" spans="1:13" x14ac:dyDescent="0.3">
      <c r="A2378" t="s">
        <v>3383</v>
      </c>
      <c r="B2378" t="s">
        <v>6034</v>
      </c>
      <c r="C2378" t="s">
        <v>5487</v>
      </c>
      <c r="D2378" t="s">
        <v>4119</v>
      </c>
      <c r="E2378" t="s">
        <v>5480</v>
      </c>
      <c r="F2378" t="s">
        <v>11919</v>
      </c>
      <c r="G2378" t="s">
        <v>6032</v>
      </c>
      <c r="H2378" t="s">
        <v>5474</v>
      </c>
      <c r="I2378" t="s">
        <v>11920</v>
      </c>
      <c r="J2378" t="s">
        <v>5476</v>
      </c>
      <c r="K2378" t="s">
        <v>5471</v>
      </c>
      <c r="L2378" t="s">
        <v>5471</v>
      </c>
      <c r="M2378" t="s">
        <v>5471</v>
      </c>
    </row>
    <row r="2379" spans="1:13" x14ac:dyDescent="0.3">
      <c r="A2379" t="s">
        <v>3383</v>
      </c>
      <c r="B2379" t="s">
        <v>7820</v>
      </c>
      <c r="C2379" t="s">
        <v>5487</v>
      </c>
      <c r="D2379" t="s">
        <v>4119</v>
      </c>
      <c r="E2379" t="s">
        <v>5532</v>
      </c>
      <c r="F2379" t="s">
        <v>11921</v>
      </c>
      <c r="G2379" t="s">
        <v>11922</v>
      </c>
      <c r="H2379" t="s">
        <v>5474</v>
      </c>
      <c r="I2379" t="s">
        <v>11923</v>
      </c>
      <c r="J2379" t="s">
        <v>5476</v>
      </c>
      <c r="K2379" t="s">
        <v>5471</v>
      </c>
      <c r="L2379" t="s">
        <v>5471</v>
      </c>
      <c r="M2379" t="s">
        <v>5471</v>
      </c>
    </row>
    <row r="2380" spans="1:13" x14ac:dyDescent="0.3">
      <c r="A2380" t="s">
        <v>3383</v>
      </c>
      <c r="B2380" t="s">
        <v>6022</v>
      </c>
      <c r="C2380" t="s">
        <v>5487</v>
      </c>
      <c r="D2380" t="s">
        <v>4119</v>
      </c>
      <c r="E2380" t="s">
        <v>5532</v>
      </c>
      <c r="F2380" t="s">
        <v>11924</v>
      </c>
      <c r="G2380" t="s">
        <v>11925</v>
      </c>
      <c r="H2380" t="s">
        <v>5474</v>
      </c>
      <c r="I2380" t="s">
        <v>11926</v>
      </c>
      <c r="J2380" t="s">
        <v>5476</v>
      </c>
      <c r="K2380" t="s">
        <v>5471</v>
      </c>
      <c r="L2380" t="s">
        <v>5471</v>
      </c>
      <c r="M2380" t="s">
        <v>5471</v>
      </c>
    </row>
    <row r="2381" spans="1:13" x14ac:dyDescent="0.3">
      <c r="A2381" t="s">
        <v>3383</v>
      </c>
      <c r="B2381" t="s">
        <v>6022</v>
      </c>
      <c r="C2381" t="s">
        <v>5487</v>
      </c>
      <c r="D2381" t="s">
        <v>4119</v>
      </c>
      <c r="E2381" t="s">
        <v>5480</v>
      </c>
      <c r="F2381" t="s">
        <v>11927</v>
      </c>
      <c r="G2381" t="s">
        <v>6023</v>
      </c>
      <c r="H2381" t="s">
        <v>5474</v>
      </c>
      <c r="I2381" t="s">
        <v>11928</v>
      </c>
      <c r="J2381" t="s">
        <v>5476</v>
      </c>
      <c r="K2381" t="s">
        <v>5471</v>
      </c>
      <c r="L2381" t="s">
        <v>5471</v>
      </c>
      <c r="M2381" t="s">
        <v>5471</v>
      </c>
    </row>
    <row r="2382" spans="1:13" x14ac:dyDescent="0.3">
      <c r="A2382" t="s">
        <v>3383</v>
      </c>
      <c r="B2382" t="s">
        <v>5997</v>
      </c>
      <c r="C2382" t="s">
        <v>5487</v>
      </c>
      <c r="D2382" t="s">
        <v>4052</v>
      </c>
      <c r="E2382" t="s">
        <v>5532</v>
      </c>
      <c r="F2382" t="s">
        <v>11929</v>
      </c>
      <c r="G2382" t="s">
        <v>8106</v>
      </c>
      <c r="H2382" t="s">
        <v>5474</v>
      </c>
      <c r="I2382" t="s">
        <v>11930</v>
      </c>
      <c r="J2382" t="s">
        <v>5476</v>
      </c>
      <c r="K2382" t="s">
        <v>11931</v>
      </c>
      <c r="L2382" t="s">
        <v>5471</v>
      </c>
      <c r="M2382" t="s">
        <v>5471</v>
      </c>
    </row>
    <row r="2383" spans="1:13" x14ac:dyDescent="0.3">
      <c r="A2383" t="s">
        <v>3383</v>
      </c>
      <c r="B2383" t="s">
        <v>5997</v>
      </c>
      <c r="C2383" t="s">
        <v>5487</v>
      </c>
      <c r="D2383" t="s">
        <v>4052</v>
      </c>
      <c r="E2383" t="s">
        <v>5532</v>
      </c>
      <c r="F2383" t="s">
        <v>11932</v>
      </c>
      <c r="G2383" t="s">
        <v>11933</v>
      </c>
      <c r="H2383" t="s">
        <v>5474</v>
      </c>
      <c r="I2383" t="s">
        <v>11934</v>
      </c>
      <c r="J2383" t="s">
        <v>5476</v>
      </c>
      <c r="K2383" t="s">
        <v>11935</v>
      </c>
      <c r="L2383" t="s">
        <v>5471</v>
      </c>
      <c r="M2383" t="s">
        <v>5471</v>
      </c>
    </row>
    <row r="2384" spans="1:13" x14ac:dyDescent="0.3">
      <c r="A2384" t="s">
        <v>3388</v>
      </c>
      <c r="B2384" t="s">
        <v>5531</v>
      </c>
      <c r="C2384" t="s">
        <v>5470</v>
      </c>
      <c r="D2384" t="s">
        <v>4119</v>
      </c>
      <c r="E2384" t="s">
        <v>5532</v>
      </c>
      <c r="F2384" t="s">
        <v>11936</v>
      </c>
      <c r="G2384" t="s">
        <v>9069</v>
      </c>
      <c r="H2384" t="s">
        <v>5474</v>
      </c>
      <c r="I2384" t="s">
        <v>11937</v>
      </c>
      <c r="J2384" t="s">
        <v>5484</v>
      </c>
      <c r="K2384" t="s">
        <v>11938</v>
      </c>
      <c r="L2384" t="s">
        <v>5471</v>
      </c>
      <c r="M2384" t="s">
        <v>5471</v>
      </c>
    </row>
    <row r="2385" spans="1:13" x14ac:dyDescent="0.3">
      <c r="A2385" t="s">
        <v>3383</v>
      </c>
      <c r="B2385" t="s">
        <v>8176</v>
      </c>
      <c r="C2385" t="s">
        <v>5487</v>
      </c>
      <c r="D2385" t="s">
        <v>4119</v>
      </c>
      <c r="E2385" t="s">
        <v>5532</v>
      </c>
      <c r="F2385" t="s">
        <v>11939</v>
      </c>
      <c r="G2385" t="s">
        <v>11940</v>
      </c>
      <c r="H2385" t="s">
        <v>5474</v>
      </c>
      <c r="I2385" t="s">
        <v>11941</v>
      </c>
      <c r="J2385" t="s">
        <v>5476</v>
      </c>
      <c r="K2385" t="s">
        <v>5471</v>
      </c>
      <c r="L2385" t="s">
        <v>5471</v>
      </c>
      <c r="M2385" t="s">
        <v>5471</v>
      </c>
    </row>
    <row r="2386" spans="1:13" x14ac:dyDescent="0.3">
      <c r="A2386" t="s">
        <v>3383</v>
      </c>
      <c r="B2386" t="s">
        <v>5997</v>
      </c>
      <c r="C2386" t="s">
        <v>5487</v>
      </c>
      <c r="D2386" t="s">
        <v>4052</v>
      </c>
      <c r="E2386" t="s">
        <v>5532</v>
      </c>
      <c r="F2386" t="s">
        <v>11942</v>
      </c>
      <c r="G2386" t="s">
        <v>8060</v>
      </c>
      <c r="H2386" t="s">
        <v>5474</v>
      </c>
      <c r="I2386" t="s">
        <v>11943</v>
      </c>
      <c r="J2386" t="s">
        <v>5476</v>
      </c>
      <c r="K2386" t="s">
        <v>11944</v>
      </c>
      <c r="L2386" t="s">
        <v>5471</v>
      </c>
      <c r="M2386" t="s">
        <v>5471</v>
      </c>
    </row>
    <row r="2387" spans="1:13" x14ac:dyDescent="0.3">
      <c r="A2387" t="s">
        <v>3388</v>
      </c>
      <c r="B2387" t="s">
        <v>5531</v>
      </c>
      <c r="C2387" t="s">
        <v>5470</v>
      </c>
      <c r="D2387" t="s">
        <v>4119</v>
      </c>
      <c r="E2387" t="s">
        <v>5532</v>
      </c>
      <c r="F2387" t="s">
        <v>11945</v>
      </c>
      <c r="G2387" t="s">
        <v>9069</v>
      </c>
      <c r="H2387" t="s">
        <v>5474</v>
      </c>
      <c r="I2387" t="s">
        <v>11946</v>
      </c>
      <c r="J2387" t="s">
        <v>5484</v>
      </c>
      <c r="K2387" t="s">
        <v>11947</v>
      </c>
      <c r="L2387" t="s">
        <v>5471</v>
      </c>
      <c r="M2387" t="s">
        <v>5471</v>
      </c>
    </row>
    <row r="2388" spans="1:13" x14ac:dyDescent="0.3">
      <c r="A2388" t="s">
        <v>3383</v>
      </c>
      <c r="B2388" t="s">
        <v>8062</v>
      </c>
      <c r="C2388" t="s">
        <v>5487</v>
      </c>
      <c r="D2388" t="s">
        <v>4052</v>
      </c>
      <c r="E2388" t="s">
        <v>5532</v>
      </c>
      <c r="F2388" t="s">
        <v>11948</v>
      </c>
      <c r="G2388" t="s">
        <v>8060</v>
      </c>
      <c r="H2388" t="s">
        <v>5474</v>
      </c>
      <c r="I2388" t="s">
        <v>11949</v>
      </c>
      <c r="J2388" t="s">
        <v>5476</v>
      </c>
      <c r="K2388" t="s">
        <v>11950</v>
      </c>
      <c r="L2388" t="s">
        <v>5471</v>
      </c>
      <c r="M2388" t="s">
        <v>5471</v>
      </c>
    </row>
    <row r="2389" spans="1:13" x14ac:dyDescent="0.3">
      <c r="A2389" t="s">
        <v>3383</v>
      </c>
      <c r="B2389" t="s">
        <v>8062</v>
      </c>
      <c r="C2389" t="s">
        <v>5487</v>
      </c>
      <c r="D2389" t="s">
        <v>4052</v>
      </c>
      <c r="E2389" t="s">
        <v>5532</v>
      </c>
      <c r="F2389" t="s">
        <v>11951</v>
      </c>
      <c r="G2389" t="s">
        <v>8068</v>
      </c>
      <c r="H2389" t="s">
        <v>5474</v>
      </c>
      <c r="I2389" t="s">
        <v>11952</v>
      </c>
      <c r="J2389" t="s">
        <v>5476</v>
      </c>
      <c r="K2389" t="s">
        <v>11953</v>
      </c>
      <c r="L2389" t="s">
        <v>5471</v>
      </c>
      <c r="M2389" t="s">
        <v>5471</v>
      </c>
    </row>
    <row r="2390" spans="1:13" x14ac:dyDescent="0.3">
      <c r="A2390" t="s">
        <v>3383</v>
      </c>
      <c r="B2390" t="s">
        <v>8062</v>
      </c>
      <c r="C2390" t="s">
        <v>5487</v>
      </c>
      <c r="D2390" t="s">
        <v>4052</v>
      </c>
      <c r="E2390" t="s">
        <v>5532</v>
      </c>
      <c r="F2390" t="s">
        <v>11954</v>
      </c>
      <c r="G2390" t="s">
        <v>8068</v>
      </c>
      <c r="H2390" t="s">
        <v>5474</v>
      </c>
      <c r="I2390" t="s">
        <v>11955</v>
      </c>
      <c r="J2390" t="s">
        <v>5476</v>
      </c>
      <c r="K2390" t="s">
        <v>11956</v>
      </c>
      <c r="L2390" t="s">
        <v>5471</v>
      </c>
      <c r="M2390" t="s">
        <v>5471</v>
      </c>
    </row>
    <row r="2391" spans="1:13" x14ac:dyDescent="0.3">
      <c r="A2391" t="s">
        <v>3383</v>
      </c>
      <c r="B2391" t="s">
        <v>5294</v>
      </c>
      <c r="C2391" t="s">
        <v>5470</v>
      </c>
      <c r="D2391" t="s">
        <v>4056</v>
      </c>
      <c r="E2391" t="s">
        <v>5756</v>
      </c>
      <c r="F2391" t="s">
        <v>11957</v>
      </c>
      <c r="G2391" t="s">
        <v>11958</v>
      </c>
      <c r="H2391" t="s">
        <v>5474</v>
      </c>
      <c r="I2391" t="s">
        <v>11959</v>
      </c>
      <c r="J2391" t="s">
        <v>5476</v>
      </c>
      <c r="K2391" t="s">
        <v>11960</v>
      </c>
      <c r="L2391" t="s">
        <v>5471</v>
      </c>
      <c r="M2391" t="s">
        <v>5471</v>
      </c>
    </row>
    <row r="2392" spans="1:13" x14ac:dyDescent="0.3">
      <c r="A2392" t="s">
        <v>3383</v>
      </c>
      <c r="B2392" t="s">
        <v>5294</v>
      </c>
      <c r="C2392" t="s">
        <v>5470</v>
      </c>
      <c r="D2392" t="s">
        <v>4056</v>
      </c>
      <c r="E2392" t="s">
        <v>5756</v>
      </c>
      <c r="F2392" t="s">
        <v>11961</v>
      </c>
      <c r="G2392" t="s">
        <v>11958</v>
      </c>
      <c r="H2392" t="s">
        <v>5474</v>
      </c>
      <c r="I2392" t="s">
        <v>11962</v>
      </c>
      <c r="J2392" t="s">
        <v>5476</v>
      </c>
      <c r="K2392" t="s">
        <v>11960</v>
      </c>
      <c r="L2392" t="s">
        <v>5471</v>
      </c>
      <c r="M2392" t="s">
        <v>5471</v>
      </c>
    </row>
    <row r="2393" spans="1:13" x14ac:dyDescent="0.3">
      <c r="A2393" t="s">
        <v>3383</v>
      </c>
      <c r="B2393" t="s">
        <v>8176</v>
      </c>
      <c r="C2393" t="s">
        <v>5487</v>
      </c>
      <c r="D2393" t="s">
        <v>4119</v>
      </c>
      <c r="E2393" t="s">
        <v>5532</v>
      </c>
      <c r="F2393" t="s">
        <v>11963</v>
      </c>
      <c r="G2393" t="s">
        <v>11964</v>
      </c>
      <c r="H2393" t="s">
        <v>5474</v>
      </c>
      <c r="I2393" t="s">
        <v>11965</v>
      </c>
      <c r="J2393" t="s">
        <v>5476</v>
      </c>
      <c r="K2393" t="s">
        <v>5471</v>
      </c>
      <c r="L2393" t="s">
        <v>5471</v>
      </c>
      <c r="M2393" t="s">
        <v>5471</v>
      </c>
    </row>
    <row r="2394" spans="1:13" x14ac:dyDescent="0.3">
      <c r="A2394" t="s">
        <v>3383</v>
      </c>
      <c r="B2394" t="s">
        <v>7643</v>
      </c>
      <c r="C2394" t="s">
        <v>5487</v>
      </c>
      <c r="D2394" t="s">
        <v>4119</v>
      </c>
      <c r="E2394" t="s">
        <v>5532</v>
      </c>
      <c r="F2394" t="s">
        <v>11966</v>
      </c>
      <c r="G2394" t="s">
        <v>8089</v>
      </c>
      <c r="H2394" t="s">
        <v>5474</v>
      </c>
      <c r="I2394" t="s">
        <v>11967</v>
      </c>
      <c r="J2394" t="s">
        <v>5476</v>
      </c>
      <c r="K2394" t="s">
        <v>5471</v>
      </c>
      <c r="L2394" t="s">
        <v>5471</v>
      </c>
      <c r="M2394" t="s">
        <v>5471</v>
      </c>
    </row>
    <row r="2395" spans="1:13" x14ac:dyDescent="0.3">
      <c r="A2395" t="s">
        <v>3383</v>
      </c>
      <c r="B2395" t="s">
        <v>8176</v>
      </c>
      <c r="C2395" t="s">
        <v>5487</v>
      </c>
      <c r="D2395" t="s">
        <v>4119</v>
      </c>
      <c r="E2395" t="s">
        <v>5480</v>
      </c>
      <c r="F2395" t="s">
        <v>11968</v>
      </c>
      <c r="G2395" t="s">
        <v>11969</v>
      </c>
      <c r="H2395" t="s">
        <v>5474</v>
      </c>
      <c r="I2395" t="s">
        <v>11970</v>
      </c>
      <c r="J2395" t="s">
        <v>5476</v>
      </c>
      <c r="K2395" t="s">
        <v>5471</v>
      </c>
      <c r="L2395" t="s">
        <v>5471</v>
      </c>
      <c r="M2395" t="s">
        <v>5471</v>
      </c>
    </row>
    <row r="2396" spans="1:13" x14ac:dyDescent="0.3">
      <c r="A2396" t="s">
        <v>3383</v>
      </c>
      <c r="B2396" t="s">
        <v>7643</v>
      </c>
      <c r="C2396" t="s">
        <v>5487</v>
      </c>
      <c r="D2396" t="s">
        <v>4119</v>
      </c>
      <c r="E2396" t="s">
        <v>5532</v>
      </c>
      <c r="F2396" t="s">
        <v>11971</v>
      </c>
      <c r="G2396" t="s">
        <v>11972</v>
      </c>
      <c r="H2396" t="s">
        <v>5474</v>
      </c>
      <c r="I2396" t="s">
        <v>11973</v>
      </c>
      <c r="J2396" t="s">
        <v>5476</v>
      </c>
      <c r="K2396" t="s">
        <v>5471</v>
      </c>
      <c r="L2396" t="s">
        <v>5471</v>
      </c>
      <c r="M2396" t="s">
        <v>5471</v>
      </c>
    </row>
    <row r="2397" spans="1:13" x14ac:dyDescent="0.3">
      <c r="A2397" t="s">
        <v>3383</v>
      </c>
      <c r="B2397" t="s">
        <v>5324</v>
      </c>
      <c r="C2397" t="s">
        <v>5487</v>
      </c>
      <c r="D2397" t="s">
        <v>4119</v>
      </c>
      <c r="E2397" t="s">
        <v>5532</v>
      </c>
      <c r="F2397" t="s">
        <v>11974</v>
      </c>
      <c r="G2397" t="s">
        <v>11975</v>
      </c>
      <c r="H2397" t="s">
        <v>5474</v>
      </c>
      <c r="I2397" t="s">
        <v>11976</v>
      </c>
      <c r="J2397" t="s">
        <v>5476</v>
      </c>
      <c r="K2397" t="s">
        <v>5471</v>
      </c>
      <c r="L2397" t="s">
        <v>5471</v>
      </c>
      <c r="M2397" t="s">
        <v>5471</v>
      </c>
    </row>
    <row r="2398" spans="1:13" x14ac:dyDescent="0.3">
      <c r="A2398" t="s">
        <v>3383</v>
      </c>
      <c r="B2398" t="s">
        <v>7643</v>
      </c>
      <c r="C2398" t="s">
        <v>5487</v>
      </c>
      <c r="D2398" t="s">
        <v>4119</v>
      </c>
      <c r="E2398" t="s">
        <v>5532</v>
      </c>
      <c r="F2398" t="s">
        <v>11977</v>
      </c>
      <c r="G2398" t="s">
        <v>11978</v>
      </c>
      <c r="H2398" t="s">
        <v>5474</v>
      </c>
      <c r="I2398" t="s">
        <v>11979</v>
      </c>
      <c r="J2398" t="s">
        <v>5476</v>
      </c>
      <c r="K2398" t="s">
        <v>5471</v>
      </c>
      <c r="L2398" t="s">
        <v>5471</v>
      </c>
      <c r="M2398" t="s">
        <v>5471</v>
      </c>
    </row>
    <row r="2399" spans="1:13" x14ac:dyDescent="0.3">
      <c r="A2399" t="s">
        <v>3383</v>
      </c>
      <c r="B2399" t="s">
        <v>5324</v>
      </c>
      <c r="C2399" t="s">
        <v>5487</v>
      </c>
      <c r="D2399" t="s">
        <v>4119</v>
      </c>
      <c r="E2399" t="s">
        <v>5532</v>
      </c>
      <c r="F2399" t="s">
        <v>11980</v>
      </c>
      <c r="G2399" t="s">
        <v>11981</v>
      </c>
      <c r="H2399" t="s">
        <v>5474</v>
      </c>
      <c r="I2399" t="s">
        <v>11982</v>
      </c>
      <c r="J2399" t="s">
        <v>5476</v>
      </c>
      <c r="K2399" t="s">
        <v>5471</v>
      </c>
      <c r="L2399" t="s">
        <v>5471</v>
      </c>
      <c r="M2399" t="s">
        <v>5471</v>
      </c>
    </row>
    <row r="2400" spans="1:13" x14ac:dyDescent="0.3">
      <c r="A2400" t="s">
        <v>3383</v>
      </c>
      <c r="B2400" t="s">
        <v>7643</v>
      </c>
      <c r="C2400" t="s">
        <v>5487</v>
      </c>
      <c r="D2400" t="s">
        <v>4119</v>
      </c>
      <c r="E2400" t="s">
        <v>5532</v>
      </c>
      <c r="F2400" t="s">
        <v>11983</v>
      </c>
      <c r="G2400" t="s">
        <v>11984</v>
      </c>
      <c r="H2400" t="s">
        <v>5474</v>
      </c>
      <c r="I2400" t="s">
        <v>11985</v>
      </c>
      <c r="J2400" t="s">
        <v>5476</v>
      </c>
      <c r="K2400" t="s">
        <v>5471</v>
      </c>
      <c r="L2400" t="s">
        <v>5471</v>
      </c>
      <c r="M2400" t="s">
        <v>5471</v>
      </c>
    </row>
    <row r="2401" spans="1:13" x14ac:dyDescent="0.3">
      <c r="A2401" t="s">
        <v>3383</v>
      </c>
      <c r="B2401" t="s">
        <v>5324</v>
      </c>
      <c r="C2401" t="s">
        <v>5487</v>
      </c>
      <c r="D2401" t="s">
        <v>4119</v>
      </c>
      <c r="E2401" t="s">
        <v>5532</v>
      </c>
      <c r="F2401" t="s">
        <v>11986</v>
      </c>
      <c r="G2401" t="s">
        <v>11987</v>
      </c>
      <c r="H2401" t="s">
        <v>5474</v>
      </c>
      <c r="I2401" t="s">
        <v>11988</v>
      </c>
      <c r="J2401" t="s">
        <v>5476</v>
      </c>
      <c r="K2401" t="s">
        <v>5471</v>
      </c>
      <c r="L2401" t="s">
        <v>5471</v>
      </c>
      <c r="M2401" t="s">
        <v>5471</v>
      </c>
    </row>
    <row r="2402" spans="1:13" x14ac:dyDescent="0.3">
      <c r="A2402" t="s">
        <v>3383</v>
      </c>
      <c r="B2402" t="s">
        <v>6187</v>
      </c>
      <c r="C2402" t="s">
        <v>5470</v>
      </c>
      <c r="D2402" t="s">
        <v>4056</v>
      </c>
      <c r="E2402" t="s">
        <v>5756</v>
      </c>
      <c r="F2402" t="s">
        <v>11989</v>
      </c>
      <c r="G2402" t="s">
        <v>7490</v>
      </c>
      <c r="H2402" t="s">
        <v>5474</v>
      </c>
      <c r="I2402" t="s">
        <v>11990</v>
      </c>
      <c r="J2402" t="s">
        <v>5476</v>
      </c>
      <c r="K2402" t="s">
        <v>11991</v>
      </c>
      <c r="L2402" t="s">
        <v>5471</v>
      </c>
      <c r="M2402" t="s">
        <v>5471</v>
      </c>
    </row>
    <row r="2403" spans="1:13" x14ac:dyDescent="0.3">
      <c r="A2403" t="s">
        <v>3383</v>
      </c>
      <c r="B2403" t="s">
        <v>5324</v>
      </c>
      <c r="C2403" t="s">
        <v>5487</v>
      </c>
      <c r="D2403" t="s">
        <v>4119</v>
      </c>
      <c r="E2403" t="s">
        <v>5480</v>
      </c>
      <c r="F2403" t="s">
        <v>11992</v>
      </c>
      <c r="G2403" t="s">
        <v>6087</v>
      </c>
      <c r="H2403" t="s">
        <v>5474</v>
      </c>
      <c r="I2403" t="s">
        <v>11993</v>
      </c>
      <c r="J2403" t="s">
        <v>5476</v>
      </c>
      <c r="K2403" t="s">
        <v>5471</v>
      </c>
      <c r="L2403" t="s">
        <v>5471</v>
      </c>
      <c r="M2403" t="s">
        <v>5471</v>
      </c>
    </row>
    <row r="2404" spans="1:13" x14ac:dyDescent="0.3">
      <c r="A2404" t="s">
        <v>3383</v>
      </c>
      <c r="B2404" t="s">
        <v>6187</v>
      </c>
      <c r="C2404" t="s">
        <v>5470</v>
      </c>
      <c r="D2404" t="s">
        <v>4056</v>
      </c>
      <c r="E2404" t="s">
        <v>5756</v>
      </c>
      <c r="F2404" t="s">
        <v>11994</v>
      </c>
      <c r="G2404" t="s">
        <v>7490</v>
      </c>
      <c r="H2404" t="s">
        <v>5474</v>
      </c>
      <c r="I2404" t="s">
        <v>11995</v>
      </c>
      <c r="J2404" t="s">
        <v>5476</v>
      </c>
      <c r="K2404" t="s">
        <v>11996</v>
      </c>
      <c r="L2404" t="s">
        <v>5471</v>
      </c>
      <c r="M2404" t="s">
        <v>5471</v>
      </c>
    </row>
    <row r="2405" spans="1:13" x14ac:dyDescent="0.3">
      <c r="A2405" t="s">
        <v>3383</v>
      </c>
      <c r="B2405" t="s">
        <v>6187</v>
      </c>
      <c r="C2405" t="s">
        <v>5470</v>
      </c>
      <c r="D2405" t="s">
        <v>4056</v>
      </c>
      <c r="E2405" t="s">
        <v>5756</v>
      </c>
      <c r="F2405" t="s">
        <v>11997</v>
      </c>
      <c r="G2405" t="s">
        <v>7490</v>
      </c>
      <c r="H2405" t="s">
        <v>5474</v>
      </c>
      <c r="I2405" t="s">
        <v>11998</v>
      </c>
      <c r="J2405" t="s">
        <v>5476</v>
      </c>
      <c r="K2405" t="s">
        <v>11999</v>
      </c>
      <c r="L2405" t="s">
        <v>5471</v>
      </c>
      <c r="M2405" t="s">
        <v>5471</v>
      </c>
    </row>
    <row r="2406" spans="1:13" x14ac:dyDescent="0.3">
      <c r="A2406" t="s">
        <v>3383</v>
      </c>
      <c r="B2406" t="s">
        <v>6005</v>
      </c>
      <c r="C2406" t="s">
        <v>5487</v>
      </c>
      <c r="D2406" t="s">
        <v>4119</v>
      </c>
      <c r="E2406" t="s">
        <v>5532</v>
      </c>
      <c r="F2406" t="s">
        <v>12000</v>
      </c>
      <c r="G2406" t="s">
        <v>12001</v>
      </c>
      <c r="H2406" t="s">
        <v>5474</v>
      </c>
      <c r="I2406" t="s">
        <v>12002</v>
      </c>
      <c r="J2406" t="s">
        <v>5476</v>
      </c>
      <c r="K2406" t="s">
        <v>5471</v>
      </c>
      <c r="L2406" t="s">
        <v>5471</v>
      </c>
      <c r="M2406" t="s">
        <v>5471</v>
      </c>
    </row>
    <row r="2407" spans="1:13" x14ac:dyDescent="0.3">
      <c r="A2407" t="s">
        <v>3383</v>
      </c>
      <c r="B2407" t="s">
        <v>6122</v>
      </c>
      <c r="C2407" t="s">
        <v>5470</v>
      </c>
      <c r="D2407" t="s">
        <v>4119</v>
      </c>
      <c r="E2407" t="s">
        <v>5756</v>
      </c>
      <c r="F2407" t="s">
        <v>12003</v>
      </c>
      <c r="G2407" t="s">
        <v>12004</v>
      </c>
      <c r="H2407" t="s">
        <v>5474</v>
      </c>
      <c r="I2407" t="s">
        <v>12005</v>
      </c>
      <c r="J2407" t="s">
        <v>5484</v>
      </c>
      <c r="K2407" t="s">
        <v>12006</v>
      </c>
      <c r="L2407" t="s">
        <v>5471</v>
      </c>
      <c r="M2407" t="s">
        <v>5471</v>
      </c>
    </row>
    <row r="2408" spans="1:13" x14ac:dyDescent="0.3">
      <c r="A2408" t="s">
        <v>3383</v>
      </c>
      <c r="B2408" t="s">
        <v>5952</v>
      </c>
      <c r="C2408" t="s">
        <v>5470</v>
      </c>
      <c r="D2408" t="s">
        <v>4056</v>
      </c>
      <c r="E2408" t="s">
        <v>5756</v>
      </c>
      <c r="F2408" t="s">
        <v>12007</v>
      </c>
      <c r="G2408" t="s">
        <v>12008</v>
      </c>
      <c r="H2408" t="s">
        <v>5474</v>
      </c>
      <c r="I2408" t="s">
        <v>12009</v>
      </c>
      <c r="J2408" t="s">
        <v>5476</v>
      </c>
      <c r="K2408" t="s">
        <v>12010</v>
      </c>
      <c r="L2408" t="s">
        <v>5471</v>
      </c>
      <c r="M2408" t="s">
        <v>5471</v>
      </c>
    </row>
    <row r="2409" spans="1:13" x14ac:dyDescent="0.3">
      <c r="A2409" t="s">
        <v>3383</v>
      </c>
      <c r="B2409" t="s">
        <v>6005</v>
      </c>
      <c r="C2409" t="s">
        <v>5487</v>
      </c>
      <c r="D2409" t="s">
        <v>4119</v>
      </c>
      <c r="E2409" t="s">
        <v>5480</v>
      </c>
      <c r="F2409" t="s">
        <v>12011</v>
      </c>
      <c r="G2409" t="s">
        <v>6006</v>
      </c>
      <c r="H2409" t="s">
        <v>5474</v>
      </c>
      <c r="I2409" t="s">
        <v>12012</v>
      </c>
      <c r="J2409" t="s">
        <v>5476</v>
      </c>
      <c r="K2409" t="s">
        <v>5471</v>
      </c>
      <c r="L2409" t="s">
        <v>5471</v>
      </c>
      <c r="M2409" t="s">
        <v>5471</v>
      </c>
    </row>
    <row r="2410" spans="1:13" x14ac:dyDescent="0.3">
      <c r="A2410" t="s">
        <v>3383</v>
      </c>
      <c r="B2410" t="s">
        <v>8875</v>
      </c>
      <c r="C2410" t="s">
        <v>5470</v>
      </c>
      <c r="D2410" t="s">
        <v>4119</v>
      </c>
      <c r="E2410" t="s">
        <v>5532</v>
      </c>
      <c r="F2410" t="s">
        <v>12013</v>
      </c>
      <c r="G2410" t="s">
        <v>12014</v>
      </c>
      <c r="H2410" t="s">
        <v>5474</v>
      </c>
      <c r="I2410" t="s">
        <v>12015</v>
      </c>
      <c r="J2410" t="s">
        <v>5484</v>
      </c>
      <c r="K2410" t="s">
        <v>12016</v>
      </c>
      <c r="L2410" t="s">
        <v>5471</v>
      </c>
      <c r="M2410" t="s">
        <v>5471</v>
      </c>
    </row>
    <row r="2411" spans="1:13" x14ac:dyDescent="0.3">
      <c r="A2411" t="s">
        <v>3383</v>
      </c>
      <c r="B2411" t="s">
        <v>5952</v>
      </c>
      <c r="C2411" t="s">
        <v>5470</v>
      </c>
      <c r="D2411" t="s">
        <v>4056</v>
      </c>
      <c r="E2411" t="s">
        <v>5756</v>
      </c>
      <c r="F2411" t="s">
        <v>12017</v>
      </c>
      <c r="G2411" t="s">
        <v>12008</v>
      </c>
      <c r="H2411" t="s">
        <v>5474</v>
      </c>
      <c r="I2411" t="s">
        <v>12018</v>
      </c>
      <c r="J2411" t="s">
        <v>5476</v>
      </c>
      <c r="K2411" t="s">
        <v>12010</v>
      </c>
      <c r="L2411" t="s">
        <v>5471</v>
      </c>
      <c r="M2411" t="s">
        <v>5471</v>
      </c>
    </row>
    <row r="2412" spans="1:13" x14ac:dyDescent="0.3">
      <c r="A2412" t="s">
        <v>3383</v>
      </c>
      <c r="B2412" t="s">
        <v>6122</v>
      </c>
      <c r="C2412" t="s">
        <v>5470</v>
      </c>
      <c r="D2412" t="s">
        <v>4119</v>
      </c>
      <c r="E2412" t="s">
        <v>5756</v>
      </c>
      <c r="F2412" t="s">
        <v>12019</v>
      </c>
      <c r="G2412" t="s">
        <v>12004</v>
      </c>
      <c r="H2412" t="s">
        <v>5474</v>
      </c>
      <c r="I2412" t="s">
        <v>12020</v>
      </c>
      <c r="J2412" t="s">
        <v>5476</v>
      </c>
      <c r="K2412" t="s">
        <v>12021</v>
      </c>
      <c r="L2412" t="s">
        <v>5471</v>
      </c>
      <c r="M2412" t="s">
        <v>5471</v>
      </c>
    </row>
    <row r="2413" spans="1:13" x14ac:dyDescent="0.3">
      <c r="A2413" t="s">
        <v>3383</v>
      </c>
      <c r="B2413" t="s">
        <v>5952</v>
      </c>
      <c r="C2413" t="s">
        <v>5470</v>
      </c>
      <c r="D2413" t="s">
        <v>4056</v>
      </c>
      <c r="E2413" t="s">
        <v>5756</v>
      </c>
      <c r="F2413" t="s">
        <v>12022</v>
      </c>
      <c r="G2413" t="s">
        <v>12023</v>
      </c>
      <c r="H2413" t="s">
        <v>5474</v>
      </c>
      <c r="I2413" t="s">
        <v>12024</v>
      </c>
      <c r="J2413" t="s">
        <v>5476</v>
      </c>
      <c r="K2413" t="s">
        <v>12025</v>
      </c>
      <c r="L2413" t="s">
        <v>5471</v>
      </c>
      <c r="M2413" t="s">
        <v>5471</v>
      </c>
    </row>
    <row r="2414" spans="1:13" x14ac:dyDescent="0.3">
      <c r="A2414" t="s">
        <v>3383</v>
      </c>
      <c r="B2414" t="s">
        <v>7643</v>
      </c>
      <c r="C2414" t="s">
        <v>5487</v>
      </c>
      <c r="D2414" t="s">
        <v>4119</v>
      </c>
      <c r="E2414" t="s">
        <v>5532</v>
      </c>
      <c r="F2414" t="s">
        <v>12026</v>
      </c>
      <c r="G2414" t="s">
        <v>12027</v>
      </c>
      <c r="H2414" t="s">
        <v>5474</v>
      </c>
      <c r="I2414" t="s">
        <v>12028</v>
      </c>
      <c r="J2414" t="s">
        <v>5476</v>
      </c>
      <c r="K2414" t="s">
        <v>5471</v>
      </c>
      <c r="L2414" t="s">
        <v>5471</v>
      </c>
      <c r="M2414" t="s">
        <v>5471</v>
      </c>
    </row>
    <row r="2415" spans="1:13" x14ac:dyDescent="0.3">
      <c r="A2415" t="s">
        <v>3383</v>
      </c>
      <c r="B2415" t="s">
        <v>5952</v>
      </c>
      <c r="C2415" t="s">
        <v>5470</v>
      </c>
      <c r="D2415" t="s">
        <v>4056</v>
      </c>
      <c r="E2415" t="s">
        <v>5756</v>
      </c>
      <c r="F2415" t="s">
        <v>12029</v>
      </c>
      <c r="G2415" t="s">
        <v>12023</v>
      </c>
      <c r="H2415" t="s">
        <v>5474</v>
      </c>
      <c r="I2415" t="s">
        <v>12030</v>
      </c>
      <c r="J2415" t="s">
        <v>5476</v>
      </c>
      <c r="K2415" t="s">
        <v>12025</v>
      </c>
      <c r="L2415" t="s">
        <v>5471</v>
      </c>
      <c r="M2415" t="s">
        <v>5471</v>
      </c>
    </row>
    <row r="2416" spans="1:13" x14ac:dyDescent="0.3">
      <c r="A2416" t="s">
        <v>3383</v>
      </c>
      <c r="B2416" t="s">
        <v>6122</v>
      </c>
      <c r="C2416" t="s">
        <v>5470</v>
      </c>
      <c r="D2416" t="s">
        <v>4119</v>
      </c>
      <c r="E2416" t="s">
        <v>5480</v>
      </c>
      <c r="F2416" t="s">
        <v>12031</v>
      </c>
      <c r="G2416" t="s">
        <v>7144</v>
      </c>
      <c r="H2416" t="s">
        <v>5474</v>
      </c>
      <c r="I2416" t="s">
        <v>12032</v>
      </c>
      <c r="J2416" t="s">
        <v>5484</v>
      </c>
      <c r="K2416" t="s">
        <v>12006</v>
      </c>
      <c r="L2416" t="s">
        <v>5471</v>
      </c>
      <c r="M2416" t="s">
        <v>5471</v>
      </c>
    </row>
    <row r="2417" spans="1:13" x14ac:dyDescent="0.3">
      <c r="A2417" t="s">
        <v>3383</v>
      </c>
      <c r="B2417" t="s">
        <v>7643</v>
      </c>
      <c r="C2417" t="s">
        <v>5487</v>
      </c>
      <c r="D2417" t="s">
        <v>4119</v>
      </c>
      <c r="E2417" t="s">
        <v>5532</v>
      </c>
      <c r="F2417" t="s">
        <v>12033</v>
      </c>
      <c r="G2417" t="s">
        <v>7648</v>
      </c>
      <c r="H2417" t="s">
        <v>5474</v>
      </c>
      <c r="I2417" t="s">
        <v>12034</v>
      </c>
      <c r="J2417" t="s">
        <v>5476</v>
      </c>
      <c r="K2417" t="s">
        <v>5471</v>
      </c>
      <c r="L2417" t="s">
        <v>5471</v>
      </c>
      <c r="M2417" t="s">
        <v>5471</v>
      </c>
    </row>
    <row r="2418" spans="1:13" x14ac:dyDescent="0.3">
      <c r="A2418" t="s">
        <v>3383</v>
      </c>
      <c r="B2418" t="s">
        <v>5304</v>
      </c>
      <c r="C2418" t="s">
        <v>5487</v>
      </c>
      <c r="D2418" t="s">
        <v>4119</v>
      </c>
      <c r="E2418" t="s">
        <v>5532</v>
      </c>
      <c r="F2418" t="s">
        <v>12035</v>
      </c>
      <c r="G2418" t="s">
        <v>12036</v>
      </c>
      <c r="H2418" t="s">
        <v>5474</v>
      </c>
      <c r="I2418" t="s">
        <v>12037</v>
      </c>
      <c r="J2418" t="s">
        <v>5476</v>
      </c>
      <c r="K2418" t="s">
        <v>5471</v>
      </c>
      <c r="L2418" t="s">
        <v>5471</v>
      </c>
      <c r="M2418" t="s">
        <v>5471</v>
      </c>
    </row>
    <row r="2419" spans="1:13" x14ac:dyDescent="0.3">
      <c r="A2419" t="s">
        <v>3383</v>
      </c>
      <c r="B2419" t="s">
        <v>5294</v>
      </c>
      <c r="C2419" t="s">
        <v>5470</v>
      </c>
      <c r="D2419" t="s">
        <v>4056</v>
      </c>
      <c r="E2419" t="s">
        <v>5756</v>
      </c>
      <c r="F2419" t="s">
        <v>12038</v>
      </c>
      <c r="G2419" t="s">
        <v>6944</v>
      </c>
      <c r="H2419" t="s">
        <v>5474</v>
      </c>
      <c r="I2419" t="s">
        <v>12039</v>
      </c>
      <c r="J2419" t="s">
        <v>5484</v>
      </c>
      <c r="K2419" t="s">
        <v>12040</v>
      </c>
      <c r="L2419" t="s">
        <v>5471</v>
      </c>
      <c r="M2419" t="s">
        <v>5471</v>
      </c>
    </row>
    <row r="2420" spans="1:13" x14ac:dyDescent="0.3">
      <c r="A2420" t="s">
        <v>3383</v>
      </c>
      <c r="B2420" t="s">
        <v>5304</v>
      </c>
      <c r="C2420" t="s">
        <v>5487</v>
      </c>
      <c r="D2420" t="s">
        <v>4119</v>
      </c>
      <c r="E2420" t="s">
        <v>5532</v>
      </c>
      <c r="F2420" t="s">
        <v>12041</v>
      </c>
      <c r="G2420" t="s">
        <v>12042</v>
      </c>
      <c r="H2420" t="s">
        <v>5474</v>
      </c>
      <c r="I2420" t="s">
        <v>12043</v>
      </c>
      <c r="J2420" t="s">
        <v>5476</v>
      </c>
      <c r="K2420" t="s">
        <v>5471</v>
      </c>
      <c r="L2420" t="s">
        <v>5471</v>
      </c>
      <c r="M2420" t="s">
        <v>5471</v>
      </c>
    </row>
    <row r="2421" spans="1:13" x14ac:dyDescent="0.3">
      <c r="A2421" t="s">
        <v>3383</v>
      </c>
      <c r="B2421" t="s">
        <v>5304</v>
      </c>
      <c r="C2421" t="s">
        <v>5487</v>
      </c>
      <c r="D2421" t="s">
        <v>4119</v>
      </c>
      <c r="E2421" t="s">
        <v>5532</v>
      </c>
      <c r="F2421" t="s">
        <v>12044</v>
      </c>
      <c r="G2421" t="s">
        <v>12045</v>
      </c>
      <c r="H2421" t="s">
        <v>5474</v>
      </c>
      <c r="I2421" t="s">
        <v>12046</v>
      </c>
      <c r="J2421" t="s">
        <v>5476</v>
      </c>
      <c r="K2421" t="s">
        <v>5471</v>
      </c>
      <c r="L2421" t="s">
        <v>5471</v>
      </c>
      <c r="M2421" t="s">
        <v>5471</v>
      </c>
    </row>
    <row r="2422" spans="1:13" x14ac:dyDescent="0.3">
      <c r="A2422" t="s">
        <v>3383</v>
      </c>
      <c r="B2422" t="s">
        <v>6187</v>
      </c>
      <c r="C2422" t="s">
        <v>5470</v>
      </c>
      <c r="D2422" t="s">
        <v>4056</v>
      </c>
      <c r="E2422" t="s">
        <v>5756</v>
      </c>
      <c r="F2422" t="s">
        <v>12047</v>
      </c>
      <c r="G2422" t="s">
        <v>12048</v>
      </c>
      <c r="H2422" t="s">
        <v>5474</v>
      </c>
      <c r="I2422" t="s">
        <v>12049</v>
      </c>
      <c r="J2422" t="s">
        <v>5476</v>
      </c>
      <c r="K2422" t="s">
        <v>12050</v>
      </c>
      <c r="L2422" t="s">
        <v>5471</v>
      </c>
      <c r="M2422" t="s">
        <v>5471</v>
      </c>
    </row>
    <row r="2423" spans="1:13" x14ac:dyDescent="0.3">
      <c r="A2423" t="s">
        <v>3383</v>
      </c>
      <c r="B2423" t="s">
        <v>5304</v>
      </c>
      <c r="C2423" t="s">
        <v>5487</v>
      </c>
      <c r="D2423" t="s">
        <v>4119</v>
      </c>
      <c r="E2423" t="s">
        <v>5532</v>
      </c>
      <c r="F2423" t="s">
        <v>12051</v>
      </c>
      <c r="G2423" t="s">
        <v>12052</v>
      </c>
      <c r="H2423" t="s">
        <v>5474</v>
      </c>
      <c r="I2423" t="s">
        <v>12053</v>
      </c>
      <c r="J2423" t="s">
        <v>5476</v>
      </c>
      <c r="K2423" t="s">
        <v>5471</v>
      </c>
      <c r="L2423" t="s">
        <v>5471</v>
      </c>
      <c r="M2423" t="s">
        <v>5471</v>
      </c>
    </row>
    <row r="2424" spans="1:13" x14ac:dyDescent="0.3">
      <c r="A2424" t="s">
        <v>3383</v>
      </c>
      <c r="B2424" t="s">
        <v>5304</v>
      </c>
      <c r="C2424" t="s">
        <v>5487</v>
      </c>
      <c r="D2424" t="s">
        <v>4119</v>
      </c>
      <c r="E2424" t="s">
        <v>5532</v>
      </c>
      <c r="F2424" t="s">
        <v>12054</v>
      </c>
      <c r="G2424" t="s">
        <v>12055</v>
      </c>
      <c r="H2424" t="s">
        <v>5474</v>
      </c>
      <c r="I2424" t="s">
        <v>12056</v>
      </c>
      <c r="J2424" t="s">
        <v>5476</v>
      </c>
      <c r="K2424" t="s">
        <v>5471</v>
      </c>
      <c r="L2424" t="s">
        <v>5471</v>
      </c>
      <c r="M2424" t="s">
        <v>5471</v>
      </c>
    </row>
    <row r="2425" spans="1:13" x14ac:dyDescent="0.3">
      <c r="A2425" t="s">
        <v>3383</v>
      </c>
      <c r="B2425" t="s">
        <v>5267</v>
      </c>
      <c r="C2425" t="s">
        <v>5487</v>
      </c>
      <c r="D2425" t="s">
        <v>4119</v>
      </c>
      <c r="E2425" t="s">
        <v>5843</v>
      </c>
      <c r="F2425" t="s">
        <v>12057</v>
      </c>
      <c r="G2425" t="s">
        <v>12058</v>
      </c>
      <c r="H2425" t="s">
        <v>5474</v>
      </c>
      <c r="I2425" t="s">
        <v>12059</v>
      </c>
      <c r="J2425" t="s">
        <v>5476</v>
      </c>
      <c r="K2425" t="s">
        <v>5471</v>
      </c>
      <c r="L2425" t="s">
        <v>5471</v>
      </c>
      <c r="M2425" t="s">
        <v>5471</v>
      </c>
    </row>
    <row r="2426" spans="1:13" x14ac:dyDescent="0.3">
      <c r="A2426" t="s">
        <v>3383</v>
      </c>
      <c r="B2426" t="s">
        <v>6026</v>
      </c>
      <c r="C2426" t="s">
        <v>5487</v>
      </c>
      <c r="D2426" t="s">
        <v>4119</v>
      </c>
      <c r="E2426" t="s">
        <v>5532</v>
      </c>
      <c r="F2426" t="s">
        <v>12060</v>
      </c>
      <c r="G2426" t="s">
        <v>12061</v>
      </c>
      <c r="H2426" t="s">
        <v>5474</v>
      </c>
      <c r="I2426" t="s">
        <v>12062</v>
      </c>
      <c r="J2426" t="s">
        <v>5476</v>
      </c>
      <c r="K2426" t="s">
        <v>5471</v>
      </c>
      <c r="L2426" t="s">
        <v>5471</v>
      </c>
      <c r="M2426" t="s">
        <v>5471</v>
      </c>
    </row>
    <row r="2427" spans="1:13" x14ac:dyDescent="0.3">
      <c r="A2427" t="s">
        <v>3383</v>
      </c>
      <c r="B2427" t="s">
        <v>5267</v>
      </c>
      <c r="C2427" t="s">
        <v>5487</v>
      </c>
      <c r="D2427" t="s">
        <v>4119</v>
      </c>
      <c r="E2427" t="s">
        <v>5843</v>
      </c>
      <c r="F2427" t="s">
        <v>12063</v>
      </c>
      <c r="G2427" t="s">
        <v>12058</v>
      </c>
      <c r="H2427" t="s">
        <v>5474</v>
      </c>
      <c r="I2427" t="s">
        <v>12064</v>
      </c>
      <c r="J2427" t="s">
        <v>5476</v>
      </c>
      <c r="K2427" t="s">
        <v>5471</v>
      </c>
      <c r="L2427" t="s">
        <v>5471</v>
      </c>
      <c r="M2427" t="s">
        <v>5471</v>
      </c>
    </row>
    <row r="2428" spans="1:13" x14ac:dyDescent="0.3">
      <c r="A2428" t="s">
        <v>3383</v>
      </c>
      <c r="B2428" t="s">
        <v>6026</v>
      </c>
      <c r="C2428" t="s">
        <v>5487</v>
      </c>
      <c r="D2428" t="s">
        <v>4119</v>
      </c>
      <c r="E2428" t="s">
        <v>5532</v>
      </c>
      <c r="F2428" t="s">
        <v>12065</v>
      </c>
      <c r="G2428" t="s">
        <v>12066</v>
      </c>
      <c r="H2428" t="s">
        <v>5474</v>
      </c>
      <c r="I2428" t="s">
        <v>12067</v>
      </c>
      <c r="J2428" t="s">
        <v>5476</v>
      </c>
      <c r="K2428" t="s">
        <v>5471</v>
      </c>
      <c r="L2428" t="s">
        <v>5471</v>
      </c>
      <c r="M2428" t="s">
        <v>5471</v>
      </c>
    </row>
    <row r="2429" spans="1:13" x14ac:dyDescent="0.3">
      <c r="A2429" t="s">
        <v>3383</v>
      </c>
      <c r="B2429" t="s">
        <v>5267</v>
      </c>
      <c r="C2429" t="s">
        <v>5487</v>
      </c>
      <c r="D2429" t="s">
        <v>4119</v>
      </c>
      <c r="E2429" t="s">
        <v>5480</v>
      </c>
      <c r="F2429" t="s">
        <v>12068</v>
      </c>
      <c r="G2429" t="s">
        <v>12069</v>
      </c>
      <c r="H2429" t="s">
        <v>5474</v>
      </c>
      <c r="I2429" t="s">
        <v>12070</v>
      </c>
      <c r="J2429" t="s">
        <v>5476</v>
      </c>
      <c r="K2429" t="s">
        <v>5471</v>
      </c>
      <c r="L2429" t="s">
        <v>5471</v>
      </c>
      <c r="M2429" t="s">
        <v>5471</v>
      </c>
    </row>
    <row r="2430" spans="1:13" x14ac:dyDescent="0.3">
      <c r="A2430" t="s">
        <v>3383</v>
      </c>
      <c r="B2430" t="s">
        <v>5997</v>
      </c>
      <c r="C2430" t="s">
        <v>5487</v>
      </c>
      <c r="D2430" t="s">
        <v>4119</v>
      </c>
      <c r="E2430" t="s">
        <v>5532</v>
      </c>
      <c r="F2430" t="s">
        <v>12071</v>
      </c>
      <c r="G2430" t="s">
        <v>12072</v>
      </c>
      <c r="H2430" t="s">
        <v>5474</v>
      </c>
      <c r="I2430" t="s">
        <v>12073</v>
      </c>
      <c r="J2430" t="s">
        <v>5476</v>
      </c>
      <c r="K2430" t="s">
        <v>5471</v>
      </c>
      <c r="L2430" t="s">
        <v>5471</v>
      </c>
      <c r="M2430" t="s">
        <v>5471</v>
      </c>
    </row>
    <row r="2431" spans="1:13" x14ac:dyDescent="0.3">
      <c r="A2431" t="s">
        <v>3383</v>
      </c>
      <c r="B2431" t="s">
        <v>5294</v>
      </c>
      <c r="C2431" t="s">
        <v>5470</v>
      </c>
      <c r="D2431" t="s">
        <v>4056</v>
      </c>
      <c r="E2431" t="s">
        <v>5756</v>
      </c>
      <c r="F2431" t="s">
        <v>12074</v>
      </c>
      <c r="G2431" t="s">
        <v>6944</v>
      </c>
      <c r="H2431" t="s">
        <v>5474</v>
      </c>
      <c r="I2431" t="s">
        <v>12075</v>
      </c>
      <c r="J2431" t="s">
        <v>5484</v>
      </c>
      <c r="K2431" t="s">
        <v>12040</v>
      </c>
      <c r="L2431" t="s">
        <v>5471</v>
      </c>
      <c r="M2431" t="s">
        <v>5471</v>
      </c>
    </row>
    <row r="2432" spans="1:13" x14ac:dyDescent="0.3">
      <c r="A2432" t="s">
        <v>3383</v>
      </c>
      <c r="B2432" t="s">
        <v>5997</v>
      </c>
      <c r="C2432" t="s">
        <v>5487</v>
      </c>
      <c r="D2432" t="s">
        <v>4119</v>
      </c>
      <c r="E2432" t="s">
        <v>5532</v>
      </c>
      <c r="F2432" t="s">
        <v>12076</v>
      </c>
      <c r="G2432" t="s">
        <v>12077</v>
      </c>
      <c r="H2432" t="s">
        <v>5474</v>
      </c>
      <c r="I2432" t="s">
        <v>12078</v>
      </c>
      <c r="J2432" t="s">
        <v>5476</v>
      </c>
      <c r="K2432" t="s">
        <v>5471</v>
      </c>
      <c r="L2432" t="s">
        <v>5471</v>
      </c>
      <c r="M2432" t="s">
        <v>5471</v>
      </c>
    </row>
    <row r="2433" spans="1:13" x14ac:dyDescent="0.3">
      <c r="A2433" t="s">
        <v>3383</v>
      </c>
      <c r="B2433" t="s">
        <v>5267</v>
      </c>
      <c r="C2433" t="s">
        <v>5487</v>
      </c>
      <c r="D2433" t="s">
        <v>4119</v>
      </c>
      <c r="E2433" t="s">
        <v>5843</v>
      </c>
      <c r="F2433" t="s">
        <v>12079</v>
      </c>
      <c r="G2433" t="s">
        <v>12058</v>
      </c>
      <c r="H2433" t="s">
        <v>5474</v>
      </c>
      <c r="I2433" t="s">
        <v>12080</v>
      </c>
      <c r="J2433" t="s">
        <v>5476</v>
      </c>
      <c r="K2433" t="s">
        <v>5471</v>
      </c>
      <c r="L2433" t="s">
        <v>5471</v>
      </c>
      <c r="M2433" t="s">
        <v>5471</v>
      </c>
    </row>
    <row r="2434" spans="1:13" x14ac:dyDescent="0.3">
      <c r="A2434" t="s">
        <v>3383</v>
      </c>
      <c r="B2434" t="s">
        <v>5294</v>
      </c>
      <c r="C2434" t="s">
        <v>5470</v>
      </c>
      <c r="D2434" t="s">
        <v>4056</v>
      </c>
      <c r="E2434" t="s">
        <v>5756</v>
      </c>
      <c r="F2434" t="s">
        <v>12074</v>
      </c>
      <c r="G2434" t="s">
        <v>6944</v>
      </c>
      <c r="H2434" t="s">
        <v>5474</v>
      </c>
      <c r="I2434" t="s">
        <v>12081</v>
      </c>
      <c r="J2434" t="s">
        <v>5484</v>
      </c>
      <c r="K2434" t="s">
        <v>12082</v>
      </c>
      <c r="L2434" t="s">
        <v>5471</v>
      </c>
      <c r="M2434" t="s">
        <v>5471</v>
      </c>
    </row>
    <row r="2435" spans="1:13" x14ac:dyDescent="0.3">
      <c r="A2435" t="s">
        <v>3383</v>
      </c>
      <c r="B2435" t="s">
        <v>5997</v>
      </c>
      <c r="C2435" t="s">
        <v>5487</v>
      </c>
      <c r="D2435" t="s">
        <v>4119</v>
      </c>
      <c r="E2435" t="s">
        <v>5532</v>
      </c>
      <c r="F2435" t="s">
        <v>12083</v>
      </c>
      <c r="G2435" t="s">
        <v>12084</v>
      </c>
      <c r="H2435" t="s">
        <v>5474</v>
      </c>
      <c r="I2435" t="s">
        <v>12085</v>
      </c>
      <c r="J2435" t="s">
        <v>5476</v>
      </c>
      <c r="K2435" t="s">
        <v>5471</v>
      </c>
      <c r="L2435" t="s">
        <v>5471</v>
      </c>
      <c r="M2435" t="s">
        <v>5471</v>
      </c>
    </row>
    <row r="2436" spans="1:13" x14ac:dyDescent="0.3">
      <c r="A2436" t="s">
        <v>3383</v>
      </c>
      <c r="B2436" t="s">
        <v>6187</v>
      </c>
      <c r="C2436" t="s">
        <v>5470</v>
      </c>
      <c r="D2436" t="s">
        <v>4056</v>
      </c>
      <c r="E2436" t="s">
        <v>5756</v>
      </c>
      <c r="F2436" t="s">
        <v>12086</v>
      </c>
      <c r="G2436" t="s">
        <v>12048</v>
      </c>
      <c r="H2436" t="s">
        <v>5474</v>
      </c>
      <c r="I2436" t="s">
        <v>12087</v>
      </c>
      <c r="J2436" t="s">
        <v>5476</v>
      </c>
      <c r="K2436" t="s">
        <v>12088</v>
      </c>
      <c r="L2436" t="s">
        <v>5471</v>
      </c>
      <c r="M2436" t="s">
        <v>5471</v>
      </c>
    </row>
    <row r="2437" spans="1:13" x14ac:dyDescent="0.3">
      <c r="A2437" t="s">
        <v>3383</v>
      </c>
      <c r="B2437" t="s">
        <v>5294</v>
      </c>
      <c r="C2437" t="s">
        <v>5470</v>
      </c>
      <c r="D2437" t="s">
        <v>4056</v>
      </c>
      <c r="E2437" t="s">
        <v>5756</v>
      </c>
      <c r="F2437" t="s">
        <v>12089</v>
      </c>
      <c r="G2437" t="s">
        <v>5977</v>
      </c>
      <c r="H2437" t="s">
        <v>5474</v>
      </c>
      <c r="I2437" t="s">
        <v>12090</v>
      </c>
      <c r="J2437" t="s">
        <v>5484</v>
      </c>
      <c r="K2437" t="s">
        <v>12091</v>
      </c>
      <c r="L2437" t="s">
        <v>5471</v>
      </c>
      <c r="M2437" t="s">
        <v>5471</v>
      </c>
    </row>
    <row r="2438" spans="1:13" x14ac:dyDescent="0.3">
      <c r="A2438" t="s">
        <v>3383</v>
      </c>
      <c r="B2438" t="s">
        <v>5997</v>
      </c>
      <c r="C2438" t="s">
        <v>5487</v>
      </c>
      <c r="D2438" t="s">
        <v>4119</v>
      </c>
      <c r="E2438" t="s">
        <v>5532</v>
      </c>
      <c r="F2438" t="s">
        <v>12092</v>
      </c>
      <c r="G2438" t="s">
        <v>12093</v>
      </c>
      <c r="H2438" t="s">
        <v>5474</v>
      </c>
      <c r="I2438" t="s">
        <v>12094</v>
      </c>
      <c r="J2438" t="s">
        <v>5476</v>
      </c>
      <c r="K2438" t="s">
        <v>5471</v>
      </c>
      <c r="L2438" t="s">
        <v>5471</v>
      </c>
      <c r="M2438" t="s">
        <v>5471</v>
      </c>
    </row>
    <row r="2439" spans="1:13" x14ac:dyDescent="0.3">
      <c r="A2439" t="s">
        <v>3383</v>
      </c>
      <c r="B2439" t="s">
        <v>5294</v>
      </c>
      <c r="C2439" t="s">
        <v>5470</v>
      </c>
      <c r="D2439" t="s">
        <v>4056</v>
      </c>
      <c r="E2439" t="s">
        <v>5756</v>
      </c>
      <c r="F2439" t="s">
        <v>12095</v>
      </c>
      <c r="G2439" t="s">
        <v>5977</v>
      </c>
      <c r="H2439" t="s">
        <v>5474</v>
      </c>
      <c r="I2439" t="s">
        <v>12096</v>
      </c>
      <c r="J2439" t="s">
        <v>5484</v>
      </c>
      <c r="K2439" t="s">
        <v>12091</v>
      </c>
      <c r="L2439" t="s">
        <v>5471</v>
      </c>
      <c r="M2439" t="s">
        <v>5471</v>
      </c>
    </row>
    <row r="2440" spans="1:13" x14ac:dyDescent="0.3">
      <c r="A2440" t="s">
        <v>3383</v>
      </c>
      <c r="B2440" t="s">
        <v>5294</v>
      </c>
      <c r="C2440" t="s">
        <v>5470</v>
      </c>
      <c r="D2440" t="s">
        <v>4056</v>
      </c>
      <c r="E2440" t="s">
        <v>5756</v>
      </c>
      <c r="F2440" t="s">
        <v>12097</v>
      </c>
      <c r="G2440" t="s">
        <v>5977</v>
      </c>
      <c r="H2440" t="s">
        <v>5474</v>
      </c>
      <c r="I2440" t="s">
        <v>12098</v>
      </c>
      <c r="J2440" t="s">
        <v>5476</v>
      </c>
      <c r="K2440" t="s">
        <v>12099</v>
      </c>
      <c r="L2440" t="s">
        <v>5471</v>
      </c>
      <c r="M2440" t="s">
        <v>5471</v>
      </c>
    </row>
    <row r="2441" spans="1:13" x14ac:dyDescent="0.3">
      <c r="A2441" t="s">
        <v>3383</v>
      </c>
      <c r="B2441" t="s">
        <v>5986</v>
      </c>
      <c r="C2441" t="s">
        <v>5487</v>
      </c>
      <c r="D2441" t="s">
        <v>4119</v>
      </c>
      <c r="E2441" t="s">
        <v>5532</v>
      </c>
      <c r="F2441" t="s">
        <v>12100</v>
      </c>
      <c r="G2441" t="s">
        <v>12101</v>
      </c>
      <c r="H2441" t="s">
        <v>5474</v>
      </c>
      <c r="I2441" t="s">
        <v>12102</v>
      </c>
      <c r="J2441" t="s">
        <v>5476</v>
      </c>
      <c r="K2441" t="s">
        <v>5471</v>
      </c>
      <c r="L2441" t="s">
        <v>5471</v>
      </c>
      <c r="M2441" t="s">
        <v>5471</v>
      </c>
    </row>
    <row r="2442" spans="1:13" x14ac:dyDescent="0.3">
      <c r="A2442" t="s">
        <v>3383</v>
      </c>
      <c r="B2442" t="s">
        <v>5986</v>
      </c>
      <c r="C2442" t="s">
        <v>5487</v>
      </c>
      <c r="D2442" t="s">
        <v>4119</v>
      </c>
      <c r="E2442" t="s">
        <v>5532</v>
      </c>
      <c r="F2442" t="s">
        <v>12103</v>
      </c>
      <c r="G2442" t="s">
        <v>12104</v>
      </c>
      <c r="H2442" t="s">
        <v>5474</v>
      </c>
      <c r="I2442" t="s">
        <v>12105</v>
      </c>
      <c r="J2442" t="s">
        <v>5476</v>
      </c>
      <c r="K2442" t="s">
        <v>5471</v>
      </c>
      <c r="L2442" t="s">
        <v>5471</v>
      </c>
      <c r="M2442" t="s">
        <v>5471</v>
      </c>
    </row>
    <row r="2443" spans="1:13" x14ac:dyDescent="0.3">
      <c r="A2443" t="s">
        <v>3383</v>
      </c>
      <c r="B2443" t="s">
        <v>6187</v>
      </c>
      <c r="C2443" t="s">
        <v>5470</v>
      </c>
      <c r="D2443" t="s">
        <v>4056</v>
      </c>
      <c r="E2443" t="s">
        <v>5756</v>
      </c>
      <c r="F2443" t="s">
        <v>12106</v>
      </c>
      <c r="G2443" t="s">
        <v>12048</v>
      </c>
      <c r="H2443" t="s">
        <v>5474</v>
      </c>
      <c r="I2443" t="s">
        <v>12107</v>
      </c>
      <c r="J2443" t="s">
        <v>5476</v>
      </c>
      <c r="K2443" t="s">
        <v>12108</v>
      </c>
      <c r="L2443" t="s">
        <v>5471</v>
      </c>
      <c r="M2443" t="s">
        <v>5471</v>
      </c>
    </row>
    <row r="2444" spans="1:13" x14ac:dyDescent="0.3">
      <c r="A2444" t="s">
        <v>3383</v>
      </c>
      <c r="B2444" t="s">
        <v>5986</v>
      </c>
      <c r="C2444" t="s">
        <v>5487</v>
      </c>
      <c r="D2444" t="s">
        <v>4119</v>
      </c>
      <c r="E2444" t="s">
        <v>5532</v>
      </c>
      <c r="F2444" t="s">
        <v>12109</v>
      </c>
      <c r="G2444" t="s">
        <v>12110</v>
      </c>
      <c r="H2444" t="s">
        <v>5474</v>
      </c>
      <c r="I2444" t="s">
        <v>12111</v>
      </c>
      <c r="J2444" t="s">
        <v>5476</v>
      </c>
      <c r="K2444" t="s">
        <v>5471</v>
      </c>
      <c r="L2444" t="s">
        <v>5471</v>
      </c>
      <c r="M2444" t="s">
        <v>5471</v>
      </c>
    </row>
    <row r="2445" spans="1:13" x14ac:dyDescent="0.3">
      <c r="A2445" t="s">
        <v>3383</v>
      </c>
      <c r="B2445" t="s">
        <v>12112</v>
      </c>
      <c r="C2445" t="s">
        <v>5470</v>
      </c>
      <c r="D2445" t="s">
        <v>4119</v>
      </c>
      <c r="E2445" t="s">
        <v>5532</v>
      </c>
      <c r="F2445" t="s">
        <v>12113</v>
      </c>
      <c r="G2445" t="s">
        <v>12114</v>
      </c>
      <c r="H2445" t="s">
        <v>5474</v>
      </c>
      <c r="I2445" t="s">
        <v>12115</v>
      </c>
      <c r="J2445" t="s">
        <v>5476</v>
      </c>
      <c r="K2445" t="s">
        <v>5471</v>
      </c>
      <c r="L2445" t="s">
        <v>5471</v>
      </c>
      <c r="M2445" t="s">
        <v>5471</v>
      </c>
    </row>
    <row r="2446" spans="1:13" x14ac:dyDescent="0.3">
      <c r="A2446" t="s">
        <v>3383</v>
      </c>
      <c r="B2446" t="s">
        <v>12112</v>
      </c>
      <c r="C2446" t="s">
        <v>5470</v>
      </c>
      <c r="D2446" t="s">
        <v>4119</v>
      </c>
      <c r="E2446" t="s">
        <v>5480</v>
      </c>
      <c r="F2446" t="s">
        <v>12116</v>
      </c>
      <c r="G2446" t="s">
        <v>12117</v>
      </c>
      <c r="H2446" t="s">
        <v>5474</v>
      </c>
      <c r="I2446" t="s">
        <v>12118</v>
      </c>
      <c r="J2446" t="s">
        <v>5476</v>
      </c>
      <c r="K2446" t="s">
        <v>5471</v>
      </c>
      <c r="L2446" t="s">
        <v>5471</v>
      </c>
      <c r="M2446" t="s">
        <v>5471</v>
      </c>
    </row>
    <row r="2447" spans="1:13" x14ac:dyDescent="0.3">
      <c r="A2447" t="s">
        <v>3383</v>
      </c>
      <c r="B2447" t="s">
        <v>12119</v>
      </c>
      <c r="C2447" t="s">
        <v>5470</v>
      </c>
      <c r="D2447" t="s">
        <v>4119</v>
      </c>
      <c r="E2447" t="s">
        <v>5471</v>
      </c>
      <c r="F2447" t="s">
        <v>12120</v>
      </c>
      <c r="G2447" t="s">
        <v>12119</v>
      </c>
      <c r="H2447" t="s">
        <v>5474</v>
      </c>
      <c r="I2447" t="s">
        <v>12121</v>
      </c>
      <c r="J2447" t="s">
        <v>5484</v>
      </c>
      <c r="K2447" t="s">
        <v>12122</v>
      </c>
      <c r="L2447" t="s">
        <v>5471</v>
      </c>
      <c r="M2447" t="s">
        <v>5471</v>
      </c>
    </row>
    <row r="2448" spans="1:13" x14ac:dyDescent="0.3">
      <c r="A2448" t="s">
        <v>3383</v>
      </c>
      <c r="B2448" t="s">
        <v>12123</v>
      </c>
      <c r="C2448" t="s">
        <v>5470</v>
      </c>
      <c r="D2448" t="s">
        <v>4119</v>
      </c>
      <c r="E2448" t="s">
        <v>5471</v>
      </c>
      <c r="F2448" t="s">
        <v>12124</v>
      </c>
      <c r="G2448" t="s">
        <v>12123</v>
      </c>
      <c r="H2448" t="s">
        <v>5474</v>
      </c>
      <c r="I2448" t="s">
        <v>12125</v>
      </c>
      <c r="J2448" t="s">
        <v>5484</v>
      </c>
      <c r="K2448" t="s">
        <v>12126</v>
      </c>
      <c r="L2448" t="s">
        <v>5471</v>
      </c>
      <c r="M2448" t="s">
        <v>5471</v>
      </c>
    </row>
    <row r="2449" spans="1:13" x14ac:dyDescent="0.3">
      <c r="A2449" t="s">
        <v>3383</v>
      </c>
      <c r="B2449" t="s">
        <v>12127</v>
      </c>
      <c r="C2449" t="s">
        <v>5470</v>
      </c>
      <c r="D2449" t="s">
        <v>4119</v>
      </c>
      <c r="E2449" t="s">
        <v>5471</v>
      </c>
      <c r="F2449" t="s">
        <v>12128</v>
      </c>
      <c r="G2449" t="s">
        <v>12127</v>
      </c>
      <c r="H2449" t="s">
        <v>5474</v>
      </c>
      <c r="I2449" t="s">
        <v>12129</v>
      </c>
      <c r="J2449" t="s">
        <v>5484</v>
      </c>
      <c r="K2449" t="s">
        <v>12130</v>
      </c>
      <c r="L2449" t="s">
        <v>5471</v>
      </c>
      <c r="M2449" t="s">
        <v>5471</v>
      </c>
    </row>
    <row r="2450" spans="1:13" x14ac:dyDescent="0.3">
      <c r="A2450" t="s">
        <v>3383</v>
      </c>
      <c r="B2450" t="s">
        <v>12131</v>
      </c>
      <c r="C2450" t="s">
        <v>5470</v>
      </c>
      <c r="D2450" t="s">
        <v>4119</v>
      </c>
      <c r="E2450" t="s">
        <v>5471</v>
      </c>
      <c r="F2450" t="s">
        <v>12132</v>
      </c>
      <c r="G2450" t="s">
        <v>12131</v>
      </c>
      <c r="H2450" t="s">
        <v>5474</v>
      </c>
      <c r="I2450" t="s">
        <v>12133</v>
      </c>
      <c r="J2450" t="s">
        <v>5484</v>
      </c>
      <c r="K2450" t="s">
        <v>12134</v>
      </c>
      <c r="L2450" t="s">
        <v>5471</v>
      </c>
      <c r="M2450" t="s">
        <v>5471</v>
      </c>
    </row>
    <row r="2451" spans="1:13" x14ac:dyDescent="0.3">
      <c r="A2451" t="s">
        <v>3383</v>
      </c>
      <c r="B2451" t="s">
        <v>12135</v>
      </c>
      <c r="C2451" t="s">
        <v>5470</v>
      </c>
      <c r="D2451" t="s">
        <v>4119</v>
      </c>
      <c r="E2451" t="s">
        <v>5471</v>
      </c>
      <c r="F2451" t="s">
        <v>12136</v>
      </c>
      <c r="G2451" t="s">
        <v>12135</v>
      </c>
      <c r="H2451" t="s">
        <v>5474</v>
      </c>
      <c r="I2451" t="s">
        <v>12137</v>
      </c>
      <c r="J2451" t="s">
        <v>5484</v>
      </c>
      <c r="K2451" t="s">
        <v>12138</v>
      </c>
      <c r="L2451" t="s">
        <v>5471</v>
      </c>
      <c r="M2451" t="s">
        <v>5471</v>
      </c>
    </row>
    <row r="2452" spans="1:13" x14ac:dyDescent="0.3">
      <c r="A2452" t="s">
        <v>3383</v>
      </c>
      <c r="B2452" t="s">
        <v>12139</v>
      </c>
      <c r="C2452" t="s">
        <v>5470</v>
      </c>
      <c r="D2452" t="s">
        <v>4119</v>
      </c>
      <c r="E2452" t="s">
        <v>5471</v>
      </c>
      <c r="F2452" t="s">
        <v>12140</v>
      </c>
      <c r="G2452" t="s">
        <v>12139</v>
      </c>
      <c r="H2452" t="s">
        <v>5474</v>
      </c>
      <c r="I2452" t="s">
        <v>12141</v>
      </c>
      <c r="J2452" t="s">
        <v>5484</v>
      </c>
      <c r="K2452" t="s">
        <v>12142</v>
      </c>
      <c r="L2452" t="s">
        <v>5471</v>
      </c>
      <c r="M2452" t="s">
        <v>5471</v>
      </c>
    </row>
    <row r="2453" spans="1:13" x14ac:dyDescent="0.3">
      <c r="A2453" t="s">
        <v>3383</v>
      </c>
      <c r="B2453" t="s">
        <v>8871</v>
      </c>
      <c r="C2453" t="s">
        <v>5470</v>
      </c>
      <c r="D2453" t="s">
        <v>4119</v>
      </c>
      <c r="E2453" t="s">
        <v>5532</v>
      </c>
      <c r="F2453" t="s">
        <v>12143</v>
      </c>
      <c r="G2453" t="s">
        <v>8929</v>
      </c>
      <c r="H2453" t="s">
        <v>5474</v>
      </c>
      <c r="I2453" t="s">
        <v>12144</v>
      </c>
      <c r="J2453" t="s">
        <v>5484</v>
      </c>
      <c r="K2453" t="s">
        <v>12145</v>
      </c>
      <c r="L2453" t="s">
        <v>5471</v>
      </c>
      <c r="M2453" t="s">
        <v>5471</v>
      </c>
    </row>
    <row r="2454" spans="1:13" x14ac:dyDescent="0.3">
      <c r="A2454" t="s">
        <v>3383</v>
      </c>
      <c r="B2454" t="s">
        <v>8871</v>
      </c>
      <c r="C2454" t="s">
        <v>5470</v>
      </c>
      <c r="D2454" t="s">
        <v>4119</v>
      </c>
      <c r="E2454" t="s">
        <v>5532</v>
      </c>
      <c r="F2454" t="s">
        <v>12146</v>
      </c>
      <c r="G2454" t="s">
        <v>12119</v>
      </c>
      <c r="H2454" t="s">
        <v>5474</v>
      </c>
      <c r="I2454" t="s">
        <v>12147</v>
      </c>
      <c r="J2454" t="s">
        <v>5484</v>
      </c>
      <c r="K2454" t="s">
        <v>12122</v>
      </c>
      <c r="L2454" t="s">
        <v>5471</v>
      </c>
      <c r="M2454" t="s">
        <v>5471</v>
      </c>
    </row>
    <row r="2455" spans="1:13" x14ac:dyDescent="0.3">
      <c r="A2455" t="s">
        <v>3383</v>
      </c>
      <c r="B2455" t="s">
        <v>8871</v>
      </c>
      <c r="C2455" t="s">
        <v>5470</v>
      </c>
      <c r="D2455" t="s">
        <v>4119</v>
      </c>
      <c r="E2455" t="s">
        <v>5532</v>
      </c>
      <c r="F2455" t="s">
        <v>12148</v>
      </c>
      <c r="G2455" t="s">
        <v>12123</v>
      </c>
      <c r="H2455" t="s">
        <v>5474</v>
      </c>
      <c r="I2455" t="s">
        <v>12149</v>
      </c>
      <c r="J2455" t="s">
        <v>5484</v>
      </c>
      <c r="K2455" t="s">
        <v>12126</v>
      </c>
      <c r="L2455" t="s">
        <v>5471</v>
      </c>
      <c r="M2455" t="s">
        <v>5471</v>
      </c>
    </row>
    <row r="2456" spans="1:13" x14ac:dyDescent="0.3">
      <c r="A2456" t="s">
        <v>3383</v>
      </c>
      <c r="B2456" t="s">
        <v>5952</v>
      </c>
      <c r="C2456" t="s">
        <v>5470</v>
      </c>
      <c r="D2456" t="s">
        <v>4119</v>
      </c>
      <c r="E2456" t="s">
        <v>5756</v>
      </c>
      <c r="F2456" t="s">
        <v>12150</v>
      </c>
      <c r="G2456" t="s">
        <v>6369</v>
      </c>
      <c r="H2456" t="s">
        <v>5474</v>
      </c>
      <c r="I2456" t="s">
        <v>12151</v>
      </c>
      <c r="J2456" t="s">
        <v>5476</v>
      </c>
      <c r="K2456" t="s">
        <v>12152</v>
      </c>
      <c r="L2456" t="s">
        <v>5471</v>
      </c>
      <c r="M2456" t="s">
        <v>5471</v>
      </c>
    </row>
    <row r="2457" spans="1:13" x14ac:dyDescent="0.3">
      <c r="A2457" t="s">
        <v>3383</v>
      </c>
      <c r="B2457" t="s">
        <v>5952</v>
      </c>
      <c r="C2457" t="s">
        <v>5470</v>
      </c>
      <c r="D2457" t="s">
        <v>4119</v>
      </c>
      <c r="E2457" t="s">
        <v>5756</v>
      </c>
      <c r="F2457" t="s">
        <v>12153</v>
      </c>
      <c r="G2457" t="s">
        <v>12154</v>
      </c>
      <c r="H2457" t="s">
        <v>5474</v>
      </c>
      <c r="I2457" t="s">
        <v>12155</v>
      </c>
      <c r="J2457" t="s">
        <v>5476</v>
      </c>
      <c r="K2457" t="s">
        <v>12156</v>
      </c>
      <c r="L2457" t="s">
        <v>5471</v>
      </c>
      <c r="M2457" t="s">
        <v>5471</v>
      </c>
    </row>
    <row r="2458" spans="1:13" x14ac:dyDescent="0.3">
      <c r="A2458" t="s">
        <v>3383</v>
      </c>
      <c r="B2458" t="s">
        <v>5294</v>
      </c>
      <c r="C2458" t="s">
        <v>5470</v>
      </c>
      <c r="D2458" t="s">
        <v>4056</v>
      </c>
      <c r="E2458" t="s">
        <v>5532</v>
      </c>
      <c r="F2458" t="s">
        <v>12157</v>
      </c>
      <c r="G2458" t="s">
        <v>6407</v>
      </c>
      <c r="H2458" t="s">
        <v>5474</v>
      </c>
      <c r="I2458" t="s">
        <v>12158</v>
      </c>
      <c r="J2458" t="s">
        <v>5484</v>
      </c>
      <c r="K2458" t="s">
        <v>12159</v>
      </c>
      <c r="L2458" t="s">
        <v>5471</v>
      </c>
      <c r="M2458" t="s">
        <v>5471</v>
      </c>
    </row>
    <row r="2459" spans="1:13" x14ac:dyDescent="0.3">
      <c r="A2459" t="s">
        <v>3383</v>
      </c>
      <c r="B2459" t="s">
        <v>5294</v>
      </c>
      <c r="C2459" t="s">
        <v>5470</v>
      </c>
      <c r="D2459" t="s">
        <v>4056</v>
      </c>
      <c r="E2459" t="s">
        <v>5532</v>
      </c>
      <c r="F2459" t="s">
        <v>12160</v>
      </c>
      <c r="G2459" t="s">
        <v>6407</v>
      </c>
      <c r="H2459" t="s">
        <v>5474</v>
      </c>
      <c r="I2459" t="s">
        <v>12161</v>
      </c>
      <c r="J2459" t="s">
        <v>5484</v>
      </c>
      <c r="K2459" t="s">
        <v>12162</v>
      </c>
      <c r="L2459" t="s">
        <v>5471</v>
      </c>
      <c r="M2459" t="s">
        <v>5471</v>
      </c>
    </row>
    <row r="2460" spans="1:13" x14ac:dyDescent="0.3">
      <c r="A2460" t="s">
        <v>3383</v>
      </c>
      <c r="B2460" t="s">
        <v>5294</v>
      </c>
      <c r="C2460" t="s">
        <v>5470</v>
      </c>
      <c r="D2460" t="s">
        <v>4056</v>
      </c>
      <c r="E2460" t="s">
        <v>5532</v>
      </c>
      <c r="F2460" t="s">
        <v>12163</v>
      </c>
      <c r="G2460" t="s">
        <v>6407</v>
      </c>
      <c r="H2460" t="s">
        <v>5474</v>
      </c>
      <c r="I2460" t="s">
        <v>12164</v>
      </c>
      <c r="J2460" t="s">
        <v>5484</v>
      </c>
      <c r="K2460" t="s">
        <v>12165</v>
      </c>
      <c r="L2460" t="s">
        <v>5471</v>
      </c>
      <c r="M2460" t="s">
        <v>5471</v>
      </c>
    </row>
    <row r="2461" spans="1:13" x14ac:dyDescent="0.3">
      <c r="A2461" t="s">
        <v>3383</v>
      </c>
      <c r="B2461" t="s">
        <v>5952</v>
      </c>
      <c r="C2461" t="s">
        <v>5470</v>
      </c>
      <c r="D2461" t="s">
        <v>4056</v>
      </c>
      <c r="E2461" t="s">
        <v>5756</v>
      </c>
      <c r="F2461" t="s">
        <v>12166</v>
      </c>
      <c r="G2461" t="s">
        <v>6199</v>
      </c>
      <c r="H2461" t="s">
        <v>5474</v>
      </c>
      <c r="I2461" t="s">
        <v>12167</v>
      </c>
      <c r="J2461" t="s">
        <v>5476</v>
      </c>
      <c r="K2461" t="s">
        <v>12168</v>
      </c>
      <c r="L2461" t="s">
        <v>5471</v>
      </c>
      <c r="M2461" t="s">
        <v>5471</v>
      </c>
    </row>
    <row r="2462" spans="1:13" x14ac:dyDescent="0.3">
      <c r="A2462" t="s">
        <v>3383</v>
      </c>
      <c r="B2462" t="s">
        <v>5952</v>
      </c>
      <c r="C2462" t="s">
        <v>5470</v>
      </c>
      <c r="D2462" t="s">
        <v>4056</v>
      </c>
      <c r="E2462" t="s">
        <v>5756</v>
      </c>
      <c r="F2462" t="s">
        <v>12169</v>
      </c>
      <c r="G2462" t="s">
        <v>6199</v>
      </c>
      <c r="H2462" t="s">
        <v>5474</v>
      </c>
      <c r="I2462" t="s">
        <v>12170</v>
      </c>
      <c r="J2462" t="s">
        <v>5476</v>
      </c>
      <c r="K2462" t="s">
        <v>12168</v>
      </c>
      <c r="L2462" t="s">
        <v>5471</v>
      </c>
      <c r="M2462" t="s">
        <v>5471</v>
      </c>
    </row>
    <row r="2463" spans="1:13" x14ac:dyDescent="0.3">
      <c r="A2463" t="s">
        <v>3383</v>
      </c>
      <c r="B2463" t="s">
        <v>5294</v>
      </c>
      <c r="C2463" t="s">
        <v>5470</v>
      </c>
      <c r="D2463" t="s">
        <v>4056</v>
      </c>
      <c r="E2463" t="s">
        <v>5532</v>
      </c>
      <c r="F2463" t="s">
        <v>12171</v>
      </c>
      <c r="G2463" t="s">
        <v>7513</v>
      </c>
      <c r="H2463" t="s">
        <v>5474</v>
      </c>
      <c r="I2463" t="s">
        <v>12172</v>
      </c>
      <c r="J2463" t="s">
        <v>5484</v>
      </c>
      <c r="K2463" t="s">
        <v>12173</v>
      </c>
      <c r="L2463" t="s">
        <v>5471</v>
      </c>
      <c r="M2463" t="s">
        <v>5471</v>
      </c>
    </row>
    <row r="2464" spans="1:13" x14ac:dyDescent="0.3">
      <c r="A2464" t="s">
        <v>3383</v>
      </c>
      <c r="B2464" t="s">
        <v>5952</v>
      </c>
      <c r="C2464" t="s">
        <v>5470</v>
      </c>
      <c r="D2464" t="s">
        <v>4056</v>
      </c>
      <c r="E2464" t="s">
        <v>5756</v>
      </c>
      <c r="F2464" t="s">
        <v>12174</v>
      </c>
      <c r="G2464" t="s">
        <v>6369</v>
      </c>
      <c r="H2464" t="s">
        <v>5474</v>
      </c>
      <c r="I2464" t="s">
        <v>12175</v>
      </c>
      <c r="J2464" t="s">
        <v>5484</v>
      </c>
      <c r="K2464" t="s">
        <v>12025</v>
      </c>
      <c r="L2464" t="s">
        <v>5471</v>
      </c>
      <c r="M2464" t="s">
        <v>5471</v>
      </c>
    </row>
    <row r="2465" spans="1:13" x14ac:dyDescent="0.3">
      <c r="A2465" t="s">
        <v>3383</v>
      </c>
      <c r="B2465" t="s">
        <v>5294</v>
      </c>
      <c r="C2465" t="s">
        <v>5470</v>
      </c>
      <c r="D2465" t="s">
        <v>4056</v>
      </c>
      <c r="E2465" t="s">
        <v>5532</v>
      </c>
      <c r="F2465" t="s">
        <v>12176</v>
      </c>
      <c r="G2465" t="s">
        <v>6337</v>
      </c>
      <c r="H2465" t="s">
        <v>5474</v>
      </c>
      <c r="I2465" t="s">
        <v>12177</v>
      </c>
      <c r="J2465" t="s">
        <v>5484</v>
      </c>
      <c r="K2465" t="s">
        <v>12178</v>
      </c>
      <c r="L2465" t="s">
        <v>5471</v>
      </c>
      <c r="M2465" t="s">
        <v>5471</v>
      </c>
    </row>
    <row r="2466" spans="1:13" x14ac:dyDescent="0.3">
      <c r="A2466" t="s">
        <v>3383</v>
      </c>
      <c r="B2466" t="s">
        <v>5952</v>
      </c>
      <c r="C2466" t="s">
        <v>5470</v>
      </c>
      <c r="D2466" t="s">
        <v>4119</v>
      </c>
      <c r="E2466" t="s">
        <v>5756</v>
      </c>
      <c r="F2466" t="s">
        <v>12179</v>
      </c>
      <c r="G2466" t="s">
        <v>6369</v>
      </c>
      <c r="H2466" t="s">
        <v>5474</v>
      </c>
      <c r="I2466" t="s">
        <v>12180</v>
      </c>
      <c r="J2466" t="s">
        <v>5476</v>
      </c>
      <c r="K2466" t="s">
        <v>5471</v>
      </c>
      <c r="L2466" t="s">
        <v>5471</v>
      </c>
      <c r="M2466" t="s">
        <v>5471</v>
      </c>
    </row>
    <row r="2467" spans="1:13" x14ac:dyDescent="0.3">
      <c r="A2467" t="s">
        <v>3383</v>
      </c>
      <c r="B2467" t="s">
        <v>5952</v>
      </c>
      <c r="C2467" t="s">
        <v>5470</v>
      </c>
      <c r="D2467" t="s">
        <v>4119</v>
      </c>
      <c r="E2467" t="s">
        <v>5756</v>
      </c>
      <c r="F2467" t="s">
        <v>12181</v>
      </c>
      <c r="G2467" t="s">
        <v>6369</v>
      </c>
      <c r="H2467" t="s">
        <v>5474</v>
      </c>
      <c r="I2467" t="s">
        <v>12182</v>
      </c>
      <c r="J2467" t="s">
        <v>5476</v>
      </c>
      <c r="K2467" t="s">
        <v>5471</v>
      </c>
      <c r="L2467" t="s">
        <v>5471</v>
      </c>
      <c r="M2467" t="s">
        <v>5471</v>
      </c>
    </row>
    <row r="2468" spans="1:13" x14ac:dyDescent="0.3">
      <c r="A2468" t="s">
        <v>3383</v>
      </c>
      <c r="B2468" t="s">
        <v>5952</v>
      </c>
      <c r="C2468" t="s">
        <v>5470</v>
      </c>
      <c r="D2468" t="s">
        <v>4119</v>
      </c>
      <c r="E2468" t="s">
        <v>5756</v>
      </c>
      <c r="F2468" t="s">
        <v>12183</v>
      </c>
      <c r="G2468" t="s">
        <v>6289</v>
      </c>
      <c r="H2468" t="s">
        <v>5474</v>
      </c>
      <c r="I2468" t="s">
        <v>12184</v>
      </c>
      <c r="J2468" t="s">
        <v>5476</v>
      </c>
      <c r="K2468" t="s">
        <v>5471</v>
      </c>
      <c r="L2468" t="s">
        <v>5471</v>
      </c>
      <c r="M2468" t="s">
        <v>5471</v>
      </c>
    </row>
    <row r="2469" spans="1:13" x14ac:dyDescent="0.3">
      <c r="A2469" t="s">
        <v>3383</v>
      </c>
      <c r="B2469" t="s">
        <v>5952</v>
      </c>
      <c r="C2469" t="s">
        <v>5470</v>
      </c>
      <c r="D2469" t="s">
        <v>4119</v>
      </c>
      <c r="E2469" t="s">
        <v>5756</v>
      </c>
      <c r="F2469" t="s">
        <v>12185</v>
      </c>
      <c r="G2469" t="s">
        <v>6293</v>
      </c>
      <c r="H2469" t="s">
        <v>5474</v>
      </c>
      <c r="I2469" t="s">
        <v>12186</v>
      </c>
      <c r="J2469" t="s">
        <v>5476</v>
      </c>
      <c r="K2469" t="s">
        <v>5471</v>
      </c>
      <c r="L2469" t="s">
        <v>5471</v>
      </c>
      <c r="M2469" t="s">
        <v>5471</v>
      </c>
    </row>
    <row r="2470" spans="1:13" x14ac:dyDescent="0.3">
      <c r="A2470" t="s">
        <v>3383</v>
      </c>
      <c r="B2470" t="s">
        <v>5294</v>
      </c>
      <c r="C2470" t="s">
        <v>5470</v>
      </c>
      <c r="D2470" t="s">
        <v>4119</v>
      </c>
      <c r="E2470" t="s">
        <v>5532</v>
      </c>
      <c r="F2470" t="s">
        <v>12187</v>
      </c>
      <c r="G2470" t="s">
        <v>6337</v>
      </c>
      <c r="H2470" t="s">
        <v>5474</v>
      </c>
      <c r="I2470" t="s">
        <v>12188</v>
      </c>
      <c r="J2470" t="s">
        <v>5476</v>
      </c>
      <c r="K2470" t="s">
        <v>5471</v>
      </c>
      <c r="L2470" t="s">
        <v>5471</v>
      </c>
      <c r="M2470" t="s">
        <v>5471</v>
      </c>
    </row>
    <row r="2471" spans="1:13" x14ac:dyDescent="0.3">
      <c r="A2471" t="s">
        <v>3383</v>
      </c>
      <c r="B2471" t="s">
        <v>5294</v>
      </c>
      <c r="C2471" t="s">
        <v>5470</v>
      </c>
      <c r="D2471" t="s">
        <v>4119</v>
      </c>
      <c r="E2471" t="s">
        <v>5756</v>
      </c>
      <c r="F2471" t="s">
        <v>12189</v>
      </c>
      <c r="G2471" t="s">
        <v>6279</v>
      </c>
      <c r="H2471" t="s">
        <v>5474</v>
      </c>
      <c r="I2471" t="s">
        <v>12190</v>
      </c>
      <c r="J2471" t="s">
        <v>5476</v>
      </c>
      <c r="K2471" t="s">
        <v>5471</v>
      </c>
      <c r="L2471" t="s">
        <v>5471</v>
      </c>
      <c r="M2471" t="s">
        <v>5471</v>
      </c>
    </row>
    <row r="2472" spans="1:13" x14ac:dyDescent="0.3">
      <c r="A2472" t="s">
        <v>3383</v>
      </c>
      <c r="B2472" t="s">
        <v>5294</v>
      </c>
      <c r="C2472" t="s">
        <v>5470</v>
      </c>
      <c r="D2472" t="s">
        <v>4119</v>
      </c>
      <c r="E2472" t="s">
        <v>5756</v>
      </c>
      <c r="F2472" t="s">
        <v>12191</v>
      </c>
      <c r="G2472" t="s">
        <v>6199</v>
      </c>
      <c r="H2472" t="s">
        <v>5474</v>
      </c>
      <c r="I2472" t="s">
        <v>12192</v>
      </c>
      <c r="J2472" t="s">
        <v>5476</v>
      </c>
      <c r="K2472" t="s">
        <v>5471</v>
      </c>
      <c r="L2472" t="s">
        <v>5471</v>
      </c>
      <c r="M2472" t="s">
        <v>5471</v>
      </c>
    </row>
    <row r="2473" spans="1:13" x14ac:dyDescent="0.3">
      <c r="A2473" t="s">
        <v>3383</v>
      </c>
      <c r="B2473" t="s">
        <v>5294</v>
      </c>
      <c r="C2473" t="s">
        <v>5470</v>
      </c>
      <c r="D2473" t="s">
        <v>4119</v>
      </c>
      <c r="E2473" t="s">
        <v>5756</v>
      </c>
      <c r="F2473" t="s">
        <v>12193</v>
      </c>
      <c r="G2473" t="s">
        <v>6283</v>
      </c>
      <c r="H2473" t="s">
        <v>5474</v>
      </c>
      <c r="I2473" t="s">
        <v>12194</v>
      </c>
      <c r="J2473" t="s">
        <v>5476</v>
      </c>
      <c r="K2473" t="s">
        <v>5471</v>
      </c>
      <c r="L2473" t="s">
        <v>5471</v>
      </c>
      <c r="M2473" t="s">
        <v>5471</v>
      </c>
    </row>
    <row r="2474" spans="1:13" x14ac:dyDescent="0.3">
      <c r="A2474" t="s">
        <v>3383</v>
      </c>
      <c r="B2474" t="s">
        <v>5294</v>
      </c>
      <c r="C2474" t="s">
        <v>5470</v>
      </c>
      <c r="D2474" t="s">
        <v>4119</v>
      </c>
      <c r="E2474" t="s">
        <v>5756</v>
      </c>
      <c r="F2474" t="s">
        <v>12195</v>
      </c>
      <c r="G2474" t="s">
        <v>12196</v>
      </c>
      <c r="H2474" t="s">
        <v>5474</v>
      </c>
      <c r="I2474" t="s">
        <v>12197</v>
      </c>
      <c r="J2474" t="s">
        <v>5476</v>
      </c>
      <c r="K2474" t="s">
        <v>5471</v>
      </c>
      <c r="L2474" t="s">
        <v>5471</v>
      </c>
      <c r="M2474" t="s">
        <v>5471</v>
      </c>
    </row>
    <row r="2475" spans="1:13" x14ac:dyDescent="0.3">
      <c r="A2475" t="s">
        <v>3383</v>
      </c>
      <c r="B2475" t="s">
        <v>5294</v>
      </c>
      <c r="C2475" t="s">
        <v>5470</v>
      </c>
      <c r="D2475" t="s">
        <v>4119</v>
      </c>
      <c r="E2475" t="s">
        <v>5480</v>
      </c>
      <c r="F2475" t="s">
        <v>12198</v>
      </c>
      <c r="G2475" t="s">
        <v>12199</v>
      </c>
      <c r="H2475" t="s">
        <v>5474</v>
      </c>
      <c r="I2475" t="s">
        <v>12200</v>
      </c>
      <c r="J2475" t="s">
        <v>5476</v>
      </c>
      <c r="K2475" t="s">
        <v>5471</v>
      </c>
      <c r="L2475" t="s">
        <v>5471</v>
      </c>
      <c r="M2475" t="s">
        <v>5471</v>
      </c>
    </row>
    <row r="2476" spans="1:13" x14ac:dyDescent="0.3">
      <c r="A2476" t="s">
        <v>3383</v>
      </c>
      <c r="B2476" t="s">
        <v>5294</v>
      </c>
      <c r="C2476" t="s">
        <v>5470</v>
      </c>
      <c r="D2476" t="s">
        <v>4056</v>
      </c>
      <c r="E2476" t="s">
        <v>5756</v>
      </c>
      <c r="F2476" t="s">
        <v>12201</v>
      </c>
      <c r="G2476" t="s">
        <v>6201</v>
      </c>
      <c r="H2476" t="s">
        <v>5474</v>
      </c>
      <c r="I2476" t="s">
        <v>12202</v>
      </c>
      <c r="J2476" t="s">
        <v>5484</v>
      </c>
      <c r="K2476" t="s">
        <v>12203</v>
      </c>
      <c r="L2476" t="s">
        <v>5471</v>
      </c>
      <c r="M2476" t="s">
        <v>5471</v>
      </c>
    </row>
    <row r="2477" spans="1:13" x14ac:dyDescent="0.3">
      <c r="A2477" t="s">
        <v>3383</v>
      </c>
      <c r="B2477" t="s">
        <v>8871</v>
      </c>
      <c r="C2477" t="s">
        <v>5470</v>
      </c>
      <c r="D2477" t="s">
        <v>4119</v>
      </c>
      <c r="E2477" t="s">
        <v>5532</v>
      </c>
      <c r="F2477" t="s">
        <v>12204</v>
      </c>
      <c r="G2477" t="s">
        <v>12205</v>
      </c>
      <c r="H2477" t="s">
        <v>5474</v>
      </c>
      <c r="I2477" t="s">
        <v>12206</v>
      </c>
      <c r="J2477" t="s">
        <v>5484</v>
      </c>
      <c r="K2477" t="s">
        <v>12207</v>
      </c>
      <c r="L2477" t="s">
        <v>5471</v>
      </c>
      <c r="M2477" t="s">
        <v>5471</v>
      </c>
    </row>
    <row r="2478" spans="1:13" x14ac:dyDescent="0.3">
      <c r="A2478" t="s">
        <v>3383</v>
      </c>
      <c r="B2478" t="s">
        <v>5332</v>
      </c>
      <c r="C2478" t="s">
        <v>5470</v>
      </c>
      <c r="D2478" t="s">
        <v>4119</v>
      </c>
      <c r="E2478" t="s">
        <v>5756</v>
      </c>
      <c r="F2478" t="s">
        <v>12208</v>
      </c>
      <c r="G2478" t="s">
        <v>6239</v>
      </c>
      <c r="H2478" t="s">
        <v>5474</v>
      </c>
      <c r="I2478" t="s">
        <v>12209</v>
      </c>
      <c r="J2478" t="s">
        <v>5484</v>
      </c>
      <c r="K2478" t="s">
        <v>12210</v>
      </c>
      <c r="L2478" t="s">
        <v>5471</v>
      </c>
      <c r="M2478" t="s">
        <v>5471</v>
      </c>
    </row>
    <row r="2479" spans="1:13" x14ac:dyDescent="0.3">
      <c r="A2479" t="s">
        <v>3383</v>
      </c>
      <c r="B2479" t="s">
        <v>6122</v>
      </c>
      <c r="C2479" t="s">
        <v>5470</v>
      </c>
      <c r="D2479" t="s">
        <v>4119</v>
      </c>
      <c r="E2479" t="s">
        <v>5756</v>
      </c>
      <c r="F2479" t="s">
        <v>12211</v>
      </c>
      <c r="G2479" t="s">
        <v>6123</v>
      </c>
      <c r="H2479" t="s">
        <v>5474</v>
      </c>
      <c r="I2479" t="s">
        <v>12212</v>
      </c>
      <c r="J2479" t="s">
        <v>5476</v>
      </c>
      <c r="K2479" t="s">
        <v>12213</v>
      </c>
      <c r="L2479" t="s">
        <v>5471</v>
      </c>
      <c r="M2479" t="s">
        <v>5471</v>
      </c>
    </row>
    <row r="2480" spans="1:13" x14ac:dyDescent="0.3">
      <c r="A2480" t="s">
        <v>3383</v>
      </c>
      <c r="B2480" t="s">
        <v>6122</v>
      </c>
      <c r="C2480" t="s">
        <v>5470</v>
      </c>
      <c r="D2480" t="s">
        <v>4119</v>
      </c>
      <c r="E2480" t="s">
        <v>5532</v>
      </c>
      <c r="F2480" t="s">
        <v>12214</v>
      </c>
      <c r="G2480" t="s">
        <v>6123</v>
      </c>
      <c r="H2480" t="s">
        <v>5474</v>
      </c>
      <c r="I2480" t="s">
        <v>12215</v>
      </c>
      <c r="J2480" t="s">
        <v>5476</v>
      </c>
      <c r="K2480" t="s">
        <v>12216</v>
      </c>
      <c r="L2480" t="s">
        <v>5471</v>
      </c>
      <c r="M2480" t="s">
        <v>5471</v>
      </c>
    </row>
    <row r="2481" spans="1:13" x14ac:dyDescent="0.3">
      <c r="A2481" t="s">
        <v>3383</v>
      </c>
      <c r="B2481" t="s">
        <v>6122</v>
      </c>
      <c r="C2481" t="s">
        <v>5470</v>
      </c>
      <c r="D2481" t="s">
        <v>4119</v>
      </c>
      <c r="E2481" t="s">
        <v>5756</v>
      </c>
      <c r="F2481" t="s">
        <v>12217</v>
      </c>
      <c r="G2481" t="s">
        <v>6123</v>
      </c>
      <c r="H2481" t="s">
        <v>5474</v>
      </c>
      <c r="I2481" t="s">
        <v>12218</v>
      </c>
      <c r="J2481" t="s">
        <v>5484</v>
      </c>
      <c r="K2481" t="s">
        <v>12219</v>
      </c>
      <c r="L2481" t="s">
        <v>5471</v>
      </c>
      <c r="M2481" t="s">
        <v>5471</v>
      </c>
    </row>
    <row r="2482" spans="1:13" x14ac:dyDescent="0.3">
      <c r="A2482" t="s">
        <v>3383</v>
      </c>
      <c r="B2482" t="s">
        <v>8871</v>
      </c>
      <c r="C2482" t="s">
        <v>5470</v>
      </c>
      <c r="D2482" t="s">
        <v>4119</v>
      </c>
      <c r="E2482" t="s">
        <v>5532</v>
      </c>
      <c r="F2482" t="s">
        <v>12220</v>
      </c>
      <c r="G2482" t="s">
        <v>12221</v>
      </c>
      <c r="H2482" t="s">
        <v>5474</v>
      </c>
      <c r="I2482" t="s">
        <v>12222</v>
      </c>
      <c r="J2482" t="s">
        <v>5476</v>
      </c>
      <c r="K2482" t="s">
        <v>5471</v>
      </c>
      <c r="L2482" t="s">
        <v>5471</v>
      </c>
      <c r="M2482" t="s">
        <v>5471</v>
      </c>
    </row>
    <row r="2483" spans="1:13" x14ac:dyDescent="0.3">
      <c r="A2483" t="s">
        <v>3383</v>
      </c>
      <c r="B2483" t="s">
        <v>6122</v>
      </c>
      <c r="C2483" t="s">
        <v>5470</v>
      </c>
      <c r="D2483" t="s">
        <v>4119</v>
      </c>
      <c r="E2483" t="s">
        <v>5756</v>
      </c>
      <c r="F2483" t="s">
        <v>12223</v>
      </c>
      <c r="G2483" t="s">
        <v>6123</v>
      </c>
      <c r="H2483" t="s">
        <v>5474</v>
      </c>
      <c r="I2483" t="s">
        <v>12224</v>
      </c>
      <c r="J2483" t="s">
        <v>5484</v>
      </c>
      <c r="K2483" t="s">
        <v>12225</v>
      </c>
      <c r="L2483" t="s">
        <v>5471</v>
      </c>
      <c r="M2483" t="s">
        <v>5471</v>
      </c>
    </row>
    <row r="2484" spans="1:13" x14ac:dyDescent="0.3">
      <c r="A2484" t="s">
        <v>3383</v>
      </c>
      <c r="B2484" t="s">
        <v>8871</v>
      </c>
      <c r="C2484" t="s">
        <v>5470</v>
      </c>
      <c r="D2484" t="s">
        <v>4119</v>
      </c>
      <c r="E2484" t="s">
        <v>5480</v>
      </c>
      <c r="F2484" t="s">
        <v>12226</v>
      </c>
      <c r="G2484" t="s">
        <v>8929</v>
      </c>
      <c r="H2484" t="s">
        <v>5474</v>
      </c>
      <c r="I2484" t="s">
        <v>12227</v>
      </c>
      <c r="J2484" t="s">
        <v>5476</v>
      </c>
      <c r="K2484" t="s">
        <v>5471</v>
      </c>
      <c r="L2484" t="s">
        <v>5471</v>
      </c>
      <c r="M2484" t="s">
        <v>5471</v>
      </c>
    </row>
    <row r="2485" spans="1:13" x14ac:dyDescent="0.3">
      <c r="A2485" t="s">
        <v>3383</v>
      </c>
      <c r="B2485" t="s">
        <v>8943</v>
      </c>
      <c r="C2485" t="s">
        <v>5470</v>
      </c>
      <c r="D2485" t="s">
        <v>4119</v>
      </c>
      <c r="E2485" t="s">
        <v>5532</v>
      </c>
      <c r="F2485" t="s">
        <v>12228</v>
      </c>
      <c r="G2485" t="s">
        <v>12229</v>
      </c>
      <c r="H2485" t="s">
        <v>5474</v>
      </c>
      <c r="I2485" t="s">
        <v>12230</v>
      </c>
      <c r="J2485" t="s">
        <v>5476</v>
      </c>
      <c r="K2485" t="s">
        <v>5471</v>
      </c>
      <c r="L2485" t="s">
        <v>5471</v>
      </c>
      <c r="M2485" t="s">
        <v>5471</v>
      </c>
    </row>
    <row r="2486" spans="1:13" x14ac:dyDescent="0.3">
      <c r="A2486" t="s">
        <v>3383</v>
      </c>
      <c r="B2486" t="s">
        <v>8943</v>
      </c>
      <c r="C2486" t="s">
        <v>5470</v>
      </c>
      <c r="D2486" t="s">
        <v>4119</v>
      </c>
      <c r="E2486" t="s">
        <v>5532</v>
      </c>
      <c r="F2486" t="s">
        <v>12231</v>
      </c>
      <c r="G2486" t="s">
        <v>12232</v>
      </c>
      <c r="H2486" t="s">
        <v>5474</v>
      </c>
      <c r="I2486" t="s">
        <v>12233</v>
      </c>
      <c r="J2486" t="s">
        <v>5476</v>
      </c>
      <c r="K2486" t="s">
        <v>5471</v>
      </c>
      <c r="L2486" t="s">
        <v>5471</v>
      </c>
      <c r="M2486" t="s">
        <v>5471</v>
      </c>
    </row>
    <row r="2487" spans="1:13" x14ac:dyDescent="0.3">
      <c r="A2487" t="s">
        <v>3383</v>
      </c>
      <c r="B2487" t="s">
        <v>8943</v>
      </c>
      <c r="C2487" t="s">
        <v>5470</v>
      </c>
      <c r="D2487" t="s">
        <v>4119</v>
      </c>
      <c r="E2487" t="s">
        <v>5532</v>
      </c>
      <c r="F2487" t="s">
        <v>12234</v>
      </c>
      <c r="G2487" t="s">
        <v>12235</v>
      </c>
      <c r="H2487" t="s">
        <v>5474</v>
      </c>
      <c r="I2487" t="s">
        <v>12236</v>
      </c>
      <c r="J2487" t="s">
        <v>5476</v>
      </c>
      <c r="K2487" t="s">
        <v>5471</v>
      </c>
      <c r="L2487" t="s">
        <v>5471</v>
      </c>
      <c r="M2487" t="s">
        <v>5471</v>
      </c>
    </row>
    <row r="2488" spans="1:13" x14ac:dyDescent="0.3">
      <c r="A2488" t="s">
        <v>3383</v>
      </c>
      <c r="B2488" t="s">
        <v>8943</v>
      </c>
      <c r="C2488" t="s">
        <v>5470</v>
      </c>
      <c r="D2488" t="s">
        <v>4119</v>
      </c>
      <c r="E2488" t="s">
        <v>5480</v>
      </c>
      <c r="F2488" t="s">
        <v>12237</v>
      </c>
      <c r="G2488" t="s">
        <v>12238</v>
      </c>
      <c r="H2488" t="s">
        <v>5474</v>
      </c>
      <c r="I2488" t="s">
        <v>12239</v>
      </c>
      <c r="J2488" t="s">
        <v>5476</v>
      </c>
      <c r="K2488" t="s">
        <v>5471</v>
      </c>
      <c r="L2488" t="s">
        <v>5471</v>
      </c>
      <c r="M2488" t="s">
        <v>5471</v>
      </c>
    </row>
    <row r="2489" spans="1:13" x14ac:dyDescent="0.3">
      <c r="A2489" t="s">
        <v>3383</v>
      </c>
      <c r="B2489" t="s">
        <v>6094</v>
      </c>
      <c r="C2489" t="s">
        <v>5470</v>
      </c>
      <c r="D2489" t="s">
        <v>4119</v>
      </c>
      <c r="E2489" t="s">
        <v>5532</v>
      </c>
      <c r="F2489" t="s">
        <v>12240</v>
      </c>
      <c r="G2489" t="s">
        <v>12241</v>
      </c>
      <c r="H2489" t="s">
        <v>5474</v>
      </c>
      <c r="I2489" t="s">
        <v>12242</v>
      </c>
      <c r="J2489" t="s">
        <v>5476</v>
      </c>
      <c r="K2489" t="s">
        <v>5471</v>
      </c>
      <c r="L2489" t="s">
        <v>5471</v>
      </c>
      <c r="M2489" t="s">
        <v>5471</v>
      </c>
    </row>
    <row r="2490" spans="1:13" x14ac:dyDescent="0.3">
      <c r="A2490" t="s">
        <v>3383</v>
      </c>
      <c r="B2490" t="s">
        <v>6094</v>
      </c>
      <c r="C2490" t="s">
        <v>5470</v>
      </c>
      <c r="D2490" t="s">
        <v>4119</v>
      </c>
      <c r="E2490" t="s">
        <v>5532</v>
      </c>
      <c r="F2490" t="s">
        <v>12243</v>
      </c>
      <c r="G2490" t="s">
        <v>12244</v>
      </c>
      <c r="H2490" t="s">
        <v>5474</v>
      </c>
      <c r="I2490" t="s">
        <v>12245</v>
      </c>
      <c r="J2490" t="s">
        <v>5476</v>
      </c>
      <c r="K2490" t="s">
        <v>5471</v>
      </c>
      <c r="L2490" t="s">
        <v>5471</v>
      </c>
      <c r="M2490" t="s">
        <v>5471</v>
      </c>
    </row>
    <row r="2491" spans="1:13" x14ac:dyDescent="0.3">
      <c r="A2491" t="s">
        <v>3383</v>
      </c>
      <c r="B2491" t="s">
        <v>6094</v>
      </c>
      <c r="C2491" t="s">
        <v>5470</v>
      </c>
      <c r="D2491" t="s">
        <v>4119</v>
      </c>
      <c r="E2491" t="s">
        <v>5532</v>
      </c>
      <c r="F2491" t="s">
        <v>12246</v>
      </c>
      <c r="G2491" t="s">
        <v>12247</v>
      </c>
      <c r="H2491" t="s">
        <v>5474</v>
      </c>
      <c r="I2491" t="s">
        <v>12248</v>
      </c>
      <c r="J2491" t="s">
        <v>5476</v>
      </c>
      <c r="K2491" t="s">
        <v>5471</v>
      </c>
      <c r="L2491" t="s">
        <v>5471</v>
      </c>
      <c r="M2491" t="s">
        <v>5471</v>
      </c>
    </row>
    <row r="2492" spans="1:13" x14ac:dyDescent="0.3">
      <c r="A2492" t="s">
        <v>3383</v>
      </c>
      <c r="B2492" t="s">
        <v>6094</v>
      </c>
      <c r="C2492" t="s">
        <v>5470</v>
      </c>
      <c r="D2492" t="s">
        <v>4119</v>
      </c>
      <c r="E2492" t="s">
        <v>5532</v>
      </c>
      <c r="F2492" t="s">
        <v>12249</v>
      </c>
      <c r="G2492" t="s">
        <v>12250</v>
      </c>
      <c r="H2492" t="s">
        <v>5474</v>
      </c>
      <c r="I2492" t="s">
        <v>12251</v>
      </c>
      <c r="J2492" t="s">
        <v>5476</v>
      </c>
      <c r="K2492" t="s">
        <v>5471</v>
      </c>
      <c r="L2492" t="s">
        <v>5471</v>
      </c>
      <c r="M2492" t="s">
        <v>5471</v>
      </c>
    </row>
    <row r="2493" spans="1:13" x14ac:dyDescent="0.3">
      <c r="A2493" t="s">
        <v>3383</v>
      </c>
      <c r="B2493" t="s">
        <v>6051</v>
      </c>
      <c r="C2493" t="s">
        <v>5470</v>
      </c>
      <c r="D2493" t="s">
        <v>4119</v>
      </c>
      <c r="E2493" t="s">
        <v>5532</v>
      </c>
      <c r="F2493" t="s">
        <v>7688</v>
      </c>
      <c r="G2493" t="s">
        <v>8443</v>
      </c>
      <c r="H2493" t="s">
        <v>5474</v>
      </c>
      <c r="I2493" t="s">
        <v>12252</v>
      </c>
      <c r="J2493" t="s">
        <v>5484</v>
      </c>
      <c r="K2493" t="s">
        <v>12253</v>
      </c>
      <c r="L2493" t="s">
        <v>5471</v>
      </c>
      <c r="M2493" t="s">
        <v>5471</v>
      </c>
    </row>
    <row r="2494" spans="1:13" x14ac:dyDescent="0.3">
      <c r="A2494" t="s">
        <v>3383</v>
      </c>
      <c r="B2494" t="s">
        <v>6094</v>
      </c>
      <c r="C2494" t="s">
        <v>5470</v>
      </c>
      <c r="D2494" t="s">
        <v>4119</v>
      </c>
      <c r="E2494" t="s">
        <v>5480</v>
      </c>
      <c r="F2494" t="s">
        <v>12254</v>
      </c>
      <c r="G2494" t="s">
        <v>6095</v>
      </c>
      <c r="H2494" t="s">
        <v>5474</v>
      </c>
      <c r="I2494" t="s">
        <v>12255</v>
      </c>
      <c r="J2494" t="s">
        <v>5476</v>
      </c>
      <c r="K2494" t="s">
        <v>5471</v>
      </c>
      <c r="L2494" t="s">
        <v>5471</v>
      </c>
      <c r="M2494" t="s">
        <v>5471</v>
      </c>
    </row>
    <row r="2495" spans="1:13" x14ac:dyDescent="0.3">
      <c r="A2495" t="s">
        <v>3383</v>
      </c>
      <c r="B2495" t="s">
        <v>5986</v>
      </c>
      <c r="C2495" t="s">
        <v>5487</v>
      </c>
      <c r="D2495" t="s">
        <v>4119</v>
      </c>
      <c r="E2495" t="s">
        <v>5532</v>
      </c>
      <c r="F2495" t="s">
        <v>12256</v>
      </c>
      <c r="G2495" t="s">
        <v>12257</v>
      </c>
      <c r="H2495" t="s">
        <v>5474</v>
      </c>
      <c r="I2495" t="s">
        <v>12258</v>
      </c>
      <c r="J2495" t="s">
        <v>5476</v>
      </c>
      <c r="K2495" t="s">
        <v>5471</v>
      </c>
      <c r="L2495" t="s">
        <v>5471</v>
      </c>
      <c r="M2495" t="s">
        <v>5471</v>
      </c>
    </row>
    <row r="2496" spans="1:13" x14ac:dyDescent="0.3">
      <c r="A2496" t="s">
        <v>3383</v>
      </c>
      <c r="B2496" t="s">
        <v>5986</v>
      </c>
      <c r="C2496" t="s">
        <v>5487</v>
      </c>
      <c r="D2496" t="s">
        <v>4119</v>
      </c>
      <c r="E2496" t="s">
        <v>5532</v>
      </c>
      <c r="F2496" t="s">
        <v>12259</v>
      </c>
      <c r="G2496" t="s">
        <v>5987</v>
      </c>
      <c r="H2496" t="s">
        <v>5474</v>
      </c>
      <c r="I2496" t="s">
        <v>12260</v>
      </c>
      <c r="J2496" t="s">
        <v>5476</v>
      </c>
      <c r="K2496" t="s">
        <v>5471</v>
      </c>
      <c r="L2496" t="s">
        <v>5471</v>
      </c>
      <c r="M2496" t="s">
        <v>5471</v>
      </c>
    </row>
    <row r="2497" spans="1:13" x14ac:dyDescent="0.3">
      <c r="A2497" t="s">
        <v>3383</v>
      </c>
      <c r="B2497" t="s">
        <v>6051</v>
      </c>
      <c r="C2497" t="s">
        <v>5470</v>
      </c>
      <c r="D2497" t="s">
        <v>4119</v>
      </c>
      <c r="E2497" t="s">
        <v>5756</v>
      </c>
      <c r="F2497" t="s">
        <v>12261</v>
      </c>
      <c r="G2497" t="s">
        <v>6405</v>
      </c>
      <c r="H2497" t="s">
        <v>5474</v>
      </c>
      <c r="I2497" t="s">
        <v>12262</v>
      </c>
      <c r="J2497" t="s">
        <v>5476</v>
      </c>
      <c r="K2497" t="s">
        <v>5471</v>
      </c>
      <c r="L2497" t="s">
        <v>5471</v>
      </c>
      <c r="M2497" t="s">
        <v>5471</v>
      </c>
    </row>
    <row r="2498" spans="1:13" x14ac:dyDescent="0.3">
      <c r="A2498" t="s">
        <v>3383</v>
      </c>
      <c r="B2498" t="s">
        <v>6083</v>
      </c>
      <c r="C2498" t="s">
        <v>5487</v>
      </c>
      <c r="D2498" t="s">
        <v>4119</v>
      </c>
      <c r="E2498" t="s">
        <v>5532</v>
      </c>
      <c r="F2498" t="s">
        <v>12263</v>
      </c>
      <c r="G2498" t="s">
        <v>12264</v>
      </c>
      <c r="H2498" t="s">
        <v>5474</v>
      </c>
      <c r="I2498" t="s">
        <v>12265</v>
      </c>
      <c r="J2498" t="s">
        <v>5476</v>
      </c>
      <c r="K2498" t="s">
        <v>5471</v>
      </c>
      <c r="L2498" t="s">
        <v>5471</v>
      </c>
      <c r="M2498" t="s">
        <v>5471</v>
      </c>
    </row>
    <row r="2499" spans="1:13" x14ac:dyDescent="0.3">
      <c r="A2499" t="s">
        <v>3383</v>
      </c>
      <c r="B2499" t="s">
        <v>6083</v>
      </c>
      <c r="C2499" t="s">
        <v>5487</v>
      </c>
      <c r="D2499" t="s">
        <v>4119</v>
      </c>
      <c r="E2499" t="s">
        <v>5532</v>
      </c>
      <c r="F2499" t="s">
        <v>12266</v>
      </c>
      <c r="G2499" t="s">
        <v>12267</v>
      </c>
      <c r="H2499" t="s">
        <v>5474</v>
      </c>
      <c r="I2499" t="s">
        <v>12268</v>
      </c>
      <c r="J2499" t="s">
        <v>5476</v>
      </c>
      <c r="K2499" t="s">
        <v>5471</v>
      </c>
      <c r="L2499" t="s">
        <v>5471</v>
      </c>
      <c r="M2499" t="s">
        <v>5471</v>
      </c>
    </row>
    <row r="2500" spans="1:13" x14ac:dyDescent="0.3">
      <c r="A2500" t="s">
        <v>3383</v>
      </c>
      <c r="B2500" t="s">
        <v>6051</v>
      </c>
      <c r="C2500" t="s">
        <v>5470</v>
      </c>
      <c r="D2500" t="s">
        <v>4119</v>
      </c>
      <c r="E2500" t="s">
        <v>5532</v>
      </c>
      <c r="F2500" t="s">
        <v>12269</v>
      </c>
      <c r="G2500" t="s">
        <v>7618</v>
      </c>
      <c r="H2500" t="s">
        <v>5474</v>
      </c>
      <c r="I2500" t="s">
        <v>12270</v>
      </c>
      <c r="J2500" t="s">
        <v>5476</v>
      </c>
      <c r="K2500" t="s">
        <v>5471</v>
      </c>
      <c r="L2500" t="s">
        <v>5471</v>
      </c>
      <c r="M2500" t="s">
        <v>5471</v>
      </c>
    </row>
    <row r="2501" spans="1:13" x14ac:dyDescent="0.3">
      <c r="A2501" t="s">
        <v>3383</v>
      </c>
      <c r="B2501" t="s">
        <v>6083</v>
      </c>
      <c r="C2501" t="s">
        <v>5487</v>
      </c>
      <c r="D2501" t="s">
        <v>4119</v>
      </c>
      <c r="E2501" t="s">
        <v>5532</v>
      </c>
      <c r="F2501" t="s">
        <v>12271</v>
      </c>
      <c r="G2501" t="s">
        <v>12272</v>
      </c>
      <c r="H2501" t="s">
        <v>5474</v>
      </c>
      <c r="I2501" t="s">
        <v>12273</v>
      </c>
      <c r="J2501" t="s">
        <v>5476</v>
      </c>
      <c r="K2501" t="s">
        <v>5471</v>
      </c>
      <c r="L2501" t="s">
        <v>5471</v>
      </c>
      <c r="M2501" t="s">
        <v>5471</v>
      </c>
    </row>
    <row r="2502" spans="1:13" x14ac:dyDescent="0.3">
      <c r="A2502" t="s">
        <v>3383</v>
      </c>
      <c r="B2502" t="s">
        <v>6083</v>
      </c>
      <c r="C2502" t="s">
        <v>5487</v>
      </c>
      <c r="D2502" t="s">
        <v>4119</v>
      </c>
      <c r="E2502" t="s">
        <v>5532</v>
      </c>
      <c r="F2502" t="s">
        <v>12274</v>
      </c>
      <c r="G2502" t="s">
        <v>6085</v>
      </c>
      <c r="H2502" t="s">
        <v>5474</v>
      </c>
      <c r="I2502" t="s">
        <v>12275</v>
      </c>
      <c r="J2502" t="s">
        <v>5476</v>
      </c>
      <c r="K2502" t="s">
        <v>5471</v>
      </c>
      <c r="L2502" t="s">
        <v>5471</v>
      </c>
      <c r="M2502" t="s">
        <v>5471</v>
      </c>
    </row>
    <row r="2503" spans="1:13" x14ac:dyDescent="0.3">
      <c r="A2503" t="s">
        <v>3383</v>
      </c>
      <c r="B2503" t="s">
        <v>6051</v>
      </c>
      <c r="C2503" t="s">
        <v>5470</v>
      </c>
      <c r="D2503" t="s">
        <v>4119</v>
      </c>
      <c r="E2503" t="s">
        <v>5756</v>
      </c>
      <c r="F2503" t="s">
        <v>12276</v>
      </c>
      <c r="G2503" t="s">
        <v>6197</v>
      </c>
      <c r="H2503" t="s">
        <v>5474</v>
      </c>
      <c r="I2503" t="s">
        <v>12277</v>
      </c>
      <c r="J2503" t="s">
        <v>5476</v>
      </c>
      <c r="K2503" t="s">
        <v>5471</v>
      </c>
      <c r="L2503" t="s">
        <v>5471</v>
      </c>
      <c r="M2503" t="s">
        <v>5471</v>
      </c>
    </row>
    <row r="2504" spans="1:13" x14ac:dyDescent="0.3">
      <c r="A2504" t="s">
        <v>3383</v>
      </c>
      <c r="B2504" t="s">
        <v>5294</v>
      </c>
      <c r="C2504" t="s">
        <v>5470</v>
      </c>
      <c r="D2504" t="s">
        <v>4056</v>
      </c>
      <c r="E2504" t="s">
        <v>5756</v>
      </c>
      <c r="F2504" t="s">
        <v>12278</v>
      </c>
      <c r="G2504" t="s">
        <v>6407</v>
      </c>
      <c r="H2504" t="s">
        <v>5474</v>
      </c>
      <c r="I2504" t="s">
        <v>12279</v>
      </c>
      <c r="J2504" t="s">
        <v>5484</v>
      </c>
      <c r="K2504" t="s">
        <v>12280</v>
      </c>
      <c r="L2504" t="s">
        <v>5471</v>
      </c>
      <c r="M2504" t="s">
        <v>5471</v>
      </c>
    </row>
    <row r="2505" spans="1:13" x14ac:dyDescent="0.3">
      <c r="A2505" t="s">
        <v>3383</v>
      </c>
      <c r="B2505" t="s">
        <v>8475</v>
      </c>
      <c r="C2505" t="s">
        <v>5487</v>
      </c>
      <c r="D2505" t="s">
        <v>4119</v>
      </c>
      <c r="E2505" t="s">
        <v>5756</v>
      </c>
      <c r="F2505" t="s">
        <v>12281</v>
      </c>
      <c r="G2505" t="s">
        <v>12282</v>
      </c>
      <c r="H2505" t="s">
        <v>5474</v>
      </c>
      <c r="I2505" t="s">
        <v>12283</v>
      </c>
      <c r="J2505" t="s">
        <v>5484</v>
      </c>
      <c r="K2505" t="s">
        <v>12284</v>
      </c>
      <c r="L2505" t="s">
        <v>5471</v>
      </c>
      <c r="M2505" t="s">
        <v>5471</v>
      </c>
    </row>
    <row r="2506" spans="1:13" x14ac:dyDescent="0.3">
      <c r="A2506" t="s">
        <v>3383</v>
      </c>
      <c r="B2506" t="s">
        <v>5294</v>
      </c>
      <c r="C2506" t="s">
        <v>5470</v>
      </c>
      <c r="D2506" t="s">
        <v>4056</v>
      </c>
      <c r="E2506" t="s">
        <v>5532</v>
      </c>
      <c r="F2506" t="s">
        <v>12285</v>
      </c>
      <c r="G2506" t="s">
        <v>7513</v>
      </c>
      <c r="H2506" t="s">
        <v>5474</v>
      </c>
      <c r="I2506" t="s">
        <v>12286</v>
      </c>
      <c r="J2506" t="s">
        <v>5484</v>
      </c>
      <c r="K2506" t="s">
        <v>12287</v>
      </c>
      <c r="L2506" t="s">
        <v>5471</v>
      </c>
      <c r="M2506" t="s">
        <v>5471</v>
      </c>
    </row>
    <row r="2507" spans="1:13" x14ac:dyDescent="0.3">
      <c r="A2507" t="s">
        <v>3383</v>
      </c>
      <c r="B2507" t="s">
        <v>6051</v>
      </c>
      <c r="C2507" t="s">
        <v>5470</v>
      </c>
      <c r="D2507" t="s">
        <v>4119</v>
      </c>
      <c r="E2507" t="s">
        <v>5756</v>
      </c>
      <c r="F2507" t="s">
        <v>12288</v>
      </c>
      <c r="G2507" t="s">
        <v>6277</v>
      </c>
      <c r="H2507" t="s">
        <v>5474</v>
      </c>
      <c r="I2507" t="s">
        <v>12289</v>
      </c>
      <c r="J2507" t="s">
        <v>5476</v>
      </c>
      <c r="K2507" t="s">
        <v>5471</v>
      </c>
      <c r="L2507" t="s">
        <v>5471</v>
      </c>
      <c r="M2507" t="s">
        <v>5471</v>
      </c>
    </row>
    <row r="2508" spans="1:13" x14ac:dyDescent="0.3">
      <c r="A2508" t="s">
        <v>3383</v>
      </c>
      <c r="B2508" t="s">
        <v>8820</v>
      </c>
      <c r="C2508" t="s">
        <v>5470</v>
      </c>
      <c r="D2508" t="s">
        <v>4119</v>
      </c>
      <c r="E2508" t="s">
        <v>5532</v>
      </c>
      <c r="F2508" t="s">
        <v>12290</v>
      </c>
      <c r="G2508" t="s">
        <v>12291</v>
      </c>
      <c r="H2508" t="s">
        <v>5474</v>
      </c>
      <c r="I2508" t="s">
        <v>12292</v>
      </c>
      <c r="J2508" t="s">
        <v>5476</v>
      </c>
      <c r="K2508" t="s">
        <v>5471</v>
      </c>
      <c r="L2508" t="s">
        <v>5471</v>
      </c>
      <c r="M2508" t="s">
        <v>5471</v>
      </c>
    </row>
    <row r="2509" spans="1:13" x14ac:dyDescent="0.3">
      <c r="A2509" t="s">
        <v>3383</v>
      </c>
      <c r="B2509" t="s">
        <v>6051</v>
      </c>
      <c r="C2509" t="s">
        <v>5470</v>
      </c>
      <c r="D2509" t="s">
        <v>4119</v>
      </c>
      <c r="E2509" t="s">
        <v>5756</v>
      </c>
      <c r="F2509" t="s">
        <v>12293</v>
      </c>
      <c r="G2509" t="s">
        <v>6204</v>
      </c>
      <c r="H2509" t="s">
        <v>5474</v>
      </c>
      <c r="I2509" t="s">
        <v>12294</v>
      </c>
      <c r="J2509" t="s">
        <v>5476</v>
      </c>
      <c r="K2509" t="s">
        <v>5471</v>
      </c>
      <c r="L2509" t="s">
        <v>5471</v>
      </c>
      <c r="M2509" t="s">
        <v>5471</v>
      </c>
    </row>
    <row r="2510" spans="1:13" x14ac:dyDescent="0.3">
      <c r="A2510" t="s">
        <v>3383</v>
      </c>
      <c r="B2510" t="s">
        <v>8820</v>
      </c>
      <c r="C2510" t="s">
        <v>5470</v>
      </c>
      <c r="D2510" t="s">
        <v>4119</v>
      </c>
      <c r="E2510" t="s">
        <v>5532</v>
      </c>
      <c r="F2510" t="s">
        <v>12295</v>
      </c>
      <c r="G2510" t="s">
        <v>12296</v>
      </c>
      <c r="H2510" t="s">
        <v>5474</v>
      </c>
      <c r="I2510" t="s">
        <v>12297</v>
      </c>
      <c r="J2510" t="s">
        <v>5476</v>
      </c>
      <c r="K2510" t="s">
        <v>5471</v>
      </c>
      <c r="L2510" t="s">
        <v>5471</v>
      </c>
      <c r="M2510" t="s">
        <v>5471</v>
      </c>
    </row>
    <row r="2511" spans="1:13" x14ac:dyDescent="0.3">
      <c r="A2511" t="s">
        <v>3383</v>
      </c>
      <c r="B2511" t="s">
        <v>6051</v>
      </c>
      <c r="C2511" t="s">
        <v>5470</v>
      </c>
      <c r="D2511" t="s">
        <v>4119</v>
      </c>
      <c r="E2511" t="s">
        <v>5756</v>
      </c>
      <c r="F2511" t="s">
        <v>12298</v>
      </c>
      <c r="G2511" t="s">
        <v>6283</v>
      </c>
      <c r="H2511" t="s">
        <v>5474</v>
      </c>
      <c r="I2511" t="s">
        <v>12299</v>
      </c>
      <c r="J2511" t="s">
        <v>5476</v>
      </c>
      <c r="K2511" t="s">
        <v>5471</v>
      </c>
      <c r="L2511" t="s">
        <v>5471</v>
      </c>
      <c r="M2511" t="s">
        <v>5471</v>
      </c>
    </row>
    <row r="2512" spans="1:13" x14ac:dyDescent="0.3">
      <c r="A2512" t="s">
        <v>3383</v>
      </c>
      <c r="B2512" t="s">
        <v>8820</v>
      </c>
      <c r="C2512" t="s">
        <v>5470</v>
      </c>
      <c r="D2512" t="s">
        <v>4119</v>
      </c>
      <c r="E2512" t="s">
        <v>5532</v>
      </c>
      <c r="F2512" t="s">
        <v>12300</v>
      </c>
      <c r="G2512" t="s">
        <v>12301</v>
      </c>
      <c r="H2512" t="s">
        <v>5474</v>
      </c>
      <c r="I2512" t="s">
        <v>12302</v>
      </c>
      <c r="J2512" t="s">
        <v>5476</v>
      </c>
      <c r="K2512" t="s">
        <v>5471</v>
      </c>
      <c r="L2512" t="s">
        <v>5471</v>
      </c>
      <c r="M2512" t="s">
        <v>5471</v>
      </c>
    </row>
    <row r="2513" spans="1:13" x14ac:dyDescent="0.3">
      <c r="A2513" t="s">
        <v>3383</v>
      </c>
      <c r="B2513" t="s">
        <v>8820</v>
      </c>
      <c r="C2513" t="s">
        <v>5470</v>
      </c>
      <c r="D2513" t="s">
        <v>4119</v>
      </c>
      <c r="E2513" t="s">
        <v>5532</v>
      </c>
      <c r="F2513" t="s">
        <v>12303</v>
      </c>
      <c r="G2513" t="s">
        <v>8890</v>
      </c>
      <c r="H2513" t="s">
        <v>5474</v>
      </c>
      <c r="I2513" t="s">
        <v>12304</v>
      </c>
      <c r="J2513" t="s">
        <v>5476</v>
      </c>
      <c r="K2513" t="s">
        <v>5471</v>
      </c>
      <c r="L2513" t="s">
        <v>5471</v>
      </c>
      <c r="M2513" t="s">
        <v>5471</v>
      </c>
    </row>
    <row r="2514" spans="1:13" x14ac:dyDescent="0.3">
      <c r="A2514" t="s">
        <v>3383</v>
      </c>
      <c r="B2514" t="s">
        <v>5294</v>
      </c>
      <c r="C2514" t="s">
        <v>5470</v>
      </c>
      <c r="D2514" t="s">
        <v>4056</v>
      </c>
      <c r="E2514" t="s">
        <v>5532</v>
      </c>
      <c r="F2514" t="s">
        <v>12305</v>
      </c>
      <c r="G2514" t="s">
        <v>12306</v>
      </c>
      <c r="H2514" t="s">
        <v>5474</v>
      </c>
      <c r="I2514" t="s">
        <v>12307</v>
      </c>
      <c r="J2514" t="s">
        <v>5484</v>
      </c>
      <c r="K2514" t="s">
        <v>12308</v>
      </c>
      <c r="L2514" t="s">
        <v>5471</v>
      </c>
      <c r="M2514" t="s">
        <v>5471</v>
      </c>
    </row>
    <row r="2515" spans="1:13" x14ac:dyDescent="0.3">
      <c r="A2515" t="s">
        <v>3383</v>
      </c>
      <c r="B2515" t="s">
        <v>6051</v>
      </c>
      <c r="C2515" t="s">
        <v>5470</v>
      </c>
      <c r="D2515" t="s">
        <v>4119</v>
      </c>
      <c r="E2515" t="s">
        <v>5756</v>
      </c>
      <c r="F2515" t="s">
        <v>12309</v>
      </c>
      <c r="G2515" t="s">
        <v>12310</v>
      </c>
      <c r="H2515" t="s">
        <v>5474</v>
      </c>
      <c r="I2515" t="s">
        <v>12311</v>
      </c>
      <c r="J2515" t="s">
        <v>5476</v>
      </c>
      <c r="K2515" t="s">
        <v>5471</v>
      </c>
      <c r="L2515" t="s">
        <v>5471</v>
      </c>
      <c r="M2515" t="s">
        <v>5471</v>
      </c>
    </row>
    <row r="2516" spans="1:13" x14ac:dyDescent="0.3">
      <c r="A2516" t="s">
        <v>3383</v>
      </c>
      <c r="B2516" t="s">
        <v>8475</v>
      </c>
      <c r="C2516" t="s">
        <v>5487</v>
      </c>
      <c r="D2516" t="s">
        <v>4119</v>
      </c>
      <c r="E2516" t="s">
        <v>5756</v>
      </c>
      <c r="F2516" t="s">
        <v>12312</v>
      </c>
      <c r="G2516" t="s">
        <v>12313</v>
      </c>
      <c r="H2516" t="s">
        <v>5474</v>
      </c>
      <c r="I2516" t="s">
        <v>12314</v>
      </c>
      <c r="J2516" t="s">
        <v>5476</v>
      </c>
      <c r="K2516" t="s">
        <v>12315</v>
      </c>
      <c r="L2516" t="s">
        <v>5471</v>
      </c>
      <c r="M2516" t="s">
        <v>5471</v>
      </c>
    </row>
    <row r="2517" spans="1:13" x14ac:dyDescent="0.3">
      <c r="A2517" t="s">
        <v>3383</v>
      </c>
      <c r="B2517" t="s">
        <v>8922</v>
      </c>
      <c r="C2517" t="s">
        <v>5470</v>
      </c>
      <c r="D2517" t="s">
        <v>4119</v>
      </c>
      <c r="E2517" t="s">
        <v>5532</v>
      </c>
      <c r="F2517" t="s">
        <v>12316</v>
      </c>
      <c r="G2517" t="s">
        <v>12317</v>
      </c>
      <c r="H2517" t="s">
        <v>5474</v>
      </c>
      <c r="I2517" t="s">
        <v>12318</v>
      </c>
      <c r="J2517" t="s">
        <v>5476</v>
      </c>
      <c r="K2517" t="s">
        <v>5471</v>
      </c>
      <c r="L2517" t="s">
        <v>5471</v>
      </c>
      <c r="M2517" t="s">
        <v>5471</v>
      </c>
    </row>
    <row r="2518" spans="1:13" x14ac:dyDescent="0.3">
      <c r="A2518" t="s">
        <v>3383</v>
      </c>
      <c r="B2518" t="s">
        <v>6051</v>
      </c>
      <c r="C2518" t="s">
        <v>5470</v>
      </c>
      <c r="D2518" t="s">
        <v>4119</v>
      </c>
      <c r="E2518" t="s">
        <v>5480</v>
      </c>
      <c r="F2518" t="s">
        <v>12319</v>
      </c>
      <c r="G2518" t="s">
        <v>12320</v>
      </c>
      <c r="H2518" t="s">
        <v>5474</v>
      </c>
      <c r="I2518" t="s">
        <v>12321</v>
      </c>
      <c r="J2518" t="s">
        <v>5476</v>
      </c>
      <c r="K2518" t="s">
        <v>5471</v>
      </c>
      <c r="L2518" t="s">
        <v>5471</v>
      </c>
      <c r="M2518" t="s">
        <v>5471</v>
      </c>
    </row>
    <row r="2519" spans="1:13" x14ac:dyDescent="0.3">
      <c r="A2519" t="s">
        <v>3383</v>
      </c>
      <c r="B2519" t="s">
        <v>8475</v>
      </c>
      <c r="C2519" t="s">
        <v>5487</v>
      </c>
      <c r="D2519" t="s">
        <v>4119</v>
      </c>
      <c r="E2519" t="s">
        <v>5756</v>
      </c>
      <c r="F2519" t="s">
        <v>12322</v>
      </c>
      <c r="G2519" t="s">
        <v>12313</v>
      </c>
      <c r="H2519" t="s">
        <v>5474</v>
      </c>
      <c r="I2519" t="s">
        <v>12323</v>
      </c>
      <c r="J2519" t="s">
        <v>5476</v>
      </c>
      <c r="K2519" t="s">
        <v>12324</v>
      </c>
      <c r="L2519" t="s">
        <v>5471</v>
      </c>
      <c r="M2519" t="s">
        <v>5471</v>
      </c>
    </row>
    <row r="2520" spans="1:13" x14ac:dyDescent="0.3">
      <c r="A2520" t="s">
        <v>3383</v>
      </c>
      <c r="B2520" t="s">
        <v>8922</v>
      </c>
      <c r="C2520" t="s">
        <v>5470</v>
      </c>
      <c r="D2520" t="s">
        <v>4119</v>
      </c>
      <c r="E2520" t="s">
        <v>5532</v>
      </c>
      <c r="F2520" t="s">
        <v>12325</v>
      </c>
      <c r="G2520" t="s">
        <v>8924</v>
      </c>
      <c r="H2520" t="s">
        <v>5474</v>
      </c>
      <c r="I2520" t="s">
        <v>12326</v>
      </c>
      <c r="J2520" t="s">
        <v>5476</v>
      </c>
      <c r="K2520" t="s">
        <v>5471</v>
      </c>
      <c r="L2520" t="s">
        <v>5471</v>
      </c>
      <c r="M2520" t="s">
        <v>5471</v>
      </c>
    </row>
    <row r="2521" spans="1:13" x14ac:dyDescent="0.3">
      <c r="A2521" t="s">
        <v>3383</v>
      </c>
      <c r="B2521" t="s">
        <v>6122</v>
      </c>
      <c r="C2521" t="s">
        <v>5470</v>
      </c>
      <c r="D2521" t="s">
        <v>4119</v>
      </c>
      <c r="E2521" t="s">
        <v>5756</v>
      </c>
      <c r="F2521" t="s">
        <v>12327</v>
      </c>
      <c r="G2521" t="s">
        <v>7497</v>
      </c>
      <c r="H2521" t="s">
        <v>5474</v>
      </c>
      <c r="I2521" t="s">
        <v>12328</v>
      </c>
      <c r="J2521" t="s">
        <v>5476</v>
      </c>
      <c r="K2521" t="s">
        <v>5471</v>
      </c>
      <c r="L2521" t="s">
        <v>5471</v>
      </c>
      <c r="M2521" t="s">
        <v>5471</v>
      </c>
    </row>
    <row r="2522" spans="1:13" x14ac:dyDescent="0.3">
      <c r="A2522" t="s">
        <v>3383</v>
      </c>
      <c r="B2522" t="s">
        <v>6187</v>
      </c>
      <c r="C2522" t="s">
        <v>5470</v>
      </c>
      <c r="D2522" t="s">
        <v>4119</v>
      </c>
      <c r="E2522" t="s">
        <v>5532</v>
      </c>
      <c r="F2522" t="s">
        <v>12329</v>
      </c>
      <c r="G2522" t="s">
        <v>12330</v>
      </c>
      <c r="H2522" t="s">
        <v>5474</v>
      </c>
      <c r="I2522" t="s">
        <v>12331</v>
      </c>
      <c r="J2522" t="s">
        <v>5484</v>
      </c>
      <c r="K2522" t="s">
        <v>12332</v>
      </c>
      <c r="L2522" t="s">
        <v>5471</v>
      </c>
      <c r="M2522" t="s">
        <v>5471</v>
      </c>
    </row>
    <row r="2523" spans="1:13" x14ac:dyDescent="0.3">
      <c r="A2523" t="s">
        <v>3383</v>
      </c>
      <c r="B2523" t="s">
        <v>8922</v>
      </c>
      <c r="C2523" t="s">
        <v>5470</v>
      </c>
      <c r="D2523" t="s">
        <v>4119</v>
      </c>
      <c r="E2523" t="s">
        <v>5532</v>
      </c>
      <c r="F2523" t="s">
        <v>12333</v>
      </c>
      <c r="G2523" t="s">
        <v>12334</v>
      </c>
      <c r="H2523" t="s">
        <v>5474</v>
      </c>
      <c r="I2523" t="s">
        <v>12335</v>
      </c>
      <c r="J2523" t="s">
        <v>5476</v>
      </c>
      <c r="K2523" t="s">
        <v>5471</v>
      </c>
      <c r="L2523" t="s">
        <v>5471</v>
      </c>
      <c r="M2523" t="s">
        <v>5471</v>
      </c>
    </row>
    <row r="2524" spans="1:13" x14ac:dyDescent="0.3">
      <c r="A2524" t="s">
        <v>3383</v>
      </c>
      <c r="B2524" t="s">
        <v>6122</v>
      </c>
      <c r="C2524" t="s">
        <v>5470</v>
      </c>
      <c r="D2524" t="s">
        <v>4119</v>
      </c>
      <c r="E2524" t="s">
        <v>5756</v>
      </c>
      <c r="F2524" t="s">
        <v>12336</v>
      </c>
      <c r="G2524" t="s">
        <v>12337</v>
      </c>
      <c r="H2524" t="s">
        <v>5474</v>
      </c>
      <c r="I2524" t="s">
        <v>12338</v>
      </c>
      <c r="J2524" t="s">
        <v>5476</v>
      </c>
      <c r="K2524" t="s">
        <v>5471</v>
      </c>
      <c r="L2524" t="s">
        <v>5471</v>
      </c>
      <c r="M2524" t="s">
        <v>5471</v>
      </c>
    </row>
    <row r="2525" spans="1:13" x14ac:dyDescent="0.3">
      <c r="A2525" t="s">
        <v>3383</v>
      </c>
      <c r="B2525" t="s">
        <v>8820</v>
      </c>
      <c r="C2525" t="s">
        <v>5470</v>
      </c>
      <c r="D2525" t="s">
        <v>4119</v>
      </c>
      <c r="E2525" t="s">
        <v>5532</v>
      </c>
      <c r="F2525" t="s">
        <v>12339</v>
      </c>
      <c r="G2525" t="s">
        <v>12340</v>
      </c>
      <c r="H2525" t="s">
        <v>5474</v>
      </c>
      <c r="I2525" t="s">
        <v>12341</v>
      </c>
      <c r="J2525" t="s">
        <v>5476</v>
      </c>
      <c r="K2525" t="s">
        <v>5471</v>
      </c>
      <c r="L2525" t="s">
        <v>5471</v>
      </c>
      <c r="M2525" t="s">
        <v>5471</v>
      </c>
    </row>
    <row r="2526" spans="1:13" x14ac:dyDescent="0.3">
      <c r="A2526" t="s">
        <v>3383</v>
      </c>
      <c r="B2526" t="s">
        <v>8826</v>
      </c>
      <c r="C2526" t="s">
        <v>5470</v>
      </c>
      <c r="D2526" t="s">
        <v>4119</v>
      </c>
      <c r="E2526" t="s">
        <v>5532</v>
      </c>
      <c r="F2526" t="s">
        <v>12342</v>
      </c>
      <c r="G2526" t="s">
        <v>11892</v>
      </c>
      <c r="H2526" t="s">
        <v>5474</v>
      </c>
      <c r="I2526" t="s">
        <v>12343</v>
      </c>
      <c r="J2526" t="s">
        <v>5476</v>
      </c>
      <c r="K2526" t="s">
        <v>5471</v>
      </c>
      <c r="L2526" t="s">
        <v>5471</v>
      </c>
      <c r="M2526" t="s">
        <v>5471</v>
      </c>
    </row>
    <row r="2527" spans="1:13" x14ac:dyDescent="0.3">
      <c r="A2527" t="s">
        <v>3383</v>
      </c>
      <c r="B2527" t="s">
        <v>6122</v>
      </c>
      <c r="C2527" t="s">
        <v>5470</v>
      </c>
      <c r="D2527" t="s">
        <v>4119</v>
      </c>
      <c r="E2527" t="s">
        <v>5756</v>
      </c>
      <c r="F2527" t="s">
        <v>12344</v>
      </c>
      <c r="G2527" t="s">
        <v>8524</v>
      </c>
      <c r="H2527" t="s">
        <v>5474</v>
      </c>
      <c r="I2527" t="s">
        <v>12345</v>
      </c>
      <c r="J2527" t="s">
        <v>5476</v>
      </c>
      <c r="K2527" t="s">
        <v>5471</v>
      </c>
      <c r="L2527" t="s">
        <v>5471</v>
      </c>
      <c r="M2527" t="s">
        <v>5471</v>
      </c>
    </row>
    <row r="2528" spans="1:13" x14ac:dyDescent="0.3">
      <c r="A2528" t="s">
        <v>3383</v>
      </c>
      <c r="B2528" t="s">
        <v>6122</v>
      </c>
      <c r="C2528" t="s">
        <v>5470</v>
      </c>
      <c r="D2528" t="s">
        <v>4119</v>
      </c>
      <c r="E2528" t="s">
        <v>5756</v>
      </c>
      <c r="F2528" t="s">
        <v>12346</v>
      </c>
      <c r="G2528" t="s">
        <v>12347</v>
      </c>
      <c r="H2528" t="s">
        <v>5474</v>
      </c>
      <c r="I2528" t="s">
        <v>12348</v>
      </c>
      <c r="J2528" t="s">
        <v>5476</v>
      </c>
      <c r="K2528" t="s">
        <v>5471</v>
      </c>
      <c r="L2528" t="s">
        <v>5471</v>
      </c>
      <c r="M2528" t="s">
        <v>5471</v>
      </c>
    </row>
    <row r="2529" spans="1:13" x14ac:dyDescent="0.3">
      <c r="A2529" t="s">
        <v>3383</v>
      </c>
      <c r="B2529" t="s">
        <v>8826</v>
      </c>
      <c r="C2529" t="s">
        <v>5470</v>
      </c>
      <c r="D2529" t="s">
        <v>4119</v>
      </c>
      <c r="E2529" t="s">
        <v>5532</v>
      </c>
      <c r="F2529" t="s">
        <v>12349</v>
      </c>
      <c r="G2529" t="s">
        <v>12350</v>
      </c>
      <c r="H2529" t="s">
        <v>5474</v>
      </c>
      <c r="I2529" t="s">
        <v>12351</v>
      </c>
      <c r="J2529" t="s">
        <v>5476</v>
      </c>
      <c r="K2529" t="s">
        <v>5471</v>
      </c>
      <c r="L2529" t="s">
        <v>5471</v>
      </c>
      <c r="M2529" t="s">
        <v>5471</v>
      </c>
    </row>
    <row r="2530" spans="1:13" x14ac:dyDescent="0.3">
      <c r="A2530" t="s">
        <v>3383</v>
      </c>
      <c r="B2530" t="s">
        <v>6122</v>
      </c>
      <c r="C2530" t="s">
        <v>5470</v>
      </c>
      <c r="D2530" t="s">
        <v>4119</v>
      </c>
      <c r="E2530" t="s">
        <v>5480</v>
      </c>
      <c r="F2530" t="s">
        <v>12352</v>
      </c>
      <c r="G2530" t="s">
        <v>12353</v>
      </c>
      <c r="H2530" t="s">
        <v>5474</v>
      </c>
      <c r="I2530" t="s">
        <v>12354</v>
      </c>
      <c r="J2530" t="s">
        <v>5476</v>
      </c>
      <c r="K2530" t="s">
        <v>5471</v>
      </c>
      <c r="L2530" t="s">
        <v>5471</v>
      </c>
      <c r="M2530" t="s">
        <v>5471</v>
      </c>
    </row>
    <row r="2531" spans="1:13" x14ac:dyDescent="0.3">
      <c r="A2531" t="s">
        <v>3383</v>
      </c>
      <c r="B2531" t="s">
        <v>8826</v>
      </c>
      <c r="C2531" t="s">
        <v>5470</v>
      </c>
      <c r="D2531" t="s">
        <v>4119</v>
      </c>
      <c r="E2531" t="s">
        <v>5532</v>
      </c>
      <c r="F2531" t="s">
        <v>12355</v>
      </c>
      <c r="G2531" t="s">
        <v>12356</v>
      </c>
      <c r="H2531" t="s">
        <v>5474</v>
      </c>
      <c r="I2531" t="s">
        <v>12357</v>
      </c>
      <c r="J2531" t="s">
        <v>5476</v>
      </c>
      <c r="K2531" t="s">
        <v>5471</v>
      </c>
      <c r="L2531" t="s">
        <v>5471</v>
      </c>
      <c r="M2531" t="s">
        <v>5471</v>
      </c>
    </row>
    <row r="2532" spans="1:13" x14ac:dyDescent="0.3">
      <c r="A2532" t="s">
        <v>3383</v>
      </c>
      <c r="B2532" t="s">
        <v>5339</v>
      </c>
      <c r="C2532" t="s">
        <v>5487</v>
      </c>
      <c r="D2532" t="s">
        <v>4119</v>
      </c>
      <c r="E2532" t="s">
        <v>5480</v>
      </c>
      <c r="F2532" t="s">
        <v>12358</v>
      </c>
      <c r="G2532" t="s">
        <v>6119</v>
      </c>
      <c r="H2532" t="s">
        <v>5474</v>
      </c>
      <c r="I2532" t="s">
        <v>12359</v>
      </c>
      <c r="J2532" t="s">
        <v>5476</v>
      </c>
      <c r="K2532" t="s">
        <v>5471</v>
      </c>
      <c r="L2532" t="s">
        <v>5471</v>
      </c>
      <c r="M2532" t="s">
        <v>5471</v>
      </c>
    </row>
    <row r="2533" spans="1:13" x14ac:dyDescent="0.3">
      <c r="A2533" t="s">
        <v>3383</v>
      </c>
      <c r="B2533" t="s">
        <v>8826</v>
      </c>
      <c r="C2533" t="s">
        <v>5470</v>
      </c>
      <c r="D2533" t="s">
        <v>4119</v>
      </c>
      <c r="E2533" t="s">
        <v>5532</v>
      </c>
      <c r="F2533" t="s">
        <v>12360</v>
      </c>
      <c r="G2533" t="s">
        <v>8927</v>
      </c>
      <c r="H2533" t="s">
        <v>5474</v>
      </c>
      <c r="I2533" t="s">
        <v>12361</v>
      </c>
      <c r="J2533" t="s">
        <v>5476</v>
      </c>
      <c r="K2533" t="s">
        <v>5471</v>
      </c>
      <c r="L2533" t="s">
        <v>5471</v>
      </c>
      <c r="M2533" t="s">
        <v>5471</v>
      </c>
    </row>
    <row r="2534" spans="1:13" x14ac:dyDescent="0.3">
      <c r="A2534" t="s">
        <v>3383</v>
      </c>
      <c r="B2534" t="s">
        <v>8875</v>
      </c>
      <c r="C2534" t="s">
        <v>5470</v>
      </c>
      <c r="D2534" t="s">
        <v>4119</v>
      </c>
      <c r="E2534" t="s">
        <v>5480</v>
      </c>
      <c r="F2534" t="s">
        <v>12362</v>
      </c>
      <c r="G2534" t="s">
        <v>8938</v>
      </c>
      <c r="H2534" t="s">
        <v>5474</v>
      </c>
      <c r="I2534" t="s">
        <v>12363</v>
      </c>
      <c r="J2534" t="s">
        <v>5476</v>
      </c>
      <c r="K2534" t="s">
        <v>5471</v>
      </c>
      <c r="L2534" t="s">
        <v>5471</v>
      </c>
      <c r="M2534" t="s">
        <v>5471</v>
      </c>
    </row>
    <row r="2535" spans="1:13" x14ac:dyDescent="0.3">
      <c r="A2535" t="s">
        <v>3383</v>
      </c>
      <c r="B2535" t="s">
        <v>5586</v>
      </c>
      <c r="C2535" t="s">
        <v>5487</v>
      </c>
      <c r="D2535" t="s">
        <v>4119</v>
      </c>
      <c r="E2535" t="s">
        <v>5480</v>
      </c>
      <c r="F2535" t="s">
        <v>12364</v>
      </c>
      <c r="G2535" t="s">
        <v>6077</v>
      </c>
      <c r="H2535" t="s">
        <v>5474</v>
      </c>
      <c r="I2535" t="s">
        <v>12365</v>
      </c>
      <c r="J2535" t="s">
        <v>5476</v>
      </c>
      <c r="K2535" t="s">
        <v>5471</v>
      </c>
      <c r="L2535" t="s">
        <v>5471</v>
      </c>
      <c r="M2535" t="s">
        <v>5471</v>
      </c>
    </row>
    <row r="2536" spans="1:13" x14ac:dyDescent="0.3">
      <c r="A2536" t="s">
        <v>3383</v>
      </c>
      <c r="B2536" t="s">
        <v>5332</v>
      </c>
      <c r="C2536" t="s">
        <v>5470</v>
      </c>
      <c r="D2536" t="s">
        <v>4058</v>
      </c>
      <c r="E2536" t="s">
        <v>5532</v>
      </c>
      <c r="F2536" t="s">
        <v>12366</v>
      </c>
      <c r="G2536" t="s">
        <v>6589</v>
      </c>
      <c r="H2536" t="s">
        <v>5474</v>
      </c>
      <c r="I2536" t="s">
        <v>12367</v>
      </c>
      <c r="J2536" t="s">
        <v>5484</v>
      </c>
      <c r="K2536" t="s">
        <v>12368</v>
      </c>
      <c r="L2536" t="s">
        <v>5471</v>
      </c>
      <c r="M2536" t="s">
        <v>5471</v>
      </c>
    </row>
    <row r="2537" spans="1:13" x14ac:dyDescent="0.3">
      <c r="A2537" t="s">
        <v>3383</v>
      </c>
      <c r="B2537" t="s">
        <v>5805</v>
      </c>
      <c r="C2537" t="s">
        <v>5470</v>
      </c>
      <c r="D2537" t="s">
        <v>4200</v>
      </c>
      <c r="E2537" t="s">
        <v>5532</v>
      </c>
      <c r="F2537" t="s">
        <v>12369</v>
      </c>
      <c r="G2537" t="s">
        <v>6071</v>
      </c>
      <c r="H2537" t="s">
        <v>5474</v>
      </c>
      <c r="I2537" t="s">
        <v>12370</v>
      </c>
      <c r="J2537" t="s">
        <v>5484</v>
      </c>
      <c r="K2537" t="s">
        <v>12371</v>
      </c>
      <c r="L2537" t="s">
        <v>5471</v>
      </c>
      <c r="M2537" t="s">
        <v>5471</v>
      </c>
    </row>
    <row r="2538" spans="1:13" x14ac:dyDescent="0.3">
      <c r="A2538" t="s">
        <v>3383</v>
      </c>
      <c r="B2538" t="s">
        <v>7444</v>
      </c>
      <c r="C2538" t="s">
        <v>5470</v>
      </c>
      <c r="D2538" t="s">
        <v>4119</v>
      </c>
      <c r="E2538" t="s">
        <v>5756</v>
      </c>
      <c r="F2538" t="s">
        <v>12372</v>
      </c>
      <c r="G2538" t="s">
        <v>8385</v>
      </c>
      <c r="H2538" t="s">
        <v>5474</v>
      </c>
      <c r="I2538" t="s">
        <v>12373</v>
      </c>
      <c r="J2538" t="s">
        <v>5484</v>
      </c>
      <c r="K2538" t="s">
        <v>12374</v>
      </c>
      <c r="L2538" t="s">
        <v>5471</v>
      </c>
      <c r="M2538" t="s">
        <v>5471</v>
      </c>
    </row>
    <row r="2539" spans="1:13" x14ac:dyDescent="0.3">
      <c r="A2539" t="s">
        <v>3383</v>
      </c>
      <c r="B2539" t="s">
        <v>7444</v>
      </c>
      <c r="C2539" t="s">
        <v>5470</v>
      </c>
      <c r="D2539" t="s">
        <v>4119</v>
      </c>
      <c r="E2539" t="s">
        <v>5756</v>
      </c>
      <c r="F2539" t="s">
        <v>12372</v>
      </c>
      <c r="G2539" t="s">
        <v>6289</v>
      </c>
      <c r="H2539" t="s">
        <v>5474</v>
      </c>
      <c r="I2539" t="s">
        <v>12375</v>
      </c>
      <c r="J2539" t="s">
        <v>5484</v>
      </c>
      <c r="K2539" t="s">
        <v>12376</v>
      </c>
      <c r="L2539" t="s">
        <v>5471</v>
      </c>
      <c r="M2539" t="s">
        <v>5471</v>
      </c>
    </row>
    <row r="2540" spans="1:13" x14ac:dyDescent="0.3">
      <c r="A2540" t="s">
        <v>3383</v>
      </c>
      <c r="B2540" t="s">
        <v>6187</v>
      </c>
      <c r="C2540" t="s">
        <v>5470</v>
      </c>
      <c r="D2540" t="s">
        <v>4056</v>
      </c>
      <c r="E2540" t="s">
        <v>5756</v>
      </c>
      <c r="F2540" t="s">
        <v>12377</v>
      </c>
      <c r="G2540" t="s">
        <v>7490</v>
      </c>
      <c r="H2540" t="s">
        <v>5474</v>
      </c>
      <c r="I2540" t="s">
        <v>12378</v>
      </c>
      <c r="J2540" t="s">
        <v>5476</v>
      </c>
      <c r="K2540" t="s">
        <v>12379</v>
      </c>
      <c r="L2540" t="s">
        <v>5471</v>
      </c>
      <c r="M2540" t="s">
        <v>5471</v>
      </c>
    </row>
    <row r="2541" spans="1:13" x14ac:dyDescent="0.3">
      <c r="A2541" t="s">
        <v>3383</v>
      </c>
      <c r="B2541" t="s">
        <v>6187</v>
      </c>
      <c r="C2541" t="s">
        <v>5470</v>
      </c>
      <c r="D2541" t="s">
        <v>4056</v>
      </c>
      <c r="E2541" t="s">
        <v>5756</v>
      </c>
      <c r="F2541" t="s">
        <v>12380</v>
      </c>
      <c r="G2541" t="s">
        <v>7490</v>
      </c>
      <c r="H2541" t="s">
        <v>5474</v>
      </c>
      <c r="I2541" t="s">
        <v>12381</v>
      </c>
      <c r="J2541" t="s">
        <v>5476</v>
      </c>
      <c r="K2541" t="s">
        <v>12382</v>
      </c>
      <c r="L2541" t="s">
        <v>5471</v>
      </c>
      <c r="M2541" t="s">
        <v>5471</v>
      </c>
    </row>
    <row r="2542" spans="1:13" x14ac:dyDescent="0.3">
      <c r="A2542" t="s">
        <v>3383</v>
      </c>
      <c r="B2542" t="s">
        <v>6187</v>
      </c>
      <c r="C2542" t="s">
        <v>5470</v>
      </c>
      <c r="D2542" t="s">
        <v>4056</v>
      </c>
      <c r="E2542" t="s">
        <v>5756</v>
      </c>
      <c r="F2542" t="s">
        <v>12383</v>
      </c>
      <c r="G2542" t="s">
        <v>7490</v>
      </c>
      <c r="H2542" t="s">
        <v>5474</v>
      </c>
      <c r="I2542" t="s">
        <v>12384</v>
      </c>
      <c r="J2542" t="s">
        <v>5476</v>
      </c>
      <c r="K2542" t="s">
        <v>12385</v>
      </c>
      <c r="L2542" t="s">
        <v>5471</v>
      </c>
      <c r="M2542" t="s">
        <v>5471</v>
      </c>
    </row>
    <row r="2543" spans="1:13" x14ac:dyDescent="0.3">
      <c r="A2543" t="s">
        <v>3383</v>
      </c>
      <c r="B2543" t="s">
        <v>5294</v>
      </c>
      <c r="C2543" t="s">
        <v>5470</v>
      </c>
      <c r="D2543" t="s">
        <v>4056</v>
      </c>
      <c r="E2543" t="s">
        <v>5756</v>
      </c>
      <c r="F2543" t="s">
        <v>12386</v>
      </c>
      <c r="G2543" t="s">
        <v>5977</v>
      </c>
      <c r="H2543" t="s">
        <v>5474</v>
      </c>
      <c r="I2543" t="s">
        <v>12387</v>
      </c>
      <c r="J2543" t="s">
        <v>5484</v>
      </c>
      <c r="K2543" t="s">
        <v>12388</v>
      </c>
      <c r="L2543" t="s">
        <v>5471</v>
      </c>
      <c r="M2543" t="s">
        <v>5471</v>
      </c>
    </row>
    <row r="2544" spans="1:13" x14ac:dyDescent="0.3">
      <c r="A2544" t="s">
        <v>3383</v>
      </c>
      <c r="B2544" t="s">
        <v>5332</v>
      </c>
      <c r="C2544" t="s">
        <v>5470</v>
      </c>
      <c r="D2544" t="s">
        <v>10218</v>
      </c>
      <c r="E2544" t="s">
        <v>5756</v>
      </c>
      <c r="F2544" t="s">
        <v>12389</v>
      </c>
      <c r="G2544" t="s">
        <v>6207</v>
      </c>
      <c r="H2544" t="s">
        <v>5474</v>
      </c>
      <c r="I2544" t="s">
        <v>12390</v>
      </c>
      <c r="J2544" t="s">
        <v>5476</v>
      </c>
      <c r="K2544" t="s">
        <v>5471</v>
      </c>
      <c r="L2544" t="s">
        <v>5471</v>
      </c>
      <c r="M2544" t="s">
        <v>5471</v>
      </c>
    </row>
    <row r="2545" spans="1:13" x14ac:dyDescent="0.3">
      <c r="A2545" t="s">
        <v>3383</v>
      </c>
      <c r="B2545" t="s">
        <v>5332</v>
      </c>
      <c r="C2545" t="s">
        <v>5470</v>
      </c>
      <c r="D2545" t="s">
        <v>4056</v>
      </c>
      <c r="E2545" t="s">
        <v>5756</v>
      </c>
      <c r="F2545" t="s">
        <v>12391</v>
      </c>
      <c r="G2545" t="s">
        <v>6207</v>
      </c>
      <c r="H2545" t="s">
        <v>5474</v>
      </c>
      <c r="I2545" t="s">
        <v>12392</v>
      </c>
      <c r="J2545" t="s">
        <v>5484</v>
      </c>
      <c r="K2545" t="s">
        <v>12393</v>
      </c>
      <c r="L2545" t="s">
        <v>5471</v>
      </c>
      <c r="M2545" t="s">
        <v>5471</v>
      </c>
    </row>
    <row r="2546" spans="1:13" x14ac:dyDescent="0.3">
      <c r="A2546" t="s">
        <v>3383</v>
      </c>
      <c r="B2546" t="s">
        <v>12394</v>
      </c>
      <c r="C2546" t="s">
        <v>5470</v>
      </c>
      <c r="D2546" t="s">
        <v>4119</v>
      </c>
      <c r="E2546" t="s">
        <v>5471</v>
      </c>
      <c r="F2546" t="s">
        <v>12395</v>
      </c>
      <c r="G2546" t="s">
        <v>12394</v>
      </c>
      <c r="H2546" t="s">
        <v>5474</v>
      </c>
      <c r="I2546" t="s">
        <v>12396</v>
      </c>
      <c r="J2546" t="s">
        <v>5484</v>
      </c>
      <c r="K2546" t="s">
        <v>12397</v>
      </c>
      <c r="L2546" t="s">
        <v>5471</v>
      </c>
      <c r="M2546" t="s">
        <v>5471</v>
      </c>
    </row>
    <row r="2547" spans="1:13" x14ac:dyDescent="0.3">
      <c r="A2547" t="s">
        <v>3383</v>
      </c>
      <c r="B2547" t="s">
        <v>12394</v>
      </c>
      <c r="C2547" t="s">
        <v>5470</v>
      </c>
      <c r="D2547" t="s">
        <v>4119</v>
      </c>
      <c r="E2547" t="s">
        <v>5471</v>
      </c>
      <c r="F2547" t="s">
        <v>12395</v>
      </c>
      <c r="G2547" t="s">
        <v>12398</v>
      </c>
      <c r="H2547" t="s">
        <v>5474</v>
      </c>
      <c r="I2547" t="s">
        <v>12399</v>
      </c>
      <c r="J2547" t="s">
        <v>5484</v>
      </c>
      <c r="K2547" t="s">
        <v>12400</v>
      </c>
      <c r="L2547" t="s">
        <v>5471</v>
      </c>
      <c r="M2547" t="s">
        <v>5471</v>
      </c>
    </row>
    <row r="2548" spans="1:13" x14ac:dyDescent="0.3">
      <c r="A2548" t="s">
        <v>3383</v>
      </c>
      <c r="B2548" t="s">
        <v>12401</v>
      </c>
      <c r="C2548" t="s">
        <v>5470</v>
      </c>
      <c r="D2548" t="s">
        <v>4119</v>
      </c>
      <c r="E2548" t="s">
        <v>5471</v>
      </c>
      <c r="F2548" t="s">
        <v>12395</v>
      </c>
      <c r="G2548" t="s">
        <v>12401</v>
      </c>
      <c r="H2548" t="s">
        <v>5474</v>
      </c>
      <c r="I2548" t="s">
        <v>12402</v>
      </c>
      <c r="J2548" t="s">
        <v>5484</v>
      </c>
      <c r="K2548" t="s">
        <v>12403</v>
      </c>
      <c r="L2548" t="s">
        <v>5471</v>
      </c>
      <c r="M2548" t="s">
        <v>5471</v>
      </c>
    </row>
    <row r="2549" spans="1:13" x14ac:dyDescent="0.3">
      <c r="A2549" t="s">
        <v>3383</v>
      </c>
      <c r="B2549" t="s">
        <v>12404</v>
      </c>
      <c r="C2549" t="s">
        <v>5470</v>
      </c>
      <c r="D2549" t="s">
        <v>4119</v>
      </c>
      <c r="E2549" t="s">
        <v>5471</v>
      </c>
      <c r="F2549" t="s">
        <v>12395</v>
      </c>
      <c r="G2549" t="s">
        <v>12404</v>
      </c>
      <c r="H2549" t="s">
        <v>5474</v>
      </c>
      <c r="I2549" t="s">
        <v>12405</v>
      </c>
      <c r="J2549" t="s">
        <v>5484</v>
      </c>
      <c r="K2549" t="s">
        <v>12406</v>
      </c>
      <c r="L2549" t="s">
        <v>5471</v>
      </c>
      <c r="M2549" t="s">
        <v>5471</v>
      </c>
    </row>
    <row r="2550" spans="1:13" x14ac:dyDescent="0.3">
      <c r="A2550" t="s">
        <v>3383</v>
      </c>
      <c r="B2550" t="s">
        <v>5332</v>
      </c>
      <c r="C2550" t="s">
        <v>5470</v>
      </c>
      <c r="D2550" t="s">
        <v>4056</v>
      </c>
      <c r="E2550" t="s">
        <v>5756</v>
      </c>
      <c r="F2550" t="s">
        <v>12407</v>
      </c>
      <c r="G2550" t="s">
        <v>6207</v>
      </c>
      <c r="H2550" t="s">
        <v>5474</v>
      </c>
      <c r="I2550" t="s">
        <v>12408</v>
      </c>
      <c r="J2550" t="s">
        <v>5476</v>
      </c>
      <c r="K2550" t="s">
        <v>12409</v>
      </c>
      <c r="L2550" t="s">
        <v>5471</v>
      </c>
      <c r="M2550" t="s">
        <v>5471</v>
      </c>
    </row>
    <row r="2551" spans="1:13" x14ac:dyDescent="0.3">
      <c r="A2551" t="s">
        <v>3383</v>
      </c>
      <c r="B2551" t="s">
        <v>5332</v>
      </c>
      <c r="C2551" t="s">
        <v>5470</v>
      </c>
      <c r="D2551" t="s">
        <v>4056</v>
      </c>
      <c r="E2551" t="s">
        <v>5756</v>
      </c>
      <c r="F2551" t="s">
        <v>12410</v>
      </c>
      <c r="G2551" t="s">
        <v>6207</v>
      </c>
      <c r="H2551" t="s">
        <v>5474</v>
      </c>
      <c r="I2551" t="s">
        <v>12411</v>
      </c>
      <c r="J2551" t="s">
        <v>5476</v>
      </c>
      <c r="K2551" t="s">
        <v>12412</v>
      </c>
      <c r="L2551" t="s">
        <v>5471</v>
      </c>
      <c r="M2551" t="s">
        <v>5471</v>
      </c>
    </row>
    <row r="2552" spans="1:13" x14ac:dyDescent="0.3">
      <c r="A2552" t="s">
        <v>3383</v>
      </c>
      <c r="B2552" t="s">
        <v>5294</v>
      </c>
      <c r="C2552" t="s">
        <v>5470</v>
      </c>
      <c r="D2552" t="s">
        <v>4119</v>
      </c>
      <c r="E2552" t="s">
        <v>5756</v>
      </c>
      <c r="F2552" t="s">
        <v>12413</v>
      </c>
      <c r="G2552" t="s">
        <v>12414</v>
      </c>
      <c r="H2552" t="s">
        <v>5474</v>
      </c>
      <c r="I2552" t="s">
        <v>12415</v>
      </c>
      <c r="J2552" t="s">
        <v>5484</v>
      </c>
      <c r="K2552" t="s">
        <v>5471</v>
      </c>
      <c r="L2552" t="s">
        <v>5471</v>
      </c>
      <c r="M2552" t="s">
        <v>5471</v>
      </c>
    </row>
    <row r="2553" spans="1:13" x14ac:dyDescent="0.3">
      <c r="A2553" t="s">
        <v>3383</v>
      </c>
      <c r="B2553" t="s">
        <v>5952</v>
      </c>
      <c r="C2553" t="s">
        <v>5470</v>
      </c>
      <c r="D2553" t="s">
        <v>4119</v>
      </c>
      <c r="E2553" t="s">
        <v>5756</v>
      </c>
      <c r="F2553" t="s">
        <v>12416</v>
      </c>
      <c r="G2553" t="s">
        <v>7728</v>
      </c>
      <c r="H2553" t="s">
        <v>5474</v>
      </c>
      <c r="I2553" t="s">
        <v>12417</v>
      </c>
      <c r="J2553" t="s">
        <v>5476</v>
      </c>
      <c r="K2553" t="s">
        <v>5471</v>
      </c>
      <c r="L2553" t="s">
        <v>5471</v>
      </c>
      <c r="M2553" t="s">
        <v>5471</v>
      </c>
    </row>
    <row r="2554" spans="1:13" x14ac:dyDescent="0.3">
      <c r="A2554" t="s">
        <v>3383</v>
      </c>
      <c r="B2554" t="s">
        <v>5332</v>
      </c>
      <c r="C2554" t="s">
        <v>5470</v>
      </c>
      <c r="D2554" t="s">
        <v>4119</v>
      </c>
      <c r="E2554" t="s">
        <v>5756</v>
      </c>
      <c r="F2554" t="s">
        <v>12418</v>
      </c>
      <c r="G2554" t="s">
        <v>6207</v>
      </c>
      <c r="H2554" t="s">
        <v>5474</v>
      </c>
      <c r="I2554" t="s">
        <v>12419</v>
      </c>
      <c r="J2554" t="s">
        <v>5476</v>
      </c>
      <c r="K2554" t="s">
        <v>5471</v>
      </c>
      <c r="L2554" t="s">
        <v>5471</v>
      </c>
      <c r="M2554" t="s">
        <v>5471</v>
      </c>
    </row>
    <row r="2555" spans="1:13" x14ac:dyDescent="0.3">
      <c r="A2555" t="s">
        <v>3397</v>
      </c>
      <c r="B2555" t="s">
        <v>5269</v>
      </c>
      <c r="C2555" t="s">
        <v>5487</v>
      </c>
      <c r="D2555" t="s">
        <v>4119</v>
      </c>
      <c r="E2555" t="s">
        <v>5756</v>
      </c>
      <c r="F2555" t="s">
        <v>12420</v>
      </c>
      <c r="G2555" t="s">
        <v>12421</v>
      </c>
      <c r="H2555" t="s">
        <v>5474</v>
      </c>
      <c r="I2555" t="s">
        <v>12422</v>
      </c>
      <c r="J2555" t="s">
        <v>5476</v>
      </c>
      <c r="K2555" t="s">
        <v>5471</v>
      </c>
      <c r="L2555" t="s">
        <v>5471</v>
      </c>
      <c r="M2555" t="s">
        <v>5471</v>
      </c>
    </row>
    <row r="2556" spans="1:13" x14ac:dyDescent="0.3">
      <c r="A2556" t="s">
        <v>3383</v>
      </c>
      <c r="B2556" t="s">
        <v>5294</v>
      </c>
      <c r="C2556" t="s">
        <v>5470</v>
      </c>
      <c r="D2556" t="s">
        <v>4058</v>
      </c>
      <c r="E2556" t="s">
        <v>5756</v>
      </c>
      <c r="F2556" t="s">
        <v>12423</v>
      </c>
      <c r="G2556" t="s">
        <v>6199</v>
      </c>
      <c r="H2556" t="s">
        <v>5474</v>
      </c>
      <c r="I2556" t="s">
        <v>12424</v>
      </c>
      <c r="J2556" t="s">
        <v>5476</v>
      </c>
      <c r="K2556" t="s">
        <v>12425</v>
      </c>
      <c r="L2556" t="s">
        <v>5485</v>
      </c>
      <c r="M2556" t="s">
        <v>5471</v>
      </c>
    </row>
    <row r="2557" spans="1:13" x14ac:dyDescent="0.3">
      <c r="A2557" t="s">
        <v>3383</v>
      </c>
      <c r="B2557" t="s">
        <v>5294</v>
      </c>
      <c r="C2557" t="s">
        <v>5470</v>
      </c>
      <c r="D2557" t="s">
        <v>4058</v>
      </c>
      <c r="E2557" t="s">
        <v>5756</v>
      </c>
      <c r="F2557" t="s">
        <v>12426</v>
      </c>
      <c r="G2557" t="s">
        <v>6199</v>
      </c>
      <c r="H2557" t="s">
        <v>5474</v>
      </c>
      <c r="I2557" t="s">
        <v>12427</v>
      </c>
      <c r="J2557" t="s">
        <v>5476</v>
      </c>
      <c r="K2557" t="s">
        <v>12428</v>
      </c>
      <c r="L2557" t="s">
        <v>5485</v>
      </c>
      <c r="M2557" t="s">
        <v>5471</v>
      </c>
    </row>
    <row r="2558" spans="1:13" x14ac:dyDescent="0.3">
      <c r="A2558" t="s">
        <v>3383</v>
      </c>
      <c r="B2558" t="s">
        <v>5952</v>
      </c>
      <c r="C2558" t="s">
        <v>5470</v>
      </c>
      <c r="D2558" t="s">
        <v>4058</v>
      </c>
      <c r="E2558" t="s">
        <v>5756</v>
      </c>
      <c r="F2558" t="s">
        <v>12429</v>
      </c>
      <c r="G2558" t="s">
        <v>12430</v>
      </c>
      <c r="H2558" t="s">
        <v>5474</v>
      </c>
      <c r="I2558" t="s">
        <v>12431</v>
      </c>
      <c r="J2558" t="s">
        <v>5476</v>
      </c>
      <c r="K2558" t="s">
        <v>12432</v>
      </c>
      <c r="L2558" t="s">
        <v>5485</v>
      </c>
      <c r="M2558" t="s">
        <v>5471</v>
      </c>
    </row>
    <row r="2559" spans="1:13" x14ac:dyDescent="0.3">
      <c r="A2559" t="s">
        <v>3383</v>
      </c>
      <c r="B2559" t="s">
        <v>5952</v>
      </c>
      <c r="C2559" t="s">
        <v>5470</v>
      </c>
      <c r="D2559" t="s">
        <v>4058</v>
      </c>
      <c r="E2559" t="s">
        <v>5756</v>
      </c>
      <c r="F2559" t="s">
        <v>12433</v>
      </c>
      <c r="G2559" t="s">
        <v>12430</v>
      </c>
      <c r="H2559" t="s">
        <v>5474</v>
      </c>
      <c r="I2559" t="s">
        <v>12434</v>
      </c>
      <c r="J2559" t="s">
        <v>5476</v>
      </c>
      <c r="K2559" t="s">
        <v>12435</v>
      </c>
      <c r="L2559" t="s">
        <v>5485</v>
      </c>
      <c r="M2559" t="s">
        <v>5471</v>
      </c>
    </row>
    <row r="2560" spans="1:13" x14ac:dyDescent="0.3">
      <c r="A2560" t="s">
        <v>3383</v>
      </c>
      <c r="B2560" t="s">
        <v>5952</v>
      </c>
      <c r="C2560" t="s">
        <v>5470</v>
      </c>
      <c r="D2560" t="s">
        <v>4058</v>
      </c>
      <c r="E2560" t="s">
        <v>5756</v>
      </c>
      <c r="F2560" t="s">
        <v>12436</v>
      </c>
      <c r="G2560" t="s">
        <v>12430</v>
      </c>
      <c r="H2560" t="s">
        <v>5474</v>
      </c>
      <c r="I2560" t="s">
        <v>12437</v>
      </c>
      <c r="J2560" t="s">
        <v>5476</v>
      </c>
      <c r="K2560" t="s">
        <v>12438</v>
      </c>
      <c r="L2560" t="s">
        <v>5485</v>
      </c>
      <c r="M2560" t="s">
        <v>5471</v>
      </c>
    </row>
    <row r="2561" spans="1:13" x14ac:dyDescent="0.3">
      <c r="A2561" t="s">
        <v>3383</v>
      </c>
      <c r="B2561" t="s">
        <v>5294</v>
      </c>
      <c r="C2561" t="s">
        <v>5470</v>
      </c>
      <c r="D2561" t="s">
        <v>4058</v>
      </c>
      <c r="E2561" t="s">
        <v>5756</v>
      </c>
      <c r="F2561" t="s">
        <v>12439</v>
      </c>
      <c r="G2561" t="s">
        <v>6199</v>
      </c>
      <c r="H2561" t="s">
        <v>5474</v>
      </c>
      <c r="I2561" t="s">
        <v>12440</v>
      </c>
      <c r="J2561" t="s">
        <v>5476</v>
      </c>
      <c r="K2561" t="s">
        <v>12441</v>
      </c>
      <c r="L2561" t="s">
        <v>5485</v>
      </c>
      <c r="M2561" t="s">
        <v>5471</v>
      </c>
    </row>
    <row r="2562" spans="1:13" x14ac:dyDescent="0.3">
      <c r="A2562" t="s">
        <v>3383</v>
      </c>
      <c r="B2562" t="s">
        <v>5952</v>
      </c>
      <c r="C2562" t="s">
        <v>5470</v>
      </c>
      <c r="D2562" t="s">
        <v>4052</v>
      </c>
      <c r="E2562" t="s">
        <v>5756</v>
      </c>
      <c r="F2562" t="s">
        <v>12442</v>
      </c>
      <c r="G2562" t="s">
        <v>12430</v>
      </c>
      <c r="H2562" t="s">
        <v>5474</v>
      </c>
      <c r="I2562" t="s">
        <v>12443</v>
      </c>
      <c r="J2562" t="s">
        <v>5476</v>
      </c>
      <c r="K2562" t="s">
        <v>12444</v>
      </c>
      <c r="L2562" t="s">
        <v>5485</v>
      </c>
      <c r="M2562" t="s">
        <v>5471</v>
      </c>
    </row>
    <row r="2563" spans="1:13" x14ac:dyDescent="0.3">
      <c r="A2563" t="s">
        <v>3383</v>
      </c>
      <c r="B2563" t="s">
        <v>5952</v>
      </c>
      <c r="C2563" t="s">
        <v>5470</v>
      </c>
      <c r="D2563" t="s">
        <v>4052</v>
      </c>
      <c r="E2563" t="s">
        <v>5756</v>
      </c>
      <c r="F2563" t="s">
        <v>12445</v>
      </c>
      <c r="G2563" t="s">
        <v>12430</v>
      </c>
      <c r="H2563" t="s">
        <v>5474</v>
      </c>
      <c r="I2563" t="s">
        <v>12446</v>
      </c>
      <c r="J2563" t="s">
        <v>5476</v>
      </c>
      <c r="K2563" t="s">
        <v>12447</v>
      </c>
      <c r="L2563" t="s">
        <v>5485</v>
      </c>
      <c r="M2563" t="s">
        <v>5471</v>
      </c>
    </row>
    <row r="2564" spans="1:13" x14ac:dyDescent="0.3">
      <c r="A2564" t="s">
        <v>3383</v>
      </c>
      <c r="B2564" t="s">
        <v>5952</v>
      </c>
      <c r="C2564" t="s">
        <v>5470</v>
      </c>
      <c r="D2564" t="s">
        <v>12448</v>
      </c>
      <c r="E2564" t="s">
        <v>5756</v>
      </c>
      <c r="F2564" t="s">
        <v>12449</v>
      </c>
      <c r="G2564" t="s">
        <v>12430</v>
      </c>
      <c r="H2564" t="s">
        <v>5474</v>
      </c>
      <c r="I2564" t="s">
        <v>12450</v>
      </c>
      <c r="J2564" t="s">
        <v>5476</v>
      </c>
      <c r="K2564" t="s">
        <v>12451</v>
      </c>
      <c r="L2564" t="s">
        <v>5485</v>
      </c>
      <c r="M2564" t="s">
        <v>5471</v>
      </c>
    </row>
    <row r="2565" spans="1:13" x14ac:dyDescent="0.3">
      <c r="A2565" t="s">
        <v>3383</v>
      </c>
      <c r="B2565" t="s">
        <v>5294</v>
      </c>
      <c r="C2565" t="s">
        <v>5470</v>
      </c>
      <c r="D2565" t="s">
        <v>12448</v>
      </c>
      <c r="E2565" t="s">
        <v>5756</v>
      </c>
      <c r="F2565" t="s">
        <v>12452</v>
      </c>
      <c r="G2565" t="s">
        <v>6199</v>
      </c>
      <c r="H2565" t="s">
        <v>5474</v>
      </c>
      <c r="I2565" t="s">
        <v>12453</v>
      </c>
      <c r="J2565" t="s">
        <v>5476</v>
      </c>
      <c r="K2565" t="s">
        <v>12451</v>
      </c>
      <c r="L2565" t="s">
        <v>5485</v>
      </c>
      <c r="M2565" t="s">
        <v>5471</v>
      </c>
    </row>
    <row r="2566" spans="1:13" x14ac:dyDescent="0.3">
      <c r="A2566" t="s">
        <v>3383</v>
      </c>
      <c r="B2566" t="s">
        <v>5952</v>
      </c>
      <c r="C2566" t="s">
        <v>5470</v>
      </c>
      <c r="D2566" t="s">
        <v>4056</v>
      </c>
      <c r="E2566" t="s">
        <v>5756</v>
      </c>
      <c r="F2566" t="s">
        <v>12454</v>
      </c>
      <c r="G2566" t="s">
        <v>12430</v>
      </c>
      <c r="H2566" t="s">
        <v>5474</v>
      </c>
      <c r="I2566" t="s">
        <v>12455</v>
      </c>
      <c r="J2566" t="s">
        <v>5476</v>
      </c>
      <c r="K2566" t="s">
        <v>12456</v>
      </c>
      <c r="L2566" t="s">
        <v>5485</v>
      </c>
      <c r="M2566" t="s">
        <v>5471</v>
      </c>
    </row>
    <row r="2567" spans="1:13" x14ac:dyDescent="0.3">
      <c r="A2567" t="s">
        <v>3383</v>
      </c>
      <c r="B2567" t="s">
        <v>5952</v>
      </c>
      <c r="C2567" t="s">
        <v>5470</v>
      </c>
      <c r="D2567" t="s">
        <v>4056</v>
      </c>
      <c r="E2567" t="s">
        <v>5756</v>
      </c>
      <c r="F2567" t="s">
        <v>12457</v>
      </c>
      <c r="G2567" t="s">
        <v>12430</v>
      </c>
      <c r="H2567" t="s">
        <v>5474</v>
      </c>
      <c r="I2567" t="s">
        <v>12458</v>
      </c>
      <c r="J2567" t="s">
        <v>5476</v>
      </c>
      <c r="K2567" t="s">
        <v>12459</v>
      </c>
      <c r="L2567" t="s">
        <v>5485</v>
      </c>
      <c r="M2567" t="s">
        <v>5471</v>
      </c>
    </row>
    <row r="2568" spans="1:13" x14ac:dyDescent="0.3">
      <c r="A2568" t="s">
        <v>3383</v>
      </c>
      <c r="B2568" t="s">
        <v>5294</v>
      </c>
      <c r="C2568" t="s">
        <v>5470</v>
      </c>
      <c r="D2568" t="s">
        <v>4056</v>
      </c>
      <c r="E2568" t="s">
        <v>5756</v>
      </c>
      <c r="F2568" t="s">
        <v>12460</v>
      </c>
      <c r="G2568" t="s">
        <v>6199</v>
      </c>
      <c r="H2568" t="s">
        <v>5474</v>
      </c>
      <c r="I2568" t="s">
        <v>12461</v>
      </c>
      <c r="J2568" t="s">
        <v>5476</v>
      </c>
      <c r="K2568" t="s">
        <v>12462</v>
      </c>
      <c r="L2568" t="s">
        <v>5485</v>
      </c>
      <c r="M2568" t="s">
        <v>5471</v>
      </c>
    </row>
    <row r="2569" spans="1:13" x14ac:dyDescent="0.3">
      <c r="A2569" t="s">
        <v>3383</v>
      </c>
      <c r="B2569" t="s">
        <v>5294</v>
      </c>
      <c r="C2569" t="s">
        <v>5470</v>
      </c>
      <c r="D2569" t="s">
        <v>4056</v>
      </c>
      <c r="E2569" t="s">
        <v>5756</v>
      </c>
      <c r="F2569" t="s">
        <v>12463</v>
      </c>
      <c r="G2569" t="s">
        <v>6199</v>
      </c>
      <c r="H2569" t="s">
        <v>5474</v>
      </c>
      <c r="I2569" t="s">
        <v>12464</v>
      </c>
      <c r="J2569" t="s">
        <v>5476</v>
      </c>
      <c r="K2569" t="s">
        <v>12465</v>
      </c>
      <c r="L2569" t="s">
        <v>5485</v>
      </c>
      <c r="M2569" t="s">
        <v>5471</v>
      </c>
    </row>
    <row r="2570" spans="1:13" x14ac:dyDescent="0.3">
      <c r="A2570" t="s">
        <v>3383</v>
      </c>
      <c r="B2570" t="s">
        <v>5952</v>
      </c>
      <c r="C2570" t="s">
        <v>5470</v>
      </c>
      <c r="D2570" t="s">
        <v>4056</v>
      </c>
      <c r="E2570" t="s">
        <v>5756</v>
      </c>
      <c r="F2570" t="s">
        <v>12466</v>
      </c>
      <c r="G2570" t="s">
        <v>6369</v>
      </c>
      <c r="H2570" t="s">
        <v>5474</v>
      </c>
      <c r="I2570" t="s">
        <v>12467</v>
      </c>
      <c r="J2570" t="s">
        <v>5476</v>
      </c>
      <c r="K2570" t="s">
        <v>12468</v>
      </c>
      <c r="L2570" t="s">
        <v>5485</v>
      </c>
      <c r="M2570" t="s">
        <v>5471</v>
      </c>
    </row>
    <row r="2571" spans="1:13" x14ac:dyDescent="0.3">
      <c r="A2571" t="s">
        <v>3388</v>
      </c>
      <c r="B2571" t="s">
        <v>5296</v>
      </c>
      <c r="C2571" t="s">
        <v>5470</v>
      </c>
      <c r="D2571" t="s">
        <v>4347</v>
      </c>
      <c r="E2571" t="s">
        <v>5617</v>
      </c>
      <c r="F2571" t="s">
        <v>12469</v>
      </c>
      <c r="G2571" t="s">
        <v>12470</v>
      </c>
      <c r="H2571" t="s">
        <v>5474</v>
      </c>
      <c r="I2571" t="s">
        <v>12471</v>
      </c>
      <c r="J2571" t="s">
        <v>5476</v>
      </c>
      <c r="K2571" t="s">
        <v>5471</v>
      </c>
      <c r="L2571" t="s">
        <v>12472</v>
      </c>
      <c r="M2571" t="s">
        <v>5471</v>
      </c>
    </row>
    <row r="2572" spans="1:13" x14ac:dyDescent="0.3">
      <c r="A2572" t="s">
        <v>3388</v>
      </c>
      <c r="B2572" t="s">
        <v>5296</v>
      </c>
      <c r="C2572" t="s">
        <v>5470</v>
      </c>
      <c r="D2572" t="s">
        <v>4058</v>
      </c>
      <c r="E2572" t="s">
        <v>5617</v>
      </c>
      <c r="F2572" t="s">
        <v>12473</v>
      </c>
      <c r="G2572" t="s">
        <v>12474</v>
      </c>
      <c r="H2572" t="s">
        <v>5474</v>
      </c>
      <c r="I2572" t="s">
        <v>12475</v>
      </c>
      <c r="J2572" t="s">
        <v>5476</v>
      </c>
      <c r="K2572" t="s">
        <v>5471</v>
      </c>
      <c r="L2572" t="s">
        <v>12472</v>
      </c>
      <c r="M2572" t="s">
        <v>5471</v>
      </c>
    </row>
    <row r="2573" spans="1:13" x14ac:dyDescent="0.3">
      <c r="A2573" t="s">
        <v>3388</v>
      </c>
      <c r="B2573" t="s">
        <v>5263</v>
      </c>
      <c r="C2573" t="s">
        <v>5470</v>
      </c>
      <c r="D2573" t="s">
        <v>4175</v>
      </c>
      <c r="E2573" t="s">
        <v>5532</v>
      </c>
      <c r="F2573" t="s">
        <v>12476</v>
      </c>
      <c r="G2573" t="s">
        <v>11077</v>
      </c>
      <c r="H2573" t="s">
        <v>5474</v>
      </c>
      <c r="I2573" t="s">
        <v>12477</v>
      </c>
      <c r="J2573" t="s">
        <v>5476</v>
      </c>
      <c r="K2573" t="s">
        <v>12478</v>
      </c>
      <c r="L2573" t="s">
        <v>5485</v>
      </c>
      <c r="M2573" t="s">
        <v>5471</v>
      </c>
    </row>
    <row r="2574" spans="1:13" x14ac:dyDescent="0.3">
      <c r="A2574" t="s">
        <v>3388</v>
      </c>
      <c r="B2574" t="s">
        <v>5263</v>
      </c>
      <c r="C2574" t="s">
        <v>5470</v>
      </c>
      <c r="D2574" t="s">
        <v>4058</v>
      </c>
      <c r="E2574" t="s">
        <v>5532</v>
      </c>
      <c r="F2574" t="s">
        <v>12479</v>
      </c>
      <c r="G2574" t="s">
        <v>11077</v>
      </c>
      <c r="H2574" t="s">
        <v>5474</v>
      </c>
      <c r="I2574" t="s">
        <v>12480</v>
      </c>
      <c r="J2574" t="s">
        <v>5476</v>
      </c>
      <c r="K2574" t="s">
        <v>12481</v>
      </c>
      <c r="L2574" t="s">
        <v>5485</v>
      </c>
      <c r="M2574" t="s">
        <v>5471</v>
      </c>
    </row>
    <row r="2575" spans="1:13" x14ac:dyDescent="0.3">
      <c r="A2575" t="s">
        <v>3388</v>
      </c>
      <c r="B2575" t="s">
        <v>5263</v>
      </c>
      <c r="C2575" t="s">
        <v>5470</v>
      </c>
      <c r="D2575" t="s">
        <v>4175</v>
      </c>
      <c r="E2575" t="s">
        <v>5532</v>
      </c>
      <c r="F2575" t="s">
        <v>12482</v>
      </c>
      <c r="G2575" t="s">
        <v>11077</v>
      </c>
      <c r="H2575" t="s">
        <v>5474</v>
      </c>
      <c r="I2575" t="s">
        <v>12483</v>
      </c>
      <c r="J2575" t="s">
        <v>5476</v>
      </c>
      <c r="K2575" t="s">
        <v>12484</v>
      </c>
      <c r="L2575" t="s">
        <v>5485</v>
      </c>
      <c r="M2575" t="s">
        <v>5471</v>
      </c>
    </row>
    <row r="2576" spans="1:13" x14ac:dyDescent="0.3">
      <c r="A2576" t="s">
        <v>3388</v>
      </c>
      <c r="B2576" t="s">
        <v>5263</v>
      </c>
      <c r="C2576" t="s">
        <v>5470</v>
      </c>
      <c r="D2576" t="s">
        <v>4058</v>
      </c>
      <c r="E2576" t="s">
        <v>5532</v>
      </c>
      <c r="F2576" t="s">
        <v>12485</v>
      </c>
      <c r="G2576" t="s">
        <v>11077</v>
      </c>
      <c r="H2576" t="s">
        <v>5474</v>
      </c>
      <c r="I2576" t="s">
        <v>12486</v>
      </c>
      <c r="J2576" t="s">
        <v>5476</v>
      </c>
      <c r="K2576" t="s">
        <v>12487</v>
      </c>
      <c r="L2576" t="s">
        <v>5485</v>
      </c>
      <c r="M2576" t="s">
        <v>5471</v>
      </c>
    </row>
    <row r="2577" spans="1:13" x14ac:dyDescent="0.3">
      <c r="A2577" t="s">
        <v>3388</v>
      </c>
      <c r="B2577" t="s">
        <v>12488</v>
      </c>
      <c r="C2577" t="s">
        <v>5470</v>
      </c>
      <c r="D2577" t="s">
        <v>4119</v>
      </c>
      <c r="E2577" t="s">
        <v>5756</v>
      </c>
      <c r="F2577" t="s">
        <v>12489</v>
      </c>
      <c r="G2577" t="s">
        <v>12490</v>
      </c>
      <c r="H2577" t="s">
        <v>5474</v>
      </c>
      <c r="I2577" t="s">
        <v>12491</v>
      </c>
      <c r="J2577" t="s">
        <v>5476</v>
      </c>
      <c r="K2577" t="s">
        <v>5471</v>
      </c>
      <c r="L2577" t="s">
        <v>5471</v>
      </c>
      <c r="M2577" t="s">
        <v>5471</v>
      </c>
    </row>
    <row r="2578" spans="1:13" x14ac:dyDescent="0.3">
      <c r="A2578" t="s">
        <v>3397</v>
      </c>
      <c r="B2578" t="s">
        <v>7362</v>
      </c>
      <c r="C2578" t="s">
        <v>5487</v>
      </c>
      <c r="D2578" t="s">
        <v>4119</v>
      </c>
      <c r="E2578" t="s">
        <v>5756</v>
      </c>
      <c r="F2578" t="s">
        <v>12492</v>
      </c>
      <c r="G2578" t="s">
        <v>7369</v>
      </c>
      <c r="H2578" t="s">
        <v>5474</v>
      </c>
      <c r="I2578" t="s">
        <v>12493</v>
      </c>
      <c r="J2578" t="s">
        <v>5476</v>
      </c>
      <c r="K2578" t="s">
        <v>12494</v>
      </c>
      <c r="L2578" t="s">
        <v>5471</v>
      </c>
      <c r="M2578" t="s">
        <v>5471</v>
      </c>
    </row>
    <row r="2579" spans="1:13" x14ac:dyDescent="0.3">
      <c r="A2579" t="s">
        <v>3397</v>
      </c>
      <c r="B2579" t="s">
        <v>7362</v>
      </c>
      <c r="C2579" t="s">
        <v>5487</v>
      </c>
      <c r="D2579" t="s">
        <v>4119</v>
      </c>
      <c r="E2579" t="s">
        <v>5756</v>
      </c>
      <c r="F2579" t="s">
        <v>12495</v>
      </c>
      <c r="G2579" t="s">
        <v>7364</v>
      </c>
      <c r="H2579" t="s">
        <v>5474</v>
      </c>
      <c r="I2579" t="s">
        <v>12496</v>
      </c>
      <c r="J2579" t="s">
        <v>5476</v>
      </c>
      <c r="K2579" t="s">
        <v>12497</v>
      </c>
      <c r="L2579" t="s">
        <v>5471</v>
      </c>
      <c r="M2579" t="s">
        <v>5471</v>
      </c>
    </row>
    <row r="2580" spans="1:13" x14ac:dyDescent="0.3">
      <c r="A2580" t="s">
        <v>3397</v>
      </c>
      <c r="B2580" t="s">
        <v>7362</v>
      </c>
      <c r="C2580" t="s">
        <v>5487</v>
      </c>
      <c r="D2580" t="s">
        <v>4119</v>
      </c>
      <c r="E2580" t="s">
        <v>5756</v>
      </c>
      <c r="F2580" t="s">
        <v>12498</v>
      </c>
      <c r="G2580" t="s">
        <v>12499</v>
      </c>
      <c r="H2580" t="s">
        <v>5474</v>
      </c>
      <c r="I2580" t="s">
        <v>12500</v>
      </c>
      <c r="J2580" t="s">
        <v>5476</v>
      </c>
      <c r="K2580" t="s">
        <v>12501</v>
      </c>
      <c r="L2580" t="s">
        <v>5471</v>
      </c>
      <c r="M2580" t="s">
        <v>5471</v>
      </c>
    </row>
    <row r="2581" spans="1:13" x14ac:dyDescent="0.3">
      <c r="A2581" t="s">
        <v>3397</v>
      </c>
      <c r="B2581" t="s">
        <v>7362</v>
      </c>
      <c r="C2581" t="s">
        <v>5487</v>
      </c>
      <c r="D2581" t="s">
        <v>4119</v>
      </c>
      <c r="E2581" t="s">
        <v>5756</v>
      </c>
      <c r="F2581" t="s">
        <v>12502</v>
      </c>
      <c r="G2581" t="s">
        <v>12503</v>
      </c>
      <c r="H2581" t="s">
        <v>5474</v>
      </c>
      <c r="I2581" t="s">
        <v>12504</v>
      </c>
      <c r="J2581" t="s">
        <v>5476</v>
      </c>
      <c r="K2581" t="s">
        <v>12505</v>
      </c>
      <c r="L2581" t="s">
        <v>5471</v>
      </c>
      <c r="M2581" t="s">
        <v>5471</v>
      </c>
    </row>
    <row r="2582" spans="1:13" x14ac:dyDescent="0.3">
      <c r="A2582" t="s">
        <v>3397</v>
      </c>
      <c r="B2582" t="s">
        <v>7362</v>
      </c>
      <c r="C2582" t="s">
        <v>5487</v>
      </c>
      <c r="D2582" t="s">
        <v>4119</v>
      </c>
      <c r="E2582" t="s">
        <v>5756</v>
      </c>
      <c r="F2582" t="s">
        <v>12506</v>
      </c>
      <c r="G2582" t="s">
        <v>7369</v>
      </c>
      <c r="H2582" t="s">
        <v>5474</v>
      </c>
      <c r="I2582" t="s">
        <v>12507</v>
      </c>
      <c r="J2582" t="s">
        <v>5476</v>
      </c>
      <c r="K2582" t="s">
        <v>12508</v>
      </c>
      <c r="L2582" t="s">
        <v>5471</v>
      </c>
      <c r="M2582" t="s">
        <v>5471</v>
      </c>
    </row>
    <row r="2583" spans="1:13" x14ac:dyDescent="0.3">
      <c r="A2583" t="s">
        <v>3397</v>
      </c>
      <c r="B2583" t="s">
        <v>7362</v>
      </c>
      <c r="C2583" t="s">
        <v>5487</v>
      </c>
      <c r="D2583" t="s">
        <v>4119</v>
      </c>
      <c r="E2583" t="s">
        <v>5756</v>
      </c>
      <c r="F2583" t="s">
        <v>12509</v>
      </c>
      <c r="G2583" t="s">
        <v>7364</v>
      </c>
      <c r="H2583" t="s">
        <v>5474</v>
      </c>
      <c r="I2583" t="s">
        <v>12510</v>
      </c>
      <c r="J2583" t="s">
        <v>5476</v>
      </c>
      <c r="K2583" t="s">
        <v>12511</v>
      </c>
      <c r="L2583" t="s">
        <v>5471</v>
      </c>
      <c r="M2583" t="s">
        <v>5471</v>
      </c>
    </row>
    <row r="2584" spans="1:13" x14ac:dyDescent="0.3">
      <c r="A2584" t="s">
        <v>3397</v>
      </c>
      <c r="B2584" t="s">
        <v>7362</v>
      </c>
      <c r="C2584" t="s">
        <v>5487</v>
      </c>
      <c r="D2584" t="s">
        <v>4119</v>
      </c>
      <c r="E2584" t="s">
        <v>5756</v>
      </c>
      <c r="F2584" t="s">
        <v>12512</v>
      </c>
      <c r="G2584" t="s">
        <v>12499</v>
      </c>
      <c r="H2584" t="s">
        <v>5474</v>
      </c>
      <c r="I2584" t="s">
        <v>12513</v>
      </c>
      <c r="J2584" t="s">
        <v>5476</v>
      </c>
      <c r="K2584" t="s">
        <v>12514</v>
      </c>
      <c r="L2584" t="s">
        <v>5471</v>
      </c>
      <c r="M2584" t="s">
        <v>5471</v>
      </c>
    </row>
    <row r="2585" spans="1:13" x14ac:dyDescent="0.3">
      <c r="A2585" t="s">
        <v>3397</v>
      </c>
      <c r="B2585" t="s">
        <v>7362</v>
      </c>
      <c r="C2585" t="s">
        <v>5487</v>
      </c>
      <c r="D2585" t="s">
        <v>4119</v>
      </c>
      <c r="E2585" t="s">
        <v>5756</v>
      </c>
      <c r="F2585" t="s">
        <v>12515</v>
      </c>
      <c r="G2585" t="s">
        <v>12503</v>
      </c>
      <c r="H2585" t="s">
        <v>5474</v>
      </c>
      <c r="I2585" t="s">
        <v>12516</v>
      </c>
      <c r="J2585" t="s">
        <v>5476</v>
      </c>
      <c r="K2585" t="s">
        <v>12517</v>
      </c>
      <c r="L2585" t="s">
        <v>5471</v>
      </c>
      <c r="M2585" t="s">
        <v>5471</v>
      </c>
    </row>
    <row r="2586" spans="1:13" x14ac:dyDescent="0.3">
      <c r="A2586" t="s">
        <v>3397</v>
      </c>
      <c r="B2586" t="s">
        <v>6331</v>
      </c>
      <c r="C2586" t="s">
        <v>5487</v>
      </c>
      <c r="D2586" t="s">
        <v>9940</v>
      </c>
      <c r="E2586" t="s">
        <v>6332</v>
      </c>
      <c r="F2586" t="s">
        <v>12518</v>
      </c>
      <c r="G2586" t="s">
        <v>9246</v>
      </c>
      <c r="H2586" t="s">
        <v>5474</v>
      </c>
      <c r="I2586" t="s">
        <v>12519</v>
      </c>
      <c r="J2586" t="s">
        <v>5476</v>
      </c>
      <c r="K2586" t="s">
        <v>12520</v>
      </c>
      <c r="L2586" t="s">
        <v>5471</v>
      </c>
      <c r="M2586" t="s">
        <v>5471</v>
      </c>
    </row>
    <row r="2587" spans="1:13" x14ac:dyDescent="0.3">
      <c r="A2587" t="s">
        <v>3397</v>
      </c>
      <c r="B2587" t="s">
        <v>6331</v>
      </c>
      <c r="C2587" t="s">
        <v>5487</v>
      </c>
      <c r="D2587" t="s">
        <v>9940</v>
      </c>
      <c r="E2587" t="s">
        <v>6332</v>
      </c>
      <c r="F2587" t="s">
        <v>12521</v>
      </c>
      <c r="G2587" t="s">
        <v>9246</v>
      </c>
      <c r="H2587" t="s">
        <v>5474</v>
      </c>
      <c r="I2587" t="s">
        <v>12522</v>
      </c>
      <c r="J2587" t="s">
        <v>5476</v>
      </c>
      <c r="K2587" t="s">
        <v>12523</v>
      </c>
      <c r="L2587" t="s">
        <v>5471</v>
      </c>
      <c r="M2587" t="s">
        <v>5471</v>
      </c>
    </row>
    <row r="2588" spans="1:13" x14ac:dyDescent="0.3">
      <c r="A2588" t="s">
        <v>3397</v>
      </c>
      <c r="B2588" t="s">
        <v>6331</v>
      </c>
      <c r="C2588" t="s">
        <v>5487</v>
      </c>
      <c r="D2588" t="s">
        <v>9940</v>
      </c>
      <c r="E2588" t="s">
        <v>6332</v>
      </c>
      <c r="F2588" t="s">
        <v>12524</v>
      </c>
      <c r="G2588" t="s">
        <v>9246</v>
      </c>
      <c r="H2588" t="s">
        <v>5474</v>
      </c>
      <c r="I2588" t="s">
        <v>12525</v>
      </c>
      <c r="J2588" t="s">
        <v>5476</v>
      </c>
      <c r="K2588" t="s">
        <v>12526</v>
      </c>
      <c r="L2588" t="s">
        <v>5471</v>
      </c>
      <c r="M2588" t="s">
        <v>5471</v>
      </c>
    </row>
    <row r="2589" spans="1:13" x14ac:dyDescent="0.3">
      <c r="A2589" t="s">
        <v>3397</v>
      </c>
      <c r="B2589" t="s">
        <v>6331</v>
      </c>
      <c r="C2589" t="s">
        <v>5487</v>
      </c>
      <c r="D2589" t="s">
        <v>4052</v>
      </c>
      <c r="E2589" t="s">
        <v>6332</v>
      </c>
      <c r="F2589" t="s">
        <v>12527</v>
      </c>
      <c r="G2589" t="s">
        <v>9246</v>
      </c>
      <c r="H2589" t="s">
        <v>5474</v>
      </c>
      <c r="I2589" t="s">
        <v>12528</v>
      </c>
      <c r="J2589" t="s">
        <v>5476</v>
      </c>
      <c r="K2589" t="s">
        <v>12529</v>
      </c>
      <c r="L2589" t="s">
        <v>5471</v>
      </c>
      <c r="M2589" t="s">
        <v>5471</v>
      </c>
    </row>
    <row r="2590" spans="1:13" x14ac:dyDescent="0.3">
      <c r="A2590" t="s">
        <v>3397</v>
      </c>
      <c r="B2590" t="s">
        <v>6331</v>
      </c>
      <c r="C2590" t="s">
        <v>5487</v>
      </c>
      <c r="D2590" t="s">
        <v>4052</v>
      </c>
      <c r="E2590" t="s">
        <v>6332</v>
      </c>
      <c r="F2590" t="s">
        <v>12530</v>
      </c>
      <c r="G2590" t="s">
        <v>6424</v>
      </c>
      <c r="H2590" t="s">
        <v>5474</v>
      </c>
      <c r="I2590" t="s">
        <v>12531</v>
      </c>
      <c r="J2590" t="s">
        <v>5476</v>
      </c>
      <c r="K2590" t="s">
        <v>12532</v>
      </c>
      <c r="L2590" t="s">
        <v>5471</v>
      </c>
      <c r="M2590" t="s">
        <v>5471</v>
      </c>
    </row>
    <row r="2591" spans="1:13" x14ac:dyDescent="0.3">
      <c r="A2591" t="s">
        <v>3397</v>
      </c>
      <c r="B2591" t="s">
        <v>6331</v>
      </c>
      <c r="C2591" t="s">
        <v>5487</v>
      </c>
      <c r="D2591" t="s">
        <v>10218</v>
      </c>
      <c r="E2591" t="s">
        <v>6332</v>
      </c>
      <c r="F2591" t="s">
        <v>12533</v>
      </c>
      <c r="G2591" t="s">
        <v>9246</v>
      </c>
      <c r="H2591" t="s">
        <v>5474</v>
      </c>
      <c r="I2591" t="s">
        <v>12534</v>
      </c>
      <c r="J2591" t="s">
        <v>5476</v>
      </c>
      <c r="K2591" t="s">
        <v>12535</v>
      </c>
      <c r="L2591" t="s">
        <v>5471</v>
      </c>
      <c r="M2591" t="s">
        <v>5471</v>
      </c>
    </row>
    <row r="2592" spans="1:13" x14ac:dyDescent="0.3">
      <c r="A2592" t="s">
        <v>3397</v>
      </c>
      <c r="B2592" t="s">
        <v>6331</v>
      </c>
      <c r="C2592" t="s">
        <v>5487</v>
      </c>
      <c r="D2592" t="s">
        <v>10218</v>
      </c>
      <c r="E2592" t="s">
        <v>6332</v>
      </c>
      <c r="F2592" t="s">
        <v>12536</v>
      </c>
      <c r="G2592" t="s">
        <v>9246</v>
      </c>
      <c r="H2592" t="s">
        <v>5474</v>
      </c>
      <c r="I2592" t="s">
        <v>12537</v>
      </c>
      <c r="J2592" t="s">
        <v>5476</v>
      </c>
      <c r="K2592" t="s">
        <v>12538</v>
      </c>
      <c r="L2592" t="s">
        <v>5471</v>
      </c>
      <c r="M2592" t="s">
        <v>5471</v>
      </c>
    </row>
    <row r="2593" spans="1:13" x14ac:dyDescent="0.3">
      <c r="A2593" t="s">
        <v>3397</v>
      </c>
      <c r="B2593" t="s">
        <v>6331</v>
      </c>
      <c r="C2593" t="s">
        <v>5487</v>
      </c>
      <c r="D2593" t="s">
        <v>10218</v>
      </c>
      <c r="E2593" t="s">
        <v>6332</v>
      </c>
      <c r="F2593" t="s">
        <v>12539</v>
      </c>
      <c r="G2593" t="s">
        <v>9246</v>
      </c>
      <c r="H2593" t="s">
        <v>5474</v>
      </c>
      <c r="I2593" t="s">
        <v>12540</v>
      </c>
      <c r="J2593" t="s">
        <v>5476</v>
      </c>
      <c r="K2593" t="s">
        <v>12541</v>
      </c>
      <c r="L2593" t="s">
        <v>5471</v>
      </c>
      <c r="M2593" t="s">
        <v>5471</v>
      </c>
    </row>
    <row r="2594" spans="1:13" x14ac:dyDescent="0.3">
      <c r="A2594" t="s">
        <v>3397</v>
      </c>
      <c r="B2594" t="s">
        <v>6331</v>
      </c>
      <c r="C2594" t="s">
        <v>5487</v>
      </c>
      <c r="D2594" t="s">
        <v>10218</v>
      </c>
      <c r="E2594" t="s">
        <v>6332</v>
      </c>
      <c r="F2594" t="s">
        <v>12542</v>
      </c>
      <c r="G2594" t="s">
        <v>9246</v>
      </c>
      <c r="H2594" t="s">
        <v>5474</v>
      </c>
      <c r="I2594" t="s">
        <v>12543</v>
      </c>
      <c r="J2594" t="s">
        <v>5476</v>
      </c>
      <c r="K2594" t="s">
        <v>12544</v>
      </c>
      <c r="L2594" t="s">
        <v>5471</v>
      </c>
      <c r="M2594" t="s">
        <v>5471</v>
      </c>
    </row>
    <row r="2595" spans="1:13" x14ac:dyDescent="0.3">
      <c r="A2595" t="s">
        <v>3397</v>
      </c>
      <c r="B2595" t="s">
        <v>6331</v>
      </c>
      <c r="C2595" t="s">
        <v>5487</v>
      </c>
      <c r="D2595" t="s">
        <v>10218</v>
      </c>
      <c r="E2595" t="s">
        <v>6332</v>
      </c>
      <c r="F2595" t="s">
        <v>12545</v>
      </c>
      <c r="G2595" t="s">
        <v>9246</v>
      </c>
      <c r="H2595" t="s">
        <v>5474</v>
      </c>
      <c r="I2595" t="s">
        <v>12546</v>
      </c>
      <c r="J2595" t="s">
        <v>5476</v>
      </c>
      <c r="K2595" t="s">
        <v>12547</v>
      </c>
      <c r="L2595" t="s">
        <v>5471</v>
      </c>
      <c r="M2595" t="s">
        <v>5471</v>
      </c>
    </row>
    <row r="2596" spans="1:13" x14ac:dyDescent="0.3">
      <c r="A2596" t="s">
        <v>3397</v>
      </c>
      <c r="B2596" t="s">
        <v>6331</v>
      </c>
      <c r="C2596" t="s">
        <v>5487</v>
      </c>
      <c r="D2596" t="s">
        <v>10218</v>
      </c>
      <c r="E2596" t="s">
        <v>6332</v>
      </c>
      <c r="F2596" t="s">
        <v>12548</v>
      </c>
      <c r="G2596" t="s">
        <v>9246</v>
      </c>
      <c r="H2596" t="s">
        <v>5474</v>
      </c>
      <c r="I2596" t="s">
        <v>12549</v>
      </c>
      <c r="J2596" t="s">
        <v>5476</v>
      </c>
      <c r="K2596" t="s">
        <v>12550</v>
      </c>
      <c r="L2596" t="s">
        <v>5471</v>
      </c>
      <c r="M2596" t="s">
        <v>5471</v>
      </c>
    </row>
    <row r="2597" spans="1:13" x14ac:dyDescent="0.3">
      <c r="A2597" t="s">
        <v>3397</v>
      </c>
      <c r="B2597" t="s">
        <v>6331</v>
      </c>
      <c r="C2597" t="s">
        <v>5487</v>
      </c>
      <c r="D2597" t="s">
        <v>10218</v>
      </c>
      <c r="E2597" t="s">
        <v>6332</v>
      </c>
      <c r="F2597" t="s">
        <v>12551</v>
      </c>
      <c r="G2597" t="s">
        <v>12552</v>
      </c>
      <c r="H2597" t="s">
        <v>5474</v>
      </c>
      <c r="I2597" t="s">
        <v>12553</v>
      </c>
      <c r="J2597" t="s">
        <v>5476</v>
      </c>
      <c r="K2597" t="s">
        <v>12535</v>
      </c>
      <c r="L2597" t="s">
        <v>5471</v>
      </c>
      <c r="M2597" t="s">
        <v>5471</v>
      </c>
    </row>
    <row r="2598" spans="1:13" x14ac:dyDescent="0.3">
      <c r="A2598" t="s">
        <v>3397</v>
      </c>
      <c r="B2598" t="s">
        <v>6331</v>
      </c>
      <c r="C2598" t="s">
        <v>5487</v>
      </c>
      <c r="D2598" t="s">
        <v>10218</v>
      </c>
      <c r="E2598" t="s">
        <v>6332</v>
      </c>
      <c r="F2598" t="s">
        <v>12554</v>
      </c>
      <c r="G2598" t="s">
        <v>12552</v>
      </c>
      <c r="H2598" t="s">
        <v>5474</v>
      </c>
      <c r="I2598" t="s">
        <v>12555</v>
      </c>
      <c r="J2598" t="s">
        <v>5476</v>
      </c>
      <c r="K2598" t="s">
        <v>12538</v>
      </c>
      <c r="L2598" t="s">
        <v>5471</v>
      </c>
      <c r="M2598" t="s">
        <v>5471</v>
      </c>
    </row>
    <row r="2599" spans="1:13" x14ac:dyDescent="0.3">
      <c r="A2599" t="s">
        <v>3397</v>
      </c>
      <c r="B2599" t="s">
        <v>6331</v>
      </c>
      <c r="C2599" t="s">
        <v>5487</v>
      </c>
      <c r="D2599" t="s">
        <v>10218</v>
      </c>
      <c r="E2599" t="s">
        <v>6332</v>
      </c>
      <c r="F2599" t="s">
        <v>12556</v>
      </c>
      <c r="G2599" t="s">
        <v>12552</v>
      </c>
      <c r="H2599" t="s">
        <v>5474</v>
      </c>
      <c r="I2599" t="s">
        <v>12557</v>
      </c>
      <c r="J2599" t="s">
        <v>5476</v>
      </c>
      <c r="K2599" t="s">
        <v>12541</v>
      </c>
      <c r="L2599" t="s">
        <v>5471</v>
      </c>
      <c r="M2599" t="s">
        <v>5471</v>
      </c>
    </row>
    <row r="2600" spans="1:13" x14ac:dyDescent="0.3">
      <c r="A2600" t="s">
        <v>3397</v>
      </c>
      <c r="B2600" t="s">
        <v>6331</v>
      </c>
      <c r="C2600" t="s">
        <v>5487</v>
      </c>
      <c r="D2600" t="s">
        <v>4058</v>
      </c>
      <c r="E2600" t="s">
        <v>6332</v>
      </c>
      <c r="F2600" t="s">
        <v>12558</v>
      </c>
      <c r="G2600" t="s">
        <v>12559</v>
      </c>
      <c r="H2600" t="s">
        <v>5474</v>
      </c>
      <c r="I2600" t="s">
        <v>12560</v>
      </c>
      <c r="J2600" t="s">
        <v>5476</v>
      </c>
      <c r="K2600" t="s">
        <v>12561</v>
      </c>
      <c r="L2600" t="s">
        <v>5485</v>
      </c>
      <c r="M2600" t="s">
        <v>5471</v>
      </c>
    </row>
    <row r="2601" spans="1:13" x14ac:dyDescent="0.3">
      <c r="A2601" t="s">
        <v>3397</v>
      </c>
      <c r="B2601" t="s">
        <v>6331</v>
      </c>
      <c r="C2601" t="s">
        <v>5487</v>
      </c>
      <c r="D2601" t="s">
        <v>4058</v>
      </c>
      <c r="E2601" t="s">
        <v>6332</v>
      </c>
      <c r="F2601" t="s">
        <v>12562</v>
      </c>
      <c r="G2601" t="s">
        <v>12563</v>
      </c>
      <c r="H2601" t="s">
        <v>5474</v>
      </c>
      <c r="I2601" t="s">
        <v>12564</v>
      </c>
      <c r="J2601" t="s">
        <v>5476</v>
      </c>
      <c r="K2601" t="s">
        <v>12565</v>
      </c>
      <c r="L2601" t="s">
        <v>5485</v>
      </c>
      <c r="M2601" t="s">
        <v>5471</v>
      </c>
    </row>
    <row r="2602" spans="1:13" x14ac:dyDescent="0.3">
      <c r="A2602" t="s">
        <v>3397</v>
      </c>
      <c r="B2602" t="s">
        <v>6331</v>
      </c>
      <c r="C2602" t="s">
        <v>5487</v>
      </c>
      <c r="D2602" t="s">
        <v>4058</v>
      </c>
      <c r="E2602" t="s">
        <v>6332</v>
      </c>
      <c r="F2602" t="s">
        <v>12566</v>
      </c>
      <c r="G2602" t="s">
        <v>9246</v>
      </c>
      <c r="H2602" t="s">
        <v>5474</v>
      </c>
      <c r="I2602" t="s">
        <v>12567</v>
      </c>
      <c r="J2602" t="s">
        <v>5476</v>
      </c>
      <c r="K2602" t="s">
        <v>12568</v>
      </c>
      <c r="L2602" t="s">
        <v>5471</v>
      </c>
      <c r="M2602" t="s">
        <v>5471</v>
      </c>
    </row>
    <row r="2603" spans="1:13" x14ac:dyDescent="0.3">
      <c r="A2603" t="s">
        <v>3397</v>
      </c>
      <c r="B2603" t="s">
        <v>6331</v>
      </c>
      <c r="C2603" t="s">
        <v>5487</v>
      </c>
      <c r="D2603" t="s">
        <v>4058</v>
      </c>
      <c r="E2603" t="s">
        <v>6332</v>
      </c>
      <c r="F2603" t="s">
        <v>12569</v>
      </c>
      <c r="G2603" t="s">
        <v>6424</v>
      </c>
      <c r="H2603" t="s">
        <v>5474</v>
      </c>
      <c r="I2603" t="s">
        <v>12570</v>
      </c>
      <c r="J2603" t="s">
        <v>5476</v>
      </c>
      <c r="K2603" t="s">
        <v>12571</v>
      </c>
      <c r="L2603" t="s">
        <v>5471</v>
      </c>
      <c r="M2603" t="s">
        <v>5471</v>
      </c>
    </row>
    <row r="2604" spans="1:13" x14ac:dyDescent="0.3">
      <c r="A2604" t="s">
        <v>3397</v>
      </c>
      <c r="B2604" t="s">
        <v>6331</v>
      </c>
      <c r="C2604" t="s">
        <v>5487</v>
      </c>
      <c r="D2604" t="s">
        <v>4058</v>
      </c>
      <c r="E2604" t="s">
        <v>6332</v>
      </c>
      <c r="F2604" t="s">
        <v>12572</v>
      </c>
      <c r="G2604" t="s">
        <v>6427</v>
      </c>
      <c r="H2604" t="s">
        <v>5474</v>
      </c>
      <c r="I2604" t="s">
        <v>12573</v>
      </c>
      <c r="J2604" t="s">
        <v>5476</v>
      </c>
      <c r="K2604" t="s">
        <v>12574</v>
      </c>
      <c r="L2604" t="s">
        <v>5471</v>
      </c>
      <c r="M2604" t="s">
        <v>5471</v>
      </c>
    </row>
    <row r="2605" spans="1:13" x14ac:dyDescent="0.3">
      <c r="A2605" t="s">
        <v>3397</v>
      </c>
      <c r="B2605" t="s">
        <v>6331</v>
      </c>
      <c r="C2605" t="s">
        <v>5487</v>
      </c>
      <c r="D2605" t="s">
        <v>4058</v>
      </c>
      <c r="E2605" t="s">
        <v>6332</v>
      </c>
      <c r="F2605" t="s">
        <v>12575</v>
      </c>
      <c r="G2605" t="s">
        <v>6427</v>
      </c>
      <c r="H2605" t="s">
        <v>5474</v>
      </c>
      <c r="I2605" t="s">
        <v>12576</v>
      </c>
      <c r="J2605" t="s">
        <v>5476</v>
      </c>
      <c r="K2605" t="s">
        <v>12577</v>
      </c>
      <c r="L2605" t="s">
        <v>5471</v>
      </c>
      <c r="M2605" t="s">
        <v>5471</v>
      </c>
    </row>
    <row r="2606" spans="1:13" x14ac:dyDescent="0.3">
      <c r="A2606" t="s">
        <v>3397</v>
      </c>
      <c r="B2606" t="s">
        <v>6331</v>
      </c>
      <c r="C2606" t="s">
        <v>5487</v>
      </c>
      <c r="D2606" t="s">
        <v>4058</v>
      </c>
      <c r="E2606" t="s">
        <v>6332</v>
      </c>
      <c r="F2606" t="s">
        <v>12578</v>
      </c>
      <c r="G2606" t="s">
        <v>6427</v>
      </c>
      <c r="H2606" t="s">
        <v>5474</v>
      </c>
      <c r="I2606" t="s">
        <v>12579</v>
      </c>
      <c r="J2606" t="s">
        <v>5476</v>
      </c>
      <c r="K2606" t="s">
        <v>12580</v>
      </c>
      <c r="L2606" t="s">
        <v>5471</v>
      </c>
      <c r="M2606" t="s">
        <v>5471</v>
      </c>
    </row>
    <row r="2607" spans="1:13" x14ac:dyDescent="0.3">
      <c r="A2607" t="s">
        <v>3397</v>
      </c>
      <c r="B2607" t="s">
        <v>6331</v>
      </c>
      <c r="C2607" t="s">
        <v>5487</v>
      </c>
      <c r="D2607" t="s">
        <v>4058</v>
      </c>
      <c r="E2607" t="s">
        <v>6332</v>
      </c>
      <c r="F2607" t="s">
        <v>12581</v>
      </c>
      <c r="G2607" t="s">
        <v>12582</v>
      </c>
      <c r="H2607" t="s">
        <v>5474</v>
      </c>
      <c r="I2607" t="s">
        <v>12583</v>
      </c>
      <c r="J2607" t="s">
        <v>5476</v>
      </c>
      <c r="K2607" t="s">
        <v>12584</v>
      </c>
      <c r="L2607" t="s">
        <v>5471</v>
      </c>
      <c r="M2607" t="s">
        <v>5471</v>
      </c>
    </row>
    <row r="2608" spans="1:13" x14ac:dyDescent="0.3">
      <c r="A2608" t="s">
        <v>3397</v>
      </c>
      <c r="B2608" t="s">
        <v>6331</v>
      </c>
      <c r="C2608" t="s">
        <v>5487</v>
      </c>
      <c r="D2608" t="s">
        <v>4056</v>
      </c>
      <c r="E2608" t="s">
        <v>6332</v>
      </c>
      <c r="F2608" t="s">
        <v>12585</v>
      </c>
      <c r="G2608" t="s">
        <v>9246</v>
      </c>
      <c r="H2608" t="s">
        <v>5474</v>
      </c>
      <c r="I2608" t="s">
        <v>12586</v>
      </c>
      <c r="J2608" t="s">
        <v>5476</v>
      </c>
      <c r="K2608" t="s">
        <v>12587</v>
      </c>
      <c r="L2608" t="s">
        <v>5471</v>
      </c>
      <c r="M2608" t="s">
        <v>5471</v>
      </c>
    </row>
    <row r="2609" spans="1:13" x14ac:dyDescent="0.3">
      <c r="A2609" t="s">
        <v>3397</v>
      </c>
      <c r="B2609" t="s">
        <v>6331</v>
      </c>
      <c r="C2609" t="s">
        <v>5487</v>
      </c>
      <c r="D2609" t="s">
        <v>4056</v>
      </c>
      <c r="E2609" t="s">
        <v>6332</v>
      </c>
      <c r="F2609" t="s">
        <v>12588</v>
      </c>
      <c r="G2609" t="s">
        <v>9246</v>
      </c>
      <c r="H2609" t="s">
        <v>5474</v>
      </c>
      <c r="I2609" t="s">
        <v>12589</v>
      </c>
      <c r="J2609" t="s">
        <v>5476</v>
      </c>
      <c r="K2609" t="s">
        <v>12590</v>
      </c>
      <c r="L2609" t="s">
        <v>5471</v>
      </c>
      <c r="M2609" t="s">
        <v>5471</v>
      </c>
    </row>
    <row r="2610" spans="1:13" x14ac:dyDescent="0.3">
      <c r="A2610" t="s">
        <v>3397</v>
      </c>
      <c r="B2610" t="s">
        <v>6331</v>
      </c>
      <c r="C2610" t="s">
        <v>5487</v>
      </c>
      <c r="D2610" t="s">
        <v>4056</v>
      </c>
      <c r="E2610" t="s">
        <v>6332</v>
      </c>
      <c r="F2610" t="s">
        <v>12591</v>
      </c>
      <c r="G2610" t="s">
        <v>9246</v>
      </c>
      <c r="H2610" t="s">
        <v>5474</v>
      </c>
      <c r="I2610" t="s">
        <v>12592</v>
      </c>
      <c r="J2610" t="s">
        <v>5476</v>
      </c>
      <c r="K2610" t="s">
        <v>12593</v>
      </c>
      <c r="L2610" t="s">
        <v>5471</v>
      </c>
      <c r="M2610" t="s">
        <v>5471</v>
      </c>
    </row>
    <row r="2611" spans="1:13" x14ac:dyDescent="0.3">
      <c r="A2611" t="s">
        <v>3397</v>
      </c>
      <c r="B2611" t="s">
        <v>6331</v>
      </c>
      <c r="C2611" t="s">
        <v>5487</v>
      </c>
      <c r="D2611" t="s">
        <v>4056</v>
      </c>
      <c r="E2611" t="s">
        <v>6332</v>
      </c>
      <c r="F2611" t="s">
        <v>12594</v>
      </c>
      <c r="G2611" t="s">
        <v>12552</v>
      </c>
      <c r="H2611" t="s">
        <v>5474</v>
      </c>
      <c r="I2611" t="s">
        <v>12595</v>
      </c>
      <c r="J2611" t="s">
        <v>5476</v>
      </c>
      <c r="K2611" t="s">
        <v>12596</v>
      </c>
      <c r="L2611" t="s">
        <v>5471</v>
      </c>
      <c r="M2611" t="s">
        <v>5471</v>
      </c>
    </row>
    <row r="2612" spans="1:13" x14ac:dyDescent="0.3">
      <c r="A2612" t="s">
        <v>3397</v>
      </c>
      <c r="B2612" t="s">
        <v>6331</v>
      </c>
      <c r="C2612" t="s">
        <v>5487</v>
      </c>
      <c r="D2612" t="s">
        <v>4056</v>
      </c>
      <c r="E2612" t="s">
        <v>6332</v>
      </c>
      <c r="F2612" t="s">
        <v>12597</v>
      </c>
      <c r="G2612" t="s">
        <v>12552</v>
      </c>
      <c r="H2612" t="s">
        <v>5474</v>
      </c>
      <c r="I2612" t="s">
        <v>12598</v>
      </c>
      <c r="J2612" t="s">
        <v>5476</v>
      </c>
      <c r="K2612" t="s">
        <v>12599</v>
      </c>
      <c r="L2612" t="s">
        <v>5471</v>
      </c>
      <c r="M2612" t="s">
        <v>5471</v>
      </c>
    </row>
    <row r="2613" spans="1:13" x14ac:dyDescent="0.3">
      <c r="A2613" t="s">
        <v>3397</v>
      </c>
      <c r="B2613" t="s">
        <v>6331</v>
      </c>
      <c r="C2613" t="s">
        <v>5487</v>
      </c>
      <c r="D2613" t="s">
        <v>4056</v>
      </c>
      <c r="E2613" t="s">
        <v>6332</v>
      </c>
      <c r="F2613" t="s">
        <v>12600</v>
      </c>
      <c r="G2613" t="s">
        <v>12552</v>
      </c>
      <c r="H2613" t="s">
        <v>5474</v>
      </c>
      <c r="I2613" t="s">
        <v>12601</v>
      </c>
      <c r="J2613" t="s">
        <v>5476</v>
      </c>
      <c r="K2613" t="s">
        <v>12602</v>
      </c>
      <c r="L2613" t="s">
        <v>5471</v>
      </c>
      <c r="M2613" t="s">
        <v>5471</v>
      </c>
    </row>
    <row r="2614" spans="1:13" x14ac:dyDescent="0.3">
      <c r="A2614" t="s">
        <v>3397</v>
      </c>
      <c r="B2614" t="s">
        <v>6331</v>
      </c>
      <c r="C2614" t="s">
        <v>5487</v>
      </c>
      <c r="D2614" t="s">
        <v>4056</v>
      </c>
      <c r="E2614" t="s">
        <v>6332</v>
      </c>
      <c r="F2614" t="s">
        <v>12603</v>
      </c>
      <c r="G2614" t="s">
        <v>6424</v>
      </c>
      <c r="H2614" t="s">
        <v>5474</v>
      </c>
      <c r="I2614" t="s">
        <v>12604</v>
      </c>
      <c r="J2614" t="s">
        <v>5476</v>
      </c>
      <c r="K2614" t="s">
        <v>12605</v>
      </c>
      <c r="L2614" t="s">
        <v>5471</v>
      </c>
      <c r="M2614" t="s">
        <v>5471</v>
      </c>
    </row>
    <row r="2615" spans="1:13" x14ac:dyDescent="0.3">
      <c r="A2615" t="s">
        <v>3397</v>
      </c>
      <c r="B2615" t="s">
        <v>6331</v>
      </c>
      <c r="C2615" t="s">
        <v>5487</v>
      </c>
      <c r="D2615" t="s">
        <v>4056</v>
      </c>
      <c r="E2615" t="s">
        <v>6332</v>
      </c>
      <c r="F2615" t="s">
        <v>12606</v>
      </c>
      <c r="G2615" t="s">
        <v>6424</v>
      </c>
      <c r="H2615" t="s">
        <v>5474</v>
      </c>
      <c r="I2615" t="s">
        <v>12607</v>
      </c>
      <c r="J2615" t="s">
        <v>5476</v>
      </c>
      <c r="K2615" t="s">
        <v>12608</v>
      </c>
      <c r="L2615" t="s">
        <v>5471</v>
      </c>
      <c r="M2615" t="s">
        <v>5471</v>
      </c>
    </row>
    <row r="2616" spans="1:13" x14ac:dyDescent="0.3">
      <c r="A2616" t="s">
        <v>3397</v>
      </c>
      <c r="B2616" t="s">
        <v>6331</v>
      </c>
      <c r="C2616" t="s">
        <v>5487</v>
      </c>
      <c r="D2616" t="s">
        <v>4056</v>
      </c>
      <c r="E2616" t="s">
        <v>6332</v>
      </c>
      <c r="F2616" t="s">
        <v>12609</v>
      </c>
      <c r="G2616" t="s">
        <v>6424</v>
      </c>
      <c r="H2616" t="s">
        <v>5474</v>
      </c>
      <c r="I2616" t="s">
        <v>12610</v>
      </c>
      <c r="J2616" t="s">
        <v>5476</v>
      </c>
      <c r="K2616" t="s">
        <v>12611</v>
      </c>
      <c r="L2616" t="s">
        <v>5471</v>
      </c>
      <c r="M2616" t="s">
        <v>5471</v>
      </c>
    </row>
    <row r="2617" spans="1:13" x14ac:dyDescent="0.3">
      <c r="A2617" t="s">
        <v>3397</v>
      </c>
      <c r="B2617" t="s">
        <v>6331</v>
      </c>
      <c r="C2617" t="s">
        <v>5487</v>
      </c>
      <c r="D2617" t="s">
        <v>4056</v>
      </c>
      <c r="E2617" t="s">
        <v>6332</v>
      </c>
      <c r="F2617" t="s">
        <v>12612</v>
      </c>
      <c r="G2617" t="s">
        <v>6427</v>
      </c>
      <c r="H2617" t="s">
        <v>5474</v>
      </c>
      <c r="I2617" t="s">
        <v>12613</v>
      </c>
      <c r="J2617" t="s">
        <v>5476</v>
      </c>
      <c r="K2617" t="s">
        <v>12614</v>
      </c>
      <c r="L2617" t="s">
        <v>5471</v>
      </c>
      <c r="M2617" t="s">
        <v>5471</v>
      </c>
    </row>
    <row r="2618" spans="1:13" x14ac:dyDescent="0.3">
      <c r="A2618" t="s">
        <v>3397</v>
      </c>
      <c r="B2618" t="s">
        <v>6331</v>
      </c>
      <c r="C2618" t="s">
        <v>5487</v>
      </c>
      <c r="D2618" t="s">
        <v>4056</v>
      </c>
      <c r="E2618" t="s">
        <v>6332</v>
      </c>
      <c r="F2618" t="s">
        <v>12615</v>
      </c>
      <c r="G2618" t="s">
        <v>6427</v>
      </c>
      <c r="H2618" t="s">
        <v>5474</v>
      </c>
      <c r="I2618" t="s">
        <v>12616</v>
      </c>
      <c r="J2618" t="s">
        <v>5476</v>
      </c>
      <c r="K2618" t="s">
        <v>12617</v>
      </c>
      <c r="L2618" t="s">
        <v>5471</v>
      </c>
      <c r="M2618" t="s">
        <v>5471</v>
      </c>
    </row>
    <row r="2619" spans="1:13" x14ac:dyDescent="0.3">
      <c r="A2619" t="s">
        <v>3397</v>
      </c>
      <c r="B2619" t="s">
        <v>6331</v>
      </c>
      <c r="C2619" t="s">
        <v>5487</v>
      </c>
      <c r="D2619" t="s">
        <v>4056</v>
      </c>
      <c r="E2619" t="s">
        <v>6332</v>
      </c>
      <c r="F2619" t="s">
        <v>12618</v>
      </c>
      <c r="G2619" t="s">
        <v>6427</v>
      </c>
      <c r="H2619" t="s">
        <v>5474</v>
      </c>
      <c r="I2619" t="s">
        <v>12619</v>
      </c>
      <c r="J2619" t="s">
        <v>5476</v>
      </c>
      <c r="K2619" t="s">
        <v>12620</v>
      </c>
      <c r="L2619" t="s">
        <v>5471</v>
      </c>
      <c r="M2619" t="s">
        <v>5471</v>
      </c>
    </row>
    <row r="2620" spans="1:13" x14ac:dyDescent="0.3">
      <c r="A2620" t="s">
        <v>3397</v>
      </c>
      <c r="B2620" t="s">
        <v>6331</v>
      </c>
      <c r="C2620" t="s">
        <v>5487</v>
      </c>
      <c r="D2620" t="s">
        <v>4200</v>
      </c>
      <c r="E2620" t="s">
        <v>6332</v>
      </c>
      <c r="F2620" t="s">
        <v>12621</v>
      </c>
      <c r="G2620" t="s">
        <v>9246</v>
      </c>
      <c r="H2620" t="s">
        <v>5474</v>
      </c>
      <c r="I2620" t="s">
        <v>12622</v>
      </c>
      <c r="J2620" t="s">
        <v>5476</v>
      </c>
      <c r="K2620" t="s">
        <v>12623</v>
      </c>
      <c r="L2620" t="s">
        <v>5471</v>
      </c>
      <c r="M2620" t="s">
        <v>5471</v>
      </c>
    </row>
    <row r="2621" spans="1:13" x14ac:dyDescent="0.3">
      <c r="A2621" t="s">
        <v>3397</v>
      </c>
      <c r="B2621" t="s">
        <v>6331</v>
      </c>
      <c r="C2621" t="s">
        <v>5487</v>
      </c>
      <c r="D2621" t="s">
        <v>4119</v>
      </c>
      <c r="E2621" t="s">
        <v>6332</v>
      </c>
      <c r="F2621" t="s">
        <v>12624</v>
      </c>
      <c r="G2621" t="s">
        <v>12582</v>
      </c>
      <c r="H2621" t="s">
        <v>5474</v>
      </c>
      <c r="I2621" t="s">
        <v>12625</v>
      </c>
      <c r="J2621" t="s">
        <v>5476</v>
      </c>
      <c r="K2621" t="s">
        <v>12626</v>
      </c>
      <c r="L2621" t="s">
        <v>5471</v>
      </c>
      <c r="M2621" t="s">
        <v>5471</v>
      </c>
    </row>
    <row r="2622" spans="1:13" x14ac:dyDescent="0.3">
      <c r="A2622" t="s">
        <v>3397</v>
      </c>
      <c r="B2622" t="s">
        <v>6331</v>
      </c>
      <c r="C2622" t="s">
        <v>5487</v>
      </c>
      <c r="D2622" t="s">
        <v>4119</v>
      </c>
      <c r="E2622" t="s">
        <v>6332</v>
      </c>
      <c r="F2622" t="s">
        <v>12627</v>
      </c>
      <c r="G2622" t="s">
        <v>12582</v>
      </c>
      <c r="H2622" t="s">
        <v>5474</v>
      </c>
      <c r="I2622" t="s">
        <v>12628</v>
      </c>
      <c r="J2622" t="s">
        <v>5476</v>
      </c>
      <c r="K2622" t="s">
        <v>12629</v>
      </c>
      <c r="L2622" t="s">
        <v>5471</v>
      </c>
      <c r="M2622" t="s">
        <v>5471</v>
      </c>
    </row>
    <row r="2623" spans="1:13" x14ac:dyDescent="0.3">
      <c r="A2623" t="s">
        <v>3397</v>
      </c>
      <c r="B2623" t="s">
        <v>6331</v>
      </c>
      <c r="C2623" t="s">
        <v>5487</v>
      </c>
      <c r="D2623" t="s">
        <v>4119</v>
      </c>
      <c r="E2623" t="s">
        <v>6332</v>
      </c>
      <c r="F2623" t="s">
        <v>12630</v>
      </c>
      <c r="G2623" t="s">
        <v>12582</v>
      </c>
      <c r="H2623" t="s">
        <v>5474</v>
      </c>
      <c r="I2623" t="s">
        <v>12631</v>
      </c>
      <c r="J2623" t="s">
        <v>5476</v>
      </c>
      <c r="K2623" t="s">
        <v>12632</v>
      </c>
      <c r="L2623" t="s">
        <v>5471</v>
      </c>
      <c r="M2623" t="s">
        <v>5471</v>
      </c>
    </row>
    <row r="2624" spans="1:13" x14ac:dyDescent="0.3">
      <c r="A2624" t="s">
        <v>3397</v>
      </c>
      <c r="B2624" t="s">
        <v>6331</v>
      </c>
      <c r="C2624" t="s">
        <v>5487</v>
      </c>
      <c r="D2624" t="s">
        <v>4119</v>
      </c>
      <c r="E2624" t="s">
        <v>6332</v>
      </c>
      <c r="F2624" t="s">
        <v>12633</v>
      </c>
      <c r="G2624" t="s">
        <v>12582</v>
      </c>
      <c r="H2624" t="s">
        <v>5474</v>
      </c>
      <c r="I2624" t="s">
        <v>12634</v>
      </c>
      <c r="J2624" t="s">
        <v>5476</v>
      </c>
      <c r="K2624" t="s">
        <v>12635</v>
      </c>
      <c r="L2624" t="s">
        <v>5471</v>
      </c>
      <c r="M2624" t="s">
        <v>5471</v>
      </c>
    </row>
    <row r="2625" spans="1:13" x14ac:dyDescent="0.3">
      <c r="A2625" t="s">
        <v>3397</v>
      </c>
      <c r="B2625" t="s">
        <v>6331</v>
      </c>
      <c r="C2625" t="s">
        <v>5487</v>
      </c>
      <c r="D2625" t="s">
        <v>4119</v>
      </c>
      <c r="E2625" t="s">
        <v>6332</v>
      </c>
      <c r="F2625" t="s">
        <v>12636</v>
      </c>
      <c r="G2625" t="s">
        <v>12582</v>
      </c>
      <c r="H2625" t="s">
        <v>5474</v>
      </c>
      <c r="I2625" t="s">
        <v>12637</v>
      </c>
      <c r="J2625" t="s">
        <v>5476</v>
      </c>
      <c r="K2625" t="s">
        <v>12638</v>
      </c>
      <c r="L2625" t="s">
        <v>5471</v>
      </c>
      <c r="M2625" t="s">
        <v>5471</v>
      </c>
    </row>
    <row r="2626" spans="1:13" x14ac:dyDescent="0.3">
      <c r="A2626" t="s">
        <v>3397</v>
      </c>
      <c r="B2626" t="s">
        <v>6331</v>
      </c>
      <c r="C2626" t="s">
        <v>5487</v>
      </c>
      <c r="D2626" t="s">
        <v>4119</v>
      </c>
      <c r="E2626" t="s">
        <v>6332</v>
      </c>
      <c r="F2626" t="s">
        <v>12639</v>
      </c>
      <c r="G2626" t="s">
        <v>12582</v>
      </c>
      <c r="H2626" t="s">
        <v>5474</v>
      </c>
      <c r="I2626" t="s">
        <v>12640</v>
      </c>
      <c r="J2626" t="s">
        <v>5476</v>
      </c>
      <c r="K2626" t="s">
        <v>12641</v>
      </c>
      <c r="L2626" t="s">
        <v>5471</v>
      </c>
      <c r="M2626" t="s">
        <v>5471</v>
      </c>
    </row>
    <row r="2627" spans="1:13" x14ac:dyDescent="0.3">
      <c r="A2627" t="s">
        <v>3397</v>
      </c>
      <c r="B2627" t="s">
        <v>6331</v>
      </c>
      <c r="C2627" t="s">
        <v>5487</v>
      </c>
      <c r="D2627" t="s">
        <v>4119</v>
      </c>
      <c r="E2627" t="s">
        <v>6332</v>
      </c>
      <c r="F2627" t="s">
        <v>12642</v>
      </c>
      <c r="G2627" t="s">
        <v>12582</v>
      </c>
      <c r="H2627" t="s">
        <v>5474</v>
      </c>
      <c r="I2627" t="s">
        <v>12643</v>
      </c>
      <c r="J2627" t="s">
        <v>5476</v>
      </c>
      <c r="K2627" t="s">
        <v>12644</v>
      </c>
      <c r="L2627" t="s">
        <v>5471</v>
      </c>
      <c r="M2627" t="s">
        <v>5471</v>
      </c>
    </row>
    <row r="2628" spans="1:13" x14ac:dyDescent="0.3">
      <c r="A2628" t="s">
        <v>3397</v>
      </c>
      <c r="B2628" t="s">
        <v>6331</v>
      </c>
      <c r="C2628" t="s">
        <v>5487</v>
      </c>
      <c r="D2628" t="s">
        <v>4119</v>
      </c>
      <c r="E2628" t="s">
        <v>6332</v>
      </c>
      <c r="F2628" t="s">
        <v>12645</v>
      </c>
      <c r="G2628" t="s">
        <v>12582</v>
      </c>
      <c r="H2628" t="s">
        <v>5474</v>
      </c>
      <c r="I2628" t="s">
        <v>12646</v>
      </c>
      <c r="J2628" t="s">
        <v>5476</v>
      </c>
      <c r="K2628" t="s">
        <v>12647</v>
      </c>
      <c r="L2628" t="s">
        <v>5471</v>
      </c>
      <c r="M2628" t="s">
        <v>5471</v>
      </c>
    </row>
    <row r="2629" spans="1:13" x14ac:dyDescent="0.3">
      <c r="A2629" t="s">
        <v>3397</v>
      </c>
      <c r="B2629" t="s">
        <v>6331</v>
      </c>
      <c r="C2629" t="s">
        <v>5487</v>
      </c>
      <c r="D2629" t="s">
        <v>4119</v>
      </c>
      <c r="E2629" t="s">
        <v>6332</v>
      </c>
      <c r="F2629" t="s">
        <v>12648</v>
      </c>
      <c r="G2629" t="s">
        <v>12582</v>
      </c>
      <c r="H2629" t="s">
        <v>5474</v>
      </c>
      <c r="I2629" t="s">
        <v>12649</v>
      </c>
      <c r="J2629" t="s">
        <v>5476</v>
      </c>
      <c r="K2629" t="s">
        <v>12650</v>
      </c>
      <c r="L2629" t="s">
        <v>5471</v>
      </c>
      <c r="M2629" t="s">
        <v>5471</v>
      </c>
    </row>
    <row r="2630" spans="1:13" x14ac:dyDescent="0.3">
      <c r="A2630" t="s">
        <v>3397</v>
      </c>
      <c r="B2630" t="s">
        <v>6331</v>
      </c>
      <c r="C2630" t="s">
        <v>5487</v>
      </c>
      <c r="D2630" t="s">
        <v>4119</v>
      </c>
      <c r="E2630" t="s">
        <v>6332</v>
      </c>
      <c r="F2630" t="s">
        <v>12651</v>
      </c>
      <c r="G2630" t="s">
        <v>12582</v>
      </c>
      <c r="H2630" t="s">
        <v>5474</v>
      </c>
      <c r="I2630" t="s">
        <v>12652</v>
      </c>
      <c r="J2630" t="s">
        <v>5476</v>
      </c>
      <c r="K2630" t="s">
        <v>12653</v>
      </c>
      <c r="L2630" t="s">
        <v>5471</v>
      </c>
      <c r="M2630" t="s">
        <v>5471</v>
      </c>
    </row>
    <row r="2631" spans="1:13" x14ac:dyDescent="0.3">
      <c r="A2631" t="s">
        <v>3397</v>
      </c>
      <c r="B2631" t="s">
        <v>6331</v>
      </c>
      <c r="C2631" t="s">
        <v>5487</v>
      </c>
      <c r="D2631" t="s">
        <v>4119</v>
      </c>
      <c r="E2631" t="s">
        <v>6332</v>
      </c>
      <c r="F2631" t="s">
        <v>12654</v>
      </c>
      <c r="G2631" t="s">
        <v>12582</v>
      </c>
      <c r="H2631" t="s">
        <v>5474</v>
      </c>
      <c r="I2631" t="s">
        <v>12655</v>
      </c>
      <c r="J2631" t="s">
        <v>5476</v>
      </c>
      <c r="K2631" t="s">
        <v>12656</v>
      </c>
      <c r="L2631" t="s">
        <v>5471</v>
      </c>
      <c r="M2631" t="s">
        <v>5471</v>
      </c>
    </row>
    <row r="2632" spans="1:13" x14ac:dyDescent="0.3">
      <c r="A2632" t="s">
        <v>3397</v>
      </c>
      <c r="B2632" t="s">
        <v>6331</v>
      </c>
      <c r="C2632" t="s">
        <v>5487</v>
      </c>
      <c r="D2632" t="s">
        <v>4119</v>
      </c>
      <c r="E2632" t="s">
        <v>6332</v>
      </c>
      <c r="F2632" t="s">
        <v>12657</v>
      </c>
      <c r="G2632" t="s">
        <v>12582</v>
      </c>
      <c r="H2632" t="s">
        <v>5474</v>
      </c>
      <c r="I2632" t="s">
        <v>12658</v>
      </c>
      <c r="J2632" t="s">
        <v>5476</v>
      </c>
      <c r="K2632" t="s">
        <v>12659</v>
      </c>
      <c r="L2632" t="s">
        <v>5471</v>
      </c>
      <c r="M2632" t="s">
        <v>5471</v>
      </c>
    </row>
    <row r="2633" spans="1:13" x14ac:dyDescent="0.3">
      <c r="A2633" t="s">
        <v>3397</v>
      </c>
      <c r="B2633" t="s">
        <v>6331</v>
      </c>
      <c r="C2633" t="s">
        <v>5487</v>
      </c>
      <c r="D2633" t="s">
        <v>4119</v>
      </c>
      <c r="E2633" t="s">
        <v>6332</v>
      </c>
      <c r="F2633" t="s">
        <v>12660</v>
      </c>
      <c r="G2633" t="s">
        <v>12582</v>
      </c>
      <c r="H2633" t="s">
        <v>5474</v>
      </c>
      <c r="I2633" t="s">
        <v>12661</v>
      </c>
      <c r="J2633" t="s">
        <v>5476</v>
      </c>
      <c r="K2633" t="s">
        <v>12662</v>
      </c>
      <c r="L2633" t="s">
        <v>5471</v>
      </c>
      <c r="M2633" t="s">
        <v>5471</v>
      </c>
    </row>
    <row r="2634" spans="1:13" x14ac:dyDescent="0.3">
      <c r="A2634" t="s">
        <v>3397</v>
      </c>
      <c r="B2634" t="s">
        <v>6331</v>
      </c>
      <c r="C2634" t="s">
        <v>5487</v>
      </c>
      <c r="D2634" t="s">
        <v>4119</v>
      </c>
      <c r="E2634" t="s">
        <v>6332</v>
      </c>
      <c r="F2634" t="s">
        <v>12663</v>
      </c>
      <c r="G2634" t="s">
        <v>12582</v>
      </c>
      <c r="H2634" t="s">
        <v>5474</v>
      </c>
      <c r="I2634" t="s">
        <v>12664</v>
      </c>
      <c r="J2634" t="s">
        <v>5476</v>
      </c>
      <c r="K2634" t="s">
        <v>12665</v>
      </c>
      <c r="L2634" t="s">
        <v>5471</v>
      </c>
      <c r="M2634" t="s">
        <v>5471</v>
      </c>
    </row>
    <row r="2635" spans="1:13" x14ac:dyDescent="0.3">
      <c r="A2635" t="s">
        <v>3397</v>
      </c>
      <c r="B2635" t="s">
        <v>6331</v>
      </c>
      <c r="C2635" t="s">
        <v>5487</v>
      </c>
      <c r="D2635" t="s">
        <v>4119</v>
      </c>
      <c r="E2635" t="s">
        <v>6332</v>
      </c>
      <c r="F2635" t="s">
        <v>12666</v>
      </c>
      <c r="G2635" t="s">
        <v>12582</v>
      </c>
      <c r="H2635" t="s">
        <v>5474</v>
      </c>
      <c r="I2635" t="s">
        <v>12667</v>
      </c>
      <c r="J2635" t="s">
        <v>5476</v>
      </c>
      <c r="K2635" t="s">
        <v>12668</v>
      </c>
      <c r="L2635" t="s">
        <v>5471</v>
      </c>
      <c r="M2635" t="s">
        <v>5471</v>
      </c>
    </row>
    <row r="2636" spans="1:13" x14ac:dyDescent="0.3">
      <c r="A2636" t="s">
        <v>3397</v>
      </c>
      <c r="B2636" t="s">
        <v>6331</v>
      </c>
      <c r="C2636" t="s">
        <v>5487</v>
      </c>
      <c r="D2636" t="s">
        <v>4119</v>
      </c>
      <c r="E2636" t="s">
        <v>6332</v>
      </c>
      <c r="F2636" t="s">
        <v>12669</v>
      </c>
      <c r="G2636" t="s">
        <v>12582</v>
      </c>
      <c r="H2636" t="s">
        <v>5474</v>
      </c>
      <c r="I2636" t="s">
        <v>12670</v>
      </c>
      <c r="J2636" t="s">
        <v>5476</v>
      </c>
      <c r="K2636" t="s">
        <v>12671</v>
      </c>
      <c r="L2636" t="s">
        <v>5471</v>
      </c>
      <c r="M2636" t="s">
        <v>5471</v>
      </c>
    </row>
    <row r="2637" spans="1:13" x14ac:dyDescent="0.3">
      <c r="A2637" t="s">
        <v>3397</v>
      </c>
      <c r="B2637" t="s">
        <v>6331</v>
      </c>
      <c r="C2637" t="s">
        <v>5487</v>
      </c>
      <c r="D2637" t="s">
        <v>4119</v>
      </c>
      <c r="E2637" t="s">
        <v>6332</v>
      </c>
      <c r="F2637" t="s">
        <v>12672</v>
      </c>
      <c r="G2637" t="s">
        <v>12582</v>
      </c>
      <c r="H2637" t="s">
        <v>5474</v>
      </c>
      <c r="I2637" t="s">
        <v>12673</v>
      </c>
      <c r="J2637" t="s">
        <v>5476</v>
      </c>
      <c r="K2637" t="s">
        <v>12674</v>
      </c>
      <c r="L2637" t="s">
        <v>5471</v>
      </c>
      <c r="M2637" t="s">
        <v>5471</v>
      </c>
    </row>
    <row r="2638" spans="1:13" x14ac:dyDescent="0.3">
      <c r="A2638" t="s">
        <v>3397</v>
      </c>
      <c r="B2638" t="s">
        <v>6331</v>
      </c>
      <c r="C2638" t="s">
        <v>5487</v>
      </c>
      <c r="D2638" t="s">
        <v>4119</v>
      </c>
      <c r="E2638" t="s">
        <v>6332</v>
      </c>
      <c r="F2638" t="s">
        <v>12675</v>
      </c>
      <c r="G2638" t="s">
        <v>12582</v>
      </c>
      <c r="H2638" t="s">
        <v>5474</v>
      </c>
      <c r="I2638" t="s">
        <v>12676</v>
      </c>
      <c r="J2638" t="s">
        <v>5476</v>
      </c>
      <c r="K2638" t="s">
        <v>12677</v>
      </c>
      <c r="L2638" t="s">
        <v>5471</v>
      </c>
      <c r="M2638" t="s">
        <v>5471</v>
      </c>
    </row>
    <row r="2639" spans="1:13" x14ac:dyDescent="0.3">
      <c r="A2639" t="s">
        <v>3397</v>
      </c>
      <c r="B2639" t="s">
        <v>6331</v>
      </c>
      <c r="C2639" t="s">
        <v>5487</v>
      </c>
      <c r="D2639" t="s">
        <v>4119</v>
      </c>
      <c r="E2639" t="s">
        <v>6332</v>
      </c>
      <c r="F2639" t="s">
        <v>12678</v>
      </c>
      <c r="G2639" t="s">
        <v>12582</v>
      </c>
      <c r="H2639" t="s">
        <v>5474</v>
      </c>
      <c r="I2639" t="s">
        <v>12679</v>
      </c>
      <c r="J2639" t="s">
        <v>5476</v>
      </c>
      <c r="K2639" t="s">
        <v>12680</v>
      </c>
      <c r="L2639" t="s">
        <v>5471</v>
      </c>
      <c r="M2639" t="s">
        <v>5471</v>
      </c>
    </row>
    <row r="2640" spans="1:13" x14ac:dyDescent="0.3">
      <c r="A2640" t="s">
        <v>3397</v>
      </c>
      <c r="B2640" t="s">
        <v>6331</v>
      </c>
      <c r="C2640" t="s">
        <v>5487</v>
      </c>
      <c r="D2640" t="s">
        <v>4119</v>
      </c>
      <c r="E2640" t="s">
        <v>6332</v>
      </c>
      <c r="F2640" t="s">
        <v>12681</v>
      </c>
      <c r="G2640" t="s">
        <v>12582</v>
      </c>
      <c r="H2640" t="s">
        <v>5474</v>
      </c>
      <c r="I2640" t="s">
        <v>12682</v>
      </c>
      <c r="J2640" t="s">
        <v>5476</v>
      </c>
      <c r="K2640" t="s">
        <v>12683</v>
      </c>
      <c r="L2640" t="s">
        <v>5471</v>
      </c>
      <c r="M2640" t="s">
        <v>5471</v>
      </c>
    </row>
    <row r="2641" spans="1:13" x14ac:dyDescent="0.3">
      <c r="A2641" t="s">
        <v>3397</v>
      </c>
      <c r="B2641" t="s">
        <v>6331</v>
      </c>
      <c r="C2641" t="s">
        <v>5487</v>
      </c>
      <c r="D2641" t="s">
        <v>4119</v>
      </c>
      <c r="E2641" t="s">
        <v>6332</v>
      </c>
      <c r="F2641" t="s">
        <v>12684</v>
      </c>
      <c r="G2641" t="s">
        <v>12582</v>
      </c>
      <c r="H2641" t="s">
        <v>5474</v>
      </c>
      <c r="I2641" t="s">
        <v>12685</v>
      </c>
      <c r="J2641" t="s">
        <v>5476</v>
      </c>
      <c r="K2641" t="s">
        <v>12686</v>
      </c>
      <c r="L2641" t="s">
        <v>5471</v>
      </c>
      <c r="M2641" t="s">
        <v>5471</v>
      </c>
    </row>
    <row r="2642" spans="1:13" x14ac:dyDescent="0.3">
      <c r="A2642" t="s">
        <v>3397</v>
      </c>
      <c r="B2642" t="s">
        <v>6331</v>
      </c>
      <c r="C2642" t="s">
        <v>5487</v>
      </c>
      <c r="D2642" t="s">
        <v>4119</v>
      </c>
      <c r="E2642" t="s">
        <v>6332</v>
      </c>
      <c r="F2642" t="s">
        <v>12687</v>
      </c>
      <c r="G2642" t="s">
        <v>12582</v>
      </c>
      <c r="H2642" t="s">
        <v>5474</v>
      </c>
      <c r="I2642" t="s">
        <v>12688</v>
      </c>
      <c r="J2642" t="s">
        <v>5476</v>
      </c>
      <c r="K2642" t="s">
        <v>12689</v>
      </c>
      <c r="L2642" t="s">
        <v>5471</v>
      </c>
      <c r="M2642" t="s">
        <v>5471</v>
      </c>
    </row>
    <row r="2643" spans="1:13" x14ac:dyDescent="0.3">
      <c r="A2643" t="s">
        <v>3397</v>
      </c>
      <c r="B2643" t="s">
        <v>6331</v>
      </c>
      <c r="C2643" t="s">
        <v>5487</v>
      </c>
      <c r="D2643" t="s">
        <v>4119</v>
      </c>
      <c r="E2643" t="s">
        <v>6332</v>
      </c>
      <c r="F2643" t="s">
        <v>12690</v>
      </c>
      <c r="G2643" t="s">
        <v>12582</v>
      </c>
      <c r="H2643" t="s">
        <v>5474</v>
      </c>
      <c r="I2643" t="s">
        <v>12691</v>
      </c>
      <c r="J2643" t="s">
        <v>5476</v>
      </c>
      <c r="K2643" t="s">
        <v>12692</v>
      </c>
      <c r="L2643" t="s">
        <v>5471</v>
      </c>
      <c r="M2643" t="s">
        <v>5471</v>
      </c>
    </row>
    <row r="2644" spans="1:13" x14ac:dyDescent="0.3">
      <c r="A2644" t="s">
        <v>3397</v>
      </c>
      <c r="B2644" t="s">
        <v>6331</v>
      </c>
      <c r="C2644" t="s">
        <v>5487</v>
      </c>
      <c r="D2644" t="s">
        <v>4119</v>
      </c>
      <c r="E2644" t="s">
        <v>6332</v>
      </c>
      <c r="F2644" t="s">
        <v>12693</v>
      </c>
      <c r="G2644" t="s">
        <v>12582</v>
      </c>
      <c r="H2644" t="s">
        <v>5474</v>
      </c>
      <c r="I2644" t="s">
        <v>12694</v>
      </c>
      <c r="J2644" t="s">
        <v>5476</v>
      </c>
      <c r="K2644" t="s">
        <v>12695</v>
      </c>
      <c r="L2644" t="s">
        <v>5471</v>
      </c>
      <c r="M2644" t="s">
        <v>5471</v>
      </c>
    </row>
    <row r="2645" spans="1:13" x14ac:dyDescent="0.3">
      <c r="A2645" t="s">
        <v>3397</v>
      </c>
      <c r="B2645" t="s">
        <v>6331</v>
      </c>
      <c r="C2645" t="s">
        <v>5487</v>
      </c>
      <c r="D2645" t="s">
        <v>4119</v>
      </c>
      <c r="E2645" t="s">
        <v>6332</v>
      </c>
      <c r="F2645" t="s">
        <v>12696</v>
      </c>
      <c r="G2645" t="s">
        <v>12582</v>
      </c>
      <c r="H2645" t="s">
        <v>5474</v>
      </c>
      <c r="I2645" t="s">
        <v>12697</v>
      </c>
      <c r="J2645" t="s">
        <v>5476</v>
      </c>
      <c r="K2645" t="s">
        <v>12698</v>
      </c>
      <c r="L2645" t="s">
        <v>5471</v>
      </c>
      <c r="M2645" t="s">
        <v>5471</v>
      </c>
    </row>
    <row r="2646" spans="1:13" x14ac:dyDescent="0.3">
      <c r="A2646" t="s">
        <v>3397</v>
      </c>
      <c r="B2646" t="s">
        <v>6331</v>
      </c>
      <c r="C2646" t="s">
        <v>5487</v>
      </c>
      <c r="D2646" t="s">
        <v>4119</v>
      </c>
      <c r="E2646" t="s">
        <v>6332</v>
      </c>
      <c r="F2646" t="s">
        <v>12699</v>
      </c>
      <c r="G2646" t="s">
        <v>12582</v>
      </c>
      <c r="H2646" t="s">
        <v>5474</v>
      </c>
      <c r="I2646" t="s">
        <v>12700</v>
      </c>
      <c r="J2646" t="s">
        <v>5476</v>
      </c>
      <c r="K2646" t="s">
        <v>12701</v>
      </c>
      <c r="L2646" t="s">
        <v>5471</v>
      </c>
      <c r="M2646" t="s">
        <v>5471</v>
      </c>
    </row>
    <row r="2647" spans="1:13" x14ac:dyDescent="0.3">
      <c r="A2647" t="s">
        <v>3397</v>
      </c>
      <c r="B2647" t="s">
        <v>6331</v>
      </c>
      <c r="C2647" t="s">
        <v>5487</v>
      </c>
      <c r="D2647" t="s">
        <v>4119</v>
      </c>
      <c r="E2647" t="s">
        <v>6332</v>
      </c>
      <c r="F2647" t="s">
        <v>12702</v>
      </c>
      <c r="G2647" t="s">
        <v>12582</v>
      </c>
      <c r="H2647" t="s">
        <v>5474</v>
      </c>
      <c r="I2647" t="s">
        <v>12703</v>
      </c>
      <c r="J2647" t="s">
        <v>5476</v>
      </c>
      <c r="K2647" t="s">
        <v>12704</v>
      </c>
      <c r="L2647" t="s">
        <v>5471</v>
      </c>
      <c r="M2647" t="s">
        <v>5471</v>
      </c>
    </row>
    <row r="2648" spans="1:13" x14ac:dyDescent="0.3">
      <c r="A2648" t="s">
        <v>3397</v>
      </c>
      <c r="B2648" t="s">
        <v>6331</v>
      </c>
      <c r="C2648" t="s">
        <v>5487</v>
      </c>
      <c r="D2648" t="s">
        <v>4119</v>
      </c>
      <c r="E2648" t="s">
        <v>6332</v>
      </c>
      <c r="F2648" t="s">
        <v>12705</v>
      </c>
      <c r="G2648" t="s">
        <v>12582</v>
      </c>
      <c r="H2648" t="s">
        <v>5474</v>
      </c>
      <c r="I2648" t="s">
        <v>12706</v>
      </c>
      <c r="J2648" t="s">
        <v>5476</v>
      </c>
      <c r="K2648" t="s">
        <v>12707</v>
      </c>
      <c r="L2648" t="s">
        <v>5471</v>
      </c>
      <c r="M2648" t="s">
        <v>5471</v>
      </c>
    </row>
    <row r="2649" spans="1:13" x14ac:dyDescent="0.3">
      <c r="A2649" t="s">
        <v>3397</v>
      </c>
      <c r="B2649" t="s">
        <v>6331</v>
      </c>
      <c r="C2649" t="s">
        <v>5487</v>
      </c>
      <c r="D2649" t="s">
        <v>4119</v>
      </c>
      <c r="E2649" t="s">
        <v>6332</v>
      </c>
      <c r="F2649" t="s">
        <v>12708</v>
      </c>
      <c r="G2649" t="s">
        <v>12582</v>
      </c>
      <c r="H2649" t="s">
        <v>5474</v>
      </c>
      <c r="I2649" t="s">
        <v>12709</v>
      </c>
      <c r="J2649" t="s">
        <v>5476</v>
      </c>
      <c r="K2649" t="s">
        <v>12710</v>
      </c>
      <c r="L2649" t="s">
        <v>5471</v>
      </c>
      <c r="M2649" t="s">
        <v>5471</v>
      </c>
    </row>
    <row r="2650" spans="1:13" x14ac:dyDescent="0.3">
      <c r="A2650" t="s">
        <v>3397</v>
      </c>
      <c r="B2650" t="s">
        <v>6331</v>
      </c>
      <c r="C2650" t="s">
        <v>5487</v>
      </c>
      <c r="D2650" t="s">
        <v>4119</v>
      </c>
      <c r="E2650" t="s">
        <v>6332</v>
      </c>
      <c r="F2650" t="s">
        <v>12711</v>
      </c>
      <c r="G2650" t="s">
        <v>12582</v>
      </c>
      <c r="H2650" t="s">
        <v>5474</v>
      </c>
      <c r="I2650" t="s">
        <v>12712</v>
      </c>
      <c r="J2650" t="s">
        <v>5476</v>
      </c>
      <c r="K2650" t="s">
        <v>12713</v>
      </c>
      <c r="L2650" t="s">
        <v>5471</v>
      </c>
      <c r="M2650" t="s">
        <v>5471</v>
      </c>
    </row>
    <row r="2651" spans="1:13" x14ac:dyDescent="0.3">
      <c r="A2651" t="s">
        <v>3397</v>
      </c>
      <c r="B2651" t="s">
        <v>6331</v>
      </c>
      <c r="C2651" t="s">
        <v>5487</v>
      </c>
      <c r="D2651" t="s">
        <v>4119</v>
      </c>
      <c r="E2651" t="s">
        <v>6332</v>
      </c>
      <c r="F2651" t="s">
        <v>12714</v>
      </c>
      <c r="G2651" t="s">
        <v>12715</v>
      </c>
      <c r="H2651" t="s">
        <v>5474</v>
      </c>
      <c r="I2651" t="s">
        <v>12716</v>
      </c>
      <c r="J2651" t="s">
        <v>5476</v>
      </c>
      <c r="K2651" t="s">
        <v>12717</v>
      </c>
      <c r="L2651" t="s">
        <v>5471</v>
      </c>
      <c r="M2651" t="s">
        <v>5471</v>
      </c>
    </row>
    <row r="2652" spans="1:13" x14ac:dyDescent="0.3">
      <c r="A2652" t="s">
        <v>3397</v>
      </c>
      <c r="B2652" t="s">
        <v>6331</v>
      </c>
      <c r="C2652" t="s">
        <v>5487</v>
      </c>
      <c r="D2652" t="s">
        <v>4119</v>
      </c>
      <c r="E2652" t="s">
        <v>6332</v>
      </c>
      <c r="F2652" t="s">
        <v>12718</v>
      </c>
      <c r="G2652" t="s">
        <v>12715</v>
      </c>
      <c r="H2652" t="s">
        <v>5474</v>
      </c>
      <c r="I2652" t="s">
        <v>12719</v>
      </c>
      <c r="J2652" t="s">
        <v>5476</v>
      </c>
      <c r="K2652" t="s">
        <v>12720</v>
      </c>
      <c r="L2652" t="s">
        <v>5471</v>
      </c>
      <c r="M2652" t="s">
        <v>5471</v>
      </c>
    </row>
    <row r="2653" spans="1:13" x14ac:dyDescent="0.3">
      <c r="A2653" t="s">
        <v>3397</v>
      </c>
      <c r="B2653" t="s">
        <v>6331</v>
      </c>
      <c r="C2653" t="s">
        <v>5487</v>
      </c>
      <c r="D2653" t="s">
        <v>4119</v>
      </c>
      <c r="E2653" t="s">
        <v>6332</v>
      </c>
      <c r="F2653" t="s">
        <v>12721</v>
      </c>
      <c r="G2653" t="s">
        <v>12715</v>
      </c>
      <c r="H2653" t="s">
        <v>5474</v>
      </c>
      <c r="I2653" t="s">
        <v>12722</v>
      </c>
      <c r="J2653" t="s">
        <v>5476</v>
      </c>
      <c r="K2653" t="s">
        <v>12723</v>
      </c>
      <c r="L2653" t="s">
        <v>5471</v>
      </c>
      <c r="M2653" t="s">
        <v>5471</v>
      </c>
    </row>
    <row r="2654" spans="1:13" x14ac:dyDescent="0.3">
      <c r="A2654" t="s">
        <v>3397</v>
      </c>
      <c r="B2654" t="s">
        <v>6331</v>
      </c>
      <c r="C2654" t="s">
        <v>5487</v>
      </c>
      <c r="D2654" t="s">
        <v>4119</v>
      </c>
      <c r="E2654" t="s">
        <v>6332</v>
      </c>
      <c r="F2654" t="s">
        <v>12724</v>
      </c>
      <c r="G2654" t="s">
        <v>12715</v>
      </c>
      <c r="H2654" t="s">
        <v>5474</v>
      </c>
      <c r="I2654" t="s">
        <v>12725</v>
      </c>
      <c r="J2654" t="s">
        <v>5476</v>
      </c>
      <c r="K2654" t="s">
        <v>12726</v>
      </c>
      <c r="L2654" t="s">
        <v>5471</v>
      </c>
      <c r="M2654" t="s">
        <v>5471</v>
      </c>
    </row>
    <row r="2655" spans="1:13" x14ac:dyDescent="0.3">
      <c r="A2655" t="s">
        <v>3397</v>
      </c>
      <c r="B2655" t="s">
        <v>6331</v>
      </c>
      <c r="C2655" t="s">
        <v>5487</v>
      </c>
      <c r="D2655" t="s">
        <v>4119</v>
      </c>
      <c r="E2655" t="s">
        <v>6332</v>
      </c>
      <c r="F2655" t="s">
        <v>12727</v>
      </c>
      <c r="G2655" t="s">
        <v>12552</v>
      </c>
      <c r="H2655" t="s">
        <v>5474</v>
      </c>
      <c r="I2655" t="s">
        <v>12728</v>
      </c>
      <c r="J2655" t="s">
        <v>5476</v>
      </c>
      <c r="K2655" t="s">
        <v>12729</v>
      </c>
      <c r="L2655" t="s">
        <v>5471</v>
      </c>
      <c r="M2655" t="s">
        <v>5471</v>
      </c>
    </row>
    <row r="2656" spans="1:13" x14ac:dyDescent="0.3">
      <c r="A2656" t="s">
        <v>3397</v>
      </c>
      <c r="B2656" t="s">
        <v>6331</v>
      </c>
      <c r="C2656" t="s">
        <v>5487</v>
      </c>
      <c r="D2656" t="s">
        <v>4119</v>
      </c>
      <c r="E2656" t="s">
        <v>6332</v>
      </c>
      <c r="F2656" t="s">
        <v>12730</v>
      </c>
      <c r="G2656" t="s">
        <v>12552</v>
      </c>
      <c r="H2656" t="s">
        <v>5474</v>
      </c>
      <c r="I2656" t="s">
        <v>12731</v>
      </c>
      <c r="J2656" t="s">
        <v>5476</v>
      </c>
      <c r="K2656" t="s">
        <v>12732</v>
      </c>
      <c r="L2656" t="s">
        <v>5471</v>
      </c>
      <c r="M2656" t="s">
        <v>5471</v>
      </c>
    </row>
    <row r="2657" spans="1:13" x14ac:dyDescent="0.3">
      <c r="A2657" t="s">
        <v>3397</v>
      </c>
      <c r="B2657" t="s">
        <v>6331</v>
      </c>
      <c r="C2657" t="s">
        <v>5487</v>
      </c>
      <c r="D2657" t="s">
        <v>4119</v>
      </c>
      <c r="E2657" t="s">
        <v>6332</v>
      </c>
      <c r="F2657" t="s">
        <v>12733</v>
      </c>
      <c r="G2657" t="s">
        <v>12552</v>
      </c>
      <c r="H2657" t="s">
        <v>5474</v>
      </c>
      <c r="I2657" t="s">
        <v>12734</v>
      </c>
      <c r="J2657" t="s">
        <v>5476</v>
      </c>
      <c r="K2657" t="s">
        <v>12735</v>
      </c>
      <c r="L2657" t="s">
        <v>5471</v>
      </c>
      <c r="M2657" t="s">
        <v>5471</v>
      </c>
    </row>
    <row r="2658" spans="1:13" x14ac:dyDescent="0.3">
      <c r="A2658" t="s">
        <v>3397</v>
      </c>
      <c r="B2658" t="s">
        <v>6331</v>
      </c>
      <c r="C2658" t="s">
        <v>5487</v>
      </c>
      <c r="D2658" t="s">
        <v>4119</v>
      </c>
      <c r="E2658" t="s">
        <v>6332</v>
      </c>
      <c r="F2658" t="s">
        <v>12736</v>
      </c>
      <c r="G2658" t="s">
        <v>12552</v>
      </c>
      <c r="H2658" t="s">
        <v>5474</v>
      </c>
      <c r="I2658" t="s">
        <v>12737</v>
      </c>
      <c r="J2658" t="s">
        <v>5476</v>
      </c>
      <c r="K2658" t="s">
        <v>12738</v>
      </c>
      <c r="L2658" t="s">
        <v>5471</v>
      </c>
      <c r="M2658" t="s">
        <v>5471</v>
      </c>
    </row>
    <row r="2659" spans="1:13" x14ac:dyDescent="0.3">
      <c r="A2659" t="s">
        <v>3397</v>
      </c>
      <c r="B2659" t="s">
        <v>6331</v>
      </c>
      <c r="C2659" t="s">
        <v>5487</v>
      </c>
      <c r="D2659" t="s">
        <v>4119</v>
      </c>
      <c r="E2659" t="s">
        <v>6332</v>
      </c>
      <c r="F2659" t="s">
        <v>12739</v>
      </c>
      <c r="G2659" t="s">
        <v>9246</v>
      </c>
      <c r="H2659" t="s">
        <v>5474</v>
      </c>
      <c r="I2659" t="s">
        <v>12740</v>
      </c>
      <c r="J2659" t="s">
        <v>5476</v>
      </c>
      <c r="K2659" t="s">
        <v>12741</v>
      </c>
      <c r="L2659" t="s">
        <v>5471</v>
      </c>
      <c r="M2659" t="s">
        <v>5471</v>
      </c>
    </row>
    <row r="2660" spans="1:13" x14ac:dyDescent="0.3">
      <c r="A2660" t="s">
        <v>3397</v>
      </c>
      <c r="B2660" t="s">
        <v>6331</v>
      </c>
      <c r="C2660" t="s">
        <v>5487</v>
      </c>
      <c r="D2660" t="s">
        <v>4119</v>
      </c>
      <c r="E2660" t="s">
        <v>6332</v>
      </c>
      <c r="F2660" t="s">
        <v>12742</v>
      </c>
      <c r="G2660" t="s">
        <v>9246</v>
      </c>
      <c r="H2660" t="s">
        <v>5474</v>
      </c>
      <c r="I2660" t="s">
        <v>12743</v>
      </c>
      <c r="J2660" t="s">
        <v>5476</v>
      </c>
      <c r="K2660" t="s">
        <v>12744</v>
      </c>
      <c r="L2660" t="s">
        <v>5471</v>
      </c>
      <c r="M2660" t="s">
        <v>5471</v>
      </c>
    </row>
    <row r="2661" spans="1:13" x14ac:dyDescent="0.3">
      <c r="A2661" t="s">
        <v>3397</v>
      </c>
      <c r="B2661" t="s">
        <v>6331</v>
      </c>
      <c r="C2661" t="s">
        <v>5487</v>
      </c>
      <c r="D2661" t="s">
        <v>4119</v>
      </c>
      <c r="E2661" t="s">
        <v>6332</v>
      </c>
      <c r="F2661" t="s">
        <v>12745</v>
      </c>
      <c r="G2661" t="s">
        <v>9246</v>
      </c>
      <c r="H2661" t="s">
        <v>5474</v>
      </c>
      <c r="I2661" t="s">
        <v>12746</v>
      </c>
      <c r="J2661" t="s">
        <v>5476</v>
      </c>
      <c r="K2661" t="s">
        <v>12747</v>
      </c>
      <c r="L2661" t="s">
        <v>5471</v>
      </c>
      <c r="M2661" t="s">
        <v>5471</v>
      </c>
    </row>
    <row r="2662" spans="1:13" x14ac:dyDescent="0.3">
      <c r="A2662" t="s">
        <v>3397</v>
      </c>
      <c r="B2662" t="s">
        <v>6331</v>
      </c>
      <c r="C2662" t="s">
        <v>5487</v>
      </c>
      <c r="D2662" t="s">
        <v>4119</v>
      </c>
      <c r="E2662" t="s">
        <v>6332</v>
      </c>
      <c r="F2662" t="s">
        <v>12748</v>
      </c>
      <c r="G2662" t="s">
        <v>9246</v>
      </c>
      <c r="H2662" t="s">
        <v>5474</v>
      </c>
      <c r="I2662" t="s">
        <v>12749</v>
      </c>
      <c r="J2662" t="s">
        <v>5476</v>
      </c>
      <c r="K2662" t="s">
        <v>12750</v>
      </c>
      <c r="L2662" t="s">
        <v>5471</v>
      </c>
      <c r="M2662" t="s">
        <v>5471</v>
      </c>
    </row>
    <row r="2663" spans="1:13" x14ac:dyDescent="0.3">
      <c r="A2663" t="s">
        <v>3397</v>
      </c>
      <c r="B2663" t="s">
        <v>6331</v>
      </c>
      <c r="C2663" t="s">
        <v>5487</v>
      </c>
      <c r="D2663" t="s">
        <v>4119</v>
      </c>
      <c r="E2663" t="s">
        <v>6332</v>
      </c>
      <c r="F2663" t="s">
        <v>12751</v>
      </c>
      <c r="G2663" t="s">
        <v>6424</v>
      </c>
      <c r="H2663" t="s">
        <v>5474</v>
      </c>
      <c r="I2663" t="s">
        <v>12752</v>
      </c>
      <c r="J2663" t="s">
        <v>5476</v>
      </c>
      <c r="K2663" t="s">
        <v>12753</v>
      </c>
      <c r="L2663" t="s">
        <v>5471</v>
      </c>
      <c r="M2663" t="s">
        <v>5471</v>
      </c>
    </row>
    <row r="2664" spans="1:13" x14ac:dyDescent="0.3">
      <c r="A2664" t="s">
        <v>3397</v>
      </c>
      <c r="B2664" t="s">
        <v>6331</v>
      </c>
      <c r="C2664" t="s">
        <v>5487</v>
      </c>
      <c r="D2664" t="s">
        <v>4119</v>
      </c>
      <c r="E2664" t="s">
        <v>6332</v>
      </c>
      <c r="F2664" t="s">
        <v>12754</v>
      </c>
      <c r="G2664" t="s">
        <v>6424</v>
      </c>
      <c r="H2664" t="s">
        <v>5474</v>
      </c>
      <c r="I2664" t="s">
        <v>12755</v>
      </c>
      <c r="J2664" t="s">
        <v>5476</v>
      </c>
      <c r="K2664" t="s">
        <v>12756</v>
      </c>
      <c r="L2664" t="s">
        <v>5471</v>
      </c>
      <c r="M2664" t="s">
        <v>5471</v>
      </c>
    </row>
    <row r="2665" spans="1:13" x14ac:dyDescent="0.3">
      <c r="A2665" t="s">
        <v>3397</v>
      </c>
      <c r="B2665" t="s">
        <v>6331</v>
      </c>
      <c r="C2665" t="s">
        <v>5487</v>
      </c>
      <c r="D2665" t="s">
        <v>4119</v>
      </c>
      <c r="E2665" t="s">
        <v>6332</v>
      </c>
      <c r="F2665" t="s">
        <v>12757</v>
      </c>
      <c r="G2665" t="s">
        <v>6427</v>
      </c>
      <c r="H2665" t="s">
        <v>5474</v>
      </c>
      <c r="I2665" t="s">
        <v>12758</v>
      </c>
      <c r="J2665" t="s">
        <v>5476</v>
      </c>
      <c r="K2665" t="s">
        <v>12759</v>
      </c>
      <c r="L2665" t="s">
        <v>5471</v>
      </c>
      <c r="M2665" t="s">
        <v>5471</v>
      </c>
    </row>
    <row r="2666" spans="1:13" x14ac:dyDescent="0.3">
      <c r="A2666" t="s">
        <v>3397</v>
      </c>
      <c r="B2666" t="s">
        <v>6331</v>
      </c>
      <c r="C2666" t="s">
        <v>5487</v>
      </c>
      <c r="D2666" t="s">
        <v>4119</v>
      </c>
      <c r="E2666" t="s">
        <v>6332</v>
      </c>
      <c r="F2666" t="s">
        <v>12760</v>
      </c>
      <c r="G2666" t="s">
        <v>6427</v>
      </c>
      <c r="H2666" t="s">
        <v>5474</v>
      </c>
      <c r="I2666" t="s">
        <v>12761</v>
      </c>
      <c r="J2666" t="s">
        <v>5476</v>
      </c>
      <c r="K2666" t="s">
        <v>12762</v>
      </c>
      <c r="L2666" t="s">
        <v>5471</v>
      </c>
      <c r="M2666" t="s">
        <v>5471</v>
      </c>
    </row>
    <row r="2667" spans="1:13" x14ac:dyDescent="0.3">
      <c r="A2667" t="s">
        <v>3397</v>
      </c>
      <c r="B2667" t="s">
        <v>6331</v>
      </c>
      <c r="C2667" t="s">
        <v>5487</v>
      </c>
      <c r="D2667" t="s">
        <v>4119</v>
      </c>
      <c r="E2667" t="s">
        <v>6332</v>
      </c>
      <c r="F2667" t="s">
        <v>12763</v>
      </c>
      <c r="G2667" t="s">
        <v>12764</v>
      </c>
      <c r="H2667" t="s">
        <v>5474</v>
      </c>
      <c r="I2667" t="s">
        <v>12765</v>
      </c>
      <c r="J2667" t="s">
        <v>5476</v>
      </c>
      <c r="K2667" t="s">
        <v>12766</v>
      </c>
      <c r="L2667" t="s">
        <v>5471</v>
      </c>
      <c r="M2667" t="s">
        <v>5471</v>
      </c>
    </row>
    <row r="2668" spans="1:13" x14ac:dyDescent="0.3">
      <c r="A2668" t="s">
        <v>3397</v>
      </c>
      <c r="B2668" t="s">
        <v>6331</v>
      </c>
      <c r="C2668" t="s">
        <v>5487</v>
      </c>
      <c r="D2668" t="s">
        <v>4119</v>
      </c>
      <c r="E2668" t="s">
        <v>6332</v>
      </c>
      <c r="F2668" t="s">
        <v>12767</v>
      </c>
      <c r="G2668" t="s">
        <v>12582</v>
      </c>
      <c r="H2668" t="s">
        <v>5474</v>
      </c>
      <c r="I2668" t="s">
        <v>12768</v>
      </c>
      <c r="J2668" t="s">
        <v>5476</v>
      </c>
      <c r="K2668" t="s">
        <v>12769</v>
      </c>
      <c r="L2668" t="s">
        <v>5471</v>
      </c>
      <c r="M2668" t="s">
        <v>5471</v>
      </c>
    </row>
    <row r="2669" spans="1:13" x14ac:dyDescent="0.3">
      <c r="A2669" t="s">
        <v>3397</v>
      </c>
      <c r="B2669" t="s">
        <v>6331</v>
      </c>
      <c r="C2669" t="s">
        <v>5487</v>
      </c>
      <c r="D2669" t="s">
        <v>4119</v>
      </c>
      <c r="E2669" t="s">
        <v>6332</v>
      </c>
      <c r="F2669" t="s">
        <v>12770</v>
      </c>
      <c r="G2669" t="s">
        <v>12582</v>
      </c>
      <c r="H2669" t="s">
        <v>5474</v>
      </c>
      <c r="I2669" t="s">
        <v>12771</v>
      </c>
      <c r="J2669" t="s">
        <v>5476</v>
      </c>
      <c r="K2669" t="s">
        <v>12772</v>
      </c>
      <c r="L2669" t="s">
        <v>5471</v>
      </c>
      <c r="M2669" t="s">
        <v>5471</v>
      </c>
    </row>
    <row r="2670" spans="1:13" x14ac:dyDescent="0.3">
      <c r="A2670" t="s">
        <v>3397</v>
      </c>
      <c r="B2670" t="s">
        <v>6331</v>
      </c>
      <c r="C2670" t="s">
        <v>5487</v>
      </c>
      <c r="D2670" t="s">
        <v>4119</v>
      </c>
      <c r="E2670" t="s">
        <v>6332</v>
      </c>
      <c r="F2670" t="s">
        <v>12773</v>
      </c>
      <c r="G2670" t="s">
        <v>12582</v>
      </c>
      <c r="H2670" t="s">
        <v>5474</v>
      </c>
      <c r="I2670" t="s">
        <v>12774</v>
      </c>
      <c r="J2670" t="s">
        <v>5476</v>
      </c>
      <c r="K2670" t="s">
        <v>12775</v>
      </c>
      <c r="L2670" t="s">
        <v>5471</v>
      </c>
      <c r="M2670" t="s">
        <v>5471</v>
      </c>
    </row>
    <row r="2671" spans="1:13" x14ac:dyDescent="0.3">
      <c r="A2671" t="s">
        <v>3397</v>
      </c>
      <c r="B2671" t="s">
        <v>6331</v>
      </c>
      <c r="C2671" t="s">
        <v>5487</v>
      </c>
      <c r="D2671" t="s">
        <v>4119</v>
      </c>
      <c r="E2671" t="s">
        <v>6332</v>
      </c>
      <c r="F2671" t="s">
        <v>12776</v>
      </c>
      <c r="G2671" t="s">
        <v>12582</v>
      </c>
      <c r="H2671" t="s">
        <v>5474</v>
      </c>
      <c r="I2671" t="s">
        <v>12777</v>
      </c>
      <c r="J2671" t="s">
        <v>5476</v>
      </c>
      <c r="K2671" t="s">
        <v>12778</v>
      </c>
      <c r="L2671" t="s">
        <v>5471</v>
      </c>
      <c r="M2671" t="s">
        <v>5471</v>
      </c>
    </row>
    <row r="2672" spans="1:13" x14ac:dyDescent="0.3">
      <c r="A2672" t="s">
        <v>3397</v>
      </c>
      <c r="B2672" t="s">
        <v>6331</v>
      </c>
      <c r="C2672" t="s">
        <v>5487</v>
      </c>
      <c r="D2672" t="s">
        <v>4119</v>
      </c>
      <c r="E2672" t="s">
        <v>6332</v>
      </c>
      <c r="F2672" t="s">
        <v>12779</v>
      </c>
      <c r="G2672" t="s">
        <v>12582</v>
      </c>
      <c r="H2672" t="s">
        <v>5474</v>
      </c>
      <c r="I2672" t="s">
        <v>12780</v>
      </c>
      <c r="J2672" t="s">
        <v>5476</v>
      </c>
      <c r="K2672" t="s">
        <v>12781</v>
      </c>
      <c r="L2672" t="s">
        <v>5471</v>
      </c>
      <c r="M2672" t="s">
        <v>5471</v>
      </c>
    </row>
    <row r="2673" spans="1:13" x14ac:dyDescent="0.3">
      <c r="A2673" t="s">
        <v>3397</v>
      </c>
      <c r="B2673" t="s">
        <v>6331</v>
      </c>
      <c r="C2673" t="s">
        <v>5487</v>
      </c>
      <c r="D2673" t="s">
        <v>4119</v>
      </c>
      <c r="E2673" t="s">
        <v>6332</v>
      </c>
      <c r="F2673" t="s">
        <v>12782</v>
      </c>
      <c r="G2673" t="s">
        <v>12582</v>
      </c>
      <c r="H2673" t="s">
        <v>5474</v>
      </c>
      <c r="I2673" t="s">
        <v>12783</v>
      </c>
      <c r="J2673" t="s">
        <v>5476</v>
      </c>
      <c r="K2673" t="s">
        <v>9836</v>
      </c>
      <c r="L2673" t="s">
        <v>5471</v>
      </c>
      <c r="M2673" t="s">
        <v>5471</v>
      </c>
    </row>
    <row r="2674" spans="1:13" x14ac:dyDescent="0.3">
      <c r="A2674" t="s">
        <v>3397</v>
      </c>
      <c r="B2674" t="s">
        <v>5301</v>
      </c>
      <c r="C2674" t="s">
        <v>6342</v>
      </c>
      <c r="D2674" t="s">
        <v>4119</v>
      </c>
      <c r="E2674" t="s">
        <v>6332</v>
      </c>
      <c r="F2674" t="s">
        <v>12782</v>
      </c>
      <c r="G2674" t="s">
        <v>12784</v>
      </c>
      <c r="H2674" t="s">
        <v>5474</v>
      </c>
      <c r="I2674" t="s">
        <v>12785</v>
      </c>
      <c r="J2674" t="s">
        <v>5476</v>
      </c>
      <c r="K2674" t="s">
        <v>9836</v>
      </c>
      <c r="L2674" t="s">
        <v>5471</v>
      </c>
      <c r="M2674" t="s">
        <v>5471</v>
      </c>
    </row>
    <row r="2675" spans="1:13" x14ac:dyDescent="0.3">
      <c r="A2675" t="s">
        <v>3397</v>
      </c>
      <c r="B2675" t="s">
        <v>6331</v>
      </c>
      <c r="C2675" t="s">
        <v>5487</v>
      </c>
      <c r="D2675" t="s">
        <v>4119</v>
      </c>
      <c r="E2675" t="s">
        <v>6332</v>
      </c>
      <c r="F2675" t="s">
        <v>12786</v>
      </c>
      <c r="G2675" t="s">
        <v>12582</v>
      </c>
      <c r="H2675" t="s">
        <v>5474</v>
      </c>
      <c r="I2675" t="s">
        <v>12787</v>
      </c>
      <c r="J2675" t="s">
        <v>5476</v>
      </c>
      <c r="K2675" t="s">
        <v>9836</v>
      </c>
      <c r="L2675" t="s">
        <v>5471</v>
      </c>
      <c r="M2675" t="s">
        <v>5471</v>
      </c>
    </row>
    <row r="2676" spans="1:13" x14ac:dyDescent="0.3">
      <c r="A2676" t="s">
        <v>3397</v>
      </c>
      <c r="B2676" t="s">
        <v>5301</v>
      </c>
      <c r="C2676" t="s">
        <v>6342</v>
      </c>
      <c r="D2676" t="s">
        <v>4119</v>
      </c>
      <c r="E2676" t="s">
        <v>6332</v>
      </c>
      <c r="F2676" t="s">
        <v>12786</v>
      </c>
      <c r="G2676" t="s">
        <v>12784</v>
      </c>
      <c r="H2676" t="s">
        <v>5474</v>
      </c>
      <c r="I2676" t="s">
        <v>12788</v>
      </c>
      <c r="J2676" t="s">
        <v>5476</v>
      </c>
      <c r="K2676" t="s">
        <v>9836</v>
      </c>
      <c r="L2676" t="s">
        <v>5471</v>
      </c>
      <c r="M2676" t="s">
        <v>5471</v>
      </c>
    </row>
    <row r="2677" spans="1:13" x14ac:dyDescent="0.3">
      <c r="A2677" t="s">
        <v>3397</v>
      </c>
      <c r="B2677" t="s">
        <v>5292</v>
      </c>
      <c r="C2677" t="s">
        <v>5487</v>
      </c>
      <c r="D2677" t="s">
        <v>4081</v>
      </c>
      <c r="E2677" t="s">
        <v>5595</v>
      </c>
      <c r="F2677" t="s">
        <v>12789</v>
      </c>
      <c r="G2677" t="s">
        <v>12790</v>
      </c>
      <c r="H2677" t="s">
        <v>5474</v>
      </c>
      <c r="I2677" t="s">
        <v>12791</v>
      </c>
      <c r="J2677" t="s">
        <v>5476</v>
      </c>
      <c r="K2677" t="s">
        <v>12792</v>
      </c>
      <c r="L2677" t="s">
        <v>5471</v>
      </c>
      <c r="M2677" t="s">
        <v>5471</v>
      </c>
    </row>
    <row r="2678" spans="1:13" x14ac:dyDescent="0.3">
      <c r="A2678" t="s">
        <v>3397</v>
      </c>
      <c r="B2678" t="s">
        <v>5292</v>
      </c>
      <c r="C2678" t="s">
        <v>5487</v>
      </c>
      <c r="D2678" t="s">
        <v>4081</v>
      </c>
      <c r="E2678" t="s">
        <v>5595</v>
      </c>
      <c r="F2678" t="s">
        <v>12793</v>
      </c>
      <c r="G2678" t="s">
        <v>12794</v>
      </c>
      <c r="H2678" t="s">
        <v>5474</v>
      </c>
      <c r="I2678" t="s">
        <v>12795</v>
      </c>
      <c r="J2678" t="s">
        <v>5476</v>
      </c>
      <c r="K2678" t="s">
        <v>12796</v>
      </c>
      <c r="L2678" t="s">
        <v>5471</v>
      </c>
      <c r="M2678" t="s">
        <v>5471</v>
      </c>
    </row>
    <row r="2679" spans="1:13" x14ac:dyDescent="0.3">
      <c r="A2679" t="s">
        <v>3397</v>
      </c>
      <c r="B2679" t="s">
        <v>5292</v>
      </c>
      <c r="C2679" t="s">
        <v>5487</v>
      </c>
      <c r="D2679" t="s">
        <v>4081</v>
      </c>
      <c r="E2679" t="s">
        <v>5595</v>
      </c>
      <c r="F2679" t="s">
        <v>12797</v>
      </c>
      <c r="G2679" t="s">
        <v>12798</v>
      </c>
      <c r="H2679" t="s">
        <v>5474</v>
      </c>
      <c r="I2679" t="s">
        <v>12799</v>
      </c>
      <c r="J2679" t="s">
        <v>5476</v>
      </c>
      <c r="K2679" t="s">
        <v>12800</v>
      </c>
      <c r="L2679" t="s">
        <v>5471</v>
      </c>
      <c r="M2679" t="s">
        <v>5471</v>
      </c>
    </row>
    <row r="2680" spans="1:13" x14ac:dyDescent="0.3">
      <c r="A2680" t="s">
        <v>3397</v>
      </c>
      <c r="B2680" t="s">
        <v>5292</v>
      </c>
      <c r="C2680" t="s">
        <v>5487</v>
      </c>
      <c r="D2680" t="s">
        <v>4081</v>
      </c>
      <c r="E2680" t="s">
        <v>5595</v>
      </c>
      <c r="F2680" t="s">
        <v>12801</v>
      </c>
      <c r="G2680" t="s">
        <v>12802</v>
      </c>
      <c r="H2680" t="s">
        <v>5474</v>
      </c>
      <c r="I2680" t="s">
        <v>12803</v>
      </c>
      <c r="J2680" t="s">
        <v>5476</v>
      </c>
      <c r="K2680" t="s">
        <v>12804</v>
      </c>
      <c r="L2680" t="s">
        <v>5471</v>
      </c>
      <c r="M2680" t="s">
        <v>5471</v>
      </c>
    </row>
    <row r="2681" spans="1:13" x14ac:dyDescent="0.3">
      <c r="A2681" t="s">
        <v>3397</v>
      </c>
      <c r="B2681" t="s">
        <v>5292</v>
      </c>
      <c r="C2681" t="s">
        <v>5487</v>
      </c>
      <c r="D2681" t="s">
        <v>4081</v>
      </c>
      <c r="E2681" t="s">
        <v>5595</v>
      </c>
      <c r="F2681" t="s">
        <v>12805</v>
      </c>
      <c r="G2681" t="s">
        <v>12806</v>
      </c>
      <c r="H2681" t="s">
        <v>5474</v>
      </c>
      <c r="I2681" t="s">
        <v>12807</v>
      </c>
      <c r="J2681" t="s">
        <v>5476</v>
      </c>
      <c r="K2681" t="s">
        <v>12808</v>
      </c>
      <c r="L2681" t="s">
        <v>5471</v>
      </c>
      <c r="M2681" t="s">
        <v>5471</v>
      </c>
    </row>
    <row r="2682" spans="1:13" x14ac:dyDescent="0.3">
      <c r="A2682" t="s">
        <v>3397</v>
      </c>
      <c r="B2682" t="s">
        <v>5292</v>
      </c>
      <c r="C2682" t="s">
        <v>5487</v>
      </c>
      <c r="D2682" t="s">
        <v>4081</v>
      </c>
      <c r="E2682" t="s">
        <v>5595</v>
      </c>
      <c r="F2682" t="s">
        <v>12809</v>
      </c>
      <c r="G2682" t="s">
        <v>12810</v>
      </c>
      <c r="H2682" t="s">
        <v>5474</v>
      </c>
      <c r="I2682" t="s">
        <v>12811</v>
      </c>
      <c r="J2682" t="s">
        <v>5476</v>
      </c>
      <c r="K2682" t="s">
        <v>12812</v>
      </c>
      <c r="L2682" t="s">
        <v>5471</v>
      </c>
      <c r="M2682" t="s">
        <v>5471</v>
      </c>
    </row>
    <row r="2683" spans="1:13" x14ac:dyDescent="0.3">
      <c r="A2683" t="s">
        <v>3388</v>
      </c>
      <c r="B2683" t="s">
        <v>10857</v>
      </c>
      <c r="C2683" t="s">
        <v>5470</v>
      </c>
      <c r="D2683" t="s">
        <v>4119</v>
      </c>
      <c r="E2683" t="s">
        <v>5756</v>
      </c>
      <c r="F2683" t="s">
        <v>12813</v>
      </c>
      <c r="G2683" t="s">
        <v>12814</v>
      </c>
      <c r="H2683" t="s">
        <v>5474</v>
      </c>
      <c r="I2683" t="s">
        <v>12815</v>
      </c>
      <c r="J2683" t="s">
        <v>5476</v>
      </c>
      <c r="K2683" t="s">
        <v>5471</v>
      </c>
      <c r="L2683" t="s">
        <v>5471</v>
      </c>
      <c r="M2683" t="s">
        <v>5471</v>
      </c>
    </row>
    <row r="2684" spans="1:13" x14ac:dyDescent="0.3">
      <c r="A2684" t="s">
        <v>3397</v>
      </c>
      <c r="B2684" t="s">
        <v>5594</v>
      </c>
      <c r="C2684" t="s">
        <v>5487</v>
      </c>
      <c r="D2684" t="s">
        <v>9958</v>
      </c>
      <c r="E2684" t="s">
        <v>5595</v>
      </c>
      <c r="F2684" t="s">
        <v>12816</v>
      </c>
      <c r="G2684" t="s">
        <v>12817</v>
      </c>
      <c r="H2684" t="s">
        <v>5474</v>
      </c>
      <c r="I2684" t="s">
        <v>12818</v>
      </c>
      <c r="J2684" t="s">
        <v>5476</v>
      </c>
      <c r="K2684" t="s">
        <v>12819</v>
      </c>
      <c r="L2684" t="s">
        <v>5471</v>
      </c>
      <c r="M2684" t="s">
        <v>5471</v>
      </c>
    </row>
    <row r="2685" spans="1:13" x14ac:dyDescent="0.3">
      <c r="A2685" t="s">
        <v>3397</v>
      </c>
      <c r="B2685" t="s">
        <v>5594</v>
      </c>
      <c r="C2685" t="s">
        <v>5487</v>
      </c>
      <c r="D2685" t="s">
        <v>4058</v>
      </c>
      <c r="E2685" t="s">
        <v>5595</v>
      </c>
      <c r="F2685" t="s">
        <v>12820</v>
      </c>
      <c r="G2685" t="s">
        <v>12817</v>
      </c>
      <c r="H2685" t="s">
        <v>5474</v>
      </c>
      <c r="I2685" t="s">
        <v>12821</v>
      </c>
      <c r="J2685" t="s">
        <v>5476</v>
      </c>
      <c r="K2685" t="s">
        <v>12822</v>
      </c>
      <c r="L2685" t="s">
        <v>5471</v>
      </c>
      <c r="M2685" t="s">
        <v>5471</v>
      </c>
    </row>
    <row r="2686" spans="1:13" x14ac:dyDescent="0.3">
      <c r="A2686" t="s">
        <v>3397</v>
      </c>
      <c r="B2686" t="s">
        <v>5594</v>
      </c>
      <c r="C2686" t="s">
        <v>5487</v>
      </c>
      <c r="D2686" t="s">
        <v>4058</v>
      </c>
      <c r="E2686" t="s">
        <v>5595</v>
      </c>
      <c r="F2686" t="s">
        <v>12823</v>
      </c>
      <c r="G2686" t="s">
        <v>12817</v>
      </c>
      <c r="H2686" t="s">
        <v>5474</v>
      </c>
      <c r="I2686" t="s">
        <v>12824</v>
      </c>
      <c r="J2686" t="s">
        <v>5476</v>
      </c>
      <c r="K2686" t="s">
        <v>12825</v>
      </c>
      <c r="L2686" t="s">
        <v>5471</v>
      </c>
      <c r="M2686" t="s">
        <v>5471</v>
      </c>
    </row>
    <row r="2687" spans="1:13" x14ac:dyDescent="0.3">
      <c r="A2687" t="s">
        <v>3397</v>
      </c>
      <c r="B2687" t="s">
        <v>5594</v>
      </c>
      <c r="C2687" t="s">
        <v>5487</v>
      </c>
      <c r="D2687" t="s">
        <v>4058</v>
      </c>
      <c r="E2687" t="s">
        <v>5595</v>
      </c>
      <c r="F2687" t="s">
        <v>12826</v>
      </c>
      <c r="G2687" t="s">
        <v>12827</v>
      </c>
      <c r="H2687" t="s">
        <v>5474</v>
      </c>
      <c r="I2687" t="s">
        <v>12828</v>
      </c>
      <c r="J2687" t="s">
        <v>5476</v>
      </c>
      <c r="K2687" t="s">
        <v>12829</v>
      </c>
      <c r="L2687" t="s">
        <v>5471</v>
      </c>
      <c r="M2687" t="s">
        <v>5471</v>
      </c>
    </row>
    <row r="2688" spans="1:13" x14ac:dyDescent="0.3">
      <c r="A2688" t="s">
        <v>3397</v>
      </c>
      <c r="B2688" t="s">
        <v>5594</v>
      </c>
      <c r="C2688" t="s">
        <v>5487</v>
      </c>
      <c r="D2688" t="s">
        <v>4058</v>
      </c>
      <c r="E2688" t="s">
        <v>5595</v>
      </c>
      <c r="F2688" t="s">
        <v>12830</v>
      </c>
      <c r="G2688" t="s">
        <v>12827</v>
      </c>
      <c r="H2688" t="s">
        <v>5474</v>
      </c>
      <c r="I2688" t="s">
        <v>12831</v>
      </c>
      <c r="J2688" t="s">
        <v>5476</v>
      </c>
      <c r="K2688" t="s">
        <v>12832</v>
      </c>
      <c r="L2688" t="s">
        <v>5471</v>
      </c>
      <c r="M2688" t="s">
        <v>5471</v>
      </c>
    </row>
    <row r="2689" spans="1:13" x14ac:dyDescent="0.3">
      <c r="A2689" t="s">
        <v>3397</v>
      </c>
      <c r="B2689" t="s">
        <v>5594</v>
      </c>
      <c r="C2689" t="s">
        <v>5487</v>
      </c>
      <c r="D2689" t="s">
        <v>4058</v>
      </c>
      <c r="E2689" t="s">
        <v>5595</v>
      </c>
      <c r="F2689" t="s">
        <v>12833</v>
      </c>
      <c r="G2689" t="s">
        <v>12827</v>
      </c>
      <c r="H2689" t="s">
        <v>5474</v>
      </c>
      <c r="I2689" t="s">
        <v>12834</v>
      </c>
      <c r="J2689" t="s">
        <v>5476</v>
      </c>
      <c r="K2689" t="s">
        <v>12835</v>
      </c>
      <c r="L2689" t="s">
        <v>5471</v>
      </c>
      <c r="M2689" t="s">
        <v>5471</v>
      </c>
    </row>
    <row r="2690" spans="1:13" x14ac:dyDescent="0.3">
      <c r="A2690" t="s">
        <v>3397</v>
      </c>
      <c r="B2690" t="s">
        <v>5594</v>
      </c>
      <c r="C2690" t="s">
        <v>5487</v>
      </c>
      <c r="D2690" t="s">
        <v>10218</v>
      </c>
      <c r="E2690" t="s">
        <v>6332</v>
      </c>
      <c r="F2690" t="s">
        <v>12836</v>
      </c>
      <c r="G2690" t="s">
        <v>10389</v>
      </c>
      <c r="H2690" t="s">
        <v>5474</v>
      </c>
      <c r="I2690" t="s">
        <v>12837</v>
      </c>
      <c r="J2690" t="s">
        <v>5476</v>
      </c>
      <c r="K2690" t="s">
        <v>12838</v>
      </c>
      <c r="L2690" t="s">
        <v>5471</v>
      </c>
      <c r="M2690" t="s">
        <v>5471</v>
      </c>
    </row>
    <row r="2691" spans="1:13" x14ac:dyDescent="0.3">
      <c r="A2691" t="s">
        <v>3397</v>
      </c>
      <c r="B2691" t="s">
        <v>5594</v>
      </c>
      <c r="C2691" t="s">
        <v>5487</v>
      </c>
      <c r="D2691" t="s">
        <v>10218</v>
      </c>
      <c r="E2691" t="s">
        <v>6332</v>
      </c>
      <c r="F2691" t="s">
        <v>12839</v>
      </c>
      <c r="G2691" t="s">
        <v>10389</v>
      </c>
      <c r="H2691" t="s">
        <v>5474</v>
      </c>
      <c r="I2691" t="s">
        <v>12840</v>
      </c>
      <c r="J2691" t="s">
        <v>5476</v>
      </c>
      <c r="K2691" t="s">
        <v>12841</v>
      </c>
      <c r="L2691" t="s">
        <v>5471</v>
      </c>
      <c r="M2691" t="s">
        <v>5471</v>
      </c>
    </row>
    <row r="2692" spans="1:13" x14ac:dyDescent="0.3">
      <c r="A2692" t="s">
        <v>3397</v>
      </c>
      <c r="B2692" t="s">
        <v>5594</v>
      </c>
      <c r="C2692" t="s">
        <v>5487</v>
      </c>
      <c r="D2692" t="s">
        <v>10218</v>
      </c>
      <c r="E2692" t="s">
        <v>6332</v>
      </c>
      <c r="F2692" t="s">
        <v>12842</v>
      </c>
      <c r="G2692" t="s">
        <v>10389</v>
      </c>
      <c r="H2692" t="s">
        <v>5474</v>
      </c>
      <c r="I2692" t="s">
        <v>12843</v>
      </c>
      <c r="J2692" t="s">
        <v>5476</v>
      </c>
      <c r="K2692" t="s">
        <v>12844</v>
      </c>
      <c r="L2692" t="s">
        <v>5471</v>
      </c>
      <c r="M2692" t="s">
        <v>5471</v>
      </c>
    </row>
    <row r="2693" spans="1:13" x14ac:dyDescent="0.3">
      <c r="A2693" t="s">
        <v>3397</v>
      </c>
      <c r="B2693" t="s">
        <v>5594</v>
      </c>
      <c r="C2693" t="s">
        <v>5487</v>
      </c>
      <c r="D2693" t="s">
        <v>4058</v>
      </c>
      <c r="E2693" t="s">
        <v>6332</v>
      </c>
      <c r="F2693" t="s">
        <v>12845</v>
      </c>
      <c r="G2693" t="s">
        <v>10389</v>
      </c>
      <c r="H2693" t="s">
        <v>5474</v>
      </c>
      <c r="I2693" t="s">
        <v>12846</v>
      </c>
      <c r="J2693" t="s">
        <v>5476</v>
      </c>
      <c r="K2693" t="s">
        <v>12847</v>
      </c>
      <c r="L2693" t="s">
        <v>5471</v>
      </c>
      <c r="M2693" t="s">
        <v>5471</v>
      </c>
    </row>
    <row r="2694" spans="1:13" x14ac:dyDescent="0.3">
      <c r="A2694" t="s">
        <v>3397</v>
      </c>
      <c r="B2694" t="s">
        <v>5594</v>
      </c>
      <c r="C2694" t="s">
        <v>5487</v>
      </c>
      <c r="D2694" t="s">
        <v>4058</v>
      </c>
      <c r="E2694" t="s">
        <v>6332</v>
      </c>
      <c r="F2694" t="s">
        <v>12848</v>
      </c>
      <c r="G2694" t="s">
        <v>12849</v>
      </c>
      <c r="H2694" t="s">
        <v>5474</v>
      </c>
      <c r="I2694" t="s">
        <v>12850</v>
      </c>
      <c r="J2694" t="s">
        <v>5476</v>
      </c>
      <c r="K2694" t="s">
        <v>12851</v>
      </c>
      <c r="L2694" t="s">
        <v>5471</v>
      </c>
      <c r="M2694" t="s">
        <v>5471</v>
      </c>
    </row>
    <row r="2695" spans="1:13" x14ac:dyDescent="0.3">
      <c r="A2695" t="s">
        <v>3397</v>
      </c>
      <c r="B2695" t="s">
        <v>5594</v>
      </c>
      <c r="C2695" t="s">
        <v>5487</v>
      </c>
      <c r="D2695" t="s">
        <v>4058</v>
      </c>
      <c r="E2695" t="s">
        <v>6332</v>
      </c>
      <c r="F2695" t="s">
        <v>12852</v>
      </c>
      <c r="G2695" t="s">
        <v>12849</v>
      </c>
      <c r="H2695" t="s">
        <v>5474</v>
      </c>
      <c r="I2695" t="s">
        <v>12853</v>
      </c>
      <c r="J2695" t="s">
        <v>5476</v>
      </c>
      <c r="K2695" t="s">
        <v>12854</v>
      </c>
      <c r="L2695" t="s">
        <v>5471</v>
      </c>
      <c r="M2695" t="s">
        <v>5471</v>
      </c>
    </row>
    <row r="2696" spans="1:13" x14ac:dyDescent="0.3">
      <c r="A2696" t="s">
        <v>3397</v>
      </c>
      <c r="B2696" t="s">
        <v>5594</v>
      </c>
      <c r="C2696" t="s">
        <v>5487</v>
      </c>
      <c r="D2696" t="s">
        <v>4058</v>
      </c>
      <c r="E2696" t="s">
        <v>6332</v>
      </c>
      <c r="F2696" t="s">
        <v>12855</v>
      </c>
      <c r="G2696" t="s">
        <v>12849</v>
      </c>
      <c r="H2696" t="s">
        <v>5474</v>
      </c>
      <c r="I2696" t="s">
        <v>12856</v>
      </c>
      <c r="J2696" t="s">
        <v>5476</v>
      </c>
      <c r="K2696" t="s">
        <v>12857</v>
      </c>
      <c r="L2696" t="s">
        <v>5471</v>
      </c>
      <c r="M2696" t="s">
        <v>5471</v>
      </c>
    </row>
    <row r="2697" spans="1:13" x14ac:dyDescent="0.3">
      <c r="A2697" t="s">
        <v>3397</v>
      </c>
      <c r="B2697" t="s">
        <v>5594</v>
      </c>
      <c r="C2697" t="s">
        <v>5487</v>
      </c>
      <c r="D2697" t="s">
        <v>4056</v>
      </c>
      <c r="E2697" t="s">
        <v>6332</v>
      </c>
      <c r="F2697" t="s">
        <v>12858</v>
      </c>
      <c r="G2697" t="s">
        <v>12849</v>
      </c>
      <c r="H2697" t="s">
        <v>5474</v>
      </c>
      <c r="I2697" t="s">
        <v>12859</v>
      </c>
      <c r="J2697" t="s">
        <v>5476</v>
      </c>
      <c r="K2697" t="s">
        <v>12860</v>
      </c>
      <c r="L2697" t="s">
        <v>5471</v>
      </c>
      <c r="M2697" t="s">
        <v>5471</v>
      </c>
    </row>
    <row r="2698" spans="1:13" x14ac:dyDescent="0.3">
      <c r="A2698" t="s">
        <v>3397</v>
      </c>
      <c r="B2698" t="s">
        <v>5594</v>
      </c>
      <c r="C2698" t="s">
        <v>5487</v>
      </c>
      <c r="D2698" t="s">
        <v>4056</v>
      </c>
      <c r="E2698" t="s">
        <v>6332</v>
      </c>
      <c r="F2698" t="s">
        <v>12861</v>
      </c>
      <c r="G2698" t="s">
        <v>12849</v>
      </c>
      <c r="H2698" t="s">
        <v>5474</v>
      </c>
      <c r="I2698" t="s">
        <v>12862</v>
      </c>
      <c r="J2698" t="s">
        <v>5476</v>
      </c>
      <c r="K2698" t="s">
        <v>12863</v>
      </c>
      <c r="L2698" t="s">
        <v>5471</v>
      </c>
      <c r="M2698" t="s">
        <v>5471</v>
      </c>
    </row>
    <row r="2699" spans="1:13" x14ac:dyDescent="0.3">
      <c r="A2699" t="s">
        <v>3397</v>
      </c>
      <c r="B2699" t="s">
        <v>5594</v>
      </c>
      <c r="C2699" t="s">
        <v>5487</v>
      </c>
      <c r="D2699" t="s">
        <v>4056</v>
      </c>
      <c r="E2699" t="s">
        <v>6332</v>
      </c>
      <c r="F2699" t="s">
        <v>12864</v>
      </c>
      <c r="G2699" t="s">
        <v>12849</v>
      </c>
      <c r="H2699" t="s">
        <v>5474</v>
      </c>
      <c r="I2699" t="s">
        <v>12865</v>
      </c>
      <c r="J2699" t="s">
        <v>5476</v>
      </c>
      <c r="K2699" t="s">
        <v>12866</v>
      </c>
      <c r="L2699" t="s">
        <v>5471</v>
      </c>
      <c r="M2699" t="s">
        <v>5471</v>
      </c>
    </row>
    <row r="2700" spans="1:13" x14ac:dyDescent="0.3">
      <c r="A2700" t="s">
        <v>3397</v>
      </c>
      <c r="B2700" t="s">
        <v>5594</v>
      </c>
      <c r="C2700" t="s">
        <v>5487</v>
      </c>
      <c r="D2700" t="s">
        <v>4056</v>
      </c>
      <c r="E2700" t="s">
        <v>5756</v>
      </c>
      <c r="F2700" t="s">
        <v>12867</v>
      </c>
      <c r="G2700" t="s">
        <v>12849</v>
      </c>
      <c r="H2700" t="s">
        <v>5474</v>
      </c>
      <c r="I2700" t="s">
        <v>12868</v>
      </c>
      <c r="J2700" t="s">
        <v>5476</v>
      </c>
      <c r="K2700" t="s">
        <v>12869</v>
      </c>
      <c r="L2700" t="s">
        <v>5471</v>
      </c>
      <c r="M2700" t="s">
        <v>5471</v>
      </c>
    </row>
    <row r="2701" spans="1:13" x14ac:dyDescent="0.3">
      <c r="A2701" t="s">
        <v>3397</v>
      </c>
      <c r="B2701" t="s">
        <v>5594</v>
      </c>
      <c r="C2701" t="s">
        <v>5487</v>
      </c>
      <c r="D2701" t="s">
        <v>4056</v>
      </c>
      <c r="E2701" t="s">
        <v>5756</v>
      </c>
      <c r="F2701" t="s">
        <v>12870</v>
      </c>
      <c r="G2701" t="s">
        <v>12849</v>
      </c>
      <c r="H2701" t="s">
        <v>5474</v>
      </c>
      <c r="I2701" t="s">
        <v>12871</v>
      </c>
      <c r="J2701" t="s">
        <v>5476</v>
      </c>
      <c r="K2701" t="s">
        <v>12872</v>
      </c>
      <c r="L2701" t="s">
        <v>5471</v>
      </c>
      <c r="M2701" t="s">
        <v>5471</v>
      </c>
    </row>
    <row r="2702" spans="1:13" x14ac:dyDescent="0.3">
      <c r="A2702" t="s">
        <v>3397</v>
      </c>
      <c r="B2702" t="s">
        <v>5594</v>
      </c>
      <c r="C2702" t="s">
        <v>5487</v>
      </c>
      <c r="D2702" t="s">
        <v>4056</v>
      </c>
      <c r="E2702" t="s">
        <v>5756</v>
      </c>
      <c r="F2702" t="s">
        <v>12873</v>
      </c>
      <c r="G2702" t="s">
        <v>12849</v>
      </c>
      <c r="H2702" t="s">
        <v>5474</v>
      </c>
      <c r="I2702" t="s">
        <v>12874</v>
      </c>
      <c r="J2702" t="s">
        <v>5476</v>
      </c>
      <c r="K2702" t="s">
        <v>12875</v>
      </c>
      <c r="L2702" t="s">
        <v>5471</v>
      </c>
      <c r="M2702" t="s">
        <v>5471</v>
      </c>
    </row>
    <row r="2703" spans="1:13" x14ac:dyDescent="0.3">
      <c r="A2703" t="s">
        <v>3397</v>
      </c>
      <c r="B2703" t="s">
        <v>5594</v>
      </c>
      <c r="C2703" t="s">
        <v>5487</v>
      </c>
      <c r="D2703" t="s">
        <v>4200</v>
      </c>
      <c r="E2703" t="s">
        <v>5617</v>
      </c>
      <c r="F2703" t="s">
        <v>12876</v>
      </c>
      <c r="G2703" t="s">
        <v>5703</v>
      </c>
      <c r="H2703" t="s">
        <v>5474</v>
      </c>
      <c r="I2703" t="s">
        <v>12877</v>
      </c>
      <c r="J2703" t="s">
        <v>5476</v>
      </c>
      <c r="K2703" t="s">
        <v>12878</v>
      </c>
      <c r="L2703" t="s">
        <v>5471</v>
      </c>
      <c r="M2703" t="s">
        <v>5471</v>
      </c>
    </row>
    <row r="2704" spans="1:13" x14ac:dyDescent="0.3">
      <c r="A2704" t="s">
        <v>3397</v>
      </c>
      <c r="B2704" t="s">
        <v>5594</v>
      </c>
      <c r="C2704" t="s">
        <v>5487</v>
      </c>
      <c r="D2704" t="s">
        <v>4200</v>
      </c>
      <c r="E2704" t="s">
        <v>5617</v>
      </c>
      <c r="F2704" t="s">
        <v>12879</v>
      </c>
      <c r="G2704" t="s">
        <v>5703</v>
      </c>
      <c r="H2704" t="s">
        <v>5474</v>
      </c>
      <c r="I2704" t="s">
        <v>12880</v>
      </c>
      <c r="J2704" t="s">
        <v>5476</v>
      </c>
      <c r="K2704" t="s">
        <v>12881</v>
      </c>
      <c r="L2704" t="s">
        <v>5471</v>
      </c>
      <c r="M2704" t="s">
        <v>5471</v>
      </c>
    </row>
    <row r="2705" spans="1:13" x14ac:dyDescent="0.3">
      <c r="A2705" t="s">
        <v>3397</v>
      </c>
      <c r="B2705" t="s">
        <v>5594</v>
      </c>
      <c r="C2705" t="s">
        <v>5487</v>
      </c>
      <c r="D2705" t="s">
        <v>4200</v>
      </c>
      <c r="E2705" t="s">
        <v>5617</v>
      </c>
      <c r="F2705" t="s">
        <v>12882</v>
      </c>
      <c r="G2705" t="s">
        <v>5703</v>
      </c>
      <c r="H2705" t="s">
        <v>5474</v>
      </c>
      <c r="I2705" t="s">
        <v>12883</v>
      </c>
      <c r="J2705" t="s">
        <v>5476</v>
      </c>
      <c r="K2705" t="s">
        <v>12884</v>
      </c>
      <c r="L2705" t="s">
        <v>5471</v>
      </c>
      <c r="M2705" t="s">
        <v>5471</v>
      </c>
    </row>
    <row r="2706" spans="1:13" x14ac:dyDescent="0.3">
      <c r="A2706" t="s">
        <v>3397</v>
      </c>
      <c r="B2706" t="s">
        <v>5594</v>
      </c>
      <c r="C2706" t="s">
        <v>5487</v>
      </c>
      <c r="D2706" t="s">
        <v>4052</v>
      </c>
      <c r="E2706" t="s">
        <v>5756</v>
      </c>
      <c r="F2706" t="s">
        <v>12885</v>
      </c>
      <c r="G2706" t="s">
        <v>10335</v>
      </c>
      <c r="H2706" t="s">
        <v>5474</v>
      </c>
      <c r="I2706" t="s">
        <v>12886</v>
      </c>
      <c r="J2706" t="s">
        <v>5476</v>
      </c>
      <c r="K2706" t="s">
        <v>12887</v>
      </c>
      <c r="L2706" t="s">
        <v>5471</v>
      </c>
      <c r="M2706" t="s">
        <v>5471</v>
      </c>
    </row>
    <row r="2707" spans="1:13" x14ac:dyDescent="0.3">
      <c r="A2707" t="s">
        <v>3397</v>
      </c>
      <c r="B2707" t="s">
        <v>5594</v>
      </c>
      <c r="C2707" t="s">
        <v>5487</v>
      </c>
      <c r="D2707" t="s">
        <v>4058</v>
      </c>
      <c r="E2707" t="s">
        <v>5756</v>
      </c>
      <c r="F2707" t="s">
        <v>12888</v>
      </c>
      <c r="G2707" t="s">
        <v>10335</v>
      </c>
      <c r="H2707" t="s">
        <v>5474</v>
      </c>
      <c r="I2707" t="s">
        <v>12889</v>
      </c>
      <c r="J2707" t="s">
        <v>5476</v>
      </c>
      <c r="K2707" t="s">
        <v>12890</v>
      </c>
      <c r="L2707" t="s">
        <v>5471</v>
      </c>
      <c r="M2707" t="s">
        <v>5471</v>
      </c>
    </row>
    <row r="2708" spans="1:13" x14ac:dyDescent="0.3">
      <c r="A2708" t="s">
        <v>3397</v>
      </c>
      <c r="B2708" t="s">
        <v>5594</v>
      </c>
      <c r="C2708" t="s">
        <v>5487</v>
      </c>
      <c r="D2708" t="s">
        <v>4058</v>
      </c>
      <c r="E2708" t="s">
        <v>5756</v>
      </c>
      <c r="F2708" t="s">
        <v>12891</v>
      </c>
      <c r="G2708" t="s">
        <v>10335</v>
      </c>
      <c r="H2708" t="s">
        <v>5474</v>
      </c>
      <c r="I2708" t="s">
        <v>12892</v>
      </c>
      <c r="J2708" t="s">
        <v>5476</v>
      </c>
      <c r="K2708" t="s">
        <v>12893</v>
      </c>
      <c r="L2708" t="s">
        <v>5471</v>
      </c>
      <c r="M2708" t="s">
        <v>5471</v>
      </c>
    </row>
    <row r="2709" spans="1:13" x14ac:dyDescent="0.3">
      <c r="A2709" t="s">
        <v>3397</v>
      </c>
      <c r="B2709" t="s">
        <v>5594</v>
      </c>
      <c r="C2709" t="s">
        <v>5487</v>
      </c>
      <c r="D2709" t="s">
        <v>4058</v>
      </c>
      <c r="E2709" t="s">
        <v>5756</v>
      </c>
      <c r="F2709" t="s">
        <v>12894</v>
      </c>
      <c r="G2709" t="s">
        <v>10335</v>
      </c>
      <c r="H2709" t="s">
        <v>5474</v>
      </c>
      <c r="I2709" t="s">
        <v>12895</v>
      </c>
      <c r="J2709" t="s">
        <v>5476</v>
      </c>
      <c r="K2709" t="s">
        <v>12896</v>
      </c>
      <c r="L2709" t="s">
        <v>5471</v>
      </c>
      <c r="M2709" t="s">
        <v>5471</v>
      </c>
    </row>
    <row r="2710" spans="1:13" x14ac:dyDescent="0.3">
      <c r="A2710" t="s">
        <v>3397</v>
      </c>
      <c r="B2710" t="s">
        <v>5594</v>
      </c>
      <c r="C2710" t="s">
        <v>5487</v>
      </c>
      <c r="D2710" t="s">
        <v>4056</v>
      </c>
      <c r="E2710" t="s">
        <v>5756</v>
      </c>
      <c r="F2710" t="s">
        <v>12897</v>
      </c>
      <c r="G2710" t="s">
        <v>10335</v>
      </c>
      <c r="H2710" t="s">
        <v>5474</v>
      </c>
      <c r="I2710" t="s">
        <v>12898</v>
      </c>
      <c r="J2710" t="s">
        <v>5476</v>
      </c>
      <c r="K2710" t="s">
        <v>12899</v>
      </c>
      <c r="L2710" t="s">
        <v>5471</v>
      </c>
      <c r="M2710" t="s">
        <v>5471</v>
      </c>
    </row>
    <row r="2711" spans="1:13" x14ac:dyDescent="0.3">
      <c r="A2711" t="s">
        <v>3397</v>
      </c>
      <c r="B2711" t="s">
        <v>5594</v>
      </c>
      <c r="C2711" t="s">
        <v>5487</v>
      </c>
      <c r="D2711" t="s">
        <v>4056</v>
      </c>
      <c r="E2711" t="s">
        <v>5756</v>
      </c>
      <c r="F2711" t="s">
        <v>12900</v>
      </c>
      <c r="G2711" t="s">
        <v>10335</v>
      </c>
      <c r="H2711" t="s">
        <v>5474</v>
      </c>
      <c r="I2711" t="s">
        <v>12901</v>
      </c>
      <c r="J2711" t="s">
        <v>5476</v>
      </c>
      <c r="K2711" t="s">
        <v>12902</v>
      </c>
      <c r="L2711" t="s">
        <v>5471</v>
      </c>
      <c r="M2711" t="s">
        <v>5471</v>
      </c>
    </row>
    <row r="2712" spans="1:13" x14ac:dyDescent="0.3">
      <c r="A2712" t="s">
        <v>3397</v>
      </c>
      <c r="B2712" t="s">
        <v>5594</v>
      </c>
      <c r="C2712" t="s">
        <v>5487</v>
      </c>
      <c r="D2712" t="s">
        <v>4056</v>
      </c>
      <c r="E2712" t="s">
        <v>5756</v>
      </c>
      <c r="F2712" t="s">
        <v>12903</v>
      </c>
      <c r="G2712" t="s">
        <v>10335</v>
      </c>
      <c r="H2712" t="s">
        <v>5474</v>
      </c>
      <c r="I2712" t="s">
        <v>12904</v>
      </c>
      <c r="J2712" t="s">
        <v>5476</v>
      </c>
      <c r="K2712" t="s">
        <v>12905</v>
      </c>
      <c r="L2712" t="s">
        <v>5471</v>
      </c>
      <c r="M2712" t="s">
        <v>5471</v>
      </c>
    </row>
    <row r="2713" spans="1:13" x14ac:dyDescent="0.3">
      <c r="A2713" t="s">
        <v>3397</v>
      </c>
      <c r="B2713" t="s">
        <v>5594</v>
      </c>
      <c r="C2713" t="s">
        <v>5487</v>
      </c>
      <c r="D2713" t="s">
        <v>4200</v>
      </c>
      <c r="E2713" t="s">
        <v>5756</v>
      </c>
      <c r="F2713" t="s">
        <v>12906</v>
      </c>
      <c r="G2713" t="s">
        <v>10335</v>
      </c>
      <c r="H2713" t="s">
        <v>5474</v>
      </c>
      <c r="I2713" t="s">
        <v>12907</v>
      </c>
      <c r="J2713" t="s">
        <v>5476</v>
      </c>
      <c r="K2713" t="s">
        <v>12908</v>
      </c>
      <c r="L2713" t="s">
        <v>5471</v>
      </c>
      <c r="M2713" t="s">
        <v>5471</v>
      </c>
    </row>
    <row r="2714" spans="1:13" x14ac:dyDescent="0.3">
      <c r="A2714" t="s">
        <v>3397</v>
      </c>
      <c r="B2714" t="s">
        <v>5594</v>
      </c>
      <c r="C2714" t="s">
        <v>5487</v>
      </c>
      <c r="D2714" t="s">
        <v>4200</v>
      </c>
      <c r="E2714" t="s">
        <v>5756</v>
      </c>
      <c r="F2714" t="s">
        <v>12909</v>
      </c>
      <c r="G2714" t="s">
        <v>10335</v>
      </c>
      <c r="H2714" t="s">
        <v>5474</v>
      </c>
      <c r="I2714" t="s">
        <v>12910</v>
      </c>
      <c r="J2714" t="s">
        <v>5476</v>
      </c>
      <c r="K2714" t="s">
        <v>12911</v>
      </c>
      <c r="L2714" t="s">
        <v>5471</v>
      </c>
      <c r="M2714" t="s">
        <v>5471</v>
      </c>
    </row>
    <row r="2715" spans="1:13" x14ac:dyDescent="0.3">
      <c r="A2715" t="s">
        <v>3397</v>
      </c>
      <c r="B2715" t="s">
        <v>5594</v>
      </c>
      <c r="C2715" t="s">
        <v>5487</v>
      </c>
      <c r="D2715" t="s">
        <v>4200</v>
      </c>
      <c r="E2715" t="s">
        <v>5756</v>
      </c>
      <c r="F2715" t="s">
        <v>12912</v>
      </c>
      <c r="G2715" t="s">
        <v>10335</v>
      </c>
      <c r="H2715" t="s">
        <v>5474</v>
      </c>
      <c r="I2715" t="s">
        <v>12913</v>
      </c>
      <c r="J2715" t="s">
        <v>5476</v>
      </c>
      <c r="K2715" t="s">
        <v>12914</v>
      </c>
      <c r="L2715" t="s">
        <v>5471</v>
      </c>
      <c r="M2715" t="s">
        <v>5471</v>
      </c>
    </row>
    <row r="2716" spans="1:13" x14ac:dyDescent="0.3">
      <c r="A2716" t="s">
        <v>3397</v>
      </c>
      <c r="B2716" t="s">
        <v>5594</v>
      </c>
      <c r="C2716" t="s">
        <v>5487</v>
      </c>
      <c r="D2716" t="s">
        <v>4052</v>
      </c>
      <c r="E2716" t="s">
        <v>6332</v>
      </c>
      <c r="F2716" t="s">
        <v>12915</v>
      </c>
      <c r="G2716" t="s">
        <v>10379</v>
      </c>
      <c r="H2716" t="s">
        <v>5474</v>
      </c>
      <c r="I2716" t="s">
        <v>12916</v>
      </c>
      <c r="J2716" t="s">
        <v>5476</v>
      </c>
      <c r="K2716" t="s">
        <v>12917</v>
      </c>
      <c r="L2716" t="s">
        <v>5471</v>
      </c>
      <c r="M2716" t="s">
        <v>5471</v>
      </c>
    </row>
    <row r="2717" spans="1:13" x14ac:dyDescent="0.3">
      <c r="A2717" t="s">
        <v>3397</v>
      </c>
      <c r="B2717" t="s">
        <v>5594</v>
      </c>
      <c r="C2717" t="s">
        <v>5487</v>
      </c>
      <c r="D2717" t="s">
        <v>4058</v>
      </c>
      <c r="E2717" t="s">
        <v>6332</v>
      </c>
      <c r="F2717" t="s">
        <v>12918</v>
      </c>
      <c r="G2717" t="s">
        <v>10379</v>
      </c>
      <c r="H2717" t="s">
        <v>5474</v>
      </c>
      <c r="I2717" t="s">
        <v>12919</v>
      </c>
      <c r="J2717" t="s">
        <v>5476</v>
      </c>
      <c r="K2717" t="s">
        <v>12920</v>
      </c>
      <c r="L2717" t="s">
        <v>5471</v>
      </c>
      <c r="M2717" t="s">
        <v>5471</v>
      </c>
    </row>
    <row r="2718" spans="1:13" x14ac:dyDescent="0.3">
      <c r="A2718" t="s">
        <v>3397</v>
      </c>
      <c r="B2718" t="s">
        <v>5594</v>
      </c>
      <c r="C2718" t="s">
        <v>5487</v>
      </c>
      <c r="D2718" t="s">
        <v>4056</v>
      </c>
      <c r="E2718" t="s">
        <v>6332</v>
      </c>
      <c r="F2718" t="s">
        <v>12921</v>
      </c>
      <c r="G2718" t="s">
        <v>10379</v>
      </c>
      <c r="H2718" t="s">
        <v>5474</v>
      </c>
      <c r="I2718" t="s">
        <v>12922</v>
      </c>
      <c r="J2718" t="s">
        <v>5476</v>
      </c>
      <c r="K2718" t="s">
        <v>12923</v>
      </c>
      <c r="L2718" t="s">
        <v>5471</v>
      </c>
      <c r="M2718" t="s">
        <v>5471</v>
      </c>
    </row>
    <row r="2719" spans="1:13" x14ac:dyDescent="0.3">
      <c r="A2719" t="s">
        <v>3397</v>
      </c>
      <c r="B2719" t="s">
        <v>5594</v>
      </c>
      <c r="C2719" t="s">
        <v>5487</v>
      </c>
      <c r="D2719" t="s">
        <v>4056</v>
      </c>
      <c r="E2719" t="s">
        <v>6332</v>
      </c>
      <c r="F2719" t="s">
        <v>12924</v>
      </c>
      <c r="G2719" t="s">
        <v>10379</v>
      </c>
      <c r="H2719" t="s">
        <v>5474</v>
      </c>
      <c r="I2719" t="s">
        <v>12925</v>
      </c>
      <c r="J2719" t="s">
        <v>5476</v>
      </c>
      <c r="K2719" t="s">
        <v>12926</v>
      </c>
      <c r="L2719" t="s">
        <v>5471</v>
      </c>
      <c r="M2719" t="s">
        <v>5471</v>
      </c>
    </row>
    <row r="2720" spans="1:13" x14ac:dyDescent="0.3">
      <c r="A2720" t="s">
        <v>3397</v>
      </c>
      <c r="B2720" t="s">
        <v>5594</v>
      </c>
      <c r="C2720" t="s">
        <v>5487</v>
      </c>
      <c r="D2720" t="s">
        <v>4056</v>
      </c>
      <c r="E2720" t="s">
        <v>6332</v>
      </c>
      <c r="F2720" t="s">
        <v>12927</v>
      </c>
      <c r="G2720" t="s">
        <v>10379</v>
      </c>
      <c r="H2720" t="s">
        <v>5474</v>
      </c>
      <c r="I2720" t="s">
        <v>12928</v>
      </c>
      <c r="J2720" t="s">
        <v>5476</v>
      </c>
      <c r="K2720" t="s">
        <v>12929</v>
      </c>
      <c r="L2720" t="s">
        <v>5471</v>
      </c>
      <c r="M2720" t="s">
        <v>5471</v>
      </c>
    </row>
    <row r="2721" spans="1:13" x14ac:dyDescent="0.3">
      <c r="A2721" t="s">
        <v>3397</v>
      </c>
      <c r="B2721" t="s">
        <v>5594</v>
      </c>
      <c r="C2721" t="s">
        <v>5487</v>
      </c>
      <c r="D2721" t="s">
        <v>4200</v>
      </c>
      <c r="E2721" t="s">
        <v>6332</v>
      </c>
      <c r="F2721" t="s">
        <v>12930</v>
      </c>
      <c r="G2721" t="s">
        <v>10379</v>
      </c>
      <c r="H2721" t="s">
        <v>5474</v>
      </c>
      <c r="I2721" t="s">
        <v>12931</v>
      </c>
      <c r="J2721" t="s">
        <v>5476</v>
      </c>
      <c r="K2721" t="s">
        <v>12932</v>
      </c>
      <c r="L2721" t="s">
        <v>5471</v>
      </c>
      <c r="M2721" t="s">
        <v>5471</v>
      </c>
    </row>
    <row r="2722" spans="1:13" x14ac:dyDescent="0.3">
      <c r="A2722" t="s">
        <v>3397</v>
      </c>
      <c r="B2722" t="s">
        <v>5594</v>
      </c>
      <c r="C2722" t="s">
        <v>5487</v>
      </c>
      <c r="D2722" t="s">
        <v>4200</v>
      </c>
      <c r="E2722" t="s">
        <v>6332</v>
      </c>
      <c r="F2722" t="s">
        <v>12933</v>
      </c>
      <c r="G2722" t="s">
        <v>10379</v>
      </c>
      <c r="H2722" t="s">
        <v>5474</v>
      </c>
      <c r="I2722" t="s">
        <v>12934</v>
      </c>
      <c r="J2722" t="s">
        <v>5476</v>
      </c>
      <c r="K2722" t="s">
        <v>12935</v>
      </c>
      <c r="L2722" t="s">
        <v>5471</v>
      </c>
      <c r="M2722" t="s">
        <v>5471</v>
      </c>
    </row>
    <row r="2723" spans="1:13" x14ac:dyDescent="0.3">
      <c r="A2723" t="s">
        <v>3397</v>
      </c>
      <c r="B2723" t="s">
        <v>5594</v>
      </c>
      <c r="C2723" t="s">
        <v>5487</v>
      </c>
      <c r="D2723" t="s">
        <v>4058</v>
      </c>
      <c r="E2723" t="s">
        <v>5595</v>
      </c>
      <c r="F2723" t="s">
        <v>12936</v>
      </c>
      <c r="G2723" t="s">
        <v>12937</v>
      </c>
      <c r="H2723" t="s">
        <v>5474</v>
      </c>
      <c r="I2723" t="s">
        <v>12938</v>
      </c>
      <c r="J2723" t="s">
        <v>5476</v>
      </c>
      <c r="K2723" t="s">
        <v>12939</v>
      </c>
      <c r="L2723" t="s">
        <v>5471</v>
      </c>
      <c r="M2723" t="s">
        <v>5471</v>
      </c>
    </row>
    <row r="2724" spans="1:13" x14ac:dyDescent="0.3">
      <c r="A2724" t="s">
        <v>3397</v>
      </c>
      <c r="B2724" t="s">
        <v>5594</v>
      </c>
      <c r="C2724" t="s">
        <v>5487</v>
      </c>
      <c r="D2724" t="s">
        <v>4058</v>
      </c>
      <c r="E2724" t="s">
        <v>5595</v>
      </c>
      <c r="F2724" t="s">
        <v>12940</v>
      </c>
      <c r="G2724" t="s">
        <v>12937</v>
      </c>
      <c r="H2724" t="s">
        <v>5474</v>
      </c>
      <c r="I2724" t="s">
        <v>12941</v>
      </c>
      <c r="J2724" t="s">
        <v>5476</v>
      </c>
      <c r="K2724" t="s">
        <v>12942</v>
      </c>
      <c r="L2724" t="s">
        <v>5471</v>
      </c>
      <c r="M2724" t="s">
        <v>5471</v>
      </c>
    </row>
    <row r="2725" spans="1:13" x14ac:dyDescent="0.3">
      <c r="A2725" t="s">
        <v>3397</v>
      </c>
      <c r="B2725" t="s">
        <v>5594</v>
      </c>
      <c r="C2725" t="s">
        <v>5487</v>
      </c>
      <c r="D2725" t="s">
        <v>4058</v>
      </c>
      <c r="E2725" t="s">
        <v>5595</v>
      </c>
      <c r="F2725" t="s">
        <v>12943</v>
      </c>
      <c r="G2725" t="s">
        <v>12937</v>
      </c>
      <c r="H2725" t="s">
        <v>5474</v>
      </c>
      <c r="I2725" t="s">
        <v>12944</v>
      </c>
      <c r="J2725" t="s">
        <v>5476</v>
      </c>
      <c r="K2725" t="s">
        <v>12945</v>
      </c>
      <c r="L2725" t="s">
        <v>5471</v>
      </c>
      <c r="M2725" t="s">
        <v>5471</v>
      </c>
    </row>
    <row r="2726" spans="1:13" x14ac:dyDescent="0.3">
      <c r="A2726" t="s">
        <v>3397</v>
      </c>
      <c r="B2726" t="s">
        <v>5594</v>
      </c>
      <c r="C2726" t="s">
        <v>5487</v>
      </c>
      <c r="D2726" t="s">
        <v>4058</v>
      </c>
      <c r="E2726" t="s">
        <v>5595</v>
      </c>
      <c r="F2726" t="s">
        <v>12946</v>
      </c>
      <c r="G2726" t="s">
        <v>12937</v>
      </c>
      <c r="H2726" t="s">
        <v>5474</v>
      </c>
      <c r="I2726" t="s">
        <v>12947</v>
      </c>
      <c r="J2726" t="s">
        <v>5476</v>
      </c>
      <c r="K2726" t="s">
        <v>12948</v>
      </c>
      <c r="L2726" t="s">
        <v>5471</v>
      </c>
      <c r="M2726" t="s">
        <v>5471</v>
      </c>
    </row>
    <row r="2727" spans="1:13" x14ac:dyDescent="0.3">
      <c r="A2727" t="s">
        <v>3397</v>
      </c>
      <c r="B2727" t="s">
        <v>5594</v>
      </c>
      <c r="C2727" t="s">
        <v>5487</v>
      </c>
      <c r="D2727" t="s">
        <v>4052</v>
      </c>
      <c r="E2727" t="s">
        <v>5756</v>
      </c>
      <c r="F2727" t="s">
        <v>12949</v>
      </c>
      <c r="G2727" t="s">
        <v>12950</v>
      </c>
      <c r="H2727" t="s">
        <v>5474</v>
      </c>
      <c r="I2727" t="s">
        <v>12951</v>
      </c>
      <c r="J2727" t="s">
        <v>5476</v>
      </c>
      <c r="K2727" t="s">
        <v>12952</v>
      </c>
      <c r="L2727" t="s">
        <v>5471</v>
      </c>
      <c r="M2727" t="s">
        <v>5471</v>
      </c>
    </row>
    <row r="2728" spans="1:13" x14ac:dyDescent="0.3">
      <c r="A2728" t="s">
        <v>3397</v>
      </c>
      <c r="B2728" t="s">
        <v>5594</v>
      </c>
      <c r="C2728" t="s">
        <v>5487</v>
      </c>
      <c r="D2728" t="s">
        <v>4347</v>
      </c>
      <c r="E2728" t="s">
        <v>6442</v>
      </c>
      <c r="F2728" t="s">
        <v>12953</v>
      </c>
      <c r="G2728" t="s">
        <v>12954</v>
      </c>
      <c r="H2728" t="s">
        <v>5474</v>
      </c>
      <c r="I2728" t="s">
        <v>12955</v>
      </c>
      <c r="J2728" t="s">
        <v>5476</v>
      </c>
      <c r="K2728" t="s">
        <v>12956</v>
      </c>
      <c r="L2728" t="s">
        <v>5471</v>
      </c>
      <c r="M2728" t="s">
        <v>5471</v>
      </c>
    </row>
    <row r="2729" spans="1:13" x14ac:dyDescent="0.3">
      <c r="A2729" t="s">
        <v>3397</v>
      </c>
      <c r="B2729" t="s">
        <v>5594</v>
      </c>
      <c r="C2729" t="s">
        <v>5487</v>
      </c>
      <c r="D2729" t="s">
        <v>4347</v>
      </c>
      <c r="E2729" t="s">
        <v>6442</v>
      </c>
      <c r="F2729" t="s">
        <v>12957</v>
      </c>
      <c r="G2729" t="s">
        <v>12954</v>
      </c>
      <c r="H2729" t="s">
        <v>5474</v>
      </c>
      <c r="I2729" t="s">
        <v>12958</v>
      </c>
      <c r="J2729" t="s">
        <v>5476</v>
      </c>
      <c r="K2729" t="s">
        <v>12959</v>
      </c>
      <c r="L2729" t="s">
        <v>5471</v>
      </c>
      <c r="M2729" t="s">
        <v>5471</v>
      </c>
    </row>
    <row r="2730" spans="1:13" x14ac:dyDescent="0.3">
      <c r="A2730" t="s">
        <v>3397</v>
      </c>
      <c r="B2730" t="s">
        <v>5594</v>
      </c>
      <c r="C2730" t="s">
        <v>5487</v>
      </c>
      <c r="D2730" t="s">
        <v>4347</v>
      </c>
      <c r="E2730" t="s">
        <v>6442</v>
      </c>
      <c r="F2730" t="s">
        <v>12960</v>
      </c>
      <c r="G2730" t="s">
        <v>12954</v>
      </c>
      <c r="H2730" t="s">
        <v>5474</v>
      </c>
      <c r="I2730" t="s">
        <v>12961</v>
      </c>
      <c r="J2730" t="s">
        <v>5476</v>
      </c>
      <c r="K2730" t="s">
        <v>12962</v>
      </c>
      <c r="L2730" t="s">
        <v>5471</v>
      </c>
      <c r="M2730" t="s">
        <v>5471</v>
      </c>
    </row>
    <row r="2731" spans="1:13" x14ac:dyDescent="0.3">
      <c r="A2731" t="s">
        <v>3397</v>
      </c>
      <c r="B2731" t="s">
        <v>5594</v>
      </c>
      <c r="C2731" t="s">
        <v>5487</v>
      </c>
      <c r="D2731" t="s">
        <v>9958</v>
      </c>
      <c r="E2731" t="s">
        <v>5595</v>
      </c>
      <c r="F2731" t="s">
        <v>12963</v>
      </c>
      <c r="G2731" t="s">
        <v>5623</v>
      </c>
      <c r="H2731" t="s">
        <v>5474</v>
      </c>
      <c r="I2731" t="s">
        <v>12964</v>
      </c>
      <c r="J2731" t="s">
        <v>5476</v>
      </c>
      <c r="K2731" t="s">
        <v>12965</v>
      </c>
      <c r="L2731" t="s">
        <v>5471</v>
      </c>
      <c r="M2731" t="s">
        <v>5471</v>
      </c>
    </row>
    <row r="2732" spans="1:13" x14ac:dyDescent="0.3">
      <c r="A2732" t="s">
        <v>3397</v>
      </c>
      <c r="B2732" t="s">
        <v>5594</v>
      </c>
      <c r="C2732" t="s">
        <v>5487</v>
      </c>
      <c r="D2732" t="s">
        <v>4052</v>
      </c>
      <c r="E2732" t="s">
        <v>5595</v>
      </c>
      <c r="F2732" t="s">
        <v>12966</v>
      </c>
      <c r="G2732" t="s">
        <v>5623</v>
      </c>
      <c r="H2732" t="s">
        <v>5474</v>
      </c>
      <c r="I2732" t="s">
        <v>12967</v>
      </c>
      <c r="J2732" t="s">
        <v>5476</v>
      </c>
      <c r="K2732" t="s">
        <v>12968</v>
      </c>
      <c r="L2732" t="s">
        <v>5471</v>
      </c>
      <c r="M2732" t="s">
        <v>5471</v>
      </c>
    </row>
    <row r="2733" spans="1:13" x14ac:dyDescent="0.3">
      <c r="A2733" t="s">
        <v>3397</v>
      </c>
      <c r="B2733" t="s">
        <v>5594</v>
      </c>
      <c r="C2733" t="s">
        <v>5487</v>
      </c>
      <c r="D2733" t="s">
        <v>4052</v>
      </c>
      <c r="E2733" t="s">
        <v>5617</v>
      </c>
      <c r="F2733" t="s">
        <v>12969</v>
      </c>
      <c r="G2733" t="s">
        <v>5703</v>
      </c>
      <c r="H2733" t="s">
        <v>5474</v>
      </c>
      <c r="I2733" t="s">
        <v>12970</v>
      </c>
      <c r="J2733" t="s">
        <v>5476</v>
      </c>
      <c r="K2733" t="s">
        <v>12971</v>
      </c>
      <c r="L2733" t="s">
        <v>5478</v>
      </c>
      <c r="M2733" t="s">
        <v>5471</v>
      </c>
    </row>
    <row r="2734" spans="1:13" x14ac:dyDescent="0.3">
      <c r="A2734" t="s">
        <v>3397</v>
      </c>
      <c r="B2734" t="s">
        <v>5594</v>
      </c>
      <c r="C2734" t="s">
        <v>5487</v>
      </c>
      <c r="D2734" t="s">
        <v>4119</v>
      </c>
      <c r="E2734" t="s">
        <v>6332</v>
      </c>
      <c r="F2734" t="s">
        <v>12972</v>
      </c>
      <c r="G2734" t="s">
        <v>5703</v>
      </c>
      <c r="H2734" t="s">
        <v>5474</v>
      </c>
      <c r="I2734" t="s">
        <v>12973</v>
      </c>
      <c r="J2734" t="s">
        <v>5476</v>
      </c>
      <c r="K2734" t="s">
        <v>12974</v>
      </c>
      <c r="L2734" t="s">
        <v>5471</v>
      </c>
      <c r="M2734" t="s">
        <v>5471</v>
      </c>
    </row>
    <row r="2735" spans="1:13" x14ac:dyDescent="0.3">
      <c r="A2735" t="s">
        <v>3397</v>
      </c>
      <c r="B2735" t="s">
        <v>5594</v>
      </c>
      <c r="C2735" t="s">
        <v>5487</v>
      </c>
      <c r="D2735" t="s">
        <v>4119</v>
      </c>
      <c r="E2735" t="s">
        <v>6332</v>
      </c>
      <c r="F2735" t="s">
        <v>12975</v>
      </c>
      <c r="G2735" t="s">
        <v>5703</v>
      </c>
      <c r="H2735" t="s">
        <v>5474</v>
      </c>
      <c r="I2735" t="s">
        <v>12976</v>
      </c>
      <c r="J2735" t="s">
        <v>5476</v>
      </c>
      <c r="K2735" t="s">
        <v>12977</v>
      </c>
      <c r="L2735" t="s">
        <v>5471</v>
      </c>
      <c r="M2735" t="s">
        <v>5471</v>
      </c>
    </row>
    <row r="2736" spans="1:13" x14ac:dyDescent="0.3">
      <c r="A2736" t="s">
        <v>3397</v>
      </c>
      <c r="B2736" t="s">
        <v>5594</v>
      </c>
      <c r="C2736" t="s">
        <v>5487</v>
      </c>
      <c r="D2736" t="s">
        <v>4119</v>
      </c>
      <c r="E2736" t="s">
        <v>6332</v>
      </c>
      <c r="F2736" t="s">
        <v>12978</v>
      </c>
      <c r="G2736" t="s">
        <v>5703</v>
      </c>
      <c r="H2736" t="s">
        <v>5474</v>
      </c>
      <c r="I2736" t="s">
        <v>12979</v>
      </c>
      <c r="J2736" t="s">
        <v>5476</v>
      </c>
      <c r="K2736" t="s">
        <v>12980</v>
      </c>
      <c r="L2736" t="s">
        <v>5471</v>
      </c>
      <c r="M2736" t="s">
        <v>5471</v>
      </c>
    </row>
    <row r="2737" spans="1:13" x14ac:dyDescent="0.3">
      <c r="A2737" t="s">
        <v>3397</v>
      </c>
      <c r="B2737" t="s">
        <v>5594</v>
      </c>
      <c r="C2737" t="s">
        <v>5487</v>
      </c>
      <c r="D2737" t="s">
        <v>4119</v>
      </c>
      <c r="E2737" t="s">
        <v>6332</v>
      </c>
      <c r="F2737" t="s">
        <v>12981</v>
      </c>
      <c r="G2737" t="s">
        <v>5703</v>
      </c>
      <c r="H2737" t="s">
        <v>5474</v>
      </c>
      <c r="I2737" t="s">
        <v>12982</v>
      </c>
      <c r="J2737" t="s">
        <v>5476</v>
      </c>
      <c r="K2737" t="s">
        <v>12983</v>
      </c>
      <c r="L2737" t="s">
        <v>5471</v>
      </c>
      <c r="M2737" t="s">
        <v>5471</v>
      </c>
    </row>
    <row r="2738" spans="1:13" x14ac:dyDescent="0.3">
      <c r="A2738" t="s">
        <v>3397</v>
      </c>
      <c r="B2738" t="s">
        <v>5594</v>
      </c>
      <c r="C2738" t="s">
        <v>5487</v>
      </c>
      <c r="D2738" t="s">
        <v>4119</v>
      </c>
      <c r="E2738" t="s">
        <v>6332</v>
      </c>
      <c r="F2738" t="s">
        <v>12984</v>
      </c>
      <c r="G2738" t="s">
        <v>5703</v>
      </c>
      <c r="H2738" t="s">
        <v>5474</v>
      </c>
      <c r="I2738" t="s">
        <v>12985</v>
      </c>
      <c r="J2738" t="s">
        <v>5476</v>
      </c>
      <c r="K2738" t="s">
        <v>12986</v>
      </c>
      <c r="L2738" t="s">
        <v>5471</v>
      </c>
      <c r="M2738" t="s">
        <v>5471</v>
      </c>
    </row>
    <row r="2739" spans="1:13" x14ac:dyDescent="0.3">
      <c r="A2739" t="s">
        <v>3397</v>
      </c>
      <c r="B2739" t="s">
        <v>5594</v>
      </c>
      <c r="C2739" t="s">
        <v>5487</v>
      </c>
      <c r="D2739" t="s">
        <v>4119</v>
      </c>
      <c r="E2739" t="s">
        <v>6332</v>
      </c>
      <c r="F2739" t="s">
        <v>12987</v>
      </c>
      <c r="G2739" t="s">
        <v>5703</v>
      </c>
      <c r="H2739" t="s">
        <v>5474</v>
      </c>
      <c r="I2739" t="s">
        <v>12988</v>
      </c>
      <c r="J2739" t="s">
        <v>5476</v>
      </c>
      <c r="K2739" t="s">
        <v>12989</v>
      </c>
      <c r="L2739" t="s">
        <v>5471</v>
      </c>
      <c r="M2739" t="s">
        <v>5471</v>
      </c>
    </row>
    <row r="2740" spans="1:13" x14ac:dyDescent="0.3">
      <c r="A2740" t="s">
        <v>3397</v>
      </c>
      <c r="B2740" t="s">
        <v>5594</v>
      </c>
      <c r="C2740" t="s">
        <v>5487</v>
      </c>
      <c r="D2740" t="s">
        <v>4119</v>
      </c>
      <c r="E2740" t="s">
        <v>6332</v>
      </c>
      <c r="F2740" t="s">
        <v>12990</v>
      </c>
      <c r="G2740" t="s">
        <v>5703</v>
      </c>
      <c r="H2740" t="s">
        <v>5474</v>
      </c>
      <c r="I2740" t="s">
        <v>12991</v>
      </c>
      <c r="J2740" t="s">
        <v>5476</v>
      </c>
      <c r="K2740" t="s">
        <v>12992</v>
      </c>
      <c r="L2740" t="s">
        <v>5471</v>
      </c>
      <c r="M2740" t="s">
        <v>5471</v>
      </c>
    </row>
    <row r="2741" spans="1:13" x14ac:dyDescent="0.3">
      <c r="A2741" t="s">
        <v>3397</v>
      </c>
      <c r="B2741" t="s">
        <v>5594</v>
      </c>
      <c r="C2741" t="s">
        <v>5487</v>
      </c>
      <c r="D2741" t="s">
        <v>4119</v>
      </c>
      <c r="E2741" t="s">
        <v>6332</v>
      </c>
      <c r="F2741" t="s">
        <v>12993</v>
      </c>
      <c r="G2741" t="s">
        <v>5703</v>
      </c>
      <c r="H2741" t="s">
        <v>5474</v>
      </c>
      <c r="I2741" t="s">
        <v>12994</v>
      </c>
      <c r="J2741" t="s">
        <v>5476</v>
      </c>
      <c r="K2741" t="s">
        <v>12995</v>
      </c>
      <c r="L2741" t="s">
        <v>5471</v>
      </c>
      <c r="M2741" t="s">
        <v>5471</v>
      </c>
    </row>
    <row r="2742" spans="1:13" x14ac:dyDescent="0.3">
      <c r="A2742" t="s">
        <v>3397</v>
      </c>
      <c r="B2742" t="s">
        <v>5594</v>
      </c>
      <c r="C2742" t="s">
        <v>5487</v>
      </c>
      <c r="D2742" t="s">
        <v>4119</v>
      </c>
      <c r="E2742" t="s">
        <v>6332</v>
      </c>
      <c r="F2742" t="s">
        <v>12996</v>
      </c>
      <c r="G2742" t="s">
        <v>5703</v>
      </c>
      <c r="H2742" t="s">
        <v>5474</v>
      </c>
      <c r="I2742" t="s">
        <v>12997</v>
      </c>
      <c r="J2742" t="s">
        <v>5476</v>
      </c>
      <c r="K2742" t="s">
        <v>12998</v>
      </c>
      <c r="L2742" t="s">
        <v>5471</v>
      </c>
      <c r="M2742" t="s">
        <v>5471</v>
      </c>
    </row>
    <row r="2743" spans="1:13" x14ac:dyDescent="0.3">
      <c r="A2743" t="s">
        <v>3397</v>
      </c>
      <c r="B2743" t="s">
        <v>5594</v>
      </c>
      <c r="C2743" t="s">
        <v>5487</v>
      </c>
      <c r="D2743" t="s">
        <v>4119</v>
      </c>
      <c r="E2743" t="s">
        <v>6332</v>
      </c>
      <c r="F2743" t="s">
        <v>12999</v>
      </c>
      <c r="G2743" t="s">
        <v>5703</v>
      </c>
      <c r="H2743" t="s">
        <v>5474</v>
      </c>
      <c r="I2743" t="s">
        <v>13000</v>
      </c>
      <c r="J2743" t="s">
        <v>5476</v>
      </c>
      <c r="K2743" t="s">
        <v>13001</v>
      </c>
      <c r="L2743" t="s">
        <v>5471</v>
      </c>
      <c r="M2743" t="s">
        <v>5471</v>
      </c>
    </row>
    <row r="2744" spans="1:13" x14ac:dyDescent="0.3">
      <c r="A2744" t="s">
        <v>3397</v>
      </c>
      <c r="B2744" t="s">
        <v>5594</v>
      </c>
      <c r="C2744" t="s">
        <v>5487</v>
      </c>
      <c r="D2744" t="s">
        <v>4119</v>
      </c>
      <c r="E2744" t="s">
        <v>6332</v>
      </c>
      <c r="F2744" t="s">
        <v>13002</v>
      </c>
      <c r="G2744" t="s">
        <v>5703</v>
      </c>
      <c r="H2744" t="s">
        <v>5474</v>
      </c>
      <c r="I2744" t="s">
        <v>13003</v>
      </c>
      <c r="J2744" t="s">
        <v>5476</v>
      </c>
      <c r="K2744" t="s">
        <v>13004</v>
      </c>
      <c r="L2744" t="s">
        <v>5471</v>
      </c>
      <c r="M2744" t="s">
        <v>5471</v>
      </c>
    </row>
    <row r="2745" spans="1:13" x14ac:dyDescent="0.3">
      <c r="A2745" t="s">
        <v>3397</v>
      </c>
      <c r="B2745" t="s">
        <v>5594</v>
      </c>
      <c r="C2745" t="s">
        <v>5487</v>
      </c>
      <c r="D2745" t="s">
        <v>4119</v>
      </c>
      <c r="E2745" t="s">
        <v>6332</v>
      </c>
      <c r="F2745" t="s">
        <v>13005</v>
      </c>
      <c r="G2745" t="s">
        <v>5703</v>
      </c>
      <c r="H2745" t="s">
        <v>5474</v>
      </c>
      <c r="I2745" t="s">
        <v>13006</v>
      </c>
      <c r="J2745" t="s">
        <v>5476</v>
      </c>
      <c r="K2745" t="s">
        <v>13007</v>
      </c>
      <c r="L2745" t="s">
        <v>5471</v>
      </c>
      <c r="M2745" t="s">
        <v>5471</v>
      </c>
    </row>
    <row r="2746" spans="1:13" x14ac:dyDescent="0.3">
      <c r="A2746" t="s">
        <v>3397</v>
      </c>
      <c r="B2746" t="s">
        <v>5594</v>
      </c>
      <c r="C2746" t="s">
        <v>5487</v>
      </c>
      <c r="D2746" t="s">
        <v>4119</v>
      </c>
      <c r="E2746" t="s">
        <v>6332</v>
      </c>
      <c r="F2746" t="s">
        <v>13008</v>
      </c>
      <c r="G2746" t="s">
        <v>5703</v>
      </c>
      <c r="H2746" t="s">
        <v>5474</v>
      </c>
      <c r="I2746" t="s">
        <v>13009</v>
      </c>
      <c r="J2746" t="s">
        <v>5476</v>
      </c>
      <c r="K2746" t="s">
        <v>13010</v>
      </c>
      <c r="L2746" t="s">
        <v>5471</v>
      </c>
      <c r="M2746" t="s">
        <v>5471</v>
      </c>
    </row>
    <row r="2747" spans="1:13" x14ac:dyDescent="0.3">
      <c r="A2747" t="s">
        <v>3397</v>
      </c>
      <c r="B2747" t="s">
        <v>5594</v>
      </c>
      <c r="C2747" t="s">
        <v>5487</v>
      </c>
      <c r="D2747" t="s">
        <v>4119</v>
      </c>
      <c r="E2747" t="s">
        <v>6332</v>
      </c>
      <c r="F2747" t="s">
        <v>13011</v>
      </c>
      <c r="G2747" t="s">
        <v>5703</v>
      </c>
      <c r="H2747" t="s">
        <v>5474</v>
      </c>
      <c r="I2747" t="s">
        <v>13012</v>
      </c>
      <c r="J2747" t="s">
        <v>5476</v>
      </c>
      <c r="K2747" t="s">
        <v>13013</v>
      </c>
      <c r="L2747" t="s">
        <v>5471</v>
      </c>
      <c r="M2747" t="s">
        <v>5471</v>
      </c>
    </row>
    <row r="2748" spans="1:13" x14ac:dyDescent="0.3">
      <c r="A2748" t="s">
        <v>3397</v>
      </c>
      <c r="B2748" t="s">
        <v>5594</v>
      </c>
      <c r="C2748" t="s">
        <v>5487</v>
      </c>
      <c r="D2748" t="s">
        <v>4119</v>
      </c>
      <c r="E2748" t="s">
        <v>6332</v>
      </c>
      <c r="F2748" t="s">
        <v>13014</v>
      </c>
      <c r="G2748" t="s">
        <v>5703</v>
      </c>
      <c r="H2748" t="s">
        <v>5474</v>
      </c>
      <c r="I2748" t="s">
        <v>13015</v>
      </c>
      <c r="J2748" t="s">
        <v>5476</v>
      </c>
      <c r="K2748" t="s">
        <v>13016</v>
      </c>
      <c r="L2748" t="s">
        <v>5471</v>
      </c>
      <c r="M2748" t="s">
        <v>5471</v>
      </c>
    </row>
    <row r="2749" spans="1:13" x14ac:dyDescent="0.3">
      <c r="A2749" t="s">
        <v>3397</v>
      </c>
      <c r="B2749" t="s">
        <v>5594</v>
      </c>
      <c r="C2749" t="s">
        <v>5487</v>
      </c>
      <c r="D2749" t="s">
        <v>4119</v>
      </c>
      <c r="E2749" t="s">
        <v>6332</v>
      </c>
      <c r="F2749" t="s">
        <v>13017</v>
      </c>
      <c r="G2749" t="s">
        <v>5703</v>
      </c>
      <c r="H2749" t="s">
        <v>5474</v>
      </c>
      <c r="I2749" t="s">
        <v>13018</v>
      </c>
      <c r="J2749" t="s">
        <v>5476</v>
      </c>
      <c r="K2749" t="s">
        <v>13019</v>
      </c>
      <c r="L2749" t="s">
        <v>5471</v>
      </c>
      <c r="M2749" t="s">
        <v>5471</v>
      </c>
    </row>
    <row r="2750" spans="1:13" x14ac:dyDescent="0.3">
      <c r="A2750" t="s">
        <v>3397</v>
      </c>
      <c r="B2750" t="s">
        <v>5594</v>
      </c>
      <c r="C2750" t="s">
        <v>5487</v>
      </c>
      <c r="D2750" t="s">
        <v>4119</v>
      </c>
      <c r="E2750" t="s">
        <v>6332</v>
      </c>
      <c r="F2750" t="s">
        <v>13020</v>
      </c>
      <c r="G2750" t="s">
        <v>5703</v>
      </c>
      <c r="H2750" t="s">
        <v>5474</v>
      </c>
      <c r="I2750" t="s">
        <v>13021</v>
      </c>
      <c r="J2750" t="s">
        <v>5476</v>
      </c>
      <c r="K2750" t="s">
        <v>13022</v>
      </c>
      <c r="L2750" t="s">
        <v>5471</v>
      </c>
      <c r="M2750" t="s">
        <v>5471</v>
      </c>
    </row>
    <row r="2751" spans="1:13" x14ac:dyDescent="0.3">
      <c r="A2751" t="s">
        <v>3397</v>
      </c>
      <c r="B2751" t="s">
        <v>5594</v>
      </c>
      <c r="C2751" t="s">
        <v>5487</v>
      </c>
      <c r="D2751" t="s">
        <v>4119</v>
      </c>
      <c r="E2751" t="s">
        <v>6332</v>
      </c>
      <c r="F2751" t="s">
        <v>13023</v>
      </c>
      <c r="G2751" t="s">
        <v>5703</v>
      </c>
      <c r="H2751" t="s">
        <v>5474</v>
      </c>
      <c r="I2751" t="s">
        <v>13024</v>
      </c>
      <c r="J2751" t="s">
        <v>5476</v>
      </c>
      <c r="K2751" t="s">
        <v>13025</v>
      </c>
      <c r="L2751" t="s">
        <v>5471</v>
      </c>
      <c r="M2751" t="s">
        <v>5471</v>
      </c>
    </row>
    <row r="2752" spans="1:13" x14ac:dyDescent="0.3">
      <c r="A2752" t="s">
        <v>3397</v>
      </c>
      <c r="B2752" t="s">
        <v>5594</v>
      </c>
      <c r="C2752" t="s">
        <v>5487</v>
      </c>
      <c r="D2752" t="s">
        <v>4119</v>
      </c>
      <c r="E2752" t="s">
        <v>6332</v>
      </c>
      <c r="F2752" t="s">
        <v>13026</v>
      </c>
      <c r="G2752" t="s">
        <v>5703</v>
      </c>
      <c r="H2752" t="s">
        <v>5474</v>
      </c>
      <c r="I2752" t="s">
        <v>13027</v>
      </c>
      <c r="J2752" t="s">
        <v>5476</v>
      </c>
      <c r="K2752" t="s">
        <v>13028</v>
      </c>
      <c r="L2752" t="s">
        <v>5471</v>
      </c>
      <c r="M2752" t="s">
        <v>5471</v>
      </c>
    </row>
    <row r="2753" spans="1:13" x14ac:dyDescent="0.3">
      <c r="A2753" t="s">
        <v>3397</v>
      </c>
      <c r="B2753" t="s">
        <v>5594</v>
      </c>
      <c r="C2753" t="s">
        <v>5487</v>
      </c>
      <c r="D2753" t="s">
        <v>4119</v>
      </c>
      <c r="E2753" t="s">
        <v>6332</v>
      </c>
      <c r="F2753" t="s">
        <v>13029</v>
      </c>
      <c r="G2753" t="s">
        <v>5703</v>
      </c>
      <c r="H2753" t="s">
        <v>5474</v>
      </c>
      <c r="I2753" t="s">
        <v>13030</v>
      </c>
      <c r="J2753" t="s">
        <v>5476</v>
      </c>
      <c r="K2753" t="s">
        <v>13031</v>
      </c>
      <c r="L2753" t="s">
        <v>5471</v>
      </c>
      <c r="M2753" t="s">
        <v>5471</v>
      </c>
    </row>
    <row r="2754" spans="1:13" x14ac:dyDescent="0.3">
      <c r="A2754" t="s">
        <v>3397</v>
      </c>
      <c r="B2754" t="s">
        <v>5594</v>
      </c>
      <c r="C2754" t="s">
        <v>5487</v>
      </c>
      <c r="D2754" t="s">
        <v>4119</v>
      </c>
      <c r="E2754" t="s">
        <v>6332</v>
      </c>
      <c r="F2754" t="s">
        <v>13032</v>
      </c>
      <c r="G2754" t="s">
        <v>5703</v>
      </c>
      <c r="H2754" t="s">
        <v>5474</v>
      </c>
      <c r="I2754" t="s">
        <v>13033</v>
      </c>
      <c r="J2754" t="s">
        <v>5476</v>
      </c>
      <c r="K2754" t="s">
        <v>13034</v>
      </c>
      <c r="L2754" t="s">
        <v>5471</v>
      </c>
      <c r="M2754" t="s">
        <v>5471</v>
      </c>
    </row>
    <row r="2755" spans="1:13" x14ac:dyDescent="0.3">
      <c r="A2755" t="s">
        <v>3397</v>
      </c>
      <c r="B2755" t="s">
        <v>5594</v>
      </c>
      <c r="C2755" t="s">
        <v>5487</v>
      </c>
      <c r="D2755" t="s">
        <v>4119</v>
      </c>
      <c r="E2755" t="s">
        <v>6332</v>
      </c>
      <c r="F2755" t="s">
        <v>13035</v>
      </c>
      <c r="G2755" t="s">
        <v>5703</v>
      </c>
      <c r="H2755" t="s">
        <v>5474</v>
      </c>
      <c r="I2755" t="s">
        <v>13036</v>
      </c>
      <c r="J2755" t="s">
        <v>5476</v>
      </c>
      <c r="K2755" t="s">
        <v>13037</v>
      </c>
      <c r="L2755" t="s">
        <v>5471</v>
      </c>
      <c r="M2755" t="s">
        <v>5471</v>
      </c>
    </row>
    <row r="2756" spans="1:13" x14ac:dyDescent="0.3">
      <c r="A2756" t="s">
        <v>3397</v>
      </c>
      <c r="B2756" t="s">
        <v>5594</v>
      </c>
      <c r="C2756" t="s">
        <v>5487</v>
      </c>
      <c r="D2756" t="s">
        <v>4119</v>
      </c>
      <c r="E2756" t="s">
        <v>6332</v>
      </c>
      <c r="F2756" t="s">
        <v>13038</v>
      </c>
      <c r="G2756" t="s">
        <v>5703</v>
      </c>
      <c r="H2756" t="s">
        <v>5474</v>
      </c>
      <c r="I2756" t="s">
        <v>13039</v>
      </c>
      <c r="J2756" t="s">
        <v>5476</v>
      </c>
      <c r="K2756" t="s">
        <v>13040</v>
      </c>
      <c r="L2756" t="s">
        <v>5471</v>
      </c>
      <c r="M2756" t="s">
        <v>5471</v>
      </c>
    </row>
    <row r="2757" spans="1:13" x14ac:dyDescent="0.3">
      <c r="A2757" t="s">
        <v>3397</v>
      </c>
      <c r="B2757" t="s">
        <v>5594</v>
      </c>
      <c r="C2757" t="s">
        <v>5487</v>
      </c>
      <c r="D2757" t="s">
        <v>4119</v>
      </c>
      <c r="E2757" t="s">
        <v>6332</v>
      </c>
      <c r="F2757" t="s">
        <v>13041</v>
      </c>
      <c r="G2757" t="s">
        <v>5703</v>
      </c>
      <c r="H2757" t="s">
        <v>5474</v>
      </c>
      <c r="I2757" t="s">
        <v>13042</v>
      </c>
      <c r="J2757" t="s">
        <v>5476</v>
      </c>
      <c r="K2757" t="s">
        <v>13043</v>
      </c>
      <c r="L2757" t="s">
        <v>5471</v>
      </c>
      <c r="M2757" t="s">
        <v>5471</v>
      </c>
    </row>
    <row r="2758" spans="1:13" x14ac:dyDescent="0.3">
      <c r="A2758" t="s">
        <v>3397</v>
      </c>
      <c r="B2758" t="s">
        <v>5594</v>
      </c>
      <c r="C2758" t="s">
        <v>5487</v>
      </c>
      <c r="D2758" t="s">
        <v>4119</v>
      </c>
      <c r="E2758" t="s">
        <v>6332</v>
      </c>
      <c r="F2758" t="s">
        <v>13044</v>
      </c>
      <c r="G2758" t="s">
        <v>5703</v>
      </c>
      <c r="H2758" t="s">
        <v>5474</v>
      </c>
      <c r="I2758" t="s">
        <v>13045</v>
      </c>
      <c r="J2758" t="s">
        <v>5476</v>
      </c>
      <c r="K2758" t="s">
        <v>13046</v>
      </c>
      <c r="L2758" t="s">
        <v>5471</v>
      </c>
      <c r="M2758" t="s">
        <v>5471</v>
      </c>
    </row>
    <row r="2759" spans="1:13" x14ac:dyDescent="0.3">
      <c r="A2759" t="s">
        <v>3397</v>
      </c>
      <c r="B2759" t="s">
        <v>5594</v>
      </c>
      <c r="C2759" t="s">
        <v>5487</v>
      </c>
      <c r="D2759" t="s">
        <v>4119</v>
      </c>
      <c r="E2759" t="s">
        <v>6332</v>
      </c>
      <c r="F2759" t="s">
        <v>13047</v>
      </c>
      <c r="G2759" t="s">
        <v>5703</v>
      </c>
      <c r="H2759" t="s">
        <v>5474</v>
      </c>
      <c r="I2759" t="s">
        <v>13048</v>
      </c>
      <c r="J2759" t="s">
        <v>5476</v>
      </c>
      <c r="K2759" t="s">
        <v>13049</v>
      </c>
      <c r="L2759" t="s">
        <v>5471</v>
      </c>
      <c r="M2759" t="s">
        <v>5471</v>
      </c>
    </row>
    <row r="2760" spans="1:13" x14ac:dyDescent="0.3">
      <c r="A2760" t="s">
        <v>3397</v>
      </c>
      <c r="B2760" t="s">
        <v>5594</v>
      </c>
      <c r="C2760" t="s">
        <v>5487</v>
      </c>
      <c r="D2760" t="s">
        <v>4119</v>
      </c>
      <c r="E2760" t="s">
        <v>6332</v>
      </c>
      <c r="F2760" t="s">
        <v>13050</v>
      </c>
      <c r="G2760" t="s">
        <v>5703</v>
      </c>
      <c r="H2760" t="s">
        <v>5474</v>
      </c>
      <c r="I2760" t="s">
        <v>13051</v>
      </c>
      <c r="J2760" t="s">
        <v>5476</v>
      </c>
      <c r="K2760" t="s">
        <v>13052</v>
      </c>
      <c r="L2760" t="s">
        <v>5471</v>
      </c>
      <c r="M2760" t="s">
        <v>5471</v>
      </c>
    </row>
    <row r="2761" spans="1:13" x14ac:dyDescent="0.3">
      <c r="A2761" t="s">
        <v>3397</v>
      </c>
      <c r="B2761" t="s">
        <v>5594</v>
      </c>
      <c r="C2761" t="s">
        <v>5487</v>
      </c>
      <c r="D2761" t="s">
        <v>4119</v>
      </c>
      <c r="E2761" t="s">
        <v>6332</v>
      </c>
      <c r="F2761" t="s">
        <v>13053</v>
      </c>
      <c r="G2761" t="s">
        <v>5703</v>
      </c>
      <c r="H2761" t="s">
        <v>5474</v>
      </c>
      <c r="I2761" t="s">
        <v>13054</v>
      </c>
      <c r="J2761" t="s">
        <v>5476</v>
      </c>
      <c r="K2761" t="s">
        <v>13055</v>
      </c>
      <c r="L2761" t="s">
        <v>5471</v>
      </c>
      <c r="M2761" t="s">
        <v>5471</v>
      </c>
    </row>
    <row r="2762" spans="1:13" x14ac:dyDescent="0.3">
      <c r="A2762" t="s">
        <v>3397</v>
      </c>
      <c r="B2762" t="s">
        <v>5594</v>
      </c>
      <c r="C2762" t="s">
        <v>5487</v>
      </c>
      <c r="D2762" t="s">
        <v>4119</v>
      </c>
      <c r="E2762" t="s">
        <v>6332</v>
      </c>
      <c r="F2762" t="s">
        <v>13056</v>
      </c>
      <c r="G2762" t="s">
        <v>5703</v>
      </c>
      <c r="H2762" t="s">
        <v>5474</v>
      </c>
      <c r="I2762" t="s">
        <v>13057</v>
      </c>
      <c r="J2762" t="s">
        <v>5476</v>
      </c>
      <c r="K2762" t="s">
        <v>13058</v>
      </c>
      <c r="L2762" t="s">
        <v>5471</v>
      </c>
      <c r="M2762" t="s">
        <v>5471</v>
      </c>
    </row>
    <row r="2763" spans="1:13" x14ac:dyDescent="0.3">
      <c r="A2763" t="s">
        <v>3397</v>
      </c>
      <c r="B2763" t="s">
        <v>5594</v>
      </c>
      <c r="C2763" t="s">
        <v>5487</v>
      </c>
      <c r="D2763" t="s">
        <v>4119</v>
      </c>
      <c r="E2763" t="s">
        <v>6332</v>
      </c>
      <c r="F2763" t="s">
        <v>13059</v>
      </c>
      <c r="G2763" t="s">
        <v>5703</v>
      </c>
      <c r="H2763" t="s">
        <v>5474</v>
      </c>
      <c r="I2763" t="s">
        <v>13060</v>
      </c>
      <c r="J2763" t="s">
        <v>5476</v>
      </c>
      <c r="K2763" t="s">
        <v>13061</v>
      </c>
      <c r="L2763" t="s">
        <v>5471</v>
      </c>
      <c r="M2763" t="s">
        <v>5471</v>
      </c>
    </row>
    <row r="2764" spans="1:13" x14ac:dyDescent="0.3">
      <c r="A2764" t="s">
        <v>3397</v>
      </c>
      <c r="B2764" t="s">
        <v>5594</v>
      </c>
      <c r="C2764" t="s">
        <v>5487</v>
      </c>
      <c r="D2764" t="s">
        <v>4119</v>
      </c>
      <c r="E2764" t="s">
        <v>6332</v>
      </c>
      <c r="F2764" t="s">
        <v>13062</v>
      </c>
      <c r="G2764" t="s">
        <v>5703</v>
      </c>
      <c r="H2764" t="s">
        <v>5474</v>
      </c>
      <c r="I2764" t="s">
        <v>13063</v>
      </c>
      <c r="J2764" t="s">
        <v>5476</v>
      </c>
      <c r="K2764" t="s">
        <v>13064</v>
      </c>
      <c r="L2764" t="s">
        <v>5471</v>
      </c>
      <c r="M2764" t="s">
        <v>5471</v>
      </c>
    </row>
    <row r="2765" spans="1:13" x14ac:dyDescent="0.3">
      <c r="A2765" t="s">
        <v>3397</v>
      </c>
      <c r="B2765" t="s">
        <v>5594</v>
      </c>
      <c r="C2765" t="s">
        <v>5487</v>
      </c>
      <c r="D2765" t="s">
        <v>4119</v>
      </c>
      <c r="E2765" t="s">
        <v>6332</v>
      </c>
      <c r="F2765" t="s">
        <v>13065</v>
      </c>
      <c r="G2765" t="s">
        <v>5703</v>
      </c>
      <c r="H2765" t="s">
        <v>5474</v>
      </c>
      <c r="I2765" t="s">
        <v>13066</v>
      </c>
      <c r="J2765" t="s">
        <v>5476</v>
      </c>
      <c r="K2765" t="s">
        <v>13067</v>
      </c>
      <c r="L2765" t="s">
        <v>5471</v>
      </c>
      <c r="M2765" t="s">
        <v>5471</v>
      </c>
    </row>
    <row r="2766" spans="1:13" x14ac:dyDescent="0.3">
      <c r="A2766" t="s">
        <v>3397</v>
      </c>
      <c r="B2766" t="s">
        <v>5594</v>
      </c>
      <c r="C2766" t="s">
        <v>5487</v>
      </c>
      <c r="D2766" t="s">
        <v>4119</v>
      </c>
      <c r="E2766" t="s">
        <v>6332</v>
      </c>
      <c r="F2766" t="s">
        <v>13068</v>
      </c>
      <c r="G2766" t="s">
        <v>5703</v>
      </c>
      <c r="H2766" t="s">
        <v>5474</v>
      </c>
      <c r="I2766" t="s">
        <v>13069</v>
      </c>
      <c r="J2766" t="s">
        <v>5476</v>
      </c>
      <c r="K2766" t="s">
        <v>13070</v>
      </c>
      <c r="L2766" t="s">
        <v>5471</v>
      </c>
      <c r="M2766" t="s">
        <v>5471</v>
      </c>
    </row>
    <row r="2767" spans="1:13" x14ac:dyDescent="0.3">
      <c r="A2767" t="s">
        <v>3397</v>
      </c>
      <c r="B2767" t="s">
        <v>5594</v>
      </c>
      <c r="C2767" t="s">
        <v>5487</v>
      </c>
      <c r="D2767" t="s">
        <v>4119</v>
      </c>
      <c r="E2767" t="s">
        <v>6332</v>
      </c>
      <c r="F2767" t="s">
        <v>13071</v>
      </c>
      <c r="G2767" t="s">
        <v>5703</v>
      </c>
      <c r="H2767" t="s">
        <v>5474</v>
      </c>
      <c r="I2767" t="s">
        <v>13072</v>
      </c>
      <c r="J2767" t="s">
        <v>5476</v>
      </c>
      <c r="K2767" t="s">
        <v>13073</v>
      </c>
      <c r="L2767" t="s">
        <v>5471</v>
      </c>
      <c r="M2767" t="s">
        <v>5471</v>
      </c>
    </row>
    <row r="2768" spans="1:13" x14ac:dyDescent="0.3">
      <c r="A2768" t="s">
        <v>3397</v>
      </c>
      <c r="B2768" t="s">
        <v>5594</v>
      </c>
      <c r="C2768" t="s">
        <v>5487</v>
      </c>
      <c r="D2768" t="s">
        <v>4119</v>
      </c>
      <c r="E2768" t="s">
        <v>6332</v>
      </c>
      <c r="F2768" t="s">
        <v>13074</v>
      </c>
      <c r="G2768" t="s">
        <v>5703</v>
      </c>
      <c r="H2768" t="s">
        <v>5474</v>
      </c>
      <c r="I2768" t="s">
        <v>13075</v>
      </c>
      <c r="J2768" t="s">
        <v>5476</v>
      </c>
      <c r="K2768" t="s">
        <v>13076</v>
      </c>
      <c r="L2768" t="s">
        <v>5471</v>
      </c>
      <c r="M2768" t="s">
        <v>5471</v>
      </c>
    </row>
    <row r="2769" spans="1:13" x14ac:dyDescent="0.3">
      <c r="A2769" t="s">
        <v>3397</v>
      </c>
      <c r="B2769" t="s">
        <v>5594</v>
      </c>
      <c r="C2769" t="s">
        <v>5487</v>
      </c>
      <c r="D2769" t="s">
        <v>4119</v>
      </c>
      <c r="E2769" t="s">
        <v>6332</v>
      </c>
      <c r="F2769" t="s">
        <v>13077</v>
      </c>
      <c r="G2769" t="s">
        <v>5703</v>
      </c>
      <c r="H2769" t="s">
        <v>5474</v>
      </c>
      <c r="I2769" t="s">
        <v>13078</v>
      </c>
      <c r="J2769" t="s">
        <v>5476</v>
      </c>
      <c r="K2769" t="s">
        <v>13079</v>
      </c>
      <c r="L2769" t="s">
        <v>5471</v>
      </c>
      <c r="M2769" t="s">
        <v>5471</v>
      </c>
    </row>
    <row r="2770" spans="1:13" x14ac:dyDescent="0.3">
      <c r="A2770" t="s">
        <v>3397</v>
      </c>
      <c r="B2770" t="s">
        <v>5594</v>
      </c>
      <c r="C2770" t="s">
        <v>5487</v>
      </c>
      <c r="D2770" t="s">
        <v>4119</v>
      </c>
      <c r="E2770" t="s">
        <v>6332</v>
      </c>
      <c r="F2770" t="s">
        <v>13080</v>
      </c>
      <c r="G2770" t="s">
        <v>5703</v>
      </c>
      <c r="H2770" t="s">
        <v>5474</v>
      </c>
      <c r="I2770" t="s">
        <v>13081</v>
      </c>
      <c r="J2770" t="s">
        <v>5476</v>
      </c>
      <c r="K2770" t="s">
        <v>13082</v>
      </c>
      <c r="L2770" t="s">
        <v>5471</v>
      </c>
      <c r="M2770" t="s">
        <v>5471</v>
      </c>
    </row>
    <row r="2771" spans="1:13" x14ac:dyDescent="0.3">
      <c r="A2771" t="s">
        <v>3397</v>
      </c>
      <c r="B2771" t="s">
        <v>5594</v>
      </c>
      <c r="C2771" t="s">
        <v>5487</v>
      </c>
      <c r="D2771" t="s">
        <v>4119</v>
      </c>
      <c r="E2771" t="s">
        <v>6332</v>
      </c>
      <c r="F2771" t="s">
        <v>13083</v>
      </c>
      <c r="G2771" t="s">
        <v>5703</v>
      </c>
      <c r="H2771" t="s">
        <v>5474</v>
      </c>
      <c r="I2771" t="s">
        <v>13084</v>
      </c>
      <c r="J2771" t="s">
        <v>5476</v>
      </c>
      <c r="K2771" t="s">
        <v>13085</v>
      </c>
      <c r="L2771" t="s">
        <v>5471</v>
      </c>
      <c r="M2771" t="s">
        <v>5471</v>
      </c>
    </row>
    <row r="2772" spans="1:13" x14ac:dyDescent="0.3">
      <c r="A2772" t="s">
        <v>3397</v>
      </c>
      <c r="B2772" t="s">
        <v>5594</v>
      </c>
      <c r="C2772" t="s">
        <v>5487</v>
      </c>
      <c r="D2772" t="s">
        <v>4119</v>
      </c>
      <c r="E2772" t="s">
        <v>6332</v>
      </c>
      <c r="F2772" t="s">
        <v>13086</v>
      </c>
      <c r="G2772" t="s">
        <v>5703</v>
      </c>
      <c r="H2772" t="s">
        <v>5474</v>
      </c>
      <c r="I2772" t="s">
        <v>13087</v>
      </c>
      <c r="J2772" t="s">
        <v>5476</v>
      </c>
      <c r="K2772" t="s">
        <v>13088</v>
      </c>
      <c r="L2772" t="s">
        <v>5471</v>
      </c>
      <c r="M2772" t="s">
        <v>5471</v>
      </c>
    </row>
    <row r="2773" spans="1:13" x14ac:dyDescent="0.3">
      <c r="A2773" t="s">
        <v>3397</v>
      </c>
      <c r="B2773" t="s">
        <v>5594</v>
      </c>
      <c r="C2773" t="s">
        <v>5487</v>
      </c>
      <c r="D2773" t="s">
        <v>4119</v>
      </c>
      <c r="E2773" t="s">
        <v>6332</v>
      </c>
      <c r="F2773" t="s">
        <v>13089</v>
      </c>
      <c r="G2773" t="s">
        <v>5703</v>
      </c>
      <c r="H2773" t="s">
        <v>5474</v>
      </c>
      <c r="I2773" t="s">
        <v>13090</v>
      </c>
      <c r="J2773" t="s">
        <v>5476</v>
      </c>
      <c r="K2773" t="s">
        <v>13091</v>
      </c>
      <c r="L2773" t="s">
        <v>5471</v>
      </c>
      <c r="M2773" t="s">
        <v>5471</v>
      </c>
    </row>
    <row r="2774" spans="1:13" x14ac:dyDescent="0.3">
      <c r="A2774" t="s">
        <v>3397</v>
      </c>
      <c r="B2774" t="s">
        <v>5594</v>
      </c>
      <c r="C2774" t="s">
        <v>5487</v>
      </c>
      <c r="D2774" t="s">
        <v>4119</v>
      </c>
      <c r="E2774" t="s">
        <v>6332</v>
      </c>
      <c r="F2774" t="s">
        <v>13092</v>
      </c>
      <c r="G2774" t="s">
        <v>5703</v>
      </c>
      <c r="H2774" t="s">
        <v>5474</v>
      </c>
      <c r="I2774" t="s">
        <v>13093</v>
      </c>
      <c r="J2774" t="s">
        <v>5476</v>
      </c>
      <c r="K2774" t="s">
        <v>13094</v>
      </c>
      <c r="L2774" t="s">
        <v>5471</v>
      </c>
      <c r="M2774" t="s">
        <v>5471</v>
      </c>
    </row>
    <row r="2775" spans="1:13" x14ac:dyDescent="0.3">
      <c r="A2775" t="s">
        <v>3397</v>
      </c>
      <c r="B2775" t="s">
        <v>5594</v>
      </c>
      <c r="C2775" t="s">
        <v>5487</v>
      </c>
      <c r="D2775" t="s">
        <v>4119</v>
      </c>
      <c r="E2775" t="s">
        <v>6332</v>
      </c>
      <c r="F2775" t="s">
        <v>13095</v>
      </c>
      <c r="G2775" t="s">
        <v>5703</v>
      </c>
      <c r="H2775" t="s">
        <v>5474</v>
      </c>
      <c r="I2775" t="s">
        <v>13096</v>
      </c>
      <c r="J2775" t="s">
        <v>5476</v>
      </c>
      <c r="K2775" t="s">
        <v>13097</v>
      </c>
      <c r="L2775" t="s">
        <v>5471</v>
      </c>
      <c r="M2775" t="s">
        <v>5471</v>
      </c>
    </row>
    <row r="2776" spans="1:13" x14ac:dyDescent="0.3">
      <c r="A2776" t="s">
        <v>3397</v>
      </c>
      <c r="B2776" t="s">
        <v>5594</v>
      </c>
      <c r="C2776" t="s">
        <v>5487</v>
      </c>
      <c r="D2776" t="s">
        <v>4119</v>
      </c>
      <c r="E2776" t="s">
        <v>6332</v>
      </c>
      <c r="F2776" t="s">
        <v>13098</v>
      </c>
      <c r="G2776" t="s">
        <v>5703</v>
      </c>
      <c r="H2776" t="s">
        <v>5474</v>
      </c>
      <c r="I2776" t="s">
        <v>13099</v>
      </c>
      <c r="J2776" t="s">
        <v>5476</v>
      </c>
      <c r="K2776" t="s">
        <v>13100</v>
      </c>
      <c r="L2776" t="s">
        <v>5471</v>
      </c>
      <c r="M2776" t="s">
        <v>5471</v>
      </c>
    </row>
    <row r="2777" spans="1:13" x14ac:dyDescent="0.3">
      <c r="A2777" t="s">
        <v>3397</v>
      </c>
      <c r="B2777" t="s">
        <v>5594</v>
      </c>
      <c r="C2777" t="s">
        <v>5487</v>
      </c>
      <c r="D2777" t="s">
        <v>4119</v>
      </c>
      <c r="E2777" t="s">
        <v>6332</v>
      </c>
      <c r="F2777" t="s">
        <v>13101</v>
      </c>
      <c r="G2777" t="s">
        <v>5703</v>
      </c>
      <c r="H2777" t="s">
        <v>5474</v>
      </c>
      <c r="I2777" t="s">
        <v>13102</v>
      </c>
      <c r="J2777" t="s">
        <v>5476</v>
      </c>
      <c r="K2777" t="s">
        <v>13103</v>
      </c>
      <c r="L2777" t="s">
        <v>5471</v>
      </c>
      <c r="M2777" t="s">
        <v>5471</v>
      </c>
    </row>
    <row r="2778" spans="1:13" x14ac:dyDescent="0.3">
      <c r="A2778" t="s">
        <v>3397</v>
      </c>
      <c r="B2778" t="s">
        <v>5594</v>
      </c>
      <c r="C2778" t="s">
        <v>5487</v>
      </c>
      <c r="D2778" t="s">
        <v>4119</v>
      </c>
      <c r="E2778" t="s">
        <v>6332</v>
      </c>
      <c r="F2778" t="s">
        <v>13104</v>
      </c>
      <c r="G2778" t="s">
        <v>5703</v>
      </c>
      <c r="H2778" t="s">
        <v>5474</v>
      </c>
      <c r="I2778" t="s">
        <v>13105</v>
      </c>
      <c r="J2778" t="s">
        <v>5476</v>
      </c>
      <c r="K2778" t="s">
        <v>13106</v>
      </c>
      <c r="L2778" t="s">
        <v>5471</v>
      </c>
      <c r="M2778" t="s">
        <v>5471</v>
      </c>
    </row>
    <row r="2779" spans="1:13" x14ac:dyDescent="0.3">
      <c r="A2779" t="s">
        <v>3397</v>
      </c>
      <c r="B2779" t="s">
        <v>5594</v>
      </c>
      <c r="C2779" t="s">
        <v>5487</v>
      </c>
      <c r="D2779" t="s">
        <v>4119</v>
      </c>
      <c r="E2779" t="s">
        <v>6332</v>
      </c>
      <c r="F2779" t="s">
        <v>13107</v>
      </c>
      <c r="G2779" t="s">
        <v>5703</v>
      </c>
      <c r="H2779" t="s">
        <v>5474</v>
      </c>
      <c r="I2779" t="s">
        <v>13108</v>
      </c>
      <c r="J2779" t="s">
        <v>5476</v>
      </c>
      <c r="K2779" t="s">
        <v>13109</v>
      </c>
      <c r="L2779" t="s">
        <v>5471</v>
      </c>
      <c r="M2779" t="s">
        <v>5471</v>
      </c>
    </row>
    <row r="2780" spans="1:13" x14ac:dyDescent="0.3">
      <c r="A2780" t="s">
        <v>3397</v>
      </c>
      <c r="B2780" t="s">
        <v>5594</v>
      </c>
      <c r="C2780" t="s">
        <v>5487</v>
      </c>
      <c r="D2780" t="s">
        <v>4119</v>
      </c>
      <c r="E2780" t="s">
        <v>6332</v>
      </c>
      <c r="F2780" t="s">
        <v>13110</v>
      </c>
      <c r="G2780" t="s">
        <v>5703</v>
      </c>
      <c r="H2780" t="s">
        <v>5474</v>
      </c>
      <c r="I2780" t="s">
        <v>13111</v>
      </c>
      <c r="J2780" t="s">
        <v>5476</v>
      </c>
      <c r="K2780" t="s">
        <v>13112</v>
      </c>
      <c r="L2780" t="s">
        <v>5471</v>
      </c>
      <c r="M2780" t="s">
        <v>5471</v>
      </c>
    </row>
    <row r="2781" spans="1:13" x14ac:dyDescent="0.3">
      <c r="A2781" t="s">
        <v>3397</v>
      </c>
      <c r="B2781" t="s">
        <v>5594</v>
      </c>
      <c r="C2781" t="s">
        <v>5487</v>
      </c>
      <c r="D2781" t="s">
        <v>4119</v>
      </c>
      <c r="E2781" t="s">
        <v>6332</v>
      </c>
      <c r="F2781" t="s">
        <v>13113</v>
      </c>
      <c r="G2781" t="s">
        <v>5703</v>
      </c>
      <c r="H2781" t="s">
        <v>5474</v>
      </c>
      <c r="I2781" t="s">
        <v>13114</v>
      </c>
      <c r="J2781" t="s">
        <v>5476</v>
      </c>
      <c r="K2781" t="s">
        <v>13115</v>
      </c>
      <c r="L2781" t="s">
        <v>5471</v>
      </c>
      <c r="M2781" t="s">
        <v>5471</v>
      </c>
    </row>
    <row r="2782" spans="1:13" x14ac:dyDescent="0.3">
      <c r="A2782" t="s">
        <v>3397</v>
      </c>
      <c r="B2782" t="s">
        <v>5594</v>
      </c>
      <c r="C2782" t="s">
        <v>5487</v>
      </c>
      <c r="D2782" t="s">
        <v>4119</v>
      </c>
      <c r="E2782" t="s">
        <v>6332</v>
      </c>
      <c r="F2782" t="s">
        <v>13116</v>
      </c>
      <c r="G2782" t="s">
        <v>5703</v>
      </c>
      <c r="H2782" t="s">
        <v>5474</v>
      </c>
      <c r="I2782" t="s">
        <v>13117</v>
      </c>
      <c r="J2782" t="s">
        <v>5476</v>
      </c>
      <c r="K2782" t="s">
        <v>13118</v>
      </c>
      <c r="L2782" t="s">
        <v>5471</v>
      </c>
      <c r="M2782" t="s">
        <v>5471</v>
      </c>
    </row>
    <row r="2783" spans="1:13" x14ac:dyDescent="0.3">
      <c r="A2783" t="s">
        <v>3397</v>
      </c>
      <c r="B2783" t="s">
        <v>5594</v>
      </c>
      <c r="C2783" t="s">
        <v>5487</v>
      </c>
      <c r="D2783" t="s">
        <v>4119</v>
      </c>
      <c r="E2783" t="s">
        <v>6332</v>
      </c>
      <c r="F2783" t="s">
        <v>13119</v>
      </c>
      <c r="G2783" t="s">
        <v>5703</v>
      </c>
      <c r="H2783" t="s">
        <v>5474</v>
      </c>
      <c r="I2783" t="s">
        <v>13120</v>
      </c>
      <c r="J2783" t="s">
        <v>5476</v>
      </c>
      <c r="K2783" t="s">
        <v>13121</v>
      </c>
      <c r="L2783" t="s">
        <v>5471</v>
      </c>
      <c r="M2783" t="s">
        <v>5471</v>
      </c>
    </row>
    <row r="2784" spans="1:13" x14ac:dyDescent="0.3">
      <c r="A2784" t="s">
        <v>3397</v>
      </c>
      <c r="B2784" t="s">
        <v>5594</v>
      </c>
      <c r="C2784" t="s">
        <v>5487</v>
      </c>
      <c r="D2784" t="s">
        <v>4119</v>
      </c>
      <c r="E2784" t="s">
        <v>6332</v>
      </c>
      <c r="F2784" t="s">
        <v>13122</v>
      </c>
      <c r="G2784" t="s">
        <v>5703</v>
      </c>
      <c r="H2784" t="s">
        <v>5474</v>
      </c>
      <c r="I2784" t="s">
        <v>13123</v>
      </c>
      <c r="J2784" t="s">
        <v>5476</v>
      </c>
      <c r="K2784" t="s">
        <v>13124</v>
      </c>
      <c r="L2784" t="s">
        <v>5471</v>
      </c>
      <c r="M2784" t="s">
        <v>5471</v>
      </c>
    </row>
    <row r="2785" spans="1:13" x14ac:dyDescent="0.3">
      <c r="A2785" t="s">
        <v>3397</v>
      </c>
      <c r="B2785" t="s">
        <v>5594</v>
      </c>
      <c r="C2785" t="s">
        <v>5487</v>
      </c>
      <c r="D2785" t="s">
        <v>4119</v>
      </c>
      <c r="E2785" t="s">
        <v>6332</v>
      </c>
      <c r="F2785" t="s">
        <v>13125</v>
      </c>
      <c r="G2785" t="s">
        <v>5703</v>
      </c>
      <c r="H2785" t="s">
        <v>5474</v>
      </c>
      <c r="I2785" t="s">
        <v>13126</v>
      </c>
      <c r="J2785" t="s">
        <v>5476</v>
      </c>
      <c r="K2785" t="s">
        <v>13127</v>
      </c>
      <c r="L2785" t="s">
        <v>5471</v>
      </c>
      <c r="M2785" t="s">
        <v>5471</v>
      </c>
    </row>
    <row r="2786" spans="1:13" x14ac:dyDescent="0.3">
      <c r="A2786" t="s">
        <v>3397</v>
      </c>
      <c r="B2786" t="s">
        <v>5594</v>
      </c>
      <c r="C2786" t="s">
        <v>5487</v>
      </c>
      <c r="D2786" t="s">
        <v>4119</v>
      </c>
      <c r="E2786" t="s">
        <v>6332</v>
      </c>
      <c r="F2786" t="s">
        <v>13128</v>
      </c>
      <c r="G2786" t="s">
        <v>5703</v>
      </c>
      <c r="H2786" t="s">
        <v>5474</v>
      </c>
      <c r="I2786" t="s">
        <v>13129</v>
      </c>
      <c r="J2786" t="s">
        <v>5476</v>
      </c>
      <c r="K2786" t="s">
        <v>13130</v>
      </c>
      <c r="L2786" t="s">
        <v>5471</v>
      </c>
      <c r="M2786" t="s">
        <v>5471</v>
      </c>
    </row>
    <row r="2787" spans="1:13" x14ac:dyDescent="0.3">
      <c r="A2787" t="s">
        <v>3397</v>
      </c>
      <c r="B2787" t="s">
        <v>5594</v>
      </c>
      <c r="C2787" t="s">
        <v>5487</v>
      </c>
      <c r="D2787" t="s">
        <v>4119</v>
      </c>
      <c r="E2787" t="s">
        <v>6332</v>
      </c>
      <c r="F2787" t="s">
        <v>13131</v>
      </c>
      <c r="G2787" t="s">
        <v>5703</v>
      </c>
      <c r="H2787" t="s">
        <v>5474</v>
      </c>
      <c r="I2787" t="s">
        <v>13132</v>
      </c>
      <c r="J2787" t="s">
        <v>5476</v>
      </c>
      <c r="K2787" t="s">
        <v>13133</v>
      </c>
      <c r="L2787" t="s">
        <v>5471</v>
      </c>
      <c r="M2787" t="s">
        <v>5471</v>
      </c>
    </row>
    <row r="2788" spans="1:13" x14ac:dyDescent="0.3">
      <c r="A2788" t="s">
        <v>3397</v>
      </c>
      <c r="B2788" t="s">
        <v>5594</v>
      </c>
      <c r="C2788" t="s">
        <v>5487</v>
      </c>
      <c r="D2788" t="s">
        <v>4119</v>
      </c>
      <c r="E2788" t="s">
        <v>6332</v>
      </c>
      <c r="F2788" t="s">
        <v>13134</v>
      </c>
      <c r="G2788" t="s">
        <v>5703</v>
      </c>
      <c r="H2788" t="s">
        <v>5474</v>
      </c>
      <c r="I2788" t="s">
        <v>13135</v>
      </c>
      <c r="J2788" t="s">
        <v>5476</v>
      </c>
      <c r="K2788" t="s">
        <v>13136</v>
      </c>
      <c r="L2788" t="s">
        <v>5471</v>
      </c>
      <c r="M2788" t="s">
        <v>5471</v>
      </c>
    </row>
    <row r="2789" spans="1:13" x14ac:dyDescent="0.3">
      <c r="A2789" t="s">
        <v>3397</v>
      </c>
      <c r="B2789" t="s">
        <v>5594</v>
      </c>
      <c r="C2789" t="s">
        <v>5487</v>
      </c>
      <c r="D2789" t="s">
        <v>4119</v>
      </c>
      <c r="E2789" t="s">
        <v>6332</v>
      </c>
      <c r="F2789" t="s">
        <v>13137</v>
      </c>
      <c r="G2789" t="s">
        <v>5703</v>
      </c>
      <c r="H2789" t="s">
        <v>5474</v>
      </c>
      <c r="I2789" t="s">
        <v>13138</v>
      </c>
      <c r="J2789" t="s">
        <v>5476</v>
      </c>
      <c r="K2789" t="s">
        <v>13139</v>
      </c>
      <c r="L2789" t="s">
        <v>5471</v>
      </c>
      <c r="M2789" t="s">
        <v>5471</v>
      </c>
    </row>
    <row r="2790" spans="1:13" x14ac:dyDescent="0.3">
      <c r="A2790" t="s">
        <v>3397</v>
      </c>
      <c r="B2790" t="s">
        <v>5594</v>
      </c>
      <c r="C2790" t="s">
        <v>5487</v>
      </c>
      <c r="D2790" t="s">
        <v>4119</v>
      </c>
      <c r="E2790" t="s">
        <v>6332</v>
      </c>
      <c r="F2790" t="s">
        <v>13140</v>
      </c>
      <c r="G2790" t="s">
        <v>5703</v>
      </c>
      <c r="H2790" t="s">
        <v>5474</v>
      </c>
      <c r="I2790" t="s">
        <v>13141</v>
      </c>
      <c r="J2790" t="s">
        <v>5476</v>
      </c>
      <c r="K2790" t="s">
        <v>13142</v>
      </c>
      <c r="L2790" t="s">
        <v>5471</v>
      </c>
      <c r="M2790" t="s">
        <v>5471</v>
      </c>
    </row>
    <row r="2791" spans="1:13" x14ac:dyDescent="0.3">
      <c r="A2791" t="s">
        <v>3397</v>
      </c>
      <c r="B2791" t="s">
        <v>5594</v>
      </c>
      <c r="C2791" t="s">
        <v>5487</v>
      </c>
      <c r="D2791" t="s">
        <v>4119</v>
      </c>
      <c r="E2791" t="s">
        <v>6332</v>
      </c>
      <c r="F2791" t="s">
        <v>13143</v>
      </c>
      <c r="G2791" t="s">
        <v>5703</v>
      </c>
      <c r="H2791" t="s">
        <v>5474</v>
      </c>
      <c r="I2791" t="s">
        <v>13144</v>
      </c>
      <c r="J2791" t="s">
        <v>5476</v>
      </c>
      <c r="K2791" t="s">
        <v>13145</v>
      </c>
      <c r="L2791" t="s">
        <v>5471</v>
      </c>
      <c r="M2791" t="s">
        <v>5471</v>
      </c>
    </row>
    <row r="2792" spans="1:13" x14ac:dyDescent="0.3">
      <c r="A2792" t="s">
        <v>3397</v>
      </c>
      <c r="B2792" t="s">
        <v>5594</v>
      </c>
      <c r="C2792" t="s">
        <v>5487</v>
      </c>
      <c r="D2792" t="s">
        <v>4119</v>
      </c>
      <c r="E2792" t="s">
        <v>6332</v>
      </c>
      <c r="F2792" t="s">
        <v>13146</v>
      </c>
      <c r="G2792" t="s">
        <v>5703</v>
      </c>
      <c r="H2792" t="s">
        <v>5474</v>
      </c>
      <c r="I2792" t="s">
        <v>13147</v>
      </c>
      <c r="J2792" t="s">
        <v>5476</v>
      </c>
      <c r="K2792" t="s">
        <v>13148</v>
      </c>
      <c r="L2792" t="s">
        <v>5471</v>
      </c>
      <c r="M2792" t="s">
        <v>5471</v>
      </c>
    </row>
    <row r="2793" spans="1:13" x14ac:dyDescent="0.3">
      <c r="A2793" t="s">
        <v>3397</v>
      </c>
      <c r="B2793" t="s">
        <v>5594</v>
      </c>
      <c r="C2793" t="s">
        <v>5487</v>
      </c>
      <c r="D2793" t="s">
        <v>4119</v>
      </c>
      <c r="E2793" t="s">
        <v>6332</v>
      </c>
      <c r="F2793" t="s">
        <v>13149</v>
      </c>
      <c r="G2793" t="s">
        <v>5703</v>
      </c>
      <c r="H2793" t="s">
        <v>5474</v>
      </c>
      <c r="I2793" t="s">
        <v>13150</v>
      </c>
      <c r="J2793" t="s">
        <v>5476</v>
      </c>
      <c r="K2793" t="s">
        <v>13151</v>
      </c>
      <c r="L2793" t="s">
        <v>5471</v>
      </c>
      <c r="M2793" t="s">
        <v>5471</v>
      </c>
    </row>
    <row r="2794" spans="1:13" x14ac:dyDescent="0.3">
      <c r="A2794" t="s">
        <v>3397</v>
      </c>
      <c r="B2794" t="s">
        <v>5594</v>
      </c>
      <c r="C2794" t="s">
        <v>5487</v>
      </c>
      <c r="D2794" t="s">
        <v>4119</v>
      </c>
      <c r="E2794" t="s">
        <v>6332</v>
      </c>
      <c r="F2794" t="s">
        <v>13152</v>
      </c>
      <c r="G2794" t="s">
        <v>5703</v>
      </c>
      <c r="H2794" t="s">
        <v>5474</v>
      </c>
      <c r="I2794" t="s">
        <v>13153</v>
      </c>
      <c r="J2794" t="s">
        <v>5476</v>
      </c>
      <c r="K2794" t="s">
        <v>13154</v>
      </c>
      <c r="L2794" t="s">
        <v>5471</v>
      </c>
      <c r="M2794" t="s">
        <v>5471</v>
      </c>
    </row>
    <row r="2795" spans="1:13" x14ac:dyDescent="0.3">
      <c r="A2795" t="s">
        <v>3397</v>
      </c>
      <c r="B2795" t="s">
        <v>5594</v>
      </c>
      <c r="C2795" t="s">
        <v>5487</v>
      </c>
      <c r="D2795" t="s">
        <v>4119</v>
      </c>
      <c r="E2795" t="s">
        <v>6332</v>
      </c>
      <c r="F2795" t="s">
        <v>13155</v>
      </c>
      <c r="G2795" t="s">
        <v>5703</v>
      </c>
      <c r="H2795" t="s">
        <v>5474</v>
      </c>
      <c r="I2795" t="s">
        <v>13156</v>
      </c>
      <c r="J2795" t="s">
        <v>5476</v>
      </c>
      <c r="K2795" t="s">
        <v>13157</v>
      </c>
      <c r="L2795" t="s">
        <v>5471</v>
      </c>
      <c r="M2795" t="s">
        <v>5471</v>
      </c>
    </row>
    <row r="2796" spans="1:13" x14ac:dyDescent="0.3">
      <c r="A2796" t="s">
        <v>3397</v>
      </c>
      <c r="B2796" t="s">
        <v>5594</v>
      </c>
      <c r="C2796" t="s">
        <v>5487</v>
      </c>
      <c r="D2796" t="s">
        <v>4119</v>
      </c>
      <c r="E2796" t="s">
        <v>6332</v>
      </c>
      <c r="F2796" t="s">
        <v>13158</v>
      </c>
      <c r="G2796" t="s">
        <v>5703</v>
      </c>
      <c r="H2796" t="s">
        <v>5474</v>
      </c>
      <c r="I2796" t="s">
        <v>13159</v>
      </c>
      <c r="J2796" t="s">
        <v>5476</v>
      </c>
      <c r="K2796" t="s">
        <v>13160</v>
      </c>
      <c r="L2796" t="s">
        <v>5471</v>
      </c>
      <c r="M2796" t="s">
        <v>5471</v>
      </c>
    </row>
    <row r="2797" spans="1:13" x14ac:dyDescent="0.3">
      <c r="A2797" t="s">
        <v>3397</v>
      </c>
      <c r="B2797" t="s">
        <v>5594</v>
      </c>
      <c r="C2797" t="s">
        <v>5487</v>
      </c>
      <c r="D2797" t="s">
        <v>4119</v>
      </c>
      <c r="E2797" t="s">
        <v>6332</v>
      </c>
      <c r="F2797" t="s">
        <v>13161</v>
      </c>
      <c r="G2797" t="s">
        <v>5703</v>
      </c>
      <c r="H2797" t="s">
        <v>5474</v>
      </c>
      <c r="I2797" t="s">
        <v>13162</v>
      </c>
      <c r="J2797" t="s">
        <v>5476</v>
      </c>
      <c r="K2797" t="s">
        <v>13163</v>
      </c>
      <c r="L2797" t="s">
        <v>5471</v>
      </c>
      <c r="M2797" t="s">
        <v>5471</v>
      </c>
    </row>
    <row r="2798" spans="1:13" x14ac:dyDescent="0.3">
      <c r="A2798" t="s">
        <v>3397</v>
      </c>
      <c r="B2798" t="s">
        <v>5594</v>
      </c>
      <c r="C2798" t="s">
        <v>5487</v>
      </c>
      <c r="D2798" t="s">
        <v>4119</v>
      </c>
      <c r="E2798" t="s">
        <v>6332</v>
      </c>
      <c r="F2798" t="s">
        <v>13164</v>
      </c>
      <c r="G2798" t="s">
        <v>5703</v>
      </c>
      <c r="H2798" t="s">
        <v>5474</v>
      </c>
      <c r="I2798" t="s">
        <v>13165</v>
      </c>
      <c r="J2798" t="s">
        <v>5476</v>
      </c>
      <c r="K2798" t="s">
        <v>13166</v>
      </c>
      <c r="L2798" t="s">
        <v>5471</v>
      </c>
      <c r="M2798" t="s">
        <v>5471</v>
      </c>
    </row>
    <row r="2799" spans="1:13" x14ac:dyDescent="0.3">
      <c r="A2799" t="s">
        <v>3397</v>
      </c>
      <c r="B2799" t="s">
        <v>5594</v>
      </c>
      <c r="C2799" t="s">
        <v>5487</v>
      </c>
      <c r="D2799" t="s">
        <v>4119</v>
      </c>
      <c r="E2799" t="s">
        <v>6332</v>
      </c>
      <c r="F2799" t="s">
        <v>13167</v>
      </c>
      <c r="G2799" t="s">
        <v>5703</v>
      </c>
      <c r="H2799" t="s">
        <v>5474</v>
      </c>
      <c r="I2799" t="s">
        <v>13168</v>
      </c>
      <c r="J2799" t="s">
        <v>5476</v>
      </c>
      <c r="K2799" t="s">
        <v>13169</v>
      </c>
      <c r="L2799" t="s">
        <v>5471</v>
      </c>
      <c r="M2799" t="s">
        <v>5471</v>
      </c>
    </row>
    <row r="2800" spans="1:13" x14ac:dyDescent="0.3">
      <c r="A2800" t="s">
        <v>3397</v>
      </c>
      <c r="B2800" t="s">
        <v>5594</v>
      </c>
      <c r="C2800" t="s">
        <v>5487</v>
      </c>
      <c r="D2800" t="s">
        <v>4119</v>
      </c>
      <c r="E2800" t="s">
        <v>6332</v>
      </c>
      <c r="F2800" t="s">
        <v>13170</v>
      </c>
      <c r="G2800" t="s">
        <v>5703</v>
      </c>
      <c r="H2800" t="s">
        <v>5474</v>
      </c>
      <c r="I2800" t="s">
        <v>13171</v>
      </c>
      <c r="J2800" t="s">
        <v>5476</v>
      </c>
      <c r="K2800" t="s">
        <v>13172</v>
      </c>
      <c r="L2800" t="s">
        <v>5471</v>
      </c>
      <c r="M2800" t="s">
        <v>5471</v>
      </c>
    </row>
    <row r="2801" spans="1:13" x14ac:dyDescent="0.3">
      <c r="A2801" t="s">
        <v>3397</v>
      </c>
      <c r="B2801" t="s">
        <v>5594</v>
      </c>
      <c r="C2801" t="s">
        <v>5487</v>
      </c>
      <c r="D2801" t="s">
        <v>4119</v>
      </c>
      <c r="E2801" t="s">
        <v>6332</v>
      </c>
      <c r="F2801" t="s">
        <v>13173</v>
      </c>
      <c r="G2801" t="s">
        <v>5703</v>
      </c>
      <c r="H2801" t="s">
        <v>5474</v>
      </c>
      <c r="I2801" t="s">
        <v>13174</v>
      </c>
      <c r="J2801" t="s">
        <v>5476</v>
      </c>
      <c r="K2801" t="s">
        <v>13175</v>
      </c>
      <c r="L2801" t="s">
        <v>5471</v>
      </c>
      <c r="M2801" t="s">
        <v>5471</v>
      </c>
    </row>
    <row r="2802" spans="1:13" x14ac:dyDescent="0.3">
      <c r="A2802" t="s">
        <v>3397</v>
      </c>
      <c r="B2802" t="s">
        <v>5594</v>
      </c>
      <c r="C2802" t="s">
        <v>5487</v>
      </c>
      <c r="D2802" t="s">
        <v>4119</v>
      </c>
      <c r="E2802" t="s">
        <v>6332</v>
      </c>
      <c r="F2802" t="s">
        <v>13176</v>
      </c>
      <c r="G2802" t="s">
        <v>5703</v>
      </c>
      <c r="H2802" t="s">
        <v>5474</v>
      </c>
      <c r="I2802" t="s">
        <v>13177</v>
      </c>
      <c r="J2802" t="s">
        <v>5476</v>
      </c>
      <c r="K2802" t="s">
        <v>13178</v>
      </c>
      <c r="L2802" t="s">
        <v>5471</v>
      </c>
      <c r="M2802" t="s">
        <v>5471</v>
      </c>
    </row>
    <row r="2803" spans="1:13" x14ac:dyDescent="0.3">
      <c r="A2803" t="s">
        <v>3397</v>
      </c>
      <c r="B2803" t="s">
        <v>5594</v>
      </c>
      <c r="C2803" t="s">
        <v>5487</v>
      </c>
      <c r="D2803" t="s">
        <v>4119</v>
      </c>
      <c r="E2803" t="s">
        <v>6332</v>
      </c>
      <c r="F2803" t="s">
        <v>13179</v>
      </c>
      <c r="G2803" t="s">
        <v>5703</v>
      </c>
      <c r="H2803" t="s">
        <v>5474</v>
      </c>
      <c r="I2803" t="s">
        <v>13180</v>
      </c>
      <c r="J2803" t="s">
        <v>5476</v>
      </c>
      <c r="K2803" t="s">
        <v>13181</v>
      </c>
      <c r="L2803" t="s">
        <v>5471</v>
      </c>
      <c r="M2803" t="s">
        <v>5471</v>
      </c>
    </row>
    <row r="2804" spans="1:13" x14ac:dyDescent="0.3">
      <c r="A2804" t="s">
        <v>3397</v>
      </c>
      <c r="B2804" t="s">
        <v>5594</v>
      </c>
      <c r="C2804" t="s">
        <v>5487</v>
      </c>
      <c r="D2804" t="s">
        <v>4119</v>
      </c>
      <c r="E2804" t="s">
        <v>6332</v>
      </c>
      <c r="F2804" t="s">
        <v>13182</v>
      </c>
      <c r="G2804" t="s">
        <v>5703</v>
      </c>
      <c r="H2804" t="s">
        <v>5474</v>
      </c>
      <c r="I2804" t="s">
        <v>13183</v>
      </c>
      <c r="J2804" t="s">
        <v>5476</v>
      </c>
      <c r="K2804" t="s">
        <v>12662</v>
      </c>
      <c r="L2804" t="s">
        <v>5471</v>
      </c>
      <c r="M2804" t="s">
        <v>5471</v>
      </c>
    </row>
    <row r="2805" spans="1:13" x14ac:dyDescent="0.3">
      <c r="A2805" t="s">
        <v>3397</v>
      </c>
      <c r="B2805" t="s">
        <v>5594</v>
      </c>
      <c r="C2805" t="s">
        <v>5487</v>
      </c>
      <c r="D2805" t="s">
        <v>4119</v>
      </c>
      <c r="E2805" t="s">
        <v>6332</v>
      </c>
      <c r="F2805" t="s">
        <v>13184</v>
      </c>
      <c r="G2805" t="s">
        <v>5703</v>
      </c>
      <c r="H2805" t="s">
        <v>5474</v>
      </c>
      <c r="I2805" t="s">
        <v>13185</v>
      </c>
      <c r="J2805" t="s">
        <v>5476</v>
      </c>
      <c r="K2805" t="s">
        <v>12665</v>
      </c>
      <c r="L2805" t="s">
        <v>5471</v>
      </c>
      <c r="M2805" t="s">
        <v>5471</v>
      </c>
    </row>
    <row r="2806" spans="1:13" x14ac:dyDescent="0.3">
      <c r="A2806" t="s">
        <v>3397</v>
      </c>
      <c r="B2806" t="s">
        <v>5594</v>
      </c>
      <c r="C2806" t="s">
        <v>5487</v>
      </c>
      <c r="D2806" t="s">
        <v>4119</v>
      </c>
      <c r="E2806" t="s">
        <v>6332</v>
      </c>
      <c r="F2806" t="s">
        <v>13186</v>
      </c>
      <c r="G2806" t="s">
        <v>5703</v>
      </c>
      <c r="H2806" t="s">
        <v>5474</v>
      </c>
      <c r="I2806" t="s">
        <v>13187</v>
      </c>
      <c r="J2806" t="s">
        <v>5476</v>
      </c>
      <c r="K2806" t="s">
        <v>13188</v>
      </c>
      <c r="L2806" t="s">
        <v>5471</v>
      </c>
      <c r="M2806" t="s">
        <v>5471</v>
      </c>
    </row>
    <row r="2807" spans="1:13" x14ac:dyDescent="0.3">
      <c r="A2807" t="s">
        <v>3397</v>
      </c>
      <c r="B2807" t="s">
        <v>5594</v>
      </c>
      <c r="C2807" t="s">
        <v>5487</v>
      </c>
      <c r="D2807" t="s">
        <v>4119</v>
      </c>
      <c r="E2807" t="s">
        <v>6332</v>
      </c>
      <c r="F2807" t="s">
        <v>13189</v>
      </c>
      <c r="G2807" t="s">
        <v>5703</v>
      </c>
      <c r="H2807" t="s">
        <v>5474</v>
      </c>
      <c r="I2807" t="s">
        <v>13190</v>
      </c>
      <c r="J2807" t="s">
        <v>5476</v>
      </c>
      <c r="K2807" t="s">
        <v>13191</v>
      </c>
      <c r="L2807" t="s">
        <v>5471</v>
      </c>
      <c r="M2807" t="s">
        <v>5471</v>
      </c>
    </row>
    <row r="2808" spans="1:13" x14ac:dyDescent="0.3">
      <c r="A2808" t="s">
        <v>3397</v>
      </c>
      <c r="B2808" t="s">
        <v>5594</v>
      </c>
      <c r="C2808" t="s">
        <v>5487</v>
      </c>
      <c r="D2808" t="s">
        <v>4119</v>
      </c>
      <c r="E2808" t="s">
        <v>6332</v>
      </c>
      <c r="F2808" t="s">
        <v>13192</v>
      </c>
      <c r="G2808" t="s">
        <v>5703</v>
      </c>
      <c r="H2808" t="s">
        <v>5474</v>
      </c>
      <c r="I2808" t="s">
        <v>13193</v>
      </c>
      <c r="J2808" t="s">
        <v>5476</v>
      </c>
      <c r="K2808" t="s">
        <v>13194</v>
      </c>
      <c r="L2808" t="s">
        <v>5471</v>
      </c>
      <c r="M2808" t="s">
        <v>5471</v>
      </c>
    </row>
    <row r="2809" spans="1:13" x14ac:dyDescent="0.3">
      <c r="A2809" t="s">
        <v>3397</v>
      </c>
      <c r="B2809" t="s">
        <v>5594</v>
      </c>
      <c r="C2809" t="s">
        <v>5487</v>
      </c>
      <c r="D2809" t="s">
        <v>4119</v>
      </c>
      <c r="E2809" t="s">
        <v>6332</v>
      </c>
      <c r="F2809" t="s">
        <v>13195</v>
      </c>
      <c r="G2809" t="s">
        <v>5703</v>
      </c>
      <c r="H2809" t="s">
        <v>5474</v>
      </c>
      <c r="I2809" t="s">
        <v>13196</v>
      </c>
      <c r="J2809" t="s">
        <v>5476</v>
      </c>
      <c r="K2809" t="s">
        <v>13197</v>
      </c>
      <c r="L2809" t="s">
        <v>5471</v>
      </c>
      <c r="M2809" t="s">
        <v>5471</v>
      </c>
    </row>
    <row r="2810" spans="1:13" x14ac:dyDescent="0.3">
      <c r="A2810" t="s">
        <v>3397</v>
      </c>
      <c r="B2810" t="s">
        <v>5594</v>
      </c>
      <c r="C2810" t="s">
        <v>5487</v>
      </c>
      <c r="D2810" t="s">
        <v>4119</v>
      </c>
      <c r="E2810" t="s">
        <v>6332</v>
      </c>
      <c r="F2810" t="s">
        <v>13198</v>
      </c>
      <c r="G2810" t="s">
        <v>5703</v>
      </c>
      <c r="H2810" t="s">
        <v>5474</v>
      </c>
      <c r="I2810" t="s">
        <v>13199</v>
      </c>
      <c r="J2810" t="s">
        <v>5476</v>
      </c>
      <c r="K2810" t="s">
        <v>13200</v>
      </c>
      <c r="L2810" t="s">
        <v>5471</v>
      </c>
      <c r="M2810" t="s">
        <v>5471</v>
      </c>
    </row>
    <row r="2811" spans="1:13" x14ac:dyDescent="0.3">
      <c r="A2811" t="s">
        <v>3397</v>
      </c>
      <c r="B2811" t="s">
        <v>5594</v>
      </c>
      <c r="C2811" t="s">
        <v>5487</v>
      </c>
      <c r="D2811" t="s">
        <v>4119</v>
      </c>
      <c r="E2811" t="s">
        <v>6332</v>
      </c>
      <c r="F2811" t="s">
        <v>13201</v>
      </c>
      <c r="G2811" t="s">
        <v>5703</v>
      </c>
      <c r="H2811" t="s">
        <v>5474</v>
      </c>
      <c r="I2811" t="s">
        <v>13202</v>
      </c>
      <c r="J2811" t="s">
        <v>5476</v>
      </c>
      <c r="K2811" t="s">
        <v>13203</v>
      </c>
      <c r="L2811" t="s">
        <v>5471</v>
      </c>
      <c r="M2811" t="s">
        <v>5471</v>
      </c>
    </row>
    <row r="2812" spans="1:13" x14ac:dyDescent="0.3">
      <c r="A2812" t="s">
        <v>3397</v>
      </c>
      <c r="B2812" t="s">
        <v>5594</v>
      </c>
      <c r="C2812" t="s">
        <v>5487</v>
      </c>
      <c r="D2812" t="s">
        <v>4119</v>
      </c>
      <c r="E2812" t="s">
        <v>6332</v>
      </c>
      <c r="F2812" t="s">
        <v>13204</v>
      </c>
      <c r="G2812" t="s">
        <v>5703</v>
      </c>
      <c r="H2812" t="s">
        <v>5474</v>
      </c>
      <c r="I2812" t="s">
        <v>13205</v>
      </c>
      <c r="J2812" t="s">
        <v>5476</v>
      </c>
      <c r="K2812" t="s">
        <v>13206</v>
      </c>
      <c r="L2812" t="s">
        <v>5471</v>
      </c>
      <c r="M2812" t="s">
        <v>5471</v>
      </c>
    </row>
    <row r="2813" spans="1:13" x14ac:dyDescent="0.3">
      <c r="A2813" t="s">
        <v>3397</v>
      </c>
      <c r="B2813" t="s">
        <v>5594</v>
      </c>
      <c r="C2813" t="s">
        <v>5487</v>
      </c>
      <c r="D2813" t="s">
        <v>4119</v>
      </c>
      <c r="E2813" t="s">
        <v>6332</v>
      </c>
      <c r="F2813" t="s">
        <v>13207</v>
      </c>
      <c r="G2813" t="s">
        <v>5703</v>
      </c>
      <c r="H2813" t="s">
        <v>5474</v>
      </c>
      <c r="I2813" t="s">
        <v>13208</v>
      </c>
      <c r="J2813" t="s">
        <v>5476</v>
      </c>
      <c r="K2813" t="s">
        <v>13209</v>
      </c>
      <c r="L2813" t="s">
        <v>5471</v>
      </c>
      <c r="M2813" t="s">
        <v>5471</v>
      </c>
    </row>
    <row r="2814" spans="1:13" x14ac:dyDescent="0.3">
      <c r="A2814" t="s">
        <v>3397</v>
      </c>
      <c r="B2814" t="s">
        <v>5594</v>
      </c>
      <c r="C2814" t="s">
        <v>5487</v>
      </c>
      <c r="D2814" t="s">
        <v>4119</v>
      </c>
      <c r="E2814" t="s">
        <v>6332</v>
      </c>
      <c r="F2814" t="s">
        <v>13210</v>
      </c>
      <c r="G2814" t="s">
        <v>5703</v>
      </c>
      <c r="H2814" t="s">
        <v>5474</v>
      </c>
      <c r="I2814" t="s">
        <v>13211</v>
      </c>
      <c r="J2814" t="s">
        <v>5476</v>
      </c>
      <c r="K2814" t="s">
        <v>13212</v>
      </c>
      <c r="L2814" t="s">
        <v>5471</v>
      </c>
      <c r="M2814" t="s">
        <v>5471</v>
      </c>
    </row>
    <row r="2815" spans="1:13" x14ac:dyDescent="0.3">
      <c r="A2815" t="s">
        <v>3397</v>
      </c>
      <c r="B2815" t="s">
        <v>5594</v>
      </c>
      <c r="C2815" t="s">
        <v>5487</v>
      </c>
      <c r="D2815" t="s">
        <v>4119</v>
      </c>
      <c r="E2815" t="s">
        <v>6332</v>
      </c>
      <c r="F2815" t="s">
        <v>13213</v>
      </c>
      <c r="G2815" t="s">
        <v>5703</v>
      </c>
      <c r="H2815" t="s">
        <v>5474</v>
      </c>
      <c r="I2815" t="s">
        <v>13214</v>
      </c>
      <c r="J2815" t="s">
        <v>5476</v>
      </c>
      <c r="K2815" t="s">
        <v>13215</v>
      </c>
      <c r="L2815" t="s">
        <v>5471</v>
      </c>
      <c r="M2815" t="s">
        <v>5471</v>
      </c>
    </row>
    <row r="2816" spans="1:13" x14ac:dyDescent="0.3">
      <c r="A2816" t="s">
        <v>3397</v>
      </c>
      <c r="B2816" t="s">
        <v>5594</v>
      </c>
      <c r="C2816" t="s">
        <v>5487</v>
      </c>
      <c r="D2816" t="s">
        <v>4119</v>
      </c>
      <c r="E2816" t="s">
        <v>6332</v>
      </c>
      <c r="F2816" t="s">
        <v>13216</v>
      </c>
      <c r="G2816" t="s">
        <v>5703</v>
      </c>
      <c r="H2816" t="s">
        <v>5474</v>
      </c>
      <c r="I2816" t="s">
        <v>13217</v>
      </c>
      <c r="J2816" t="s">
        <v>5476</v>
      </c>
      <c r="K2816" t="s">
        <v>13218</v>
      </c>
      <c r="L2816" t="s">
        <v>5471</v>
      </c>
      <c r="M2816" t="s">
        <v>5471</v>
      </c>
    </row>
    <row r="2817" spans="1:13" x14ac:dyDescent="0.3">
      <c r="A2817" t="s">
        <v>3397</v>
      </c>
      <c r="B2817" t="s">
        <v>5594</v>
      </c>
      <c r="C2817" t="s">
        <v>5487</v>
      </c>
      <c r="D2817" t="s">
        <v>4119</v>
      </c>
      <c r="E2817" t="s">
        <v>6332</v>
      </c>
      <c r="F2817" t="s">
        <v>13219</v>
      </c>
      <c r="G2817" t="s">
        <v>5703</v>
      </c>
      <c r="H2817" t="s">
        <v>5474</v>
      </c>
      <c r="I2817" t="s">
        <v>13220</v>
      </c>
      <c r="J2817" t="s">
        <v>5476</v>
      </c>
      <c r="K2817" t="s">
        <v>13221</v>
      </c>
      <c r="L2817" t="s">
        <v>5471</v>
      </c>
      <c r="M2817" t="s">
        <v>5471</v>
      </c>
    </row>
    <row r="2818" spans="1:13" x14ac:dyDescent="0.3">
      <c r="A2818" t="s">
        <v>3397</v>
      </c>
      <c r="B2818" t="s">
        <v>5594</v>
      </c>
      <c r="C2818" t="s">
        <v>5487</v>
      </c>
      <c r="D2818" t="s">
        <v>4119</v>
      </c>
      <c r="E2818" t="s">
        <v>6332</v>
      </c>
      <c r="F2818" t="s">
        <v>13222</v>
      </c>
      <c r="G2818" t="s">
        <v>5703</v>
      </c>
      <c r="H2818" t="s">
        <v>5474</v>
      </c>
      <c r="I2818" t="s">
        <v>13223</v>
      </c>
      <c r="J2818" t="s">
        <v>5476</v>
      </c>
      <c r="K2818" t="s">
        <v>13224</v>
      </c>
      <c r="L2818" t="s">
        <v>5471</v>
      </c>
      <c r="M2818" t="s">
        <v>5471</v>
      </c>
    </row>
    <row r="2819" spans="1:13" x14ac:dyDescent="0.3">
      <c r="A2819" t="s">
        <v>3397</v>
      </c>
      <c r="B2819" t="s">
        <v>5594</v>
      </c>
      <c r="C2819" t="s">
        <v>5487</v>
      </c>
      <c r="D2819" t="s">
        <v>4119</v>
      </c>
      <c r="E2819" t="s">
        <v>6332</v>
      </c>
      <c r="F2819" t="s">
        <v>13225</v>
      </c>
      <c r="G2819" t="s">
        <v>5703</v>
      </c>
      <c r="H2819" t="s">
        <v>5474</v>
      </c>
      <c r="I2819" t="s">
        <v>13226</v>
      </c>
      <c r="J2819" t="s">
        <v>5476</v>
      </c>
      <c r="K2819" t="s">
        <v>13227</v>
      </c>
      <c r="L2819" t="s">
        <v>5471</v>
      </c>
      <c r="M2819" t="s">
        <v>5471</v>
      </c>
    </row>
    <row r="2820" spans="1:13" x14ac:dyDescent="0.3">
      <c r="A2820" t="s">
        <v>3397</v>
      </c>
      <c r="B2820" t="s">
        <v>5594</v>
      </c>
      <c r="C2820" t="s">
        <v>5487</v>
      </c>
      <c r="D2820" t="s">
        <v>4119</v>
      </c>
      <c r="E2820" t="s">
        <v>6332</v>
      </c>
      <c r="F2820" t="s">
        <v>13228</v>
      </c>
      <c r="G2820" t="s">
        <v>5703</v>
      </c>
      <c r="H2820" t="s">
        <v>5474</v>
      </c>
      <c r="I2820" t="s">
        <v>13229</v>
      </c>
      <c r="J2820" t="s">
        <v>5476</v>
      </c>
      <c r="K2820" t="s">
        <v>13230</v>
      </c>
      <c r="L2820" t="s">
        <v>5471</v>
      </c>
      <c r="M2820" t="s">
        <v>5471</v>
      </c>
    </row>
    <row r="2821" spans="1:13" x14ac:dyDescent="0.3">
      <c r="A2821" t="s">
        <v>3397</v>
      </c>
      <c r="B2821" t="s">
        <v>5594</v>
      </c>
      <c r="C2821" t="s">
        <v>5487</v>
      </c>
      <c r="D2821" t="s">
        <v>4119</v>
      </c>
      <c r="E2821" t="s">
        <v>6332</v>
      </c>
      <c r="F2821" t="s">
        <v>13231</v>
      </c>
      <c r="G2821" t="s">
        <v>5703</v>
      </c>
      <c r="H2821" t="s">
        <v>5474</v>
      </c>
      <c r="I2821" t="s">
        <v>13232</v>
      </c>
      <c r="J2821" t="s">
        <v>5476</v>
      </c>
      <c r="K2821" t="s">
        <v>13233</v>
      </c>
      <c r="L2821" t="s">
        <v>5471</v>
      </c>
      <c r="M2821" t="s">
        <v>5471</v>
      </c>
    </row>
    <row r="2822" spans="1:13" x14ac:dyDescent="0.3">
      <c r="A2822" t="s">
        <v>3397</v>
      </c>
      <c r="B2822" t="s">
        <v>5594</v>
      </c>
      <c r="C2822" t="s">
        <v>5487</v>
      </c>
      <c r="D2822" t="s">
        <v>4119</v>
      </c>
      <c r="E2822" t="s">
        <v>6332</v>
      </c>
      <c r="F2822" t="s">
        <v>13234</v>
      </c>
      <c r="G2822" t="s">
        <v>5703</v>
      </c>
      <c r="H2822" t="s">
        <v>5474</v>
      </c>
      <c r="I2822" t="s">
        <v>13235</v>
      </c>
      <c r="J2822" t="s">
        <v>5476</v>
      </c>
      <c r="K2822" t="s">
        <v>13236</v>
      </c>
      <c r="L2822" t="s">
        <v>5471</v>
      </c>
      <c r="M2822" t="s">
        <v>5471</v>
      </c>
    </row>
    <row r="2823" spans="1:13" x14ac:dyDescent="0.3">
      <c r="A2823" t="s">
        <v>3397</v>
      </c>
      <c r="B2823" t="s">
        <v>5594</v>
      </c>
      <c r="C2823" t="s">
        <v>5487</v>
      </c>
      <c r="D2823" t="s">
        <v>4119</v>
      </c>
      <c r="E2823" t="s">
        <v>6332</v>
      </c>
      <c r="F2823" t="s">
        <v>13237</v>
      </c>
      <c r="G2823" t="s">
        <v>5703</v>
      </c>
      <c r="H2823" t="s">
        <v>5474</v>
      </c>
      <c r="I2823" t="s">
        <v>13238</v>
      </c>
      <c r="J2823" t="s">
        <v>5476</v>
      </c>
      <c r="K2823" t="s">
        <v>13239</v>
      </c>
      <c r="L2823" t="s">
        <v>5471</v>
      </c>
      <c r="M2823" t="s">
        <v>5471</v>
      </c>
    </row>
    <row r="2824" spans="1:13" x14ac:dyDescent="0.3">
      <c r="A2824" t="s">
        <v>3397</v>
      </c>
      <c r="B2824" t="s">
        <v>5594</v>
      </c>
      <c r="C2824" t="s">
        <v>5487</v>
      </c>
      <c r="D2824" t="s">
        <v>4119</v>
      </c>
      <c r="E2824" t="s">
        <v>6332</v>
      </c>
      <c r="F2824" t="s">
        <v>13240</v>
      </c>
      <c r="G2824" t="s">
        <v>5703</v>
      </c>
      <c r="H2824" t="s">
        <v>5474</v>
      </c>
      <c r="I2824" t="s">
        <v>13241</v>
      </c>
      <c r="J2824" t="s">
        <v>5476</v>
      </c>
      <c r="K2824" t="s">
        <v>13242</v>
      </c>
      <c r="L2824" t="s">
        <v>5471</v>
      </c>
      <c r="M2824" t="s">
        <v>5471</v>
      </c>
    </row>
    <row r="2825" spans="1:13" x14ac:dyDescent="0.3">
      <c r="A2825" t="s">
        <v>3397</v>
      </c>
      <c r="B2825" t="s">
        <v>5594</v>
      </c>
      <c r="C2825" t="s">
        <v>5487</v>
      </c>
      <c r="D2825" t="s">
        <v>4119</v>
      </c>
      <c r="E2825" t="s">
        <v>6332</v>
      </c>
      <c r="F2825" t="s">
        <v>13243</v>
      </c>
      <c r="G2825" t="s">
        <v>5703</v>
      </c>
      <c r="H2825" t="s">
        <v>5474</v>
      </c>
      <c r="I2825" t="s">
        <v>13244</v>
      </c>
      <c r="J2825" t="s">
        <v>5476</v>
      </c>
      <c r="K2825" t="s">
        <v>13245</v>
      </c>
      <c r="L2825" t="s">
        <v>5471</v>
      </c>
      <c r="M2825" t="s">
        <v>5471</v>
      </c>
    </row>
    <row r="2826" spans="1:13" x14ac:dyDescent="0.3">
      <c r="A2826" t="s">
        <v>3397</v>
      </c>
      <c r="B2826" t="s">
        <v>5594</v>
      </c>
      <c r="C2826" t="s">
        <v>5487</v>
      </c>
      <c r="D2826" t="s">
        <v>4119</v>
      </c>
      <c r="E2826" t="s">
        <v>6332</v>
      </c>
      <c r="F2826" t="s">
        <v>13246</v>
      </c>
      <c r="G2826" t="s">
        <v>5703</v>
      </c>
      <c r="H2826" t="s">
        <v>5474</v>
      </c>
      <c r="I2826" t="s">
        <v>13247</v>
      </c>
      <c r="J2826" t="s">
        <v>5476</v>
      </c>
      <c r="K2826" t="s">
        <v>13248</v>
      </c>
      <c r="L2826" t="s">
        <v>5471</v>
      </c>
      <c r="M2826" t="s">
        <v>5471</v>
      </c>
    </row>
    <row r="2827" spans="1:13" x14ac:dyDescent="0.3">
      <c r="A2827" t="s">
        <v>3397</v>
      </c>
      <c r="B2827" t="s">
        <v>5594</v>
      </c>
      <c r="C2827" t="s">
        <v>5487</v>
      </c>
      <c r="D2827" t="s">
        <v>4119</v>
      </c>
      <c r="E2827" t="s">
        <v>6332</v>
      </c>
      <c r="F2827" t="s">
        <v>13249</v>
      </c>
      <c r="G2827" t="s">
        <v>5703</v>
      </c>
      <c r="H2827" t="s">
        <v>5474</v>
      </c>
      <c r="I2827" t="s">
        <v>13250</v>
      </c>
      <c r="J2827" t="s">
        <v>5476</v>
      </c>
      <c r="K2827" t="s">
        <v>13251</v>
      </c>
      <c r="L2827" t="s">
        <v>5471</v>
      </c>
      <c r="M2827" t="s">
        <v>5471</v>
      </c>
    </row>
    <row r="2828" spans="1:13" x14ac:dyDescent="0.3">
      <c r="A2828" t="s">
        <v>3397</v>
      </c>
      <c r="B2828" t="s">
        <v>5594</v>
      </c>
      <c r="C2828" t="s">
        <v>5487</v>
      </c>
      <c r="D2828" t="s">
        <v>4119</v>
      </c>
      <c r="E2828" t="s">
        <v>6332</v>
      </c>
      <c r="F2828" t="s">
        <v>13252</v>
      </c>
      <c r="G2828" t="s">
        <v>5703</v>
      </c>
      <c r="H2828" t="s">
        <v>5474</v>
      </c>
      <c r="I2828" t="s">
        <v>13253</v>
      </c>
      <c r="J2828" t="s">
        <v>5476</v>
      </c>
      <c r="K2828" t="s">
        <v>13254</v>
      </c>
      <c r="L2828" t="s">
        <v>5471</v>
      </c>
      <c r="M2828" t="s">
        <v>5471</v>
      </c>
    </row>
    <row r="2829" spans="1:13" x14ac:dyDescent="0.3">
      <c r="A2829" t="s">
        <v>3397</v>
      </c>
      <c r="B2829" t="s">
        <v>5594</v>
      </c>
      <c r="C2829" t="s">
        <v>5487</v>
      </c>
      <c r="D2829" t="s">
        <v>4119</v>
      </c>
      <c r="E2829" t="s">
        <v>6332</v>
      </c>
      <c r="F2829" t="s">
        <v>13255</v>
      </c>
      <c r="G2829" t="s">
        <v>5703</v>
      </c>
      <c r="H2829" t="s">
        <v>5474</v>
      </c>
      <c r="I2829" t="s">
        <v>13256</v>
      </c>
      <c r="J2829" t="s">
        <v>5476</v>
      </c>
      <c r="K2829" t="s">
        <v>13257</v>
      </c>
      <c r="L2829" t="s">
        <v>5471</v>
      </c>
      <c r="M2829" t="s">
        <v>5471</v>
      </c>
    </row>
    <row r="2830" spans="1:13" x14ac:dyDescent="0.3">
      <c r="A2830" t="s">
        <v>3397</v>
      </c>
      <c r="B2830" t="s">
        <v>5594</v>
      </c>
      <c r="C2830" t="s">
        <v>5487</v>
      </c>
      <c r="D2830" t="s">
        <v>4119</v>
      </c>
      <c r="E2830" t="s">
        <v>6332</v>
      </c>
      <c r="F2830" t="s">
        <v>13258</v>
      </c>
      <c r="G2830" t="s">
        <v>5703</v>
      </c>
      <c r="H2830" t="s">
        <v>5474</v>
      </c>
      <c r="I2830" t="s">
        <v>13259</v>
      </c>
      <c r="J2830" t="s">
        <v>5476</v>
      </c>
      <c r="K2830" t="s">
        <v>13260</v>
      </c>
      <c r="L2830" t="s">
        <v>5471</v>
      </c>
      <c r="M2830" t="s">
        <v>5471</v>
      </c>
    </row>
    <row r="2831" spans="1:13" x14ac:dyDescent="0.3">
      <c r="A2831" t="s">
        <v>3397</v>
      </c>
      <c r="B2831" t="s">
        <v>5594</v>
      </c>
      <c r="C2831" t="s">
        <v>5487</v>
      </c>
      <c r="D2831" t="s">
        <v>4119</v>
      </c>
      <c r="E2831" t="s">
        <v>6332</v>
      </c>
      <c r="F2831" t="s">
        <v>13261</v>
      </c>
      <c r="G2831" t="s">
        <v>5703</v>
      </c>
      <c r="H2831" t="s">
        <v>5474</v>
      </c>
      <c r="I2831" t="s">
        <v>13262</v>
      </c>
      <c r="J2831" t="s">
        <v>5476</v>
      </c>
      <c r="K2831" t="s">
        <v>13263</v>
      </c>
      <c r="L2831" t="s">
        <v>5471</v>
      </c>
      <c r="M2831" t="s">
        <v>5471</v>
      </c>
    </row>
    <row r="2832" spans="1:13" x14ac:dyDescent="0.3">
      <c r="A2832" t="s">
        <v>3397</v>
      </c>
      <c r="B2832" t="s">
        <v>5594</v>
      </c>
      <c r="C2832" t="s">
        <v>5487</v>
      </c>
      <c r="D2832" t="s">
        <v>4119</v>
      </c>
      <c r="E2832" t="s">
        <v>6332</v>
      </c>
      <c r="F2832" t="s">
        <v>13264</v>
      </c>
      <c r="G2832" t="s">
        <v>5703</v>
      </c>
      <c r="H2832" t="s">
        <v>5474</v>
      </c>
      <c r="I2832" t="s">
        <v>13265</v>
      </c>
      <c r="J2832" t="s">
        <v>5476</v>
      </c>
      <c r="K2832" t="s">
        <v>13266</v>
      </c>
      <c r="L2832" t="s">
        <v>5471</v>
      </c>
      <c r="M2832" t="s">
        <v>5471</v>
      </c>
    </row>
    <row r="2833" spans="1:13" x14ac:dyDescent="0.3">
      <c r="A2833" t="s">
        <v>3397</v>
      </c>
      <c r="B2833" t="s">
        <v>5594</v>
      </c>
      <c r="C2833" t="s">
        <v>5487</v>
      </c>
      <c r="D2833" t="s">
        <v>4119</v>
      </c>
      <c r="E2833" t="s">
        <v>6332</v>
      </c>
      <c r="F2833" t="s">
        <v>13267</v>
      </c>
      <c r="G2833" t="s">
        <v>5703</v>
      </c>
      <c r="H2833" t="s">
        <v>5474</v>
      </c>
      <c r="I2833" t="s">
        <v>13268</v>
      </c>
      <c r="J2833" t="s">
        <v>5476</v>
      </c>
      <c r="K2833" t="s">
        <v>13269</v>
      </c>
      <c r="L2833" t="s">
        <v>5471</v>
      </c>
      <c r="M2833" t="s">
        <v>5471</v>
      </c>
    </row>
    <row r="2834" spans="1:13" x14ac:dyDescent="0.3">
      <c r="A2834" t="s">
        <v>3397</v>
      </c>
      <c r="B2834" t="s">
        <v>5594</v>
      </c>
      <c r="C2834" t="s">
        <v>5487</v>
      </c>
      <c r="D2834" t="s">
        <v>4119</v>
      </c>
      <c r="E2834" t="s">
        <v>6332</v>
      </c>
      <c r="F2834" t="s">
        <v>13270</v>
      </c>
      <c r="G2834" t="s">
        <v>5703</v>
      </c>
      <c r="H2834" t="s">
        <v>5474</v>
      </c>
      <c r="I2834" t="s">
        <v>13271</v>
      </c>
      <c r="J2834" t="s">
        <v>5476</v>
      </c>
      <c r="K2834" t="s">
        <v>13272</v>
      </c>
      <c r="L2834" t="s">
        <v>5471</v>
      </c>
      <c r="M2834" t="s">
        <v>5471</v>
      </c>
    </row>
    <row r="2835" spans="1:13" x14ac:dyDescent="0.3">
      <c r="A2835" t="s">
        <v>3397</v>
      </c>
      <c r="B2835" t="s">
        <v>5594</v>
      </c>
      <c r="C2835" t="s">
        <v>5487</v>
      </c>
      <c r="D2835" t="s">
        <v>4119</v>
      </c>
      <c r="E2835" t="s">
        <v>6332</v>
      </c>
      <c r="F2835" t="s">
        <v>13273</v>
      </c>
      <c r="G2835" t="s">
        <v>5703</v>
      </c>
      <c r="H2835" t="s">
        <v>5474</v>
      </c>
      <c r="I2835" t="s">
        <v>13274</v>
      </c>
      <c r="J2835" t="s">
        <v>5476</v>
      </c>
      <c r="K2835" t="s">
        <v>13275</v>
      </c>
      <c r="L2835" t="s">
        <v>5471</v>
      </c>
      <c r="M2835" t="s">
        <v>5471</v>
      </c>
    </row>
    <row r="2836" spans="1:13" x14ac:dyDescent="0.3">
      <c r="A2836" t="s">
        <v>3397</v>
      </c>
      <c r="B2836" t="s">
        <v>5594</v>
      </c>
      <c r="C2836" t="s">
        <v>5487</v>
      </c>
      <c r="D2836" t="s">
        <v>4119</v>
      </c>
      <c r="E2836" t="s">
        <v>6332</v>
      </c>
      <c r="F2836" t="s">
        <v>13276</v>
      </c>
      <c r="G2836" t="s">
        <v>5703</v>
      </c>
      <c r="H2836" t="s">
        <v>5474</v>
      </c>
      <c r="I2836" t="s">
        <v>13277</v>
      </c>
      <c r="J2836" t="s">
        <v>5476</v>
      </c>
      <c r="K2836" t="s">
        <v>13278</v>
      </c>
      <c r="L2836" t="s">
        <v>5471</v>
      </c>
      <c r="M2836" t="s">
        <v>5471</v>
      </c>
    </row>
    <row r="2837" spans="1:13" x14ac:dyDescent="0.3">
      <c r="A2837" t="s">
        <v>3397</v>
      </c>
      <c r="B2837" t="s">
        <v>5594</v>
      </c>
      <c r="C2837" t="s">
        <v>5487</v>
      </c>
      <c r="D2837" t="s">
        <v>4119</v>
      </c>
      <c r="E2837" t="s">
        <v>6332</v>
      </c>
      <c r="F2837" t="s">
        <v>13279</v>
      </c>
      <c r="G2837" t="s">
        <v>5703</v>
      </c>
      <c r="H2837" t="s">
        <v>5474</v>
      </c>
      <c r="I2837" t="s">
        <v>13280</v>
      </c>
      <c r="J2837" t="s">
        <v>5476</v>
      </c>
      <c r="K2837" t="s">
        <v>13281</v>
      </c>
      <c r="L2837" t="s">
        <v>5471</v>
      </c>
      <c r="M2837" t="s">
        <v>5471</v>
      </c>
    </row>
    <row r="2838" spans="1:13" x14ac:dyDescent="0.3">
      <c r="A2838" t="s">
        <v>3397</v>
      </c>
      <c r="B2838" t="s">
        <v>5594</v>
      </c>
      <c r="C2838" t="s">
        <v>5487</v>
      </c>
      <c r="D2838" t="s">
        <v>4119</v>
      </c>
      <c r="E2838" t="s">
        <v>6332</v>
      </c>
      <c r="F2838" t="s">
        <v>13282</v>
      </c>
      <c r="G2838" t="s">
        <v>5703</v>
      </c>
      <c r="H2838" t="s">
        <v>5474</v>
      </c>
      <c r="I2838" t="s">
        <v>13283</v>
      </c>
      <c r="J2838" t="s">
        <v>5484</v>
      </c>
      <c r="K2838" t="s">
        <v>13284</v>
      </c>
      <c r="L2838" t="s">
        <v>5471</v>
      </c>
      <c r="M2838" t="s">
        <v>5471</v>
      </c>
    </row>
    <row r="2839" spans="1:13" x14ac:dyDescent="0.3">
      <c r="A2839" t="s">
        <v>3397</v>
      </c>
      <c r="B2839" t="s">
        <v>5594</v>
      </c>
      <c r="C2839" t="s">
        <v>5487</v>
      </c>
      <c r="D2839" t="s">
        <v>4119</v>
      </c>
      <c r="E2839" t="s">
        <v>6332</v>
      </c>
      <c r="F2839" t="s">
        <v>13285</v>
      </c>
      <c r="G2839" t="s">
        <v>5703</v>
      </c>
      <c r="H2839" t="s">
        <v>5474</v>
      </c>
      <c r="I2839" t="s">
        <v>13286</v>
      </c>
      <c r="J2839" t="s">
        <v>5476</v>
      </c>
      <c r="K2839" t="s">
        <v>13287</v>
      </c>
      <c r="L2839" t="s">
        <v>5471</v>
      </c>
      <c r="M2839" t="s">
        <v>5471</v>
      </c>
    </row>
    <row r="2840" spans="1:13" x14ac:dyDescent="0.3">
      <c r="A2840" t="s">
        <v>3397</v>
      </c>
      <c r="B2840" t="s">
        <v>5594</v>
      </c>
      <c r="C2840" t="s">
        <v>5487</v>
      </c>
      <c r="D2840" t="s">
        <v>4119</v>
      </c>
      <c r="E2840" t="s">
        <v>6332</v>
      </c>
      <c r="F2840" t="s">
        <v>13288</v>
      </c>
      <c r="G2840" t="s">
        <v>5703</v>
      </c>
      <c r="H2840" t="s">
        <v>5474</v>
      </c>
      <c r="I2840" t="s">
        <v>13289</v>
      </c>
      <c r="J2840" t="s">
        <v>5476</v>
      </c>
      <c r="K2840" t="s">
        <v>13290</v>
      </c>
      <c r="L2840" t="s">
        <v>5471</v>
      </c>
      <c r="M2840" t="s">
        <v>5471</v>
      </c>
    </row>
    <row r="2841" spans="1:13" x14ac:dyDescent="0.3">
      <c r="A2841" t="s">
        <v>3397</v>
      </c>
      <c r="B2841" t="s">
        <v>5594</v>
      </c>
      <c r="C2841" t="s">
        <v>5487</v>
      </c>
      <c r="D2841" t="s">
        <v>4119</v>
      </c>
      <c r="E2841" t="s">
        <v>6332</v>
      </c>
      <c r="F2841" t="s">
        <v>13291</v>
      </c>
      <c r="G2841" t="s">
        <v>5703</v>
      </c>
      <c r="H2841" t="s">
        <v>5474</v>
      </c>
      <c r="I2841" t="s">
        <v>13292</v>
      </c>
      <c r="J2841" t="s">
        <v>5476</v>
      </c>
      <c r="K2841" t="s">
        <v>13293</v>
      </c>
      <c r="L2841" t="s">
        <v>5471</v>
      </c>
      <c r="M2841" t="s">
        <v>5471</v>
      </c>
    </row>
    <row r="2842" spans="1:13" x14ac:dyDescent="0.3">
      <c r="A2842" t="s">
        <v>3397</v>
      </c>
      <c r="B2842" t="s">
        <v>5594</v>
      </c>
      <c r="C2842" t="s">
        <v>5487</v>
      </c>
      <c r="D2842" t="s">
        <v>4119</v>
      </c>
      <c r="E2842" t="s">
        <v>6332</v>
      </c>
      <c r="F2842" t="s">
        <v>13294</v>
      </c>
      <c r="G2842" t="s">
        <v>5703</v>
      </c>
      <c r="H2842" t="s">
        <v>5474</v>
      </c>
      <c r="I2842" t="s">
        <v>13295</v>
      </c>
      <c r="J2842" t="s">
        <v>5476</v>
      </c>
      <c r="K2842" t="s">
        <v>13296</v>
      </c>
      <c r="L2842" t="s">
        <v>5471</v>
      </c>
      <c r="M2842" t="s">
        <v>5471</v>
      </c>
    </row>
    <row r="2843" spans="1:13" x14ac:dyDescent="0.3">
      <c r="A2843" t="s">
        <v>3397</v>
      </c>
      <c r="B2843" t="s">
        <v>5594</v>
      </c>
      <c r="C2843" t="s">
        <v>5487</v>
      </c>
      <c r="D2843" t="s">
        <v>4119</v>
      </c>
      <c r="E2843" t="s">
        <v>6332</v>
      </c>
      <c r="F2843" t="s">
        <v>13297</v>
      </c>
      <c r="G2843" t="s">
        <v>5703</v>
      </c>
      <c r="H2843" t="s">
        <v>5474</v>
      </c>
      <c r="I2843" t="s">
        <v>13298</v>
      </c>
      <c r="J2843" t="s">
        <v>5476</v>
      </c>
      <c r="K2843" t="s">
        <v>13299</v>
      </c>
      <c r="L2843" t="s">
        <v>5471</v>
      </c>
      <c r="M2843" t="s">
        <v>5471</v>
      </c>
    </row>
    <row r="2844" spans="1:13" x14ac:dyDescent="0.3">
      <c r="A2844" t="s">
        <v>3397</v>
      </c>
      <c r="B2844" t="s">
        <v>5594</v>
      </c>
      <c r="C2844" t="s">
        <v>5487</v>
      </c>
      <c r="D2844" t="s">
        <v>4119</v>
      </c>
      <c r="E2844" t="s">
        <v>6332</v>
      </c>
      <c r="F2844" t="s">
        <v>13300</v>
      </c>
      <c r="G2844" t="s">
        <v>5703</v>
      </c>
      <c r="H2844" t="s">
        <v>5474</v>
      </c>
      <c r="I2844" t="s">
        <v>13301</v>
      </c>
      <c r="J2844" t="s">
        <v>5476</v>
      </c>
      <c r="K2844" t="s">
        <v>13302</v>
      </c>
      <c r="L2844" t="s">
        <v>5471</v>
      </c>
      <c r="M2844" t="s">
        <v>5471</v>
      </c>
    </row>
    <row r="2845" spans="1:13" x14ac:dyDescent="0.3">
      <c r="A2845" t="s">
        <v>3397</v>
      </c>
      <c r="B2845" t="s">
        <v>5594</v>
      </c>
      <c r="C2845" t="s">
        <v>5487</v>
      </c>
      <c r="D2845" t="s">
        <v>4119</v>
      </c>
      <c r="E2845" t="s">
        <v>6332</v>
      </c>
      <c r="F2845" t="s">
        <v>13303</v>
      </c>
      <c r="G2845" t="s">
        <v>5703</v>
      </c>
      <c r="H2845" t="s">
        <v>5474</v>
      </c>
      <c r="I2845" t="s">
        <v>13304</v>
      </c>
      <c r="J2845" t="s">
        <v>5476</v>
      </c>
      <c r="K2845" t="s">
        <v>13305</v>
      </c>
      <c r="L2845" t="s">
        <v>5471</v>
      </c>
      <c r="M2845" t="s">
        <v>5471</v>
      </c>
    </row>
    <row r="2846" spans="1:13" x14ac:dyDescent="0.3">
      <c r="A2846" t="s">
        <v>3397</v>
      </c>
      <c r="B2846" t="s">
        <v>5594</v>
      </c>
      <c r="C2846" t="s">
        <v>5487</v>
      </c>
      <c r="D2846" t="s">
        <v>4119</v>
      </c>
      <c r="E2846" t="s">
        <v>6332</v>
      </c>
      <c r="F2846" t="s">
        <v>13306</v>
      </c>
      <c r="G2846" t="s">
        <v>5703</v>
      </c>
      <c r="H2846" t="s">
        <v>5474</v>
      </c>
      <c r="I2846" t="s">
        <v>13307</v>
      </c>
      <c r="J2846" t="s">
        <v>5476</v>
      </c>
      <c r="K2846" t="s">
        <v>13308</v>
      </c>
      <c r="L2846" t="s">
        <v>5471</v>
      </c>
      <c r="M2846" t="s">
        <v>5471</v>
      </c>
    </row>
    <row r="2847" spans="1:13" x14ac:dyDescent="0.3">
      <c r="A2847" t="s">
        <v>3397</v>
      </c>
      <c r="B2847" t="s">
        <v>5594</v>
      </c>
      <c r="C2847" t="s">
        <v>5487</v>
      </c>
      <c r="D2847" t="s">
        <v>4119</v>
      </c>
      <c r="E2847" t="s">
        <v>6332</v>
      </c>
      <c r="F2847" t="s">
        <v>13309</v>
      </c>
      <c r="G2847" t="s">
        <v>5703</v>
      </c>
      <c r="H2847" t="s">
        <v>5474</v>
      </c>
      <c r="I2847" t="s">
        <v>13310</v>
      </c>
      <c r="J2847" t="s">
        <v>5476</v>
      </c>
      <c r="K2847" t="s">
        <v>13311</v>
      </c>
      <c r="L2847" t="s">
        <v>5471</v>
      </c>
      <c r="M2847" t="s">
        <v>5471</v>
      </c>
    </row>
    <row r="2848" spans="1:13" x14ac:dyDescent="0.3">
      <c r="A2848" t="s">
        <v>3397</v>
      </c>
      <c r="B2848" t="s">
        <v>5594</v>
      </c>
      <c r="C2848" t="s">
        <v>5487</v>
      </c>
      <c r="D2848" t="s">
        <v>4119</v>
      </c>
      <c r="E2848" t="s">
        <v>6332</v>
      </c>
      <c r="F2848" t="s">
        <v>13312</v>
      </c>
      <c r="G2848" t="s">
        <v>5703</v>
      </c>
      <c r="H2848" t="s">
        <v>5474</v>
      </c>
      <c r="I2848" t="s">
        <v>13313</v>
      </c>
      <c r="J2848" t="s">
        <v>5476</v>
      </c>
      <c r="K2848" t="s">
        <v>13314</v>
      </c>
      <c r="L2848" t="s">
        <v>5471</v>
      </c>
      <c r="M2848" t="s">
        <v>5471</v>
      </c>
    </row>
    <row r="2849" spans="1:13" x14ac:dyDescent="0.3">
      <c r="A2849" t="s">
        <v>3397</v>
      </c>
      <c r="B2849" t="s">
        <v>5594</v>
      </c>
      <c r="C2849" t="s">
        <v>5487</v>
      </c>
      <c r="D2849" t="s">
        <v>4119</v>
      </c>
      <c r="E2849" t="s">
        <v>6332</v>
      </c>
      <c r="F2849" t="s">
        <v>13315</v>
      </c>
      <c r="G2849" t="s">
        <v>5703</v>
      </c>
      <c r="H2849" t="s">
        <v>5474</v>
      </c>
      <c r="I2849" t="s">
        <v>13316</v>
      </c>
      <c r="J2849" t="s">
        <v>5476</v>
      </c>
      <c r="K2849" t="s">
        <v>13317</v>
      </c>
      <c r="L2849" t="s">
        <v>5471</v>
      </c>
      <c r="M2849" t="s">
        <v>5471</v>
      </c>
    </row>
    <row r="2850" spans="1:13" x14ac:dyDescent="0.3">
      <c r="A2850" t="s">
        <v>3397</v>
      </c>
      <c r="B2850" t="s">
        <v>5594</v>
      </c>
      <c r="C2850" t="s">
        <v>5487</v>
      </c>
      <c r="D2850" t="s">
        <v>4119</v>
      </c>
      <c r="E2850" t="s">
        <v>6332</v>
      </c>
      <c r="F2850" t="s">
        <v>13318</v>
      </c>
      <c r="G2850" t="s">
        <v>5703</v>
      </c>
      <c r="H2850" t="s">
        <v>5474</v>
      </c>
      <c r="I2850" t="s">
        <v>13319</v>
      </c>
      <c r="J2850" t="s">
        <v>5476</v>
      </c>
      <c r="K2850" t="s">
        <v>13320</v>
      </c>
      <c r="L2850" t="s">
        <v>5471</v>
      </c>
      <c r="M2850" t="s">
        <v>5471</v>
      </c>
    </row>
    <row r="2851" spans="1:13" x14ac:dyDescent="0.3">
      <c r="A2851" t="s">
        <v>3397</v>
      </c>
      <c r="B2851" t="s">
        <v>5594</v>
      </c>
      <c r="C2851" t="s">
        <v>5487</v>
      </c>
      <c r="D2851" t="s">
        <v>4119</v>
      </c>
      <c r="E2851" t="s">
        <v>6332</v>
      </c>
      <c r="F2851" t="s">
        <v>13318</v>
      </c>
      <c r="G2851" t="s">
        <v>5703</v>
      </c>
      <c r="H2851" t="s">
        <v>5474</v>
      </c>
      <c r="I2851" t="s">
        <v>13321</v>
      </c>
      <c r="J2851" t="s">
        <v>5476</v>
      </c>
      <c r="K2851" t="s">
        <v>13322</v>
      </c>
      <c r="L2851" t="s">
        <v>5471</v>
      </c>
      <c r="M2851" t="s">
        <v>5471</v>
      </c>
    </row>
    <row r="2852" spans="1:13" x14ac:dyDescent="0.3">
      <c r="A2852" t="s">
        <v>3397</v>
      </c>
      <c r="B2852" t="s">
        <v>5594</v>
      </c>
      <c r="C2852" t="s">
        <v>5487</v>
      </c>
      <c r="D2852" t="s">
        <v>4119</v>
      </c>
      <c r="E2852" t="s">
        <v>6332</v>
      </c>
      <c r="F2852" t="s">
        <v>13323</v>
      </c>
      <c r="G2852" t="s">
        <v>5703</v>
      </c>
      <c r="H2852" t="s">
        <v>5474</v>
      </c>
      <c r="I2852" t="s">
        <v>13324</v>
      </c>
      <c r="J2852" t="s">
        <v>5476</v>
      </c>
      <c r="K2852" t="s">
        <v>13325</v>
      </c>
      <c r="L2852" t="s">
        <v>5471</v>
      </c>
      <c r="M2852" t="s">
        <v>5471</v>
      </c>
    </row>
    <row r="2853" spans="1:13" x14ac:dyDescent="0.3">
      <c r="A2853" t="s">
        <v>3397</v>
      </c>
      <c r="B2853" t="s">
        <v>5594</v>
      </c>
      <c r="C2853" t="s">
        <v>5487</v>
      </c>
      <c r="D2853" t="s">
        <v>4119</v>
      </c>
      <c r="E2853" t="s">
        <v>6332</v>
      </c>
      <c r="F2853" t="s">
        <v>13326</v>
      </c>
      <c r="G2853" t="s">
        <v>5703</v>
      </c>
      <c r="H2853" t="s">
        <v>5474</v>
      </c>
      <c r="I2853" t="s">
        <v>13327</v>
      </c>
      <c r="J2853" t="s">
        <v>5476</v>
      </c>
      <c r="K2853" t="s">
        <v>13328</v>
      </c>
      <c r="L2853" t="s">
        <v>5471</v>
      </c>
      <c r="M2853" t="s">
        <v>5471</v>
      </c>
    </row>
    <row r="2854" spans="1:13" x14ac:dyDescent="0.3">
      <c r="A2854" t="s">
        <v>3397</v>
      </c>
      <c r="B2854" t="s">
        <v>5594</v>
      </c>
      <c r="C2854" t="s">
        <v>5487</v>
      </c>
      <c r="D2854" t="s">
        <v>4119</v>
      </c>
      <c r="E2854" t="s">
        <v>6332</v>
      </c>
      <c r="F2854" t="s">
        <v>13329</v>
      </c>
      <c r="G2854" t="s">
        <v>5703</v>
      </c>
      <c r="H2854" t="s">
        <v>5474</v>
      </c>
      <c r="I2854" t="s">
        <v>13330</v>
      </c>
      <c r="J2854" t="s">
        <v>5476</v>
      </c>
      <c r="K2854" t="s">
        <v>13331</v>
      </c>
      <c r="L2854" t="s">
        <v>5471</v>
      </c>
      <c r="M2854" t="s">
        <v>5471</v>
      </c>
    </row>
    <row r="2855" spans="1:13" x14ac:dyDescent="0.3">
      <c r="A2855" t="s">
        <v>3397</v>
      </c>
      <c r="B2855" t="s">
        <v>5594</v>
      </c>
      <c r="C2855" t="s">
        <v>5487</v>
      </c>
      <c r="D2855" t="s">
        <v>4119</v>
      </c>
      <c r="E2855" t="s">
        <v>6332</v>
      </c>
      <c r="F2855" t="s">
        <v>13332</v>
      </c>
      <c r="G2855" t="s">
        <v>5703</v>
      </c>
      <c r="H2855" t="s">
        <v>5474</v>
      </c>
      <c r="I2855" t="s">
        <v>13333</v>
      </c>
      <c r="J2855" t="s">
        <v>5476</v>
      </c>
      <c r="K2855" t="s">
        <v>13334</v>
      </c>
      <c r="L2855" t="s">
        <v>5471</v>
      </c>
      <c r="M2855" t="s">
        <v>5471</v>
      </c>
    </row>
    <row r="2856" spans="1:13" x14ac:dyDescent="0.3">
      <c r="A2856" t="s">
        <v>3397</v>
      </c>
      <c r="B2856" t="s">
        <v>5594</v>
      </c>
      <c r="C2856" t="s">
        <v>5487</v>
      </c>
      <c r="D2856" t="s">
        <v>4119</v>
      </c>
      <c r="E2856" t="s">
        <v>6332</v>
      </c>
      <c r="F2856" t="s">
        <v>13335</v>
      </c>
      <c r="G2856" t="s">
        <v>5703</v>
      </c>
      <c r="H2856" t="s">
        <v>5474</v>
      </c>
      <c r="I2856" t="s">
        <v>13336</v>
      </c>
      <c r="J2856" t="s">
        <v>5476</v>
      </c>
      <c r="K2856" t="s">
        <v>13337</v>
      </c>
      <c r="L2856" t="s">
        <v>5471</v>
      </c>
      <c r="M2856" t="s">
        <v>5471</v>
      </c>
    </row>
    <row r="2857" spans="1:13" x14ac:dyDescent="0.3">
      <c r="A2857" t="s">
        <v>3397</v>
      </c>
      <c r="B2857" t="s">
        <v>5594</v>
      </c>
      <c r="C2857" t="s">
        <v>5487</v>
      </c>
      <c r="D2857" t="s">
        <v>4119</v>
      </c>
      <c r="E2857" t="s">
        <v>6332</v>
      </c>
      <c r="F2857" t="s">
        <v>13338</v>
      </c>
      <c r="G2857" t="s">
        <v>5703</v>
      </c>
      <c r="H2857" t="s">
        <v>5474</v>
      </c>
      <c r="I2857" t="s">
        <v>13339</v>
      </c>
      <c r="J2857" t="s">
        <v>5476</v>
      </c>
      <c r="K2857" t="s">
        <v>13340</v>
      </c>
      <c r="L2857" t="s">
        <v>5471</v>
      </c>
      <c r="M2857" t="s">
        <v>5471</v>
      </c>
    </row>
    <row r="2858" spans="1:13" x14ac:dyDescent="0.3">
      <c r="A2858" t="s">
        <v>3397</v>
      </c>
      <c r="B2858" t="s">
        <v>5594</v>
      </c>
      <c r="C2858" t="s">
        <v>5487</v>
      </c>
      <c r="D2858" t="s">
        <v>4119</v>
      </c>
      <c r="E2858" t="s">
        <v>6332</v>
      </c>
      <c r="F2858" t="s">
        <v>13341</v>
      </c>
      <c r="G2858" t="s">
        <v>5703</v>
      </c>
      <c r="H2858" t="s">
        <v>5474</v>
      </c>
      <c r="I2858" t="s">
        <v>13342</v>
      </c>
      <c r="J2858" t="s">
        <v>5476</v>
      </c>
      <c r="K2858" t="s">
        <v>13343</v>
      </c>
      <c r="L2858" t="s">
        <v>5471</v>
      </c>
      <c r="M2858" t="s">
        <v>5471</v>
      </c>
    </row>
    <row r="2859" spans="1:13" x14ac:dyDescent="0.3">
      <c r="A2859" t="s">
        <v>3397</v>
      </c>
      <c r="B2859" t="s">
        <v>5594</v>
      </c>
      <c r="C2859" t="s">
        <v>5487</v>
      </c>
      <c r="D2859" t="s">
        <v>4119</v>
      </c>
      <c r="E2859" t="s">
        <v>6332</v>
      </c>
      <c r="F2859" t="s">
        <v>13344</v>
      </c>
      <c r="G2859" t="s">
        <v>5703</v>
      </c>
      <c r="H2859" t="s">
        <v>5474</v>
      </c>
      <c r="I2859" t="s">
        <v>13345</v>
      </c>
      <c r="J2859" t="s">
        <v>5476</v>
      </c>
      <c r="K2859" t="s">
        <v>13346</v>
      </c>
      <c r="L2859" t="s">
        <v>5471</v>
      </c>
      <c r="M2859" t="s">
        <v>5471</v>
      </c>
    </row>
    <row r="2860" spans="1:13" x14ac:dyDescent="0.3">
      <c r="A2860" t="s">
        <v>3397</v>
      </c>
      <c r="B2860" t="s">
        <v>5594</v>
      </c>
      <c r="C2860" t="s">
        <v>5487</v>
      </c>
      <c r="D2860" t="s">
        <v>4119</v>
      </c>
      <c r="E2860" t="s">
        <v>6332</v>
      </c>
      <c r="F2860" t="s">
        <v>13347</v>
      </c>
      <c r="G2860" t="s">
        <v>5703</v>
      </c>
      <c r="H2860" t="s">
        <v>5474</v>
      </c>
      <c r="I2860" t="s">
        <v>13348</v>
      </c>
      <c r="J2860" t="s">
        <v>5476</v>
      </c>
      <c r="K2860" t="s">
        <v>13349</v>
      </c>
      <c r="L2860" t="s">
        <v>5471</v>
      </c>
      <c r="M2860" t="s">
        <v>5471</v>
      </c>
    </row>
    <row r="2861" spans="1:13" x14ac:dyDescent="0.3">
      <c r="A2861" t="s">
        <v>3397</v>
      </c>
      <c r="B2861" t="s">
        <v>5594</v>
      </c>
      <c r="C2861" t="s">
        <v>5487</v>
      </c>
      <c r="D2861" t="s">
        <v>4119</v>
      </c>
      <c r="E2861" t="s">
        <v>6332</v>
      </c>
      <c r="F2861" t="s">
        <v>13350</v>
      </c>
      <c r="G2861" t="s">
        <v>5703</v>
      </c>
      <c r="H2861" t="s">
        <v>5474</v>
      </c>
      <c r="I2861" t="s">
        <v>13351</v>
      </c>
      <c r="J2861" t="s">
        <v>5476</v>
      </c>
      <c r="K2861" t="s">
        <v>13352</v>
      </c>
      <c r="L2861" t="s">
        <v>5471</v>
      </c>
      <c r="M2861" t="s">
        <v>5471</v>
      </c>
    </row>
    <row r="2862" spans="1:13" x14ac:dyDescent="0.3">
      <c r="A2862" t="s">
        <v>3397</v>
      </c>
      <c r="B2862" t="s">
        <v>5594</v>
      </c>
      <c r="C2862" t="s">
        <v>5487</v>
      </c>
      <c r="D2862" t="s">
        <v>4119</v>
      </c>
      <c r="E2862" t="s">
        <v>6332</v>
      </c>
      <c r="F2862" t="s">
        <v>13353</v>
      </c>
      <c r="G2862" t="s">
        <v>10389</v>
      </c>
      <c r="H2862" t="s">
        <v>5474</v>
      </c>
      <c r="I2862" t="s">
        <v>13354</v>
      </c>
      <c r="J2862" t="s">
        <v>5476</v>
      </c>
      <c r="K2862" t="s">
        <v>12759</v>
      </c>
      <c r="L2862" t="s">
        <v>5471</v>
      </c>
      <c r="M2862" t="s">
        <v>5471</v>
      </c>
    </row>
    <row r="2863" spans="1:13" x14ac:dyDescent="0.3">
      <c r="A2863" t="s">
        <v>3397</v>
      </c>
      <c r="B2863" t="s">
        <v>5594</v>
      </c>
      <c r="C2863" t="s">
        <v>5487</v>
      </c>
      <c r="D2863" t="s">
        <v>4119</v>
      </c>
      <c r="E2863" t="s">
        <v>6332</v>
      </c>
      <c r="F2863" t="s">
        <v>13355</v>
      </c>
      <c r="G2863" t="s">
        <v>10389</v>
      </c>
      <c r="H2863" t="s">
        <v>5474</v>
      </c>
      <c r="I2863" t="s">
        <v>13356</v>
      </c>
      <c r="J2863" t="s">
        <v>5476</v>
      </c>
      <c r="K2863" t="s">
        <v>13357</v>
      </c>
      <c r="L2863" t="s">
        <v>5471</v>
      </c>
      <c r="M2863" t="s">
        <v>5471</v>
      </c>
    </row>
    <row r="2864" spans="1:13" x14ac:dyDescent="0.3">
      <c r="A2864" t="s">
        <v>3397</v>
      </c>
      <c r="B2864" t="s">
        <v>5594</v>
      </c>
      <c r="C2864" t="s">
        <v>5487</v>
      </c>
      <c r="D2864" t="s">
        <v>4119</v>
      </c>
      <c r="E2864" t="s">
        <v>6332</v>
      </c>
      <c r="F2864" t="s">
        <v>13358</v>
      </c>
      <c r="G2864" t="s">
        <v>10379</v>
      </c>
      <c r="H2864" t="s">
        <v>5474</v>
      </c>
      <c r="I2864" t="s">
        <v>13359</v>
      </c>
      <c r="J2864" t="s">
        <v>5476</v>
      </c>
      <c r="K2864" t="s">
        <v>12753</v>
      </c>
      <c r="L2864" t="s">
        <v>5471</v>
      </c>
      <c r="M2864" t="s">
        <v>5471</v>
      </c>
    </row>
    <row r="2865" spans="1:13" x14ac:dyDescent="0.3">
      <c r="A2865" t="s">
        <v>3397</v>
      </c>
      <c r="B2865" t="s">
        <v>5594</v>
      </c>
      <c r="C2865" t="s">
        <v>5487</v>
      </c>
      <c r="D2865" t="s">
        <v>4119</v>
      </c>
      <c r="E2865" t="s">
        <v>6332</v>
      </c>
      <c r="F2865" t="s">
        <v>13360</v>
      </c>
      <c r="G2865" t="s">
        <v>10379</v>
      </c>
      <c r="H2865" t="s">
        <v>5474</v>
      </c>
      <c r="I2865" t="s">
        <v>13361</v>
      </c>
      <c r="J2865" t="s">
        <v>5476</v>
      </c>
      <c r="K2865" t="s">
        <v>13362</v>
      </c>
      <c r="L2865" t="s">
        <v>5471</v>
      </c>
      <c r="M2865" t="s">
        <v>5471</v>
      </c>
    </row>
    <row r="2866" spans="1:13" x14ac:dyDescent="0.3">
      <c r="A2866" t="s">
        <v>3397</v>
      </c>
      <c r="B2866" t="s">
        <v>5594</v>
      </c>
      <c r="C2866" t="s">
        <v>5487</v>
      </c>
      <c r="D2866" t="s">
        <v>4119</v>
      </c>
      <c r="E2866" t="s">
        <v>6442</v>
      </c>
      <c r="F2866" t="s">
        <v>13363</v>
      </c>
      <c r="G2866" t="s">
        <v>13364</v>
      </c>
      <c r="H2866" t="s">
        <v>5474</v>
      </c>
      <c r="I2866" t="s">
        <v>13365</v>
      </c>
      <c r="J2866" t="s">
        <v>5476</v>
      </c>
      <c r="K2866" t="s">
        <v>13366</v>
      </c>
      <c r="L2866" t="s">
        <v>5471</v>
      </c>
      <c r="M2866" t="s">
        <v>5471</v>
      </c>
    </row>
    <row r="2867" spans="1:13" x14ac:dyDescent="0.3">
      <c r="A2867" t="s">
        <v>3397</v>
      </c>
      <c r="B2867" t="s">
        <v>5594</v>
      </c>
      <c r="C2867" t="s">
        <v>5487</v>
      </c>
      <c r="D2867" t="s">
        <v>4119</v>
      </c>
      <c r="E2867" t="s">
        <v>5595</v>
      </c>
      <c r="F2867" t="s">
        <v>13367</v>
      </c>
      <c r="G2867" t="s">
        <v>13368</v>
      </c>
      <c r="H2867" t="s">
        <v>5474</v>
      </c>
      <c r="I2867" t="s">
        <v>13369</v>
      </c>
      <c r="J2867" t="s">
        <v>5476</v>
      </c>
      <c r="K2867" t="s">
        <v>13370</v>
      </c>
      <c r="L2867" t="s">
        <v>5471</v>
      </c>
      <c r="M2867" t="s">
        <v>5471</v>
      </c>
    </row>
    <row r="2868" spans="1:13" x14ac:dyDescent="0.3">
      <c r="A2868" t="s">
        <v>3397</v>
      </c>
      <c r="B2868" t="s">
        <v>5594</v>
      </c>
      <c r="C2868" t="s">
        <v>5487</v>
      </c>
      <c r="D2868" t="s">
        <v>4119</v>
      </c>
      <c r="E2868" t="s">
        <v>5595</v>
      </c>
      <c r="F2868" t="s">
        <v>13371</v>
      </c>
      <c r="G2868" t="s">
        <v>13372</v>
      </c>
      <c r="H2868" t="s">
        <v>5474</v>
      </c>
      <c r="I2868" t="s">
        <v>13373</v>
      </c>
      <c r="J2868" t="s">
        <v>5476</v>
      </c>
      <c r="K2868" t="s">
        <v>13374</v>
      </c>
      <c r="L2868" t="s">
        <v>5471</v>
      </c>
      <c r="M2868" t="s">
        <v>5471</v>
      </c>
    </row>
    <row r="2869" spans="1:13" x14ac:dyDescent="0.3">
      <c r="A2869" t="s">
        <v>3397</v>
      </c>
      <c r="B2869" t="s">
        <v>5594</v>
      </c>
      <c r="C2869" t="s">
        <v>5487</v>
      </c>
      <c r="D2869" t="s">
        <v>4119</v>
      </c>
      <c r="E2869" t="s">
        <v>5595</v>
      </c>
      <c r="F2869" t="s">
        <v>13375</v>
      </c>
      <c r="G2869" t="s">
        <v>13376</v>
      </c>
      <c r="H2869" t="s">
        <v>5474</v>
      </c>
      <c r="I2869" t="s">
        <v>13377</v>
      </c>
      <c r="J2869" t="s">
        <v>5476</v>
      </c>
      <c r="K2869" t="s">
        <v>13378</v>
      </c>
      <c r="L2869" t="s">
        <v>5471</v>
      </c>
      <c r="M2869" t="s">
        <v>5471</v>
      </c>
    </row>
    <row r="2870" spans="1:13" x14ac:dyDescent="0.3">
      <c r="A2870" t="s">
        <v>3397</v>
      </c>
      <c r="B2870" t="s">
        <v>5594</v>
      </c>
      <c r="C2870" t="s">
        <v>5487</v>
      </c>
      <c r="D2870" t="s">
        <v>4119</v>
      </c>
      <c r="E2870" t="s">
        <v>5595</v>
      </c>
      <c r="F2870" t="s">
        <v>13379</v>
      </c>
      <c r="G2870" t="s">
        <v>5703</v>
      </c>
      <c r="H2870" t="s">
        <v>5474</v>
      </c>
      <c r="I2870" t="s">
        <v>13380</v>
      </c>
      <c r="J2870" t="s">
        <v>5476</v>
      </c>
      <c r="K2870" t="s">
        <v>13381</v>
      </c>
      <c r="L2870" t="s">
        <v>5471</v>
      </c>
      <c r="M2870" t="s">
        <v>5471</v>
      </c>
    </row>
    <row r="2871" spans="1:13" x14ac:dyDescent="0.3">
      <c r="A2871" t="s">
        <v>3397</v>
      </c>
      <c r="B2871" t="s">
        <v>5594</v>
      </c>
      <c r="C2871" t="s">
        <v>5487</v>
      </c>
      <c r="D2871" t="s">
        <v>4119</v>
      </c>
      <c r="E2871" t="s">
        <v>5595</v>
      </c>
      <c r="F2871" t="s">
        <v>13382</v>
      </c>
      <c r="G2871" t="s">
        <v>13383</v>
      </c>
      <c r="H2871" t="s">
        <v>5474</v>
      </c>
      <c r="I2871" t="s">
        <v>13384</v>
      </c>
      <c r="J2871" t="s">
        <v>5476</v>
      </c>
      <c r="K2871" t="s">
        <v>13385</v>
      </c>
      <c r="L2871" t="s">
        <v>5471</v>
      </c>
      <c r="M2871" t="s">
        <v>5471</v>
      </c>
    </row>
    <row r="2872" spans="1:13" x14ac:dyDescent="0.3">
      <c r="A2872" t="s">
        <v>3397</v>
      </c>
      <c r="B2872" t="s">
        <v>5594</v>
      </c>
      <c r="C2872" t="s">
        <v>5487</v>
      </c>
      <c r="D2872" t="s">
        <v>4119</v>
      </c>
      <c r="E2872" t="s">
        <v>5595</v>
      </c>
      <c r="F2872" t="s">
        <v>13386</v>
      </c>
      <c r="G2872" t="s">
        <v>13387</v>
      </c>
      <c r="H2872" t="s">
        <v>5474</v>
      </c>
      <c r="I2872" t="s">
        <v>13388</v>
      </c>
      <c r="J2872" t="s">
        <v>5476</v>
      </c>
      <c r="K2872" t="s">
        <v>13389</v>
      </c>
      <c r="L2872" t="s">
        <v>5471</v>
      </c>
      <c r="M2872" t="s">
        <v>5471</v>
      </c>
    </row>
    <row r="2873" spans="1:13" x14ac:dyDescent="0.3">
      <c r="A2873" t="s">
        <v>3397</v>
      </c>
      <c r="B2873" t="s">
        <v>5594</v>
      </c>
      <c r="C2873" t="s">
        <v>5487</v>
      </c>
      <c r="D2873" t="s">
        <v>4119</v>
      </c>
      <c r="E2873" t="s">
        <v>6332</v>
      </c>
      <c r="F2873" t="s">
        <v>13390</v>
      </c>
      <c r="G2873" t="s">
        <v>10389</v>
      </c>
      <c r="H2873" t="s">
        <v>5474</v>
      </c>
      <c r="I2873" t="s">
        <v>13391</v>
      </c>
      <c r="J2873" t="s">
        <v>5476</v>
      </c>
      <c r="K2873" t="s">
        <v>12762</v>
      </c>
      <c r="L2873" t="s">
        <v>5471</v>
      </c>
      <c r="M2873" t="s">
        <v>5471</v>
      </c>
    </row>
    <row r="2874" spans="1:13" x14ac:dyDescent="0.3">
      <c r="A2874" t="s">
        <v>3397</v>
      </c>
      <c r="B2874" t="s">
        <v>5594</v>
      </c>
      <c r="C2874" t="s">
        <v>5487</v>
      </c>
      <c r="D2874" t="s">
        <v>4119</v>
      </c>
      <c r="E2874" t="s">
        <v>6332</v>
      </c>
      <c r="F2874" t="s">
        <v>13392</v>
      </c>
      <c r="G2874" t="s">
        <v>10389</v>
      </c>
      <c r="H2874" t="s">
        <v>5474</v>
      </c>
      <c r="I2874" t="s">
        <v>13393</v>
      </c>
      <c r="J2874" t="s">
        <v>5476</v>
      </c>
      <c r="K2874" t="s">
        <v>13394</v>
      </c>
      <c r="L2874" t="s">
        <v>5471</v>
      </c>
      <c r="M2874" t="s">
        <v>5471</v>
      </c>
    </row>
    <row r="2875" spans="1:13" x14ac:dyDescent="0.3">
      <c r="A2875" t="s">
        <v>3397</v>
      </c>
      <c r="B2875" t="s">
        <v>5594</v>
      </c>
      <c r="C2875" t="s">
        <v>5487</v>
      </c>
      <c r="D2875" t="s">
        <v>4119</v>
      </c>
      <c r="E2875" t="s">
        <v>6332</v>
      </c>
      <c r="F2875" t="s">
        <v>13395</v>
      </c>
      <c r="G2875" t="s">
        <v>10379</v>
      </c>
      <c r="H2875" t="s">
        <v>5474</v>
      </c>
      <c r="I2875" t="s">
        <v>13396</v>
      </c>
      <c r="J2875" t="s">
        <v>5476</v>
      </c>
      <c r="K2875" t="s">
        <v>12756</v>
      </c>
      <c r="L2875" t="s">
        <v>5471</v>
      </c>
      <c r="M2875" t="s">
        <v>5471</v>
      </c>
    </row>
    <row r="2876" spans="1:13" x14ac:dyDescent="0.3">
      <c r="A2876" t="s">
        <v>3397</v>
      </c>
      <c r="B2876" t="s">
        <v>5594</v>
      </c>
      <c r="C2876" t="s">
        <v>5487</v>
      </c>
      <c r="D2876" t="s">
        <v>4119</v>
      </c>
      <c r="E2876" t="s">
        <v>6442</v>
      </c>
      <c r="F2876" t="s">
        <v>13397</v>
      </c>
      <c r="G2876" t="s">
        <v>13364</v>
      </c>
      <c r="H2876" t="s">
        <v>5474</v>
      </c>
      <c r="I2876" t="s">
        <v>13398</v>
      </c>
      <c r="J2876" t="s">
        <v>5476</v>
      </c>
      <c r="K2876" t="s">
        <v>13399</v>
      </c>
      <c r="L2876" t="s">
        <v>5471</v>
      </c>
      <c r="M2876" t="s">
        <v>5471</v>
      </c>
    </row>
    <row r="2877" spans="1:13" x14ac:dyDescent="0.3">
      <c r="A2877" t="s">
        <v>3397</v>
      </c>
      <c r="B2877" t="s">
        <v>5594</v>
      </c>
      <c r="C2877" t="s">
        <v>5487</v>
      </c>
      <c r="D2877" t="s">
        <v>4119</v>
      </c>
      <c r="E2877" t="s">
        <v>5595</v>
      </c>
      <c r="F2877" t="s">
        <v>13400</v>
      </c>
      <c r="G2877" t="s">
        <v>13401</v>
      </c>
      <c r="H2877" t="s">
        <v>5474</v>
      </c>
      <c r="I2877" t="s">
        <v>13402</v>
      </c>
      <c r="J2877" t="s">
        <v>5476</v>
      </c>
      <c r="K2877" t="s">
        <v>13403</v>
      </c>
      <c r="L2877" t="s">
        <v>5471</v>
      </c>
      <c r="M2877" t="s">
        <v>5471</v>
      </c>
    </row>
    <row r="2878" spans="1:13" x14ac:dyDescent="0.3">
      <c r="A2878" t="s">
        <v>3397</v>
      </c>
      <c r="B2878" t="s">
        <v>5594</v>
      </c>
      <c r="C2878" t="s">
        <v>5487</v>
      </c>
      <c r="D2878" t="s">
        <v>4119</v>
      </c>
      <c r="E2878" t="s">
        <v>5595</v>
      </c>
      <c r="F2878" t="s">
        <v>13404</v>
      </c>
      <c r="G2878" t="s">
        <v>13405</v>
      </c>
      <c r="H2878" t="s">
        <v>5474</v>
      </c>
      <c r="I2878" t="s">
        <v>13406</v>
      </c>
      <c r="J2878" t="s">
        <v>5476</v>
      </c>
      <c r="K2878" t="s">
        <v>13407</v>
      </c>
      <c r="L2878" t="s">
        <v>5471</v>
      </c>
      <c r="M2878" t="s">
        <v>5471</v>
      </c>
    </row>
    <row r="2879" spans="1:13" x14ac:dyDescent="0.3">
      <c r="A2879" t="s">
        <v>3397</v>
      </c>
      <c r="B2879" t="s">
        <v>5594</v>
      </c>
      <c r="C2879" t="s">
        <v>5487</v>
      </c>
      <c r="D2879" t="s">
        <v>4119</v>
      </c>
      <c r="E2879" t="s">
        <v>5595</v>
      </c>
      <c r="F2879" t="s">
        <v>13408</v>
      </c>
      <c r="G2879" t="s">
        <v>13376</v>
      </c>
      <c r="H2879" t="s">
        <v>5474</v>
      </c>
      <c r="I2879" t="s">
        <v>13409</v>
      </c>
      <c r="J2879" t="s">
        <v>5476</v>
      </c>
      <c r="K2879" t="s">
        <v>13410</v>
      </c>
      <c r="L2879" t="s">
        <v>5471</v>
      </c>
      <c r="M2879" t="s">
        <v>5471</v>
      </c>
    </row>
    <row r="2880" spans="1:13" x14ac:dyDescent="0.3">
      <c r="A2880" t="s">
        <v>3397</v>
      </c>
      <c r="B2880" t="s">
        <v>5594</v>
      </c>
      <c r="C2880" t="s">
        <v>5487</v>
      </c>
      <c r="D2880" t="s">
        <v>4119</v>
      </c>
      <c r="E2880" t="s">
        <v>5595</v>
      </c>
      <c r="F2880" t="s">
        <v>13411</v>
      </c>
      <c r="G2880" t="s">
        <v>13383</v>
      </c>
      <c r="H2880" t="s">
        <v>5474</v>
      </c>
      <c r="I2880" t="s">
        <v>13412</v>
      </c>
      <c r="J2880" t="s">
        <v>5476</v>
      </c>
      <c r="K2880" t="s">
        <v>13413</v>
      </c>
      <c r="L2880" t="s">
        <v>5471</v>
      </c>
      <c r="M2880" t="s">
        <v>5471</v>
      </c>
    </row>
    <row r="2881" spans="1:13" x14ac:dyDescent="0.3">
      <c r="A2881" t="s">
        <v>3397</v>
      </c>
      <c r="B2881" t="s">
        <v>5594</v>
      </c>
      <c r="C2881" t="s">
        <v>5487</v>
      </c>
      <c r="D2881" t="s">
        <v>4119</v>
      </c>
      <c r="E2881" t="s">
        <v>5595</v>
      </c>
      <c r="F2881" t="s">
        <v>13414</v>
      </c>
      <c r="G2881" t="s">
        <v>13387</v>
      </c>
      <c r="H2881" t="s">
        <v>5474</v>
      </c>
      <c r="I2881" t="s">
        <v>13415</v>
      </c>
      <c r="J2881" t="s">
        <v>5476</v>
      </c>
      <c r="K2881" t="s">
        <v>13416</v>
      </c>
      <c r="L2881" t="s">
        <v>5471</v>
      </c>
      <c r="M2881" t="s">
        <v>5471</v>
      </c>
    </row>
    <row r="2882" spans="1:13" x14ac:dyDescent="0.3">
      <c r="A2882" t="s">
        <v>3397</v>
      </c>
      <c r="B2882" t="s">
        <v>5594</v>
      </c>
      <c r="C2882" t="s">
        <v>5487</v>
      </c>
      <c r="D2882" t="s">
        <v>4119</v>
      </c>
      <c r="E2882" t="s">
        <v>6332</v>
      </c>
      <c r="F2882" t="s">
        <v>13417</v>
      </c>
      <c r="G2882" t="s">
        <v>13418</v>
      </c>
      <c r="H2882" t="s">
        <v>5474</v>
      </c>
      <c r="I2882" t="s">
        <v>13419</v>
      </c>
      <c r="J2882" t="s">
        <v>5476</v>
      </c>
      <c r="K2882" t="s">
        <v>12766</v>
      </c>
      <c r="L2882" t="s">
        <v>5471</v>
      </c>
      <c r="M2882" t="s">
        <v>5471</v>
      </c>
    </row>
    <row r="2883" spans="1:13" x14ac:dyDescent="0.3">
      <c r="A2883" t="s">
        <v>3397</v>
      </c>
      <c r="B2883" t="s">
        <v>5594</v>
      </c>
      <c r="C2883" t="s">
        <v>5487</v>
      </c>
      <c r="D2883" t="s">
        <v>4119</v>
      </c>
      <c r="E2883" t="s">
        <v>6332</v>
      </c>
      <c r="F2883" t="s">
        <v>13420</v>
      </c>
      <c r="G2883" t="s">
        <v>13418</v>
      </c>
      <c r="H2883" t="s">
        <v>5474</v>
      </c>
      <c r="I2883" t="s">
        <v>13421</v>
      </c>
      <c r="J2883" t="s">
        <v>5476</v>
      </c>
      <c r="K2883" t="s">
        <v>13422</v>
      </c>
      <c r="L2883" t="s">
        <v>5471</v>
      </c>
      <c r="M2883" t="s">
        <v>5471</v>
      </c>
    </row>
    <row r="2884" spans="1:13" x14ac:dyDescent="0.3">
      <c r="A2884" t="s">
        <v>3397</v>
      </c>
      <c r="B2884" t="s">
        <v>5594</v>
      </c>
      <c r="C2884" t="s">
        <v>5487</v>
      </c>
      <c r="D2884" t="s">
        <v>4119</v>
      </c>
      <c r="E2884" t="s">
        <v>5756</v>
      </c>
      <c r="F2884" t="s">
        <v>13423</v>
      </c>
      <c r="G2884" t="s">
        <v>10335</v>
      </c>
      <c r="H2884" t="s">
        <v>5474</v>
      </c>
      <c r="I2884" t="s">
        <v>13424</v>
      </c>
      <c r="J2884" t="s">
        <v>5476</v>
      </c>
      <c r="K2884" t="s">
        <v>13425</v>
      </c>
      <c r="L2884" t="s">
        <v>5471</v>
      </c>
      <c r="M2884" t="s">
        <v>5471</v>
      </c>
    </row>
    <row r="2885" spans="1:13" x14ac:dyDescent="0.3">
      <c r="A2885" t="s">
        <v>3397</v>
      </c>
      <c r="B2885" t="s">
        <v>5594</v>
      </c>
      <c r="C2885" t="s">
        <v>5487</v>
      </c>
      <c r="D2885" t="s">
        <v>4119</v>
      </c>
      <c r="E2885" t="s">
        <v>5756</v>
      </c>
      <c r="F2885" t="s">
        <v>13426</v>
      </c>
      <c r="G2885" t="s">
        <v>12950</v>
      </c>
      <c r="H2885" t="s">
        <v>5474</v>
      </c>
      <c r="I2885" t="s">
        <v>13427</v>
      </c>
      <c r="J2885" t="s">
        <v>5476</v>
      </c>
      <c r="K2885" t="s">
        <v>13428</v>
      </c>
      <c r="L2885" t="s">
        <v>5471</v>
      </c>
      <c r="M2885" t="s">
        <v>5471</v>
      </c>
    </row>
    <row r="2886" spans="1:13" x14ac:dyDescent="0.3">
      <c r="A2886" t="s">
        <v>3397</v>
      </c>
      <c r="B2886" t="s">
        <v>5594</v>
      </c>
      <c r="C2886" t="s">
        <v>5487</v>
      </c>
      <c r="D2886" t="s">
        <v>4119</v>
      </c>
      <c r="E2886" t="s">
        <v>5595</v>
      </c>
      <c r="F2886" t="s">
        <v>13429</v>
      </c>
      <c r="G2886" t="s">
        <v>13430</v>
      </c>
      <c r="H2886" t="s">
        <v>5474</v>
      </c>
      <c r="I2886" t="s">
        <v>13431</v>
      </c>
      <c r="J2886" t="s">
        <v>5476</v>
      </c>
      <c r="K2886" t="s">
        <v>13432</v>
      </c>
      <c r="L2886" t="s">
        <v>5471</v>
      </c>
      <c r="M2886" t="s">
        <v>5471</v>
      </c>
    </row>
    <row r="2887" spans="1:13" x14ac:dyDescent="0.3">
      <c r="A2887" t="s">
        <v>3397</v>
      </c>
      <c r="B2887" t="s">
        <v>5594</v>
      </c>
      <c r="C2887" t="s">
        <v>5487</v>
      </c>
      <c r="D2887" t="s">
        <v>4119</v>
      </c>
      <c r="E2887" t="s">
        <v>5595</v>
      </c>
      <c r="F2887" t="s">
        <v>13433</v>
      </c>
      <c r="G2887" t="s">
        <v>13434</v>
      </c>
      <c r="H2887" t="s">
        <v>5474</v>
      </c>
      <c r="I2887" t="s">
        <v>13435</v>
      </c>
      <c r="J2887" t="s">
        <v>5476</v>
      </c>
      <c r="K2887" t="s">
        <v>13436</v>
      </c>
      <c r="L2887" t="s">
        <v>5471</v>
      </c>
      <c r="M2887" t="s">
        <v>5471</v>
      </c>
    </row>
    <row r="2888" spans="1:13" x14ac:dyDescent="0.3">
      <c r="A2888" t="s">
        <v>3397</v>
      </c>
      <c r="B2888" t="s">
        <v>5594</v>
      </c>
      <c r="C2888" t="s">
        <v>5487</v>
      </c>
      <c r="D2888" t="s">
        <v>4119</v>
      </c>
      <c r="E2888" t="s">
        <v>5595</v>
      </c>
      <c r="F2888" t="s">
        <v>13437</v>
      </c>
      <c r="G2888" t="s">
        <v>13438</v>
      </c>
      <c r="H2888" t="s">
        <v>5474</v>
      </c>
      <c r="I2888" t="s">
        <v>13439</v>
      </c>
      <c r="J2888" t="s">
        <v>5476</v>
      </c>
      <c r="K2888" t="s">
        <v>13440</v>
      </c>
      <c r="L2888" t="s">
        <v>5471</v>
      </c>
      <c r="M2888" t="s">
        <v>5471</v>
      </c>
    </row>
    <row r="2889" spans="1:13" x14ac:dyDescent="0.3">
      <c r="A2889" t="s">
        <v>3397</v>
      </c>
      <c r="B2889" t="s">
        <v>5594</v>
      </c>
      <c r="C2889" t="s">
        <v>5487</v>
      </c>
      <c r="D2889" t="s">
        <v>4119</v>
      </c>
      <c r="E2889" t="s">
        <v>5595</v>
      </c>
      <c r="F2889" t="s">
        <v>13441</v>
      </c>
      <c r="G2889" t="s">
        <v>12937</v>
      </c>
      <c r="H2889" t="s">
        <v>5474</v>
      </c>
      <c r="I2889" t="s">
        <v>13442</v>
      </c>
      <c r="J2889" t="s">
        <v>5476</v>
      </c>
      <c r="K2889" t="s">
        <v>13443</v>
      </c>
      <c r="L2889" t="s">
        <v>5471</v>
      </c>
      <c r="M2889" t="s">
        <v>5471</v>
      </c>
    </row>
    <row r="2890" spans="1:13" x14ac:dyDescent="0.3">
      <c r="A2890" t="s">
        <v>3397</v>
      </c>
      <c r="B2890" t="s">
        <v>5594</v>
      </c>
      <c r="C2890" t="s">
        <v>5487</v>
      </c>
      <c r="D2890" t="s">
        <v>4119</v>
      </c>
      <c r="E2890" t="s">
        <v>6442</v>
      </c>
      <c r="F2890" t="s">
        <v>13444</v>
      </c>
      <c r="G2890" t="s">
        <v>13364</v>
      </c>
      <c r="H2890" t="s">
        <v>5474</v>
      </c>
      <c r="I2890" t="s">
        <v>13445</v>
      </c>
      <c r="J2890" t="s">
        <v>5484</v>
      </c>
      <c r="K2890" t="s">
        <v>13446</v>
      </c>
      <c r="L2890" t="s">
        <v>5471</v>
      </c>
      <c r="M2890" t="s">
        <v>5471</v>
      </c>
    </row>
    <row r="2891" spans="1:13" x14ac:dyDescent="0.3">
      <c r="A2891" t="s">
        <v>3397</v>
      </c>
      <c r="B2891" t="s">
        <v>5594</v>
      </c>
      <c r="C2891" t="s">
        <v>5487</v>
      </c>
      <c r="D2891" t="s">
        <v>4119</v>
      </c>
      <c r="E2891" t="s">
        <v>6332</v>
      </c>
      <c r="F2891" t="s">
        <v>13447</v>
      </c>
      <c r="G2891" t="s">
        <v>10389</v>
      </c>
      <c r="H2891" t="s">
        <v>5474</v>
      </c>
      <c r="I2891" t="s">
        <v>13448</v>
      </c>
      <c r="J2891" t="s">
        <v>5476</v>
      </c>
      <c r="K2891" t="s">
        <v>9836</v>
      </c>
      <c r="L2891" t="s">
        <v>5471</v>
      </c>
      <c r="M2891" t="s">
        <v>5471</v>
      </c>
    </row>
    <row r="2892" spans="1:13" x14ac:dyDescent="0.3">
      <c r="A2892" t="s">
        <v>3397</v>
      </c>
      <c r="B2892" t="s">
        <v>5594</v>
      </c>
      <c r="C2892" t="s">
        <v>5487</v>
      </c>
      <c r="D2892" t="s">
        <v>4119</v>
      </c>
      <c r="E2892" t="s">
        <v>6332</v>
      </c>
      <c r="F2892" t="s">
        <v>13449</v>
      </c>
      <c r="G2892" t="s">
        <v>10389</v>
      </c>
      <c r="H2892" t="s">
        <v>5474</v>
      </c>
      <c r="I2892" t="s">
        <v>13450</v>
      </c>
      <c r="J2892" t="s">
        <v>5484</v>
      </c>
      <c r="K2892" t="s">
        <v>9836</v>
      </c>
      <c r="L2892" t="s">
        <v>5471</v>
      </c>
      <c r="M2892" t="s">
        <v>5471</v>
      </c>
    </row>
    <row r="2893" spans="1:13" x14ac:dyDescent="0.3">
      <c r="A2893" t="s">
        <v>3397</v>
      </c>
      <c r="B2893" t="s">
        <v>5594</v>
      </c>
      <c r="C2893" t="s">
        <v>5487</v>
      </c>
      <c r="D2893" t="s">
        <v>4119</v>
      </c>
      <c r="E2893" t="s">
        <v>6332</v>
      </c>
      <c r="F2893" t="s">
        <v>13451</v>
      </c>
      <c r="G2893" t="s">
        <v>10379</v>
      </c>
      <c r="H2893" t="s">
        <v>5474</v>
      </c>
      <c r="I2893" t="s">
        <v>13452</v>
      </c>
      <c r="J2893" t="s">
        <v>5476</v>
      </c>
      <c r="K2893" t="s">
        <v>9836</v>
      </c>
      <c r="L2893" t="s">
        <v>5471</v>
      </c>
      <c r="M2893" t="s">
        <v>5471</v>
      </c>
    </row>
    <row r="2894" spans="1:13" x14ac:dyDescent="0.3">
      <c r="A2894" t="s">
        <v>3397</v>
      </c>
      <c r="B2894" t="s">
        <v>5594</v>
      </c>
      <c r="C2894" t="s">
        <v>5487</v>
      </c>
      <c r="D2894" t="s">
        <v>4119</v>
      </c>
      <c r="E2894" t="s">
        <v>6332</v>
      </c>
      <c r="F2894" t="s">
        <v>13453</v>
      </c>
      <c r="G2894" t="s">
        <v>10379</v>
      </c>
      <c r="H2894" t="s">
        <v>5474</v>
      </c>
      <c r="I2894" t="s">
        <v>13454</v>
      </c>
      <c r="J2894" t="s">
        <v>5484</v>
      </c>
      <c r="K2894" t="s">
        <v>9836</v>
      </c>
      <c r="L2894" t="s">
        <v>5471</v>
      </c>
      <c r="M2894" t="s">
        <v>5471</v>
      </c>
    </row>
    <row r="2895" spans="1:13" x14ac:dyDescent="0.3">
      <c r="A2895" t="s">
        <v>3397</v>
      </c>
      <c r="B2895" t="s">
        <v>5594</v>
      </c>
      <c r="C2895" t="s">
        <v>5487</v>
      </c>
      <c r="D2895" t="s">
        <v>4119</v>
      </c>
      <c r="E2895" t="s">
        <v>5595</v>
      </c>
      <c r="F2895" t="s">
        <v>13455</v>
      </c>
      <c r="G2895" t="s">
        <v>13368</v>
      </c>
      <c r="H2895" t="s">
        <v>5474</v>
      </c>
      <c r="I2895" t="s">
        <v>13456</v>
      </c>
      <c r="J2895" t="s">
        <v>5476</v>
      </c>
      <c r="K2895" t="s">
        <v>9836</v>
      </c>
      <c r="L2895" t="s">
        <v>5471</v>
      </c>
      <c r="M2895" t="s">
        <v>5471</v>
      </c>
    </row>
    <row r="2896" spans="1:13" x14ac:dyDescent="0.3">
      <c r="A2896" t="s">
        <v>3397</v>
      </c>
      <c r="B2896" t="s">
        <v>5594</v>
      </c>
      <c r="C2896" t="s">
        <v>5487</v>
      </c>
      <c r="D2896" t="s">
        <v>4119</v>
      </c>
      <c r="E2896" t="s">
        <v>5595</v>
      </c>
      <c r="F2896" t="s">
        <v>13457</v>
      </c>
      <c r="G2896" t="s">
        <v>13401</v>
      </c>
      <c r="H2896" t="s">
        <v>5474</v>
      </c>
      <c r="I2896" t="s">
        <v>13458</v>
      </c>
      <c r="J2896" t="s">
        <v>5476</v>
      </c>
      <c r="K2896" t="s">
        <v>9836</v>
      </c>
      <c r="L2896" t="s">
        <v>5471</v>
      </c>
      <c r="M2896" t="s">
        <v>5471</v>
      </c>
    </row>
    <row r="2897" spans="1:13" x14ac:dyDescent="0.3">
      <c r="A2897" t="s">
        <v>3397</v>
      </c>
      <c r="B2897" t="s">
        <v>5594</v>
      </c>
      <c r="C2897" t="s">
        <v>5487</v>
      </c>
      <c r="D2897" t="s">
        <v>4119</v>
      </c>
      <c r="E2897" t="s">
        <v>5595</v>
      </c>
      <c r="F2897" t="s">
        <v>13459</v>
      </c>
      <c r="G2897" t="s">
        <v>13372</v>
      </c>
      <c r="H2897" t="s">
        <v>5474</v>
      </c>
      <c r="I2897" t="s">
        <v>13460</v>
      </c>
      <c r="J2897" t="s">
        <v>5476</v>
      </c>
      <c r="K2897" t="s">
        <v>9836</v>
      </c>
      <c r="L2897" t="s">
        <v>5471</v>
      </c>
      <c r="M2897" t="s">
        <v>5471</v>
      </c>
    </row>
    <row r="2898" spans="1:13" x14ac:dyDescent="0.3">
      <c r="A2898" t="s">
        <v>3397</v>
      </c>
      <c r="B2898" t="s">
        <v>5594</v>
      </c>
      <c r="C2898" t="s">
        <v>5487</v>
      </c>
      <c r="D2898" t="s">
        <v>4119</v>
      </c>
      <c r="E2898" t="s">
        <v>5595</v>
      </c>
      <c r="F2898" t="s">
        <v>13461</v>
      </c>
      <c r="G2898" t="s">
        <v>13405</v>
      </c>
      <c r="H2898" t="s">
        <v>5474</v>
      </c>
      <c r="I2898" t="s">
        <v>13462</v>
      </c>
      <c r="J2898" t="s">
        <v>5476</v>
      </c>
      <c r="K2898" t="s">
        <v>9836</v>
      </c>
      <c r="L2898" t="s">
        <v>5471</v>
      </c>
      <c r="M2898" t="s">
        <v>5471</v>
      </c>
    </row>
    <row r="2899" spans="1:13" x14ac:dyDescent="0.3">
      <c r="A2899" t="s">
        <v>3397</v>
      </c>
      <c r="B2899" t="s">
        <v>5594</v>
      </c>
      <c r="C2899" t="s">
        <v>5487</v>
      </c>
      <c r="D2899" t="s">
        <v>4119</v>
      </c>
      <c r="E2899" t="s">
        <v>5595</v>
      </c>
      <c r="F2899" t="s">
        <v>13463</v>
      </c>
      <c r="G2899" t="s">
        <v>13464</v>
      </c>
      <c r="H2899" t="s">
        <v>5474</v>
      </c>
      <c r="I2899" t="s">
        <v>13465</v>
      </c>
      <c r="J2899" t="s">
        <v>5476</v>
      </c>
      <c r="K2899" t="s">
        <v>9836</v>
      </c>
      <c r="L2899" t="s">
        <v>5471</v>
      </c>
      <c r="M2899" t="s">
        <v>5471</v>
      </c>
    </row>
    <row r="2900" spans="1:13" x14ac:dyDescent="0.3">
      <c r="A2900" t="s">
        <v>3397</v>
      </c>
      <c r="B2900" t="s">
        <v>5594</v>
      </c>
      <c r="C2900" t="s">
        <v>5487</v>
      </c>
      <c r="D2900" t="s">
        <v>4119</v>
      </c>
      <c r="E2900" t="s">
        <v>5595</v>
      </c>
      <c r="F2900" t="s">
        <v>13466</v>
      </c>
      <c r="G2900" t="s">
        <v>13467</v>
      </c>
      <c r="H2900" t="s">
        <v>5474</v>
      </c>
      <c r="I2900" t="s">
        <v>13468</v>
      </c>
      <c r="J2900" t="s">
        <v>5476</v>
      </c>
      <c r="K2900" t="s">
        <v>9836</v>
      </c>
      <c r="L2900" t="s">
        <v>5471</v>
      </c>
      <c r="M2900" t="s">
        <v>5471</v>
      </c>
    </row>
    <row r="2901" spans="1:13" x14ac:dyDescent="0.3">
      <c r="A2901" t="s">
        <v>3397</v>
      </c>
      <c r="B2901" t="s">
        <v>5594</v>
      </c>
      <c r="C2901" t="s">
        <v>5487</v>
      </c>
      <c r="D2901" t="s">
        <v>4119</v>
      </c>
      <c r="E2901" t="s">
        <v>5595</v>
      </c>
      <c r="F2901" t="s">
        <v>13469</v>
      </c>
      <c r="G2901" t="s">
        <v>13470</v>
      </c>
      <c r="H2901" t="s">
        <v>5474</v>
      </c>
      <c r="I2901" t="s">
        <v>13471</v>
      </c>
      <c r="J2901" t="s">
        <v>5476</v>
      </c>
      <c r="K2901" t="s">
        <v>9836</v>
      </c>
      <c r="L2901" t="s">
        <v>5471</v>
      </c>
      <c r="M2901" t="s">
        <v>5471</v>
      </c>
    </row>
    <row r="2902" spans="1:13" x14ac:dyDescent="0.3">
      <c r="A2902" t="s">
        <v>3397</v>
      </c>
      <c r="B2902" t="s">
        <v>5594</v>
      </c>
      <c r="C2902" t="s">
        <v>5487</v>
      </c>
      <c r="D2902" t="s">
        <v>4119</v>
      </c>
      <c r="E2902" t="s">
        <v>6332</v>
      </c>
      <c r="F2902" t="s">
        <v>13472</v>
      </c>
      <c r="G2902" t="s">
        <v>5703</v>
      </c>
      <c r="H2902" t="s">
        <v>5474</v>
      </c>
      <c r="I2902" t="s">
        <v>13473</v>
      </c>
      <c r="J2902" t="s">
        <v>5476</v>
      </c>
      <c r="K2902" t="s">
        <v>13474</v>
      </c>
      <c r="L2902" t="s">
        <v>5471</v>
      </c>
      <c r="M2902" t="s">
        <v>5471</v>
      </c>
    </row>
    <row r="2903" spans="1:13" x14ac:dyDescent="0.3">
      <c r="A2903" t="s">
        <v>3397</v>
      </c>
      <c r="B2903" t="s">
        <v>5594</v>
      </c>
      <c r="C2903" t="s">
        <v>5487</v>
      </c>
      <c r="D2903" t="s">
        <v>4119</v>
      </c>
      <c r="E2903" t="s">
        <v>6332</v>
      </c>
      <c r="F2903" t="s">
        <v>13475</v>
      </c>
      <c r="G2903" t="s">
        <v>5703</v>
      </c>
      <c r="H2903" t="s">
        <v>5474</v>
      </c>
      <c r="I2903" t="s">
        <v>13476</v>
      </c>
      <c r="J2903" t="s">
        <v>5476</v>
      </c>
      <c r="K2903" t="s">
        <v>13477</v>
      </c>
      <c r="L2903" t="s">
        <v>5471</v>
      </c>
      <c r="M2903" t="s">
        <v>5471</v>
      </c>
    </row>
    <row r="2904" spans="1:13" x14ac:dyDescent="0.3">
      <c r="A2904" t="s">
        <v>3397</v>
      </c>
      <c r="B2904" t="s">
        <v>5594</v>
      </c>
      <c r="C2904" t="s">
        <v>5487</v>
      </c>
      <c r="D2904" t="s">
        <v>4119</v>
      </c>
      <c r="E2904" t="s">
        <v>6332</v>
      </c>
      <c r="F2904" t="s">
        <v>13478</v>
      </c>
      <c r="G2904" t="s">
        <v>5703</v>
      </c>
      <c r="H2904" t="s">
        <v>5474</v>
      </c>
      <c r="I2904" t="s">
        <v>13479</v>
      </c>
      <c r="J2904" t="s">
        <v>5476</v>
      </c>
      <c r="K2904" t="s">
        <v>13480</v>
      </c>
      <c r="L2904" t="s">
        <v>5471</v>
      </c>
      <c r="M2904" t="s">
        <v>5471</v>
      </c>
    </row>
    <row r="2905" spans="1:13" x14ac:dyDescent="0.3">
      <c r="A2905" t="s">
        <v>3397</v>
      </c>
      <c r="B2905" t="s">
        <v>5594</v>
      </c>
      <c r="C2905" t="s">
        <v>5487</v>
      </c>
      <c r="D2905" t="s">
        <v>4119</v>
      </c>
      <c r="E2905" t="s">
        <v>6332</v>
      </c>
      <c r="F2905" t="s">
        <v>13481</v>
      </c>
      <c r="G2905" t="s">
        <v>5703</v>
      </c>
      <c r="H2905" t="s">
        <v>5474</v>
      </c>
      <c r="I2905" t="s">
        <v>13482</v>
      </c>
      <c r="J2905" t="s">
        <v>5476</v>
      </c>
      <c r="K2905" t="s">
        <v>13483</v>
      </c>
      <c r="L2905" t="s">
        <v>5471</v>
      </c>
      <c r="M2905" t="s">
        <v>5471</v>
      </c>
    </row>
    <row r="2906" spans="1:13" x14ac:dyDescent="0.3">
      <c r="A2906" t="s">
        <v>3397</v>
      </c>
      <c r="B2906" t="s">
        <v>5594</v>
      </c>
      <c r="C2906" t="s">
        <v>5487</v>
      </c>
      <c r="D2906" t="s">
        <v>4119</v>
      </c>
      <c r="E2906" t="s">
        <v>6332</v>
      </c>
      <c r="F2906" t="s">
        <v>13484</v>
      </c>
      <c r="G2906" t="s">
        <v>5703</v>
      </c>
      <c r="H2906" t="s">
        <v>5474</v>
      </c>
      <c r="I2906" t="s">
        <v>13485</v>
      </c>
      <c r="J2906" t="s">
        <v>5476</v>
      </c>
      <c r="K2906" t="s">
        <v>13486</v>
      </c>
      <c r="L2906" t="s">
        <v>5471</v>
      </c>
      <c r="M2906" t="s">
        <v>5471</v>
      </c>
    </row>
    <row r="2907" spans="1:13" x14ac:dyDescent="0.3">
      <c r="A2907" t="s">
        <v>3397</v>
      </c>
      <c r="B2907" t="s">
        <v>5594</v>
      </c>
      <c r="C2907" t="s">
        <v>5487</v>
      </c>
      <c r="D2907" t="s">
        <v>4119</v>
      </c>
      <c r="E2907" t="s">
        <v>6332</v>
      </c>
      <c r="F2907" t="s">
        <v>13487</v>
      </c>
      <c r="G2907" t="s">
        <v>5703</v>
      </c>
      <c r="H2907" t="s">
        <v>5474</v>
      </c>
      <c r="I2907" t="s">
        <v>13488</v>
      </c>
      <c r="J2907" t="s">
        <v>5476</v>
      </c>
      <c r="K2907" t="s">
        <v>13489</v>
      </c>
      <c r="L2907" t="s">
        <v>5471</v>
      </c>
      <c r="M2907" t="s">
        <v>5471</v>
      </c>
    </row>
    <row r="2908" spans="1:13" x14ac:dyDescent="0.3">
      <c r="A2908" t="s">
        <v>3397</v>
      </c>
      <c r="B2908" t="s">
        <v>5594</v>
      </c>
      <c r="C2908" t="s">
        <v>5487</v>
      </c>
      <c r="D2908" t="s">
        <v>4119</v>
      </c>
      <c r="E2908" t="s">
        <v>6332</v>
      </c>
      <c r="F2908" t="s">
        <v>13490</v>
      </c>
      <c r="G2908" t="s">
        <v>5703</v>
      </c>
      <c r="H2908" t="s">
        <v>5474</v>
      </c>
      <c r="I2908" t="s">
        <v>13491</v>
      </c>
      <c r="J2908" t="s">
        <v>5476</v>
      </c>
      <c r="K2908" t="s">
        <v>13492</v>
      </c>
      <c r="L2908" t="s">
        <v>5471</v>
      </c>
      <c r="M2908" t="s">
        <v>5471</v>
      </c>
    </row>
    <row r="2909" spans="1:13" x14ac:dyDescent="0.3">
      <c r="A2909" t="s">
        <v>3397</v>
      </c>
      <c r="B2909" t="s">
        <v>5594</v>
      </c>
      <c r="C2909" t="s">
        <v>5487</v>
      </c>
      <c r="D2909" t="s">
        <v>4119</v>
      </c>
      <c r="E2909" t="s">
        <v>6332</v>
      </c>
      <c r="F2909" t="s">
        <v>13493</v>
      </c>
      <c r="G2909" t="s">
        <v>5703</v>
      </c>
      <c r="H2909" t="s">
        <v>5474</v>
      </c>
      <c r="I2909" t="s">
        <v>13494</v>
      </c>
      <c r="J2909" t="s">
        <v>5476</v>
      </c>
      <c r="K2909" t="s">
        <v>13495</v>
      </c>
      <c r="L2909" t="s">
        <v>5471</v>
      </c>
      <c r="M2909" t="s">
        <v>5471</v>
      </c>
    </row>
    <row r="2910" spans="1:13" x14ac:dyDescent="0.3">
      <c r="A2910" t="s">
        <v>3397</v>
      </c>
      <c r="B2910" t="s">
        <v>5594</v>
      </c>
      <c r="C2910" t="s">
        <v>5487</v>
      </c>
      <c r="D2910" t="s">
        <v>4119</v>
      </c>
      <c r="E2910" t="s">
        <v>6332</v>
      </c>
      <c r="F2910" t="s">
        <v>13496</v>
      </c>
      <c r="G2910" t="s">
        <v>5703</v>
      </c>
      <c r="H2910" t="s">
        <v>5474</v>
      </c>
      <c r="I2910" t="s">
        <v>13497</v>
      </c>
      <c r="J2910" t="s">
        <v>5476</v>
      </c>
      <c r="K2910" t="s">
        <v>13498</v>
      </c>
      <c r="L2910" t="s">
        <v>5471</v>
      </c>
      <c r="M2910" t="s">
        <v>5471</v>
      </c>
    </row>
    <row r="2911" spans="1:13" x14ac:dyDescent="0.3">
      <c r="A2911" t="s">
        <v>3397</v>
      </c>
      <c r="B2911" t="s">
        <v>5594</v>
      </c>
      <c r="C2911" t="s">
        <v>5487</v>
      </c>
      <c r="D2911" t="s">
        <v>4119</v>
      </c>
      <c r="E2911" t="s">
        <v>6332</v>
      </c>
      <c r="F2911" t="s">
        <v>13499</v>
      </c>
      <c r="G2911" t="s">
        <v>5703</v>
      </c>
      <c r="H2911" t="s">
        <v>5474</v>
      </c>
      <c r="I2911" t="s">
        <v>13500</v>
      </c>
      <c r="J2911" t="s">
        <v>5476</v>
      </c>
      <c r="K2911" t="s">
        <v>13501</v>
      </c>
      <c r="L2911" t="s">
        <v>5471</v>
      </c>
      <c r="M2911" t="s">
        <v>5471</v>
      </c>
    </row>
    <row r="2912" spans="1:13" x14ac:dyDescent="0.3">
      <c r="A2912" t="s">
        <v>3397</v>
      </c>
      <c r="B2912" t="s">
        <v>5594</v>
      </c>
      <c r="C2912" t="s">
        <v>5487</v>
      </c>
      <c r="D2912" t="s">
        <v>4119</v>
      </c>
      <c r="E2912" t="s">
        <v>6332</v>
      </c>
      <c r="F2912" t="s">
        <v>13502</v>
      </c>
      <c r="G2912" t="s">
        <v>5703</v>
      </c>
      <c r="H2912" t="s">
        <v>5474</v>
      </c>
      <c r="I2912" t="s">
        <v>13503</v>
      </c>
      <c r="J2912" t="s">
        <v>5476</v>
      </c>
      <c r="K2912" t="s">
        <v>13504</v>
      </c>
      <c r="L2912" t="s">
        <v>5471</v>
      </c>
      <c r="M2912" t="s">
        <v>5471</v>
      </c>
    </row>
    <row r="2913" spans="1:13" x14ac:dyDescent="0.3">
      <c r="A2913" t="s">
        <v>3397</v>
      </c>
      <c r="B2913" t="s">
        <v>5594</v>
      </c>
      <c r="C2913" t="s">
        <v>5487</v>
      </c>
      <c r="D2913" t="s">
        <v>4119</v>
      </c>
      <c r="E2913" t="s">
        <v>6332</v>
      </c>
      <c r="F2913" t="s">
        <v>13505</v>
      </c>
      <c r="G2913" t="s">
        <v>5703</v>
      </c>
      <c r="H2913" t="s">
        <v>5474</v>
      </c>
      <c r="I2913" t="s">
        <v>13506</v>
      </c>
      <c r="J2913" t="s">
        <v>5476</v>
      </c>
      <c r="K2913" t="s">
        <v>13507</v>
      </c>
      <c r="L2913" t="s">
        <v>5471</v>
      </c>
      <c r="M2913" t="s">
        <v>5471</v>
      </c>
    </row>
    <row r="2914" spans="1:13" x14ac:dyDescent="0.3">
      <c r="A2914" t="s">
        <v>3397</v>
      </c>
      <c r="B2914" t="s">
        <v>5594</v>
      </c>
      <c r="C2914" t="s">
        <v>5487</v>
      </c>
      <c r="D2914" t="s">
        <v>4119</v>
      </c>
      <c r="E2914" t="s">
        <v>6332</v>
      </c>
      <c r="F2914" t="s">
        <v>13508</v>
      </c>
      <c r="G2914" t="s">
        <v>5703</v>
      </c>
      <c r="H2914" t="s">
        <v>5474</v>
      </c>
      <c r="I2914" t="s">
        <v>13509</v>
      </c>
      <c r="J2914" t="s">
        <v>5476</v>
      </c>
      <c r="K2914" t="s">
        <v>13510</v>
      </c>
      <c r="L2914" t="s">
        <v>5471</v>
      </c>
      <c r="M2914" t="s">
        <v>5471</v>
      </c>
    </row>
    <row r="2915" spans="1:13" x14ac:dyDescent="0.3">
      <c r="A2915" t="s">
        <v>3397</v>
      </c>
      <c r="B2915" t="s">
        <v>5594</v>
      </c>
      <c r="C2915" t="s">
        <v>5487</v>
      </c>
      <c r="D2915" t="s">
        <v>4119</v>
      </c>
      <c r="E2915" t="s">
        <v>6332</v>
      </c>
      <c r="F2915" t="s">
        <v>13511</v>
      </c>
      <c r="G2915" t="s">
        <v>5703</v>
      </c>
      <c r="H2915" t="s">
        <v>5474</v>
      </c>
      <c r="I2915" t="s">
        <v>13512</v>
      </c>
      <c r="J2915" t="s">
        <v>5476</v>
      </c>
      <c r="K2915" t="s">
        <v>13513</v>
      </c>
      <c r="L2915" t="s">
        <v>5471</v>
      </c>
      <c r="M2915" t="s">
        <v>5471</v>
      </c>
    </row>
    <row r="2916" spans="1:13" x14ac:dyDescent="0.3">
      <c r="A2916" t="s">
        <v>3397</v>
      </c>
      <c r="B2916" t="s">
        <v>5594</v>
      </c>
      <c r="C2916" t="s">
        <v>5487</v>
      </c>
      <c r="D2916" t="s">
        <v>4119</v>
      </c>
      <c r="E2916" t="s">
        <v>6332</v>
      </c>
      <c r="F2916" t="s">
        <v>13514</v>
      </c>
      <c r="G2916" t="s">
        <v>5703</v>
      </c>
      <c r="H2916" t="s">
        <v>5474</v>
      </c>
      <c r="I2916" t="s">
        <v>13515</v>
      </c>
      <c r="J2916" t="s">
        <v>5476</v>
      </c>
      <c r="K2916" t="s">
        <v>13516</v>
      </c>
      <c r="L2916" t="s">
        <v>5471</v>
      </c>
      <c r="M2916" t="s">
        <v>5471</v>
      </c>
    </row>
    <row r="2917" spans="1:13" x14ac:dyDescent="0.3">
      <c r="A2917" t="s">
        <v>3397</v>
      </c>
      <c r="B2917" t="s">
        <v>5594</v>
      </c>
      <c r="C2917" t="s">
        <v>5487</v>
      </c>
      <c r="D2917" t="s">
        <v>4119</v>
      </c>
      <c r="E2917" t="s">
        <v>6332</v>
      </c>
      <c r="F2917" t="s">
        <v>13517</v>
      </c>
      <c r="G2917" t="s">
        <v>5703</v>
      </c>
      <c r="H2917" t="s">
        <v>5474</v>
      </c>
      <c r="I2917" t="s">
        <v>13518</v>
      </c>
      <c r="J2917" t="s">
        <v>5476</v>
      </c>
      <c r="K2917" t="s">
        <v>13519</v>
      </c>
      <c r="L2917" t="s">
        <v>5471</v>
      </c>
      <c r="M2917" t="s">
        <v>5471</v>
      </c>
    </row>
    <row r="2918" spans="1:13" x14ac:dyDescent="0.3">
      <c r="A2918" t="s">
        <v>3397</v>
      </c>
      <c r="B2918" t="s">
        <v>5594</v>
      </c>
      <c r="C2918" t="s">
        <v>5487</v>
      </c>
      <c r="D2918" t="s">
        <v>4119</v>
      </c>
      <c r="E2918" t="s">
        <v>6332</v>
      </c>
      <c r="F2918" t="s">
        <v>13520</v>
      </c>
      <c r="G2918" t="s">
        <v>5703</v>
      </c>
      <c r="H2918" t="s">
        <v>5474</v>
      </c>
      <c r="I2918" t="s">
        <v>13521</v>
      </c>
      <c r="J2918" t="s">
        <v>5476</v>
      </c>
      <c r="K2918" t="s">
        <v>13522</v>
      </c>
      <c r="L2918" t="s">
        <v>5471</v>
      </c>
      <c r="M2918" t="s">
        <v>5471</v>
      </c>
    </row>
    <row r="2919" spans="1:13" x14ac:dyDescent="0.3">
      <c r="A2919" t="s">
        <v>3397</v>
      </c>
      <c r="B2919" t="s">
        <v>5594</v>
      </c>
      <c r="C2919" t="s">
        <v>5487</v>
      </c>
      <c r="D2919" t="s">
        <v>4119</v>
      </c>
      <c r="E2919" t="s">
        <v>6332</v>
      </c>
      <c r="F2919" t="s">
        <v>13523</v>
      </c>
      <c r="G2919" t="s">
        <v>5703</v>
      </c>
      <c r="H2919" t="s">
        <v>5474</v>
      </c>
      <c r="I2919" t="s">
        <v>13524</v>
      </c>
      <c r="J2919" t="s">
        <v>5476</v>
      </c>
      <c r="K2919" t="s">
        <v>13525</v>
      </c>
      <c r="L2919" t="s">
        <v>5471</v>
      </c>
      <c r="M2919" t="s">
        <v>5471</v>
      </c>
    </row>
    <row r="2920" spans="1:13" x14ac:dyDescent="0.3">
      <c r="A2920" t="s">
        <v>3397</v>
      </c>
      <c r="B2920" t="s">
        <v>5594</v>
      </c>
      <c r="C2920" t="s">
        <v>5487</v>
      </c>
      <c r="D2920" t="s">
        <v>4119</v>
      </c>
      <c r="E2920" t="s">
        <v>6332</v>
      </c>
      <c r="F2920" t="s">
        <v>13526</v>
      </c>
      <c r="G2920" t="s">
        <v>5703</v>
      </c>
      <c r="H2920" t="s">
        <v>5474</v>
      </c>
      <c r="I2920" t="s">
        <v>13527</v>
      </c>
      <c r="J2920" t="s">
        <v>5476</v>
      </c>
      <c r="K2920" t="s">
        <v>13528</v>
      </c>
      <c r="L2920" t="s">
        <v>5471</v>
      </c>
      <c r="M2920" t="s">
        <v>5471</v>
      </c>
    </row>
    <row r="2921" spans="1:13" x14ac:dyDescent="0.3">
      <c r="A2921" t="s">
        <v>3397</v>
      </c>
      <c r="B2921" t="s">
        <v>5594</v>
      </c>
      <c r="C2921" t="s">
        <v>5487</v>
      </c>
      <c r="D2921" t="s">
        <v>4119</v>
      </c>
      <c r="E2921" t="s">
        <v>6332</v>
      </c>
      <c r="F2921" t="s">
        <v>13529</v>
      </c>
      <c r="G2921" t="s">
        <v>5703</v>
      </c>
      <c r="H2921" t="s">
        <v>5474</v>
      </c>
      <c r="I2921" t="s">
        <v>13530</v>
      </c>
      <c r="J2921" t="s">
        <v>5476</v>
      </c>
      <c r="K2921" t="s">
        <v>13531</v>
      </c>
      <c r="L2921" t="s">
        <v>5471</v>
      </c>
      <c r="M2921" t="s">
        <v>5471</v>
      </c>
    </row>
    <row r="2922" spans="1:13" x14ac:dyDescent="0.3">
      <c r="A2922" t="s">
        <v>3397</v>
      </c>
      <c r="B2922" t="s">
        <v>5594</v>
      </c>
      <c r="C2922" t="s">
        <v>5487</v>
      </c>
      <c r="D2922" t="s">
        <v>4119</v>
      </c>
      <c r="E2922" t="s">
        <v>6332</v>
      </c>
      <c r="F2922" t="s">
        <v>13532</v>
      </c>
      <c r="G2922" t="s">
        <v>5703</v>
      </c>
      <c r="H2922" t="s">
        <v>5474</v>
      </c>
      <c r="I2922" t="s">
        <v>13533</v>
      </c>
      <c r="J2922" t="s">
        <v>5476</v>
      </c>
      <c r="K2922" t="s">
        <v>13534</v>
      </c>
      <c r="L2922" t="s">
        <v>5471</v>
      </c>
      <c r="M2922" t="s">
        <v>5471</v>
      </c>
    </row>
    <row r="2923" spans="1:13" x14ac:dyDescent="0.3">
      <c r="A2923" t="s">
        <v>3397</v>
      </c>
      <c r="B2923" t="s">
        <v>5594</v>
      </c>
      <c r="C2923" t="s">
        <v>5487</v>
      </c>
      <c r="D2923" t="s">
        <v>4119</v>
      </c>
      <c r="E2923" t="s">
        <v>6332</v>
      </c>
      <c r="F2923" t="s">
        <v>13535</v>
      </c>
      <c r="G2923" t="s">
        <v>5703</v>
      </c>
      <c r="H2923" t="s">
        <v>5474</v>
      </c>
      <c r="I2923" t="s">
        <v>13536</v>
      </c>
      <c r="J2923" t="s">
        <v>5476</v>
      </c>
      <c r="K2923" t="s">
        <v>13537</v>
      </c>
      <c r="L2923" t="s">
        <v>5471</v>
      </c>
      <c r="M2923" t="s">
        <v>5471</v>
      </c>
    </row>
    <row r="2924" spans="1:13" x14ac:dyDescent="0.3">
      <c r="A2924" t="s">
        <v>3397</v>
      </c>
      <c r="B2924" t="s">
        <v>5594</v>
      </c>
      <c r="C2924" t="s">
        <v>5487</v>
      </c>
      <c r="D2924" t="s">
        <v>4119</v>
      </c>
      <c r="E2924" t="s">
        <v>5595</v>
      </c>
      <c r="F2924" t="s">
        <v>13538</v>
      </c>
      <c r="G2924" t="s">
        <v>13368</v>
      </c>
      <c r="H2924" t="s">
        <v>5474</v>
      </c>
      <c r="I2924" t="s">
        <v>13539</v>
      </c>
      <c r="J2924" t="s">
        <v>5476</v>
      </c>
      <c r="K2924" t="s">
        <v>13540</v>
      </c>
      <c r="L2924" t="s">
        <v>5471</v>
      </c>
      <c r="M2924" t="s">
        <v>5471</v>
      </c>
    </row>
    <row r="2925" spans="1:13" x14ac:dyDescent="0.3">
      <c r="A2925" t="s">
        <v>3397</v>
      </c>
      <c r="B2925" t="s">
        <v>5594</v>
      </c>
      <c r="C2925" t="s">
        <v>5487</v>
      </c>
      <c r="D2925" t="s">
        <v>4119</v>
      </c>
      <c r="E2925" t="s">
        <v>5595</v>
      </c>
      <c r="F2925" t="s">
        <v>13541</v>
      </c>
      <c r="G2925" t="s">
        <v>13401</v>
      </c>
      <c r="H2925" t="s">
        <v>5474</v>
      </c>
      <c r="I2925" t="s">
        <v>13542</v>
      </c>
      <c r="J2925" t="s">
        <v>5476</v>
      </c>
      <c r="K2925" t="s">
        <v>13543</v>
      </c>
      <c r="L2925" t="s">
        <v>5471</v>
      </c>
      <c r="M2925" t="s">
        <v>5471</v>
      </c>
    </row>
    <row r="2926" spans="1:13" x14ac:dyDescent="0.3">
      <c r="A2926" t="s">
        <v>3397</v>
      </c>
      <c r="B2926" t="s">
        <v>5594</v>
      </c>
      <c r="C2926" t="s">
        <v>5487</v>
      </c>
      <c r="D2926" t="s">
        <v>4119</v>
      </c>
      <c r="E2926" t="s">
        <v>5595</v>
      </c>
      <c r="F2926" t="s">
        <v>13544</v>
      </c>
      <c r="G2926" t="s">
        <v>13372</v>
      </c>
      <c r="H2926" t="s">
        <v>5474</v>
      </c>
      <c r="I2926" t="s">
        <v>13545</v>
      </c>
      <c r="J2926" t="s">
        <v>5476</v>
      </c>
      <c r="K2926" t="s">
        <v>13546</v>
      </c>
      <c r="L2926" t="s">
        <v>5471</v>
      </c>
      <c r="M2926" t="s">
        <v>5471</v>
      </c>
    </row>
    <row r="2927" spans="1:13" x14ac:dyDescent="0.3">
      <c r="A2927" t="s">
        <v>3397</v>
      </c>
      <c r="B2927" t="s">
        <v>5594</v>
      </c>
      <c r="C2927" t="s">
        <v>5487</v>
      </c>
      <c r="D2927" t="s">
        <v>4119</v>
      </c>
      <c r="E2927" t="s">
        <v>5595</v>
      </c>
      <c r="F2927" t="s">
        <v>13547</v>
      </c>
      <c r="G2927" t="s">
        <v>13405</v>
      </c>
      <c r="H2927" t="s">
        <v>5474</v>
      </c>
      <c r="I2927" t="s">
        <v>13548</v>
      </c>
      <c r="J2927" t="s">
        <v>5476</v>
      </c>
      <c r="K2927" t="s">
        <v>13549</v>
      </c>
      <c r="L2927" t="s">
        <v>5471</v>
      </c>
      <c r="M2927" t="s">
        <v>5471</v>
      </c>
    </row>
    <row r="2928" spans="1:13" x14ac:dyDescent="0.3">
      <c r="A2928" t="s">
        <v>3397</v>
      </c>
      <c r="B2928" t="s">
        <v>5301</v>
      </c>
      <c r="C2928" t="s">
        <v>6342</v>
      </c>
      <c r="D2928" t="s">
        <v>4058</v>
      </c>
      <c r="E2928" t="s">
        <v>6332</v>
      </c>
      <c r="F2928" t="s">
        <v>13550</v>
      </c>
      <c r="G2928" t="s">
        <v>13551</v>
      </c>
      <c r="H2928" t="s">
        <v>5474</v>
      </c>
      <c r="I2928" t="s">
        <v>13552</v>
      </c>
      <c r="J2928" t="s">
        <v>5476</v>
      </c>
      <c r="K2928" t="s">
        <v>13553</v>
      </c>
      <c r="L2928" t="s">
        <v>5471</v>
      </c>
      <c r="M2928" t="s">
        <v>5471</v>
      </c>
    </row>
    <row r="2929" spans="1:13" x14ac:dyDescent="0.3">
      <c r="A2929" t="s">
        <v>3397</v>
      </c>
      <c r="B2929" t="s">
        <v>5301</v>
      </c>
      <c r="C2929" t="s">
        <v>6342</v>
      </c>
      <c r="D2929" t="s">
        <v>4058</v>
      </c>
      <c r="E2929" t="s">
        <v>6332</v>
      </c>
      <c r="F2929" t="s">
        <v>13554</v>
      </c>
      <c r="G2929" t="s">
        <v>13555</v>
      </c>
      <c r="H2929" t="s">
        <v>5474</v>
      </c>
      <c r="I2929" t="s">
        <v>13556</v>
      </c>
      <c r="J2929" t="s">
        <v>5476</v>
      </c>
      <c r="K2929" t="s">
        <v>13557</v>
      </c>
      <c r="L2929" t="s">
        <v>5471</v>
      </c>
      <c r="M2929" t="s">
        <v>5471</v>
      </c>
    </row>
    <row r="2930" spans="1:13" x14ac:dyDescent="0.3">
      <c r="A2930" t="s">
        <v>3397</v>
      </c>
      <c r="B2930" t="s">
        <v>5301</v>
      </c>
      <c r="C2930" t="s">
        <v>6342</v>
      </c>
      <c r="D2930" t="s">
        <v>4058</v>
      </c>
      <c r="E2930" t="s">
        <v>6332</v>
      </c>
      <c r="F2930" t="s">
        <v>13558</v>
      </c>
      <c r="G2930" t="s">
        <v>13559</v>
      </c>
      <c r="H2930" t="s">
        <v>5474</v>
      </c>
      <c r="I2930" t="s">
        <v>13560</v>
      </c>
      <c r="J2930" t="s">
        <v>5476</v>
      </c>
      <c r="K2930" t="s">
        <v>13561</v>
      </c>
      <c r="L2930" t="s">
        <v>5485</v>
      </c>
      <c r="M2930" t="s">
        <v>5471</v>
      </c>
    </row>
    <row r="2931" spans="1:13" x14ac:dyDescent="0.3">
      <c r="A2931" t="s">
        <v>3397</v>
      </c>
      <c r="B2931" t="s">
        <v>13562</v>
      </c>
      <c r="C2931" t="s">
        <v>6342</v>
      </c>
      <c r="D2931" t="s">
        <v>4081</v>
      </c>
      <c r="E2931" t="s">
        <v>5756</v>
      </c>
      <c r="F2931" t="s">
        <v>13563</v>
      </c>
      <c r="G2931" t="s">
        <v>13564</v>
      </c>
      <c r="H2931" t="s">
        <v>5474</v>
      </c>
      <c r="I2931" t="s">
        <v>13565</v>
      </c>
      <c r="J2931" t="s">
        <v>5476</v>
      </c>
      <c r="K2931" t="s">
        <v>12812</v>
      </c>
      <c r="L2931" t="s">
        <v>5471</v>
      </c>
      <c r="M2931" t="s">
        <v>5471</v>
      </c>
    </row>
    <row r="2932" spans="1:13" x14ac:dyDescent="0.3">
      <c r="A2932" t="s">
        <v>3397</v>
      </c>
      <c r="B2932" t="s">
        <v>13562</v>
      </c>
      <c r="C2932" t="s">
        <v>6342</v>
      </c>
      <c r="D2932" t="s">
        <v>4081</v>
      </c>
      <c r="E2932" t="s">
        <v>5756</v>
      </c>
      <c r="F2932" t="s">
        <v>13566</v>
      </c>
      <c r="G2932" t="s">
        <v>13567</v>
      </c>
      <c r="H2932" t="s">
        <v>5474</v>
      </c>
      <c r="I2932" t="s">
        <v>13568</v>
      </c>
      <c r="J2932" t="s">
        <v>5476</v>
      </c>
      <c r="K2932" t="s">
        <v>13569</v>
      </c>
      <c r="L2932" t="s">
        <v>5471</v>
      </c>
      <c r="M2932" t="s">
        <v>5471</v>
      </c>
    </row>
    <row r="2933" spans="1:13" x14ac:dyDescent="0.3">
      <c r="A2933" t="s">
        <v>3397</v>
      </c>
      <c r="B2933" t="s">
        <v>7424</v>
      </c>
      <c r="C2933" t="s">
        <v>5487</v>
      </c>
      <c r="D2933" t="s">
        <v>4056</v>
      </c>
      <c r="E2933" t="s">
        <v>5756</v>
      </c>
      <c r="F2933" t="s">
        <v>13570</v>
      </c>
      <c r="G2933" t="s">
        <v>7426</v>
      </c>
      <c r="H2933" t="s">
        <v>5474</v>
      </c>
      <c r="I2933" t="s">
        <v>13571</v>
      </c>
      <c r="J2933" t="s">
        <v>5476</v>
      </c>
      <c r="K2933" t="s">
        <v>13572</v>
      </c>
      <c r="L2933" t="s">
        <v>5471</v>
      </c>
      <c r="M2933" t="s">
        <v>5471</v>
      </c>
    </row>
    <row r="2934" spans="1:13" x14ac:dyDescent="0.3">
      <c r="A2934" t="s">
        <v>3397</v>
      </c>
      <c r="B2934" t="s">
        <v>7424</v>
      </c>
      <c r="C2934" t="s">
        <v>5487</v>
      </c>
      <c r="D2934" t="s">
        <v>4056</v>
      </c>
      <c r="E2934" t="s">
        <v>5756</v>
      </c>
      <c r="F2934" t="s">
        <v>13573</v>
      </c>
      <c r="G2934" t="s">
        <v>7426</v>
      </c>
      <c r="H2934" t="s">
        <v>5474</v>
      </c>
      <c r="I2934" t="s">
        <v>13574</v>
      </c>
      <c r="J2934" t="s">
        <v>5476</v>
      </c>
      <c r="K2934" t="s">
        <v>13575</v>
      </c>
      <c r="L2934" t="s">
        <v>5471</v>
      </c>
      <c r="M2934" t="s">
        <v>5471</v>
      </c>
    </row>
    <row r="2935" spans="1:13" x14ac:dyDescent="0.3">
      <c r="A2935" t="s">
        <v>3397</v>
      </c>
      <c r="B2935" t="s">
        <v>7424</v>
      </c>
      <c r="C2935" t="s">
        <v>5487</v>
      </c>
      <c r="D2935" t="s">
        <v>4056</v>
      </c>
      <c r="E2935" t="s">
        <v>5756</v>
      </c>
      <c r="F2935" t="s">
        <v>13576</v>
      </c>
      <c r="G2935" t="s">
        <v>7426</v>
      </c>
      <c r="H2935" t="s">
        <v>5474</v>
      </c>
      <c r="I2935" t="s">
        <v>13577</v>
      </c>
      <c r="J2935" t="s">
        <v>5476</v>
      </c>
      <c r="K2935" t="s">
        <v>13578</v>
      </c>
      <c r="L2935" t="s">
        <v>5471</v>
      </c>
      <c r="M2935" t="s">
        <v>5471</v>
      </c>
    </row>
    <row r="2936" spans="1:13" x14ac:dyDescent="0.3">
      <c r="A2936" t="s">
        <v>3397</v>
      </c>
      <c r="B2936" t="s">
        <v>7424</v>
      </c>
      <c r="C2936" t="s">
        <v>5487</v>
      </c>
      <c r="D2936" t="s">
        <v>4056</v>
      </c>
      <c r="E2936" t="s">
        <v>5756</v>
      </c>
      <c r="F2936" t="s">
        <v>13579</v>
      </c>
      <c r="G2936" t="s">
        <v>7426</v>
      </c>
      <c r="H2936" t="s">
        <v>5474</v>
      </c>
      <c r="I2936" t="s">
        <v>13580</v>
      </c>
      <c r="J2936" t="s">
        <v>5476</v>
      </c>
      <c r="K2936" t="s">
        <v>13581</v>
      </c>
      <c r="L2936" t="s">
        <v>5471</v>
      </c>
      <c r="M2936" t="s">
        <v>5471</v>
      </c>
    </row>
    <row r="2937" spans="1:13" x14ac:dyDescent="0.3">
      <c r="A2937" t="s">
        <v>3397</v>
      </c>
      <c r="B2937" t="s">
        <v>7424</v>
      </c>
      <c r="C2937" t="s">
        <v>5487</v>
      </c>
      <c r="D2937" t="s">
        <v>4056</v>
      </c>
      <c r="E2937" t="s">
        <v>5756</v>
      </c>
      <c r="F2937" t="s">
        <v>13582</v>
      </c>
      <c r="G2937" t="s">
        <v>10239</v>
      </c>
      <c r="H2937" t="s">
        <v>5474</v>
      </c>
      <c r="I2937" t="s">
        <v>13583</v>
      </c>
      <c r="J2937" t="s">
        <v>5476</v>
      </c>
      <c r="K2937" t="s">
        <v>13584</v>
      </c>
      <c r="L2937" t="s">
        <v>5471</v>
      </c>
      <c r="M2937" t="s">
        <v>5471</v>
      </c>
    </row>
    <row r="2938" spans="1:13" x14ac:dyDescent="0.3">
      <c r="A2938" t="s">
        <v>3397</v>
      </c>
      <c r="B2938" t="s">
        <v>7424</v>
      </c>
      <c r="C2938" t="s">
        <v>5487</v>
      </c>
      <c r="D2938" t="s">
        <v>4056</v>
      </c>
      <c r="E2938" t="s">
        <v>5756</v>
      </c>
      <c r="F2938" t="s">
        <v>13585</v>
      </c>
      <c r="G2938" t="s">
        <v>10239</v>
      </c>
      <c r="H2938" t="s">
        <v>5474</v>
      </c>
      <c r="I2938" t="s">
        <v>13586</v>
      </c>
      <c r="J2938" t="s">
        <v>5476</v>
      </c>
      <c r="K2938" t="s">
        <v>13587</v>
      </c>
      <c r="L2938" t="s">
        <v>5471</v>
      </c>
      <c r="M2938" t="s">
        <v>5471</v>
      </c>
    </row>
    <row r="2939" spans="1:13" x14ac:dyDescent="0.3">
      <c r="A2939" t="s">
        <v>3397</v>
      </c>
      <c r="B2939" t="s">
        <v>7424</v>
      </c>
      <c r="C2939" t="s">
        <v>5487</v>
      </c>
      <c r="D2939" t="s">
        <v>4056</v>
      </c>
      <c r="E2939" t="s">
        <v>5756</v>
      </c>
      <c r="F2939" t="s">
        <v>13588</v>
      </c>
      <c r="G2939" t="s">
        <v>10239</v>
      </c>
      <c r="H2939" t="s">
        <v>5474</v>
      </c>
      <c r="I2939" t="s">
        <v>13589</v>
      </c>
      <c r="J2939" t="s">
        <v>5476</v>
      </c>
      <c r="K2939" t="s">
        <v>13590</v>
      </c>
      <c r="L2939" t="s">
        <v>5471</v>
      </c>
      <c r="M2939" t="s">
        <v>5471</v>
      </c>
    </row>
    <row r="2940" spans="1:13" x14ac:dyDescent="0.3">
      <c r="A2940" t="s">
        <v>3397</v>
      </c>
      <c r="B2940" t="s">
        <v>7424</v>
      </c>
      <c r="C2940" t="s">
        <v>5487</v>
      </c>
      <c r="D2940" t="s">
        <v>4056</v>
      </c>
      <c r="E2940" t="s">
        <v>5756</v>
      </c>
      <c r="F2940" t="s">
        <v>13591</v>
      </c>
      <c r="G2940" t="s">
        <v>10239</v>
      </c>
      <c r="H2940" t="s">
        <v>5474</v>
      </c>
      <c r="I2940" t="s">
        <v>13592</v>
      </c>
      <c r="J2940" t="s">
        <v>5476</v>
      </c>
      <c r="K2940" t="s">
        <v>13593</v>
      </c>
      <c r="L2940" t="s">
        <v>5471</v>
      </c>
      <c r="M2940" t="s">
        <v>5471</v>
      </c>
    </row>
    <row r="2941" spans="1:13" x14ac:dyDescent="0.3">
      <c r="A2941" t="s">
        <v>3397</v>
      </c>
      <c r="B2941" t="s">
        <v>7424</v>
      </c>
      <c r="C2941" t="s">
        <v>5487</v>
      </c>
      <c r="D2941" t="s">
        <v>4056</v>
      </c>
      <c r="E2941" t="s">
        <v>5756</v>
      </c>
      <c r="F2941" t="s">
        <v>13594</v>
      </c>
      <c r="G2941" t="s">
        <v>10239</v>
      </c>
      <c r="H2941" t="s">
        <v>5474</v>
      </c>
      <c r="I2941" t="s">
        <v>13595</v>
      </c>
      <c r="J2941" t="s">
        <v>5476</v>
      </c>
      <c r="K2941" t="s">
        <v>13596</v>
      </c>
      <c r="L2941" t="s">
        <v>5471</v>
      </c>
      <c r="M2941" t="s">
        <v>5471</v>
      </c>
    </row>
    <row r="2942" spans="1:13" x14ac:dyDescent="0.3">
      <c r="A2942" t="s">
        <v>3397</v>
      </c>
      <c r="B2942" t="s">
        <v>7424</v>
      </c>
      <c r="C2942" t="s">
        <v>5487</v>
      </c>
      <c r="D2942" t="s">
        <v>4056</v>
      </c>
      <c r="E2942" t="s">
        <v>5756</v>
      </c>
      <c r="F2942" t="s">
        <v>13597</v>
      </c>
      <c r="G2942" t="s">
        <v>10239</v>
      </c>
      <c r="H2942" t="s">
        <v>5474</v>
      </c>
      <c r="I2942" t="s">
        <v>13598</v>
      </c>
      <c r="J2942" t="s">
        <v>5476</v>
      </c>
      <c r="K2942" t="s">
        <v>13599</v>
      </c>
      <c r="L2942" t="s">
        <v>5471</v>
      </c>
      <c r="M2942" t="s">
        <v>5471</v>
      </c>
    </row>
    <row r="2943" spans="1:13" x14ac:dyDescent="0.3">
      <c r="A2943" t="s">
        <v>3397</v>
      </c>
      <c r="B2943" t="s">
        <v>7424</v>
      </c>
      <c r="C2943" t="s">
        <v>5487</v>
      </c>
      <c r="D2943" t="s">
        <v>4056</v>
      </c>
      <c r="E2943" t="s">
        <v>5756</v>
      </c>
      <c r="F2943" t="s">
        <v>13600</v>
      </c>
      <c r="G2943" t="s">
        <v>10239</v>
      </c>
      <c r="H2943" t="s">
        <v>5474</v>
      </c>
      <c r="I2943" t="s">
        <v>13601</v>
      </c>
      <c r="J2943" t="s">
        <v>5476</v>
      </c>
      <c r="K2943" t="s">
        <v>13602</v>
      </c>
      <c r="L2943" t="s">
        <v>5471</v>
      </c>
      <c r="M2943" t="s">
        <v>5471</v>
      </c>
    </row>
    <row r="2944" spans="1:13" x14ac:dyDescent="0.3">
      <c r="A2944" t="s">
        <v>3397</v>
      </c>
      <c r="B2944" t="s">
        <v>7424</v>
      </c>
      <c r="C2944" t="s">
        <v>5487</v>
      </c>
      <c r="D2944" t="s">
        <v>4056</v>
      </c>
      <c r="E2944" t="s">
        <v>5756</v>
      </c>
      <c r="F2944" t="s">
        <v>13603</v>
      </c>
      <c r="G2944" t="s">
        <v>10239</v>
      </c>
      <c r="H2944" t="s">
        <v>5474</v>
      </c>
      <c r="I2944" t="s">
        <v>13604</v>
      </c>
      <c r="J2944" t="s">
        <v>5476</v>
      </c>
      <c r="K2944" t="s">
        <v>13605</v>
      </c>
      <c r="L2944" t="s">
        <v>5471</v>
      </c>
      <c r="M2944" t="s">
        <v>5471</v>
      </c>
    </row>
    <row r="2945" spans="1:13" x14ac:dyDescent="0.3">
      <c r="A2945" t="s">
        <v>3397</v>
      </c>
      <c r="B2945" t="s">
        <v>7424</v>
      </c>
      <c r="C2945" t="s">
        <v>5487</v>
      </c>
      <c r="D2945" t="s">
        <v>4056</v>
      </c>
      <c r="E2945" t="s">
        <v>5756</v>
      </c>
      <c r="F2945" t="s">
        <v>13606</v>
      </c>
      <c r="G2945" t="s">
        <v>10239</v>
      </c>
      <c r="H2945" t="s">
        <v>5474</v>
      </c>
      <c r="I2945" t="s">
        <v>13607</v>
      </c>
      <c r="J2945" t="s">
        <v>5476</v>
      </c>
      <c r="K2945" t="s">
        <v>13608</v>
      </c>
      <c r="L2945" t="s">
        <v>5471</v>
      </c>
      <c r="M2945" t="s">
        <v>5471</v>
      </c>
    </row>
    <row r="2946" spans="1:13" x14ac:dyDescent="0.3">
      <c r="A2946" t="s">
        <v>3397</v>
      </c>
      <c r="B2946" t="s">
        <v>7424</v>
      </c>
      <c r="C2946" t="s">
        <v>5487</v>
      </c>
      <c r="D2946" t="s">
        <v>4056</v>
      </c>
      <c r="E2946" t="s">
        <v>5756</v>
      </c>
      <c r="F2946" t="s">
        <v>13609</v>
      </c>
      <c r="G2946" t="s">
        <v>10239</v>
      </c>
      <c r="H2946" t="s">
        <v>5474</v>
      </c>
      <c r="I2946" t="s">
        <v>13610</v>
      </c>
      <c r="J2946" t="s">
        <v>5476</v>
      </c>
      <c r="K2946" t="s">
        <v>13611</v>
      </c>
      <c r="L2946" t="s">
        <v>5471</v>
      </c>
      <c r="M2946" t="s">
        <v>5471</v>
      </c>
    </row>
    <row r="2947" spans="1:13" x14ac:dyDescent="0.3">
      <c r="A2947" t="s">
        <v>3397</v>
      </c>
      <c r="B2947" t="s">
        <v>7424</v>
      </c>
      <c r="C2947" t="s">
        <v>5487</v>
      </c>
      <c r="D2947" t="s">
        <v>4056</v>
      </c>
      <c r="E2947" t="s">
        <v>5756</v>
      </c>
      <c r="F2947" t="s">
        <v>13612</v>
      </c>
      <c r="G2947" t="s">
        <v>10239</v>
      </c>
      <c r="H2947" t="s">
        <v>5474</v>
      </c>
      <c r="I2947" t="s">
        <v>13613</v>
      </c>
      <c r="J2947" t="s">
        <v>5476</v>
      </c>
      <c r="K2947" t="s">
        <v>13614</v>
      </c>
      <c r="L2947" t="s">
        <v>5471</v>
      </c>
      <c r="M2947" t="s">
        <v>5471</v>
      </c>
    </row>
    <row r="2948" spans="1:13" x14ac:dyDescent="0.3">
      <c r="A2948" t="s">
        <v>3397</v>
      </c>
      <c r="B2948" t="s">
        <v>7424</v>
      </c>
      <c r="C2948" t="s">
        <v>5487</v>
      </c>
      <c r="D2948" t="s">
        <v>4056</v>
      </c>
      <c r="E2948" t="s">
        <v>5756</v>
      </c>
      <c r="F2948" t="s">
        <v>13615</v>
      </c>
      <c r="G2948" t="s">
        <v>10239</v>
      </c>
      <c r="H2948" t="s">
        <v>5474</v>
      </c>
      <c r="I2948" t="s">
        <v>13616</v>
      </c>
      <c r="J2948" t="s">
        <v>5476</v>
      </c>
      <c r="K2948" t="s">
        <v>13617</v>
      </c>
      <c r="L2948" t="s">
        <v>5471</v>
      </c>
      <c r="M2948" t="s">
        <v>5471</v>
      </c>
    </row>
    <row r="2949" spans="1:13" x14ac:dyDescent="0.3">
      <c r="A2949" t="s">
        <v>3397</v>
      </c>
      <c r="B2949" t="s">
        <v>7424</v>
      </c>
      <c r="C2949" t="s">
        <v>5487</v>
      </c>
      <c r="D2949" t="s">
        <v>4056</v>
      </c>
      <c r="E2949" t="s">
        <v>5756</v>
      </c>
      <c r="F2949" t="s">
        <v>13618</v>
      </c>
      <c r="G2949" t="s">
        <v>10239</v>
      </c>
      <c r="H2949" t="s">
        <v>5474</v>
      </c>
      <c r="I2949" t="s">
        <v>13619</v>
      </c>
      <c r="J2949" t="s">
        <v>5476</v>
      </c>
      <c r="K2949" t="s">
        <v>13620</v>
      </c>
      <c r="L2949" t="s">
        <v>5471</v>
      </c>
      <c r="M2949" t="s">
        <v>5471</v>
      </c>
    </row>
    <row r="2950" spans="1:13" x14ac:dyDescent="0.3">
      <c r="A2950" t="s">
        <v>3397</v>
      </c>
      <c r="B2950" t="s">
        <v>7424</v>
      </c>
      <c r="C2950" t="s">
        <v>5487</v>
      </c>
      <c r="D2950" t="s">
        <v>4056</v>
      </c>
      <c r="E2950" t="s">
        <v>5756</v>
      </c>
      <c r="F2950" t="s">
        <v>13621</v>
      </c>
      <c r="G2950" t="s">
        <v>10239</v>
      </c>
      <c r="H2950" t="s">
        <v>5474</v>
      </c>
      <c r="I2950" t="s">
        <v>13622</v>
      </c>
      <c r="J2950" t="s">
        <v>5476</v>
      </c>
      <c r="K2950" t="s">
        <v>13623</v>
      </c>
      <c r="L2950" t="s">
        <v>5471</v>
      </c>
      <c r="M2950" t="s">
        <v>5471</v>
      </c>
    </row>
    <row r="2951" spans="1:13" x14ac:dyDescent="0.3">
      <c r="A2951" t="s">
        <v>3397</v>
      </c>
      <c r="B2951" t="s">
        <v>7424</v>
      </c>
      <c r="C2951" t="s">
        <v>5487</v>
      </c>
      <c r="D2951" t="s">
        <v>4056</v>
      </c>
      <c r="E2951" t="s">
        <v>5756</v>
      </c>
      <c r="F2951" t="s">
        <v>13624</v>
      </c>
      <c r="G2951" t="s">
        <v>13625</v>
      </c>
      <c r="H2951" t="s">
        <v>5474</v>
      </c>
      <c r="I2951" t="s">
        <v>13626</v>
      </c>
      <c r="J2951" t="s">
        <v>5476</v>
      </c>
      <c r="K2951" t="s">
        <v>13627</v>
      </c>
      <c r="L2951" t="s">
        <v>5471</v>
      </c>
      <c r="M2951" t="s">
        <v>5471</v>
      </c>
    </row>
    <row r="2952" spans="1:13" x14ac:dyDescent="0.3">
      <c r="A2952" t="s">
        <v>3397</v>
      </c>
      <c r="B2952" t="s">
        <v>7424</v>
      </c>
      <c r="C2952" t="s">
        <v>5487</v>
      </c>
      <c r="D2952" t="s">
        <v>4056</v>
      </c>
      <c r="E2952" t="s">
        <v>5756</v>
      </c>
      <c r="F2952" t="s">
        <v>13628</v>
      </c>
      <c r="G2952" t="s">
        <v>13629</v>
      </c>
      <c r="H2952" t="s">
        <v>5474</v>
      </c>
      <c r="I2952" t="s">
        <v>13630</v>
      </c>
      <c r="J2952" t="s">
        <v>5476</v>
      </c>
      <c r="K2952" t="s">
        <v>13631</v>
      </c>
      <c r="L2952" t="s">
        <v>5471</v>
      </c>
      <c r="M2952" t="s">
        <v>5471</v>
      </c>
    </row>
    <row r="2953" spans="1:13" x14ac:dyDescent="0.3">
      <c r="A2953" t="s">
        <v>3397</v>
      </c>
      <c r="B2953" t="s">
        <v>7424</v>
      </c>
      <c r="C2953" t="s">
        <v>5487</v>
      </c>
      <c r="D2953" t="s">
        <v>4056</v>
      </c>
      <c r="E2953" t="s">
        <v>5756</v>
      </c>
      <c r="F2953" t="s">
        <v>13632</v>
      </c>
      <c r="G2953" t="s">
        <v>13629</v>
      </c>
      <c r="H2953" t="s">
        <v>5474</v>
      </c>
      <c r="I2953" t="s">
        <v>13633</v>
      </c>
      <c r="J2953" t="s">
        <v>5476</v>
      </c>
      <c r="K2953" t="s">
        <v>13634</v>
      </c>
      <c r="L2953" t="s">
        <v>5471</v>
      </c>
      <c r="M2953" t="s">
        <v>5471</v>
      </c>
    </row>
    <row r="2954" spans="1:13" x14ac:dyDescent="0.3">
      <c r="A2954" t="s">
        <v>3397</v>
      </c>
      <c r="B2954" t="s">
        <v>7424</v>
      </c>
      <c r="C2954" t="s">
        <v>5487</v>
      </c>
      <c r="D2954" t="s">
        <v>4056</v>
      </c>
      <c r="E2954" t="s">
        <v>5756</v>
      </c>
      <c r="F2954" t="s">
        <v>13635</v>
      </c>
      <c r="G2954" t="s">
        <v>13636</v>
      </c>
      <c r="H2954" t="s">
        <v>5474</v>
      </c>
      <c r="I2954" t="s">
        <v>13637</v>
      </c>
      <c r="J2954" t="s">
        <v>5476</v>
      </c>
      <c r="K2954" t="s">
        <v>13638</v>
      </c>
      <c r="L2954" t="s">
        <v>5471</v>
      </c>
      <c r="M2954" t="s">
        <v>5471</v>
      </c>
    </row>
    <row r="2955" spans="1:13" x14ac:dyDescent="0.3">
      <c r="A2955" t="s">
        <v>3397</v>
      </c>
      <c r="B2955" t="s">
        <v>7424</v>
      </c>
      <c r="C2955" t="s">
        <v>5487</v>
      </c>
      <c r="D2955" t="s">
        <v>4056</v>
      </c>
      <c r="E2955" t="s">
        <v>5756</v>
      </c>
      <c r="F2955" t="s">
        <v>13639</v>
      </c>
      <c r="G2955" t="s">
        <v>13636</v>
      </c>
      <c r="H2955" t="s">
        <v>5474</v>
      </c>
      <c r="I2955" t="s">
        <v>13640</v>
      </c>
      <c r="J2955" t="s">
        <v>5476</v>
      </c>
      <c r="K2955" t="s">
        <v>13641</v>
      </c>
      <c r="L2955" t="s">
        <v>5471</v>
      </c>
      <c r="M2955" t="s">
        <v>5471</v>
      </c>
    </row>
    <row r="2956" spans="1:13" x14ac:dyDescent="0.3">
      <c r="A2956" t="s">
        <v>3397</v>
      </c>
      <c r="B2956" t="s">
        <v>7424</v>
      </c>
      <c r="C2956" t="s">
        <v>5487</v>
      </c>
      <c r="D2956" t="s">
        <v>4056</v>
      </c>
      <c r="E2956" t="s">
        <v>5756</v>
      </c>
      <c r="F2956" t="s">
        <v>13642</v>
      </c>
      <c r="G2956" t="s">
        <v>13636</v>
      </c>
      <c r="H2956" t="s">
        <v>5474</v>
      </c>
      <c r="I2956" t="s">
        <v>13643</v>
      </c>
      <c r="J2956" t="s">
        <v>5476</v>
      </c>
      <c r="K2956" t="s">
        <v>13644</v>
      </c>
      <c r="L2956" t="s">
        <v>5471</v>
      </c>
      <c r="M2956" t="s">
        <v>5471</v>
      </c>
    </row>
    <row r="2957" spans="1:13" x14ac:dyDescent="0.3">
      <c r="A2957" t="s">
        <v>3397</v>
      </c>
      <c r="B2957" t="s">
        <v>7424</v>
      </c>
      <c r="C2957" t="s">
        <v>5487</v>
      </c>
      <c r="D2957" t="s">
        <v>4056</v>
      </c>
      <c r="E2957" t="s">
        <v>5756</v>
      </c>
      <c r="F2957" t="s">
        <v>13645</v>
      </c>
      <c r="G2957" t="s">
        <v>10239</v>
      </c>
      <c r="H2957" t="s">
        <v>5474</v>
      </c>
      <c r="I2957" t="s">
        <v>13646</v>
      </c>
      <c r="J2957" t="s">
        <v>5476</v>
      </c>
      <c r="K2957" t="s">
        <v>13647</v>
      </c>
      <c r="L2957" t="s">
        <v>5471</v>
      </c>
      <c r="M2957" t="s">
        <v>5471</v>
      </c>
    </row>
    <row r="2958" spans="1:13" x14ac:dyDescent="0.3">
      <c r="A2958" t="s">
        <v>3397</v>
      </c>
      <c r="B2958" t="s">
        <v>7424</v>
      </c>
      <c r="C2958" t="s">
        <v>5487</v>
      </c>
      <c r="D2958" t="s">
        <v>4056</v>
      </c>
      <c r="E2958" t="s">
        <v>5756</v>
      </c>
      <c r="F2958" t="s">
        <v>13648</v>
      </c>
      <c r="G2958" t="s">
        <v>10239</v>
      </c>
      <c r="H2958" t="s">
        <v>5474</v>
      </c>
      <c r="I2958" t="s">
        <v>13649</v>
      </c>
      <c r="J2958" t="s">
        <v>5476</v>
      </c>
      <c r="K2958" t="s">
        <v>13650</v>
      </c>
      <c r="L2958" t="s">
        <v>5471</v>
      </c>
      <c r="M2958" t="s">
        <v>5471</v>
      </c>
    </row>
    <row r="2959" spans="1:13" x14ac:dyDescent="0.3">
      <c r="A2959" t="s">
        <v>3397</v>
      </c>
      <c r="B2959" t="s">
        <v>7424</v>
      </c>
      <c r="C2959" t="s">
        <v>5487</v>
      </c>
      <c r="D2959" t="s">
        <v>4056</v>
      </c>
      <c r="E2959" t="s">
        <v>5756</v>
      </c>
      <c r="F2959" t="s">
        <v>13651</v>
      </c>
      <c r="G2959" t="s">
        <v>13652</v>
      </c>
      <c r="H2959" t="s">
        <v>5474</v>
      </c>
      <c r="I2959" t="s">
        <v>13653</v>
      </c>
      <c r="J2959" t="s">
        <v>5476</v>
      </c>
      <c r="K2959" t="s">
        <v>13654</v>
      </c>
      <c r="L2959" t="s">
        <v>5471</v>
      </c>
      <c r="M2959" t="s">
        <v>5471</v>
      </c>
    </row>
    <row r="2960" spans="1:13" x14ac:dyDescent="0.3">
      <c r="A2960" t="s">
        <v>3397</v>
      </c>
      <c r="B2960" t="s">
        <v>7424</v>
      </c>
      <c r="C2960" t="s">
        <v>5487</v>
      </c>
      <c r="D2960" t="s">
        <v>4056</v>
      </c>
      <c r="E2960" t="s">
        <v>5756</v>
      </c>
      <c r="F2960" t="s">
        <v>13655</v>
      </c>
      <c r="G2960" t="s">
        <v>13652</v>
      </c>
      <c r="H2960" t="s">
        <v>5474</v>
      </c>
      <c r="I2960" t="s">
        <v>13656</v>
      </c>
      <c r="J2960" t="s">
        <v>5476</v>
      </c>
      <c r="K2960" t="s">
        <v>13657</v>
      </c>
      <c r="L2960" t="s">
        <v>5471</v>
      </c>
      <c r="M2960" t="s">
        <v>5471</v>
      </c>
    </row>
    <row r="2961" spans="1:13" x14ac:dyDescent="0.3">
      <c r="A2961" t="s">
        <v>3397</v>
      </c>
      <c r="B2961" t="s">
        <v>7424</v>
      </c>
      <c r="C2961" t="s">
        <v>5487</v>
      </c>
      <c r="D2961" t="s">
        <v>4056</v>
      </c>
      <c r="E2961" t="s">
        <v>5756</v>
      </c>
      <c r="F2961" t="s">
        <v>13658</v>
      </c>
      <c r="G2961" t="s">
        <v>13652</v>
      </c>
      <c r="H2961" t="s">
        <v>5474</v>
      </c>
      <c r="I2961" t="s">
        <v>13659</v>
      </c>
      <c r="J2961" t="s">
        <v>5476</v>
      </c>
      <c r="K2961" t="s">
        <v>13660</v>
      </c>
      <c r="L2961" t="s">
        <v>5471</v>
      </c>
      <c r="M2961" t="s">
        <v>5471</v>
      </c>
    </row>
    <row r="2962" spans="1:13" x14ac:dyDescent="0.3">
      <c r="A2962" t="s">
        <v>3397</v>
      </c>
      <c r="B2962" t="s">
        <v>7424</v>
      </c>
      <c r="C2962" t="s">
        <v>5487</v>
      </c>
      <c r="D2962" t="s">
        <v>4056</v>
      </c>
      <c r="E2962" t="s">
        <v>5756</v>
      </c>
      <c r="F2962" t="s">
        <v>13661</v>
      </c>
      <c r="G2962" t="s">
        <v>13662</v>
      </c>
      <c r="H2962" t="s">
        <v>5474</v>
      </c>
      <c r="I2962" t="s">
        <v>13663</v>
      </c>
      <c r="J2962" t="s">
        <v>5476</v>
      </c>
      <c r="K2962" t="s">
        <v>13664</v>
      </c>
      <c r="L2962" t="s">
        <v>5471</v>
      </c>
      <c r="M2962" t="s">
        <v>5471</v>
      </c>
    </row>
    <row r="2963" spans="1:13" x14ac:dyDescent="0.3">
      <c r="A2963" t="s">
        <v>3397</v>
      </c>
      <c r="B2963" t="s">
        <v>7424</v>
      </c>
      <c r="C2963" t="s">
        <v>5487</v>
      </c>
      <c r="D2963" t="s">
        <v>4056</v>
      </c>
      <c r="E2963" t="s">
        <v>5756</v>
      </c>
      <c r="F2963" t="s">
        <v>13665</v>
      </c>
      <c r="G2963" t="s">
        <v>13662</v>
      </c>
      <c r="H2963" t="s">
        <v>5474</v>
      </c>
      <c r="I2963" t="s">
        <v>13666</v>
      </c>
      <c r="J2963" t="s">
        <v>5476</v>
      </c>
      <c r="K2963" t="s">
        <v>13667</v>
      </c>
      <c r="L2963" t="s">
        <v>5471</v>
      </c>
      <c r="M2963" t="s">
        <v>5471</v>
      </c>
    </row>
    <row r="2964" spans="1:13" x14ac:dyDescent="0.3">
      <c r="A2964" t="s">
        <v>3397</v>
      </c>
      <c r="B2964" t="s">
        <v>7424</v>
      </c>
      <c r="C2964" t="s">
        <v>5487</v>
      </c>
      <c r="D2964" t="s">
        <v>4056</v>
      </c>
      <c r="E2964" t="s">
        <v>5756</v>
      </c>
      <c r="F2964" t="s">
        <v>13668</v>
      </c>
      <c r="G2964" t="s">
        <v>13662</v>
      </c>
      <c r="H2964" t="s">
        <v>5474</v>
      </c>
      <c r="I2964" t="s">
        <v>13669</v>
      </c>
      <c r="J2964" t="s">
        <v>5476</v>
      </c>
      <c r="K2964" t="s">
        <v>13670</v>
      </c>
      <c r="L2964" t="s">
        <v>5471</v>
      </c>
      <c r="M2964" t="s">
        <v>5471</v>
      </c>
    </row>
    <row r="2965" spans="1:13" x14ac:dyDescent="0.3">
      <c r="A2965" t="s">
        <v>3397</v>
      </c>
      <c r="B2965" t="s">
        <v>7424</v>
      </c>
      <c r="C2965" t="s">
        <v>5487</v>
      </c>
      <c r="D2965" t="s">
        <v>4056</v>
      </c>
      <c r="E2965" t="s">
        <v>5595</v>
      </c>
      <c r="F2965" t="s">
        <v>13671</v>
      </c>
      <c r="G2965" t="s">
        <v>7426</v>
      </c>
      <c r="H2965" t="s">
        <v>5474</v>
      </c>
      <c r="I2965" t="s">
        <v>13672</v>
      </c>
      <c r="J2965" t="s">
        <v>5476</v>
      </c>
      <c r="K2965" t="s">
        <v>13673</v>
      </c>
      <c r="L2965" t="s">
        <v>5471</v>
      </c>
      <c r="M2965" t="s">
        <v>5471</v>
      </c>
    </row>
    <row r="2966" spans="1:13" x14ac:dyDescent="0.3">
      <c r="A2966" t="s">
        <v>3397</v>
      </c>
      <c r="B2966" t="s">
        <v>7424</v>
      </c>
      <c r="C2966" t="s">
        <v>5487</v>
      </c>
      <c r="D2966" t="s">
        <v>4056</v>
      </c>
      <c r="E2966" t="s">
        <v>5595</v>
      </c>
      <c r="F2966" t="s">
        <v>13674</v>
      </c>
      <c r="G2966" t="s">
        <v>7426</v>
      </c>
      <c r="H2966" t="s">
        <v>5474</v>
      </c>
      <c r="I2966" t="s">
        <v>13675</v>
      </c>
      <c r="J2966" t="s">
        <v>5476</v>
      </c>
      <c r="K2966" t="s">
        <v>13676</v>
      </c>
      <c r="L2966" t="s">
        <v>5471</v>
      </c>
      <c r="M2966" t="s">
        <v>5471</v>
      </c>
    </row>
    <row r="2967" spans="1:13" x14ac:dyDescent="0.3">
      <c r="A2967" t="s">
        <v>3397</v>
      </c>
      <c r="B2967" t="s">
        <v>7424</v>
      </c>
      <c r="C2967" t="s">
        <v>5487</v>
      </c>
      <c r="D2967" t="s">
        <v>4056</v>
      </c>
      <c r="E2967" t="s">
        <v>5595</v>
      </c>
      <c r="F2967" t="s">
        <v>13677</v>
      </c>
      <c r="G2967" t="s">
        <v>7426</v>
      </c>
      <c r="H2967" t="s">
        <v>5474</v>
      </c>
      <c r="I2967" t="s">
        <v>13678</v>
      </c>
      <c r="J2967" t="s">
        <v>5476</v>
      </c>
      <c r="K2967" t="s">
        <v>13679</v>
      </c>
      <c r="L2967" t="s">
        <v>5471</v>
      </c>
      <c r="M2967" t="s">
        <v>5471</v>
      </c>
    </row>
    <row r="2968" spans="1:13" x14ac:dyDescent="0.3">
      <c r="A2968" t="s">
        <v>3397</v>
      </c>
      <c r="B2968" t="s">
        <v>7424</v>
      </c>
      <c r="C2968" t="s">
        <v>5487</v>
      </c>
      <c r="D2968" t="s">
        <v>4056</v>
      </c>
      <c r="E2968" t="s">
        <v>5595</v>
      </c>
      <c r="F2968" t="s">
        <v>13680</v>
      </c>
      <c r="G2968" t="s">
        <v>13681</v>
      </c>
      <c r="H2968" t="s">
        <v>5474</v>
      </c>
      <c r="I2968" t="s">
        <v>13682</v>
      </c>
      <c r="J2968" t="s">
        <v>5476</v>
      </c>
      <c r="K2968" t="s">
        <v>13683</v>
      </c>
      <c r="L2968" t="s">
        <v>5471</v>
      </c>
      <c r="M2968" t="s">
        <v>5471</v>
      </c>
    </row>
    <row r="2969" spans="1:13" x14ac:dyDescent="0.3">
      <c r="A2969" t="s">
        <v>3397</v>
      </c>
      <c r="B2969" t="s">
        <v>7424</v>
      </c>
      <c r="C2969" t="s">
        <v>5487</v>
      </c>
      <c r="D2969" t="s">
        <v>4056</v>
      </c>
      <c r="E2969" t="s">
        <v>5595</v>
      </c>
      <c r="F2969" t="s">
        <v>13684</v>
      </c>
      <c r="G2969" t="s">
        <v>13681</v>
      </c>
      <c r="H2969" t="s">
        <v>5474</v>
      </c>
      <c r="I2969" t="s">
        <v>13685</v>
      </c>
      <c r="J2969" t="s">
        <v>5476</v>
      </c>
      <c r="K2969" t="s">
        <v>13686</v>
      </c>
      <c r="L2969" t="s">
        <v>5471</v>
      </c>
      <c r="M2969" t="s">
        <v>5471</v>
      </c>
    </row>
    <row r="2970" spans="1:13" x14ac:dyDescent="0.3">
      <c r="A2970" t="s">
        <v>3397</v>
      </c>
      <c r="B2970" t="s">
        <v>7424</v>
      </c>
      <c r="C2970" t="s">
        <v>5487</v>
      </c>
      <c r="D2970" t="s">
        <v>4056</v>
      </c>
      <c r="E2970" t="s">
        <v>5595</v>
      </c>
      <c r="F2970" t="s">
        <v>13687</v>
      </c>
      <c r="G2970" t="s">
        <v>13681</v>
      </c>
      <c r="H2970" t="s">
        <v>5474</v>
      </c>
      <c r="I2970" t="s">
        <v>13688</v>
      </c>
      <c r="J2970" t="s">
        <v>5476</v>
      </c>
      <c r="K2970" t="s">
        <v>13689</v>
      </c>
      <c r="L2970" t="s">
        <v>5471</v>
      </c>
      <c r="M2970" t="s">
        <v>5471</v>
      </c>
    </row>
    <row r="2971" spans="1:13" x14ac:dyDescent="0.3">
      <c r="A2971" t="s">
        <v>3397</v>
      </c>
      <c r="B2971" t="s">
        <v>7424</v>
      </c>
      <c r="C2971" t="s">
        <v>5487</v>
      </c>
      <c r="D2971" t="s">
        <v>4056</v>
      </c>
      <c r="E2971" t="s">
        <v>5595</v>
      </c>
      <c r="F2971" t="s">
        <v>13690</v>
      </c>
      <c r="G2971" t="s">
        <v>13691</v>
      </c>
      <c r="H2971" t="s">
        <v>5474</v>
      </c>
      <c r="I2971" t="s">
        <v>13692</v>
      </c>
      <c r="J2971" t="s">
        <v>5476</v>
      </c>
      <c r="K2971" t="s">
        <v>13693</v>
      </c>
      <c r="L2971" t="s">
        <v>5471</v>
      </c>
      <c r="M2971" t="s">
        <v>5471</v>
      </c>
    </row>
    <row r="2972" spans="1:13" x14ac:dyDescent="0.3">
      <c r="A2972" t="s">
        <v>3397</v>
      </c>
      <c r="B2972" t="s">
        <v>7424</v>
      </c>
      <c r="C2972" t="s">
        <v>5487</v>
      </c>
      <c r="D2972" t="s">
        <v>4056</v>
      </c>
      <c r="E2972" t="s">
        <v>5595</v>
      </c>
      <c r="F2972" t="s">
        <v>13694</v>
      </c>
      <c r="G2972" t="s">
        <v>13691</v>
      </c>
      <c r="H2972" t="s">
        <v>5474</v>
      </c>
      <c r="I2972" t="s">
        <v>13695</v>
      </c>
      <c r="J2972" t="s">
        <v>5476</v>
      </c>
      <c r="K2972" t="s">
        <v>13696</v>
      </c>
      <c r="L2972" t="s">
        <v>5471</v>
      </c>
      <c r="M2972" t="s">
        <v>5471</v>
      </c>
    </row>
    <row r="2973" spans="1:13" x14ac:dyDescent="0.3">
      <c r="A2973" t="s">
        <v>3397</v>
      </c>
      <c r="B2973" t="s">
        <v>7424</v>
      </c>
      <c r="C2973" t="s">
        <v>5487</v>
      </c>
      <c r="D2973" t="s">
        <v>4056</v>
      </c>
      <c r="E2973" t="s">
        <v>5595</v>
      </c>
      <c r="F2973" t="s">
        <v>13697</v>
      </c>
      <c r="G2973" t="s">
        <v>13691</v>
      </c>
      <c r="H2973" t="s">
        <v>5474</v>
      </c>
      <c r="I2973" t="s">
        <v>13698</v>
      </c>
      <c r="J2973" t="s">
        <v>5476</v>
      </c>
      <c r="K2973" t="s">
        <v>13699</v>
      </c>
      <c r="L2973" t="s">
        <v>5471</v>
      </c>
      <c r="M2973" t="s">
        <v>5471</v>
      </c>
    </row>
    <row r="2974" spans="1:13" x14ac:dyDescent="0.3">
      <c r="A2974" t="s">
        <v>3397</v>
      </c>
      <c r="B2974" t="s">
        <v>7424</v>
      </c>
      <c r="C2974" t="s">
        <v>5487</v>
      </c>
      <c r="D2974" t="s">
        <v>4056</v>
      </c>
      <c r="E2974" t="s">
        <v>5595</v>
      </c>
      <c r="F2974" t="s">
        <v>13700</v>
      </c>
      <c r="G2974" t="s">
        <v>13701</v>
      </c>
      <c r="H2974" t="s">
        <v>5474</v>
      </c>
      <c r="I2974" t="s">
        <v>13702</v>
      </c>
      <c r="J2974" t="s">
        <v>5476</v>
      </c>
      <c r="K2974" t="s">
        <v>13703</v>
      </c>
      <c r="L2974" t="s">
        <v>5471</v>
      </c>
      <c r="M2974" t="s">
        <v>5471</v>
      </c>
    </row>
    <row r="2975" spans="1:13" x14ac:dyDescent="0.3">
      <c r="A2975" t="s">
        <v>3397</v>
      </c>
      <c r="B2975" t="s">
        <v>7424</v>
      </c>
      <c r="C2975" t="s">
        <v>5487</v>
      </c>
      <c r="D2975" t="s">
        <v>4056</v>
      </c>
      <c r="E2975" t="s">
        <v>5595</v>
      </c>
      <c r="F2975" t="s">
        <v>13704</v>
      </c>
      <c r="G2975" t="s">
        <v>13701</v>
      </c>
      <c r="H2975" t="s">
        <v>5474</v>
      </c>
      <c r="I2975" t="s">
        <v>13705</v>
      </c>
      <c r="J2975" t="s">
        <v>5476</v>
      </c>
      <c r="K2975" t="s">
        <v>13706</v>
      </c>
      <c r="L2975" t="s">
        <v>5471</v>
      </c>
      <c r="M2975" t="s">
        <v>5471</v>
      </c>
    </row>
    <row r="2976" spans="1:13" x14ac:dyDescent="0.3">
      <c r="A2976" t="s">
        <v>3397</v>
      </c>
      <c r="B2976" t="s">
        <v>7424</v>
      </c>
      <c r="C2976" t="s">
        <v>5487</v>
      </c>
      <c r="D2976" t="s">
        <v>4056</v>
      </c>
      <c r="E2976" t="s">
        <v>5595</v>
      </c>
      <c r="F2976" t="s">
        <v>13707</v>
      </c>
      <c r="G2976" t="s">
        <v>13701</v>
      </c>
      <c r="H2976" t="s">
        <v>5474</v>
      </c>
      <c r="I2976" t="s">
        <v>13708</v>
      </c>
      <c r="J2976" t="s">
        <v>5476</v>
      </c>
      <c r="K2976" t="s">
        <v>13709</v>
      </c>
      <c r="L2976" t="s">
        <v>5471</v>
      </c>
      <c r="M2976" t="s">
        <v>5471</v>
      </c>
    </row>
    <row r="2977" spans="1:13" x14ac:dyDescent="0.3">
      <c r="A2977" t="s">
        <v>3397</v>
      </c>
      <c r="B2977" t="s">
        <v>7424</v>
      </c>
      <c r="C2977" t="s">
        <v>5487</v>
      </c>
      <c r="D2977" t="s">
        <v>4056</v>
      </c>
      <c r="E2977" t="s">
        <v>5595</v>
      </c>
      <c r="F2977" t="s">
        <v>13710</v>
      </c>
      <c r="G2977" t="s">
        <v>13662</v>
      </c>
      <c r="H2977" t="s">
        <v>5474</v>
      </c>
      <c r="I2977" t="s">
        <v>13711</v>
      </c>
      <c r="J2977" t="s">
        <v>5476</v>
      </c>
      <c r="K2977" t="s">
        <v>13712</v>
      </c>
      <c r="L2977" t="s">
        <v>5471</v>
      </c>
      <c r="M2977" t="s">
        <v>5471</v>
      </c>
    </row>
    <row r="2978" spans="1:13" x14ac:dyDescent="0.3">
      <c r="A2978" t="s">
        <v>3397</v>
      </c>
      <c r="B2978" t="s">
        <v>7424</v>
      </c>
      <c r="C2978" t="s">
        <v>5487</v>
      </c>
      <c r="D2978" t="s">
        <v>4056</v>
      </c>
      <c r="E2978" t="s">
        <v>5595</v>
      </c>
      <c r="F2978" t="s">
        <v>13713</v>
      </c>
      <c r="G2978" t="s">
        <v>13662</v>
      </c>
      <c r="H2978" t="s">
        <v>5474</v>
      </c>
      <c r="I2978" t="s">
        <v>13714</v>
      </c>
      <c r="J2978" t="s">
        <v>5476</v>
      </c>
      <c r="K2978" t="s">
        <v>13715</v>
      </c>
      <c r="L2978" t="s">
        <v>5471</v>
      </c>
      <c r="M2978" t="s">
        <v>5471</v>
      </c>
    </row>
    <row r="2979" spans="1:13" x14ac:dyDescent="0.3">
      <c r="A2979" t="s">
        <v>3397</v>
      </c>
      <c r="B2979" t="s">
        <v>7424</v>
      </c>
      <c r="C2979" t="s">
        <v>5487</v>
      </c>
      <c r="D2979" t="s">
        <v>4056</v>
      </c>
      <c r="E2979" t="s">
        <v>5595</v>
      </c>
      <c r="F2979" t="s">
        <v>13716</v>
      </c>
      <c r="G2979" t="s">
        <v>13662</v>
      </c>
      <c r="H2979" t="s">
        <v>5474</v>
      </c>
      <c r="I2979" t="s">
        <v>13717</v>
      </c>
      <c r="J2979" t="s">
        <v>5476</v>
      </c>
      <c r="K2979" t="s">
        <v>13718</v>
      </c>
      <c r="L2979" t="s">
        <v>5471</v>
      </c>
      <c r="M2979" t="s">
        <v>5471</v>
      </c>
    </row>
    <row r="2980" spans="1:13" x14ac:dyDescent="0.3">
      <c r="A2980" t="s">
        <v>3397</v>
      </c>
      <c r="B2980" t="s">
        <v>7424</v>
      </c>
      <c r="C2980" t="s">
        <v>5487</v>
      </c>
      <c r="D2980" t="s">
        <v>4200</v>
      </c>
      <c r="E2980" t="s">
        <v>5756</v>
      </c>
      <c r="F2980" t="s">
        <v>13719</v>
      </c>
      <c r="G2980" t="s">
        <v>13629</v>
      </c>
      <c r="H2980" t="s">
        <v>5474</v>
      </c>
      <c r="I2980" t="s">
        <v>13720</v>
      </c>
      <c r="J2980" t="s">
        <v>5476</v>
      </c>
      <c r="K2980" t="s">
        <v>13721</v>
      </c>
      <c r="L2980" t="s">
        <v>5471</v>
      </c>
      <c r="M2980" t="s">
        <v>5471</v>
      </c>
    </row>
    <row r="2981" spans="1:13" x14ac:dyDescent="0.3">
      <c r="A2981" t="s">
        <v>3397</v>
      </c>
      <c r="B2981" t="s">
        <v>7424</v>
      </c>
      <c r="C2981" t="s">
        <v>5487</v>
      </c>
      <c r="D2981" t="s">
        <v>4200</v>
      </c>
      <c r="E2981" t="s">
        <v>5756</v>
      </c>
      <c r="F2981" t="s">
        <v>13722</v>
      </c>
      <c r="G2981" t="s">
        <v>13629</v>
      </c>
      <c r="H2981" t="s">
        <v>5474</v>
      </c>
      <c r="I2981" t="s">
        <v>13723</v>
      </c>
      <c r="J2981" t="s">
        <v>5476</v>
      </c>
      <c r="K2981" t="s">
        <v>13724</v>
      </c>
      <c r="L2981" t="s">
        <v>5471</v>
      </c>
      <c r="M2981" t="s">
        <v>5471</v>
      </c>
    </row>
    <row r="2982" spans="1:13" x14ac:dyDescent="0.3">
      <c r="A2982" t="s">
        <v>3397</v>
      </c>
      <c r="B2982" t="s">
        <v>7424</v>
      </c>
      <c r="C2982" t="s">
        <v>5487</v>
      </c>
      <c r="D2982" t="s">
        <v>4200</v>
      </c>
      <c r="E2982" t="s">
        <v>5756</v>
      </c>
      <c r="F2982" t="s">
        <v>13725</v>
      </c>
      <c r="G2982" t="s">
        <v>13629</v>
      </c>
      <c r="H2982" t="s">
        <v>5474</v>
      </c>
      <c r="I2982" t="s">
        <v>13726</v>
      </c>
      <c r="J2982" t="s">
        <v>5476</v>
      </c>
      <c r="K2982" t="s">
        <v>13727</v>
      </c>
      <c r="L2982" t="s">
        <v>5471</v>
      </c>
      <c r="M2982" t="s">
        <v>5471</v>
      </c>
    </row>
    <row r="2983" spans="1:13" x14ac:dyDescent="0.3">
      <c r="A2983" t="s">
        <v>3397</v>
      </c>
      <c r="B2983" t="s">
        <v>7424</v>
      </c>
      <c r="C2983" t="s">
        <v>5487</v>
      </c>
      <c r="D2983" t="s">
        <v>4200</v>
      </c>
      <c r="E2983" t="s">
        <v>5756</v>
      </c>
      <c r="F2983" t="s">
        <v>13728</v>
      </c>
      <c r="G2983" t="s">
        <v>13729</v>
      </c>
      <c r="H2983" t="s">
        <v>5474</v>
      </c>
      <c r="I2983" t="s">
        <v>13730</v>
      </c>
      <c r="J2983" t="s">
        <v>5476</v>
      </c>
      <c r="K2983" t="s">
        <v>13731</v>
      </c>
      <c r="L2983" t="s">
        <v>5471</v>
      </c>
      <c r="M2983" t="s">
        <v>5471</v>
      </c>
    </row>
    <row r="2984" spans="1:13" x14ac:dyDescent="0.3">
      <c r="A2984" t="s">
        <v>3397</v>
      </c>
      <c r="B2984" t="s">
        <v>7424</v>
      </c>
      <c r="C2984" t="s">
        <v>5487</v>
      </c>
      <c r="D2984" t="s">
        <v>4200</v>
      </c>
      <c r="E2984" t="s">
        <v>5756</v>
      </c>
      <c r="F2984" t="s">
        <v>13732</v>
      </c>
      <c r="G2984" t="s">
        <v>13729</v>
      </c>
      <c r="H2984" t="s">
        <v>5474</v>
      </c>
      <c r="I2984" t="s">
        <v>13733</v>
      </c>
      <c r="J2984" t="s">
        <v>5476</v>
      </c>
      <c r="K2984" t="s">
        <v>13734</v>
      </c>
      <c r="L2984" t="s">
        <v>5471</v>
      </c>
      <c r="M2984" t="s">
        <v>5471</v>
      </c>
    </row>
    <row r="2985" spans="1:13" x14ac:dyDescent="0.3">
      <c r="A2985" t="s">
        <v>3397</v>
      </c>
      <c r="B2985" t="s">
        <v>7424</v>
      </c>
      <c r="C2985" t="s">
        <v>5487</v>
      </c>
      <c r="D2985" t="s">
        <v>4200</v>
      </c>
      <c r="E2985" t="s">
        <v>5756</v>
      </c>
      <c r="F2985" t="s">
        <v>13735</v>
      </c>
      <c r="G2985" t="s">
        <v>13729</v>
      </c>
      <c r="H2985" t="s">
        <v>5474</v>
      </c>
      <c r="I2985" t="s">
        <v>13736</v>
      </c>
      <c r="J2985" t="s">
        <v>5476</v>
      </c>
      <c r="K2985" t="s">
        <v>13737</v>
      </c>
      <c r="L2985" t="s">
        <v>5471</v>
      </c>
      <c r="M2985" t="s">
        <v>5471</v>
      </c>
    </row>
    <row r="2986" spans="1:13" x14ac:dyDescent="0.3">
      <c r="A2986" t="s">
        <v>3397</v>
      </c>
      <c r="B2986" t="s">
        <v>7424</v>
      </c>
      <c r="C2986" t="s">
        <v>5487</v>
      </c>
      <c r="D2986" t="s">
        <v>4200</v>
      </c>
      <c r="E2986" t="s">
        <v>5756</v>
      </c>
      <c r="F2986" t="s">
        <v>13738</v>
      </c>
      <c r="G2986" t="s">
        <v>13729</v>
      </c>
      <c r="H2986" t="s">
        <v>5474</v>
      </c>
      <c r="I2986" t="s">
        <v>13739</v>
      </c>
      <c r="J2986" t="s">
        <v>5476</v>
      </c>
      <c r="K2986" t="s">
        <v>13740</v>
      </c>
      <c r="L2986" t="s">
        <v>5471</v>
      </c>
      <c r="M2986" t="s">
        <v>5471</v>
      </c>
    </row>
    <row r="2987" spans="1:13" x14ac:dyDescent="0.3">
      <c r="A2987" t="s">
        <v>3397</v>
      </c>
      <c r="B2987" t="s">
        <v>7424</v>
      </c>
      <c r="C2987" t="s">
        <v>5487</v>
      </c>
      <c r="D2987" t="s">
        <v>4200</v>
      </c>
      <c r="E2987" t="s">
        <v>5756</v>
      </c>
      <c r="F2987" t="s">
        <v>13741</v>
      </c>
      <c r="G2987" t="s">
        <v>13652</v>
      </c>
      <c r="H2987" t="s">
        <v>5474</v>
      </c>
      <c r="I2987" t="s">
        <v>13742</v>
      </c>
      <c r="J2987" t="s">
        <v>5476</v>
      </c>
      <c r="K2987" t="s">
        <v>13743</v>
      </c>
      <c r="L2987" t="s">
        <v>5471</v>
      </c>
      <c r="M2987" t="s">
        <v>5471</v>
      </c>
    </row>
    <row r="2988" spans="1:13" x14ac:dyDescent="0.3">
      <c r="A2988" t="s">
        <v>3397</v>
      </c>
      <c r="B2988" t="s">
        <v>7424</v>
      </c>
      <c r="C2988" t="s">
        <v>5487</v>
      </c>
      <c r="D2988" t="s">
        <v>4200</v>
      </c>
      <c r="E2988" t="s">
        <v>5756</v>
      </c>
      <c r="F2988" t="s">
        <v>13744</v>
      </c>
      <c r="G2988" t="s">
        <v>13636</v>
      </c>
      <c r="H2988" t="s">
        <v>5474</v>
      </c>
      <c r="I2988" t="s">
        <v>13745</v>
      </c>
      <c r="J2988" t="s">
        <v>5476</v>
      </c>
      <c r="K2988" t="s">
        <v>13746</v>
      </c>
      <c r="L2988" t="s">
        <v>5471</v>
      </c>
      <c r="M2988" t="s">
        <v>5471</v>
      </c>
    </row>
    <row r="2989" spans="1:13" x14ac:dyDescent="0.3">
      <c r="A2989" t="s">
        <v>3397</v>
      </c>
      <c r="B2989" t="s">
        <v>7424</v>
      </c>
      <c r="C2989" t="s">
        <v>5487</v>
      </c>
      <c r="D2989" t="s">
        <v>4052</v>
      </c>
      <c r="E2989" t="s">
        <v>5756</v>
      </c>
      <c r="F2989" t="s">
        <v>13747</v>
      </c>
      <c r="G2989" t="s">
        <v>7426</v>
      </c>
      <c r="H2989" t="s">
        <v>5474</v>
      </c>
      <c r="I2989" t="s">
        <v>13748</v>
      </c>
      <c r="J2989" t="s">
        <v>5476</v>
      </c>
      <c r="K2989" t="s">
        <v>13749</v>
      </c>
      <c r="L2989" t="s">
        <v>5471</v>
      </c>
      <c r="M2989" t="s">
        <v>5471</v>
      </c>
    </row>
    <row r="2990" spans="1:13" x14ac:dyDescent="0.3">
      <c r="A2990" t="s">
        <v>3397</v>
      </c>
      <c r="B2990" t="s">
        <v>7424</v>
      </c>
      <c r="C2990" t="s">
        <v>5487</v>
      </c>
      <c r="D2990" t="s">
        <v>4052</v>
      </c>
      <c r="E2990" t="s">
        <v>5756</v>
      </c>
      <c r="F2990" t="s">
        <v>13750</v>
      </c>
      <c r="G2990" t="s">
        <v>7426</v>
      </c>
      <c r="H2990" t="s">
        <v>5474</v>
      </c>
      <c r="I2990" t="s">
        <v>13751</v>
      </c>
      <c r="J2990" t="s">
        <v>5476</v>
      </c>
      <c r="K2990" t="s">
        <v>13752</v>
      </c>
      <c r="L2990" t="s">
        <v>5471</v>
      </c>
      <c r="M2990" t="s">
        <v>5471</v>
      </c>
    </row>
    <row r="2991" spans="1:13" x14ac:dyDescent="0.3">
      <c r="A2991" t="s">
        <v>3397</v>
      </c>
      <c r="B2991" t="s">
        <v>7424</v>
      </c>
      <c r="C2991" t="s">
        <v>5487</v>
      </c>
      <c r="D2991" t="s">
        <v>4052</v>
      </c>
      <c r="E2991" t="s">
        <v>5756</v>
      </c>
      <c r="F2991" t="s">
        <v>13753</v>
      </c>
      <c r="G2991" t="s">
        <v>13629</v>
      </c>
      <c r="H2991" t="s">
        <v>5474</v>
      </c>
      <c r="I2991" t="s">
        <v>13754</v>
      </c>
      <c r="J2991" t="s">
        <v>5476</v>
      </c>
      <c r="K2991" t="s">
        <v>13755</v>
      </c>
      <c r="L2991" t="s">
        <v>5471</v>
      </c>
      <c r="M2991" t="s">
        <v>5471</v>
      </c>
    </row>
    <row r="2992" spans="1:13" x14ac:dyDescent="0.3">
      <c r="A2992" t="s">
        <v>3397</v>
      </c>
      <c r="B2992" t="s">
        <v>7424</v>
      </c>
      <c r="C2992" t="s">
        <v>5487</v>
      </c>
      <c r="D2992" t="s">
        <v>4052</v>
      </c>
      <c r="E2992" t="s">
        <v>5756</v>
      </c>
      <c r="F2992" t="s">
        <v>13756</v>
      </c>
      <c r="G2992" t="s">
        <v>10239</v>
      </c>
      <c r="H2992" t="s">
        <v>5474</v>
      </c>
      <c r="I2992" t="s">
        <v>13757</v>
      </c>
      <c r="J2992" t="s">
        <v>5476</v>
      </c>
      <c r="K2992" t="s">
        <v>13758</v>
      </c>
      <c r="L2992" t="s">
        <v>5471</v>
      </c>
      <c r="M2992" t="s">
        <v>5471</v>
      </c>
    </row>
    <row r="2993" spans="1:13" x14ac:dyDescent="0.3">
      <c r="A2993" t="s">
        <v>3397</v>
      </c>
      <c r="B2993" t="s">
        <v>7424</v>
      </c>
      <c r="C2993" t="s">
        <v>5487</v>
      </c>
      <c r="D2993" t="s">
        <v>4052</v>
      </c>
      <c r="E2993" t="s">
        <v>5756</v>
      </c>
      <c r="F2993" t="s">
        <v>13759</v>
      </c>
      <c r="G2993" t="s">
        <v>10239</v>
      </c>
      <c r="H2993" t="s">
        <v>5474</v>
      </c>
      <c r="I2993" t="s">
        <v>13760</v>
      </c>
      <c r="J2993" t="s">
        <v>5476</v>
      </c>
      <c r="K2993" t="s">
        <v>13761</v>
      </c>
      <c r="L2993" t="s">
        <v>5471</v>
      </c>
      <c r="M2993" t="s">
        <v>5471</v>
      </c>
    </row>
    <row r="2994" spans="1:13" x14ac:dyDescent="0.3">
      <c r="A2994" t="s">
        <v>3397</v>
      </c>
      <c r="B2994" t="s">
        <v>7424</v>
      </c>
      <c r="C2994" t="s">
        <v>5487</v>
      </c>
      <c r="D2994" t="s">
        <v>4052</v>
      </c>
      <c r="E2994" t="s">
        <v>5756</v>
      </c>
      <c r="F2994" t="s">
        <v>13762</v>
      </c>
      <c r="G2994" t="s">
        <v>10239</v>
      </c>
      <c r="H2994" t="s">
        <v>5474</v>
      </c>
      <c r="I2994" t="s">
        <v>13763</v>
      </c>
      <c r="J2994" t="s">
        <v>5476</v>
      </c>
      <c r="K2994" t="s">
        <v>13764</v>
      </c>
      <c r="L2994" t="s">
        <v>5471</v>
      </c>
      <c r="M2994" t="s">
        <v>5471</v>
      </c>
    </row>
    <row r="2995" spans="1:13" x14ac:dyDescent="0.3">
      <c r="A2995" t="s">
        <v>3397</v>
      </c>
      <c r="B2995" t="s">
        <v>7424</v>
      </c>
      <c r="C2995" t="s">
        <v>5487</v>
      </c>
      <c r="D2995" t="s">
        <v>4052</v>
      </c>
      <c r="E2995" t="s">
        <v>5756</v>
      </c>
      <c r="F2995" t="s">
        <v>13765</v>
      </c>
      <c r="G2995" t="s">
        <v>13662</v>
      </c>
      <c r="H2995" t="s">
        <v>5474</v>
      </c>
      <c r="I2995" t="s">
        <v>13766</v>
      </c>
      <c r="J2995" t="s">
        <v>5476</v>
      </c>
      <c r="K2995" t="s">
        <v>13767</v>
      </c>
      <c r="L2995" t="s">
        <v>5471</v>
      </c>
      <c r="M2995" t="s">
        <v>5471</v>
      </c>
    </row>
    <row r="2996" spans="1:13" x14ac:dyDescent="0.3">
      <c r="A2996" t="s">
        <v>3397</v>
      </c>
      <c r="B2996" t="s">
        <v>7424</v>
      </c>
      <c r="C2996" t="s">
        <v>5487</v>
      </c>
      <c r="D2996" t="s">
        <v>4119</v>
      </c>
      <c r="E2996" t="s">
        <v>5532</v>
      </c>
      <c r="F2996" t="s">
        <v>13768</v>
      </c>
      <c r="G2996" t="s">
        <v>13769</v>
      </c>
      <c r="H2996" t="s">
        <v>5474</v>
      </c>
      <c r="I2996" t="s">
        <v>13770</v>
      </c>
      <c r="J2996" t="s">
        <v>5476</v>
      </c>
      <c r="K2996" t="s">
        <v>13771</v>
      </c>
      <c r="L2996" t="s">
        <v>5471</v>
      </c>
      <c r="M2996" t="s">
        <v>5471</v>
      </c>
    </row>
    <row r="2997" spans="1:13" x14ac:dyDescent="0.3">
      <c r="A2997" t="s">
        <v>3397</v>
      </c>
      <c r="B2997" t="s">
        <v>7424</v>
      </c>
      <c r="C2997" t="s">
        <v>5487</v>
      </c>
      <c r="D2997" t="s">
        <v>4119</v>
      </c>
      <c r="E2997" t="s">
        <v>5532</v>
      </c>
      <c r="F2997" t="s">
        <v>13772</v>
      </c>
      <c r="G2997" t="s">
        <v>13769</v>
      </c>
      <c r="H2997" t="s">
        <v>5474</v>
      </c>
      <c r="I2997" t="s">
        <v>13773</v>
      </c>
      <c r="J2997" t="s">
        <v>5476</v>
      </c>
      <c r="K2997" t="s">
        <v>13774</v>
      </c>
      <c r="L2997" t="s">
        <v>5471</v>
      </c>
      <c r="M2997" t="s">
        <v>5471</v>
      </c>
    </row>
    <row r="2998" spans="1:13" x14ac:dyDescent="0.3">
      <c r="A2998" t="s">
        <v>3397</v>
      </c>
      <c r="B2998" t="s">
        <v>7424</v>
      </c>
      <c r="C2998" t="s">
        <v>5487</v>
      </c>
      <c r="D2998" t="s">
        <v>4119</v>
      </c>
      <c r="E2998" t="s">
        <v>5532</v>
      </c>
      <c r="F2998" t="s">
        <v>13775</v>
      </c>
      <c r="G2998" t="s">
        <v>13776</v>
      </c>
      <c r="H2998" t="s">
        <v>5474</v>
      </c>
      <c r="I2998" t="s">
        <v>13777</v>
      </c>
      <c r="J2998" t="s">
        <v>5476</v>
      </c>
      <c r="K2998" t="s">
        <v>13778</v>
      </c>
      <c r="L2998" t="s">
        <v>5471</v>
      </c>
      <c r="M2998" t="s">
        <v>5471</v>
      </c>
    </row>
    <row r="2999" spans="1:13" x14ac:dyDescent="0.3">
      <c r="A2999" t="s">
        <v>3397</v>
      </c>
      <c r="B2999" t="s">
        <v>7424</v>
      </c>
      <c r="C2999" t="s">
        <v>5487</v>
      </c>
      <c r="D2999" t="s">
        <v>4119</v>
      </c>
      <c r="E2999" t="s">
        <v>5532</v>
      </c>
      <c r="F2999" t="s">
        <v>13779</v>
      </c>
      <c r="G2999" t="s">
        <v>13776</v>
      </c>
      <c r="H2999" t="s">
        <v>5474</v>
      </c>
      <c r="I2999" t="s">
        <v>13780</v>
      </c>
      <c r="J2999" t="s">
        <v>5476</v>
      </c>
      <c r="K2999" t="s">
        <v>13781</v>
      </c>
      <c r="L2999" t="s">
        <v>5471</v>
      </c>
      <c r="M2999" t="s">
        <v>5471</v>
      </c>
    </row>
    <row r="3000" spans="1:13" x14ac:dyDescent="0.3">
      <c r="A3000" t="s">
        <v>3397</v>
      </c>
      <c r="B3000" t="s">
        <v>7424</v>
      </c>
      <c r="C3000" t="s">
        <v>5487</v>
      </c>
      <c r="D3000" t="s">
        <v>4119</v>
      </c>
      <c r="E3000" t="s">
        <v>5532</v>
      </c>
      <c r="F3000" t="s">
        <v>13782</v>
      </c>
      <c r="G3000" t="s">
        <v>13783</v>
      </c>
      <c r="H3000" t="s">
        <v>5474</v>
      </c>
      <c r="I3000" t="s">
        <v>13784</v>
      </c>
      <c r="J3000" t="s">
        <v>5476</v>
      </c>
      <c r="K3000" t="s">
        <v>13785</v>
      </c>
      <c r="L3000" t="s">
        <v>5471</v>
      </c>
      <c r="M3000" t="s">
        <v>5471</v>
      </c>
    </row>
    <row r="3001" spans="1:13" x14ac:dyDescent="0.3">
      <c r="A3001" t="s">
        <v>3397</v>
      </c>
      <c r="B3001" t="s">
        <v>7424</v>
      </c>
      <c r="C3001" t="s">
        <v>5487</v>
      </c>
      <c r="D3001" t="s">
        <v>4119</v>
      </c>
      <c r="E3001" t="s">
        <v>5532</v>
      </c>
      <c r="F3001" t="s">
        <v>13786</v>
      </c>
      <c r="G3001" t="s">
        <v>13787</v>
      </c>
      <c r="H3001" t="s">
        <v>5474</v>
      </c>
      <c r="I3001" t="s">
        <v>13788</v>
      </c>
      <c r="J3001" t="s">
        <v>5476</v>
      </c>
      <c r="K3001" t="s">
        <v>13789</v>
      </c>
      <c r="L3001" t="s">
        <v>5471</v>
      </c>
      <c r="M3001" t="s">
        <v>5471</v>
      </c>
    </row>
    <row r="3002" spans="1:13" x14ac:dyDescent="0.3">
      <c r="A3002" t="s">
        <v>3397</v>
      </c>
      <c r="B3002" t="s">
        <v>6331</v>
      </c>
      <c r="C3002" t="s">
        <v>5487</v>
      </c>
      <c r="D3002" t="s">
        <v>4119</v>
      </c>
      <c r="E3002" t="s">
        <v>6332</v>
      </c>
      <c r="F3002" t="s">
        <v>13790</v>
      </c>
      <c r="G3002" t="s">
        <v>12582</v>
      </c>
      <c r="H3002" t="s">
        <v>5474</v>
      </c>
      <c r="I3002" t="s">
        <v>13791</v>
      </c>
      <c r="J3002" t="s">
        <v>5476</v>
      </c>
      <c r="K3002" t="s">
        <v>13792</v>
      </c>
      <c r="L3002" t="s">
        <v>5471</v>
      </c>
      <c r="M3002" t="s">
        <v>5471</v>
      </c>
    </row>
    <row r="3003" spans="1:13" x14ac:dyDescent="0.3">
      <c r="A3003" t="s">
        <v>3397</v>
      </c>
      <c r="B3003" t="s">
        <v>5594</v>
      </c>
      <c r="C3003" t="s">
        <v>5487</v>
      </c>
      <c r="D3003" t="s">
        <v>4119</v>
      </c>
      <c r="E3003" t="s">
        <v>6332</v>
      </c>
      <c r="F3003" t="s">
        <v>13793</v>
      </c>
      <c r="G3003" t="s">
        <v>5703</v>
      </c>
      <c r="H3003" t="s">
        <v>5474</v>
      </c>
      <c r="I3003" t="s">
        <v>13794</v>
      </c>
      <c r="J3003" t="s">
        <v>5476</v>
      </c>
      <c r="K3003" t="s">
        <v>13795</v>
      </c>
      <c r="L3003" t="s">
        <v>5471</v>
      </c>
      <c r="M3003" t="s">
        <v>5471</v>
      </c>
    </row>
    <row r="3004" spans="1:13" x14ac:dyDescent="0.3">
      <c r="A3004" t="s">
        <v>3397</v>
      </c>
      <c r="B3004" t="s">
        <v>13796</v>
      </c>
      <c r="C3004" t="s">
        <v>5487</v>
      </c>
      <c r="D3004" t="s">
        <v>4119</v>
      </c>
      <c r="E3004" t="s">
        <v>5595</v>
      </c>
      <c r="F3004" t="s">
        <v>13797</v>
      </c>
      <c r="G3004" t="s">
        <v>13798</v>
      </c>
      <c r="H3004" t="s">
        <v>5474</v>
      </c>
      <c r="I3004" t="s">
        <v>13799</v>
      </c>
      <c r="J3004" t="s">
        <v>5476</v>
      </c>
      <c r="K3004" t="s">
        <v>9836</v>
      </c>
      <c r="L3004" t="s">
        <v>5471</v>
      </c>
      <c r="M3004" t="s">
        <v>5471</v>
      </c>
    </row>
    <row r="3005" spans="1:13" x14ac:dyDescent="0.3">
      <c r="A3005" t="s">
        <v>3397</v>
      </c>
      <c r="B3005" t="s">
        <v>13796</v>
      </c>
      <c r="C3005" t="s">
        <v>5487</v>
      </c>
      <c r="D3005" t="s">
        <v>4119</v>
      </c>
      <c r="E3005" t="s">
        <v>5595</v>
      </c>
      <c r="F3005" t="s">
        <v>13800</v>
      </c>
      <c r="G3005" t="s">
        <v>13801</v>
      </c>
      <c r="H3005" t="s">
        <v>5474</v>
      </c>
      <c r="I3005" t="s">
        <v>13802</v>
      </c>
      <c r="J3005" t="s">
        <v>5476</v>
      </c>
      <c r="K3005" t="s">
        <v>9836</v>
      </c>
      <c r="L3005" t="s">
        <v>5471</v>
      </c>
      <c r="M3005" t="s">
        <v>5471</v>
      </c>
    </row>
    <row r="3006" spans="1:13" x14ac:dyDescent="0.3">
      <c r="A3006" t="s">
        <v>3397</v>
      </c>
      <c r="B3006" t="s">
        <v>7424</v>
      </c>
      <c r="C3006" t="s">
        <v>5487</v>
      </c>
      <c r="D3006" t="s">
        <v>4119</v>
      </c>
      <c r="E3006" t="s">
        <v>5532</v>
      </c>
      <c r="F3006" t="s">
        <v>13803</v>
      </c>
      <c r="G3006" t="s">
        <v>13804</v>
      </c>
      <c r="H3006" t="s">
        <v>5474</v>
      </c>
      <c r="I3006" t="s">
        <v>13805</v>
      </c>
      <c r="J3006" t="s">
        <v>5476</v>
      </c>
      <c r="K3006" t="s">
        <v>13806</v>
      </c>
      <c r="L3006" t="s">
        <v>5471</v>
      </c>
      <c r="M3006" t="s">
        <v>5471</v>
      </c>
    </row>
    <row r="3007" spans="1:13" x14ac:dyDescent="0.3">
      <c r="A3007" t="s">
        <v>3397</v>
      </c>
      <c r="B3007" t="s">
        <v>7424</v>
      </c>
      <c r="C3007" t="s">
        <v>5487</v>
      </c>
      <c r="D3007" t="s">
        <v>4119</v>
      </c>
      <c r="E3007" t="s">
        <v>5532</v>
      </c>
      <c r="F3007" t="s">
        <v>13807</v>
      </c>
      <c r="G3007" t="s">
        <v>13783</v>
      </c>
      <c r="H3007" t="s">
        <v>5474</v>
      </c>
      <c r="I3007" t="s">
        <v>13808</v>
      </c>
      <c r="J3007" t="s">
        <v>5476</v>
      </c>
      <c r="K3007" t="s">
        <v>13809</v>
      </c>
      <c r="L3007" t="s">
        <v>5471</v>
      </c>
      <c r="M3007" t="s">
        <v>5471</v>
      </c>
    </row>
    <row r="3008" spans="1:13" x14ac:dyDescent="0.3">
      <c r="A3008" t="s">
        <v>3397</v>
      </c>
      <c r="B3008" t="s">
        <v>7424</v>
      </c>
      <c r="C3008" t="s">
        <v>5487</v>
      </c>
      <c r="D3008" t="s">
        <v>4119</v>
      </c>
      <c r="E3008" t="s">
        <v>5532</v>
      </c>
      <c r="F3008" t="s">
        <v>13810</v>
      </c>
      <c r="G3008" t="s">
        <v>13776</v>
      </c>
      <c r="H3008" t="s">
        <v>5474</v>
      </c>
      <c r="I3008" t="s">
        <v>13811</v>
      </c>
      <c r="J3008" t="s">
        <v>5476</v>
      </c>
      <c r="K3008" t="s">
        <v>13812</v>
      </c>
      <c r="L3008" t="s">
        <v>5471</v>
      </c>
      <c r="M3008" t="s">
        <v>5471</v>
      </c>
    </row>
    <row r="3009" spans="1:13" x14ac:dyDescent="0.3">
      <c r="A3009" t="s">
        <v>3397</v>
      </c>
      <c r="B3009" t="s">
        <v>7424</v>
      </c>
      <c r="C3009" t="s">
        <v>5487</v>
      </c>
      <c r="D3009" t="s">
        <v>4119</v>
      </c>
      <c r="E3009" t="s">
        <v>5532</v>
      </c>
      <c r="F3009" t="s">
        <v>13813</v>
      </c>
      <c r="G3009" t="s">
        <v>13783</v>
      </c>
      <c r="H3009" t="s">
        <v>5474</v>
      </c>
      <c r="I3009" t="s">
        <v>13814</v>
      </c>
      <c r="J3009" t="s">
        <v>5476</v>
      </c>
      <c r="K3009" t="s">
        <v>13815</v>
      </c>
      <c r="L3009" t="s">
        <v>5471</v>
      </c>
      <c r="M3009" t="s">
        <v>5471</v>
      </c>
    </row>
    <row r="3010" spans="1:13" x14ac:dyDescent="0.3">
      <c r="A3010" t="s">
        <v>3397</v>
      </c>
      <c r="B3010" t="s">
        <v>7424</v>
      </c>
      <c r="C3010" t="s">
        <v>5487</v>
      </c>
      <c r="D3010" t="s">
        <v>4119</v>
      </c>
      <c r="E3010" t="s">
        <v>5756</v>
      </c>
      <c r="F3010" t="s">
        <v>13816</v>
      </c>
      <c r="G3010" t="s">
        <v>7426</v>
      </c>
      <c r="H3010" t="s">
        <v>5474</v>
      </c>
      <c r="I3010" t="s">
        <v>13817</v>
      </c>
      <c r="J3010" t="s">
        <v>5476</v>
      </c>
      <c r="K3010" t="s">
        <v>13818</v>
      </c>
      <c r="L3010" t="s">
        <v>5471</v>
      </c>
      <c r="M3010" t="s">
        <v>5471</v>
      </c>
    </row>
    <row r="3011" spans="1:13" x14ac:dyDescent="0.3">
      <c r="A3011" t="s">
        <v>3397</v>
      </c>
      <c r="B3011" t="s">
        <v>7424</v>
      </c>
      <c r="C3011" t="s">
        <v>5487</v>
      </c>
      <c r="D3011" t="s">
        <v>4119</v>
      </c>
      <c r="E3011" t="s">
        <v>5756</v>
      </c>
      <c r="F3011" t="s">
        <v>13819</v>
      </c>
      <c r="G3011" t="s">
        <v>7426</v>
      </c>
      <c r="H3011" t="s">
        <v>5474</v>
      </c>
      <c r="I3011" t="s">
        <v>13820</v>
      </c>
      <c r="J3011" t="s">
        <v>5476</v>
      </c>
      <c r="K3011" t="s">
        <v>13821</v>
      </c>
      <c r="L3011" t="s">
        <v>5471</v>
      </c>
      <c r="M3011" t="s">
        <v>5471</v>
      </c>
    </row>
    <row r="3012" spans="1:13" x14ac:dyDescent="0.3">
      <c r="A3012" t="s">
        <v>3397</v>
      </c>
      <c r="B3012" t="s">
        <v>7424</v>
      </c>
      <c r="C3012" t="s">
        <v>5487</v>
      </c>
      <c r="D3012" t="s">
        <v>4119</v>
      </c>
      <c r="E3012" t="s">
        <v>5756</v>
      </c>
      <c r="F3012" t="s">
        <v>13822</v>
      </c>
      <c r="G3012" t="s">
        <v>7426</v>
      </c>
      <c r="H3012" t="s">
        <v>5474</v>
      </c>
      <c r="I3012" t="s">
        <v>13823</v>
      </c>
      <c r="J3012" t="s">
        <v>5476</v>
      </c>
      <c r="K3012" t="s">
        <v>13824</v>
      </c>
      <c r="L3012" t="s">
        <v>5471</v>
      </c>
      <c r="M3012" t="s">
        <v>5471</v>
      </c>
    </row>
    <row r="3013" spans="1:13" x14ac:dyDescent="0.3">
      <c r="A3013" t="s">
        <v>3397</v>
      </c>
      <c r="B3013" t="s">
        <v>7424</v>
      </c>
      <c r="C3013" t="s">
        <v>5487</v>
      </c>
      <c r="D3013" t="s">
        <v>4119</v>
      </c>
      <c r="E3013" t="s">
        <v>5756</v>
      </c>
      <c r="F3013" t="s">
        <v>13825</v>
      </c>
      <c r="G3013" t="s">
        <v>7426</v>
      </c>
      <c r="H3013" t="s">
        <v>5474</v>
      </c>
      <c r="I3013" t="s">
        <v>13826</v>
      </c>
      <c r="J3013" t="s">
        <v>5476</v>
      </c>
      <c r="K3013" t="s">
        <v>13827</v>
      </c>
      <c r="L3013" t="s">
        <v>5471</v>
      </c>
      <c r="M3013" t="s">
        <v>5471</v>
      </c>
    </row>
    <row r="3014" spans="1:13" x14ac:dyDescent="0.3">
      <c r="A3014" t="s">
        <v>3397</v>
      </c>
      <c r="B3014" t="s">
        <v>7424</v>
      </c>
      <c r="C3014" t="s">
        <v>5487</v>
      </c>
      <c r="D3014" t="s">
        <v>4119</v>
      </c>
      <c r="E3014" t="s">
        <v>5756</v>
      </c>
      <c r="F3014" t="s">
        <v>13828</v>
      </c>
      <c r="G3014" t="s">
        <v>7426</v>
      </c>
      <c r="H3014" t="s">
        <v>5474</v>
      </c>
      <c r="I3014" t="s">
        <v>13829</v>
      </c>
      <c r="J3014" t="s">
        <v>5476</v>
      </c>
      <c r="K3014" t="s">
        <v>13830</v>
      </c>
      <c r="L3014" t="s">
        <v>5471</v>
      </c>
      <c r="M3014" t="s">
        <v>5471</v>
      </c>
    </row>
    <row r="3015" spans="1:13" x14ac:dyDescent="0.3">
      <c r="A3015" t="s">
        <v>3397</v>
      </c>
      <c r="B3015" t="s">
        <v>7424</v>
      </c>
      <c r="C3015" t="s">
        <v>5487</v>
      </c>
      <c r="D3015" t="s">
        <v>4119</v>
      </c>
      <c r="E3015" t="s">
        <v>5756</v>
      </c>
      <c r="F3015" t="s">
        <v>13831</v>
      </c>
      <c r="G3015" t="s">
        <v>7426</v>
      </c>
      <c r="H3015" t="s">
        <v>5474</v>
      </c>
      <c r="I3015" t="s">
        <v>13832</v>
      </c>
      <c r="J3015" t="s">
        <v>5476</v>
      </c>
      <c r="K3015" t="s">
        <v>13833</v>
      </c>
      <c r="L3015" t="s">
        <v>5471</v>
      </c>
      <c r="M3015" t="s">
        <v>5471</v>
      </c>
    </row>
    <row r="3016" spans="1:13" x14ac:dyDescent="0.3">
      <c r="A3016" t="s">
        <v>3397</v>
      </c>
      <c r="B3016" t="s">
        <v>7424</v>
      </c>
      <c r="C3016" t="s">
        <v>5487</v>
      </c>
      <c r="D3016" t="s">
        <v>4119</v>
      </c>
      <c r="E3016" t="s">
        <v>5756</v>
      </c>
      <c r="F3016" t="s">
        <v>13834</v>
      </c>
      <c r="G3016" t="s">
        <v>7426</v>
      </c>
      <c r="H3016" t="s">
        <v>5474</v>
      </c>
      <c r="I3016" t="s">
        <v>13835</v>
      </c>
      <c r="J3016" t="s">
        <v>5476</v>
      </c>
      <c r="K3016" t="s">
        <v>13836</v>
      </c>
      <c r="L3016" t="s">
        <v>5471</v>
      </c>
      <c r="M3016" t="s">
        <v>5471</v>
      </c>
    </row>
    <row r="3017" spans="1:13" x14ac:dyDescent="0.3">
      <c r="A3017" t="s">
        <v>3397</v>
      </c>
      <c r="B3017" t="s">
        <v>7424</v>
      </c>
      <c r="C3017" t="s">
        <v>5487</v>
      </c>
      <c r="D3017" t="s">
        <v>4119</v>
      </c>
      <c r="E3017" t="s">
        <v>5756</v>
      </c>
      <c r="F3017" t="s">
        <v>13837</v>
      </c>
      <c r="G3017" t="s">
        <v>7426</v>
      </c>
      <c r="H3017" t="s">
        <v>5474</v>
      </c>
      <c r="I3017" t="s">
        <v>13838</v>
      </c>
      <c r="J3017" t="s">
        <v>5476</v>
      </c>
      <c r="K3017" t="s">
        <v>13839</v>
      </c>
      <c r="L3017" t="s">
        <v>5471</v>
      </c>
      <c r="M3017" t="s">
        <v>5471</v>
      </c>
    </row>
    <row r="3018" spans="1:13" x14ac:dyDescent="0.3">
      <c r="A3018" t="s">
        <v>3397</v>
      </c>
      <c r="B3018" t="s">
        <v>7424</v>
      </c>
      <c r="C3018" t="s">
        <v>5487</v>
      </c>
      <c r="D3018" t="s">
        <v>4119</v>
      </c>
      <c r="E3018" t="s">
        <v>5756</v>
      </c>
      <c r="F3018" t="s">
        <v>13840</v>
      </c>
      <c r="G3018" t="s">
        <v>7426</v>
      </c>
      <c r="H3018" t="s">
        <v>5474</v>
      </c>
      <c r="I3018" t="s">
        <v>13841</v>
      </c>
      <c r="J3018" t="s">
        <v>5476</v>
      </c>
      <c r="K3018" t="s">
        <v>13842</v>
      </c>
      <c r="L3018" t="s">
        <v>5471</v>
      </c>
      <c r="M3018" t="s">
        <v>5471</v>
      </c>
    </row>
    <row r="3019" spans="1:13" x14ac:dyDescent="0.3">
      <c r="A3019" t="s">
        <v>3397</v>
      </c>
      <c r="B3019" t="s">
        <v>7424</v>
      </c>
      <c r="C3019" t="s">
        <v>5487</v>
      </c>
      <c r="D3019" t="s">
        <v>4119</v>
      </c>
      <c r="E3019" t="s">
        <v>5756</v>
      </c>
      <c r="F3019" t="s">
        <v>13843</v>
      </c>
      <c r="G3019" t="s">
        <v>7426</v>
      </c>
      <c r="H3019" t="s">
        <v>5474</v>
      </c>
      <c r="I3019" t="s">
        <v>13844</v>
      </c>
      <c r="J3019" t="s">
        <v>5476</v>
      </c>
      <c r="K3019" t="s">
        <v>13845</v>
      </c>
      <c r="L3019" t="s">
        <v>5471</v>
      </c>
      <c r="M3019" t="s">
        <v>5471</v>
      </c>
    </row>
    <row r="3020" spans="1:13" x14ac:dyDescent="0.3">
      <c r="A3020" t="s">
        <v>3397</v>
      </c>
      <c r="B3020" t="s">
        <v>7424</v>
      </c>
      <c r="C3020" t="s">
        <v>5487</v>
      </c>
      <c r="D3020" t="s">
        <v>4119</v>
      </c>
      <c r="E3020" t="s">
        <v>5756</v>
      </c>
      <c r="F3020" t="s">
        <v>13846</v>
      </c>
      <c r="G3020" t="s">
        <v>7426</v>
      </c>
      <c r="H3020" t="s">
        <v>5474</v>
      </c>
      <c r="I3020" t="s">
        <v>13847</v>
      </c>
      <c r="J3020" t="s">
        <v>5476</v>
      </c>
      <c r="K3020" t="s">
        <v>13848</v>
      </c>
      <c r="L3020" t="s">
        <v>5471</v>
      </c>
      <c r="M3020" t="s">
        <v>5471</v>
      </c>
    </row>
    <row r="3021" spans="1:13" x14ac:dyDescent="0.3">
      <c r="A3021" t="s">
        <v>3397</v>
      </c>
      <c r="B3021" t="s">
        <v>7424</v>
      </c>
      <c r="C3021" t="s">
        <v>5487</v>
      </c>
      <c r="D3021" t="s">
        <v>4119</v>
      </c>
      <c r="E3021" t="s">
        <v>5756</v>
      </c>
      <c r="F3021" t="s">
        <v>13849</v>
      </c>
      <c r="G3021" t="s">
        <v>7426</v>
      </c>
      <c r="H3021" t="s">
        <v>5474</v>
      </c>
      <c r="I3021" t="s">
        <v>13850</v>
      </c>
      <c r="J3021" t="s">
        <v>5476</v>
      </c>
      <c r="K3021" t="s">
        <v>13851</v>
      </c>
      <c r="L3021" t="s">
        <v>5471</v>
      </c>
      <c r="M3021" t="s">
        <v>5471</v>
      </c>
    </row>
    <row r="3022" spans="1:13" x14ac:dyDescent="0.3">
      <c r="A3022" t="s">
        <v>3397</v>
      </c>
      <c r="B3022" t="s">
        <v>7424</v>
      </c>
      <c r="C3022" t="s">
        <v>5487</v>
      </c>
      <c r="D3022" t="s">
        <v>4119</v>
      </c>
      <c r="E3022" t="s">
        <v>5756</v>
      </c>
      <c r="F3022" t="s">
        <v>13852</v>
      </c>
      <c r="G3022" t="s">
        <v>7426</v>
      </c>
      <c r="H3022" t="s">
        <v>5474</v>
      </c>
      <c r="I3022" t="s">
        <v>13853</v>
      </c>
      <c r="J3022" t="s">
        <v>5476</v>
      </c>
      <c r="K3022" t="s">
        <v>13854</v>
      </c>
      <c r="L3022" t="s">
        <v>5471</v>
      </c>
      <c r="M3022" t="s">
        <v>5471</v>
      </c>
    </row>
    <row r="3023" spans="1:13" x14ac:dyDescent="0.3">
      <c r="A3023" t="s">
        <v>3397</v>
      </c>
      <c r="B3023" t="s">
        <v>7424</v>
      </c>
      <c r="C3023" t="s">
        <v>5487</v>
      </c>
      <c r="D3023" t="s">
        <v>4119</v>
      </c>
      <c r="E3023" t="s">
        <v>5756</v>
      </c>
      <c r="F3023" t="s">
        <v>13855</v>
      </c>
      <c r="G3023" t="s">
        <v>7426</v>
      </c>
      <c r="H3023" t="s">
        <v>5474</v>
      </c>
      <c r="I3023" t="s">
        <v>13856</v>
      </c>
      <c r="J3023" t="s">
        <v>5476</v>
      </c>
      <c r="K3023" t="s">
        <v>13857</v>
      </c>
      <c r="L3023" t="s">
        <v>5471</v>
      </c>
      <c r="M3023" t="s">
        <v>5471</v>
      </c>
    </row>
    <row r="3024" spans="1:13" x14ac:dyDescent="0.3">
      <c r="A3024" t="s">
        <v>3397</v>
      </c>
      <c r="B3024" t="s">
        <v>7424</v>
      </c>
      <c r="C3024" t="s">
        <v>5487</v>
      </c>
      <c r="D3024" t="s">
        <v>4119</v>
      </c>
      <c r="E3024" t="s">
        <v>5756</v>
      </c>
      <c r="F3024" t="s">
        <v>13858</v>
      </c>
      <c r="G3024" t="s">
        <v>7426</v>
      </c>
      <c r="H3024" t="s">
        <v>5474</v>
      </c>
      <c r="I3024" t="s">
        <v>13859</v>
      </c>
      <c r="J3024" t="s">
        <v>5476</v>
      </c>
      <c r="K3024" t="s">
        <v>13860</v>
      </c>
      <c r="L3024" t="s">
        <v>5471</v>
      </c>
      <c r="M3024" t="s">
        <v>5471</v>
      </c>
    </row>
    <row r="3025" spans="1:13" x14ac:dyDescent="0.3">
      <c r="A3025" t="s">
        <v>3397</v>
      </c>
      <c r="B3025" t="s">
        <v>7424</v>
      </c>
      <c r="C3025" t="s">
        <v>5487</v>
      </c>
      <c r="D3025" t="s">
        <v>4119</v>
      </c>
      <c r="E3025" t="s">
        <v>5756</v>
      </c>
      <c r="F3025" t="s">
        <v>13861</v>
      </c>
      <c r="G3025" t="s">
        <v>7426</v>
      </c>
      <c r="H3025" t="s">
        <v>5474</v>
      </c>
      <c r="I3025" t="s">
        <v>13862</v>
      </c>
      <c r="J3025" t="s">
        <v>5476</v>
      </c>
      <c r="K3025" t="s">
        <v>13863</v>
      </c>
      <c r="L3025" t="s">
        <v>5471</v>
      </c>
      <c r="M3025" t="s">
        <v>5471</v>
      </c>
    </row>
    <row r="3026" spans="1:13" x14ac:dyDescent="0.3">
      <c r="A3026" t="s">
        <v>3397</v>
      </c>
      <c r="B3026" t="s">
        <v>7424</v>
      </c>
      <c r="C3026" t="s">
        <v>5487</v>
      </c>
      <c r="D3026" t="s">
        <v>4119</v>
      </c>
      <c r="E3026" t="s">
        <v>5756</v>
      </c>
      <c r="F3026" t="s">
        <v>13864</v>
      </c>
      <c r="G3026" t="s">
        <v>7426</v>
      </c>
      <c r="H3026" t="s">
        <v>5474</v>
      </c>
      <c r="I3026" t="s">
        <v>13865</v>
      </c>
      <c r="J3026" t="s">
        <v>5476</v>
      </c>
      <c r="K3026" t="s">
        <v>13866</v>
      </c>
      <c r="L3026" t="s">
        <v>5471</v>
      </c>
      <c r="M3026" t="s">
        <v>5471</v>
      </c>
    </row>
    <row r="3027" spans="1:13" x14ac:dyDescent="0.3">
      <c r="A3027" t="s">
        <v>3397</v>
      </c>
      <c r="B3027" t="s">
        <v>7424</v>
      </c>
      <c r="C3027" t="s">
        <v>5487</v>
      </c>
      <c r="D3027" t="s">
        <v>4119</v>
      </c>
      <c r="E3027" t="s">
        <v>5756</v>
      </c>
      <c r="F3027" t="s">
        <v>13867</v>
      </c>
      <c r="G3027" t="s">
        <v>7426</v>
      </c>
      <c r="H3027" t="s">
        <v>5474</v>
      </c>
      <c r="I3027" t="s">
        <v>13868</v>
      </c>
      <c r="J3027" t="s">
        <v>5476</v>
      </c>
      <c r="K3027" t="s">
        <v>13869</v>
      </c>
      <c r="L3027" t="s">
        <v>5471</v>
      </c>
      <c r="M3027" t="s">
        <v>5471</v>
      </c>
    </row>
    <row r="3028" spans="1:13" x14ac:dyDescent="0.3">
      <c r="A3028" t="s">
        <v>3397</v>
      </c>
      <c r="B3028" t="s">
        <v>7424</v>
      </c>
      <c r="C3028" t="s">
        <v>5487</v>
      </c>
      <c r="D3028" t="s">
        <v>4119</v>
      </c>
      <c r="E3028" t="s">
        <v>5756</v>
      </c>
      <c r="F3028" t="s">
        <v>13870</v>
      </c>
      <c r="G3028" t="s">
        <v>7426</v>
      </c>
      <c r="H3028" t="s">
        <v>5474</v>
      </c>
      <c r="I3028" t="s">
        <v>13871</v>
      </c>
      <c r="J3028" t="s">
        <v>5476</v>
      </c>
      <c r="K3028" t="s">
        <v>13872</v>
      </c>
      <c r="L3028" t="s">
        <v>5471</v>
      </c>
      <c r="M3028" t="s">
        <v>5471</v>
      </c>
    </row>
    <row r="3029" spans="1:13" x14ac:dyDescent="0.3">
      <c r="A3029" t="s">
        <v>3397</v>
      </c>
      <c r="B3029" t="s">
        <v>7424</v>
      </c>
      <c r="C3029" t="s">
        <v>5487</v>
      </c>
      <c r="D3029" t="s">
        <v>4119</v>
      </c>
      <c r="E3029" t="s">
        <v>5756</v>
      </c>
      <c r="F3029" t="s">
        <v>13873</v>
      </c>
      <c r="G3029" t="s">
        <v>7426</v>
      </c>
      <c r="H3029" t="s">
        <v>5474</v>
      </c>
      <c r="I3029" t="s">
        <v>13874</v>
      </c>
      <c r="J3029" t="s">
        <v>5476</v>
      </c>
      <c r="K3029" t="s">
        <v>13875</v>
      </c>
      <c r="L3029" t="s">
        <v>5471</v>
      </c>
      <c r="M3029" t="s">
        <v>5471</v>
      </c>
    </row>
    <row r="3030" spans="1:13" x14ac:dyDescent="0.3">
      <c r="A3030" t="s">
        <v>3397</v>
      </c>
      <c r="B3030" t="s">
        <v>7424</v>
      </c>
      <c r="C3030" t="s">
        <v>5487</v>
      </c>
      <c r="D3030" t="s">
        <v>4119</v>
      </c>
      <c r="E3030" t="s">
        <v>5756</v>
      </c>
      <c r="F3030" t="s">
        <v>13876</v>
      </c>
      <c r="G3030" t="s">
        <v>7426</v>
      </c>
      <c r="H3030" t="s">
        <v>5474</v>
      </c>
      <c r="I3030" t="s">
        <v>13877</v>
      </c>
      <c r="J3030" t="s">
        <v>5476</v>
      </c>
      <c r="K3030" t="s">
        <v>13878</v>
      </c>
      <c r="L3030" t="s">
        <v>5471</v>
      </c>
      <c r="M3030" t="s">
        <v>5471</v>
      </c>
    </row>
    <row r="3031" spans="1:13" x14ac:dyDescent="0.3">
      <c r="A3031" t="s">
        <v>3397</v>
      </c>
      <c r="B3031" t="s">
        <v>6315</v>
      </c>
      <c r="C3031" t="s">
        <v>5487</v>
      </c>
      <c r="D3031" t="s">
        <v>4056</v>
      </c>
      <c r="E3031" t="s">
        <v>5595</v>
      </c>
      <c r="F3031" t="s">
        <v>13879</v>
      </c>
      <c r="G3031" t="s">
        <v>13880</v>
      </c>
      <c r="H3031" t="s">
        <v>5474</v>
      </c>
      <c r="I3031" t="s">
        <v>13881</v>
      </c>
      <c r="J3031" t="s">
        <v>5476</v>
      </c>
      <c r="K3031" t="s">
        <v>13882</v>
      </c>
      <c r="L3031" t="s">
        <v>5471</v>
      </c>
      <c r="M3031" t="s">
        <v>5471</v>
      </c>
    </row>
    <row r="3032" spans="1:13" x14ac:dyDescent="0.3">
      <c r="A3032" t="s">
        <v>3397</v>
      </c>
      <c r="B3032" t="s">
        <v>6315</v>
      </c>
      <c r="C3032" t="s">
        <v>5487</v>
      </c>
      <c r="D3032" t="s">
        <v>4058</v>
      </c>
      <c r="E3032" t="s">
        <v>5595</v>
      </c>
      <c r="F3032" t="s">
        <v>13883</v>
      </c>
      <c r="G3032" t="s">
        <v>13880</v>
      </c>
      <c r="H3032" t="s">
        <v>5474</v>
      </c>
      <c r="I3032" t="s">
        <v>13884</v>
      </c>
      <c r="J3032" t="s">
        <v>5476</v>
      </c>
      <c r="K3032" t="s">
        <v>13885</v>
      </c>
      <c r="L3032" t="s">
        <v>5471</v>
      </c>
      <c r="M3032" t="s">
        <v>5471</v>
      </c>
    </row>
    <row r="3033" spans="1:13" x14ac:dyDescent="0.3">
      <c r="A3033" t="s">
        <v>3397</v>
      </c>
      <c r="B3033" t="s">
        <v>6315</v>
      </c>
      <c r="C3033" t="s">
        <v>5487</v>
      </c>
      <c r="D3033" t="s">
        <v>10218</v>
      </c>
      <c r="E3033" t="s">
        <v>5843</v>
      </c>
      <c r="F3033" t="s">
        <v>13886</v>
      </c>
      <c r="G3033" t="s">
        <v>13880</v>
      </c>
      <c r="H3033" t="s">
        <v>5474</v>
      </c>
      <c r="I3033" t="s">
        <v>13887</v>
      </c>
      <c r="J3033" t="s">
        <v>5476</v>
      </c>
      <c r="K3033" t="s">
        <v>13888</v>
      </c>
      <c r="L3033" t="s">
        <v>5471</v>
      </c>
      <c r="M3033" t="s">
        <v>5471</v>
      </c>
    </row>
    <row r="3034" spans="1:13" x14ac:dyDescent="0.3">
      <c r="A3034" t="s">
        <v>3397</v>
      </c>
      <c r="B3034" t="s">
        <v>6315</v>
      </c>
      <c r="C3034" t="s">
        <v>5487</v>
      </c>
      <c r="D3034" t="s">
        <v>10218</v>
      </c>
      <c r="E3034" t="s">
        <v>5843</v>
      </c>
      <c r="F3034" t="s">
        <v>13889</v>
      </c>
      <c r="G3034" t="s">
        <v>13880</v>
      </c>
      <c r="H3034" t="s">
        <v>5474</v>
      </c>
      <c r="I3034" t="s">
        <v>13890</v>
      </c>
      <c r="J3034" t="s">
        <v>5476</v>
      </c>
      <c r="K3034" t="s">
        <v>13891</v>
      </c>
      <c r="L3034" t="s">
        <v>5471</v>
      </c>
      <c r="M3034" t="s">
        <v>5471</v>
      </c>
    </row>
    <row r="3035" spans="1:13" x14ac:dyDescent="0.3">
      <c r="A3035" t="s">
        <v>3397</v>
      </c>
      <c r="B3035" t="s">
        <v>6315</v>
      </c>
      <c r="C3035" t="s">
        <v>5487</v>
      </c>
      <c r="D3035" t="s">
        <v>10218</v>
      </c>
      <c r="E3035" t="s">
        <v>5843</v>
      </c>
      <c r="F3035" t="s">
        <v>13892</v>
      </c>
      <c r="G3035" t="s">
        <v>13880</v>
      </c>
      <c r="H3035" t="s">
        <v>5474</v>
      </c>
      <c r="I3035" t="s">
        <v>13893</v>
      </c>
      <c r="J3035" t="s">
        <v>5476</v>
      </c>
      <c r="K3035" t="s">
        <v>13894</v>
      </c>
      <c r="L3035" t="s">
        <v>5471</v>
      </c>
      <c r="M3035" t="s">
        <v>5471</v>
      </c>
    </row>
    <row r="3036" spans="1:13" x14ac:dyDescent="0.3">
      <c r="A3036" t="s">
        <v>3397</v>
      </c>
      <c r="B3036" t="s">
        <v>6315</v>
      </c>
      <c r="C3036" t="s">
        <v>5487</v>
      </c>
      <c r="D3036" t="s">
        <v>4056</v>
      </c>
      <c r="E3036" t="s">
        <v>5843</v>
      </c>
      <c r="F3036" t="s">
        <v>13895</v>
      </c>
      <c r="G3036" t="s">
        <v>13880</v>
      </c>
      <c r="H3036" t="s">
        <v>5474</v>
      </c>
      <c r="I3036" t="s">
        <v>13896</v>
      </c>
      <c r="J3036" t="s">
        <v>5476</v>
      </c>
      <c r="K3036" t="s">
        <v>13897</v>
      </c>
      <c r="L3036" t="s">
        <v>5471</v>
      </c>
      <c r="M3036" t="s">
        <v>5471</v>
      </c>
    </row>
    <row r="3037" spans="1:13" x14ac:dyDescent="0.3">
      <c r="A3037" t="s">
        <v>3397</v>
      </c>
      <c r="B3037" t="s">
        <v>6315</v>
      </c>
      <c r="C3037" t="s">
        <v>5487</v>
      </c>
      <c r="D3037" t="s">
        <v>4056</v>
      </c>
      <c r="E3037" t="s">
        <v>5843</v>
      </c>
      <c r="F3037" t="s">
        <v>13898</v>
      </c>
      <c r="G3037" t="s">
        <v>13880</v>
      </c>
      <c r="H3037" t="s">
        <v>5474</v>
      </c>
      <c r="I3037" t="s">
        <v>13899</v>
      </c>
      <c r="J3037" t="s">
        <v>5476</v>
      </c>
      <c r="K3037" t="s">
        <v>13900</v>
      </c>
      <c r="L3037" t="s">
        <v>5471</v>
      </c>
      <c r="M3037" t="s">
        <v>5471</v>
      </c>
    </row>
    <row r="3038" spans="1:13" x14ac:dyDescent="0.3">
      <c r="A3038" t="s">
        <v>3397</v>
      </c>
      <c r="B3038" t="s">
        <v>6315</v>
      </c>
      <c r="C3038" t="s">
        <v>5487</v>
      </c>
      <c r="D3038" t="s">
        <v>4056</v>
      </c>
      <c r="E3038" t="s">
        <v>5843</v>
      </c>
      <c r="F3038" t="s">
        <v>13901</v>
      </c>
      <c r="G3038" t="s">
        <v>13880</v>
      </c>
      <c r="H3038" t="s">
        <v>5474</v>
      </c>
      <c r="I3038" t="s">
        <v>13902</v>
      </c>
      <c r="J3038" t="s">
        <v>5476</v>
      </c>
      <c r="K3038" t="s">
        <v>13903</v>
      </c>
      <c r="L3038" t="s">
        <v>5471</v>
      </c>
      <c r="M3038" t="s">
        <v>5471</v>
      </c>
    </row>
    <row r="3039" spans="1:13" x14ac:dyDescent="0.3">
      <c r="A3039" t="s">
        <v>3397</v>
      </c>
      <c r="B3039" t="s">
        <v>6315</v>
      </c>
      <c r="C3039" t="s">
        <v>5487</v>
      </c>
      <c r="D3039" t="s">
        <v>4056</v>
      </c>
      <c r="E3039" t="s">
        <v>5843</v>
      </c>
      <c r="F3039" t="s">
        <v>13904</v>
      </c>
      <c r="G3039" t="s">
        <v>13905</v>
      </c>
      <c r="H3039" t="s">
        <v>5474</v>
      </c>
      <c r="I3039" t="s">
        <v>13906</v>
      </c>
      <c r="J3039" t="s">
        <v>5476</v>
      </c>
      <c r="K3039" t="s">
        <v>13907</v>
      </c>
      <c r="L3039" t="s">
        <v>5471</v>
      </c>
      <c r="M3039" t="s">
        <v>5471</v>
      </c>
    </row>
    <row r="3040" spans="1:13" x14ac:dyDescent="0.3">
      <c r="A3040" t="s">
        <v>3397</v>
      </c>
      <c r="B3040" t="s">
        <v>6315</v>
      </c>
      <c r="C3040" t="s">
        <v>5487</v>
      </c>
      <c r="D3040" t="s">
        <v>4056</v>
      </c>
      <c r="E3040" t="s">
        <v>5843</v>
      </c>
      <c r="F3040" t="s">
        <v>13908</v>
      </c>
      <c r="G3040" t="s">
        <v>13905</v>
      </c>
      <c r="H3040" t="s">
        <v>5474</v>
      </c>
      <c r="I3040" t="s">
        <v>13909</v>
      </c>
      <c r="J3040" t="s">
        <v>5476</v>
      </c>
      <c r="K3040" t="s">
        <v>13910</v>
      </c>
      <c r="L3040" t="s">
        <v>5471</v>
      </c>
      <c r="M3040" t="s">
        <v>5471</v>
      </c>
    </row>
    <row r="3041" spans="1:13" x14ac:dyDescent="0.3">
      <c r="A3041" t="s">
        <v>3397</v>
      </c>
      <c r="B3041" t="s">
        <v>6315</v>
      </c>
      <c r="C3041" t="s">
        <v>5487</v>
      </c>
      <c r="D3041" t="s">
        <v>4056</v>
      </c>
      <c r="E3041" t="s">
        <v>5843</v>
      </c>
      <c r="F3041" t="s">
        <v>13911</v>
      </c>
      <c r="G3041" t="s">
        <v>13905</v>
      </c>
      <c r="H3041" t="s">
        <v>5474</v>
      </c>
      <c r="I3041" t="s">
        <v>13912</v>
      </c>
      <c r="J3041" t="s">
        <v>5476</v>
      </c>
      <c r="K3041" t="s">
        <v>13913</v>
      </c>
      <c r="L3041" t="s">
        <v>5471</v>
      </c>
      <c r="M3041" t="s">
        <v>5471</v>
      </c>
    </row>
    <row r="3042" spans="1:13" x14ac:dyDescent="0.3">
      <c r="A3042" t="s">
        <v>3397</v>
      </c>
      <c r="B3042" t="s">
        <v>6315</v>
      </c>
      <c r="C3042" t="s">
        <v>5487</v>
      </c>
      <c r="D3042" t="s">
        <v>4056</v>
      </c>
      <c r="E3042" t="s">
        <v>5843</v>
      </c>
      <c r="F3042" t="s">
        <v>13914</v>
      </c>
      <c r="G3042" t="s">
        <v>13905</v>
      </c>
      <c r="H3042" t="s">
        <v>5474</v>
      </c>
      <c r="I3042" t="s">
        <v>13915</v>
      </c>
      <c r="J3042" t="s">
        <v>5476</v>
      </c>
      <c r="K3042" t="s">
        <v>13916</v>
      </c>
      <c r="L3042" t="s">
        <v>5471</v>
      </c>
      <c r="M3042" t="s">
        <v>5471</v>
      </c>
    </row>
    <row r="3043" spans="1:13" x14ac:dyDescent="0.3">
      <c r="A3043" t="s">
        <v>3397</v>
      </c>
      <c r="B3043" t="s">
        <v>6315</v>
      </c>
      <c r="C3043" t="s">
        <v>5487</v>
      </c>
      <c r="D3043" t="s">
        <v>4056</v>
      </c>
      <c r="E3043" t="s">
        <v>5843</v>
      </c>
      <c r="F3043" t="s">
        <v>13917</v>
      </c>
      <c r="G3043" t="s">
        <v>13905</v>
      </c>
      <c r="H3043" t="s">
        <v>5474</v>
      </c>
      <c r="I3043" t="s">
        <v>13918</v>
      </c>
      <c r="J3043" t="s">
        <v>5476</v>
      </c>
      <c r="K3043" t="s">
        <v>13919</v>
      </c>
      <c r="L3043" t="s">
        <v>5471</v>
      </c>
      <c r="M3043" t="s">
        <v>5471</v>
      </c>
    </row>
    <row r="3044" spans="1:13" x14ac:dyDescent="0.3">
      <c r="A3044" t="s">
        <v>3397</v>
      </c>
      <c r="B3044" t="s">
        <v>6315</v>
      </c>
      <c r="C3044" t="s">
        <v>5487</v>
      </c>
      <c r="D3044" t="s">
        <v>4056</v>
      </c>
      <c r="E3044" t="s">
        <v>5843</v>
      </c>
      <c r="F3044" t="s">
        <v>13920</v>
      </c>
      <c r="G3044" t="s">
        <v>13905</v>
      </c>
      <c r="H3044" t="s">
        <v>5474</v>
      </c>
      <c r="I3044" t="s">
        <v>13921</v>
      </c>
      <c r="J3044" t="s">
        <v>5476</v>
      </c>
      <c r="K3044" t="s">
        <v>13922</v>
      </c>
      <c r="L3044" t="s">
        <v>5471</v>
      </c>
      <c r="M3044" t="s">
        <v>5471</v>
      </c>
    </row>
    <row r="3045" spans="1:13" x14ac:dyDescent="0.3">
      <c r="A3045" t="s">
        <v>3397</v>
      </c>
      <c r="B3045" t="s">
        <v>6315</v>
      </c>
      <c r="C3045" t="s">
        <v>5487</v>
      </c>
      <c r="D3045" t="s">
        <v>10218</v>
      </c>
      <c r="E3045" t="s">
        <v>5595</v>
      </c>
      <c r="F3045" t="s">
        <v>13923</v>
      </c>
      <c r="G3045" t="s">
        <v>13880</v>
      </c>
      <c r="H3045" t="s">
        <v>5474</v>
      </c>
      <c r="I3045" t="s">
        <v>13924</v>
      </c>
      <c r="J3045" t="s">
        <v>5476</v>
      </c>
      <c r="K3045" t="s">
        <v>13925</v>
      </c>
      <c r="L3045" t="s">
        <v>5471</v>
      </c>
      <c r="M3045" t="s">
        <v>5471</v>
      </c>
    </row>
    <row r="3046" spans="1:13" x14ac:dyDescent="0.3">
      <c r="A3046" t="s">
        <v>3397</v>
      </c>
      <c r="B3046" t="s">
        <v>6315</v>
      </c>
      <c r="C3046" t="s">
        <v>5487</v>
      </c>
      <c r="D3046" t="s">
        <v>10218</v>
      </c>
      <c r="E3046" t="s">
        <v>5595</v>
      </c>
      <c r="F3046" t="s">
        <v>13926</v>
      </c>
      <c r="G3046" t="s">
        <v>13880</v>
      </c>
      <c r="H3046" t="s">
        <v>5474</v>
      </c>
      <c r="I3046" t="s">
        <v>13927</v>
      </c>
      <c r="J3046" t="s">
        <v>5476</v>
      </c>
      <c r="K3046" t="s">
        <v>13928</v>
      </c>
      <c r="L3046" t="s">
        <v>5471</v>
      </c>
      <c r="M3046" t="s">
        <v>5471</v>
      </c>
    </row>
    <row r="3047" spans="1:13" x14ac:dyDescent="0.3">
      <c r="A3047" t="s">
        <v>3397</v>
      </c>
      <c r="B3047" t="s">
        <v>6315</v>
      </c>
      <c r="C3047" t="s">
        <v>5487</v>
      </c>
      <c r="D3047" t="s">
        <v>10218</v>
      </c>
      <c r="E3047" t="s">
        <v>5595</v>
      </c>
      <c r="F3047" t="s">
        <v>13929</v>
      </c>
      <c r="G3047" t="s">
        <v>13880</v>
      </c>
      <c r="H3047" t="s">
        <v>5474</v>
      </c>
      <c r="I3047" t="s">
        <v>13930</v>
      </c>
      <c r="J3047" t="s">
        <v>5476</v>
      </c>
      <c r="K3047" t="s">
        <v>13931</v>
      </c>
      <c r="L3047" t="s">
        <v>5471</v>
      </c>
      <c r="M3047" t="s">
        <v>5471</v>
      </c>
    </row>
    <row r="3048" spans="1:13" x14ac:dyDescent="0.3">
      <c r="A3048" t="s">
        <v>3397</v>
      </c>
      <c r="B3048" t="s">
        <v>6315</v>
      </c>
      <c r="C3048" t="s">
        <v>5487</v>
      </c>
      <c r="D3048" t="s">
        <v>4056</v>
      </c>
      <c r="E3048" t="s">
        <v>5595</v>
      </c>
      <c r="F3048" t="s">
        <v>13932</v>
      </c>
      <c r="G3048" t="s">
        <v>13880</v>
      </c>
      <c r="H3048" t="s">
        <v>5474</v>
      </c>
      <c r="I3048" t="s">
        <v>13933</v>
      </c>
      <c r="J3048" t="s">
        <v>5476</v>
      </c>
      <c r="K3048" t="s">
        <v>13934</v>
      </c>
      <c r="L3048" t="s">
        <v>5471</v>
      </c>
      <c r="M3048" t="s">
        <v>5471</v>
      </c>
    </row>
    <row r="3049" spans="1:13" x14ac:dyDescent="0.3">
      <c r="A3049" t="s">
        <v>3397</v>
      </c>
      <c r="B3049" t="s">
        <v>6315</v>
      </c>
      <c r="C3049" t="s">
        <v>5487</v>
      </c>
      <c r="D3049" t="s">
        <v>4056</v>
      </c>
      <c r="E3049" t="s">
        <v>5595</v>
      </c>
      <c r="F3049" t="s">
        <v>13935</v>
      </c>
      <c r="G3049" t="s">
        <v>13880</v>
      </c>
      <c r="H3049" t="s">
        <v>5474</v>
      </c>
      <c r="I3049" t="s">
        <v>13936</v>
      </c>
      <c r="J3049" t="s">
        <v>5476</v>
      </c>
      <c r="K3049" t="s">
        <v>13937</v>
      </c>
      <c r="L3049" t="s">
        <v>5471</v>
      </c>
      <c r="M3049" t="s">
        <v>5471</v>
      </c>
    </row>
    <row r="3050" spans="1:13" x14ac:dyDescent="0.3">
      <c r="A3050" t="s">
        <v>3397</v>
      </c>
      <c r="B3050" t="s">
        <v>6315</v>
      </c>
      <c r="C3050" t="s">
        <v>5487</v>
      </c>
      <c r="D3050" t="s">
        <v>4056</v>
      </c>
      <c r="E3050" t="s">
        <v>5595</v>
      </c>
      <c r="F3050" t="s">
        <v>13938</v>
      </c>
      <c r="G3050" t="s">
        <v>13880</v>
      </c>
      <c r="H3050" t="s">
        <v>5474</v>
      </c>
      <c r="I3050" t="s">
        <v>13939</v>
      </c>
      <c r="J3050" t="s">
        <v>5476</v>
      </c>
      <c r="K3050" t="s">
        <v>13940</v>
      </c>
      <c r="L3050" t="s">
        <v>5471</v>
      </c>
      <c r="M3050" t="s">
        <v>5471</v>
      </c>
    </row>
    <row r="3051" spans="1:13" x14ac:dyDescent="0.3">
      <c r="A3051" t="s">
        <v>3397</v>
      </c>
      <c r="B3051" t="s">
        <v>6315</v>
      </c>
      <c r="C3051" t="s">
        <v>5487</v>
      </c>
      <c r="D3051" t="s">
        <v>4058</v>
      </c>
      <c r="E3051" t="s">
        <v>5532</v>
      </c>
      <c r="F3051" t="s">
        <v>13941</v>
      </c>
      <c r="G3051" t="s">
        <v>13905</v>
      </c>
      <c r="H3051" t="s">
        <v>5474</v>
      </c>
      <c r="I3051" t="s">
        <v>13942</v>
      </c>
      <c r="J3051" t="s">
        <v>5476</v>
      </c>
      <c r="K3051" t="s">
        <v>13943</v>
      </c>
      <c r="L3051" t="s">
        <v>5471</v>
      </c>
      <c r="M3051" t="s">
        <v>5471</v>
      </c>
    </row>
    <row r="3052" spans="1:13" x14ac:dyDescent="0.3">
      <c r="A3052" t="s">
        <v>3397</v>
      </c>
      <c r="B3052" t="s">
        <v>6315</v>
      </c>
      <c r="C3052" t="s">
        <v>5487</v>
      </c>
      <c r="D3052" t="s">
        <v>4058</v>
      </c>
      <c r="E3052" t="s">
        <v>5532</v>
      </c>
      <c r="F3052" t="s">
        <v>13944</v>
      </c>
      <c r="G3052" t="s">
        <v>13905</v>
      </c>
      <c r="H3052" t="s">
        <v>5474</v>
      </c>
      <c r="I3052" t="s">
        <v>13945</v>
      </c>
      <c r="J3052" t="s">
        <v>5476</v>
      </c>
      <c r="K3052" t="s">
        <v>13946</v>
      </c>
      <c r="L3052" t="s">
        <v>5471</v>
      </c>
      <c r="M3052" t="s">
        <v>5471</v>
      </c>
    </row>
    <row r="3053" spans="1:13" x14ac:dyDescent="0.3">
      <c r="A3053" t="s">
        <v>3397</v>
      </c>
      <c r="B3053" t="s">
        <v>6315</v>
      </c>
      <c r="C3053" t="s">
        <v>5487</v>
      </c>
      <c r="D3053" t="s">
        <v>4056</v>
      </c>
      <c r="E3053" t="s">
        <v>5532</v>
      </c>
      <c r="F3053" t="s">
        <v>13947</v>
      </c>
      <c r="G3053" t="s">
        <v>13905</v>
      </c>
      <c r="H3053" t="s">
        <v>5474</v>
      </c>
      <c r="I3053" t="s">
        <v>13948</v>
      </c>
      <c r="J3053" t="s">
        <v>5476</v>
      </c>
      <c r="K3053" t="s">
        <v>13949</v>
      </c>
      <c r="L3053" t="s">
        <v>5471</v>
      </c>
      <c r="M3053" t="s">
        <v>5471</v>
      </c>
    </row>
    <row r="3054" spans="1:13" x14ac:dyDescent="0.3">
      <c r="A3054" t="s">
        <v>3397</v>
      </c>
      <c r="B3054" t="s">
        <v>6315</v>
      </c>
      <c r="C3054" t="s">
        <v>5487</v>
      </c>
      <c r="D3054" t="s">
        <v>4056</v>
      </c>
      <c r="E3054" t="s">
        <v>5532</v>
      </c>
      <c r="F3054" t="s">
        <v>13950</v>
      </c>
      <c r="G3054" t="s">
        <v>13905</v>
      </c>
      <c r="H3054" t="s">
        <v>5474</v>
      </c>
      <c r="I3054" t="s">
        <v>13951</v>
      </c>
      <c r="J3054" t="s">
        <v>5476</v>
      </c>
      <c r="K3054" t="s">
        <v>13952</v>
      </c>
      <c r="L3054" t="s">
        <v>5471</v>
      </c>
      <c r="M3054" t="s">
        <v>5471</v>
      </c>
    </row>
    <row r="3055" spans="1:13" x14ac:dyDescent="0.3">
      <c r="A3055" t="s">
        <v>3397</v>
      </c>
      <c r="B3055" t="s">
        <v>6315</v>
      </c>
      <c r="C3055" t="s">
        <v>5487</v>
      </c>
      <c r="D3055" t="s">
        <v>4056</v>
      </c>
      <c r="E3055" t="s">
        <v>5532</v>
      </c>
      <c r="F3055" t="s">
        <v>13953</v>
      </c>
      <c r="G3055" t="s">
        <v>13905</v>
      </c>
      <c r="H3055" t="s">
        <v>5474</v>
      </c>
      <c r="I3055" t="s">
        <v>13954</v>
      </c>
      <c r="J3055" t="s">
        <v>5476</v>
      </c>
      <c r="K3055" t="s">
        <v>13955</v>
      </c>
      <c r="L3055" t="s">
        <v>5471</v>
      </c>
      <c r="M3055" t="s">
        <v>5471</v>
      </c>
    </row>
    <row r="3056" spans="1:13" x14ac:dyDescent="0.3">
      <c r="A3056" t="s">
        <v>3397</v>
      </c>
      <c r="B3056" t="s">
        <v>6315</v>
      </c>
      <c r="C3056" t="s">
        <v>5487</v>
      </c>
      <c r="D3056" t="s">
        <v>4056</v>
      </c>
      <c r="E3056" t="s">
        <v>5532</v>
      </c>
      <c r="F3056" t="s">
        <v>13956</v>
      </c>
      <c r="G3056" t="s">
        <v>13905</v>
      </c>
      <c r="H3056" t="s">
        <v>5474</v>
      </c>
      <c r="I3056" t="s">
        <v>13957</v>
      </c>
      <c r="J3056" t="s">
        <v>5476</v>
      </c>
      <c r="K3056" t="s">
        <v>13958</v>
      </c>
      <c r="L3056" t="s">
        <v>5471</v>
      </c>
      <c r="M3056" t="s">
        <v>5471</v>
      </c>
    </row>
    <row r="3057" spans="1:13" x14ac:dyDescent="0.3">
      <c r="A3057" t="s">
        <v>3397</v>
      </c>
      <c r="B3057" t="s">
        <v>6315</v>
      </c>
      <c r="C3057" t="s">
        <v>5487</v>
      </c>
      <c r="D3057" t="s">
        <v>4056</v>
      </c>
      <c r="E3057" t="s">
        <v>5532</v>
      </c>
      <c r="F3057" t="s">
        <v>13959</v>
      </c>
      <c r="G3057" t="s">
        <v>13905</v>
      </c>
      <c r="H3057" t="s">
        <v>5474</v>
      </c>
      <c r="I3057" t="s">
        <v>13960</v>
      </c>
      <c r="J3057" t="s">
        <v>5476</v>
      </c>
      <c r="K3057" t="s">
        <v>13961</v>
      </c>
      <c r="L3057" t="s">
        <v>5471</v>
      </c>
      <c r="M3057" t="s">
        <v>5471</v>
      </c>
    </row>
    <row r="3058" spans="1:13" x14ac:dyDescent="0.3">
      <c r="A3058" t="s">
        <v>3397</v>
      </c>
      <c r="B3058" t="s">
        <v>6315</v>
      </c>
      <c r="C3058" t="s">
        <v>5487</v>
      </c>
      <c r="D3058" t="s">
        <v>4056</v>
      </c>
      <c r="E3058" t="s">
        <v>5532</v>
      </c>
      <c r="F3058" t="s">
        <v>13962</v>
      </c>
      <c r="G3058" t="s">
        <v>13905</v>
      </c>
      <c r="H3058" t="s">
        <v>5474</v>
      </c>
      <c r="I3058" t="s">
        <v>13963</v>
      </c>
      <c r="J3058" t="s">
        <v>5476</v>
      </c>
      <c r="K3058" t="s">
        <v>13964</v>
      </c>
      <c r="L3058" t="s">
        <v>5471</v>
      </c>
      <c r="M3058" t="s">
        <v>5471</v>
      </c>
    </row>
    <row r="3059" spans="1:13" x14ac:dyDescent="0.3">
      <c r="A3059" t="s">
        <v>3397</v>
      </c>
      <c r="B3059" t="s">
        <v>6315</v>
      </c>
      <c r="C3059" t="s">
        <v>5487</v>
      </c>
      <c r="D3059" t="s">
        <v>10218</v>
      </c>
      <c r="E3059" t="s">
        <v>5843</v>
      </c>
      <c r="F3059" t="s">
        <v>13965</v>
      </c>
      <c r="G3059" t="s">
        <v>13966</v>
      </c>
      <c r="H3059" t="s">
        <v>5474</v>
      </c>
      <c r="I3059" t="s">
        <v>13967</v>
      </c>
      <c r="J3059" t="s">
        <v>5476</v>
      </c>
      <c r="K3059" t="s">
        <v>13888</v>
      </c>
      <c r="L3059" t="s">
        <v>5471</v>
      </c>
      <c r="M3059" t="s">
        <v>5471</v>
      </c>
    </row>
    <row r="3060" spans="1:13" x14ac:dyDescent="0.3">
      <c r="A3060" t="s">
        <v>3397</v>
      </c>
      <c r="B3060" t="s">
        <v>6315</v>
      </c>
      <c r="C3060" t="s">
        <v>5487</v>
      </c>
      <c r="D3060" t="s">
        <v>10218</v>
      </c>
      <c r="E3060" t="s">
        <v>5843</v>
      </c>
      <c r="F3060" t="s">
        <v>13968</v>
      </c>
      <c r="G3060" t="s">
        <v>13966</v>
      </c>
      <c r="H3060" t="s">
        <v>5474</v>
      </c>
      <c r="I3060" t="s">
        <v>13969</v>
      </c>
      <c r="J3060" t="s">
        <v>5476</v>
      </c>
      <c r="K3060" t="s">
        <v>13891</v>
      </c>
      <c r="L3060" t="s">
        <v>5471</v>
      </c>
      <c r="M3060" t="s">
        <v>5471</v>
      </c>
    </row>
    <row r="3061" spans="1:13" x14ac:dyDescent="0.3">
      <c r="A3061" t="s">
        <v>3397</v>
      </c>
      <c r="B3061" t="s">
        <v>6315</v>
      </c>
      <c r="C3061" t="s">
        <v>5487</v>
      </c>
      <c r="D3061" t="s">
        <v>10218</v>
      </c>
      <c r="E3061" t="s">
        <v>5843</v>
      </c>
      <c r="F3061" t="s">
        <v>13970</v>
      </c>
      <c r="G3061" t="s">
        <v>13966</v>
      </c>
      <c r="H3061" t="s">
        <v>5474</v>
      </c>
      <c r="I3061" t="s">
        <v>13971</v>
      </c>
      <c r="J3061" t="s">
        <v>5476</v>
      </c>
      <c r="K3061" t="s">
        <v>13894</v>
      </c>
      <c r="L3061" t="s">
        <v>5471</v>
      </c>
      <c r="M3061" t="s">
        <v>5471</v>
      </c>
    </row>
    <row r="3062" spans="1:13" x14ac:dyDescent="0.3">
      <c r="A3062" t="s">
        <v>3397</v>
      </c>
      <c r="B3062" t="s">
        <v>6315</v>
      </c>
      <c r="C3062" t="s">
        <v>5487</v>
      </c>
      <c r="D3062" t="s">
        <v>10218</v>
      </c>
      <c r="E3062" t="s">
        <v>5595</v>
      </c>
      <c r="F3062" t="s">
        <v>13972</v>
      </c>
      <c r="G3062" t="s">
        <v>13966</v>
      </c>
      <c r="H3062" t="s">
        <v>5474</v>
      </c>
      <c r="I3062" t="s">
        <v>13973</v>
      </c>
      <c r="J3062" t="s">
        <v>5476</v>
      </c>
      <c r="K3062" t="s">
        <v>13925</v>
      </c>
      <c r="L3062" t="s">
        <v>5471</v>
      </c>
      <c r="M3062" t="s">
        <v>5471</v>
      </c>
    </row>
    <row r="3063" spans="1:13" x14ac:dyDescent="0.3">
      <c r="A3063" t="s">
        <v>3397</v>
      </c>
      <c r="B3063" t="s">
        <v>6315</v>
      </c>
      <c r="C3063" t="s">
        <v>5487</v>
      </c>
      <c r="D3063" t="s">
        <v>10218</v>
      </c>
      <c r="E3063" t="s">
        <v>5595</v>
      </c>
      <c r="F3063" t="s">
        <v>13974</v>
      </c>
      <c r="G3063" t="s">
        <v>13966</v>
      </c>
      <c r="H3063" t="s">
        <v>5474</v>
      </c>
      <c r="I3063" t="s">
        <v>13975</v>
      </c>
      <c r="J3063" t="s">
        <v>5476</v>
      </c>
      <c r="K3063" t="s">
        <v>13928</v>
      </c>
      <c r="L3063" t="s">
        <v>5471</v>
      </c>
      <c r="M3063" t="s">
        <v>5471</v>
      </c>
    </row>
    <row r="3064" spans="1:13" x14ac:dyDescent="0.3">
      <c r="A3064" t="s">
        <v>3397</v>
      </c>
      <c r="B3064" t="s">
        <v>6315</v>
      </c>
      <c r="C3064" t="s">
        <v>5487</v>
      </c>
      <c r="D3064" t="s">
        <v>10218</v>
      </c>
      <c r="E3064" t="s">
        <v>5595</v>
      </c>
      <c r="F3064" t="s">
        <v>13976</v>
      </c>
      <c r="G3064" t="s">
        <v>13966</v>
      </c>
      <c r="H3064" t="s">
        <v>5474</v>
      </c>
      <c r="I3064" t="s">
        <v>13977</v>
      </c>
      <c r="J3064" t="s">
        <v>5476</v>
      </c>
      <c r="K3064" t="s">
        <v>13931</v>
      </c>
      <c r="L3064" t="s">
        <v>5471</v>
      </c>
      <c r="M3064" t="s">
        <v>5471</v>
      </c>
    </row>
    <row r="3065" spans="1:13" x14ac:dyDescent="0.3">
      <c r="A3065" t="s">
        <v>3397</v>
      </c>
      <c r="B3065" t="s">
        <v>6315</v>
      </c>
      <c r="C3065" t="s">
        <v>5487</v>
      </c>
      <c r="D3065" t="s">
        <v>4119</v>
      </c>
      <c r="E3065" t="s">
        <v>5595</v>
      </c>
      <c r="F3065" t="s">
        <v>13978</v>
      </c>
      <c r="G3065" t="s">
        <v>13905</v>
      </c>
      <c r="H3065" t="s">
        <v>5474</v>
      </c>
      <c r="I3065" t="s">
        <v>13979</v>
      </c>
      <c r="J3065" t="s">
        <v>5476</v>
      </c>
      <c r="K3065" t="s">
        <v>13980</v>
      </c>
      <c r="L3065" t="s">
        <v>5471</v>
      </c>
      <c r="M3065" t="s">
        <v>5471</v>
      </c>
    </row>
    <row r="3066" spans="1:13" x14ac:dyDescent="0.3">
      <c r="A3066" t="s">
        <v>3397</v>
      </c>
      <c r="B3066" t="s">
        <v>6315</v>
      </c>
      <c r="C3066" t="s">
        <v>5487</v>
      </c>
      <c r="D3066" t="s">
        <v>4119</v>
      </c>
      <c r="E3066" t="s">
        <v>5595</v>
      </c>
      <c r="F3066" t="s">
        <v>13981</v>
      </c>
      <c r="G3066" t="s">
        <v>13905</v>
      </c>
      <c r="H3066" t="s">
        <v>5474</v>
      </c>
      <c r="I3066" t="s">
        <v>13982</v>
      </c>
      <c r="J3066" t="s">
        <v>5476</v>
      </c>
      <c r="K3066" t="s">
        <v>13983</v>
      </c>
      <c r="L3066" t="s">
        <v>5471</v>
      </c>
      <c r="M3066" t="s">
        <v>5471</v>
      </c>
    </row>
    <row r="3067" spans="1:13" x14ac:dyDescent="0.3">
      <c r="A3067" t="s">
        <v>3397</v>
      </c>
      <c r="B3067" t="s">
        <v>6315</v>
      </c>
      <c r="C3067" t="s">
        <v>5487</v>
      </c>
      <c r="D3067" t="s">
        <v>4119</v>
      </c>
      <c r="E3067" t="s">
        <v>5595</v>
      </c>
      <c r="F3067" t="s">
        <v>13984</v>
      </c>
      <c r="G3067" t="s">
        <v>13905</v>
      </c>
      <c r="H3067" t="s">
        <v>5474</v>
      </c>
      <c r="I3067" t="s">
        <v>13985</v>
      </c>
      <c r="J3067" t="s">
        <v>5476</v>
      </c>
      <c r="K3067" t="s">
        <v>13986</v>
      </c>
      <c r="L3067" t="s">
        <v>5471</v>
      </c>
      <c r="M3067" t="s">
        <v>5471</v>
      </c>
    </row>
    <row r="3068" spans="1:13" x14ac:dyDescent="0.3">
      <c r="A3068" t="s">
        <v>3397</v>
      </c>
      <c r="B3068" t="s">
        <v>6315</v>
      </c>
      <c r="C3068" t="s">
        <v>5487</v>
      </c>
      <c r="D3068" t="s">
        <v>4119</v>
      </c>
      <c r="E3068" t="s">
        <v>5595</v>
      </c>
      <c r="F3068" t="s">
        <v>13987</v>
      </c>
      <c r="G3068" t="s">
        <v>13905</v>
      </c>
      <c r="H3068" t="s">
        <v>5474</v>
      </c>
      <c r="I3068" t="s">
        <v>13988</v>
      </c>
      <c r="J3068" t="s">
        <v>5476</v>
      </c>
      <c r="K3068" t="s">
        <v>13989</v>
      </c>
      <c r="L3068" t="s">
        <v>5471</v>
      </c>
      <c r="M3068" t="s">
        <v>5471</v>
      </c>
    </row>
    <row r="3069" spans="1:13" x14ac:dyDescent="0.3">
      <c r="A3069" t="s">
        <v>3397</v>
      </c>
      <c r="B3069" t="s">
        <v>6315</v>
      </c>
      <c r="C3069" t="s">
        <v>5487</v>
      </c>
      <c r="D3069" t="s">
        <v>4119</v>
      </c>
      <c r="E3069" t="s">
        <v>5595</v>
      </c>
      <c r="F3069" t="s">
        <v>13990</v>
      </c>
      <c r="G3069" t="s">
        <v>13905</v>
      </c>
      <c r="H3069" t="s">
        <v>5474</v>
      </c>
      <c r="I3069" t="s">
        <v>13991</v>
      </c>
      <c r="J3069" t="s">
        <v>5476</v>
      </c>
      <c r="K3069" t="s">
        <v>13992</v>
      </c>
      <c r="L3069" t="s">
        <v>5471</v>
      </c>
      <c r="M3069" t="s">
        <v>5471</v>
      </c>
    </row>
    <row r="3070" spans="1:13" x14ac:dyDescent="0.3">
      <c r="A3070" t="s">
        <v>3397</v>
      </c>
      <c r="B3070" t="s">
        <v>6315</v>
      </c>
      <c r="C3070" t="s">
        <v>5487</v>
      </c>
      <c r="D3070" t="s">
        <v>4119</v>
      </c>
      <c r="E3070" t="s">
        <v>5595</v>
      </c>
      <c r="F3070" t="s">
        <v>13993</v>
      </c>
      <c r="G3070" t="s">
        <v>13905</v>
      </c>
      <c r="H3070" t="s">
        <v>5474</v>
      </c>
      <c r="I3070" t="s">
        <v>13994</v>
      </c>
      <c r="J3070" t="s">
        <v>5476</v>
      </c>
      <c r="K3070" t="s">
        <v>13995</v>
      </c>
      <c r="L3070" t="s">
        <v>5471</v>
      </c>
      <c r="M3070" t="s">
        <v>5471</v>
      </c>
    </row>
    <row r="3071" spans="1:13" x14ac:dyDescent="0.3">
      <c r="A3071" t="s">
        <v>3397</v>
      </c>
      <c r="B3071" t="s">
        <v>6315</v>
      </c>
      <c r="C3071" t="s">
        <v>5487</v>
      </c>
      <c r="D3071" t="s">
        <v>4119</v>
      </c>
      <c r="E3071" t="s">
        <v>5595</v>
      </c>
      <c r="F3071" t="s">
        <v>13996</v>
      </c>
      <c r="G3071" t="s">
        <v>13905</v>
      </c>
      <c r="H3071" t="s">
        <v>5474</v>
      </c>
      <c r="I3071" t="s">
        <v>13997</v>
      </c>
      <c r="J3071" t="s">
        <v>5476</v>
      </c>
      <c r="K3071" t="s">
        <v>13998</v>
      </c>
      <c r="L3071" t="s">
        <v>5471</v>
      </c>
      <c r="M3071" t="s">
        <v>5471</v>
      </c>
    </row>
    <row r="3072" spans="1:13" x14ac:dyDescent="0.3">
      <c r="A3072" t="s">
        <v>3397</v>
      </c>
      <c r="B3072" t="s">
        <v>6315</v>
      </c>
      <c r="C3072" t="s">
        <v>5487</v>
      </c>
      <c r="D3072" t="s">
        <v>4119</v>
      </c>
      <c r="E3072" t="s">
        <v>5595</v>
      </c>
      <c r="F3072" t="s">
        <v>13999</v>
      </c>
      <c r="G3072" t="s">
        <v>13905</v>
      </c>
      <c r="H3072" t="s">
        <v>5474</v>
      </c>
      <c r="I3072" t="s">
        <v>14000</v>
      </c>
      <c r="J3072" t="s">
        <v>5476</v>
      </c>
      <c r="K3072" t="s">
        <v>14001</v>
      </c>
      <c r="L3072" t="s">
        <v>5471</v>
      </c>
      <c r="M3072" t="s">
        <v>5471</v>
      </c>
    </row>
    <row r="3073" spans="1:13" x14ac:dyDescent="0.3">
      <c r="A3073" t="s">
        <v>3397</v>
      </c>
      <c r="B3073" t="s">
        <v>6315</v>
      </c>
      <c r="C3073" t="s">
        <v>5487</v>
      </c>
      <c r="D3073" t="s">
        <v>4119</v>
      </c>
      <c r="E3073" t="s">
        <v>5595</v>
      </c>
      <c r="F3073" t="s">
        <v>14002</v>
      </c>
      <c r="G3073" t="s">
        <v>13905</v>
      </c>
      <c r="H3073" t="s">
        <v>5474</v>
      </c>
      <c r="I3073" t="s">
        <v>14003</v>
      </c>
      <c r="J3073" t="s">
        <v>5476</v>
      </c>
      <c r="K3073" t="s">
        <v>14004</v>
      </c>
      <c r="L3073" t="s">
        <v>5471</v>
      </c>
      <c r="M3073" t="s">
        <v>5471</v>
      </c>
    </row>
    <row r="3074" spans="1:13" x14ac:dyDescent="0.3">
      <c r="A3074" t="s">
        <v>3397</v>
      </c>
      <c r="B3074" t="s">
        <v>6315</v>
      </c>
      <c r="C3074" t="s">
        <v>5487</v>
      </c>
      <c r="D3074" t="s">
        <v>4119</v>
      </c>
      <c r="E3074" t="s">
        <v>5595</v>
      </c>
      <c r="F3074" t="s">
        <v>14005</v>
      </c>
      <c r="G3074" t="s">
        <v>13905</v>
      </c>
      <c r="H3074" t="s">
        <v>5474</v>
      </c>
      <c r="I3074" t="s">
        <v>14006</v>
      </c>
      <c r="J3074" t="s">
        <v>5476</v>
      </c>
      <c r="K3074" t="s">
        <v>14007</v>
      </c>
      <c r="L3074" t="s">
        <v>5471</v>
      </c>
      <c r="M3074" t="s">
        <v>5471</v>
      </c>
    </row>
    <row r="3075" spans="1:13" x14ac:dyDescent="0.3">
      <c r="A3075" t="s">
        <v>3397</v>
      </c>
      <c r="B3075" t="s">
        <v>6315</v>
      </c>
      <c r="C3075" t="s">
        <v>5487</v>
      </c>
      <c r="D3075" t="s">
        <v>4119</v>
      </c>
      <c r="E3075" t="s">
        <v>5595</v>
      </c>
      <c r="F3075" t="s">
        <v>14008</v>
      </c>
      <c r="G3075" t="s">
        <v>13905</v>
      </c>
      <c r="H3075" t="s">
        <v>5474</v>
      </c>
      <c r="I3075" t="s">
        <v>14009</v>
      </c>
      <c r="J3075" t="s">
        <v>5476</v>
      </c>
      <c r="K3075" t="s">
        <v>14010</v>
      </c>
      <c r="L3075" t="s">
        <v>5471</v>
      </c>
      <c r="M3075" t="s">
        <v>5471</v>
      </c>
    </row>
    <row r="3076" spans="1:13" x14ac:dyDescent="0.3">
      <c r="A3076" t="s">
        <v>3397</v>
      </c>
      <c r="B3076" t="s">
        <v>6315</v>
      </c>
      <c r="C3076" t="s">
        <v>5487</v>
      </c>
      <c r="D3076" t="s">
        <v>4119</v>
      </c>
      <c r="E3076" t="s">
        <v>5595</v>
      </c>
      <c r="F3076" t="s">
        <v>14011</v>
      </c>
      <c r="G3076" t="s">
        <v>13905</v>
      </c>
      <c r="H3076" t="s">
        <v>5474</v>
      </c>
      <c r="I3076" t="s">
        <v>14012</v>
      </c>
      <c r="J3076" t="s">
        <v>5476</v>
      </c>
      <c r="K3076" t="s">
        <v>14013</v>
      </c>
      <c r="L3076" t="s">
        <v>5471</v>
      </c>
      <c r="M3076" t="s">
        <v>5471</v>
      </c>
    </row>
    <row r="3077" spans="1:13" x14ac:dyDescent="0.3">
      <c r="A3077" t="s">
        <v>3397</v>
      </c>
      <c r="B3077" t="s">
        <v>6315</v>
      </c>
      <c r="C3077" t="s">
        <v>5487</v>
      </c>
      <c r="D3077" t="s">
        <v>4119</v>
      </c>
      <c r="E3077" t="s">
        <v>5595</v>
      </c>
      <c r="F3077" t="s">
        <v>14014</v>
      </c>
      <c r="G3077" t="s">
        <v>13905</v>
      </c>
      <c r="H3077" t="s">
        <v>5474</v>
      </c>
      <c r="I3077" t="s">
        <v>14015</v>
      </c>
      <c r="J3077" t="s">
        <v>5476</v>
      </c>
      <c r="K3077" t="s">
        <v>14016</v>
      </c>
      <c r="L3077" t="s">
        <v>5471</v>
      </c>
      <c r="M3077" t="s">
        <v>5471</v>
      </c>
    </row>
    <row r="3078" spans="1:13" x14ac:dyDescent="0.3">
      <c r="A3078" t="s">
        <v>3397</v>
      </c>
      <c r="B3078" t="s">
        <v>6315</v>
      </c>
      <c r="C3078" t="s">
        <v>5487</v>
      </c>
      <c r="D3078" t="s">
        <v>4119</v>
      </c>
      <c r="E3078" t="s">
        <v>5595</v>
      </c>
      <c r="F3078" t="s">
        <v>14017</v>
      </c>
      <c r="G3078" t="s">
        <v>13905</v>
      </c>
      <c r="H3078" t="s">
        <v>5474</v>
      </c>
      <c r="I3078" t="s">
        <v>14018</v>
      </c>
      <c r="J3078" t="s">
        <v>5476</v>
      </c>
      <c r="K3078" t="s">
        <v>14019</v>
      </c>
      <c r="L3078" t="s">
        <v>5471</v>
      </c>
      <c r="M3078" t="s">
        <v>5471</v>
      </c>
    </row>
    <row r="3079" spans="1:13" x14ac:dyDescent="0.3">
      <c r="A3079" t="s">
        <v>3397</v>
      </c>
      <c r="B3079" t="s">
        <v>6315</v>
      </c>
      <c r="C3079" t="s">
        <v>5487</v>
      </c>
      <c r="D3079" t="s">
        <v>4119</v>
      </c>
      <c r="E3079" t="s">
        <v>5595</v>
      </c>
      <c r="F3079" t="s">
        <v>14020</v>
      </c>
      <c r="G3079" t="s">
        <v>13905</v>
      </c>
      <c r="H3079" t="s">
        <v>5474</v>
      </c>
      <c r="I3079" t="s">
        <v>14021</v>
      </c>
      <c r="J3079" t="s">
        <v>5476</v>
      </c>
      <c r="K3079" t="s">
        <v>14022</v>
      </c>
      <c r="L3079" t="s">
        <v>5471</v>
      </c>
      <c r="M3079" t="s">
        <v>5471</v>
      </c>
    </row>
    <row r="3080" spans="1:13" x14ac:dyDescent="0.3">
      <c r="A3080" t="s">
        <v>3397</v>
      </c>
      <c r="B3080" t="s">
        <v>6315</v>
      </c>
      <c r="C3080" t="s">
        <v>5487</v>
      </c>
      <c r="D3080" t="s">
        <v>4119</v>
      </c>
      <c r="E3080" t="s">
        <v>5595</v>
      </c>
      <c r="F3080" t="s">
        <v>14023</v>
      </c>
      <c r="G3080" t="s">
        <v>13905</v>
      </c>
      <c r="H3080" t="s">
        <v>5474</v>
      </c>
      <c r="I3080" t="s">
        <v>14024</v>
      </c>
      <c r="J3080" t="s">
        <v>5476</v>
      </c>
      <c r="K3080" t="s">
        <v>14025</v>
      </c>
      <c r="L3080" t="s">
        <v>5471</v>
      </c>
      <c r="M3080" t="s">
        <v>5471</v>
      </c>
    </row>
    <row r="3081" spans="1:13" x14ac:dyDescent="0.3">
      <c r="A3081" t="s">
        <v>3397</v>
      </c>
      <c r="B3081" t="s">
        <v>6315</v>
      </c>
      <c r="C3081" t="s">
        <v>5487</v>
      </c>
      <c r="D3081" t="s">
        <v>4119</v>
      </c>
      <c r="E3081" t="s">
        <v>5595</v>
      </c>
      <c r="F3081" t="s">
        <v>14026</v>
      </c>
      <c r="G3081" t="s">
        <v>13905</v>
      </c>
      <c r="H3081" t="s">
        <v>5474</v>
      </c>
      <c r="I3081" t="s">
        <v>14027</v>
      </c>
      <c r="J3081" t="s">
        <v>5476</v>
      </c>
      <c r="K3081" t="s">
        <v>14028</v>
      </c>
      <c r="L3081" t="s">
        <v>5471</v>
      </c>
      <c r="M3081" t="s">
        <v>5471</v>
      </c>
    </row>
    <row r="3082" spans="1:13" x14ac:dyDescent="0.3">
      <c r="A3082" t="s">
        <v>3397</v>
      </c>
      <c r="B3082" t="s">
        <v>6315</v>
      </c>
      <c r="C3082" t="s">
        <v>5487</v>
      </c>
      <c r="D3082" t="s">
        <v>4119</v>
      </c>
      <c r="E3082" t="s">
        <v>5595</v>
      </c>
      <c r="F3082" t="s">
        <v>14029</v>
      </c>
      <c r="G3082" t="s">
        <v>13905</v>
      </c>
      <c r="H3082" t="s">
        <v>5474</v>
      </c>
      <c r="I3082" t="s">
        <v>14030</v>
      </c>
      <c r="J3082" t="s">
        <v>5476</v>
      </c>
      <c r="K3082" t="s">
        <v>14031</v>
      </c>
      <c r="L3082" t="s">
        <v>5471</v>
      </c>
      <c r="M3082" t="s">
        <v>5471</v>
      </c>
    </row>
    <row r="3083" spans="1:13" x14ac:dyDescent="0.3">
      <c r="A3083" t="s">
        <v>3397</v>
      </c>
      <c r="B3083" t="s">
        <v>6315</v>
      </c>
      <c r="C3083" t="s">
        <v>5487</v>
      </c>
      <c r="D3083" t="s">
        <v>4119</v>
      </c>
      <c r="E3083" t="s">
        <v>5595</v>
      </c>
      <c r="F3083" t="s">
        <v>14032</v>
      </c>
      <c r="G3083" t="s">
        <v>13905</v>
      </c>
      <c r="H3083" t="s">
        <v>5474</v>
      </c>
      <c r="I3083" t="s">
        <v>14033</v>
      </c>
      <c r="J3083" t="s">
        <v>5476</v>
      </c>
      <c r="K3083" t="s">
        <v>14034</v>
      </c>
      <c r="L3083" t="s">
        <v>5471</v>
      </c>
      <c r="M3083" t="s">
        <v>5471</v>
      </c>
    </row>
    <row r="3084" spans="1:13" x14ac:dyDescent="0.3">
      <c r="A3084" t="s">
        <v>3397</v>
      </c>
      <c r="B3084" t="s">
        <v>6315</v>
      </c>
      <c r="C3084" t="s">
        <v>5487</v>
      </c>
      <c r="D3084" t="s">
        <v>4119</v>
      </c>
      <c r="E3084" t="s">
        <v>5595</v>
      </c>
      <c r="F3084" t="s">
        <v>14035</v>
      </c>
      <c r="G3084" t="s">
        <v>13905</v>
      </c>
      <c r="H3084" t="s">
        <v>5474</v>
      </c>
      <c r="I3084" t="s">
        <v>14036</v>
      </c>
      <c r="J3084" t="s">
        <v>5476</v>
      </c>
      <c r="K3084" t="s">
        <v>14037</v>
      </c>
      <c r="L3084" t="s">
        <v>5471</v>
      </c>
      <c r="M3084" t="s">
        <v>5471</v>
      </c>
    </row>
    <row r="3085" spans="1:13" x14ac:dyDescent="0.3">
      <c r="A3085" t="s">
        <v>3397</v>
      </c>
      <c r="B3085" t="s">
        <v>6315</v>
      </c>
      <c r="C3085" t="s">
        <v>5487</v>
      </c>
      <c r="D3085" t="s">
        <v>4119</v>
      </c>
      <c r="E3085" t="s">
        <v>5595</v>
      </c>
      <c r="F3085" t="s">
        <v>14038</v>
      </c>
      <c r="G3085" t="s">
        <v>13905</v>
      </c>
      <c r="H3085" t="s">
        <v>5474</v>
      </c>
      <c r="I3085" t="s">
        <v>14039</v>
      </c>
      <c r="J3085" t="s">
        <v>5476</v>
      </c>
      <c r="K3085" t="s">
        <v>14040</v>
      </c>
      <c r="L3085" t="s">
        <v>5471</v>
      </c>
      <c r="M3085" t="s">
        <v>5471</v>
      </c>
    </row>
    <row r="3086" spans="1:13" x14ac:dyDescent="0.3">
      <c r="A3086" t="s">
        <v>3397</v>
      </c>
      <c r="B3086" t="s">
        <v>6315</v>
      </c>
      <c r="C3086" t="s">
        <v>5487</v>
      </c>
      <c r="D3086" t="s">
        <v>4119</v>
      </c>
      <c r="E3086" t="s">
        <v>5595</v>
      </c>
      <c r="F3086" t="s">
        <v>14041</v>
      </c>
      <c r="G3086" t="s">
        <v>13905</v>
      </c>
      <c r="H3086" t="s">
        <v>5474</v>
      </c>
      <c r="I3086" t="s">
        <v>14042</v>
      </c>
      <c r="J3086" t="s">
        <v>5476</v>
      </c>
      <c r="K3086" t="s">
        <v>14043</v>
      </c>
      <c r="L3086" t="s">
        <v>5471</v>
      </c>
      <c r="M3086" t="s">
        <v>5471</v>
      </c>
    </row>
    <row r="3087" spans="1:13" x14ac:dyDescent="0.3">
      <c r="A3087" t="s">
        <v>3397</v>
      </c>
      <c r="B3087" t="s">
        <v>6315</v>
      </c>
      <c r="C3087" t="s">
        <v>5487</v>
      </c>
      <c r="D3087" t="s">
        <v>4119</v>
      </c>
      <c r="E3087" t="s">
        <v>5595</v>
      </c>
      <c r="F3087" t="s">
        <v>14044</v>
      </c>
      <c r="G3087" t="s">
        <v>13905</v>
      </c>
      <c r="H3087" t="s">
        <v>5474</v>
      </c>
      <c r="I3087" t="s">
        <v>14045</v>
      </c>
      <c r="J3087" t="s">
        <v>5476</v>
      </c>
      <c r="K3087" t="s">
        <v>14046</v>
      </c>
      <c r="L3087" t="s">
        <v>5471</v>
      </c>
      <c r="M3087" t="s">
        <v>5471</v>
      </c>
    </row>
    <row r="3088" spans="1:13" x14ac:dyDescent="0.3">
      <c r="A3088" t="s">
        <v>3397</v>
      </c>
      <c r="B3088" t="s">
        <v>6315</v>
      </c>
      <c r="C3088" t="s">
        <v>5487</v>
      </c>
      <c r="D3088" t="s">
        <v>4119</v>
      </c>
      <c r="E3088" t="s">
        <v>5595</v>
      </c>
      <c r="F3088" t="s">
        <v>14047</v>
      </c>
      <c r="G3088" t="s">
        <v>13905</v>
      </c>
      <c r="H3088" t="s">
        <v>5474</v>
      </c>
      <c r="I3088" t="s">
        <v>14048</v>
      </c>
      <c r="J3088" t="s">
        <v>5476</v>
      </c>
      <c r="K3088" t="s">
        <v>14049</v>
      </c>
      <c r="L3088" t="s">
        <v>5471</v>
      </c>
      <c r="M3088" t="s">
        <v>5471</v>
      </c>
    </row>
    <row r="3089" spans="1:13" x14ac:dyDescent="0.3">
      <c r="A3089" t="s">
        <v>3397</v>
      </c>
      <c r="B3089" t="s">
        <v>6315</v>
      </c>
      <c r="C3089" t="s">
        <v>5487</v>
      </c>
      <c r="D3089" t="s">
        <v>4119</v>
      </c>
      <c r="E3089" t="s">
        <v>5595</v>
      </c>
      <c r="F3089" t="s">
        <v>14050</v>
      </c>
      <c r="G3089" t="s">
        <v>13905</v>
      </c>
      <c r="H3089" t="s">
        <v>5474</v>
      </c>
      <c r="I3089" t="s">
        <v>14051</v>
      </c>
      <c r="J3089" t="s">
        <v>5476</v>
      </c>
      <c r="K3089" t="s">
        <v>14052</v>
      </c>
      <c r="L3089" t="s">
        <v>5471</v>
      </c>
      <c r="M3089" t="s">
        <v>5471</v>
      </c>
    </row>
    <row r="3090" spans="1:13" x14ac:dyDescent="0.3">
      <c r="A3090" t="s">
        <v>3397</v>
      </c>
      <c r="B3090" t="s">
        <v>6315</v>
      </c>
      <c r="C3090" t="s">
        <v>5487</v>
      </c>
      <c r="D3090" t="s">
        <v>4119</v>
      </c>
      <c r="E3090" t="s">
        <v>5595</v>
      </c>
      <c r="F3090" t="s">
        <v>14053</v>
      </c>
      <c r="G3090" t="s">
        <v>13905</v>
      </c>
      <c r="H3090" t="s">
        <v>5474</v>
      </c>
      <c r="I3090" t="s">
        <v>14054</v>
      </c>
      <c r="J3090" t="s">
        <v>5476</v>
      </c>
      <c r="K3090" t="s">
        <v>14055</v>
      </c>
      <c r="L3090" t="s">
        <v>5471</v>
      </c>
      <c r="M3090" t="s">
        <v>5471</v>
      </c>
    </row>
    <row r="3091" spans="1:13" x14ac:dyDescent="0.3">
      <c r="A3091" t="s">
        <v>3397</v>
      </c>
      <c r="B3091" t="s">
        <v>6315</v>
      </c>
      <c r="C3091" t="s">
        <v>5487</v>
      </c>
      <c r="D3091" t="s">
        <v>4119</v>
      </c>
      <c r="E3091" t="s">
        <v>5595</v>
      </c>
      <c r="F3091" t="s">
        <v>14056</v>
      </c>
      <c r="G3091" t="s">
        <v>13905</v>
      </c>
      <c r="H3091" t="s">
        <v>5474</v>
      </c>
      <c r="I3091" t="s">
        <v>14057</v>
      </c>
      <c r="J3091" t="s">
        <v>5476</v>
      </c>
      <c r="K3091" t="s">
        <v>14058</v>
      </c>
      <c r="L3091" t="s">
        <v>5471</v>
      </c>
      <c r="M3091" t="s">
        <v>5471</v>
      </c>
    </row>
    <row r="3092" spans="1:13" x14ac:dyDescent="0.3">
      <c r="A3092" t="s">
        <v>3397</v>
      </c>
      <c r="B3092" t="s">
        <v>6315</v>
      </c>
      <c r="C3092" t="s">
        <v>5487</v>
      </c>
      <c r="D3092" t="s">
        <v>4119</v>
      </c>
      <c r="E3092" t="s">
        <v>5595</v>
      </c>
      <c r="F3092" t="s">
        <v>14059</v>
      </c>
      <c r="G3092" t="s">
        <v>13905</v>
      </c>
      <c r="H3092" t="s">
        <v>5474</v>
      </c>
      <c r="I3092" t="s">
        <v>14060</v>
      </c>
      <c r="J3092" t="s">
        <v>5476</v>
      </c>
      <c r="K3092" t="s">
        <v>14061</v>
      </c>
      <c r="L3092" t="s">
        <v>5471</v>
      </c>
      <c r="M3092" t="s">
        <v>5471</v>
      </c>
    </row>
    <row r="3093" spans="1:13" x14ac:dyDescent="0.3">
      <c r="A3093" t="s">
        <v>3397</v>
      </c>
      <c r="B3093" t="s">
        <v>6315</v>
      </c>
      <c r="C3093" t="s">
        <v>5487</v>
      </c>
      <c r="D3093" t="s">
        <v>4119</v>
      </c>
      <c r="E3093" t="s">
        <v>5595</v>
      </c>
      <c r="F3093" t="s">
        <v>14062</v>
      </c>
      <c r="G3093" t="s">
        <v>13905</v>
      </c>
      <c r="H3093" t="s">
        <v>5474</v>
      </c>
      <c r="I3093" t="s">
        <v>14063</v>
      </c>
      <c r="J3093" t="s">
        <v>5476</v>
      </c>
      <c r="K3093" t="s">
        <v>14064</v>
      </c>
      <c r="L3093" t="s">
        <v>5471</v>
      </c>
      <c r="M3093" t="s">
        <v>5471</v>
      </c>
    </row>
    <row r="3094" spans="1:13" x14ac:dyDescent="0.3">
      <c r="A3094" t="s">
        <v>3397</v>
      </c>
      <c r="B3094" t="s">
        <v>6315</v>
      </c>
      <c r="C3094" t="s">
        <v>5487</v>
      </c>
      <c r="D3094" t="s">
        <v>4119</v>
      </c>
      <c r="E3094" t="s">
        <v>5595</v>
      </c>
      <c r="F3094" t="s">
        <v>14065</v>
      </c>
      <c r="G3094" t="s">
        <v>13905</v>
      </c>
      <c r="H3094" t="s">
        <v>5474</v>
      </c>
      <c r="I3094" t="s">
        <v>14066</v>
      </c>
      <c r="J3094" t="s">
        <v>5476</v>
      </c>
      <c r="K3094" t="s">
        <v>14067</v>
      </c>
      <c r="L3094" t="s">
        <v>5471</v>
      </c>
      <c r="M3094" t="s">
        <v>5471</v>
      </c>
    </row>
    <row r="3095" spans="1:13" x14ac:dyDescent="0.3">
      <c r="A3095" t="s">
        <v>3397</v>
      </c>
      <c r="B3095" t="s">
        <v>6315</v>
      </c>
      <c r="C3095" t="s">
        <v>5487</v>
      </c>
      <c r="D3095" t="s">
        <v>4119</v>
      </c>
      <c r="E3095" t="s">
        <v>5595</v>
      </c>
      <c r="F3095" t="s">
        <v>14068</v>
      </c>
      <c r="G3095" t="s">
        <v>13905</v>
      </c>
      <c r="H3095" t="s">
        <v>5474</v>
      </c>
      <c r="I3095" t="s">
        <v>14069</v>
      </c>
      <c r="J3095" t="s">
        <v>5476</v>
      </c>
      <c r="K3095" t="s">
        <v>14070</v>
      </c>
      <c r="L3095" t="s">
        <v>5471</v>
      </c>
      <c r="M3095" t="s">
        <v>5471</v>
      </c>
    </row>
    <row r="3096" spans="1:13" x14ac:dyDescent="0.3">
      <c r="A3096" t="s">
        <v>3397</v>
      </c>
      <c r="B3096" t="s">
        <v>6315</v>
      </c>
      <c r="C3096" t="s">
        <v>5487</v>
      </c>
      <c r="D3096" t="s">
        <v>4119</v>
      </c>
      <c r="E3096" t="s">
        <v>5595</v>
      </c>
      <c r="F3096" t="s">
        <v>14071</v>
      </c>
      <c r="G3096" t="s">
        <v>13905</v>
      </c>
      <c r="H3096" t="s">
        <v>5474</v>
      </c>
      <c r="I3096" t="s">
        <v>14072</v>
      </c>
      <c r="J3096" t="s">
        <v>5476</v>
      </c>
      <c r="K3096" t="s">
        <v>14073</v>
      </c>
      <c r="L3096" t="s">
        <v>5471</v>
      </c>
      <c r="M3096" t="s">
        <v>5471</v>
      </c>
    </row>
    <row r="3097" spans="1:13" x14ac:dyDescent="0.3">
      <c r="A3097" t="s">
        <v>3397</v>
      </c>
      <c r="B3097" t="s">
        <v>6315</v>
      </c>
      <c r="C3097" t="s">
        <v>5487</v>
      </c>
      <c r="D3097" t="s">
        <v>4119</v>
      </c>
      <c r="E3097" t="s">
        <v>5595</v>
      </c>
      <c r="F3097" t="s">
        <v>14074</v>
      </c>
      <c r="G3097" t="s">
        <v>13905</v>
      </c>
      <c r="H3097" t="s">
        <v>5474</v>
      </c>
      <c r="I3097" t="s">
        <v>14075</v>
      </c>
      <c r="J3097" t="s">
        <v>5476</v>
      </c>
      <c r="K3097" t="s">
        <v>14076</v>
      </c>
      <c r="L3097" t="s">
        <v>5471</v>
      </c>
      <c r="M3097" t="s">
        <v>5471</v>
      </c>
    </row>
    <row r="3098" spans="1:13" x14ac:dyDescent="0.3">
      <c r="A3098" t="s">
        <v>3397</v>
      </c>
      <c r="B3098" t="s">
        <v>6315</v>
      </c>
      <c r="C3098" t="s">
        <v>5487</v>
      </c>
      <c r="D3098" t="s">
        <v>4119</v>
      </c>
      <c r="E3098" t="s">
        <v>5595</v>
      </c>
      <c r="F3098" t="s">
        <v>14077</v>
      </c>
      <c r="G3098" t="s">
        <v>13905</v>
      </c>
      <c r="H3098" t="s">
        <v>5474</v>
      </c>
      <c r="I3098" t="s">
        <v>14078</v>
      </c>
      <c r="J3098" t="s">
        <v>5476</v>
      </c>
      <c r="K3098" t="s">
        <v>14079</v>
      </c>
      <c r="L3098" t="s">
        <v>5471</v>
      </c>
      <c r="M3098" t="s">
        <v>5471</v>
      </c>
    </row>
    <row r="3099" spans="1:13" x14ac:dyDescent="0.3">
      <c r="A3099" t="s">
        <v>3397</v>
      </c>
      <c r="B3099" t="s">
        <v>6315</v>
      </c>
      <c r="C3099" t="s">
        <v>5487</v>
      </c>
      <c r="D3099" t="s">
        <v>4119</v>
      </c>
      <c r="E3099" t="s">
        <v>5595</v>
      </c>
      <c r="F3099" t="s">
        <v>14080</v>
      </c>
      <c r="G3099" t="s">
        <v>13905</v>
      </c>
      <c r="H3099" t="s">
        <v>5474</v>
      </c>
      <c r="I3099" t="s">
        <v>14081</v>
      </c>
      <c r="J3099" t="s">
        <v>5476</v>
      </c>
      <c r="K3099" t="s">
        <v>14082</v>
      </c>
      <c r="L3099" t="s">
        <v>5471</v>
      </c>
      <c r="M3099" t="s">
        <v>5471</v>
      </c>
    </row>
    <row r="3100" spans="1:13" x14ac:dyDescent="0.3">
      <c r="A3100" t="s">
        <v>3397</v>
      </c>
      <c r="B3100" t="s">
        <v>6315</v>
      </c>
      <c r="C3100" t="s">
        <v>5487</v>
      </c>
      <c r="D3100" t="s">
        <v>4119</v>
      </c>
      <c r="E3100" t="s">
        <v>5595</v>
      </c>
      <c r="F3100" t="s">
        <v>14083</v>
      </c>
      <c r="G3100" t="s">
        <v>13905</v>
      </c>
      <c r="H3100" t="s">
        <v>5474</v>
      </c>
      <c r="I3100" t="s">
        <v>14084</v>
      </c>
      <c r="J3100" t="s">
        <v>5476</v>
      </c>
      <c r="K3100" t="s">
        <v>14085</v>
      </c>
      <c r="L3100" t="s">
        <v>5471</v>
      </c>
      <c r="M3100" t="s">
        <v>5471</v>
      </c>
    </row>
    <row r="3101" spans="1:13" x14ac:dyDescent="0.3">
      <c r="A3101" t="s">
        <v>3397</v>
      </c>
      <c r="B3101" t="s">
        <v>6315</v>
      </c>
      <c r="C3101" t="s">
        <v>5487</v>
      </c>
      <c r="D3101" t="s">
        <v>4119</v>
      </c>
      <c r="E3101" t="s">
        <v>5595</v>
      </c>
      <c r="F3101" t="s">
        <v>14086</v>
      </c>
      <c r="G3101" t="s">
        <v>13905</v>
      </c>
      <c r="H3101" t="s">
        <v>5474</v>
      </c>
      <c r="I3101" t="s">
        <v>14087</v>
      </c>
      <c r="J3101" t="s">
        <v>5476</v>
      </c>
      <c r="K3101" t="s">
        <v>14088</v>
      </c>
      <c r="L3101" t="s">
        <v>5471</v>
      </c>
      <c r="M3101" t="s">
        <v>5471</v>
      </c>
    </row>
    <row r="3102" spans="1:13" x14ac:dyDescent="0.3">
      <c r="A3102" t="s">
        <v>3397</v>
      </c>
      <c r="B3102" t="s">
        <v>6315</v>
      </c>
      <c r="C3102" t="s">
        <v>5487</v>
      </c>
      <c r="D3102" t="s">
        <v>4119</v>
      </c>
      <c r="E3102" t="s">
        <v>5595</v>
      </c>
      <c r="F3102" t="s">
        <v>14089</v>
      </c>
      <c r="G3102" t="s">
        <v>13905</v>
      </c>
      <c r="H3102" t="s">
        <v>5474</v>
      </c>
      <c r="I3102" t="s">
        <v>14090</v>
      </c>
      <c r="J3102" t="s">
        <v>5476</v>
      </c>
      <c r="K3102" t="s">
        <v>14091</v>
      </c>
      <c r="L3102" t="s">
        <v>5471</v>
      </c>
      <c r="M3102" t="s">
        <v>5471</v>
      </c>
    </row>
    <row r="3103" spans="1:13" x14ac:dyDescent="0.3">
      <c r="A3103" t="s">
        <v>3397</v>
      </c>
      <c r="B3103" t="s">
        <v>6315</v>
      </c>
      <c r="C3103" t="s">
        <v>5487</v>
      </c>
      <c r="D3103" t="s">
        <v>4119</v>
      </c>
      <c r="E3103" t="s">
        <v>5595</v>
      </c>
      <c r="F3103" t="s">
        <v>14092</v>
      </c>
      <c r="G3103" t="s">
        <v>13905</v>
      </c>
      <c r="H3103" t="s">
        <v>5474</v>
      </c>
      <c r="I3103" t="s">
        <v>14093</v>
      </c>
      <c r="J3103" t="s">
        <v>5476</v>
      </c>
      <c r="K3103" t="s">
        <v>14094</v>
      </c>
      <c r="L3103" t="s">
        <v>5471</v>
      </c>
      <c r="M3103" t="s">
        <v>5471</v>
      </c>
    </row>
    <row r="3104" spans="1:13" x14ac:dyDescent="0.3">
      <c r="A3104" t="s">
        <v>3397</v>
      </c>
      <c r="B3104" t="s">
        <v>6315</v>
      </c>
      <c r="C3104" t="s">
        <v>5487</v>
      </c>
      <c r="D3104" t="s">
        <v>4119</v>
      </c>
      <c r="E3104" t="s">
        <v>5595</v>
      </c>
      <c r="F3104" t="s">
        <v>14095</v>
      </c>
      <c r="G3104" t="s">
        <v>13905</v>
      </c>
      <c r="H3104" t="s">
        <v>5474</v>
      </c>
      <c r="I3104" t="s">
        <v>14096</v>
      </c>
      <c r="J3104" t="s">
        <v>5476</v>
      </c>
      <c r="K3104" t="s">
        <v>14097</v>
      </c>
      <c r="L3104" t="s">
        <v>5471</v>
      </c>
      <c r="M3104" t="s">
        <v>5471</v>
      </c>
    </row>
    <row r="3105" spans="1:13" x14ac:dyDescent="0.3">
      <c r="A3105" t="s">
        <v>3397</v>
      </c>
      <c r="B3105" t="s">
        <v>6315</v>
      </c>
      <c r="C3105" t="s">
        <v>5487</v>
      </c>
      <c r="D3105" t="s">
        <v>4119</v>
      </c>
      <c r="E3105" t="s">
        <v>5595</v>
      </c>
      <c r="F3105" t="s">
        <v>14098</v>
      </c>
      <c r="G3105" t="s">
        <v>13905</v>
      </c>
      <c r="H3105" t="s">
        <v>5474</v>
      </c>
      <c r="I3105" t="s">
        <v>14099</v>
      </c>
      <c r="J3105" t="s">
        <v>5476</v>
      </c>
      <c r="K3105" t="s">
        <v>14100</v>
      </c>
      <c r="L3105" t="s">
        <v>5471</v>
      </c>
      <c r="M3105" t="s">
        <v>5471</v>
      </c>
    </row>
    <row r="3106" spans="1:13" x14ac:dyDescent="0.3">
      <c r="A3106" t="s">
        <v>3397</v>
      </c>
      <c r="B3106" t="s">
        <v>6315</v>
      </c>
      <c r="C3106" t="s">
        <v>5487</v>
      </c>
      <c r="D3106" t="s">
        <v>4119</v>
      </c>
      <c r="E3106" t="s">
        <v>5595</v>
      </c>
      <c r="F3106" t="s">
        <v>14101</v>
      </c>
      <c r="G3106" t="s">
        <v>13905</v>
      </c>
      <c r="H3106" t="s">
        <v>5474</v>
      </c>
      <c r="I3106" t="s">
        <v>14102</v>
      </c>
      <c r="J3106" t="s">
        <v>5476</v>
      </c>
      <c r="K3106" t="s">
        <v>14103</v>
      </c>
      <c r="L3106" t="s">
        <v>5471</v>
      </c>
      <c r="M3106" t="s">
        <v>5471</v>
      </c>
    </row>
    <row r="3107" spans="1:13" x14ac:dyDescent="0.3">
      <c r="A3107" t="s">
        <v>3397</v>
      </c>
      <c r="B3107" t="s">
        <v>6315</v>
      </c>
      <c r="C3107" t="s">
        <v>5487</v>
      </c>
      <c r="D3107" t="s">
        <v>4119</v>
      </c>
      <c r="E3107" t="s">
        <v>5595</v>
      </c>
      <c r="F3107" t="s">
        <v>14104</v>
      </c>
      <c r="G3107" t="s">
        <v>13905</v>
      </c>
      <c r="H3107" t="s">
        <v>5474</v>
      </c>
      <c r="I3107" t="s">
        <v>14105</v>
      </c>
      <c r="J3107" t="s">
        <v>5476</v>
      </c>
      <c r="K3107" t="s">
        <v>14106</v>
      </c>
      <c r="L3107" t="s">
        <v>5471</v>
      </c>
      <c r="M3107" t="s">
        <v>5471</v>
      </c>
    </row>
    <row r="3108" spans="1:13" x14ac:dyDescent="0.3">
      <c r="A3108" t="s">
        <v>3397</v>
      </c>
      <c r="B3108" t="s">
        <v>6315</v>
      </c>
      <c r="C3108" t="s">
        <v>5487</v>
      </c>
      <c r="D3108" t="s">
        <v>4119</v>
      </c>
      <c r="E3108" t="s">
        <v>5595</v>
      </c>
      <c r="F3108" t="s">
        <v>14107</v>
      </c>
      <c r="G3108" t="s">
        <v>13905</v>
      </c>
      <c r="H3108" t="s">
        <v>5474</v>
      </c>
      <c r="I3108" t="s">
        <v>14108</v>
      </c>
      <c r="J3108" t="s">
        <v>5476</v>
      </c>
      <c r="K3108" t="s">
        <v>14109</v>
      </c>
      <c r="L3108" t="s">
        <v>5471</v>
      </c>
      <c r="M3108" t="s">
        <v>5471</v>
      </c>
    </row>
    <row r="3109" spans="1:13" x14ac:dyDescent="0.3">
      <c r="A3109" t="s">
        <v>3397</v>
      </c>
      <c r="B3109" t="s">
        <v>6315</v>
      </c>
      <c r="C3109" t="s">
        <v>5487</v>
      </c>
      <c r="D3109" t="s">
        <v>4119</v>
      </c>
      <c r="E3109" t="s">
        <v>5595</v>
      </c>
      <c r="F3109" t="s">
        <v>14110</v>
      </c>
      <c r="G3109" t="s">
        <v>13905</v>
      </c>
      <c r="H3109" t="s">
        <v>5474</v>
      </c>
      <c r="I3109" t="s">
        <v>14111</v>
      </c>
      <c r="J3109" t="s">
        <v>5476</v>
      </c>
      <c r="K3109" t="s">
        <v>14112</v>
      </c>
      <c r="L3109" t="s">
        <v>5471</v>
      </c>
      <c r="M3109" t="s">
        <v>5471</v>
      </c>
    </row>
    <row r="3110" spans="1:13" x14ac:dyDescent="0.3">
      <c r="A3110" t="s">
        <v>3397</v>
      </c>
      <c r="B3110" t="s">
        <v>6315</v>
      </c>
      <c r="C3110" t="s">
        <v>5487</v>
      </c>
      <c r="D3110" t="s">
        <v>4119</v>
      </c>
      <c r="E3110" t="s">
        <v>5595</v>
      </c>
      <c r="F3110" t="s">
        <v>14113</v>
      </c>
      <c r="G3110" t="s">
        <v>13905</v>
      </c>
      <c r="H3110" t="s">
        <v>5474</v>
      </c>
      <c r="I3110" t="s">
        <v>14114</v>
      </c>
      <c r="J3110" t="s">
        <v>5476</v>
      </c>
      <c r="K3110" t="s">
        <v>14115</v>
      </c>
      <c r="L3110" t="s">
        <v>5471</v>
      </c>
      <c r="M3110" t="s">
        <v>5471</v>
      </c>
    </row>
    <row r="3111" spans="1:13" x14ac:dyDescent="0.3">
      <c r="A3111" t="s">
        <v>3397</v>
      </c>
      <c r="B3111" t="s">
        <v>6315</v>
      </c>
      <c r="C3111" t="s">
        <v>5487</v>
      </c>
      <c r="D3111" t="s">
        <v>4119</v>
      </c>
      <c r="E3111" t="s">
        <v>5595</v>
      </c>
      <c r="F3111" t="s">
        <v>14116</v>
      </c>
      <c r="G3111" t="s">
        <v>13905</v>
      </c>
      <c r="H3111" t="s">
        <v>5474</v>
      </c>
      <c r="I3111" t="s">
        <v>14117</v>
      </c>
      <c r="J3111" t="s">
        <v>5476</v>
      </c>
      <c r="K3111" t="s">
        <v>14118</v>
      </c>
      <c r="L3111" t="s">
        <v>5471</v>
      </c>
      <c r="M3111" t="s">
        <v>5471</v>
      </c>
    </row>
    <row r="3112" spans="1:13" x14ac:dyDescent="0.3">
      <c r="A3112" t="s">
        <v>3397</v>
      </c>
      <c r="B3112" t="s">
        <v>6315</v>
      </c>
      <c r="C3112" t="s">
        <v>5487</v>
      </c>
      <c r="D3112" t="s">
        <v>4119</v>
      </c>
      <c r="E3112" t="s">
        <v>5595</v>
      </c>
      <c r="F3112" t="s">
        <v>14119</v>
      </c>
      <c r="G3112" t="s">
        <v>13905</v>
      </c>
      <c r="H3112" t="s">
        <v>5474</v>
      </c>
      <c r="I3112" t="s">
        <v>14120</v>
      </c>
      <c r="J3112" t="s">
        <v>5476</v>
      </c>
      <c r="K3112" t="s">
        <v>14121</v>
      </c>
      <c r="L3112" t="s">
        <v>5471</v>
      </c>
      <c r="M3112" t="s">
        <v>5471</v>
      </c>
    </row>
    <row r="3113" spans="1:13" x14ac:dyDescent="0.3">
      <c r="A3113" t="s">
        <v>3397</v>
      </c>
      <c r="B3113" t="s">
        <v>6315</v>
      </c>
      <c r="C3113" t="s">
        <v>5487</v>
      </c>
      <c r="D3113" t="s">
        <v>4119</v>
      </c>
      <c r="E3113" t="s">
        <v>5595</v>
      </c>
      <c r="F3113" t="s">
        <v>14122</v>
      </c>
      <c r="G3113" t="s">
        <v>13905</v>
      </c>
      <c r="H3113" t="s">
        <v>5474</v>
      </c>
      <c r="I3113" t="s">
        <v>14123</v>
      </c>
      <c r="J3113" t="s">
        <v>5476</v>
      </c>
      <c r="K3113" t="s">
        <v>14124</v>
      </c>
      <c r="L3113" t="s">
        <v>5471</v>
      </c>
      <c r="M3113" t="s">
        <v>5471</v>
      </c>
    </row>
    <row r="3114" spans="1:13" x14ac:dyDescent="0.3">
      <c r="A3114" t="s">
        <v>3397</v>
      </c>
      <c r="B3114" t="s">
        <v>6315</v>
      </c>
      <c r="C3114" t="s">
        <v>5487</v>
      </c>
      <c r="D3114" t="s">
        <v>4119</v>
      </c>
      <c r="E3114" t="s">
        <v>5595</v>
      </c>
      <c r="F3114" t="s">
        <v>14125</v>
      </c>
      <c r="G3114" t="s">
        <v>13905</v>
      </c>
      <c r="H3114" t="s">
        <v>5474</v>
      </c>
      <c r="I3114" t="s">
        <v>14126</v>
      </c>
      <c r="J3114" t="s">
        <v>5476</v>
      </c>
      <c r="K3114" t="s">
        <v>14127</v>
      </c>
      <c r="L3114" t="s">
        <v>5471</v>
      </c>
      <c r="M3114" t="s">
        <v>5471</v>
      </c>
    </row>
    <row r="3115" spans="1:13" x14ac:dyDescent="0.3">
      <c r="A3115" t="s">
        <v>3397</v>
      </c>
      <c r="B3115" t="s">
        <v>6315</v>
      </c>
      <c r="C3115" t="s">
        <v>5487</v>
      </c>
      <c r="D3115" t="s">
        <v>4119</v>
      </c>
      <c r="E3115" t="s">
        <v>5595</v>
      </c>
      <c r="F3115" t="s">
        <v>14128</v>
      </c>
      <c r="G3115" t="s">
        <v>13905</v>
      </c>
      <c r="H3115" t="s">
        <v>5474</v>
      </c>
      <c r="I3115" t="s">
        <v>14129</v>
      </c>
      <c r="J3115" t="s">
        <v>5476</v>
      </c>
      <c r="K3115" t="s">
        <v>14130</v>
      </c>
      <c r="L3115" t="s">
        <v>5471</v>
      </c>
      <c r="M3115" t="s">
        <v>5471</v>
      </c>
    </row>
    <row r="3116" spans="1:13" x14ac:dyDescent="0.3">
      <c r="A3116" t="s">
        <v>3397</v>
      </c>
      <c r="B3116" t="s">
        <v>6315</v>
      </c>
      <c r="C3116" t="s">
        <v>5487</v>
      </c>
      <c r="D3116" t="s">
        <v>4119</v>
      </c>
      <c r="E3116" t="s">
        <v>5595</v>
      </c>
      <c r="F3116" t="s">
        <v>14131</v>
      </c>
      <c r="G3116" t="s">
        <v>13905</v>
      </c>
      <c r="H3116" t="s">
        <v>5474</v>
      </c>
      <c r="I3116" t="s">
        <v>14132</v>
      </c>
      <c r="J3116" t="s">
        <v>5476</v>
      </c>
      <c r="K3116" t="s">
        <v>14133</v>
      </c>
      <c r="L3116" t="s">
        <v>5471</v>
      </c>
      <c r="M3116" t="s">
        <v>5471</v>
      </c>
    </row>
    <row r="3117" spans="1:13" x14ac:dyDescent="0.3">
      <c r="A3117" t="s">
        <v>3397</v>
      </c>
      <c r="B3117" t="s">
        <v>6315</v>
      </c>
      <c r="C3117" t="s">
        <v>5487</v>
      </c>
      <c r="D3117" t="s">
        <v>4119</v>
      </c>
      <c r="E3117" t="s">
        <v>5595</v>
      </c>
      <c r="F3117" t="s">
        <v>14134</v>
      </c>
      <c r="G3117" t="s">
        <v>13905</v>
      </c>
      <c r="H3117" t="s">
        <v>5474</v>
      </c>
      <c r="I3117" t="s">
        <v>14135</v>
      </c>
      <c r="J3117" t="s">
        <v>5476</v>
      </c>
      <c r="K3117" t="s">
        <v>14136</v>
      </c>
      <c r="L3117" t="s">
        <v>5471</v>
      </c>
      <c r="M3117" t="s">
        <v>5471</v>
      </c>
    </row>
    <row r="3118" spans="1:13" x14ac:dyDescent="0.3">
      <c r="A3118" t="s">
        <v>3397</v>
      </c>
      <c r="B3118" t="s">
        <v>6315</v>
      </c>
      <c r="C3118" t="s">
        <v>5487</v>
      </c>
      <c r="D3118" t="s">
        <v>4119</v>
      </c>
      <c r="E3118" t="s">
        <v>5595</v>
      </c>
      <c r="F3118" t="s">
        <v>14137</v>
      </c>
      <c r="G3118" t="s">
        <v>13905</v>
      </c>
      <c r="H3118" t="s">
        <v>5474</v>
      </c>
      <c r="I3118" t="s">
        <v>14138</v>
      </c>
      <c r="J3118" t="s">
        <v>5476</v>
      </c>
      <c r="K3118" t="s">
        <v>14139</v>
      </c>
      <c r="L3118" t="s">
        <v>5471</v>
      </c>
      <c r="M3118" t="s">
        <v>5471</v>
      </c>
    </row>
    <row r="3119" spans="1:13" x14ac:dyDescent="0.3">
      <c r="A3119" t="s">
        <v>3397</v>
      </c>
      <c r="B3119" t="s">
        <v>6315</v>
      </c>
      <c r="C3119" t="s">
        <v>5487</v>
      </c>
      <c r="D3119" t="s">
        <v>4119</v>
      </c>
      <c r="E3119" t="s">
        <v>5595</v>
      </c>
      <c r="F3119" t="s">
        <v>14140</v>
      </c>
      <c r="G3119" t="s">
        <v>13905</v>
      </c>
      <c r="H3119" t="s">
        <v>5474</v>
      </c>
      <c r="I3119" t="s">
        <v>14141</v>
      </c>
      <c r="J3119" t="s">
        <v>5476</v>
      </c>
      <c r="K3119" t="s">
        <v>14142</v>
      </c>
      <c r="L3119" t="s">
        <v>5471</v>
      </c>
      <c r="M3119" t="s">
        <v>5471</v>
      </c>
    </row>
    <row r="3120" spans="1:13" x14ac:dyDescent="0.3">
      <c r="A3120" t="s">
        <v>3397</v>
      </c>
      <c r="B3120" t="s">
        <v>6315</v>
      </c>
      <c r="C3120" t="s">
        <v>5487</v>
      </c>
      <c r="D3120" t="s">
        <v>4119</v>
      </c>
      <c r="E3120" t="s">
        <v>5595</v>
      </c>
      <c r="F3120" t="s">
        <v>14143</v>
      </c>
      <c r="G3120" t="s">
        <v>13905</v>
      </c>
      <c r="H3120" t="s">
        <v>5474</v>
      </c>
      <c r="I3120" t="s">
        <v>14144</v>
      </c>
      <c r="J3120" t="s">
        <v>5476</v>
      </c>
      <c r="K3120" t="s">
        <v>14145</v>
      </c>
      <c r="L3120" t="s">
        <v>5471</v>
      </c>
      <c r="M3120" t="s">
        <v>5471</v>
      </c>
    </row>
    <row r="3121" spans="1:13" x14ac:dyDescent="0.3">
      <c r="A3121" t="s">
        <v>3397</v>
      </c>
      <c r="B3121" t="s">
        <v>6315</v>
      </c>
      <c r="C3121" t="s">
        <v>5487</v>
      </c>
      <c r="D3121" t="s">
        <v>4119</v>
      </c>
      <c r="E3121" t="s">
        <v>5595</v>
      </c>
      <c r="F3121" t="s">
        <v>14146</v>
      </c>
      <c r="G3121" t="s">
        <v>13905</v>
      </c>
      <c r="H3121" t="s">
        <v>5474</v>
      </c>
      <c r="I3121" t="s">
        <v>14147</v>
      </c>
      <c r="J3121" t="s">
        <v>5476</v>
      </c>
      <c r="K3121" t="s">
        <v>14148</v>
      </c>
      <c r="L3121" t="s">
        <v>5471</v>
      </c>
      <c r="M3121" t="s">
        <v>5471</v>
      </c>
    </row>
    <row r="3122" spans="1:13" x14ac:dyDescent="0.3">
      <c r="A3122" t="s">
        <v>3397</v>
      </c>
      <c r="B3122" t="s">
        <v>6315</v>
      </c>
      <c r="C3122" t="s">
        <v>5487</v>
      </c>
      <c r="D3122" t="s">
        <v>4119</v>
      </c>
      <c r="E3122" t="s">
        <v>5595</v>
      </c>
      <c r="F3122" t="s">
        <v>14149</v>
      </c>
      <c r="G3122" t="s">
        <v>13905</v>
      </c>
      <c r="H3122" t="s">
        <v>5474</v>
      </c>
      <c r="I3122" t="s">
        <v>14150</v>
      </c>
      <c r="J3122" t="s">
        <v>5476</v>
      </c>
      <c r="K3122" t="s">
        <v>14151</v>
      </c>
      <c r="L3122" t="s">
        <v>5471</v>
      </c>
      <c r="M3122" t="s">
        <v>5471</v>
      </c>
    </row>
    <row r="3123" spans="1:13" x14ac:dyDescent="0.3">
      <c r="A3123" t="s">
        <v>3397</v>
      </c>
      <c r="B3123" t="s">
        <v>6315</v>
      </c>
      <c r="C3123" t="s">
        <v>5487</v>
      </c>
      <c r="D3123" t="s">
        <v>4119</v>
      </c>
      <c r="E3123" t="s">
        <v>5595</v>
      </c>
      <c r="F3123" t="s">
        <v>14152</v>
      </c>
      <c r="G3123" t="s">
        <v>13905</v>
      </c>
      <c r="H3123" t="s">
        <v>5474</v>
      </c>
      <c r="I3123" t="s">
        <v>14153</v>
      </c>
      <c r="J3123" t="s">
        <v>5476</v>
      </c>
      <c r="K3123" t="s">
        <v>14154</v>
      </c>
      <c r="L3123" t="s">
        <v>5471</v>
      </c>
      <c r="M3123" t="s">
        <v>5471</v>
      </c>
    </row>
    <row r="3124" spans="1:13" x14ac:dyDescent="0.3">
      <c r="A3124" t="s">
        <v>3397</v>
      </c>
      <c r="B3124" t="s">
        <v>6315</v>
      </c>
      <c r="C3124" t="s">
        <v>5487</v>
      </c>
      <c r="D3124" t="s">
        <v>4119</v>
      </c>
      <c r="E3124" t="s">
        <v>5595</v>
      </c>
      <c r="F3124" t="s">
        <v>14155</v>
      </c>
      <c r="G3124" t="s">
        <v>13905</v>
      </c>
      <c r="H3124" t="s">
        <v>5474</v>
      </c>
      <c r="I3124" t="s">
        <v>14156</v>
      </c>
      <c r="J3124" t="s">
        <v>5476</v>
      </c>
      <c r="K3124" t="s">
        <v>14157</v>
      </c>
      <c r="L3124" t="s">
        <v>5471</v>
      </c>
      <c r="M3124" t="s">
        <v>5471</v>
      </c>
    </row>
    <row r="3125" spans="1:13" x14ac:dyDescent="0.3">
      <c r="A3125" t="s">
        <v>3397</v>
      </c>
      <c r="B3125" t="s">
        <v>6315</v>
      </c>
      <c r="C3125" t="s">
        <v>5487</v>
      </c>
      <c r="D3125" t="s">
        <v>4119</v>
      </c>
      <c r="E3125" t="s">
        <v>5595</v>
      </c>
      <c r="F3125" t="s">
        <v>14158</v>
      </c>
      <c r="G3125" t="s">
        <v>13905</v>
      </c>
      <c r="H3125" t="s">
        <v>5474</v>
      </c>
      <c r="I3125" t="s">
        <v>14159</v>
      </c>
      <c r="J3125" t="s">
        <v>5476</v>
      </c>
      <c r="K3125" t="s">
        <v>14160</v>
      </c>
      <c r="L3125" t="s">
        <v>5471</v>
      </c>
      <c r="M3125" t="s">
        <v>5471</v>
      </c>
    </row>
    <row r="3126" spans="1:13" x14ac:dyDescent="0.3">
      <c r="A3126" t="s">
        <v>3397</v>
      </c>
      <c r="B3126" t="s">
        <v>6315</v>
      </c>
      <c r="C3126" t="s">
        <v>5487</v>
      </c>
      <c r="D3126" t="s">
        <v>4119</v>
      </c>
      <c r="E3126" t="s">
        <v>5595</v>
      </c>
      <c r="F3126" t="s">
        <v>14161</v>
      </c>
      <c r="G3126" t="s">
        <v>13905</v>
      </c>
      <c r="H3126" t="s">
        <v>5474</v>
      </c>
      <c r="I3126" t="s">
        <v>14162</v>
      </c>
      <c r="J3126" t="s">
        <v>5476</v>
      </c>
      <c r="K3126" t="s">
        <v>14163</v>
      </c>
      <c r="L3126" t="s">
        <v>5471</v>
      </c>
      <c r="M3126" t="s">
        <v>5471</v>
      </c>
    </row>
    <row r="3127" spans="1:13" x14ac:dyDescent="0.3">
      <c r="A3127" t="s">
        <v>3397</v>
      </c>
      <c r="B3127" t="s">
        <v>6315</v>
      </c>
      <c r="C3127" t="s">
        <v>5487</v>
      </c>
      <c r="D3127" t="s">
        <v>4119</v>
      </c>
      <c r="E3127" t="s">
        <v>5595</v>
      </c>
      <c r="F3127" t="s">
        <v>14164</v>
      </c>
      <c r="G3127" t="s">
        <v>13905</v>
      </c>
      <c r="H3127" t="s">
        <v>5474</v>
      </c>
      <c r="I3127" t="s">
        <v>14165</v>
      </c>
      <c r="J3127" t="s">
        <v>5476</v>
      </c>
      <c r="K3127" t="s">
        <v>14166</v>
      </c>
      <c r="L3127" t="s">
        <v>5471</v>
      </c>
      <c r="M3127" t="s">
        <v>5471</v>
      </c>
    </row>
    <row r="3128" spans="1:13" x14ac:dyDescent="0.3">
      <c r="A3128" t="s">
        <v>3397</v>
      </c>
      <c r="B3128" t="s">
        <v>6315</v>
      </c>
      <c r="C3128" t="s">
        <v>5487</v>
      </c>
      <c r="D3128" t="s">
        <v>4119</v>
      </c>
      <c r="E3128" t="s">
        <v>5595</v>
      </c>
      <c r="F3128" t="s">
        <v>14167</v>
      </c>
      <c r="G3128" t="s">
        <v>13905</v>
      </c>
      <c r="H3128" t="s">
        <v>5474</v>
      </c>
      <c r="I3128" t="s">
        <v>14168</v>
      </c>
      <c r="J3128" t="s">
        <v>5476</v>
      </c>
      <c r="K3128" t="s">
        <v>14169</v>
      </c>
      <c r="L3128" t="s">
        <v>5471</v>
      </c>
      <c r="M3128" t="s">
        <v>5471</v>
      </c>
    </row>
    <row r="3129" spans="1:13" x14ac:dyDescent="0.3">
      <c r="A3129" t="s">
        <v>3397</v>
      </c>
      <c r="B3129" t="s">
        <v>6315</v>
      </c>
      <c r="C3129" t="s">
        <v>5487</v>
      </c>
      <c r="D3129" t="s">
        <v>4119</v>
      </c>
      <c r="E3129" t="s">
        <v>5595</v>
      </c>
      <c r="F3129" t="s">
        <v>14170</v>
      </c>
      <c r="G3129" t="s">
        <v>13905</v>
      </c>
      <c r="H3129" t="s">
        <v>5474</v>
      </c>
      <c r="I3129" t="s">
        <v>14171</v>
      </c>
      <c r="J3129" t="s">
        <v>5476</v>
      </c>
      <c r="K3129" t="s">
        <v>14172</v>
      </c>
      <c r="L3129" t="s">
        <v>5471</v>
      </c>
      <c r="M3129" t="s">
        <v>5471</v>
      </c>
    </row>
    <row r="3130" spans="1:13" x14ac:dyDescent="0.3">
      <c r="A3130" t="s">
        <v>3397</v>
      </c>
      <c r="B3130" t="s">
        <v>6315</v>
      </c>
      <c r="C3130" t="s">
        <v>5487</v>
      </c>
      <c r="D3130" t="s">
        <v>4119</v>
      </c>
      <c r="E3130" t="s">
        <v>5595</v>
      </c>
      <c r="F3130" t="s">
        <v>14173</v>
      </c>
      <c r="G3130" t="s">
        <v>13905</v>
      </c>
      <c r="H3130" t="s">
        <v>5474</v>
      </c>
      <c r="I3130" t="s">
        <v>14174</v>
      </c>
      <c r="J3130" t="s">
        <v>5476</v>
      </c>
      <c r="K3130" t="s">
        <v>14175</v>
      </c>
      <c r="L3130" t="s">
        <v>5471</v>
      </c>
      <c r="M3130" t="s">
        <v>5471</v>
      </c>
    </row>
    <row r="3131" spans="1:13" x14ac:dyDescent="0.3">
      <c r="A3131" t="s">
        <v>3397</v>
      </c>
      <c r="B3131" t="s">
        <v>6315</v>
      </c>
      <c r="C3131" t="s">
        <v>5487</v>
      </c>
      <c r="D3131" t="s">
        <v>4119</v>
      </c>
      <c r="E3131" t="s">
        <v>5595</v>
      </c>
      <c r="F3131" t="s">
        <v>14176</v>
      </c>
      <c r="G3131" t="s">
        <v>13905</v>
      </c>
      <c r="H3131" t="s">
        <v>5474</v>
      </c>
      <c r="I3131" t="s">
        <v>14177</v>
      </c>
      <c r="J3131" t="s">
        <v>5476</v>
      </c>
      <c r="K3131" t="s">
        <v>14178</v>
      </c>
      <c r="L3131" t="s">
        <v>5471</v>
      </c>
      <c r="M3131" t="s">
        <v>5471</v>
      </c>
    </row>
    <row r="3132" spans="1:13" x14ac:dyDescent="0.3">
      <c r="A3132" t="s">
        <v>3397</v>
      </c>
      <c r="B3132" t="s">
        <v>6315</v>
      </c>
      <c r="C3132" t="s">
        <v>5487</v>
      </c>
      <c r="D3132" t="s">
        <v>4119</v>
      </c>
      <c r="E3132" t="s">
        <v>5595</v>
      </c>
      <c r="F3132" t="s">
        <v>14179</v>
      </c>
      <c r="G3132" t="s">
        <v>13905</v>
      </c>
      <c r="H3132" t="s">
        <v>5474</v>
      </c>
      <c r="I3132" t="s">
        <v>14180</v>
      </c>
      <c r="J3132" t="s">
        <v>5476</v>
      </c>
      <c r="K3132" t="s">
        <v>14181</v>
      </c>
      <c r="L3132" t="s">
        <v>5471</v>
      </c>
      <c r="M3132" t="s">
        <v>5471</v>
      </c>
    </row>
    <row r="3133" spans="1:13" x14ac:dyDescent="0.3">
      <c r="A3133" t="s">
        <v>3397</v>
      </c>
      <c r="B3133" t="s">
        <v>6315</v>
      </c>
      <c r="C3133" t="s">
        <v>5487</v>
      </c>
      <c r="D3133" t="s">
        <v>4119</v>
      </c>
      <c r="E3133" t="s">
        <v>5595</v>
      </c>
      <c r="F3133" t="s">
        <v>14182</v>
      </c>
      <c r="G3133" t="s">
        <v>13905</v>
      </c>
      <c r="H3133" t="s">
        <v>5474</v>
      </c>
      <c r="I3133" t="s">
        <v>14183</v>
      </c>
      <c r="J3133" t="s">
        <v>5476</v>
      </c>
      <c r="K3133" t="s">
        <v>14184</v>
      </c>
      <c r="L3133" t="s">
        <v>5471</v>
      </c>
      <c r="M3133" t="s">
        <v>5471</v>
      </c>
    </row>
    <row r="3134" spans="1:13" x14ac:dyDescent="0.3">
      <c r="A3134" t="s">
        <v>3397</v>
      </c>
      <c r="B3134" t="s">
        <v>6315</v>
      </c>
      <c r="C3134" t="s">
        <v>5487</v>
      </c>
      <c r="D3134" t="s">
        <v>4119</v>
      </c>
      <c r="E3134" t="s">
        <v>5595</v>
      </c>
      <c r="F3134" t="s">
        <v>14185</v>
      </c>
      <c r="G3134" t="s">
        <v>13905</v>
      </c>
      <c r="H3134" t="s">
        <v>5474</v>
      </c>
      <c r="I3134" t="s">
        <v>14186</v>
      </c>
      <c r="J3134" t="s">
        <v>5476</v>
      </c>
      <c r="K3134" t="s">
        <v>14187</v>
      </c>
      <c r="L3134" t="s">
        <v>5471</v>
      </c>
      <c r="M3134" t="s">
        <v>5471</v>
      </c>
    </row>
    <row r="3135" spans="1:13" x14ac:dyDescent="0.3">
      <c r="A3135" t="s">
        <v>3397</v>
      </c>
      <c r="B3135" t="s">
        <v>6315</v>
      </c>
      <c r="C3135" t="s">
        <v>5487</v>
      </c>
      <c r="D3135" t="s">
        <v>4119</v>
      </c>
      <c r="E3135" t="s">
        <v>5595</v>
      </c>
      <c r="F3135" t="s">
        <v>14188</v>
      </c>
      <c r="G3135" t="s">
        <v>13905</v>
      </c>
      <c r="H3135" t="s">
        <v>5474</v>
      </c>
      <c r="I3135" t="s">
        <v>14189</v>
      </c>
      <c r="J3135" t="s">
        <v>5476</v>
      </c>
      <c r="K3135" t="s">
        <v>14190</v>
      </c>
      <c r="L3135" t="s">
        <v>5471</v>
      </c>
      <c r="M3135" t="s">
        <v>5471</v>
      </c>
    </row>
    <row r="3136" spans="1:13" x14ac:dyDescent="0.3">
      <c r="A3136" t="s">
        <v>3397</v>
      </c>
      <c r="B3136" t="s">
        <v>6315</v>
      </c>
      <c r="C3136" t="s">
        <v>5487</v>
      </c>
      <c r="D3136" t="s">
        <v>4119</v>
      </c>
      <c r="E3136" t="s">
        <v>5595</v>
      </c>
      <c r="F3136" t="s">
        <v>14191</v>
      </c>
      <c r="G3136" t="s">
        <v>13905</v>
      </c>
      <c r="H3136" t="s">
        <v>5474</v>
      </c>
      <c r="I3136" t="s">
        <v>14192</v>
      </c>
      <c r="J3136" t="s">
        <v>5476</v>
      </c>
      <c r="K3136" t="s">
        <v>14193</v>
      </c>
      <c r="L3136" t="s">
        <v>5471</v>
      </c>
      <c r="M3136" t="s">
        <v>5471</v>
      </c>
    </row>
    <row r="3137" spans="1:13" x14ac:dyDescent="0.3">
      <c r="A3137" t="s">
        <v>3397</v>
      </c>
      <c r="B3137" t="s">
        <v>6315</v>
      </c>
      <c r="C3137" t="s">
        <v>5487</v>
      </c>
      <c r="D3137" t="s">
        <v>4119</v>
      </c>
      <c r="E3137" t="s">
        <v>5595</v>
      </c>
      <c r="F3137" t="s">
        <v>14194</v>
      </c>
      <c r="G3137" t="s">
        <v>13905</v>
      </c>
      <c r="H3137" t="s">
        <v>5474</v>
      </c>
      <c r="I3137" t="s">
        <v>14195</v>
      </c>
      <c r="J3137" t="s">
        <v>5476</v>
      </c>
      <c r="K3137" t="s">
        <v>14196</v>
      </c>
      <c r="L3137" t="s">
        <v>5471</v>
      </c>
      <c r="M3137" t="s">
        <v>5471</v>
      </c>
    </row>
    <row r="3138" spans="1:13" x14ac:dyDescent="0.3">
      <c r="A3138" t="s">
        <v>3397</v>
      </c>
      <c r="B3138" t="s">
        <v>6315</v>
      </c>
      <c r="C3138" t="s">
        <v>5487</v>
      </c>
      <c r="D3138" t="s">
        <v>4119</v>
      </c>
      <c r="E3138" t="s">
        <v>5595</v>
      </c>
      <c r="F3138" t="s">
        <v>14197</v>
      </c>
      <c r="G3138" t="s">
        <v>13905</v>
      </c>
      <c r="H3138" t="s">
        <v>5474</v>
      </c>
      <c r="I3138" t="s">
        <v>14198</v>
      </c>
      <c r="J3138" t="s">
        <v>5476</v>
      </c>
      <c r="K3138" t="s">
        <v>14199</v>
      </c>
      <c r="L3138" t="s">
        <v>5471</v>
      </c>
      <c r="M3138" t="s">
        <v>5471</v>
      </c>
    </row>
    <row r="3139" spans="1:13" x14ac:dyDescent="0.3">
      <c r="A3139" t="s">
        <v>3397</v>
      </c>
      <c r="B3139" t="s">
        <v>6315</v>
      </c>
      <c r="C3139" t="s">
        <v>5487</v>
      </c>
      <c r="D3139" t="s">
        <v>4119</v>
      </c>
      <c r="E3139" t="s">
        <v>5595</v>
      </c>
      <c r="F3139" t="s">
        <v>14200</v>
      </c>
      <c r="G3139" t="s">
        <v>13905</v>
      </c>
      <c r="H3139" t="s">
        <v>5474</v>
      </c>
      <c r="I3139" t="s">
        <v>14201</v>
      </c>
      <c r="J3139" t="s">
        <v>5476</v>
      </c>
      <c r="K3139" t="s">
        <v>14202</v>
      </c>
      <c r="L3139" t="s">
        <v>5471</v>
      </c>
      <c r="M3139" t="s">
        <v>5471</v>
      </c>
    </row>
    <row r="3140" spans="1:13" x14ac:dyDescent="0.3">
      <c r="A3140" t="s">
        <v>3397</v>
      </c>
      <c r="B3140" t="s">
        <v>6315</v>
      </c>
      <c r="C3140" t="s">
        <v>5487</v>
      </c>
      <c r="D3140" t="s">
        <v>4119</v>
      </c>
      <c r="E3140" t="s">
        <v>5595</v>
      </c>
      <c r="F3140" t="s">
        <v>13790</v>
      </c>
      <c r="G3140" t="s">
        <v>13905</v>
      </c>
      <c r="H3140" t="s">
        <v>5474</v>
      </c>
      <c r="I3140" t="s">
        <v>14203</v>
      </c>
      <c r="J3140" t="s">
        <v>5476</v>
      </c>
      <c r="K3140" t="s">
        <v>13792</v>
      </c>
      <c r="L3140" t="s">
        <v>5471</v>
      </c>
      <c r="M3140" t="s">
        <v>5471</v>
      </c>
    </row>
    <row r="3141" spans="1:13" x14ac:dyDescent="0.3">
      <c r="A3141" t="s">
        <v>3397</v>
      </c>
      <c r="B3141" t="s">
        <v>6315</v>
      </c>
      <c r="C3141" t="s">
        <v>5487</v>
      </c>
      <c r="D3141" t="s">
        <v>4119</v>
      </c>
      <c r="E3141" t="s">
        <v>5480</v>
      </c>
      <c r="F3141" t="s">
        <v>14204</v>
      </c>
      <c r="G3141" t="s">
        <v>14205</v>
      </c>
      <c r="H3141" t="s">
        <v>5474</v>
      </c>
      <c r="I3141" t="s">
        <v>14206</v>
      </c>
      <c r="J3141" t="s">
        <v>5476</v>
      </c>
      <c r="K3141" t="s">
        <v>14207</v>
      </c>
      <c r="L3141" t="s">
        <v>5471</v>
      </c>
      <c r="M3141" t="s">
        <v>5471</v>
      </c>
    </row>
    <row r="3142" spans="1:13" x14ac:dyDescent="0.3">
      <c r="A3142" t="s">
        <v>3397</v>
      </c>
      <c r="B3142" t="s">
        <v>6315</v>
      </c>
      <c r="C3142" t="s">
        <v>5487</v>
      </c>
      <c r="D3142" t="s">
        <v>4119</v>
      </c>
      <c r="E3142" t="s">
        <v>5480</v>
      </c>
      <c r="F3142" t="s">
        <v>14208</v>
      </c>
      <c r="G3142" t="s">
        <v>14209</v>
      </c>
      <c r="H3142" t="s">
        <v>5474</v>
      </c>
      <c r="I3142" t="s">
        <v>14210</v>
      </c>
      <c r="J3142" t="s">
        <v>5476</v>
      </c>
      <c r="K3142" t="s">
        <v>14211</v>
      </c>
      <c r="L3142" t="s">
        <v>5471</v>
      </c>
      <c r="M3142" t="s">
        <v>5471</v>
      </c>
    </row>
    <row r="3143" spans="1:13" x14ac:dyDescent="0.3">
      <c r="A3143" t="s">
        <v>3397</v>
      </c>
      <c r="B3143" t="s">
        <v>6315</v>
      </c>
      <c r="C3143" t="s">
        <v>5487</v>
      </c>
      <c r="D3143" t="s">
        <v>4119</v>
      </c>
      <c r="E3143" t="s">
        <v>5480</v>
      </c>
      <c r="F3143" t="s">
        <v>14212</v>
      </c>
      <c r="G3143" t="s">
        <v>14213</v>
      </c>
      <c r="H3143" t="s">
        <v>5474</v>
      </c>
      <c r="I3143" t="s">
        <v>14214</v>
      </c>
      <c r="J3143" t="s">
        <v>5476</v>
      </c>
      <c r="K3143" t="s">
        <v>14215</v>
      </c>
      <c r="L3143" t="s">
        <v>5471</v>
      </c>
      <c r="M3143" t="s">
        <v>5471</v>
      </c>
    </row>
    <row r="3144" spans="1:13" x14ac:dyDescent="0.3">
      <c r="A3144" t="s">
        <v>3397</v>
      </c>
      <c r="B3144" t="s">
        <v>6315</v>
      </c>
      <c r="C3144" t="s">
        <v>5487</v>
      </c>
      <c r="D3144" t="s">
        <v>4119</v>
      </c>
      <c r="E3144" t="s">
        <v>5480</v>
      </c>
      <c r="F3144" t="s">
        <v>14216</v>
      </c>
      <c r="G3144" t="s">
        <v>14217</v>
      </c>
      <c r="H3144" t="s">
        <v>5474</v>
      </c>
      <c r="I3144" t="s">
        <v>14218</v>
      </c>
      <c r="J3144" t="s">
        <v>5476</v>
      </c>
      <c r="K3144" t="s">
        <v>14219</v>
      </c>
      <c r="L3144" t="s">
        <v>5471</v>
      </c>
      <c r="M3144" t="s">
        <v>5471</v>
      </c>
    </row>
    <row r="3145" spans="1:13" x14ac:dyDescent="0.3">
      <c r="A3145" t="s">
        <v>3397</v>
      </c>
      <c r="B3145" t="s">
        <v>6315</v>
      </c>
      <c r="C3145" t="s">
        <v>5487</v>
      </c>
      <c r="D3145" t="s">
        <v>4119</v>
      </c>
      <c r="E3145" t="s">
        <v>5532</v>
      </c>
      <c r="F3145" t="s">
        <v>14220</v>
      </c>
      <c r="G3145" t="s">
        <v>14221</v>
      </c>
      <c r="H3145" t="s">
        <v>5474</v>
      </c>
      <c r="I3145" t="s">
        <v>14222</v>
      </c>
      <c r="J3145" t="s">
        <v>5476</v>
      </c>
      <c r="K3145" t="s">
        <v>14223</v>
      </c>
      <c r="L3145" t="s">
        <v>5471</v>
      </c>
      <c r="M3145" t="s">
        <v>5471</v>
      </c>
    </row>
    <row r="3146" spans="1:13" x14ac:dyDescent="0.3">
      <c r="A3146" t="s">
        <v>3397</v>
      </c>
      <c r="B3146" t="s">
        <v>14224</v>
      </c>
      <c r="C3146" t="s">
        <v>5487</v>
      </c>
      <c r="D3146" t="s">
        <v>4119</v>
      </c>
      <c r="E3146" t="s">
        <v>5532</v>
      </c>
      <c r="F3146" t="s">
        <v>14220</v>
      </c>
      <c r="G3146" t="s">
        <v>14221</v>
      </c>
      <c r="H3146" t="s">
        <v>5474</v>
      </c>
      <c r="I3146" t="s">
        <v>14225</v>
      </c>
      <c r="J3146" t="s">
        <v>5476</v>
      </c>
      <c r="K3146" t="s">
        <v>14223</v>
      </c>
      <c r="L3146" t="s">
        <v>5471</v>
      </c>
      <c r="M3146" t="s">
        <v>5471</v>
      </c>
    </row>
    <row r="3147" spans="1:13" x14ac:dyDescent="0.3">
      <c r="A3147" t="s">
        <v>3397</v>
      </c>
      <c r="B3147" t="s">
        <v>6315</v>
      </c>
      <c r="C3147" t="s">
        <v>5487</v>
      </c>
      <c r="D3147" t="s">
        <v>4119</v>
      </c>
      <c r="E3147" t="s">
        <v>5532</v>
      </c>
      <c r="F3147" t="s">
        <v>14226</v>
      </c>
      <c r="G3147" t="s">
        <v>14221</v>
      </c>
      <c r="H3147" t="s">
        <v>5474</v>
      </c>
      <c r="I3147" t="s">
        <v>14227</v>
      </c>
      <c r="J3147" t="s">
        <v>5476</v>
      </c>
      <c r="K3147" t="s">
        <v>14228</v>
      </c>
      <c r="L3147" t="s">
        <v>5471</v>
      </c>
      <c r="M3147" t="s">
        <v>5471</v>
      </c>
    </row>
    <row r="3148" spans="1:13" x14ac:dyDescent="0.3">
      <c r="A3148" t="s">
        <v>3397</v>
      </c>
      <c r="B3148" t="s">
        <v>6315</v>
      </c>
      <c r="C3148" t="s">
        <v>5487</v>
      </c>
      <c r="D3148" t="s">
        <v>4119</v>
      </c>
      <c r="E3148" t="s">
        <v>5595</v>
      </c>
      <c r="F3148" t="s">
        <v>14229</v>
      </c>
      <c r="G3148" t="s">
        <v>13905</v>
      </c>
      <c r="H3148" t="s">
        <v>5474</v>
      </c>
      <c r="I3148" t="s">
        <v>14230</v>
      </c>
      <c r="J3148" t="s">
        <v>5476</v>
      </c>
      <c r="K3148" t="s">
        <v>14231</v>
      </c>
      <c r="L3148" t="s">
        <v>5471</v>
      </c>
      <c r="M3148" t="s">
        <v>5471</v>
      </c>
    </row>
    <row r="3149" spans="1:13" x14ac:dyDescent="0.3">
      <c r="A3149" t="s">
        <v>3397</v>
      </c>
      <c r="B3149" t="s">
        <v>6315</v>
      </c>
      <c r="C3149" t="s">
        <v>5487</v>
      </c>
      <c r="D3149" t="s">
        <v>4119</v>
      </c>
      <c r="E3149" t="s">
        <v>5595</v>
      </c>
      <c r="F3149" t="s">
        <v>14232</v>
      </c>
      <c r="G3149" t="s">
        <v>14233</v>
      </c>
      <c r="H3149" t="s">
        <v>5474</v>
      </c>
      <c r="I3149" t="s">
        <v>14234</v>
      </c>
      <c r="J3149" t="s">
        <v>5476</v>
      </c>
      <c r="K3149" t="s">
        <v>14235</v>
      </c>
      <c r="L3149" t="s">
        <v>5471</v>
      </c>
      <c r="M3149" t="s">
        <v>5471</v>
      </c>
    </row>
    <row r="3150" spans="1:13" x14ac:dyDescent="0.3">
      <c r="A3150" t="s">
        <v>3397</v>
      </c>
      <c r="B3150" t="s">
        <v>6315</v>
      </c>
      <c r="C3150" t="s">
        <v>5487</v>
      </c>
      <c r="D3150" t="s">
        <v>4119</v>
      </c>
      <c r="E3150" t="s">
        <v>5595</v>
      </c>
      <c r="F3150" t="s">
        <v>14236</v>
      </c>
      <c r="G3150" t="s">
        <v>13905</v>
      </c>
      <c r="H3150" t="s">
        <v>5474</v>
      </c>
      <c r="I3150" t="s">
        <v>14237</v>
      </c>
      <c r="J3150" t="s">
        <v>5476</v>
      </c>
      <c r="K3150" t="s">
        <v>14238</v>
      </c>
      <c r="L3150" t="s">
        <v>5471</v>
      </c>
      <c r="M3150" t="s">
        <v>5471</v>
      </c>
    </row>
    <row r="3151" spans="1:13" x14ac:dyDescent="0.3">
      <c r="A3151" t="s">
        <v>3397</v>
      </c>
      <c r="B3151" t="s">
        <v>6315</v>
      </c>
      <c r="C3151" t="s">
        <v>5487</v>
      </c>
      <c r="D3151" t="s">
        <v>4119</v>
      </c>
      <c r="E3151" t="s">
        <v>5532</v>
      </c>
      <c r="F3151" t="s">
        <v>14239</v>
      </c>
      <c r="G3151" t="s">
        <v>14240</v>
      </c>
      <c r="H3151" t="s">
        <v>5474</v>
      </c>
      <c r="I3151" t="s">
        <v>14241</v>
      </c>
      <c r="J3151" t="s">
        <v>5476</v>
      </c>
      <c r="K3151" t="s">
        <v>14242</v>
      </c>
      <c r="L3151" t="s">
        <v>5471</v>
      </c>
      <c r="M3151" t="s">
        <v>5471</v>
      </c>
    </row>
    <row r="3152" spans="1:13" x14ac:dyDescent="0.3">
      <c r="A3152" t="s">
        <v>3397</v>
      </c>
      <c r="B3152" t="s">
        <v>6315</v>
      </c>
      <c r="C3152" t="s">
        <v>5487</v>
      </c>
      <c r="D3152" t="s">
        <v>4119</v>
      </c>
      <c r="E3152" t="s">
        <v>5532</v>
      </c>
      <c r="F3152" t="s">
        <v>14243</v>
      </c>
      <c r="G3152" t="s">
        <v>14244</v>
      </c>
      <c r="H3152" t="s">
        <v>5474</v>
      </c>
      <c r="I3152" t="s">
        <v>14245</v>
      </c>
      <c r="J3152" t="s">
        <v>5476</v>
      </c>
      <c r="K3152" t="s">
        <v>14246</v>
      </c>
      <c r="L3152" t="s">
        <v>5471</v>
      </c>
      <c r="M3152" t="s">
        <v>5471</v>
      </c>
    </row>
    <row r="3153" spans="1:13" x14ac:dyDescent="0.3">
      <c r="A3153" t="s">
        <v>3397</v>
      </c>
      <c r="B3153" t="s">
        <v>6315</v>
      </c>
      <c r="C3153" t="s">
        <v>5487</v>
      </c>
      <c r="D3153" t="s">
        <v>4119</v>
      </c>
      <c r="E3153" t="s">
        <v>5843</v>
      </c>
      <c r="F3153" t="s">
        <v>14247</v>
      </c>
      <c r="G3153" t="s">
        <v>13905</v>
      </c>
      <c r="H3153" t="s">
        <v>5474</v>
      </c>
      <c r="I3153" t="s">
        <v>14248</v>
      </c>
      <c r="J3153" t="s">
        <v>5476</v>
      </c>
      <c r="K3153" t="s">
        <v>14249</v>
      </c>
      <c r="L3153" t="s">
        <v>5471</v>
      </c>
      <c r="M3153" t="s">
        <v>5471</v>
      </c>
    </row>
    <row r="3154" spans="1:13" x14ac:dyDescent="0.3">
      <c r="A3154" t="s">
        <v>3397</v>
      </c>
      <c r="B3154" t="s">
        <v>6315</v>
      </c>
      <c r="C3154" t="s">
        <v>5487</v>
      </c>
      <c r="D3154" t="s">
        <v>4119</v>
      </c>
      <c r="E3154" t="s">
        <v>5843</v>
      </c>
      <c r="F3154" t="s">
        <v>14250</v>
      </c>
      <c r="G3154" t="s">
        <v>14251</v>
      </c>
      <c r="H3154" t="s">
        <v>5474</v>
      </c>
      <c r="I3154" t="s">
        <v>14252</v>
      </c>
      <c r="J3154" t="s">
        <v>5476</v>
      </c>
      <c r="K3154" t="s">
        <v>14253</v>
      </c>
      <c r="L3154" t="s">
        <v>5471</v>
      </c>
      <c r="M3154" t="s">
        <v>5471</v>
      </c>
    </row>
    <row r="3155" spans="1:13" x14ac:dyDescent="0.3">
      <c r="A3155" t="s">
        <v>3397</v>
      </c>
      <c r="B3155" t="s">
        <v>6315</v>
      </c>
      <c r="C3155" t="s">
        <v>5487</v>
      </c>
      <c r="D3155" t="s">
        <v>4119</v>
      </c>
      <c r="E3155" t="s">
        <v>5843</v>
      </c>
      <c r="F3155" t="s">
        <v>14254</v>
      </c>
      <c r="G3155" t="s">
        <v>14255</v>
      </c>
      <c r="H3155" t="s">
        <v>5474</v>
      </c>
      <c r="I3155" t="s">
        <v>14256</v>
      </c>
      <c r="J3155" t="s">
        <v>5476</v>
      </c>
      <c r="K3155" t="s">
        <v>14257</v>
      </c>
      <c r="L3155" t="s">
        <v>5471</v>
      </c>
      <c r="M3155" t="s">
        <v>5471</v>
      </c>
    </row>
    <row r="3156" spans="1:13" x14ac:dyDescent="0.3">
      <c r="A3156" t="s">
        <v>3397</v>
      </c>
      <c r="B3156" t="s">
        <v>6315</v>
      </c>
      <c r="C3156" t="s">
        <v>5487</v>
      </c>
      <c r="D3156" t="s">
        <v>4119</v>
      </c>
      <c r="E3156" t="s">
        <v>5843</v>
      </c>
      <c r="F3156" t="s">
        <v>14258</v>
      </c>
      <c r="G3156" t="s">
        <v>14259</v>
      </c>
      <c r="H3156" t="s">
        <v>5474</v>
      </c>
      <c r="I3156" t="s">
        <v>14260</v>
      </c>
      <c r="J3156" t="s">
        <v>5476</v>
      </c>
      <c r="K3156" t="s">
        <v>14261</v>
      </c>
      <c r="L3156" t="s">
        <v>5471</v>
      </c>
      <c r="M3156" t="s">
        <v>5471</v>
      </c>
    </row>
    <row r="3157" spans="1:13" x14ac:dyDescent="0.3">
      <c r="A3157" t="s">
        <v>3397</v>
      </c>
      <c r="B3157" t="s">
        <v>6315</v>
      </c>
      <c r="C3157" t="s">
        <v>5487</v>
      </c>
      <c r="D3157" t="s">
        <v>4119</v>
      </c>
      <c r="E3157" t="s">
        <v>5843</v>
      </c>
      <c r="F3157" t="s">
        <v>14262</v>
      </c>
      <c r="G3157" t="s">
        <v>14263</v>
      </c>
      <c r="H3157" t="s">
        <v>5474</v>
      </c>
      <c r="I3157" t="s">
        <v>14264</v>
      </c>
      <c r="J3157" t="s">
        <v>5476</v>
      </c>
      <c r="K3157" t="s">
        <v>14265</v>
      </c>
      <c r="L3157" t="s">
        <v>5471</v>
      </c>
      <c r="M3157" t="s">
        <v>5471</v>
      </c>
    </row>
    <row r="3158" spans="1:13" x14ac:dyDescent="0.3">
      <c r="A3158" t="s">
        <v>3397</v>
      </c>
      <c r="B3158" t="s">
        <v>6315</v>
      </c>
      <c r="C3158" t="s">
        <v>5487</v>
      </c>
      <c r="D3158" t="s">
        <v>4119</v>
      </c>
      <c r="E3158" t="s">
        <v>5843</v>
      </c>
      <c r="F3158" t="s">
        <v>14266</v>
      </c>
      <c r="G3158" t="s">
        <v>14267</v>
      </c>
      <c r="H3158" t="s">
        <v>5474</v>
      </c>
      <c r="I3158" t="s">
        <v>14268</v>
      </c>
      <c r="J3158" t="s">
        <v>5476</v>
      </c>
      <c r="K3158" t="s">
        <v>14269</v>
      </c>
      <c r="L3158" t="s">
        <v>5471</v>
      </c>
      <c r="M3158" t="s">
        <v>5471</v>
      </c>
    </row>
    <row r="3159" spans="1:13" x14ac:dyDescent="0.3">
      <c r="A3159" t="s">
        <v>3397</v>
      </c>
      <c r="B3159" t="s">
        <v>6315</v>
      </c>
      <c r="C3159" t="s">
        <v>5487</v>
      </c>
      <c r="D3159" t="s">
        <v>4119</v>
      </c>
      <c r="E3159" t="s">
        <v>5843</v>
      </c>
      <c r="F3159" t="s">
        <v>14270</v>
      </c>
      <c r="G3159" t="s">
        <v>14271</v>
      </c>
      <c r="H3159" t="s">
        <v>5474</v>
      </c>
      <c r="I3159" t="s">
        <v>14272</v>
      </c>
      <c r="J3159" t="s">
        <v>5476</v>
      </c>
      <c r="K3159" t="s">
        <v>14273</v>
      </c>
      <c r="L3159" t="s">
        <v>5471</v>
      </c>
      <c r="M3159" t="s">
        <v>5471</v>
      </c>
    </row>
    <row r="3160" spans="1:13" x14ac:dyDescent="0.3">
      <c r="A3160" t="s">
        <v>3397</v>
      </c>
      <c r="B3160" t="s">
        <v>6315</v>
      </c>
      <c r="C3160" t="s">
        <v>5487</v>
      </c>
      <c r="D3160" t="s">
        <v>4119</v>
      </c>
      <c r="E3160" t="s">
        <v>5843</v>
      </c>
      <c r="F3160" t="s">
        <v>14274</v>
      </c>
      <c r="G3160" t="s">
        <v>14275</v>
      </c>
      <c r="H3160" t="s">
        <v>5474</v>
      </c>
      <c r="I3160" t="s">
        <v>14276</v>
      </c>
      <c r="J3160" t="s">
        <v>5476</v>
      </c>
      <c r="K3160" t="s">
        <v>14277</v>
      </c>
      <c r="L3160" t="s">
        <v>5471</v>
      </c>
      <c r="M3160" t="s">
        <v>5471</v>
      </c>
    </row>
    <row r="3161" spans="1:13" x14ac:dyDescent="0.3">
      <c r="A3161" t="s">
        <v>3397</v>
      </c>
      <c r="B3161" t="s">
        <v>6315</v>
      </c>
      <c r="C3161" t="s">
        <v>5487</v>
      </c>
      <c r="D3161" t="s">
        <v>4119</v>
      </c>
      <c r="E3161" t="s">
        <v>5843</v>
      </c>
      <c r="F3161" t="s">
        <v>14278</v>
      </c>
      <c r="G3161" t="s">
        <v>14279</v>
      </c>
      <c r="H3161" t="s">
        <v>5474</v>
      </c>
      <c r="I3161" t="s">
        <v>14280</v>
      </c>
      <c r="J3161" t="s">
        <v>5476</v>
      </c>
      <c r="K3161" t="s">
        <v>14281</v>
      </c>
      <c r="L3161" t="s">
        <v>5471</v>
      </c>
      <c r="M3161" t="s">
        <v>5471</v>
      </c>
    </row>
    <row r="3162" spans="1:13" x14ac:dyDescent="0.3">
      <c r="A3162" t="s">
        <v>3397</v>
      </c>
      <c r="B3162" t="s">
        <v>6315</v>
      </c>
      <c r="C3162" t="s">
        <v>5487</v>
      </c>
      <c r="D3162" t="s">
        <v>4119</v>
      </c>
      <c r="E3162" t="s">
        <v>5595</v>
      </c>
      <c r="F3162" t="s">
        <v>14282</v>
      </c>
      <c r="G3162" t="s">
        <v>14283</v>
      </c>
      <c r="H3162" t="s">
        <v>5474</v>
      </c>
      <c r="I3162" t="s">
        <v>14284</v>
      </c>
      <c r="J3162" t="s">
        <v>5476</v>
      </c>
      <c r="K3162" t="s">
        <v>14285</v>
      </c>
      <c r="L3162" t="s">
        <v>5471</v>
      </c>
      <c r="M3162" t="s">
        <v>5471</v>
      </c>
    </row>
    <row r="3163" spans="1:13" x14ac:dyDescent="0.3">
      <c r="A3163" t="s">
        <v>3397</v>
      </c>
      <c r="B3163" t="s">
        <v>6315</v>
      </c>
      <c r="C3163" t="s">
        <v>5487</v>
      </c>
      <c r="D3163" t="s">
        <v>4119</v>
      </c>
      <c r="E3163" t="s">
        <v>5532</v>
      </c>
      <c r="F3163" t="s">
        <v>14286</v>
      </c>
      <c r="G3163" t="s">
        <v>14244</v>
      </c>
      <c r="H3163" t="s">
        <v>5474</v>
      </c>
      <c r="I3163" t="s">
        <v>14287</v>
      </c>
      <c r="J3163" t="s">
        <v>5476</v>
      </c>
      <c r="K3163" t="s">
        <v>13815</v>
      </c>
      <c r="L3163" t="s">
        <v>5471</v>
      </c>
      <c r="M3163" t="s">
        <v>5471</v>
      </c>
    </row>
    <row r="3164" spans="1:13" x14ac:dyDescent="0.3">
      <c r="A3164" t="s">
        <v>3397</v>
      </c>
      <c r="B3164" t="s">
        <v>6315</v>
      </c>
      <c r="C3164" t="s">
        <v>5487</v>
      </c>
      <c r="D3164" t="s">
        <v>4119</v>
      </c>
      <c r="E3164" t="s">
        <v>5532</v>
      </c>
      <c r="F3164" t="s">
        <v>14288</v>
      </c>
      <c r="G3164" t="s">
        <v>14221</v>
      </c>
      <c r="H3164" t="s">
        <v>5474</v>
      </c>
      <c r="I3164" t="s">
        <v>14289</v>
      </c>
      <c r="J3164" t="s">
        <v>5476</v>
      </c>
      <c r="K3164" t="s">
        <v>13815</v>
      </c>
      <c r="L3164" t="s">
        <v>5471</v>
      </c>
      <c r="M3164" t="s">
        <v>5471</v>
      </c>
    </row>
    <row r="3165" spans="1:13" x14ac:dyDescent="0.3">
      <c r="A3165" t="s">
        <v>3397</v>
      </c>
      <c r="B3165" t="s">
        <v>6315</v>
      </c>
      <c r="C3165" t="s">
        <v>5487</v>
      </c>
      <c r="D3165" t="s">
        <v>4119</v>
      </c>
      <c r="E3165" t="s">
        <v>5595</v>
      </c>
      <c r="F3165" t="s">
        <v>14290</v>
      </c>
      <c r="G3165" t="s">
        <v>13905</v>
      </c>
      <c r="H3165" t="s">
        <v>5474</v>
      </c>
      <c r="I3165" t="s">
        <v>14291</v>
      </c>
      <c r="J3165" t="s">
        <v>5476</v>
      </c>
      <c r="K3165" t="s">
        <v>14292</v>
      </c>
      <c r="L3165" t="s">
        <v>5471</v>
      </c>
      <c r="M3165" t="s">
        <v>5471</v>
      </c>
    </row>
    <row r="3166" spans="1:13" x14ac:dyDescent="0.3">
      <c r="A3166" t="s">
        <v>3397</v>
      </c>
      <c r="B3166" t="s">
        <v>6315</v>
      </c>
      <c r="C3166" t="s">
        <v>5487</v>
      </c>
      <c r="D3166" t="s">
        <v>4119</v>
      </c>
      <c r="E3166" t="s">
        <v>5595</v>
      </c>
      <c r="F3166" t="s">
        <v>14293</v>
      </c>
      <c r="G3166" t="s">
        <v>13905</v>
      </c>
      <c r="H3166" t="s">
        <v>5474</v>
      </c>
      <c r="I3166" t="s">
        <v>14294</v>
      </c>
      <c r="J3166" t="s">
        <v>5476</v>
      </c>
      <c r="K3166" t="s">
        <v>14295</v>
      </c>
      <c r="L3166" t="s">
        <v>5471</v>
      </c>
      <c r="M3166" t="s">
        <v>5471</v>
      </c>
    </row>
    <row r="3167" spans="1:13" x14ac:dyDescent="0.3">
      <c r="A3167" t="s">
        <v>3397</v>
      </c>
      <c r="B3167" t="s">
        <v>6315</v>
      </c>
      <c r="C3167" t="s">
        <v>5487</v>
      </c>
      <c r="D3167" t="s">
        <v>4119</v>
      </c>
      <c r="E3167" t="s">
        <v>5595</v>
      </c>
      <c r="F3167" t="s">
        <v>14296</v>
      </c>
      <c r="G3167" t="s">
        <v>13905</v>
      </c>
      <c r="H3167" t="s">
        <v>5474</v>
      </c>
      <c r="I3167" t="s">
        <v>14297</v>
      </c>
      <c r="J3167" t="s">
        <v>5476</v>
      </c>
      <c r="K3167" t="s">
        <v>14298</v>
      </c>
      <c r="L3167" t="s">
        <v>5471</v>
      </c>
      <c r="M3167" t="s">
        <v>5471</v>
      </c>
    </row>
    <row r="3168" spans="1:13" x14ac:dyDescent="0.3">
      <c r="A3168" t="s">
        <v>3397</v>
      </c>
      <c r="B3168" t="s">
        <v>6315</v>
      </c>
      <c r="C3168" t="s">
        <v>5487</v>
      </c>
      <c r="D3168" t="s">
        <v>4119</v>
      </c>
      <c r="E3168" t="s">
        <v>5595</v>
      </c>
      <c r="F3168" t="s">
        <v>14299</v>
      </c>
      <c r="G3168" t="s">
        <v>13905</v>
      </c>
      <c r="H3168" t="s">
        <v>5474</v>
      </c>
      <c r="I3168" t="s">
        <v>14300</v>
      </c>
      <c r="J3168" t="s">
        <v>5476</v>
      </c>
      <c r="K3168" t="s">
        <v>14301</v>
      </c>
      <c r="L3168" t="s">
        <v>5471</v>
      </c>
      <c r="M3168" t="s">
        <v>5471</v>
      </c>
    </row>
    <row r="3169" spans="1:13" x14ac:dyDescent="0.3">
      <c r="A3169" t="s">
        <v>3397</v>
      </c>
      <c r="B3169" t="s">
        <v>6315</v>
      </c>
      <c r="C3169" t="s">
        <v>5487</v>
      </c>
      <c r="D3169" t="s">
        <v>4119</v>
      </c>
      <c r="E3169" t="s">
        <v>5595</v>
      </c>
      <c r="F3169" t="s">
        <v>14302</v>
      </c>
      <c r="G3169" t="s">
        <v>13905</v>
      </c>
      <c r="H3169" t="s">
        <v>5474</v>
      </c>
      <c r="I3169" t="s">
        <v>14303</v>
      </c>
      <c r="J3169" t="s">
        <v>5476</v>
      </c>
      <c r="K3169" t="s">
        <v>14304</v>
      </c>
      <c r="L3169" t="s">
        <v>5471</v>
      </c>
      <c r="M3169" t="s">
        <v>5471</v>
      </c>
    </row>
    <row r="3170" spans="1:13" x14ac:dyDescent="0.3">
      <c r="A3170" t="s">
        <v>3397</v>
      </c>
      <c r="B3170" t="s">
        <v>6315</v>
      </c>
      <c r="C3170" t="s">
        <v>5487</v>
      </c>
      <c r="D3170" t="s">
        <v>4119</v>
      </c>
      <c r="E3170" t="s">
        <v>5595</v>
      </c>
      <c r="F3170" t="s">
        <v>14305</v>
      </c>
      <c r="G3170" t="s">
        <v>13905</v>
      </c>
      <c r="H3170" t="s">
        <v>5474</v>
      </c>
      <c r="I3170" t="s">
        <v>14306</v>
      </c>
      <c r="J3170" t="s">
        <v>5476</v>
      </c>
      <c r="K3170" t="s">
        <v>14307</v>
      </c>
      <c r="L3170" t="s">
        <v>5471</v>
      </c>
      <c r="M3170" t="s">
        <v>5471</v>
      </c>
    </row>
    <row r="3171" spans="1:13" x14ac:dyDescent="0.3">
      <c r="A3171" t="s">
        <v>3397</v>
      </c>
      <c r="B3171" t="s">
        <v>6315</v>
      </c>
      <c r="C3171" t="s">
        <v>5487</v>
      </c>
      <c r="D3171" t="s">
        <v>4119</v>
      </c>
      <c r="E3171" t="s">
        <v>5480</v>
      </c>
      <c r="F3171" t="s">
        <v>14308</v>
      </c>
      <c r="G3171" t="s">
        <v>14205</v>
      </c>
      <c r="H3171" t="s">
        <v>5474</v>
      </c>
      <c r="I3171" t="s">
        <v>14309</v>
      </c>
      <c r="J3171" t="s">
        <v>5484</v>
      </c>
      <c r="K3171" t="s">
        <v>9836</v>
      </c>
      <c r="L3171" t="s">
        <v>5471</v>
      </c>
      <c r="M3171" t="s">
        <v>5471</v>
      </c>
    </row>
    <row r="3172" spans="1:13" x14ac:dyDescent="0.3">
      <c r="A3172" t="s">
        <v>3397</v>
      </c>
      <c r="B3172" t="s">
        <v>6315</v>
      </c>
      <c r="C3172" t="s">
        <v>5487</v>
      </c>
      <c r="D3172" t="s">
        <v>4119</v>
      </c>
      <c r="E3172" t="s">
        <v>5480</v>
      </c>
      <c r="F3172" t="s">
        <v>14310</v>
      </c>
      <c r="G3172" t="s">
        <v>14209</v>
      </c>
      <c r="H3172" t="s">
        <v>5474</v>
      </c>
      <c r="I3172" t="s">
        <v>14311</v>
      </c>
      <c r="J3172" t="s">
        <v>5484</v>
      </c>
      <c r="K3172" t="s">
        <v>9836</v>
      </c>
      <c r="L3172" t="s">
        <v>5471</v>
      </c>
      <c r="M3172" t="s">
        <v>5471</v>
      </c>
    </row>
    <row r="3173" spans="1:13" x14ac:dyDescent="0.3">
      <c r="A3173" t="s">
        <v>3397</v>
      </c>
      <c r="B3173" t="s">
        <v>6315</v>
      </c>
      <c r="C3173" t="s">
        <v>5487</v>
      </c>
      <c r="D3173" t="s">
        <v>4119</v>
      </c>
      <c r="E3173" t="s">
        <v>5480</v>
      </c>
      <c r="F3173" t="s">
        <v>14312</v>
      </c>
      <c r="G3173" t="s">
        <v>14213</v>
      </c>
      <c r="H3173" t="s">
        <v>5474</v>
      </c>
      <c r="I3173" t="s">
        <v>14313</v>
      </c>
      <c r="J3173" t="s">
        <v>5484</v>
      </c>
      <c r="K3173" t="s">
        <v>9836</v>
      </c>
      <c r="L3173" t="s">
        <v>5471</v>
      </c>
      <c r="M3173" t="s">
        <v>5471</v>
      </c>
    </row>
    <row r="3174" spans="1:13" x14ac:dyDescent="0.3">
      <c r="A3174" t="s">
        <v>3397</v>
      </c>
      <c r="B3174" t="s">
        <v>6315</v>
      </c>
      <c r="C3174" t="s">
        <v>5487</v>
      </c>
      <c r="D3174" t="s">
        <v>4119</v>
      </c>
      <c r="E3174" t="s">
        <v>5480</v>
      </c>
      <c r="F3174" t="s">
        <v>14314</v>
      </c>
      <c r="G3174" t="s">
        <v>14217</v>
      </c>
      <c r="H3174" t="s">
        <v>5474</v>
      </c>
      <c r="I3174" t="s">
        <v>14315</v>
      </c>
      <c r="J3174" t="s">
        <v>5484</v>
      </c>
      <c r="K3174" t="s">
        <v>9836</v>
      </c>
      <c r="L3174" t="s">
        <v>5471</v>
      </c>
      <c r="M3174" t="s">
        <v>5471</v>
      </c>
    </row>
    <row r="3175" spans="1:13" x14ac:dyDescent="0.3">
      <c r="A3175" t="s">
        <v>3397</v>
      </c>
      <c r="B3175" t="s">
        <v>6315</v>
      </c>
      <c r="C3175" t="s">
        <v>5487</v>
      </c>
      <c r="D3175" t="s">
        <v>4119</v>
      </c>
      <c r="E3175" t="s">
        <v>5532</v>
      </c>
      <c r="F3175" t="s">
        <v>14316</v>
      </c>
      <c r="G3175" t="s">
        <v>14221</v>
      </c>
      <c r="H3175" t="s">
        <v>5474</v>
      </c>
      <c r="I3175" t="s">
        <v>14317</v>
      </c>
      <c r="J3175" t="s">
        <v>5484</v>
      </c>
      <c r="K3175" t="s">
        <v>9836</v>
      </c>
      <c r="L3175" t="s">
        <v>5471</v>
      </c>
      <c r="M3175" t="s">
        <v>5471</v>
      </c>
    </row>
    <row r="3176" spans="1:13" x14ac:dyDescent="0.3">
      <c r="A3176" t="s">
        <v>3397</v>
      </c>
      <c r="B3176" t="s">
        <v>13796</v>
      </c>
      <c r="C3176" t="s">
        <v>5487</v>
      </c>
      <c r="D3176" t="s">
        <v>4058</v>
      </c>
      <c r="E3176" t="s">
        <v>5595</v>
      </c>
      <c r="F3176" t="s">
        <v>14318</v>
      </c>
      <c r="G3176" t="s">
        <v>7067</v>
      </c>
      <c r="H3176" t="s">
        <v>5474</v>
      </c>
      <c r="I3176" t="s">
        <v>14319</v>
      </c>
      <c r="J3176" t="s">
        <v>5484</v>
      </c>
      <c r="K3176" t="s">
        <v>5717</v>
      </c>
      <c r="L3176" t="s">
        <v>5471</v>
      </c>
      <c r="M3176" t="s">
        <v>5471</v>
      </c>
    </row>
    <row r="3177" spans="1:13" x14ac:dyDescent="0.3">
      <c r="A3177" t="s">
        <v>3397</v>
      </c>
      <c r="B3177" t="s">
        <v>13796</v>
      </c>
      <c r="C3177" t="s">
        <v>5487</v>
      </c>
      <c r="D3177" t="s">
        <v>4058</v>
      </c>
      <c r="E3177" t="s">
        <v>5595</v>
      </c>
      <c r="F3177" t="s">
        <v>14320</v>
      </c>
      <c r="G3177" t="s">
        <v>7067</v>
      </c>
      <c r="H3177" t="s">
        <v>5474</v>
      </c>
      <c r="I3177" t="s">
        <v>14321</v>
      </c>
      <c r="J3177" t="s">
        <v>5476</v>
      </c>
      <c r="K3177" t="s">
        <v>5720</v>
      </c>
      <c r="L3177" t="s">
        <v>5471</v>
      </c>
      <c r="M3177" t="s">
        <v>5471</v>
      </c>
    </row>
    <row r="3178" spans="1:13" x14ac:dyDescent="0.3">
      <c r="A3178" t="s">
        <v>3397</v>
      </c>
      <c r="B3178" t="s">
        <v>13796</v>
      </c>
      <c r="C3178" t="s">
        <v>5487</v>
      </c>
      <c r="D3178" t="s">
        <v>4058</v>
      </c>
      <c r="E3178" t="s">
        <v>5595</v>
      </c>
      <c r="F3178" t="s">
        <v>14322</v>
      </c>
      <c r="G3178" t="s">
        <v>7067</v>
      </c>
      <c r="H3178" t="s">
        <v>5474</v>
      </c>
      <c r="I3178" t="s">
        <v>14323</v>
      </c>
      <c r="J3178" t="s">
        <v>5476</v>
      </c>
      <c r="K3178" t="s">
        <v>5723</v>
      </c>
      <c r="L3178" t="s">
        <v>5471</v>
      </c>
      <c r="M3178" t="s">
        <v>5471</v>
      </c>
    </row>
    <row r="3179" spans="1:13" x14ac:dyDescent="0.3">
      <c r="A3179" t="s">
        <v>3397</v>
      </c>
      <c r="B3179" t="s">
        <v>13796</v>
      </c>
      <c r="C3179" t="s">
        <v>5487</v>
      </c>
      <c r="D3179" t="s">
        <v>4058</v>
      </c>
      <c r="E3179" t="s">
        <v>5595</v>
      </c>
      <c r="F3179" t="s">
        <v>14324</v>
      </c>
      <c r="G3179" t="s">
        <v>7067</v>
      </c>
      <c r="H3179" t="s">
        <v>5474</v>
      </c>
      <c r="I3179" t="s">
        <v>14325</v>
      </c>
      <c r="J3179" t="s">
        <v>5476</v>
      </c>
      <c r="K3179" t="s">
        <v>14326</v>
      </c>
      <c r="L3179" t="s">
        <v>5471</v>
      </c>
      <c r="M3179" t="s">
        <v>5471</v>
      </c>
    </row>
    <row r="3180" spans="1:13" x14ac:dyDescent="0.3">
      <c r="A3180" t="s">
        <v>3397</v>
      </c>
      <c r="B3180" t="s">
        <v>13796</v>
      </c>
      <c r="C3180" t="s">
        <v>5487</v>
      </c>
      <c r="D3180" t="s">
        <v>4058</v>
      </c>
      <c r="E3180" t="s">
        <v>5595</v>
      </c>
      <c r="F3180" t="s">
        <v>14327</v>
      </c>
      <c r="G3180" t="s">
        <v>7067</v>
      </c>
      <c r="H3180" t="s">
        <v>5474</v>
      </c>
      <c r="I3180" t="s">
        <v>14328</v>
      </c>
      <c r="J3180" t="s">
        <v>5484</v>
      </c>
      <c r="K3180" t="s">
        <v>14329</v>
      </c>
      <c r="L3180" t="s">
        <v>5471</v>
      </c>
      <c r="M3180" t="s">
        <v>5471</v>
      </c>
    </row>
    <row r="3181" spans="1:13" x14ac:dyDescent="0.3">
      <c r="A3181" t="s">
        <v>3397</v>
      </c>
      <c r="B3181" t="s">
        <v>13796</v>
      </c>
      <c r="C3181" t="s">
        <v>5487</v>
      </c>
      <c r="D3181" t="s">
        <v>4058</v>
      </c>
      <c r="E3181" t="s">
        <v>5595</v>
      </c>
      <c r="F3181" t="s">
        <v>14330</v>
      </c>
      <c r="G3181" t="s">
        <v>7067</v>
      </c>
      <c r="H3181" t="s">
        <v>5474</v>
      </c>
      <c r="I3181" t="s">
        <v>14331</v>
      </c>
      <c r="J3181" t="s">
        <v>5476</v>
      </c>
      <c r="K3181" t="s">
        <v>14332</v>
      </c>
      <c r="L3181" t="s">
        <v>5471</v>
      </c>
      <c r="M3181" t="s">
        <v>5471</v>
      </c>
    </row>
    <row r="3182" spans="1:13" x14ac:dyDescent="0.3">
      <c r="A3182" t="s">
        <v>3397</v>
      </c>
      <c r="B3182" t="s">
        <v>13796</v>
      </c>
      <c r="C3182" t="s">
        <v>5487</v>
      </c>
      <c r="D3182" t="s">
        <v>4200</v>
      </c>
      <c r="E3182" t="s">
        <v>5595</v>
      </c>
      <c r="F3182" t="s">
        <v>14333</v>
      </c>
      <c r="G3182" t="s">
        <v>7067</v>
      </c>
      <c r="H3182" t="s">
        <v>5474</v>
      </c>
      <c r="I3182" t="s">
        <v>14334</v>
      </c>
      <c r="J3182" t="s">
        <v>5476</v>
      </c>
      <c r="K3182" t="s">
        <v>14335</v>
      </c>
      <c r="L3182" t="s">
        <v>5471</v>
      </c>
      <c r="M3182" t="s">
        <v>5471</v>
      </c>
    </row>
    <row r="3183" spans="1:13" x14ac:dyDescent="0.3">
      <c r="A3183" t="s">
        <v>3397</v>
      </c>
      <c r="B3183" t="s">
        <v>13796</v>
      </c>
      <c r="C3183" t="s">
        <v>5487</v>
      </c>
      <c r="D3183" t="s">
        <v>4200</v>
      </c>
      <c r="E3183" t="s">
        <v>5595</v>
      </c>
      <c r="F3183" t="s">
        <v>14336</v>
      </c>
      <c r="G3183" t="s">
        <v>7067</v>
      </c>
      <c r="H3183" t="s">
        <v>5474</v>
      </c>
      <c r="I3183" t="s">
        <v>14337</v>
      </c>
      <c r="J3183" t="s">
        <v>5476</v>
      </c>
      <c r="K3183" t="s">
        <v>14338</v>
      </c>
      <c r="L3183" t="s">
        <v>5471</v>
      </c>
      <c r="M3183" t="s">
        <v>5471</v>
      </c>
    </row>
    <row r="3184" spans="1:13" x14ac:dyDescent="0.3">
      <c r="A3184" t="s">
        <v>3397</v>
      </c>
      <c r="B3184" t="s">
        <v>13796</v>
      </c>
      <c r="C3184" t="s">
        <v>5487</v>
      </c>
      <c r="D3184" t="s">
        <v>4200</v>
      </c>
      <c r="E3184" t="s">
        <v>5595</v>
      </c>
      <c r="F3184" t="s">
        <v>14339</v>
      </c>
      <c r="G3184" t="s">
        <v>7067</v>
      </c>
      <c r="H3184" t="s">
        <v>5474</v>
      </c>
      <c r="I3184" t="s">
        <v>14340</v>
      </c>
      <c r="J3184" t="s">
        <v>5476</v>
      </c>
      <c r="K3184" t="s">
        <v>14341</v>
      </c>
      <c r="L3184" t="s">
        <v>5471</v>
      </c>
      <c r="M3184" t="s">
        <v>5471</v>
      </c>
    </row>
    <row r="3185" spans="1:13" x14ac:dyDescent="0.3">
      <c r="A3185" t="s">
        <v>3397</v>
      </c>
      <c r="B3185" t="s">
        <v>13796</v>
      </c>
      <c r="C3185" t="s">
        <v>5487</v>
      </c>
      <c r="D3185" t="s">
        <v>4081</v>
      </c>
      <c r="E3185" t="s">
        <v>5843</v>
      </c>
      <c r="F3185" t="s">
        <v>14342</v>
      </c>
      <c r="G3185" t="s">
        <v>14343</v>
      </c>
      <c r="H3185" t="s">
        <v>5474</v>
      </c>
      <c r="I3185" t="s">
        <v>14344</v>
      </c>
      <c r="J3185" t="s">
        <v>5476</v>
      </c>
      <c r="K3185" t="s">
        <v>14345</v>
      </c>
      <c r="L3185" t="s">
        <v>5471</v>
      </c>
      <c r="M3185" t="s">
        <v>5471</v>
      </c>
    </row>
    <row r="3186" spans="1:13" x14ac:dyDescent="0.3">
      <c r="A3186" t="s">
        <v>3397</v>
      </c>
      <c r="B3186" t="s">
        <v>13796</v>
      </c>
      <c r="C3186" t="s">
        <v>5487</v>
      </c>
      <c r="D3186" t="s">
        <v>4058</v>
      </c>
      <c r="E3186" t="s">
        <v>5843</v>
      </c>
      <c r="F3186" t="s">
        <v>14346</v>
      </c>
      <c r="G3186" t="s">
        <v>10239</v>
      </c>
      <c r="H3186" t="s">
        <v>5474</v>
      </c>
      <c r="I3186" t="s">
        <v>14347</v>
      </c>
      <c r="J3186" t="s">
        <v>5484</v>
      </c>
      <c r="K3186" t="s">
        <v>14348</v>
      </c>
      <c r="L3186" t="s">
        <v>5471</v>
      </c>
      <c r="M3186" t="s">
        <v>5471</v>
      </c>
    </row>
    <row r="3187" spans="1:13" x14ac:dyDescent="0.3">
      <c r="A3187" t="s">
        <v>3397</v>
      </c>
      <c r="B3187" t="s">
        <v>13796</v>
      </c>
      <c r="C3187" t="s">
        <v>5487</v>
      </c>
      <c r="D3187" t="s">
        <v>4058</v>
      </c>
      <c r="E3187" t="s">
        <v>5843</v>
      </c>
      <c r="F3187" t="s">
        <v>14349</v>
      </c>
      <c r="G3187" t="s">
        <v>10239</v>
      </c>
      <c r="H3187" t="s">
        <v>5474</v>
      </c>
      <c r="I3187" t="s">
        <v>14350</v>
      </c>
      <c r="J3187" t="s">
        <v>5476</v>
      </c>
      <c r="K3187" t="s">
        <v>14351</v>
      </c>
      <c r="L3187" t="s">
        <v>5471</v>
      </c>
      <c r="M3187" t="s">
        <v>5471</v>
      </c>
    </row>
    <row r="3188" spans="1:13" x14ac:dyDescent="0.3">
      <c r="A3188" t="s">
        <v>3397</v>
      </c>
      <c r="B3188" t="s">
        <v>13796</v>
      </c>
      <c r="C3188" t="s">
        <v>5487</v>
      </c>
      <c r="D3188" t="s">
        <v>4056</v>
      </c>
      <c r="E3188" t="s">
        <v>5843</v>
      </c>
      <c r="F3188" t="s">
        <v>14352</v>
      </c>
      <c r="G3188" t="s">
        <v>10239</v>
      </c>
      <c r="H3188" t="s">
        <v>5474</v>
      </c>
      <c r="I3188" t="s">
        <v>14353</v>
      </c>
      <c r="J3188" t="s">
        <v>5476</v>
      </c>
      <c r="K3188" t="s">
        <v>14354</v>
      </c>
      <c r="L3188" t="s">
        <v>5471</v>
      </c>
      <c r="M3188" t="s">
        <v>5471</v>
      </c>
    </row>
    <row r="3189" spans="1:13" x14ac:dyDescent="0.3">
      <c r="A3189" t="s">
        <v>3397</v>
      </c>
      <c r="B3189" t="s">
        <v>13796</v>
      </c>
      <c r="C3189" t="s">
        <v>5487</v>
      </c>
      <c r="D3189" t="s">
        <v>4056</v>
      </c>
      <c r="E3189" t="s">
        <v>5843</v>
      </c>
      <c r="F3189" t="s">
        <v>14355</v>
      </c>
      <c r="G3189" t="s">
        <v>10239</v>
      </c>
      <c r="H3189" t="s">
        <v>5474</v>
      </c>
      <c r="I3189" t="s">
        <v>14356</v>
      </c>
      <c r="J3189" t="s">
        <v>5476</v>
      </c>
      <c r="K3189" t="s">
        <v>14357</v>
      </c>
      <c r="L3189" t="s">
        <v>5471</v>
      </c>
      <c r="M3189" t="s">
        <v>5471</v>
      </c>
    </row>
    <row r="3190" spans="1:13" x14ac:dyDescent="0.3">
      <c r="A3190" t="s">
        <v>3397</v>
      </c>
      <c r="B3190" t="s">
        <v>13796</v>
      </c>
      <c r="C3190" t="s">
        <v>5487</v>
      </c>
      <c r="D3190" t="s">
        <v>4056</v>
      </c>
      <c r="E3190" t="s">
        <v>5843</v>
      </c>
      <c r="F3190" t="s">
        <v>14358</v>
      </c>
      <c r="G3190" t="s">
        <v>10239</v>
      </c>
      <c r="H3190" t="s">
        <v>5474</v>
      </c>
      <c r="I3190" t="s">
        <v>14359</v>
      </c>
      <c r="J3190" t="s">
        <v>5476</v>
      </c>
      <c r="K3190" t="s">
        <v>14360</v>
      </c>
      <c r="L3190" t="s">
        <v>5471</v>
      </c>
      <c r="M3190" t="s">
        <v>5471</v>
      </c>
    </row>
    <row r="3191" spans="1:13" x14ac:dyDescent="0.3">
      <c r="A3191" t="s">
        <v>3397</v>
      </c>
      <c r="B3191" t="s">
        <v>13796</v>
      </c>
      <c r="C3191" t="s">
        <v>5487</v>
      </c>
      <c r="D3191" t="s">
        <v>4056</v>
      </c>
      <c r="E3191" t="s">
        <v>5843</v>
      </c>
      <c r="F3191" t="s">
        <v>14361</v>
      </c>
      <c r="G3191" t="s">
        <v>10239</v>
      </c>
      <c r="H3191" t="s">
        <v>5474</v>
      </c>
      <c r="I3191" t="s">
        <v>14362</v>
      </c>
      <c r="J3191" t="s">
        <v>5476</v>
      </c>
      <c r="K3191" t="s">
        <v>14363</v>
      </c>
      <c r="L3191" t="s">
        <v>5471</v>
      </c>
      <c r="M3191" t="s">
        <v>5471</v>
      </c>
    </row>
    <row r="3192" spans="1:13" x14ac:dyDescent="0.3">
      <c r="A3192" t="s">
        <v>3397</v>
      </c>
      <c r="B3192" t="s">
        <v>13796</v>
      </c>
      <c r="C3192" t="s">
        <v>5487</v>
      </c>
      <c r="D3192" t="s">
        <v>4056</v>
      </c>
      <c r="E3192" t="s">
        <v>5843</v>
      </c>
      <c r="F3192" t="s">
        <v>14364</v>
      </c>
      <c r="G3192" t="s">
        <v>10239</v>
      </c>
      <c r="H3192" t="s">
        <v>5474</v>
      </c>
      <c r="I3192" t="s">
        <v>14365</v>
      </c>
      <c r="J3192" t="s">
        <v>5476</v>
      </c>
      <c r="K3192" t="s">
        <v>14366</v>
      </c>
      <c r="L3192" t="s">
        <v>5471</v>
      </c>
      <c r="M3192" t="s">
        <v>5471</v>
      </c>
    </row>
    <row r="3193" spans="1:13" x14ac:dyDescent="0.3">
      <c r="A3193" t="s">
        <v>3397</v>
      </c>
      <c r="B3193" t="s">
        <v>13796</v>
      </c>
      <c r="C3193" t="s">
        <v>5487</v>
      </c>
      <c r="D3193" t="s">
        <v>4056</v>
      </c>
      <c r="E3193" t="s">
        <v>5843</v>
      </c>
      <c r="F3193" t="s">
        <v>14367</v>
      </c>
      <c r="G3193" t="s">
        <v>10239</v>
      </c>
      <c r="H3193" t="s">
        <v>5474</v>
      </c>
      <c r="I3193" t="s">
        <v>14368</v>
      </c>
      <c r="J3193" t="s">
        <v>5476</v>
      </c>
      <c r="K3193" t="s">
        <v>14369</v>
      </c>
      <c r="L3193" t="s">
        <v>5471</v>
      </c>
      <c r="M3193" t="s">
        <v>5471</v>
      </c>
    </row>
    <row r="3194" spans="1:13" x14ac:dyDescent="0.3">
      <c r="A3194" t="s">
        <v>3397</v>
      </c>
      <c r="B3194" t="s">
        <v>13796</v>
      </c>
      <c r="C3194" t="s">
        <v>5487</v>
      </c>
      <c r="D3194" t="s">
        <v>4058</v>
      </c>
      <c r="E3194" t="s">
        <v>5480</v>
      </c>
      <c r="F3194" t="s">
        <v>14370</v>
      </c>
      <c r="G3194" t="s">
        <v>10239</v>
      </c>
      <c r="H3194" t="s">
        <v>5474</v>
      </c>
      <c r="I3194" t="s">
        <v>14371</v>
      </c>
      <c r="J3194" t="s">
        <v>5484</v>
      </c>
      <c r="K3194" t="s">
        <v>14372</v>
      </c>
      <c r="L3194" t="s">
        <v>5471</v>
      </c>
      <c r="M3194" t="s">
        <v>5471</v>
      </c>
    </row>
    <row r="3195" spans="1:13" x14ac:dyDescent="0.3">
      <c r="A3195" t="s">
        <v>3397</v>
      </c>
      <c r="B3195" t="s">
        <v>13796</v>
      </c>
      <c r="C3195" t="s">
        <v>5487</v>
      </c>
      <c r="D3195" t="s">
        <v>4119</v>
      </c>
      <c r="E3195" t="s">
        <v>5595</v>
      </c>
      <c r="F3195" t="s">
        <v>14373</v>
      </c>
      <c r="G3195" t="s">
        <v>14374</v>
      </c>
      <c r="H3195" t="s">
        <v>5474</v>
      </c>
      <c r="I3195" t="s">
        <v>14375</v>
      </c>
      <c r="J3195" t="s">
        <v>5476</v>
      </c>
      <c r="K3195" t="s">
        <v>14376</v>
      </c>
      <c r="L3195" t="s">
        <v>5471</v>
      </c>
      <c r="M3195" t="s">
        <v>5471</v>
      </c>
    </row>
    <row r="3196" spans="1:13" x14ac:dyDescent="0.3">
      <c r="A3196" t="s">
        <v>3397</v>
      </c>
      <c r="B3196" t="s">
        <v>13796</v>
      </c>
      <c r="C3196" t="s">
        <v>5487</v>
      </c>
      <c r="D3196" t="s">
        <v>4119</v>
      </c>
      <c r="E3196" t="s">
        <v>5843</v>
      </c>
      <c r="F3196" t="s">
        <v>14377</v>
      </c>
      <c r="G3196" t="s">
        <v>14378</v>
      </c>
      <c r="H3196" t="s">
        <v>5474</v>
      </c>
      <c r="I3196" t="s">
        <v>14379</v>
      </c>
      <c r="J3196" t="s">
        <v>5476</v>
      </c>
      <c r="K3196" t="s">
        <v>14380</v>
      </c>
      <c r="L3196" t="s">
        <v>5471</v>
      </c>
      <c r="M3196" t="s">
        <v>5471</v>
      </c>
    </row>
    <row r="3197" spans="1:13" x14ac:dyDescent="0.3">
      <c r="A3197" t="s">
        <v>3397</v>
      </c>
      <c r="B3197" t="s">
        <v>13796</v>
      </c>
      <c r="C3197" t="s">
        <v>5487</v>
      </c>
      <c r="D3197" t="s">
        <v>4119</v>
      </c>
      <c r="E3197" t="s">
        <v>5843</v>
      </c>
      <c r="F3197" t="s">
        <v>14381</v>
      </c>
      <c r="G3197" t="s">
        <v>14382</v>
      </c>
      <c r="H3197" t="s">
        <v>5474</v>
      </c>
      <c r="I3197" t="s">
        <v>14383</v>
      </c>
      <c r="J3197" t="s">
        <v>5476</v>
      </c>
      <c r="K3197" t="s">
        <v>14384</v>
      </c>
      <c r="L3197" t="s">
        <v>5471</v>
      </c>
      <c r="M3197" t="s">
        <v>5471</v>
      </c>
    </row>
    <row r="3198" spans="1:13" x14ac:dyDescent="0.3">
      <c r="A3198" t="s">
        <v>3397</v>
      </c>
      <c r="B3198" t="s">
        <v>13796</v>
      </c>
      <c r="C3198" t="s">
        <v>5487</v>
      </c>
      <c r="D3198" t="s">
        <v>4119</v>
      </c>
      <c r="E3198" t="s">
        <v>5843</v>
      </c>
      <c r="F3198" t="s">
        <v>14385</v>
      </c>
      <c r="G3198" t="s">
        <v>14386</v>
      </c>
      <c r="H3198" t="s">
        <v>5474</v>
      </c>
      <c r="I3198" t="s">
        <v>14387</v>
      </c>
      <c r="J3198" t="s">
        <v>5484</v>
      </c>
      <c r="K3198" t="s">
        <v>14388</v>
      </c>
      <c r="L3198" t="s">
        <v>5471</v>
      </c>
      <c r="M3198" t="s">
        <v>5471</v>
      </c>
    </row>
    <row r="3199" spans="1:13" x14ac:dyDescent="0.3">
      <c r="A3199" t="s">
        <v>3397</v>
      </c>
      <c r="B3199" t="s">
        <v>13796</v>
      </c>
      <c r="C3199" t="s">
        <v>5487</v>
      </c>
      <c r="D3199" t="s">
        <v>4119</v>
      </c>
      <c r="E3199" t="s">
        <v>5843</v>
      </c>
      <c r="F3199" t="s">
        <v>14389</v>
      </c>
      <c r="G3199" t="s">
        <v>14343</v>
      </c>
      <c r="H3199" t="s">
        <v>5474</v>
      </c>
      <c r="I3199" t="s">
        <v>14390</v>
      </c>
      <c r="J3199" t="s">
        <v>5484</v>
      </c>
      <c r="K3199" t="s">
        <v>14391</v>
      </c>
      <c r="L3199" t="s">
        <v>5471</v>
      </c>
      <c r="M3199" t="s">
        <v>5471</v>
      </c>
    </row>
    <row r="3200" spans="1:13" x14ac:dyDescent="0.3">
      <c r="A3200" t="s">
        <v>3397</v>
      </c>
      <c r="B3200" t="s">
        <v>13796</v>
      </c>
      <c r="C3200" t="s">
        <v>5487</v>
      </c>
      <c r="D3200" t="s">
        <v>4119</v>
      </c>
      <c r="E3200" t="s">
        <v>5843</v>
      </c>
      <c r="F3200" t="s">
        <v>14392</v>
      </c>
      <c r="G3200" t="s">
        <v>14393</v>
      </c>
      <c r="H3200" t="s">
        <v>5474</v>
      </c>
      <c r="I3200" t="s">
        <v>14394</v>
      </c>
      <c r="J3200" t="s">
        <v>5476</v>
      </c>
      <c r="K3200" t="s">
        <v>14395</v>
      </c>
      <c r="L3200" t="s">
        <v>5471</v>
      </c>
      <c r="M3200" t="s">
        <v>5471</v>
      </c>
    </row>
    <row r="3201" spans="1:13" x14ac:dyDescent="0.3">
      <c r="A3201" t="s">
        <v>3397</v>
      </c>
      <c r="B3201" t="s">
        <v>13796</v>
      </c>
      <c r="C3201" t="s">
        <v>5487</v>
      </c>
      <c r="D3201" t="s">
        <v>4119</v>
      </c>
      <c r="E3201" t="s">
        <v>5595</v>
      </c>
      <c r="F3201" t="s">
        <v>14396</v>
      </c>
      <c r="G3201" t="s">
        <v>14374</v>
      </c>
      <c r="H3201" t="s">
        <v>5474</v>
      </c>
      <c r="I3201" t="s">
        <v>14397</v>
      </c>
      <c r="J3201" t="s">
        <v>5476</v>
      </c>
      <c r="K3201" t="s">
        <v>14398</v>
      </c>
      <c r="L3201" t="s">
        <v>5471</v>
      </c>
      <c r="M3201" t="s">
        <v>5471</v>
      </c>
    </row>
    <row r="3202" spans="1:13" x14ac:dyDescent="0.3">
      <c r="A3202" t="s">
        <v>3397</v>
      </c>
      <c r="B3202" t="s">
        <v>13796</v>
      </c>
      <c r="C3202" t="s">
        <v>5487</v>
      </c>
      <c r="D3202" t="s">
        <v>4119</v>
      </c>
      <c r="E3202" t="s">
        <v>5843</v>
      </c>
      <c r="F3202" t="s">
        <v>14399</v>
      </c>
      <c r="G3202" t="s">
        <v>14378</v>
      </c>
      <c r="H3202" t="s">
        <v>5474</v>
      </c>
      <c r="I3202" t="s">
        <v>14400</v>
      </c>
      <c r="J3202" t="s">
        <v>5484</v>
      </c>
      <c r="K3202" t="s">
        <v>14401</v>
      </c>
      <c r="L3202" t="s">
        <v>5471</v>
      </c>
      <c r="M3202" t="s">
        <v>5471</v>
      </c>
    </row>
    <row r="3203" spans="1:13" x14ac:dyDescent="0.3">
      <c r="A3203" t="s">
        <v>3397</v>
      </c>
      <c r="B3203" t="s">
        <v>13796</v>
      </c>
      <c r="C3203" t="s">
        <v>5487</v>
      </c>
      <c r="D3203" t="s">
        <v>4119</v>
      </c>
      <c r="E3203" t="s">
        <v>5843</v>
      </c>
      <c r="F3203" t="s">
        <v>14402</v>
      </c>
      <c r="G3203" t="s">
        <v>14382</v>
      </c>
      <c r="H3203" t="s">
        <v>5474</v>
      </c>
      <c r="I3203" t="s">
        <v>14403</v>
      </c>
      <c r="J3203" t="s">
        <v>5484</v>
      </c>
      <c r="K3203" t="s">
        <v>14404</v>
      </c>
      <c r="L3203" t="s">
        <v>5471</v>
      </c>
      <c r="M3203" t="s">
        <v>5471</v>
      </c>
    </row>
    <row r="3204" spans="1:13" x14ac:dyDescent="0.3">
      <c r="A3204" t="s">
        <v>3397</v>
      </c>
      <c r="B3204" t="s">
        <v>13796</v>
      </c>
      <c r="C3204" t="s">
        <v>5487</v>
      </c>
      <c r="D3204" t="s">
        <v>4119</v>
      </c>
      <c r="E3204" t="s">
        <v>5843</v>
      </c>
      <c r="F3204" t="s">
        <v>14405</v>
      </c>
      <c r="G3204" t="s">
        <v>14386</v>
      </c>
      <c r="H3204" t="s">
        <v>5474</v>
      </c>
      <c r="I3204" t="s">
        <v>14406</v>
      </c>
      <c r="J3204" t="s">
        <v>5484</v>
      </c>
      <c r="K3204" t="s">
        <v>14407</v>
      </c>
      <c r="L3204" t="s">
        <v>5471</v>
      </c>
      <c r="M3204" t="s">
        <v>5471</v>
      </c>
    </row>
    <row r="3205" spans="1:13" x14ac:dyDescent="0.3">
      <c r="A3205" t="s">
        <v>3397</v>
      </c>
      <c r="B3205" t="s">
        <v>13796</v>
      </c>
      <c r="C3205" t="s">
        <v>5487</v>
      </c>
      <c r="D3205" t="s">
        <v>4119</v>
      </c>
      <c r="E3205" t="s">
        <v>5843</v>
      </c>
      <c r="F3205" t="s">
        <v>14408</v>
      </c>
      <c r="G3205" t="s">
        <v>14393</v>
      </c>
      <c r="H3205" t="s">
        <v>5474</v>
      </c>
      <c r="I3205" t="s">
        <v>14409</v>
      </c>
      <c r="J3205" t="s">
        <v>5476</v>
      </c>
      <c r="K3205" t="s">
        <v>14410</v>
      </c>
      <c r="L3205" t="s">
        <v>5471</v>
      </c>
      <c r="M3205" t="s">
        <v>5471</v>
      </c>
    </row>
    <row r="3206" spans="1:13" x14ac:dyDescent="0.3">
      <c r="A3206" t="s">
        <v>3397</v>
      </c>
      <c r="B3206" t="s">
        <v>13796</v>
      </c>
      <c r="C3206" t="s">
        <v>5487</v>
      </c>
      <c r="D3206" t="s">
        <v>4119</v>
      </c>
      <c r="E3206" t="s">
        <v>5843</v>
      </c>
      <c r="F3206" t="s">
        <v>14411</v>
      </c>
      <c r="G3206" t="s">
        <v>13801</v>
      </c>
      <c r="H3206" t="s">
        <v>5474</v>
      </c>
      <c r="I3206" t="s">
        <v>14412</v>
      </c>
      <c r="J3206" t="s">
        <v>5476</v>
      </c>
      <c r="K3206" t="s">
        <v>14249</v>
      </c>
      <c r="L3206" t="s">
        <v>5471</v>
      </c>
      <c r="M3206" t="s">
        <v>5471</v>
      </c>
    </row>
    <row r="3207" spans="1:13" x14ac:dyDescent="0.3">
      <c r="A3207" t="s">
        <v>3397</v>
      </c>
      <c r="B3207" t="s">
        <v>13796</v>
      </c>
      <c r="C3207" t="s">
        <v>5487</v>
      </c>
      <c r="D3207" t="s">
        <v>4119</v>
      </c>
      <c r="E3207" t="s">
        <v>5843</v>
      </c>
      <c r="F3207" t="s">
        <v>14413</v>
      </c>
      <c r="G3207" t="s">
        <v>13801</v>
      </c>
      <c r="H3207" t="s">
        <v>5474</v>
      </c>
      <c r="I3207" t="s">
        <v>14414</v>
      </c>
      <c r="J3207" t="s">
        <v>5484</v>
      </c>
      <c r="K3207" t="s">
        <v>14231</v>
      </c>
      <c r="L3207" t="s">
        <v>5471</v>
      </c>
      <c r="M3207" t="s">
        <v>5471</v>
      </c>
    </row>
    <row r="3208" spans="1:13" x14ac:dyDescent="0.3">
      <c r="A3208" t="s">
        <v>3397</v>
      </c>
      <c r="B3208" t="s">
        <v>13796</v>
      </c>
      <c r="C3208" t="s">
        <v>5487</v>
      </c>
      <c r="D3208" t="s">
        <v>4119</v>
      </c>
      <c r="E3208" t="s">
        <v>5843</v>
      </c>
      <c r="F3208" t="s">
        <v>14415</v>
      </c>
      <c r="G3208" t="s">
        <v>14416</v>
      </c>
      <c r="H3208" t="s">
        <v>5474</v>
      </c>
      <c r="I3208" t="s">
        <v>14417</v>
      </c>
      <c r="J3208" t="s">
        <v>5476</v>
      </c>
      <c r="K3208" t="s">
        <v>14418</v>
      </c>
      <c r="L3208" t="s">
        <v>5471</v>
      </c>
      <c r="M3208" t="s">
        <v>5471</v>
      </c>
    </row>
    <row r="3209" spans="1:13" x14ac:dyDescent="0.3">
      <c r="A3209" t="s">
        <v>3397</v>
      </c>
      <c r="B3209" t="s">
        <v>13796</v>
      </c>
      <c r="C3209" t="s">
        <v>5487</v>
      </c>
      <c r="D3209" t="s">
        <v>4119</v>
      </c>
      <c r="E3209" t="s">
        <v>5843</v>
      </c>
      <c r="F3209" t="s">
        <v>14419</v>
      </c>
      <c r="G3209" t="s">
        <v>7067</v>
      </c>
      <c r="H3209" t="s">
        <v>5474</v>
      </c>
      <c r="I3209" t="s">
        <v>14420</v>
      </c>
      <c r="J3209" t="s">
        <v>5476</v>
      </c>
      <c r="K3209" t="s">
        <v>14421</v>
      </c>
      <c r="L3209" t="s">
        <v>5471</v>
      </c>
      <c r="M3209" t="s">
        <v>5471</v>
      </c>
    </row>
    <row r="3210" spans="1:13" x14ac:dyDescent="0.3">
      <c r="A3210" t="s">
        <v>3397</v>
      </c>
      <c r="B3210" t="s">
        <v>13796</v>
      </c>
      <c r="C3210" t="s">
        <v>5487</v>
      </c>
      <c r="D3210" t="s">
        <v>4119</v>
      </c>
      <c r="E3210" t="s">
        <v>5843</v>
      </c>
      <c r="F3210" t="s">
        <v>14422</v>
      </c>
      <c r="G3210" t="s">
        <v>13801</v>
      </c>
      <c r="H3210" t="s">
        <v>5474</v>
      </c>
      <c r="I3210" t="s">
        <v>14423</v>
      </c>
      <c r="J3210" t="s">
        <v>5484</v>
      </c>
      <c r="K3210" t="s">
        <v>12778</v>
      </c>
      <c r="L3210" t="s">
        <v>5471</v>
      </c>
      <c r="M3210" t="s">
        <v>5471</v>
      </c>
    </row>
    <row r="3211" spans="1:13" x14ac:dyDescent="0.3">
      <c r="A3211" t="s">
        <v>3397</v>
      </c>
      <c r="B3211" t="s">
        <v>13796</v>
      </c>
      <c r="C3211" t="s">
        <v>5487</v>
      </c>
      <c r="D3211" t="s">
        <v>4119</v>
      </c>
      <c r="E3211" t="s">
        <v>5843</v>
      </c>
      <c r="F3211" t="s">
        <v>14424</v>
      </c>
      <c r="G3211" t="s">
        <v>13801</v>
      </c>
      <c r="H3211" t="s">
        <v>5474</v>
      </c>
      <c r="I3211" t="s">
        <v>14425</v>
      </c>
      <c r="J3211" t="s">
        <v>5484</v>
      </c>
      <c r="K3211" t="s">
        <v>12781</v>
      </c>
      <c r="L3211" t="s">
        <v>5471</v>
      </c>
      <c r="M3211" t="s">
        <v>5471</v>
      </c>
    </row>
    <row r="3212" spans="1:13" x14ac:dyDescent="0.3">
      <c r="A3212" t="s">
        <v>3397</v>
      </c>
      <c r="B3212" t="s">
        <v>13796</v>
      </c>
      <c r="C3212" t="s">
        <v>5487</v>
      </c>
      <c r="D3212" t="s">
        <v>4119</v>
      </c>
      <c r="E3212" t="s">
        <v>5595</v>
      </c>
      <c r="F3212" t="s">
        <v>14426</v>
      </c>
      <c r="G3212" t="s">
        <v>14374</v>
      </c>
      <c r="H3212" t="s">
        <v>5474</v>
      </c>
      <c r="I3212" t="s">
        <v>14427</v>
      </c>
      <c r="J3212" t="s">
        <v>5476</v>
      </c>
      <c r="K3212" t="s">
        <v>9836</v>
      </c>
      <c r="L3212" t="s">
        <v>5471</v>
      </c>
      <c r="M3212" t="s">
        <v>5471</v>
      </c>
    </row>
    <row r="3213" spans="1:13" x14ac:dyDescent="0.3">
      <c r="A3213" t="s">
        <v>3397</v>
      </c>
      <c r="B3213" t="s">
        <v>13796</v>
      </c>
      <c r="C3213" t="s">
        <v>5487</v>
      </c>
      <c r="D3213" t="s">
        <v>4119</v>
      </c>
      <c r="E3213" t="s">
        <v>5843</v>
      </c>
      <c r="F3213" t="s">
        <v>14428</v>
      </c>
      <c r="G3213" t="s">
        <v>14429</v>
      </c>
      <c r="H3213" t="s">
        <v>5474</v>
      </c>
      <c r="I3213" t="s">
        <v>14430</v>
      </c>
      <c r="J3213" t="s">
        <v>5484</v>
      </c>
      <c r="K3213" t="s">
        <v>9836</v>
      </c>
      <c r="L3213" t="s">
        <v>5471</v>
      </c>
      <c r="M3213" t="s">
        <v>5471</v>
      </c>
    </row>
    <row r="3214" spans="1:13" x14ac:dyDescent="0.3">
      <c r="A3214" t="s">
        <v>3397</v>
      </c>
      <c r="B3214" t="s">
        <v>13796</v>
      </c>
      <c r="C3214" t="s">
        <v>5487</v>
      </c>
      <c r="D3214" t="s">
        <v>4119</v>
      </c>
      <c r="E3214" t="s">
        <v>5843</v>
      </c>
      <c r="F3214" t="s">
        <v>14431</v>
      </c>
      <c r="G3214" t="s">
        <v>14382</v>
      </c>
      <c r="H3214" t="s">
        <v>5474</v>
      </c>
      <c r="I3214" t="s">
        <v>14432</v>
      </c>
      <c r="J3214" t="s">
        <v>5484</v>
      </c>
      <c r="K3214" t="s">
        <v>9836</v>
      </c>
      <c r="L3214" t="s">
        <v>5471</v>
      </c>
      <c r="M3214" t="s">
        <v>5471</v>
      </c>
    </row>
    <row r="3215" spans="1:13" x14ac:dyDescent="0.3">
      <c r="A3215" t="s">
        <v>3397</v>
      </c>
      <c r="B3215" t="s">
        <v>13796</v>
      </c>
      <c r="C3215" t="s">
        <v>5487</v>
      </c>
      <c r="D3215" t="s">
        <v>4119</v>
      </c>
      <c r="E3215" t="s">
        <v>5843</v>
      </c>
      <c r="F3215" t="s">
        <v>14433</v>
      </c>
      <c r="G3215" t="s">
        <v>14386</v>
      </c>
      <c r="H3215" t="s">
        <v>5474</v>
      </c>
      <c r="I3215" t="s">
        <v>14434</v>
      </c>
      <c r="J3215" t="s">
        <v>5484</v>
      </c>
      <c r="K3215" t="s">
        <v>9836</v>
      </c>
      <c r="L3215" t="s">
        <v>5471</v>
      </c>
      <c r="M3215" t="s">
        <v>5471</v>
      </c>
    </row>
    <row r="3216" spans="1:13" x14ac:dyDescent="0.3">
      <c r="A3216" t="s">
        <v>3397</v>
      </c>
      <c r="B3216" t="s">
        <v>13796</v>
      </c>
      <c r="C3216" t="s">
        <v>5487</v>
      </c>
      <c r="D3216" t="s">
        <v>4119</v>
      </c>
      <c r="E3216" t="s">
        <v>5843</v>
      </c>
      <c r="F3216" t="s">
        <v>14435</v>
      </c>
      <c r="G3216" t="s">
        <v>14343</v>
      </c>
      <c r="H3216" t="s">
        <v>5474</v>
      </c>
      <c r="I3216" t="s">
        <v>14436</v>
      </c>
      <c r="J3216" t="s">
        <v>5484</v>
      </c>
      <c r="K3216" t="s">
        <v>9836</v>
      </c>
      <c r="L3216" t="s">
        <v>5471</v>
      </c>
      <c r="M3216" t="s">
        <v>5471</v>
      </c>
    </row>
    <row r="3217" spans="1:13" x14ac:dyDescent="0.3">
      <c r="A3217" t="s">
        <v>3397</v>
      </c>
      <c r="B3217" t="s">
        <v>13796</v>
      </c>
      <c r="C3217" t="s">
        <v>5487</v>
      </c>
      <c r="D3217" t="s">
        <v>4119</v>
      </c>
      <c r="E3217" t="s">
        <v>5843</v>
      </c>
      <c r="F3217" t="s">
        <v>14437</v>
      </c>
      <c r="G3217" t="s">
        <v>14393</v>
      </c>
      <c r="H3217" t="s">
        <v>5474</v>
      </c>
      <c r="I3217" t="s">
        <v>14438</v>
      </c>
      <c r="J3217" t="s">
        <v>5484</v>
      </c>
      <c r="K3217" t="s">
        <v>9836</v>
      </c>
      <c r="L3217" t="s">
        <v>5471</v>
      </c>
      <c r="M3217" t="s">
        <v>5471</v>
      </c>
    </row>
    <row r="3218" spans="1:13" x14ac:dyDescent="0.3">
      <c r="A3218" t="s">
        <v>3397</v>
      </c>
      <c r="B3218" t="s">
        <v>13796</v>
      </c>
      <c r="C3218" t="s">
        <v>5487</v>
      </c>
      <c r="D3218" t="s">
        <v>4119</v>
      </c>
      <c r="E3218" t="s">
        <v>5843</v>
      </c>
      <c r="F3218" t="s">
        <v>14439</v>
      </c>
      <c r="G3218" t="s">
        <v>13801</v>
      </c>
      <c r="H3218" t="s">
        <v>5474</v>
      </c>
      <c r="I3218" t="s">
        <v>14440</v>
      </c>
      <c r="J3218" t="s">
        <v>5484</v>
      </c>
      <c r="K3218" t="s">
        <v>9836</v>
      </c>
      <c r="L3218" t="s">
        <v>5471</v>
      </c>
      <c r="M3218" t="s">
        <v>5471</v>
      </c>
    </row>
    <row r="3219" spans="1:13" x14ac:dyDescent="0.3">
      <c r="A3219" t="s">
        <v>3397</v>
      </c>
      <c r="B3219" t="s">
        <v>5766</v>
      </c>
      <c r="C3219" t="s">
        <v>5487</v>
      </c>
      <c r="D3219" t="s">
        <v>4081</v>
      </c>
      <c r="E3219" t="s">
        <v>5595</v>
      </c>
      <c r="F3219" t="s">
        <v>14441</v>
      </c>
      <c r="G3219" t="s">
        <v>14442</v>
      </c>
      <c r="H3219" t="s">
        <v>5474</v>
      </c>
      <c r="I3219" t="s">
        <v>14443</v>
      </c>
      <c r="J3219" t="s">
        <v>5476</v>
      </c>
      <c r="K3219" t="s">
        <v>14444</v>
      </c>
      <c r="L3219" t="s">
        <v>5471</v>
      </c>
      <c r="M3219" t="s">
        <v>5471</v>
      </c>
    </row>
    <row r="3220" spans="1:13" x14ac:dyDescent="0.3">
      <c r="A3220" t="s">
        <v>3397</v>
      </c>
      <c r="B3220" t="s">
        <v>13796</v>
      </c>
      <c r="C3220" t="s">
        <v>5487</v>
      </c>
      <c r="D3220" t="s">
        <v>4119</v>
      </c>
      <c r="E3220" t="s">
        <v>5595</v>
      </c>
      <c r="F3220" t="s">
        <v>14445</v>
      </c>
      <c r="G3220" t="s">
        <v>14374</v>
      </c>
      <c r="H3220" t="s">
        <v>5474</v>
      </c>
      <c r="I3220" t="s">
        <v>14446</v>
      </c>
      <c r="J3220" t="s">
        <v>5476</v>
      </c>
      <c r="K3220" t="s">
        <v>13815</v>
      </c>
      <c r="L3220" t="s">
        <v>5471</v>
      </c>
      <c r="M3220" t="s">
        <v>5471</v>
      </c>
    </row>
    <row r="3221" spans="1:13" x14ac:dyDescent="0.3">
      <c r="A3221" t="s">
        <v>3397</v>
      </c>
      <c r="B3221" t="s">
        <v>13796</v>
      </c>
      <c r="C3221" t="s">
        <v>5487</v>
      </c>
      <c r="D3221" t="s">
        <v>4119</v>
      </c>
      <c r="E3221" t="s">
        <v>5595</v>
      </c>
      <c r="F3221" t="s">
        <v>14447</v>
      </c>
      <c r="G3221" t="s">
        <v>13801</v>
      </c>
      <c r="H3221" t="s">
        <v>5474</v>
      </c>
      <c r="I3221" t="s">
        <v>14448</v>
      </c>
      <c r="J3221" t="s">
        <v>5476</v>
      </c>
      <c r="K3221" t="s">
        <v>14449</v>
      </c>
      <c r="L3221" t="s">
        <v>5471</v>
      </c>
      <c r="M3221" t="s">
        <v>5471</v>
      </c>
    </row>
    <row r="3222" spans="1:13" x14ac:dyDescent="0.3">
      <c r="A3222" t="s">
        <v>3397</v>
      </c>
      <c r="B3222" t="s">
        <v>13796</v>
      </c>
      <c r="C3222" t="s">
        <v>5487</v>
      </c>
      <c r="D3222" t="s">
        <v>4119</v>
      </c>
      <c r="E3222" t="s">
        <v>5595</v>
      </c>
      <c r="F3222" t="s">
        <v>14450</v>
      </c>
      <c r="G3222" t="s">
        <v>13801</v>
      </c>
      <c r="H3222" t="s">
        <v>5474</v>
      </c>
      <c r="I3222" t="s">
        <v>14451</v>
      </c>
      <c r="J3222" t="s">
        <v>5476</v>
      </c>
      <c r="K3222" t="s">
        <v>14452</v>
      </c>
      <c r="L3222" t="s">
        <v>5471</v>
      </c>
      <c r="M3222" t="s">
        <v>5471</v>
      </c>
    </row>
    <row r="3223" spans="1:13" x14ac:dyDescent="0.3">
      <c r="A3223" t="s">
        <v>3397</v>
      </c>
      <c r="B3223" t="s">
        <v>13796</v>
      </c>
      <c r="C3223" t="s">
        <v>5487</v>
      </c>
      <c r="D3223" t="s">
        <v>4119</v>
      </c>
      <c r="E3223" t="s">
        <v>5595</v>
      </c>
      <c r="F3223" t="s">
        <v>14453</v>
      </c>
      <c r="G3223" t="s">
        <v>13801</v>
      </c>
      <c r="H3223" t="s">
        <v>5474</v>
      </c>
      <c r="I3223" t="s">
        <v>14454</v>
      </c>
      <c r="J3223" t="s">
        <v>5476</v>
      </c>
      <c r="K3223" t="s">
        <v>14455</v>
      </c>
      <c r="L3223" t="s">
        <v>5471</v>
      </c>
      <c r="M3223" t="s">
        <v>5471</v>
      </c>
    </row>
    <row r="3224" spans="1:13" x14ac:dyDescent="0.3">
      <c r="A3224" t="s">
        <v>3397</v>
      </c>
      <c r="B3224" t="s">
        <v>13796</v>
      </c>
      <c r="C3224" t="s">
        <v>5487</v>
      </c>
      <c r="D3224" t="s">
        <v>4119</v>
      </c>
      <c r="E3224" t="s">
        <v>5595</v>
      </c>
      <c r="F3224" t="s">
        <v>14456</v>
      </c>
      <c r="G3224" t="s">
        <v>13801</v>
      </c>
      <c r="H3224" t="s">
        <v>5474</v>
      </c>
      <c r="I3224" t="s">
        <v>14457</v>
      </c>
      <c r="J3224" t="s">
        <v>5476</v>
      </c>
      <c r="K3224" t="s">
        <v>14458</v>
      </c>
      <c r="L3224" t="s">
        <v>5471</v>
      </c>
      <c r="M3224" t="s">
        <v>5471</v>
      </c>
    </row>
    <row r="3225" spans="1:13" x14ac:dyDescent="0.3">
      <c r="A3225" t="s">
        <v>3397</v>
      </c>
      <c r="B3225" t="s">
        <v>13796</v>
      </c>
      <c r="C3225" t="s">
        <v>5487</v>
      </c>
      <c r="D3225" t="s">
        <v>4119</v>
      </c>
      <c r="E3225" t="s">
        <v>5595</v>
      </c>
      <c r="F3225" t="s">
        <v>14459</v>
      </c>
      <c r="G3225" t="s">
        <v>13801</v>
      </c>
      <c r="H3225" t="s">
        <v>5474</v>
      </c>
      <c r="I3225" t="s">
        <v>14460</v>
      </c>
      <c r="J3225" t="s">
        <v>5476</v>
      </c>
      <c r="K3225" t="s">
        <v>14461</v>
      </c>
      <c r="L3225" t="s">
        <v>5471</v>
      </c>
      <c r="M3225" t="s">
        <v>5471</v>
      </c>
    </row>
    <row r="3226" spans="1:13" x14ac:dyDescent="0.3">
      <c r="A3226" t="s">
        <v>3397</v>
      </c>
      <c r="B3226" t="s">
        <v>13796</v>
      </c>
      <c r="C3226" t="s">
        <v>5487</v>
      </c>
      <c r="D3226" t="s">
        <v>4119</v>
      </c>
      <c r="E3226" t="s">
        <v>5595</v>
      </c>
      <c r="F3226" t="s">
        <v>14462</v>
      </c>
      <c r="G3226" t="s">
        <v>13801</v>
      </c>
      <c r="H3226" t="s">
        <v>5474</v>
      </c>
      <c r="I3226" t="s">
        <v>14463</v>
      </c>
      <c r="J3226" t="s">
        <v>5476</v>
      </c>
      <c r="K3226" t="s">
        <v>14464</v>
      </c>
      <c r="L3226" t="s">
        <v>5471</v>
      </c>
      <c r="M3226" t="s">
        <v>5471</v>
      </c>
    </row>
    <row r="3227" spans="1:13" x14ac:dyDescent="0.3">
      <c r="A3227" t="s">
        <v>3397</v>
      </c>
      <c r="B3227" t="s">
        <v>13796</v>
      </c>
      <c r="C3227" t="s">
        <v>5487</v>
      </c>
      <c r="D3227" t="s">
        <v>4119</v>
      </c>
      <c r="E3227" t="s">
        <v>5595</v>
      </c>
      <c r="F3227" t="s">
        <v>14465</v>
      </c>
      <c r="G3227" t="s">
        <v>13801</v>
      </c>
      <c r="H3227" t="s">
        <v>5474</v>
      </c>
      <c r="I3227" t="s">
        <v>14466</v>
      </c>
      <c r="J3227" t="s">
        <v>5476</v>
      </c>
      <c r="K3227" t="s">
        <v>14467</v>
      </c>
      <c r="L3227" t="s">
        <v>5471</v>
      </c>
      <c r="M3227" t="s">
        <v>5471</v>
      </c>
    </row>
    <row r="3228" spans="1:13" x14ac:dyDescent="0.3">
      <c r="A3228" t="s">
        <v>3397</v>
      </c>
      <c r="B3228" t="s">
        <v>13796</v>
      </c>
      <c r="C3228" t="s">
        <v>5487</v>
      </c>
      <c r="D3228" t="s">
        <v>4119</v>
      </c>
      <c r="E3228" t="s">
        <v>5595</v>
      </c>
      <c r="F3228" t="s">
        <v>14468</v>
      </c>
      <c r="G3228" t="s">
        <v>13801</v>
      </c>
      <c r="H3228" t="s">
        <v>5474</v>
      </c>
      <c r="I3228" t="s">
        <v>14469</v>
      </c>
      <c r="J3228" t="s">
        <v>5476</v>
      </c>
      <c r="K3228" t="s">
        <v>14470</v>
      </c>
      <c r="L3228" t="s">
        <v>5471</v>
      </c>
      <c r="M3228" t="s">
        <v>5471</v>
      </c>
    </row>
    <row r="3229" spans="1:13" x14ac:dyDescent="0.3">
      <c r="A3229" t="s">
        <v>3397</v>
      </c>
      <c r="B3229" t="s">
        <v>13796</v>
      </c>
      <c r="C3229" t="s">
        <v>5487</v>
      </c>
      <c r="D3229" t="s">
        <v>4119</v>
      </c>
      <c r="E3229" t="s">
        <v>5595</v>
      </c>
      <c r="F3229" t="s">
        <v>14471</v>
      </c>
      <c r="G3229" t="s">
        <v>13801</v>
      </c>
      <c r="H3229" t="s">
        <v>5474</v>
      </c>
      <c r="I3229" t="s">
        <v>14472</v>
      </c>
      <c r="J3229" t="s">
        <v>5476</v>
      </c>
      <c r="K3229" t="s">
        <v>14473</v>
      </c>
      <c r="L3229" t="s">
        <v>5471</v>
      </c>
      <c r="M3229" t="s">
        <v>5471</v>
      </c>
    </row>
    <row r="3230" spans="1:13" x14ac:dyDescent="0.3">
      <c r="A3230" t="s">
        <v>3397</v>
      </c>
      <c r="B3230" t="s">
        <v>13796</v>
      </c>
      <c r="C3230" t="s">
        <v>5487</v>
      </c>
      <c r="D3230" t="s">
        <v>4119</v>
      </c>
      <c r="E3230" t="s">
        <v>5595</v>
      </c>
      <c r="F3230" t="s">
        <v>14474</v>
      </c>
      <c r="G3230" t="s">
        <v>13801</v>
      </c>
      <c r="H3230" t="s">
        <v>5474</v>
      </c>
      <c r="I3230" t="s">
        <v>14475</v>
      </c>
      <c r="J3230" t="s">
        <v>5476</v>
      </c>
      <c r="K3230" t="s">
        <v>14476</v>
      </c>
      <c r="L3230" t="s">
        <v>5471</v>
      </c>
      <c r="M3230" t="s">
        <v>5471</v>
      </c>
    </row>
    <row r="3231" spans="1:13" x14ac:dyDescent="0.3">
      <c r="A3231" t="s">
        <v>3397</v>
      </c>
      <c r="B3231" t="s">
        <v>13796</v>
      </c>
      <c r="C3231" t="s">
        <v>5487</v>
      </c>
      <c r="D3231" t="s">
        <v>4119</v>
      </c>
      <c r="E3231" t="s">
        <v>5595</v>
      </c>
      <c r="F3231" t="s">
        <v>14477</v>
      </c>
      <c r="G3231" t="s">
        <v>13801</v>
      </c>
      <c r="H3231" t="s">
        <v>5474</v>
      </c>
      <c r="I3231" t="s">
        <v>14478</v>
      </c>
      <c r="J3231" t="s">
        <v>5476</v>
      </c>
      <c r="K3231" t="s">
        <v>13980</v>
      </c>
      <c r="L3231" t="s">
        <v>5471</v>
      </c>
      <c r="M3231" t="s">
        <v>5471</v>
      </c>
    </row>
    <row r="3232" spans="1:13" x14ac:dyDescent="0.3">
      <c r="A3232" t="s">
        <v>3397</v>
      </c>
      <c r="B3232" t="s">
        <v>13796</v>
      </c>
      <c r="C3232" t="s">
        <v>5487</v>
      </c>
      <c r="D3232" t="s">
        <v>4119</v>
      </c>
      <c r="E3232" t="s">
        <v>5595</v>
      </c>
      <c r="F3232" t="s">
        <v>14479</v>
      </c>
      <c r="G3232" t="s">
        <v>13801</v>
      </c>
      <c r="H3232" t="s">
        <v>5474</v>
      </c>
      <c r="I3232" t="s">
        <v>14480</v>
      </c>
      <c r="J3232" t="s">
        <v>5476</v>
      </c>
      <c r="K3232" t="s">
        <v>14481</v>
      </c>
      <c r="L3232" t="s">
        <v>5471</v>
      </c>
      <c r="M3232" t="s">
        <v>5471</v>
      </c>
    </row>
    <row r="3233" spans="1:13" x14ac:dyDescent="0.3">
      <c r="A3233" t="s">
        <v>3397</v>
      </c>
      <c r="B3233" t="s">
        <v>13796</v>
      </c>
      <c r="C3233" t="s">
        <v>5487</v>
      </c>
      <c r="D3233" t="s">
        <v>4119</v>
      </c>
      <c r="E3233" t="s">
        <v>5595</v>
      </c>
      <c r="F3233" t="s">
        <v>14482</v>
      </c>
      <c r="G3233" t="s">
        <v>13801</v>
      </c>
      <c r="H3233" t="s">
        <v>5474</v>
      </c>
      <c r="I3233" t="s">
        <v>14483</v>
      </c>
      <c r="J3233" t="s">
        <v>5476</v>
      </c>
      <c r="K3233" t="s">
        <v>14484</v>
      </c>
      <c r="L3233" t="s">
        <v>5471</v>
      </c>
      <c r="M3233" t="s">
        <v>5471</v>
      </c>
    </row>
    <row r="3234" spans="1:13" x14ac:dyDescent="0.3">
      <c r="A3234" t="s">
        <v>3397</v>
      </c>
      <c r="B3234" t="s">
        <v>13796</v>
      </c>
      <c r="C3234" t="s">
        <v>5487</v>
      </c>
      <c r="D3234" t="s">
        <v>4119</v>
      </c>
      <c r="E3234" t="s">
        <v>5595</v>
      </c>
      <c r="F3234" t="s">
        <v>14485</v>
      </c>
      <c r="G3234" t="s">
        <v>13801</v>
      </c>
      <c r="H3234" t="s">
        <v>5474</v>
      </c>
      <c r="I3234" t="s">
        <v>14486</v>
      </c>
      <c r="J3234" t="s">
        <v>5476</v>
      </c>
      <c r="K3234" t="s">
        <v>14487</v>
      </c>
      <c r="L3234" t="s">
        <v>5471</v>
      </c>
      <c r="M3234" t="s">
        <v>5471</v>
      </c>
    </row>
    <row r="3235" spans="1:13" x14ac:dyDescent="0.3">
      <c r="A3235" t="s">
        <v>3397</v>
      </c>
      <c r="B3235" t="s">
        <v>13796</v>
      </c>
      <c r="C3235" t="s">
        <v>5487</v>
      </c>
      <c r="D3235" t="s">
        <v>4119</v>
      </c>
      <c r="E3235" t="s">
        <v>5595</v>
      </c>
      <c r="F3235" t="s">
        <v>14488</v>
      </c>
      <c r="G3235" t="s">
        <v>13801</v>
      </c>
      <c r="H3235" t="s">
        <v>5474</v>
      </c>
      <c r="I3235" t="s">
        <v>14489</v>
      </c>
      <c r="J3235" t="s">
        <v>5476</v>
      </c>
      <c r="K3235" t="s">
        <v>14490</v>
      </c>
      <c r="L3235" t="s">
        <v>5471</v>
      </c>
      <c r="M3235" t="s">
        <v>5471</v>
      </c>
    </row>
    <row r="3236" spans="1:13" x14ac:dyDescent="0.3">
      <c r="A3236" t="s">
        <v>3397</v>
      </c>
      <c r="B3236" t="s">
        <v>13796</v>
      </c>
      <c r="C3236" t="s">
        <v>5487</v>
      </c>
      <c r="D3236" t="s">
        <v>4119</v>
      </c>
      <c r="E3236" t="s">
        <v>5595</v>
      </c>
      <c r="F3236" t="s">
        <v>14491</v>
      </c>
      <c r="G3236" t="s">
        <v>13801</v>
      </c>
      <c r="H3236" t="s">
        <v>5474</v>
      </c>
      <c r="I3236" t="s">
        <v>14492</v>
      </c>
      <c r="J3236" t="s">
        <v>5476</v>
      </c>
      <c r="K3236" t="s">
        <v>14493</v>
      </c>
      <c r="L3236" t="s">
        <v>5471</v>
      </c>
      <c r="M3236" t="s">
        <v>5471</v>
      </c>
    </row>
    <row r="3237" spans="1:13" x14ac:dyDescent="0.3">
      <c r="A3237" t="s">
        <v>3397</v>
      </c>
      <c r="B3237" t="s">
        <v>13796</v>
      </c>
      <c r="C3237" t="s">
        <v>5487</v>
      </c>
      <c r="D3237" t="s">
        <v>4119</v>
      </c>
      <c r="E3237" t="s">
        <v>5595</v>
      </c>
      <c r="F3237" t="s">
        <v>14494</v>
      </c>
      <c r="G3237" t="s">
        <v>13801</v>
      </c>
      <c r="H3237" t="s">
        <v>5474</v>
      </c>
      <c r="I3237" t="s">
        <v>14495</v>
      </c>
      <c r="J3237" t="s">
        <v>5476</v>
      </c>
      <c r="K3237" t="s">
        <v>14496</v>
      </c>
      <c r="L3237" t="s">
        <v>5471</v>
      </c>
      <c r="M3237" t="s">
        <v>5471</v>
      </c>
    </row>
    <row r="3238" spans="1:13" x14ac:dyDescent="0.3">
      <c r="A3238" t="s">
        <v>3397</v>
      </c>
      <c r="B3238" t="s">
        <v>13796</v>
      </c>
      <c r="C3238" t="s">
        <v>5487</v>
      </c>
      <c r="D3238" t="s">
        <v>4119</v>
      </c>
      <c r="E3238" t="s">
        <v>5595</v>
      </c>
      <c r="F3238" t="s">
        <v>14497</v>
      </c>
      <c r="G3238" t="s">
        <v>13801</v>
      </c>
      <c r="H3238" t="s">
        <v>5474</v>
      </c>
      <c r="I3238" t="s">
        <v>14498</v>
      </c>
      <c r="J3238" t="s">
        <v>5476</v>
      </c>
      <c r="K3238" t="s">
        <v>14499</v>
      </c>
      <c r="L3238" t="s">
        <v>5471</v>
      </c>
      <c r="M3238" t="s">
        <v>5471</v>
      </c>
    </row>
    <row r="3239" spans="1:13" x14ac:dyDescent="0.3">
      <c r="A3239" t="s">
        <v>3397</v>
      </c>
      <c r="B3239" t="s">
        <v>13796</v>
      </c>
      <c r="C3239" t="s">
        <v>5487</v>
      </c>
      <c r="D3239" t="s">
        <v>4119</v>
      </c>
      <c r="E3239" t="s">
        <v>5595</v>
      </c>
      <c r="F3239" t="s">
        <v>14500</v>
      </c>
      <c r="G3239" t="s">
        <v>13801</v>
      </c>
      <c r="H3239" t="s">
        <v>5474</v>
      </c>
      <c r="I3239" t="s">
        <v>14501</v>
      </c>
      <c r="J3239" t="s">
        <v>5476</v>
      </c>
      <c r="K3239" t="s">
        <v>14481</v>
      </c>
      <c r="L3239" t="s">
        <v>5471</v>
      </c>
      <c r="M3239" t="s">
        <v>5471</v>
      </c>
    </row>
    <row r="3240" spans="1:13" x14ac:dyDescent="0.3">
      <c r="A3240" t="s">
        <v>3397</v>
      </c>
      <c r="B3240" t="s">
        <v>13796</v>
      </c>
      <c r="C3240" t="s">
        <v>5487</v>
      </c>
      <c r="D3240" t="s">
        <v>4119</v>
      </c>
      <c r="E3240" t="s">
        <v>5595</v>
      </c>
      <c r="F3240" t="s">
        <v>14502</v>
      </c>
      <c r="G3240" t="s">
        <v>13801</v>
      </c>
      <c r="H3240" t="s">
        <v>5474</v>
      </c>
      <c r="I3240" t="s">
        <v>14503</v>
      </c>
      <c r="J3240" t="s">
        <v>5476</v>
      </c>
      <c r="K3240" t="s">
        <v>14504</v>
      </c>
      <c r="L3240" t="s">
        <v>5471</v>
      </c>
      <c r="M3240" t="s">
        <v>5471</v>
      </c>
    </row>
    <row r="3241" spans="1:13" x14ac:dyDescent="0.3">
      <c r="A3241" t="s">
        <v>3397</v>
      </c>
      <c r="B3241" t="s">
        <v>13796</v>
      </c>
      <c r="C3241" t="s">
        <v>5487</v>
      </c>
      <c r="D3241" t="s">
        <v>4119</v>
      </c>
      <c r="E3241" t="s">
        <v>5595</v>
      </c>
      <c r="F3241" t="s">
        <v>14505</v>
      </c>
      <c r="G3241" t="s">
        <v>13801</v>
      </c>
      <c r="H3241" t="s">
        <v>5474</v>
      </c>
      <c r="I3241" t="s">
        <v>14506</v>
      </c>
      <c r="J3241" t="s">
        <v>5476</v>
      </c>
      <c r="K3241" t="s">
        <v>14507</v>
      </c>
      <c r="L3241" t="s">
        <v>5471</v>
      </c>
      <c r="M3241" t="s">
        <v>5471</v>
      </c>
    </row>
    <row r="3242" spans="1:13" x14ac:dyDescent="0.3">
      <c r="A3242" t="s">
        <v>3397</v>
      </c>
      <c r="B3242" t="s">
        <v>13796</v>
      </c>
      <c r="C3242" t="s">
        <v>5487</v>
      </c>
      <c r="D3242" t="s">
        <v>4119</v>
      </c>
      <c r="E3242" t="s">
        <v>5595</v>
      </c>
      <c r="F3242" t="s">
        <v>14508</v>
      </c>
      <c r="G3242" t="s">
        <v>13801</v>
      </c>
      <c r="H3242" t="s">
        <v>5474</v>
      </c>
      <c r="I3242" t="s">
        <v>14509</v>
      </c>
      <c r="J3242" t="s">
        <v>5476</v>
      </c>
      <c r="K3242" t="s">
        <v>14510</v>
      </c>
      <c r="L3242" t="s">
        <v>5471</v>
      </c>
      <c r="M3242" t="s">
        <v>5471</v>
      </c>
    </row>
    <row r="3243" spans="1:13" x14ac:dyDescent="0.3">
      <c r="A3243" t="s">
        <v>3397</v>
      </c>
      <c r="B3243" t="s">
        <v>13796</v>
      </c>
      <c r="C3243" t="s">
        <v>5487</v>
      </c>
      <c r="D3243" t="s">
        <v>4119</v>
      </c>
      <c r="E3243" t="s">
        <v>5595</v>
      </c>
      <c r="F3243" t="s">
        <v>14511</v>
      </c>
      <c r="G3243" t="s">
        <v>13801</v>
      </c>
      <c r="H3243" t="s">
        <v>5474</v>
      </c>
      <c r="I3243" t="s">
        <v>14512</v>
      </c>
      <c r="J3243" t="s">
        <v>5476</v>
      </c>
      <c r="K3243" t="s">
        <v>14513</v>
      </c>
      <c r="L3243" t="s">
        <v>5471</v>
      </c>
      <c r="M3243" t="s">
        <v>5471</v>
      </c>
    </row>
    <row r="3244" spans="1:13" x14ac:dyDescent="0.3">
      <c r="A3244" t="s">
        <v>3397</v>
      </c>
      <c r="B3244" t="s">
        <v>13796</v>
      </c>
      <c r="C3244" t="s">
        <v>5487</v>
      </c>
      <c r="D3244" t="s">
        <v>4119</v>
      </c>
      <c r="E3244" t="s">
        <v>5595</v>
      </c>
      <c r="F3244" t="s">
        <v>14514</v>
      </c>
      <c r="G3244" t="s">
        <v>13801</v>
      </c>
      <c r="H3244" t="s">
        <v>5474</v>
      </c>
      <c r="I3244" t="s">
        <v>14515</v>
      </c>
      <c r="J3244" t="s">
        <v>5476</v>
      </c>
      <c r="K3244" t="s">
        <v>14516</v>
      </c>
      <c r="L3244" t="s">
        <v>5471</v>
      </c>
      <c r="M3244" t="s">
        <v>5471</v>
      </c>
    </row>
    <row r="3245" spans="1:13" x14ac:dyDescent="0.3">
      <c r="A3245" t="s">
        <v>3397</v>
      </c>
      <c r="B3245" t="s">
        <v>13796</v>
      </c>
      <c r="C3245" t="s">
        <v>5487</v>
      </c>
      <c r="D3245" t="s">
        <v>4119</v>
      </c>
      <c r="E3245" t="s">
        <v>5595</v>
      </c>
      <c r="F3245" t="s">
        <v>14517</v>
      </c>
      <c r="G3245" t="s">
        <v>13801</v>
      </c>
      <c r="H3245" t="s">
        <v>5474</v>
      </c>
      <c r="I3245" t="s">
        <v>14518</v>
      </c>
      <c r="J3245" t="s">
        <v>5476</v>
      </c>
      <c r="K3245" t="s">
        <v>14519</v>
      </c>
      <c r="L3245" t="s">
        <v>5471</v>
      </c>
      <c r="M3245" t="s">
        <v>5471</v>
      </c>
    </row>
    <row r="3246" spans="1:13" x14ac:dyDescent="0.3">
      <c r="A3246" t="s">
        <v>3397</v>
      </c>
      <c r="B3246" t="s">
        <v>13796</v>
      </c>
      <c r="C3246" t="s">
        <v>5487</v>
      </c>
      <c r="D3246" t="s">
        <v>4119</v>
      </c>
      <c r="E3246" t="s">
        <v>5595</v>
      </c>
      <c r="F3246" t="s">
        <v>14520</v>
      </c>
      <c r="G3246" t="s">
        <v>13801</v>
      </c>
      <c r="H3246" t="s">
        <v>5474</v>
      </c>
      <c r="I3246" t="s">
        <v>14521</v>
      </c>
      <c r="J3246" t="s">
        <v>5476</v>
      </c>
      <c r="K3246" t="s">
        <v>14522</v>
      </c>
      <c r="L3246" t="s">
        <v>5471</v>
      </c>
      <c r="M3246" t="s">
        <v>5471</v>
      </c>
    </row>
    <row r="3247" spans="1:13" x14ac:dyDescent="0.3">
      <c r="A3247" t="s">
        <v>3397</v>
      </c>
      <c r="B3247" t="s">
        <v>13796</v>
      </c>
      <c r="C3247" t="s">
        <v>5487</v>
      </c>
      <c r="D3247" t="s">
        <v>4119</v>
      </c>
      <c r="E3247" t="s">
        <v>5595</v>
      </c>
      <c r="F3247" t="s">
        <v>14523</v>
      </c>
      <c r="G3247" t="s">
        <v>13801</v>
      </c>
      <c r="H3247" t="s">
        <v>5474</v>
      </c>
      <c r="I3247" t="s">
        <v>14524</v>
      </c>
      <c r="J3247" t="s">
        <v>5476</v>
      </c>
      <c r="K3247" t="s">
        <v>14525</v>
      </c>
      <c r="L3247" t="s">
        <v>5471</v>
      </c>
      <c r="M3247" t="s">
        <v>5471</v>
      </c>
    </row>
    <row r="3248" spans="1:13" x14ac:dyDescent="0.3">
      <c r="A3248" t="s">
        <v>3397</v>
      </c>
      <c r="B3248" t="s">
        <v>5301</v>
      </c>
      <c r="C3248" t="s">
        <v>6342</v>
      </c>
      <c r="D3248" t="s">
        <v>10218</v>
      </c>
      <c r="E3248" t="s">
        <v>6332</v>
      </c>
      <c r="F3248" t="s">
        <v>14526</v>
      </c>
      <c r="G3248" t="s">
        <v>14527</v>
      </c>
      <c r="H3248" t="s">
        <v>5474</v>
      </c>
      <c r="I3248" t="s">
        <v>14528</v>
      </c>
      <c r="J3248" t="s">
        <v>5476</v>
      </c>
      <c r="K3248" t="s">
        <v>14529</v>
      </c>
      <c r="L3248" t="s">
        <v>5471</v>
      </c>
      <c r="M3248" t="s">
        <v>5471</v>
      </c>
    </row>
    <row r="3249" spans="1:13" x14ac:dyDescent="0.3">
      <c r="A3249" t="s">
        <v>3397</v>
      </c>
      <c r="B3249" t="s">
        <v>5301</v>
      </c>
      <c r="C3249" t="s">
        <v>6342</v>
      </c>
      <c r="D3249" t="s">
        <v>10218</v>
      </c>
      <c r="E3249" t="s">
        <v>6332</v>
      </c>
      <c r="F3249" t="s">
        <v>14530</v>
      </c>
      <c r="G3249" t="s">
        <v>14527</v>
      </c>
      <c r="H3249" t="s">
        <v>5474</v>
      </c>
      <c r="I3249" t="s">
        <v>14531</v>
      </c>
      <c r="J3249" t="s">
        <v>5476</v>
      </c>
      <c r="K3249" t="s">
        <v>14532</v>
      </c>
      <c r="L3249" t="s">
        <v>5471</v>
      </c>
      <c r="M3249" t="s">
        <v>5471</v>
      </c>
    </row>
    <row r="3250" spans="1:13" x14ac:dyDescent="0.3">
      <c r="A3250" t="s">
        <v>3397</v>
      </c>
      <c r="B3250" t="s">
        <v>5301</v>
      </c>
      <c r="C3250" t="s">
        <v>6342</v>
      </c>
      <c r="D3250" t="s">
        <v>10218</v>
      </c>
      <c r="E3250" t="s">
        <v>6332</v>
      </c>
      <c r="F3250" t="s">
        <v>14533</v>
      </c>
      <c r="G3250" t="s">
        <v>14527</v>
      </c>
      <c r="H3250" t="s">
        <v>5474</v>
      </c>
      <c r="I3250" t="s">
        <v>14534</v>
      </c>
      <c r="J3250" t="s">
        <v>5476</v>
      </c>
      <c r="K3250" t="s">
        <v>14535</v>
      </c>
      <c r="L3250" t="s">
        <v>5471</v>
      </c>
      <c r="M3250" t="s">
        <v>5471</v>
      </c>
    </row>
    <row r="3251" spans="1:13" x14ac:dyDescent="0.3">
      <c r="A3251" t="s">
        <v>3397</v>
      </c>
      <c r="B3251" t="s">
        <v>5301</v>
      </c>
      <c r="C3251" t="s">
        <v>6342</v>
      </c>
      <c r="D3251" t="s">
        <v>4058</v>
      </c>
      <c r="E3251" t="s">
        <v>6332</v>
      </c>
      <c r="F3251" t="s">
        <v>14536</v>
      </c>
      <c r="G3251" t="s">
        <v>14527</v>
      </c>
      <c r="H3251" t="s">
        <v>5474</v>
      </c>
      <c r="I3251" t="s">
        <v>14537</v>
      </c>
      <c r="J3251" t="s">
        <v>5476</v>
      </c>
      <c r="K3251" t="s">
        <v>12565</v>
      </c>
      <c r="L3251" t="s">
        <v>5471</v>
      </c>
      <c r="M3251" t="s">
        <v>5471</v>
      </c>
    </row>
    <row r="3252" spans="1:13" x14ac:dyDescent="0.3">
      <c r="A3252" t="s">
        <v>3397</v>
      </c>
      <c r="B3252" t="s">
        <v>5301</v>
      </c>
      <c r="C3252" t="s">
        <v>6342</v>
      </c>
      <c r="D3252" t="s">
        <v>4058</v>
      </c>
      <c r="E3252" t="s">
        <v>6332</v>
      </c>
      <c r="F3252" t="s">
        <v>14538</v>
      </c>
      <c r="G3252" t="s">
        <v>14527</v>
      </c>
      <c r="H3252" t="s">
        <v>5474</v>
      </c>
      <c r="I3252" t="s">
        <v>14539</v>
      </c>
      <c r="J3252" t="s">
        <v>5476</v>
      </c>
      <c r="K3252" t="s">
        <v>14540</v>
      </c>
      <c r="L3252" t="s">
        <v>5471</v>
      </c>
      <c r="M3252" t="s">
        <v>5471</v>
      </c>
    </row>
    <row r="3253" spans="1:13" x14ac:dyDescent="0.3">
      <c r="A3253" t="s">
        <v>3397</v>
      </c>
      <c r="B3253" t="s">
        <v>5301</v>
      </c>
      <c r="C3253" t="s">
        <v>6342</v>
      </c>
      <c r="D3253" t="s">
        <v>4056</v>
      </c>
      <c r="E3253" t="s">
        <v>6332</v>
      </c>
      <c r="F3253" t="s">
        <v>14541</v>
      </c>
      <c r="G3253" t="s">
        <v>14527</v>
      </c>
      <c r="H3253" t="s">
        <v>5474</v>
      </c>
      <c r="I3253" t="s">
        <v>14542</v>
      </c>
      <c r="J3253" t="s">
        <v>5476</v>
      </c>
      <c r="K3253" t="s">
        <v>14543</v>
      </c>
      <c r="L3253" t="s">
        <v>5471</v>
      </c>
      <c r="M3253" t="s">
        <v>5471</v>
      </c>
    </row>
    <row r="3254" spans="1:13" x14ac:dyDescent="0.3">
      <c r="A3254" t="s">
        <v>3397</v>
      </c>
      <c r="B3254" t="s">
        <v>5301</v>
      </c>
      <c r="C3254" t="s">
        <v>6342</v>
      </c>
      <c r="D3254" t="s">
        <v>4056</v>
      </c>
      <c r="E3254" t="s">
        <v>6332</v>
      </c>
      <c r="F3254" t="s">
        <v>14544</v>
      </c>
      <c r="G3254" t="s">
        <v>14527</v>
      </c>
      <c r="H3254" t="s">
        <v>5474</v>
      </c>
      <c r="I3254" t="s">
        <v>14545</v>
      </c>
      <c r="J3254" t="s">
        <v>5476</v>
      </c>
      <c r="K3254" t="s">
        <v>14546</v>
      </c>
      <c r="L3254" t="s">
        <v>5471</v>
      </c>
      <c r="M3254" t="s">
        <v>5471</v>
      </c>
    </row>
    <row r="3255" spans="1:13" x14ac:dyDescent="0.3">
      <c r="A3255" t="s">
        <v>3397</v>
      </c>
      <c r="B3255" t="s">
        <v>5301</v>
      </c>
      <c r="C3255" t="s">
        <v>6342</v>
      </c>
      <c r="D3255" t="s">
        <v>4056</v>
      </c>
      <c r="E3255" t="s">
        <v>6332</v>
      </c>
      <c r="F3255" t="s">
        <v>14547</v>
      </c>
      <c r="G3255" t="s">
        <v>14527</v>
      </c>
      <c r="H3255" t="s">
        <v>5474</v>
      </c>
      <c r="I3255" t="s">
        <v>14548</v>
      </c>
      <c r="J3255" t="s">
        <v>5476</v>
      </c>
      <c r="K3255" t="s">
        <v>14549</v>
      </c>
      <c r="L3255" t="s">
        <v>5471</v>
      </c>
      <c r="M3255" t="s">
        <v>5471</v>
      </c>
    </row>
    <row r="3256" spans="1:13" x14ac:dyDescent="0.3">
      <c r="A3256" t="s">
        <v>3397</v>
      </c>
      <c r="B3256" t="s">
        <v>5301</v>
      </c>
      <c r="C3256" t="s">
        <v>6342</v>
      </c>
      <c r="D3256" t="s">
        <v>4058</v>
      </c>
      <c r="E3256" t="s">
        <v>6332</v>
      </c>
      <c r="F3256" t="s">
        <v>14550</v>
      </c>
      <c r="G3256" t="s">
        <v>14527</v>
      </c>
      <c r="H3256" t="s">
        <v>5474</v>
      </c>
      <c r="I3256" t="s">
        <v>14551</v>
      </c>
      <c r="J3256" t="s">
        <v>5476</v>
      </c>
      <c r="K3256" t="s">
        <v>12571</v>
      </c>
      <c r="L3256" t="s">
        <v>5471</v>
      </c>
      <c r="M3256" t="s">
        <v>5471</v>
      </c>
    </row>
    <row r="3257" spans="1:13" x14ac:dyDescent="0.3">
      <c r="A3257" t="s">
        <v>3397</v>
      </c>
      <c r="B3257" t="s">
        <v>5301</v>
      </c>
      <c r="C3257" t="s">
        <v>6342</v>
      </c>
      <c r="D3257" t="s">
        <v>4058</v>
      </c>
      <c r="E3257" t="s">
        <v>6332</v>
      </c>
      <c r="F3257" t="s">
        <v>14552</v>
      </c>
      <c r="G3257" t="s">
        <v>14527</v>
      </c>
      <c r="H3257" t="s">
        <v>5474</v>
      </c>
      <c r="I3257" t="s">
        <v>14553</v>
      </c>
      <c r="J3257" t="s">
        <v>5476</v>
      </c>
      <c r="K3257" t="s">
        <v>14554</v>
      </c>
      <c r="L3257" t="s">
        <v>5471</v>
      </c>
      <c r="M3257" t="s">
        <v>5471</v>
      </c>
    </row>
    <row r="3258" spans="1:13" x14ac:dyDescent="0.3">
      <c r="A3258" t="s">
        <v>3397</v>
      </c>
      <c r="B3258" t="s">
        <v>5301</v>
      </c>
      <c r="C3258" t="s">
        <v>6342</v>
      </c>
      <c r="D3258" t="s">
        <v>4058</v>
      </c>
      <c r="E3258" t="s">
        <v>6332</v>
      </c>
      <c r="F3258" t="s">
        <v>14555</v>
      </c>
      <c r="G3258" t="s">
        <v>12784</v>
      </c>
      <c r="H3258" t="s">
        <v>5474</v>
      </c>
      <c r="I3258" t="s">
        <v>14556</v>
      </c>
      <c r="J3258" t="s">
        <v>5476</v>
      </c>
      <c r="K3258" t="s">
        <v>14557</v>
      </c>
      <c r="L3258" t="s">
        <v>5471</v>
      </c>
      <c r="M3258" t="s">
        <v>5471</v>
      </c>
    </row>
    <row r="3259" spans="1:13" x14ac:dyDescent="0.3">
      <c r="A3259" t="s">
        <v>3397</v>
      </c>
      <c r="B3259" t="s">
        <v>5301</v>
      </c>
      <c r="C3259" t="s">
        <v>6342</v>
      </c>
      <c r="D3259" t="s">
        <v>4056</v>
      </c>
      <c r="E3259" t="s">
        <v>6332</v>
      </c>
      <c r="F3259" t="s">
        <v>14558</v>
      </c>
      <c r="G3259" t="s">
        <v>12784</v>
      </c>
      <c r="H3259" t="s">
        <v>5474</v>
      </c>
      <c r="I3259" t="s">
        <v>14559</v>
      </c>
      <c r="J3259" t="s">
        <v>5476</v>
      </c>
      <c r="K3259" t="s">
        <v>14560</v>
      </c>
      <c r="L3259" t="s">
        <v>5471</v>
      </c>
      <c r="M3259" t="s">
        <v>5471</v>
      </c>
    </row>
    <row r="3260" spans="1:13" x14ac:dyDescent="0.3">
      <c r="A3260" t="s">
        <v>3397</v>
      </c>
      <c r="B3260" t="s">
        <v>5301</v>
      </c>
      <c r="C3260" t="s">
        <v>6342</v>
      </c>
      <c r="D3260" t="s">
        <v>4056</v>
      </c>
      <c r="E3260" t="s">
        <v>6332</v>
      </c>
      <c r="F3260" t="s">
        <v>14561</v>
      </c>
      <c r="G3260" t="s">
        <v>12784</v>
      </c>
      <c r="H3260" t="s">
        <v>5474</v>
      </c>
      <c r="I3260" t="s">
        <v>14562</v>
      </c>
      <c r="J3260" t="s">
        <v>5476</v>
      </c>
      <c r="K3260" t="s">
        <v>14563</v>
      </c>
      <c r="L3260" t="s">
        <v>5471</v>
      </c>
      <c r="M3260" t="s">
        <v>5471</v>
      </c>
    </row>
    <row r="3261" spans="1:13" x14ac:dyDescent="0.3">
      <c r="A3261" t="s">
        <v>3397</v>
      </c>
      <c r="B3261" t="s">
        <v>5301</v>
      </c>
      <c r="C3261" t="s">
        <v>6342</v>
      </c>
      <c r="D3261" t="s">
        <v>4056</v>
      </c>
      <c r="E3261" t="s">
        <v>6332</v>
      </c>
      <c r="F3261" t="s">
        <v>14564</v>
      </c>
      <c r="G3261" t="s">
        <v>12784</v>
      </c>
      <c r="H3261" t="s">
        <v>5474</v>
      </c>
      <c r="I3261" t="s">
        <v>14565</v>
      </c>
      <c r="J3261" t="s">
        <v>5476</v>
      </c>
      <c r="K3261" t="s">
        <v>14566</v>
      </c>
      <c r="L3261" t="s">
        <v>5471</v>
      </c>
      <c r="M3261" t="s">
        <v>5471</v>
      </c>
    </row>
    <row r="3262" spans="1:13" x14ac:dyDescent="0.3">
      <c r="A3262" t="s">
        <v>3397</v>
      </c>
      <c r="B3262" t="s">
        <v>5301</v>
      </c>
      <c r="C3262" t="s">
        <v>6342</v>
      </c>
      <c r="D3262" t="s">
        <v>4058</v>
      </c>
      <c r="E3262" t="s">
        <v>6332</v>
      </c>
      <c r="F3262" t="s">
        <v>14567</v>
      </c>
      <c r="G3262" t="s">
        <v>12784</v>
      </c>
      <c r="H3262" t="s">
        <v>5474</v>
      </c>
      <c r="I3262" t="s">
        <v>14568</v>
      </c>
      <c r="J3262" t="s">
        <v>5476</v>
      </c>
      <c r="K3262" t="s">
        <v>14569</v>
      </c>
      <c r="L3262" t="s">
        <v>5471</v>
      </c>
      <c r="M3262" t="s">
        <v>5471</v>
      </c>
    </row>
    <row r="3263" spans="1:13" x14ac:dyDescent="0.3">
      <c r="A3263" t="s">
        <v>3397</v>
      </c>
      <c r="B3263" t="s">
        <v>5301</v>
      </c>
      <c r="C3263" t="s">
        <v>6342</v>
      </c>
      <c r="D3263" t="s">
        <v>10218</v>
      </c>
      <c r="E3263" t="s">
        <v>9935</v>
      </c>
      <c r="F3263" t="s">
        <v>14570</v>
      </c>
      <c r="G3263" t="s">
        <v>14527</v>
      </c>
      <c r="H3263" t="s">
        <v>5474</v>
      </c>
      <c r="I3263" t="s">
        <v>14571</v>
      </c>
      <c r="J3263" t="s">
        <v>5476</v>
      </c>
      <c r="K3263" t="s">
        <v>14572</v>
      </c>
      <c r="L3263" t="s">
        <v>5471</v>
      </c>
      <c r="M3263" t="s">
        <v>5471</v>
      </c>
    </row>
    <row r="3264" spans="1:13" x14ac:dyDescent="0.3">
      <c r="A3264" t="s">
        <v>3397</v>
      </c>
      <c r="B3264" t="s">
        <v>5301</v>
      </c>
      <c r="C3264" t="s">
        <v>6342</v>
      </c>
      <c r="D3264" t="s">
        <v>10218</v>
      </c>
      <c r="E3264" t="s">
        <v>9935</v>
      </c>
      <c r="F3264" t="s">
        <v>14573</v>
      </c>
      <c r="G3264" t="s">
        <v>14527</v>
      </c>
      <c r="H3264" t="s">
        <v>5474</v>
      </c>
      <c r="I3264" t="s">
        <v>14574</v>
      </c>
      <c r="J3264" t="s">
        <v>5476</v>
      </c>
      <c r="K3264" t="s">
        <v>14575</v>
      </c>
      <c r="L3264" t="s">
        <v>5471</v>
      </c>
      <c r="M3264" t="s">
        <v>5471</v>
      </c>
    </row>
    <row r="3265" spans="1:13" x14ac:dyDescent="0.3">
      <c r="A3265" t="s">
        <v>3397</v>
      </c>
      <c r="B3265" t="s">
        <v>5301</v>
      </c>
      <c r="C3265" t="s">
        <v>6342</v>
      </c>
      <c r="D3265" t="s">
        <v>10218</v>
      </c>
      <c r="E3265" t="s">
        <v>9935</v>
      </c>
      <c r="F3265" t="s">
        <v>14576</v>
      </c>
      <c r="G3265" t="s">
        <v>14527</v>
      </c>
      <c r="H3265" t="s">
        <v>5474</v>
      </c>
      <c r="I3265" t="s">
        <v>14577</v>
      </c>
      <c r="J3265" t="s">
        <v>5476</v>
      </c>
      <c r="K3265" t="s">
        <v>14578</v>
      </c>
      <c r="L3265" t="s">
        <v>5471</v>
      </c>
      <c r="M3265" t="s">
        <v>5471</v>
      </c>
    </row>
    <row r="3266" spans="1:13" x14ac:dyDescent="0.3">
      <c r="A3266" t="s">
        <v>3397</v>
      </c>
      <c r="B3266" t="s">
        <v>5301</v>
      </c>
      <c r="C3266" t="s">
        <v>6342</v>
      </c>
      <c r="D3266" t="s">
        <v>4200</v>
      </c>
      <c r="E3266" t="s">
        <v>5617</v>
      </c>
      <c r="F3266" t="s">
        <v>14579</v>
      </c>
      <c r="G3266" t="s">
        <v>12784</v>
      </c>
      <c r="H3266" t="s">
        <v>5474</v>
      </c>
      <c r="I3266" t="s">
        <v>14580</v>
      </c>
      <c r="J3266" t="s">
        <v>5476</v>
      </c>
      <c r="K3266" t="s">
        <v>14581</v>
      </c>
      <c r="L3266" t="s">
        <v>5471</v>
      </c>
      <c r="M3266" t="s">
        <v>5471</v>
      </c>
    </row>
    <row r="3267" spans="1:13" x14ac:dyDescent="0.3">
      <c r="A3267" t="s">
        <v>3397</v>
      </c>
      <c r="B3267" t="s">
        <v>5301</v>
      </c>
      <c r="C3267" t="s">
        <v>6342</v>
      </c>
      <c r="D3267" t="s">
        <v>4200</v>
      </c>
      <c r="E3267" t="s">
        <v>5617</v>
      </c>
      <c r="F3267" t="s">
        <v>14582</v>
      </c>
      <c r="G3267" t="s">
        <v>12784</v>
      </c>
      <c r="H3267" t="s">
        <v>5474</v>
      </c>
      <c r="I3267" t="s">
        <v>14583</v>
      </c>
      <c r="J3267" t="s">
        <v>5476</v>
      </c>
      <c r="K3267" t="s">
        <v>14584</v>
      </c>
      <c r="L3267" t="s">
        <v>5471</v>
      </c>
      <c r="M3267" t="s">
        <v>5471</v>
      </c>
    </row>
    <row r="3268" spans="1:13" x14ac:dyDescent="0.3">
      <c r="A3268" t="s">
        <v>3397</v>
      </c>
      <c r="B3268" t="s">
        <v>5301</v>
      </c>
      <c r="C3268" t="s">
        <v>6342</v>
      </c>
      <c r="D3268" t="s">
        <v>4200</v>
      </c>
      <c r="E3268" t="s">
        <v>5617</v>
      </c>
      <c r="F3268" t="s">
        <v>14585</v>
      </c>
      <c r="G3268" t="s">
        <v>12784</v>
      </c>
      <c r="H3268" t="s">
        <v>5474</v>
      </c>
      <c r="I3268" t="s">
        <v>14586</v>
      </c>
      <c r="J3268" t="s">
        <v>5476</v>
      </c>
      <c r="K3268" t="s">
        <v>14587</v>
      </c>
      <c r="L3268" t="s">
        <v>5471</v>
      </c>
      <c r="M3268" t="s">
        <v>5471</v>
      </c>
    </row>
    <row r="3269" spans="1:13" x14ac:dyDescent="0.3">
      <c r="A3269" t="s">
        <v>3397</v>
      </c>
      <c r="B3269" t="s">
        <v>5301</v>
      </c>
      <c r="C3269" t="s">
        <v>6342</v>
      </c>
      <c r="D3269" t="s">
        <v>4058</v>
      </c>
      <c r="E3269" t="s">
        <v>5617</v>
      </c>
      <c r="F3269" t="s">
        <v>14588</v>
      </c>
      <c r="G3269" t="s">
        <v>12784</v>
      </c>
      <c r="H3269" t="s">
        <v>5474</v>
      </c>
      <c r="I3269" t="s">
        <v>14589</v>
      </c>
      <c r="J3269" t="s">
        <v>5476</v>
      </c>
      <c r="K3269" t="s">
        <v>14590</v>
      </c>
      <c r="L3269" t="s">
        <v>5471</v>
      </c>
      <c r="M3269" t="s">
        <v>5471</v>
      </c>
    </row>
    <row r="3270" spans="1:13" x14ac:dyDescent="0.3">
      <c r="A3270" t="s">
        <v>3397</v>
      </c>
      <c r="B3270" t="s">
        <v>5301</v>
      </c>
      <c r="C3270" t="s">
        <v>6342</v>
      </c>
      <c r="D3270" t="s">
        <v>4058</v>
      </c>
      <c r="E3270" t="s">
        <v>5617</v>
      </c>
      <c r="F3270" t="s">
        <v>14591</v>
      </c>
      <c r="G3270" t="s">
        <v>14592</v>
      </c>
      <c r="H3270" t="s">
        <v>5474</v>
      </c>
      <c r="I3270" t="s">
        <v>14593</v>
      </c>
      <c r="J3270" t="s">
        <v>5476</v>
      </c>
      <c r="K3270" t="s">
        <v>14594</v>
      </c>
      <c r="L3270" t="s">
        <v>5471</v>
      </c>
      <c r="M3270" t="s">
        <v>5471</v>
      </c>
    </row>
    <row r="3271" spans="1:13" x14ac:dyDescent="0.3">
      <c r="A3271" t="s">
        <v>3397</v>
      </c>
      <c r="B3271" t="s">
        <v>5301</v>
      </c>
      <c r="C3271" t="s">
        <v>6342</v>
      </c>
      <c r="D3271" t="s">
        <v>4058</v>
      </c>
      <c r="E3271" t="s">
        <v>5617</v>
      </c>
      <c r="F3271" t="s">
        <v>14595</v>
      </c>
      <c r="G3271" t="s">
        <v>14596</v>
      </c>
      <c r="H3271" t="s">
        <v>5474</v>
      </c>
      <c r="I3271" t="s">
        <v>14597</v>
      </c>
      <c r="J3271" t="s">
        <v>5476</v>
      </c>
      <c r="K3271" t="s">
        <v>14598</v>
      </c>
      <c r="L3271" t="s">
        <v>5471</v>
      </c>
      <c r="M3271" t="s">
        <v>5471</v>
      </c>
    </row>
    <row r="3272" spans="1:13" x14ac:dyDescent="0.3">
      <c r="A3272" t="s">
        <v>3397</v>
      </c>
      <c r="B3272" t="s">
        <v>5301</v>
      </c>
      <c r="C3272" t="s">
        <v>6342</v>
      </c>
      <c r="D3272" t="s">
        <v>4058</v>
      </c>
      <c r="E3272" t="s">
        <v>5617</v>
      </c>
      <c r="F3272" t="s">
        <v>14599</v>
      </c>
      <c r="G3272" t="s">
        <v>14600</v>
      </c>
      <c r="H3272" t="s">
        <v>5474</v>
      </c>
      <c r="I3272" t="s">
        <v>14601</v>
      </c>
      <c r="J3272" t="s">
        <v>5476</v>
      </c>
      <c r="K3272" t="s">
        <v>14602</v>
      </c>
      <c r="L3272" t="s">
        <v>5471</v>
      </c>
      <c r="M3272" t="s">
        <v>5471</v>
      </c>
    </row>
    <row r="3273" spans="1:13" x14ac:dyDescent="0.3">
      <c r="A3273" t="s">
        <v>3397</v>
      </c>
      <c r="B3273" t="s">
        <v>5301</v>
      </c>
      <c r="C3273" t="s">
        <v>6342</v>
      </c>
      <c r="D3273" t="s">
        <v>4058</v>
      </c>
      <c r="E3273" t="s">
        <v>5617</v>
      </c>
      <c r="F3273" t="s">
        <v>14603</v>
      </c>
      <c r="G3273" t="s">
        <v>12784</v>
      </c>
      <c r="H3273" t="s">
        <v>5474</v>
      </c>
      <c r="I3273" t="s">
        <v>14604</v>
      </c>
      <c r="J3273" t="s">
        <v>5476</v>
      </c>
      <c r="K3273" t="s">
        <v>14605</v>
      </c>
      <c r="L3273" t="s">
        <v>5471</v>
      </c>
      <c r="M3273" t="s">
        <v>5471</v>
      </c>
    </row>
    <row r="3274" spans="1:13" x14ac:dyDescent="0.3">
      <c r="A3274" t="s">
        <v>3397</v>
      </c>
      <c r="B3274" t="s">
        <v>5301</v>
      </c>
      <c r="C3274" t="s">
        <v>6342</v>
      </c>
      <c r="D3274" t="s">
        <v>10218</v>
      </c>
      <c r="E3274" t="s">
        <v>6332</v>
      </c>
      <c r="F3274" t="s">
        <v>14606</v>
      </c>
      <c r="G3274" t="s">
        <v>14607</v>
      </c>
      <c r="H3274" t="s">
        <v>5474</v>
      </c>
      <c r="I3274" t="s">
        <v>14608</v>
      </c>
      <c r="J3274" t="s">
        <v>5476</v>
      </c>
      <c r="K3274" t="s">
        <v>14609</v>
      </c>
      <c r="L3274" t="s">
        <v>5471</v>
      </c>
      <c r="M3274" t="s">
        <v>5471</v>
      </c>
    </row>
    <row r="3275" spans="1:13" x14ac:dyDescent="0.3">
      <c r="A3275" t="s">
        <v>3397</v>
      </c>
      <c r="B3275" t="s">
        <v>5301</v>
      </c>
      <c r="C3275" t="s">
        <v>6342</v>
      </c>
      <c r="D3275" t="s">
        <v>10218</v>
      </c>
      <c r="E3275" t="s">
        <v>9935</v>
      </c>
      <c r="F3275" t="s">
        <v>14610</v>
      </c>
      <c r="G3275" t="s">
        <v>14607</v>
      </c>
      <c r="H3275" t="s">
        <v>5474</v>
      </c>
      <c r="I3275" t="s">
        <v>14611</v>
      </c>
      <c r="J3275" t="s">
        <v>5476</v>
      </c>
      <c r="K3275" t="s">
        <v>14612</v>
      </c>
      <c r="L3275" t="s">
        <v>5471</v>
      </c>
      <c r="M3275" t="s">
        <v>5471</v>
      </c>
    </row>
    <row r="3276" spans="1:13" x14ac:dyDescent="0.3">
      <c r="A3276" t="s">
        <v>3397</v>
      </c>
      <c r="B3276" t="s">
        <v>5301</v>
      </c>
      <c r="C3276" t="s">
        <v>6342</v>
      </c>
      <c r="D3276" t="s">
        <v>4119</v>
      </c>
      <c r="E3276" t="s">
        <v>6332</v>
      </c>
      <c r="F3276" t="s">
        <v>14613</v>
      </c>
      <c r="G3276" t="s">
        <v>12784</v>
      </c>
      <c r="H3276" t="s">
        <v>5474</v>
      </c>
      <c r="I3276" t="s">
        <v>14614</v>
      </c>
      <c r="J3276" t="s">
        <v>5476</v>
      </c>
      <c r="K3276" t="s">
        <v>14605</v>
      </c>
      <c r="L3276" t="s">
        <v>5471</v>
      </c>
      <c r="M3276" t="s">
        <v>5471</v>
      </c>
    </row>
    <row r="3277" spans="1:13" x14ac:dyDescent="0.3">
      <c r="A3277" t="s">
        <v>3397</v>
      </c>
      <c r="B3277" t="s">
        <v>5301</v>
      </c>
      <c r="C3277" t="s">
        <v>6342</v>
      </c>
      <c r="D3277" t="s">
        <v>4119</v>
      </c>
      <c r="E3277" t="s">
        <v>6332</v>
      </c>
      <c r="F3277" t="s">
        <v>14615</v>
      </c>
      <c r="G3277" t="s">
        <v>12784</v>
      </c>
      <c r="H3277" t="s">
        <v>5474</v>
      </c>
      <c r="I3277" t="s">
        <v>14616</v>
      </c>
      <c r="J3277" t="s">
        <v>5476</v>
      </c>
      <c r="K3277" t="s">
        <v>14617</v>
      </c>
      <c r="L3277" t="s">
        <v>5471</v>
      </c>
      <c r="M3277" t="s">
        <v>5471</v>
      </c>
    </row>
    <row r="3278" spans="1:13" x14ac:dyDescent="0.3">
      <c r="A3278" t="s">
        <v>3397</v>
      </c>
      <c r="B3278" t="s">
        <v>5301</v>
      </c>
      <c r="C3278" t="s">
        <v>6342</v>
      </c>
      <c r="D3278" t="s">
        <v>4119</v>
      </c>
      <c r="E3278" t="s">
        <v>6332</v>
      </c>
      <c r="F3278" t="s">
        <v>12681</v>
      </c>
      <c r="G3278" t="s">
        <v>12784</v>
      </c>
      <c r="H3278" t="s">
        <v>5474</v>
      </c>
      <c r="I3278" t="s">
        <v>14618</v>
      </c>
      <c r="J3278" t="s">
        <v>5476</v>
      </c>
      <c r="K3278" t="s">
        <v>12683</v>
      </c>
      <c r="L3278" t="s">
        <v>5471</v>
      </c>
      <c r="M3278" t="s">
        <v>5471</v>
      </c>
    </row>
    <row r="3279" spans="1:13" x14ac:dyDescent="0.3">
      <c r="A3279" t="s">
        <v>3397</v>
      </c>
      <c r="B3279" t="s">
        <v>5301</v>
      </c>
      <c r="C3279" t="s">
        <v>6342</v>
      </c>
      <c r="D3279" t="s">
        <v>4119</v>
      </c>
      <c r="E3279" t="s">
        <v>6332</v>
      </c>
      <c r="F3279" t="s">
        <v>14619</v>
      </c>
      <c r="G3279" t="s">
        <v>12784</v>
      </c>
      <c r="H3279" t="s">
        <v>5474</v>
      </c>
      <c r="I3279" t="s">
        <v>14620</v>
      </c>
      <c r="J3279" t="s">
        <v>5476</v>
      </c>
      <c r="K3279" t="s">
        <v>14621</v>
      </c>
      <c r="L3279" t="s">
        <v>5471</v>
      </c>
      <c r="M3279" t="s">
        <v>5471</v>
      </c>
    </row>
    <row r="3280" spans="1:13" x14ac:dyDescent="0.3">
      <c r="A3280" t="s">
        <v>3397</v>
      </c>
      <c r="B3280" t="s">
        <v>5301</v>
      </c>
      <c r="C3280" t="s">
        <v>6342</v>
      </c>
      <c r="D3280" t="s">
        <v>4119</v>
      </c>
      <c r="E3280" t="s">
        <v>6332</v>
      </c>
      <c r="F3280" t="s">
        <v>12675</v>
      </c>
      <c r="G3280" t="s">
        <v>12784</v>
      </c>
      <c r="H3280" t="s">
        <v>5474</v>
      </c>
      <c r="I3280" t="s">
        <v>14622</v>
      </c>
      <c r="J3280" t="s">
        <v>5476</v>
      </c>
      <c r="K3280" t="s">
        <v>12677</v>
      </c>
      <c r="L3280" t="s">
        <v>5471</v>
      </c>
      <c r="M3280" t="s">
        <v>5471</v>
      </c>
    </row>
    <row r="3281" spans="1:13" x14ac:dyDescent="0.3">
      <c r="A3281" t="s">
        <v>3397</v>
      </c>
      <c r="B3281" t="s">
        <v>5301</v>
      </c>
      <c r="C3281" t="s">
        <v>6342</v>
      </c>
      <c r="D3281" t="s">
        <v>4119</v>
      </c>
      <c r="E3281" t="s">
        <v>6332</v>
      </c>
      <c r="F3281" t="s">
        <v>14623</v>
      </c>
      <c r="G3281" t="s">
        <v>12784</v>
      </c>
      <c r="H3281" t="s">
        <v>5474</v>
      </c>
      <c r="I3281" t="s">
        <v>14624</v>
      </c>
      <c r="J3281" t="s">
        <v>5476</v>
      </c>
      <c r="K3281" t="s">
        <v>14625</v>
      </c>
      <c r="L3281" t="s">
        <v>5471</v>
      </c>
      <c r="M3281" t="s">
        <v>5471</v>
      </c>
    </row>
    <row r="3282" spans="1:13" x14ac:dyDescent="0.3">
      <c r="A3282" t="s">
        <v>3397</v>
      </c>
      <c r="B3282" t="s">
        <v>5301</v>
      </c>
      <c r="C3282" t="s">
        <v>6342</v>
      </c>
      <c r="D3282" t="s">
        <v>4119</v>
      </c>
      <c r="E3282" t="s">
        <v>6332</v>
      </c>
      <c r="F3282" t="s">
        <v>12672</v>
      </c>
      <c r="G3282" t="s">
        <v>12784</v>
      </c>
      <c r="H3282" t="s">
        <v>5474</v>
      </c>
      <c r="I3282" t="s">
        <v>14626</v>
      </c>
      <c r="J3282" t="s">
        <v>5476</v>
      </c>
      <c r="K3282" t="s">
        <v>12674</v>
      </c>
      <c r="L3282" t="s">
        <v>5471</v>
      </c>
      <c r="M3282" t="s">
        <v>5471</v>
      </c>
    </row>
    <row r="3283" spans="1:13" x14ac:dyDescent="0.3">
      <c r="A3283" t="s">
        <v>3397</v>
      </c>
      <c r="B3283" t="s">
        <v>5301</v>
      </c>
      <c r="C3283" t="s">
        <v>6342</v>
      </c>
      <c r="D3283" t="s">
        <v>4119</v>
      </c>
      <c r="E3283" t="s">
        <v>6332</v>
      </c>
      <c r="F3283" t="s">
        <v>14627</v>
      </c>
      <c r="G3283" t="s">
        <v>12784</v>
      </c>
      <c r="H3283" t="s">
        <v>5474</v>
      </c>
      <c r="I3283" t="s">
        <v>14628</v>
      </c>
      <c r="J3283" t="s">
        <v>5476</v>
      </c>
      <c r="K3283" t="s">
        <v>14629</v>
      </c>
      <c r="L3283" t="s">
        <v>5471</v>
      </c>
      <c r="M3283" t="s">
        <v>5471</v>
      </c>
    </row>
    <row r="3284" spans="1:13" x14ac:dyDescent="0.3">
      <c r="A3284" t="s">
        <v>3397</v>
      </c>
      <c r="B3284" t="s">
        <v>5301</v>
      </c>
      <c r="C3284" t="s">
        <v>6342</v>
      </c>
      <c r="D3284" t="s">
        <v>4119</v>
      </c>
      <c r="E3284" t="s">
        <v>6332</v>
      </c>
      <c r="F3284" t="s">
        <v>14630</v>
      </c>
      <c r="G3284" t="s">
        <v>12784</v>
      </c>
      <c r="H3284" t="s">
        <v>5474</v>
      </c>
      <c r="I3284" t="s">
        <v>14631</v>
      </c>
      <c r="J3284" t="s">
        <v>5476</v>
      </c>
      <c r="K3284" t="s">
        <v>14632</v>
      </c>
      <c r="L3284" t="s">
        <v>5471</v>
      </c>
      <c r="M3284" t="s">
        <v>5471</v>
      </c>
    </row>
    <row r="3285" spans="1:13" x14ac:dyDescent="0.3">
      <c r="A3285" t="s">
        <v>3397</v>
      </c>
      <c r="B3285" t="s">
        <v>5301</v>
      </c>
      <c r="C3285" t="s">
        <v>6342</v>
      </c>
      <c r="D3285" t="s">
        <v>4119</v>
      </c>
      <c r="E3285" t="s">
        <v>6332</v>
      </c>
      <c r="F3285" t="s">
        <v>14633</v>
      </c>
      <c r="G3285" t="s">
        <v>12784</v>
      </c>
      <c r="H3285" t="s">
        <v>5474</v>
      </c>
      <c r="I3285" t="s">
        <v>14634</v>
      </c>
      <c r="J3285" t="s">
        <v>5476</v>
      </c>
      <c r="K3285" t="s">
        <v>14635</v>
      </c>
      <c r="L3285" t="s">
        <v>5471</v>
      </c>
      <c r="M3285" t="s">
        <v>5471</v>
      </c>
    </row>
    <row r="3286" spans="1:13" x14ac:dyDescent="0.3">
      <c r="A3286" t="s">
        <v>3397</v>
      </c>
      <c r="B3286" t="s">
        <v>5301</v>
      </c>
      <c r="C3286" t="s">
        <v>6342</v>
      </c>
      <c r="D3286" t="s">
        <v>4119</v>
      </c>
      <c r="E3286" t="s">
        <v>6332</v>
      </c>
      <c r="F3286" t="s">
        <v>14636</v>
      </c>
      <c r="G3286" t="s">
        <v>12784</v>
      </c>
      <c r="H3286" t="s">
        <v>5474</v>
      </c>
      <c r="I3286" t="s">
        <v>14637</v>
      </c>
      <c r="J3286" t="s">
        <v>5476</v>
      </c>
      <c r="K3286" t="s">
        <v>14638</v>
      </c>
      <c r="L3286" t="s">
        <v>5471</v>
      </c>
      <c r="M3286" t="s">
        <v>5471</v>
      </c>
    </row>
    <row r="3287" spans="1:13" x14ac:dyDescent="0.3">
      <c r="A3287" t="s">
        <v>3397</v>
      </c>
      <c r="B3287" t="s">
        <v>5301</v>
      </c>
      <c r="C3287" t="s">
        <v>6342</v>
      </c>
      <c r="D3287" t="s">
        <v>4119</v>
      </c>
      <c r="E3287" t="s">
        <v>6332</v>
      </c>
      <c r="F3287" t="s">
        <v>14639</v>
      </c>
      <c r="G3287" t="s">
        <v>12784</v>
      </c>
      <c r="H3287" t="s">
        <v>5474</v>
      </c>
      <c r="I3287" t="s">
        <v>14640</v>
      </c>
      <c r="J3287" t="s">
        <v>5476</v>
      </c>
      <c r="K3287" t="s">
        <v>14641</v>
      </c>
      <c r="L3287" t="s">
        <v>5471</v>
      </c>
      <c r="M3287" t="s">
        <v>5471</v>
      </c>
    </row>
    <row r="3288" spans="1:13" x14ac:dyDescent="0.3">
      <c r="A3288" t="s">
        <v>3397</v>
      </c>
      <c r="B3288" t="s">
        <v>5301</v>
      </c>
      <c r="C3288" t="s">
        <v>6342</v>
      </c>
      <c r="D3288" t="s">
        <v>4119</v>
      </c>
      <c r="E3288" t="s">
        <v>6332</v>
      </c>
      <c r="F3288" t="s">
        <v>14642</v>
      </c>
      <c r="G3288" t="s">
        <v>12784</v>
      </c>
      <c r="H3288" t="s">
        <v>5474</v>
      </c>
      <c r="I3288" t="s">
        <v>14643</v>
      </c>
      <c r="J3288" t="s">
        <v>5476</v>
      </c>
      <c r="K3288" t="s">
        <v>14644</v>
      </c>
      <c r="L3288" t="s">
        <v>5471</v>
      </c>
      <c r="M3288" t="s">
        <v>5471</v>
      </c>
    </row>
    <row r="3289" spans="1:13" x14ac:dyDescent="0.3">
      <c r="A3289" t="s">
        <v>3397</v>
      </c>
      <c r="B3289" t="s">
        <v>5301</v>
      </c>
      <c r="C3289" t="s">
        <v>6342</v>
      </c>
      <c r="D3289" t="s">
        <v>4119</v>
      </c>
      <c r="E3289" t="s">
        <v>6332</v>
      </c>
      <c r="F3289" t="s">
        <v>14645</v>
      </c>
      <c r="G3289" t="s">
        <v>12784</v>
      </c>
      <c r="H3289" t="s">
        <v>5474</v>
      </c>
      <c r="I3289" t="s">
        <v>14646</v>
      </c>
      <c r="J3289" t="s">
        <v>5476</v>
      </c>
      <c r="K3289" t="s">
        <v>14647</v>
      </c>
      <c r="L3289" t="s">
        <v>5471</v>
      </c>
      <c r="M3289" t="s">
        <v>5471</v>
      </c>
    </row>
    <row r="3290" spans="1:13" x14ac:dyDescent="0.3">
      <c r="A3290" t="s">
        <v>3397</v>
      </c>
      <c r="B3290" t="s">
        <v>5301</v>
      </c>
      <c r="C3290" t="s">
        <v>6342</v>
      </c>
      <c r="D3290" t="s">
        <v>4119</v>
      </c>
      <c r="E3290" t="s">
        <v>6332</v>
      </c>
      <c r="F3290" t="s">
        <v>12684</v>
      </c>
      <c r="G3290" t="s">
        <v>12784</v>
      </c>
      <c r="H3290" t="s">
        <v>5474</v>
      </c>
      <c r="I3290" t="s">
        <v>14648</v>
      </c>
      <c r="J3290" t="s">
        <v>5476</v>
      </c>
      <c r="K3290" t="s">
        <v>12686</v>
      </c>
      <c r="L3290" t="s">
        <v>5471</v>
      </c>
      <c r="M3290" t="s">
        <v>5471</v>
      </c>
    </row>
    <row r="3291" spans="1:13" x14ac:dyDescent="0.3">
      <c r="A3291" t="s">
        <v>3397</v>
      </c>
      <c r="B3291" t="s">
        <v>5301</v>
      </c>
      <c r="C3291" t="s">
        <v>6342</v>
      </c>
      <c r="D3291" t="s">
        <v>4119</v>
      </c>
      <c r="E3291" t="s">
        <v>6332</v>
      </c>
      <c r="F3291" t="s">
        <v>14649</v>
      </c>
      <c r="G3291" t="s">
        <v>12784</v>
      </c>
      <c r="H3291" t="s">
        <v>5474</v>
      </c>
      <c r="I3291" t="s">
        <v>14650</v>
      </c>
      <c r="J3291" t="s">
        <v>5476</v>
      </c>
      <c r="K3291" t="s">
        <v>14651</v>
      </c>
      <c r="L3291" t="s">
        <v>5471</v>
      </c>
      <c r="M3291" t="s">
        <v>5471</v>
      </c>
    </row>
    <row r="3292" spans="1:13" x14ac:dyDescent="0.3">
      <c r="A3292" t="s">
        <v>3397</v>
      </c>
      <c r="B3292" t="s">
        <v>5301</v>
      </c>
      <c r="C3292" t="s">
        <v>6342</v>
      </c>
      <c r="D3292" t="s">
        <v>4119</v>
      </c>
      <c r="E3292" t="s">
        <v>6332</v>
      </c>
      <c r="F3292" t="s">
        <v>12678</v>
      </c>
      <c r="G3292" t="s">
        <v>12784</v>
      </c>
      <c r="H3292" t="s">
        <v>5474</v>
      </c>
      <c r="I3292" t="s">
        <v>14652</v>
      </c>
      <c r="J3292" t="s">
        <v>5476</v>
      </c>
      <c r="K3292" t="s">
        <v>12680</v>
      </c>
      <c r="L3292" t="s">
        <v>5471</v>
      </c>
      <c r="M3292" t="s">
        <v>5471</v>
      </c>
    </row>
    <row r="3293" spans="1:13" x14ac:dyDescent="0.3">
      <c r="A3293" t="s">
        <v>3397</v>
      </c>
      <c r="B3293" t="s">
        <v>5301</v>
      </c>
      <c r="C3293" t="s">
        <v>6342</v>
      </c>
      <c r="D3293" t="s">
        <v>4119</v>
      </c>
      <c r="E3293" t="s">
        <v>6332</v>
      </c>
      <c r="F3293" t="s">
        <v>14653</v>
      </c>
      <c r="G3293" t="s">
        <v>12784</v>
      </c>
      <c r="H3293" t="s">
        <v>5474</v>
      </c>
      <c r="I3293" t="s">
        <v>14654</v>
      </c>
      <c r="J3293" t="s">
        <v>5476</v>
      </c>
      <c r="K3293" t="s">
        <v>14655</v>
      </c>
      <c r="L3293" t="s">
        <v>5471</v>
      </c>
      <c r="M3293" t="s">
        <v>5471</v>
      </c>
    </row>
    <row r="3294" spans="1:13" x14ac:dyDescent="0.3">
      <c r="A3294" t="s">
        <v>3397</v>
      </c>
      <c r="B3294" t="s">
        <v>5301</v>
      </c>
      <c r="C3294" t="s">
        <v>6342</v>
      </c>
      <c r="D3294" t="s">
        <v>4119</v>
      </c>
      <c r="E3294" t="s">
        <v>6332</v>
      </c>
      <c r="F3294" t="s">
        <v>14656</v>
      </c>
      <c r="G3294" t="s">
        <v>12784</v>
      </c>
      <c r="H3294" t="s">
        <v>5474</v>
      </c>
      <c r="I3294" t="s">
        <v>14657</v>
      </c>
      <c r="J3294" t="s">
        <v>5476</v>
      </c>
      <c r="K3294" t="s">
        <v>14658</v>
      </c>
      <c r="L3294" t="s">
        <v>5471</v>
      </c>
      <c r="M3294" t="s">
        <v>5471</v>
      </c>
    </row>
    <row r="3295" spans="1:13" x14ac:dyDescent="0.3">
      <c r="A3295" t="s">
        <v>3397</v>
      </c>
      <c r="B3295" t="s">
        <v>5301</v>
      </c>
      <c r="C3295" t="s">
        <v>6342</v>
      </c>
      <c r="D3295" t="s">
        <v>4119</v>
      </c>
      <c r="E3295" t="s">
        <v>6332</v>
      </c>
      <c r="F3295" t="s">
        <v>14659</v>
      </c>
      <c r="G3295" t="s">
        <v>12784</v>
      </c>
      <c r="H3295" t="s">
        <v>5474</v>
      </c>
      <c r="I3295" t="s">
        <v>14660</v>
      </c>
      <c r="J3295" t="s">
        <v>5476</v>
      </c>
      <c r="K3295" t="s">
        <v>14661</v>
      </c>
      <c r="L3295" t="s">
        <v>5471</v>
      </c>
      <c r="M3295" t="s">
        <v>5471</v>
      </c>
    </row>
    <row r="3296" spans="1:13" x14ac:dyDescent="0.3">
      <c r="A3296" t="s">
        <v>3397</v>
      </c>
      <c r="B3296" t="s">
        <v>5301</v>
      </c>
      <c r="C3296" t="s">
        <v>6342</v>
      </c>
      <c r="D3296" t="s">
        <v>4119</v>
      </c>
      <c r="E3296" t="s">
        <v>6332</v>
      </c>
      <c r="F3296" t="s">
        <v>14662</v>
      </c>
      <c r="G3296" t="s">
        <v>12784</v>
      </c>
      <c r="H3296" t="s">
        <v>5474</v>
      </c>
      <c r="I3296" t="s">
        <v>14663</v>
      </c>
      <c r="J3296" t="s">
        <v>5476</v>
      </c>
      <c r="K3296" t="s">
        <v>14664</v>
      </c>
      <c r="L3296" t="s">
        <v>5471</v>
      </c>
      <c r="M3296" t="s">
        <v>5471</v>
      </c>
    </row>
    <row r="3297" spans="1:13" x14ac:dyDescent="0.3">
      <c r="A3297" t="s">
        <v>3397</v>
      </c>
      <c r="B3297" t="s">
        <v>5301</v>
      </c>
      <c r="C3297" t="s">
        <v>6342</v>
      </c>
      <c r="D3297" t="s">
        <v>4119</v>
      </c>
      <c r="E3297" t="s">
        <v>6332</v>
      </c>
      <c r="F3297" t="s">
        <v>14665</v>
      </c>
      <c r="G3297" t="s">
        <v>12784</v>
      </c>
      <c r="H3297" t="s">
        <v>5474</v>
      </c>
      <c r="I3297" t="s">
        <v>14666</v>
      </c>
      <c r="J3297" t="s">
        <v>5476</v>
      </c>
      <c r="K3297" t="s">
        <v>14667</v>
      </c>
      <c r="L3297" t="s">
        <v>5471</v>
      </c>
      <c r="M3297" t="s">
        <v>5471</v>
      </c>
    </row>
    <row r="3298" spans="1:13" x14ac:dyDescent="0.3">
      <c r="A3298" t="s">
        <v>3397</v>
      </c>
      <c r="B3298" t="s">
        <v>5301</v>
      </c>
      <c r="C3298" t="s">
        <v>6342</v>
      </c>
      <c r="D3298" t="s">
        <v>4119</v>
      </c>
      <c r="E3298" t="s">
        <v>6332</v>
      </c>
      <c r="F3298" t="s">
        <v>14668</v>
      </c>
      <c r="G3298" t="s">
        <v>12784</v>
      </c>
      <c r="H3298" t="s">
        <v>5474</v>
      </c>
      <c r="I3298" t="s">
        <v>14669</v>
      </c>
      <c r="J3298" t="s">
        <v>5476</v>
      </c>
      <c r="K3298" t="s">
        <v>14670</v>
      </c>
      <c r="L3298" t="s">
        <v>5471</v>
      </c>
      <c r="M3298" t="s">
        <v>5471</v>
      </c>
    </row>
    <row r="3299" spans="1:13" x14ac:dyDescent="0.3">
      <c r="A3299" t="s">
        <v>3397</v>
      </c>
      <c r="B3299" t="s">
        <v>5301</v>
      </c>
      <c r="C3299" t="s">
        <v>6342</v>
      </c>
      <c r="D3299" t="s">
        <v>4119</v>
      </c>
      <c r="E3299" t="s">
        <v>6332</v>
      </c>
      <c r="F3299" t="s">
        <v>14671</v>
      </c>
      <c r="G3299" t="s">
        <v>12784</v>
      </c>
      <c r="H3299" t="s">
        <v>5474</v>
      </c>
      <c r="I3299" t="s">
        <v>14672</v>
      </c>
      <c r="J3299" t="s">
        <v>5476</v>
      </c>
      <c r="K3299" t="s">
        <v>14673</v>
      </c>
      <c r="L3299" t="s">
        <v>5471</v>
      </c>
      <c r="M3299" t="s">
        <v>5471</v>
      </c>
    </row>
    <row r="3300" spans="1:13" x14ac:dyDescent="0.3">
      <c r="A3300" t="s">
        <v>3397</v>
      </c>
      <c r="B3300" t="s">
        <v>5301</v>
      </c>
      <c r="C3300" t="s">
        <v>6342</v>
      </c>
      <c r="D3300" t="s">
        <v>4119</v>
      </c>
      <c r="E3300" t="s">
        <v>6332</v>
      </c>
      <c r="F3300" t="s">
        <v>14674</v>
      </c>
      <c r="G3300" t="s">
        <v>12784</v>
      </c>
      <c r="H3300" t="s">
        <v>5474</v>
      </c>
      <c r="I3300" t="s">
        <v>14675</v>
      </c>
      <c r="J3300" t="s">
        <v>5476</v>
      </c>
      <c r="K3300" t="s">
        <v>14676</v>
      </c>
      <c r="L3300" t="s">
        <v>5471</v>
      </c>
      <c r="M3300" t="s">
        <v>5471</v>
      </c>
    </row>
    <row r="3301" spans="1:13" x14ac:dyDescent="0.3">
      <c r="A3301" t="s">
        <v>3397</v>
      </c>
      <c r="B3301" t="s">
        <v>5301</v>
      </c>
      <c r="C3301" t="s">
        <v>6342</v>
      </c>
      <c r="D3301" t="s">
        <v>4119</v>
      </c>
      <c r="E3301" t="s">
        <v>6332</v>
      </c>
      <c r="F3301" t="s">
        <v>14677</v>
      </c>
      <c r="G3301" t="s">
        <v>12784</v>
      </c>
      <c r="H3301" t="s">
        <v>5474</v>
      </c>
      <c r="I3301" t="s">
        <v>14678</v>
      </c>
      <c r="J3301" t="s">
        <v>5476</v>
      </c>
      <c r="K3301" t="s">
        <v>14679</v>
      </c>
      <c r="L3301" t="s">
        <v>5471</v>
      </c>
      <c r="M3301" t="s">
        <v>5471</v>
      </c>
    </row>
    <row r="3302" spans="1:13" x14ac:dyDescent="0.3">
      <c r="A3302" t="s">
        <v>3397</v>
      </c>
      <c r="B3302" t="s">
        <v>5301</v>
      </c>
      <c r="C3302" t="s">
        <v>6342</v>
      </c>
      <c r="D3302" t="s">
        <v>4119</v>
      </c>
      <c r="E3302" t="s">
        <v>6332</v>
      </c>
      <c r="F3302" t="s">
        <v>14680</v>
      </c>
      <c r="G3302" t="s">
        <v>12784</v>
      </c>
      <c r="H3302" t="s">
        <v>5474</v>
      </c>
      <c r="I3302" t="s">
        <v>14681</v>
      </c>
      <c r="J3302" t="s">
        <v>5476</v>
      </c>
      <c r="K3302" t="s">
        <v>14682</v>
      </c>
      <c r="L3302" t="s">
        <v>5471</v>
      </c>
      <c r="M3302" t="s">
        <v>5471</v>
      </c>
    </row>
    <row r="3303" spans="1:13" x14ac:dyDescent="0.3">
      <c r="A3303" t="s">
        <v>3397</v>
      </c>
      <c r="B3303" t="s">
        <v>5301</v>
      </c>
      <c r="C3303" t="s">
        <v>6342</v>
      </c>
      <c r="D3303" t="s">
        <v>4119</v>
      </c>
      <c r="E3303" t="s">
        <v>6332</v>
      </c>
      <c r="F3303" t="s">
        <v>14683</v>
      </c>
      <c r="G3303" t="s">
        <v>12784</v>
      </c>
      <c r="H3303" t="s">
        <v>5474</v>
      </c>
      <c r="I3303" t="s">
        <v>14684</v>
      </c>
      <c r="J3303" t="s">
        <v>5476</v>
      </c>
      <c r="K3303" t="s">
        <v>14685</v>
      </c>
      <c r="L3303" t="s">
        <v>5471</v>
      </c>
      <c r="M3303" t="s">
        <v>5471</v>
      </c>
    </row>
    <row r="3304" spans="1:13" x14ac:dyDescent="0.3">
      <c r="A3304" t="s">
        <v>3397</v>
      </c>
      <c r="B3304" t="s">
        <v>5301</v>
      </c>
      <c r="C3304" t="s">
        <v>6342</v>
      </c>
      <c r="D3304" t="s">
        <v>4119</v>
      </c>
      <c r="E3304" t="s">
        <v>6332</v>
      </c>
      <c r="F3304" t="s">
        <v>14686</v>
      </c>
      <c r="G3304" t="s">
        <v>12784</v>
      </c>
      <c r="H3304" t="s">
        <v>5474</v>
      </c>
      <c r="I3304" t="s">
        <v>14687</v>
      </c>
      <c r="J3304" t="s">
        <v>5476</v>
      </c>
      <c r="K3304" t="s">
        <v>14688</v>
      </c>
      <c r="L3304" t="s">
        <v>5471</v>
      </c>
      <c r="M3304" t="s">
        <v>5471</v>
      </c>
    </row>
    <row r="3305" spans="1:13" x14ac:dyDescent="0.3">
      <c r="A3305" t="s">
        <v>3397</v>
      </c>
      <c r="B3305" t="s">
        <v>5301</v>
      </c>
      <c r="C3305" t="s">
        <v>6342</v>
      </c>
      <c r="D3305" t="s">
        <v>4119</v>
      </c>
      <c r="E3305" t="s">
        <v>6332</v>
      </c>
      <c r="F3305" t="s">
        <v>14689</v>
      </c>
      <c r="G3305" t="s">
        <v>12784</v>
      </c>
      <c r="H3305" t="s">
        <v>5474</v>
      </c>
      <c r="I3305" t="s">
        <v>14690</v>
      </c>
      <c r="J3305" t="s">
        <v>5476</v>
      </c>
      <c r="K3305" t="s">
        <v>14691</v>
      </c>
      <c r="L3305" t="s">
        <v>5471</v>
      </c>
      <c r="M3305" t="s">
        <v>5471</v>
      </c>
    </row>
    <row r="3306" spans="1:13" x14ac:dyDescent="0.3">
      <c r="A3306" t="s">
        <v>3397</v>
      </c>
      <c r="B3306" t="s">
        <v>5301</v>
      </c>
      <c r="C3306" t="s">
        <v>6342</v>
      </c>
      <c r="D3306" t="s">
        <v>4119</v>
      </c>
      <c r="E3306" t="s">
        <v>6332</v>
      </c>
      <c r="F3306" t="s">
        <v>14692</v>
      </c>
      <c r="G3306" t="s">
        <v>12784</v>
      </c>
      <c r="H3306" t="s">
        <v>5474</v>
      </c>
      <c r="I3306" t="s">
        <v>14693</v>
      </c>
      <c r="J3306" t="s">
        <v>5476</v>
      </c>
      <c r="K3306" t="s">
        <v>14694</v>
      </c>
      <c r="L3306" t="s">
        <v>5471</v>
      </c>
      <c r="M3306" t="s">
        <v>5471</v>
      </c>
    </row>
    <row r="3307" spans="1:13" x14ac:dyDescent="0.3">
      <c r="A3307" t="s">
        <v>3397</v>
      </c>
      <c r="B3307" t="s">
        <v>5301</v>
      </c>
      <c r="C3307" t="s">
        <v>6342</v>
      </c>
      <c r="D3307" t="s">
        <v>4119</v>
      </c>
      <c r="E3307" t="s">
        <v>6332</v>
      </c>
      <c r="F3307" t="s">
        <v>14695</v>
      </c>
      <c r="G3307" t="s">
        <v>12784</v>
      </c>
      <c r="H3307" t="s">
        <v>5474</v>
      </c>
      <c r="I3307" t="s">
        <v>14696</v>
      </c>
      <c r="J3307" t="s">
        <v>5476</v>
      </c>
      <c r="K3307" t="s">
        <v>14697</v>
      </c>
      <c r="L3307" t="s">
        <v>5471</v>
      </c>
      <c r="M3307" t="s">
        <v>5471</v>
      </c>
    </row>
    <row r="3308" spans="1:13" x14ac:dyDescent="0.3">
      <c r="A3308" t="s">
        <v>3397</v>
      </c>
      <c r="B3308" t="s">
        <v>5301</v>
      </c>
      <c r="C3308" t="s">
        <v>6342</v>
      </c>
      <c r="D3308" t="s">
        <v>4119</v>
      </c>
      <c r="E3308" t="s">
        <v>6332</v>
      </c>
      <c r="F3308" t="s">
        <v>14698</v>
      </c>
      <c r="G3308" t="s">
        <v>12784</v>
      </c>
      <c r="H3308" t="s">
        <v>5474</v>
      </c>
      <c r="I3308" t="s">
        <v>14699</v>
      </c>
      <c r="J3308" t="s">
        <v>5476</v>
      </c>
      <c r="K3308" t="s">
        <v>14700</v>
      </c>
      <c r="L3308" t="s">
        <v>5471</v>
      </c>
      <c r="M3308" t="s">
        <v>5471</v>
      </c>
    </row>
    <row r="3309" spans="1:13" x14ac:dyDescent="0.3">
      <c r="A3309" t="s">
        <v>3397</v>
      </c>
      <c r="B3309" t="s">
        <v>5301</v>
      </c>
      <c r="C3309" t="s">
        <v>6342</v>
      </c>
      <c r="D3309" t="s">
        <v>4119</v>
      </c>
      <c r="E3309" t="s">
        <v>6332</v>
      </c>
      <c r="F3309" t="s">
        <v>14701</v>
      </c>
      <c r="G3309" t="s">
        <v>12784</v>
      </c>
      <c r="H3309" t="s">
        <v>5474</v>
      </c>
      <c r="I3309" t="s">
        <v>14702</v>
      </c>
      <c r="J3309" t="s">
        <v>5476</v>
      </c>
      <c r="K3309" t="s">
        <v>14703</v>
      </c>
      <c r="L3309" t="s">
        <v>5471</v>
      </c>
      <c r="M3309" t="s">
        <v>5471</v>
      </c>
    </row>
    <row r="3310" spans="1:13" x14ac:dyDescent="0.3">
      <c r="A3310" t="s">
        <v>3397</v>
      </c>
      <c r="B3310" t="s">
        <v>5301</v>
      </c>
      <c r="C3310" t="s">
        <v>6342</v>
      </c>
      <c r="D3310" t="s">
        <v>4119</v>
      </c>
      <c r="E3310" t="s">
        <v>6332</v>
      </c>
      <c r="F3310" t="s">
        <v>14704</v>
      </c>
      <c r="G3310" t="s">
        <v>12784</v>
      </c>
      <c r="H3310" t="s">
        <v>5474</v>
      </c>
      <c r="I3310" t="s">
        <v>14705</v>
      </c>
      <c r="J3310" t="s">
        <v>5476</v>
      </c>
      <c r="K3310" t="s">
        <v>14706</v>
      </c>
      <c r="L3310" t="s">
        <v>5471</v>
      </c>
      <c r="M3310" t="s">
        <v>5471</v>
      </c>
    </row>
    <row r="3311" spans="1:13" x14ac:dyDescent="0.3">
      <c r="A3311" t="s">
        <v>3397</v>
      </c>
      <c r="B3311" t="s">
        <v>5301</v>
      </c>
      <c r="C3311" t="s">
        <v>6342</v>
      </c>
      <c r="D3311" t="s">
        <v>4119</v>
      </c>
      <c r="E3311" t="s">
        <v>6332</v>
      </c>
      <c r="F3311" t="s">
        <v>14707</v>
      </c>
      <c r="G3311" t="s">
        <v>12784</v>
      </c>
      <c r="H3311" t="s">
        <v>5474</v>
      </c>
      <c r="I3311" t="s">
        <v>14708</v>
      </c>
      <c r="J3311" t="s">
        <v>5476</v>
      </c>
      <c r="K3311" t="s">
        <v>14709</v>
      </c>
      <c r="L3311" t="s">
        <v>5471</v>
      </c>
      <c r="M3311" t="s">
        <v>5471</v>
      </c>
    </row>
    <row r="3312" spans="1:13" x14ac:dyDescent="0.3">
      <c r="A3312" t="s">
        <v>3397</v>
      </c>
      <c r="B3312" t="s">
        <v>5301</v>
      </c>
      <c r="C3312" t="s">
        <v>6342</v>
      </c>
      <c r="D3312" t="s">
        <v>4119</v>
      </c>
      <c r="E3312" t="s">
        <v>6332</v>
      </c>
      <c r="F3312" t="s">
        <v>14710</v>
      </c>
      <c r="G3312" t="s">
        <v>12784</v>
      </c>
      <c r="H3312" t="s">
        <v>5474</v>
      </c>
      <c r="I3312" t="s">
        <v>14711</v>
      </c>
      <c r="J3312" t="s">
        <v>5476</v>
      </c>
      <c r="K3312" t="s">
        <v>12641</v>
      </c>
      <c r="L3312" t="s">
        <v>5471</v>
      </c>
      <c r="M3312" t="s">
        <v>5471</v>
      </c>
    </row>
    <row r="3313" spans="1:13" x14ac:dyDescent="0.3">
      <c r="A3313" t="s">
        <v>3397</v>
      </c>
      <c r="B3313" t="s">
        <v>5301</v>
      </c>
      <c r="C3313" t="s">
        <v>6342</v>
      </c>
      <c r="D3313" t="s">
        <v>4119</v>
      </c>
      <c r="E3313" t="s">
        <v>6332</v>
      </c>
      <c r="F3313" t="s">
        <v>12642</v>
      </c>
      <c r="G3313" t="s">
        <v>12784</v>
      </c>
      <c r="H3313" t="s">
        <v>5474</v>
      </c>
      <c r="I3313" t="s">
        <v>14712</v>
      </c>
      <c r="J3313" t="s">
        <v>5476</v>
      </c>
      <c r="K3313" t="s">
        <v>12644</v>
      </c>
      <c r="L3313" t="s">
        <v>5471</v>
      </c>
      <c r="M3313" t="s">
        <v>5471</v>
      </c>
    </row>
    <row r="3314" spans="1:13" x14ac:dyDescent="0.3">
      <c r="A3314" t="s">
        <v>3397</v>
      </c>
      <c r="B3314" t="s">
        <v>5301</v>
      </c>
      <c r="C3314" t="s">
        <v>6342</v>
      </c>
      <c r="D3314" t="s">
        <v>4119</v>
      </c>
      <c r="E3314" t="s">
        <v>6332</v>
      </c>
      <c r="F3314" t="s">
        <v>12645</v>
      </c>
      <c r="G3314" t="s">
        <v>12784</v>
      </c>
      <c r="H3314" t="s">
        <v>5474</v>
      </c>
      <c r="I3314" t="s">
        <v>14713</v>
      </c>
      <c r="J3314" t="s">
        <v>5476</v>
      </c>
      <c r="K3314" t="s">
        <v>12647</v>
      </c>
      <c r="L3314" t="s">
        <v>5471</v>
      </c>
      <c r="M3314" t="s">
        <v>5471</v>
      </c>
    </row>
    <row r="3315" spans="1:13" x14ac:dyDescent="0.3">
      <c r="A3315" t="s">
        <v>3397</v>
      </c>
      <c r="B3315" t="s">
        <v>5301</v>
      </c>
      <c r="C3315" t="s">
        <v>6342</v>
      </c>
      <c r="D3315" t="s">
        <v>4119</v>
      </c>
      <c r="E3315" t="s">
        <v>6332</v>
      </c>
      <c r="F3315" t="s">
        <v>14714</v>
      </c>
      <c r="G3315" t="s">
        <v>12784</v>
      </c>
      <c r="H3315" t="s">
        <v>5474</v>
      </c>
      <c r="I3315" t="s">
        <v>14715</v>
      </c>
      <c r="J3315" t="s">
        <v>5476</v>
      </c>
      <c r="K3315" t="s">
        <v>14716</v>
      </c>
      <c r="L3315" t="s">
        <v>5471</v>
      </c>
      <c r="M3315" t="s">
        <v>5471</v>
      </c>
    </row>
    <row r="3316" spans="1:13" x14ac:dyDescent="0.3">
      <c r="A3316" t="s">
        <v>3397</v>
      </c>
      <c r="B3316" t="s">
        <v>5301</v>
      </c>
      <c r="C3316" t="s">
        <v>6342</v>
      </c>
      <c r="D3316" t="s">
        <v>4119</v>
      </c>
      <c r="E3316" t="s">
        <v>6332</v>
      </c>
      <c r="F3316" t="s">
        <v>12648</v>
      </c>
      <c r="G3316" t="s">
        <v>12784</v>
      </c>
      <c r="H3316" t="s">
        <v>5474</v>
      </c>
      <c r="I3316" t="s">
        <v>14717</v>
      </c>
      <c r="J3316" t="s">
        <v>5476</v>
      </c>
      <c r="K3316" t="s">
        <v>12650</v>
      </c>
      <c r="L3316" t="s">
        <v>5471</v>
      </c>
      <c r="M3316" t="s">
        <v>5471</v>
      </c>
    </row>
    <row r="3317" spans="1:13" x14ac:dyDescent="0.3">
      <c r="A3317" t="s">
        <v>3397</v>
      </c>
      <c r="B3317" t="s">
        <v>5301</v>
      </c>
      <c r="C3317" t="s">
        <v>6342</v>
      </c>
      <c r="D3317" t="s">
        <v>4119</v>
      </c>
      <c r="E3317" t="s">
        <v>6332</v>
      </c>
      <c r="F3317" t="s">
        <v>14718</v>
      </c>
      <c r="G3317" t="s">
        <v>12784</v>
      </c>
      <c r="H3317" t="s">
        <v>5474</v>
      </c>
      <c r="I3317" t="s">
        <v>14719</v>
      </c>
      <c r="J3317" t="s">
        <v>5476</v>
      </c>
      <c r="K3317" t="s">
        <v>14720</v>
      </c>
      <c r="L3317" t="s">
        <v>5471</v>
      </c>
      <c r="M3317" t="s">
        <v>5471</v>
      </c>
    </row>
    <row r="3318" spans="1:13" x14ac:dyDescent="0.3">
      <c r="A3318" t="s">
        <v>3397</v>
      </c>
      <c r="B3318" t="s">
        <v>5301</v>
      </c>
      <c r="C3318" t="s">
        <v>6342</v>
      </c>
      <c r="D3318" t="s">
        <v>4119</v>
      </c>
      <c r="E3318" t="s">
        <v>6332</v>
      </c>
      <c r="F3318" t="s">
        <v>14721</v>
      </c>
      <c r="G3318" t="s">
        <v>12784</v>
      </c>
      <c r="H3318" t="s">
        <v>5474</v>
      </c>
      <c r="I3318" t="s">
        <v>14722</v>
      </c>
      <c r="J3318" t="s">
        <v>5476</v>
      </c>
      <c r="K3318" t="s">
        <v>14723</v>
      </c>
      <c r="L3318" t="s">
        <v>5471</v>
      </c>
      <c r="M3318" t="s">
        <v>5471</v>
      </c>
    </row>
    <row r="3319" spans="1:13" x14ac:dyDescent="0.3">
      <c r="A3319" t="s">
        <v>3397</v>
      </c>
      <c r="B3319" t="s">
        <v>5301</v>
      </c>
      <c r="C3319" t="s">
        <v>6342</v>
      </c>
      <c r="D3319" t="s">
        <v>4119</v>
      </c>
      <c r="E3319" t="s">
        <v>6332</v>
      </c>
      <c r="F3319" t="s">
        <v>14724</v>
      </c>
      <c r="G3319" t="s">
        <v>12784</v>
      </c>
      <c r="H3319" t="s">
        <v>5474</v>
      </c>
      <c r="I3319" t="s">
        <v>14725</v>
      </c>
      <c r="J3319" t="s">
        <v>5476</v>
      </c>
      <c r="K3319" t="s">
        <v>14726</v>
      </c>
      <c r="L3319" t="s">
        <v>5471</v>
      </c>
      <c r="M3319" t="s">
        <v>5471</v>
      </c>
    </row>
    <row r="3320" spans="1:13" x14ac:dyDescent="0.3">
      <c r="A3320" t="s">
        <v>3397</v>
      </c>
      <c r="B3320" t="s">
        <v>5301</v>
      </c>
      <c r="C3320" t="s">
        <v>6342</v>
      </c>
      <c r="D3320" t="s">
        <v>4119</v>
      </c>
      <c r="E3320" t="s">
        <v>6332</v>
      </c>
      <c r="F3320" t="s">
        <v>14727</v>
      </c>
      <c r="G3320" t="s">
        <v>12784</v>
      </c>
      <c r="H3320" t="s">
        <v>5474</v>
      </c>
      <c r="I3320" t="s">
        <v>14728</v>
      </c>
      <c r="J3320" t="s">
        <v>5476</v>
      </c>
      <c r="K3320" t="s">
        <v>14729</v>
      </c>
      <c r="L3320" t="s">
        <v>5471</v>
      </c>
      <c r="M3320" t="s">
        <v>5471</v>
      </c>
    </row>
    <row r="3321" spans="1:13" x14ac:dyDescent="0.3">
      <c r="A3321" t="s">
        <v>3397</v>
      </c>
      <c r="B3321" t="s">
        <v>5301</v>
      </c>
      <c r="C3321" t="s">
        <v>6342</v>
      </c>
      <c r="D3321" t="s">
        <v>4119</v>
      </c>
      <c r="E3321" t="s">
        <v>6332</v>
      </c>
      <c r="F3321" t="s">
        <v>14730</v>
      </c>
      <c r="G3321" t="s">
        <v>12784</v>
      </c>
      <c r="H3321" t="s">
        <v>5474</v>
      </c>
      <c r="I3321" t="s">
        <v>14731</v>
      </c>
      <c r="J3321" t="s">
        <v>5476</v>
      </c>
      <c r="K3321" t="s">
        <v>14732</v>
      </c>
      <c r="L3321" t="s">
        <v>5471</v>
      </c>
      <c r="M3321" t="s">
        <v>5471</v>
      </c>
    </row>
    <row r="3322" spans="1:13" x14ac:dyDescent="0.3">
      <c r="A3322" t="s">
        <v>3397</v>
      </c>
      <c r="B3322" t="s">
        <v>5301</v>
      </c>
      <c r="C3322" t="s">
        <v>6342</v>
      </c>
      <c r="D3322" t="s">
        <v>4119</v>
      </c>
      <c r="E3322" t="s">
        <v>6332</v>
      </c>
      <c r="F3322" t="s">
        <v>14733</v>
      </c>
      <c r="G3322" t="s">
        <v>12784</v>
      </c>
      <c r="H3322" t="s">
        <v>5474</v>
      </c>
      <c r="I3322" t="s">
        <v>14734</v>
      </c>
      <c r="J3322" t="s">
        <v>5476</v>
      </c>
      <c r="K3322" t="s">
        <v>14735</v>
      </c>
      <c r="L3322" t="s">
        <v>5471</v>
      </c>
      <c r="M3322" t="s">
        <v>5471</v>
      </c>
    </row>
    <row r="3323" spans="1:13" x14ac:dyDescent="0.3">
      <c r="A3323" t="s">
        <v>3397</v>
      </c>
      <c r="B3323" t="s">
        <v>5301</v>
      </c>
      <c r="C3323" t="s">
        <v>6342</v>
      </c>
      <c r="D3323" t="s">
        <v>4119</v>
      </c>
      <c r="E3323" t="s">
        <v>6332</v>
      </c>
      <c r="F3323" t="s">
        <v>12651</v>
      </c>
      <c r="G3323" t="s">
        <v>12784</v>
      </c>
      <c r="H3323" t="s">
        <v>5474</v>
      </c>
      <c r="I3323" t="s">
        <v>14736</v>
      </c>
      <c r="J3323" t="s">
        <v>5476</v>
      </c>
      <c r="K3323" t="s">
        <v>12653</v>
      </c>
      <c r="L3323" t="s">
        <v>5471</v>
      </c>
      <c r="M3323" t="s">
        <v>5471</v>
      </c>
    </row>
    <row r="3324" spans="1:13" x14ac:dyDescent="0.3">
      <c r="A3324" t="s">
        <v>3397</v>
      </c>
      <c r="B3324" t="s">
        <v>5301</v>
      </c>
      <c r="C3324" t="s">
        <v>6342</v>
      </c>
      <c r="D3324" t="s">
        <v>4119</v>
      </c>
      <c r="E3324" t="s">
        <v>6332</v>
      </c>
      <c r="F3324" t="s">
        <v>12654</v>
      </c>
      <c r="G3324" t="s">
        <v>12784</v>
      </c>
      <c r="H3324" t="s">
        <v>5474</v>
      </c>
      <c r="I3324" t="s">
        <v>14737</v>
      </c>
      <c r="J3324" t="s">
        <v>5476</v>
      </c>
      <c r="K3324" t="s">
        <v>12656</v>
      </c>
      <c r="L3324" t="s">
        <v>5471</v>
      </c>
      <c r="M3324" t="s">
        <v>5471</v>
      </c>
    </row>
    <row r="3325" spans="1:13" x14ac:dyDescent="0.3">
      <c r="A3325" t="s">
        <v>3397</v>
      </c>
      <c r="B3325" t="s">
        <v>5301</v>
      </c>
      <c r="C3325" t="s">
        <v>6342</v>
      </c>
      <c r="D3325" t="s">
        <v>4119</v>
      </c>
      <c r="E3325" t="s">
        <v>6332</v>
      </c>
      <c r="F3325" t="s">
        <v>12657</v>
      </c>
      <c r="G3325" t="s">
        <v>12784</v>
      </c>
      <c r="H3325" t="s">
        <v>5474</v>
      </c>
      <c r="I3325" t="s">
        <v>14738</v>
      </c>
      <c r="J3325" t="s">
        <v>5476</v>
      </c>
      <c r="K3325" t="s">
        <v>12659</v>
      </c>
      <c r="L3325" t="s">
        <v>5471</v>
      </c>
      <c r="M3325" t="s">
        <v>5471</v>
      </c>
    </row>
    <row r="3326" spans="1:13" x14ac:dyDescent="0.3">
      <c r="A3326" t="s">
        <v>3397</v>
      </c>
      <c r="B3326" t="s">
        <v>5301</v>
      </c>
      <c r="C3326" t="s">
        <v>6342</v>
      </c>
      <c r="D3326" t="s">
        <v>4119</v>
      </c>
      <c r="E3326" t="s">
        <v>6332</v>
      </c>
      <c r="F3326" t="s">
        <v>12660</v>
      </c>
      <c r="G3326" t="s">
        <v>12784</v>
      </c>
      <c r="H3326" t="s">
        <v>5474</v>
      </c>
      <c r="I3326" t="s">
        <v>14739</v>
      </c>
      <c r="J3326" t="s">
        <v>5476</v>
      </c>
      <c r="K3326" t="s">
        <v>12662</v>
      </c>
      <c r="L3326" t="s">
        <v>5471</v>
      </c>
      <c r="M3326" t="s">
        <v>5471</v>
      </c>
    </row>
    <row r="3327" spans="1:13" x14ac:dyDescent="0.3">
      <c r="A3327" t="s">
        <v>3397</v>
      </c>
      <c r="B3327" t="s">
        <v>5301</v>
      </c>
      <c r="C3327" t="s">
        <v>6342</v>
      </c>
      <c r="D3327" t="s">
        <v>4119</v>
      </c>
      <c r="E3327" t="s">
        <v>6332</v>
      </c>
      <c r="F3327" t="s">
        <v>12663</v>
      </c>
      <c r="G3327" t="s">
        <v>12784</v>
      </c>
      <c r="H3327" t="s">
        <v>5474</v>
      </c>
      <c r="I3327" t="s">
        <v>14740</v>
      </c>
      <c r="J3327" t="s">
        <v>5476</v>
      </c>
      <c r="K3327" t="s">
        <v>12665</v>
      </c>
      <c r="L3327" t="s">
        <v>5471</v>
      </c>
      <c r="M3327" t="s">
        <v>5471</v>
      </c>
    </row>
    <row r="3328" spans="1:13" x14ac:dyDescent="0.3">
      <c r="A3328" t="s">
        <v>3397</v>
      </c>
      <c r="B3328" t="s">
        <v>5301</v>
      </c>
      <c r="C3328" t="s">
        <v>6342</v>
      </c>
      <c r="D3328" t="s">
        <v>4119</v>
      </c>
      <c r="E3328" t="s">
        <v>6332</v>
      </c>
      <c r="F3328" t="s">
        <v>12666</v>
      </c>
      <c r="G3328" t="s">
        <v>12784</v>
      </c>
      <c r="H3328" t="s">
        <v>5474</v>
      </c>
      <c r="I3328" t="s">
        <v>14741</v>
      </c>
      <c r="J3328" t="s">
        <v>5476</v>
      </c>
      <c r="K3328" t="s">
        <v>12668</v>
      </c>
      <c r="L3328" t="s">
        <v>5471</v>
      </c>
      <c r="M3328" t="s">
        <v>5471</v>
      </c>
    </row>
    <row r="3329" spans="1:13" x14ac:dyDescent="0.3">
      <c r="A3329" t="s">
        <v>3397</v>
      </c>
      <c r="B3329" t="s">
        <v>5301</v>
      </c>
      <c r="C3329" t="s">
        <v>6342</v>
      </c>
      <c r="D3329" t="s">
        <v>4119</v>
      </c>
      <c r="E3329" t="s">
        <v>6332</v>
      </c>
      <c r="F3329" t="s">
        <v>12669</v>
      </c>
      <c r="G3329" t="s">
        <v>12784</v>
      </c>
      <c r="H3329" t="s">
        <v>5474</v>
      </c>
      <c r="I3329" t="s">
        <v>14742</v>
      </c>
      <c r="J3329" t="s">
        <v>5476</v>
      </c>
      <c r="K3329" t="s">
        <v>12671</v>
      </c>
      <c r="L3329" t="s">
        <v>5471</v>
      </c>
      <c r="M3329" t="s">
        <v>5471</v>
      </c>
    </row>
    <row r="3330" spans="1:13" x14ac:dyDescent="0.3">
      <c r="A3330" t="s">
        <v>3397</v>
      </c>
      <c r="B3330" t="s">
        <v>5301</v>
      </c>
      <c r="C3330" t="s">
        <v>6342</v>
      </c>
      <c r="D3330" t="s">
        <v>4119</v>
      </c>
      <c r="E3330" t="s">
        <v>6332</v>
      </c>
      <c r="F3330" t="s">
        <v>12636</v>
      </c>
      <c r="G3330" t="s">
        <v>12784</v>
      </c>
      <c r="H3330" t="s">
        <v>5474</v>
      </c>
      <c r="I3330" t="s">
        <v>14743</v>
      </c>
      <c r="J3330" t="s">
        <v>5476</v>
      </c>
      <c r="K3330" t="s">
        <v>12638</v>
      </c>
      <c r="L3330" t="s">
        <v>5471</v>
      </c>
      <c r="M3330" t="s">
        <v>5471</v>
      </c>
    </row>
    <row r="3331" spans="1:13" x14ac:dyDescent="0.3">
      <c r="A3331" t="s">
        <v>3397</v>
      </c>
      <c r="B3331" t="s">
        <v>5301</v>
      </c>
      <c r="C3331" t="s">
        <v>6342</v>
      </c>
      <c r="D3331" t="s">
        <v>4119</v>
      </c>
      <c r="E3331" t="s">
        <v>6332</v>
      </c>
      <c r="F3331" t="s">
        <v>12633</v>
      </c>
      <c r="G3331" t="s">
        <v>12784</v>
      </c>
      <c r="H3331" t="s">
        <v>5474</v>
      </c>
      <c r="I3331" t="s">
        <v>14744</v>
      </c>
      <c r="J3331" t="s">
        <v>5476</v>
      </c>
      <c r="K3331" t="s">
        <v>12635</v>
      </c>
      <c r="L3331" t="s">
        <v>5471</v>
      </c>
      <c r="M3331" t="s">
        <v>5471</v>
      </c>
    </row>
    <row r="3332" spans="1:13" x14ac:dyDescent="0.3">
      <c r="A3332" t="s">
        <v>3397</v>
      </c>
      <c r="B3332" t="s">
        <v>5301</v>
      </c>
      <c r="C3332" t="s">
        <v>6342</v>
      </c>
      <c r="D3332" t="s">
        <v>4119</v>
      </c>
      <c r="E3332" t="s">
        <v>6332</v>
      </c>
      <c r="F3332" t="s">
        <v>14745</v>
      </c>
      <c r="G3332" t="s">
        <v>12784</v>
      </c>
      <c r="H3332" t="s">
        <v>5474</v>
      </c>
      <c r="I3332" t="s">
        <v>14746</v>
      </c>
      <c r="J3332" t="s">
        <v>5476</v>
      </c>
      <c r="K3332" t="s">
        <v>14747</v>
      </c>
      <c r="L3332" t="s">
        <v>5471</v>
      </c>
      <c r="M3332" t="s">
        <v>5471</v>
      </c>
    </row>
    <row r="3333" spans="1:13" x14ac:dyDescent="0.3">
      <c r="A3333" t="s">
        <v>3397</v>
      </c>
      <c r="B3333" t="s">
        <v>5301</v>
      </c>
      <c r="C3333" t="s">
        <v>6342</v>
      </c>
      <c r="D3333" t="s">
        <v>4119</v>
      </c>
      <c r="E3333" t="s">
        <v>6332</v>
      </c>
      <c r="F3333" t="s">
        <v>14748</v>
      </c>
      <c r="G3333" t="s">
        <v>12784</v>
      </c>
      <c r="H3333" t="s">
        <v>5474</v>
      </c>
      <c r="I3333" t="s">
        <v>14749</v>
      </c>
      <c r="J3333" t="s">
        <v>5476</v>
      </c>
      <c r="K3333" t="s">
        <v>14750</v>
      </c>
      <c r="L3333" t="s">
        <v>5471</v>
      </c>
      <c r="M3333" t="s">
        <v>5471</v>
      </c>
    </row>
    <row r="3334" spans="1:13" x14ac:dyDescent="0.3">
      <c r="A3334" t="s">
        <v>3397</v>
      </c>
      <c r="B3334" t="s">
        <v>5301</v>
      </c>
      <c r="C3334" t="s">
        <v>6342</v>
      </c>
      <c r="D3334" t="s">
        <v>4119</v>
      </c>
      <c r="E3334" t="s">
        <v>6332</v>
      </c>
      <c r="F3334" t="s">
        <v>14751</v>
      </c>
      <c r="G3334" t="s">
        <v>12784</v>
      </c>
      <c r="H3334" t="s">
        <v>5474</v>
      </c>
      <c r="I3334" t="s">
        <v>14752</v>
      </c>
      <c r="J3334" t="s">
        <v>5476</v>
      </c>
      <c r="K3334" t="s">
        <v>14753</v>
      </c>
      <c r="L3334" t="s">
        <v>5471</v>
      </c>
      <c r="M3334" t="s">
        <v>5471</v>
      </c>
    </row>
    <row r="3335" spans="1:13" x14ac:dyDescent="0.3">
      <c r="A3335" t="s">
        <v>3397</v>
      </c>
      <c r="B3335" t="s">
        <v>5301</v>
      </c>
      <c r="C3335" t="s">
        <v>6342</v>
      </c>
      <c r="D3335" t="s">
        <v>4119</v>
      </c>
      <c r="E3335" t="s">
        <v>6332</v>
      </c>
      <c r="F3335" t="s">
        <v>14754</v>
      </c>
      <c r="G3335" t="s">
        <v>12784</v>
      </c>
      <c r="H3335" t="s">
        <v>5474</v>
      </c>
      <c r="I3335" t="s">
        <v>14755</v>
      </c>
      <c r="J3335" t="s">
        <v>5476</v>
      </c>
      <c r="K3335" t="s">
        <v>14756</v>
      </c>
      <c r="L3335" t="s">
        <v>5471</v>
      </c>
      <c r="M3335" t="s">
        <v>5471</v>
      </c>
    </row>
    <row r="3336" spans="1:13" x14ac:dyDescent="0.3">
      <c r="A3336" t="s">
        <v>3397</v>
      </c>
      <c r="B3336" t="s">
        <v>5301</v>
      </c>
      <c r="C3336" t="s">
        <v>6342</v>
      </c>
      <c r="D3336" t="s">
        <v>4119</v>
      </c>
      <c r="E3336" t="s">
        <v>6332</v>
      </c>
      <c r="F3336" t="s">
        <v>14757</v>
      </c>
      <c r="G3336" t="s">
        <v>12784</v>
      </c>
      <c r="H3336" t="s">
        <v>5474</v>
      </c>
      <c r="I3336" t="s">
        <v>14758</v>
      </c>
      <c r="J3336" t="s">
        <v>5476</v>
      </c>
      <c r="K3336" t="s">
        <v>14759</v>
      </c>
      <c r="L3336" t="s">
        <v>5471</v>
      </c>
      <c r="M3336" t="s">
        <v>5471</v>
      </c>
    </row>
    <row r="3337" spans="1:13" x14ac:dyDescent="0.3">
      <c r="A3337" t="s">
        <v>3397</v>
      </c>
      <c r="B3337" t="s">
        <v>5301</v>
      </c>
      <c r="C3337" t="s">
        <v>6342</v>
      </c>
      <c r="D3337" t="s">
        <v>4119</v>
      </c>
      <c r="E3337" t="s">
        <v>6332</v>
      </c>
      <c r="F3337" t="s">
        <v>14760</v>
      </c>
      <c r="G3337" t="s">
        <v>12784</v>
      </c>
      <c r="H3337" t="s">
        <v>5474</v>
      </c>
      <c r="I3337" t="s">
        <v>14761</v>
      </c>
      <c r="J3337" t="s">
        <v>5476</v>
      </c>
      <c r="K3337" t="s">
        <v>14762</v>
      </c>
      <c r="L3337" t="s">
        <v>5471</v>
      </c>
      <c r="M3337" t="s">
        <v>5471</v>
      </c>
    </row>
    <row r="3338" spans="1:13" x14ac:dyDescent="0.3">
      <c r="A3338" t="s">
        <v>3397</v>
      </c>
      <c r="B3338" t="s">
        <v>5301</v>
      </c>
      <c r="C3338" t="s">
        <v>6342</v>
      </c>
      <c r="D3338" t="s">
        <v>4119</v>
      </c>
      <c r="E3338" t="s">
        <v>6332</v>
      </c>
      <c r="F3338" t="s">
        <v>14763</v>
      </c>
      <c r="G3338" t="s">
        <v>12784</v>
      </c>
      <c r="H3338" t="s">
        <v>5474</v>
      </c>
      <c r="I3338" t="s">
        <v>14764</v>
      </c>
      <c r="J3338" t="s">
        <v>5476</v>
      </c>
      <c r="K3338" t="s">
        <v>14765</v>
      </c>
      <c r="L3338" t="s">
        <v>5471</v>
      </c>
      <c r="M3338" t="s">
        <v>5471</v>
      </c>
    </row>
    <row r="3339" spans="1:13" x14ac:dyDescent="0.3">
      <c r="A3339" t="s">
        <v>3397</v>
      </c>
      <c r="B3339" t="s">
        <v>5301</v>
      </c>
      <c r="C3339" t="s">
        <v>6342</v>
      </c>
      <c r="D3339" t="s">
        <v>4119</v>
      </c>
      <c r="E3339" t="s">
        <v>6332</v>
      </c>
      <c r="F3339" t="s">
        <v>14766</v>
      </c>
      <c r="G3339" t="s">
        <v>12784</v>
      </c>
      <c r="H3339" t="s">
        <v>5474</v>
      </c>
      <c r="I3339" t="s">
        <v>14767</v>
      </c>
      <c r="J3339" t="s">
        <v>5476</v>
      </c>
      <c r="K3339" t="s">
        <v>14768</v>
      </c>
      <c r="L3339" t="s">
        <v>5471</v>
      </c>
      <c r="M3339" t="s">
        <v>5471</v>
      </c>
    </row>
    <row r="3340" spans="1:13" x14ac:dyDescent="0.3">
      <c r="A3340" t="s">
        <v>3397</v>
      </c>
      <c r="B3340" t="s">
        <v>5301</v>
      </c>
      <c r="C3340" t="s">
        <v>6342</v>
      </c>
      <c r="D3340" t="s">
        <v>4119</v>
      </c>
      <c r="E3340" t="s">
        <v>6332</v>
      </c>
      <c r="F3340" t="s">
        <v>14769</v>
      </c>
      <c r="G3340" t="s">
        <v>12784</v>
      </c>
      <c r="H3340" t="s">
        <v>5474</v>
      </c>
      <c r="I3340" t="s">
        <v>14770</v>
      </c>
      <c r="J3340" t="s">
        <v>5476</v>
      </c>
      <c r="K3340" t="s">
        <v>12701</v>
      </c>
      <c r="L3340" t="s">
        <v>5471</v>
      </c>
      <c r="M3340" t="s">
        <v>5471</v>
      </c>
    </row>
    <row r="3341" spans="1:13" x14ac:dyDescent="0.3">
      <c r="A3341" t="s">
        <v>3397</v>
      </c>
      <c r="B3341" t="s">
        <v>5301</v>
      </c>
      <c r="C3341" t="s">
        <v>6342</v>
      </c>
      <c r="D3341" t="s">
        <v>4119</v>
      </c>
      <c r="E3341" t="s">
        <v>6332</v>
      </c>
      <c r="F3341" t="s">
        <v>14771</v>
      </c>
      <c r="G3341" t="s">
        <v>12784</v>
      </c>
      <c r="H3341" t="s">
        <v>5474</v>
      </c>
      <c r="I3341" t="s">
        <v>14772</v>
      </c>
      <c r="J3341" t="s">
        <v>5476</v>
      </c>
      <c r="K3341" t="s">
        <v>12704</v>
      </c>
      <c r="L3341" t="s">
        <v>5471</v>
      </c>
      <c r="M3341" t="s">
        <v>5471</v>
      </c>
    </row>
    <row r="3342" spans="1:13" x14ac:dyDescent="0.3">
      <c r="A3342" t="s">
        <v>3397</v>
      </c>
      <c r="B3342" t="s">
        <v>5301</v>
      </c>
      <c r="C3342" t="s">
        <v>6342</v>
      </c>
      <c r="D3342" t="s">
        <v>4119</v>
      </c>
      <c r="E3342" t="s">
        <v>6332</v>
      </c>
      <c r="F3342" t="s">
        <v>14773</v>
      </c>
      <c r="G3342" t="s">
        <v>12784</v>
      </c>
      <c r="H3342" t="s">
        <v>5474</v>
      </c>
      <c r="I3342" t="s">
        <v>14774</v>
      </c>
      <c r="J3342" t="s">
        <v>5476</v>
      </c>
      <c r="K3342" t="s">
        <v>12695</v>
      </c>
      <c r="L3342" t="s">
        <v>5471</v>
      </c>
      <c r="M3342" t="s">
        <v>5471</v>
      </c>
    </row>
    <row r="3343" spans="1:13" x14ac:dyDescent="0.3">
      <c r="A3343" t="s">
        <v>3380</v>
      </c>
      <c r="B3343" t="s">
        <v>10051</v>
      </c>
      <c r="C3343" t="s">
        <v>6342</v>
      </c>
      <c r="D3343" t="s">
        <v>4058</v>
      </c>
      <c r="E3343" t="s">
        <v>5532</v>
      </c>
      <c r="F3343" t="s">
        <v>14775</v>
      </c>
      <c r="G3343" t="s">
        <v>14776</v>
      </c>
      <c r="H3343" t="s">
        <v>5474</v>
      </c>
      <c r="I3343" t="s">
        <v>14777</v>
      </c>
      <c r="J3343" t="s">
        <v>5476</v>
      </c>
      <c r="K3343" t="s">
        <v>14778</v>
      </c>
      <c r="L3343" t="s">
        <v>5471</v>
      </c>
      <c r="M3343" t="s">
        <v>5471</v>
      </c>
    </row>
    <row r="3344" spans="1:13" x14ac:dyDescent="0.3">
      <c r="A3344" t="s">
        <v>3380</v>
      </c>
      <c r="B3344" t="s">
        <v>10051</v>
      </c>
      <c r="C3344" t="s">
        <v>6342</v>
      </c>
      <c r="D3344" t="s">
        <v>4058</v>
      </c>
      <c r="E3344" t="s">
        <v>5532</v>
      </c>
      <c r="F3344" t="s">
        <v>14779</v>
      </c>
      <c r="G3344" t="s">
        <v>10053</v>
      </c>
      <c r="H3344" t="s">
        <v>5474</v>
      </c>
      <c r="I3344" t="s">
        <v>14780</v>
      </c>
      <c r="J3344" t="s">
        <v>5476</v>
      </c>
      <c r="K3344" t="s">
        <v>14781</v>
      </c>
      <c r="L3344" t="s">
        <v>5471</v>
      </c>
      <c r="M3344" t="s">
        <v>5471</v>
      </c>
    </row>
    <row r="3345" spans="1:13" x14ac:dyDescent="0.3">
      <c r="A3345" t="s">
        <v>3397</v>
      </c>
      <c r="B3345" t="s">
        <v>5301</v>
      </c>
      <c r="C3345" t="s">
        <v>6342</v>
      </c>
      <c r="D3345" t="s">
        <v>4119</v>
      </c>
      <c r="E3345" t="s">
        <v>6332</v>
      </c>
      <c r="F3345" t="s">
        <v>14782</v>
      </c>
      <c r="G3345" t="s">
        <v>12784</v>
      </c>
      <c r="H3345" t="s">
        <v>5474</v>
      </c>
      <c r="I3345" t="s">
        <v>14783</v>
      </c>
      <c r="J3345" t="s">
        <v>5476</v>
      </c>
      <c r="K3345" t="s">
        <v>12698</v>
      </c>
      <c r="L3345" t="s">
        <v>5471</v>
      </c>
      <c r="M3345" t="s">
        <v>5471</v>
      </c>
    </row>
    <row r="3346" spans="1:13" x14ac:dyDescent="0.3">
      <c r="A3346" t="s">
        <v>3397</v>
      </c>
      <c r="B3346" t="s">
        <v>5301</v>
      </c>
      <c r="C3346" t="s">
        <v>6342</v>
      </c>
      <c r="D3346" t="s">
        <v>4119</v>
      </c>
      <c r="E3346" t="s">
        <v>6332</v>
      </c>
      <c r="F3346" t="s">
        <v>14784</v>
      </c>
      <c r="G3346" t="s">
        <v>12784</v>
      </c>
      <c r="H3346" t="s">
        <v>5474</v>
      </c>
      <c r="I3346" t="s">
        <v>14785</v>
      </c>
      <c r="J3346" t="s">
        <v>5476</v>
      </c>
      <c r="K3346" t="s">
        <v>14786</v>
      </c>
      <c r="L3346" t="s">
        <v>5471</v>
      </c>
      <c r="M3346" t="s">
        <v>5471</v>
      </c>
    </row>
    <row r="3347" spans="1:13" x14ac:dyDescent="0.3">
      <c r="A3347" t="s">
        <v>3397</v>
      </c>
      <c r="B3347" t="s">
        <v>5301</v>
      </c>
      <c r="C3347" t="s">
        <v>6342</v>
      </c>
      <c r="D3347" t="s">
        <v>4119</v>
      </c>
      <c r="E3347" t="s">
        <v>6332</v>
      </c>
      <c r="F3347" t="s">
        <v>14787</v>
      </c>
      <c r="G3347" t="s">
        <v>12784</v>
      </c>
      <c r="H3347" t="s">
        <v>5474</v>
      </c>
      <c r="I3347" t="s">
        <v>14788</v>
      </c>
      <c r="J3347" t="s">
        <v>5476</v>
      </c>
      <c r="K3347" t="s">
        <v>14789</v>
      </c>
      <c r="L3347" t="s">
        <v>5471</v>
      </c>
      <c r="M3347" t="s">
        <v>5471</v>
      </c>
    </row>
    <row r="3348" spans="1:13" x14ac:dyDescent="0.3">
      <c r="A3348" t="s">
        <v>3380</v>
      </c>
      <c r="B3348" t="s">
        <v>10051</v>
      </c>
      <c r="C3348" t="s">
        <v>6342</v>
      </c>
      <c r="D3348" t="s">
        <v>4058</v>
      </c>
      <c r="E3348" t="s">
        <v>5532</v>
      </c>
      <c r="F3348" t="s">
        <v>14790</v>
      </c>
      <c r="G3348" t="s">
        <v>10063</v>
      </c>
      <c r="H3348" t="s">
        <v>5474</v>
      </c>
      <c r="I3348" t="s">
        <v>14791</v>
      </c>
      <c r="J3348" t="s">
        <v>5476</v>
      </c>
      <c r="K3348" t="s">
        <v>14792</v>
      </c>
      <c r="L3348" t="s">
        <v>5471</v>
      </c>
      <c r="M3348" t="s">
        <v>5471</v>
      </c>
    </row>
    <row r="3349" spans="1:13" x14ac:dyDescent="0.3">
      <c r="A3349" t="s">
        <v>3397</v>
      </c>
      <c r="B3349" t="s">
        <v>5301</v>
      </c>
      <c r="C3349" t="s">
        <v>6342</v>
      </c>
      <c r="D3349" t="s">
        <v>4119</v>
      </c>
      <c r="E3349" t="s">
        <v>6332</v>
      </c>
      <c r="F3349" t="s">
        <v>14793</v>
      </c>
      <c r="G3349" t="s">
        <v>12784</v>
      </c>
      <c r="H3349" t="s">
        <v>5474</v>
      </c>
      <c r="I3349" t="s">
        <v>14794</v>
      </c>
      <c r="J3349" t="s">
        <v>5476</v>
      </c>
      <c r="K3349" t="s">
        <v>14795</v>
      </c>
      <c r="L3349" t="s">
        <v>5471</v>
      </c>
      <c r="M3349" t="s">
        <v>5471</v>
      </c>
    </row>
    <row r="3350" spans="1:13" x14ac:dyDescent="0.3">
      <c r="A3350" t="s">
        <v>3397</v>
      </c>
      <c r="B3350" t="s">
        <v>5301</v>
      </c>
      <c r="C3350" t="s">
        <v>6342</v>
      </c>
      <c r="D3350" t="s">
        <v>4119</v>
      </c>
      <c r="E3350" t="s">
        <v>6332</v>
      </c>
      <c r="F3350" t="s">
        <v>14796</v>
      </c>
      <c r="G3350" t="s">
        <v>12784</v>
      </c>
      <c r="H3350" t="s">
        <v>5474</v>
      </c>
      <c r="I3350" t="s">
        <v>14797</v>
      </c>
      <c r="J3350" t="s">
        <v>5476</v>
      </c>
      <c r="K3350" t="s">
        <v>14798</v>
      </c>
      <c r="L3350" t="s">
        <v>5471</v>
      </c>
      <c r="M3350" t="s">
        <v>5471</v>
      </c>
    </row>
    <row r="3351" spans="1:13" x14ac:dyDescent="0.3">
      <c r="A3351" t="s">
        <v>3397</v>
      </c>
      <c r="B3351" t="s">
        <v>5301</v>
      </c>
      <c r="C3351" t="s">
        <v>6342</v>
      </c>
      <c r="D3351" t="s">
        <v>4119</v>
      </c>
      <c r="E3351" t="s">
        <v>6332</v>
      </c>
      <c r="F3351" t="s">
        <v>14799</v>
      </c>
      <c r="G3351" t="s">
        <v>12784</v>
      </c>
      <c r="H3351" t="s">
        <v>5474</v>
      </c>
      <c r="I3351" t="s">
        <v>14800</v>
      </c>
      <c r="J3351" t="s">
        <v>5476</v>
      </c>
      <c r="K3351" t="s">
        <v>14801</v>
      </c>
      <c r="L3351" t="s">
        <v>5471</v>
      </c>
      <c r="M3351" t="s">
        <v>5471</v>
      </c>
    </row>
    <row r="3352" spans="1:13" x14ac:dyDescent="0.3">
      <c r="A3352" t="s">
        <v>3397</v>
      </c>
      <c r="B3352" t="s">
        <v>5301</v>
      </c>
      <c r="C3352" t="s">
        <v>6342</v>
      </c>
      <c r="D3352" t="s">
        <v>4119</v>
      </c>
      <c r="E3352" t="s">
        <v>6332</v>
      </c>
      <c r="F3352" t="s">
        <v>14802</v>
      </c>
      <c r="G3352" t="s">
        <v>12784</v>
      </c>
      <c r="H3352" t="s">
        <v>5474</v>
      </c>
      <c r="I3352" t="s">
        <v>14803</v>
      </c>
      <c r="J3352" t="s">
        <v>5476</v>
      </c>
      <c r="K3352" t="s">
        <v>14804</v>
      </c>
      <c r="L3352" t="s">
        <v>5471</v>
      </c>
      <c r="M3352" t="s">
        <v>5471</v>
      </c>
    </row>
    <row r="3353" spans="1:13" x14ac:dyDescent="0.3">
      <c r="A3353" t="s">
        <v>3397</v>
      </c>
      <c r="B3353" t="s">
        <v>5301</v>
      </c>
      <c r="C3353" t="s">
        <v>6342</v>
      </c>
      <c r="D3353" t="s">
        <v>4119</v>
      </c>
      <c r="E3353" t="s">
        <v>6332</v>
      </c>
      <c r="F3353" t="s">
        <v>14805</v>
      </c>
      <c r="G3353" t="s">
        <v>12784</v>
      </c>
      <c r="H3353" t="s">
        <v>5474</v>
      </c>
      <c r="I3353" t="s">
        <v>14806</v>
      </c>
      <c r="J3353" t="s">
        <v>5476</v>
      </c>
      <c r="K3353" t="s">
        <v>14807</v>
      </c>
      <c r="L3353" t="s">
        <v>5471</v>
      </c>
      <c r="M3353" t="s">
        <v>5471</v>
      </c>
    </row>
    <row r="3354" spans="1:13" x14ac:dyDescent="0.3">
      <c r="A3354" t="s">
        <v>3397</v>
      </c>
      <c r="B3354" t="s">
        <v>5301</v>
      </c>
      <c r="C3354" t="s">
        <v>6342</v>
      </c>
      <c r="D3354" t="s">
        <v>4119</v>
      </c>
      <c r="E3354" t="s">
        <v>6332</v>
      </c>
      <c r="F3354" t="s">
        <v>14808</v>
      </c>
      <c r="G3354" t="s">
        <v>12784</v>
      </c>
      <c r="H3354" t="s">
        <v>5474</v>
      </c>
      <c r="I3354" t="s">
        <v>14809</v>
      </c>
      <c r="J3354" t="s">
        <v>5476</v>
      </c>
      <c r="K3354" t="s">
        <v>14810</v>
      </c>
      <c r="L3354" t="s">
        <v>5471</v>
      </c>
      <c r="M3354" t="s">
        <v>5471</v>
      </c>
    </row>
    <row r="3355" spans="1:13" x14ac:dyDescent="0.3">
      <c r="A3355" t="s">
        <v>3397</v>
      </c>
      <c r="B3355" t="s">
        <v>5301</v>
      </c>
      <c r="C3355" t="s">
        <v>6342</v>
      </c>
      <c r="D3355" t="s">
        <v>4119</v>
      </c>
      <c r="E3355" t="s">
        <v>6332</v>
      </c>
      <c r="F3355" t="s">
        <v>14811</v>
      </c>
      <c r="G3355" t="s">
        <v>12784</v>
      </c>
      <c r="H3355" t="s">
        <v>5474</v>
      </c>
      <c r="I3355" t="s">
        <v>14812</v>
      </c>
      <c r="J3355" t="s">
        <v>5476</v>
      </c>
      <c r="K3355" t="s">
        <v>14813</v>
      </c>
      <c r="L3355" t="s">
        <v>5471</v>
      </c>
      <c r="M3355" t="s">
        <v>5471</v>
      </c>
    </row>
    <row r="3356" spans="1:13" x14ac:dyDescent="0.3">
      <c r="A3356" t="s">
        <v>3397</v>
      </c>
      <c r="B3356" t="s">
        <v>5301</v>
      </c>
      <c r="C3356" t="s">
        <v>6342</v>
      </c>
      <c r="D3356" t="s">
        <v>4119</v>
      </c>
      <c r="E3356" t="s">
        <v>6332</v>
      </c>
      <c r="F3356" t="s">
        <v>14814</v>
      </c>
      <c r="G3356" t="s">
        <v>12784</v>
      </c>
      <c r="H3356" t="s">
        <v>5474</v>
      </c>
      <c r="I3356" t="s">
        <v>14815</v>
      </c>
      <c r="J3356" t="s">
        <v>5476</v>
      </c>
      <c r="K3356" t="s">
        <v>14816</v>
      </c>
      <c r="L3356" t="s">
        <v>5471</v>
      </c>
      <c r="M3356" t="s">
        <v>5471</v>
      </c>
    </row>
    <row r="3357" spans="1:13" x14ac:dyDescent="0.3">
      <c r="A3357" t="s">
        <v>3397</v>
      </c>
      <c r="B3357" t="s">
        <v>5301</v>
      </c>
      <c r="C3357" t="s">
        <v>6342</v>
      </c>
      <c r="D3357" t="s">
        <v>4119</v>
      </c>
      <c r="E3357" t="s">
        <v>6332</v>
      </c>
      <c r="F3357" t="s">
        <v>14817</v>
      </c>
      <c r="G3357" t="s">
        <v>12784</v>
      </c>
      <c r="H3357" t="s">
        <v>5474</v>
      </c>
      <c r="I3357" t="s">
        <v>14818</v>
      </c>
      <c r="J3357" t="s">
        <v>5476</v>
      </c>
      <c r="K3357" t="s">
        <v>14819</v>
      </c>
      <c r="L3357" t="s">
        <v>5471</v>
      </c>
      <c r="M3357" t="s">
        <v>5471</v>
      </c>
    </row>
    <row r="3358" spans="1:13" x14ac:dyDescent="0.3">
      <c r="A3358" t="s">
        <v>3397</v>
      </c>
      <c r="B3358" t="s">
        <v>5301</v>
      </c>
      <c r="C3358" t="s">
        <v>6342</v>
      </c>
      <c r="D3358" t="s">
        <v>4119</v>
      </c>
      <c r="E3358" t="s">
        <v>6332</v>
      </c>
      <c r="F3358" t="s">
        <v>14820</v>
      </c>
      <c r="G3358" t="s">
        <v>12784</v>
      </c>
      <c r="H3358" t="s">
        <v>5474</v>
      </c>
      <c r="I3358" t="s">
        <v>14821</v>
      </c>
      <c r="J3358" t="s">
        <v>5476</v>
      </c>
      <c r="K3358" t="s">
        <v>14822</v>
      </c>
      <c r="L3358" t="s">
        <v>5471</v>
      </c>
      <c r="M3358" t="s">
        <v>5471</v>
      </c>
    </row>
    <row r="3359" spans="1:13" x14ac:dyDescent="0.3">
      <c r="A3359" t="s">
        <v>3397</v>
      </c>
      <c r="B3359" t="s">
        <v>5301</v>
      </c>
      <c r="C3359" t="s">
        <v>6342</v>
      </c>
      <c r="D3359" t="s">
        <v>4119</v>
      </c>
      <c r="E3359" t="s">
        <v>6332</v>
      </c>
      <c r="F3359" t="s">
        <v>14823</v>
      </c>
      <c r="G3359" t="s">
        <v>12784</v>
      </c>
      <c r="H3359" t="s">
        <v>5474</v>
      </c>
      <c r="I3359" t="s">
        <v>14824</v>
      </c>
      <c r="J3359" t="s">
        <v>5476</v>
      </c>
      <c r="K3359" t="s">
        <v>14825</v>
      </c>
      <c r="L3359" t="s">
        <v>5471</v>
      </c>
      <c r="M3359" t="s">
        <v>5471</v>
      </c>
    </row>
    <row r="3360" spans="1:13" x14ac:dyDescent="0.3">
      <c r="A3360" t="s">
        <v>3397</v>
      </c>
      <c r="B3360" t="s">
        <v>5301</v>
      </c>
      <c r="C3360" t="s">
        <v>6342</v>
      </c>
      <c r="D3360" t="s">
        <v>4119</v>
      </c>
      <c r="E3360" t="s">
        <v>6332</v>
      </c>
      <c r="F3360" t="s">
        <v>14826</v>
      </c>
      <c r="G3360" t="s">
        <v>12784</v>
      </c>
      <c r="H3360" t="s">
        <v>5474</v>
      </c>
      <c r="I3360" t="s">
        <v>14827</v>
      </c>
      <c r="J3360" t="s">
        <v>5476</v>
      </c>
      <c r="K3360" t="s">
        <v>14828</v>
      </c>
      <c r="L3360" t="s">
        <v>5471</v>
      </c>
      <c r="M3360" t="s">
        <v>5471</v>
      </c>
    </row>
    <row r="3361" spans="1:13" x14ac:dyDescent="0.3">
      <c r="A3361" t="s">
        <v>3397</v>
      </c>
      <c r="B3361" t="s">
        <v>5301</v>
      </c>
      <c r="C3361" t="s">
        <v>6342</v>
      </c>
      <c r="D3361" t="s">
        <v>4119</v>
      </c>
      <c r="E3361" t="s">
        <v>6332</v>
      </c>
      <c r="F3361" t="s">
        <v>14829</v>
      </c>
      <c r="G3361" t="s">
        <v>12784</v>
      </c>
      <c r="H3361" t="s">
        <v>5474</v>
      </c>
      <c r="I3361" t="s">
        <v>14830</v>
      </c>
      <c r="J3361" t="s">
        <v>5476</v>
      </c>
      <c r="K3361" t="s">
        <v>14831</v>
      </c>
      <c r="L3361" t="s">
        <v>5471</v>
      </c>
      <c r="M3361" t="s">
        <v>5471</v>
      </c>
    </row>
    <row r="3362" spans="1:13" x14ac:dyDescent="0.3">
      <c r="A3362" t="s">
        <v>3397</v>
      </c>
      <c r="B3362" t="s">
        <v>5301</v>
      </c>
      <c r="C3362" t="s">
        <v>6342</v>
      </c>
      <c r="D3362" t="s">
        <v>4119</v>
      </c>
      <c r="E3362" t="s">
        <v>6332</v>
      </c>
      <c r="F3362" t="s">
        <v>14832</v>
      </c>
      <c r="G3362" t="s">
        <v>12784</v>
      </c>
      <c r="H3362" t="s">
        <v>5474</v>
      </c>
      <c r="I3362" t="s">
        <v>14833</v>
      </c>
      <c r="J3362" t="s">
        <v>5476</v>
      </c>
      <c r="K3362" t="s">
        <v>14834</v>
      </c>
      <c r="L3362" t="s">
        <v>5471</v>
      </c>
      <c r="M3362" t="s">
        <v>5471</v>
      </c>
    </row>
    <row r="3363" spans="1:13" x14ac:dyDescent="0.3">
      <c r="A3363" t="s">
        <v>3397</v>
      </c>
      <c r="B3363" t="s">
        <v>5301</v>
      </c>
      <c r="C3363" t="s">
        <v>6342</v>
      </c>
      <c r="D3363" t="s">
        <v>4119</v>
      </c>
      <c r="E3363" t="s">
        <v>6332</v>
      </c>
      <c r="F3363" t="s">
        <v>14835</v>
      </c>
      <c r="G3363" t="s">
        <v>12784</v>
      </c>
      <c r="H3363" t="s">
        <v>5474</v>
      </c>
      <c r="I3363" t="s">
        <v>14836</v>
      </c>
      <c r="J3363" t="s">
        <v>5476</v>
      </c>
      <c r="K3363" t="s">
        <v>14837</v>
      </c>
      <c r="L3363" t="s">
        <v>5471</v>
      </c>
      <c r="M3363" t="s">
        <v>5471</v>
      </c>
    </row>
    <row r="3364" spans="1:13" x14ac:dyDescent="0.3">
      <c r="A3364" t="s">
        <v>3397</v>
      </c>
      <c r="B3364" t="s">
        <v>5301</v>
      </c>
      <c r="C3364" t="s">
        <v>6342</v>
      </c>
      <c r="D3364" t="s">
        <v>4119</v>
      </c>
      <c r="E3364" t="s">
        <v>6332</v>
      </c>
      <c r="F3364" t="s">
        <v>14838</v>
      </c>
      <c r="G3364" t="s">
        <v>12784</v>
      </c>
      <c r="H3364" t="s">
        <v>5474</v>
      </c>
      <c r="I3364" t="s">
        <v>14839</v>
      </c>
      <c r="J3364" t="s">
        <v>5476</v>
      </c>
      <c r="K3364" t="s">
        <v>14840</v>
      </c>
      <c r="L3364" t="s">
        <v>5471</v>
      </c>
      <c r="M3364" t="s">
        <v>5471</v>
      </c>
    </row>
    <row r="3365" spans="1:13" x14ac:dyDescent="0.3">
      <c r="A3365" t="s">
        <v>3397</v>
      </c>
      <c r="B3365" t="s">
        <v>5301</v>
      </c>
      <c r="C3365" t="s">
        <v>6342</v>
      </c>
      <c r="D3365" t="s">
        <v>4119</v>
      </c>
      <c r="E3365" t="s">
        <v>6332</v>
      </c>
      <c r="F3365" t="s">
        <v>14841</v>
      </c>
      <c r="G3365" t="s">
        <v>12784</v>
      </c>
      <c r="H3365" t="s">
        <v>5474</v>
      </c>
      <c r="I3365" t="s">
        <v>14842</v>
      </c>
      <c r="J3365" t="s">
        <v>5476</v>
      </c>
      <c r="K3365" t="s">
        <v>14843</v>
      </c>
      <c r="L3365" t="s">
        <v>5471</v>
      </c>
      <c r="M3365" t="s">
        <v>5471</v>
      </c>
    </row>
    <row r="3366" spans="1:13" x14ac:dyDescent="0.3">
      <c r="A3366" t="s">
        <v>3397</v>
      </c>
      <c r="B3366" t="s">
        <v>5301</v>
      </c>
      <c r="C3366" t="s">
        <v>6342</v>
      </c>
      <c r="D3366" t="s">
        <v>4119</v>
      </c>
      <c r="E3366" t="s">
        <v>6332</v>
      </c>
      <c r="F3366" t="s">
        <v>14844</v>
      </c>
      <c r="G3366" t="s">
        <v>12784</v>
      </c>
      <c r="H3366" t="s">
        <v>5474</v>
      </c>
      <c r="I3366" t="s">
        <v>14845</v>
      </c>
      <c r="J3366" t="s">
        <v>5476</v>
      </c>
      <c r="K3366" t="s">
        <v>14846</v>
      </c>
      <c r="L3366" t="s">
        <v>5471</v>
      </c>
      <c r="M3366" t="s">
        <v>5471</v>
      </c>
    </row>
    <row r="3367" spans="1:13" x14ac:dyDescent="0.3">
      <c r="A3367" t="s">
        <v>3397</v>
      </c>
      <c r="B3367" t="s">
        <v>5301</v>
      </c>
      <c r="C3367" t="s">
        <v>6342</v>
      </c>
      <c r="D3367" t="s">
        <v>4119</v>
      </c>
      <c r="E3367" t="s">
        <v>6332</v>
      </c>
      <c r="F3367" t="s">
        <v>14847</v>
      </c>
      <c r="G3367" t="s">
        <v>12784</v>
      </c>
      <c r="H3367" t="s">
        <v>5474</v>
      </c>
      <c r="I3367" t="s">
        <v>14848</v>
      </c>
      <c r="J3367" t="s">
        <v>5476</v>
      </c>
      <c r="K3367" t="s">
        <v>14849</v>
      </c>
      <c r="L3367" t="s">
        <v>5471</v>
      </c>
      <c r="M3367" t="s">
        <v>5471</v>
      </c>
    </row>
    <row r="3368" spans="1:13" x14ac:dyDescent="0.3">
      <c r="A3368" t="s">
        <v>3397</v>
      </c>
      <c r="B3368" t="s">
        <v>5301</v>
      </c>
      <c r="C3368" t="s">
        <v>6342</v>
      </c>
      <c r="D3368" t="s">
        <v>4119</v>
      </c>
      <c r="E3368" t="s">
        <v>6332</v>
      </c>
      <c r="F3368" t="s">
        <v>14850</v>
      </c>
      <c r="G3368" t="s">
        <v>12784</v>
      </c>
      <c r="H3368" t="s">
        <v>5474</v>
      </c>
      <c r="I3368" t="s">
        <v>14851</v>
      </c>
      <c r="J3368" t="s">
        <v>5476</v>
      </c>
      <c r="K3368" t="s">
        <v>14852</v>
      </c>
      <c r="L3368" t="s">
        <v>5471</v>
      </c>
      <c r="M3368" t="s">
        <v>5471</v>
      </c>
    </row>
    <row r="3369" spans="1:13" x14ac:dyDescent="0.3">
      <c r="A3369" t="s">
        <v>3397</v>
      </c>
      <c r="B3369" t="s">
        <v>5301</v>
      </c>
      <c r="C3369" t="s">
        <v>6342</v>
      </c>
      <c r="D3369" t="s">
        <v>4119</v>
      </c>
      <c r="E3369" t="s">
        <v>6332</v>
      </c>
      <c r="F3369" t="s">
        <v>14853</v>
      </c>
      <c r="G3369" t="s">
        <v>12784</v>
      </c>
      <c r="H3369" t="s">
        <v>5474</v>
      </c>
      <c r="I3369" t="s">
        <v>14854</v>
      </c>
      <c r="J3369" t="s">
        <v>5476</v>
      </c>
      <c r="K3369" t="s">
        <v>14481</v>
      </c>
      <c r="L3369" t="s">
        <v>5471</v>
      </c>
      <c r="M3369" t="s">
        <v>5471</v>
      </c>
    </row>
    <row r="3370" spans="1:13" x14ac:dyDescent="0.3">
      <c r="A3370" t="s">
        <v>3397</v>
      </c>
      <c r="B3370" t="s">
        <v>5301</v>
      </c>
      <c r="C3370" t="s">
        <v>6342</v>
      </c>
      <c r="D3370" t="s">
        <v>4119</v>
      </c>
      <c r="E3370" t="s">
        <v>6332</v>
      </c>
      <c r="F3370" t="s">
        <v>14855</v>
      </c>
      <c r="G3370" t="s">
        <v>12784</v>
      </c>
      <c r="H3370" t="s">
        <v>5474</v>
      </c>
      <c r="I3370" t="s">
        <v>14856</v>
      </c>
      <c r="J3370" t="s">
        <v>5476</v>
      </c>
      <c r="K3370" t="s">
        <v>14857</v>
      </c>
      <c r="L3370" t="s">
        <v>5471</v>
      </c>
      <c r="M3370" t="s">
        <v>5471</v>
      </c>
    </row>
    <row r="3371" spans="1:13" x14ac:dyDescent="0.3">
      <c r="A3371" t="s">
        <v>3397</v>
      </c>
      <c r="B3371" t="s">
        <v>5301</v>
      </c>
      <c r="C3371" t="s">
        <v>6342</v>
      </c>
      <c r="D3371" t="s">
        <v>4119</v>
      </c>
      <c r="E3371" t="s">
        <v>6332</v>
      </c>
      <c r="F3371" t="s">
        <v>14858</v>
      </c>
      <c r="G3371" t="s">
        <v>12784</v>
      </c>
      <c r="H3371" t="s">
        <v>5474</v>
      </c>
      <c r="I3371" t="s">
        <v>14859</v>
      </c>
      <c r="J3371" t="s">
        <v>5476</v>
      </c>
      <c r="K3371" t="s">
        <v>14860</v>
      </c>
      <c r="L3371" t="s">
        <v>5471</v>
      </c>
      <c r="M3371" t="s">
        <v>5471</v>
      </c>
    </row>
    <row r="3372" spans="1:13" x14ac:dyDescent="0.3">
      <c r="A3372" t="s">
        <v>3397</v>
      </c>
      <c r="B3372" t="s">
        <v>5301</v>
      </c>
      <c r="C3372" t="s">
        <v>6342</v>
      </c>
      <c r="D3372" t="s">
        <v>4119</v>
      </c>
      <c r="E3372" t="s">
        <v>6332</v>
      </c>
      <c r="F3372" t="s">
        <v>14861</v>
      </c>
      <c r="G3372" t="s">
        <v>12784</v>
      </c>
      <c r="H3372" t="s">
        <v>5474</v>
      </c>
      <c r="I3372" t="s">
        <v>14862</v>
      </c>
      <c r="J3372" t="s">
        <v>5476</v>
      </c>
      <c r="K3372" t="s">
        <v>14481</v>
      </c>
      <c r="L3372" t="s">
        <v>5471</v>
      </c>
      <c r="M3372" t="s">
        <v>5471</v>
      </c>
    </row>
    <row r="3373" spans="1:13" x14ac:dyDescent="0.3">
      <c r="A3373" t="s">
        <v>3397</v>
      </c>
      <c r="B3373" t="s">
        <v>5301</v>
      </c>
      <c r="C3373" t="s">
        <v>6342</v>
      </c>
      <c r="D3373" t="s">
        <v>4119</v>
      </c>
      <c r="E3373" t="s">
        <v>6332</v>
      </c>
      <c r="F3373" t="s">
        <v>14863</v>
      </c>
      <c r="G3373" t="s">
        <v>12784</v>
      </c>
      <c r="H3373" t="s">
        <v>5474</v>
      </c>
      <c r="I3373" t="s">
        <v>14864</v>
      </c>
      <c r="J3373" t="s">
        <v>5476</v>
      </c>
      <c r="K3373" t="s">
        <v>14865</v>
      </c>
      <c r="L3373" t="s">
        <v>5471</v>
      </c>
      <c r="M3373" t="s">
        <v>5471</v>
      </c>
    </row>
    <row r="3374" spans="1:13" x14ac:dyDescent="0.3">
      <c r="A3374" t="s">
        <v>3397</v>
      </c>
      <c r="B3374" t="s">
        <v>5301</v>
      </c>
      <c r="C3374" t="s">
        <v>6342</v>
      </c>
      <c r="D3374" t="s">
        <v>4119</v>
      </c>
      <c r="E3374" t="s">
        <v>6332</v>
      </c>
      <c r="F3374" t="s">
        <v>14866</v>
      </c>
      <c r="G3374" t="s">
        <v>14867</v>
      </c>
      <c r="H3374" t="s">
        <v>5474</v>
      </c>
      <c r="I3374" t="s">
        <v>14868</v>
      </c>
      <c r="J3374" t="s">
        <v>5476</v>
      </c>
      <c r="K3374" t="s">
        <v>14869</v>
      </c>
      <c r="L3374" t="s">
        <v>5471</v>
      </c>
      <c r="M3374" t="s">
        <v>5471</v>
      </c>
    </row>
    <row r="3375" spans="1:13" x14ac:dyDescent="0.3">
      <c r="A3375" t="s">
        <v>3397</v>
      </c>
      <c r="B3375" t="s">
        <v>5301</v>
      </c>
      <c r="C3375" t="s">
        <v>6342</v>
      </c>
      <c r="D3375" t="s">
        <v>4119</v>
      </c>
      <c r="E3375" t="s">
        <v>6332</v>
      </c>
      <c r="F3375" t="s">
        <v>14870</v>
      </c>
      <c r="G3375" t="s">
        <v>14871</v>
      </c>
      <c r="H3375" t="s">
        <v>5474</v>
      </c>
      <c r="I3375" t="s">
        <v>14872</v>
      </c>
      <c r="J3375" t="s">
        <v>5476</v>
      </c>
      <c r="K3375" t="s">
        <v>14873</v>
      </c>
      <c r="L3375" t="s">
        <v>5471</v>
      </c>
      <c r="M3375" t="s">
        <v>5471</v>
      </c>
    </row>
    <row r="3376" spans="1:13" x14ac:dyDescent="0.3">
      <c r="A3376" t="s">
        <v>3397</v>
      </c>
      <c r="B3376" t="s">
        <v>5301</v>
      </c>
      <c r="C3376" t="s">
        <v>6342</v>
      </c>
      <c r="D3376" t="s">
        <v>4119</v>
      </c>
      <c r="E3376" t="s">
        <v>6332</v>
      </c>
      <c r="F3376" t="s">
        <v>14874</v>
      </c>
      <c r="G3376" t="s">
        <v>12784</v>
      </c>
      <c r="H3376" t="s">
        <v>5474</v>
      </c>
      <c r="I3376" t="s">
        <v>14875</v>
      </c>
      <c r="J3376" t="s">
        <v>5476</v>
      </c>
      <c r="K3376" t="s">
        <v>14876</v>
      </c>
      <c r="L3376" t="s">
        <v>5471</v>
      </c>
      <c r="M3376" t="s">
        <v>5471</v>
      </c>
    </row>
    <row r="3377" spans="1:13" x14ac:dyDescent="0.3">
      <c r="A3377" t="s">
        <v>3397</v>
      </c>
      <c r="B3377" t="s">
        <v>5301</v>
      </c>
      <c r="C3377" t="s">
        <v>6342</v>
      </c>
      <c r="D3377" t="s">
        <v>4119</v>
      </c>
      <c r="E3377" t="s">
        <v>6332</v>
      </c>
      <c r="F3377" t="s">
        <v>14877</v>
      </c>
      <c r="G3377" t="s">
        <v>14878</v>
      </c>
      <c r="H3377" t="s">
        <v>5474</v>
      </c>
      <c r="I3377" t="s">
        <v>14879</v>
      </c>
      <c r="J3377" t="s">
        <v>5476</v>
      </c>
      <c r="K3377" t="s">
        <v>14880</v>
      </c>
      <c r="L3377" t="s">
        <v>5471</v>
      </c>
      <c r="M3377" t="s">
        <v>5471</v>
      </c>
    </row>
    <row r="3378" spans="1:13" x14ac:dyDescent="0.3">
      <c r="A3378" t="s">
        <v>3397</v>
      </c>
      <c r="B3378" t="s">
        <v>5301</v>
      </c>
      <c r="C3378" t="s">
        <v>6342</v>
      </c>
      <c r="D3378" t="s">
        <v>4119</v>
      </c>
      <c r="E3378" t="s">
        <v>6332</v>
      </c>
      <c r="F3378" t="s">
        <v>14881</v>
      </c>
      <c r="G3378" t="s">
        <v>14882</v>
      </c>
      <c r="H3378" t="s">
        <v>5474</v>
      </c>
      <c r="I3378" t="s">
        <v>14883</v>
      </c>
      <c r="J3378" t="s">
        <v>5476</v>
      </c>
      <c r="K3378" t="s">
        <v>14884</v>
      </c>
      <c r="L3378" t="s">
        <v>5471</v>
      </c>
      <c r="M3378" t="s">
        <v>5471</v>
      </c>
    </row>
    <row r="3379" spans="1:13" x14ac:dyDescent="0.3">
      <c r="A3379" t="s">
        <v>3397</v>
      </c>
      <c r="B3379" t="s">
        <v>5301</v>
      </c>
      <c r="C3379" t="s">
        <v>6342</v>
      </c>
      <c r="D3379" t="s">
        <v>4119</v>
      </c>
      <c r="E3379" t="s">
        <v>6332</v>
      </c>
      <c r="F3379" t="s">
        <v>14885</v>
      </c>
      <c r="G3379" t="s">
        <v>14886</v>
      </c>
      <c r="H3379" t="s">
        <v>5474</v>
      </c>
      <c r="I3379" t="s">
        <v>14887</v>
      </c>
      <c r="J3379" t="s">
        <v>5476</v>
      </c>
      <c r="K3379" t="s">
        <v>14888</v>
      </c>
      <c r="L3379" t="s">
        <v>5471</v>
      </c>
      <c r="M3379" t="s">
        <v>5471</v>
      </c>
    </row>
    <row r="3380" spans="1:13" x14ac:dyDescent="0.3">
      <c r="A3380" t="s">
        <v>3397</v>
      </c>
      <c r="B3380" t="s">
        <v>5301</v>
      </c>
      <c r="C3380" t="s">
        <v>6342</v>
      </c>
      <c r="D3380" t="s">
        <v>4119</v>
      </c>
      <c r="E3380" t="s">
        <v>6332</v>
      </c>
      <c r="F3380" t="s">
        <v>14889</v>
      </c>
      <c r="G3380" t="s">
        <v>14890</v>
      </c>
      <c r="H3380" t="s">
        <v>5474</v>
      </c>
      <c r="I3380" t="s">
        <v>14891</v>
      </c>
      <c r="J3380" t="s">
        <v>5476</v>
      </c>
      <c r="K3380" t="s">
        <v>14892</v>
      </c>
      <c r="L3380" t="s">
        <v>5471</v>
      </c>
      <c r="M3380" t="s">
        <v>5471</v>
      </c>
    </row>
    <row r="3381" spans="1:13" x14ac:dyDescent="0.3">
      <c r="A3381" t="s">
        <v>3397</v>
      </c>
      <c r="B3381" t="s">
        <v>5301</v>
      </c>
      <c r="C3381" t="s">
        <v>6342</v>
      </c>
      <c r="D3381" t="s">
        <v>4119</v>
      </c>
      <c r="E3381" t="s">
        <v>6332</v>
      </c>
      <c r="F3381" t="s">
        <v>14893</v>
      </c>
      <c r="G3381" t="s">
        <v>14894</v>
      </c>
      <c r="H3381" t="s">
        <v>5474</v>
      </c>
      <c r="I3381" t="s">
        <v>14895</v>
      </c>
      <c r="J3381" t="s">
        <v>5476</v>
      </c>
      <c r="K3381" t="s">
        <v>12741</v>
      </c>
      <c r="L3381" t="s">
        <v>5471</v>
      </c>
      <c r="M3381" t="s">
        <v>5471</v>
      </c>
    </row>
    <row r="3382" spans="1:13" x14ac:dyDescent="0.3">
      <c r="A3382" t="s">
        <v>3397</v>
      </c>
      <c r="B3382" t="s">
        <v>5301</v>
      </c>
      <c r="C3382" t="s">
        <v>6342</v>
      </c>
      <c r="D3382" t="s">
        <v>4119</v>
      </c>
      <c r="E3382" t="s">
        <v>6332</v>
      </c>
      <c r="F3382" t="s">
        <v>14896</v>
      </c>
      <c r="G3382" t="s">
        <v>12784</v>
      </c>
      <c r="H3382" t="s">
        <v>5474</v>
      </c>
      <c r="I3382" t="s">
        <v>14897</v>
      </c>
      <c r="J3382" t="s">
        <v>5476</v>
      </c>
      <c r="K3382" t="s">
        <v>14898</v>
      </c>
      <c r="L3382" t="s">
        <v>5471</v>
      </c>
      <c r="M3382" t="s">
        <v>5471</v>
      </c>
    </row>
    <row r="3383" spans="1:13" x14ac:dyDescent="0.3">
      <c r="A3383" t="s">
        <v>3397</v>
      </c>
      <c r="B3383" t="s">
        <v>5301</v>
      </c>
      <c r="C3383" t="s">
        <v>6342</v>
      </c>
      <c r="D3383" t="s">
        <v>4119</v>
      </c>
      <c r="E3383" t="s">
        <v>6332</v>
      </c>
      <c r="F3383" t="s">
        <v>14899</v>
      </c>
      <c r="G3383" t="s">
        <v>14900</v>
      </c>
      <c r="H3383" t="s">
        <v>5474</v>
      </c>
      <c r="I3383" t="s">
        <v>14901</v>
      </c>
      <c r="J3383" t="s">
        <v>5476</v>
      </c>
      <c r="K3383" t="s">
        <v>14902</v>
      </c>
      <c r="L3383" t="s">
        <v>5471</v>
      </c>
      <c r="M3383" t="s">
        <v>5471</v>
      </c>
    </row>
    <row r="3384" spans="1:13" x14ac:dyDescent="0.3">
      <c r="A3384" t="s">
        <v>3397</v>
      </c>
      <c r="B3384" t="s">
        <v>5301</v>
      </c>
      <c r="C3384" t="s">
        <v>6342</v>
      </c>
      <c r="D3384" t="s">
        <v>4119</v>
      </c>
      <c r="E3384" t="s">
        <v>6332</v>
      </c>
      <c r="F3384" t="s">
        <v>14903</v>
      </c>
      <c r="G3384" t="s">
        <v>14904</v>
      </c>
      <c r="H3384" t="s">
        <v>5474</v>
      </c>
      <c r="I3384" t="s">
        <v>14905</v>
      </c>
      <c r="J3384" t="s">
        <v>5476</v>
      </c>
      <c r="K3384" t="s">
        <v>12729</v>
      </c>
      <c r="L3384" t="s">
        <v>5471</v>
      </c>
      <c r="M3384" t="s">
        <v>5471</v>
      </c>
    </row>
    <row r="3385" spans="1:13" x14ac:dyDescent="0.3">
      <c r="A3385" t="s">
        <v>3397</v>
      </c>
      <c r="B3385" t="s">
        <v>5301</v>
      </c>
      <c r="C3385" t="s">
        <v>6342</v>
      </c>
      <c r="D3385" t="s">
        <v>4119</v>
      </c>
      <c r="E3385" t="s">
        <v>6332</v>
      </c>
      <c r="F3385" t="s">
        <v>14906</v>
      </c>
      <c r="G3385" t="s">
        <v>12784</v>
      </c>
      <c r="H3385" t="s">
        <v>5474</v>
      </c>
      <c r="I3385" t="s">
        <v>14907</v>
      </c>
      <c r="J3385" t="s">
        <v>5476</v>
      </c>
      <c r="K3385" t="s">
        <v>14908</v>
      </c>
      <c r="L3385" t="s">
        <v>5471</v>
      </c>
      <c r="M3385" t="s">
        <v>5471</v>
      </c>
    </row>
    <row r="3386" spans="1:13" x14ac:dyDescent="0.3">
      <c r="A3386" t="s">
        <v>3397</v>
      </c>
      <c r="B3386" t="s">
        <v>5301</v>
      </c>
      <c r="C3386" t="s">
        <v>6342</v>
      </c>
      <c r="D3386" t="s">
        <v>4119</v>
      </c>
      <c r="E3386" t="s">
        <v>6332</v>
      </c>
      <c r="F3386" t="s">
        <v>14909</v>
      </c>
      <c r="G3386" t="s">
        <v>14910</v>
      </c>
      <c r="H3386" t="s">
        <v>5474</v>
      </c>
      <c r="I3386" t="s">
        <v>14911</v>
      </c>
      <c r="J3386" t="s">
        <v>5476</v>
      </c>
      <c r="K3386" t="s">
        <v>14912</v>
      </c>
      <c r="L3386" t="s">
        <v>5471</v>
      </c>
      <c r="M3386" t="s">
        <v>5471</v>
      </c>
    </row>
    <row r="3387" spans="1:13" x14ac:dyDescent="0.3">
      <c r="A3387" t="s">
        <v>3397</v>
      </c>
      <c r="B3387" t="s">
        <v>5301</v>
      </c>
      <c r="C3387" t="s">
        <v>6342</v>
      </c>
      <c r="D3387" t="s">
        <v>4119</v>
      </c>
      <c r="E3387" t="s">
        <v>6332</v>
      </c>
      <c r="F3387" t="s">
        <v>14913</v>
      </c>
      <c r="G3387" t="s">
        <v>14914</v>
      </c>
      <c r="H3387" t="s">
        <v>5474</v>
      </c>
      <c r="I3387" t="s">
        <v>14915</v>
      </c>
      <c r="J3387" t="s">
        <v>5476</v>
      </c>
      <c r="K3387" t="s">
        <v>12717</v>
      </c>
      <c r="L3387" t="s">
        <v>5471</v>
      </c>
      <c r="M3387" t="s">
        <v>5471</v>
      </c>
    </row>
    <row r="3388" spans="1:13" x14ac:dyDescent="0.3">
      <c r="A3388" t="s">
        <v>3397</v>
      </c>
      <c r="B3388" t="s">
        <v>5301</v>
      </c>
      <c r="C3388" t="s">
        <v>6342</v>
      </c>
      <c r="D3388" t="s">
        <v>4119</v>
      </c>
      <c r="E3388" t="s">
        <v>6332</v>
      </c>
      <c r="F3388" t="s">
        <v>14916</v>
      </c>
      <c r="G3388" t="s">
        <v>14917</v>
      </c>
      <c r="H3388" t="s">
        <v>5474</v>
      </c>
      <c r="I3388" t="s">
        <v>14918</v>
      </c>
      <c r="J3388" t="s">
        <v>5476</v>
      </c>
      <c r="K3388" t="s">
        <v>14919</v>
      </c>
      <c r="L3388" t="s">
        <v>5471</v>
      </c>
      <c r="M3388" t="s">
        <v>5471</v>
      </c>
    </row>
    <row r="3389" spans="1:13" x14ac:dyDescent="0.3">
      <c r="A3389" t="s">
        <v>3397</v>
      </c>
      <c r="B3389" t="s">
        <v>5301</v>
      </c>
      <c r="C3389" t="s">
        <v>6342</v>
      </c>
      <c r="D3389" t="s">
        <v>4119</v>
      </c>
      <c r="E3389" t="s">
        <v>5617</v>
      </c>
      <c r="F3389" t="s">
        <v>14920</v>
      </c>
      <c r="G3389" t="s">
        <v>14592</v>
      </c>
      <c r="H3389" t="s">
        <v>5474</v>
      </c>
      <c r="I3389" t="s">
        <v>14921</v>
      </c>
      <c r="J3389" t="s">
        <v>5476</v>
      </c>
      <c r="K3389" t="s">
        <v>14922</v>
      </c>
      <c r="L3389" t="s">
        <v>5471</v>
      </c>
      <c r="M3389" t="s">
        <v>5471</v>
      </c>
    </row>
    <row r="3390" spans="1:13" x14ac:dyDescent="0.3">
      <c r="A3390" t="s">
        <v>3397</v>
      </c>
      <c r="B3390" t="s">
        <v>5301</v>
      </c>
      <c r="C3390" t="s">
        <v>6342</v>
      </c>
      <c r="D3390" t="s">
        <v>4119</v>
      </c>
      <c r="E3390" t="s">
        <v>5617</v>
      </c>
      <c r="F3390" t="s">
        <v>14923</v>
      </c>
      <c r="G3390" t="s">
        <v>14596</v>
      </c>
      <c r="H3390" t="s">
        <v>5474</v>
      </c>
      <c r="I3390" t="s">
        <v>14924</v>
      </c>
      <c r="J3390" t="s">
        <v>5476</v>
      </c>
      <c r="K3390" t="s">
        <v>14925</v>
      </c>
      <c r="L3390" t="s">
        <v>5471</v>
      </c>
      <c r="M3390" t="s">
        <v>5471</v>
      </c>
    </row>
    <row r="3391" spans="1:13" x14ac:dyDescent="0.3">
      <c r="A3391" t="s">
        <v>3397</v>
      </c>
      <c r="B3391" t="s">
        <v>5301</v>
      </c>
      <c r="C3391" t="s">
        <v>6342</v>
      </c>
      <c r="D3391" t="s">
        <v>4119</v>
      </c>
      <c r="E3391" t="s">
        <v>5617</v>
      </c>
      <c r="F3391" t="s">
        <v>14926</v>
      </c>
      <c r="G3391" t="s">
        <v>14600</v>
      </c>
      <c r="H3391" t="s">
        <v>5474</v>
      </c>
      <c r="I3391" t="s">
        <v>14927</v>
      </c>
      <c r="J3391" t="s">
        <v>5476</v>
      </c>
      <c r="K3391" t="s">
        <v>14928</v>
      </c>
      <c r="L3391" t="s">
        <v>5471</v>
      </c>
      <c r="M3391" t="s">
        <v>5471</v>
      </c>
    </row>
    <row r="3392" spans="1:13" x14ac:dyDescent="0.3">
      <c r="A3392" t="s">
        <v>3397</v>
      </c>
      <c r="B3392" t="s">
        <v>5301</v>
      </c>
      <c r="C3392" t="s">
        <v>6342</v>
      </c>
      <c r="D3392" t="s">
        <v>4119</v>
      </c>
      <c r="E3392" t="s">
        <v>6332</v>
      </c>
      <c r="F3392" t="s">
        <v>14929</v>
      </c>
      <c r="G3392" t="s">
        <v>14930</v>
      </c>
      <c r="H3392" t="s">
        <v>5474</v>
      </c>
      <c r="I3392" t="s">
        <v>14931</v>
      </c>
      <c r="J3392" t="s">
        <v>5476</v>
      </c>
      <c r="K3392" t="s">
        <v>14932</v>
      </c>
      <c r="L3392" t="s">
        <v>5471</v>
      </c>
      <c r="M3392" t="s">
        <v>5471</v>
      </c>
    </row>
    <row r="3393" spans="1:13" x14ac:dyDescent="0.3">
      <c r="A3393" t="s">
        <v>3397</v>
      </c>
      <c r="B3393" t="s">
        <v>5301</v>
      </c>
      <c r="C3393" t="s">
        <v>6342</v>
      </c>
      <c r="D3393" t="s">
        <v>4119</v>
      </c>
      <c r="E3393" t="s">
        <v>9935</v>
      </c>
      <c r="F3393" t="s">
        <v>14933</v>
      </c>
      <c r="G3393" t="s">
        <v>14934</v>
      </c>
      <c r="H3393" t="s">
        <v>5474</v>
      </c>
      <c r="I3393" t="s">
        <v>14935</v>
      </c>
      <c r="J3393" t="s">
        <v>5476</v>
      </c>
      <c r="K3393" t="s">
        <v>14936</v>
      </c>
      <c r="L3393" t="s">
        <v>5471</v>
      </c>
      <c r="M3393" t="s">
        <v>5471</v>
      </c>
    </row>
    <row r="3394" spans="1:13" x14ac:dyDescent="0.3">
      <c r="A3394" t="s">
        <v>3397</v>
      </c>
      <c r="B3394" t="s">
        <v>5301</v>
      </c>
      <c r="C3394" t="s">
        <v>6342</v>
      </c>
      <c r="D3394" t="s">
        <v>4119</v>
      </c>
      <c r="E3394" t="s">
        <v>6332</v>
      </c>
      <c r="F3394" t="s">
        <v>14937</v>
      </c>
      <c r="G3394" t="s">
        <v>14867</v>
      </c>
      <c r="H3394" t="s">
        <v>5474</v>
      </c>
      <c r="I3394" t="s">
        <v>14938</v>
      </c>
      <c r="J3394" t="s">
        <v>5476</v>
      </c>
      <c r="K3394" t="s">
        <v>14939</v>
      </c>
      <c r="L3394" t="s">
        <v>5471</v>
      </c>
      <c r="M3394" t="s">
        <v>5471</v>
      </c>
    </row>
    <row r="3395" spans="1:13" x14ac:dyDescent="0.3">
      <c r="A3395" t="s">
        <v>3397</v>
      </c>
      <c r="B3395" t="s">
        <v>5301</v>
      </c>
      <c r="C3395" t="s">
        <v>6342</v>
      </c>
      <c r="D3395" t="s">
        <v>4119</v>
      </c>
      <c r="E3395" t="s">
        <v>6332</v>
      </c>
      <c r="F3395" t="s">
        <v>14940</v>
      </c>
      <c r="G3395" t="s">
        <v>14871</v>
      </c>
      <c r="H3395" t="s">
        <v>5474</v>
      </c>
      <c r="I3395" t="s">
        <v>14941</v>
      </c>
      <c r="J3395" t="s">
        <v>5476</v>
      </c>
      <c r="K3395" t="s">
        <v>14942</v>
      </c>
      <c r="L3395" t="s">
        <v>5471</v>
      </c>
      <c r="M3395" t="s">
        <v>5471</v>
      </c>
    </row>
    <row r="3396" spans="1:13" x14ac:dyDescent="0.3">
      <c r="A3396" t="s">
        <v>3397</v>
      </c>
      <c r="B3396" t="s">
        <v>5301</v>
      </c>
      <c r="C3396" t="s">
        <v>6342</v>
      </c>
      <c r="D3396" t="s">
        <v>4119</v>
      </c>
      <c r="E3396" t="s">
        <v>6332</v>
      </c>
      <c r="F3396" t="s">
        <v>14943</v>
      </c>
      <c r="G3396" t="s">
        <v>14878</v>
      </c>
      <c r="H3396" t="s">
        <v>5474</v>
      </c>
      <c r="I3396" t="s">
        <v>14944</v>
      </c>
      <c r="J3396" t="s">
        <v>5476</v>
      </c>
      <c r="K3396" t="s">
        <v>14945</v>
      </c>
      <c r="L3396" t="s">
        <v>5471</v>
      </c>
      <c r="M3396" t="s">
        <v>5471</v>
      </c>
    </row>
    <row r="3397" spans="1:13" x14ac:dyDescent="0.3">
      <c r="A3397" t="s">
        <v>3397</v>
      </c>
      <c r="B3397" t="s">
        <v>5301</v>
      </c>
      <c r="C3397" t="s">
        <v>6342</v>
      </c>
      <c r="D3397" t="s">
        <v>4119</v>
      </c>
      <c r="E3397" t="s">
        <v>6332</v>
      </c>
      <c r="F3397" t="s">
        <v>14946</v>
      </c>
      <c r="G3397" t="s">
        <v>14882</v>
      </c>
      <c r="H3397" t="s">
        <v>5474</v>
      </c>
      <c r="I3397" t="s">
        <v>14947</v>
      </c>
      <c r="J3397" t="s">
        <v>5476</v>
      </c>
      <c r="K3397" t="s">
        <v>14948</v>
      </c>
      <c r="L3397" t="s">
        <v>5471</v>
      </c>
      <c r="M3397" t="s">
        <v>5471</v>
      </c>
    </row>
    <row r="3398" spans="1:13" x14ac:dyDescent="0.3">
      <c r="A3398" t="s">
        <v>3397</v>
      </c>
      <c r="B3398" t="s">
        <v>5301</v>
      </c>
      <c r="C3398" t="s">
        <v>6342</v>
      </c>
      <c r="D3398" t="s">
        <v>4119</v>
      </c>
      <c r="E3398" t="s">
        <v>6332</v>
      </c>
      <c r="F3398" t="s">
        <v>14949</v>
      </c>
      <c r="G3398" t="s">
        <v>14886</v>
      </c>
      <c r="H3398" t="s">
        <v>5474</v>
      </c>
      <c r="I3398" t="s">
        <v>14950</v>
      </c>
      <c r="J3398" t="s">
        <v>5476</v>
      </c>
      <c r="K3398" t="s">
        <v>14951</v>
      </c>
      <c r="L3398" t="s">
        <v>5471</v>
      </c>
      <c r="M3398" t="s">
        <v>5471</v>
      </c>
    </row>
    <row r="3399" spans="1:13" x14ac:dyDescent="0.3">
      <c r="A3399" t="s">
        <v>3397</v>
      </c>
      <c r="B3399" t="s">
        <v>5301</v>
      </c>
      <c r="C3399" t="s">
        <v>6342</v>
      </c>
      <c r="D3399" t="s">
        <v>4119</v>
      </c>
      <c r="E3399" t="s">
        <v>6332</v>
      </c>
      <c r="F3399" t="s">
        <v>14952</v>
      </c>
      <c r="G3399" t="s">
        <v>14890</v>
      </c>
      <c r="H3399" t="s">
        <v>5474</v>
      </c>
      <c r="I3399" t="s">
        <v>14953</v>
      </c>
      <c r="J3399" t="s">
        <v>5476</v>
      </c>
      <c r="K3399" t="s">
        <v>14954</v>
      </c>
      <c r="L3399" t="s">
        <v>5471</v>
      </c>
      <c r="M3399" t="s">
        <v>5471</v>
      </c>
    </row>
    <row r="3400" spans="1:13" x14ac:dyDescent="0.3">
      <c r="A3400" t="s">
        <v>3397</v>
      </c>
      <c r="B3400" t="s">
        <v>5301</v>
      </c>
      <c r="C3400" t="s">
        <v>6342</v>
      </c>
      <c r="D3400" t="s">
        <v>4119</v>
      </c>
      <c r="E3400" t="s">
        <v>6332</v>
      </c>
      <c r="F3400" t="s">
        <v>14955</v>
      </c>
      <c r="G3400" t="s">
        <v>14894</v>
      </c>
      <c r="H3400" t="s">
        <v>5474</v>
      </c>
      <c r="I3400" t="s">
        <v>14956</v>
      </c>
      <c r="J3400" t="s">
        <v>5476</v>
      </c>
      <c r="K3400" t="s">
        <v>14957</v>
      </c>
      <c r="L3400" t="s">
        <v>5471</v>
      </c>
      <c r="M3400" t="s">
        <v>5471</v>
      </c>
    </row>
    <row r="3401" spans="1:13" x14ac:dyDescent="0.3">
      <c r="A3401" t="s">
        <v>3397</v>
      </c>
      <c r="B3401" t="s">
        <v>5301</v>
      </c>
      <c r="C3401" t="s">
        <v>6342</v>
      </c>
      <c r="D3401" t="s">
        <v>4119</v>
      </c>
      <c r="E3401" t="s">
        <v>6332</v>
      </c>
      <c r="F3401" t="s">
        <v>14958</v>
      </c>
      <c r="G3401" t="s">
        <v>14900</v>
      </c>
      <c r="H3401" t="s">
        <v>5474</v>
      </c>
      <c r="I3401" t="s">
        <v>14959</v>
      </c>
      <c r="J3401" t="s">
        <v>5476</v>
      </c>
      <c r="K3401" t="s">
        <v>14960</v>
      </c>
      <c r="L3401" t="s">
        <v>5471</v>
      </c>
      <c r="M3401" t="s">
        <v>5471</v>
      </c>
    </row>
    <row r="3402" spans="1:13" x14ac:dyDescent="0.3">
      <c r="A3402" t="s">
        <v>3397</v>
      </c>
      <c r="B3402" t="s">
        <v>5301</v>
      </c>
      <c r="C3402" t="s">
        <v>6342</v>
      </c>
      <c r="D3402" t="s">
        <v>4119</v>
      </c>
      <c r="E3402" t="s">
        <v>6332</v>
      </c>
      <c r="F3402" t="s">
        <v>14961</v>
      </c>
      <c r="G3402" t="s">
        <v>14904</v>
      </c>
      <c r="H3402" t="s">
        <v>5474</v>
      </c>
      <c r="I3402" t="s">
        <v>14962</v>
      </c>
      <c r="J3402" t="s">
        <v>5476</v>
      </c>
      <c r="K3402" t="s">
        <v>14963</v>
      </c>
      <c r="L3402" t="s">
        <v>5471</v>
      </c>
      <c r="M3402" t="s">
        <v>5471</v>
      </c>
    </row>
    <row r="3403" spans="1:13" x14ac:dyDescent="0.3">
      <c r="A3403" t="s">
        <v>3397</v>
      </c>
      <c r="B3403" t="s">
        <v>5301</v>
      </c>
      <c r="C3403" t="s">
        <v>6342</v>
      </c>
      <c r="D3403" t="s">
        <v>4119</v>
      </c>
      <c r="E3403" t="s">
        <v>6332</v>
      </c>
      <c r="F3403" t="s">
        <v>14964</v>
      </c>
      <c r="G3403" t="s">
        <v>14910</v>
      </c>
      <c r="H3403" t="s">
        <v>5474</v>
      </c>
      <c r="I3403" t="s">
        <v>14965</v>
      </c>
      <c r="J3403" t="s">
        <v>5476</v>
      </c>
      <c r="K3403" t="s">
        <v>14966</v>
      </c>
      <c r="L3403" t="s">
        <v>5471</v>
      </c>
      <c r="M3403" t="s">
        <v>5471</v>
      </c>
    </row>
    <row r="3404" spans="1:13" x14ac:dyDescent="0.3">
      <c r="A3404" t="s">
        <v>3397</v>
      </c>
      <c r="B3404" t="s">
        <v>5301</v>
      </c>
      <c r="C3404" t="s">
        <v>6342</v>
      </c>
      <c r="D3404" t="s">
        <v>4119</v>
      </c>
      <c r="E3404" t="s">
        <v>6332</v>
      </c>
      <c r="F3404" t="s">
        <v>14967</v>
      </c>
      <c r="G3404" t="s">
        <v>14914</v>
      </c>
      <c r="H3404" t="s">
        <v>5474</v>
      </c>
      <c r="I3404" t="s">
        <v>14968</v>
      </c>
      <c r="J3404" t="s">
        <v>5476</v>
      </c>
      <c r="K3404" t="s">
        <v>14969</v>
      </c>
      <c r="L3404" t="s">
        <v>5471</v>
      </c>
      <c r="M3404" t="s">
        <v>5471</v>
      </c>
    </row>
    <row r="3405" spans="1:13" x14ac:dyDescent="0.3">
      <c r="A3405" t="s">
        <v>3397</v>
      </c>
      <c r="B3405" t="s">
        <v>5301</v>
      </c>
      <c r="C3405" t="s">
        <v>6342</v>
      </c>
      <c r="D3405" t="s">
        <v>4119</v>
      </c>
      <c r="E3405" t="s">
        <v>6332</v>
      </c>
      <c r="F3405" t="s">
        <v>14970</v>
      </c>
      <c r="G3405" t="s">
        <v>14917</v>
      </c>
      <c r="H3405" t="s">
        <v>5474</v>
      </c>
      <c r="I3405" t="s">
        <v>14971</v>
      </c>
      <c r="J3405" t="s">
        <v>5476</v>
      </c>
      <c r="K3405" t="s">
        <v>14972</v>
      </c>
      <c r="L3405" t="s">
        <v>5471</v>
      </c>
      <c r="M3405" t="s">
        <v>5471</v>
      </c>
    </row>
    <row r="3406" spans="1:13" x14ac:dyDescent="0.3">
      <c r="A3406" t="s">
        <v>3397</v>
      </c>
      <c r="B3406" t="s">
        <v>14973</v>
      </c>
      <c r="C3406" t="s">
        <v>6342</v>
      </c>
      <c r="D3406" t="s">
        <v>4119</v>
      </c>
      <c r="E3406" t="s">
        <v>6332</v>
      </c>
      <c r="F3406" t="s">
        <v>14974</v>
      </c>
      <c r="G3406" t="s">
        <v>14867</v>
      </c>
      <c r="H3406" t="s">
        <v>5474</v>
      </c>
      <c r="I3406" t="s">
        <v>14975</v>
      </c>
      <c r="J3406" t="s">
        <v>5476</v>
      </c>
      <c r="K3406" t="s">
        <v>14869</v>
      </c>
      <c r="L3406" t="s">
        <v>5471</v>
      </c>
      <c r="M3406" t="s">
        <v>5471</v>
      </c>
    </row>
    <row r="3407" spans="1:13" x14ac:dyDescent="0.3">
      <c r="A3407" t="s">
        <v>3397</v>
      </c>
      <c r="B3407" t="s">
        <v>14973</v>
      </c>
      <c r="C3407" t="s">
        <v>6342</v>
      </c>
      <c r="D3407" t="s">
        <v>4119</v>
      </c>
      <c r="E3407" t="s">
        <v>6332</v>
      </c>
      <c r="F3407" t="s">
        <v>14976</v>
      </c>
      <c r="G3407" t="s">
        <v>14977</v>
      </c>
      <c r="H3407" t="s">
        <v>5474</v>
      </c>
      <c r="I3407" t="s">
        <v>14978</v>
      </c>
      <c r="J3407" t="s">
        <v>5476</v>
      </c>
      <c r="K3407" t="s">
        <v>14979</v>
      </c>
      <c r="L3407" t="s">
        <v>5471</v>
      </c>
      <c r="M3407" t="s">
        <v>5471</v>
      </c>
    </row>
    <row r="3408" spans="1:13" x14ac:dyDescent="0.3">
      <c r="A3408" t="s">
        <v>3397</v>
      </c>
      <c r="B3408" t="s">
        <v>14973</v>
      </c>
      <c r="C3408" t="s">
        <v>6342</v>
      </c>
      <c r="D3408" t="s">
        <v>4119</v>
      </c>
      <c r="E3408" t="s">
        <v>6332</v>
      </c>
      <c r="F3408" t="s">
        <v>14980</v>
      </c>
      <c r="G3408" t="s">
        <v>14981</v>
      </c>
      <c r="H3408" t="s">
        <v>5474</v>
      </c>
      <c r="I3408" t="s">
        <v>14982</v>
      </c>
      <c r="J3408" t="s">
        <v>5476</v>
      </c>
      <c r="K3408" t="s">
        <v>14983</v>
      </c>
      <c r="L3408" t="s">
        <v>5471</v>
      </c>
      <c r="M3408" t="s">
        <v>5471</v>
      </c>
    </row>
    <row r="3409" spans="1:13" x14ac:dyDescent="0.3">
      <c r="A3409" t="s">
        <v>3397</v>
      </c>
      <c r="B3409" t="s">
        <v>14973</v>
      </c>
      <c r="C3409" t="s">
        <v>6342</v>
      </c>
      <c r="D3409" t="s">
        <v>4119</v>
      </c>
      <c r="E3409" t="s">
        <v>6332</v>
      </c>
      <c r="F3409" t="s">
        <v>14984</v>
      </c>
      <c r="G3409" t="s">
        <v>14878</v>
      </c>
      <c r="H3409" t="s">
        <v>5474</v>
      </c>
      <c r="I3409" t="s">
        <v>14985</v>
      </c>
      <c r="J3409" t="s">
        <v>5476</v>
      </c>
      <c r="K3409" t="s">
        <v>14880</v>
      </c>
      <c r="L3409" t="s">
        <v>5471</v>
      </c>
      <c r="M3409" t="s">
        <v>5471</v>
      </c>
    </row>
    <row r="3410" spans="1:13" x14ac:dyDescent="0.3">
      <c r="A3410" t="s">
        <v>3397</v>
      </c>
      <c r="B3410" t="s">
        <v>14973</v>
      </c>
      <c r="C3410" t="s">
        <v>6342</v>
      </c>
      <c r="D3410" t="s">
        <v>4119</v>
      </c>
      <c r="E3410" t="s">
        <v>6332</v>
      </c>
      <c r="F3410" t="s">
        <v>14986</v>
      </c>
      <c r="G3410" t="s">
        <v>14987</v>
      </c>
      <c r="H3410" t="s">
        <v>5474</v>
      </c>
      <c r="I3410" t="s">
        <v>14988</v>
      </c>
      <c r="J3410" t="s">
        <v>5476</v>
      </c>
      <c r="K3410" t="s">
        <v>14989</v>
      </c>
      <c r="L3410" t="s">
        <v>5471</v>
      </c>
      <c r="M3410" t="s">
        <v>5471</v>
      </c>
    </row>
    <row r="3411" spans="1:13" x14ac:dyDescent="0.3">
      <c r="A3411" t="s">
        <v>3397</v>
      </c>
      <c r="B3411" t="s">
        <v>14973</v>
      </c>
      <c r="C3411" t="s">
        <v>6342</v>
      </c>
      <c r="D3411" t="s">
        <v>4119</v>
      </c>
      <c r="E3411" t="s">
        <v>6332</v>
      </c>
      <c r="F3411" t="s">
        <v>14990</v>
      </c>
      <c r="G3411" t="s">
        <v>14981</v>
      </c>
      <c r="H3411" t="s">
        <v>5474</v>
      </c>
      <c r="I3411" t="s">
        <v>14991</v>
      </c>
      <c r="J3411" t="s">
        <v>5476</v>
      </c>
      <c r="K3411" t="s">
        <v>14992</v>
      </c>
      <c r="L3411" t="s">
        <v>5471</v>
      </c>
      <c r="M3411" t="s">
        <v>5471</v>
      </c>
    </row>
    <row r="3412" spans="1:13" x14ac:dyDescent="0.3">
      <c r="A3412" t="s">
        <v>3397</v>
      </c>
      <c r="B3412" t="s">
        <v>14973</v>
      </c>
      <c r="C3412" t="s">
        <v>6342</v>
      </c>
      <c r="D3412" t="s">
        <v>4119</v>
      </c>
      <c r="E3412" t="s">
        <v>6332</v>
      </c>
      <c r="F3412" t="s">
        <v>14993</v>
      </c>
      <c r="G3412" t="s">
        <v>14886</v>
      </c>
      <c r="H3412" t="s">
        <v>5474</v>
      </c>
      <c r="I3412" t="s">
        <v>14994</v>
      </c>
      <c r="J3412" t="s">
        <v>5476</v>
      </c>
      <c r="K3412" t="s">
        <v>14888</v>
      </c>
      <c r="L3412" t="s">
        <v>5471</v>
      </c>
      <c r="M3412" t="s">
        <v>5471</v>
      </c>
    </row>
    <row r="3413" spans="1:13" x14ac:dyDescent="0.3">
      <c r="A3413" t="s">
        <v>3397</v>
      </c>
      <c r="B3413" t="s">
        <v>14973</v>
      </c>
      <c r="C3413" t="s">
        <v>6342</v>
      </c>
      <c r="D3413" t="s">
        <v>4119</v>
      </c>
      <c r="E3413" t="s">
        <v>6332</v>
      </c>
      <c r="F3413" t="s">
        <v>14995</v>
      </c>
      <c r="G3413" t="s">
        <v>14996</v>
      </c>
      <c r="H3413" t="s">
        <v>5474</v>
      </c>
      <c r="I3413" t="s">
        <v>14997</v>
      </c>
      <c r="J3413" t="s">
        <v>5476</v>
      </c>
      <c r="K3413" t="s">
        <v>14998</v>
      </c>
      <c r="L3413" t="s">
        <v>5471</v>
      </c>
      <c r="M3413" t="s">
        <v>5471</v>
      </c>
    </row>
    <row r="3414" spans="1:13" x14ac:dyDescent="0.3">
      <c r="A3414" t="s">
        <v>3397</v>
      </c>
      <c r="B3414" t="s">
        <v>14973</v>
      </c>
      <c r="C3414" t="s">
        <v>6342</v>
      </c>
      <c r="D3414" t="s">
        <v>4119</v>
      </c>
      <c r="E3414" t="s">
        <v>6332</v>
      </c>
      <c r="F3414" t="s">
        <v>14999</v>
      </c>
      <c r="G3414" t="s">
        <v>14981</v>
      </c>
      <c r="H3414" t="s">
        <v>5474</v>
      </c>
      <c r="I3414" t="s">
        <v>15000</v>
      </c>
      <c r="J3414" t="s">
        <v>5476</v>
      </c>
      <c r="K3414" t="s">
        <v>15001</v>
      </c>
      <c r="L3414" t="s">
        <v>5471</v>
      </c>
      <c r="M3414" t="s">
        <v>5471</v>
      </c>
    </row>
    <row r="3415" spans="1:13" x14ac:dyDescent="0.3">
      <c r="A3415" t="s">
        <v>3397</v>
      </c>
      <c r="B3415" t="s">
        <v>14973</v>
      </c>
      <c r="C3415" t="s">
        <v>6342</v>
      </c>
      <c r="D3415" t="s">
        <v>4119</v>
      </c>
      <c r="E3415" t="s">
        <v>6332</v>
      </c>
      <c r="F3415" t="s">
        <v>14937</v>
      </c>
      <c r="G3415" t="s">
        <v>14867</v>
      </c>
      <c r="H3415" t="s">
        <v>5474</v>
      </c>
      <c r="I3415" t="s">
        <v>15002</v>
      </c>
      <c r="J3415" t="s">
        <v>5476</v>
      </c>
      <c r="K3415" t="s">
        <v>14939</v>
      </c>
      <c r="L3415" t="s">
        <v>5471</v>
      </c>
      <c r="M3415" t="s">
        <v>5471</v>
      </c>
    </row>
    <row r="3416" spans="1:13" x14ac:dyDescent="0.3">
      <c r="A3416" t="s">
        <v>3397</v>
      </c>
      <c r="B3416" t="s">
        <v>14973</v>
      </c>
      <c r="C3416" t="s">
        <v>6342</v>
      </c>
      <c r="D3416" t="s">
        <v>4119</v>
      </c>
      <c r="E3416" t="s">
        <v>6332</v>
      </c>
      <c r="F3416" t="s">
        <v>15003</v>
      </c>
      <c r="G3416" t="s">
        <v>14977</v>
      </c>
      <c r="H3416" t="s">
        <v>5474</v>
      </c>
      <c r="I3416" t="s">
        <v>15004</v>
      </c>
      <c r="J3416" t="s">
        <v>5476</v>
      </c>
      <c r="K3416" t="s">
        <v>15005</v>
      </c>
      <c r="L3416" t="s">
        <v>5471</v>
      </c>
      <c r="M3416" t="s">
        <v>5471</v>
      </c>
    </row>
    <row r="3417" spans="1:13" x14ac:dyDescent="0.3">
      <c r="A3417" t="s">
        <v>3397</v>
      </c>
      <c r="B3417" t="s">
        <v>14973</v>
      </c>
      <c r="C3417" t="s">
        <v>6342</v>
      </c>
      <c r="D3417" t="s">
        <v>4119</v>
      </c>
      <c r="E3417" t="s">
        <v>6332</v>
      </c>
      <c r="F3417" t="s">
        <v>14943</v>
      </c>
      <c r="G3417" t="s">
        <v>14878</v>
      </c>
      <c r="H3417" t="s">
        <v>5474</v>
      </c>
      <c r="I3417" t="s">
        <v>15006</v>
      </c>
      <c r="J3417" t="s">
        <v>5476</v>
      </c>
      <c r="K3417" t="s">
        <v>14945</v>
      </c>
      <c r="L3417" t="s">
        <v>5471</v>
      </c>
      <c r="M3417" t="s">
        <v>5471</v>
      </c>
    </row>
    <row r="3418" spans="1:13" x14ac:dyDescent="0.3">
      <c r="A3418" t="s">
        <v>3397</v>
      </c>
      <c r="B3418" t="s">
        <v>14973</v>
      </c>
      <c r="C3418" t="s">
        <v>6342</v>
      </c>
      <c r="D3418" t="s">
        <v>4119</v>
      </c>
      <c r="E3418" t="s">
        <v>6332</v>
      </c>
      <c r="F3418" t="s">
        <v>15007</v>
      </c>
      <c r="G3418" t="s">
        <v>14987</v>
      </c>
      <c r="H3418" t="s">
        <v>5474</v>
      </c>
      <c r="I3418" t="s">
        <v>15008</v>
      </c>
      <c r="J3418" t="s">
        <v>5476</v>
      </c>
      <c r="K3418" t="s">
        <v>15009</v>
      </c>
      <c r="L3418" t="s">
        <v>5471</v>
      </c>
      <c r="M3418" t="s">
        <v>5471</v>
      </c>
    </row>
    <row r="3419" spans="1:13" x14ac:dyDescent="0.3">
      <c r="A3419" t="s">
        <v>3397</v>
      </c>
      <c r="B3419" t="s">
        <v>14973</v>
      </c>
      <c r="C3419" t="s">
        <v>6342</v>
      </c>
      <c r="D3419" t="s">
        <v>4119</v>
      </c>
      <c r="E3419" t="s">
        <v>6332</v>
      </c>
      <c r="F3419" t="s">
        <v>14949</v>
      </c>
      <c r="G3419" t="s">
        <v>14886</v>
      </c>
      <c r="H3419" t="s">
        <v>5474</v>
      </c>
      <c r="I3419" t="s">
        <v>15010</v>
      </c>
      <c r="J3419" t="s">
        <v>5476</v>
      </c>
      <c r="K3419" t="s">
        <v>14951</v>
      </c>
      <c r="L3419" t="s">
        <v>5471</v>
      </c>
      <c r="M3419" t="s">
        <v>5471</v>
      </c>
    </row>
    <row r="3420" spans="1:13" x14ac:dyDescent="0.3">
      <c r="A3420" t="s">
        <v>3397</v>
      </c>
      <c r="B3420" t="s">
        <v>14973</v>
      </c>
      <c r="C3420" t="s">
        <v>6342</v>
      </c>
      <c r="D3420" t="s">
        <v>4119</v>
      </c>
      <c r="E3420" t="s">
        <v>6332</v>
      </c>
      <c r="F3420" t="s">
        <v>15011</v>
      </c>
      <c r="G3420" t="s">
        <v>14996</v>
      </c>
      <c r="H3420" t="s">
        <v>5474</v>
      </c>
      <c r="I3420" t="s">
        <v>15012</v>
      </c>
      <c r="J3420" t="s">
        <v>5476</v>
      </c>
      <c r="K3420" t="s">
        <v>15013</v>
      </c>
      <c r="L3420" t="s">
        <v>5471</v>
      </c>
      <c r="M3420" t="s">
        <v>5471</v>
      </c>
    </row>
    <row r="3421" spans="1:13" x14ac:dyDescent="0.3">
      <c r="A3421" t="s">
        <v>3397</v>
      </c>
      <c r="B3421" t="s">
        <v>5301</v>
      </c>
      <c r="C3421" t="s">
        <v>6342</v>
      </c>
      <c r="D3421" t="s">
        <v>4119</v>
      </c>
      <c r="E3421" t="s">
        <v>6332</v>
      </c>
      <c r="F3421" t="s">
        <v>15014</v>
      </c>
      <c r="G3421" t="s">
        <v>14894</v>
      </c>
      <c r="H3421" t="s">
        <v>5474</v>
      </c>
      <c r="I3421" t="s">
        <v>15015</v>
      </c>
      <c r="J3421" t="s">
        <v>5476</v>
      </c>
      <c r="K3421" t="s">
        <v>9836</v>
      </c>
      <c r="L3421" t="s">
        <v>5471</v>
      </c>
      <c r="M3421" t="s">
        <v>5471</v>
      </c>
    </row>
    <row r="3422" spans="1:13" x14ac:dyDescent="0.3">
      <c r="A3422" t="s">
        <v>3397</v>
      </c>
      <c r="B3422" t="s">
        <v>5301</v>
      </c>
      <c r="C3422" t="s">
        <v>6342</v>
      </c>
      <c r="D3422" t="s">
        <v>4119</v>
      </c>
      <c r="E3422" t="s">
        <v>6332</v>
      </c>
      <c r="F3422" t="s">
        <v>15016</v>
      </c>
      <c r="G3422" t="s">
        <v>14894</v>
      </c>
      <c r="H3422" t="s">
        <v>5474</v>
      </c>
      <c r="I3422" t="s">
        <v>15017</v>
      </c>
      <c r="J3422" t="s">
        <v>5476</v>
      </c>
      <c r="K3422" t="s">
        <v>9836</v>
      </c>
      <c r="L3422" t="s">
        <v>5471</v>
      </c>
      <c r="M3422" t="s">
        <v>5471</v>
      </c>
    </row>
    <row r="3423" spans="1:13" x14ac:dyDescent="0.3">
      <c r="A3423" t="s">
        <v>3397</v>
      </c>
      <c r="B3423" t="s">
        <v>5301</v>
      </c>
      <c r="C3423" t="s">
        <v>6342</v>
      </c>
      <c r="D3423" t="s">
        <v>4119</v>
      </c>
      <c r="E3423" t="s">
        <v>6332</v>
      </c>
      <c r="F3423" t="s">
        <v>15018</v>
      </c>
      <c r="G3423" t="s">
        <v>14904</v>
      </c>
      <c r="H3423" t="s">
        <v>5474</v>
      </c>
      <c r="I3423" t="s">
        <v>15019</v>
      </c>
      <c r="J3423" t="s">
        <v>5476</v>
      </c>
      <c r="K3423" t="s">
        <v>9836</v>
      </c>
      <c r="L3423" t="s">
        <v>5471</v>
      </c>
      <c r="M3423" t="s">
        <v>5471</v>
      </c>
    </row>
    <row r="3424" spans="1:13" x14ac:dyDescent="0.3">
      <c r="A3424" t="s">
        <v>3397</v>
      </c>
      <c r="B3424" t="s">
        <v>5301</v>
      </c>
      <c r="C3424" t="s">
        <v>6342</v>
      </c>
      <c r="D3424" t="s">
        <v>4119</v>
      </c>
      <c r="E3424" t="s">
        <v>6332</v>
      </c>
      <c r="F3424" t="s">
        <v>15020</v>
      </c>
      <c r="G3424" t="s">
        <v>14904</v>
      </c>
      <c r="H3424" t="s">
        <v>5474</v>
      </c>
      <c r="I3424" t="s">
        <v>15021</v>
      </c>
      <c r="J3424" t="s">
        <v>5476</v>
      </c>
      <c r="K3424" t="s">
        <v>9836</v>
      </c>
      <c r="L3424" t="s">
        <v>5471</v>
      </c>
      <c r="M3424" t="s">
        <v>5471</v>
      </c>
    </row>
    <row r="3425" spans="1:13" x14ac:dyDescent="0.3">
      <c r="A3425" t="s">
        <v>3397</v>
      </c>
      <c r="B3425" t="s">
        <v>5301</v>
      </c>
      <c r="C3425" t="s">
        <v>6342</v>
      </c>
      <c r="D3425" t="s">
        <v>4119</v>
      </c>
      <c r="E3425" t="s">
        <v>6332</v>
      </c>
      <c r="F3425" t="s">
        <v>15022</v>
      </c>
      <c r="G3425" t="s">
        <v>14914</v>
      </c>
      <c r="H3425" t="s">
        <v>5474</v>
      </c>
      <c r="I3425" t="s">
        <v>15023</v>
      </c>
      <c r="J3425" t="s">
        <v>5476</v>
      </c>
      <c r="K3425" t="s">
        <v>9836</v>
      </c>
      <c r="L3425" t="s">
        <v>5471</v>
      </c>
      <c r="M3425" t="s">
        <v>5471</v>
      </c>
    </row>
    <row r="3426" spans="1:13" x14ac:dyDescent="0.3">
      <c r="A3426" t="s">
        <v>3397</v>
      </c>
      <c r="B3426" t="s">
        <v>5301</v>
      </c>
      <c r="C3426" t="s">
        <v>6342</v>
      </c>
      <c r="D3426" t="s">
        <v>4119</v>
      </c>
      <c r="E3426" t="s">
        <v>6332</v>
      </c>
      <c r="F3426" t="s">
        <v>15024</v>
      </c>
      <c r="G3426" t="s">
        <v>14914</v>
      </c>
      <c r="H3426" t="s">
        <v>5474</v>
      </c>
      <c r="I3426" t="s">
        <v>15025</v>
      </c>
      <c r="J3426" t="s">
        <v>5476</v>
      </c>
      <c r="K3426" t="s">
        <v>9836</v>
      </c>
      <c r="L3426" t="s">
        <v>5471</v>
      </c>
      <c r="M3426" t="s">
        <v>5471</v>
      </c>
    </row>
    <row r="3427" spans="1:13" x14ac:dyDescent="0.3">
      <c r="A3427" t="s">
        <v>3397</v>
      </c>
      <c r="B3427" t="s">
        <v>5301</v>
      </c>
      <c r="C3427" t="s">
        <v>6342</v>
      </c>
      <c r="D3427" t="s">
        <v>4119</v>
      </c>
      <c r="E3427" t="s">
        <v>6332</v>
      </c>
      <c r="F3427" t="s">
        <v>15026</v>
      </c>
      <c r="G3427" t="s">
        <v>10239</v>
      </c>
      <c r="H3427" t="s">
        <v>5474</v>
      </c>
      <c r="I3427" t="s">
        <v>15027</v>
      </c>
      <c r="J3427" t="s">
        <v>5484</v>
      </c>
      <c r="K3427" t="s">
        <v>9836</v>
      </c>
      <c r="L3427" t="s">
        <v>5471</v>
      </c>
      <c r="M3427" t="s">
        <v>5471</v>
      </c>
    </row>
    <row r="3428" spans="1:13" x14ac:dyDescent="0.3">
      <c r="A3428" t="s">
        <v>3397</v>
      </c>
      <c r="B3428" t="s">
        <v>5301</v>
      </c>
      <c r="C3428" t="s">
        <v>6342</v>
      </c>
      <c r="D3428" t="s">
        <v>4119</v>
      </c>
      <c r="E3428" t="s">
        <v>6332</v>
      </c>
      <c r="F3428" t="s">
        <v>15028</v>
      </c>
      <c r="G3428" t="s">
        <v>10239</v>
      </c>
      <c r="H3428" t="s">
        <v>5474</v>
      </c>
      <c r="I3428" t="s">
        <v>15029</v>
      </c>
      <c r="J3428" t="s">
        <v>5484</v>
      </c>
      <c r="K3428" t="s">
        <v>9836</v>
      </c>
      <c r="L3428" t="s">
        <v>5471</v>
      </c>
      <c r="M3428" t="s">
        <v>5471</v>
      </c>
    </row>
    <row r="3429" spans="1:13" x14ac:dyDescent="0.3">
      <c r="A3429" t="s">
        <v>3397</v>
      </c>
      <c r="B3429" t="s">
        <v>5301</v>
      </c>
      <c r="C3429" t="s">
        <v>6342</v>
      </c>
      <c r="D3429" t="s">
        <v>4119</v>
      </c>
      <c r="E3429" t="s">
        <v>6332</v>
      </c>
      <c r="F3429" t="s">
        <v>15030</v>
      </c>
      <c r="G3429" t="s">
        <v>10239</v>
      </c>
      <c r="H3429" t="s">
        <v>5474</v>
      </c>
      <c r="I3429" t="s">
        <v>15031</v>
      </c>
      <c r="J3429" t="s">
        <v>5484</v>
      </c>
      <c r="K3429" t="s">
        <v>9836</v>
      </c>
      <c r="L3429" t="s">
        <v>5471</v>
      </c>
      <c r="M3429" t="s">
        <v>5471</v>
      </c>
    </row>
    <row r="3430" spans="1:13" x14ac:dyDescent="0.3">
      <c r="A3430" t="s">
        <v>3397</v>
      </c>
      <c r="B3430" t="s">
        <v>5301</v>
      </c>
      <c r="C3430" t="s">
        <v>6342</v>
      </c>
      <c r="D3430" t="s">
        <v>4119</v>
      </c>
      <c r="E3430" t="s">
        <v>6332</v>
      </c>
      <c r="F3430" t="s">
        <v>15032</v>
      </c>
      <c r="G3430" t="s">
        <v>10239</v>
      </c>
      <c r="H3430" t="s">
        <v>5474</v>
      </c>
      <c r="I3430" t="s">
        <v>15033</v>
      </c>
      <c r="J3430" t="s">
        <v>5484</v>
      </c>
      <c r="K3430" t="s">
        <v>9836</v>
      </c>
      <c r="L3430" t="s">
        <v>5471</v>
      </c>
      <c r="M3430" t="s">
        <v>5471</v>
      </c>
    </row>
    <row r="3431" spans="1:13" x14ac:dyDescent="0.3">
      <c r="A3431" t="s">
        <v>3397</v>
      </c>
      <c r="B3431" t="s">
        <v>5301</v>
      </c>
      <c r="C3431" t="s">
        <v>6342</v>
      </c>
      <c r="D3431" t="s">
        <v>4119</v>
      </c>
      <c r="E3431" t="s">
        <v>6332</v>
      </c>
      <c r="F3431" t="s">
        <v>15034</v>
      </c>
      <c r="G3431" t="s">
        <v>10239</v>
      </c>
      <c r="H3431" t="s">
        <v>5474</v>
      </c>
      <c r="I3431" t="s">
        <v>15035</v>
      </c>
      <c r="J3431" t="s">
        <v>5484</v>
      </c>
      <c r="K3431" t="s">
        <v>9836</v>
      </c>
      <c r="L3431" t="s">
        <v>5471</v>
      </c>
      <c r="M3431" t="s">
        <v>5471</v>
      </c>
    </row>
    <row r="3432" spans="1:13" x14ac:dyDescent="0.3">
      <c r="A3432" t="s">
        <v>3397</v>
      </c>
      <c r="B3432" t="s">
        <v>5301</v>
      </c>
      <c r="C3432" t="s">
        <v>6342</v>
      </c>
      <c r="D3432" t="s">
        <v>4119</v>
      </c>
      <c r="E3432" t="s">
        <v>6332</v>
      </c>
      <c r="F3432" t="s">
        <v>15036</v>
      </c>
      <c r="G3432" t="s">
        <v>10239</v>
      </c>
      <c r="H3432" t="s">
        <v>5474</v>
      </c>
      <c r="I3432" t="s">
        <v>15037</v>
      </c>
      <c r="J3432" t="s">
        <v>5484</v>
      </c>
      <c r="K3432" t="s">
        <v>9836</v>
      </c>
      <c r="L3432" t="s">
        <v>5471</v>
      </c>
      <c r="M3432" t="s">
        <v>5471</v>
      </c>
    </row>
    <row r="3433" spans="1:13" x14ac:dyDescent="0.3">
      <c r="A3433" t="s">
        <v>3397</v>
      </c>
      <c r="B3433" t="s">
        <v>5301</v>
      </c>
      <c r="C3433" t="s">
        <v>6342</v>
      </c>
      <c r="D3433" t="s">
        <v>4119</v>
      </c>
      <c r="E3433" t="s">
        <v>6332</v>
      </c>
      <c r="F3433" t="s">
        <v>15038</v>
      </c>
      <c r="G3433" t="s">
        <v>12784</v>
      </c>
      <c r="H3433" t="s">
        <v>5474</v>
      </c>
      <c r="I3433" t="s">
        <v>15039</v>
      </c>
      <c r="J3433" t="s">
        <v>5484</v>
      </c>
      <c r="K3433" t="s">
        <v>9836</v>
      </c>
      <c r="L3433" t="s">
        <v>5471</v>
      </c>
      <c r="M3433" t="s">
        <v>5471</v>
      </c>
    </row>
    <row r="3434" spans="1:13" x14ac:dyDescent="0.3">
      <c r="A3434" t="s">
        <v>3397</v>
      </c>
      <c r="B3434" t="s">
        <v>5301</v>
      </c>
      <c r="C3434" t="s">
        <v>6342</v>
      </c>
      <c r="D3434" t="s">
        <v>4119</v>
      </c>
      <c r="E3434" t="s">
        <v>6332</v>
      </c>
      <c r="F3434" t="s">
        <v>15040</v>
      </c>
      <c r="G3434" t="s">
        <v>15041</v>
      </c>
      <c r="H3434" t="s">
        <v>5474</v>
      </c>
      <c r="I3434" t="s">
        <v>15042</v>
      </c>
      <c r="J3434" t="s">
        <v>5484</v>
      </c>
      <c r="K3434" t="s">
        <v>9836</v>
      </c>
      <c r="L3434" t="s">
        <v>5471</v>
      </c>
      <c r="M3434" t="s">
        <v>5471</v>
      </c>
    </row>
    <row r="3435" spans="1:13" x14ac:dyDescent="0.3">
      <c r="A3435" t="s">
        <v>3397</v>
      </c>
      <c r="B3435" t="s">
        <v>5301</v>
      </c>
      <c r="C3435" t="s">
        <v>6342</v>
      </c>
      <c r="D3435" t="s">
        <v>4119</v>
      </c>
      <c r="E3435" t="s">
        <v>6332</v>
      </c>
      <c r="F3435" t="s">
        <v>15043</v>
      </c>
      <c r="G3435" t="s">
        <v>14527</v>
      </c>
      <c r="H3435" t="s">
        <v>5474</v>
      </c>
      <c r="I3435" t="s">
        <v>15044</v>
      </c>
      <c r="J3435" t="s">
        <v>5476</v>
      </c>
      <c r="K3435" t="s">
        <v>9836</v>
      </c>
      <c r="L3435" t="s">
        <v>5471</v>
      </c>
      <c r="M3435" t="s">
        <v>5471</v>
      </c>
    </row>
    <row r="3436" spans="1:13" x14ac:dyDescent="0.3">
      <c r="A3436" t="s">
        <v>3397</v>
      </c>
      <c r="B3436" t="s">
        <v>5301</v>
      </c>
      <c r="C3436" t="s">
        <v>6342</v>
      </c>
      <c r="D3436" t="s">
        <v>4119</v>
      </c>
      <c r="E3436" t="s">
        <v>9935</v>
      </c>
      <c r="F3436" t="s">
        <v>15045</v>
      </c>
      <c r="G3436" t="s">
        <v>14527</v>
      </c>
      <c r="H3436" t="s">
        <v>5474</v>
      </c>
      <c r="I3436" t="s">
        <v>15046</v>
      </c>
      <c r="J3436" t="s">
        <v>5476</v>
      </c>
      <c r="K3436" t="s">
        <v>9836</v>
      </c>
      <c r="L3436" t="s">
        <v>5471</v>
      </c>
      <c r="M3436" t="s">
        <v>5471</v>
      </c>
    </row>
    <row r="3437" spans="1:13" x14ac:dyDescent="0.3">
      <c r="A3437" t="s">
        <v>3397</v>
      </c>
      <c r="B3437" t="s">
        <v>5301</v>
      </c>
      <c r="C3437" t="s">
        <v>6342</v>
      </c>
      <c r="D3437" t="s">
        <v>4119</v>
      </c>
      <c r="E3437" t="s">
        <v>6332</v>
      </c>
      <c r="F3437" t="s">
        <v>15047</v>
      </c>
      <c r="G3437" t="s">
        <v>12784</v>
      </c>
      <c r="H3437" t="s">
        <v>5474</v>
      </c>
      <c r="I3437" t="s">
        <v>15048</v>
      </c>
      <c r="J3437" t="s">
        <v>5484</v>
      </c>
      <c r="K3437" t="s">
        <v>9836</v>
      </c>
      <c r="L3437" t="s">
        <v>5471</v>
      </c>
      <c r="M3437" t="s">
        <v>5471</v>
      </c>
    </row>
    <row r="3438" spans="1:13" x14ac:dyDescent="0.3">
      <c r="A3438" t="s">
        <v>3397</v>
      </c>
      <c r="B3438" t="s">
        <v>5301</v>
      </c>
      <c r="C3438" t="s">
        <v>6342</v>
      </c>
      <c r="D3438" t="s">
        <v>4119</v>
      </c>
      <c r="E3438" t="s">
        <v>5617</v>
      </c>
      <c r="F3438" t="s">
        <v>15049</v>
      </c>
      <c r="G3438" t="s">
        <v>14592</v>
      </c>
      <c r="H3438" t="s">
        <v>5474</v>
      </c>
      <c r="I3438" t="s">
        <v>15050</v>
      </c>
      <c r="J3438" t="s">
        <v>5476</v>
      </c>
      <c r="K3438" t="s">
        <v>9836</v>
      </c>
      <c r="L3438" t="s">
        <v>5471</v>
      </c>
      <c r="M3438" t="s">
        <v>5471</v>
      </c>
    </row>
    <row r="3439" spans="1:13" x14ac:dyDescent="0.3">
      <c r="A3439" t="s">
        <v>3397</v>
      </c>
      <c r="B3439" t="s">
        <v>5301</v>
      </c>
      <c r="C3439" t="s">
        <v>6342</v>
      </c>
      <c r="D3439" t="s">
        <v>4119</v>
      </c>
      <c r="E3439" t="s">
        <v>5617</v>
      </c>
      <c r="F3439" t="s">
        <v>15051</v>
      </c>
      <c r="G3439" t="s">
        <v>14596</v>
      </c>
      <c r="H3439" t="s">
        <v>5474</v>
      </c>
      <c r="I3439" t="s">
        <v>15052</v>
      </c>
      <c r="J3439" t="s">
        <v>5476</v>
      </c>
      <c r="K3439" t="s">
        <v>9836</v>
      </c>
      <c r="L3439" t="s">
        <v>5471</v>
      </c>
      <c r="M3439" t="s">
        <v>5471</v>
      </c>
    </row>
    <row r="3440" spans="1:13" x14ac:dyDescent="0.3">
      <c r="A3440" t="s">
        <v>3397</v>
      </c>
      <c r="B3440" t="s">
        <v>5301</v>
      </c>
      <c r="C3440" t="s">
        <v>6342</v>
      </c>
      <c r="D3440" t="s">
        <v>4119</v>
      </c>
      <c r="E3440" t="s">
        <v>5617</v>
      </c>
      <c r="F3440" t="s">
        <v>15053</v>
      </c>
      <c r="G3440" t="s">
        <v>14600</v>
      </c>
      <c r="H3440" t="s">
        <v>5474</v>
      </c>
      <c r="I3440" t="s">
        <v>15054</v>
      </c>
      <c r="J3440" t="s">
        <v>5476</v>
      </c>
      <c r="K3440" t="s">
        <v>9836</v>
      </c>
      <c r="L3440" t="s">
        <v>5471</v>
      </c>
      <c r="M3440" t="s">
        <v>5471</v>
      </c>
    </row>
    <row r="3441" spans="1:13" x14ac:dyDescent="0.3">
      <c r="A3441" t="s">
        <v>3397</v>
      </c>
      <c r="B3441" t="s">
        <v>5301</v>
      </c>
      <c r="C3441" t="s">
        <v>6342</v>
      </c>
      <c r="D3441" t="s">
        <v>4119</v>
      </c>
      <c r="E3441" t="s">
        <v>6332</v>
      </c>
      <c r="F3441" t="s">
        <v>15055</v>
      </c>
      <c r="G3441" t="s">
        <v>15056</v>
      </c>
      <c r="H3441" t="s">
        <v>5474</v>
      </c>
      <c r="I3441" t="s">
        <v>15057</v>
      </c>
      <c r="J3441" t="s">
        <v>5484</v>
      </c>
      <c r="K3441" t="s">
        <v>9836</v>
      </c>
      <c r="L3441" t="s">
        <v>5471</v>
      </c>
      <c r="M3441" t="s">
        <v>5471</v>
      </c>
    </row>
    <row r="3442" spans="1:13" x14ac:dyDescent="0.3">
      <c r="A3442" t="s">
        <v>3397</v>
      </c>
      <c r="B3442" t="s">
        <v>5301</v>
      </c>
      <c r="C3442" t="s">
        <v>6342</v>
      </c>
      <c r="D3442" t="s">
        <v>4119</v>
      </c>
      <c r="E3442" t="s">
        <v>6332</v>
      </c>
      <c r="F3442" t="s">
        <v>15058</v>
      </c>
      <c r="G3442" t="s">
        <v>15056</v>
      </c>
      <c r="H3442" t="s">
        <v>5474</v>
      </c>
      <c r="I3442" t="s">
        <v>15059</v>
      </c>
      <c r="J3442" t="s">
        <v>5484</v>
      </c>
      <c r="K3442" t="s">
        <v>9836</v>
      </c>
      <c r="L3442" t="s">
        <v>5471</v>
      </c>
      <c r="M3442" t="s">
        <v>5471</v>
      </c>
    </row>
    <row r="3443" spans="1:13" x14ac:dyDescent="0.3">
      <c r="A3443" t="s">
        <v>3397</v>
      </c>
      <c r="B3443" t="s">
        <v>5301</v>
      </c>
      <c r="C3443" t="s">
        <v>6342</v>
      </c>
      <c r="D3443" t="s">
        <v>4119</v>
      </c>
      <c r="E3443" t="s">
        <v>6332</v>
      </c>
      <c r="F3443" t="s">
        <v>15060</v>
      </c>
      <c r="G3443" t="s">
        <v>12784</v>
      </c>
      <c r="H3443" t="s">
        <v>5474</v>
      </c>
      <c r="I3443" t="s">
        <v>15061</v>
      </c>
      <c r="J3443" t="s">
        <v>5476</v>
      </c>
      <c r="K3443" t="s">
        <v>9836</v>
      </c>
      <c r="L3443" t="s">
        <v>5471</v>
      </c>
      <c r="M3443" t="s">
        <v>5471</v>
      </c>
    </row>
    <row r="3444" spans="1:13" x14ac:dyDescent="0.3">
      <c r="A3444" t="s">
        <v>3397</v>
      </c>
      <c r="B3444" t="s">
        <v>5301</v>
      </c>
      <c r="C3444" t="s">
        <v>6342</v>
      </c>
      <c r="D3444" t="s">
        <v>4119</v>
      </c>
      <c r="E3444" t="s">
        <v>5617</v>
      </c>
      <c r="F3444" t="s">
        <v>15062</v>
      </c>
      <c r="G3444" t="s">
        <v>15063</v>
      </c>
      <c r="H3444" t="s">
        <v>5474</v>
      </c>
      <c r="I3444" t="s">
        <v>15064</v>
      </c>
      <c r="J3444" t="s">
        <v>5484</v>
      </c>
      <c r="K3444" t="s">
        <v>9836</v>
      </c>
      <c r="L3444" t="s">
        <v>5471</v>
      </c>
      <c r="M3444" t="s">
        <v>5471</v>
      </c>
    </row>
    <row r="3445" spans="1:13" x14ac:dyDescent="0.3">
      <c r="A3445" t="s">
        <v>3397</v>
      </c>
      <c r="B3445" t="s">
        <v>5301</v>
      </c>
      <c r="C3445" t="s">
        <v>6342</v>
      </c>
      <c r="D3445" t="s">
        <v>4119</v>
      </c>
      <c r="E3445" t="s">
        <v>5617</v>
      </c>
      <c r="F3445" t="s">
        <v>15065</v>
      </c>
      <c r="G3445" t="s">
        <v>15066</v>
      </c>
      <c r="H3445" t="s">
        <v>5474</v>
      </c>
      <c r="I3445" t="s">
        <v>15067</v>
      </c>
      <c r="J3445" t="s">
        <v>5484</v>
      </c>
      <c r="K3445" t="s">
        <v>9836</v>
      </c>
      <c r="L3445" t="s">
        <v>5471</v>
      </c>
      <c r="M3445" t="s">
        <v>5471</v>
      </c>
    </row>
    <row r="3446" spans="1:13" x14ac:dyDescent="0.3">
      <c r="A3446" t="s">
        <v>3397</v>
      </c>
      <c r="B3446" t="s">
        <v>5301</v>
      </c>
      <c r="C3446" t="s">
        <v>6342</v>
      </c>
      <c r="D3446" t="s">
        <v>4119</v>
      </c>
      <c r="E3446" t="s">
        <v>5617</v>
      </c>
      <c r="F3446" t="s">
        <v>15068</v>
      </c>
      <c r="G3446" t="s">
        <v>15069</v>
      </c>
      <c r="H3446" t="s">
        <v>5474</v>
      </c>
      <c r="I3446" t="s">
        <v>15070</v>
      </c>
      <c r="J3446" t="s">
        <v>5484</v>
      </c>
      <c r="K3446" t="s">
        <v>9836</v>
      </c>
      <c r="L3446" t="s">
        <v>5471</v>
      </c>
      <c r="M3446" t="s">
        <v>5471</v>
      </c>
    </row>
    <row r="3447" spans="1:13" x14ac:dyDescent="0.3">
      <c r="A3447" t="s">
        <v>3397</v>
      </c>
      <c r="B3447" t="s">
        <v>5301</v>
      </c>
      <c r="C3447" t="s">
        <v>6342</v>
      </c>
      <c r="D3447" t="s">
        <v>4119</v>
      </c>
      <c r="E3447" t="s">
        <v>6332</v>
      </c>
      <c r="F3447" t="s">
        <v>15071</v>
      </c>
      <c r="G3447" t="s">
        <v>14930</v>
      </c>
      <c r="H3447" t="s">
        <v>5474</v>
      </c>
      <c r="I3447" t="s">
        <v>15072</v>
      </c>
      <c r="J3447" t="s">
        <v>5484</v>
      </c>
      <c r="K3447" t="s">
        <v>9836</v>
      </c>
      <c r="L3447" t="s">
        <v>5471</v>
      </c>
      <c r="M3447" t="s">
        <v>5471</v>
      </c>
    </row>
    <row r="3448" spans="1:13" x14ac:dyDescent="0.3">
      <c r="A3448" t="s">
        <v>3397</v>
      </c>
      <c r="B3448" t="s">
        <v>5301</v>
      </c>
      <c r="C3448" t="s">
        <v>6342</v>
      </c>
      <c r="D3448" t="s">
        <v>4119</v>
      </c>
      <c r="E3448" t="s">
        <v>9935</v>
      </c>
      <c r="F3448" t="s">
        <v>15073</v>
      </c>
      <c r="G3448" t="s">
        <v>14930</v>
      </c>
      <c r="H3448" t="s">
        <v>5474</v>
      </c>
      <c r="I3448" t="s">
        <v>15074</v>
      </c>
      <c r="J3448" t="s">
        <v>5484</v>
      </c>
      <c r="K3448" t="s">
        <v>9836</v>
      </c>
      <c r="L3448" t="s">
        <v>5471</v>
      </c>
      <c r="M3448" t="s">
        <v>5471</v>
      </c>
    </row>
    <row r="3449" spans="1:13" x14ac:dyDescent="0.3">
      <c r="A3449" t="s">
        <v>3397</v>
      </c>
      <c r="B3449" t="s">
        <v>5301</v>
      </c>
      <c r="C3449" t="s">
        <v>6342</v>
      </c>
      <c r="D3449" t="s">
        <v>4119</v>
      </c>
      <c r="E3449" t="s">
        <v>5617</v>
      </c>
      <c r="F3449" t="s">
        <v>15075</v>
      </c>
      <c r="G3449" t="s">
        <v>15076</v>
      </c>
      <c r="H3449" t="s">
        <v>5474</v>
      </c>
      <c r="I3449" t="s">
        <v>15077</v>
      </c>
      <c r="J3449" t="s">
        <v>5484</v>
      </c>
      <c r="K3449" t="s">
        <v>9836</v>
      </c>
      <c r="L3449" t="s">
        <v>5471</v>
      </c>
      <c r="M3449" t="s">
        <v>5471</v>
      </c>
    </row>
    <row r="3450" spans="1:13" x14ac:dyDescent="0.3">
      <c r="A3450" t="s">
        <v>3397</v>
      </c>
      <c r="B3450" t="s">
        <v>5301</v>
      </c>
      <c r="C3450" t="s">
        <v>6342</v>
      </c>
      <c r="D3450" t="s">
        <v>4119</v>
      </c>
      <c r="E3450" t="s">
        <v>5617</v>
      </c>
      <c r="F3450" t="s">
        <v>15078</v>
      </c>
      <c r="G3450" t="s">
        <v>15079</v>
      </c>
      <c r="H3450" t="s">
        <v>5474</v>
      </c>
      <c r="I3450" t="s">
        <v>15080</v>
      </c>
      <c r="J3450" t="s">
        <v>5484</v>
      </c>
      <c r="K3450" t="s">
        <v>9836</v>
      </c>
      <c r="L3450" t="s">
        <v>5471</v>
      </c>
      <c r="M3450" t="s">
        <v>5471</v>
      </c>
    </row>
    <row r="3451" spans="1:13" x14ac:dyDescent="0.3">
      <c r="A3451" t="s">
        <v>3397</v>
      </c>
      <c r="B3451" t="s">
        <v>5301</v>
      </c>
      <c r="C3451" t="s">
        <v>6342</v>
      </c>
      <c r="D3451" t="s">
        <v>4119</v>
      </c>
      <c r="E3451" t="s">
        <v>6332</v>
      </c>
      <c r="F3451" t="s">
        <v>15081</v>
      </c>
      <c r="G3451" t="s">
        <v>12784</v>
      </c>
      <c r="H3451" t="s">
        <v>5474</v>
      </c>
      <c r="I3451" t="s">
        <v>15082</v>
      </c>
      <c r="J3451" t="s">
        <v>5476</v>
      </c>
      <c r="K3451" t="s">
        <v>15083</v>
      </c>
      <c r="L3451" t="s">
        <v>5471</v>
      </c>
      <c r="M3451" t="s">
        <v>5471</v>
      </c>
    </row>
    <row r="3452" spans="1:13" x14ac:dyDescent="0.3">
      <c r="A3452" t="s">
        <v>3397</v>
      </c>
      <c r="B3452" t="s">
        <v>5301</v>
      </c>
      <c r="C3452" t="s">
        <v>6342</v>
      </c>
      <c r="D3452" t="s">
        <v>4119</v>
      </c>
      <c r="E3452" t="s">
        <v>6332</v>
      </c>
      <c r="F3452" t="s">
        <v>15084</v>
      </c>
      <c r="G3452" t="s">
        <v>12784</v>
      </c>
      <c r="H3452" t="s">
        <v>5474</v>
      </c>
      <c r="I3452" t="s">
        <v>15085</v>
      </c>
      <c r="J3452" t="s">
        <v>5476</v>
      </c>
      <c r="K3452" t="s">
        <v>15083</v>
      </c>
      <c r="L3452" t="s">
        <v>5471</v>
      </c>
      <c r="M3452" t="s">
        <v>5471</v>
      </c>
    </row>
    <row r="3453" spans="1:13" x14ac:dyDescent="0.3">
      <c r="A3453" t="s">
        <v>3397</v>
      </c>
      <c r="B3453" t="s">
        <v>5301</v>
      </c>
      <c r="C3453" t="s">
        <v>6342</v>
      </c>
      <c r="D3453" t="s">
        <v>4119</v>
      </c>
      <c r="E3453" t="s">
        <v>6332</v>
      </c>
      <c r="F3453" t="s">
        <v>15086</v>
      </c>
      <c r="G3453" t="s">
        <v>12784</v>
      </c>
      <c r="H3453" t="s">
        <v>5474</v>
      </c>
      <c r="I3453" t="s">
        <v>15087</v>
      </c>
      <c r="J3453" t="s">
        <v>5476</v>
      </c>
      <c r="K3453" t="s">
        <v>15088</v>
      </c>
      <c r="L3453" t="s">
        <v>5471</v>
      </c>
      <c r="M3453" t="s">
        <v>5471</v>
      </c>
    </row>
    <row r="3454" spans="1:13" x14ac:dyDescent="0.3">
      <c r="A3454" t="s">
        <v>3397</v>
      </c>
      <c r="B3454" t="s">
        <v>5301</v>
      </c>
      <c r="C3454" t="s">
        <v>6342</v>
      </c>
      <c r="D3454" t="s">
        <v>4119</v>
      </c>
      <c r="E3454" t="s">
        <v>6332</v>
      </c>
      <c r="F3454" t="s">
        <v>15089</v>
      </c>
      <c r="G3454" t="s">
        <v>12784</v>
      </c>
      <c r="H3454" t="s">
        <v>5474</v>
      </c>
      <c r="I3454" t="s">
        <v>15090</v>
      </c>
      <c r="J3454" t="s">
        <v>5476</v>
      </c>
      <c r="K3454" t="s">
        <v>15091</v>
      </c>
      <c r="L3454" t="s">
        <v>5471</v>
      </c>
      <c r="M3454" t="s">
        <v>5471</v>
      </c>
    </row>
    <row r="3455" spans="1:13" x14ac:dyDescent="0.3">
      <c r="A3455" t="s">
        <v>3397</v>
      </c>
      <c r="B3455" t="s">
        <v>5301</v>
      </c>
      <c r="C3455" t="s">
        <v>6342</v>
      </c>
      <c r="D3455" t="s">
        <v>4119</v>
      </c>
      <c r="E3455" t="s">
        <v>6332</v>
      </c>
      <c r="F3455" t="s">
        <v>15092</v>
      </c>
      <c r="G3455" t="s">
        <v>12784</v>
      </c>
      <c r="H3455" t="s">
        <v>5474</v>
      </c>
      <c r="I3455" t="s">
        <v>15093</v>
      </c>
      <c r="J3455" t="s">
        <v>5476</v>
      </c>
      <c r="K3455" t="s">
        <v>15094</v>
      </c>
      <c r="L3455" t="s">
        <v>5471</v>
      </c>
      <c r="M3455" t="s">
        <v>5471</v>
      </c>
    </row>
    <row r="3456" spans="1:13" x14ac:dyDescent="0.3">
      <c r="A3456" t="s">
        <v>3397</v>
      </c>
      <c r="B3456" t="s">
        <v>5301</v>
      </c>
      <c r="C3456" t="s">
        <v>6342</v>
      </c>
      <c r="D3456" t="s">
        <v>4119</v>
      </c>
      <c r="E3456" t="s">
        <v>6332</v>
      </c>
      <c r="F3456" t="s">
        <v>15095</v>
      </c>
      <c r="G3456" t="s">
        <v>12784</v>
      </c>
      <c r="H3456" t="s">
        <v>5474</v>
      </c>
      <c r="I3456" t="s">
        <v>15096</v>
      </c>
      <c r="J3456" t="s">
        <v>5476</v>
      </c>
      <c r="K3456" t="s">
        <v>15097</v>
      </c>
      <c r="L3456" t="s">
        <v>5471</v>
      </c>
      <c r="M3456" t="s">
        <v>5471</v>
      </c>
    </row>
    <row r="3457" spans="1:13" x14ac:dyDescent="0.3">
      <c r="A3457" t="s">
        <v>3397</v>
      </c>
      <c r="B3457" t="s">
        <v>5989</v>
      </c>
      <c r="C3457" t="s">
        <v>5487</v>
      </c>
      <c r="D3457" t="s">
        <v>4081</v>
      </c>
      <c r="E3457" t="s">
        <v>5756</v>
      </c>
      <c r="F3457" t="s">
        <v>15098</v>
      </c>
      <c r="G3457" t="s">
        <v>15099</v>
      </c>
      <c r="H3457" t="s">
        <v>5474</v>
      </c>
      <c r="I3457" t="s">
        <v>15100</v>
      </c>
      <c r="J3457" t="s">
        <v>5476</v>
      </c>
      <c r="K3457" t="s">
        <v>15101</v>
      </c>
      <c r="L3457" t="s">
        <v>5471</v>
      </c>
      <c r="M3457" t="s">
        <v>5471</v>
      </c>
    </row>
    <row r="3458" spans="1:13" x14ac:dyDescent="0.3">
      <c r="A3458" t="s">
        <v>3397</v>
      </c>
      <c r="B3458" t="s">
        <v>5989</v>
      </c>
      <c r="C3458" t="s">
        <v>5487</v>
      </c>
      <c r="D3458" t="s">
        <v>4081</v>
      </c>
      <c r="E3458" t="s">
        <v>5756</v>
      </c>
      <c r="F3458" t="s">
        <v>15102</v>
      </c>
      <c r="G3458" t="s">
        <v>15099</v>
      </c>
      <c r="H3458" t="s">
        <v>5474</v>
      </c>
      <c r="I3458" t="s">
        <v>15103</v>
      </c>
      <c r="J3458" t="s">
        <v>5476</v>
      </c>
      <c r="K3458" t="s">
        <v>15104</v>
      </c>
      <c r="L3458" t="s">
        <v>5471</v>
      </c>
      <c r="M3458" t="s">
        <v>5471</v>
      </c>
    </row>
    <row r="3459" spans="1:13" x14ac:dyDescent="0.3">
      <c r="A3459" t="s">
        <v>3397</v>
      </c>
      <c r="B3459" t="s">
        <v>5989</v>
      </c>
      <c r="C3459" t="s">
        <v>5487</v>
      </c>
      <c r="D3459" t="s">
        <v>4081</v>
      </c>
      <c r="E3459" t="s">
        <v>5756</v>
      </c>
      <c r="F3459" t="s">
        <v>15105</v>
      </c>
      <c r="G3459" t="s">
        <v>15099</v>
      </c>
      <c r="H3459" t="s">
        <v>5474</v>
      </c>
      <c r="I3459" t="s">
        <v>15106</v>
      </c>
      <c r="J3459" t="s">
        <v>5476</v>
      </c>
      <c r="K3459" t="s">
        <v>15107</v>
      </c>
      <c r="L3459" t="s">
        <v>5471</v>
      </c>
      <c r="M3459" t="s">
        <v>5471</v>
      </c>
    </row>
    <row r="3460" spans="1:13" x14ac:dyDescent="0.3">
      <c r="A3460" t="s">
        <v>3397</v>
      </c>
      <c r="B3460" t="s">
        <v>5989</v>
      </c>
      <c r="C3460" t="s">
        <v>5487</v>
      </c>
      <c r="D3460" t="s">
        <v>4081</v>
      </c>
      <c r="E3460" t="s">
        <v>5756</v>
      </c>
      <c r="F3460" t="s">
        <v>15108</v>
      </c>
      <c r="G3460" t="s">
        <v>15109</v>
      </c>
      <c r="H3460" t="s">
        <v>5474</v>
      </c>
      <c r="I3460" t="s">
        <v>15110</v>
      </c>
      <c r="J3460" t="s">
        <v>5476</v>
      </c>
      <c r="K3460" t="s">
        <v>15111</v>
      </c>
      <c r="L3460" t="s">
        <v>5471</v>
      </c>
      <c r="M3460" t="s">
        <v>5471</v>
      </c>
    </row>
    <row r="3461" spans="1:13" x14ac:dyDescent="0.3">
      <c r="A3461" t="s">
        <v>3397</v>
      </c>
      <c r="B3461" t="s">
        <v>5989</v>
      </c>
      <c r="C3461" t="s">
        <v>5487</v>
      </c>
      <c r="D3461" t="s">
        <v>4056</v>
      </c>
      <c r="E3461" t="s">
        <v>5756</v>
      </c>
      <c r="F3461" t="s">
        <v>15112</v>
      </c>
      <c r="G3461" t="s">
        <v>15099</v>
      </c>
      <c r="H3461" t="s">
        <v>5474</v>
      </c>
      <c r="I3461" t="s">
        <v>15113</v>
      </c>
      <c r="J3461" t="s">
        <v>5476</v>
      </c>
      <c r="K3461" t="s">
        <v>15114</v>
      </c>
      <c r="L3461" t="s">
        <v>5471</v>
      </c>
      <c r="M3461" t="s">
        <v>5471</v>
      </c>
    </row>
    <row r="3462" spans="1:13" x14ac:dyDescent="0.3">
      <c r="A3462" t="s">
        <v>3397</v>
      </c>
      <c r="B3462" t="s">
        <v>5989</v>
      </c>
      <c r="C3462" t="s">
        <v>5487</v>
      </c>
      <c r="D3462" t="s">
        <v>4056</v>
      </c>
      <c r="E3462" t="s">
        <v>5756</v>
      </c>
      <c r="F3462" t="s">
        <v>15115</v>
      </c>
      <c r="G3462" t="s">
        <v>15099</v>
      </c>
      <c r="H3462" t="s">
        <v>5474</v>
      </c>
      <c r="I3462" t="s">
        <v>15116</v>
      </c>
      <c r="J3462" t="s">
        <v>5476</v>
      </c>
      <c r="K3462" t="s">
        <v>15117</v>
      </c>
      <c r="L3462" t="s">
        <v>5471</v>
      </c>
      <c r="M3462" t="s">
        <v>5471</v>
      </c>
    </row>
    <row r="3463" spans="1:13" x14ac:dyDescent="0.3">
      <c r="A3463" t="s">
        <v>3397</v>
      </c>
      <c r="B3463" t="s">
        <v>5989</v>
      </c>
      <c r="C3463" t="s">
        <v>5487</v>
      </c>
      <c r="D3463" t="s">
        <v>4056</v>
      </c>
      <c r="E3463" t="s">
        <v>5756</v>
      </c>
      <c r="F3463" t="s">
        <v>15118</v>
      </c>
      <c r="G3463" t="s">
        <v>15099</v>
      </c>
      <c r="H3463" t="s">
        <v>5474</v>
      </c>
      <c r="I3463" t="s">
        <v>15119</v>
      </c>
      <c r="J3463" t="s">
        <v>5476</v>
      </c>
      <c r="K3463" t="s">
        <v>15120</v>
      </c>
      <c r="L3463" t="s">
        <v>5471</v>
      </c>
      <c r="M3463" t="s">
        <v>5471</v>
      </c>
    </row>
    <row r="3464" spans="1:13" x14ac:dyDescent="0.3">
      <c r="A3464" t="s">
        <v>3397</v>
      </c>
      <c r="B3464" t="s">
        <v>5989</v>
      </c>
      <c r="C3464" t="s">
        <v>5487</v>
      </c>
      <c r="D3464" t="s">
        <v>4056</v>
      </c>
      <c r="E3464" t="s">
        <v>5595</v>
      </c>
      <c r="F3464" t="s">
        <v>15121</v>
      </c>
      <c r="G3464" t="s">
        <v>15099</v>
      </c>
      <c r="H3464" t="s">
        <v>5474</v>
      </c>
      <c r="I3464" t="s">
        <v>15122</v>
      </c>
      <c r="J3464" t="s">
        <v>5476</v>
      </c>
      <c r="K3464" t="s">
        <v>15123</v>
      </c>
      <c r="L3464" t="s">
        <v>5471</v>
      </c>
      <c r="M3464" t="s">
        <v>5471</v>
      </c>
    </row>
    <row r="3465" spans="1:13" x14ac:dyDescent="0.3">
      <c r="A3465" t="s">
        <v>3397</v>
      </c>
      <c r="B3465" t="s">
        <v>5989</v>
      </c>
      <c r="C3465" t="s">
        <v>5487</v>
      </c>
      <c r="D3465" t="s">
        <v>4056</v>
      </c>
      <c r="E3465" t="s">
        <v>5595</v>
      </c>
      <c r="F3465" t="s">
        <v>15124</v>
      </c>
      <c r="G3465" t="s">
        <v>15099</v>
      </c>
      <c r="H3465" t="s">
        <v>5474</v>
      </c>
      <c r="I3465" t="s">
        <v>15125</v>
      </c>
      <c r="J3465" t="s">
        <v>5476</v>
      </c>
      <c r="K3465" t="s">
        <v>15126</v>
      </c>
      <c r="L3465" t="s">
        <v>5471</v>
      </c>
      <c r="M3465" t="s">
        <v>5471</v>
      </c>
    </row>
    <row r="3466" spans="1:13" x14ac:dyDescent="0.3">
      <c r="A3466" t="s">
        <v>3397</v>
      </c>
      <c r="B3466" t="s">
        <v>5989</v>
      </c>
      <c r="C3466" t="s">
        <v>5487</v>
      </c>
      <c r="D3466" t="s">
        <v>4056</v>
      </c>
      <c r="E3466" t="s">
        <v>5595</v>
      </c>
      <c r="F3466" t="s">
        <v>15127</v>
      </c>
      <c r="G3466" t="s">
        <v>15099</v>
      </c>
      <c r="H3466" t="s">
        <v>5474</v>
      </c>
      <c r="I3466" t="s">
        <v>15128</v>
      </c>
      <c r="J3466" t="s">
        <v>5476</v>
      </c>
      <c r="K3466" t="s">
        <v>15129</v>
      </c>
      <c r="L3466" t="s">
        <v>5471</v>
      </c>
      <c r="M3466" t="s">
        <v>5471</v>
      </c>
    </row>
    <row r="3467" spans="1:13" x14ac:dyDescent="0.3">
      <c r="A3467" t="s">
        <v>3397</v>
      </c>
      <c r="B3467" t="s">
        <v>5989</v>
      </c>
      <c r="C3467" t="s">
        <v>5487</v>
      </c>
      <c r="D3467" t="s">
        <v>4200</v>
      </c>
      <c r="E3467" t="s">
        <v>5595</v>
      </c>
      <c r="F3467" t="s">
        <v>15130</v>
      </c>
      <c r="G3467" t="s">
        <v>15099</v>
      </c>
      <c r="H3467" t="s">
        <v>5474</v>
      </c>
      <c r="I3467" t="s">
        <v>15131</v>
      </c>
      <c r="J3467" t="s">
        <v>5476</v>
      </c>
      <c r="K3467" t="s">
        <v>15132</v>
      </c>
      <c r="L3467" t="s">
        <v>5471</v>
      </c>
      <c r="M3467" t="s">
        <v>5471</v>
      </c>
    </row>
    <row r="3468" spans="1:13" x14ac:dyDescent="0.3">
      <c r="A3468" t="s">
        <v>3397</v>
      </c>
      <c r="B3468" t="s">
        <v>5989</v>
      </c>
      <c r="C3468" t="s">
        <v>5487</v>
      </c>
      <c r="D3468" t="s">
        <v>4200</v>
      </c>
      <c r="E3468" t="s">
        <v>5595</v>
      </c>
      <c r="F3468" t="s">
        <v>15133</v>
      </c>
      <c r="G3468" t="s">
        <v>15099</v>
      </c>
      <c r="H3468" t="s">
        <v>5474</v>
      </c>
      <c r="I3468" t="s">
        <v>15134</v>
      </c>
      <c r="J3468" t="s">
        <v>5476</v>
      </c>
      <c r="K3468" t="s">
        <v>15135</v>
      </c>
      <c r="L3468" t="s">
        <v>5471</v>
      </c>
      <c r="M3468" t="s">
        <v>5471</v>
      </c>
    </row>
    <row r="3469" spans="1:13" x14ac:dyDescent="0.3">
      <c r="A3469" t="s">
        <v>3397</v>
      </c>
      <c r="B3469" t="s">
        <v>5989</v>
      </c>
      <c r="C3469" t="s">
        <v>5487</v>
      </c>
      <c r="D3469" t="s">
        <v>4200</v>
      </c>
      <c r="E3469" t="s">
        <v>5595</v>
      </c>
      <c r="F3469" t="s">
        <v>15136</v>
      </c>
      <c r="G3469" t="s">
        <v>15099</v>
      </c>
      <c r="H3469" t="s">
        <v>5474</v>
      </c>
      <c r="I3469" t="s">
        <v>15137</v>
      </c>
      <c r="J3469" t="s">
        <v>5476</v>
      </c>
      <c r="K3469" t="s">
        <v>15138</v>
      </c>
      <c r="L3469" t="s">
        <v>5471</v>
      </c>
      <c r="M3469" t="s">
        <v>5471</v>
      </c>
    </row>
    <row r="3470" spans="1:13" x14ac:dyDescent="0.3">
      <c r="A3470" t="s">
        <v>3397</v>
      </c>
      <c r="B3470" t="s">
        <v>5989</v>
      </c>
      <c r="C3470" t="s">
        <v>5487</v>
      </c>
      <c r="D3470" t="s">
        <v>4058</v>
      </c>
      <c r="E3470" t="s">
        <v>5756</v>
      </c>
      <c r="F3470" t="s">
        <v>15139</v>
      </c>
      <c r="G3470" t="s">
        <v>15099</v>
      </c>
      <c r="H3470" t="s">
        <v>5474</v>
      </c>
      <c r="I3470" t="s">
        <v>15140</v>
      </c>
      <c r="J3470" t="s">
        <v>5476</v>
      </c>
      <c r="K3470" t="s">
        <v>15141</v>
      </c>
      <c r="L3470" t="s">
        <v>5471</v>
      </c>
      <c r="M3470" t="s">
        <v>5471</v>
      </c>
    </row>
    <row r="3471" spans="1:13" x14ac:dyDescent="0.3">
      <c r="A3471" t="s">
        <v>3397</v>
      </c>
      <c r="B3471" t="s">
        <v>5989</v>
      </c>
      <c r="C3471" t="s">
        <v>5487</v>
      </c>
      <c r="D3471" t="s">
        <v>10218</v>
      </c>
      <c r="E3471" t="s">
        <v>5595</v>
      </c>
      <c r="F3471" t="s">
        <v>15142</v>
      </c>
      <c r="G3471" t="s">
        <v>15099</v>
      </c>
      <c r="H3471" t="s">
        <v>5474</v>
      </c>
      <c r="I3471" t="s">
        <v>15143</v>
      </c>
      <c r="J3471" t="s">
        <v>5476</v>
      </c>
      <c r="K3471" t="s">
        <v>15144</v>
      </c>
      <c r="L3471" t="s">
        <v>5471</v>
      </c>
      <c r="M3471" t="s">
        <v>5471</v>
      </c>
    </row>
    <row r="3472" spans="1:13" x14ac:dyDescent="0.3">
      <c r="A3472" t="s">
        <v>3397</v>
      </c>
      <c r="B3472" t="s">
        <v>5989</v>
      </c>
      <c r="C3472" t="s">
        <v>5487</v>
      </c>
      <c r="D3472" t="s">
        <v>10218</v>
      </c>
      <c r="E3472" t="s">
        <v>5595</v>
      </c>
      <c r="F3472" t="s">
        <v>15145</v>
      </c>
      <c r="G3472" t="s">
        <v>15099</v>
      </c>
      <c r="H3472" t="s">
        <v>5474</v>
      </c>
      <c r="I3472" t="s">
        <v>15146</v>
      </c>
      <c r="J3472" t="s">
        <v>5476</v>
      </c>
      <c r="K3472" t="s">
        <v>15147</v>
      </c>
      <c r="L3472" t="s">
        <v>5471</v>
      </c>
      <c r="M3472" t="s">
        <v>5471</v>
      </c>
    </row>
    <row r="3473" spans="1:13" x14ac:dyDescent="0.3">
      <c r="A3473" t="s">
        <v>3397</v>
      </c>
      <c r="B3473" t="s">
        <v>5989</v>
      </c>
      <c r="C3473" t="s">
        <v>5487</v>
      </c>
      <c r="D3473" t="s">
        <v>10218</v>
      </c>
      <c r="E3473" t="s">
        <v>5595</v>
      </c>
      <c r="F3473" t="s">
        <v>15148</v>
      </c>
      <c r="G3473" t="s">
        <v>15099</v>
      </c>
      <c r="H3473" t="s">
        <v>5474</v>
      </c>
      <c r="I3473" t="s">
        <v>15149</v>
      </c>
      <c r="J3473" t="s">
        <v>5476</v>
      </c>
      <c r="K3473" t="s">
        <v>15150</v>
      </c>
      <c r="L3473" t="s">
        <v>5471</v>
      </c>
      <c r="M3473" t="s">
        <v>5471</v>
      </c>
    </row>
    <row r="3474" spans="1:13" x14ac:dyDescent="0.3">
      <c r="A3474" t="s">
        <v>3397</v>
      </c>
      <c r="B3474" t="s">
        <v>5989</v>
      </c>
      <c r="C3474" t="s">
        <v>5487</v>
      </c>
      <c r="D3474" t="s">
        <v>4058</v>
      </c>
      <c r="E3474" t="s">
        <v>5595</v>
      </c>
      <c r="F3474" t="s">
        <v>15151</v>
      </c>
      <c r="G3474" t="s">
        <v>15099</v>
      </c>
      <c r="H3474" t="s">
        <v>5474</v>
      </c>
      <c r="I3474" t="s">
        <v>15152</v>
      </c>
      <c r="J3474" t="s">
        <v>5476</v>
      </c>
      <c r="K3474" t="s">
        <v>14329</v>
      </c>
      <c r="L3474" t="s">
        <v>5471</v>
      </c>
      <c r="M3474" t="s">
        <v>5471</v>
      </c>
    </row>
    <row r="3475" spans="1:13" x14ac:dyDescent="0.3">
      <c r="A3475" t="s">
        <v>3397</v>
      </c>
      <c r="B3475" t="s">
        <v>5989</v>
      </c>
      <c r="C3475" t="s">
        <v>5487</v>
      </c>
      <c r="D3475" t="s">
        <v>4058</v>
      </c>
      <c r="E3475" t="s">
        <v>5595</v>
      </c>
      <c r="F3475" t="s">
        <v>15153</v>
      </c>
      <c r="G3475" t="s">
        <v>15099</v>
      </c>
      <c r="H3475" t="s">
        <v>5474</v>
      </c>
      <c r="I3475" t="s">
        <v>15154</v>
      </c>
      <c r="J3475" t="s">
        <v>5476</v>
      </c>
      <c r="K3475" t="s">
        <v>14326</v>
      </c>
      <c r="L3475" t="s">
        <v>5471</v>
      </c>
      <c r="M3475" t="s">
        <v>5471</v>
      </c>
    </row>
    <row r="3476" spans="1:13" x14ac:dyDescent="0.3">
      <c r="A3476" t="s">
        <v>3397</v>
      </c>
      <c r="B3476" t="s">
        <v>5989</v>
      </c>
      <c r="C3476" t="s">
        <v>5487</v>
      </c>
      <c r="D3476" t="s">
        <v>4058</v>
      </c>
      <c r="E3476" t="s">
        <v>5595</v>
      </c>
      <c r="F3476" t="s">
        <v>15155</v>
      </c>
      <c r="G3476" t="s">
        <v>15099</v>
      </c>
      <c r="H3476" t="s">
        <v>5474</v>
      </c>
      <c r="I3476" t="s">
        <v>15156</v>
      </c>
      <c r="J3476" t="s">
        <v>5476</v>
      </c>
      <c r="K3476" t="s">
        <v>14332</v>
      </c>
      <c r="L3476" t="s">
        <v>5471</v>
      </c>
      <c r="M3476" t="s">
        <v>5471</v>
      </c>
    </row>
    <row r="3477" spans="1:13" x14ac:dyDescent="0.3">
      <c r="A3477" t="s">
        <v>3397</v>
      </c>
      <c r="B3477" t="s">
        <v>5989</v>
      </c>
      <c r="C3477" t="s">
        <v>5487</v>
      </c>
      <c r="D3477" t="s">
        <v>4052</v>
      </c>
      <c r="E3477" t="s">
        <v>5595</v>
      </c>
      <c r="F3477" t="s">
        <v>15157</v>
      </c>
      <c r="G3477" t="s">
        <v>15099</v>
      </c>
      <c r="H3477" t="s">
        <v>5474</v>
      </c>
      <c r="I3477" t="s">
        <v>15158</v>
      </c>
      <c r="J3477" t="s">
        <v>5476</v>
      </c>
      <c r="K3477" t="s">
        <v>15159</v>
      </c>
      <c r="L3477" t="s">
        <v>5471</v>
      </c>
      <c r="M3477" t="s">
        <v>5471</v>
      </c>
    </row>
    <row r="3478" spans="1:13" x14ac:dyDescent="0.3">
      <c r="A3478" t="s">
        <v>3397</v>
      </c>
      <c r="B3478" t="s">
        <v>5989</v>
      </c>
      <c r="C3478" t="s">
        <v>5487</v>
      </c>
      <c r="D3478" t="s">
        <v>10218</v>
      </c>
      <c r="E3478" t="s">
        <v>5595</v>
      </c>
      <c r="F3478" t="s">
        <v>15160</v>
      </c>
      <c r="G3478" t="s">
        <v>15099</v>
      </c>
      <c r="H3478" t="s">
        <v>5474</v>
      </c>
      <c r="I3478" t="s">
        <v>15161</v>
      </c>
      <c r="J3478" t="s">
        <v>5476</v>
      </c>
      <c r="K3478" t="s">
        <v>15162</v>
      </c>
      <c r="L3478" t="s">
        <v>5471</v>
      </c>
      <c r="M3478" t="s">
        <v>5471</v>
      </c>
    </row>
    <row r="3479" spans="1:13" x14ac:dyDescent="0.3">
      <c r="A3479" t="s">
        <v>3397</v>
      </c>
      <c r="B3479" t="s">
        <v>5989</v>
      </c>
      <c r="C3479" t="s">
        <v>5487</v>
      </c>
      <c r="D3479" t="s">
        <v>10218</v>
      </c>
      <c r="E3479" t="s">
        <v>5595</v>
      </c>
      <c r="F3479" t="s">
        <v>15163</v>
      </c>
      <c r="G3479" t="s">
        <v>15099</v>
      </c>
      <c r="H3479" t="s">
        <v>5474</v>
      </c>
      <c r="I3479" t="s">
        <v>15164</v>
      </c>
      <c r="J3479" t="s">
        <v>5476</v>
      </c>
      <c r="K3479" t="s">
        <v>15165</v>
      </c>
      <c r="L3479" t="s">
        <v>5471</v>
      </c>
      <c r="M3479" t="s">
        <v>5471</v>
      </c>
    </row>
    <row r="3480" spans="1:13" x14ac:dyDescent="0.3">
      <c r="A3480" t="s">
        <v>3397</v>
      </c>
      <c r="B3480" t="s">
        <v>5989</v>
      </c>
      <c r="C3480" t="s">
        <v>5487</v>
      </c>
      <c r="D3480" t="s">
        <v>10218</v>
      </c>
      <c r="E3480" t="s">
        <v>5595</v>
      </c>
      <c r="F3480" t="s">
        <v>15166</v>
      </c>
      <c r="G3480" t="s">
        <v>15099</v>
      </c>
      <c r="H3480" t="s">
        <v>5474</v>
      </c>
      <c r="I3480" t="s">
        <v>15167</v>
      </c>
      <c r="J3480" t="s">
        <v>5476</v>
      </c>
      <c r="K3480" t="s">
        <v>15168</v>
      </c>
      <c r="L3480" t="s">
        <v>5471</v>
      </c>
      <c r="M3480" t="s">
        <v>5471</v>
      </c>
    </row>
    <row r="3481" spans="1:13" x14ac:dyDescent="0.3">
      <c r="A3481" t="s">
        <v>3397</v>
      </c>
      <c r="B3481" t="s">
        <v>5989</v>
      </c>
      <c r="C3481" t="s">
        <v>5487</v>
      </c>
      <c r="D3481" t="s">
        <v>4056</v>
      </c>
      <c r="E3481" t="s">
        <v>5756</v>
      </c>
      <c r="F3481" t="s">
        <v>15169</v>
      </c>
      <c r="G3481" t="s">
        <v>10239</v>
      </c>
      <c r="H3481" t="s">
        <v>5474</v>
      </c>
      <c r="I3481" t="s">
        <v>15170</v>
      </c>
      <c r="J3481" t="s">
        <v>5476</v>
      </c>
      <c r="K3481" t="s">
        <v>15171</v>
      </c>
      <c r="L3481" t="s">
        <v>5471</v>
      </c>
      <c r="M3481" t="s">
        <v>5471</v>
      </c>
    </row>
    <row r="3482" spans="1:13" x14ac:dyDescent="0.3">
      <c r="A3482" t="s">
        <v>3397</v>
      </c>
      <c r="B3482" t="s">
        <v>5989</v>
      </c>
      <c r="C3482" t="s">
        <v>5487</v>
      </c>
      <c r="D3482" t="s">
        <v>4056</v>
      </c>
      <c r="E3482" t="s">
        <v>5756</v>
      </c>
      <c r="F3482" t="s">
        <v>15172</v>
      </c>
      <c r="G3482" t="s">
        <v>10239</v>
      </c>
      <c r="H3482" t="s">
        <v>5474</v>
      </c>
      <c r="I3482" t="s">
        <v>15173</v>
      </c>
      <c r="J3482" t="s">
        <v>5476</v>
      </c>
      <c r="K3482" t="s">
        <v>15174</v>
      </c>
      <c r="L3482" t="s">
        <v>5471</v>
      </c>
      <c r="M3482" t="s">
        <v>5471</v>
      </c>
    </row>
    <row r="3483" spans="1:13" x14ac:dyDescent="0.3">
      <c r="A3483" t="s">
        <v>3397</v>
      </c>
      <c r="B3483" t="s">
        <v>5989</v>
      </c>
      <c r="C3483" t="s">
        <v>5487</v>
      </c>
      <c r="D3483" t="s">
        <v>4056</v>
      </c>
      <c r="E3483" t="s">
        <v>5756</v>
      </c>
      <c r="F3483" t="s">
        <v>15175</v>
      </c>
      <c r="G3483" t="s">
        <v>10239</v>
      </c>
      <c r="H3483" t="s">
        <v>5474</v>
      </c>
      <c r="I3483" t="s">
        <v>15176</v>
      </c>
      <c r="J3483" t="s">
        <v>5476</v>
      </c>
      <c r="K3483" t="s">
        <v>15177</v>
      </c>
      <c r="L3483" t="s">
        <v>5471</v>
      </c>
      <c r="M3483" t="s">
        <v>5471</v>
      </c>
    </row>
    <row r="3484" spans="1:13" x14ac:dyDescent="0.3">
      <c r="A3484" t="s">
        <v>3397</v>
      </c>
      <c r="B3484" t="s">
        <v>5989</v>
      </c>
      <c r="C3484" t="s">
        <v>5487</v>
      </c>
      <c r="D3484" t="s">
        <v>4119</v>
      </c>
      <c r="E3484" t="s">
        <v>5756</v>
      </c>
      <c r="F3484" t="s">
        <v>15178</v>
      </c>
      <c r="G3484" t="s">
        <v>15179</v>
      </c>
      <c r="H3484" t="s">
        <v>5474</v>
      </c>
      <c r="I3484" t="s">
        <v>15180</v>
      </c>
      <c r="J3484" t="s">
        <v>5476</v>
      </c>
      <c r="K3484" t="s">
        <v>15181</v>
      </c>
      <c r="L3484" t="s">
        <v>5471</v>
      </c>
      <c r="M3484" t="s">
        <v>5471</v>
      </c>
    </row>
    <row r="3485" spans="1:13" x14ac:dyDescent="0.3">
      <c r="A3485" t="s">
        <v>3397</v>
      </c>
      <c r="B3485" t="s">
        <v>5989</v>
      </c>
      <c r="C3485" t="s">
        <v>5487</v>
      </c>
      <c r="D3485" t="s">
        <v>4119</v>
      </c>
      <c r="E3485" t="s">
        <v>5756</v>
      </c>
      <c r="F3485" t="s">
        <v>15182</v>
      </c>
      <c r="G3485" t="s">
        <v>15179</v>
      </c>
      <c r="H3485" t="s">
        <v>5474</v>
      </c>
      <c r="I3485" t="s">
        <v>15183</v>
      </c>
      <c r="J3485" t="s">
        <v>5476</v>
      </c>
      <c r="K3485" t="s">
        <v>15184</v>
      </c>
      <c r="L3485" t="s">
        <v>5471</v>
      </c>
      <c r="M3485" t="s">
        <v>5471</v>
      </c>
    </row>
    <row r="3486" spans="1:13" x14ac:dyDescent="0.3">
      <c r="A3486" t="s">
        <v>3397</v>
      </c>
      <c r="B3486" t="s">
        <v>5989</v>
      </c>
      <c r="C3486" t="s">
        <v>5487</v>
      </c>
      <c r="D3486" t="s">
        <v>4119</v>
      </c>
      <c r="E3486" t="s">
        <v>5756</v>
      </c>
      <c r="F3486" t="s">
        <v>15185</v>
      </c>
      <c r="G3486" t="s">
        <v>15179</v>
      </c>
      <c r="H3486" t="s">
        <v>5474</v>
      </c>
      <c r="I3486" t="s">
        <v>15186</v>
      </c>
      <c r="J3486" t="s">
        <v>5476</v>
      </c>
      <c r="K3486" t="s">
        <v>15187</v>
      </c>
      <c r="L3486" t="s">
        <v>5471</v>
      </c>
      <c r="M3486" t="s">
        <v>5471</v>
      </c>
    </row>
    <row r="3487" spans="1:13" x14ac:dyDescent="0.3">
      <c r="A3487" t="s">
        <v>3397</v>
      </c>
      <c r="B3487" t="s">
        <v>5989</v>
      </c>
      <c r="C3487" t="s">
        <v>5487</v>
      </c>
      <c r="D3487" t="s">
        <v>4119</v>
      </c>
      <c r="E3487" t="s">
        <v>5756</v>
      </c>
      <c r="F3487" t="s">
        <v>15188</v>
      </c>
      <c r="G3487" t="s">
        <v>15179</v>
      </c>
      <c r="H3487" t="s">
        <v>5474</v>
      </c>
      <c r="I3487" t="s">
        <v>15189</v>
      </c>
      <c r="J3487" t="s">
        <v>5476</v>
      </c>
      <c r="K3487" t="s">
        <v>13983</v>
      </c>
      <c r="L3487" t="s">
        <v>5471</v>
      </c>
      <c r="M3487" t="s">
        <v>5471</v>
      </c>
    </row>
    <row r="3488" spans="1:13" x14ac:dyDescent="0.3">
      <c r="A3488" t="s">
        <v>3397</v>
      </c>
      <c r="B3488" t="s">
        <v>5989</v>
      </c>
      <c r="C3488" t="s">
        <v>5487</v>
      </c>
      <c r="D3488" t="s">
        <v>4119</v>
      </c>
      <c r="E3488" t="s">
        <v>5756</v>
      </c>
      <c r="F3488" t="s">
        <v>15190</v>
      </c>
      <c r="G3488" t="s">
        <v>15179</v>
      </c>
      <c r="H3488" t="s">
        <v>5474</v>
      </c>
      <c r="I3488" t="s">
        <v>15191</v>
      </c>
      <c r="J3488" t="s">
        <v>5476</v>
      </c>
      <c r="K3488" t="s">
        <v>15192</v>
      </c>
      <c r="L3488" t="s">
        <v>5471</v>
      </c>
      <c r="M3488" t="s">
        <v>5471</v>
      </c>
    </row>
    <row r="3489" spans="1:13" x14ac:dyDescent="0.3">
      <c r="A3489" t="s">
        <v>3397</v>
      </c>
      <c r="B3489" t="s">
        <v>5989</v>
      </c>
      <c r="C3489" t="s">
        <v>5487</v>
      </c>
      <c r="D3489" t="s">
        <v>4119</v>
      </c>
      <c r="E3489" t="s">
        <v>5756</v>
      </c>
      <c r="F3489" t="s">
        <v>15193</v>
      </c>
      <c r="G3489" t="s">
        <v>15179</v>
      </c>
      <c r="H3489" t="s">
        <v>5474</v>
      </c>
      <c r="I3489" t="s">
        <v>15194</v>
      </c>
      <c r="J3489" t="s">
        <v>5476</v>
      </c>
      <c r="K3489" t="s">
        <v>15195</v>
      </c>
      <c r="L3489" t="s">
        <v>5471</v>
      </c>
      <c r="M3489" t="s">
        <v>5471</v>
      </c>
    </row>
    <row r="3490" spans="1:13" x14ac:dyDescent="0.3">
      <c r="A3490" t="s">
        <v>3397</v>
      </c>
      <c r="B3490" t="s">
        <v>5989</v>
      </c>
      <c r="C3490" t="s">
        <v>5487</v>
      </c>
      <c r="D3490" t="s">
        <v>4119</v>
      </c>
      <c r="E3490" t="s">
        <v>5756</v>
      </c>
      <c r="F3490" t="s">
        <v>15196</v>
      </c>
      <c r="G3490" t="s">
        <v>15179</v>
      </c>
      <c r="H3490" t="s">
        <v>5474</v>
      </c>
      <c r="I3490" t="s">
        <v>15197</v>
      </c>
      <c r="J3490" t="s">
        <v>5476</v>
      </c>
      <c r="K3490" t="s">
        <v>15198</v>
      </c>
      <c r="L3490" t="s">
        <v>5471</v>
      </c>
      <c r="M3490" t="s">
        <v>5471</v>
      </c>
    </row>
    <row r="3491" spans="1:13" x14ac:dyDescent="0.3">
      <c r="A3491" t="s">
        <v>3397</v>
      </c>
      <c r="B3491" t="s">
        <v>5989</v>
      </c>
      <c r="C3491" t="s">
        <v>5487</v>
      </c>
      <c r="D3491" t="s">
        <v>4119</v>
      </c>
      <c r="E3491" t="s">
        <v>5756</v>
      </c>
      <c r="F3491" t="s">
        <v>15199</v>
      </c>
      <c r="G3491" t="s">
        <v>15179</v>
      </c>
      <c r="H3491" t="s">
        <v>5474</v>
      </c>
      <c r="I3491" t="s">
        <v>15200</v>
      </c>
      <c r="J3491" t="s">
        <v>5476</v>
      </c>
      <c r="K3491" t="s">
        <v>15201</v>
      </c>
      <c r="L3491" t="s">
        <v>5471</v>
      </c>
      <c r="M3491" t="s">
        <v>5471</v>
      </c>
    </row>
    <row r="3492" spans="1:13" x14ac:dyDescent="0.3">
      <c r="A3492" t="s">
        <v>3397</v>
      </c>
      <c r="B3492" t="s">
        <v>5989</v>
      </c>
      <c r="C3492" t="s">
        <v>5487</v>
      </c>
      <c r="D3492" t="s">
        <v>4119</v>
      </c>
      <c r="E3492" t="s">
        <v>5756</v>
      </c>
      <c r="F3492" t="s">
        <v>15202</v>
      </c>
      <c r="G3492" t="s">
        <v>15179</v>
      </c>
      <c r="H3492" t="s">
        <v>5474</v>
      </c>
      <c r="I3492" t="s">
        <v>15203</v>
      </c>
      <c r="J3492" t="s">
        <v>5476</v>
      </c>
      <c r="K3492" t="s">
        <v>15204</v>
      </c>
      <c r="L3492" t="s">
        <v>5471</v>
      </c>
      <c r="M3492" t="s">
        <v>5471</v>
      </c>
    </row>
    <row r="3493" spans="1:13" x14ac:dyDescent="0.3">
      <c r="A3493" t="s">
        <v>3397</v>
      </c>
      <c r="B3493" t="s">
        <v>5989</v>
      </c>
      <c r="C3493" t="s">
        <v>5487</v>
      </c>
      <c r="D3493" t="s">
        <v>4119</v>
      </c>
      <c r="E3493" t="s">
        <v>5756</v>
      </c>
      <c r="F3493" t="s">
        <v>15205</v>
      </c>
      <c r="G3493" t="s">
        <v>15179</v>
      </c>
      <c r="H3493" t="s">
        <v>5474</v>
      </c>
      <c r="I3493" t="s">
        <v>15206</v>
      </c>
      <c r="J3493" t="s">
        <v>5476</v>
      </c>
      <c r="K3493" t="s">
        <v>15207</v>
      </c>
      <c r="L3493" t="s">
        <v>5471</v>
      </c>
      <c r="M3493" t="s">
        <v>5471</v>
      </c>
    </row>
    <row r="3494" spans="1:13" x14ac:dyDescent="0.3">
      <c r="A3494" t="s">
        <v>3397</v>
      </c>
      <c r="B3494" t="s">
        <v>5989</v>
      </c>
      <c r="C3494" t="s">
        <v>5487</v>
      </c>
      <c r="D3494" t="s">
        <v>4119</v>
      </c>
      <c r="E3494" t="s">
        <v>5756</v>
      </c>
      <c r="F3494" t="s">
        <v>15208</v>
      </c>
      <c r="G3494" t="s">
        <v>15179</v>
      </c>
      <c r="H3494" t="s">
        <v>5474</v>
      </c>
      <c r="I3494" t="s">
        <v>15209</v>
      </c>
      <c r="J3494" t="s">
        <v>5476</v>
      </c>
      <c r="K3494" t="s">
        <v>14481</v>
      </c>
      <c r="L3494" t="s">
        <v>5471</v>
      </c>
      <c r="M3494" t="s">
        <v>5471</v>
      </c>
    </row>
    <row r="3495" spans="1:13" x14ac:dyDescent="0.3">
      <c r="A3495" t="s">
        <v>3397</v>
      </c>
      <c r="B3495" t="s">
        <v>5989</v>
      </c>
      <c r="C3495" t="s">
        <v>5487</v>
      </c>
      <c r="D3495" t="s">
        <v>4119</v>
      </c>
      <c r="E3495" t="s">
        <v>5756</v>
      </c>
      <c r="F3495" t="s">
        <v>15210</v>
      </c>
      <c r="G3495" t="s">
        <v>15179</v>
      </c>
      <c r="H3495" t="s">
        <v>5474</v>
      </c>
      <c r="I3495" t="s">
        <v>15211</v>
      </c>
      <c r="J3495" t="s">
        <v>5476</v>
      </c>
      <c r="K3495" t="s">
        <v>15212</v>
      </c>
      <c r="L3495" t="s">
        <v>5471</v>
      </c>
      <c r="M3495" t="s">
        <v>5471</v>
      </c>
    </row>
    <row r="3496" spans="1:13" x14ac:dyDescent="0.3">
      <c r="A3496" t="s">
        <v>3397</v>
      </c>
      <c r="B3496" t="s">
        <v>5989</v>
      </c>
      <c r="C3496" t="s">
        <v>5487</v>
      </c>
      <c r="D3496" t="s">
        <v>4119</v>
      </c>
      <c r="E3496" t="s">
        <v>5756</v>
      </c>
      <c r="F3496" t="s">
        <v>15213</v>
      </c>
      <c r="G3496" t="s">
        <v>15179</v>
      </c>
      <c r="H3496" t="s">
        <v>5474</v>
      </c>
      <c r="I3496" t="s">
        <v>15214</v>
      </c>
      <c r="J3496" t="s">
        <v>5476</v>
      </c>
      <c r="K3496" t="s">
        <v>15215</v>
      </c>
      <c r="L3496" t="s">
        <v>5471</v>
      </c>
      <c r="M3496" t="s">
        <v>5471</v>
      </c>
    </row>
    <row r="3497" spans="1:13" x14ac:dyDescent="0.3">
      <c r="A3497" t="s">
        <v>3397</v>
      </c>
      <c r="B3497" t="s">
        <v>5989</v>
      </c>
      <c r="C3497" t="s">
        <v>5487</v>
      </c>
      <c r="D3497" t="s">
        <v>4119</v>
      </c>
      <c r="E3497" t="s">
        <v>5756</v>
      </c>
      <c r="F3497" t="s">
        <v>15216</v>
      </c>
      <c r="G3497" t="s">
        <v>15179</v>
      </c>
      <c r="H3497" t="s">
        <v>5474</v>
      </c>
      <c r="I3497" t="s">
        <v>15217</v>
      </c>
      <c r="J3497" t="s">
        <v>5476</v>
      </c>
      <c r="K3497" t="s">
        <v>15218</v>
      </c>
      <c r="L3497" t="s">
        <v>5471</v>
      </c>
      <c r="M3497" t="s">
        <v>5471</v>
      </c>
    </row>
    <row r="3498" spans="1:13" x14ac:dyDescent="0.3">
      <c r="A3498" t="s">
        <v>3397</v>
      </c>
      <c r="B3498" t="s">
        <v>5989</v>
      </c>
      <c r="C3498" t="s">
        <v>5487</v>
      </c>
      <c r="D3498" t="s">
        <v>4119</v>
      </c>
      <c r="E3498" t="s">
        <v>5756</v>
      </c>
      <c r="F3498" t="s">
        <v>15219</v>
      </c>
      <c r="G3498" t="s">
        <v>15179</v>
      </c>
      <c r="H3498" t="s">
        <v>5474</v>
      </c>
      <c r="I3498" t="s">
        <v>15220</v>
      </c>
      <c r="J3498" t="s">
        <v>5476</v>
      </c>
      <c r="K3498" t="s">
        <v>15221</v>
      </c>
      <c r="L3498" t="s">
        <v>5471</v>
      </c>
      <c r="M3498" t="s">
        <v>5471</v>
      </c>
    </row>
    <row r="3499" spans="1:13" x14ac:dyDescent="0.3">
      <c r="A3499" t="s">
        <v>3397</v>
      </c>
      <c r="B3499" t="s">
        <v>5989</v>
      </c>
      <c r="C3499" t="s">
        <v>5487</v>
      </c>
      <c r="D3499" t="s">
        <v>4119</v>
      </c>
      <c r="E3499" t="s">
        <v>5756</v>
      </c>
      <c r="F3499" t="s">
        <v>15222</v>
      </c>
      <c r="G3499" t="s">
        <v>15179</v>
      </c>
      <c r="H3499" t="s">
        <v>5474</v>
      </c>
      <c r="I3499" t="s">
        <v>15223</v>
      </c>
      <c r="J3499" t="s">
        <v>5476</v>
      </c>
      <c r="K3499" t="s">
        <v>15224</v>
      </c>
      <c r="L3499" t="s">
        <v>5471</v>
      </c>
      <c r="M3499" t="s">
        <v>5471</v>
      </c>
    </row>
    <row r="3500" spans="1:13" x14ac:dyDescent="0.3">
      <c r="A3500" t="s">
        <v>3397</v>
      </c>
      <c r="B3500" t="s">
        <v>5989</v>
      </c>
      <c r="C3500" t="s">
        <v>5487</v>
      </c>
      <c r="D3500" t="s">
        <v>4119</v>
      </c>
      <c r="E3500" t="s">
        <v>5756</v>
      </c>
      <c r="F3500" t="s">
        <v>15225</v>
      </c>
      <c r="G3500" t="s">
        <v>15179</v>
      </c>
      <c r="H3500" t="s">
        <v>5474</v>
      </c>
      <c r="I3500" t="s">
        <v>15226</v>
      </c>
      <c r="J3500" t="s">
        <v>5476</v>
      </c>
      <c r="K3500" t="s">
        <v>15227</v>
      </c>
      <c r="L3500" t="s">
        <v>5471</v>
      </c>
      <c r="M3500" t="s">
        <v>5471</v>
      </c>
    </row>
    <row r="3501" spans="1:13" x14ac:dyDescent="0.3">
      <c r="A3501" t="s">
        <v>3397</v>
      </c>
      <c r="B3501" t="s">
        <v>5989</v>
      </c>
      <c r="C3501" t="s">
        <v>5487</v>
      </c>
      <c r="D3501" t="s">
        <v>4119</v>
      </c>
      <c r="E3501" t="s">
        <v>5756</v>
      </c>
      <c r="F3501" t="s">
        <v>15228</v>
      </c>
      <c r="G3501" t="s">
        <v>15179</v>
      </c>
      <c r="H3501" t="s">
        <v>5474</v>
      </c>
      <c r="I3501" t="s">
        <v>15229</v>
      </c>
      <c r="J3501" t="s">
        <v>5476</v>
      </c>
      <c r="K3501" t="s">
        <v>15230</v>
      </c>
      <c r="L3501" t="s">
        <v>5471</v>
      </c>
      <c r="M3501" t="s">
        <v>5471</v>
      </c>
    </row>
    <row r="3502" spans="1:13" x14ac:dyDescent="0.3">
      <c r="A3502" t="s">
        <v>3397</v>
      </c>
      <c r="B3502" t="s">
        <v>5989</v>
      </c>
      <c r="C3502" t="s">
        <v>5487</v>
      </c>
      <c r="D3502" t="s">
        <v>4119</v>
      </c>
      <c r="E3502" t="s">
        <v>5756</v>
      </c>
      <c r="F3502" t="s">
        <v>15231</v>
      </c>
      <c r="G3502" t="s">
        <v>15179</v>
      </c>
      <c r="H3502" t="s">
        <v>5474</v>
      </c>
      <c r="I3502" t="s">
        <v>15232</v>
      </c>
      <c r="J3502" t="s">
        <v>5476</v>
      </c>
      <c r="K3502" t="s">
        <v>15233</v>
      </c>
      <c r="L3502" t="s">
        <v>5471</v>
      </c>
      <c r="M3502" t="s">
        <v>5471</v>
      </c>
    </row>
    <row r="3503" spans="1:13" x14ac:dyDescent="0.3">
      <c r="A3503" t="s">
        <v>3397</v>
      </c>
      <c r="B3503" t="s">
        <v>5989</v>
      </c>
      <c r="C3503" t="s">
        <v>5487</v>
      </c>
      <c r="D3503" t="s">
        <v>4119</v>
      </c>
      <c r="E3503" t="s">
        <v>5756</v>
      </c>
      <c r="F3503" t="s">
        <v>15234</v>
      </c>
      <c r="G3503" t="s">
        <v>15179</v>
      </c>
      <c r="H3503" t="s">
        <v>5474</v>
      </c>
      <c r="I3503" t="s">
        <v>15235</v>
      </c>
      <c r="J3503" t="s">
        <v>5476</v>
      </c>
      <c r="K3503" t="s">
        <v>15236</v>
      </c>
      <c r="L3503" t="s">
        <v>5471</v>
      </c>
      <c r="M3503" t="s">
        <v>5471</v>
      </c>
    </row>
    <row r="3504" spans="1:13" x14ac:dyDescent="0.3">
      <c r="A3504" t="s">
        <v>3397</v>
      </c>
      <c r="B3504" t="s">
        <v>5989</v>
      </c>
      <c r="C3504" t="s">
        <v>5487</v>
      </c>
      <c r="D3504" t="s">
        <v>4119</v>
      </c>
      <c r="E3504" t="s">
        <v>5756</v>
      </c>
      <c r="F3504" t="s">
        <v>15237</v>
      </c>
      <c r="G3504" t="s">
        <v>15179</v>
      </c>
      <c r="H3504" t="s">
        <v>5474</v>
      </c>
      <c r="I3504" t="s">
        <v>15238</v>
      </c>
      <c r="J3504" t="s">
        <v>5476</v>
      </c>
      <c r="K3504" t="s">
        <v>15239</v>
      </c>
      <c r="L3504" t="s">
        <v>5471</v>
      </c>
      <c r="M3504" t="s">
        <v>5471</v>
      </c>
    </row>
    <row r="3505" spans="1:13" x14ac:dyDescent="0.3">
      <c r="A3505" t="s">
        <v>3397</v>
      </c>
      <c r="B3505" t="s">
        <v>5989</v>
      </c>
      <c r="C3505" t="s">
        <v>5487</v>
      </c>
      <c r="D3505" t="s">
        <v>4119</v>
      </c>
      <c r="E3505" t="s">
        <v>5756</v>
      </c>
      <c r="F3505" t="s">
        <v>15240</v>
      </c>
      <c r="G3505" t="s">
        <v>15179</v>
      </c>
      <c r="H3505" t="s">
        <v>5474</v>
      </c>
      <c r="I3505" t="s">
        <v>15241</v>
      </c>
      <c r="J3505" t="s">
        <v>5476</v>
      </c>
      <c r="K3505" t="s">
        <v>15242</v>
      </c>
      <c r="L3505" t="s">
        <v>5471</v>
      </c>
      <c r="M3505" t="s">
        <v>5471</v>
      </c>
    </row>
    <row r="3506" spans="1:13" x14ac:dyDescent="0.3">
      <c r="A3506" t="s">
        <v>3397</v>
      </c>
      <c r="B3506" t="s">
        <v>5989</v>
      </c>
      <c r="C3506" t="s">
        <v>5487</v>
      </c>
      <c r="D3506" t="s">
        <v>4119</v>
      </c>
      <c r="E3506" t="s">
        <v>5756</v>
      </c>
      <c r="F3506" t="s">
        <v>15243</v>
      </c>
      <c r="G3506" t="s">
        <v>15179</v>
      </c>
      <c r="H3506" t="s">
        <v>5474</v>
      </c>
      <c r="I3506" t="s">
        <v>15244</v>
      </c>
      <c r="J3506" t="s">
        <v>5476</v>
      </c>
      <c r="K3506" t="s">
        <v>15245</v>
      </c>
      <c r="L3506" t="s">
        <v>5471</v>
      </c>
      <c r="M3506" t="s">
        <v>5471</v>
      </c>
    </row>
    <row r="3507" spans="1:13" x14ac:dyDescent="0.3">
      <c r="A3507" t="s">
        <v>3397</v>
      </c>
      <c r="B3507" t="s">
        <v>5989</v>
      </c>
      <c r="C3507" t="s">
        <v>5487</v>
      </c>
      <c r="D3507" t="s">
        <v>4119</v>
      </c>
      <c r="E3507" t="s">
        <v>5756</v>
      </c>
      <c r="F3507" t="s">
        <v>15246</v>
      </c>
      <c r="G3507" t="s">
        <v>15179</v>
      </c>
      <c r="H3507" t="s">
        <v>5474</v>
      </c>
      <c r="I3507" t="s">
        <v>15247</v>
      </c>
      <c r="J3507" t="s">
        <v>5476</v>
      </c>
      <c r="K3507" t="s">
        <v>15248</v>
      </c>
      <c r="L3507" t="s">
        <v>5471</v>
      </c>
      <c r="M3507" t="s">
        <v>5471</v>
      </c>
    </row>
    <row r="3508" spans="1:13" x14ac:dyDescent="0.3">
      <c r="A3508" t="s">
        <v>3397</v>
      </c>
      <c r="B3508" t="s">
        <v>5989</v>
      </c>
      <c r="C3508" t="s">
        <v>5487</v>
      </c>
      <c r="D3508" t="s">
        <v>4119</v>
      </c>
      <c r="E3508" t="s">
        <v>5756</v>
      </c>
      <c r="F3508" t="s">
        <v>15249</v>
      </c>
      <c r="G3508" t="s">
        <v>15179</v>
      </c>
      <c r="H3508" t="s">
        <v>5474</v>
      </c>
      <c r="I3508" t="s">
        <v>15250</v>
      </c>
      <c r="J3508" t="s">
        <v>5476</v>
      </c>
      <c r="K3508" t="s">
        <v>15251</v>
      </c>
      <c r="L3508" t="s">
        <v>5471</v>
      </c>
      <c r="M3508" t="s">
        <v>5471</v>
      </c>
    </row>
    <row r="3509" spans="1:13" x14ac:dyDescent="0.3">
      <c r="A3509" t="s">
        <v>3397</v>
      </c>
      <c r="B3509" t="s">
        <v>5989</v>
      </c>
      <c r="C3509" t="s">
        <v>5487</v>
      </c>
      <c r="D3509" t="s">
        <v>4119</v>
      </c>
      <c r="E3509" t="s">
        <v>5756</v>
      </c>
      <c r="F3509" t="s">
        <v>15252</v>
      </c>
      <c r="G3509" t="s">
        <v>15179</v>
      </c>
      <c r="H3509" t="s">
        <v>5474</v>
      </c>
      <c r="I3509" t="s">
        <v>15253</v>
      </c>
      <c r="J3509" t="s">
        <v>5476</v>
      </c>
      <c r="K3509" t="s">
        <v>15254</v>
      </c>
      <c r="L3509" t="s">
        <v>5471</v>
      </c>
      <c r="M3509" t="s">
        <v>5471</v>
      </c>
    </row>
    <row r="3510" spans="1:13" x14ac:dyDescent="0.3">
      <c r="A3510" t="s">
        <v>3397</v>
      </c>
      <c r="B3510" t="s">
        <v>5989</v>
      </c>
      <c r="C3510" t="s">
        <v>5487</v>
      </c>
      <c r="D3510" t="s">
        <v>4119</v>
      </c>
      <c r="E3510" t="s">
        <v>5756</v>
      </c>
      <c r="F3510" t="s">
        <v>15255</v>
      </c>
      <c r="G3510" t="s">
        <v>15179</v>
      </c>
      <c r="H3510" t="s">
        <v>5474</v>
      </c>
      <c r="I3510" t="s">
        <v>15256</v>
      </c>
      <c r="J3510" t="s">
        <v>5476</v>
      </c>
      <c r="K3510" t="s">
        <v>15257</v>
      </c>
      <c r="L3510" t="s">
        <v>5471</v>
      </c>
      <c r="M3510" t="s">
        <v>5471</v>
      </c>
    </row>
    <row r="3511" spans="1:13" x14ac:dyDescent="0.3">
      <c r="A3511" t="s">
        <v>3397</v>
      </c>
      <c r="B3511" t="s">
        <v>5989</v>
      </c>
      <c r="C3511" t="s">
        <v>5487</v>
      </c>
      <c r="D3511" t="s">
        <v>4119</v>
      </c>
      <c r="E3511" t="s">
        <v>5756</v>
      </c>
      <c r="F3511" t="s">
        <v>15258</v>
      </c>
      <c r="G3511" t="s">
        <v>15179</v>
      </c>
      <c r="H3511" t="s">
        <v>5474</v>
      </c>
      <c r="I3511" t="s">
        <v>15259</v>
      </c>
      <c r="J3511" t="s">
        <v>5476</v>
      </c>
      <c r="K3511" t="s">
        <v>15260</v>
      </c>
      <c r="L3511" t="s">
        <v>5471</v>
      </c>
      <c r="M3511" t="s">
        <v>5471</v>
      </c>
    </row>
    <row r="3512" spans="1:13" x14ac:dyDescent="0.3">
      <c r="A3512" t="s">
        <v>3397</v>
      </c>
      <c r="B3512" t="s">
        <v>5989</v>
      </c>
      <c r="C3512" t="s">
        <v>5487</v>
      </c>
      <c r="D3512" t="s">
        <v>4119</v>
      </c>
      <c r="E3512" t="s">
        <v>5756</v>
      </c>
      <c r="F3512" t="s">
        <v>15261</v>
      </c>
      <c r="G3512" t="s">
        <v>15179</v>
      </c>
      <c r="H3512" t="s">
        <v>5474</v>
      </c>
      <c r="I3512" t="s">
        <v>15262</v>
      </c>
      <c r="J3512" t="s">
        <v>5476</v>
      </c>
      <c r="K3512" t="s">
        <v>15263</v>
      </c>
      <c r="L3512" t="s">
        <v>5471</v>
      </c>
      <c r="M3512" t="s">
        <v>5471</v>
      </c>
    </row>
    <row r="3513" spans="1:13" x14ac:dyDescent="0.3">
      <c r="A3513" t="s">
        <v>3397</v>
      </c>
      <c r="B3513" t="s">
        <v>5989</v>
      </c>
      <c r="C3513" t="s">
        <v>5487</v>
      </c>
      <c r="D3513" t="s">
        <v>4119</v>
      </c>
      <c r="E3513" t="s">
        <v>5756</v>
      </c>
      <c r="F3513" t="s">
        <v>15264</v>
      </c>
      <c r="G3513" t="s">
        <v>15179</v>
      </c>
      <c r="H3513" t="s">
        <v>5474</v>
      </c>
      <c r="I3513" t="s">
        <v>15265</v>
      </c>
      <c r="J3513" t="s">
        <v>5476</v>
      </c>
      <c r="K3513" t="s">
        <v>15266</v>
      </c>
      <c r="L3513" t="s">
        <v>5471</v>
      </c>
      <c r="M3513" t="s">
        <v>5471</v>
      </c>
    </row>
    <row r="3514" spans="1:13" x14ac:dyDescent="0.3">
      <c r="A3514" t="s">
        <v>3397</v>
      </c>
      <c r="B3514" t="s">
        <v>5989</v>
      </c>
      <c r="C3514" t="s">
        <v>5487</v>
      </c>
      <c r="D3514" t="s">
        <v>4119</v>
      </c>
      <c r="E3514" t="s">
        <v>5756</v>
      </c>
      <c r="F3514" t="s">
        <v>15267</v>
      </c>
      <c r="G3514" t="s">
        <v>15268</v>
      </c>
      <c r="H3514" t="s">
        <v>5474</v>
      </c>
      <c r="I3514" t="s">
        <v>15269</v>
      </c>
      <c r="J3514" t="s">
        <v>5476</v>
      </c>
      <c r="K3514" t="s">
        <v>15270</v>
      </c>
      <c r="L3514" t="s">
        <v>5471</v>
      </c>
      <c r="M3514" t="s">
        <v>5471</v>
      </c>
    </row>
    <row r="3515" spans="1:13" x14ac:dyDescent="0.3">
      <c r="A3515" t="s">
        <v>3397</v>
      </c>
      <c r="B3515" t="s">
        <v>5989</v>
      </c>
      <c r="C3515" t="s">
        <v>5487</v>
      </c>
      <c r="D3515" t="s">
        <v>4119</v>
      </c>
      <c r="E3515" t="s">
        <v>5756</v>
      </c>
      <c r="F3515" t="s">
        <v>15271</v>
      </c>
      <c r="G3515" t="s">
        <v>15268</v>
      </c>
      <c r="H3515" t="s">
        <v>5474</v>
      </c>
      <c r="I3515" t="s">
        <v>15272</v>
      </c>
      <c r="J3515" t="s">
        <v>5476</v>
      </c>
      <c r="K3515" t="s">
        <v>15273</v>
      </c>
      <c r="L3515" t="s">
        <v>5471</v>
      </c>
      <c r="M3515" t="s">
        <v>5471</v>
      </c>
    </row>
    <row r="3516" spans="1:13" x14ac:dyDescent="0.3">
      <c r="A3516" t="s">
        <v>3397</v>
      </c>
      <c r="B3516" t="s">
        <v>5989</v>
      </c>
      <c r="C3516" t="s">
        <v>5487</v>
      </c>
      <c r="D3516" t="s">
        <v>4119</v>
      </c>
      <c r="E3516" t="s">
        <v>5756</v>
      </c>
      <c r="F3516" t="s">
        <v>15274</v>
      </c>
      <c r="G3516" t="s">
        <v>15268</v>
      </c>
      <c r="H3516" t="s">
        <v>5474</v>
      </c>
      <c r="I3516" t="s">
        <v>15275</v>
      </c>
      <c r="J3516" t="s">
        <v>5476</v>
      </c>
      <c r="K3516" t="s">
        <v>15270</v>
      </c>
      <c r="L3516" t="s">
        <v>5471</v>
      </c>
      <c r="M3516" t="s">
        <v>5471</v>
      </c>
    </row>
    <row r="3517" spans="1:13" x14ac:dyDescent="0.3">
      <c r="A3517" t="s">
        <v>3397</v>
      </c>
      <c r="B3517" t="s">
        <v>5989</v>
      </c>
      <c r="C3517" t="s">
        <v>5487</v>
      </c>
      <c r="D3517" t="s">
        <v>4119</v>
      </c>
      <c r="E3517" t="s">
        <v>5756</v>
      </c>
      <c r="F3517" t="s">
        <v>15276</v>
      </c>
      <c r="G3517" t="s">
        <v>15277</v>
      </c>
      <c r="H3517" t="s">
        <v>5474</v>
      </c>
      <c r="I3517" t="s">
        <v>15278</v>
      </c>
      <c r="J3517" t="s">
        <v>5476</v>
      </c>
      <c r="K3517" t="s">
        <v>15279</v>
      </c>
      <c r="L3517" t="s">
        <v>5471</v>
      </c>
      <c r="M3517" t="s">
        <v>5471</v>
      </c>
    </row>
    <row r="3518" spans="1:13" x14ac:dyDescent="0.3">
      <c r="A3518" t="s">
        <v>3397</v>
      </c>
      <c r="B3518" t="s">
        <v>5989</v>
      </c>
      <c r="C3518" t="s">
        <v>5487</v>
      </c>
      <c r="D3518" t="s">
        <v>4119</v>
      </c>
      <c r="E3518" t="s">
        <v>5756</v>
      </c>
      <c r="F3518" t="s">
        <v>15280</v>
      </c>
      <c r="G3518" t="s">
        <v>15277</v>
      </c>
      <c r="H3518" t="s">
        <v>5474</v>
      </c>
      <c r="I3518" t="s">
        <v>15281</v>
      </c>
      <c r="J3518" t="s">
        <v>5476</v>
      </c>
      <c r="K3518" t="s">
        <v>15282</v>
      </c>
      <c r="L3518" t="s">
        <v>5471</v>
      </c>
      <c r="M3518" t="s">
        <v>5471</v>
      </c>
    </row>
    <row r="3519" spans="1:13" x14ac:dyDescent="0.3">
      <c r="A3519" t="s">
        <v>3397</v>
      </c>
      <c r="B3519" t="s">
        <v>5989</v>
      </c>
      <c r="C3519" t="s">
        <v>5487</v>
      </c>
      <c r="D3519" t="s">
        <v>4119</v>
      </c>
      <c r="E3519" t="s">
        <v>5756</v>
      </c>
      <c r="F3519" t="s">
        <v>15283</v>
      </c>
      <c r="G3519" t="s">
        <v>15268</v>
      </c>
      <c r="H3519" t="s">
        <v>5474</v>
      </c>
      <c r="I3519" t="s">
        <v>15284</v>
      </c>
      <c r="J3519" t="s">
        <v>5476</v>
      </c>
      <c r="K3519" t="s">
        <v>9836</v>
      </c>
      <c r="L3519" t="s">
        <v>5471</v>
      </c>
      <c r="M3519" t="s">
        <v>5471</v>
      </c>
    </row>
    <row r="3520" spans="1:13" x14ac:dyDescent="0.3">
      <c r="A3520" t="s">
        <v>3397</v>
      </c>
      <c r="B3520" t="s">
        <v>5989</v>
      </c>
      <c r="C3520" t="s">
        <v>5487</v>
      </c>
      <c r="D3520" t="s">
        <v>4119</v>
      </c>
      <c r="E3520" t="s">
        <v>5756</v>
      </c>
      <c r="F3520" t="s">
        <v>15285</v>
      </c>
      <c r="G3520" t="s">
        <v>15277</v>
      </c>
      <c r="H3520" t="s">
        <v>5474</v>
      </c>
      <c r="I3520" t="s">
        <v>15286</v>
      </c>
      <c r="J3520" t="s">
        <v>5476</v>
      </c>
      <c r="K3520" t="s">
        <v>9836</v>
      </c>
      <c r="L3520" t="s">
        <v>5471</v>
      </c>
      <c r="M3520" t="s">
        <v>5471</v>
      </c>
    </row>
    <row r="3521" spans="1:13" x14ac:dyDescent="0.3">
      <c r="A3521" t="s">
        <v>3397</v>
      </c>
      <c r="B3521" t="s">
        <v>5989</v>
      </c>
      <c r="C3521" t="s">
        <v>5487</v>
      </c>
      <c r="D3521" t="s">
        <v>4119</v>
      </c>
      <c r="E3521" t="s">
        <v>5756</v>
      </c>
      <c r="F3521" t="s">
        <v>15287</v>
      </c>
      <c r="G3521" t="s">
        <v>15179</v>
      </c>
      <c r="H3521" t="s">
        <v>5474</v>
      </c>
      <c r="I3521" t="s">
        <v>15288</v>
      </c>
      <c r="J3521" t="s">
        <v>5476</v>
      </c>
      <c r="K3521" t="s">
        <v>15289</v>
      </c>
      <c r="L3521" t="s">
        <v>5471</v>
      </c>
      <c r="M3521" t="s">
        <v>5471</v>
      </c>
    </row>
    <row r="3522" spans="1:13" x14ac:dyDescent="0.3">
      <c r="A3522" t="s">
        <v>3397</v>
      </c>
      <c r="B3522" t="s">
        <v>5989</v>
      </c>
      <c r="C3522" t="s">
        <v>5487</v>
      </c>
      <c r="D3522" t="s">
        <v>4119</v>
      </c>
      <c r="E3522" t="s">
        <v>5756</v>
      </c>
      <c r="F3522" t="s">
        <v>15290</v>
      </c>
      <c r="G3522" t="s">
        <v>15179</v>
      </c>
      <c r="H3522" t="s">
        <v>5474</v>
      </c>
      <c r="I3522" t="s">
        <v>15291</v>
      </c>
      <c r="J3522" t="s">
        <v>5476</v>
      </c>
      <c r="K3522" t="s">
        <v>15292</v>
      </c>
      <c r="L3522" t="s">
        <v>5471</v>
      </c>
      <c r="M3522" t="s">
        <v>5471</v>
      </c>
    </row>
    <row r="3523" spans="1:13" x14ac:dyDescent="0.3">
      <c r="A3523" t="s">
        <v>3397</v>
      </c>
      <c r="B3523" t="s">
        <v>5989</v>
      </c>
      <c r="C3523" t="s">
        <v>5487</v>
      </c>
      <c r="D3523" t="s">
        <v>4119</v>
      </c>
      <c r="E3523" t="s">
        <v>5756</v>
      </c>
      <c r="F3523" t="s">
        <v>15293</v>
      </c>
      <c r="G3523" t="s">
        <v>15179</v>
      </c>
      <c r="H3523" t="s">
        <v>5474</v>
      </c>
      <c r="I3523" t="s">
        <v>15294</v>
      </c>
      <c r="J3523" t="s">
        <v>5476</v>
      </c>
      <c r="K3523" t="s">
        <v>15295</v>
      </c>
      <c r="L3523" t="s">
        <v>5471</v>
      </c>
      <c r="M3523" t="s">
        <v>5471</v>
      </c>
    </row>
    <row r="3524" spans="1:13" x14ac:dyDescent="0.3">
      <c r="A3524" t="s">
        <v>3397</v>
      </c>
      <c r="B3524" t="s">
        <v>5989</v>
      </c>
      <c r="C3524" t="s">
        <v>5487</v>
      </c>
      <c r="D3524" t="s">
        <v>4119</v>
      </c>
      <c r="E3524" t="s">
        <v>5756</v>
      </c>
      <c r="F3524" t="s">
        <v>15296</v>
      </c>
      <c r="G3524" t="s">
        <v>15179</v>
      </c>
      <c r="H3524" t="s">
        <v>5474</v>
      </c>
      <c r="I3524" t="s">
        <v>15297</v>
      </c>
      <c r="J3524" t="s">
        <v>5476</v>
      </c>
      <c r="K3524" t="s">
        <v>15298</v>
      </c>
      <c r="L3524" t="s">
        <v>5471</v>
      </c>
      <c r="M3524" t="s">
        <v>5471</v>
      </c>
    </row>
    <row r="3525" spans="1:13" x14ac:dyDescent="0.3">
      <c r="A3525" t="s">
        <v>3397</v>
      </c>
      <c r="B3525" t="s">
        <v>5989</v>
      </c>
      <c r="C3525" t="s">
        <v>5487</v>
      </c>
      <c r="D3525" t="s">
        <v>4119</v>
      </c>
      <c r="E3525" t="s">
        <v>5756</v>
      </c>
      <c r="F3525" t="s">
        <v>15299</v>
      </c>
      <c r="G3525" t="s">
        <v>15179</v>
      </c>
      <c r="H3525" t="s">
        <v>5474</v>
      </c>
      <c r="I3525" t="s">
        <v>15300</v>
      </c>
      <c r="J3525" t="s">
        <v>5476</v>
      </c>
      <c r="K3525" t="s">
        <v>15301</v>
      </c>
      <c r="L3525" t="s">
        <v>5471</v>
      </c>
      <c r="M3525" t="s">
        <v>5471</v>
      </c>
    </row>
    <row r="3526" spans="1:13" x14ac:dyDescent="0.3">
      <c r="A3526" t="s">
        <v>3397</v>
      </c>
      <c r="B3526" t="s">
        <v>5989</v>
      </c>
      <c r="C3526" t="s">
        <v>5487</v>
      </c>
      <c r="D3526" t="s">
        <v>4119</v>
      </c>
      <c r="E3526" t="s">
        <v>5756</v>
      </c>
      <c r="F3526" t="s">
        <v>15302</v>
      </c>
      <c r="G3526" t="s">
        <v>15179</v>
      </c>
      <c r="H3526" t="s">
        <v>5474</v>
      </c>
      <c r="I3526" t="s">
        <v>15303</v>
      </c>
      <c r="J3526" t="s">
        <v>5476</v>
      </c>
      <c r="K3526" t="s">
        <v>15304</v>
      </c>
      <c r="L3526" t="s">
        <v>5471</v>
      </c>
      <c r="M3526" t="s">
        <v>5471</v>
      </c>
    </row>
    <row r="3527" spans="1:13" x14ac:dyDescent="0.3">
      <c r="A3527" t="s">
        <v>3397</v>
      </c>
      <c r="B3527" t="s">
        <v>5989</v>
      </c>
      <c r="C3527" t="s">
        <v>5487</v>
      </c>
      <c r="D3527" t="s">
        <v>4119</v>
      </c>
      <c r="E3527" t="s">
        <v>5756</v>
      </c>
      <c r="F3527" t="s">
        <v>15305</v>
      </c>
      <c r="G3527" t="s">
        <v>15179</v>
      </c>
      <c r="H3527" t="s">
        <v>5474</v>
      </c>
      <c r="I3527" t="s">
        <v>15306</v>
      </c>
      <c r="J3527" t="s">
        <v>5476</v>
      </c>
      <c r="K3527" t="s">
        <v>15307</v>
      </c>
      <c r="L3527" t="s">
        <v>5471</v>
      </c>
      <c r="M3527" t="s">
        <v>5471</v>
      </c>
    </row>
    <row r="3528" spans="1:13" x14ac:dyDescent="0.3">
      <c r="A3528" t="s">
        <v>3397</v>
      </c>
      <c r="B3528" t="s">
        <v>5989</v>
      </c>
      <c r="C3528" t="s">
        <v>5487</v>
      </c>
      <c r="D3528" t="s">
        <v>4119</v>
      </c>
      <c r="E3528" t="s">
        <v>5756</v>
      </c>
      <c r="F3528" t="s">
        <v>15308</v>
      </c>
      <c r="G3528" t="s">
        <v>15179</v>
      </c>
      <c r="H3528" t="s">
        <v>5474</v>
      </c>
      <c r="I3528" t="s">
        <v>15309</v>
      </c>
      <c r="J3528" t="s">
        <v>5476</v>
      </c>
      <c r="K3528" t="s">
        <v>15310</v>
      </c>
      <c r="L3528" t="s">
        <v>5471</v>
      </c>
      <c r="M3528" t="s">
        <v>5471</v>
      </c>
    </row>
    <row r="3529" spans="1:13" x14ac:dyDescent="0.3">
      <c r="A3529" t="s">
        <v>3397</v>
      </c>
      <c r="B3529" t="s">
        <v>5301</v>
      </c>
      <c r="C3529" t="s">
        <v>6342</v>
      </c>
      <c r="D3529" t="s">
        <v>4056</v>
      </c>
      <c r="E3529" t="s">
        <v>9935</v>
      </c>
      <c r="F3529" t="s">
        <v>15311</v>
      </c>
      <c r="G3529" t="s">
        <v>15312</v>
      </c>
      <c r="H3529" t="s">
        <v>5474</v>
      </c>
      <c r="I3529" t="s">
        <v>15313</v>
      </c>
      <c r="J3529" t="s">
        <v>5476</v>
      </c>
      <c r="K3529" t="s">
        <v>15314</v>
      </c>
      <c r="L3529" t="s">
        <v>5478</v>
      </c>
      <c r="M3529" t="s">
        <v>5471</v>
      </c>
    </row>
    <row r="3530" spans="1:13" x14ac:dyDescent="0.3">
      <c r="A3530" t="s">
        <v>3397</v>
      </c>
      <c r="B3530" t="s">
        <v>5301</v>
      </c>
      <c r="C3530" t="s">
        <v>6342</v>
      </c>
      <c r="D3530" t="s">
        <v>4056</v>
      </c>
      <c r="E3530" t="s">
        <v>9935</v>
      </c>
      <c r="F3530" t="s">
        <v>15315</v>
      </c>
      <c r="G3530" t="s">
        <v>14527</v>
      </c>
      <c r="H3530" t="s">
        <v>5474</v>
      </c>
      <c r="I3530" t="s">
        <v>15316</v>
      </c>
      <c r="J3530" t="s">
        <v>5476</v>
      </c>
      <c r="K3530" t="s">
        <v>15317</v>
      </c>
      <c r="L3530" t="s">
        <v>5478</v>
      </c>
      <c r="M3530" t="s">
        <v>5471</v>
      </c>
    </row>
    <row r="3531" spans="1:13" x14ac:dyDescent="0.3">
      <c r="A3531" t="s">
        <v>3397</v>
      </c>
      <c r="B3531" t="s">
        <v>5301</v>
      </c>
      <c r="C3531" t="s">
        <v>6342</v>
      </c>
      <c r="D3531" t="s">
        <v>4056</v>
      </c>
      <c r="E3531" t="s">
        <v>9935</v>
      </c>
      <c r="F3531" t="s">
        <v>15318</v>
      </c>
      <c r="G3531" t="s">
        <v>14527</v>
      </c>
      <c r="H3531" t="s">
        <v>5474</v>
      </c>
      <c r="I3531" t="s">
        <v>15319</v>
      </c>
      <c r="J3531" t="s">
        <v>5476</v>
      </c>
      <c r="K3531" t="s">
        <v>15320</v>
      </c>
      <c r="L3531" t="s">
        <v>5478</v>
      </c>
      <c r="M3531" t="s">
        <v>5471</v>
      </c>
    </row>
    <row r="3532" spans="1:13" x14ac:dyDescent="0.3">
      <c r="A3532" t="s">
        <v>3397</v>
      </c>
      <c r="B3532" t="s">
        <v>13796</v>
      </c>
      <c r="C3532" t="s">
        <v>5487</v>
      </c>
      <c r="D3532" t="s">
        <v>5471</v>
      </c>
      <c r="E3532" t="s">
        <v>5843</v>
      </c>
      <c r="F3532" t="s">
        <v>15321</v>
      </c>
      <c r="G3532" t="s">
        <v>10239</v>
      </c>
      <c r="H3532" t="s">
        <v>5471</v>
      </c>
      <c r="I3532" t="s">
        <v>15322</v>
      </c>
      <c r="J3532" t="s">
        <v>5476</v>
      </c>
      <c r="K3532" t="s">
        <v>5471</v>
      </c>
      <c r="L3532" t="s">
        <v>5471</v>
      </c>
      <c r="M3532" t="s">
        <v>5471</v>
      </c>
    </row>
    <row r="3533" spans="1:13" x14ac:dyDescent="0.3">
      <c r="A3533" t="s">
        <v>3397</v>
      </c>
      <c r="B3533" t="s">
        <v>15323</v>
      </c>
      <c r="C3533" t="s">
        <v>5487</v>
      </c>
      <c r="D3533" t="s">
        <v>4056</v>
      </c>
      <c r="E3533" t="s">
        <v>5532</v>
      </c>
      <c r="F3533" t="s">
        <v>15324</v>
      </c>
      <c r="G3533" t="s">
        <v>15325</v>
      </c>
      <c r="H3533" t="s">
        <v>5474</v>
      </c>
      <c r="I3533" t="s">
        <v>15326</v>
      </c>
      <c r="J3533" t="s">
        <v>5476</v>
      </c>
      <c r="K3533" t="s">
        <v>15327</v>
      </c>
      <c r="L3533" t="s">
        <v>5471</v>
      </c>
      <c r="M3533" t="s">
        <v>5471</v>
      </c>
    </row>
    <row r="3534" spans="1:13" x14ac:dyDescent="0.3">
      <c r="A3534" t="s">
        <v>3397</v>
      </c>
      <c r="B3534" t="s">
        <v>15323</v>
      </c>
      <c r="C3534" t="s">
        <v>5487</v>
      </c>
      <c r="D3534" t="s">
        <v>4056</v>
      </c>
      <c r="E3534" t="s">
        <v>5532</v>
      </c>
      <c r="F3534" t="s">
        <v>15328</v>
      </c>
      <c r="G3534" t="s">
        <v>15325</v>
      </c>
      <c r="H3534" t="s">
        <v>5474</v>
      </c>
      <c r="I3534" t="s">
        <v>15329</v>
      </c>
      <c r="J3534" t="s">
        <v>5476</v>
      </c>
      <c r="K3534" t="s">
        <v>15330</v>
      </c>
      <c r="L3534" t="s">
        <v>5471</v>
      </c>
      <c r="M3534" t="s">
        <v>5471</v>
      </c>
    </row>
    <row r="3535" spans="1:13" x14ac:dyDescent="0.3">
      <c r="A3535" t="s">
        <v>3397</v>
      </c>
      <c r="B3535" t="s">
        <v>15323</v>
      </c>
      <c r="C3535" t="s">
        <v>5487</v>
      </c>
      <c r="D3535" t="s">
        <v>4056</v>
      </c>
      <c r="E3535" t="s">
        <v>5532</v>
      </c>
      <c r="F3535" t="s">
        <v>15331</v>
      </c>
      <c r="G3535" t="s">
        <v>15325</v>
      </c>
      <c r="H3535" t="s">
        <v>5474</v>
      </c>
      <c r="I3535" t="s">
        <v>15332</v>
      </c>
      <c r="J3535" t="s">
        <v>5476</v>
      </c>
      <c r="K3535" t="s">
        <v>15333</v>
      </c>
      <c r="L3535" t="s">
        <v>5471</v>
      </c>
      <c r="M3535" t="s">
        <v>5471</v>
      </c>
    </row>
    <row r="3536" spans="1:13" x14ac:dyDescent="0.3">
      <c r="A3536" t="s">
        <v>3397</v>
      </c>
      <c r="B3536" t="s">
        <v>15323</v>
      </c>
      <c r="C3536" t="s">
        <v>5487</v>
      </c>
      <c r="D3536" t="s">
        <v>4052</v>
      </c>
      <c r="E3536" t="s">
        <v>5532</v>
      </c>
      <c r="F3536" t="s">
        <v>15334</v>
      </c>
      <c r="G3536" t="s">
        <v>15325</v>
      </c>
      <c r="H3536" t="s">
        <v>5474</v>
      </c>
      <c r="I3536" t="s">
        <v>15335</v>
      </c>
      <c r="J3536" t="s">
        <v>5476</v>
      </c>
      <c r="K3536" t="s">
        <v>15336</v>
      </c>
      <c r="L3536" t="s">
        <v>5471</v>
      </c>
      <c r="M3536" t="s">
        <v>5471</v>
      </c>
    </row>
    <row r="3537" spans="1:13" x14ac:dyDescent="0.3">
      <c r="A3537" t="s">
        <v>3397</v>
      </c>
      <c r="B3537" t="s">
        <v>15323</v>
      </c>
      <c r="C3537" t="s">
        <v>5487</v>
      </c>
      <c r="D3537" t="s">
        <v>4052</v>
      </c>
      <c r="E3537" t="s">
        <v>5532</v>
      </c>
      <c r="F3537" t="s">
        <v>15337</v>
      </c>
      <c r="G3537" t="s">
        <v>15338</v>
      </c>
      <c r="H3537" t="s">
        <v>5474</v>
      </c>
      <c r="I3537" t="s">
        <v>15339</v>
      </c>
      <c r="J3537" t="s">
        <v>5476</v>
      </c>
      <c r="K3537" t="s">
        <v>10252</v>
      </c>
      <c r="L3537" t="s">
        <v>5471</v>
      </c>
      <c r="M3537" t="s">
        <v>5471</v>
      </c>
    </row>
    <row r="3538" spans="1:13" x14ac:dyDescent="0.3">
      <c r="A3538" t="s">
        <v>3397</v>
      </c>
      <c r="B3538" t="s">
        <v>15323</v>
      </c>
      <c r="C3538" t="s">
        <v>5487</v>
      </c>
      <c r="D3538" t="s">
        <v>4056</v>
      </c>
      <c r="E3538" t="s">
        <v>5532</v>
      </c>
      <c r="F3538" t="s">
        <v>15340</v>
      </c>
      <c r="G3538" t="s">
        <v>15338</v>
      </c>
      <c r="H3538" t="s">
        <v>5474</v>
      </c>
      <c r="I3538" t="s">
        <v>15341</v>
      </c>
      <c r="J3538" t="s">
        <v>5476</v>
      </c>
      <c r="K3538" t="s">
        <v>15342</v>
      </c>
      <c r="L3538" t="s">
        <v>5471</v>
      </c>
      <c r="M3538" t="s">
        <v>5471</v>
      </c>
    </row>
    <row r="3539" spans="1:13" x14ac:dyDescent="0.3">
      <c r="A3539" t="s">
        <v>3397</v>
      </c>
      <c r="B3539" t="s">
        <v>15323</v>
      </c>
      <c r="C3539" t="s">
        <v>5487</v>
      </c>
      <c r="D3539" t="s">
        <v>4056</v>
      </c>
      <c r="E3539" t="s">
        <v>5532</v>
      </c>
      <c r="F3539" t="s">
        <v>15343</v>
      </c>
      <c r="G3539" t="s">
        <v>15338</v>
      </c>
      <c r="H3539" t="s">
        <v>5474</v>
      </c>
      <c r="I3539" t="s">
        <v>15344</v>
      </c>
      <c r="J3539" t="s">
        <v>5476</v>
      </c>
      <c r="K3539" t="s">
        <v>15345</v>
      </c>
      <c r="L3539" t="s">
        <v>5471</v>
      </c>
      <c r="M3539" t="s">
        <v>5471</v>
      </c>
    </row>
    <row r="3540" spans="1:13" x14ac:dyDescent="0.3">
      <c r="A3540" t="s">
        <v>3397</v>
      </c>
      <c r="B3540" t="s">
        <v>15323</v>
      </c>
      <c r="C3540" t="s">
        <v>5487</v>
      </c>
      <c r="D3540" t="s">
        <v>4056</v>
      </c>
      <c r="E3540" t="s">
        <v>5532</v>
      </c>
      <c r="F3540" t="s">
        <v>15346</v>
      </c>
      <c r="G3540" t="s">
        <v>15338</v>
      </c>
      <c r="H3540" t="s">
        <v>5474</v>
      </c>
      <c r="I3540" t="s">
        <v>15347</v>
      </c>
      <c r="J3540" t="s">
        <v>5476</v>
      </c>
      <c r="K3540" t="s">
        <v>15348</v>
      </c>
      <c r="L3540" t="s">
        <v>5471</v>
      </c>
      <c r="M3540" t="s">
        <v>5471</v>
      </c>
    </row>
    <row r="3541" spans="1:13" x14ac:dyDescent="0.3">
      <c r="A3541" t="s">
        <v>3397</v>
      </c>
      <c r="B3541" t="s">
        <v>15323</v>
      </c>
      <c r="C3541" t="s">
        <v>5487</v>
      </c>
      <c r="D3541" t="s">
        <v>4056</v>
      </c>
      <c r="E3541" t="s">
        <v>5480</v>
      </c>
      <c r="F3541" t="s">
        <v>15349</v>
      </c>
      <c r="G3541" t="s">
        <v>15325</v>
      </c>
      <c r="H3541" t="s">
        <v>5474</v>
      </c>
      <c r="I3541" t="s">
        <v>15350</v>
      </c>
      <c r="J3541" t="s">
        <v>5476</v>
      </c>
      <c r="K3541" t="s">
        <v>15351</v>
      </c>
      <c r="L3541" t="s">
        <v>5478</v>
      </c>
      <c r="M3541" t="s">
        <v>5471</v>
      </c>
    </row>
    <row r="3542" spans="1:13" x14ac:dyDescent="0.3">
      <c r="A3542" t="s">
        <v>3397</v>
      </c>
      <c r="B3542" t="s">
        <v>15323</v>
      </c>
      <c r="C3542" t="s">
        <v>5487</v>
      </c>
      <c r="D3542" t="s">
        <v>4056</v>
      </c>
      <c r="E3542" t="s">
        <v>5480</v>
      </c>
      <c r="F3542" t="s">
        <v>15352</v>
      </c>
      <c r="G3542" t="s">
        <v>15325</v>
      </c>
      <c r="H3542" t="s">
        <v>5474</v>
      </c>
      <c r="I3542" t="s">
        <v>15353</v>
      </c>
      <c r="J3542" t="s">
        <v>5476</v>
      </c>
      <c r="K3542" t="s">
        <v>15354</v>
      </c>
      <c r="L3542" t="s">
        <v>5478</v>
      </c>
      <c r="M3542" t="s">
        <v>5471</v>
      </c>
    </row>
    <row r="3543" spans="1:13" x14ac:dyDescent="0.3">
      <c r="A3543" t="s">
        <v>3397</v>
      </c>
      <c r="B3543" t="s">
        <v>15323</v>
      </c>
      <c r="C3543" t="s">
        <v>5487</v>
      </c>
      <c r="D3543" t="s">
        <v>4056</v>
      </c>
      <c r="E3543" t="s">
        <v>5480</v>
      </c>
      <c r="F3543" t="s">
        <v>15355</v>
      </c>
      <c r="G3543" t="s">
        <v>15325</v>
      </c>
      <c r="H3543" t="s">
        <v>5474</v>
      </c>
      <c r="I3543" t="s">
        <v>15356</v>
      </c>
      <c r="J3543" t="s">
        <v>5476</v>
      </c>
      <c r="K3543" t="s">
        <v>15357</v>
      </c>
      <c r="L3543" t="s">
        <v>5478</v>
      </c>
      <c r="M3543" t="s">
        <v>5471</v>
      </c>
    </row>
    <row r="3544" spans="1:13" x14ac:dyDescent="0.3">
      <c r="A3544" t="s">
        <v>3397</v>
      </c>
      <c r="B3544" t="s">
        <v>15323</v>
      </c>
      <c r="C3544" t="s">
        <v>5487</v>
      </c>
      <c r="D3544" t="s">
        <v>4056</v>
      </c>
      <c r="E3544" t="s">
        <v>5480</v>
      </c>
      <c r="F3544" t="s">
        <v>15358</v>
      </c>
      <c r="G3544" t="s">
        <v>15325</v>
      </c>
      <c r="H3544" t="s">
        <v>5474</v>
      </c>
      <c r="I3544" t="s">
        <v>15359</v>
      </c>
      <c r="J3544" t="s">
        <v>5476</v>
      </c>
      <c r="K3544" t="s">
        <v>15360</v>
      </c>
      <c r="L3544" t="s">
        <v>5478</v>
      </c>
      <c r="M3544" t="s">
        <v>5471</v>
      </c>
    </row>
    <row r="3545" spans="1:13" x14ac:dyDescent="0.3">
      <c r="A3545" t="s">
        <v>3397</v>
      </c>
      <c r="B3545" t="s">
        <v>15323</v>
      </c>
      <c r="C3545" t="s">
        <v>5487</v>
      </c>
      <c r="D3545" t="s">
        <v>4056</v>
      </c>
      <c r="E3545" t="s">
        <v>5480</v>
      </c>
      <c r="F3545" t="s">
        <v>15361</v>
      </c>
      <c r="G3545" t="s">
        <v>15325</v>
      </c>
      <c r="H3545" t="s">
        <v>5474</v>
      </c>
      <c r="I3545" t="s">
        <v>15362</v>
      </c>
      <c r="J3545" t="s">
        <v>5476</v>
      </c>
      <c r="K3545" t="s">
        <v>15363</v>
      </c>
      <c r="L3545" t="s">
        <v>5478</v>
      </c>
      <c r="M3545" t="s">
        <v>5471</v>
      </c>
    </row>
    <row r="3546" spans="1:13" x14ac:dyDescent="0.3">
      <c r="A3546" t="s">
        <v>3397</v>
      </c>
      <c r="B3546" t="s">
        <v>15323</v>
      </c>
      <c r="C3546" t="s">
        <v>5487</v>
      </c>
      <c r="D3546" t="s">
        <v>4119</v>
      </c>
      <c r="E3546" t="s">
        <v>5532</v>
      </c>
      <c r="F3546" t="s">
        <v>15364</v>
      </c>
      <c r="G3546" t="s">
        <v>15338</v>
      </c>
      <c r="H3546" t="s">
        <v>5474</v>
      </c>
      <c r="I3546" t="s">
        <v>15365</v>
      </c>
      <c r="J3546" t="s">
        <v>5476</v>
      </c>
      <c r="K3546" t="s">
        <v>15366</v>
      </c>
      <c r="L3546" t="s">
        <v>5471</v>
      </c>
      <c r="M3546" t="s">
        <v>5471</v>
      </c>
    </row>
    <row r="3547" spans="1:13" x14ac:dyDescent="0.3">
      <c r="A3547" t="s">
        <v>3397</v>
      </c>
      <c r="B3547" t="s">
        <v>15323</v>
      </c>
      <c r="C3547" t="s">
        <v>5487</v>
      </c>
      <c r="D3547" t="s">
        <v>4119</v>
      </c>
      <c r="E3547" t="s">
        <v>5532</v>
      </c>
      <c r="F3547" t="s">
        <v>15367</v>
      </c>
      <c r="G3547" t="s">
        <v>15338</v>
      </c>
      <c r="H3547" t="s">
        <v>5474</v>
      </c>
      <c r="I3547" t="s">
        <v>15368</v>
      </c>
      <c r="J3547" t="s">
        <v>5476</v>
      </c>
      <c r="K3547" t="s">
        <v>5471</v>
      </c>
      <c r="L3547" t="s">
        <v>5471</v>
      </c>
      <c r="M3547" t="s">
        <v>5471</v>
      </c>
    </row>
    <row r="3548" spans="1:13" x14ac:dyDescent="0.3">
      <c r="A3548" t="s">
        <v>3397</v>
      </c>
      <c r="B3548" t="s">
        <v>15323</v>
      </c>
      <c r="C3548" t="s">
        <v>5487</v>
      </c>
      <c r="D3548" t="s">
        <v>4119</v>
      </c>
      <c r="E3548" t="s">
        <v>5532</v>
      </c>
      <c r="F3548" t="s">
        <v>15369</v>
      </c>
      <c r="G3548" t="s">
        <v>15338</v>
      </c>
      <c r="H3548" t="s">
        <v>5474</v>
      </c>
      <c r="I3548" t="s">
        <v>15370</v>
      </c>
      <c r="J3548" t="s">
        <v>5476</v>
      </c>
      <c r="K3548" t="s">
        <v>5471</v>
      </c>
      <c r="L3548" t="s">
        <v>5471</v>
      </c>
      <c r="M3548" t="s">
        <v>5471</v>
      </c>
    </row>
    <row r="3549" spans="1:13" x14ac:dyDescent="0.3">
      <c r="A3549" t="s">
        <v>3397</v>
      </c>
      <c r="B3549" t="s">
        <v>15323</v>
      </c>
      <c r="C3549" t="s">
        <v>5487</v>
      </c>
      <c r="D3549" t="s">
        <v>4119</v>
      </c>
      <c r="E3549" t="s">
        <v>5532</v>
      </c>
      <c r="F3549" t="s">
        <v>15371</v>
      </c>
      <c r="G3549" t="s">
        <v>15338</v>
      </c>
      <c r="H3549" t="s">
        <v>5474</v>
      </c>
      <c r="I3549" t="s">
        <v>15372</v>
      </c>
      <c r="J3549" t="s">
        <v>5476</v>
      </c>
      <c r="K3549" t="s">
        <v>15373</v>
      </c>
      <c r="L3549" t="s">
        <v>5471</v>
      </c>
      <c r="M3549" t="s">
        <v>5471</v>
      </c>
    </row>
    <row r="3550" spans="1:13" x14ac:dyDescent="0.3">
      <c r="A3550" t="s">
        <v>3397</v>
      </c>
      <c r="B3550" t="s">
        <v>15323</v>
      </c>
      <c r="C3550" t="s">
        <v>5487</v>
      </c>
      <c r="D3550" t="s">
        <v>4119</v>
      </c>
      <c r="E3550" t="s">
        <v>5532</v>
      </c>
      <c r="F3550" t="s">
        <v>15374</v>
      </c>
      <c r="G3550" t="s">
        <v>15338</v>
      </c>
      <c r="H3550" t="s">
        <v>5474</v>
      </c>
      <c r="I3550" t="s">
        <v>15375</v>
      </c>
      <c r="J3550" t="s">
        <v>5476</v>
      </c>
      <c r="K3550" t="s">
        <v>14238</v>
      </c>
      <c r="L3550" t="s">
        <v>5471</v>
      </c>
      <c r="M3550" t="s">
        <v>5471</v>
      </c>
    </row>
    <row r="3551" spans="1:13" x14ac:dyDescent="0.3">
      <c r="A3551" t="s">
        <v>3397</v>
      </c>
      <c r="B3551" t="s">
        <v>15323</v>
      </c>
      <c r="C3551" t="s">
        <v>5487</v>
      </c>
      <c r="D3551" t="s">
        <v>4119</v>
      </c>
      <c r="E3551" t="s">
        <v>5532</v>
      </c>
      <c r="F3551" t="s">
        <v>15376</v>
      </c>
      <c r="G3551" t="s">
        <v>15377</v>
      </c>
      <c r="H3551" t="s">
        <v>5474</v>
      </c>
      <c r="I3551" t="s">
        <v>15378</v>
      </c>
      <c r="J3551" t="s">
        <v>5476</v>
      </c>
      <c r="K3551" t="s">
        <v>15379</v>
      </c>
      <c r="L3551" t="s">
        <v>5471</v>
      </c>
      <c r="M3551" t="s">
        <v>5471</v>
      </c>
    </row>
    <row r="3552" spans="1:13" x14ac:dyDescent="0.3">
      <c r="A3552" t="s">
        <v>3397</v>
      </c>
      <c r="B3552" t="s">
        <v>15323</v>
      </c>
      <c r="C3552" t="s">
        <v>5487</v>
      </c>
      <c r="D3552" t="s">
        <v>4119</v>
      </c>
      <c r="E3552" t="s">
        <v>5532</v>
      </c>
      <c r="F3552" t="s">
        <v>15380</v>
      </c>
      <c r="G3552" t="s">
        <v>15381</v>
      </c>
      <c r="H3552" t="s">
        <v>5474</v>
      </c>
      <c r="I3552" t="s">
        <v>15382</v>
      </c>
      <c r="J3552" t="s">
        <v>5476</v>
      </c>
      <c r="K3552" t="s">
        <v>15383</v>
      </c>
      <c r="L3552" t="s">
        <v>5471</v>
      </c>
      <c r="M3552" t="s">
        <v>5471</v>
      </c>
    </row>
    <row r="3553" spans="1:13" x14ac:dyDescent="0.3">
      <c r="A3553" t="s">
        <v>3397</v>
      </c>
      <c r="B3553" t="s">
        <v>15323</v>
      </c>
      <c r="C3553" t="s">
        <v>5487</v>
      </c>
      <c r="D3553" t="s">
        <v>4119</v>
      </c>
      <c r="E3553" t="s">
        <v>5532</v>
      </c>
      <c r="F3553" t="s">
        <v>15384</v>
      </c>
      <c r="G3553" t="s">
        <v>15385</v>
      </c>
      <c r="H3553" t="s">
        <v>5474</v>
      </c>
      <c r="I3553" t="s">
        <v>15386</v>
      </c>
      <c r="J3553" t="s">
        <v>5476</v>
      </c>
      <c r="K3553" t="s">
        <v>15387</v>
      </c>
      <c r="L3553" t="s">
        <v>5471</v>
      </c>
      <c r="M3553" t="s">
        <v>5471</v>
      </c>
    </row>
    <row r="3554" spans="1:13" x14ac:dyDescent="0.3">
      <c r="A3554" t="s">
        <v>3397</v>
      </c>
      <c r="B3554" t="s">
        <v>15323</v>
      </c>
      <c r="C3554" t="s">
        <v>5487</v>
      </c>
      <c r="D3554" t="s">
        <v>4119</v>
      </c>
      <c r="E3554" t="s">
        <v>5532</v>
      </c>
      <c r="F3554" t="s">
        <v>15388</v>
      </c>
      <c r="G3554" t="s">
        <v>15389</v>
      </c>
      <c r="H3554" t="s">
        <v>5474</v>
      </c>
      <c r="I3554" t="s">
        <v>15390</v>
      </c>
      <c r="J3554" t="s">
        <v>5476</v>
      </c>
      <c r="K3554" t="s">
        <v>15391</v>
      </c>
      <c r="L3554" t="s">
        <v>5471</v>
      </c>
      <c r="M3554" t="s">
        <v>5471</v>
      </c>
    </row>
    <row r="3555" spans="1:13" x14ac:dyDescent="0.3">
      <c r="A3555" t="s">
        <v>3397</v>
      </c>
      <c r="B3555" t="s">
        <v>15323</v>
      </c>
      <c r="C3555" t="s">
        <v>5487</v>
      </c>
      <c r="D3555" t="s">
        <v>4119</v>
      </c>
      <c r="E3555" t="s">
        <v>5532</v>
      </c>
      <c r="F3555" t="s">
        <v>15392</v>
      </c>
      <c r="G3555" t="s">
        <v>15325</v>
      </c>
      <c r="H3555" t="s">
        <v>5474</v>
      </c>
      <c r="I3555" t="s">
        <v>15393</v>
      </c>
      <c r="J3555" t="s">
        <v>5476</v>
      </c>
      <c r="K3555" t="s">
        <v>15394</v>
      </c>
      <c r="L3555" t="s">
        <v>5471</v>
      </c>
      <c r="M3555" t="s">
        <v>5471</v>
      </c>
    </row>
    <row r="3556" spans="1:13" x14ac:dyDescent="0.3">
      <c r="A3556" t="s">
        <v>3397</v>
      </c>
      <c r="B3556" t="s">
        <v>15323</v>
      </c>
      <c r="C3556" t="s">
        <v>5487</v>
      </c>
      <c r="D3556" t="s">
        <v>4119</v>
      </c>
      <c r="E3556" t="s">
        <v>5532</v>
      </c>
      <c r="F3556" t="s">
        <v>15395</v>
      </c>
      <c r="G3556" t="s">
        <v>15396</v>
      </c>
      <c r="H3556" t="s">
        <v>5474</v>
      </c>
      <c r="I3556" t="s">
        <v>15397</v>
      </c>
      <c r="J3556" t="s">
        <v>5476</v>
      </c>
      <c r="K3556" t="s">
        <v>15398</v>
      </c>
      <c r="L3556" t="s">
        <v>5471</v>
      </c>
      <c r="M3556" t="s">
        <v>5471</v>
      </c>
    </row>
    <row r="3557" spans="1:13" x14ac:dyDescent="0.3">
      <c r="A3557" t="s">
        <v>3397</v>
      </c>
      <c r="B3557" t="s">
        <v>15323</v>
      </c>
      <c r="C3557" t="s">
        <v>5487</v>
      </c>
      <c r="D3557" t="s">
        <v>4119</v>
      </c>
      <c r="E3557" t="s">
        <v>5532</v>
      </c>
      <c r="F3557" t="s">
        <v>15399</v>
      </c>
      <c r="G3557" t="s">
        <v>15400</v>
      </c>
      <c r="H3557" t="s">
        <v>5474</v>
      </c>
      <c r="I3557" t="s">
        <v>15401</v>
      </c>
      <c r="J3557" t="s">
        <v>5476</v>
      </c>
      <c r="K3557" t="s">
        <v>15402</v>
      </c>
      <c r="L3557" t="s">
        <v>5471</v>
      </c>
      <c r="M3557" t="s">
        <v>5471</v>
      </c>
    </row>
    <row r="3558" spans="1:13" x14ac:dyDescent="0.3">
      <c r="A3558" t="s">
        <v>3397</v>
      </c>
      <c r="B3558" t="s">
        <v>15323</v>
      </c>
      <c r="C3558" t="s">
        <v>5487</v>
      </c>
      <c r="D3558" t="s">
        <v>4119</v>
      </c>
      <c r="E3558" t="s">
        <v>5532</v>
      </c>
      <c r="F3558" t="s">
        <v>15403</v>
      </c>
      <c r="G3558" t="s">
        <v>15404</v>
      </c>
      <c r="H3558" t="s">
        <v>5474</v>
      </c>
      <c r="I3558" t="s">
        <v>15405</v>
      </c>
      <c r="J3558" t="s">
        <v>5476</v>
      </c>
      <c r="K3558" t="s">
        <v>15406</v>
      </c>
      <c r="L3558" t="s">
        <v>5471</v>
      </c>
      <c r="M3558" t="s">
        <v>5471</v>
      </c>
    </row>
    <row r="3559" spans="1:13" x14ac:dyDescent="0.3">
      <c r="A3559" t="s">
        <v>3397</v>
      </c>
      <c r="B3559" t="s">
        <v>15323</v>
      </c>
      <c r="C3559" t="s">
        <v>5487</v>
      </c>
      <c r="D3559" t="s">
        <v>4119</v>
      </c>
      <c r="E3559" t="s">
        <v>5532</v>
      </c>
      <c r="F3559" t="s">
        <v>15407</v>
      </c>
      <c r="G3559" t="s">
        <v>13783</v>
      </c>
      <c r="H3559" t="s">
        <v>5474</v>
      </c>
      <c r="I3559" t="s">
        <v>15408</v>
      </c>
      <c r="J3559" t="s">
        <v>5476</v>
      </c>
      <c r="K3559" t="s">
        <v>15409</v>
      </c>
      <c r="L3559" t="s">
        <v>5471</v>
      </c>
      <c r="M3559" t="s">
        <v>5471</v>
      </c>
    </row>
    <row r="3560" spans="1:13" x14ac:dyDescent="0.3">
      <c r="A3560" t="s">
        <v>3397</v>
      </c>
      <c r="B3560" t="s">
        <v>15323</v>
      </c>
      <c r="C3560" t="s">
        <v>5487</v>
      </c>
      <c r="D3560" t="s">
        <v>4119</v>
      </c>
      <c r="E3560" t="s">
        <v>5532</v>
      </c>
      <c r="F3560" t="s">
        <v>15410</v>
      </c>
      <c r="G3560" t="s">
        <v>13776</v>
      </c>
      <c r="H3560" t="s">
        <v>5474</v>
      </c>
      <c r="I3560" t="s">
        <v>15411</v>
      </c>
      <c r="J3560" t="s">
        <v>5476</v>
      </c>
      <c r="K3560" t="s">
        <v>15412</v>
      </c>
      <c r="L3560" t="s">
        <v>5471</v>
      </c>
      <c r="M3560" t="s">
        <v>5471</v>
      </c>
    </row>
    <row r="3561" spans="1:13" x14ac:dyDescent="0.3">
      <c r="A3561" t="s">
        <v>3397</v>
      </c>
      <c r="B3561" t="s">
        <v>15323</v>
      </c>
      <c r="C3561" t="s">
        <v>5487</v>
      </c>
      <c r="D3561" t="s">
        <v>4119</v>
      </c>
      <c r="E3561" t="s">
        <v>5532</v>
      </c>
      <c r="F3561" t="s">
        <v>15413</v>
      </c>
      <c r="G3561" t="s">
        <v>15338</v>
      </c>
      <c r="H3561" t="s">
        <v>5474</v>
      </c>
      <c r="I3561" t="s">
        <v>15414</v>
      </c>
      <c r="J3561" t="s">
        <v>5476</v>
      </c>
      <c r="K3561" t="s">
        <v>15415</v>
      </c>
      <c r="L3561" t="s">
        <v>5471</v>
      </c>
      <c r="M3561" t="s">
        <v>5471</v>
      </c>
    </row>
    <row r="3562" spans="1:13" x14ac:dyDescent="0.3">
      <c r="A3562" t="s">
        <v>3397</v>
      </c>
      <c r="B3562" t="s">
        <v>15323</v>
      </c>
      <c r="C3562" t="s">
        <v>5487</v>
      </c>
      <c r="D3562" t="s">
        <v>4119</v>
      </c>
      <c r="E3562" t="s">
        <v>5532</v>
      </c>
      <c r="F3562" t="s">
        <v>13775</v>
      </c>
      <c r="G3562" t="s">
        <v>13776</v>
      </c>
      <c r="H3562" t="s">
        <v>5474</v>
      </c>
      <c r="I3562" t="s">
        <v>15416</v>
      </c>
      <c r="J3562" t="s">
        <v>5476</v>
      </c>
      <c r="K3562" t="s">
        <v>13778</v>
      </c>
      <c r="L3562" t="s">
        <v>5471</v>
      </c>
      <c r="M3562" t="s">
        <v>5471</v>
      </c>
    </row>
    <row r="3563" spans="1:13" x14ac:dyDescent="0.3">
      <c r="A3563" t="s">
        <v>3397</v>
      </c>
      <c r="B3563" t="s">
        <v>15323</v>
      </c>
      <c r="C3563" t="s">
        <v>5487</v>
      </c>
      <c r="D3563" t="s">
        <v>4119</v>
      </c>
      <c r="E3563" t="s">
        <v>5532</v>
      </c>
      <c r="F3563" t="s">
        <v>13779</v>
      </c>
      <c r="G3563" t="s">
        <v>13776</v>
      </c>
      <c r="H3563" t="s">
        <v>5474</v>
      </c>
      <c r="I3563" t="s">
        <v>15417</v>
      </c>
      <c r="J3563" t="s">
        <v>5476</v>
      </c>
      <c r="K3563" t="s">
        <v>13781</v>
      </c>
      <c r="L3563" t="s">
        <v>5471</v>
      </c>
      <c r="M3563" t="s">
        <v>5471</v>
      </c>
    </row>
    <row r="3564" spans="1:13" x14ac:dyDescent="0.3">
      <c r="A3564" t="s">
        <v>3397</v>
      </c>
      <c r="B3564" t="s">
        <v>15323</v>
      </c>
      <c r="C3564" t="s">
        <v>5487</v>
      </c>
      <c r="D3564" t="s">
        <v>4119</v>
      </c>
      <c r="E3564" t="s">
        <v>5532</v>
      </c>
      <c r="F3564" t="s">
        <v>15418</v>
      </c>
      <c r="G3564" t="s">
        <v>15377</v>
      </c>
      <c r="H3564" t="s">
        <v>5474</v>
      </c>
      <c r="I3564" t="s">
        <v>15419</v>
      </c>
      <c r="J3564" t="s">
        <v>5476</v>
      </c>
      <c r="K3564" t="s">
        <v>15420</v>
      </c>
      <c r="L3564" t="s">
        <v>5471</v>
      </c>
      <c r="M3564" t="s">
        <v>5471</v>
      </c>
    </row>
    <row r="3565" spans="1:13" x14ac:dyDescent="0.3">
      <c r="A3565" t="s">
        <v>3397</v>
      </c>
      <c r="B3565" t="s">
        <v>15323</v>
      </c>
      <c r="C3565" t="s">
        <v>5487</v>
      </c>
      <c r="D3565" t="s">
        <v>4119</v>
      </c>
      <c r="E3565" t="s">
        <v>5532</v>
      </c>
      <c r="F3565" t="s">
        <v>15421</v>
      </c>
      <c r="G3565" t="s">
        <v>15377</v>
      </c>
      <c r="H3565" t="s">
        <v>5474</v>
      </c>
      <c r="I3565" t="s">
        <v>15422</v>
      </c>
      <c r="J3565" t="s">
        <v>5476</v>
      </c>
      <c r="K3565" t="s">
        <v>15423</v>
      </c>
      <c r="L3565" t="s">
        <v>5471</v>
      </c>
      <c r="M3565" t="s">
        <v>5471</v>
      </c>
    </row>
    <row r="3566" spans="1:13" x14ac:dyDescent="0.3">
      <c r="A3566" t="s">
        <v>3397</v>
      </c>
      <c r="B3566" t="s">
        <v>15323</v>
      </c>
      <c r="C3566" t="s">
        <v>5487</v>
      </c>
      <c r="D3566" t="s">
        <v>4119</v>
      </c>
      <c r="E3566" t="s">
        <v>5532</v>
      </c>
      <c r="F3566" t="s">
        <v>15424</v>
      </c>
      <c r="G3566" t="s">
        <v>15381</v>
      </c>
      <c r="H3566" t="s">
        <v>5474</v>
      </c>
      <c r="I3566" t="s">
        <v>15425</v>
      </c>
      <c r="J3566" t="s">
        <v>5476</v>
      </c>
      <c r="K3566" t="s">
        <v>15426</v>
      </c>
      <c r="L3566" t="s">
        <v>5471</v>
      </c>
      <c r="M3566" t="s">
        <v>5471</v>
      </c>
    </row>
    <row r="3567" spans="1:13" x14ac:dyDescent="0.3">
      <c r="A3567" t="s">
        <v>3397</v>
      </c>
      <c r="B3567" t="s">
        <v>15323</v>
      </c>
      <c r="C3567" t="s">
        <v>5487</v>
      </c>
      <c r="D3567" t="s">
        <v>4119</v>
      </c>
      <c r="E3567" t="s">
        <v>5532</v>
      </c>
      <c r="F3567" t="s">
        <v>15427</v>
      </c>
      <c r="G3567" t="s">
        <v>15381</v>
      </c>
      <c r="H3567" t="s">
        <v>5474</v>
      </c>
      <c r="I3567" t="s">
        <v>15428</v>
      </c>
      <c r="J3567" t="s">
        <v>5476</v>
      </c>
      <c r="K3567" t="s">
        <v>15429</v>
      </c>
      <c r="L3567" t="s">
        <v>5471</v>
      </c>
      <c r="M3567" t="s">
        <v>5471</v>
      </c>
    </row>
    <row r="3568" spans="1:13" x14ac:dyDescent="0.3">
      <c r="A3568" t="s">
        <v>3397</v>
      </c>
      <c r="B3568" t="s">
        <v>15323</v>
      </c>
      <c r="C3568" t="s">
        <v>5487</v>
      </c>
      <c r="D3568" t="s">
        <v>4119</v>
      </c>
      <c r="E3568" t="s">
        <v>5843</v>
      </c>
      <c r="F3568" t="s">
        <v>15430</v>
      </c>
      <c r="G3568" t="s">
        <v>15431</v>
      </c>
      <c r="H3568" t="s">
        <v>5474</v>
      </c>
      <c r="I3568" t="s">
        <v>15432</v>
      </c>
      <c r="J3568" t="s">
        <v>5476</v>
      </c>
      <c r="K3568" t="s">
        <v>15433</v>
      </c>
      <c r="L3568" t="s">
        <v>5471</v>
      </c>
      <c r="M3568" t="s">
        <v>5471</v>
      </c>
    </row>
    <row r="3569" spans="1:13" x14ac:dyDescent="0.3">
      <c r="A3569" t="s">
        <v>3397</v>
      </c>
      <c r="B3569" t="s">
        <v>15323</v>
      </c>
      <c r="C3569" t="s">
        <v>5487</v>
      </c>
      <c r="D3569" t="s">
        <v>4119</v>
      </c>
      <c r="E3569" t="s">
        <v>5843</v>
      </c>
      <c r="F3569" t="s">
        <v>15434</v>
      </c>
      <c r="G3569" t="s">
        <v>15431</v>
      </c>
      <c r="H3569" t="s">
        <v>5474</v>
      </c>
      <c r="I3569" t="s">
        <v>15435</v>
      </c>
      <c r="J3569" t="s">
        <v>5476</v>
      </c>
      <c r="K3569" t="s">
        <v>15436</v>
      </c>
      <c r="L3569" t="s">
        <v>5471</v>
      </c>
      <c r="M3569" t="s">
        <v>5471</v>
      </c>
    </row>
    <row r="3570" spans="1:13" x14ac:dyDescent="0.3">
      <c r="A3570" t="s">
        <v>3397</v>
      </c>
      <c r="B3570" t="s">
        <v>15323</v>
      </c>
      <c r="C3570" t="s">
        <v>5487</v>
      </c>
      <c r="D3570" t="s">
        <v>4119</v>
      </c>
      <c r="E3570" t="s">
        <v>5843</v>
      </c>
      <c r="F3570" t="s">
        <v>15437</v>
      </c>
      <c r="G3570" t="s">
        <v>15438</v>
      </c>
      <c r="H3570" t="s">
        <v>5474</v>
      </c>
      <c r="I3570" t="s">
        <v>15439</v>
      </c>
      <c r="J3570" t="s">
        <v>5476</v>
      </c>
      <c r="K3570" t="s">
        <v>15440</v>
      </c>
      <c r="L3570" t="s">
        <v>5471</v>
      </c>
      <c r="M3570" t="s">
        <v>5471</v>
      </c>
    </row>
    <row r="3571" spans="1:13" x14ac:dyDescent="0.3">
      <c r="A3571" t="s">
        <v>3397</v>
      </c>
      <c r="B3571" t="s">
        <v>15323</v>
      </c>
      <c r="C3571" t="s">
        <v>5487</v>
      </c>
      <c r="D3571" t="s">
        <v>4119</v>
      </c>
      <c r="E3571" t="s">
        <v>5843</v>
      </c>
      <c r="F3571" t="s">
        <v>15441</v>
      </c>
      <c r="G3571" t="s">
        <v>15438</v>
      </c>
      <c r="H3571" t="s">
        <v>5474</v>
      </c>
      <c r="I3571" t="s">
        <v>15442</v>
      </c>
      <c r="J3571" t="s">
        <v>5476</v>
      </c>
      <c r="K3571" t="s">
        <v>15443</v>
      </c>
      <c r="L3571" t="s">
        <v>5471</v>
      </c>
      <c r="M3571" t="s">
        <v>5471</v>
      </c>
    </row>
    <row r="3572" spans="1:13" x14ac:dyDescent="0.3">
      <c r="A3572" t="s">
        <v>3397</v>
      </c>
      <c r="B3572" t="s">
        <v>15323</v>
      </c>
      <c r="C3572" t="s">
        <v>5487</v>
      </c>
      <c r="D3572" t="s">
        <v>4119</v>
      </c>
      <c r="E3572" t="s">
        <v>5843</v>
      </c>
      <c r="F3572" t="s">
        <v>15444</v>
      </c>
      <c r="G3572" t="s">
        <v>15445</v>
      </c>
      <c r="H3572" t="s">
        <v>5474</v>
      </c>
      <c r="I3572" t="s">
        <v>15446</v>
      </c>
      <c r="J3572" t="s">
        <v>5476</v>
      </c>
      <c r="K3572" t="s">
        <v>15447</v>
      </c>
      <c r="L3572" t="s">
        <v>5471</v>
      </c>
      <c r="M3572" t="s">
        <v>5471</v>
      </c>
    </row>
    <row r="3573" spans="1:13" x14ac:dyDescent="0.3">
      <c r="A3573" t="s">
        <v>3397</v>
      </c>
      <c r="B3573" t="s">
        <v>15323</v>
      </c>
      <c r="C3573" t="s">
        <v>5487</v>
      </c>
      <c r="D3573" t="s">
        <v>4119</v>
      </c>
      <c r="E3573" t="s">
        <v>5843</v>
      </c>
      <c r="F3573" t="s">
        <v>15448</v>
      </c>
      <c r="G3573" t="s">
        <v>15449</v>
      </c>
      <c r="H3573" t="s">
        <v>5474</v>
      </c>
      <c r="I3573" t="s">
        <v>15450</v>
      </c>
      <c r="J3573" t="s">
        <v>5476</v>
      </c>
      <c r="K3573" t="s">
        <v>15451</v>
      </c>
      <c r="L3573" t="s">
        <v>5471</v>
      </c>
      <c r="M3573" t="s">
        <v>5471</v>
      </c>
    </row>
    <row r="3574" spans="1:13" x14ac:dyDescent="0.3">
      <c r="A3574" t="s">
        <v>3397</v>
      </c>
      <c r="B3574" t="s">
        <v>15323</v>
      </c>
      <c r="C3574" t="s">
        <v>5487</v>
      </c>
      <c r="D3574" t="s">
        <v>4119</v>
      </c>
      <c r="E3574" t="s">
        <v>5843</v>
      </c>
      <c r="F3574" t="s">
        <v>15452</v>
      </c>
      <c r="G3574" t="s">
        <v>15449</v>
      </c>
      <c r="H3574" t="s">
        <v>5474</v>
      </c>
      <c r="I3574" t="s">
        <v>15453</v>
      </c>
      <c r="J3574" t="s">
        <v>5476</v>
      </c>
      <c r="K3574" t="s">
        <v>15454</v>
      </c>
      <c r="L3574" t="s">
        <v>5471</v>
      </c>
      <c r="M3574" t="s">
        <v>5471</v>
      </c>
    </row>
    <row r="3575" spans="1:13" x14ac:dyDescent="0.3">
      <c r="A3575" t="s">
        <v>3397</v>
      </c>
      <c r="B3575" t="s">
        <v>15323</v>
      </c>
      <c r="C3575" t="s">
        <v>5487</v>
      </c>
      <c r="D3575" t="s">
        <v>4119</v>
      </c>
      <c r="E3575" t="s">
        <v>5843</v>
      </c>
      <c r="F3575" t="s">
        <v>15455</v>
      </c>
      <c r="G3575" t="s">
        <v>15456</v>
      </c>
      <c r="H3575" t="s">
        <v>5474</v>
      </c>
      <c r="I3575" t="s">
        <v>15457</v>
      </c>
      <c r="J3575" t="s">
        <v>5476</v>
      </c>
      <c r="K3575" t="s">
        <v>15458</v>
      </c>
      <c r="L3575" t="s">
        <v>5471</v>
      </c>
      <c r="M3575" t="s">
        <v>5471</v>
      </c>
    </row>
    <row r="3576" spans="1:13" x14ac:dyDescent="0.3">
      <c r="A3576" t="s">
        <v>3397</v>
      </c>
      <c r="B3576" t="s">
        <v>15323</v>
      </c>
      <c r="C3576" t="s">
        <v>5487</v>
      </c>
      <c r="D3576" t="s">
        <v>4119</v>
      </c>
      <c r="E3576" t="s">
        <v>5843</v>
      </c>
      <c r="F3576" t="s">
        <v>15459</v>
      </c>
      <c r="G3576" t="s">
        <v>15456</v>
      </c>
      <c r="H3576" t="s">
        <v>5474</v>
      </c>
      <c r="I3576" t="s">
        <v>15460</v>
      </c>
      <c r="J3576" t="s">
        <v>5476</v>
      </c>
      <c r="K3576" t="s">
        <v>15461</v>
      </c>
      <c r="L3576" t="s">
        <v>5471</v>
      </c>
      <c r="M3576" t="s">
        <v>5471</v>
      </c>
    </row>
    <row r="3577" spans="1:13" x14ac:dyDescent="0.3">
      <c r="A3577" t="s">
        <v>3397</v>
      </c>
      <c r="B3577" t="s">
        <v>15323</v>
      </c>
      <c r="C3577" t="s">
        <v>5487</v>
      </c>
      <c r="D3577" t="s">
        <v>4119</v>
      </c>
      <c r="E3577" t="s">
        <v>5532</v>
      </c>
      <c r="F3577" t="s">
        <v>15462</v>
      </c>
      <c r="G3577" t="s">
        <v>15400</v>
      </c>
      <c r="H3577" t="s">
        <v>5474</v>
      </c>
      <c r="I3577" t="s">
        <v>15463</v>
      </c>
      <c r="J3577" t="s">
        <v>5476</v>
      </c>
      <c r="K3577" t="s">
        <v>15464</v>
      </c>
      <c r="L3577" t="s">
        <v>5471</v>
      </c>
      <c r="M3577" t="s">
        <v>5471</v>
      </c>
    </row>
    <row r="3578" spans="1:13" x14ac:dyDescent="0.3">
      <c r="A3578" t="s">
        <v>3397</v>
      </c>
      <c r="B3578" t="s">
        <v>15323</v>
      </c>
      <c r="C3578" t="s">
        <v>5487</v>
      </c>
      <c r="D3578" t="s">
        <v>4119</v>
      </c>
      <c r="E3578" t="s">
        <v>5532</v>
      </c>
      <c r="F3578" t="s">
        <v>13782</v>
      </c>
      <c r="G3578" t="s">
        <v>13783</v>
      </c>
      <c r="H3578" t="s">
        <v>5474</v>
      </c>
      <c r="I3578" t="s">
        <v>15465</v>
      </c>
      <c r="J3578" t="s">
        <v>5476</v>
      </c>
      <c r="K3578" t="s">
        <v>13785</v>
      </c>
      <c r="L3578" t="s">
        <v>5471</v>
      </c>
      <c r="M3578" t="s">
        <v>5471</v>
      </c>
    </row>
    <row r="3579" spans="1:13" x14ac:dyDescent="0.3">
      <c r="A3579" t="s">
        <v>3397</v>
      </c>
      <c r="B3579" t="s">
        <v>15323</v>
      </c>
      <c r="C3579" t="s">
        <v>5487</v>
      </c>
      <c r="D3579" t="s">
        <v>4119</v>
      </c>
      <c r="E3579" t="s">
        <v>5532</v>
      </c>
      <c r="F3579" t="s">
        <v>15466</v>
      </c>
      <c r="G3579" t="s">
        <v>15325</v>
      </c>
      <c r="H3579" t="s">
        <v>5474</v>
      </c>
      <c r="I3579" t="s">
        <v>15467</v>
      </c>
      <c r="J3579" t="s">
        <v>5476</v>
      </c>
      <c r="K3579" t="s">
        <v>15468</v>
      </c>
      <c r="L3579" t="s">
        <v>5471</v>
      </c>
      <c r="M3579" t="s">
        <v>5471</v>
      </c>
    </row>
    <row r="3580" spans="1:13" x14ac:dyDescent="0.3">
      <c r="A3580" t="s">
        <v>3397</v>
      </c>
      <c r="B3580" t="s">
        <v>15323</v>
      </c>
      <c r="C3580" t="s">
        <v>5487</v>
      </c>
      <c r="D3580" t="s">
        <v>4119</v>
      </c>
      <c r="E3580" t="s">
        <v>5532</v>
      </c>
      <c r="F3580" t="s">
        <v>15469</v>
      </c>
      <c r="G3580" t="s">
        <v>15389</v>
      </c>
      <c r="H3580" t="s">
        <v>5474</v>
      </c>
      <c r="I3580" t="s">
        <v>15470</v>
      </c>
      <c r="J3580" t="s">
        <v>5476</v>
      </c>
      <c r="K3580" t="s">
        <v>15471</v>
      </c>
      <c r="L3580" t="s">
        <v>5471</v>
      </c>
      <c r="M3580" t="s">
        <v>5471</v>
      </c>
    </row>
    <row r="3581" spans="1:13" x14ac:dyDescent="0.3">
      <c r="A3581" t="s">
        <v>3397</v>
      </c>
      <c r="B3581" t="s">
        <v>15323</v>
      </c>
      <c r="C3581" t="s">
        <v>5487</v>
      </c>
      <c r="D3581" t="s">
        <v>4119</v>
      </c>
      <c r="E3581" t="s">
        <v>5532</v>
      </c>
      <c r="F3581" t="s">
        <v>15472</v>
      </c>
      <c r="G3581" t="s">
        <v>15404</v>
      </c>
      <c r="H3581" t="s">
        <v>5474</v>
      </c>
      <c r="I3581" t="s">
        <v>15473</v>
      </c>
      <c r="J3581" t="s">
        <v>5476</v>
      </c>
      <c r="K3581" t="s">
        <v>15474</v>
      </c>
      <c r="L3581" t="s">
        <v>5471</v>
      </c>
      <c r="M3581" t="s">
        <v>5471</v>
      </c>
    </row>
    <row r="3582" spans="1:13" x14ac:dyDescent="0.3">
      <c r="A3582" t="s">
        <v>3397</v>
      </c>
      <c r="B3582" t="s">
        <v>15323</v>
      </c>
      <c r="C3582" t="s">
        <v>5487</v>
      </c>
      <c r="D3582" t="s">
        <v>4119</v>
      </c>
      <c r="E3582" t="s">
        <v>5532</v>
      </c>
      <c r="F3582" t="s">
        <v>15475</v>
      </c>
      <c r="G3582" t="s">
        <v>15476</v>
      </c>
      <c r="H3582" t="s">
        <v>5474</v>
      </c>
      <c r="I3582" t="s">
        <v>15477</v>
      </c>
      <c r="J3582" t="s">
        <v>5476</v>
      </c>
      <c r="K3582" t="s">
        <v>15478</v>
      </c>
      <c r="L3582" t="s">
        <v>5471</v>
      </c>
      <c r="M3582" t="s">
        <v>5471</v>
      </c>
    </row>
    <row r="3583" spans="1:13" x14ac:dyDescent="0.3">
      <c r="A3583" t="s">
        <v>3397</v>
      </c>
      <c r="B3583" t="s">
        <v>15323</v>
      </c>
      <c r="C3583" t="s">
        <v>5487</v>
      </c>
      <c r="D3583" t="s">
        <v>4119</v>
      </c>
      <c r="E3583" t="s">
        <v>5532</v>
      </c>
      <c r="F3583" t="s">
        <v>15479</v>
      </c>
      <c r="G3583" t="s">
        <v>15385</v>
      </c>
      <c r="H3583" t="s">
        <v>5474</v>
      </c>
      <c r="I3583" t="s">
        <v>15480</v>
      </c>
      <c r="J3583" t="s">
        <v>5476</v>
      </c>
      <c r="K3583" t="s">
        <v>15481</v>
      </c>
      <c r="L3583" t="s">
        <v>5471</v>
      </c>
      <c r="M3583" t="s">
        <v>5471</v>
      </c>
    </row>
    <row r="3584" spans="1:13" x14ac:dyDescent="0.3">
      <c r="A3584" t="s">
        <v>3397</v>
      </c>
      <c r="B3584" t="s">
        <v>15323</v>
      </c>
      <c r="C3584" t="s">
        <v>5487</v>
      </c>
      <c r="D3584" t="s">
        <v>4119</v>
      </c>
      <c r="E3584" t="s">
        <v>5532</v>
      </c>
      <c r="F3584" t="s">
        <v>14422</v>
      </c>
      <c r="G3584" t="s">
        <v>15338</v>
      </c>
      <c r="H3584" t="s">
        <v>5474</v>
      </c>
      <c r="I3584" t="s">
        <v>15482</v>
      </c>
      <c r="J3584" t="s">
        <v>5476</v>
      </c>
      <c r="K3584" t="s">
        <v>12778</v>
      </c>
      <c r="L3584" t="s">
        <v>5471</v>
      </c>
      <c r="M3584" t="s">
        <v>5471</v>
      </c>
    </row>
    <row r="3585" spans="1:13" x14ac:dyDescent="0.3">
      <c r="A3585" t="s">
        <v>3397</v>
      </c>
      <c r="B3585" t="s">
        <v>15323</v>
      </c>
      <c r="C3585" t="s">
        <v>5487</v>
      </c>
      <c r="D3585" t="s">
        <v>4119</v>
      </c>
      <c r="E3585" t="s">
        <v>5532</v>
      </c>
      <c r="F3585" t="s">
        <v>14424</v>
      </c>
      <c r="G3585" t="s">
        <v>15338</v>
      </c>
      <c r="H3585" t="s">
        <v>5474</v>
      </c>
      <c r="I3585" t="s">
        <v>15483</v>
      </c>
      <c r="J3585" t="s">
        <v>5476</v>
      </c>
      <c r="K3585" t="s">
        <v>12781</v>
      </c>
      <c r="L3585" t="s">
        <v>5471</v>
      </c>
      <c r="M3585" t="s">
        <v>5471</v>
      </c>
    </row>
    <row r="3586" spans="1:13" x14ac:dyDescent="0.3">
      <c r="A3586" t="s">
        <v>3397</v>
      </c>
      <c r="B3586" t="s">
        <v>15323</v>
      </c>
      <c r="C3586" t="s">
        <v>5487</v>
      </c>
      <c r="D3586" t="s">
        <v>4119</v>
      </c>
      <c r="E3586" t="s">
        <v>5532</v>
      </c>
      <c r="F3586" t="s">
        <v>15484</v>
      </c>
      <c r="G3586" t="s">
        <v>15325</v>
      </c>
      <c r="H3586" t="s">
        <v>5474</v>
      </c>
      <c r="I3586" t="s">
        <v>15485</v>
      </c>
      <c r="J3586" t="s">
        <v>5476</v>
      </c>
      <c r="K3586" t="s">
        <v>15486</v>
      </c>
      <c r="L3586" t="s">
        <v>5471</v>
      </c>
      <c r="M3586" t="s">
        <v>5471</v>
      </c>
    </row>
    <row r="3587" spans="1:13" x14ac:dyDescent="0.3">
      <c r="A3587" t="s">
        <v>3397</v>
      </c>
      <c r="B3587" t="s">
        <v>15323</v>
      </c>
      <c r="C3587" t="s">
        <v>5487</v>
      </c>
      <c r="D3587" t="s">
        <v>4119</v>
      </c>
      <c r="E3587" t="s">
        <v>5532</v>
      </c>
      <c r="F3587" t="s">
        <v>15487</v>
      </c>
      <c r="G3587" t="s">
        <v>15389</v>
      </c>
      <c r="H3587" t="s">
        <v>5474</v>
      </c>
      <c r="I3587" t="s">
        <v>15488</v>
      </c>
      <c r="J3587" t="s">
        <v>5476</v>
      </c>
      <c r="K3587" t="s">
        <v>15489</v>
      </c>
      <c r="L3587" t="s">
        <v>5471</v>
      </c>
      <c r="M3587" t="s">
        <v>5471</v>
      </c>
    </row>
    <row r="3588" spans="1:13" x14ac:dyDescent="0.3">
      <c r="A3588" t="s">
        <v>3397</v>
      </c>
      <c r="B3588" t="s">
        <v>15323</v>
      </c>
      <c r="C3588" t="s">
        <v>5487</v>
      </c>
      <c r="D3588" t="s">
        <v>4119</v>
      </c>
      <c r="E3588" t="s">
        <v>5532</v>
      </c>
      <c r="F3588" t="s">
        <v>15490</v>
      </c>
      <c r="G3588" t="s">
        <v>15338</v>
      </c>
      <c r="H3588" t="s">
        <v>5474</v>
      </c>
      <c r="I3588" t="s">
        <v>15491</v>
      </c>
      <c r="J3588" t="s">
        <v>5476</v>
      </c>
      <c r="K3588" t="s">
        <v>15492</v>
      </c>
      <c r="L3588" t="s">
        <v>5471</v>
      </c>
      <c r="M3588" t="s">
        <v>5471</v>
      </c>
    </row>
    <row r="3589" spans="1:13" x14ac:dyDescent="0.3">
      <c r="A3589" t="s">
        <v>3397</v>
      </c>
      <c r="B3589" t="s">
        <v>15323</v>
      </c>
      <c r="C3589" t="s">
        <v>5487</v>
      </c>
      <c r="D3589" t="s">
        <v>4119</v>
      </c>
      <c r="E3589" t="s">
        <v>5843</v>
      </c>
      <c r="F3589" t="s">
        <v>15493</v>
      </c>
      <c r="G3589" t="s">
        <v>15338</v>
      </c>
      <c r="H3589" t="s">
        <v>5474</v>
      </c>
      <c r="I3589" t="s">
        <v>15494</v>
      </c>
      <c r="J3589" t="s">
        <v>5476</v>
      </c>
      <c r="K3589" t="s">
        <v>15495</v>
      </c>
      <c r="L3589" t="s">
        <v>5471</v>
      </c>
      <c r="M3589" t="s">
        <v>5471</v>
      </c>
    </row>
    <row r="3590" spans="1:13" x14ac:dyDescent="0.3">
      <c r="A3590" t="s">
        <v>3397</v>
      </c>
      <c r="B3590" t="s">
        <v>15323</v>
      </c>
      <c r="C3590" t="s">
        <v>5487</v>
      </c>
      <c r="D3590" t="s">
        <v>4119</v>
      </c>
      <c r="E3590" t="s">
        <v>5532</v>
      </c>
      <c r="F3590" t="s">
        <v>15496</v>
      </c>
      <c r="G3590" t="s">
        <v>15404</v>
      </c>
      <c r="H3590" t="s">
        <v>5474</v>
      </c>
      <c r="I3590" t="s">
        <v>15497</v>
      </c>
      <c r="J3590" t="s">
        <v>5476</v>
      </c>
      <c r="K3590" t="s">
        <v>15498</v>
      </c>
      <c r="L3590" t="s">
        <v>5471</v>
      </c>
      <c r="M3590" t="s">
        <v>5471</v>
      </c>
    </row>
    <row r="3591" spans="1:13" x14ac:dyDescent="0.3">
      <c r="A3591" t="s">
        <v>3397</v>
      </c>
      <c r="B3591" t="s">
        <v>15323</v>
      </c>
      <c r="C3591" t="s">
        <v>5487</v>
      </c>
      <c r="D3591" t="s">
        <v>4119</v>
      </c>
      <c r="E3591" t="s">
        <v>5532</v>
      </c>
      <c r="F3591" t="s">
        <v>15499</v>
      </c>
      <c r="G3591" t="s">
        <v>15385</v>
      </c>
      <c r="H3591" t="s">
        <v>5474</v>
      </c>
      <c r="I3591" t="s">
        <v>15500</v>
      </c>
      <c r="J3591" t="s">
        <v>5476</v>
      </c>
      <c r="K3591" t="s">
        <v>15501</v>
      </c>
      <c r="L3591" t="s">
        <v>5471</v>
      </c>
      <c r="M3591" t="s">
        <v>5471</v>
      </c>
    </row>
    <row r="3592" spans="1:13" x14ac:dyDescent="0.3">
      <c r="A3592" t="s">
        <v>3397</v>
      </c>
      <c r="B3592" t="s">
        <v>15323</v>
      </c>
      <c r="C3592" t="s">
        <v>5487</v>
      </c>
      <c r="D3592" t="s">
        <v>4119</v>
      </c>
      <c r="E3592" t="s">
        <v>5532</v>
      </c>
      <c r="F3592" t="s">
        <v>15502</v>
      </c>
      <c r="G3592" t="s">
        <v>15503</v>
      </c>
      <c r="H3592" t="s">
        <v>5474</v>
      </c>
      <c r="I3592" t="s">
        <v>15504</v>
      </c>
      <c r="J3592" t="s">
        <v>5476</v>
      </c>
      <c r="K3592" t="s">
        <v>15505</v>
      </c>
      <c r="L3592" t="s">
        <v>5471</v>
      </c>
      <c r="M3592" t="s">
        <v>5471</v>
      </c>
    </row>
    <row r="3593" spans="1:13" x14ac:dyDescent="0.3">
      <c r="A3593" t="s">
        <v>3397</v>
      </c>
      <c r="B3593" t="s">
        <v>15323</v>
      </c>
      <c r="C3593" t="s">
        <v>5487</v>
      </c>
      <c r="D3593" t="s">
        <v>4119</v>
      </c>
      <c r="E3593" t="s">
        <v>5532</v>
      </c>
      <c r="F3593" t="s">
        <v>15506</v>
      </c>
      <c r="G3593" t="s">
        <v>15377</v>
      </c>
      <c r="H3593" t="s">
        <v>5474</v>
      </c>
      <c r="I3593" t="s">
        <v>15507</v>
      </c>
      <c r="J3593" t="s">
        <v>5476</v>
      </c>
      <c r="K3593" t="s">
        <v>15508</v>
      </c>
      <c r="L3593" t="s">
        <v>5471</v>
      </c>
      <c r="M3593" t="s">
        <v>5471</v>
      </c>
    </row>
    <row r="3594" spans="1:13" x14ac:dyDescent="0.3">
      <c r="A3594" t="s">
        <v>3397</v>
      </c>
      <c r="B3594" t="s">
        <v>15323</v>
      </c>
      <c r="C3594" t="s">
        <v>5487</v>
      </c>
      <c r="D3594" t="s">
        <v>4119</v>
      </c>
      <c r="E3594" t="s">
        <v>5843</v>
      </c>
      <c r="F3594" t="s">
        <v>15509</v>
      </c>
      <c r="G3594" t="s">
        <v>15510</v>
      </c>
      <c r="H3594" t="s">
        <v>5474</v>
      </c>
      <c r="I3594" t="s">
        <v>15511</v>
      </c>
      <c r="J3594" t="s">
        <v>5476</v>
      </c>
      <c r="K3594" t="s">
        <v>15512</v>
      </c>
      <c r="L3594" t="s">
        <v>5471</v>
      </c>
      <c r="M3594" t="s">
        <v>5471</v>
      </c>
    </row>
    <row r="3595" spans="1:13" x14ac:dyDescent="0.3">
      <c r="A3595" t="s">
        <v>3397</v>
      </c>
      <c r="B3595" t="s">
        <v>15323</v>
      </c>
      <c r="C3595" t="s">
        <v>5487</v>
      </c>
      <c r="D3595" t="s">
        <v>4119</v>
      </c>
      <c r="E3595" t="s">
        <v>5843</v>
      </c>
      <c r="F3595" t="s">
        <v>15513</v>
      </c>
      <c r="G3595" t="s">
        <v>15456</v>
      </c>
      <c r="H3595" t="s">
        <v>5474</v>
      </c>
      <c r="I3595" t="s">
        <v>15514</v>
      </c>
      <c r="J3595" t="s">
        <v>5476</v>
      </c>
      <c r="K3595" t="s">
        <v>15515</v>
      </c>
      <c r="L3595" t="s">
        <v>5471</v>
      </c>
      <c r="M3595" t="s">
        <v>5471</v>
      </c>
    </row>
    <row r="3596" spans="1:13" x14ac:dyDescent="0.3">
      <c r="A3596" t="s">
        <v>3397</v>
      </c>
      <c r="B3596" t="s">
        <v>15323</v>
      </c>
      <c r="C3596" t="s">
        <v>5487</v>
      </c>
      <c r="D3596" t="s">
        <v>4119</v>
      </c>
      <c r="E3596" t="s">
        <v>5843</v>
      </c>
      <c r="F3596" t="s">
        <v>15516</v>
      </c>
      <c r="G3596" t="s">
        <v>15517</v>
      </c>
      <c r="H3596" t="s">
        <v>5474</v>
      </c>
      <c r="I3596" t="s">
        <v>15518</v>
      </c>
      <c r="J3596" t="s">
        <v>5476</v>
      </c>
      <c r="K3596" t="s">
        <v>15519</v>
      </c>
      <c r="L3596" t="s">
        <v>5471</v>
      </c>
      <c r="M3596" t="s">
        <v>5471</v>
      </c>
    </row>
    <row r="3597" spans="1:13" x14ac:dyDescent="0.3">
      <c r="A3597" t="s">
        <v>3397</v>
      </c>
      <c r="B3597" t="s">
        <v>15323</v>
      </c>
      <c r="C3597" t="s">
        <v>5487</v>
      </c>
      <c r="D3597" t="s">
        <v>4119</v>
      </c>
      <c r="E3597" t="s">
        <v>5843</v>
      </c>
      <c r="F3597" t="s">
        <v>15520</v>
      </c>
      <c r="G3597" t="s">
        <v>15431</v>
      </c>
      <c r="H3597" t="s">
        <v>5474</v>
      </c>
      <c r="I3597" t="s">
        <v>15521</v>
      </c>
      <c r="J3597" t="s">
        <v>5476</v>
      </c>
      <c r="K3597" t="s">
        <v>15522</v>
      </c>
      <c r="L3597" t="s">
        <v>5471</v>
      </c>
      <c r="M3597" t="s">
        <v>5471</v>
      </c>
    </row>
    <row r="3598" spans="1:13" x14ac:dyDescent="0.3">
      <c r="A3598" t="s">
        <v>3397</v>
      </c>
      <c r="B3598" t="s">
        <v>15323</v>
      </c>
      <c r="C3598" t="s">
        <v>5487</v>
      </c>
      <c r="D3598" t="s">
        <v>4119</v>
      </c>
      <c r="E3598" t="s">
        <v>5843</v>
      </c>
      <c r="F3598" t="s">
        <v>15523</v>
      </c>
      <c r="G3598" t="s">
        <v>15445</v>
      </c>
      <c r="H3598" t="s">
        <v>5474</v>
      </c>
      <c r="I3598" t="s">
        <v>15524</v>
      </c>
      <c r="J3598" t="s">
        <v>5476</v>
      </c>
      <c r="K3598" t="s">
        <v>15525</v>
      </c>
      <c r="L3598" t="s">
        <v>5471</v>
      </c>
      <c r="M3598" t="s">
        <v>5471</v>
      </c>
    </row>
    <row r="3599" spans="1:13" x14ac:dyDescent="0.3">
      <c r="A3599" t="s">
        <v>3397</v>
      </c>
      <c r="B3599" t="s">
        <v>15323</v>
      </c>
      <c r="C3599" t="s">
        <v>5487</v>
      </c>
      <c r="D3599" t="s">
        <v>4119</v>
      </c>
      <c r="E3599" t="s">
        <v>5532</v>
      </c>
      <c r="F3599" t="s">
        <v>15526</v>
      </c>
      <c r="G3599" t="s">
        <v>13783</v>
      </c>
      <c r="H3599" t="s">
        <v>5474</v>
      </c>
      <c r="I3599" t="s">
        <v>15527</v>
      </c>
      <c r="J3599" t="s">
        <v>5476</v>
      </c>
      <c r="K3599" t="s">
        <v>15528</v>
      </c>
      <c r="L3599" t="s">
        <v>5471</v>
      </c>
      <c r="M3599" t="s">
        <v>5471</v>
      </c>
    </row>
    <row r="3600" spans="1:13" x14ac:dyDescent="0.3">
      <c r="A3600" t="s">
        <v>3397</v>
      </c>
      <c r="B3600" t="s">
        <v>15323</v>
      </c>
      <c r="C3600" t="s">
        <v>5487</v>
      </c>
      <c r="D3600" t="s">
        <v>4119</v>
      </c>
      <c r="E3600" t="s">
        <v>5532</v>
      </c>
      <c r="F3600" t="s">
        <v>15529</v>
      </c>
      <c r="G3600" t="s">
        <v>13776</v>
      </c>
      <c r="H3600" t="s">
        <v>5474</v>
      </c>
      <c r="I3600" t="s">
        <v>15530</v>
      </c>
      <c r="J3600" t="s">
        <v>5476</v>
      </c>
      <c r="K3600" t="s">
        <v>15531</v>
      </c>
      <c r="L3600" t="s">
        <v>5471</v>
      </c>
      <c r="M3600" t="s">
        <v>5471</v>
      </c>
    </row>
    <row r="3601" spans="1:13" x14ac:dyDescent="0.3">
      <c r="A3601" t="s">
        <v>3397</v>
      </c>
      <c r="B3601" t="s">
        <v>15323</v>
      </c>
      <c r="C3601" t="s">
        <v>5487</v>
      </c>
      <c r="D3601" t="s">
        <v>4119</v>
      </c>
      <c r="E3601" t="s">
        <v>5532</v>
      </c>
      <c r="F3601" t="s">
        <v>15532</v>
      </c>
      <c r="G3601" t="s">
        <v>15400</v>
      </c>
      <c r="H3601" t="s">
        <v>5474</v>
      </c>
      <c r="I3601" t="s">
        <v>15533</v>
      </c>
      <c r="J3601" t="s">
        <v>5476</v>
      </c>
      <c r="K3601" t="s">
        <v>15534</v>
      </c>
      <c r="L3601" t="s">
        <v>5471</v>
      </c>
      <c r="M3601" t="s">
        <v>5471</v>
      </c>
    </row>
    <row r="3602" spans="1:13" x14ac:dyDescent="0.3">
      <c r="A3602" t="s">
        <v>3397</v>
      </c>
      <c r="B3602" t="s">
        <v>15323</v>
      </c>
      <c r="C3602" t="s">
        <v>5487</v>
      </c>
      <c r="D3602" t="s">
        <v>4119</v>
      </c>
      <c r="E3602" t="s">
        <v>5843</v>
      </c>
      <c r="F3602" t="s">
        <v>15535</v>
      </c>
      <c r="G3602" t="s">
        <v>15438</v>
      </c>
      <c r="H3602" t="s">
        <v>5474</v>
      </c>
      <c r="I3602" t="s">
        <v>15536</v>
      </c>
      <c r="J3602" t="s">
        <v>5476</v>
      </c>
      <c r="K3602" t="s">
        <v>15537</v>
      </c>
      <c r="L3602" t="s">
        <v>5471</v>
      </c>
      <c r="M3602" t="s">
        <v>5471</v>
      </c>
    </row>
    <row r="3603" spans="1:13" x14ac:dyDescent="0.3">
      <c r="A3603" t="s">
        <v>3397</v>
      </c>
      <c r="B3603" t="s">
        <v>15323</v>
      </c>
      <c r="C3603" t="s">
        <v>5487</v>
      </c>
      <c r="D3603" t="s">
        <v>4119</v>
      </c>
      <c r="E3603" t="s">
        <v>5532</v>
      </c>
      <c r="F3603" t="s">
        <v>15538</v>
      </c>
      <c r="G3603" t="s">
        <v>15338</v>
      </c>
      <c r="H3603" t="s">
        <v>5474</v>
      </c>
      <c r="I3603" t="s">
        <v>15539</v>
      </c>
      <c r="J3603" t="s">
        <v>5476</v>
      </c>
      <c r="K3603" t="s">
        <v>9836</v>
      </c>
      <c r="L3603" t="s">
        <v>5471</v>
      </c>
      <c r="M3603" t="s">
        <v>5471</v>
      </c>
    </row>
    <row r="3604" spans="1:13" x14ac:dyDescent="0.3">
      <c r="A3604" t="s">
        <v>3397</v>
      </c>
      <c r="B3604" t="s">
        <v>15323</v>
      </c>
      <c r="C3604" t="s">
        <v>5487</v>
      </c>
      <c r="D3604" t="s">
        <v>4119</v>
      </c>
      <c r="E3604" t="s">
        <v>5532</v>
      </c>
      <c r="F3604" t="s">
        <v>15540</v>
      </c>
      <c r="G3604" t="s">
        <v>15338</v>
      </c>
      <c r="H3604" t="s">
        <v>5474</v>
      </c>
      <c r="I3604" t="s">
        <v>15541</v>
      </c>
      <c r="J3604" t="s">
        <v>5476</v>
      </c>
      <c r="K3604" t="s">
        <v>9836</v>
      </c>
      <c r="L3604" t="s">
        <v>5471</v>
      </c>
      <c r="M3604" t="s">
        <v>5471</v>
      </c>
    </row>
    <row r="3605" spans="1:13" x14ac:dyDescent="0.3">
      <c r="A3605" t="s">
        <v>3397</v>
      </c>
      <c r="B3605" t="s">
        <v>15323</v>
      </c>
      <c r="C3605" t="s">
        <v>5487</v>
      </c>
      <c r="D3605" t="s">
        <v>4119</v>
      </c>
      <c r="E3605" t="s">
        <v>5532</v>
      </c>
      <c r="F3605" t="s">
        <v>15542</v>
      </c>
      <c r="G3605" t="s">
        <v>15338</v>
      </c>
      <c r="H3605" t="s">
        <v>5474</v>
      </c>
      <c r="I3605" t="s">
        <v>15543</v>
      </c>
      <c r="J3605" t="s">
        <v>5476</v>
      </c>
      <c r="K3605" t="s">
        <v>9836</v>
      </c>
      <c r="L3605" t="s">
        <v>5471</v>
      </c>
      <c r="M3605" t="s">
        <v>5471</v>
      </c>
    </row>
    <row r="3606" spans="1:13" x14ac:dyDescent="0.3">
      <c r="A3606" t="s">
        <v>3397</v>
      </c>
      <c r="B3606" t="s">
        <v>15323</v>
      </c>
      <c r="C3606" t="s">
        <v>5487</v>
      </c>
      <c r="D3606" t="s">
        <v>4119</v>
      </c>
      <c r="E3606" t="s">
        <v>5532</v>
      </c>
      <c r="F3606" t="s">
        <v>15544</v>
      </c>
      <c r="G3606" t="s">
        <v>13783</v>
      </c>
      <c r="H3606" t="s">
        <v>5474</v>
      </c>
      <c r="I3606" t="s">
        <v>15545</v>
      </c>
      <c r="J3606" t="s">
        <v>5476</v>
      </c>
      <c r="K3606" t="s">
        <v>13815</v>
      </c>
      <c r="L3606" t="s">
        <v>5471</v>
      </c>
      <c r="M3606" t="s">
        <v>5471</v>
      </c>
    </row>
    <row r="3607" spans="1:13" x14ac:dyDescent="0.3">
      <c r="A3607" t="s">
        <v>3397</v>
      </c>
      <c r="B3607" t="s">
        <v>15323</v>
      </c>
      <c r="C3607" t="s">
        <v>5487</v>
      </c>
      <c r="D3607" t="s">
        <v>4119</v>
      </c>
      <c r="E3607" t="s">
        <v>5532</v>
      </c>
      <c r="F3607" t="s">
        <v>15546</v>
      </c>
      <c r="G3607" t="s">
        <v>15338</v>
      </c>
      <c r="H3607" t="s">
        <v>5474</v>
      </c>
      <c r="I3607" t="s">
        <v>15547</v>
      </c>
      <c r="J3607" t="s">
        <v>5476</v>
      </c>
      <c r="K3607" t="s">
        <v>15548</v>
      </c>
      <c r="L3607" t="s">
        <v>5471</v>
      </c>
      <c r="M3607" t="s">
        <v>5471</v>
      </c>
    </row>
    <row r="3608" spans="1:13" x14ac:dyDescent="0.3">
      <c r="A3608" t="s">
        <v>3397</v>
      </c>
      <c r="B3608" t="s">
        <v>15323</v>
      </c>
      <c r="C3608" t="s">
        <v>5487</v>
      </c>
      <c r="D3608" t="s">
        <v>4119</v>
      </c>
      <c r="E3608" t="s">
        <v>5532</v>
      </c>
      <c r="F3608" t="s">
        <v>15549</v>
      </c>
      <c r="G3608" t="s">
        <v>15338</v>
      </c>
      <c r="H3608" t="s">
        <v>5474</v>
      </c>
      <c r="I3608" t="s">
        <v>15550</v>
      </c>
      <c r="J3608" t="s">
        <v>5476</v>
      </c>
      <c r="K3608" t="s">
        <v>15551</v>
      </c>
      <c r="L3608" t="s">
        <v>5471</v>
      </c>
      <c r="M3608" t="s">
        <v>5471</v>
      </c>
    </row>
    <row r="3609" spans="1:13" x14ac:dyDescent="0.3">
      <c r="A3609" t="s">
        <v>3397</v>
      </c>
      <c r="B3609" t="s">
        <v>15323</v>
      </c>
      <c r="C3609" t="s">
        <v>5487</v>
      </c>
      <c r="D3609" t="s">
        <v>4119</v>
      </c>
      <c r="E3609" t="s">
        <v>5532</v>
      </c>
      <c r="F3609" t="s">
        <v>15552</v>
      </c>
      <c r="G3609" t="s">
        <v>15338</v>
      </c>
      <c r="H3609" t="s">
        <v>5474</v>
      </c>
      <c r="I3609" t="s">
        <v>15553</v>
      </c>
      <c r="J3609" t="s">
        <v>5476</v>
      </c>
      <c r="K3609" t="s">
        <v>15554</v>
      </c>
      <c r="L3609" t="s">
        <v>5471</v>
      </c>
      <c r="M3609" t="s">
        <v>5471</v>
      </c>
    </row>
    <row r="3610" spans="1:13" x14ac:dyDescent="0.3">
      <c r="A3610" t="s">
        <v>3397</v>
      </c>
      <c r="B3610" t="s">
        <v>15323</v>
      </c>
      <c r="C3610" t="s">
        <v>5487</v>
      </c>
      <c r="D3610" t="s">
        <v>4119</v>
      </c>
      <c r="E3610" t="s">
        <v>5532</v>
      </c>
      <c r="F3610" t="s">
        <v>15555</v>
      </c>
      <c r="G3610" t="s">
        <v>15338</v>
      </c>
      <c r="H3610" t="s">
        <v>5474</v>
      </c>
      <c r="I3610" t="s">
        <v>15556</v>
      </c>
      <c r="J3610" t="s">
        <v>5476</v>
      </c>
      <c r="K3610" t="s">
        <v>15557</v>
      </c>
      <c r="L3610" t="s">
        <v>5471</v>
      </c>
      <c r="M3610" t="s">
        <v>5471</v>
      </c>
    </row>
    <row r="3611" spans="1:13" x14ac:dyDescent="0.3">
      <c r="A3611" t="s">
        <v>3397</v>
      </c>
      <c r="B3611" t="s">
        <v>15323</v>
      </c>
      <c r="C3611" t="s">
        <v>5487</v>
      </c>
      <c r="D3611" t="s">
        <v>4119</v>
      </c>
      <c r="E3611" t="s">
        <v>5532</v>
      </c>
      <c r="F3611" t="s">
        <v>15558</v>
      </c>
      <c r="G3611" t="s">
        <v>15338</v>
      </c>
      <c r="H3611" t="s">
        <v>5474</v>
      </c>
      <c r="I3611" t="s">
        <v>15559</v>
      </c>
      <c r="J3611" t="s">
        <v>5476</v>
      </c>
      <c r="K3611" t="s">
        <v>15560</v>
      </c>
      <c r="L3611" t="s">
        <v>5471</v>
      </c>
      <c r="M3611" t="s">
        <v>5471</v>
      </c>
    </row>
    <row r="3612" spans="1:13" x14ac:dyDescent="0.3">
      <c r="A3612" t="s">
        <v>3397</v>
      </c>
      <c r="B3612" t="s">
        <v>15323</v>
      </c>
      <c r="C3612" t="s">
        <v>5487</v>
      </c>
      <c r="D3612" t="s">
        <v>4119</v>
      </c>
      <c r="E3612" t="s">
        <v>5532</v>
      </c>
      <c r="F3612" t="s">
        <v>15561</v>
      </c>
      <c r="G3612" t="s">
        <v>15338</v>
      </c>
      <c r="H3612" t="s">
        <v>5474</v>
      </c>
      <c r="I3612" t="s">
        <v>15562</v>
      </c>
      <c r="J3612" t="s">
        <v>5476</v>
      </c>
      <c r="K3612" t="s">
        <v>15563</v>
      </c>
      <c r="L3612" t="s">
        <v>5471</v>
      </c>
      <c r="M3612" t="s">
        <v>5471</v>
      </c>
    </row>
    <row r="3613" spans="1:13" x14ac:dyDescent="0.3">
      <c r="A3613" t="s">
        <v>3397</v>
      </c>
      <c r="B3613" t="s">
        <v>7424</v>
      </c>
      <c r="C3613" t="s">
        <v>5487</v>
      </c>
      <c r="D3613" t="s">
        <v>4200</v>
      </c>
      <c r="E3613" t="s">
        <v>5756</v>
      </c>
      <c r="F3613" t="s">
        <v>15564</v>
      </c>
      <c r="G3613" t="s">
        <v>13629</v>
      </c>
      <c r="H3613" t="s">
        <v>5474</v>
      </c>
      <c r="I3613" t="s">
        <v>15565</v>
      </c>
      <c r="J3613" t="s">
        <v>5476</v>
      </c>
      <c r="K3613" t="s">
        <v>15566</v>
      </c>
      <c r="L3613" t="s">
        <v>5471</v>
      </c>
      <c r="M3613" t="s">
        <v>5471</v>
      </c>
    </row>
    <row r="3614" spans="1:13" x14ac:dyDescent="0.3">
      <c r="A3614" t="s">
        <v>3397</v>
      </c>
      <c r="B3614" t="s">
        <v>6331</v>
      </c>
      <c r="C3614" t="s">
        <v>5487</v>
      </c>
      <c r="D3614" t="s">
        <v>4058</v>
      </c>
      <c r="E3614" t="s">
        <v>6332</v>
      </c>
      <c r="F3614" t="s">
        <v>15567</v>
      </c>
      <c r="G3614" t="s">
        <v>6427</v>
      </c>
      <c r="H3614" t="s">
        <v>5474</v>
      </c>
      <c r="I3614" t="s">
        <v>15568</v>
      </c>
      <c r="J3614" t="s">
        <v>5476</v>
      </c>
      <c r="K3614" t="s">
        <v>15569</v>
      </c>
      <c r="L3614" t="s">
        <v>5471</v>
      </c>
      <c r="M3614" t="s">
        <v>5471</v>
      </c>
    </row>
    <row r="3615" spans="1:13" x14ac:dyDescent="0.3">
      <c r="A3615" t="s">
        <v>3383</v>
      </c>
      <c r="B3615" t="s">
        <v>5267</v>
      </c>
      <c r="C3615" t="s">
        <v>5487</v>
      </c>
      <c r="D3615" t="s">
        <v>4081</v>
      </c>
      <c r="E3615" t="s">
        <v>5843</v>
      </c>
      <c r="F3615" t="s">
        <v>15570</v>
      </c>
      <c r="G3615" t="s">
        <v>15571</v>
      </c>
      <c r="H3615" t="s">
        <v>5474</v>
      </c>
      <c r="I3615" t="s">
        <v>15572</v>
      </c>
      <c r="J3615" t="s">
        <v>5476</v>
      </c>
      <c r="K3615" t="s">
        <v>15573</v>
      </c>
      <c r="L3615" t="s">
        <v>5471</v>
      </c>
      <c r="M3615" t="s">
        <v>5471</v>
      </c>
    </row>
    <row r="3616" spans="1:13" x14ac:dyDescent="0.3">
      <c r="A3616" t="s">
        <v>3383</v>
      </c>
      <c r="B3616" t="s">
        <v>6022</v>
      </c>
      <c r="C3616" t="s">
        <v>5487</v>
      </c>
      <c r="D3616" t="s">
        <v>9940</v>
      </c>
      <c r="E3616" t="s">
        <v>5532</v>
      </c>
      <c r="F3616" t="s">
        <v>15574</v>
      </c>
      <c r="G3616" t="s">
        <v>15575</v>
      </c>
      <c r="H3616" t="s">
        <v>5474</v>
      </c>
      <c r="I3616" t="s">
        <v>15576</v>
      </c>
      <c r="J3616" t="s">
        <v>5476</v>
      </c>
      <c r="K3616" t="s">
        <v>15577</v>
      </c>
      <c r="L3616" t="s">
        <v>5471</v>
      </c>
      <c r="M3616" t="s">
        <v>5471</v>
      </c>
    </row>
    <row r="3617" spans="1:13" x14ac:dyDescent="0.3">
      <c r="A3617" t="s">
        <v>3383</v>
      </c>
      <c r="B3617" t="s">
        <v>6022</v>
      </c>
      <c r="C3617" t="s">
        <v>5487</v>
      </c>
      <c r="D3617" t="s">
        <v>9940</v>
      </c>
      <c r="E3617" t="s">
        <v>5532</v>
      </c>
      <c r="F3617" t="s">
        <v>15578</v>
      </c>
      <c r="G3617" t="s">
        <v>10937</v>
      </c>
      <c r="H3617" t="s">
        <v>5474</v>
      </c>
      <c r="I3617" t="s">
        <v>15579</v>
      </c>
      <c r="J3617" t="s">
        <v>5476</v>
      </c>
      <c r="K3617" t="s">
        <v>15577</v>
      </c>
      <c r="L3617" t="s">
        <v>5471</v>
      </c>
      <c r="M3617" t="s">
        <v>5471</v>
      </c>
    </row>
    <row r="3618" spans="1:13" x14ac:dyDescent="0.3">
      <c r="A3618" t="s">
        <v>3388</v>
      </c>
      <c r="B3618" t="s">
        <v>15580</v>
      </c>
      <c r="C3618" t="s">
        <v>5470</v>
      </c>
      <c r="D3618" t="s">
        <v>9940</v>
      </c>
      <c r="E3618" t="s">
        <v>5756</v>
      </c>
      <c r="F3618" t="s">
        <v>15581</v>
      </c>
      <c r="G3618" t="s">
        <v>15582</v>
      </c>
      <c r="H3618" t="s">
        <v>5474</v>
      </c>
      <c r="I3618" t="s">
        <v>15583</v>
      </c>
      <c r="J3618" t="s">
        <v>5484</v>
      </c>
      <c r="K3618" t="s">
        <v>15584</v>
      </c>
      <c r="L3618" t="s">
        <v>5471</v>
      </c>
      <c r="M3618" t="s">
        <v>5471</v>
      </c>
    </row>
    <row r="3619" spans="1:13" x14ac:dyDescent="0.3">
      <c r="A3619" t="s">
        <v>3388</v>
      </c>
      <c r="B3619" t="s">
        <v>15580</v>
      </c>
      <c r="C3619" t="s">
        <v>5470</v>
      </c>
      <c r="D3619" t="s">
        <v>9940</v>
      </c>
      <c r="E3619" t="s">
        <v>5756</v>
      </c>
      <c r="F3619" t="s">
        <v>15585</v>
      </c>
      <c r="G3619" t="s">
        <v>10459</v>
      </c>
      <c r="H3619" t="s">
        <v>5474</v>
      </c>
      <c r="I3619" t="s">
        <v>15586</v>
      </c>
      <c r="J3619" t="s">
        <v>5484</v>
      </c>
      <c r="K3619" t="s">
        <v>15587</v>
      </c>
      <c r="L3619" t="s">
        <v>5471</v>
      </c>
      <c r="M3619" t="s">
        <v>5471</v>
      </c>
    </row>
    <row r="3620" spans="1:13" x14ac:dyDescent="0.3">
      <c r="A3620" t="s">
        <v>3388</v>
      </c>
      <c r="B3620" t="s">
        <v>15580</v>
      </c>
      <c r="C3620" t="s">
        <v>5470</v>
      </c>
      <c r="D3620" t="s">
        <v>9940</v>
      </c>
      <c r="E3620" t="s">
        <v>5756</v>
      </c>
      <c r="F3620" t="s">
        <v>15588</v>
      </c>
      <c r="G3620" t="s">
        <v>15589</v>
      </c>
      <c r="H3620" t="s">
        <v>5474</v>
      </c>
      <c r="I3620" t="s">
        <v>15590</v>
      </c>
      <c r="J3620" t="s">
        <v>5484</v>
      </c>
      <c r="K3620" t="s">
        <v>15591</v>
      </c>
      <c r="L3620" t="s">
        <v>5471</v>
      </c>
      <c r="M3620" t="s">
        <v>5471</v>
      </c>
    </row>
    <row r="3621" spans="1:13" x14ac:dyDescent="0.3">
      <c r="A3621" t="s">
        <v>3380</v>
      </c>
      <c r="B3621" t="s">
        <v>15592</v>
      </c>
      <c r="C3621" t="s">
        <v>5487</v>
      </c>
      <c r="D3621" t="s">
        <v>9958</v>
      </c>
      <c r="E3621" t="s">
        <v>5843</v>
      </c>
      <c r="F3621" t="s">
        <v>15593</v>
      </c>
      <c r="G3621" t="s">
        <v>15594</v>
      </c>
      <c r="H3621" t="s">
        <v>5474</v>
      </c>
      <c r="I3621" t="s">
        <v>15595</v>
      </c>
      <c r="J3621" t="s">
        <v>5476</v>
      </c>
      <c r="K3621" t="s">
        <v>10136</v>
      </c>
      <c r="L3621" t="s">
        <v>5471</v>
      </c>
      <c r="M3621" t="s">
        <v>5471</v>
      </c>
    </row>
    <row r="3622" spans="1:13" x14ac:dyDescent="0.3">
      <c r="A3622" t="s">
        <v>3388</v>
      </c>
      <c r="B3622" t="s">
        <v>15596</v>
      </c>
      <c r="C3622" t="s">
        <v>5470</v>
      </c>
      <c r="D3622" t="s">
        <v>9940</v>
      </c>
      <c r="E3622" t="s">
        <v>5756</v>
      </c>
      <c r="F3622" t="s">
        <v>15597</v>
      </c>
      <c r="G3622" t="s">
        <v>5473</v>
      </c>
      <c r="H3622" t="s">
        <v>5474</v>
      </c>
      <c r="I3622" t="s">
        <v>15598</v>
      </c>
      <c r="J3622" t="s">
        <v>5476</v>
      </c>
      <c r="K3622" t="s">
        <v>15599</v>
      </c>
      <c r="L3622" t="s">
        <v>5471</v>
      </c>
      <c r="M3622" t="s">
        <v>5471</v>
      </c>
    </row>
    <row r="3623" spans="1:13" x14ac:dyDescent="0.3">
      <c r="A3623" t="s">
        <v>3380</v>
      </c>
      <c r="B3623" t="s">
        <v>5306</v>
      </c>
      <c r="C3623" t="s">
        <v>6342</v>
      </c>
      <c r="D3623" t="s">
        <v>4081</v>
      </c>
      <c r="E3623" t="s">
        <v>9935</v>
      </c>
      <c r="F3623" t="s">
        <v>15600</v>
      </c>
      <c r="G3623" t="s">
        <v>15601</v>
      </c>
      <c r="H3623" t="s">
        <v>5474</v>
      </c>
      <c r="I3623" t="s">
        <v>15602</v>
      </c>
      <c r="J3623" t="s">
        <v>5476</v>
      </c>
      <c r="K3623" t="s">
        <v>10065</v>
      </c>
      <c r="L3623" t="s">
        <v>5471</v>
      </c>
      <c r="M3623" t="s">
        <v>5471</v>
      </c>
    </row>
    <row r="3624" spans="1:13" x14ac:dyDescent="0.3">
      <c r="A3624" t="s">
        <v>3388</v>
      </c>
      <c r="B3624" t="s">
        <v>15596</v>
      </c>
      <c r="C3624" t="s">
        <v>5470</v>
      </c>
      <c r="D3624" t="s">
        <v>9940</v>
      </c>
      <c r="E3624" t="s">
        <v>5756</v>
      </c>
      <c r="F3624" t="s">
        <v>15603</v>
      </c>
      <c r="G3624" t="s">
        <v>15604</v>
      </c>
      <c r="H3624" t="s">
        <v>5474</v>
      </c>
      <c r="I3624" t="s">
        <v>15605</v>
      </c>
      <c r="J3624" t="s">
        <v>5476</v>
      </c>
      <c r="K3624" t="s">
        <v>15606</v>
      </c>
      <c r="L3624" t="s">
        <v>5471</v>
      </c>
      <c r="M3624" t="s">
        <v>5471</v>
      </c>
    </row>
    <row r="3625" spans="1:13" x14ac:dyDescent="0.3">
      <c r="A3625" t="s">
        <v>3380</v>
      </c>
      <c r="B3625" t="s">
        <v>5306</v>
      </c>
      <c r="C3625" t="s">
        <v>6342</v>
      </c>
      <c r="D3625" t="s">
        <v>4081</v>
      </c>
      <c r="E3625" t="s">
        <v>9935</v>
      </c>
      <c r="F3625" t="s">
        <v>15607</v>
      </c>
      <c r="G3625" t="s">
        <v>15601</v>
      </c>
      <c r="H3625" t="s">
        <v>5474</v>
      </c>
      <c r="I3625" t="s">
        <v>15608</v>
      </c>
      <c r="J3625" t="s">
        <v>5476</v>
      </c>
      <c r="K3625" t="s">
        <v>10068</v>
      </c>
      <c r="L3625" t="s">
        <v>5471</v>
      </c>
      <c r="M3625" t="s">
        <v>5471</v>
      </c>
    </row>
    <row r="3626" spans="1:13" x14ac:dyDescent="0.3">
      <c r="A3626" t="s">
        <v>3380</v>
      </c>
      <c r="B3626" t="s">
        <v>5306</v>
      </c>
      <c r="C3626" t="s">
        <v>6342</v>
      </c>
      <c r="D3626" t="s">
        <v>4081</v>
      </c>
      <c r="E3626" t="s">
        <v>9935</v>
      </c>
      <c r="F3626" t="s">
        <v>15609</v>
      </c>
      <c r="G3626" t="s">
        <v>15601</v>
      </c>
      <c r="H3626" t="s">
        <v>5474</v>
      </c>
      <c r="I3626" t="s">
        <v>15610</v>
      </c>
      <c r="J3626" t="s">
        <v>5476</v>
      </c>
      <c r="K3626" t="s">
        <v>10071</v>
      </c>
      <c r="L3626" t="s">
        <v>5471</v>
      </c>
      <c r="M3626" t="s">
        <v>5471</v>
      </c>
    </row>
    <row r="3627" spans="1:13" x14ac:dyDescent="0.3">
      <c r="A3627" t="s">
        <v>3380</v>
      </c>
      <c r="B3627" t="s">
        <v>10137</v>
      </c>
      <c r="C3627" t="s">
        <v>6342</v>
      </c>
      <c r="D3627" t="s">
        <v>9940</v>
      </c>
      <c r="E3627" t="s">
        <v>9935</v>
      </c>
      <c r="F3627" t="s">
        <v>15611</v>
      </c>
      <c r="G3627" t="s">
        <v>15612</v>
      </c>
      <c r="H3627" t="s">
        <v>5474</v>
      </c>
      <c r="I3627" t="s">
        <v>15613</v>
      </c>
      <c r="J3627" t="s">
        <v>5476</v>
      </c>
      <c r="K3627" t="s">
        <v>9944</v>
      </c>
      <c r="L3627" t="s">
        <v>5471</v>
      </c>
      <c r="M3627" t="s">
        <v>5471</v>
      </c>
    </row>
    <row r="3628" spans="1:13" x14ac:dyDescent="0.3">
      <c r="A3628" t="s">
        <v>3380</v>
      </c>
      <c r="B3628" t="s">
        <v>5261</v>
      </c>
      <c r="C3628" t="s">
        <v>6342</v>
      </c>
      <c r="D3628" t="s">
        <v>4081</v>
      </c>
      <c r="E3628" t="s">
        <v>9935</v>
      </c>
      <c r="F3628" t="s">
        <v>15614</v>
      </c>
      <c r="G3628" t="s">
        <v>15615</v>
      </c>
      <c r="H3628" t="s">
        <v>5474</v>
      </c>
      <c r="I3628" t="s">
        <v>15616</v>
      </c>
      <c r="J3628" t="s">
        <v>5476</v>
      </c>
      <c r="K3628" t="s">
        <v>15617</v>
      </c>
      <c r="L3628" t="s">
        <v>5471</v>
      </c>
      <c r="M3628" t="s">
        <v>5471</v>
      </c>
    </row>
    <row r="3629" spans="1:13" x14ac:dyDescent="0.3">
      <c r="A3629" t="s">
        <v>3388</v>
      </c>
      <c r="B3629" t="s">
        <v>8573</v>
      </c>
      <c r="C3629" t="s">
        <v>5470</v>
      </c>
      <c r="D3629" t="s">
        <v>4119</v>
      </c>
      <c r="E3629" t="s">
        <v>5532</v>
      </c>
      <c r="F3629" t="s">
        <v>15618</v>
      </c>
      <c r="G3629" t="s">
        <v>15619</v>
      </c>
      <c r="H3629" t="s">
        <v>5474</v>
      </c>
      <c r="I3629" t="s">
        <v>15620</v>
      </c>
      <c r="J3629" t="s">
        <v>5476</v>
      </c>
      <c r="K3629" t="s">
        <v>15621</v>
      </c>
      <c r="L3629" t="s">
        <v>5471</v>
      </c>
      <c r="M3629" t="s">
        <v>5471</v>
      </c>
    </row>
    <row r="3630" spans="1:13" x14ac:dyDescent="0.3">
      <c r="A3630" t="s">
        <v>3388</v>
      </c>
      <c r="B3630" t="s">
        <v>8573</v>
      </c>
      <c r="C3630" t="s">
        <v>5470</v>
      </c>
      <c r="D3630" t="s">
        <v>4119</v>
      </c>
      <c r="E3630" t="s">
        <v>5532</v>
      </c>
      <c r="F3630" t="s">
        <v>15622</v>
      </c>
      <c r="G3630" t="s">
        <v>15623</v>
      </c>
      <c r="H3630" t="s">
        <v>5474</v>
      </c>
      <c r="I3630" t="s">
        <v>15624</v>
      </c>
      <c r="J3630" t="s">
        <v>5476</v>
      </c>
      <c r="K3630" t="s">
        <v>15625</v>
      </c>
      <c r="L3630" t="s">
        <v>5471</v>
      </c>
      <c r="M3630" t="s">
        <v>5471</v>
      </c>
    </row>
    <row r="3631" spans="1:13" x14ac:dyDescent="0.3">
      <c r="A3631" t="s">
        <v>3388</v>
      </c>
      <c r="B3631" t="s">
        <v>7088</v>
      </c>
      <c r="C3631" t="s">
        <v>5470</v>
      </c>
      <c r="D3631" t="s">
        <v>4119</v>
      </c>
      <c r="E3631" t="s">
        <v>5532</v>
      </c>
      <c r="F3631" t="s">
        <v>15626</v>
      </c>
      <c r="G3631" t="s">
        <v>15627</v>
      </c>
      <c r="H3631" t="s">
        <v>5474</v>
      </c>
      <c r="I3631" t="s">
        <v>15628</v>
      </c>
      <c r="J3631" t="s">
        <v>5476</v>
      </c>
      <c r="K3631" t="s">
        <v>15629</v>
      </c>
      <c r="L3631" t="s">
        <v>5471</v>
      </c>
      <c r="M3631" t="s">
        <v>5471</v>
      </c>
    </row>
    <row r="3632" spans="1:13" x14ac:dyDescent="0.3">
      <c r="A3632" t="s">
        <v>3388</v>
      </c>
      <c r="B3632" t="s">
        <v>7088</v>
      </c>
      <c r="C3632" t="s">
        <v>5470</v>
      </c>
      <c r="D3632" t="s">
        <v>4119</v>
      </c>
      <c r="E3632" t="s">
        <v>5532</v>
      </c>
      <c r="F3632" t="s">
        <v>15630</v>
      </c>
      <c r="G3632" t="s">
        <v>15631</v>
      </c>
      <c r="H3632" t="s">
        <v>5474</v>
      </c>
      <c r="I3632" t="s">
        <v>15632</v>
      </c>
      <c r="J3632" t="s">
        <v>5476</v>
      </c>
      <c r="K3632" t="s">
        <v>15633</v>
      </c>
      <c r="L3632" t="s">
        <v>5471</v>
      </c>
      <c r="M3632" t="s">
        <v>5471</v>
      </c>
    </row>
    <row r="3633" spans="1:13" x14ac:dyDescent="0.3">
      <c r="A3633" t="s">
        <v>3388</v>
      </c>
      <c r="B3633" t="s">
        <v>7088</v>
      </c>
      <c r="C3633" t="s">
        <v>5470</v>
      </c>
      <c r="D3633" t="s">
        <v>4119</v>
      </c>
      <c r="E3633" t="s">
        <v>5532</v>
      </c>
      <c r="F3633" t="s">
        <v>15634</v>
      </c>
      <c r="G3633" t="s">
        <v>15635</v>
      </c>
      <c r="H3633" t="s">
        <v>5474</v>
      </c>
      <c r="I3633" t="s">
        <v>15636</v>
      </c>
      <c r="J3633" t="s">
        <v>5476</v>
      </c>
      <c r="K3633" t="s">
        <v>15637</v>
      </c>
      <c r="L3633" t="s">
        <v>5471</v>
      </c>
      <c r="M3633" t="s">
        <v>5471</v>
      </c>
    </row>
    <row r="3634" spans="1:13" x14ac:dyDescent="0.3">
      <c r="A3634" t="s">
        <v>3388</v>
      </c>
      <c r="B3634" t="s">
        <v>7088</v>
      </c>
      <c r="C3634" t="s">
        <v>5470</v>
      </c>
      <c r="D3634" t="s">
        <v>4119</v>
      </c>
      <c r="E3634" t="s">
        <v>5532</v>
      </c>
      <c r="F3634" t="s">
        <v>15638</v>
      </c>
      <c r="G3634" t="s">
        <v>15639</v>
      </c>
      <c r="H3634" t="s">
        <v>5474</v>
      </c>
      <c r="I3634" t="s">
        <v>15640</v>
      </c>
      <c r="J3634" t="s">
        <v>5476</v>
      </c>
      <c r="K3634" t="s">
        <v>15641</v>
      </c>
      <c r="L3634" t="s">
        <v>5471</v>
      </c>
      <c r="M3634" t="s">
        <v>5471</v>
      </c>
    </row>
    <row r="3635" spans="1:13" x14ac:dyDescent="0.3">
      <c r="A3635" t="s">
        <v>3388</v>
      </c>
      <c r="B3635" t="s">
        <v>7088</v>
      </c>
      <c r="C3635" t="s">
        <v>5470</v>
      </c>
      <c r="D3635" t="s">
        <v>4119</v>
      </c>
      <c r="E3635" t="s">
        <v>5532</v>
      </c>
      <c r="F3635" t="s">
        <v>15642</v>
      </c>
      <c r="G3635" t="s">
        <v>15643</v>
      </c>
      <c r="H3635" t="s">
        <v>5474</v>
      </c>
      <c r="I3635" t="s">
        <v>15644</v>
      </c>
      <c r="J3635" t="s">
        <v>5476</v>
      </c>
      <c r="K3635" t="s">
        <v>15645</v>
      </c>
      <c r="L3635" t="s">
        <v>5471</v>
      </c>
      <c r="M3635" t="s">
        <v>5471</v>
      </c>
    </row>
    <row r="3636" spans="1:13" x14ac:dyDescent="0.3">
      <c r="A3636" t="s">
        <v>3388</v>
      </c>
      <c r="B3636" t="s">
        <v>7088</v>
      </c>
      <c r="C3636" t="s">
        <v>5470</v>
      </c>
      <c r="D3636" t="s">
        <v>4119</v>
      </c>
      <c r="E3636" t="s">
        <v>5532</v>
      </c>
      <c r="F3636" t="s">
        <v>15646</v>
      </c>
      <c r="G3636" t="s">
        <v>15635</v>
      </c>
      <c r="H3636" t="s">
        <v>5474</v>
      </c>
      <c r="I3636" t="s">
        <v>15647</v>
      </c>
      <c r="J3636" t="s">
        <v>5476</v>
      </c>
      <c r="K3636" t="s">
        <v>15648</v>
      </c>
      <c r="L3636" t="s">
        <v>5471</v>
      </c>
      <c r="M3636" t="s">
        <v>5471</v>
      </c>
    </row>
    <row r="3637" spans="1:13" x14ac:dyDescent="0.3">
      <c r="A3637" t="s">
        <v>3388</v>
      </c>
      <c r="B3637" t="s">
        <v>7088</v>
      </c>
      <c r="C3637" t="s">
        <v>5470</v>
      </c>
      <c r="D3637" t="s">
        <v>4119</v>
      </c>
      <c r="E3637" t="s">
        <v>5532</v>
      </c>
      <c r="F3637" t="s">
        <v>15649</v>
      </c>
      <c r="G3637" t="s">
        <v>15650</v>
      </c>
      <c r="H3637" t="s">
        <v>5474</v>
      </c>
      <c r="I3637" t="s">
        <v>15651</v>
      </c>
      <c r="J3637" t="s">
        <v>5476</v>
      </c>
      <c r="K3637" t="s">
        <v>15652</v>
      </c>
      <c r="L3637" t="s">
        <v>5471</v>
      </c>
      <c r="M3637" t="s">
        <v>5471</v>
      </c>
    </row>
    <row r="3638" spans="1:13" x14ac:dyDescent="0.3">
      <c r="A3638" t="s">
        <v>3388</v>
      </c>
      <c r="B3638" t="s">
        <v>7088</v>
      </c>
      <c r="C3638" t="s">
        <v>5470</v>
      </c>
      <c r="D3638" t="s">
        <v>4119</v>
      </c>
      <c r="E3638" t="s">
        <v>5532</v>
      </c>
      <c r="F3638" t="s">
        <v>15653</v>
      </c>
      <c r="G3638" t="s">
        <v>15627</v>
      </c>
      <c r="H3638" t="s">
        <v>5474</v>
      </c>
      <c r="I3638" t="s">
        <v>15654</v>
      </c>
      <c r="J3638" t="s">
        <v>5476</v>
      </c>
      <c r="K3638" t="s">
        <v>15655</v>
      </c>
      <c r="L3638" t="s">
        <v>5471</v>
      </c>
      <c r="M3638" t="s">
        <v>5471</v>
      </c>
    </row>
    <row r="3639" spans="1:13" x14ac:dyDescent="0.3">
      <c r="A3639" t="s">
        <v>3388</v>
      </c>
      <c r="B3639" t="s">
        <v>7088</v>
      </c>
      <c r="C3639" t="s">
        <v>5470</v>
      </c>
      <c r="D3639" t="s">
        <v>4119</v>
      </c>
      <c r="E3639" t="s">
        <v>5480</v>
      </c>
      <c r="F3639" t="s">
        <v>15656</v>
      </c>
      <c r="G3639" t="s">
        <v>11130</v>
      </c>
      <c r="H3639" t="s">
        <v>5474</v>
      </c>
      <c r="I3639" t="s">
        <v>15657</v>
      </c>
      <c r="J3639" t="s">
        <v>5476</v>
      </c>
      <c r="K3639" t="s">
        <v>15658</v>
      </c>
      <c r="L3639" t="s">
        <v>5471</v>
      </c>
      <c r="M3639" t="s">
        <v>5471</v>
      </c>
    </row>
    <row r="3640" spans="1:13" x14ac:dyDescent="0.3">
      <c r="A3640" t="s">
        <v>3388</v>
      </c>
      <c r="B3640" t="s">
        <v>7088</v>
      </c>
      <c r="C3640" t="s">
        <v>5470</v>
      </c>
      <c r="D3640" t="s">
        <v>4119</v>
      </c>
      <c r="E3640" t="s">
        <v>5480</v>
      </c>
      <c r="F3640" t="s">
        <v>15659</v>
      </c>
      <c r="G3640" t="s">
        <v>11130</v>
      </c>
      <c r="H3640" t="s">
        <v>5474</v>
      </c>
      <c r="I3640" t="s">
        <v>15660</v>
      </c>
      <c r="J3640" t="s">
        <v>5476</v>
      </c>
      <c r="K3640" t="s">
        <v>15658</v>
      </c>
      <c r="L3640" t="s">
        <v>5471</v>
      </c>
      <c r="M3640" t="s">
        <v>5471</v>
      </c>
    </row>
    <row r="3641" spans="1:13" x14ac:dyDescent="0.3">
      <c r="A3641" t="s">
        <v>3388</v>
      </c>
      <c r="B3641" t="s">
        <v>7088</v>
      </c>
      <c r="C3641" t="s">
        <v>5470</v>
      </c>
      <c r="D3641" t="s">
        <v>4119</v>
      </c>
      <c r="E3641" t="s">
        <v>5532</v>
      </c>
      <c r="F3641" t="s">
        <v>15661</v>
      </c>
      <c r="G3641" t="s">
        <v>11130</v>
      </c>
      <c r="H3641" t="s">
        <v>5474</v>
      </c>
      <c r="I3641" t="s">
        <v>15662</v>
      </c>
      <c r="J3641" t="s">
        <v>5476</v>
      </c>
      <c r="K3641" t="s">
        <v>15663</v>
      </c>
      <c r="L3641" t="s">
        <v>5471</v>
      </c>
      <c r="M3641" t="s">
        <v>5471</v>
      </c>
    </row>
    <row r="3642" spans="1:13" x14ac:dyDescent="0.3">
      <c r="A3642" t="s">
        <v>3388</v>
      </c>
      <c r="B3642" t="s">
        <v>7088</v>
      </c>
      <c r="C3642" t="s">
        <v>5470</v>
      </c>
      <c r="D3642" t="s">
        <v>4119</v>
      </c>
      <c r="E3642" t="s">
        <v>5532</v>
      </c>
      <c r="F3642" t="s">
        <v>15664</v>
      </c>
      <c r="G3642" t="s">
        <v>15665</v>
      </c>
      <c r="H3642" t="s">
        <v>5474</v>
      </c>
      <c r="I3642" t="s">
        <v>15666</v>
      </c>
      <c r="J3642" t="s">
        <v>5476</v>
      </c>
      <c r="K3642" t="s">
        <v>15667</v>
      </c>
      <c r="L3642" t="s">
        <v>5471</v>
      </c>
      <c r="M3642" t="s">
        <v>5471</v>
      </c>
    </row>
    <row r="3643" spans="1:13" x14ac:dyDescent="0.3">
      <c r="A3643" t="s">
        <v>3388</v>
      </c>
      <c r="B3643" t="s">
        <v>5956</v>
      </c>
      <c r="C3643" t="s">
        <v>5470</v>
      </c>
      <c r="D3643" t="s">
        <v>4119</v>
      </c>
      <c r="E3643" t="s">
        <v>5532</v>
      </c>
      <c r="F3643" t="s">
        <v>15668</v>
      </c>
      <c r="G3643" t="s">
        <v>15619</v>
      </c>
      <c r="H3643" t="s">
        <v>5474</v>
      </c>
      <c r="I3643" t="s">
        <v>15669</v>
      </c>
      <c r="J3643" t="s">
        <v>5476</v>
      </c>
      <c r="K3643" t="s">
        <v>15670</v>
      </c>
      <c r="L3643" t="s">
        <v>5471</v>
      </c>
      <c r="M3643" t="s">
        <v>5471</v>
      </c>
    </row>
    <row r="3644" spans="1:13" x14ac:dyDescent="0.3">
      <c r="A3644" t="s">
        <v>3388</v>
      </c>
      <c r="B3644" t="s">
        <v>5956</v>
      </c>
      <c r="C3644" t="s">
        <v>5470</v>
      </c>
      <c r="D3644" t="s">
        <v>4119</v>
      </c>
      <c r="E3644" t="s">
        <v>5532</v>
      </c>
      <c r="F3644" t="s">
        <v>15671</v>
      </c>
      <c r="G3644" t="s">
        <v>15623</v>
      </c>
      <c r="H3644" t="s">
        <v>5474</v>
      </c>
      <c r="I3644" t="s">
        <v>15672</v>
      </c>
      <c r="J3644" t="s">
        <v>5476</v>
      </c>
      <c r="K3644" t="s">
        <v>15673</v>
      </c>
      <c r="L3644" t="s">
        <v>5471</v>
      </c>
      <c r="M3644" t="s">
        <v>5471</v>
      </c>
    </row>
    <row r="3645" spans="1:13" x14ac:dyDescent="0.3">
      <c r="A3645" t="s">
        <v>3388</v>
      </c>
      <c r="B3645" t="s">
        <v>5956</v>
      </c>
      <c r="C3645" t="s">
        <v>5470</v>
      </c>
      <c r="D3645" t="s">
        <v>4119</v>
      </c>
      <c r="E3645" t="s">
        <v>5532</v>
      </c>
      <c r="F3645" t="s">
        <v>15674</v>
      </c>
      <c r="G3645" t="s">
        <v>15675</v>
      </c>
      <c r="H3645" t="s">
        <v>5474</v>
      </c>
      <c r="I3645" t="s">
        <v>15676</v>
      </c>
      <c r="J3645" t="s">
        <v>5476</v>
      </c>
      <c r="K3645" t="s">
        <v>15677</v>
      </c>
      <c r="L3645" t="s">
        <v>5471</v>
      </c>
      <c r="M3645" t="s">
        <v>5471</v>
      </c>
    </row>
    <row r="3646" spans="1:13" x14ac:dyDescent="0.3">
      <c r="A3646" t="s">
        <v>3388</v>
      </c>
      <c r="B3646" t="s">
        <v>5956</v>
      </c>
      <c r="C3646" t="s">
        <v>5470</v>
      </c>
      <c r="D3646" t="s">
        <v>4119</v>
      </c>
      <c r="E3646" t="s">
        <v>5532</v>
      </c>
      <c r="F3646" t="s">
        <v>15678</v>
      </c>
      <c r="G3646" t="s">
        <v>10828</v>
      </c>
      <c r="H3646" t="s">
        <v>5474</v>
      </c>
      <c r="I3646" t="s">
        <v>15679</v>
      </c>
      <c r="J3646" t="s">
        <v>5476</v>
      </c>
      <c r="K3646" t="s">
        <v>15680</v>
      </c>
      <c r="L3646" t="s">
        <v>5471</v>
      </c>
      <c r="M3646" t="s">
        <v>5471</v>
      </c>
    </row>
    <row r="3647" spans="1:13" x14ac:dyDescent="0.3">
      <c r="A3647" t="s">
        <v>3388</v>
      </c>
      <c r="B3647" t="s">
        <v>5956</v>
      </c>
      <c r="C3647" t="s">
        <v>5470</v>
      </c>
      <c r="D3647" t="s">
        <v>4119</v>
      </c>
      <c r="E3647" t="s">
        <v>5532</v>
      </c>
      <c r="F3647" t="s">
        <v>15681</v>
      </c>
      <c r="G3647" t="s">
        <v>7096</v>
      </c>
      <c r="H3647" t="s">
        <v>5474</v>
      </c>
      <c r="I3647" t="s">
        <v>15682</v>
      </c>
      <c r="J3647" t="s">
        <v>5476</v>
      </c>
      <c r="K3647" t="s">
        <v>15683</v>
      </c>
      <c r="L3647" t="s">
        <v>5471</v>
      </c>
      <c r="M3647" t="s">
        <v>5471</v>
      </c>
    </row>
    <row r="3648" spans="1:13" x14ac:dyDescent="0.3">
      <c r="A3648" t="s">
        <v>3388</v>
      </c>
      <c r="B3648" t="s">
        <v>5956</v>
      </c>
      <c r="C3648" t="s">
        <v>5470</v>
      </c>
      <c r="D3648" t="s">
        <v>4119</v>
      </c>
      <c r="E3648" t="s">
        <v>5532</v>
      </c>
      <c r="F3648" t="s">
        <v>15684</v>
      </c>
      <c r="G3648" t="s">
        <v>10832</v>
      </c>
      <c r="H3648" t="s">
        <v>5474</v>
      </c>
      <c r="I3648" t="s">
        <v>15685</v>
      </c>
      <c r="J3648" t="s">
        <v>5476</v>
      </c>
      <c r="K3648" t="s">
        <v>15686</v>
      </c>
      <c r="L3648" t="s">
        <v>5471</v>
      </c>
      <c r="M3648" t="s">
        <v>5471</v>
      </c>
    </row>
    <row r="3649" spans="1:13" x14ac:dyDescent="0.3">
      <c r="A3649" t="s">
        <v>3388</v>
      </c>
      <c r="B3649" t="s">
        <v>5956</v>
      </c>
      <c r="C3649" t="s">
        <v>5470</v>
      </c>
      <c r="D3649" t="s">
        <v>4119</v>
      </c>
      <c r="E3649" t="s">
        <v>5532</v>
      </c>
      <c r="F3649" t="s">
        <v>15687</v>
      </c>
      <c r="G3649" t="s">
        <v>10876</v>
      </c>
      <c r="H3649" t="s">
        <v>5474</v>
      </c>
      <c r="I3649" t="s">
        <v>15688</v>
      </c>
      <c r="J3649" t="s">
        <v>5476</v>
      </c>
      <c r="K3649" t="s">
        <v>15689</v>
      </c>
      <c r="L3649" t="s">
        <v>5471</v>
      </c>
      <c r="M3649" t="s">
        <v>5471</v>
      </c>
    </row>
    <row r="3650" spans="1:13" x14ac:dyDescent="0.3">
      <c r="A3650" t="s">
        <v>3388</v>
      </c>
      <c r="B3650" t="s">
        <v>5956</v>
      </c>
      <c r="C3650" t="s">
        <v>5470</v>
      </c>
      <c r="D3650" t="s">
        <v>4119</v>
      </c>
      <c r="E3650" t="s">
        <v>5532</v>
      </c>
      <c r="F3650" t="s">
        <v>15690</v>
      </c>
      <c r="G3650" t="s">
        <v>10876</v>
      </c>
      <c r="H3650" t="s">
        <v>5474</v>
      </c>
      <c r="I3650" t="s">
        <v>15691</v>
      </c>
      <c r="J3650" t="s">
        <v>5476</v>
      </c>
      <c r="K3650" t="s">
        <v>5471</v>
      </c>
      <c r="L3650" t="s">
        <v>5471</v>
      </c>
      <c r="M3650" t="s">
        <v>5471</v>
      </c>
    </row>
    <row r="3651" spans="1:13" x14ac:dyDescent="0.3">
      <c r="A3651" t="s">
        <v>3388</v>
      </c>
      <c r="B3651" t="s">
        <v>5956</v>
      </c>
      <c r="C3651" t="s">
        <v>5470</v>
      </c>
      <c r="D3651" t="s">
        <v>4119</v>
      </c>
      <c r="E3651" t="s">
        <v>5532</v>
      </c>
      <c r="F3651" t="s">
        <v>15692</v>
      </c>
      <c r="G3651" t="s">
        <v>10876</v>
      </c>
      <c r="H3651" t="s">
        <v>5474</v>
      </c>
      <c r="I3651" t="s">
        <v>15693</v>
      </c>
      <c r="J3651" t="s">
        <v>5476</v>
      </c>
      <c r="K3651" t="s">
        <v>15694</v>
      </c>
      <c r="L3651" t="s">
        <v>5471</v>
      </c>
      <c r="M3651" t="s">
        <v>5471</v>
      </c>
    </row>
    <row r="3652" spans="1:13" x14ac:dyDescent="0.3">
      <c r="A3652" t="s">
        <v>3380</v>
      </c>
      <c r="B3652" t="s">
        <v>15695</v>
      </c>
      <c r="C3652" t="s">
        <v>6342</v>
      </c>
      <c r="D3652" t="s">
        <v>9940</v>
      </c>
      <c r="E3652" t="s">
        <v>9935</v>
      </c>
      <c r="F3652" t="s">
        <v>15611</v>
      </c>
      <c r="G3652" t="s">
        <v>15696</v>
      </c>
      <c r="H3652" t="s">
        <v>5474</v>
      </c>
      <c r="I3652" t="s">
        <v>15697</v>
      </c>
      <c r="J3652" t="s">
        <v>5476</v>
      </c>
      <c r="K3652" t="s">
        <v>9944</v>
      </c>
      <c r="L3652" t="s">
        <v>5471</v>
      </c>
      <c r="M3652" t="s">
        <v>5471</v>
      </c>
    </row>
    <row r="3653" spans="1:13" x14ac:dyDescent="0.3">
      <c r="A3653" t="s">
        <v>3380</v>
      </c>
      <c r="B3653" t="s">
        <v>15695</v>
      </c>
      <c r="C3653" t="s">
        <v>6342</v>
      </c>
      <c r="D3653" t="s">
        <v>9940</v>
      </c>
      <c r="E3653" t="s">
        <v>9935</v>
      </c>
      <c r="F3653" t="s">
        <v>15698</v>
      </c>
      <c r="G3653" t="s">
        <v>15696</v>
      </c>
      <c r="H3653" t="s">
        <v>5474</v>
      </c>
      <c r="I3653" t="s">
        <v>15699</v>
      </c>
      <c r="J3653" t="s">
        <v>5476</v>
      </c>
      <c r="K3653" t="s">
        <v>9947</v>
      </c>
      <c r="L3653" t="s">
        <v>5471</v>
      </c>
      <c r="M3653" t="s">
        <v>5471</v>
      </c>
    </row>
    <row r="3654" spans="1:13" x14ac:dyDescent="0.3">
      <c r="A3654" t="s">
        <v>3380</v>
      </c>
      <c r="B3654" t="s">
        <v>15695</v>
      </c>
      <c r="C3654" t="s">
        <v>6342</v>
      </c>
      <c r="D3654" t="s">
        <v>9940</v>
      </c>
      <c r="E3654" t="s">
        <v>9935</v>
      </c>
      <c r="F3654" t="s">
        <v>15700</v>
      </c>
      <c r="G3654" t="s">
        <v>15696</v>
      </c>
      <c r="H3654" t="s">
        <v>5474</v>
      </c>
      <c r="I3654" t="s">
        <v>15701</v>
      </c>
      <c r="J3654" t="s">
        <v>5476</v>
      </c>
      <c r="K3654" t="s">
        <v>9969</v>
      </c>
      <c r="L3654" t="s">
        <v>5471</v>
      </c>
      <c r="M3654" t="s">
        <v>5471</v>
      </c>
    </row>
    <row r="3655" spans="1:13" x14ac:dyDescent="0.3">
      <c r="A3655" t="s">
        <v>3388</v>
      </c>
      <c r="B3655" t="s">
        <v>15702</v>
      </c>
      <c r="C3655" t="s">
        <v>5470</v>
      </c>
      <c r="D3655" t="s">
        <v>4119</v>
      </c>
      <c r="E3655" t="s">
        <v>5532</v>
      </c>
      <c r="F3655" t="s">
        <v>15703</v>
      </c>
      <c r="G3655" t="s">
        <v>15704</v>
      </c>
      <c r="H3655" t="s">
        <v>5474</v>
      </c>
      <c r="I3655" t="s">
        <v>15705</v>
      </c>
      <c r="J3655" t="s">
        <v>5476</v>
      </c>
      <c r="K3655" t="s">
        <v>15706</v>
      </c>
      <c r="L3655" t="s">
        <v>5471</v>
      </c>
      <c r="M3655" t="s">
        <v>5471</v>
      </c>
    </row>
    <row r="3656" spans="1:13" x14ac:dyDescent="0.3">
      <c r="A3656" t="s">
        <v>3388</v>
      </c>
      <c r="B3656" t="s">
        <v>15702</v>
      </c>
      <c r="C3656" t="s">
        <v>5470</v>
      </c>
      <c r="D3656" t="s">
        <v>4119</v>
      </c>
      <c r="E3656" t="s">
        <v>5532</v>
      </c>
      <c r="F3656" t="s">
        <v>15707</v>
      </c>
      <c r="G3656" t="s">
        <v>15708</v>
      </c>
      <c r="H3656" t="s">
        <v>5474</v>
      </c>
      <c r="I3656" t="s">
        <v>15709</v>
      </c>
      <c r="J3656" t="s">
        <v>5476</v>
      </c>
      <c r="K3656" t="s">
        <v>15710</v>
      </c>
      <c r="L3656" t="s">
        <v>5471</v>
      </c>
      <c r="M3656" t="s">
        <v>5471</v>
      </c>
    </row>
    <row r="3657" spans="1:13" x14ac:dyDescent="0.3">
      <c r="A3657" t="s">
        <v>3388</v>
      </c>
      <c r="B3657" t="s">
        <v>6452</v>
      </c>
      <c r="C3657" t="s">
        <v>5470</v>
      </c>
      <c r="D3657" t="s">
        <v>4119</v>
      </c>
      <c r="E3657" t="s">
        <v>5756</v>
      </c>
      <c r="F3657" t="s">
        <v>15711</v>
      </c>
      <c r="G3657" t="s">
        <v>15712</v>
      </c>
      <c r="H3657" t="s">
        <v>5474</v>
      </c>
      <c r="I3657" t="s">
        <v>15713</v>
      </c>
      <c r="J3657" t="s">
        <v>5476</v>
      </c>
      <c r="K3657" t="s">
        <v>15714</v>
      </c>
      <c r="L3657" t="s">
        <v>5471</v>
      </c>
      <c r="M3657" t="s">
        <v>5471</v>
      </c>
    </row>
    <row r="3658" spans="1:13" x14ac:dyDescent="0.3">
      <c r="A3658" t="s">
        <v>3388</v>
      </c>
      <c r="B3658" t="s">
        <v>6452</v>
      </c>
      <c r="C3658" t="s">
        <v>5470</v>
      </c>
      <c r="D3658" t="s">
        <v>4119</v>
      </c>
      <c r="E3658" t="s">
        <v>5532</v>
      </c>
      <c r="F3658" t="s">
        <v>15715</v>
      </c>
      <c r="G3658" t="s">
        <v>15704</v>
      </c>
      <c r="H3658" t="s">
        <v>5474</v>
      </c>
      <c r="I3658" t="s">
        <v>15716</v>
      </c>
      <c r="J3658" t="s">
        <v>5476</v>
      </c>
      <c r="K3658" t="s">
        <v>15717</v>
      </c>
      <c r="L3658" t="s">
        <v>5471</v>
      </c>
      <c r="M3658" t="s">
        <v>5471</v>
      </c>
    </row>
    <row r="3659" spans="1:13" x14ac:dyDescent="0.3">
      <c r="A3659" t="s">
        <v>3388</v>
      </c>
      <c r="B3659" t="s">
        <v>6452</v>
      </c>
      <c r="C3659" t="s">
        <v>5470</v>
      </c>
      <c r="D3659" t="s">
        <v>4119</v>
      </c>
      <c r="E3659" t="s">
        <v>5532</v>
      </c>
      <c r="F3659" t="s">
        <v>15718</v>
      </c>
      <c r="G3659" t="s">
        <v>15708</v>
      </c>
      <c r="H3659" t="s">
        <v>5474</v>
      </c>
      <c r="I3659" t="s">
        <v>15719</v>
      </c>
      <c r="J3659" t="s">
        <v>5476</v>
      </c>
      <c r="K3659" t="s">
        <v>15720</v>
      </c>
      <c r="L3659" t="s">
        <v>5471</v>
      </c>
      <c r="M3659" t="s">
        <v>5471</v>
      </c>
    </row>
    <row r="3660" spans="1:13" x14ac:dyDescent="0.3">
      <c r="A3660" t="s">
        <v>3388</v>
      </c>
      <c r="B3660" t="s">
        <v>6452</v>
      </c>
      <c r="C3660" t="s">
        <v>5470</v>
      </c>
      <c r="D3660" t="s">
        <v>4119</v>
      </c>
      <c r="E3660" t="s">
        <v>5532</v>
      </c>
      <c r="F3660" t="s">
        <v>15721</v>
      </c>
      <c r="G3660" t="s">
        <v>15722</v>
      </c>
      <c r="H3660" t="s">
        <v>5474</v>
      </c>
      <c r="I3660" t="s">
        <v>15723</v>
      </c>
      <c r="J3660" t="s">
        <v>5476</v>
      </c>
      <c r="K3660" t="s">
        <v>15724</v>
      </c>
      <c r="L3660" t="s">
        <v>5471</v>
      </c>
      <c r="M3660" t="s">
        <v>5471</v>
      </c>
    </row>
    <row r="3661" spans="1:13" x14ac:dyDescent="0.3">
      <c r="A3661" t="s">
        <v>3388</v>
      </c>
      <c r="B3661" t="s">
        <v>6452</v>
      </c>
      <c r="C3661" t="s">
        <v>5470</v>
      </c>
      <c r="D3661" t="s">
        <v>4119</v>
      </c>
      <c r="E3661" t="s">
        <v>5756</v>
      </c>
      <c r="F3661" t="s">
        <v>15725</v>
      </c>
      <c r="G3661" t="s">
        <v>15722</v>
      </c>
      <c r="H3661" t="s">
        <v>5474</v>
      </c>
      <c r="I3661" t="s">
        <v>15726</v>
      </c>
      <c r="J3661" t="s">
        <v>5476</v>
      </c>
      <c r="K3661" t="s">
        <v>15727</v>
      </c>
      <c r="L3661" t="s">
        <v>5471</v>
      </c>
      <c r="M3661" t="s">
        <v>5471</v>
      </c>
    </row>
    <row r="3662" spans="1:13" x14ac:dyDescent="0.3">
      <c r="A3662" t="s">
        <v>3388</v>
      </c>
      <c r="B3662" t="s">
        <v>6452</v>
      </c>
      <c r="C3662" t="s">
        <v>5470</v>
      </c>
      <c r="D3662" t="s">
        <v>4119</v>
      </c>
      <c r="E3662" t="s">
        <v>5756</v>
      </c>
      <c r="F3662" t="s">
        <v>15728</v>
      </c>
      <c r="G3662" t="s">
        <v>6322</v>
      </c>
      <c r="H3662" t="s">
        <v>5474</v>
      </c>
      <c r="I3662" t="s">
        <v>15729</v>
      </c>
      <c r="J3662" t="s">
        <v>5476</v>
      </c>
      <c r="K3662" t="s">
        <v>15730</v>
      </c>
      <c r="L3662" t="s">
        <v>5471</v>
      </c>
      <c r="M3662" t="s">
        <v>5471</v>
      </c>
    </row>
    <row r="3663" spans="1:13" x14ac:dyDescent="0.3">
      <c r="A3663" t="s">
        <v>3388</v>
      </c>
      <c r="B3663" t="s">
        <v>6452</v>
      </c>
      <c r="C3663" t="s">
        <v>5470</v>
      </c>
      <c r="D3663" t="s">
        <v>4119</v>
      </c>
      <c r="E3663" t="s">
        <v>5756</v>
      </c>
      <c r="F3663" t="s">
        <v>15731</v>
      </c>
      <c r="G3663" t="s">
        <v>12154</v>
      </c>
      <c r="H3663" t="s">
        <v>5474</v>
      </c>
      <c r="I3663" t="s">
        <v>15732</v>
      </c>
      <c r="J3663" t="s">
        <v>5476</v>
      </c>
      <c r="K3663" t="s">
        <v>15733</v>
      </c>
      <c r="L3663" t="s">
        <v>5471</v>
      </c>
      <c r="M3663" t="s">
        <v>5471</v>
      </c>
    </row>
    <row r="3664" spans="1:13" x14ac:dyDescent="0.3">
      <c r="A3664" t="s">
        <v>3388</v>
      </c>
      <c r="B3664" t="s">
        <v>6452</v>
      </c>
      <c r="C3664" t="s">
        <v>5470</v>
      </c>
      <c r="D3664" t="s">
        <v>4119</v>
      </c>
      <c r="E3664" t="s">
        <v>5756</v>
      </c>
      <c r="F3664" t="s">
        <v>15734</v>
      </c>
      <c r="G3664" t="s">
        <v>6322</v>
      </c>
      <c r="H3664" t="s">
        <v>5474</v>
      </c>
      <c r="I3664" t="s">
        <v>15735</v>
      </c>
      <c r="J3664" t="s">
        <v>5476</v>
      </c>
      <c r="K3664" t="s">
        <v>15736</v>
      </c>
      <c r="L3664" t="s">
        <v>5471</v>
      </c>
      <c r="M3664" t="s">
        <v>5471</v>
      </c>
    </row>
    <row r="3665" spans="1:13" x14ac:dyDescent="0.3">
      <c r="A3665" t="s">
        <v>3388</v>
      </c>
      <c r="B3665" t="s">
        <v>6452</v>
      </c>
      <c r="C3665" t="s">
        <v>5470</v>
      </c>
      <c r="D3665" t="s">
        <v>4119</v>
      </c>
      <c r="E3665" t="s">
        <v>5756</v>
      </c>
      <c r="F3665" t="s">
        <v>15737</v>
      </c>
      <c r="G3665" t="s">
        <v>12154</v>
      </c>
      <c r="H3665" t="s">
        <v>5474</v>
      </c>
      <c r="I3665" t="s">
        <v>15738</v>
      </c>
      <c r="J3665" t="s">
        <v>5476</v>
      </c>
      <c r="K3665" t="s">
        <v>15739</v>
      </c>
      <c r="L3665" t="s">
        <v>5471</v>
      </c>
      <c r="M3665" t="s">
        <v>5471</v>
      </c>
    </row>
    <row r="3666" spans="1:13" x14ac:dyDescent="0.3">
      <c r="A3666" t="s">
        <v>3388</v>
      </c>
      <c r="B3666" t="s">
        <v>6452</v>
      </c>
      <c r="C3666" t="s">
        <v>5470</v>
      </c>
      <c r="D3666" t="s">
        <v>4119</v>
      </c>
      <c r="E3666" t="s">
        <v>5756</v>
      </c>
      <c r="F3666" t="s">
        <v>15740</v>
      </c>
      <c r="G3666" t="s">
        <v>15741</v>
      </c>
      <c r="H3666" t="s">
        <v>5474</v>
      </c>
      <c r="I3666" t="s">
        <v>15742</v>
      </c>
      <c r="J3666" t="s">
        <v>5476</v>
      </c>
      <c r="K3666" t="s">
        <v>15743</v>
      </c>
      <c r="L3666" t="s">
        <v>5471</v>
      </c>
      <c r="M3666" t="s">
        <v>5471</v>
      </c>
    </row>
    <row r="3667" spans="1:13" x14ac:dyDescent="0.3">
      <c r="A3667" t="s">
        <v>3388</v>
      </c>
      <c r="B3667" t="s">
        <v>6452</v>
      </c>
      <c r="C3667" t="s">
        <v>5470</v>
      </c>
      <c r="D3667" t="s">
        <v>4119</v>
      </c>
      <c r="E3667" t="s">
        <v>5756</v>
      </c>
      <c r="F3667" t="s">
        <v>15744</v>
      </c>
      <c r="G3667" t="s">
        <v>15745</v>
      </c>
      <c r="H3667" t="s">
        <v>5474</v>
      </c>
      <c r="I3667" t="s">
        <v>15746</v>
      </c>
      <c r="J3667" t="s">
        <v>5476</v>
      </c>
      <c r="K3667" t="s">
        <v>15747</v>
      </c>
      <c r="L3667" t="s">
        <v>5471</v>
      </c>
      <c r="M3667" t="s">
        <v>5471</v>
      </c>
    </row>
    <row r="3668" spans="1:13" x14ac:dyDescent="0.3">
      <c r="A3668" t="s">
        <v>3388</v>
      </c>
      <c r="B3668" t="s">
        <v>6452</v>
      </c>
      <c r="C3668" t="s">
        <v>5470</v>
      </c>
      <c r="D3668" t="s">
        <v>4119</v>
      </c>
      <c r="E3668" t="s">
        <v>5756</v>
      </c>
      <c r="F3668" t="s">
        <v>15748</v>
      </c>
      <c r="G3668" t="s">
        <v>15749</v>
      </c>
      <c r="H3668" t="s">
        <v>5474</v>
      </c>
      <c r="I3668" t="s">
        <v>15750</v>
      </c>
      <c r="J3668" t="s">
        <v>5476</v>
      </c>
      <c r="K3668" t="s">
        <v>15751</v>
      </c>
      <c r="L3668" t="s">
        <v>5471</v>
      </c>
      <c r="M3668" t="s">
        <v>5471</v>
      </c>
    </row>
    <row r="3669" spans="1:13" x14ac:dyDescent="0.3">
      <c r="A3669" t="s">
        <v>3388</v>
      </c>
      <c r="B3669" t="s">
        <v>6452</v>
      </c>
      <c r="C3669" t="s">
        <v>5470</v>
      </c>
      <c r="D3669" t="s">
        <v>4119</v>
      </c>
      <c r="E3669" t="s">
        <v>5756</v>
      </c>
      <c r="F3669" t="s">
        <v>15752</v>
      </c>
      <c r="G3669" t="s">
        <v>15753</v>
      </c>
      <c r="H3669" t="s">
        <v>5474</v>
      </c>
      <c r="I3669" t="s">
        <v>15754</v>
      </c>
      <c r="J3669" t="s">
        <v>5476</v>
      </c>
      <c r="K3669" t="s">
        <v>15755</v>
      </c>
      <c r="L3669" t="s">
        <v>5471</v>
      </c>
      <c r="M3669" t="s">
        <v>5471</v>
      </c>
    </row>
    <row r="3670" spans="1:13" x14ac:dyDescent="0.3">
      <c r="A3670" t="s">
        <v>3388</v>
      </c>
      <c r="B3670" t="s">
        <v>6452</v>
      </c>
      <c r="C3670" t="s">
        <v>5470</v>
      </c>
      <c r="D3670" t="s">
        <v>4119</v>
      </c>
      <c r="E3670" t="s">
        <v>5756</v>
      </c>
      <c r="F3670" t="s">
        <v>15756</v>
      </c>
      <c r="G3670" t="s">
        <v>15722</v>
      </c>
      <c r="H3670" t="s">
        <v>5474</v>
      </c>
      <c r="I3670" t="s">
        <v>15757</v>
      </c>
      <c r="J3670" t="s">
        <v>5476</v>
      </c>
      <c r="K3670" t="s">
        <v>15758</v>
      </c>
      <c r="L3670" t="s">
        <v>5471</v>
      </c>
      <c r="M3670" t="s">
        <v>5471</v>
      </c>
    </row>
    <row r="3671" spans="1:13" x14ac:dyDescent="0.3">
      <c r="A3671" t="s">
        <v>3388</v>
      </c>
      <c r="B3671" t="s">
        <v>6452</v>
      </c>
      <c r="C3671" t="s">
        <v>5470</v>
      </c>
      <c r="D3671" t="s">
        <v>4119</v>
      </c>
      <c r="E3671" t="s">
        <v>5756</v>
      </c>
      <c r="F3671" t="s">
        <v>15759</v>
      </c>
      <c r="G3671" t="s">
        <v>15722</v>
      </c>
      <c r="H3671" t="s">
        <v>5474</v>
      </c>
      <c r="I3671" t="s">
        <v>15760</v>
      </c>
      <c r="J3671" t="s">
        <v>5476</v>
      </c>
      <c r="K3671" t="s">
        <v>15761</v>
      </c>
      <c r="L3671" t="s">
        <v>5471</v>
      </c>
      <c r="M3671" t="s">
        <v>5471</v>
      </c>
    </row>
    <row r="3672" spans="1:13" x14ac:dyDescent="0.3">
      <c r="A3672" t="s">
        <v>3388</v>
      </c>
      <c r="B3672" t="s">
        <v>6452</v>
      </c>
      <c r="C3672" t="s">
        <v>5470</v>
      </c>
      <c r="D3672" t="s">
        <v>4119</v>
      </c>
      <c r="E3672" t="s">
        <v>5756</v>
      </c>
      <c r="F3672" t="s">
        <v>15762</v>
      </c>
      <c r="G3672" t="s">
        <v>15722</v>
      </c>
      <c r="H3672" t="s">
        <v>5474</v>
      </c>
      <c r="I3672" t="s">
        <v>15763</v>
      </c>
      <c r="J3672" t="s">
        <v>5476</v>
      </c>
      <c r="K3672" t="s">
        <v>15764</v>
      </c>
      <c r="L3672" t="s">
        <v>5471</v>
      </c>
      <c r="M3672" t="s">
        <v>5471</v>
      </c>
    </row>
    <row r="3673" spans="1:13" x14ac:dyDescent="0.3">
      <c r="A3673" t="s">
        <v>3388</v>
      </c>
      <c r="B3673" t="s">
        <v>6452</v>
      </c>
      <c r="C3673" t="s">
        <v>5470</v>
      </c>
      <c r="D3673" t="s">
        <v>4119</v>
      </c>
      <c r="E3673" t="s">
        <v>5756</v>
      </c>
      <c r="F3673" t="s">
        <v>15765</v>
      </c>
      <c r="G3673" t="s">
        <v>15766</v>
      </c>
      <c r="H3673" t="s">
        <v>5474</v>
      </c>
      <c r="I3673" t="s">
        <v>15767</v>
      </c>
      <c r="J3673" t="s">
        <v>5476</v>
      </c>
      <c r="K3673" t="s">
        <v>15768</v>
      </c>
      <c r="L3673" t="s">
        <v>5471</v>
      </c>
      <c r="M3673" t="s">
        <v>5471</v>
      </c>
    </row>
    <row r="3674" spans="1:13" x14ac:dyDescent="0.3">
      <c r="A3674" t="s">
        <v>3388</v>
      </c>
      <c r="B3674" t="s">
        <v>6452</v>
      </c>
      <c r="C3674" t="s">
        <v>5470</v>
      </c>
      <c r="D3674" t="s">
        <v>4119</v>
      </c>
      <c r="E3674" t="s">
        <v>5756</v>
      </c>
      <c r="F3674" t="s">
        <v>15769</v>
      </c>
      <c r="G3674" t="s">
        <v>15722</v>
      </c>
      <c r="H3674" t="s">
        <v>5474</v>
      </c>
      <c r="I3674" t="s">
        <v>15770</v>
      </c>
      <c r="J3674" t="s">
        <v>5476</v>
      </c>
      <c r="K3674" t="s">
        <v>15771</v>
      </c>
      <c r="L3674" t="s">
        <v>5471</v>
      </c>
      <c r="M3674" t="s">
        <v>5471</v>
      </c>
    </row>
    <row r="3675" spans="1:13" x14ac:dyDescent="0.3">
      <c r="A3675" t="s">
        <v>3397</v>
      </c>
      <c r="B3675" t="s">
        <v>7424</v>
      </c>
      <c r="C3675" t="s">
        <v>5487</v>
      </c>
      <c r="D3675" t="s">
        <v>4052</v>
      </c>
      <c r="E3675" t="s">
        <v>5756</v>
      </c>
      <c r="F3675" t="s">
        <v>15772</v>
      </c>
      <c r="G3675" t="s">
        <v>13729</v>
      </c>
      <c r="H3675" t="s">
        <v>5474</v>
      </c>
      <c r="I3675" t="s">
        <v>15773</v>
      </c>
      <c r="J3675" t="s">
        <v>5476</v>
      </c>
      <c r="K3675" t="s">
        <v>15774</v>
      </c>
      <c r="L3675" t="s">
        <v>5471</v>
      </c>
      <c r="M3675" t="s">
        <v>5471</v>
      </c>
    </row>
    <row r="3676" spans="1:13" x14ac:dyDescent="0.3">
      <c r="A3676" t="s">
        <v>3397</v>
      </c>
      <c r="B3676" t="s">
        <v>7424</v>
      </c>
      <c r="C3676" t="s">
        <v>5487</v>
      </c>
      <c r="D3676" t="s">
        <v>4052</v>
      </c>
      <c r="E3676" t="s">
        <v>5756</v>
      </c>
      <c r="F3676" t="s">
        <v>15775</v>
      </c>
      <c r="G3676" t="s">
        <v>10239</v>
      </c>
      <c r="H3676" t="s">
        <v>5474</v>
      </c>
      <c r="I3676" t="s">
        <v>15776</v>
      </c>
      <c r="J3676" t="s">
        <v>5476</v>
      </c>
      <c r="K3676" t="s">
        <v>15777</v>
      </c>
      <c r="L3676" t="s">
        <v>5471</v>
      </c>
      <c r="M3676" t="s">
        <v>5471</v>
      </c>
    </row>
    <row r="3677" spans="1:13" x14ac:dyDescent="0.3">
      <c r="A3677" t="s">
        <v>3388</v>
      </c>
      <c r="B3677" t="s">
        <v>10865</v>
      </c>
      <c r="C3677" t="s">
        <v>5470</v>
      </c>
      <c r="D3677" t="s">
        <v>4119</v>
      </c>
      <c r="E3677" t="s">
        <v>5756</v>
      </c>
      <c r="F3677" t="s">
        <v>15778</v>
      </c>
      <c r="G3677" t="s">
        <v>10867</v>
      </c>
      <c r="H3677" t="s">
        <v>5474</v>
      </c>
      <c r="I3677" t="s">
        <v>15779</v>
      </c>
      <c r="J3677" t="s">
        <v>5476</v>
      </c>
      <c r="K3677" t="s">
        <v>15780</v>
      </c>
      <c r="L3677" t="s">
        <v>5471</v>
      </c>
      <c r="M3677" t="s">
        <v>5471</v>
      </c>
    </row>
    <row r="3678" spans="1:13" x14ac:dyDescent="0.3">
      <c r="A3678" t="s">
        <v>3388</v>
      </c>
      <c r="B3678" t="s">
        <v>10865</v>
      </c>
      <c r="C3678" t="s">
        <v>5470</v>
      </c>
      <c r="D3678" t="s">
        <v>4119</v>
      </c>
      <c r="E3678" t="s">
        <v>5756</v>
      </c>
      <c r="F3678" t="s">
        <v>15781</v>
      </c>
      <c r="G3678" t="s">
        <v>15782</v>
      </c>
      <c r="H3678" t="s">
        <v>5474</v>
      </c>
      <c r="I3678" t="s">
        <v>15783</v>
      </c>
      <c r="J3678" t="s">
        <v>5476</v>
      </c>
      <c r="K3678" t="s">
        <v>15784</v>
      </c>
      <c r="L3678" t="s">
        <v>5471</v>
      </c>
      <c r="M3678" t="s">
        <v>5471</v>
      </c>
    </row>
    <row r="3679" spans="1:13" x14ac:dyDescent="0.3">
      <c r="A3679" t="s">
        <v>3388</v>
      </c>
      <c r="B3679" t="s">
        <v>10865</v>
      </c>
      <c r="C3679" t="s">
        <v>5470</v>
      </c>
      <c r="D3679" t="s">
        <v>4119</v>
      </c>
      <c r="E3679" t="s">
        <v>5756</v>
      </c>
      <c r="F3679" t="s">
        <v>15785</v>
      </c>
      <c r="G3679" t="s">
        <v>15786</v>
      </c>
      <c r="H3679" t="s">
        <v>5474</v>
      </c>
      <c r="I3679" t="s">
        <v>15787</v>
      </c>
      <c r="J3679" t="s">
        <v>5476</v>
      </c>
      <c r="K3679" t="s">
        <v>15788</v>
      </c>
      <c r="L3679" t="s">
        <v>5471</v>
      </c>
      <c r="M3679" t="s">
        <v>5471</v>
      </c>
    </row>
    <row r="3680" spans="1:13" x14ac:dyDescent="0.3">
      <c r="A3680" t="s">
        <v>3388</v>
      </c>
      <c r="B3680" t="s">
        <v>10865</v>
      </c>
      <c r="C3680" t="s">
        <v>5470</v>
      </c>
      <c r="D3680" t="s">
        <v>4119</v>
      </c>
      <c r="E3680" t="s">
        <v>5532</v>
      </c>
      <c r="F3680" t="s">
        <v>15789</v>
      </c>
      <c r="G3680" t="s">
        <v>15790</v>
      </c>
      <c r="H3680" t="s">
        <v>5474</v>
      </c>
      <c r="I3680" t="s">
        <v>15791</v>
      </c>
      <c r="J3680" t="s">
        <v>5476</v>
      </c>
      <c r="K3680" t="s">
        <v>15792</v>
      </c>
      <c r="L3680" t="s">
        <v>5471</v>
      </c>
      <c r="M3680" t="s">
        <v>5471</v>
      </c>
    </row>
    <row r="3681" spans="1:13" x14ac:dyDescent="0.3">
      <c r="A3681" t="s">
        <v>3388</v>
      </c>
      <c r="B3681" t="s">
        <v>10865</v>
      </c>
      <c r="C3681" t="s">
        <v>5470</v>
      </c>
      <c r="D3681" t="s">
        <v>4119</v>
      </c>
      <c r="E3681" t="s">
        <v>5532</v>
      </c>
      <c r="F3681" t="s">
        <v>15793</v>
      </c>
      <c r="G3681" t="s">
        <v>15794</v>
      </c>
      <c r="H3681" t="s">
        <v>5474</v>
      </c>
      <c r="I3681" t="s">
        <v>15795</v>
      </c>
      <c r="J3681" t="s">
        <v>5476</v>
      </c>
      <c r="K3681" t="s">
        <v>15796</v>
      </c>
      <c r="L3681" t="s">
        <v>5471</v>
      </c>
      <c r="M3681" t="s">
        <v>5471</v>
      </c>
    </row>
    <row r="3682" spans="1:13" x14ac:dyDescent="0.3">
      <c r="A3682" t="s">
        <v>3388</v>
      </c>
      <c r="B3682" t="s">
        <v>10865</v>
      </c>
      <c r="C3682" t="s">
        <v>5470</v>
      </c>
      <c r="D3682" t="s">
        <v>4119</v>
      </c>
      <c r="E3682" t="s">
        <v>5532</v>
      </c>
      <c r="F3682" t="s">
        <v>15797</v>
      </c>
      <c r="G3682" t="s">
        <v>15798</v>
      </c>
      <c r="H3682" t="s">
        <v>5474</v>
      </c>
      <c r="I3682" t="s">
        <v>15799</v>
      </c>
      <c r="J3682" t="s">
        <v>5476</v>
      </c>
      <c r="K3682" t="s">
        <v>15800</v>
      </c>
      <c r="L3682" t="s">
        <v>5471</v>
      </c>
      <c r="M3682" t="s">
        <v>5471</v>
      </c>
    </row>
    <row r="3683" spans="1:13" x14ac:dyDescent="0.3">
      <c r="A3683" t="s">
        <v>3388</v>
      </c>
      <c r="B3683" t="s">
        <v>10865</v>
      </c>
      <c r="C3683" t="s">
        <v>5470</v>
      </c>
      <c r="D3683" t="s">
        <v>4119</v>
      </c>
      <c r="E3683" t="s">
        <v>5532</v>
      </c>
      <c r="F3683" t="s">
        <v>15801</v>
      </c>
      <c r="G3683" t="s">
        <v>15802</v>
      </c>
      <c r="H3683" t="s">
        <v>5474</v>
      </c>
      <c r="I3683" t="s">
        <v>15803</v>
      </c>
      <c r="J3683" t="s">
        <v>5476</v>
      </c>
      <c r="K3683" t="s">
        <v>15804</v>
      </c>
      <c r="L3683" t="s">
        <v>5471</v>
      </c>
      <c r="M3683" t="s">
        <v>5471</v>
      </c>
    </row>
    <row r="3684" spans="1:13" x14ac:dyDescent="0.3">
      <c r="A3684" t="s">
        <v>3388</v>
      </c>
      <c r="B3684" t="s">
        <v>10865</v>
      </c>
      <c r="C3684" t="s">
        <v>5470</v>
      </c>
      <c r="D3684" t="s">
        <v>4119</v>
      </c>
      <c r="E3684" t="s">
        <v>5532</v>
      </c>
      <c r="F3684" t="s">
        <v>15805</v>
      </c>
      <c r="G3684" t="s">
        <v>15806</v>
      </c>
      <c r="H3684" t="s">
        <v>5474</v>
      </c>
      <c r="I3684" t="s">
        <v>15807</v>
      </c>
      <c r="J3684" t="s">
        <v>5476</v>
      </c>
      <c r="K3684" t="s">
        <v>15808</v>
      </c>
      <c r="L3684" t="s">
        <v>5471</v>
      </c>
      <c r="M3684" t="s">
        <v>5471</v>
      </c>
    </row>
    <row r="3685" spans="1:13" x14ac:dyDescent="0.3">
      <c r="A3685" t="s">
        <v>3380</v>
      </c>
      <c r="B3685" t="s">
        <v>10137</v>
      </c>
      <c r="C3685" t="s">
        <v>6342</v>
      </c>
      <c r="D3685" t="s">
        <v>4058</v>
      </c>
      <c r="E3685" t="s">
        <v>5532</v>
      </c>
      <c r="F3685" t="s">
        <v>15809</v>
      </c>
      <c r="G3685" t="s">
        <v>10145</v>
      </c>
      <c r="H3685" t="s">
        <v>5474</v>
      </c>
      <c r="I3685" t="s">
        <v>15810</v>
      </c>
      <c r="J3685" t="s">
        <v>5476</v>
      </c>
      <c r="K3685" t="s">
        <v>15811</v>
      </c>
      <c r="L3685" t="s">
        <v>9709</v>
      </c>
      <c r="M3685" t="s">
        <v>5471</v>
      </c>
    </row>
    <row r="3686" spans="1:13" x14ac:dyDescent="0.3">
      <c r="A3686" t="s">
        <v>3388</v>
      </c>
      <c r="B3686" t="s">
        <v>10865</v>
      </c>
      <c r="C3686" t="s">
        <v>5470</v>
      </c>
      <c r="D3686" t="s">
        <v>4119</v>
      </c>
      <c r="E3686" t="s">
        <v>5532</v>
      </c>
      <c r="F3686" t="s">
        <v>15812</v>
      </c>
      <c r="G3686" t="s">
        <v>15813</v>
      </c>
      <c r="H3686" t="s">
        <v>5474</v>
      </c>
      <c r="I3686" t="s">
        <v>15814</v>
      </c>
      <c r="J3686" t="s">
        <v>5476</v>
      </c>
      <c r="K3686" t="s">
        <v>15815</v>
      </c>
      <c r="L3686" t="s">
        <v>5471</v>
      </c>
      <c r="M3686" t="s">
        <v>5471</v>
      </c>
    </row>
    <row r="3687" spans="1:13" x14ac:dyDescent="0.3">
      <c r="A3687" t="s">
        <v>3388</v>
      </c>
      <c r="B3687" t="s">
        <v>10865</v>
      </c>
      <c r="C3687" t="s">
        <v>5470</v>
      </c>
      <c r="D3687" t="s">
        <v>4119</v>
      </c>
      <c r="E3687" t="s">
        <v>5756</v>
      </c>
      <c r="F3687" t="s">
        <v>15816</v>
      </c>
      <c r="G3687" t="s">
        <v>15813</v>
      </c>
      <c r="H3687" t="s">
        <v>5474</v>
      </c>
      <c r="I3687" t="s">
        <v>15817</v>
      </c>
      <c r="J3687" t="s">
        <v>5476</v>
      </c>
      <c r="K3687" t="s">
        <v>15818</v>
      </c>
      <c r="L3687" t="s">
        <v>5471</v>
      </c>
      <c r="M3687" t="s">
        <v>5471</v>
      </c>
    </row>
    <row r="3688" spans="1:13" x14ac:dyDescent="0.3">
      <c r="A3688" t="s">
        <v>3388</v>
      </c>
      <c r="B3688" t="s">
        <v>10865</v>
      </c>
      <c r="C3688" t="s">
        <v>5470</v>
      </c>
      <c r="D3688" t="s">
        <v>4119</v>
      </c>
      <c r="E3688" t="s">
        <v>5756</v>
      </c>
      <c r="F3688" t="s">
        <v>15819</v>
      </c>
      <c r="G3688" t="s">
        <v>15813</v>
      </c>
      <c r="H3688" t="s">
        <v>5474</v>
      </c>
      <c r="I3688" t="s">
        <v>15820</v>
      </c>
      <c r="J3688" t="s">
        <v>5476</v>
      </c>
      <c r="K3688" t="s">
        <v>15821</v>
      </c>
      <c r="L3688" t="s">
        <v>5471</v>
      </c>
      <c r="M3688" t="s">
        <v>5471</v>
      </c>
    </row>
    <row r="3689" spans="1:13" x14ac:dyDescent="0.3">
      <c r="A3689" t="s">
        <v>3388</v>
      </c>
      <c r="B3689" t="s">
        <v>15822</v>
      </c>
      <c r="C3689" t="s">
        <v>5470</v>
      </c>
      <c r="D3689" t="s">
        <v>4119</v>
      </c>
      <c r="E3689" t="s">
        <v>5756</v>
      </c>
      <c r="F3689" t="s">
        <v>15823</v>
      </c>
      <c r="G3689" t="s">
        <v>15824</v>
      </c>
      <c r="H3689" t="s">
        <v>5474</v>
      </c>
      <c r="I3689" t="s">
        <v>15825</v>
      </c>
      <c r="J3689" t="s">
        <v>5476</v>
      </c>
      <c r="K3689" t="s">
        <v>15826</v>
      </c>
      <c r="L3689" t="s">
        <v>5471</v>
      </c>
      <c r="M3689" t="s">
        <v>5471</v>
      </c>
    </row>
    <row r="3690" spans="1:13" x14ac:dyDescent="0.3">
      <c r="A3690" t="s">
        <v>3388</v>
      </c>
      <c r="B3690" t="s">
        <v>10865</v>
      </c>
      <c r="C3690" t="s">
        <v>5470</v>
      </c>
      <c r="D3690" t="s">
        <v>4119</v>
      </c>
      <c r="E3690" t="s">
        <v>5532</v>
      </c>
      <c r="F3690" t="s">
        <v>15827</v>
      </c>
      <c r="G3690" t="s">
        <v>15798</v>
      </c>
      <c r="H3690" t="s">
        <v>5474</v>
      </c>
      <c r="I3690" t="s">
        <v>15828</v>
      </c>
      <c r="J3690" t="s">
        <v>5476</v>
      </c>
      <c r="K3690" t="s">
        <v>15829</v>
      </c>
      <c r="L3690" t="s">
        <v>5471</v>
      </c>
      <c r="M3690" t="s">
        <v>5471</v>
      </c>
    </row>
    <row r="3691" spans="1:13" x14ac:dyDescent="0.3">
      <c r="A3691" t="s">
        <v>3388</v>
      </c>
      <c r="B3691" t="s">
        <v>10865</v>
      </c>
      <c r="C3691" t="s">
        <v>5470</v>
      </c>
      <c r="D3691" t="s">
        <v>4119</v>
      </c>
      <c r="E3691" t="s">
        <v>5532</v>
      </c>
      <c r="F3691" t="s">
        <v>15830</v>
      </c>
      <c r="G3691" t="s">
        <v>15635</v>
      </c>
      <c r="H3691" t="s">
        <v>5474</v>
      </c>
      <c r="I3691" t="s">
        <v>15831</v>
      </c>
      <c r="J3691" t="s">
        <v>5476</v>
      </c>
      <c r="K3691" t="s">
        <v>15832</v>
      </c>
      <c r="L3691" t="s">
        <v>5471</v>
      </c>
      <c r="M3691" t="s">
        <v>5471</v>
      </c>
    </row>
    <row r="3692" spans="1:13" x14ac:dyDescent="0.3">
      <c r="A3692" t="s">
        <v>3388</v>
      </c>
      <c r="B3692" t="s">
        <v>10865</v>
      </c>
      <c r="C3692" t="s">
        <v>5470</v>
      </c>
      <c r="D3692" t="s">
        <v>4119</v>
      </c>
      <c r="E3692" t="s">
        <v>5532</v>
      </c>
      <c r="F3692" t="s">
        <v>15833</v>
      </c>
      <c r="G3692" t="s">
        <v>15650</v>
      </c>
      <c r="H3692" t="s">
        <v>5474</v>
      </c>
      <c r="I3692" t="s">
        <v>15834</v>
      </c>
      <c r="J3692" t="s">
        <v>5476</v>
      </c>
      <c r="K3692" t="s">
        <v>15835</v>
      </c>
      <c r="L3692" t="s">
        <v>5471</v>
      </c>
      <c r="M3692" t="s">
        <v>5471</v>
      </c>
    </row>
    <row r="3693" spans="1:13" x14ac:dyDescent="0.3">
      <c r="A3693" t="s">
        <v>3388</v>
      </c>
      <c r="B3693" t="s">
        <v>10865</v>
      </c>
      <c r="C3693" t="s">
        <v>5470</v>
      </c>
      <c r="D3693" t="s">
        <v>4119</v>
      </c>
      <c r="E3693" t="s">
        <v>5532</v>
      </c>
      <c r="F3693" t="s">
        <v>15836</v>
      </c>
      <c r="G3693" t="s">
        <v>15627</v>
      </c>
      <c r="H3693" t="s">
        <v>5474</v>
      </c>
      <c r="I3693" t="s">
        <v>15837</v>
      </c>
      <c r="J3693" t="s">
        <v>5476</v>
      </c>
      <c r="K3693" t="s">
        <v>15838</v>
      </c>
      <c r="L3693" t="s">
        <v>5471</v>
      </c>
      <c r="M3693" t="s">
        <v>5471</v>
      </c>
    </row>
    <row r="3694" spans="1:13" x14ac:dyDescent="0.3">
      <c r="A3694" t="s">
        <v>3388</v>
      </c>
      <c r="B3694" t="s">
        <v>10865</v>
      </c>
      <c r="C3694" t="s">
        <v>5470</v>
      </c>
      <c r="D3694" t="s">
        <v>4119</v>
      </c>
      <c r="E3694" t="s">
        <v>5756</v>
      </c>
      <c r="F3694" t="s">
        <v>15839</v>
      </c>
      <c r="G3694" t="s">
        <v>15840</v>
      </c>
      <c r="H3694" t="s">
        <v>5474</v>
      </c>
      <c r="I3694" t="s">
        <v>15841</v>
      </c>
      <c r="J3694" t="s">
        <v>5476</v>
      </c>
      <c r="K3694" t="s">
        <v>15842</v>
      </c>
      <c r="L3694" t="s">
        <v>5471</v>
      </c>
      <c r="M3694" t="s">
        <v>5471</v>
      </c>
    </row>
    <row r="3695" spans="1:13" x14ac:dyDescent="0.3">
      <c r="A3695" t="s">
        <v>3388</v>
      </c>
      <c r="B3695" t="s">
        <v>10865</v>
      </c>
      <c r="C3695" t="s">
        <v>5470</v>
      </c>
      <c r="D3695" t="s">
        <v>4119</v>
      </c>
      <c r="E3695" t="s">
        <v>5756</v>
      </c>
      <c r="F3695" t="s">
        <v>15843</v>
      </c>
      <c r="G3695" t="s">
        <v>15844</v>
      </c>
      <c r="H3695" t="s">
        <v>5474</v>
      </c>
      <c r="I3695" t="s">
        <v>15845</v>
      </c>
      <c r="J3695" t="s">
        <v>5476</v>
      </c>
      <c r="K3695" t="s">
        <v>15846</v>
      </c>
      <c r="L3695" t="s">
        <v>5471</v>
      </c>
      <c r="M3695" t="s">
        <v>5471</v>
      </c>
    </row>
    <row r="3696" spans="1:13" x14ac:dyDescent="0.3">
      <c r="A3696" t="s">
        <v>3388</v>
      </c>
      <c r="B3696" t="s">
        <v>10865</v>
      </c>
      <c r="C3696" t="s">
        <v>5470</v>
      </c>
      <c r="D3696" t="s">
        <v>4119</v>
      </c>
      <c r="E3696" t="s">
        <v>5756</v>
      </c>
      <c r="F3696" t="s">
        <v>15847</v>
      </c>
      <c r="G3696" t="s">
        <v>15824</v>
      </c>
      <c r="H3696" t="s">
        <v>5474</v>
      </c>
      <c r="I3696" t="s">
        <v>15848</v>
      </c>
      <c r="J3696" t="s">
        <v>5476</v>
      </c>
      <c r="K3696" t="s">
        <v>15849</v>
      </c>
      <c r="L3696" t="s">
        <v>5471</v>
      </c>
      <c r="M3696" t="s">
        <v>5471</v>
      </c>
    </row>
    <row r="3697" spans="1:13" x14ac:dyDescent="0.3">
      <c r="A3697" t="s">
        <v>3388</v>
      </c>
      <c r="B3697" t="s">
        <v>10865</v>
      </c>
      <c r="C3697" t="s">
        <v>5470</v>
      </c>
      <c r="D3697" t="s">
        <v>4119</v>
      </c>
      <c r="E3697" t="s">
        <v>5756</v>
      </c>
      <c r="F3697" t="s">
        <v>15850</v>
      </c>
      <c r="G3697" t="s">
        <v>15813</v>
      </c>
      <c r="H3697" t="s">
        <v>5474</v>
      </c>
      <c r="I3697" t="s">
        <v>15851</v>
      </c>
      <c r="J3697" t="s">
        <v>5476</v>
      </c>
      <c r="K3697" t="s">
        <v>15852</v>
      </c>
      <c r="L3697" t="s">
        <v>5471</v>
      </c>
      <c r="M3697" t="s">
        <v>5471</v>
      </c>
    </row>
    <row r="3698" spans="1:13" x14ac:dyDescent="0.3">
      <c r="A3698" t="s">
        <v>3388</v>
      </c>
      <c r="B3698" t="s">
        <v>10865</v>
      </c>
      <c r="C3698" t="s">
        <v>5470</v>
      </c>
      <c r="D3698" t="s">
        <v>4119</v>
      </c>
      <c r="E3698" t="s">
        <v>5756</v>
      </c>
      <c r="F3698" t="s">
        <v>15853</v>
      </c>
      <c r="G3698" t="s">
        <v>15813</v>
      </c>
      <c r="H3698" t="s">
        <v>5474</v>
      </c>
      <c r="I3698" t="s">
        <v>15854</v>
      </c>
      <c r="J3698" t="s">
        <v>5476</v>
      </c>
      <c r="K3698" t="s">
        <v>15855</v>
      </c>
      <c r="L3698" t="s">
        <v>5471</v>
      </c>
      <c r="M3698" t="s">
        <v>5471</v>
      </c>
    </row>
    <row r="3699" spans="1:13" x14ac:dyDescent="0.3">
      <c r="A3699" t="s">
        <v>3388</v>
      </c>
      <c r="B3699" t="s">
        <v>10865</v>
      </c>
      <c r="C3699" t="s">
        <v>5470</v>
      </c>
      <c r="D3699" t="s">
        <v>4119</v>
      </c>
      <c r="E3699" t="s">
        <v>5756</v>
      </c>
      <c r="F3699" t="s">
        <v>15856</v>
      </c>
      <c r="G3699" t="s">
        <v>15813</v>
      </c>
      <c r="H3699" t="s">
        <v>5474</v>
      </c>
      <c r="I3699" t="s">
        <v>15857</v>
      </c>
      <c r="J3699" t="s">
        <v>5476</v>
      </c>
      <c r="K3699" t="s">
        <v>15858</v>
      </c>
      <c r="L3699" t="s">
        <v>5471</v>
      </c>
      <c r="M3699" t="s">
        <v>5471</v>
      </c>
    </row>
    <row r="3700" spans="1:13" x14ac:dyDescent="0.3">
      <c r="A3700" t="s">
        <v>3388</v>
      </c>
      <c r="B3700" t="s">
        <v>15859</v>
      </c>
      <c r="C3700" t="s">
        <v>5470</v>
      </c>
      <c r="D3700" t="s">
        <v>4119</v>
      </c>
      <c r="E3700" t="s">
        <v>5756</v>
      </c>
      <c r="F3700" t="s">
        <v>15860</v>
      </c>
      <c r="G3700" t="s">
        <v>15840</v>
      </c>
      <c r="H3700" t="s">
        <v>5474</v>
      </c>
      <c r="I3700" t="s">
        <v>15861</v>
      </c>
      <c r="J3700" t="s">
        <v>5476</v>
      </c>
      <c r="K3700" t="s">
        <v>15862</v>
      </c>
      <c r="L3700" t="s">
        <v>5471</v>
      </c>
      <c r="M3700" t="s">
        <v>5471</v>
      </c>
    </row>
    <row r="3701" spans="1:13" x14ac:dyDescent="0.3">
      <c r="A3701" t="s">
        <v>3388</v>
      </c>
      <c r="B3701" t="s">
        <v>15863</v>
      </c>
      <c r="C3701" t="s">
        <v>5470</v>
      </c>
      <c r="D3701" t="s">
        <v>4119</v>
      </c>
      <c r="E3701" t="s">
        <v>5532</v>
      </c>
      <c r="F3701" t="s">
        <v>15864</v>
      </c>
      <c r="G3701" t="s">
        <v>15798</v>
      </c>
      <c r="H3701" t="s">
        <v>5474</v>
      </c>
      <c r="I3701" t="s">
        <v>15865</v>
      </c>
      <c r="J3701" t="s">
        <v>5476</v>
      </c>
      <c r="K3701" t="s">
        <v>15866</v>
      </c>
      <c r="L3701" t="s">
        <v>5471</v>
      </c>
      <c r="M3701" t="s">
        <v>5471</v>
      </c>
    </row>
    <row r="3702" spans="1:13" x14ac:dyDescent="0.3">
      <c r="A3702" t="s">
        <v>3388</v>
      </c>
      <c r="B3702" t="s">
        <v>15863</v>
      </c>
      <c r="C3702" t="s">
        <v>5470</v>
      </c>
      <c r="D3702" t="s">
        <v>4119</v>
      </c>
      <c r="E3702" t="s">
        <v>5532</v>
      </c>
      <c r="F3702" t="s">
        <v>15867</v>
      </c>
      <c r="G3702" t="s">
        <v>15798</v>
      </c>
      <c r="H3702" t="s">
        <v>5474</v>
      </c>
      <c r="I3702" t="s">
        <v>15868</v>
      </c>
      <c r="J3702" t="s">
        <v>5476</v>
      </c>
      <c r="K3702" t="s">
        <v>15869</v>
      </c>
      <c r="L3702" t="s">
        <v>5471</v>
      </c>
      <c r="M3702" t="s">
        <v>5471</v>
      </c>
    </row>
    <row r="3703" spans="1:13" x14ac:dyDescent="0.3">
      <c r="A3703" t="s">
        <v>3388</v>
      </c>
      <c r="B3703" t="s">
        <v>10961</v>
      </c>
      <c r="C3703" t="s">
        <v>5470</v>
      </c>
      <c r="D3703" t="s">
        <v>4119</v>
      </c>
      <c r="E3703" t="s">
        <v>5532</v>
      </c>
      <c r="F3703" t="s">
        <v>15870</v>
      </c>
      <c r="G3703" t="s">
        <v>15790</v>
      </c>
      <c r="H3703" t="s">
        <v>5474</v>
      </c>
      <c r="I3703" t="s">
        <v>15871</v>
      </c>
      <c r="J3703" t="s">
        <v>5476</v>
      </c>
      <c r="K3703" t="s">
        <v>15872</v>
      </c>
      <c r="L3703" t="s">
        <v>5471</v>
      </c>
      <c r="M3703" t="s">
        <v>5471</v>
      </c>
    </row>
    <row r="3704" spans="1:13" x14ac:dyDescent="0.3">
      <c r="A3704" t="s">
        <v>3388</v>
      </c>
      <c r="B3704" t="s">
        <v>10961</v>
      </c>
      <c r="C3704" t="s">
        <v>5470</v>
      </c>
      <c r="D3704" t="s">
        <v>4119</v>
      </c>
      <c r="E3704" t="s">
        <v>5532</v>
      </c>
      <c r="F3704" t="s">
        <v>15873</v>
      </c>
      <c r="G3704" t="s">
        <v>15794</v>
      </c>
      <c r="H3704" t="s">
        <v>5474</v>
      </c>
      <c r="I3704" t="s">
        <v>15874</v>
      </c>
      <c r="J3704" t="s">
        <v>5476</v>
      </c>
      <c r="K3704" t="s">
        <v>15875</v>
      </c>
      <c r="L3704" t="s">
        <v>5471</v>
      </c>
      <c r="M3704" t="s">
        <v>5471</v>
      </c>
    </row>
    <row r="3705" spans="1:13" x14ac:dyDescent="0.3">
      <c r="A3705" t="s">
        <v>3388</v>
      </c>
      <c r="B3705" t="s">
        <v>15876</v>
      </c>
      <c r="C3705" t="s">
        <v>5470</v>
      </c>
      <c r="D3705" t="s">
        <v>4119</v>
      </c>
      <c r="E3705" t="s">
        <v>5532</v>
      </c>
      <c r="F3705" t="s">
        <v>15877</v>
      </c>
      <c r="G3705" t="s">
        <v>15802</v>
      </c>
      <c r="H3705" t="s">
        <v>5474</v>
      </c>
      <c r="I3705" t="s">
        <v>15878</v>
      </c>
      <c r="J3705" t="s">
        <v>5476</v>
      </c>
      <c r="K3705" t="s">
        <v>15879</v>
      </c>
      <c r="L3705" t="s">
        <v>5471</v>
      </c>
      <c r="M3705" t="s">
        <v>5471</v>
      </c>
    </row>
    <row r="3706" spans="1:13" x14ac:dyDescent="0.3">
      <c r="A3706" t="s">
        <v>3388</v>
      </c>
      <c r="B3706" t="s">
        <v>15876</v>
      </c>
      <c r="C3706" t="s">
        <v>5470</v>
      </c>
      <c r="D3706" t="s">
        <v>4119</v>
      </c>
      <c r="E3706" t="s">
        <v>5532</v>
      </c>
      <c r="F3706" t="s">
        <v>15880</v>
      </c>
      <c r="G3706" t="s">
        <v>15806</v>
      </c>
      <c r="H3706" t="s">
        <v>5474</v>
      </c>
      <c r="I3706" t="s">
        <v>15881</v>
      </c>
      <c r="J3706" t="s">
        <v>5476</v>
      </c>
      <c r="K3706" t="s">
        <v>15882</v>
      </c>
      <c r="L3706" t="s">
        <v>5471</v>
      </c>
      <c r="M3706" t="s">
        <v>5471</v>
      </c>
    </row>
    <row r="3707" spans="1:13" x14ac:dyDescent="0.3">
      <c r="A3707" t="s">
        <v>3388</v>
      </c>
      <c r="B3707" t="s">
        <v>5316</v>
      </c>
      <c r="C3707" t="s">
        <v>5470</v>
      </c>
      <c r="D3707" t="s">
        <v>4347</v>
      </c>
      <c r="E3707" t="s">
        <v>5617</v>
      </c>
      <c r="F3707" t="s">
        <v>15883</v>
      </c>
      <c r="G3707" t="s">
        <v>15884</v>
      </c>
      <c r="H3707" t="s">
        <v>5474</v>
      </c>
      <c r="I3707" t="s">
        <v>15885</v>
      </c>
      <c r="J3707" t="s">
        <v>5476</v>
      </c>
      <c r="K3707" t="s">
        <v>15886</v>
      </c>
      <c r="L3707" t="s">
        <v>15887</v>
      </c>
      <c r="M3707" t="s">
        <v>5471</v>
      </c>
    </row>
    <row r="3708" spans="1:13" x14ac:dyDescent="0.3">
      <c r="A3708" t="s">
        <v>3388</v>
      </c>
      <c r="B3708" t="s">
        <v>5272</v>
      </c>
      <c r="C3708" t="s">
        <v>5470</v>
      </c>
      <c r="D3708" t="s">
        <v>4347</v>
      </c>
      <c r="E3708" t="s">
        <v>5617</v>
      </c>
      <c r="F3708" t="s">
        <v>15888</v>
      </c>
      <c r="G3708" t="s">
        <v>15889</v>
      </c>
      <c r="H3708" t="s">
        <v>5474</v>
      </c>
      <c r="I3708" t="s">
        <v>15890</v>
      </c>
      <c r="J3708" t="s">
        <v>5476</v>
      </c>
      <c r="K3708" t="s">
        <v>15891</v>
      </c>
      <c r="L3708" t="s">
        <v>15887</v>
      </c>
      <c r="M3708" t="s">
        <v>5471</v>
      </c>
    </row>
    <row r="3709" spans="1:13" x14ac:dyDescent="0.3">
      <c r="A3709" t="s">
        <v>3388</v>
      </c>
      <c r="B3709" t="s">
        <v>15892</v>
      </c>
      <c r="C3709" t="s">
        <v>5470</v>
      </c>
      <c r="D3709" t="s">
        <v>4347</v>
      </c>
      <c r="E3709" t="s">
        <v>5617</v>
      </c>
      <c r="F3709" t="s">
        <v>15893</v>
      </c>
      <c r="G3709" t="s">
        <v>15894</v>
      </c>
      <c r="H3709" t="s">
        <v>5474</v>
      </c>
      <c r="I3709" t="s">
        <v>15895</v>
      </c>
      <c r="J3709" t="s">
        <v>5476</v>
      </c>
      <c r="K3709" t="s">
        <v>15896</v>
      </c>
      <c r="L3709" t="s">
        <v>15887</v>
      </c>
      <c r="M3709" t="s">
        <v>5471</v>
      </c>
    </row>
    <row r="3710" spans="1:13" x14ac:dyDescent="0.3">
      <c r="A3710" t="s">
        <v>3380</v>
      </c>
      <c r="B3710" t="s">
        <v>10539</v>
      </c>
      <c r="C3710" t="s">
        <v>6342</v>
      </c>
      <c r="D3710" t="s">
        <v>4058</v>
      </c>
      <c r="E3710" t="s">
        <v>9935</v>
      </c>
      <c r="F3710" t="s">
        <v>15897</v>
      </c>
      <c r="G3710" t="s">
        <v>15898</v>
      </c>
      <c r="H3710" t="s">
        <v>5474</v>
      </c>
      <c r="I3710" t="s">
        <v>15899</v>
      </c>
      <c r="J3710" t="s">
        <v>5476</v>
      </c>
      <c r="K3710" t="s">
        <v>15900</v>
      </c>
      <c r="L3710" t="s">
        <v>9709</v>
      </c>
      <c r="M3710" t="s">
        <v>5471</v>
      </c>
    </row>
    <row r="3711" spans="1:13" x14ac:dyDescent="0.3">
      <c r="A3711" t="s">
        <v>3380</v>
      </c>
      <c r="B3711" t="s">
        <v>15901</v>
      </c>
      <c r="C3711" t="s">
        <v>6342</v>
      </c>
      <c r="D3711" t="s">
        <v>4058</v>
      </c>
      <c r="E3711" t="s">
        <v>5617</v>
      </c>
      <c r="F3711" t="s">
        <v>15902</v>
      </c>
      <c r="G3711" t="s">
        <v>15903</v>
      </c>
      <c r="H3711" t="s">
        <v>5474</v>
      </c>
      <c r="I3711" t="s">
        <v>15904</v>
      </c>
      <c r="J3711" t="s">
        <v>5476</v>
      </c>
      <c r="K3711" t="s">
        <v>15905</v>
      </c>
      <c r="L3711" t="s">
        <v>9709</v>
      </c>
      <c r="M3711" t="s">
        <v>5471</v>
      </c>
    </row>
    <row r="3712" spans="1:13" x14ac:dyDescent="0.3">
      <c r="A3712" t="s">
        <v>3380</v>
      </c>
      <c r="B3712" t="s">
        <v>15901</v>
      </c>
      <c r="C3712" t="s">
        <v>6342</v>
      </c>
      <c r="D3712" t="s">
        <v>4058</v>
      </c>
      <c r="E3712" t="s">
        <v>5843</v>
      </c>
      <c r="F3712" t="s">
        <v>15906</v>
      </c>
      <c r="G3712" t="s">
        <v>15907</v>
      </c>
      <c r="H3712" t="s">
        <v>5474</v>
      </c>
      <c r="I3712" t="s">
        <v>15908</v>
      </c>
      <c r="J3712" t="s">
        <v>5476</v>
      </c>
      <c r="K3712" t="s">
        <v>15909</v>
      </c>
      <c r="L3712" t="s">
        <v>9709</v>
      </c>
      <c r="M3712" t="s">
        <v>5471</v>
      </c>
    </row>
    <row r="3713" spans="1:13" x14ac:dyDescent="0.3">
      <c r="A3713" t="s">
        <v>3380</v>
      </c>
      <c r="B3713" t="s">
        <v>15901</v>
      </c>
      <c r="C3713" t="s">
        <v>6342</v>
      </c>
      <c r="D3713" t="s">
        <v>4058</v>
      </c>
      <c r="E3713" t="s">
        <v>5843</v>
      </c>
      <c r="F3713" t="s">
        <v>15910</v>
      </c>
      <c r="G3713" t="s">
        <v>15907</v>
      </c>
      <c r="H3713" t="s">
        <v>5474</v>
      </c>
      <c r="I3713" t="s">
        <v>15911</v>
      </c>
      <c r="J3713" t="s">
        <v>5476</v>
      </c>
      <c r="K3713" t="s">
        <v>15912</v>
      </c>
      <c r="L3713" t="s">
        <v>9709</v>
      </c>
      <c r="M3713" t="s">
        <v>5471</v>
      </c>
    </row>
    <row r="3714" spans="1:13" x14ac:dyDescent="0.3">
      <c r="A3714" t="s">
        <v>3380</v>
      </c>
      <c r="B3714" t="s">
        <v>15901</v>
      </c>
      <c r="C3714" t="s">
        <v>6342</v>
      </c>
      <c r="D3714" t="s">
        <v>4058</v>
      </c>
      <c r="E3714" t="s">
        <v>5843</v>
      </c>
      <c r="F3714" t="s">
        <v>15913</v>
      </c>
      <c r="G3714" t="s">
        <v>15907</v>
      </c>
      <c r="H3714" t="s">
        <v>5474</v>
      </c>
      <c r="I3714" t="s">
        <v>15914</v>
      </c>
      <c r="J3714" t="s">
        <v>5476</v>
      </c>
      <c r="K3714" t="s">
        <v>15915</v>
      </c>
      <c r="L3714" t="s">
        <v>9709</v>
      </c>
      <c r="M3714" t="s">
        <v>5471</v>
      </c>
    </row>
    <row r="3715" spans="1:13" x14ac:dyDescent="0.3">
      <c r="A3715" t="s">
        <v>3380</v>
      </c>
      <c r="B3715" t="s">
        <v>15901</v>
      </c>
      <c r="C3715" t="s">
        <v>6342</v>
      </c>
      <c r="D3715" t="s">
        <v>4058</v>
      </c>
      <c r="E3715" t="s">
        <v>5843</v>
      </c>
      <c r="F3715" t="s">
        <v>15916</v>
      </c>
      <c r="G3715" t="s">
        <v>15917</v>
      </c>
      <c r="H3715" t="s">
        <v>5474</v>
      </c>
      <c r="I3715" t="s">
        <v>15918</v>
      </c>
      <c r="J3715" t="s">
        <v>5476</v>
      </c>
      <c r="K3715" t="s">
        <v>15919</v>
      </c>
      <c r="L3715" t="s">
        <v>9709</v>
      </c>
      <c r="M3715" t="s">
        <v>5471</v>
      </c>
    </row>
    <row r="3716" spans="1:13" x14ac:dyDescent="0.3">
      <c r="A3716" t="s">
        <v>3380</v>
      </c>
      <c r="B3716" t="s">
        <v>15901</v>
      </c>
      <c r="C3716" t="s">
        <v>6342</v>
      </c>
      <c r="D3716" t="s">
        <v>4058</v>
      </c>
      <c r="E3716" t="s">
        <v>5843</v>
      </c>
      <c r="F3716" t="s">
        <v>15920</v>
      </c>
      <c r="G3716" t="s">
        <v>15917</v>
      </c>
      <c r="H3716" t="s">
        <v>5474</v>
      </c>
      <c r="I3716" t="s">
        <v>15921</v>
      </c>
      <c r="J3716" t="s">
        <v>5476</v>
      </c>
      <c r="K3716" t="s">
        <v>15922</v>
      </c>
      <c r="L3716" t="s">
        <v>9709</v>
      </c>
      <c r="M3716" t="s">
        <v>5471</v>
      </c>
    </row>
    <row r="3717" spans="1:13" x14ac:dyDescent="0.3">
      <c r="A3717" t="s">
        <v>3380</v>
      </c>
      <c r="B3717" t="s">
        <v>15901</v>
      </c>
      <c r="C3717" t="s">
        <v>6342</v>
      </c>
      <c r="D3717" t="s">
        <v>4058</v>
      </c>
      <c r="E3717" t="s">
        <v>5843</v>
      </c>
      <c r="F3717" t="s">
        <v>15923</v>
      </c>
      <c r="G3717" t="s">
        <v>15917</v>
      </c>
      <c r="H3717" t="s">
        <v>5474</v>
      </c>
      <c r="I3717" t="s">
        <v>15924</v>
      </c>
      <c r="J3717" t="s">
        <v>5476</v>
      </c>
      <c r="K3717" t="s">
        <v>15925</v>
      </c>
      <c r="L3717" t="s">
        <v>9709</v>
      </c>
      <c r="M3717" t="s">
        <v>5471</v>
      </c>
    </row>
    <row r="3718" spans="1:13" x14ac:dyDescent="0.3">
      <c r="A3718" t="s">
        <v>3380</v>
      </c>
      <c r="B3718" t="s">
        <v>15901</v>
      </c>
      <c r="C3718" t="s">
        <v>6342</v>
      </c>
      <c r="D3718" t="s">
        <v>4058</v>
      </c>
      <c r="E3718" t="s">
        <v>5843</v>
      </c>
      <c r="F3718" t="s">
        <v>15926</v>
      </c>
      <c r="G3718" t="s">
        <v>15927</v>
      </c>
      <c r="H3718" t="s">
        <v>5474</v>
      </c>
      <c r="I3718" t="s">
        <v>15928</v>
      </c>
      <c r="J3718" t="s">
        <v>5476</v>
      </c>
      <c r="K3718" t="s">
        <v>15929</v>
      </c>
      <c r="L3718" t="s">
        <v>9709</v>
      </c>
      <c r="M3718" t="s">
        <v>5471</v>
      </c>
    </row>
    <row r="3719" spans="1:13" x14ac:dyDescent="0.3">
      <c r="A3719" t="s">
        <v>3380</v>
      </c>
      <c r="B3719" t="s">
        <v>15901</v>
      </c>
      <c r="C3719" t="s">
        <v>6342</v>
      </c>
      <c r="D3719" t="s">
        <v>4058</v>
      </c>
      <c r="E3719" t="s">
        <v>5843</v>
      </c>
      <c r="F3719" t="s">
        <v>15930</v>
      </c>
      <c r="G3719" t="s">
        <v>15927</v>
      </c>
      <c r="H3719" t="s">
        <v>5474</v>
      </c>
      <c r="I3719" t="s">
        <v>15931</v>
      </c>
      <c r="J3719" t="s">
        <v>5476</v>
      </c>
      <c r="K3719" t="s">
        <v>15932</v>
      </c>
      <c r="L3719" t="s">
        <v>9709</v>
      </c>
      <c r="M3719" t="s">
        <v>5471</v>
      </c>
    </row>
    <row r="3720" spans="1:13" x14ac:dyDescent="0.3">
      <c r="A3720" t="s">
        <v>3383</v>
      </c>
      <c r="B3720" t="s">
        <v>8483</v>
      </c>
      <c r="C3720" t="s">
        <v>5487</v>
      </c>
      <c r="D3720" t="s">
        <v>4052</v>
      </c>
      <c r="E3720" t="s">
        <v>5756</v>
      </c>
      <c r="F3720" t="s">
        <v>15933</v>
      </c>
      <c r="G3720" t="s">
        <v>15934</v>
      </c>
      <c r="H3720" t="s">
        <v>5474</v>
      </c>
      <c r="I3720" t="s">
        <v>15935</v>
      </c>
      <c r="J3720" t="s">
        <v>5476</v>
      </c>
      <c r="K3720" t="s">
        <v>5471</v>
      </c>
      <c r="L3720" t="s">
        <v>5471</v>
      </c>
      <c r="M3720" t="s">
        <v>5471</v>
      </c>
    </row>
    <row r="3721" spans="1:13" x14ac:dyDescent="0.3">
      <c r="A3721" t="s">
        <v>3380</v>
      </c>
      <c r="B3721" t="s">
        <v>15901</v>
      </c>
      <c r="C3721" t="s">
        <v>6342</v>
      </c>
      <c r="D3721" t="s">
        <v>4058</v>
      </c>
      <c r="E3721" t="s">
        <v>5843</v>
      </c>
      <c r="F3721" t="s">
        <v>15936</v>
      </c>
      <c r="G3721" t="s">
        <v>15927</v>
      </c>
      <c r="H3721" t="s">
        <v>5474</v>
      </c>
      <c r="I3721" t="s">
        <v>15937</v>
      </c>
      <c r="J3721" t="s">
        <v>5476</v>
      </c>
      <c r="K3721" t="s">
        <v>15938</v>
      </c>
      <c r="L3721" t="s">
        <v>9709</v>
      </c>
      <c r="M3721" t="s">
        <v>5471</v>
      </c>
    </row>
    <row r="3722" spans="1:13" x14ac:dyDescent="0.3">
      <c r="A3722" t="s">
        <v>3388</v>
      </c>
      <c r="B3722" t="s">
        <v>10857</v>
      </c>
      <c r="C3722" t="s">
        <v>5470</v>
      </c>
      <c r="D3722" t="s">
        <v>4200</v>
      </c>
      <c r="E3722" t="s">
        <v>5756</v>
      </c>
      <c r="F3722" t="s">
        <v>15939</v>
      </c>
      <c r="G3722" t="s">
        <v>15940</v>
      </c>
      <c r="H3722" t="s">
        <v>5476</v>
      </c>
      <c r="I3722" t="s">
        <v>15941</v>
      </c>
      <c r="J3722" t="s">
        <v>5484</v>
      </c>
      <c r="K3722" t="s">
        <v>5471</v>
      </c>
      <c r="L3722" t="s">
        <v>5471</v>
      </c>
      <c r="M3722" t="s">
        <v>5471</v>
      </c>
    </row>
    <row r="3723" spans="1:13" x14ac:dyDescent="0.3">
      <c r="A3723" t="s">
        <v>3388</v>
      </c>
      <c r="B3723" t="s">
        <v>15942</v>
      </c>
      <c r="C3723" t="s">
        <v>5470</v>
      </c>
      <c r="D3723" t="s">
        <v>4200</v>
      </c>
      <c r="E3723" t="s">
        <v>5617</v>
      </c>
      <c r="F3723" t="s">
        <v>15943</v>
      </c>
      <c r="G3723" t="s">
        <v>15944</v>
      </c>
      <c r="H3723" t="s">
        <v>5476</v>
      </c>
      <c r="I3723" t="s">
        <v>15945</v>
      </c>
      <c r="J3723" t="s">
        <v>5484</v>
      </c>
      <c r="K3723" t="s">
        <v>5471</v>
      </c>
      <c r="L3723" t="s">
        <v>5471</v>
      </c>
      <c r="M3723" t="s">
        <v>5471</v>
      </c>
    </row>
    <row r="3724" spans="1:13" x14ac:dyDescent="0.3">
      <c r="A3724" t="s">
        <v>3388</v>
      </c>
      <c r="B3724" t="s">
        <v>15946</v>
      </c>
      <c r="C3724" t="s">
        <v>5470</v>
      </c>
      <c r="D3724" t="s">
        <v>4200</v>
      </c>
      <c r="E3724" t="s">
        <v>5843</v>
      </c>
      <c r="F3724" t="s">
        <v>15947</v>
      </c>
      <c r="G3724" t="s">
        <v>15948</v>
      </c>
      <c r="H3724" t="s">
        <v>5476</v>
      </c>
      <c r="I3724" t="s">
        <v>15949</v>
      </c>
      <c r="J3724" t="s">
        <v>5484</v>
      </c>
      <c r="K3724" t="s">
        <v>5471</v>
      </c>
      <c r="L3724" t="s">
        <v>5471</v>
      </c>
      <c r="M3724" t="s">
        <v>5471</v>
      </c>
    </row>
    <row r="3725" spans="1:13" x14ac:dyDescent="0.3">
      <c r="A3725" t="s">
        <v>3388</v>
      </c>
      <c r="B3725" t="s">
        <v>15876</v>
      </c>
      <c r="C3725" t="s">
        <v>5470</v>
      </c>
      <c r="D3725" t="s">
        <v>4200</v>
      </c>
      <c r="E3725" t="s">
        <v>5617</v>
      </c>
      <c r="F3725" t="s">
        <v>15950</v>
      </c>
      <c r="G3725" t="s">
        <v>15951</v>
      </c>
      <c r="H3725" t="s">
        <v>5476</v>
      </c>
      <c r="I3725" t="s">
        <v>15952</v>
      </c>
      <c r="J3725" t="s">
        <v>5484</v>
      </c>
      <c r="K3725" t="s">
        <v>5471</v>
      </c>
      <c r="L3725" t="s">
        <v>5471</v>
      </c>
      <c r="M3725" t="s">
        <v>5471</v>
      </c>
    </row>
    <row r="3726" spans="1:13" x14ac:dyDescent="0.3">
      <c r="A3726" t="s">
        <v>3388</v>
      </c>
      <c r="B3726" t="s">
        <v>15953</v>
      </c>
      <c r="C3726" t="s">
        <v>5470</v>
      </c>
      <c r="D3726" t="s">
        <v>4200</v>
      </c>
      <c r="E3726" t="s">
        <v>5843</v>
      </c>
      <c r="F3726" t="s">
        <v>15954</v>
      </c>
      <c r="G3726" t="s">
        <v>15955</v>
      </c>
      <c r="H3726" t="s">
        <v>5476</v>
      </c>
      <c r="I3726" t="s">
        <v>15956</v>
      </c>
      <c r="J3726" t="s">
        <v>5484</v>
      </c>
      <c r="K3726" t="s">
        <v>5471</v>
      </c>
      <c r="L3726" t="s">
        <v>5471</v>
      </c>
      <c r="M3726" t="s">
        <v>5471</v>
      </c>
    </row>
    <row r="3727" spans="1:13" x14ac:dyDescent="0.3">
      <c r="A3727" t="s">
        <v>3388</v>
      </c>
      <c r="B3727" t="s">
        <v>15957</v>
      </c>
      <c r="C3727" t="s">
        <v>5470</v>
      </c>
      <c r="D3727" t="s">
        <v>4200</v>
      </c>
      <c r="E3727" t="s">
        <v>5617</v>
      </c>
      <c r="F3727" t="s">
        <v>15958</v>
      </c>
      <c r="G3727" t="s">
        <v>15959</v>
      </c>
      <c r="H3727" t="s">
        <v>5476</v>
      </c>
      <c r="I3727" t="s">
        <v>15960</v>
      </c>
      <c r="J3727" t="s">
        <v>5484</v>
      </c>
      <c r="K3727" t="s">
        <v>5471</v>
      </c>
      <c r="L3727" t="s">
        <v>5471</v>
      </c>
      <c r="M3727" t="s">
        <v>5471</v>
      </c>
    </row>
    <row r="3728" spans="1:13" x14ac:dyDescent="0.3">
      <c r="A3728" t="s">
        <v>3388</v>
      </c>
      <c r="B3728" t="s">
        <v>15961</v>
      </c>
      <c r="C3728" t="s">
        <v>5470</v>
      </c>
      <c r="D3728" t="s">
        <v>4119</v>
      </c>
      <c r="E3728" t="s">
        <v>5756</v>
      </c>
      <c r="F3728" t="s">
        <v>15962</v>
      </c>
      <c r="G3728" t="s">
        <v>15963</v>
      </c>
      <c r="H3728" t="s">
        <v>5476</v>
      </c>
      <c r="I3728" t="s">
        <v>15964</v>
      </c>
      <c r="J3728" t="s">
        <v>5484</v>
      </c>
      <c r="K3728" t="s">
        <v>5471</v>
      </c>
      <c r="L3728" t="s">
        <v>5471</v>
      </c>
      <c r="M3728" t="s">
        <v>5471</v>
      </c>
    </row>
    <row r="3729" spans="1:13" x14ac:dyDescent="0.3">
      <c r="A3729" t="s">
        <v>3388</v>
      </c>
      <c r="B3729" t="s">
        <v>10857</v>
      </c>
      <c r="C3729" t="s">
        <v>5470</v>
      </c>
      <c r="D3729" t="s">
        <v>4119</v>
      </c>
      <c r="E3729" t="s">
        <v>5756</v>
      </c>
      <c r="F3729" t="s">
        <v>15965</v>
      </c>
      <c r="G3729" t="s">
        <v>15940</v>
      </c>
      <c r="H3729" t="s">
        <v>5476</v>
      </c>
      <c r="I3729" t="s">
        <v>15966</v>
      </c>
      <c r="J3729" t="s">
        <v>5484</v>
      </c>
      <c r="K3729" t="s">
        <v>5471</v>
      </c>
      <c r="L3729" t="s">
        <v>5471</v>
      </c>
      <c r="M3729" t="s">
        <v>5471</v>
      </c>
    </row>
    <row r="3730" spans="1:13" x14ac:dyDescent="0.3">
      <c r="A3730" t="s">
        <v>3388</v>
      </c>
      <c r="B3730" t="s">
        <v>15942</v>
      </c>
      <c r="C3730" t="s">
        <v>5470</v>
      </c>
      <c r="D3730" t="s">
        <v>4119</v>
      </c>
      <c r="E3730" t="s">
        <v>5756</v>
      </c>
      <c r="F3730" t="s">
        <v>15967</v>
      </c>
      <c r="G3730" t="s">
        <v>15968</v>
      </c>
      <c r="H3730" t="s">
        <v>5476</v>
      </c>
      <c r="I3730" t="s">
        <v>15969</v>
      </c>
      <c r="J3730" t="s">
        <v>5484</v>
      </c>
      <c r="K3730" t="s">
        <v>5471</v>
      </c>
      <c r="L3730" t="s">
        <v>5471</v>
      </c>
      <c r="M3730" t="s">
        <v>5471</v>
      </c>
    </row>
    <row r="3731" spans="1:13" x14ac:dyDescent="0.3">
      <c r="A3731" t="s">
        <v>3388</v>
      </c>
      <c r="B3731" t="s">
        <v>15970</v>
      </c>
      <c r="C3731" t="s">
        <v>5470</v>
      </c>
      <c r="D3731" t="s">
        <v>4119</v>
      </c>
      <c r="E3731" t="s">
        <v>5532</v>
      </c>
      <c r="F3731" t="s">
        <v>15971</v>
      </c>
      <c r="G3731" t="s">
        <v>15972</v>
      </c>
      <c r="H3731" t="s">
        <v>5476</v>
      </c>
      <c r="I3731" t="s">
        <v>15973</v>
      </c>
      <c r="J3731" t="s">
        <v>5484</v>
      </c>
      <c r="K3731" t="s">
        <v>5471</v>
      </c>
      <c r="L3731" t="s">
        <v>5471</v>
      </c>
      <c r="M3731" t="s">
        <v>5471</v>
      </c>
    </row>
    <row r="3732" spans="1:13" x14ac:dyDescent="0.3">
      <c r="A3732" t="s">
        <v>3388</v>
      </c>
      <c r="B3732" t="s">
        <v>15970</v>
      </c>
      <c r="C3732" t="s">
        <v>5470</v>
      </c>
      <c r="D3732" t="s">
        <v>4119</v>
      </c>
      <c r="E3732" t="s">
        <v>5532</v>
      </c>
      <c r="F3732" t="s">
        <v>15974</v>
      </c>
      <c r="G3732" t="s">
        <v>15972</v>
      </c>
      <c r="H3732" t="s">
        <v>5476</v>
      </c>
      <c r="I3732" t="s">
        <v>15975</v>
      </c>
      <c r="J3732" t="s">
        <v>5484</v>
      </c>
      <c r="K3732" t="s">
        <v>5471</v>
      </c>
      <c r="L3732" t="s">
        <v>5471</v>
      </c>
      <c r="M3732" t="s">
        <v>5471</v>
      </c>
    </row>
    <row r="3733" spans="1:13" x14ac:dyDescent="0.3">
      <c r="A3733" t="s">
        <v>3388</v>
      </c>
      <c r="B3733" t="s">
        <v>8799</v>
      </c>
      <c r="C3733" t="s">
        <v>5470</v>
      </c>
      <c r="D3733" t="s">
        <v>4119</v>
      </c>
      <c r="E3733" t="s">
        <v>5532</v>
      </c>
      <c r="F3733" t="s">
        <v>15976</v>
      </c>
      <c r="G3733" t="s">
        <v>15977</v>
      </c>
      <c r="H3733" t="s">
        <v>5476</v>
      </c>
      <c r="I3733" t="s">
        <v>15978</v>
      </c>
      <c r="J3733" t="s">
        <v>5484</v>
      </c>
      <c r="K3733" t="s">
        <v>5471</v>
      </c>
      <c r="L3733" t="s">
        <v>5471</v>
      </c>
      <c r="M3733" t="s">
        <v>5471</v>
      </c>
    </row>
    <row r="3734" spans="1:13" x14ac:dyDescent="0.3">
      <c r="A3734" t="s">
        <v>3388</v>
      </c>
      <c r="B3734" t="s">
        <v>8799</v>
      </c>
      <c r="C3734" t="s">
        <v>5470</v>
      </c>
      <c r="D3734" t="s">
        <v>4119</v>
      </c>
      <c r="E3734" t="s">
        <v>5756</v>
      </c>
      <c r="F3734" t="s">
        <v>15979</v>
      </c>
      <c r="G3734" t="s">
        <v>15977</v>
      </c>
      <c r="H3734" t="s">
        <v>5476</v>
      </c>
      <c r="I3734" t="s">
        <v>15980</v>
      </c>
      <c r="J3734" t="s">
        <v>5484</v>
      </c>
      <c r="K3734" t="s">
        <v>5471</v>
      </c>
      <c r="L3734" t="s">
        <v>5471</v>
      </c>
      <c r="M3734" t="s">
        <v>5471</v>
      </c>
    </row>
    <row r="3735" spans="1:13" x14ac:dyDescent="0.3">
      <c r="A3735" t="s">
        <v>3388</v>
      </c>
      <c r="B3735" t="s">
        <v>8799</v>
      </c>
      <c r="C3735" t="s">
        <v>5470</v>
      </c>
      <c r="D3735" t="s">
        <v>4119</v>
      </c>
      <c r="E3735" t="s">
        <v>5756</v>
      </c>
      <c r="F3735" t="s">
        <v>15981</v>
      </c>
      <c r="G3735" t="s">
        <v>15977</v>
      </c>
      <c r="H3735" t="s">
        <v>5476</v>
      </c>
      <c r="I3735" t="s">
        <v>15982</v>
      </c>
      <c r="J3735" t="s">
        <v>5484</v>
      </c>
      <c r="K3735" t="s">
        <v>5471</v>
      </c>
      <c r="L3735" t="s">
        <v>5471</v>
      </c>
      <c r="M3735" t="s">
        <v>5471</v>
      </c>
    </row>
    <row r="3736" spans="1:13" x14ac:dyDescent="0.3">
      <c r="A3736" t="s">
        <v>3397</v>
      </c>
      <c r="B3736" t="s">
        <v>15983</v>
      </c>
      <c r="C3736" t="s">
        <v>5487</v>
      </c>
      <c r="D3736" t="s">
        <v>15984</v>
      </c>
      <c r="E3736" t="s">
        <v>5471</v>
      </c>
      <c r="F3736" t="s">
        <v>15985</v>
      </c>
      <c r="G3736" t="s">
        <v>15983</v>
      </c>
      <c r="H3736" t="s">
        <v>5474</v>
      </c>
      <c r="I3736" t="s">
        <v>15986</v>
      </c>
      <c r="J3736" t="s">
        <v>5476</v>
      </c>
      <c r="K3736" t="s">
        <v>15987</v>
      </c>
      <c r="L3736" t="s">
        <v>5471</v>
      </c>
      <c r="M3736" t="s">
        <v>5471</v>
      </c>
    </row>
    <row r="3737" spans="1:13" x14ac:dyDescent="0.3">
      <c r="A3737" t="s">
        <v>3397</v>
      </c>
      <c r="B3737" t="s">
        <v>15988</v>
      </c>
      <c r="C3737" t="s">
        <v>5487</v>
      </c>
      <c r="D3737" t="s">
        <v>15984</v>
      </c>
      <c r="E3737" t="s">
        <v>5471</v>
      </c>
      <c r="F3737" t="s">
        <v>15989</v>
      </c>
      <c r="G3737" t="s">
        <v>15988</v>
      </c>
      <c r="H3737" t="s">
        <v>5474</v>
      </c>
      <c r="I3737" t="s">
        <v>15990</v>
      </c>
      <c r="J3737" t="s">
        <v>5484</v>
      </c>
      <c r="K3737" t="s">
        <v>15988</v>
      </c>
      <c r="L3737" t="s">
        <v>5471</v>
      </c>
      <c r="M3737" t="s">
        <v>5471</v>
      </c>
    </row>
    <row r="3738" spans="1:13" x14ac:dyDescent="0.3">
      <c r="A3738" t="s">
        <v>3397</v>
      </c>
      <c r="B3738" t="s">
        <v>15991</v>
      </c>
      <c r="C3738" t="s">
        <v>5487</v>
      </c>
      <c r="D3738" t="s">
        <v>15984</v>
      </c>
      <c r="E3738" t="s">
        <v>5471</v>
      </c>
      <c r="F3738" t="s">
        <v>15989</v>
      </c>
      <c r="G3738" t="s">
        <v>15991</v>
      </c>
      <c r="H3738" t="s">
        <v>5474</v>
      </c>
      <c r="I3738" t="s">
        <v>15992</v>
      </c>
      <c r="J3738" t="s">
        <v>5484</v>
      </c>
      <c r="K3738" t="s">
        <v>15993</v>
      </c>
      <c r="L3738" t="s">
        <v>5471</v>
      </c>
      <c r="M3738" t="s">
        <v>5471</v>
      </c>
    </row>
    <row r="3739" spans="1:13" x14ac:dyDescent="0.3">
      <c r="A3739" t="s">
        <v>3397</v>
      </c>
      <c r="B3739" t="s">
        <v>15994</v>
      </c>
      <c r="C3739" t="s">
        <v>5487</v>
      </c>
      <c r="D3739" t="s">
        <v>15984</v>
      </c>
      <c r="E3739" t="s">
        <v>5471</v>
      </c>
      <c r="F3739" t="s">
        <v>15995</v>
      </c>
      <c r="G3739" t="s">
        <v>15994</v>
      </c>
      <c r="H3739" t="s">
        <v>5474</v>
      </c>
      <c r="I3739" t="s">
        <v>15996</v>
      </c>
      <c r="J3739" t="s">
        <v>5484</v>
      </c>
      <c r="K3739" t="s">
        <v>15997</v>
      </c>
      <c r="L3739" t="s">
        <v>5471</v>
      </c>
      <c r="M3739" t="s">
        <v>5471</v>
      </c>
    </row>
    <row r="3740" spans="1:13" x14ac:dyDescent="0.3">
      <c r="A3740" t="s">
        <v>3397</v>
      </c>
      <c r="B3740" t="s">
        <v>9189</v>
      </c>
      <c r="C3740" t="s">
        <v>5487</v>
      </c>
      <c r="D3740" t="s">
        <v>15984</v>
      </c>
      <c r="E3740" t="s">
        <v>5471</v>
      </c>
      <c r="F3740" t="s">
        <v>15998</v>
      </c>
      <c r="G3740" t="s">
        <v>9189</v>
      </c>
      <c r="H3740" t="s">
        <v>5474</v>
      </c>
      <c r="I3740" t="s">
        <v>15999</v>
      </c>
      <c r="J3740" t="s">
        <v>5484</v>
      </c>
      <c r="K3740" t="s">
        <v>16000</v>
      </c>
      <c r="L3740" t="s">
        <v>5471</v>
      </c>
      <c r="M3740" t="s">
        <v>5471</v>
      </c>
    </row>
    <row r="3741" spans="1:13" x14ac:dyDescent="0.3">
      <c r="A3741" t="s">
        <v>3397</v>
      </c>
      <c r="B3741" t="s">
        <v>16001</v>
      </c>
      <c r="C3741" t="s">
        <v>5487</v>
      </c>
      <c r="D3741" t="s">
        <v>15984</v>
      </c>
      <c r="E3741" t="s">
        <v>5471</v>
      </c>
      <c r="F3741" t="s">
        <v>16002</v>
      </c>
      <c r="G3741" t="s">
        <v>16001</v>
      </c>
      <c r="H3741" t="s">
        <v>5474</v>
      </c>
      <c r="I3741" t="s">
        <v>16003</v>
      </c>
      <c r="J3741" t="s">
        <v>5476</v>
      </c>
      <c r="K3741" t="s">
        <v>16004</v>
      </c>
      <c r="L3741" t="s">
        <v>5471</v>
      </c>
      <c r="M3741" t="s">
        <v>5471</v>
      </c>
    </row>
    <row r="3742" spans="1:13" x14ac:dyDescent="0.3">
      <c r="A3742" t="s">
        <v>3397</v>
      </c>
      <c r="B3742" t="s">
        <v>16005</v>
      </c>
      <c r="C3742" t="s">
        <v>5487</v>
      </c>
      <c r="D3742" t="s">
        <v>15984</v>
      </c>
      <c r="E3742" t="s">
        <v>5471</v>
      </c>
      <c r="F3742" t="s">
        <v>16006</v>
      </c>
      <c r="G3742" t="s">
        <v>16005</v>
      </c>
      <c r="H3742" t="s">
        <v>5474</v>
      </c>
      <c r="I3742" t="s">
        <v>16007</v>
      </c>
      <c r="J3742" t="s">
        <v>5476</v>
      </c>
      <c r="K3742" t="s">
        <v>16008</v>
      </c>
      <c r="L3742" t="s">
        <v>5471</v>
      </c>
      <c r="M3742" t="s">
        <v>5471</v>
      </c>
    </row>
    <row r="3743" spans="1:13" x14ac:dyDescent="0.3">
      <c r="A3743" t="s">
        <v>3397</v>
      </c>
      <c r="B3743" t="s">
        <v>16009</v>
      </c>
      <c r="C3743" t="s">
        <v>5487</v>
      </c>
      <c r="D3743" t="s">
        <v>15984</v>
      </c>
      <c r="E3743" t="s">
        <v>5471</v>
      </c>
      <c r="F3743" t="s">
        <v>16006</v>
      </c>
      <c r="G3743" t="s">
        <v>16009</v>
      </c>
      <c r="H3743" t="s">
        <v>5474</v>
      </c>
      <c r="I3743" t="s">
        <v>16010</v>
      </c>
      <c r="J3743" t="s">
        <v>5476</v>
      </c>
      <c r="K3743" t="s">
        <v>15988</v>
      </c>
      <c r="L3743" t="s">
        <v>5471</v>
      </c>
      <c r="M3743" t="s">
        <v>5471</v>
      </c>
    </row>
    <row r="3744" spans="1:13" x14ac:dyDescent="0.3">
      <c r="A3744" t="s">
        <v>3397</v>
      </c>
      <c r="B3744" t="s">
        <v>16011</v>
      </c>
      <c r="C3744" t="s">
        <v>5487</v>
      </c>
      <c r="D3744" t="s">
        <v>15984</v>
      </c>
      <c r="E3744" t="s">
        <v>5471</v>
      </c>
      <c r="F3744" t="s">
        <v>16006</v>
      </c>
      <c r="G3744" t="s">
        <v>16011</v>
      </c>
      <c r="H3744" t="s">
        <v>5474</v>
      </c>
      <c r="I3744" t="s">
        <v>16012</v>
      </c>
      <c r="J3744" t="s">
        <v>5476</v>
      </c>
      <c r="K3744" t="s">
        <v>15991</v>
      </c>
      <c r="L3744" t="s">
        <v>5471</v>
      </c>
      <c r="M3744" t="s">
        <v>5471</v>
      </c>
    </row>
    <row r="3745" spans="1:13" x14ac:dyDescent="0.3">
      <c r="A3745" t="s">
        <v>3380</v>
      </c>
      <c r="B3745" t="s">
        <v>5247</v>
      </c>
      <c r="C3745" t="s">
        <v>6342</v>
      </c>
      <c r="D3745" t="s">
        <v>4052</v>
      </c>
      <c r="E3745" t="s">
        <v>9935</v>
      </c>
      <c r="F3745" t="s">
        <v>16013</v>
      </c>
      <c r="G3745" t="s">
        <v>11666</v>
      </c>
      <c r="H3745" t="s">
        <v>5474</v>
      </c>
      <c r="I3745" t="s">
        <v>16014</v>
      </c>
      <c r="J3745" t="s">
        <v>5476</v>
      </c>
      <c r="K3745" t="s">
        <v>16015</v>
      </c>
      <c r="L3745" t="s">
        <v>5471</v>
      </c>
      <c r="M3745" t="s">
        <v>5471</v>
      </c>
    </row>
    <row r="3746" spans="1:13" x14ac:dyDescent="0.3">
      <c r="A3746" t="s">
        <v>3380</v>
      </c>
      <c r="B3746" t="s">
        <v>5247</v>
      </c>
      <c r="C3746" t="s">
        <v>6342</v>
      </c>
      <c r="D3746" t="s">
        <v>4058</v>
      </c>
      <c r="E3746" t="s">
        <v>9935</v>
      </c>
      <c r="F3746" t="s">
        <v>16016</v>
      </c>
      <c r="G3746" t="s">
        <v>11666</v>
      </c>
      <c r="H3746" t="s">
        <v>5474</v>
      </c>
      <c r="I3746" t="s">
        <v>16017</v>
      </c>
      <c r="J3746" t="s">
        <v>5476</v>
      </c>
      <c r="K3746" t="s">
        <v>16018</v>
      </c>
      <c r="L3746" t="s">
        <v>5471</v>
      </c>
      <c r="M3746" t="s">
        <v>5471</v>
      </c>
    </row>
    <row r="3747" spans="1:13" x14ac:dyDescent="0.3">
      <c r="A3747" t="s">
        <v>3380</v>
      </c>
      <c r="B3747" t="s">
        <v>5247</v>
      </c>
      <c r="C3747" t="s">
        <v>6342</v>
      </c>
      <c r="D3747" t="s">
        <v>4058</v>
      </c>
      <c r="E3747" t="s">
        <v>9935</v>
      </c>
      <c r="F3747" t="s">
        <v>16019</v>
      </c>
      <c r="G3747" t="s">
        <v>11666</v>
      </c>
      <c r="H3747" t="s">
        <v>5474</v>
      </c>
      <c r="I3747" t="s">
        <v>16020</v>
      </c>
      <c r="J3747" t="s">
        <v>5476</v>
      </c>
      <c r="K3747" t="s">
        <v>16021</v>
      </c>
      <c r="L3747" t="s">
        <v>5471</v>
      </c>
      <c r="M3747" t="s">
        <v>5471</v>
      </c>
    </row>
    <row r="3748" spans="1:13" x14ac:dyDescent="0.3">
      <c r="A3748" t="s">
        <v>3380</v>
      </c>
      <c r="B3748" t="s">
        <v>5247</v>
      </c>
      <c r="C3748" t="s">
        <v>6342</v>
      </c>
      <c r="D3748" t="s">
        <v>4058</v>
      </c>
      <c r="E3748" t="s">
        <v>9935</v>
      </c>
      <c r="F3748" t="s">
        <v>16022</v>
      </c>
      <c r="G3748" t="s">
        <v>11666</v>
      </c>
      <c r="H3748" t="s">
        <v>5474</v>
      </c>
      <c r="I3748" t="s">
        <v>16023</v>
      </c>
      <c r="J3748" t="s">
        <v>5476</v>
      </c>
      <c r="K3748" t="s">
        <v>16024</v>
      </c>
      <c r="L3748" t="s">
        <v>5471</v>
      </c>
      <c r="M3748" t="s">
        <v>5471</v>
      </c>
    </row>
    <row r="3749" spans="1:13" x14ac:dyDescent="0.3">
      <c r="A3749" t="s">
        <v>3380</v>
      </c>
      <c r="B3749" t="s">
        <v>5247</v>
      </c>
      <c r="C3749" t="s">
        <v>6342</v>
      </c>
      <c r="D3749" t="s">
        <v>4056</v>
      </c>
      <c r="E3749" t="s">
        <v>9935</v>
      </c>
      <c r="F3749" t="s">
        <v>16025</v>
      </c>
      <c r="G3749" t="s">
        <v>11666</v>
      </c>
      <c r="H3749" t="s">
        <v>5474</v>
      </c>
      <c r="I3749" t="s">
        <v>16026</v>
      </c>
      <c r="J3749" t="s">
        <v>5476</v>
      </c>
      <c r="K3749" t="s">
        <v>16027</v>
      </c>
      <c r="L3749" t="s">
        <v>5471</v>
      </c>
      <c r="M3749" t="s">
        <v>5471</v>
      </c>
    </row>
    <row r="3750" spans="1:13" x14ac:dyDescent="0.3">
      <c r="A3750" t="s">
        <v>3380</v>
      </c>
      <c r="B3750" t="s">
        <v>5247</v>
      </c>
      <c r="C3750" t="s">
        <v>6342</v>
      </c>
      <c r="D3750" t="s">
        <v>4052</v>
      </c>
      <c r="E3750" t="s">
        <v>9935</v>
      </c>
      <c r="F3750" t="s">
        <v>16028</v>
      </c>
      <c r="G3750" t="s">
        <v>16029</v>
      </c>
      <c r="H3750" t="s">
        <v>5474</v>
      </c>
      <c r="I3750" t="s">
        <v>16030</v>
      </c>
      <c r="J3750" t="s">
        <v>5476</v>
      </c>
      <c r="K3750" t="s">
        <v>16031</v>
      </c>
      <c r="L3750" t="s">
        <v>5471</v>
      </c>
      <c r="M3750" t="s">
        <v>5471</v>
      </c>
    </row>
    <row r="3751" spans="1:13" x14ac:dyDescent="0.3">
      <c r="A3751" t="s">
        <v>3380</v>
      </c>
      <c r="B3751" t="s">
        <v>5247</v>
      </c>
      <c r="C3751" t="s">
        <v>6342</v>
      </c>
      <c r="D3751" t="s">
        <v>4058</v>
      </c>
      <c r="E3751" t="s">
        <v>9935</v>
      </c>
      <c r="F3751" t="s">
        <v>16032</v>
      </c>
      <c r="G3751" t="s">
        <v>16029</v>
      </c>
      <c r="H3751" t="s">
        <v>5474</v>
      </c>
      <c r="I3751" t="s">
        <v>16033</v>
      </c>
      <c r="J3751" t="s">
        <v>5476</v>
      </c>
      <c r="K3751" t="s">
        <v>16034</v>
      </c>
      <c r="L3751" t="s">
        <v>5471</v>
      </c>
      <c r="M3751" t="s">
        <v>5471</v>
      </c>
    </row>
    <row r="3752" spans="1:13" x14ac:dyDescent="0.3">
      <c r="A3752" t="s">
        <v>3380</v>
      </c>
      <c r="B3752" t="s">
        <v>5247</v>
      </c>
      <c r="C3752" t="s">
        <v>6342</v>
      </c>
      <c r="D3752" t="s">
        <v>4058</v>
      </c>
      <c r="E3752" t="s">
        <v>9935</v>
      </c>
      <c r="F3752" t="s">
        <v>16035</v>
      </c>
      <c r="G3752" t="s">
        <v>16029</v>
      </c>
      <c r="H3752" t="s">
        <v>5474</v>
      </c>
      <c r="I3752" t="s">
        <v>16036</v>
      </c>
      <c r="J3752" t="s">
        <v>5476</v>
      </c>
      <c r="K3752" t="s">
        <v>16037</v>
      </c>
      <c r="L3752" t="s">
        <v>5471</v>
      </c>
      <c r="M3752" t="s">
        <v>5471</v>
      </c>
    </row>
    <row r="3753" spans="1:13" x14ac:dyDescent="0.3">
      <c r="A3753" t="s">
        <v>3380</v>
      </c>
      <c r="B3753" t="s">
        <v>5247</v>
      </c>
      <c r="C3753" t="s">
        <v>6342</v>
      </c>
      <c r="D3753" t="s">
        <v>4058</v>
      </c>
      <c r="E3753" t="s">
        <v>9935</v>
      </c>
      <c r="F3753" t="s">
        <v>16038</v>
      </c>
      <c r="G3753" t="s">
        <v>16029</v>
      </c>
      <c r="H3753" t="s">
        <v>5474</v>
      </c>
      <c r="I3753" t="s">
        <v>16039</v>
      </c>
      <c r="J3753" t="s">
        <v>5476</v>
      </c>
      <c r="K3753" t="s">
        <v>16040</v>
      </c>
      <c r="L3753" t="s">
        <v>5471</v>
      </c>
      <c r="M3753" t="s">
        <v>5471</v>
      </c>
    </row>
    <row r="3754" spans="1:13" x14ac:dyDescent="0.3">
      <c r="A3754" t="s">
        <v>3380</v>
      </c>
      <c r="B3754" t="s">
        <v>5247</v>
      </c>
      <c r="C3754" t="s">
        <v>6342</v>
      </c>
      <c r="D3754" t="s">
        <v>4052</v>
      </c>
      <c r="E3754" t="s">
        <v>9935</v>
      </c>
      <c r="F3754" t="s">
        <v>16041</v>
      </c>
      <c r="G3754" t="s">
        <v>16042</v>
      </c>
      <c r="H3754" t="s">
        <v>5474</v>
      </c>
      <c r="I3754" t="s">
        <v>16043</v>
      </c>
      <c r="J3754" t="s">
        <v>5476</v>
      </c>
      <c r="K3754" t="s">
        <v>16044</v>
      </c>
      <c r="L3754" t="s">
        <v>5471</v>
      </c>
      <c r="M3754" t="s">
        <v>5471</v>
      </c>
    </row>
    <row r="3755" spans="1:13" x14ac:dyDescent="0.3">
      <c r="A3755" t="s">
        <v>3380</v>
      </c>
      <c r="B3755" t="s">
        <v>5247</v>
      </c>
      <c r="C3755" t="s">
        <v>6342</v>
      </c>
      <c r="D3755" t="s">
        <v>4058</v>
      </c>
      <c r="E3755" t="s">
        <v>9935</v>
      </c>
      <c r="F3755" t="s">
        <v>16045</v>
      </c>
      <c r="G3755" t="s">
        <v>16042</v>
      </c>
      <c r="H3755" t="s">
        <v>5474</v>
      </c>
      <c r="I3755" t="s">
        <v>16046</v>
      </c>
      <c r="J3755" t="s">
        <v>5476</v>
      </c>
      <c r="K3755" t="s">
        <v>16047</v>
      </c>
      <c r="L3755" t="s">
        <v>5471</v>
      </c>
      <c r="M3755" t="s">
        <v>5471</v>
      </c>
    </row>
    <row r="3756" spans="1:13" x14ac:dyDescent="0.3">
      <c r="A3756" t="s">
        <v>3380</v>
      </c>
      <c r="B3756" t="s">
        <v>5247</v>
      </c>
      <c r="C3756" t="s">
        <v>6342</v>
      </c>
      <c r="D3756" t="s">
        <v>4058</v>
      </c>
      <c r="E3756" t="s">
        <v>9935</v>
      </c>
      <c r="F3756" t="s">
        <v>16048</v>
      </c>
      <c r="G3756" t="s">
        <v>16042</v>
      </c>
      <c r="H3756" t="s">
        <v>5474</v>
      </c>
      <c r="I3756" t="s">
        <v>16049</v>
      </c>
      <c r="J3756" t="s">
        <v>5476</v>
      </c>
      <c r="K3756" t="s">
        <v>16050</v>
      </c>
      <c r="L3756" t="s">
        <v>5471</v>
      </c>
      <c r="M3756" t="s">
        <v>5471</v>
      </c>
    </row>
    <row r="3757" spans="1:13" x14ac:dyDescent="0.3">
      <c r="A3757" t="s">
        <v>3380</v>
      </c>
      <c r="B3757" t="s">
        <v>5247</v>
      </c>
      <c r="C3757" t="s">
        <v>6342</v>
      </c>
      <c r="D3757" t="s">
        <v>4058</v>
      </c>
      <c r="E3757" t="s">
        <v>9935</v>
      </c>
      <c r="F3757" t="s">
        <v>16051</v>
      </c>
      <c r="G3757" t="s">
        <v>16042</v>
      </c>
      <c r="H3757" t="s">
        <v>5474</v>
      </c>
      <c r="I3757" t="s">
        <v>16052</v>
      </c>
      <c r="J3757" t="s">
        <v>5476</v>
      </c>
      <c r="K3757" t="s">
        <v>16053</v>
      </c>
      <c r="L3757" t="s">
        <v>5471</v>
      </c>
      <c r="M3757" t="s">
        <v>5471</v>
      </c>
    </row>
    <row r="3758" spans="1:13" x14ac:dyDescent="0.3">
      <c r="A3758" t="s">
        <v>3380</v>
      </c>
      <c r="B3758" t="s">
        <v>5247</v>
      </c>
      <c r="C3758" t="s">
        <v>6342</v>
      </c>
      <c r="D3758" t="s">
        <v>4056</v>
      </c>
      <c r="E3758" t="s">
        <v>9935</v>
      </c>
      <c r="F3758" t="s">
        <v>16054</v>
      </c>
      <c r="G3758" t="s">
        <v>16042</v>
      </c>
      <c r="H3758" t="s">
        <v>5474</v>
      </c>
      <c r="I3758" t="s">
        <v>16055</v>
      </c>
      <c r="J3758" t="s">
        <v>5476</v>
      </c>
      <c r="K3758" t="s">
        <v>16056</v>
      </c>
      <c r="L3758" t="s">
        <v>5471</v>
      </c>
      <c r="M3758" t="s">
        <v>5471</v>
      </c>
    </row>
    <row r="3759" spans="1:13" x14ac:dyDescent="0.3">
      <c r="A3759" t="s">
        <v>3380</v>
      </c>
      <c r="B3759" t="s">
        <v>5247</v>
      </c>
      <c r="C3759" t="s">
        <v>6342</v>
      </c>
      <c r="D3759" t="s">
        <v>4052</v>
      </c>
      <c r="E3759" t="s">
        <v>9935</v>
      </c>
      <c r="F3759" t="s">
        <v>16057</v>
      </c>
      <c r="G3759" t="s">
        <v>16058</v>
      </c>
      <c r="H3759" t="s">
        <v>5474</v>
      </c>
      <c r="I3759" t="s">
        <v>16059</v>
      </c>
      <c r="J3759" t="s">
        <v>5476</v>
      </c>
      <c r="K3759" t="s">
        <v>16060</v>
      </c>
      <c r="L3759" t="s">
        <v>5471</v>
      </c>
      <c r="M3759" t="s">
        <v>5471</v>
      </c>
    </row>
    <row r="3760" spans="1:13" x14ac:dyDescent="0.3">
      <c r="A3760" t="s">
        <v>3380</v>
      </c>
      <c r="B3760" t="s">
        <v>5247</v>
      </c>
      <c r="C3760" t="s">
        <v>6342</v>
      </c>
      <c r="D3760" t="s">
        <v>4058</v>
      </c>
      <c r="E3760" t="s">
        <v>9935</v>
      </c>
      <c r="F3760" t="s">
        <v>16061</v>
      </c>
      <c r="G3760" t="s">
        <v>16058</v>
      </c>
      <c r="H3760" t="s">
        <v>5474</v>
      </c>
      <c r="I3760" t="s">
        <v>16062</v>
      </c>
      <c r="J3760" t="s">
        <v>5476</v>
      </c>
      <c r="K3760" t="s">
        <v>16063</v>
      </c>
      <c r="L3760" t="s">
        <v>5471</v>
      </c>
      <c r="M3760" t="s">
        <v>5471</v>
      </c>
    </row>
    <row r="3761" spans="1:13" x14ac:dyDescent="0.3">
      <c r="A3761" t="s">
        <v>3380</v>
      </c>
      <c r="B3761" t="s">
        <v>5247</v>
      </c>
      <c r="C3761" t="s">
        <v>6342</v>
      </c>
      <c r="D3761" t="s">
        <v>4058</v>
      </c>
      <c r="E3761" t="s">
        <v>9935</v>
      </c>
      <c r="F3761" t="s">
        <v>16064</v>
      </c>
      <c r="G3761" t="s">
        <v>16058</v>
      </c>
      <c r="H3761" t="s">
        <v>5474</v>
      </c>
      <c r="I3761" t="s">
        <v>16065</v>
      </c>
      <c r="J3761" t="s">
        <v>5476</v>
      </c>
      <c r="K3761" t="s">
        <v>16066</v>
      </c>
      <c r="L3761" t="s">
        <v>5471</v>
      </c>
      <c r="M3761" t="s">
        <v>5471</v>
      </c>
    </row>
    <row r="3762" spans="1:13" x14ac:dyDescent="0.3">
      <c r="A3762" t="s">
        <v>3380</v>
      </c>
      <c r="B3762" t="s">
        <v>5247</v>
      </c>
      <c r="C3762" t="s">
        <v>6342</v>
      </c>
      <c r="D3762" t="s">
        <v>4058</v>
      </c>
      <c r="E3762" t="s">
        <v>9935</v>
      </c>
      <c r="F3762" t="s">
        <v>16067</v>
      </c>
      <c r="G3762" t="s">
        <v>16058</v>
      </c>
      <c r="H3762" t="s">
        <v>5474</v>
      </c>
      <c r="I3762" t="s">
        <v>16068</v>
      </c>
      <c r="J3762" t="s">
        <v>5476</v>
      </c>
      <c r="K3762" t="s">
        <v>16069</v>
      </c>
      <c r="L3762" t="s">
        <v>5471</v>
      </c>
      <c r="M3762" t="s">
        <v>5471</v>
      </c>
    </row>
    <row r="3763" spans="1:13" x14ac:dyDescent="0.3">
      <c r="A3763" t="s">
        <v>3380</v>
      </c>
      <c r="B3763" t="s">
        <v>5247</v>
      </c>
      <c r="C3763" t="s">
        <v>6342</v>
      </c>
      <c r="D3763" t="s">
        <v>4056</v>
      </c>
      <c r="E3763" t="s">
        <v>9935</v>
      </c>
      <c r="F3763" t="s">
        <v>16070</v>
      </c>
      <c r="G3763" t="s">
        <v>16058</v>
      </c>
      <c r="H3763" t="s">
        <v>5474</v>
      </c>
      <c r="I3763" t="s">
        <v>16071</v>
      </c>
      <c r="J3763" t="s">
        <v>5476</v>
      </c>
      <c r="K3763" t="s">
        <v>16072</v>
      </c>
      <c r="L3763" t="s">
        <v>5471</v>
      </c>
      <c r="M3763" t="s">
        <v>5471</v>
      </c>
    </row>
    <row r="3764" spans="1:13" x14ac:dyDescent="0.3">
      <c r="A3764" t="s">
        <v>3380</v>
      </c>
      <c r="B3764" t="s">
        <v>5247</v>
      </c>
      <c r="C3764" t="s">
        <v>6342</v>
      </c>
      <c r="D3764" t="s">
        <v>4052</v>
      </c>
      <c r="E3764" t="s">
        <v>9935</v>
      </c>
      <c r="F3764" t="s">
        <v>16073</v>
      </c>
      <c r="G3764" t="s">
        <v>16074</v>
      </c>
      <c r="H3764" t="s">
        <v>5474</v>
      </c>
      <c r="I3764" t="s">
        <v>16075</v>
      </c>
      <c r="J3764" t="s">
        <v>5476</v>
      </c>
      <c r="K3764" t="s">
        <v>16076</v>
      </c>
      <c r="L3764" t="s">
        <v>5471</v>
      </c>
      <c r="M3764" t="s">
        <v>5471</v>
      </c>
    </row>
    <row r="3765" spans="1:13" x14ac:dyDescent="0.3">
      <c r="A3765" t="s">
        <v>3380</v>
      </c>
      <c r="B3765" t="s">
        <v>5247</v>
      </c>
      <c r="C3765" t="s">
        <v>6342</v>
      </c>
      <c r="D3765" t="s">
        <v>4058</v>
      </c>
      <c r="E3765" t="s">
        <v>9935</v>
      </c>
      <c r="F3765" t="s">
        <v>16077</v>
      </c>
      <c r="G3765" t="s">
        <v>16074</v>
      </c>
      <c r="H3765" t="s">
        <v>5474</v>
      </c>
      <c r="I3765" t="s">
        <v>16078</v>
      </c>
      <c r="J3765" t="s">
        <v>5476</v>
      </c>
      <c r="K3765" t="s">
        <v>16079</v>
      </c>
      <c r="L3765" t="s">
        <v>5471</v>
      </c>
      <c r="M3765" t="s">
        <v>5471</v>
      </c>
    </row>
    <row r="3766" spans="1:13" x14ac:dyDescent="0.3">
      <c r="A3766" t="s">
        <v>3380</v>
      </c>
      <c r="B3766" t="s">
        <v>15695</v>
      </c>
      <c r="C3766" t="s">
        <v>6342</v>
      </c>
      <c r="D3766" t="s">
        <v>4052</v>
      </c>
      <c r="E3766" t="s">
        <v>9935</v>
      </c>
      <c r="F3766" t="s">
        <v>16080</v>
      </c>
      <c r="G3766" t="s">
        <v>16081</v>
      </c>
      <c r="H3766" t="s">
        <v>5474</v>
      </c>
      <c r="I3766" t="s">
        <v>16082</v>
      </c>
      <c r="J3766" t="s">
        <v>5476</v>
      </c>
      <c r="K3766" t="s">
        <v>16083</v>
      </c>
      <c r="L3766" t="s">
        <v>5471</v>
      </c>
      <c r="M3766" t="s">
        <v>5471</v>
      </c>
    </row>
    <row r="3767" spans="1:13" x14ac:dyDescent="0.3">
      <c r="A3767" t="s">
        <v>3380</v>
      </c>
      <c r="B3767" t="s">
        <v>10051</v>
      </c>
      <c r="C3767" t="s">
        <v>6342</v>
      </c>
      <c r="D3767" t="s">
        <v>4119</v>
      </c>
      <c r="E3767" t="s">
        <v>9935</v>
      </c>
      <c r="F3767" t="s">
        <v>16084</v>
      </c>
      <c r="G3767" t="s">
        <v>16085</v>
      </c>
      <c r="H3767" t="s">
        <v>5474</v>
      </c>
      <c r="I3767" t="s">
        <v>16086</v>
      </c>
      <c r="J3767" t="s">
        <v>5476</v>
      </c>
      <c r="K3767" t="s">
        <v>11006</v>
      </c>
      <c r="L3767" t="s">
        <v>5471</v>
      </c>
      <c r="M3767" t="s">
        <v>5471</v>
      </c>
    </row>
    <row r="3768" spans="1:13" x14ac:dyDescent="0.3">
      <c r="A3768" t="s">
        <v>3380</v>
      </c>
      <c r="B3768" t="s">
        <v>10051</v>
      </c>
      <c r="C3768" t="s">
        <v>6342</v>
      </c>
      <c r="D3768" t="s">
        <v>4119</v>
      </c>
      <c r="E3768" t="s">
        <v>9935</v>
      </c>
      <c r="F3768" t="s">
        <v>16087</v>
      </c>
      <c r="G3768" t="s">
        <v>16085</v>
      </c>
      <c r="H3768" t="s">
        <v>5474</v>
      </c>
      <c r="I3768" t="s">
        <v>16088</v>
      </c>
      <c r="J3768" t="s">
        <v>5476</v>
      </c>
      <c r="K3768" t="s">
        <v>11012</v>
      </c>
      <c r="L3768" t="s">
        <v>5471</v>
      </c>
      <c r="M3768" t="s">
        <v>5471</v>
      </c>
    </row>
    <row r="3769" spans="1:13" x14ac:dyDescent="0.3">
      <c r="A3769" t="s">
        <v>3380</v>
      </c>
      <c r="B3769" t="s">
        <v>10051</v>
      </c>
      <c r="C3769" t="s">
        <v>6342</v>
      </c>
      <c r="D3769" t="s">
        <v>4119</v>
      </c>
      <c r="E3769" t="s">
        <v>9935</v>
      </c>
      <c r="F3769" t="s">
        <v>16089</v>
      </c>
      <c r="G3769" t="s">
        <v>16085</v>
      </c>
      <c r="H3769" t="s">
        <v>5474</v>
      </c>
      <c r="I3769" t="s">
        <v>16090</v>
      </c>
      <c r="J3769" t="s">
        <v>5476</v>
      </c>
      <c r="K3769" t="s">
        <v>11009</v>
      </c>
      <c r="L3769" t="s">
        <v>5471</v>
      </c>
      <c r="M3769" t="s">
        <v>5471</v>
      </c>
    </row>
    <row r="3770" spans="1:13" x14ac:dyDescent="0.3">
      <c r="A3770" t="s">
        <v>3380</v>
      </c>
      <c r="B3770" t="s">
        <v>5306</v>
      </c>
      <c r="C3770" t="s">
        <v>6342</v>
      </c>
      <c r="D3770" t="s">
        <v>4119</v>
      </c>
      <c r="E3770" t="s">
        <v>5480</v>
      </c>
      <c r="F3770" t="s">
        <v>16091</v>
      </c>
      <c r="G3770" t="s">
        <v>15601</v>
      </c>
      <c r="H3770" t="s">
        <v>5474</v>
      </c>
      <c r="I3770" t="s">
        <v>16092</v>
      </c>
      <c r="J3770" t="s">
        <v>5476</v>
      </c>
      <c r="K3770" t="s">
        <v>16093</v>
      </c>
      <c r="L3770" t="s">
        <v>5471</v>
      </c>
      <c r="M3770" t="s">
        <v>5471</v>
      </c>
    </row>
    <row r="3771" spans="1:13" x14ac:dyDescent="0.3">
      <c r="A3771" t="s">
        <v>3380</v>
      </c>
      <c r="B3771" t="s">
        <v>16094</v>
      </c>
      <c r="C3771" t="s">
        <v>6342</v>
      </c>
      <c r="D3771" t="s">
        <v>4119</v>
      </c>
      <c r="E3771" t="s">
        <v>5532</v>
      </c>
      <c r="F3771" t="s">
        <v>16095</v>
      </c>
      <c r="G3771" t="s">
        <v>16096</v>
      </c>
      <c r="H3771" t="s">
        <v>5474</v>
      </c>
      <c r="I3771" t="s">
        <v>16097</v>
      </c>
      <c r="J3771" t="s">
        <v>5476</v>
      </c>
      <c r="K3771" t="s">
        <v>16098</v>
      </c>
      <c r="L3771" t="s">
        <v>5471</v>
      </c>
      <c r="M3771" t="s">
        <v>5471</v>
      </c>
    </row>
    <row r="3772" spans="1:13" x14ac:dyDescent="0.3">
      <c r="A3772" t="s">
        <v>3380</v>
      </c>
      <c r="B3772" t="s">
        <v>16094</v>
      </c>
      <c r="C3772" t="s">
        <v>6342</v>
      </c>
      <c r="D3772" t="s">
        <v>4119</v>
      </c>
      <c r="E3772" t="s">
        <v>5532</v>
      </c>
      <c r="F3772" t="s">
        <v>16099</v>
      </c>
      <c r="G3772" t="s">
        <v>16096</v>
      </c>
      <c r="H3772" t="s">
        <v>5474</v>
      </c>
      <c r="I3772" t="s">
        <v>16100</v>
      </c>
      <c r="J3772" t="s">
        <v>5476</v>
      </c>
      <c r="K3772" t="s">
        <v>16101</v>
      </c>
      <c r="L3772" t="s">
        <v>5471</v>
      </c>
      <c r="M3772" t="s">
        <v>5471</v>
      </c>
    </row>
    <row r="3773" spans="1:13" x14ac:dyDescent="0.3">
      <c r="A3773" t="s">
        <v>3380</v>
      </c>
      <c r="B3773" t="s">
        <v>16102</v>
      </c>
      <c r="C3773" t="s">
        <v>6342</v>
      </c>
      <c r="D3773" t="s">
        <v>4119</v>
      </c>
      <c r="E3773" t="s">
        <v>5532</v>
      </c>
      <c r="F3773" t="s">
        <v>16103</v>
      </c>
      <c r="G3773" t="s">
        <v>16104</v>
      </c>
      <c r="H3773" t="s">
        <v>5474</v>
      </c>
      <c r="I3773" t="s">
        <v>16105</v>
      </c>
      <c r="J3773" t="s">
        <v>5476</v>
      </c>
      <c r="K3773" t="s">
        <v>16098</v>
      </c>
      <c r="L3773" t="s">
        <v>5471</v>
      </c>
      <c r="M3773" t="s">
        <v>5471</v>
      </c>
    </row>
    <row r="3774" spans="1:13" x14ac:dyDescent="0.3">
      <c r="A3774" t="s">
        <v>3380</v>
      </c>
      <c r="B3774" t="s">
        <v>16102</v>
      </c>
      <c r="C3774" t="s">
        <v>6342</v>
      </c>
      <c r="D3774" t="s">
        <v>4119</v>
      </c>
      <c r="E3774" t="s">
        <v>5532</v>
      </c>
      <c r="F3774" t="s">
        <v>16106</v>
      </c>
      <c r="G3774" t="s">
        <v>16104</v>
      </c>
      <c r="H3774" t="s">
        <v>5474</v>
      </c>
      <c r="I3774" t="s">
        <v>16107</v>
      </c>
      <c r="J3774" t="s">
        <v>5476</v>
      </c>
      <c r="K3774" t="s">
        <v>16101</v>
      </c>
      <c r="L3774" t="s">
        <v>5471</v>
      </c>
      <c r="M3774" t="s">
        <v>5471</v>
      </c>
    </row>
    <row r="3775" spans="1:13" x14ac:dyDescent="0.3">
      <c r="A3775" t="s">
        <v>3380</v>
      </c>
      <c r="B3775" t="s">
        <v>16102</v>
      </c>
      <c r="C3775" t="s">
        <v>6342</v>
      </c>
      <c r="D3775" t="s">
        <v>4119</v>
      </c>
      <c r="E3775" t="s">
        <v>5532</v>
      </c>
      <c r="F3775" t="s">
        <v>16108</v>
      </c>
      <c r="G3775" t="s">
        <v>16104</v>
      </c>
      <c r="H3775" t="s">
        <v>5474</v>
      </c>
      <c r="I3775" t="s">
        <v>16109</v>
      </c>
      <c r="J3775" t="s">
        <v>5476</v>
      </c>
      <c r="K3775" t="s">
        <v>16110</v>
      </c>
      <c r="L3775" t="s">
        <v>5471</v>
      </c>
      <c r="M3775" t="s">
        <v>5471</v>
      </c>
    </row>
    <row r="3776" spans="1:13" x14ac:dyDescent="0.3">
      <c r="A3776" t="s">
        <v>3380</v>
      </c>
      <c r="B3776" t="s">
        <v>16102</v>
      </c>
      <c r="C3776" t="s">
        <v>6342</v>
      </c>
      <c r="D3776" t="s">
        <v>4119</v>
      </c>
      <c r="E3776" t="s">
        <v>5532</v>
      </c>
      <c r="F3776" t="s">
        <v>16111</v>
      </c>
      <c r="G3776" t="s">
        <v>16104</v>
      </c>
      <c r="H3776" t="s">
        <v>5474</v>
      </c>
      <c r="I3776" t="s">
        <v>16112</v>
      </c>
      <c r="J3776" t="s">
        <v>5476</v>
      </c>
      <c r="K3776" t="s">
        <v>16113</v>
      </c>
      <c r="L3776" t="s">
        <v>5471</v>
      </c>
      <c r="M3776" t="s">
        <v>5471</v>
      </c>
    </row>
    <row r="3777" spans="1:13" x14ac:dyDescent="0.3">
      <c r="A3777" t="s">
        <v>3380</v>
      </c>
      <c r="B3777" t="s">
        <v>5247</v>
      </c>
      <c r="C3777" t="s">
        <v>6342</v>
      </c>
      <c r="D3777" t="s">
        <v>4058</v>
      </c>
      <c r="E3777" t="s">
        <v>9935</v>
      </c>
      <c r="F3777" t="s">
        <v>16114</v>
      </c>
      <c r="G3777" t="s">
        <v>16074</v>
      </c>
      <c r="H3777" t="s">
        <v>5474</v>
      </c>
      <c r="I3777" t="s">
        <v>16115</v>
      </c>
      <c r="J3777" t="s">
        <v>5476</v>
      </c>
      <c r="K3777" t="s">
        <v>16116</v>
      </c>
      <c r="L3777" t="s">
        <v>5471</v>
      </c>
      <c r="M3777" t="s">
        <v>5471</v>
      </c>
    </row>
    <row r="3778" spans="1:13" x14ac:dyDescent="0.3">
      <c r="A3778" t="s">
        <v>3380</v>
      </c>
      <c r="B3778" t="s">
        <v>5247</v>
      </c>
      <c r="C3778" t="s">
        <v>6342</v>
      </c>
      <c r="D3778" t="s">
        <v>4058</v>
      </c>
      <c r="E3778" t="s">
        <v>9935</v>
      </c>
      <c r="F3778" t="s">
        <v>16117</v>
      </c>
      <c r="G3778" t="s">
        <v>16074</v>
      </c>
      <c r="H3778" t="s">
        <v>5474</v>
      </c>
      <c r="I3778" t="s">
        <v>16118</v>
      </c>
      <c r="J3778" t="s">
        <v>5476</v>
      </c>
      <c r="K3778" t="s">
        <v>16119</v>
      </c>
      <c r="L3778" t="s">
        <v>5471</v>
      </c>
      <c r="M3778" t="s">
        <v>5471</v>
      </c>
    </row>
    <row r="3779" spans="1:13" x14ac:dyDescent="0.3">
      <c r="A3779" t="s">
        <v>3380</v>
      </c>
      <c r="B3779" t="s">
        <v>5247</v>
      </c>
      <c r="C3779" t="s">
        <v>6342</v>
      </c>
      <c r="D3779" t="s">
        <v>4056</v>
      </c>
      <c r="E3779" t="s">
        <v>9935</v>
      </c>
      <c r="F3779" t="s">
        <v>16120</v>
      </c>
      <c r="G3779" t="s">
        <v>16074</v>
      </c>
      <c r="H3779" t="s">
        <v>5474</v>
      </c>
      <c r="I3779" t="s">
        <v>16121</v>
      </c>
      <c r="J3779" t="s">
        <v>5476</v>
      </c>
      <c r="K3779" t="s">
        <v>16122</v>
      </c>
      <c r="L3779" t="s">
        <v>5471</v>
      </c>
      <c r="M3779" t="s">
        <v>5471</v>
      </c>
    </row>
    <row r="3780" spans="1:13" x14ac:dyDescent="0.3">
      <c r="A3780" t="s">
        <v>3380</v>
      </c>
      <c r="B3780" t="s">
        <v>5247</v>
      </c>
      <c r="C3780" t="s">
        <v>6342</v>
      </c>
      <c r="D3780" t="s">
        <v>4052</v>
      </c>
      <c r="E3780" t="s">
        <v>9935</v>
      </c>
      <c r="F3780" t="s">
        <v>16123</v>
      </c>
      <c r="G3780" t="s">
        <v>16124</v>
      </c>
      <c r="H3780" t="s">
        <v>5474</v>
      </c>
      <c r="I3780" t="s">
        <v>16125</v>
      </c>
      <c r="J3780" t="s">
        <v>5476</v>
      </c>
      <c r="K3780" t="s">
        <v>16126</v>
      </c>
      <c r="L3780" t="s">
        <v>5471</v>
      </c>
      <c r="M3780" t="s">
        <v>5471</v>
      </c>
    </row>
    <row r="3781" spans="1:13" x14ac:dyDescent="0.3">
      <c r="A3781" t="s">
        <v>3380</v>
      </c>
      <c r="B3781" t="s">
        <v>5247</v>
      </c>
      <c r="C3781" t="s">
        <v>6342</v>
      </c>
      <c r="D3781" t="s">
        <v>4058</v>
      </c>
      <c r="E3781" t="s">
        <v>9935</v>
      </c>
      <c r="F3781" t="s">
        <v>16127</v>
      </c>
      <c r="G3781" t="s">
        <v>16124</v>
      </c>
      <c r="H3781" t="s">
        <v>5474</v>
      </c>
      <c r="I3781" t="s">
        <v>16128</v>
      </c>
      <c r="J3781" t="s">
        <v>5476</v>
      </c>
      <c r="K3781" t="s">
        <v>16129</v>
      </c>
      <c r="L3781" t="s">
        <v>5471</v>
      </c>
      <c r="M3781" t="s">
        <v>5471</v>
      </c>
    </row>
    <row r="3782" spans="1:13" x14ac:dyDescent="0.3">
      <c r="A3782" t="s">
        <v>3380</v>
      </c>
      <c r="B3782" t="s">
        <v>5247</v>
      </c>
      <c r="C3782" t="s">
        <v>6342</v>
      </c>
      <c r="D3782" t="s">
        <v>4058</v>
      </c>
      <c r="E3782" t="s">
        <v>9935</v>
      </c>
      <c r="F3782" t="s">
        <v>16130</v>
      </c>
      <c r="G3782" t="s">
        <v>16124</v>
      </c>
      <c r="H3782" t="s">
        <v>5474</v>
      </c>
      <c r="I3782" t="s">
        <v>16131</v>
      </c>
      <c r="J3782" t="s">
        <v>5476</v>
      </c>
      <c r="K3782" t="s">
        <v>16132</v>
      </c>
      <c r="L3782" t="s">
        <v>5471</v>
      </c>
      <c r="M3782" t="s">
        <v>5471</v>
      </c>
    </row>
    <row r="3783" spans="1:13" x14ac:dyDescent="0.3">
      <c r="A3783" t="s">
        <v>3380</v>
      </c>
      <c r="B3783" t="s">
        <v>5247</v>
      </c>
      <c r="C3783" t="s">
        <v>6342</v>
      </c>
      <c r="D3783" t="s">
        <v>4058</v>
      </c>
      <c r="E3783" t="s">
        <v>9935</v>
      </c>
      <c r="F3783" t="s">
        <v>16133</v>
      </c>
      <c r="G3783" t="s">
        <v>16124</v>
      </c>
      <c r="H3783" t="s">
        <v>5474</v>
      </c>
      <c r="I3783" t="s">
        <v>16134</v>
      </c>
      <c r="J3783" t="s">
        <v>5476</v>
      </c>
      <c r="K3783" t="s">
        <v>16135</v>
      </c>
      <c r="L3783" t="s">
        <v>5471</v>
      </c>
      <c r="M3783" t="s">
        <v>5471</v>
      </c>
    </row>
    <row r="3784" spans="1:13" x14ac:dyDescent="0.3">
      <c r="A3784" t="s">
        <v>3380</v>
      </c>
      <c r="B3784" t="s">
        <v>5247</v>
      </c>
      <c r="C3784" t="s">
        <v>6342</v>
      </c>
      <c r="D3784" t="s">
        <v>4056</v>
      </c>
      <c r="E3784" t="s">
        <v>9935</v>
      </c>
      <c r="F3784" t="s">
        <v>16136</v>
      </c>
      <c r="G3784" t="s">
        <v>16124</v>
      </c>
      <c r="H3784" t="s">
        <v>5474</v>
      </c>
      <c r="I3784" t="s">
        <v>16137</v>
      </c>
      <c r="J3784" t="s">
        <v>5476</v>
      </c>
      <c r="K3784" t="s">
        <v>16138</v>
      </c>
      <c r="L3784" t="s">
        <v>5471</v>
      </c>
      <c r="M3784" t="s">
        <v>5471</v>
      </c>
    </row>
    <row r="3785" spans="1:13" x14ac:dyDescent="0.3">
      <c r="A3785" t="s">
        <v>3380</v>
      </c>
      <c r="B3785" t="s">
        <v>5247</v>
      </c>
      <c r="C3785" t="s">
        <v>6342</v>
      </c>
      <c r="D3785" t="s">
        <v>4052</v>
      </c>
      <c r="E3785" t="s">
        <v>9935</v>
      </c>
      <c r="F3785" t="s">
        <v>16139</v>
      </c>
      <c r="G3785" t="s">
        <v>16140</v>
      </c>
      <c r="H3785" t="s">
        <v>5474</v>
      </c>
      <c r="I3785" t="s">
        <v>16141</v>
      </c>
      <c r="J3785" t="s">
        <v>5476</v>
      </c>
      <c r="K3785" t="s">
        <v>16142</v>
      </c>
      <c r="L3785" t="s">
        <v>5471</v>
      </c>
      <c r="M3785" t="s">
        <v>5471</v>
      </c>
    </row>
    <row r="3786" spans="1:13" x14ac:dyDescent="0.3">
      <c r="A3786" t="s">
        <v>3380</v>
      </c>
      <c r="B3786" t="s">
        <v>5247</v>
      </c>
      <c r="C3786" t="s">
        <v>6342</v>
      </c>
      <c r="D3786" t="s">
        <v>4058</v>
      </c>
      <c r="E3786" t="s">
        <v>9935</v>
      </c>
      <c r="F3786" t="s">
        <v>16143</v>
      </c>
      <c r="G3786" t="s">
        <v>16140</v>
      </c>
      <c r="H3786" t="s">
        <v>5474</v>
      </c>
      <c r="I3786" t="s">
        <v>16144</v>
      </c>
      <c r="J3786" t="s">
        <v>5476</v>
      </c>
      <c r="K3786" t="s">
        <v>16145</v>
      </c>
      <c r="L3786" t="s">
        <v>5471</v>
      </c>
      <c r="M3786" t="s">
        <v>5471</v>
      </c>
    </row>
    <row r="3787" spans="1:13" x14ac:dyDescent="0.3">
      <c r="A3787" t="s">
        <v>3380</v>
      </c>
      <c r="B3787" t="s">
        <v>5247</v>
      </c>
      <c r="C3787" t="s">
        <v>6342</v>
      </c>
      <c r="D3787" t="s">
        <v>4052</v>
      </c>
      <c r="E3787" t="s">
        <v>9935</v>
      </c>
      <c r="F3787" t="s">
        <v>16146</v>
      </c>
      <c r="G3787" t="s">
        <v>16147</v>
      </c>
      <c r="H3787" t="s">
        <v>5474</v>
      </c>
      <c r="I3787" t="s">
        <v>16148</v>
      </c>
      <c r="J3787" t="s">
        <v>5476</v>
      </c>
      <c r="K3787" t="s">
        <v>16149</v>
      </c>
      <c r="L3787" t="s">
        <v>5471</v>
      </c>
      <c r="M3787" t="s">
        <v>5471</v>
      </c>
    </row>
    <row r="3788" spans="1:13" x14ac:dyDescent="0.3">
      <c r="A3788" t="s">
        <v>3380</v>
      </c>
      <c r="B3788" t="s">
        <v>5247</v>
      </c>
      <c r="C3788" t="s">
        <v>6342</v>
      </c>
      <c r="D3788" t="s">
        <v>4052</v>
      </c>
      <c r="E3788" t="s">
        <v>9935</v>
      </c>
      <c r="F3788" t="s">
        <v>16150</v>
      </c>
      <c r="G3788" t="s">
        <v>16147</v>
      </c>
      <c r="H3788" t="s">
        <v>5474</v>
      </c>
      <c r="I3788" t="s">
        <v>16151</v>
      </c>
      <c r="J3788" t="s">
        <v>5476</v>
      </c>
      <c r="K3788" t="s">
        <v>16152</v>
      </c>
      <c r="L3788" t="s">
        <v>5471</v>
      </c>
      <c r="M3788" t="s">
        <v>5471</v>
      </c>
    </row>
    <row r="3789" spans="1:13" x14ac:dyDescent="0.3">
      <c r="A3789" t="s">
        <v>3380</v>
      </c>
      <c r="B3789" t="s">
        <v>5247</v>
      </c>
      <c r="C3789" t="s">
        <v>6342</v>
      </c>
      <c r="D3789" t="s">
        <v>4052</v>
      </c>
      <c r="E3789" t="s">
        <v>9935</v>
      </c>
      <c r="F3789" t="s">
        <v>16153</v>
      </c>
      <c r="G3789" t="s">
        <v>16147</v>
      </c>
      <c r="H3789" t="s">
        <v>5474</v>
      </c>
      <c r="I3789" t="s">
        <v>16154</v>
      </c>
      <c r="J3789" t="s">
        <v>5476</v>
      </c>
      <c r="K3789" t="s">
        <v>16155</v>
      </c>
      <c r="L3789" t="s">
        <v>5471</v>
      </c>
      <c r="M3789" t="s">
        <v>5471</v>
      </c>
    </row>
    <row r="3790" spans="1:13" x14ac:dyDescent="0.3">
      <c r="A3790" t="s">
        <v>3380</v>
      </c>
      <c r="B3790" t="s">
        <v>5247</v>
      </c>
      <c r="C3790" t="s">
        <v>6342</v>
      </c>
      <c r="D3790" t="s">
        <v>4052</v>
      </c>
      <c r="E3790" t="s">
        <v>9935</v>
      </c>
      <c r="F3790" t="s">
        <v>16156</v>
      </c>
      <c r="G3790" t="s">
        <v>16147</v>
      </c>
      <c r="H3790" t="s">
        <v>5474</v>
      </c>
      <c r="I3790" t="s">
        <v>16157</v>
      </c>
      <c r="J3790" t="s">
        <v>5476</v>
      </c>
      <c r="K3790" t="s">
        <v>16158</v>
      </c>
      <c r="L3790" t="s">
        <v>5471</v>
      </c>
      <c r="M3790" t="s">
        <v>5471</v>
      </c>
    </row>
    <row r="3791" spans="1:13" x14ac:dyDescent="0.3">
      <c r="A3791" t="s">
        <v>3380</v>
      </c>
      <c r="B3791" t="s">
        <v>5247</v>
      </c>
      <c r="C3791" t="s">
        <v>6342</v>
      </c>
      <c r="D3791" t="s">
        <v>4052</v>
      </c>
      <c r="E3791" t="s">
        <v>9935</v>
      </c>
      <c r="F3791" t="s">
        <v>16159</v>
      </c>
      <c r="G3791" t="s">
        <v>16147</v>
      </c>
      <c r="H3791" t="s">
        <v>5474</v>
      </c>
      <c r="I3791" t="s">
        <v>16160</v>
      </c>
      <c r="J3791" t="s">
        <v>5476</v>
      </c>
      <c r="K3791" t="s">
        <v>16161</v>
      </c>
      <c r="L3791" t="s">
        <v>5471</v>
      </c>
      <c r="M3791" t="s">
        <v>5471</v>
      </c>
    </row>
    <row r="3792" spans="1:13" x14ac:dyDescent="0.3">
      <c r="A3792" t="s">
        <v>3380</v>
      </c>
      <c r="B3792" t="s">
        <v>5247</v>
      </c>
      <c r="C3792" t="s">
        <v>6342</v>
      </c>
      <c r="D3792" t="s">
        <v>4058</v>
      </c>
      <c r="E3792" t="s">
        <v>9935</v>
      </c>
      <c r="F3792" t="s">
        <v>16162</v>
      </c>
      <c r="G3792" t="s">
        <v>16147</v>
      </c>
      <c r="H3792" t="s">
        <v>5474</v>
      </c>
      <c r="I3792" t="s">
        <v>16163</v>
      </c>
      <c r="J3792" t="s">
        <v>5476</v>
      </c>
      <c r="K3792" t="s">
        <v>16164</v>
      </c>
      <c r="L3792" t="s">
        <v>5471</v>
      </c>
      <c r="M3792" t="s">
        <v>5471</v>
      </c>
    </row>
    <row r="3793" spans="1:13" x14ac:dyDescent="0.3">
      <c r="A3793" t="s">
        <v>3380</v>
      </c>
      <c r="B3793" t="s">
        <v>5247</v>
      </c>
      <c r="C3793" t="s">
        <v>6342</v>
      </c>
      <c r="D3793" t="s">
        <v>4058</v>
      </c>
      <c r="E3793" t="s">
        <v>9935</v>
      </c>
      <c r="F3793" t="s">
        <v>16165</v>
      </c>
      <c r="G3793" t="s">
        <v>16147</v>
      </c>
      <c r="H3793" t="s">
        <v>5474</v>
      </c>
      <c r="I3793" t="s">
        <v>16166</v>
      </c>
      <c r="J3793" t="s">
        <v>5476</v>
      </c>
      <c r="K3793" t="s">
        <v>16167</v>
      </c>
      <c r="L3793" t="s">
        <v>5471</v>
      </c>
      <c r="M3793" t="s">
        <v>5471</v>
      </c>
    </row>
    <row r="3794" spans="1:13" x14ac:dyDescent="0.3">
      <c r="A3794" t="s">
        <v>3380</v>
      </c>
      <c r="B3794" t="s">
        <v>5247</v>
      </c>
      <c r="C3794" t="s">
        <v>6342</v>
      </c>
      <c r="D3794" t="s">
        <v>4058</v>
      </c>
      <c r="E3794" t="s">
        <v>9935</v>
      </c>
      <c r="F3794" t="s">
        <v>16168</v>
      </c>
      <c r="G3794" t="s">
        <v>16147</v>
      </c>
      <c r="H3794" t="s">
        <v>5474</v>
      </c>
      <c r="I3794" t="s">
        <v>16169</v>
      </c>
      <c r="J3794" t="s">
        <v>5476</v>
      </c>
      <c r="K3794" t="s">
        <v>16170</v>
      </c>
      <c r="L3794" t="s">
        <v>5471</v>
      </c>
      <c r="M3794" t="s">
        <v>5471</v>
      </c>
    </row>
    <row r="3795" spans="1:13" x14ac:dyDescent="0.3">
      <c r="A3795" t="s">
        <v>3380</v>
      </c>
      <c r="B3795" t="s">
        <v>5247</v>
      </c>
      <c r="C3795" t="s">
        <v>6342</v>
      </c>
      <c r="D3795" t="s">
        <v>4058</v>
      </c>
      <c r="E3795" t="s">
        <v>9935</v>
      </c>
      <c r="F3795" t="s">
        <v>16171</v>
      </c>
      <c r="G3795" t="s">
        <v>16147</v>
      </c>
      <c r="H3795" t="s">
        <v>5474</v>
      </c>
      <c r="I3795" t="s">
        <v>16172</v>
      </c>
      <c r="J3795" t="s">
        <v>5476</v>
      </c>
      <c r="K3795" t="s">
        <v>16173</v>
      </c>
      <c r="L3795" t="s">
        <v>5471</v>
      </c>
      <c r="M3795" t="s">
        <v>5471</v>
      </c>
    </row>
    <row r="3796" spans="1:13" x14ac:dyDescent="0.3">
      <c r="A3796" t="s">
        <v>3380</v>
      </c>
      <c r="B3796" t="s">
        <v>16174</v>
      </c>
      <c r="C3796" t="s">
        <v>5487</v>
      </c>
      <c r="D3796" t="s">
        <v>4052</v>
      </c>
      <c r="E3796" t="s">
        <v>5532</v>
      </c>
      <c r="F3796" t="s">
        <v>16175</v>
      </c>
      <c r="G3796" t="s">
        <v>16176</v>
      </c>
      <c r="H3796" t="s">
        <v>5474</v>
      </c>
      <c r="I3796" t="s">
        <v>16177</v>
      </c>
      <c r="J3796" t="s">
        <v>5476</v>
      </c>
      <c r="K3796" t="s">
        <v>16178</v>
      </c>
      <c r="L3796" t="s">
        <v>5471</v>
      </c>
      <c r="M3796" t="s">
        <v>5471</v>
      </c>
    </row>
    <row r="3797" spans="1:13" x14ac:dyDescent="0.3">
      <c r="A3797" t="s">
        <v>3380</v>
      </c>
      <c r="B3797" t="s">
        <v>5247</v>
      </c>
      <c r="C3797" t="s">
        <v>6342</v>
      </c>
      <c r="D3797" t="s">
        <v>4058</v>
      </c>
      <c r="E3797" t="s">
        <v>9935</v>
      </c>
      <c r="F3797" t="s">
        <v>16179</v>
      </c>
      <c r="G3797" t="s">
        <v>16147</v>
      </c>
      <c r="H3797" t="s">
        <v>5474</v>
      </c>
      <c r="I3797" t="s">
        <v>16180</v>
      </c>
      <c r="J3797" t="s">
        <v>5476</v>
      </c>
      <c r="K3797" t="s">
        <v>16181</v>
      </c>
      <c r="L3797" t="s">
        <v>5471</v>
      </c>
      <c r="M3797" t="s">
        <v>5471</v>
      </c>
    </row>
    <row r="3798" spans="1:13" x14ac:dyDescent="0.3">
      <c r="A3798" t="s">
        <v>3380</v>
      </c>
      <c r="B3798" t="s">
        <v>5247</v>
      </c>
      <c r="C3798" t="s">
        <v>6342</v>
      </c>
      <c r="D3798" t="s">
        <v>4058</v>
      </c>
      <c r="E3798" t="s">
        <v>9935</v>
      </c>
      <c r="F3798" t="s">
        <v>16182</v>
      </c>
      <c r="G3798" t="s">
        <v>16147</v>
      </c>
      <c r="H3798" t="s">
        <v>5474</v>
      </c>
      <c r="I3798" t="s">
        <v>16183</v>
      </c>
      <c r="J3798" t="s">
        <v>5476</v>
      </c>
      <c r="K3798" t="s">
        <v>16184</v>
      </c>
      <c r="L3798" t="s">
        <v>5471</v>
      </c>
      <c r="M3798" t="s">
        <v>5471</v>
      </c>
    </row>
    <row r="3799" spans="1:13" x14ac:dyDescent="0.3">
      <c r="A3799" t="s">
        <v>3380</v>
      </c>
      <c r="B3799" t="s">
        <v>5247</v>
      </c>
      <c r="C3799" t="s">
        <v>6342</v>
      </c>
      <c r="D3799" t="s">
        <v>4058</v>
      </c>
      <c r="E3799" t="s">
        <v>9935</v>
      </c>
      <c r="F3799" t="s">
        <v>16185</v>
      </c>
      <c r="G3799" t="s">
        <v>16147</v>
      </c>
      <c r="H3799" t="s">
        <v>5474</v>
      </c>
      <c r="I3799" t="s">
        <v>16186</v>
      </c>
      <c r="J3799" t="s">
        <v>5476</v>
      </c>
      <c r="K3799" t="s">
        <v>16187</v>
      </c>
      <c r="L3799" t="s">
        <v>5471</v>
      </c>
      <c r="M3799" t="s">
        <v>5471</v>
      </c>
    </row>
    <row r="3800" spans="1:13" x14ac:dyDescent="0.3">
      <c r="A3800" t="s">
        <v>3380</v>
      </c>
      <c r="B3800" t="s">
        <v>5247</v>
      </c>
      <c r="C3800" t="s">
        <v>6342</v>
      </c>
      <c r="D3800" t="s">
        <v>4058</v>
      </c>
      <c r="E3800" t="s">
        <v>9935</v>
      </c>
      <c r="F3800" t="s">
        <v>16188</v>
      </c>
      <c r="G3800" t="s">
        <v>16147</v>
      </c>
      <c r="H3800" t="s">
        <v>5474</v>
      </c>
      <c r="I3800" t="s">
        <v>16189</v>
      </c>
      <c r="J3800" t="s">
        <v>5476</v>
      </c>
      <c r="K3800" t="s">
        <v>16190</v>
      </c>
      <c r="L3800" t="s">
        <v>5471</v>
      </c>
      <c r="M3800" t="s">
        <v>5471</v>
      </c>
    </row>
    <row r="3801" spans="1:13" x14ac:dyDescent="0.3">
      <c r="A3801" t="s">
        <v>3380</v>
      </c>
      <c r="B3801" t="s">
        <v>16174</v>
      </c>
      <c r="C3801" t="s">
        <v>5487</v>
      </c>
      <c r="D3801" t="s">
        <v>4058</v>
      </c>
      <c r="E3801" t="s">
        <v>5532</v>
      </c>
      <c r="F3801" t="s">
        <v>16191</v>
      </c>
      <c r="G3801" t="s">
        <v>16176</v>
      </c>
      <c r="H3801" t="s">
        <v>5474</v>
      </c>
      <c r="I3801" t="s">
        <v>16192</v>
      </c>
      <c r="J3801" t="s">
        <v>5476</v>
      </c>
      <c r="K3801" t="s">
        <v>16193</v>
      </c>
      <c r="L3801" t="s">
        <v>5471</v>
      </c>
      <c r="M3801" t="s">
        <v>5471</v>
      </c>
    </row>
    <row r="3802" spans="1:13" x14ac:dyDescent="0.3">
      <c r="A3802" t="s">
        <v>3380</v>
      </c>
      <c r="B3802" t="s">
        <v>16174</v>
      </c>
      <c r="C3802" t="s">
        <v>5487</v>
      </c>
      <c r="D3802" t="s">
        <v>4058</v>
      </c>
      <c r="E3802" t="s">
        <v>5532</v>
      </c>
      <c r="F3802" t="s">
        <v>16194</v>
      </c>
      <c r="G3802" t="s">
        <v>16176</v>
      </c>
      <c r="H3802" t="s">
        <v>5474</v>
      </c>
      <c r="I3802" t="s">
        <v>16195</v>
      </c>
      <c r="J3802" t="s">
        <v>5476</v>
      </c>
      <c r="K3802" t="s">
        <v>16196</v>
      </c>
      <c r="L3802" t="s">
        <v>5471</v>
      </c>
      <c r="M3802" t="s">
        <v>5471</v>
      </c>
    </row>
    <row r="3803" spans="1:13" x14ac:dyDescent="0.3">
      <c r="A3803" t="s">
        <v>3380</v>
      </c>
      <c r="B3803" t="s">
        <v>16174</v>
      </c>
      <c r="C3803" t="s">
        <v>5487</v>
      </c>
      <c r="D3803" t="s">
        <v>4056</v>
      </c>
      <c r="E3803" t="s">
        <v>5532</v>
      </c>
      <c r="F3803" t="s">
        <v>16197</v>
      </c>
      <c r="G3803" t="s">
        <v>16176</v>
      </c>
      <c r="H3803" t="s">
        <v>5474</v>
      </c>
      <c r="I3803" t="s">
        <v>16198</v>
      </c>
      <c r="J3803" t="s">
        <v>5476</v>
      </c>
      <c r="K3803" t="s">
        <v>16199</v>
      </c>
      <c r="L3803" t="s">
        <v>5471</v>
      </c>
      <c r="M3803" t="s">
        <v>5471</v>
      </c>
    </row>
    <row r="3804" spans="1:13" x14ac:dyDescent="0.3">
      <c r="A3804" t="s">
        <v>3380</v>
      </c>
      <c r="B3804" t="s">
        <v>16174</v>
      </c>
      <c r="C3804" t="s">
        <v>5487</v>
      </c>
      <c r="D3804" t="s">
        <v>4200</v>
      </c>
      <c r="E3804" t="s">
        <v>5532</v>
      </c>
      <c r="F3804" t="s">
        <v>16200</v>
      </c>
      <c r="G3804" t="s">
        <v>16176</v>
      </c>
      <c r="H3804" t="s">
        <v>5474</v>
      </c>
      <c r="I3804" t="s">
        <v>16201</v>
      </c>
      <c r="J3804" t="s">
        <v>5476</v>
      </c>
      <c r="K3804" t="s">
        <v>16202</v>
      </c>
      <c r="L3804" t="s">
        <v>5471</v>
      </c>
      <c r="M3804" t="s">
        <v>5471</v>
      </c>
    </row>
    <row r="3805" spans="1:13" x14ac:dyDescent="0.3">
      <c r="A3805" t="s">
        <v>3380</v>
      </c>
      <c r="B3805" t="s">
        <v>5247</v>
      </c>
      <c r="C3805" t="s">
        <v>6342</v>
      </c>
      <c r="D3805" t="s">
        <v>4058</v>
      </c>
      <c r="E3805" t="s">
        <v>9935</v>
      </c>
      <c r="F3805" t="s">
        <v>16203</v>
      </c>
      <c r="G3805" t="s">
        <v>16147</v>
      </c>
      <c r="H3805" t="s">
        <v>5474</v>
      </c>
      <c r="I3805" t="s">
        <v>16204</v>
      </c>
      <c r="J3805" t="s">
        <v>5476</v>
      </c>
      <c r="K3805" t="s">
        <v>16205</v>
      </c>
      <c r="L3805" t="s">
        <v>5471</v>
      </c>
      <c r="M3805" t="s">
        <v>5471</v>
      </c>
    </row>
    <row r="3806" spans="1:13" x14ac:dyDescent="0.3">
      <c r="A3806" t="s">
        <v>3380</v>
      </c>
      <c r="B3806" t="s">
        <v>5247</v>
      </c>
      <c r="C3806" t="s">
        <v>6342</v>
      </c>
      <c r="D3806" t="s">
        <v>4058</v>
      </c>
      <c r="E3806" t="s">
        <v>9935</v>
      </c>
      <c r="F3806" t="s">
        <v>16206</v>
      </c>
      <c r="G3806" t="s">
        <v>16147</v>
      </c>
      <c r="H3806" t="s">
        <v>5474</v>
      </c>
      <c r="I3806" t="s">
        <v>16207</v>
      </c>
      <c r="J3806" t="s">
        <v>5476</v>
      </c>
      <c r="K3806" t="s">
        <v>16208</v>
      </c>
      <c r="L3806" t="s">
        <v>5471</v>
      </c>
      <c r="M3806" t="s">
        <v>5471</v>
      </c>
    </row>
    <row r="3807" spans="1:13" x14ac:dyDescent="0.3">
      <c r="A3807" t="s">
        <v>3380</v>
      </c>
      <c r="B3807" t="s">
        <v>5247</v>
      </c>
      <c r="C3807" t="s">
        <v>6342</v>
      </c>
      <c r="D3807" t="s">
        <v>4056</v>
      </c>
      <c r="E3807" t="s">
        <v>9935</v>
      </c>
      <c r="F3807" t="s">
        <v>16209</v>
      </c>
      <c r="G3807" t="s">
        <v>16147</v>
      </c>
      <c r="H3807" t="s">
        <v>5474</v>
      </c>
      <c r="I3807" t="s">
        <v>16210</v>
      </c>
      <c r="J3807" t="s">
        <v>5476</v>
      </c>
      <c r="K3807" t="s">
        <v>16211</v>
      </c>
      <c r="L3807" t="s">
        <v>5471</v>
      </c>
      <c r="M3807" t="s">
        <v>5471</v>
      </c>
    </row>
    <row r="3808" spans="1:13" x14ac:dyDescent="0.3">
      <c r="A3808" t="s">
        <v>3380</v>
      </c>
      <c r="B3808" t="s">
        <v>5247</v>
      </c>
      <c r="C3808" t="s">
        <v>6342</v>
      </c>
      <c r="D3808" t="s">
        <v>4056</v>
      </c>
      <c r="E3808" t="s">
        <v>9935</v>
      </c>
      <c r="F3808" t="s">
        <v>16212</v>
      </c>
      <c r="G3808" t="s">
        <v>16147</v>
      </c>
      <c r="H3808" t="s">
        <v>5474</v>
      </c>
      <c r="I3808" t="s">
        <v>16213</v>
      </c>
      <c r="J3808" t="s">
        <v>5476</v>
      </c>
      <c r="K3808" t="s">
        <v>16214</v>
      </c>
      <c r="L3808" t="s">
        <v>5471</v>
      </c>
      <c r="M3808" t="s">
        <v>5471</v>
      </c>
    </row>
    <row r="3809" spans="1:13" x14ac:dyDescent="0.3">
      <c r="A3809" t="s">
        <v>3380</v>
      </c>
      <c r="B3809" t="s">
        <v>5247</v>
      </c>
      <c r="C3809" t="s">
        <v>6342</v>
      </c>
      <c r="D3809" t="s">
        <v>4056</v>
      </c>
      <c r="E3809" t="s">
        <v>9935</v>
      </c>
      <c r="F3809" t="s">
        <v>16215</v>
      </c>
      <c r="G3809" t="s">
        <v>16147</v>
      </c>
      <c r="H3809" t="s">
        <v>5474</v>
      </c>
      <c r="I3809" t="s">
        <v>16216</v>
      </c>
      <c r="J3809" t="s">
        <v>5476</v>
      </c>
      <c r="K3809" t="s">
        <v>16217</v>
      </c>
      <c r="L3809" t="s">
        <v>5471</v>
      </c>
      <c r="M3809" t="s">
        <v>5471</v>
      </c>
    </row>
    <row r="3810" spans="1:13" x14ac:dyDescent="0.3">
      <c r="A3810" t="s">
        <v>3380</v>
      </c>
      <c r="B3810" t="s">
        <v>5247</v>
      </c>
      <c r="C3810" t="s">
        <v>6342</v>
      </c>
      <c r="D3810" t="s">
        <v>4056</v>
      </c>
      <c r="E3810" t="s">
        <v>9935</v>
      </c>
      <c r="F3810" t="s">
        <v>16218</v>
      </c>
      <c r="G3810" t="s">
        <v>16147</v>
      </c>
      <c r="H3810" t="s">
        <v>5474</v>
      </c>
      <c r="I3810" t="s">
        <v>16219</v>
      </c>
      <c r="J3810" t="s">
        <v>5476</v>
      </c>
      <c r="K3810" t="s">
        <v>16220</v>
      </c>
      <c r="L3810" t="s">
        <v>5471</v>
      </c>
      <c r="M3810" t="s">
        <v>5471</v>
      </c>
    </row>
    <row r="3811" spans="1:13" x14ac:dyDescent="0.3">
      <c r="A3811" t="s">
        <v>3380</v>
      </c>
      <c r="B3811" t="s">
        <v>5247</v>
      </c>
      <c r="C3811" t="s">
        <v>6342</v>
      </c>
      <c r="D3811" t="s">
        <v>4052</v>
      </c>
      <c r="E3811" t="s">
        <v>9935</v>
      </c>
      <c r="F3811" t="s">
        <v>16221</v>
      </c>
      <c r="G3811" t="s">
        <v>16222</v>
      </c>
      <c r="H3811" t="s">
        <v>5474</v>
      </c>
      <c r="I3811" t="s">
        <v>16223</v>
      </c>
      <c r="J3811" t="s">
        <v>5476</v>
      </c>
      <c r="K3811" t="s">
        <v>16224</v>
      </c>
      <c r="L3811" t="s">
        <v>5471</v>
      </c>
      <c r="M3811" t="s">
        <v>5471</v>
      </c>
    </row>
    <row r="3812" spans="1:13" x14ac:dyDescent="0.3">
      <c r="A3812" t="s">
        <v>3380</v>
      </c>
      <c r="B3812" t="s">
        <v>5247</v>
      </c>
      <c r="C3812" t="s">
        <v>6342</v>
      </c>
      <c r="D3812" t="s">
        <v>4058</v>
      </c>
      <c r="E3812" t="s">
        <v>9935</v>
      </c>
      <c r="F3812" t="s">
        <v>16225</v>
      </c>
      <c r="G3812" t="s">
        <v>16222</v>
      </c>
      <c r="H3812" t="s">
        <v>5474</v>
      </c>
      <c r="I3812" t="s">
        <v>16226</v>
      </c>
      <c r="J3812" t="s">
        <v>5476</v>
      </c>
      <c r="K3812" t="s">
        <v>16227</v>
      </c>
      <c r="L3812" t="s">
        <v>5471</v>
      </c>
      <c r="M3812" t="s">
        <v>5471</v>
      </c>
    </row>
    <row r="3813" spans="1:13" x14ac:dyDescent="0.3">
      <c r="A3813" t="s">
        <v>3380</v>
      </c>
      <c r="B3813" t="s">
        <v>5247</v>
      </c>
      <c r="C3813" t="s">
        <v>6342</v>
      </c>
      <c r="D3813" t="s">
        <v>4058</v>
      </c>
      <c r="E3813" t="s">
        <v>9935</v>
      </c>
      <c r="F3813" t="s">
        <v>16228</v>
      </c>
      <c r="G3813" t="s">
        <v>16222</v>
      </c>
      <c r="H3813" t="s">
        <v>5474</v>
      </c>
      <c r="I3813" t="s">
        <v>16229</v>
      </c>
      <c r="J3813" t="s">
        <v>5476</v>
      </c>
      <c r="K3813" t="s">
        <v>16230</v>
      </c>
      <c r="L3813" t="s">
        <v>5471</v>
      </c>
      <c r="M3813" t="s">
        <v>5471</v>
      </c>
    </row>
    <row r="3814" spans="1:13" x14ac:dyDescent="0.3">
      <c r="A3814" t="s">
        <v>3380</v>
      </c>
      <c r="B3814" t="s">
        <v>5247</v>
      </c>
      <c r="C3814" t="s">
        <v>6342</v>
      </c>
      <c r="D3814" t="s">
        <v>4058</v>
      </c>
      <c r="E3814" t="s">
        <v>9935</v>
      </c>
      <c r="F3814" t="s">
        <v>16231</v>
      </c>
      <c r="G3814" t="s">
        <v>16222</v>
      </c>
      <c r="H3814" t="s">
        <v>5474</v>
      </c>
      <c r="I3814" t="s">
        <v>16232</v>
      </c>
      <c r="J3814" t="s">
        <v>5476</v>
      </c>
      <c r="K3814" t="s">
        <v>16233</v>
      </c>
      <c r="L3814" t="s">
        <v>5471</v>
      </c>
      <c r="M3814" t="s">
        <v>5471</v>
      </c>
    </row>
    <row r="3815" spans="1:13" x14ac:dyDescent="0.3">
      <c r="A3815" t="s">
        <v>3380</v>
      </c>
      <c r="B3815" t="s">
        <v>5247</v>
      </c>
      <c r="C3815" t="s">
        <v>6342</v>
      </c>
      <c r="D3815" t="s">
        <v>4056</v>
      </c>
      <c r="E3815" t="s">
        <v>9935</v>
      </c>
      <c r="F3815" t="s">
        <v>16234</v>
      </c>
      <c r="G3815" t="s">
        <v>16222</v>
      </c>
      <c r="H3815" t="s">
        <v>5474</v>
      </c>
      <c r="I3815" t="s">
        <v>16235</v>
      </c>
      <c r="J3815" t="s">
        <v>5476</v>
      </c>
      <c r="K3815" t="s">
        <v>16236</v>
      </c>
      <c r="L3815" t="s">
        <v>5471</v>
      </c>
      <c r="M3815" t="s">
        <v>5471</v>
      </c>
    </row>
    <row r="3816" spans="1:13" x14ac:dyDescent="0.3">
      <c r="A3816" t="s">
        <v>3380</v>
      </c>
      <c r="B3816" t="s">
        <v>5247</v>
      </c>
      <c r="C3816" t="s">
        <v>6342</v>
      </c>
      <c r="D3816" t="s">
        <v>4058</v>
      </c>
      <c r="E3816" t="s">
        <v>5532</v>
      </c>
      <c r="F3816" t="s">
        <v>16237</v>
      </c>
      <c r="G3816" t="s">
        <v>16238</v>
      </c>
      <c r="H3816" t="s">
        <v>5474</v>
      </c>
      <c r="I3816" t="s">
        <v>16239</v>
      </c>
      <c r="J3816" t="s">
        <v>5476</v>
      </c>
      <c r="K3816" t="s">
        <v>14781</v>
      </c>
      <c r="L3816" t="s">
        <v>5471</v>
      </c>
      <c r="M3816" t="s">
        <v>5471</v>
      </c>
    </row>
    <row r="3817" spans="1:13" x14ac:dyDescent="0.3">
      <c r="A3817" t="s">
        <v>3380</v>
      </c>
      <c r="B3817" t="s">
        <v>5247</v>
      </c>
      <c r="C3817" t="s">
        <v>6342</v>
      </c>
      <c r="D3817" t="s">
        <v>4058</v>
      </c>
      <c r="E3817" t="s">
        <v>5532</v>
      </c>
      <c r="F3817" t="s">
        <v>16240</v>
      </c>
      <c r="G3817" t="s">
        <v>16238</v>
      </c>
      <c r="H3817" t="s">
        <v>5474</v>
      </c>
      <c r="I3817" t="s">
        <v>16241</v>
      </c>
      <c r="J3817" t="s">
        <v>5476</v>
      </c>
      <c r="K3817" t="s">
        <v>16242</v>
      </c>
      <c r="L3817" t="s">
        <v>5471</v>
      </c>
      <c r="M3817" t="s">
        <v>5471</v>
      </c>
    </row>
    <row r="3818" spans="1:13" x14ac:dyDescent="0.3">
      <c r="A3818" t="s">
        <v>3380</v>
      </c>
      <c r="B3818" t="s">
        <v>16243</v>
      </c>
      <c r="C3818" t="s">
        <v>6342</v>
      </c>
      <c r="D3818" t="s">
        <v>4119</v>
      </c>
      <c r="E3818" t="s">
        <v>5532</v>
      </c>
      <c r="F3818" t="s">
        <v>16244</v>
      </c>
      <c r="G3818" t="s">
        <v>16245</v>
      </c>
      <c r="H3818" t="s">
        <v>5474</v>
      </c>
      <c r="I3818" t="s">
        <v>16246</v>
      </c>
      <c r="J3818" t="s">
        <v>5476</v>
      </c>
      <c r="K3818" t="s">
        <v>16110</v>
      </c>
      <c r="L3818" t="s">
        <v>5471</v>
      </c>
      <c r="M3818" t="s">
        <v>5471</v>
      </c>
    </row>
    <row r="3819" spans="1:13" x14ac:dyDescent="0.3">
      <c r="A3819" t="s">
        <v>3380</v>
      </c>
      <c r="B3819" t="s">
        <v>16247</v>
      </c>
      <c r="C3819" t="s">
        <v>6342</v>
      </c>
      <c r="D3819" t="s">
        <v>4119</v>
      </c>
      <c r="E3819" t="s">
        <v>5532</v>
      </c>
      <c r="F3819" t="s">
        <v>16248</v>
      </c>
      <c r="G3819" t="s">
        <v>16249</v>
      </c>
      <c r="H3819" t="s">
        <v>5474</v>
      </c>
      <c r="I3819" t="s">
        <v>16250</v>
      </c>
      <c r="J3819" t="s">
        <v>5476</v>
      </c>
      <c r="K3819" t="s">
        <v>16110</v>
      </c>
      <c r="L3819" t="s">
        <v>5471</v>
      </c>
      <c r="M3819" t="s">
        <v>5471</v>
      </c>
    </row>
    <row r="3820" spans="1:13" x14ac:dyDescent="0.3">
      <c r="A3820" t="s">
        <v>3380</v>
      </c>
      <c r="B3820" t="s">
        <v>5247</v>
      </c>
      <c r="C3820" t="s">
        <v>6342</v>
      </c>
      <c r="D3820" t="s">
        <v>4058</v>
      </c>
      <c r="E3820" t="s">
        <v>5532</v>
      </c>
      <c r="F3820" t="s">
        <v>16251</v>
      </c>
      <c r="G3820" t="s">
        <v>16238</v>
      </c>
      <c r="H3820" t="s">
        <v>5474</v>
      </c>
      <c r="I3820" t="s">
        <v>16252</v>
      </c>
      <c r="J3820" t="s">
        <v>5476</v>
      </c>
      <c r="K3820" t="s">
        <v>16253</v>
      </c>
      <c r="L3820" t="s">
        <v>5471</v>
      </c>
      <c r="M3820" t="s">
        <v>5471</v>
      </c>
    </row>
    <row r="3821" spans="1:13" x14ac:dyDescent="0.3">
      <c r="A3821" t="s">
        <v>3380</v>
      </c>
      <c r="B3821" t="s">
        <v>5247</v>
      </c>
      <c r="C3821" t="s">
        <v>6342</v>
      </c>
      <c r="D3821" t="s">
        <v>4056</v>
      </c>
      <c r="E3821" t="s">
        <v>5532</v>
      </c>
      <c r="F3821" t="s">
        <v>16254</v>
      </c>
      <c r="G3821" t="s">
        <v>16238</v>
      </c>
      <c r="H3821" t="s">
        <v>5474</v>
      </c>
      <c r="I3821" t="s">
        <v>16255</v>
      </c>
      <c r="J3821" t="s">
        <v>5476</v>
      </c>
      <c r="K3821" t="s">
        <v>16256</v>
      </c>
      <c r="L3821" t="s">
        <v>5471</v>
      </c>
      <c r="M3821" t="s">
        <v>5471</v>
      </c>
    </row>
    <row r="3822" spans="1:13" x14ac:dyDescent="0.3">
      <c r="A3822" t="s">
        <v>3380</v>
      </c>
      <c r="B3822" t="s">
        <v>16257</v>
      </c>
      <c r="C3822" t="s">
        <v>6342</v>
      </c>
      <c r="D3822" t="s">
        <v>4119</v>
      </c>
      <c r="E3822" t="s">
        <v>5532</v>
      </c>
      <c r="F3822" t="s">
        <v>16258</v>
      </c>
      <c r="G3822" t="s">
        <v>16259</v>
      </c>
      <c r="H3822" t="s">
        <v>5474</v>
      </c>
      <c r="I3822" t="s">
        <v>16260</v>
      </c>
      <c r="J3822" t="s">
        <v>5476</v>
      </c>
      <c r="K3822" t="s">
        <v>16110</v>
      </c>
      <c r="L3822" t="s">
        <v>5471</v>
      </c>
      <c r="M3822" t="s">
        <v>5471</v>
      </c>
    </row>
    <row r="3823" spans="1:13" x14ac:dyDescent="0.3">
      <c r="A3823" t="s">
        <v>3380</v>
      </c>
      <c r="B3823" t="s">
        <v>16261</v>
      </c>
      <c r="C3823" t="s">
        <v>6342</v>
      </c>
      <c r="D3823" t="s">
        <v>4119</v>
      </c>
      <c r="E3823" t="s">
        <v>5532</v>
      </c>
      <c r="F3823" t="s">
        <v>16262</v>
      </c>
      <c r="G3823" t="s">
        <v>16263</v>
      </c>
      <c r="H3823" t="s">
        <v>5474</v>
      </c>
      <c r="I3823" t="s">
        <v>16264</v>
      </c>
      <c r="J3823" t="s">
        <v>5476</v>
      </c>
      <c r="K3823" t="s">
        <v>16110</v>
      </c>
      <c r="L3823" t="s">
        <v>5471</v>
      </c>
      <c r="M3823" t="s">
        <v>5471</v>
      </c>
    </row>
    <row r="3824" spans="1:13" x14ac:dyDescent="0.3">
      <c r="A3824" t="s">
        <v>3380</v>
      </c>
      <c r="B3824" t="s">
        <v>5247</v>
      </c>
      <c r="C3824" t="s">
        <v>6342</v>
      </c>
      <c r="D3824" t="s">
        <v>4200</v>
      </c>
      <c r="E3824" t="s">
        <v>5532</v>
      </c>
      <c r="F3824" t="s">
        <v>16265</v>
      </c>
      <c r="G3824" t="s">
        <v>16238</v>
      </c>
      <c r="H3824" t="s">
        <v>5474</v>
      </c>
      <c r="I3824" t="s">
        <v>16266</v>
      </c>
      <c r="J3824" t="s">
        <v>5476</v>
      </c>
      <c r="K3824" t="s">
        <v>16267</v>
      </c>
      <c r="L3824" t="s">
        <v>5471</v>
      </c>
      <c r="M3824" t="s">
        <v>5471</v>
      </c>
    </row>
    <row r="3825" spans="1:13" x14ac:dyDescent="0.3">
      <c r="A3825" t="s">
        <v>3380</v>
      </c>
      <c r="B3825" t="s">
        <v>16268</v>
      </c>
      <c r="C3825" t="s">
        <v>6342</v>
      </c>
      <c r="D3825" t="s">
        <v>10218</v>
      </c>
      <c r="E3825" t="s">
        <v>5480</v>
      </c>
      <c r="F3825" t="s">
        <v>16269</v>
      </c>
      <c r="G3825" t="s">
        <v>16270</v>
      </c>
      <c r="H3825" t="s">
        <v>5474</v>
      </c>
      <c r="I3825" t="s">
        <v>16271</v>
      </c>
      <c r="J3825" t="s">
        <v>5476</v>
      </c>
      <c r="K3825" t="s">
        <v>16272</v>
      </c>
      <c r="L3825" t="s">
        <v>5471</v>
      </c>
      <c r="M3825" t="s">
        <v>5471</v>
      </c>
    </row>
    <row r="3826" spans="1:13" x14ac:dyDescent="0.3">
      <c r="A3826" t="s">
        <v>3380</v>
      </c>
      <c r="B3826" t="s">
        <v>5247</v>
      </c>
      <c r="C3826" t="s">
        <v>6342</v>
      </c>
      <c r="D3826" t="s">
        <v>4058</v>
      </c>
      <c r="E3826" t="s">
        <v>5532</v>
      </c>
      <c r="F3826" t="s">
        <v>16273</v>
      </c>
      <c r="G3826" t="s">
        <v>16274</v>
      </c>
      <c r="H3826" t="s">
        <v>5474</v>
      </c>
      <c r="I3826" t="s">
        <v>16275</v>
      </c>
      <c r="J3826" t="s">
        <v>5476</v>
      </c>
      <c r="K3826" t="s">
        <v>15811</v>
      </c>
      <c r="L3826" t="s">
        <v>5471</v>
      </c>
      <c r="M3826" t="s">
        <v>5471</v>
      </c>
    </row>
    <row r="3827" spans="1:13" x14ac:dyDescent="0.3">
      <c r="A3827" t="s">
        <v>3380</v>
      </c>
      <c r="B3827" t="s">
        <v>15592</v>
      </c>
      <c r="C3827" t="s">
        <v>5487</v>
      </c>
      <c r="D3827" t="s">
        <v>10218</v>
      </c>
      <c r="E3827" t="s">
        <v>5843</v>
      </c>
      <c r="F3827" t="s">
        <v>16276</v>
      </c>
      <c r="G3827" t="s">
        <v>16277</v>
      </c>
      <c r="H3827" t="s">
        <v>5474</v>
      </c>
      <c r="I3827" t="s">
        <v>16278</v>
      </c>
      <c r="J3827" t="s">
        <v>5476</v>
      </c>
      <c r="K3827" t="s">
        <v>16279</v>
      </c>
      <c r="L3827" t="s">
        <v>5471</v>
      </c>
      <c r="M3827" t="s">
        <v>5471</v>
      </c>
    </row>
    <row r="3828" spans="1:13" x14ac:dyDescent="0.3">
      <c r="A3828" t="s">
        <v>3380</v>
      </c>
      <c r="B3828" t="s">
        <v>5247</v>
      </c>
      <c r="C3828" t="s">
        <v>6342</v>
      </c>
      <c r="D3828" t="s">
        <v>4058</v>
      </c>
      <c r="E3828" t="s">
        <v>5532</v>
      </c>
      <c r="F3828" t="s">
        <v>16280</v>
      </c>
      <c r="G3828" t="s">
        <v>16274</v>
      </c>
      <c r="H3828" t="s">
        <v>5474</v>
      </c>
      <c r="I3828" t="s">
        <v>16281</v>
      </c>
      <c r="J3828" t="s">
        <v>5476</v>
      </c>
      <c r="K3828" t="s">
        <v>16282</v>
      </c>
      <c r="L3828" t="s">
        <v>5471</v>
      </c>
      <c r="M3828" t="s">
        <v>5471</v>
      </c>
    </row>
    <row r="3829" spans="1:13" x14ac:dyDescent="0.3">
      <c r="A3829" t="s">
        <v>3380</v>
      </c>
      <c r="B3829" t="s">
        <v>15901</v>
      </c>
      <c r="C3829" t="s">
        <v>6342</v>
      </c>
      <c r="D3829" t="s">
        <v>10218</v>
      </c>
      <c r="E3829" t="s">
        <v>5843</v>
      </c>
      <c r="F3829" t="s">
        <v>16283</v>
      </c>
      <c r="G3829" t="s">
        <v>16284</v>
      </c>
      <c r="H3829" t="s">
        <v>5474</v>
      </c>
      <c r="I3829" t="s">
        <v>16285</v>
      </c>
      <c r="J3829" t="s">
        <v>5476</v>
      </c>
      <c r="K3829" t="s">
        <v>16286</v>
      </c>
      <c r="L3829" t="s">
        <v>5471</v>
      </c>
      <c r="M3829" t="s">
        <v>5471</v>
      </c>
    </row>
    <row r="3830" spans="1:13" x14ac:dyDescent="0.3">
      <c r="A3830" t="s">
        <v>3380</v>
      </c>
      <c r="B3830" t="s">
        <v>5247</v>
      </c>
      <c r="C3830" t="s">
        <v>6342</v>
      </c>
      <c r="D3830" t="s">
        <v>4058</v>
      </c>
      <c r="E3830" t="s">
        <v>5532</v>
      </c>
      <c r="F3830" t="s">
        <v>16287</v>
      </c>
      <c r="G3830" t="s">
        <v>16274</v>
      </c>
      <c r="H3830" t="s">
        <v>5474</v>
      </c>
      <c r="I3830" t="s">
        <v>16288</v>
      </c>
      <c r="J3830" t="s">
        <v>5476</v>
      </c>
      <c r="K3830" t="s">
        <v>16289</v>
      </c>
      <c r="L3830" t="s">
        <v>5471</v>
      </c>
      <c r="M3830" t="s">
        <v>5471</v>
      </c>
    </row>
    <row r="3831" spans="1:13" x14ac:dyDescent="0.3">
      <c r="A3831" t="s">
        <v>3380</v>
      </c>
      <c r="B3831" t="s">
        <v>5247</v>
      </c>
      <c r="C3831" t="s">
        <v>6342</v>
      </c>
      <c r="D3831" t="s">
        <v>4056</v>
      </c>
      <c r="E3831" t="s">
        <v>5532</v>
      </c>
      <c r="F3831" t="s">
        <v>16290</v>
      </c>
      <c r="G3831" t="s">
        <v>16274</v>
      </c>
      <c r="H3831" t="s">
        <v>5474</v>
      </c>
      <c r="I3831" t="s">
        <v>16291</v>
      </c>
      <c r="J3831" t="s">
        <v>5476</v>
      </c>
      <c r="K3831" t="s">
        <v>16292</v>
      </c>
      <c r="L3831" t="s">
        <v>5471</v>
      </c>
      <c r="M3831" t="s">
        <v>5471</v>
      </c>
    </row>
    <row r="3832" spans="1:13" x14ac:dyDescent="0.3">
      <c r="A3832" t="s">
        <v>3380</v>
      </c>
      <c r="B3832" t="s">
        <v>5247</v>
      </c>
      <c r="C3832" t="s">
        <v>6342</v>
      </c>
      <c r="D3832" t="s">
        <v>4200</v>
      </c>
      <c r="E3832" t="s">
        <v>5532</v>
      </c>
      <c r="F3832" t="s">
        <v>16293</v>
      </c>
      <c r="G3832" t="s">
        <v>16274</v>
      </c>
      <c r="H3832" t="s">
        <v>5474</v>
      </c>
      <c r="I3832" t="s">
        <v>16294</v>
      </c>
      <c r="J3832" t="s">
        <v>5476</v>
      </c>
      <c r="K3832" t="s">
        <v>16267</v>
      </c>
      <c r="L3832" t="s">
        <v>5471</v>
      </c>
      <c r="M3832" t="s">
        <v>5471</v>
      </c>
    </row>
    <row r="3833" spans="1:13" x14ac:dyDescent="0.3">
      <c r="A3833" t="s">
        <v>3380</v>
      </c>
      <c r="B3833" t="s">
        <v>16268</v>
      </c>
      <c r="C3833" t="s">
        <v>6342</v>
      </c>
      <c r="D3833" t="s">
        <v>10218</v>
      </c>
      <c r="E3833" t="s">
        <v>5532</v>
      </c>
      <c r="F3833" t="s">
        <v>16295</v>
      </c>
      <c r="G3833" t="s">
        <v>16296</v>
      </c>
      <c r="H3833" t="s">
        <v>5474</v>
      </c>
      <c r="I3833" t="s">
        <v>16297</v>
      </c>
      <c r="J3833" t="s">
        <v>5476</v>
      </c>
      <c r="K3833" t="s">
        <v>16298</v>
      </c>
      <c r="L3833" t="s">
        <v>5471</v>
      </c>
      <c r="M3833" t="s">
        <v>5471</v>
      </c>
    </row>
    <row r="3834" spans="1:13" x14ac:dyDescent="0.3">
      <c r="A3834" t="s">
        <v>3380</v>
      </c>
      <c r="B3834" t="s">
        <v>16299</v>
      </c>
      <c r="C3834" t="s">
        <v>6342</v>
      </c>
      <c r="D3834" t="s">
        <v>10218</v>
      </c>
      <c r="E3834" t="s">
        <v>5532</v>
      </c>
      <c r="F3834" t="s">
        <v>16300</v>
      </c>
      <c r="G3834" t="s">
        <v>16301</v>
      </c>
      <c r="H3834" t="s">
        <v>5474</v>
      </c>
      <c r="I3834" t="s">
        <v>16302</v>
      </c>
      <c r="J3834" t="s">
        <v>5476</v>
      </c>
      <c r="K3834" t="s">
        <v>16303</v>
      </c>
      <c r="L3834" t="s">
        <v>5471</v>
      </c>
      <c r="M3834" t="s">
        <v>5471</v>
      </c>
    </row>
    <row r="3835" spans="1:13" x14ac:dyDescent="0.3">
      <c r="A3835" t="s">
        <v>3380</v>
      </c>
      <c r="B3835" t="s">
        <v>10105</v>
      </c>
      <c r="C3835" t="s">
        <v>6342</v>
      </c>
      <c r="D3835" t="s">
        <v>10218</v>
      </c>
      <c r="E3835" t="s">
        <v>5532</v>
      </c>
      <c r="F3835" t="s">
        <v>16304</v>
      </c>
      <c r="G3835" t="s">
        <v>10107</v>
      </c>
      <c r="H3835" t="s">
        <v>5474</v>
      </c>
      <c r="I3835" t="s">
        <v>16305</v>
      </c>
      <c r="J3835" t="s">
        <v>5476</v>
      </c>
      <c r="K3835" t="s">
        <v>16306</v>
      </c>
      <c r="L3835" t="s">
        <v>5471</v>
      </c>
      <c r="M3835" t="s">
        <v>5471</v>
      </c>
    </row>
    <row r="3836" spans="1:13" x14ac:dyDescent="0.3">
      <c r="A3836" t="s">
        <v>3380</v>
      </c>
      <c r="B3836" t="s">
        <v>10105</v>
      </c>
      <c r="C3836" t="s">
        <v>6342</v>
      </c>
      <c r="D3836" t="s">
        <v>10218</v>
      </c>
      <c r="E3836" t="s">
        <v>5532</v>
      </c>
      <c r="F3836" t="s">
        <v>16307</v>
      </c>
      <c r="G3836" t="s">
        <v>16308</v>
      </c>
      <c r="H3836" t="s">
        <v>5474</v>
      </c>
      <c r="I3836" t="s">
        <v>16309</v>
      </c>
      <c r="J3836" t="s">
        <v>5476</v>
      </c>
      <c r="K3836" t="s">
        <v>16310</v>
      </c>
      <c r="L3836" t="s">
        <v>5471</v>
      </c>
      <c r="M3836" t="s">
        <v>5471</v>
      </c>
    </row>
    <row r="3837" spans="1:13" x14ac:dyDescent="0.3">
      <c r="A3837" t="s">
        <v>3380</v>
      </c>
      <c r="B3837" t="s">
        <v>16174</v>
      </c>
      <c r="C3837" t="s">
        <v>5487</v>
      </c>
      <c r="D3837" t="s">
        <v>4119</v>
      </c>
      <c r="E3837" t="s">
        <v>5532</v>
      </c>
      <c r="F3837" t="s">
        <v>16311</v>
      </c>
      <c r="G3837" t="s">
        <v>16176</v>
      </c>
      <c r="H3837" t="s">
        <v>5474</v>
      </c>
      <c r="I3837" t="s">
        <v>16312</v>
      </c>
      <c r="J3837" t="s">
        <v>5476</v>
      </c>
      <c r="K3837" t="s">
        <v>16313</v>
      </c>
      <c r="L3837" t="s">
        <v>5471</v>
      </c>
      <c r="M3837" t="s">
        <v>5471</v>
      </c>
    </row>
    <row r="3838" spans="1:13" x14ac:dyDescent="0.3">
      <c r="A3838" t="s">
        <v>3380</v>
      </c>
      <c r="B3838" t="s">
        <v>5247</v>
      </c>
      <c r="C3838" t="s">
        <v>6342</v>
      </c>
      <c r="D3838" t="s">
        <v>4058</v>
      </c>
      <c r="E3838" t="s">
        <v>5532</v>
      </c>
      <c r="F3838" t="s">
        <v>16314</v>
      </c>
      <c r="G3838" t="s">
        <v>16315</v>
      </c>
      <c r="H3838" t="s">
        <v>5474</v>
      </c>
      <c r="I3838" t="s">
        <v>16316</v>
      </c>
      <c r="J3838" t="s">
        <v>5476</v>
      </c>
      <c r="K3838" t="s">
        <v>14778</v>
      </c>
      <c r="L3838" t="s">
        <v>5471</v>
      </c>
      <c r="M3838" t="s">
        <v>5471</v>
      </c>
    </row>
    <row r="3839" spans="1:13" x14ac:dyDescent="0.3">
      <c r="A3839" t="s">
        <v>3380</v>
      </c>
      <c r="B3839" t="s">
        <v>5247</v>
      </c>
      <c r="C3839" t="s">
        <v>6342</v>
      </c>
      <c r="D3839" t="s">
        <v>4058</v>
      </c>
      <c r="E3839" t="s">
        <v>5532</v>
      </c>
      <c r="F3839" t="s">
        <v>16317</v>
      </c>
      <c r="G3839" t="s">
        <v>16315</v>
      </c>
      <c r="H3839" t="s">
        <v>5474</v>
      </c>
      <c r="I3839" t="s">
        <v>16318</v>
      </c>
      <c r="J3839" t="s">
        <v>5476</v>
      </c>
      <c r="K3839" t="s">
        <v>16319</v>
      </c>
      <c r="L3839" t="s">
        <v>5471</v>
      </c>
      <c r="M3839" t="s">
        <v>5471</v>
      </c>
    </row>
    <row r="3840" spans="1:13" x14ac:dyDescent="0.3">
      <c r="A3840" t="s">
        <v>3380</v>
      </c>
      <c r="B3840" t="s">
        <v>5247</v>
      </c>
      <c r="C3840" t="s">
        <v>6342</v>
      </c>
      <c r="D3840" t="s">
        <v>4058</v>
      </c>
      <c r="E3840" t="s">
        <v>5532</v>
      </c>
      <c r="F3840" t="s">
        <v>16320</v>
      </c>
      <c r="G3840" t="s">
        <v>16315</v>
      </c>
      <c r="H3840" t="s">
        <v>5474</v>
      </c>
      <c r="I3840" t="s">
        <v>16321</v>
      </c>
      <c r="J3840" t="s">
        <v>5476</v>
      </c>
      <c r="K3840" t="s">
        <v>16322</v>
      </c>
      <c r="L3840" t="s">
        <v>5471</v>
      </c>
      <c r="M3840" t="s">
        <v>5471</v>
      </c>
    </row>
    <row r="3841" spans="1:13" x14ac:dyDescent="0.3">
      <c r="A3841" t="s">
        <v>3380</v>
      </c>
      <c r="B3841" t="s">
        <v>9934</v>
      </c>
      <c r="C3841" t="s">
        <v>6342</v>
      </c>
      <c r="D3841" t="s">
        <v>4119</v>
      </c>
      <c r="E3841" t="s">
        <v>9935</v>
      </c>
      <c r="F3841" t="s">
        <v>16323</v>
      </c>
      <c r="G3841" t="s">
        <v>10930</v>
      </c>
      <c r="H3841" t="s">
        <v>5474</v>
      </c>
      <c r="I3841" t="s">
        <v>16324</v>
      </c>
      <c r="J3841" t="s">
        <v>5476</v>
      </c>
      <c r="K3841" t="s">
        <v>16325</v>
      </c>
      <c r="L3841" t="s">
        <v>5471</v>
      </c>
      <c r="M3841" t="s">
        <v>5471</v>
      </c>
    </row>
    <row r="3842" spans="1:13" x14ac:dyDescent="0.3">
      <c r="A3842" t="s">
        <v>3380</v>
      </c>
      <c r="B3842" t="s">
        <v>5247</v>
      </c>
      <c r="C3842" t="s">
        <v>6342</v>
      </c>
      <c r="D3842" t="s">
        <v>4056</v>
      </c>
      <c r="E3842" t="s">
        <v>5532</v>
      </c>
      <c r="F3842" t="s">
        <v>16326</v>
      </c>
      <c r="G3842" t="s">
        <v>16315</v>
      </c>
      <c r="H3842" t="s">
        <v>5474</v>
      </c>
      <c r="I3842" t="s">
        <v>16327</v>
      </c>
      <c r="J3842" t="s">
        <v>5476</v>
      </c>
      <c r="K3842" t="s">
        <v>16328</v>
      </c>
      <c r="L3842" t="s">
        <v>5471</v>
      </c>
      <c r="M3842" t="s">
        <v>5471</v>
      </c>
    </row>
    <row r="3843" spans="1:13" x14ac:dyDescent="0.3">
      <c r="A3843" t="s">
        <v>3380</v>
      </c>
      <c r="B3843" t="s">
        <v>9934</v>
      </c>
      <c r="C3843" t="s">
        <v>6342</v>
      </c>
      <c r="D3843" t="s">
        <v>4119</v>
      </c>
      <c r="E3843" t="s">
        <v>9935</v>
      </c>
      <c r="F3843" t="s">
        <v>16329</v>
      </c>
      <c r="G3843" t="s">
        <v>10930</v>
      </c>
      <c r="H3843" t="s">
        <v>5474</v>
      </c>
      <c r="I3843" t="s">
        <v>16330</v>
      </c>
      <c r="J3843" t="s">
        <v>5476</v>
      </c>
      <c r="K3843" t="s">
        <v>16331</v>
      </c>
      <c r="L3843" t="s">
        <v>5471</v>
      </c>
      <c r="M3843" t="s">
        <v>5471</v>
      </c>
    </row>
    <row r="3844" spans="1:13" x14ac:dyDescent="0.3">
      <c r="A3844" t="s">
        <v>3380</v>
      </c>
      <c r="B3844" t="s">
        <v>16268</v>
      </c>
      <c r="C3844" t="s">
        <v>6342</v>
      </c>
      <c r="D3844" t="s">
        <v>4119</v>
      </c>
      <c r="E3844" t="s">
        <v>5532</v>
      </c>
      <c r="F3844" t="s">
        <v>16332</v>
      </c>
      <c r="G3844" t="s">
        <v>16270</v>
      </c>
      <c r="H3844" t="s">
        <v>5474</v>
      </c>
      <c r="I3844" t="s">
        <v>16333</v>
      </c>
      <c r="J3844" t="s">
        <v>5476</v>
      </c>
      <c r="K3844" t="s">
        <v>16325</v>
      </c>
      <c r="L3844" t="s">
        <v>5471</v>
      </c>
      <c r="M3844" t="s">
        <v>5471</v>
      </c>
    </row>
    <row r="3845" spans="1:13" x14ac:dyDescent="0.3">
      <c r="A3845" t="s">
        <v>3380</v>
      </c>
      <c r="B3845" t="s">
        <v>16268</v>
      </c>
      <c r="C3845" t="s">
        <v>6342</v>
      </c>
      <c r="D3845" t="s">
        <v>4119</v>
      </c>
      <c r="E3845" t="s">
        <v>5532</v>
      </c>
      <c r="F3845" t="s">
        <v>16334</v>
      </c>
      <c r="G3845" t="s">
        <v>16270</v>
      </c>
      <c r="H3845" t="s">
        <v>5474</v>
      </c>
      <c r="I3845" t="s">
        <v>16335</v>
      </c>
      <c r="J3845" t="s">
        <v>5476</v>
      </c>
      <c r="K3845" t="s">
        <v>16331</v>
      </c>
      <c r="L3845" t="s">
        <v>5471</v>
      </c>
      <c r="M3845" t="s">
        <v>5471</v>
      </c>
    </row>
    <row r="3846" spans="1:13" x14ac:dyDescent="0.3">
      <c r="A3846" t="s">
        <v>3380</v>
      </c>
      <c r="B3846" t="s">
        <v>16336</v>
      </c>
      <c r="C3846" t="s">
        <v>5487</v>
      </c>
      <c r="D3846" t="s">
        <v>4119</v>
      </c>
      <c r="E3846" t="s">
        <v>5843</v>
      </c>
      <c r="F3846" t="s">
        <v>16337</v>
      </c>
      <c r="G3846" t="s">
        <v>16338</v>
      </c>
      <c r="H3846" t="s">
        <v>5474</v>
      </c>
      <c r="I3846" t="s">
        <v>16339</v>
      </c>
      <c r="J3846" t="s">
        <v>5476</v>
      </c>
      <c r="K3846" t="s">
        <v>16325</v>
      </c>
      <c r="L3846" t="s">
        <v>5471</v>
      </c>
      <c r="M3846" t="s">
        <v>5471</v>
      </c>
    </row>
    <row r="3847" spans="1:13" x14ac:dyDescent="0.3">
      <c r="A3847" t="s">
        <v>3380</v>
      </c>
      <c r="B3847" t="s">
        <v>16336</v>
      </c>
      <c r="C3847" t="s">
        <v>5487</v>
      </c>
      <c r="D3847" t="s">
        <v>4119</v>
      </c>
      <c r="E3847" t="s">
        <v>5843</v>
      </c>
      <c r="F3847" t="s">
        <v>16340</v>
      </c>
      <c r="G3847" t="s">
        <v>16338</v>
      </c>
      <c r="H3847" t="s">
        <v>5474</v>
      </c>
      <c r="I3847" t="s">
        <v>16341</v>
      </c>
      <c r="J3847" t="s">
        <v>5476</v>
      </c>
      <c r="K3847" t="s">
        <v>16331</v>
      </c>
      <c r="L3847" t="s">
        <v>5471</v>
      </c>
      <c r="M3847" t="s">
        <v>5471</v>
      </c>
    </row>
    <row r="3848" spans="1:13" x14ac:dyDescent="0.3">
      <c r="A3848" t="s">
        <v>3380</v>
      </c>
      <c r="B3848" t="s">
        <v>5247</v>
      </c>
      <c r="C3848" t="s">
        <v>6342</v>
      </c>
      <c r="D3848" t="s">
        <v>4200</v>
      </c>
      <c r="E3848" t="s">
        <v>5532</v>
      </c>
      <c r="F3848" t="s">
        <v>16342</v>
      </c>
      <c r="G3848" t="s">
        <v>16315</v>
      </c>
      <c r="H3848" t="s">
        <v>5474</v>
      </c>
      <c r="I3848" t="s">
        <v>16343</v>
      </c>
      <c r="J3848" t="s">
        <v>5476</v>
      </c>
      <c r="K3848" t="s">
        <v>16267</v>
      </c>
      <c r="L3848" t="s">
        <v>5471</v>
      </c>
      <c r="M3848" t="s">
        <v>5471</v>
      </c>
    </row>
    <row r="3849" spans="1:13" x14ac:dyDescent="0.3">
      <c r="A3849" t="s">
        <v>3380</v>
      </c>
      <c r="B3849" t="s">
        <v>5247</v>
      </c>
      <c r="C3849" t="s">
        <v>6342</v>
      </c>
      <c r="D3849" t="s">
        <v>4058</v>
      </c>
      <c r="E3849" t="s">
        <v>5532</v>
      </c>
      <c r="F3849" t="s">
        <v>16344</v>
      </c>
      <c r="G3849" t="s">
        <v>16345</v>
      </c>
      <c r="H3849" t="s">
        <v>5474</v>
      </c>
      <c r="I3849" t="s">
        <v>16346</v>
      </c>
      <c r="J3849" t="s">
        <v>5476</v>
      </c>
      <c r="K3849" t="s">
        <v>14792</v>
      </c>
      <c r="L3849" t="s">
        <v>5471</v>
      </c>
      <c r="M3849" t="s">
        <v>5471</v>
      </c>
    </row>
    <row r="3850" spans="1:13" x14ac:dyDescent="0.3">
      <c r="A3850" t="s">
        <v>3380</v>
      </c>
      <c r="B3850" t="s">
        <v>5247</v>
      </c>
      <c r="C3850" t="s">
        <v>6342</v>
      </c>
      <c r="D3850" t="s">
        <v>4058</v>
      </c>
      <c r="E3850" t="s">
        <v>5532</v>
      </c>
      <c r="F3850" t="s">
        <v>16347</v>
      </c>
      <c r="G3850" t="s">
        <v>16345</v>
      </c>
      <c r="H3850" t="s">
        <v>5474</v>
      </c>
      <c r="I3850" t="s">
        <v>16348</v>
      </c>
      <c r="J3850" t="s">
        <v>5476</v>
      </c>
      <c r="K3850" t="s">
        <v>16349</v>
      </c>
      <c r="L3850" t="s">
        <v>5471</v>
      </c>
      <c r="M3850" t="s">
        <v>5471</v>
      </c>
    </row>
    <row r="3851" spans="1:13" x14ac:dyDescent="0.3">
      <c r="A3851" t="s">
        <v>3380</v>
      </c>
      <c r="B3851" t="s">
        <v>5247</v>
      </c>
      <c r="C3851" t="s">
        <v>6342</v>
      </c>
      <c r="D3851" t="s">
        <v>4058</v>
      </c>
      <c r="E3851" t="s">
        <v>5532</v>
      </c>
      <c r="F3851" t="s">
        <v>16350</v>
      </c>
      <c r="G3851" t="s">
        <v>16345</v>
      </c>
      <c r="H3851" t="s">
        <v>5474</v>
      </c>
      <c r="I3851" t="s">
        <v>16351</v>
      </c>
      <c r="J3851" t="s">
        <v>5476</v>
      </c>
      <c r="K3851" t="s">
        <v>16352</v>
      </c>
      <c r="L3851" t="s">
        <v>5471</v>
      </c>
      <c r="M3851" t="s">
        <v>5471</v>
      </c>
    </row>
    <row r="3852" spans="1:13" x14ac:dyDescent="0.3">
      <c r="A3852" t="s">
        <v>3380</v>
      </c>
      <c r="B3852" t="s">
        <v>5247</v>
      </c>
      <c r="C3852" t="s">
        <v>6342</v>
      </c>
      <c r="D3852" t="s">
        <v>4200</v>
      </c>
      <c r="E3852" t="s">
        <v>5532</v>
      </c>
      <c r="F3852" t="s">
        <v>16353</v>
      </c>
      <c r="G3852" t="s">
        <v>16345</v>
      </c>
      <c r="H3852" t="s">
        <v>5474</v>
      </c>
      <c r="I3852" t="s">
        <v>16354</v>
      </c>
      <c r="J3852" t="s">
        <v>5476</v>
      </c>
      <c r="K3852" t="s">
        <v>16267</v>
      </c>
      <c r="L3852" t="s">
        <v>5471</v>
      </c>
      <c r="M3852" t="s">
        <v>5471</v>
      </c>
    </row>
    <row r="3853" spans="1:13" x14ac:dyDescent="0.3">
      <c r="A3853" t="s">
        <v>3380</v>
      </c>
      <c r="B3853" t="s">
        <v>5247</v>
      </c>
      <c r="C3853" t="s">
        <v>6342</v>
      </c>
      <c r="D3853" t="s">
        <v>4200</v>
      </c>
      <c r="E3853" t="s">
        <v>5532</v>
      </c>
      <c r="F3853" t="s">
        <v>16355</v>
      </c>
      <c r="G3853" t="s">
        <v>16147</v>
      </c>
      <c r="H3853" t="s">
        <v>5474</v>
      </c>
      <c r="I3853" t="s">
        <v>16356</v>
      </c>
      <c r="J3853" t="s">
        <v>5476</v>
      </c>
      <c r="K3853" t="s">
        <v>16267</v>
      </c>
      <c r="L3853" t="s">
        <v>5471</v>
      </c>
      <c r="M3853" t="s">
        <v>5471</v>
      </c>
    </row>
    <row r="3854" spans="1:13" x14ac:dyDescent="0.3">
      <c r="A3854" t="s">
        <v>3380</v>
      </c>
      <c r="B3854" t="s">
        <v>5247</v>
      </c>
      <c r="C3854" t="s">
        <v>6342</v>
      </c>
      <c r="D3854" t="s">
        <v>4052</v>
      </c>
      <c r="E3854" t="s">
        <v>5532</v>
      </c>
      <c r="F3854" t="s">
        <v>16357</v>
      </c>
      <c r="G3854" t="s">
        <v>16358</v>
      </c>
      <c r="H3854" t="s">
        <v>5474</v>
      </c>
      <c r="I3854" t="s">
        <v>16359</v>
      </c>
      <c r="J3854" t="s">
        <v>5476</v>
      </c>
      <c r="K3854" t="s">
        <v>16360</v>
      </c>
      <c r="L3854" t="s">
        <v>5471</v>
      </c>
      <c r="M3854" t="s">
        <v>5471</v>
      </c>
    </row>
    <row r="3855" spans="1:13" x14ac:dyDescent="0.3">
      <c r="A3855" t="s">
        <v>3380</v>
      </c>
      <c r="B3855" t="s">
        <v>5247</v>
      </c>
      <c r="C3855" t="s">
        <v>6342</v>
      </c>
      <c r="D3855" t="s">
        <v>4056</v>
      </c>
      <c r="E3855" t="s">
        <v>5532</v>
      </c>
      <c r="F3855" t="s">
        <v>16361</v>
      </c>
      <c r="G3855" t="s">
        <v>16358</v>
      </c>
      <c r="H3855" t="s">
        <v>5474</v>
      </c>
      <c r="I3855" t="s">
        <v>16362</v>
      </c>
      <c r="J3855" t="s">
        <v>5476</v>
      </c>
      <c r="K3855" t="s">
        <v>16363</v>
      </c>
      <c r="L3855" t="s">
        <v>5471</v>
      </c>
      <c r="M3855" t="s">
        <v>5471</v>
      </c>
    </row>
    <row r="3856" spans="1:13" x14ac:dyDescent="0.3">
      <c r="A3856" t="s">
        <v>3380</v>
      </c>
      <c r="B3856" t="s">
        <v>5247</v>
      </c>
      <c r="C3856" t="s">
        <v>6342</v>
      </c>
      <c r="D3856" t="s">
        <v>4052</v>
      </c>
      <c r="E3856" t="s">
        <v>5532</v>
      </c>
      <c r="F3856" t="s">
        <v>16364</v>
      </c>
      <c r="G3856" t="s">
        <v>16365</v>
      </c>
      <c r="H3856" t="s">
        <v>5474</v>
      </c>
      <c r="I3856" t="s">
        <v>16366</v>
      </c>
      <c r="J3856" t="s">
        <v>5476</v>
      </c>
      <c r="K3856" t="s">
        <v>16367</v>
      </c>
      <c r="L3856" t="s">
        <v>5471</v>
      </c>
      <c r="M3856" t="s">
        <v>5471</v>
      </c>
    </row>
    <row r="3857" spans="1:13" x14ac:dyDescent="0.3">
      <c r="A3857" t="s">
        <v>3380</v>
      </c>
      <c r="B3857" t="s">
        <v>5247</v>
      </c>
      <c r="C3857" t="s">
        <v>6342</v>
      </c>
      <c r="D3857" t="s">
        <v>4058</v>
      </c>
      <c r="E3857" t="s">
        <v>5532</v>
      </c>
      <c r="F3857" t="s">
        <v>16368</v>
      </c>
      <c r="G3857" t="s">
        <v>16365</v>
      </c>
      <c r="H3857" t="s">
        <v>5474</v>
      </c>
      <c r="I3857" t="s">
        <v>16369</v>
      </c>
      <c r="J3857" t="s">
        <v>5476</v>
      </c>
      <c r="K3857" t="s">
        <v>16370</v>
      </c>
      <c r="L3857" t="s">
        <v>5471</v>
      </c>
      <c r="M3857" t="s">
        <v>5471</v>
      </c>
    </row>
    <row r="3858" spans="1:13" x14ac:dyDescent="0.3">
      <c r="A3858" t="s">
        <v>3380</v>
      </c>
      <c r="B3858" t="s">
        <v>5247</v>
      </c>
      <c r="C3858" t="s">
        <v>6342</v>
      </c>
      <c r="D3858" t="s">
        <v>4058</v>
      </c>
      <c r="E3858" t="s">
        <v>5532</v>
      </c>
      <c r="F3858" t="s">
        <v>16371</v>
      </c>
      <c r="G3858" t="s">
        <v>16365</v>
      </c>
      <c r="H3858" t="s">
        <v>5474</v>
      </c>
      <c r="I3858" t="s">
        <v>16372</v>
      </c>
      <c r="J3858" t="s">
        <v>5476</v>
      </c>
      <c r="K3858" t="s">
        <v>16373</v>
      </c>
      <c r="L3858" t="s">
        <v>5471</v>
      </c>
      <c r="M3858" t="s">
        <v>5471</v>
      </c>
    </row>
    <row r="3859" spans="1:13" x14ac:dyDescent="0.3">
      <c r="A3859" t="s">
        <v>3380</v>
      </c>
      <c r="B3859" t="s">
        <v>5247</v>
      </c>
      <c r="C3859" t="s">
        <v>6342</v>
      </c>
      <c r="D3859" t="s">
        <v>4058</v>
      </c>
      <c r="E3859" t="s">
        <v>5532</v>
      </c>
      <c r="F3859" t="s">
        <v>16374</v>
      </c>
      <c r="G3859" t="s">
        <v>16365</v>
      </c>
      <c r="H3859" t="s">
        <v>5474</v>
      </c>
      <c r="I3859" t="s">
        <v>16375</v>
      </c>
      <c r="J3859" t="s">
        <v>5476</v>
      </c>
      <c r="K3859" t="s">
        <v>16376</v>
      </c>
      <c r="L3859" t="s">
        <v>5471</v>
      </c>
      <c r="M3859" t="s">
        <v>5471</v>
      </c>
    </row>
    <row r="3860" spans="1:13" x14ac:dyDescent="0.3">
      <c r="A3860" t="s">
        <v>3380</v>
      </c>
      <c r="B3860" t="s">
        <v>5247</v>
      </c>
      <c r="C3860" t="s">
        <v>6342</v>
      </c>
      <c r="D3860" t="s">
        <v>4052</v>
      </c>
      <c r="E3860" t="s">
        <v>5532</v>
      </c>
      <c r="F3860" t="s">
        <v>16377</v>
      </c>
      <c r="G3860" t="s">
        <v>16222</v>
      </c>
      <c r="H3860" t="s">
        <v>5474</v>
      </c>
      <c r="I3860" t="s">
        <v>16378</v>
      </c>
      <c r="J3860" t="s">
        <v>5476</v>
      </c>
      <c r="K3860" t="s">
        <v>9727</v>
      </c>
      <c r="L3860" t="s">
        <v>5471</v>
      </c>
      <c r="M3860" t="s">
        <v>5471</v>
      </c>
    </row>
    <row r="3861" spans="1:13" x14ac:dyDescent="0.3">
      <c r="A3861" t="s">
        <v>3380</v>
      </c>
      <c r="B3861" t="s">
        <v>5247</v>
      </c>
      <c r="C3861" t="s">
        <v>6342</v>
      </c>
      <c r="D3861" t="s">
        <v>4200</v>
      </c>
      <c r="E3861" t="s">
        <v>5532</v>
      </c>
      <c r="F3861" t="s">
        <v>16379</v>
      </c>
      <c r="G3861" t="s">
        <v>16222</v>
      </c>
      <c r="H3861" t="s">
        <v>5474</v>
      </c>
      <c r="I3861" t="s">
        <v>16380</v>
      </c>
      <c r="J3861" t="s">
        <v>5476</v>
      </c>
      <c r="K3861" t="s">
        <v>16381</v>
      </c>
      <c r="L3861" t="s">
        <v>5471</v>
      </c>
      <c r="M3861" t="s">
        <v>5471</v>
      </c>
    </row>
    <row r="3862" spans="1:13" x14ac:dyDescent="0.3">
      <c r="A3862" t="s">
        <v>3380</v>
      </c>
      <c r="B3862" t="s">
        <v>16094</v>
      </c>
      <c r="C3862" t="s">
        <v>6342</v>
      </c>
      <c r="D3862" t="s">
        <v>4119</v>
      </c>
      <c r="E3862" t="s">
        <v>5532</v>
      </c>
      <c r="F3862" t="s">
        <v>16382</v>
      </c>
      <c r="G3862" t="s">
        <v>16383</v>
      </c>
      <c r="H3862" t="s">
        <v>5474</v>
      </c>
      <c r="I3862" t="s">
        <v>16384</v>
      </c>
      <c r="J3862" t="s">
        <v>5476</v>
      </c>
      <c r="K3862" t="s">
        <v>16385</v>
      </c>
      <c r="L3862" t="s">
        <v>5471</v>
      </c>
      <c r="M3862" t="s">
        <v>5471</v>
      </c>
    </row>
    <row r="3863" spans="1:13" x14ac:dyDescent="0.3">
      <c r="A3863" t="s">
        <v>3380</v>
      </c>
      <c r="B3863" t="s">
        <v>16094</v>
      </c>
      <c r="C3863" t="s">
        <v>6342</v>
      </c>
      <c r="D3863" t="s">
        <v>4119</v>
      </c>
      <c r="E3863" t="s">
        <v>5532</v>
      </c>
      <c r="F3863" t="s">
        <v>16386</v>
      </c>
      <c r="G3863" t="s">
        <v>16383</v>
      </c>
      <c r="H3863" t="s">
        <v>5474</v>
      </c>
      <c r="I3863" t="s">
        <v>16387</v>
      </c>
      <c r="J3863" t="s">
        <v>5476</v>
      </c>
      <c r="K3863" t="s">
        <v>16388</v>
      </c>
      <c r="L3863" t="s">
        <v>5471</v>
      </c>
      <c r="M3863" t="s">
        <v>5471</v>
      </c>
    </row>
    <row r="3864" spans="1:13" x14ac:dyDescent="0.3">
      <c r="A3864" t="s">
        <v>3380</v>
      </c>
      <c r="B3864" t="s">
        <v>5261</v>
      </c>
      <c r="C3864" t="s">
        <v>6342</v>
      </c>
      <c r="D3864" t="s">
        <v>4119</v>
      </c>
      <c r="E3864" t="s">
        <v>5532</v>
      </c>
      <c r="F3864" t="s">
        <v>16389</v>
      </c>
      <c r="G3864" t="s">
        <v>16390</v>
      </c>
      <c r="H3864" t="s">
        <v>5474</v>
      </c>
      <c r="I3864" t="s">
        <v>16391</v>
      </c>
      <c r="J3864" t="s">
        <v>5476</v>
      </c>
      <c r="K3864" t="s">
        <v>16392</v>
      </c>
      <c r="L3864" t="s">
        <v>5471</v>
      </c>
      <c r="M3864" t="s">
        <v>5471</v>
      </c>
    </row>
    <row r="3865" spans="1:13" x14ac:dyDescent="0.3">
      <c r="A3865" t="s">
        <v>3380</v>
      </c>
      <c r="B3865" t="s">
        <v>16094</v>
      </c>
      <c r="C3865" t="s">
        <v>6342</v>
      </c>
      <c r="D3865" t="s">
        <v>4119</v>
      </c>
      <c r="E3865" t="s">
        <v>5532</v>
      </c>
      <c r="F3865" t="s">
        <v>16393</v>
      </c>
      <c r="G3865" t="s">
        <v>16394</v>
      </c>
      <c r="H3865" t="s">
        <v>5474</v>
      </c>
      <c r="I3865" t="s">
        <v>16395</v>
      </c>
      <c r="J3865" t="s">
        <v>5476</v>
      </c>
      <c r="K3865" t="s">
        <v>16396</v>
      </c>
      <c r="L3865" t="s">
        <v>5471</v>
      </c>
      <c r="M3865" t="s">
        <v>5471</v>
      </c>
    </row>
    <row r="3866" spans="1:13" x14ac:dyDescent="0.3">
      <c r="A3866" t="s">
        <v>3380</v>
      </c>
      <c r="B3866" t="s">
        <v>16094</v>
      </c>
      <c r="C3866" t="s">
        <v>6342</v>
      </c>
      <c r="D3866" t="s">
        <v>4119</v>
      </c>
      <c r="E3866" t="s">
        <v>5532</v>
      </c>
      <c r="F3866" t="s">
        <v>16397</v>
      </c>
      <c r="G3866" t="s">
        <v>16394</v>
      </c>
      <c r="H3866" t="s">
        <v>5474</v>
      </c>
      <c r="I3866" t="s">
        <v>16398</v>
      </c>
      <c r="J3866" t="s">
        <v>5476</v>
      </c>
      <c r="K3866" t="s">
        <v>16399</v>
      </c>
      <c r="L3866" t="s">
        <v>5471</v>
      </c>
      <c r="M3866" t="s">
        <v>5471</v>
      </c>
    </row>
    <row r="3867" spans="1:13" x14ac:dyDescent="0.3">
      <c r="A3867" t="s">
        <v>3380</v>
      </c>
      <c r="B3867" t="s">
        <v>5261</v>
      </c>
      <c r="C3867" t="s">
        <v>6342</v>
      </c>
      <c r="D3867" t="s">
        <v>4119</v>
      </c>
      <c r="E3867" t="s">
        <v>5532</v>
      </c>
      <c r="F3867" t="s">
        <v>16400</v>
      </c>
      <c r="G3867" t="s">
        <v>16401</v>
      </c>
      <c r="H3867" t="s">
        <v>5474</v>
      </c>
      <c r="I3867" t="s">
        <v>16402</v>
      </c>
      <c r="J3867" t="s">
        <v>5476</v>
      </c>
      <c r="K3867" t="s">
        <v>16403</v>
      </c>
      <c r="L3867" t="s">
        <v>5471</v>
      </c>
      <c r="M3867" t="s">
        <v>5471</v>
      </c>
    </row>
    <row r="3868" spans="1:13" x14ac:dyDescent="0.3">
      <c r="A3868" t="s">
        <v>3380</v>
      </c>
      <c r="B3868" t="s">
        <v>10105</v>
      </c>
      <c r="C3868" t="s">
        <v>6342</v>
      </c>
      <c r="D3868" t="s">
        <v>4119</v>
      </c>
      <c r="E3868" t="s">
        <v>5532</v>
      </c>
      <c r="F3868" t="s">
        <v>16404</v>
      </c>
      <c r="G3868" t="s">
        <v>16405</v>
      </c>
      <c r="H3868" t="s">
        <v>5474</v>
      </c>
      <c r="I3868" t="s">
        <v>16406</v>
      </c>
      <c r="J3868" t="s">
        <v>5476</v>
      </c>
      <c r="K3868" t="s">
        <v>16098</v>
      </c>
      <c r="L3868" t="s">
        <v>5471</v>
      </c>
      <c r="M3868" t="s">
        <v>5471</v>
      </c>
    </row>
    <row r="3869" spans="1:13" x14ac:dyDescent="0.3">
      <c r="A3869" t="s">
        <v>3380</v>
      </c>
      <c r="B3869" t="s">
        <v>10105</v>
      </c>
      <c r="C3869" t="s">
        <v>6342</v>
      </c>
      <c r="D3869" t="s">
        <v>4119</v>
      </c>
      <c r="E3869" t="s">
        <v>5532</v>
      </c>
      <c r="F3869" t="s">
        <v>16407</v>
      </c>
      <c r="G3869" t="s">
        <v>16405</v>
      </c>
      <c r="H3869" t="s">
        <v>5474</v>
      </c>
      <c r="I3869" t="s">
        <v>16408</v>
      </c>
      <c r="J3869" t="s">
        <v>5476</v>
      </c>
      <c r="K3869" t="s">
        <v>16101</v>
      </c>
      <c r="L3869" t="s">
        <v>5471</v>
      </c>
      <c r="M3869" t="s">
        <v>5471</v>
      </c>
    </row>
    <row r="3870" spans="1:13" x14ac:dyDescent="0.3">
      <c r="A3870" t="s">
        <v>3380</v>
      </c>
      <c r="B3870" t="s">
        <v>10105</v>
      </c>
      <c r="C3870" t="s">
        <v>6342</v>
      </c>
      <c r="D3870" t="s">
        <v>4119</v>
      </c>
      <c r="E3870" t="s">
        <v>5532</v>
      </c>
      <c r="F3870" t="s">
        <v>16409</v>
      </c>
      <c r="G3870" t="s">
        <v>16405</v>
      </c>
      <c r="H3870" t="s">
        <v>5474</v>
      </c>
      <c r="I3870" t="s">
        <v>16410</v>
      </c>
      <c r="J3870" t="s">
        <v>5476</v>
      </c>
      <c r="K3870" t="s">
        <v>11006</v>
      </c>
      <c r="L3870" t="s">
        <v>5471</v>
      </c>
      <c r="M3870" t="s">
        <v>5471</v>
      </c>
    </row>
    <row r="3871" spans="1:13" x14ac:dyDescent="0.3">
      <c r="A3871" t="s">
        <v>3380</v>
      </c>
      <c r="B3871" t="s">
        <v>10105</v>
      </c>
      <c r="C3871" t="s">
        <v>6342</v>
      </c>
      <c r="D3871" t="s">
        <v>4119</v>
      </c>
      <c r="E3871" t="s">
        <v>5532</v>
      </c>
      <c r="F3871" t="s">
        <v>16411</v>
      </c>
      <c r="G3871" t="s">
        <v>16405</v>
      </c>
      <c r="H3871" t="s">
        <v>5474</v>
      </c>
      <c r="I3871" t="s">
        <v>16412</v>
      </c>
      <c r="J3871" t="s">
        <v>5476</v>
      </c>
      <c r="K3871" t="s">
        <v>16413</v>
      </c>
      <c r="L3871" t="s">
        <v>5471</v>
      </c>
      <c r="M3871" t="s">
        <v>5471</v>
      </c>
    </row>
    <row r="3872" spans="1:13" x14ac:dyDescent="0.3">
      <c r="A3872" t="s">
        <v>3380</v>
      </c>
      <c r="B3872" t="s">
        <v>10105</v>
      </c>
      <c r="C3872" t="s">
        <v>6342</v>
      </c>
      <c r="D3872" t="s">
        <v>4119</v>
      </c>
      <c r="E3872" t="s">
        <v>5532</v>
      </c>
      <c r="F3872" t="s">
        <v>16414</v>
      </c>
      <c r="G3872" t="s">
        <v>16405</v>
      </c>
      <c r="H3872" t="s">
        <v>5474</v>
      </c>
      <c r="I3872" t="s">
        <v>16415</v>
      </c>
      <c r="J3872" t="s">
        <v>5476</v>
      </c>
      <c r="K3872" t="s">
        <v>16416</v>
      </c>
      <c r="L3872" t="s">
        <v>5471</v>
      </c>
      <c r="M3872" t="s">
        <v>5471</v>
      </c>
    </row>
    <row r="3873" spans="1:13" x14ac:dyDescent="0.3">
      <c r="A3873" t="s">
        <v>3380</v>
      </c>
      <c r="B3873" t="s">
        <v>15592</v>
      </c>
      <c r="C3873" t="s">
        <v>5487</v>
      </c>
      <c r="D3873" t="s">
        <v>4119</v>
      </c>
      <c r="E3873" t="s">
        <v>5843</v>
      </c>
      <c r="F3873" t="s">
        <v>16417</v>
      </c>
      <c r="G3873" t="s">
        <v>16418</v>
      </c>
      <c r="H3873" t="s">
        <v>5474</v>
      </c>
      <c r="I3873" t="s">
        <v>16419</v>
      </c>
      <c r="J3873" t="s">
        <v>5476</v>
      </c>
      <c r="K3873" t="s">
        <v>10979</v>
      </c>
      <c r="L3873" t="s">
        <v>5471</v>
      </c>
      <c r="M3873" t="s">
        <v>5471</v>
      </c>
    </row>
    <row r="3874" spans="1:13" x14ac:dyDescent="0.3">
      <c r="A3874" t="s">
        <v>3380</v>
      </c>
      <c r="B3874" t="s">
        <v>15592</v>
      </c>
      <c r="C3874" t="s">
        <v>5487</v>
      </c>
      <c r="D3874" t="s">
        <v>4119</v>
      </c>
      <c r="E3874" t="s">
        <v>5843</v>
      </c>
      <c r="F3874" t="s">
        <v>16420</v>
      </c>
      <c r="G3874" t="s">
        <v>16418</v>
      </c>
      <c r="H3874" t="s">
        <v>5474</v>
      </c>
      <c r="I3874" t="s">
        <v>16421</v>
      </c>
      <c r="J3874" t="s">
        <v>5476</v>
      </c>
      <c r="K3874" t="s">
        <v>10982</v>
      </c>
      <c r="L3874" t="s">
        <v>5471</v>
      </c>
      <c r="M3874" t="s">
        <v>5471</v>
      </c>
    </row>
    <row r="3875" spans="1:13" x14ac:dyDescent="0.3">
      <c r="A3875" t="s">
        <v>3383</v>
      </c>
      <c r="B3875" t="s">
        <v>6026</v>
      </c>
      <c r="C3875" t="s">
        <v>5487</v>
      </c>
      <c r="D3875" t="s">
        <v>4052</v>
      </c>
      <c r="E3875" t="s">
        <v>5532</v>
      </c>
      <c r="F3875" t="s">
        <v>16422</v>
      </c>
      <c r="G3875" t="s">
        <v>12061</v>
      </c>
      <c r="H3875" t="s">
        <v>5474</v>
      </c>
      <c r="I3875" t="s">
        <v>16423</v>
      </c>
      <c r="J3875" t="s">
        <v>5476</v>
      </c>
      <c r="K3875" t="s">
        <v>16424</v>
      </c>
      <c r="L3875" t="s">
        <v>5471</v>
      </c>
      <c r="M3875" t="s">
        <v>5471</v>
      </c>
    </row>
    <row r="3876" spans="1:13" x14ac:dyDescent="0.3">
      <c r="A3876" t="s">
        <v>3380</v>
      </c>
      <c r="B3876" t="s">
        <v>16094</v>
      </c>
      <c r="C3876" t="s">
        <v>6342</v>
      </c>
      <c r="D3876" t="s">
        <v>4119</v>
      </c>
      <c r="E3876" t="s">
        <v>5532</v>
      </c>
      <c r="F3876" t="s">
        <v>16425</v>
      </c>
      <c r="G3876" t="s">
        <v>16096</v>
      </c>
      <c r="H3876" t="s">
        <v>5474</v>
      </c>
      <c r="I3876" t="s">
        <v>16426</v>
      </c>
      <c r="J3876" t="s">
        <v>5476</v>
      </c>
      <c r="K3876" t="s">
        <v>16427</v>
      </c>
      <c r="L3876" t="s">
        <v>5471</v>
      </c>
      <c r="M3876" t="s">
        <v>5471</v>
      </c>
    </row>
    <row r="3877" spans="1:13" x14ac:dyDescent="0.3">
      <c r="A3877" t="s">
        <v>3380</v>
      </c>
      <c r="B3877" t="s">
        <v>16094</v>
      </c>
      <c r="C3877" t="s">
        <v>6342</v>
      </c>
      <c r="D3877" t="s">
        <v>4119</v>
      </c>
      <c r="E3877" t="s">
        <v>5843</v>
      </c>
      <c r="F3877" t="s">
        <v>16428</v>
      </c>
      <c r="G3877" t="s">
        <v>16096</v>
      </c>
      <c r="H3877" t="s">
        <v>5474</v>
      </c>
      <c r="I3877" t="s">
        <v>16429</v>
      </c>
      <c r="J3877" t="s">
        <v>5476</v>
      </c>
      <c r="K3877" t="s">
        <v>16427</v>
      </c>
      <c r="L3877" t="s">
        <v>5471</v>
      </c>
      <c r="M3877" t="s">
        <v>5471</v>
      </c>
    </row>
    <row r="3878" spans="1:13" x14ac:dyDescent="0.3">
      <c r="A3878" t="s">
        <v>3380</v>
      </c>
      <c r="B3878" t="s">
        <v>10137</v>
      </c>
      <c r="C3878" t="s">
        <v>6342</v>
      </c>
      <c r="D3878" t="s">
        <v>4052</v>
      </c>
      <c r="E3878" t="s">
        <v>9935</v>
      </c>
      <c r="F3878" t="s">
        <v>16430</v>
      </c>
      <c r="G3878" t="s">
        <v>16431</v>
      </c>
      <c r="H3878" t="s">
        <v>5474</v>
      </c>
      <c r="I3878" t="s">
        <v>16432</v>
      </c>
      <c r="J3878" t="s">
        <v>5476</v>
      </c>
      <c r="K3878" t="s">
        <v>16083</v>
      </c>
      <c r="L3878" t="s">
        <v>5471</v>
      </c>
      <c r="M3878" t="s">
        <v>5471</v>
      </c>
    </row>
    <row r="3879" spans="1:13" x14ac:dyDescent="0.3">
      <c r="A3879" t="s">
        <v>3380</v>
      </c>
      <c r="B3879" t="s">
        <v>16094</v>
      </c>
      <c r="C3879" t="s">
        <v>6342</v>
      </c>
      <c r="D3879" t="s">
        <v>4119</v>
      </c>
      <c r="E3879" t="s">
        <v>5843</v>
      </c>
      <c r="F3879" t="s">
        <v>16433</v>
      </c>
      <c r="G3879" t="s">
        <v>16434</v>
      </c>
      <c r="H3879" t="s">
        <v>5474</v>
      </c>
      <c r="I3879" t="s">
        <v>16435</v>
      </c>
      <c r="J3879" t="s">
        <v>5476</v>
      </c>
      <c r="K3879" t="s">
        <v>16436</v>
      </c>
      <c r="L3879" t="s">
        <v>5471</v>
      </c>
      <c r="M3879" t="s">
        <v>5471</v>
      </c>
    </row>
    <row r="3880" spans="1:13" x14ac:dyDescent="0.3">
      <c r="A3880" t="s">
        <v>3380</v>
      </c>
      <c r="B3880" t="s">
        <v>10137</v>
      </c>
      <c r="C3880" t="s">
        <v>6342</v>
      </c>
      <c r="D3880" t="s">
        <v>4058</v>
      </c>
      <c r="E3880" t="s">
        <v>9935</v>
      </c>
      <c r="F3880" t="s">
        <v>16437</v>
      </c>
      <c r="G3880" t="s">
        <v>16431</v>
      </c>
      <c r="H3880" t="s">
        <v>5474</v>
      </c>
      <c r="I3880" t="s">
        <v>16438</v>
      </c>
      <c r="J3880" t="s">
        <v>5476</v>
      </c>
      <c r="K3880" t="s">
        <v>16439</v>
      </c>
      <c r="L3880" t="s">
        <v>5471</v>
      </c>
      <c r="M3880" t="s">
        <v>5471</v>
      </c>
    </row>
    <row r="3881" spans="1:13" x14ac:dyDescent="0.3">
      <c r="A3881" t="s">
        <v>3380</v>
      </c>
      <c r="B3881" t="s">
        <v>16094</v>
      </c>
      <c r="C3881" t="s">
        <v>6342</v>
      </c>
      <c r="D3881" t="s">
        <v>4119</v>
      </c>
      <c r="E3881" t="s">
        <v>5843</v>
      </c>
      <c r="F3881" t="s">
        <v>16440</v>
      </c>
      <c r="G3881" t="s">
        <v>16434</v>
      </c>
      <c r="H3881" t="s">
        <v>5474</v>
      </c>
      <c r="I3881" t="s">
        <v>16441</v>
      </c>
      <c r="J3881" t="s">
        <v>5476</v>
      </c>
      <c r="K3881" t="s">
        <v>16442</v>
      </c>
      <c r="L3881" t="s">
        <v>5471</v>
      </c>
      <c r="M3881" t="s">
        <v>5471</v>
      </c>
    </row>
    <row r="3882" spans="1:13" x14ac:dyDescent="0.3">
      <c r="A3882" t="s">
        <v>3380</v>
      </c>
      <c r="B3882" t="s">
        <v>10137</v>
      </c>
      <c r="C3882" t="s">
        <v>6342</v>
      </c>
      <c r="D3882" t="s">
        <v>4058</v>
      </c>
      <c r="E3882" t="s">
        <v>9935</v>
      </c>
      <c r="F3882" t="s">
        <v>16443</v>
      </c>
      <c r="G3882" t="s">
        <v>16431</v>
      </c>
      <c r="H3882" t="s">
        <v>5474</v>
      </c>
      <c r="I3882" t="s">
        <v>16444</v>
      </c>
      <c r="J3882" t="s">
        <v>5476</v>
      </c>
      <c r="K3882" t="s">
        <v>16445</v>
      </c>
      <c r="L3882" t="s">
        <v>5471</v>
      </c>
      <c r="M3882" t="s">
        <v>5471</v>
      </c>
    </row>
    <row r="3883" spans="1:13" x14ac:dyDescent="0.3">
      <c r="A3883" t="s">
        <v>3380</v>
      </c>
      <c r="B3883" t="s">
        <v>10137</v>
      </c>
      <c r="C3883" t="s">
        <v>6342</v>
      </c>
      <c r="D3883" t="s">
        <v>4058</v>
      </c>
      <c r="E3883" t="s">
        <v>9935</v>
      </c>
      <c r="F3883" t="s">
        <v>16446</v>
      </c>
      <c r="G3883" t="s">
        <v>16431</v>
      </c>
      <c r="H3883" t="s">
        <v>5474</v>
      </c>
      <c r="I3883" t="s">
        <v>16447</v>
      </c>
      <c r="J3883" t="s">
        <v>5476</v>
      </c>
      <c r="K3883" t="s">
        <v>16448</v>
      </c>
      <c r="L3883" t="s">
        <v>5471</v>
      </c>
      <c r="M3883" t="s">
        <v>5471</v>
      </c>
    </row>
    <row r="3884" spans="1:13" x14ac:dyDescent="0.3">
      <c r="A3884" t="s">
        <v>3380</v>
      </c>
      <c r="B3884" t="s">
        <v>10137</v>
      </c>
      <c r="C3884" t="s">
        <v>6342</v>
      </c>
      <c r="D3884" t="s">
        <v>4056</v>
      </c>
      <c r="E3884" t="s">
        <v>9935</v>
      </c>
      <c r="F3884" t="s">
        <v>16449</v>
      </c>
      <c r="G3884" t="s">
        <v>16431</v>
      </c>
      <c r="H3884" t="s">
        <v>5474</v>
      </c>
      <c r="I3884" t="s">
        <v>16450</v>
      </c>
      <c r="J3884" t="s">
        <v>5476</v>
      </c>
      <c r="K3884" t="s">
        <v>16451</v>
      </c>
      <c r="L3884" t="s">
        <v>5471</v>
      </c>
      <c r="M3884" t="s">
        <v>5471</v>
      </c>
    </row>
    <row r="3885" spans="1:13" x14ac:dyDescent="0.3">
      <c r="A3885" t="s">
        <v>3380</v>
      </c>
      <c r="B3885" t="s">
        <v>16094</v>
      </c>
      <c r="C3885" t="s">
        <v>6342</v>
      </c>
      <c r="D3885" t="s">
        <v>4119</v>
      </c>
      <c r="E3885" t="s">
        <v>5843</v>
      </c>
      <c r="F3885" t="s">
        <v>16452</v>
      </c>
      <c r="G3885" t="s">
        <v>16453</v>
      </c>
      <c r="H3885" t="s">
        <v>5474</v>
      </c>
      <c r="I3885" t="s">
        <v>16454</v>
      </c>
      <c r="J3885" t="s">
        <v>5476</v>
      </c>
      <c r="K3885" t="s">
        <v>16455</v>
      </c>
      <c r="L3885" t="s">
        <v>5471</v>
      </c>
      <c r="M3885" t="s">
        <v>5471</v>
      </c>
    </row>
    <row r="3886" spans="1:13" x14ac:dyDescent="0.3">
      <c r="A3886" t="s">
        <v>3380</v>
      </c>
      <c r="B3886" t="s">
        <v>10137</v>
      </c>
      <c r="C3886" t="s">
        <v>6342</v>
      </c>
      <c r="D3886" t="s">
        <v>4052</v>
      </c>
      <c r="E3886" t="s">
        <v>9935</v>
      </c>
      <c r="F3886" t="s">
        <v>16456</v>
      </c>
      <c r="G3886" t="s">
        <v>11662</v>
      </c>
      <c r="H3886" t="s">
        <v>5474</v>
      </c>
      <c r="I3886" t="s">
        <v>16457</v>
      </c>
      <c r="J3886" t="s">
        <v>5476</v>
      </c>
      <c r="K3886" t="s">
        <v>16015</v>
      </c>
      <c r="L3886" t="s">
        <v>5471</v>
      </c>
      <c r="M3886" t="s">
        <v>5471</v>
      </c>
    </row>
    <row r="3887" spans="1:13" x14ac:dyDescent="0.3">
      <c r="A3887" t="s">
        <v>3380</v>
      </c>
      <c r="B3887" t="s">
        <v>10137</v>
      </c>
      <c r="C3887" t="s">
        <v>6342</v>
      </c>
      <c r="D3887" t="s">
        <v>4058</v>
      </c>
      <c r="E3887" t="s">
        <v>9935</v>
      </c>
      <c r="F3887" t="s">
        <v>16458</v>
      </c>
      <c r="G3887" t="s">
        <v>11662</v>
      </c>
      <c r="H3887" t="s">
        <v>5474</v>
      </c>
      <c r="I3887" t="s">
        <v>16459</v>
      </c>
      <c r="J3887" t="s">
        <v>5476</v>
      </c>
      <c r="K3887" t="s">
        <v>16018</v>
      </c>
      <c r="L3887" t="s">
        <v>5471</v>
      </c>
      <c r="M3887" t="s">
        <v>5471</v>
      </c>
    </row>
    <row r="3888" spans="1:13" x14ac:dyDescent="0.3">
      <c r="A3888" t="s">
        <v>3380</v>
      </c>
      <c r="B3888" t="s">
        <v>16094</v>
      </c>
      <c r="C3888" t="s">
        <v>6342</v>
      </c>
      <c r="D3888" t="s">
        <v>4119</v>
      </c>
      <c r="E3888" t="s">
        <v>5843</v>
      </c>
      <c r="F3888" t="s">
        <v>16460</v>
      </c>
      <c r="G3888" t="s">
        <v>16461</v>
      </c>
      <c r="H3888" t="s">
        <v>5474</v>
      </c>
      <c r="I3888" t="s">
        <v>16462</v>
      </c>
      <c r="J3888" t="s">
        <v>5476</v>
      </c>
      <c r="K3888" t="s">
        <v>16463</v>
      </c>
      <c r="L3888" t="s">
        <v>5471</v>
      </c>
      <c r="M3888" t="s">
        <v>5471</v>
      </c>
    </row>
    <row r="3889" spans="1:13" x14ac:dyDescent="0.3">
      <c r="A3889" t="s">
        <v>3380</v>
      </c>
      <c r="B3889" t="s">
        <v>10137</v>
      </c>
      <c r="C3889" t="s">
        <v>6342</v>
      </c>
      <c r="D3889" t="s">
        <v>4058</v>
      </c>
      <c r="E3889" t="s">
        <v>9935</v>
      </c>
      <c r="F3889" t="s">
        <v>16464</v>
      </c>
      <c r="G3889" t="s">
        <v>11662</v>
      </c>
      <c r="H3889" t="s">
        <v>5474</v>
      </c>
      <c r="I3889" t="s">
        <v>16465</v>
      </c>
      <c r="J3889" t="s">
        <v>5476</v>
      </c>
      <c r="K3889" t="s">
        <v>16021</v>
      </c>
      <c r="L3889" t="s">
        <v>5471</v>
      </c>
      <c r="M3889" t="s">
        <v>5471</v>
      </c>
    </row>
    <row r="3890" spans="1:13" x14ac:dyDescent="0.3">
      <c r="A3890" t="s">
        <v>3380</v>
      </c>
      <c r="B3890" t="s">
        <v>10137</v>
      </c>
      <c r="C3890" t="s">
        <v>6342</v>
      </c>
      <c r="D3890" t="s">
        <v>4058</v>
      </c>
      <c r="E3890" t="s">
        <v>9935</v>
      </c>
      <c r="F3890" t="s">
        <v>16466</v>
      </c>
      <c r="G3890" t="s">
        <v>11662</v>
      </c>
      <c r="H3890" t="s">
        <v>5474</v>
      </c>
      <c r="I3890" t="s">
        <v>16467</v>
      </c>
      <c r="J3890" t="s">
        <v>5476</v>
      </c>
      <c r="K3890" t="s">
        <v>16024</v>
      </c>
      <c r="L3890" t="s">
        <v>5471</v>
      </c>
      <c r="M3890" t="s">
        <v>5471</v>
      </c>
    </row>
    <row r="3891" spans="1:13" x14ac:dyDescent="0.3">
      <c r="A3891" t="s">
        <v>3380</v>
      </c>
      <c r="B3891" t="s">
        <v>15592</v>
      </c>
      <c r="C3891" t="s">
        <v>5487</v>
      </c>
      <c r="D3891" t="s">
        <v>4052</v>
      </c>
      <c r="E3891" t="s">
        <v>5843</v>
      </c>
      <c r="F3891" t="s">
        <v>16468</v>
      </c>
      <c r="G3891" t="s">
        <v>16469</v>
      </c>
      <c r="H3891" t="s">
        <v>5474</v>
      </c>
      <c r="I3891" t="s">
        <v>16470</v>
      </c>
      <c r="J3891" t="s">
        <v>5476</v>
      </c>
      <c r="K3891" t="s">
        <v>16471</v>
      </c>
      <c r="L3891" t="s">
        <v>5471</v>
      </c>
      <c r="M3891" t="s">
        <v>5471</v>
      </c>
    </row>
    <row r="3892" spans="1:13" x14ac:dyDescent="0.3">
      <c r="A3892" t="s">
        <v>3380</v>
      </c>
      <c r="B3892" t="s">
        <v>10137</v>
      </c>
      <c r="C3892" t="s">
        <v>6342</v>
      </c>
      <c r="D3892" t="s">
        <v>4052</v>
      </c>
      <c r="E3892" t="s">
        <v>9935</v>
      </c>
      <c r="F3892" t="s">
        <v>16472</v>
      </c>
      <c r="G3892" t="s">
        <v>16473</v>
      </c>
      <c r="H3892" t="s">
        <v>5474</v>
      </c>
      <c r="I3892" t="s">
        <v>16474</v>
      </c>
      <c r="J3892" t="s">
        <v>5476</v>
      </c>
      <c r="K3892" t="s">
        <v>16475</v>
      </c>
      <c r="L3892" t="s">
        <v>5471</v>
      </c>
      <c r="M3892" t="s">
        <v>5471</v>
      </c>
    </row>
    <row r="3893" spans="1:13" x14ac:dyDescent="0.3">
      <c r="A3893" t="s">
        <v>3380</v>
      </c>
      <c r="B3893" t="s">
        <v>10137</v>
      </c>
      <c r="C3893" t="s">
        <v>6342</v>
      </c>
      <c r="D3893" t="s">
        <v>4058</v>
      </c>
      <c r="E3893" t="s">
        <v>9935</v>
      </c>
      <c r="F3893" t="s">
        <v>16476</v>
      </c>
      <c r="G3893" t="s">
        <v>16473</v>
      </c>
      <c r="H3893" t="s">
        <v>5474</v>
      </c>
      <c r="I3893" t="s">
        <v>16477</v>
      </c>
      <c r="J3893" t="s">
        <v>5476</v>
      </c>
      <c r="K3893" t="s">
        <v>16478</v>
      </c>
      <c r="L3893" t="s">
        <v>5471</v>
      </c>
      <c r="M3893" t="s">
        <v>5471</v>
      </c>
    </row>
    <row r="3894" spans="1:13" x14ac:dyDescent="0.3">
      <c r="A3894" t="s">
        <v>3380</v>
      </c>
      <c r="B3894" t="s">
        <v>15592</v>
      </c>
      <c r="C3894" t="s">
        <v>5487</v>
      </c>
      <c r="D3894" t="s">
        <v>4052</v>
      </c>
      <c r="E3894" t="s">
        <v>5843</v>
      </c>
      <c r="F3894" t="s">
        <v>16479</v>
      </c>
      <c r="G3894" t="s">
        <v>16480</v>
      </c>
      <c r="H3894" t="s">
        <v>5474</v>
      </c>
      <c r="I3894" t="s">
        <v>16481</v>
      </c>
      <c r="J3894" t="s">
        <v>5476</v>
      </c>
      <c r="K3894" t="s">
        <v>16482</v>
      </c>
      <c r="L3894" t="s">
        <v>5471</v>
      </c>
      <c r="M3894" t="s">
        <v>5471</v>
      </c>
    </row>
    <row r="3895" spans="1:13" x14ac:dyDescent="0.3">
      <c r="A3895" t="s">
        <v>3380</v>
      </c>
      <c r="B3895" t="s">
        <v>10137</v>
      </c>
      <c r="C3895" t="s">
        <v>6342</v>
      </c>
      <c r="D3895" t="s">
        <v>4058</v>
      </c>
      <c r="E3895" t="s">
        <v>9935</v>
      </c>
      <c r="F3895" t="s">
        <v>16483</v>
      </c>
      <c r="G3895" t="s">
        <v>16473</v>
      </c>
      <c r="H3895" t="s">
        <v>5474</v>
      </c>
      <c r="I3895" t="s">
        <v>16484</v>
      </c>
      <c r="J3895" t="s">
        <v>5476</v>
      </c>
      <c r="K3895" t="s">
        <v>16485</v>
      </c>
      <c r="L3895" t="s">
        <v>5471</v>
      </c>
      <c r="M3895" t="s">
        <v>5471</v>
      </c>
    </row>
    <row r="3896" spans="1:13" x14ac:dyDescent="0.3">
      <c r="A3896" t="s">
        <v>3380</v>
      </c>
      <c r="B3896" t="s">
        <v>15592</v>
      </c>
      <c r="C3896" t="s">
        <v>5487</v>
      </c>
      <c r="D3896" t="s">
        <v>4052</v>
      </c>
      <c r="E3896" t="s">
        <v>5843</v>
      </c>
      <c r="F3896" t="s">
        <v>16486</v>
      </c>
      <c r="G3896" t="s">
        <v>16418</v>
      </c>
      <c r="H3896" t="s">
        <v>5474</v>
      </c>
      <c r="I3896" t="s">
        <v>16487</v>
      </c>
      <c r="J3896" t="s">
        <v>5476</v>
      </c>
      <c r="K3896" t="s">
        <v>16488</v>
      </c>
      <c r="L3896" t="s">
        <v>5471</v>
      </c>
      <c r="M3896" t="s">
        <v>5471</v>
      </c>
    </row>
    <row r="3897" spans="1:13" x14ac:dyDescent="0.3">
      <c r="A3897" t="s">
        <v>3380</v>
      </c>
      <c r="B3897" t="s">
        <v>10137</v>
      </c>
      <c r="C3897" t="s">
        <v>6342</v>
      </c>
      <c r="D3897" t="s">
        <v>4058</v>
      </c>
      <c r="E3897" t="s">
        <v>9935</v>
      </c>
      <c r="F3897" t="s">
        <v>16489</v>
      </c>
      <c r="G3897" t="s">
        <v>16473</v>
      </c>
      <c r="H3897" t="s">
        <v>5474</v>
      </c>
      <c r="I3897" t="s">
        <v>16490</v>
      </c>
      <c r="J3897" t="s">
        <v>5476</v>
      </c>
      <c r="K3897" t="s">
        <v>16491</v>
      </c>
      <c r="L3897" t="s">
        <v>5471</v>
      </c>
      <c r="M3897" t="s">
        <v>5471</v>
      </c>
    </row>
    <row r="3898" spans="1:13" x14ac:dyDescent="0.3">
      <c r="A3898" t="s">
        <v>3380</v>
      </c>
      <c r="B3898" t="s">
        <v>10137</v>
      </c>
      <c r="C3898" t="s">
        <v>6342</v>
      </c>
      <c r="D3898" t="s">
        <v>4052</v>
      </c>
      <c r="E3898" t="s">
        <v>9935</v>
      </c>
      <c r="F3898" t="s">
        <v>16492</v>
      </c>
      <c r="G3898" t="s">
        <v>10145</v>
      </c>
      <c r="H3898" t="s">
        <v>5474</v>
      </c>
      <c r="I3898" t="s">
        <v>16493</v>
      </c>
      <c r="J3898" t="s">
        <v>5476</v>
      </c>
      <c r="K3898" t="s">
        <v>16494</v>
      </c>
      <c r="L3898" t="s">
        <v>5471</v>
      </c>
      <c r="M3898" t="s">
        <v>5471</v>
      </c>
    </row>
    <row r="3899" spans="1:13" x14ac:dyDescent="0.3">
      <c r="A3899" t="s">
        <v>3380</v>
      </c>
      <c r="B3899" t="s">
        <v>15592</v>
      </c>
      <c r="C3899" t="s">
        <v>5487</v>
      </c>
      <c r="D3899" t="s">
        <v>4052</v>
      </c>
      <c r="E3899" t="s">
        <v>5843</v>
      </c>
      <c r="F3899" t="s">
        <v>16495</v>
      </c>
      <c r="G3899" t="s">
        <v>16496</v>
      </c>
      <c r="H3899" t="s">
        <v>5474</v>
      </c>
      <c r="I3899" t="s">
        <v>16497</v>
      </c>
      <c r="J3899" t="s">
        <v>5476</v>
      </c>
      <c r="K3899" t="s">
        <v>16498</v>
      </c>
      <c r="L3899" t="s">
        <v>5471</v>
      </c>
      <c r="M3899" t="s">
        <v>5471</v>
      </c>
    </row>
    <row r="3900" spans="1:13" x14ac:dyDescent="0.3">
      <c r="A3900" t="s">
        <v>3380</v>
      </c>
      <c r="B3900" t="s">
        <v>15592</v>
      </c>
      <c r="C3900" t="s">
        <v>5487</v>
      </c>
      <c r="D3900" t="s">
        <v>4052</v>
      </c>
      <c r="E3900" t="s">
        <v>5843</v>
      </c>
      <c r="F3900" t="s">
        <v>16499</v>
      </c>
      <c r="G3900" t="s">
        <v>16500</v>
      </c>
      <c r="H3900" t="s">
        <v>5474</v>
      </c>
      <c r="I3900" t="s">
        <v>16501</v>
      </c>
      <c r="J3900" t="s">
        <v>5476</v>
      </c>
      <c r="K3900" t="s">
        <v>16502</v>
      </c>
      <c r="L3900" t="s">
        <v>5471</v>
      </c>
      <c r="M3900" t="s">
        <v>5471</v>
      </c>
    </row>
    <row r="3901" spans="1:13" x14ac:dyDescent="0.3">
      <c r="A3901" t="s">
        <v>3380</v>
      </c>
      <c r="B3901" t="s">
        <v>15592</v>
      </c>
      <c r="C3901" t="s">
        <v>5487</v>
      </c>
      <c r="D3901" t="s">
        <v>4052</v>
      </c>
      <c r="E3901" t="s">
        <v>5843</v>
      </c>
      <c r="F3901" t="s">
        <v>16503</v>
      </c>
      <c r="G3901" t="s">
        <v>16504</v>
      </c>
      <c r="H3901" t="s">
        <v>5474</v>
      </c>
      <c r="I3901" t="s">
        <v>16505</v>
      </c>
      <c r="J3901" t="s">
        <v>5476</v>
      </c>
      <c r="K3901" t="s">
        <v>16506</v>
      </c>
      <c r="L3901" t="s">
        <v>5471</v>
      </c>
      <c r="M3901" t="s">
        <v>5471</v>
      </c>
    </row>
    <row r="3902" spans="1:13" x14ac:dyDescent="0.3">
      <c r="A3902" t="s">
        <v>3383</v>
      </c>
      <c r="B3902" t="s">
        <v>5294</v>
      </c>
      <c r="C3902" t="s">
        <v>5470</v>
      </c>
      <c r="D3902" t="s">
        <v>4052</v>
      </c>
      <c r="E3902" t="s">
        <v>5756</v>
      </c>
      <c r="F3902" t="s">
        <v>16507</v>
      </c>
      <c r="G3902" t="s">
        <v>6407</v>
      </c>
      <c r="H3902" t="s">
        <v>5474</v>
      </c>
      <c r="I3902" t="s">
        <v>16508</v>
      </c>
      <c r="J3902" t="s">
        <v>5476</v>
      </c>
      <c r="K3902" t="s">
        <v>16509</v>
      </c>
      <c r="L3902" t="s">
        <v>5471</v>
      </c>
      <c r="M3902" t="s">
        <v>5471</v>
      </c>
    </row>
    <row r="3903" spans="1:13" x14ac:dyDescent="0.3">
      <c r="A3903" t="s">
        <v>3380</v>
      </c>
      <c r="B3903" t="s">
        <v>15592</v>
      </c>
      <c r="C3903" t="s">
        <v>5487</v>
      </c>
      <c r="D3903" t="s">
        <v>4052</v>
      </c>
      <c r="E3903" t="s">
        <v>5843</v>
      </c>
      <c r="F3903" t="s">
        <v>16510</v>
      </c>
      <c r="G3903" t="s">
        <v>16511</v>
      </c>
      <c r="H3903" t="s">
        <v>5474</v>
      </c>
      <c r="I3903" t="s">
        <v>16512</v>
      </c>
      <c r="J3903" t="s">
        <v>5476</v>
      </c>
      <c r="K3903" t="s">
        <v>9742</v>
      </c>
      <c r="L3903" t="s">
        <v>5471</v>
      </c>
      <c r="M3903" t="s">
        <v>5471</v>
      </c>
    </row>
    <row r="3904" spans="1:13" x14ac:dyDescent="0.3">
      <c r="A3904" t="s">
        <v>3380</v>
      </c>
      <c r="B3904" t="s">
        <v>15592</v>
      </c>
      <c r="C3904" t="s">
        <v>5487</v>
      </c>
      <c r="D3904" t="s">
        <v>4052</v>
      </c>
      <c r="E3904" t="s">
        <v>5843</v>
      </c>
      <c r="F3904" t="s">
        <v>16513</v>
      </c>
      <c r="G3904" t="s">
        <v>16514</v>
      </c>
      <c r="H3904" t="s">
        <v>5474</v>
      </c>
      <c r="I3904" t="s">
        <v>16515</v>
      </c>
      <c r="J3904" t="s">
        <v>5476</v>
      </c>
      <c r="K3904" t="s">
        <v>16516</v>
      </c>
      <c r="L3904" t="s">
        <v>5471</v>
      </c>
      <c r="M3904" t="s">
        <v>5471</v>
      </c>
    </row>
    <row r="3905" spans="1:13" x14ac:dyDescent="0.3">
      <c r="A3905" t="s">
        <v>3380</v>
      </c>
      <c r="B3905" t="s">
        <v>10137</v>
      </c>
      <c r="C3905" t="s">
        <v>6342</v>
      </c>
      <c r="D3905" t="s">
        <v>4052</v>
      </c>
      <c r="E3905" t="s">
        <v>9935</v>
      </c>
      <c r="F3905" t="s">
        <v>16517</v>
      </c>
      <c r="G3905" t="s">
        <v>10145</v>
      </c>
      <c r="H3905" t="s">
        <v>5474</v>
      </c>
      <c r="I3905" t="s">
        <v>16518</v>
      </c>
      <c r="J3905" t="s">
        <v>5476</v>
      </c>
      <c r="K3905" t="s">
        <v>16155</v>
      </c>
      <c r="L3905" t="s">
        <v>5471</v>
      </c>
      <c r="M3905" t="s">
        <v>5471</v>
      </c>
    </row>
    <row r="3906" spans="1:13" x14ac:dyDescent="0.3">
      <c r="A3906" t="s">
        <v>3380</v>
      </c>
      <c r="B3906" t="s">
        <v>10137</v>
      </c>
      <c r="C3906" t="s">
        <v>6342</v>
      </c>
      <c r="D3906" t="s">
        <v>4058</v>
      </c>
      <c r="E3906" t="s">
        <v>9935</v>
      </c>
      <c r="F3906" t="s">
        <v>16519</v>
      </c>
      <c r="G3906" t="s">
        <v>10145</v>
      </c>
      <c r="H3906" t="s">
        <v>5474</v>
      </c>
      <c r="I3906" t="s">
        <v>16520</v>
      </c>
      <c r="J3906" t="s">
        <v>5476</v>
      </c>
      <c r="K3906" t="s">
        <v>16170</v>
      </c>
      <c r="L3906" t="s">
        <v>5471</v>
      </c>
      <c r="M3906" t="s">
        <v>5471</v>
      </c>
    </row>
    <row r="3907" spans="1:13" x14ac:dyDescent="0.3">
      <c r="A3907" t="s">
        <v>3380</v>
      </c>
      <c r="B3907" t="s">
        <v>15592</v>
      </c>
      <c r="C3907" t="s">
        <v>5487</v>
      </c>
      <c r="D3907" t="s">
        <v>4052</v>
      </c>
      <c r="E3907" t="s">
        <v>5843</v>
      </c>
      <c r="F3907" t="s">
        <v>16521</v>
      </c>
      <c r="G3907" t="s">
        <v>16522</v>
      </c>
      <c r="H3907" t="s">
        <v>5474</v>
      </c>
      <c r="I3907" t="s">
        <v>16523</v>
      </c>
      <c r="J3907" t="s">
        <v>5476</v>
      </c>
      <c r="K3907" t="s">
        <v>16524</v>
      </c>
      <c r="L3907" t="s">
        <v>5471</v>
      </c>
      <c r="M3907" t="s">
        <v>5471</v>
      </c>
    </row>
    <row r="3908" spans="1:13" x14ac:dyDescent="0.3">
      <c r="A3908" t="s">
        <v>3380</v>
      </c>
      <c r="B3908" t="s">
        <v>10137</v>
      </c>
      <c r="C3908" t="s">
        <v>6342</v>
      </c>
      <c r="D3908" t="s">
        <v>4058</v>
      </c>
      <c r="E3908" t="s">
        <v>9935</v>
      </c>
      <c r="F3908" t="s">
        <v>16525</v>
      </c>
      <c r="G3908" t="s">
        <v>10145</v>
      </c>
      <c r="H3908" t="s">
        <v>5474</v>
      </c>
      <c r="I3908" t="s">
        <v>16526</v>
      </c>
      <c r="J3908" t="s">
        <v>5476</v>
      </c>
      <c r="K3908" t="s">
        <v>16173</v>
      </c>
      <c r="L3908" t="s">
        <v>5471</v>
      </c>
      <c r="M3908" t="s">
        <v>5471</v>
      </c>
    </row>
    <row r="3909" spans="1:13" x14ac:dyDescent="0.3">
      <c r="A3909" t="s">
        <v>3380</v>
      </c>
      <c r="B3909" t="s">
        <v>10137</v>
      </c>
      <c r="C3909" t="s">
        <v>6342</v>
      </c>
      <c r="D3909" t="s">
        <v>4058</v>
      </c>
      <c r="E3909" t="s">
        <v>9935</v>
      </c>
      <c r="F3909" t="s">
        <v>16527</v>
      </c>
      <c r="G3909" t="s">
        <v>10145</v>
      </c>
      <c r="H3909" t="s">
        <v>5474</v>
      </c>
      <c r="I3909" t="s">
        <v>16528</v>
      </c>
      <c r="J3909" t="s">
        <v>5476</v>
      </c>
      <c r="K3909" t="s">
        <v>16529</v>
      </c>
      <c r="L3909" t="s">
        <v>5471</v>
      </c>
      <c r="M3909" t="s">
        <v>5471</v>
      </c>
    </row>
    <row r="3910" spans="1:13" x14ac:dyDescent="0.3">
      <c r="A3910" t="s">
        <v>3380</v>
      </c>
      <c r="B3910" t="s">
        <v>10137</v>
      </c>
      <c r="C3910" t="s">
        <v>6342</v>
      </c>
      <c r="D3910" t="s">
        <v>4058</v>
      </c>
      <c r="E3910" t="s">
        <v>9935</v>
      </c>
      <c r="F3910" t="s">
        <v>16530</v>
      </c>
      <c r="G3910" t="s">
        <v>10145</v>
      </c>
      <c r="H3910" t="s">
        <v>5474</v>
      </c>
      <c r="I3910" t="s">
        <v>16531</v>
      </c>
      <c r="J3910" t="s">
        <v>5476</v>
      </c>
      <c r="K3910" t="s">
        <v>16532</v>
      </c>
      <c r="L3910" t="s">
        <v>5471</v>
      </c>
      <c r="M3910" t="s">
        <v>5471</v>
      </c>
    </row>
    <row r="3911" spans="1:13" x14ac:dyDescent="0.3">
      <c r="A3911" t="s">
        <v>3380</v>
      </c>
      <c r="B3911" t="s">
        <v>10137</v>
      </c>
      <c r="C3911" t="s">
        <v>6342</v>
      </c>
      <c r="D3911" t="s">
        <v>4058</v>
      </c>
      <c r="E3911" t="s">
        <v>9935</v>
      </c>
      <c r="F3911" t="s">
        <v>16533</v>
      </c>
      <c r="G3911" t="s">
        <v>10145</v>
      </c>
      <c r="H3911" t="s">
        <v>5474</v>
      </c>
      <c r="I3911" t="s">
        <v>16534</v>
      </c>
      <c r="J3911" t="s">
        <v>5476</v>
      </c>
      <c r="K3911" t="s">
        <v>16181</v>
      </c>
      <c r="L3911" t="s">
        <v>5471</v>
      </c>
      <c r="M3911" t="s">
        <v>5471</v>
      </c>
    </row>
    <row r="3912" spans="1:13" x14ac:dyDescent="0.3">
      <c r="A3912" t="s">
        <v>3380</v>
      </c>
      <c r="B3912" t="s">
        <v>10137</v>
      </c>
      <c r="C3912" t="s">
        <v>6342</v>
      </c>
      <c r="D3912" t="s">
        <v>4058</v>
      </c>
      <c r="E3912" t="s">
        <v>9935</v>
      </c>
      <c r="F3912" t="s">
        <v>16535</v>
      </c>
      <c r="G3912" t="s">
        <v>10145</v>
      </c>
      <c r="H3912" t="s">
        <v>5474</v>
      </c>
      <c r="I3912" t="s">
        <v>16536</v>
      </c>
      <c r="J3912" t="s">
        <v>5476</v>
      </c>
      <c r="K3912" t="s">
        <v>16184</v>
      </c>
      <c r="L3912" t="s">
        <v>5471</v>
      </c>
      <c r="M3912" t="s">
        <v>5471</v>
      </c>
    </row>
    <row r="3913" spans="1:13" x14ac:dyDescent="0.3">
      <c r="A3913" t="s">
        <v>3380</v>
      </c>
      <c r="B3913" t="s">
        <v>10137</v>
      </c>
      <c r="C3913" t="s">
        <v>6342</v>
      </c>
      <c r="D3913" t="s">
        <v>4056</v>
      </c>
      <c r="E3913" t="s">
        <v>9935</v>
      </c>
      <c r="F3913" t="s">
        <v>16537</v>
      </c>
      <c r="G3913" t="s">
        <v>10145</v>
      </c>
      <c r="H3913" t="s">
        <v>5474</v>
      </c>
      <c r="I3913" t="s">
        <v>16538</v>
      </c>
      <c r="J3913" t="s">
        <v>5476</v>
      </c>
      <c r="K3913" t="s">
        <v>16539</v>
      </c>
      <c r="L3913" t="s">
        <v>5471</v>
      </c>
      <c r="M3913" t="s">
        <v>5471</v>
      </c>
    </row>
    <row r="3914" spans="1:13" x14ac:dyDescent="0.3">
      <c r="A3914" t="s">
        <v>3380</v>
      </c>
      <c r="B3914" t="s">
        <v>15592</v>
      </c>
      <c r="C3914" t="s">
        <v>5487</v>
      </c>
      <c r="D3914" t="s">
        <v>4058</v>
      </c>
      <c r="E3914" t="s">
        <v>5843</v>
      </c>
      <c r="F3914" t="s">
        <v>16540</v>
      </c>
      <c r="G3914" t="s">
        <v>16469</v>
      </c>
      <c r="H3914" t="s">
        <v>5474</v>
      </c>
      <c r="I3914" t="s">
        <v>16541</v>
      </c>
      <c r="J3914" t="s">
        <v>5476</v>
      </c>
      <c r="K3914" t="s">
        <v>16542</v>
      </c>
      <c r="L3914" t="s">
        <v>5471</v>
      </c>
      <c r="M3914" t="s">
        <v>5471</v>
      </c>
    </row>
    <row r="3915" spans="1:13" x14ac:dyDescent="0.3">
      <c r="A3915" t="s">
        <v>3380</v>
      </c>
      <c r="B3915" t="s">
        <v>16094</v>
      </c>
      <c r="C3915" t="s">
        <v>6342</v>
      </c>
      <c r="D3915" t="s">
        <v>4119</v>
      </c>
      <c r="E3915" t="s">
        <v>5532</v>
      </c>
      <c r="F3915" t="s">
        <v>16543</v>
      </c>
      <c r="G3915" t="s">
        <v>16544</v>
      </c>
      <c r="H3915" t="s">
        <v>5474</v>
      </c>
      <c r="I3915" t="s">
        <v>16545</v>
      </c>
      <c r="J3915" t="s">
        <v>5476</v>
      </c>
      <c r="K3915" t="s">
        <v>16546</v>
      </c>
      <c r="L3915" t="s">
        <v>5471</v>
      </c>
      <c r="M3915" t="s">
        <v>5471</v>
      </c>
    </row>
    <row r="3916" spans="1:13" x14ac:dyDescent="0.3">
      <c r="A3916" t="s">
        <v>3383</v>
      </c>
      <c r="B3916" t="s">
        <v>5952</v>
      </c>
      <c r="C3916" t="s">
        <v>5470</v>
      </c>
      <c r="D3916" t="s">
        <v>4052</v>
      </c>
      <c r="E3916" t="s">
        <v>5756</v>
      </c>
      <c r="F3916" t="s">
        <v>16547</v>
      </c>
      <c r="G3916" t="s">
        <v>5960</v>
      </c>
      <c r="H3916" t="s">
        <v>5474</v>
      </c>
      <c r="I3916" t="s">
        <v>16548</v>
      </c>
      <c r="J3916" t="s">
        <v>5476</v>
      </c>
      <c r="K3916" t="s">
        <v>16549</v>
      </c>
      <c r="L3916" t="s">
        <v>5471</v>
      </c>
      <c r="M3916" t="s">
        <v>5471</v>
      </c>
    </row>
    <row r="3917" spans="1:13" x14ac:dyDescent="0.3">
      <c r="A3917" t="s">
        <v>3380</v>
      </c>
      <c r="B3917" t="s">
        <v>15592</v>
      </c>
      <c r="C3917" t="s">
        <v>5487</v>
      </c>
      <c r="D3917" t="s">
        <v>4058</v>
      </c>
      <c r="E3917" t="s">
        <v>5843</v>
      </c>
      <c r="F3917" t="s">
        <v>16550</v>
      </c>
      <c r="G3917" t="s">
        <v>16469</v>
      </c>
      <c r="H3917" t="s">
        <v>5474</v>
      </c>
      <c r="I3917" t="s">
        <v>16551</v>
      </c>
      <c r="J3917" t="s">
        <v>5476</v>
      </c>
      <c r="K3917" t="s">
        <v>16552</v>
      </c>
      <c r="L3917" t="s">
        <v>5471</v>
      </c>
      <c r="M3917" t="s">
        <v>5471</v>
      </c>
    </row>
    <row r="3918" spans="1:13" x14ac:dyDescent="0.3">
      <c r="A3918" t="s">
        <v>3380</v>
      </c>
      <c r="B3918" t="s">
        <v>10137</v>
      </c>
      <c r="C3918" t="s">
        <v>6342</v>
      </c>
      <c r="D3918" t="s">
        <v>4056</v>
      </c>
      <c r="E3918" t="s">
        <v>9935</v>
      </c>
      <c r="F3918" t="s">
        <v>16553</v>
      </c>
      <c r="G3918" t="s">
        <v>10145</v>
      </c>
      <c r="H3918" t="s">
        <v>5474</v>
      </c>
      <c r="I3918" t="s">
        <v>16554</v>
      </c>
      <c r="J3918" t="s">
        <v>5476</v>
      </c>
      <c r="K3918" t="s">
        <v>16217</v>
      </c>
      <c r="L3918" t="s">
        <v>5471</v>
      </c>
      <c r="M3918" t="s">
        <v>5471</v>
      </c>
    </row>
    <row r="3919" spans="1:13" x14ac:dyDescent="0.3">
      <c r="A3919" t="s">
        <v>3380</v>
      </c>
      <c r="B3919" t="s">
        <v>16094</v>
      </c>
      <c r="C3919" t="s">
        <v>6342</v>
      </c>
      <c r="D3919" t="s">
        <v>4119</v>
      </c>
      <c r="E3919" t="s">
        <v>5532</v>
      </c>
      <c r="F3919" t="s">
        <v>16555</v>
      </c>
      <c r="G3919" t="s">
        <v>16544</v>
      </c>
      <c r="H3919" t="s">
        <v>5474</v>
      </c>
      <c r="I3919" t="s">
        <v>16556</v>
      </c>
      <c r="J3919" t="s">
        <v>5476</v>
      </c>
      <c r="K3919" t="s">
        <v>16557</v>
      </c>
      <c r="L3919" t="s">
        <v>5471</v>
      </c>
      <c r="M3919" t="s">
        <v>5471</v>
      </c>
    </row>
    <row r="3920" spans="1:13" x14ac:dyDescent="0.3">
      <c r="A3920" t="s">
        <v>3380</v>
      </c>
      <c r="B3920" t="s">
        <v>10137</v>
      </c>
      <c r="C3920" t="s">
        <v>6342</v>
      </c>
      <c r="D3920" t="s">
        <v>4058</v>
      </c>
      <c r="E3920" t="s">
        <v>9935</v>
      </c>
      <c r="F3920" t="s">
        <v>16558</v>
      </c>
      <c r="G3920" t="s">
        <v>15612</v>
      </c>
      <c r="H3920" t="s">
        <v>5474</v>
      </c>
      <c r="I3920" t="s">
        <v>16559</v>
      </c>
      <c r="J3920" t="s">
        <v>5476</v>
      </c>
      <c r="K3920" t="s">
        <v>16560</v>
      </c>
      <c r="L3920" t="s">
        <v>5471</v>
      </c>
      <c r="M3920" t="s">
        <v>5471</v>
      </c>
    </row>
    <row r="3921" spans="1:13" x14ac:dyDescent="0.3">
      <c r="A3921" t="s">
        <v>3380</v>
      </c>
      <c r="B3921" t="s">
        <v>15592</v>
      </c>
      <c r="C3921" t="s">
        <v>5487</v>
      </c>
      <c r="D3921" t="s">
        <v>4058</v>
      </c>
      <c r="E3921" t="s">
        <v>5843</v>
      </c>
      <c r="F3921" t="s">
        <v>16561</v>
      </c>
      <c r="G3921" t="s">
        <v>16480</v>
      </c>
      <c r="H3921" t="s">
        <v>5474</v>
      </c>
      <c r="I3921" t="s">
        <v>16562</v>
      </c>
      <c r="J3921" t="s">
        <v>5476</v>
      </c>
      <c r="K3921" t="s">
        <v>16563</v>
      </c>
      <c r="L3921" t="s">
        <v>5471</v>
      </c>
      <c r="M3921" t="s">
        <v>5471</v>
      </c>
    </row>
    <row r="3922" spans="1:13" x14ac:dyDescent="0.3">
      <c r="A3922" t="s">
        <v>3383</v>
      </c>
      <c r="B3922" t="s">
        <v>5952</v>
      </c>
      <c r="C3922" t="s">
        <v>5470</v>
      </c>
      <c r="D3922" t="s">
        <v>4052</v>
      </c>
      <c r="E3922" t="s">
        <v>5756</v>
      </c>
      <c r="F3922" t="s">
        <v>16564</v>
      </c>
      <c r="G3922" t="s">
        <v>6244</v>
      </c>
      <c r="H3922" t="s">
        <v>5474</v>
      </c>
      <c r="I3922" t="s">
        <v>16565</v>
      </c>
      <c r="J3922" t="s">
        <v>5476</v>
      </c>
      <c r="K3922" t="s">
        <v>16566</v>
      </c>
      <c r="L3922" t="s">
        <v>5471</v>
      </c>
      <c r="M3922" t="s">
        <v>5471</v>
      </c>
    </row>
    <row r="3923" spans="1:13" x14ac:dyDescent="0.3">
      <c r="A3923" t="s">
        <v>3380</v>
      </c>
      <c r="B3923" t="s">
        <v>10137</v>
      </c>
      <c r="C3923" t="s">
        <v>6342</v>
      </c>
      <c r="D3923" t="s">
        <v>10218</v>
      </c>
      <c r="E3923" t="s">
        <v>9935</v>
      </c>
      <c r="F3923" t="s">
        <v>16567</v>
      </c>
      <c r="G3923" t="s">
        <v>15612</v>
      </c>
      <c r="H3923" t="s">
        <v>5474</v>
      </c>
      <c r="I3923" t="s">
        <v>16568</v>
      </c>
      <c r="J3923" t="s">
        <v>5476</v>
      </c>
      <c r="K3923" t="s">
        <v>16569</v>
      </c>
      <c r="L3923" t="s">
        <v>5471</v>
      </c>
      <c r="M3923" t="s">
        <v>5471</v>
      </c>
    </row>
    <row r="3924" spans="1:13" x14ac:dyDescent="0.3">
      <c r="A3924" t="s">
        <v>3380</v>
      </c>
      <c r="B3924" t="s">
        <v>15592</v>
      </c>
      <c r="C3924" t="s">
        <v>5487</v>
      </c>
      <c r="D3924" t="s">
        <v>4058</v>
      </c>
      <c r="E3924" t="s">
        <v>5843</v>
      </c>
      <c r="F3924" t="s">
        <v>16570</v>
      </c>
      <c r="G3924" t="s">
        <v>16480</v>
      </c>
      <c r="H3924" t="s">
        <v>5474</v>
      </c>
      <c r="I3924" t="s">
        <v>16571</v>
      </c>
      <c r="J3924" t="s">
        <v>5476</v>
      </c>
      <c r="K3924" t="s">
        <v>16572</v>
      </c>
      <c r="L3924" t="s">
        <v>5471</v>
      </c>
      <c r="M3924" t="s">
        <v>5471</v>
      </c>
    </row>
    <row r="3925" spans="1:13" x14ac:dyDescent="0.3">
      <c r="A3925" t="s">
        <v>3380</v>
      </c>
      <c r="B3925" t="s">
        <v>10137</v>
      </c>
      <c r="C3925" t="s">
        <v>6342</v>
      </c>
      <c r="D3925" t="s">
        <v>4058</v>
      </c>
      <c r="E3925" t="s">
        <v>9935</v>
      </c>
      <c r="F3925" t="s">
        <v>16573</v>
      </c>
      <c r="G3925" t="s">
        <v>16574</v>
      </c>
      <c r="H3925" t="s">
        <v>5474</v>
      </c>
      <c r="I3925" t="s">
        <v>16575</v>
      </c>
      <c r="J3925" t="s">
        <v>5476</v>
      </c>
      <c r="K3925" t="s">
        <v>16576</v>
      </c>
      <c r="L3925" t="s">
        <v>5471</v>
      </c>
      <c r="M3925" t="s">
        <v>5471</v>
      </c>
    </row>
    <row r="3926" spans="1:13" x14ac:dyDescent="0.3">
      <c r="A3926" t="s">
        <v>3380</v>
      </c>
      <c r="B3926" t="s">
        <v>15592</v>
      </c>
      <c r="C3926" t="s">
        <v>5487</v>
      </c>
      <c r="D3926" t="s">
        <v>4058</v>
      </c>
      <c r="E3926" t="s">
        <v>5843</v>
      </c>
      <c r="F3926" t="s">
        <v>16577</v>
      </c>
      <c r="G3926" t="s">
        <v>16418</v>
      </c>
      <c r="H3926" t="s">
        <v>5474</v>
      </c>
      <c r="I3926" t="s">
        <v>16578</v>
      </c>
      <c r="J3926" t="s">
        <v>5476</v>
      </c>
      <c r="K3926" t="s">
        <v>15909</v>
      </c>
      <c r="L3926" t="s">
        <v>5471</v>
      </c>
      <c r="M3926" t="s">
        <v>5471</v>
      </c>
    </row>
    <row r="3927" spans="1:13" x14ac:dyDescent="0.3">
      <c r="A3927" t="s">
        <v>3380</v>
      </c>
      <c r="B3927" t="s">
        <v>10137</v>
      </c>
      <c r="C3927" t="s">
        <v>6342</v>
      </c>
      <c r="D3927" t="s">
        <v>4052</v>
      </c>
      <c r="E3927" t="s">
        <v>9935</v>
      </c>
      <c r="F3927" t="s">
        <v>16579</v>
      </c>
      <c r="G3927" t="s">
        <v>16580</v>
      </c>
      <c r="H3927" t="s">
        <v>5474</v>
      </c>
      <c r="I3927" t="s">
        <v>16581</v>
      </c>
      <c r="J3927" t="s">
        <v>5476</v>
      </c>
      <c r="K3927" t="s">
        <v>16582</v>
      </c>
      <c r="L3927" t="s">
        <v>5471</v>
      </c>
      <c r="M3927" t="s">
        <v>5471</v>
      </c>
    </row>
    <row r="3928" spans="1:13" x14ac:dyDescent="0.3">
      <c r="A3928" t="s">
        <v>3380</v>
      </c>
      <c r="B3928" t="s">
        <v>15592</v>
      </c>
      <c r="C3928" t="s">
        <v>5487</v>
      </c>
      <c r="D3928" t="s">
        <v>4058</v>
      </c>
      <c r="E3928" t="s">
        <v>5843</v>
      </c>
      <c r="F3928" t="s">
        <v>16583</v>
      </c>
      <c r="G3928" t="s">
        <v>16418</v>
      </c>
      <c r="H3928" t="s">
        <v>5474</v>
      </c>
      <c r="I3928" t="s">
        <v>16584</v>
      </c>
      <c r="J3928" t="s">
        <v>5476</v>
      </c>
      <c r="K3928" t="s">
        <v>15912</v>
      </c>
      <c r="L3928" t="s">
        <v>5471</v>
      </c>
      <c r="M3928" t="s">
        <v>5471</v>
      </c>
    </row>
    <row r="3929" spans="1:13" x14ac:dyDescent="0.3">
      <c r="A3929" t="s">
        <v>3380</v>
      </c>
      <c r="B3929" t="s">
        <v>10137</v>
      </c>
      <c r="C3929" t="s">
        <v>6342</v>
      </c>
      <c r="D3929" t="s">
        <v>4058</v>
      </c>
      <c r="E3929" t="s">
        <v>9935</v>
      </c>
      <c r="F3929" t="s">
        <v>16585</v>
      </c>
      <c r="G3929" t="s">
        <v>16580</v>
      </c>
      <c r="H3929" t="s">
        <v>5474</v>
      </c>
      <c r="I3929" t="s">
        <v>16586</v>
      </c>
      <c r="J3929" t="s">
        <v>5476</v>
      </c>
      <c r="K3929" t="s">
        <v>16587</v>
      </c>
      <c r="L3929" t="s">
        <v>5471</v>
      </c>
      <c r="M3929" t="s">
        <v>5471</v>
      </c>
    </row>
    <row r="3930" spans="1:13" x14ac:dyDescent="0.3">
      <c r="A3930" t="s">
        <v>3380</v>
      </c>
      <c r="B3930" t="s">
        <v>15592</v>
      </c>
      <c r="C3930" t="s">
        <v>5487</v>
      </c>
      <c r="D3930" t="s">
        <v>4058</v>
      </c>
      <c r="E3930" t="s">
        <v>5843</v>
      </c>
      <c r="F3930" t="s">
        <v>16588</v>
      </c>
      <c r="G3930" t="s">
        <v>16500</v>
      </c>
      <c r="H3930" t="s">
        <v>5474</v>
      </c>
      <c r="I3930" t="s">
        <v>16589</v>
      </c>
      <c r="J3930" t="s">
        <v>5476</v>
      </c>
      <c r="K3930" t="s">
        <v>16590</v>
      </c>
      <c r="L3930" t="s">
        <v>5471</v>
      </c>
      <c r="M3930" t="s">
        <v>5471</v>
      </c>
    </row>
    <row r="3931" spans="1:13" x14ac:dyDescent="0.3">
      <c r="A3931" t="s">
        <v>3380</v>
      </c>
      <c r="B3931" t="s">
        <v>10137</v>
      </c>
      <c r="C3931" t="s">
        <v>6342</v>
      </c>
      <c r="D3931" t="s">
        <v>4058</v>
      </c>
      <c r="E3931" t="s">
        <v>9935</v>
      </c>
      <c r="F3931" t="s">
        <v>16591</v>
      </c>
      <c r="G3931" t="s">
        <v>16580</v>
      </c>
      <c r="H3931" t="s">
        <v>5474</v>
      </c>
      <c r="I3931" t="s">
        <v>16592</v>
      </c>
      <c r="J3931" t="s">
        <v>5476</v>
      </c>
      <c r="K3931" t="s">
        <v>16593</v>
      </c>
      <c r="L3931" t="s">
        <v>5471</v>
      </c>
      <c r="M3931" t="s">
        <v>5471</v>
      </c>
    </row>
    <row r="3932" spans="1:13" x14ac:dyDescent="0.3">
      <c r="A3932" t="s">
        <v>3380</v>
      </c>
      <c r="B3932" t="s">
        <v>10137</v>
      </c>
      <c r="C3932" t="s">
        <v>6342</v>
      </c>
      <c r="D3932" t="s">
        <v>4058</v>
      </c>
      <c r="E3932" t="s">
        <v>9935</v>
      </c>
      <c r="F3932" t="s">
        <v>16594</v>
      </c>
      <c r="G3932" t="s">
        <v>16580</v>
      </c>
      <c r="H3932" t="s">
        <v>5474</v>
      </c>
      <c r="I3932" t="s">
        <v>16595</v>
      </c>
      <c r="J3932" t="s">
        <v>5476</v>
      </c>
      <c r="K3932" t="s">
        <v>16596</v>
      </c>
      <c r="L3932" t="s">
        <v>5471</v>
      </c>
      <c r="M3932" t="s">
        <v>5471</v>
      </c>
    </row>
    <row r="3933" spans="1:13" x14ac:dyDescent="0.3">
      <c r="A3933" t="s">
        <v>3380</v>
      </c>
      <c r="B3933" t="s">
        <v>10137</v>
      </c>
      <c r="C3933" t="s">
        <v>6342</v>
      </c>
      <c r="D3933" t="s">
        <v>4056</v>
      </c>
      <c r="E3933" t="s">
        <v>9935</v>
      </c>
      <c r="F3933" t="s">
        <v>16597</v>
      </c>
      <c r="G3933" t="s">
        <v>16580</v>
      </c>
      <c r="H3933" t="s">
        <v>5474</v>
      </c>
      <c r="I3933" t="s">
        <v>16598</v>
      </c>
      <c r="J3933" t="s">
        <v>5476</v>
      </c>
      <c r="K3933" t="s">
        <v>16599</v>
      </c>
      <c r="L3933" t="s">
        <v>5471</v>
      </c>
      <c r="M3933" t="s">
        <v>5471</v>
      </c>
    </row>
    <row r="3934" spans="1:13" x14ac:dyDescent="0.3">
      <c r="A3934" t="s">
        <v>3380</v>
      </c>
      <c r="B3934" t="s">
        <v>10137</v>
      </c>
      <c r="C3934" t="s">
        <v>6342</v>
      </c>
      <c r="D3934" t="s">
        <v>4052</v>
      </c>
      <c r="E3934" t="s">
        <v>9935</v>
      </c>
      <c r="F3934" t="s">
        <v>16600</v>
      </c>
      <c r="G3934" t="s">
        <v>16601</v>
      </c>
      <c r="H3934" t="s">
        <v>5474</v>
      </c>
      <c r="I3934" t="s">
        <v>16602</v>
      </c>
      <c r="J3934" t="s">
        <v>5476</v>
      </c>
      <c r="K3934" t="s">
        <v>16076</v>
      </c>
      <c r="L3934" t="s">
        <v>5471</v>
      </c>
      <c r="M3934" t="s">
        <v>5471</v>
      </c>
    </row>
    <row r="3935" spans="1:13" x14ac:dyDescent="0.3">
      <c r="A3935" t="s">
        <v>3380</v>
      </c>
      <c r="B3935" t="s">
        <v>10137</v>
      </c>
      <c r="C3935" t="s">
        <v>6342</v>
      </c>
      <c r="D3935" t="s">
        <v>4058</v>
      </c>
      <c r="E3935" t="s">
        <v>9935</v>
      </c>
      <c r="F3935" t="s">
        <v>16603</v>
      </c>
      <c r="G3935" t="s">
        <v>16601</v>
      </c>
      <c r="H3935" t="s">
        <v>5474</v>
      </c>
      <c r="I3935" t="s">
        <v>16604</v>
      </c>
      <c r="J3935" t="s">
        <v>5476</v>
      </c>
      <c r="K3935" t="s">
        <v>16079</v>
      </c>
      <c r="L3935" t="s">
        <v>5471</v>
      </c>
      <c r="M3935" t="s">
        <v>5471</v>
      </c>
    </row>
    <row r="3936" spans="1:13" x14ac:dyDescent="0.3">
      <c r="A3936" t="s">
        <v>3383</v>
      </c>
      <c r="B3936" t="s">
        <v>5952</v>
      </c>
      <c r="C3936" t="s">
        <v>5470</v>
      </c>
      <c r="D3936" t="s">
        <v>4052</v>
      </c>
      <c r="E3936" t="s">
        <v>5756</v>
      </c>
      <c r="F3936" t="s">
        <v>16605</v>
      </c>
      <c r="G3936" t="s">
        <v>6293</v>
      </c>
      <c r="H3936" t="s">
        <v>5474</v>
      </c>
      <c r="I3936" t="s">
        <v>16606</v>
      </c>
      <c r="J3936" t="s">
        <v>5476</v>
      </c>
      <c r="K3936" t="s">
        <v>16607</v>
      </c>
      <c r="L3936" t="s">
        <v>5471</v>
      </c>
      <c r="M3936" t="s">
        <v>5471</v>
      </c>
    </row>
    <row r="3937" spans="1:13" x14ac:dyDescent="0.3">
      <c r="A3937" t="s">
        <v>3380</v>
      </c>
      <c r="B3937" t="s">
        <v>10137</v>
      </c>
      <c r="C3937" t="s">
        <v>6342</v>
      </c>
      <c r="D3937" t="s">
        <v>4058</v>
      </c>
      <c r="E3937" t="s">
        <v>9935</v>
      </c>
      <c r="F3937" t="s">
        <v>16608</v>
      </c>
      <c r="G3937" t="s">
        <v>16601</v>
      </c>
      <c r="H3937" t="s">
        <v>5474</v>
      </c>
      <c r="I3937" t="s">
        <v>16609</v>
      </c>
      <c r="J3937" t="s">
        <v>5476</v>
      </c>
      <c r="K3937" t="s">
        <v>16116</v>
      </c>
      <c r="L3937" t="s">
        <v>5471</v>
      </c>
      <c r="M3937" t="s">
        <v>5471</v>
      </c>
    </row>
    <row r="3938" spans="1:13" x14ac:dyDescent="0.3">
      <c r="A3938" t="s">
        <v>3380</v>
      </c>
      <c r="B3938" t="s">
        <v>10137</v>
      </c>
      <c r="C3938" t="s">
        <v>6342</v>
      </c>
      <c r="D3938" t="s">
        <v>4058</v>
      </c>
      <c r="E3938" t="s">
        <v>9935</v>
      </c>
      <c r="F3938" t="s">
        <v>16610</v>
      </c>
      <c r="G3938" t="s">
        <v>16601</v>
      </c>
      <c r="H3938" t="s">
        <v>5474</v>
      </c>
      <c r="I3938" t="s">
        <v>16611</v>
      </c>
      <c r="J3938" t="s">
        <v>5476</v>
      </c>
      <c r="K3938" t="s">
        <v>16612</v>
      </c>
      <c r="L3938" t="s">
        <v>5471</v>
      </c>
      <c r="M3938" t="s">
        <v>5471</v>
      </c>
    </row>
    <row r="3939" spans="1:13" x14ac:dyDescent="0.3">
      <c r="A3939" t="s">
        <v>3380</v>
      </c>
      <c r="B3939" t="s">
        <v>10137</v>
      </c>
      <c r="C3939" t="s">
        <v>6342</v>
      </c>
      <c r="D3939" t="s">
        <v>4056</v>
      </c>
      <c r="E3939" t="s">
        <v>9935</v>
      </c>
      <c r="F3939" t="s">
        <v>16613</v>
      </c>
      <c r="G3939" t="s">
        <v>16601</v>
      </c>
      <c r="H3939" t="s">
        <v>5474</v>
      </c>
      <c r="I3939" t="s">
        <v>16614</v>
      </c>
      <c r="J3939" t="s">
        <v>5476</v>
      </c>
      <c r="K3939" t="s">
        <v>16122</v>
      </c>
      <c r="L3939" t="s">
        <v>5471</v>
      </c>
      <c r="M3939" t="s">
        <v>5471</v>
      </c>
    </row>
    <row r="3940" spans="1:13" x14ac:dyDescent="0.3">
      <c r="A3940" t="s">
        <v>3383</v>
      </c>
      <c r="B3940" t="s">
        <v>5952</v>
      </c>
      <c r="C3940" t="s">
        <v>5470</v>
      </c>
      <c r="D3940" t="s">
        <v>4052</v>
      </c>
      <c r="E3940" t="s">
        <v>5756</v>
      </c>
      <c r="F3940" t="s">
        <v>16615</v>
      </c>
      <c r="G3940" t="s">
        <v>7728</v>
      </c>
      <c r="H3940" t="s">
        <v>5474</v>
      </c>
      <c r="I3940" t="s">
        <v>16616</v>
      </c>
      <c r="J3940" t="s">
        <v>5476</v>
      </c>
      <c r="K3940" t="s">
        <v>16617</v>
      </c>
      <c r="L3940" t="s">
        <v>5471</v>
      </c>
      <c r="M3940" t="s">
        <v>5471</v>
      </c>
    </row>
    <row r="3941" spans="1:13" x14ac:dyDescent="0.3">
      <c r="A3941" t="s">
        <v>3380</v>
      </c>
      <c r="B3941" t="s">
        <v>10137</v>
      </c>
      <c r="C3941" t="s">
        <v>6342</v>
      </c>
      <c r="D3941" t="s">
        <v>4200</v>
      </c>
      <c r="E3941" t="s">
        <v>5532</v>
      </c>
      <c r="F3941" t="s">
        <v>16618</v>
      </c>
      <c r="G3941" t="s">
        <v>10142</v>
      </c>
      <c r="H3941" t="s">
        <v>5474</v>
      </c>
      <c r="I3941" t="s">
        <v>16619</v>
      </c>
      <c r="J3941" t="s">
        <v>5476</v>
      </c>
      <c r="K3941" t="s">
        <v>16267</v>
      </c>
      <c r="L3941" t="s">
        <v>5471</v>
      </c>
      <c r="M3941" t="s">
        <v>5471</v>
      </c>
    </row>
    <row r="3942" spans="1:13" x14ac:dyDescent="0.3">
      <c r="A3942" t="s">
        <v>3380</v>
      </c>
      <c r="B3942" t="s">
        <v>10137</v>
      </c>
      <c r="C3942" t="s">
        <v>6342</v>
      </c>
      <c r="D3942" t="s">
        <v>4200</v>
      </c>
      <c r="E3942" t="s">
        <v>5532</v>
      </c>
      <c r="F3942" t="s">
        <v>16620</v>
      </c>
      <c r="G3942" t="s">
        <v>10139</v>
      </c>
      <c r="H3942" t="s">
        <v>5474</v>
      </c>
      <c r="I3942" t="s">
        <v>16621</v>
      </c>
      <c r="J3942" t="s">
        <v>5476</v>
      </c>
      <c r="K3942" t="s">
        <v>16267</v>
      </c>
      <c r="L3942" t="s">
        <v>5471</v>
      </c>
      <c r="M3942" t="s">
        <v>5471</v>
      </c>
    </row>
    <row r="3943" spans="1:13" x14ac:dyDescent="0.3">
      <c r="A3943" t="s">
        <v>3383</v>
      </c>
      <c r="B3943" t="s">
        <v>5805</v>
      </c>
      <c r="C3943" t="s">
        <v>5470</v>
      </c>
      <c r="D3943" t="s">
        <v>4052</v>
      </c>
      <c r="E3943" t="s">
        <v>5532</v>
      </c>
      <c r="F3943" t="s">
        <v>16622</v>
      </c>
      <c r="G3943" t="s">
        <v>6071</v>
      </c>
      <c r="H3943" t="s">
        <v>5474</v>
      </c>
      <c r="I3943" t="s">
        <v>16623</v>
      </c>
      <c r="J3943" t="s">
        <v>5476</v>
      </c>
      <c r="K3943" t="s">
        <v>16624</v>
      </c>
      <c r="L3943" t="s">
        <v>5471</v>
      </c>
      <c r="M3943" t="s">
        <v>5471</v>
      </c>
    </row>
    <row r="3944" spans="1:13" x14ac:dyDescent="0.3">
      <c r="A3944" t="s">
        <v>3380</v>
      </c>
      <c r="B3944" t="s">
        <v>10137</v>
      </c>
      <c r="C3944" t="s">
        <v>6342</v>
      </c>
      <c r="D3944" t="s">
        <v>4200</v>
      </c>
      <c r="E3944" t="s">
        <v>5532</v>
      </c>
      <c r="F3944" t="s">
        <v>16625</v>
      </c>
      <c r="G3944" t="s">
        <v>16580</v>
      </c>
      <c r="H3944" t="s">
        <v>5474</v>
      </c>
      <c r="I3944" t="s">
        <v>16626</v>
      </c>
      <c r="J3944" t="s">
        <v>5476</v>
      </c>
      <c r="K3944" t="s">
        <v>16381</v>
      </c>
      <c r="L3944" t="s">
        <v>5471</v>
      </c>
      <c r="M3944" t="s">
        <v>5471</v>
      </c>
    </row>
    <row r="3945" spans="1:13" x14ac:dyDescent="0.3">
      <c r="A3945" t="s">
        <v>3383</v>
      </c>
      <c r="B3945" t="s">
        <v>5952</v>
      </c>
      <c r="C3945" t="s">
        <v>5470</v>
      </c>
      <c r="D3945" t="s">
        <v>4052</v>
      </c>
      <c r="E3945" t="s">
        <v>5756</v>
      </c>
      <c r="F3945" t="s">
        <v>16627</v>
      </c>
      <c r="G3945" t="s">
        <v>5960</v>
      </c>
      <c r="H3945" t="s">
        <v>5474</v>
      </c>
      <c r="I3945" t="s">
        <v>16628</v>
      </c>
      <c r="J3945" t="s">
        <v>5476</v>
      </c>
      <c r="K3945" t="s">
        <v>16629</v>
      </c>
      <c r="L3945" t="s">
        <v>5471</v>
      </c>
      <c r="M3945" t="s">
        <v>5471</v>
      </c>
    </row>
    <row r="3946" spans="1:13" x14ac:dyDescent="0.3">
      <c r="A3946" t="s">
        <v>3383</v>
      </c>
      <c r="B3946" t="s">
        <v>5952</v>
      </c>
      <c r="C3946" t="s">
        <v>5470</v>
      </c>
      <c r="D3946" t="s">
        <v>4052</v>
      </c>
      <c r="E3946" t="s">
        <v>5532</v>
      </c>
      <c r="F3946" t="s">
        <v>16630</v>
      </c>
      <c r="G3946" t="s">
        <v>7528</v>
      </c>
      <c r="H3946" t="s">
        <v>5474</v>
      </c>
      <c r="I3946" t="s">
        <v>16631</v>
      </c>
      <c r="J3946" t="s">
        <v>5476</v>
      </c>
      <c r="K3946" t="s">
        <v>16632</v>
      </c>
      <c r="L3946" t="s">
        <v>5471</v>
      </c>
      <c r="M3946" t="s">
        <v>5471</v>
      </c>
    </row>
    <row r="3947" spans="1:13" x14ac:dyDescent="0.3">
      <c r="A3947" t="s">
        <v>3380</v>
      </c>
      <c r="B3947" t="s">
        <v>16094</v>
      </c>
      <c r="C3947" t="s">
        <v>6342</v>
      </c>
      <c r="D3947" t="s">
        <v>4119</v>
      </c>
      <c r="E3947" t="s">
        <v>5843</v>
      </c>
      <c r="F3947" t="s">
        <v>16633</v>
      </c>
      <c r="G3947" t="s">
        <v>16544</v>
      </c>
      <c r="H3947" t="s">
        <v>5474</v>
      </c>
      <c r="I3947" t="s">
        <v>16634</v>
      </c>
      <c r="J3947" t="s">
        <v>5476</v>
      </c>
      <c r="K3947" t="s">
        <v>16635</v>
      </c>
      <c r="L3947" t="s">
        <v>5471</v>
      </c>
      <c r="M3947" t="s">
        <v>5471</v>
      </c>
    </row>
    <row r="3948" spans="1:13" x14ac:dyDescent="0.3">
      <c r="A3948" t="s">
        <v>3383</v>
      </c>
      <c r="B3948" t="s">
        <v>5952</v>
      </c>
      <c r="C3948" t="s">
        <v>5470</v>
      </c>
      <c r="D3948" t="s">
        <v>4052</v>
      </c>
      <c r="E3948" t="s">
        <v>5532</v>
      </c>
      <c r="F3948" t="s">
        <v>16636</v>
      </c>
      <c r="G3948" t="s">
        <v>6557</v>
      </c>
      <c r="H3948" t="s">
        <v>5474</v>
      </c>
      <c r="I3948" t="s">
        <v>16637</v>
      </c>
      <c r="J3948" t="s">
        <v>5476</v>
      </c>
      <c r="K3948" t="s">
        <v>16638</v>
      </c>
      <c r="L3948" t="s">
        <v>5471</v>
      </c>
      <c r="M3948" t="s">
        <v>5471</v>
      </c>
    </row>
    <row r="3949" spans="1:13" x14ac:dyDescent="0.3">
      <c r="A3949" t="s">
        <v>3380</v>
      </c>
      <c r="B3949" t="s">
        <v>16094</v>
      </c>
      <c r="C3949" t="s">
        <v>6342</v>
      </c>
      <c r="D3949" t="s">
        <v>4119</v>
      </c>
      <c r="E3949" t="s">
        <v>5843</v>
      </c>
      <c r="F3949" t="s">
        <v>16639</v>
      </c>
      <c r="G3949" t="s">
        <v>16544</v>
      </c>
      <c r="H3949" t="s">
        <v>5474</v>
      </c>
      <c r="I3949" t="s">
        <v>16640</v>
      </c>
      <c r="J3949" t="s">
        <v>5476</v>
      </c>
      <c r="K3949" t="s">
        <v>16641</v>
      </c>
      <c r="L3949" t="s">
        <v>5471</v>
      </c>
      <c r="M3949" t="s">
        <v>5471</v>
      </c>
    </row>
    <row r="3950" spans="1:13" x14ac:dyDescent="0.3">
      <c r="A3950" t="s">
        <v>3383</v>
      </c>
      <c r="B3950" t="s">
        <v>5332</v>
      </c>
      <c r="C3950" t="s">
        <v>5470</v>
      </c>
      <c r="D3950" t="s">
        <v>4052</v>
      </c>
      <c r="E3950" t="s">
        <v>5532</v>
      </c>
      <c r="F3950" t="s">
        <v>16642</v>
      </c>
      <c r="G3950" t="s">
        <v>6105</v>
      </c>
      <c r="H3950" t="s">
        <v>5474</v>
      </c>
      <c r="I3950" t="s">
        <v>16643</v>
      </c>
      <c r="J3950" t="s">
        <v>5476</v>
      </c>
      <c r="K3950" t="s">
        <v>16644</v>
      </c>
      <c r="L3950" t="s">
        <v>5471</v>
      </c>
      <c r="M3950" t="s">
        <v>5471</v>
      </c>
    </row>
    <row r="3951" spans="1:13" x14ac:dyDescent="0.3">
      <c r="A3951" t="s">
        <v>3383</v>
      </c>
      <c r="B3951" t="s">
        <v>5294</v>
      </c>
      <c r="C3951" t="s">
        <v>5470</v>
      </c>
      <c r="D3951" t="s">
        <v>4052</v>
      </c>
      <c r="E3951" t="s">
        <v>5532</v>
      </c>
      <c r="F3951" t="s">
        <v>16645</v>
      </c>
      <c r="G3951" t="s">
        <v>7541</v>
      </c>
      <c r="H3951" t="s">
        <v>5474</v>
      </c>
      <c r="I3951" t="s">
        <v>16646</v>
      </c>
      <c r="J3951" t="s">
        <v>5476</v>
      </c>
      <c r="K3951" t="s">
        <v>16647</v>
      </c>
      <c r="L3951" t="s">
        <v>5471</v>
      </c>
      <c r="M3951" t="s">
        <v>5471</v>
      </c>
    </row>
    <row r="3952" spans="1:13" x14ac:dyDescent="0.3">
      <c r="A3952" t="s">
        <v>3383</v>
      </c>
      <c r="B3952" t="s">
        <v>7444</v>
      </c>
      <c r="C3952" t="s">
        <v>5470</v>
      </c>
      <c r="D3952" t="s">
        <v>4052</v>
      </c>
      <c r="E3952" t="s">
        <v>5843</v>
      </c>
      <c r="F3952" t="s">
        <v>16648</v>
      </c>
      <c r="G3952" t="s">
        <v>12069</v>
      </c>
      <c r="H3952" t="s">
        <v>5474</v>
      </c>
      <c r="I3952" t="s">
        <v>16649</v>
      </c>
      <c r="J3952" t="s">
        <v>5484</v>
      </c>
      <c r="K3952" t="s">
        <v>16650</v>
      </c>
      <c r="L3952" t="s">
        <v>5471</v>
      </c>
      <c r="M3952" t="s">
        <v>5471</v>
      </c>
    </row>
    <row r="3953" spans="1:13" x14ac:dyDescent="0.3">
      <c r="A3953" t="s">
        <v>3383</v>
      </c>
      <c r="B3953" t="s">
        <v>5294</v>
      </c>
      <c r="C3953" t="s">
        <v>5470</v>
      </c>
      <c r="D3953" t="s">
        <v>4052</v>
      </c>
      <c r="E3953" t="s">
        <v>5480</v>
      </c>
      <c r="F3953" t="s">
        <v>16651</v>
      </c>
      <c r="G3953" t="s">
        <v>7541</v>
      </c>
      <c r="H3953" t="s">
        <v>5474</v>
      </c>
      <c r="I3953" t="s">
        <v>16652</v>
      </c>
      <c r="J3953" t="s">
        <v>5484</v>
      </c>
      <c r="K3953" t="s">
        <v>16653</v>
      </c>
      <c r="L3953" t="s">
        <v>5471</v>
      </c>
      <c r="M3953" t="s">
        <v>5471</v>
      </c>
    </row>
    <row r="3954" spans="1:13" x14ac:dyDescent="0.3">
      <c r="A3954" t="s">
        <v>3383</v>
      </c>
      <c r="B3954" t="s">
        <v>5294</v>
      </c>
      <c r="C3954" t="s">
        <v>5470</v>
      </c>
      <c r="D3954" t="s">
        <v>4052</v>
      </c>
      <c r="E3954" t="s">
        <v>5480</v>
      </c>
      <c r="F3954" t="s">
        <v>16654</v>
      </c>
      <c r="G3954" t="s">
        <v>7541</v>
      </c>
      <c r="H3954" t="s">
        <v>5474</v>
      </c>
      <c r="I3954" t="s">
        <v>16655</v>
      </c>
      <c r="J3954" t="s">
        <v>5484</v>
      </c>
      <c r="K3954" t="s">
        <v>16656</v>
      </c>
      <c r="L3954" t="s">
        <v>5471</v>
      </c>
      <c r="M3954" t="s">
        <v>5471</v>
      </c>
    </row>
    <row r="3955" spans="1:13" x14ac:dyDescent="0.3">
      <c r="A3955" t="s">
        <v>3383</v>
      </c>
      <c r="B3955" t="s">
        <v>5294</v>
      </c>
      <c r="C3955" t="s">
        <v>5470</v>
      </c>
      <c r="D3955" t="s">
        <v>4052</v>
      </c>
      <c r="E3955" t="s">
        <v>5480</v>
      </c>
      <c r="F3955" t="s">
        <v>16657</v>
      </c>
      <c r="G3955" t="s">
        <v>7054</v>
      </c>
      <c r="H3955" t="s">
        <v>5474</v>
      </c>
      <c r="I3955" t="s">
        <v>16658</v>
      </c>
      <c r="J3955" t="s">
        <v>5484</v>
      </c>
      <c r="K3955" t="s">
        <v>16659</v>
      </c>
      <c r="L3955" t="s">
        <v>5471</v>
      </c>
      <c r="M3955" t="s">
        <v>5471</v>
      </c>
    </row>
    <row r="3956" spans="1:13" x14ac:dyDescent="0.3">
      <c r="A3956" t="s">
        <v>3380</v>
      </c>
      <c r="B3956" t="s">
        <v>5261</v>
      </c>
      <c r="C3956" t="s">
        <v>6342</v>
      </c>
      <c r="D3956" t="s">
        <v>4052</v>
      </c>
      <c r="E3956" t="s">
        <v>9935</v>
      </c>
      <c r="F3956" t="s">
        <v>16660</v>
      </c>
      <c r="G3956" t="s">
        <v>16661</v>
      </c>
      <c r="H3956" t="s">
        <v>5474</v>
      </c>
      <c r="I3956" t="s">
        <v>16662</v>
      </c>
      <c r="J3956" t="s">
        <v>5476</v>
      </c>
      <c r="K3956" t="s">
        <v>16060</v>
      </c>
      <c r="L3956" t="s">
        <v>5471</v>
      </c>
      <c r="M3956" t="s">
        <v>5471</v>
      </c>
    </row>
    <row r="3957" spans="1:13" x14ac:dyDescent="0.3">
      <c r="A3957" t="s">
        <v>3380</v>
      </c>
      <c r="B3957" t="s">
        <v>5261</v>
      </c>
      <c r="C3957" t="s">
        <v>6342</v>
      </c>
      <c r="D3957" t="s">
        <v>4058</v>
      </c>
      <c r="E3957" t="s">
        <v>9935</v>
      </c>
      <c r="F3957" t="s">
        <v>16663</v>
      </c>
      <c r="G3957" t="s">
        <v>16661</v>
      </c>
      <c r="H3957" t="s">
        <v>5474</v>
      </c>
      <c r="I3957" t="s">
        <v>16664</v>
      </c>
      <c r="J3957" t="s">
        <v>5476</v>
      </c>
      <c r="K3957" t="s">
        <v>16063</v>
      </c>
      <c r="L3957" t="s">
        <v>5471</v>
      </c>
      <c r="M3957" t="s">
        <v>5471</v>
      </c>
    </row>
    <row r="3958" spans="1:13" x14ac:dyDescent="0.3">
      <c r="A3958" t="s">
        <v>3380</v>
      </c>
      <c r="B3958" t="s">
        <v>5261</v>
      </c>
      <c r="C3958" t="s">
        <v>6342</v>
      </c>
      <c r="D3958" t="s">
        <v>4058</v>
      </c>
      <c r="E3958" t="s">
        <v>9935</v>
      </c>
      <c r="F3958" t="s">
        <v>16665</v>
      </c>
      <c r="G3958" t="s">
        <v>16661</v>
      </c>
      <c r="H3958" t="s">
        <v>5474</v>
      </c>
      <c r="I3958" t="s">
        <v>16666</v>
      </c>
      <c r="J3958" t="s">
        <v>5476</v>
      </c>
      <c r="K3958" t="s">
        <v>16066</v>
      </c>
      <c r="L3958" t="s">
        <v>5471</v>
      </c>
      <c r="M3958" t="s">
        <v>5471</v>
      </c>
    </row>
    <row r="3959" spans="1:13" x14ac:dyDescent="0.3">
      <c r="A3959" t="s">
        <v>3380</v>
      </c>
      <c r="B3959" t="s">
        <v>5261</v>
      </c>
      <c r="C3959" t="s">
        <v>6342</v>
      </c>
      <c r="D3959" t="s">
        <v>4058</v>
      </c>
      <c r="E3959" t="s">
        <v>9935</v>
      </c>
      <c r="F3959" t="s">
        <v>16667</v>
      </c>
      <c r="G3959" t="s">
        <v>16661</v>
      </c>
      <c r="H3959" t="s">
        <v>5474</v>
      </c>
      <c r="I3959" t="s">
        <v>16668</v>
      </c>
      <c r="J3959" t="s">
        <v>5476</v>
      </c>
      <c r="K3959" t="s">
        <v>16669</v>
      </c>
      <c r="L3959" t="s">
        <v>5471</v>
      </c>
      <c r="M3959" t="s">
        <v>5471</v>
      </c>
    </row>
    <row r="3960" spans="1:13" x14ac:dyDescent="0.3">
      <c r="A3960" t="s">
        <v>3380</v>
      </c>
      <c r="B3960" t="s">
        <v>5261</v>
      </c>
      <c r="C3960" t="s">
        <v>6342</v>
      </c>
      <c r="D3960" t="s">
        <v>4056</v>
      </c>
      <c r="E3960" t="s">
        <v>9935</v>
      </c>
      <c r="F3960" t="s">
        <v>16670</v>
      </c>
      <c r="G3960" t="s">
        <v>16661</v>
      </c>
      <c r="H3960" t="s">
        <v>5474</v>
      </c>
      <c r="I3960" t="s">
        <v>16671</v>
      </c>
      <c r="J3960" t="s">
        <v>5476</v>
      </c>
      <c r="K3960" t="s">
        <v>16072</v>
      </c>
      <c r="L3960" t="s">
        <v>5471</v>
      </c>
      <c r="M3960" t="s">
        <v>5471</v>
      </c>
    </row>
    <row r="3961" spans="1:13" x14ac:dyDescent="0.3">
      <c r="A3961" t="s">
        <v>3380</v>
      </c>
      <c r="B3961" t="s">
        <v>5261</v>
      </c>
      <c r="C3961" t="s">
        <v>6342</v>
      </c>
      <c r="D3961" t="s">
        <v>4058</v>
      </c>
      <c r="E3961" t="s">
        <v>9935</v>
      </c>
      <c r="F3961" t="s">
        <v>16672</v>
      </c>
      <c r="G3961" t="s">
        <v>15615</v>
      </c>
      <c r="H3961" t="s">
        <v>5474</v>
      </c>
      <c r="I3961" t="s">
        <v>16673</v>
      </c>
      <c r="J3961" t="s">
        <v>5476</v>
      </c>
      <c r="K3961" t="s">
        <v>16079</v>
      </c>
      <c r="L3961" t="s">
        <v>5471</v>
      </c>
      <c r="M3961" t="s">
        <v>5471</v>
      </c>
    </row>
    <row r="3962" spans="1:13" x14ac:dyDescent="0.3">
      <c r="A3962" t="s">
        <v>3380</v>
      </c>
      <c r="B3962" t="s">
        <v>5261</v>
      </c>
      <c r="C3962" t="s">
        <v>6342</v>
      </c>
      <c r="D3962" t="s">
        <v>4058</v>
      </c>
      <c r="E3962" t="s">
        <v>9935</v>
      </c>
      <c r="F3962" t="s">
        <v>16674</v>
      </c>
      <c r="G3962" t="s">
        <v>15615</v>
      </c>
      <c r="H3962" t="s">
        <v>5474</v>
      </c>
      <c r="I3962" t="s">
        <v>16675</v>
      </c>
      <c r="J3962" t="s">
        <v>5476</v>
      </c>
      <c r="K3962" t="s">
        <v>16116</v>
      </c>
      <c r="L3962" t="s">
        <v>5471</v>
      </c>
      <c r="M3962" t="s">
        <v>5471</v>
      </c>
    </row>
    <row r="3963" spans="1:13" x14ac:dyDescent="0.3">
      <c r="A3963" t="s">
        <v>3380</v>
      </c>
      <c r="B3963" t="s">
        <v>5261</v>
      </c>
      <c r="C3963" t="s">
        <v>6342</v>
      </c>
      <c r="D3963" t="s">
        <v>4052</v>
      </c>
      <c r="E3963" t="s">
        <v>5532</v>
      </c>
      <c r="F3963" t="s">
        <v>16676</v>
      </c>
      <c r="G3963" t="s">
        <v>16677</v>
      </c>
      <c r="H3963" t="s">
        <v>5474</v>
      </c>
      <c r="I3963" t="s">
        <v>16678</v>
      </c>
      <c r="J3963" t="s">
        <v>5476</v>
      </c>
      <c r="K3963" t="s">
        <v>16679</v>
      </c>
      <c r="L3963" t="s">
        <v>5471</v>
      </c>
      <c r="M3963" t="s">
        <v>5471</v>
      </c>
    </row>
    <row r="3964" spans="1:13" x14ac:dyDescent="0.3">
      <c r="A3964" t="s">
        <v>3380</v>
      </c>
      <c r="B3964" t="s">
        <v>5261</v>
      </c>
      <c r="C3964" t="s">
        <v>6342</v>
      </c>
      <c r="D3964" t="s">
        <v>4200</v>
      </c>
      <c r="E3964" t="s">
        <v>5532</v>
      </c>
      <c r="F3964" t="s">
        <v>16680</v>
      </c>
      <c r="G3964" t="s">
        <v>16677</v>
      </c>
      <c r="H3964" t="s">
        <v>5474</v>
      </c>
      <c r="I3964" t="s">
        <v>16681</v>
      </c>
      <c r="J3964" t="s">
        <v>5476</v>
      </c>
      <c r="K3964" t="s">
        <v>16267</v>
      </c>
      <c r="L3964" t="s">
        <v>5471</v>
      </c>
      <c r="M3964" t="s">
        <v>5471</v>
      </c>
    </row>
    <row r="3965" spans="1:13" x14ac:dyDescent="0.3">
      <c r="A3965" t="s">
        <v>3380</v>
      </c>
      <c r="B3965" t="s">
        <v>5261</v>
      </c>
      <c r="C3965" t="s">
        <v>6342</v>
      </c>
      <c r="D3965" t="s">
        <v>4052</v>
      </c>
      <c r="E3965" t="s">
        <v>5532</v>
      </c>
      <c r="F3965" t="s">
        <v>16682</v>
      </c>
      <c r="G3965" t="s">
        <v>10125</v>
      </c>
      <c r="H3965" t="s">
        <v>5474</v>
      </c>
      <c r="I3965" t="s">
        <v>16683</v>
      </c>
      <c r="J3965" t="s">
        <v>5476</v>
      </c>
      <c r="K3965" t="s">
        <v>16684</v>
      </c>
      <c r="L3965" t="s">
        <v>5471</v>
      </c>
      <c r="M3965" t="s">
        <v>5471</v>
      </c>
    </row>
    <row r="3966" spans="1:13" x14ac:dyDescent="0.3">
      <c r="A3966" t="s">
        <v>3380</v>
      </c>
      <c r="B3966" t="s">
        <v>5261</v>
      </c>
      <c r="C3966" t="s">
        <v>6342</v>
      </c>
      <c r="D3966" t="s">
        <v>4200</v>
      </c>
      <c r="E3966" t="s">
        <v>5532</v>
      </c>
      <c r="F3966" t="s">
        <v>16685</v>
      </c>
      <c r="G3966" t="s">
        <v>10125</v>
      </c>
      <c r="H3966" t="s">
        <v>5474</v>
      </c>
      <c r="I3966" t="s">
        <v>16686</v>
      </c>
      <c r="J3966" t="s">
        <v>5476</v>
      </c>
      <c r="K3966" t="s">
        <v>16267</v>
      </c>
      <c r="L3966" t="s">
        <v>5471</v>
      </c>
      <c r="M3966" t="s">
        <v>5471</v>
      </c>
    </row>
    <row r="3967" spans="1:13" x14ac:dyDescent="0.3">
      <c r="A3967" t="s">
        <v>3380</v>
      </c>
      <c r="B3967" t="s">
        <v>5261</v>
      </c>
      <c r="C3967" t="s">
        <v>6342</v>
      </c>
      <c r="D3967" t="s">
        <v>4052</v>
      </c>
      <c r="E3967" t="s">
        <v>5532</v>
      </c>
      <c r="F3967" t="s">
        <v>16687</v>
      </c>
      <c r="G3967" t="s">
        <v>10121</v>
      </c>
      <c r="H3967" t="s">
        <v>5474</v>
      </c>
      <c r="I3967" t="s">
        <v>16688</v>
      </c>
      <c r="J3967" t="s">
        <v>5476</v>
      </c>
      <c r="K3967" t="s">
        <v>16689</v>
      </c>
      <c r="L3967" t="s">
        <v>5471</v>
      </c>
      <c r="M3967" t="s">
        <v>5471</v>
      </c>
    </row>
    <row r="3968" spans="1:13" x14ac:dyDescent="0.3">
      <c r="A3968" t="s">
        <v>3380</v>
      </c>
      <c r="B3968" t="s">
        <v>5261</v>
      </c>
      <c r="C3968" t="s">
        <v>6342</v>
      </c>
      <c r="D3968" t="s">
        <v>4052</v>
      </c>
      <c r="E3968" t="s">
        <v>5532</v>
      </c>
      <c r="F3968" t="s">
        <v>16690</v>
      </c>
      <c r="G3968" t="s">
        <v>10117</v>
      </c>
      <c r="H3968" t="s">
        <v>5474</v>
      </c>
      <c r="I3968" t="s">
        <v>16691</v>
      </c>
      <c r="J3968" t="s">
        <v>5476</v>
      </c>
      <c r="K3968" t="s">
        <v>16692</v>
      </c>
      <c r="L3968" t="s">
        <v>5471</v>
      </c>
      <c r="M3968" t="s">
        <v>5471</v>
      </c>
    </row>
    <row r="3969" spans="1:13" x14ac:dyDescent="0.3">
      <c r="A3969" t="s">
        <v>3380</v>
      </c>
      <c r="B3969" t="s">
        <v>5261</v>
      </c>
      <c r="C3969" t="s">
        <v>6342</v>
      </c>
      <c r="D3969" t="s">
        <v>4058</v>
      </c>
      <c r="E3969" t="s">
        <v>5532</v>
      </c>
      <c r="F3969" t="s">
        <v>16693</v>
      </c>
      <c r="G3969" t="s">
        <v>16694</v>
      </c>
      <c r="H3969" t="s">
        <v>5474</v>
      </c>
      <c r="I3969" t="s">
        <v>16695</v>
      </c>
      <c r="J3969" t="s">
        <v>5476</v>
      </c>
      <c r="K3969" t="s">
        <v>16696</v>
      </c>
      <c r="L3969" t="s">
        <v>5471</v>
      </c>
      <c r="M3969" t="s">
        <v>5471</v>
      </c>
    </row>
    <row r="3970" spans="1:13" x14ac:dyDescent="0.3">
      <c r="A3970" t="s">
        <v>3380</v>
      </c>
      <c r="B3970" t="s">
        <v>16094</v>
      </c>
      <c r="C3970" t="s">
        <v>6342</v>
      </c>
      <c r="D3970" t="s">
        <v>4119</v>
      </c>
      <c r="E3970" t="s">
        <v>5532</v>
      </c>
      <c r="F3970" t="s">
        <v>16697</v>
      </c>
      <c r="G3970" t="s">
        <v>16698</v>
      </c>
      <c r="H3970" t="s">
        <v>5474</v>
      </c>
      <c r="I3970" t="s">
        <v>16699</v>
      </c>
      <c r="J3970" t="s">
        <v>5476</v>
      </c>
      <c r="K3970" t="s">
        <v>16700</v>
      </c>
      <c r="L3970" t="s">
        <v>5471</v>
      </c>
      <c r="M3970" t="s">
        <v>5471</v>
      </c>
    </row>
    <row r="3971" spans="1:13" x14ac:dyDescent="0.3">
      <c r="A3971" t="s">
        <v>3380</v>
      </c>
      <c r="B3971" t="s">
        <v>5261</v>
      </c>
      <c r="C3971" t="s">
        <v>6342</v>
      </c>
      <c r="D3971" t="s">
        <v>4058</v>
      </c>
      <c r="E3971" t="s">
        <v>5532</v>
      </c>
      <c r="F3971" t="s">
        <v>16701</v>
      </c>
      <c r="G3971" t="s">
        <v>16694</v>
      </c>
      <c r="H3971" t="s">
        <v>5474</v>
      </c>
      <c r="I3971" t="s">
        <v>16702</v>
      </c>
      <c r="J3971" t="s">
        <v>5476</v>
      </c>
      <c r="K3971" t="s">
        <v>16703</v>
      </c>
      <c r="L3971" t="s">
        <v>5471</v>
      </c>
      <c r="M3971" t="s">
        <v>5471</v>
      </c>
    </row>
    <row r="3972" spans="1:13" x14ac:dyDescent="0.3">
      <c r="A3972" t="s">
        <v>3380</v>
      </c>
      <c r="B3972" t="s">
        <v>5261</v>
      </c>
      <c r="C3972" t="s">
        <v>6342</v>
      </c>
      <c r="D3972" t="s">
        <v>4058</v>
      </c>
      <c r="E3972" t="s">
        <v>5532</v>
      </c>
      <c r="F3972" t="s">
        <v>16704</v>
      </c>
      <c r="G3972" t="s">
        <v>16694</v>
      </c>
      <c r="H3972" t="s">
        <v>5474</v>
      </c>
      <c r="I3972" t="s">
        <v>16705</v>
      </c>
      <c r="J3972" t="s">
        <v>5476</v>
      </c>
      <c r="K3972" t="s">
        <v>16706</v>
      </c>
      <c r="L3972" t="s">
        <v>5471</v>
      </c>
      <c r="M3972" t="s">
        <v>5471</v>
      </c>
    </row>
    <row r="3973" spans="1:13" x14ac:dyDescent="0.3">
      <c r="A3973" t="s">
        <v>3380</v>
      </c>
      <c r="B3973" t="s">
        <v>5261</v>
      </c>
      <c r="C3973" t="s">
        <v>6342</v>
      </c>
      <c r="D3973" t="s">
        <v>4058</v>
      </c>
      <c r="E3973" t="s">
        <v>5532</v>
      </c>
      <c r="F3973" t="s">
        <v>16707</v>
      </c>
      <c r="G3973" t="s">
        <v>16694</v>
      </c>
      <c r="H3973" t="s">
        <v>5474</v>
      </c>
      <c r="I3973" t="s">
        <v>16708</v>
      </c>
      <c r="J3973" t="s">
        <v>5476</v>
      </c>
      <c r="K3973" t="s">
        <v>16709</v>
      </c>
      <c r="L3973" t="s">
        <v>5471</v>
      </c>
      <c r="M3973" t="s">
        <v>5471</v>
      </c>
    </row>
    <row r="3974" spans="1:13" x14ac:dyDescent="0.3">
      <c r="A3974" t="s">
        <v>3380</v>
      </c>
      <c r="B3974" t="s">
        <v>5261</v>
      </c>
      <c r="C3974" t="s">
        <v>6342</v>
      </c>
      <c r="D3974" t="s">
        <v>4052</v>
      </c>
      <c r="E3974" t="s">
        <v>5532</v>
      </c>
      <c r="F3974" t="s">
        <v>16710</v>
      </c>
      <c r="G3974" t="s">
        <v>16711</v>
      </c>
      <c r="H3974" t="s">
        <v>5474</v>
      </c>
      <c r="I3974" t="s">
        <v>16712</v>
      </c>
      <c r="J3974" t="s">
        <v>5476</v>
      </c>
      <c r="K3974" t="s">
        <v>9724</v>
      </c>
      <c r="L3974" t="s">
        <v>5471</v>
      </c>
      <c r="M3974" t="s">
        <v>5471</v>
      </c>
    </row>
    <row r="3975" spans="1:13" x14ac:dyDescent="0.3">
      <c r="A3975" t="s">
        <v>3380</v>
      </c>
      <c r="B3975" t="s">
        <v>16268</v>
      </c>
      <c r="C3975" t="s">
        <v>6342</v>
      </c>
      <c r="D3975" t="s">
        <v>4119</v>
      </c>
      <c r="E3975" t="s">
        <v>5532</v>
      </c>
      <c r="F3975" t="s">
        <v>16713</v>
      </c>
      <c r="G3975" t="s">
        <v>16270</v>
      </c>
      <c r="H3975" t="s">
        <v>5474</v>
      </c>
      <c r="I3975" t="s">
        <v>16714</v>
      </c>
      <c r="J3975" t="s">
        <v>5476</v>
      </c>
      <c r="K3975" t="s">
        <v>16715</v>
      </c>
      <c r="L3975" t="s">
        <v>5471</v>
      </c>
      <c r="M3975" t="s">
        <v>5471</v>
      </c>
    </row>
    <row r="3976" spans="1:13" x14ac:dyDescent="0.3">
      <c r="A3976" t="s">
        <v>3380</v>
      </c>
      <c r="B3976" t="s">
        <v>5261</v>
      </c>
      <c r="C3976" t="s">
        <v>6342</v>
      </c>
      <c r="D3976" t="s">
        <v>4200</v>
      </c>
      <c r="E3976" t="s">
        <v>5532</v>
      </c>
      <c r="F3976" t="s">
        <v>16716</v>
      </c>
      <c r="G3976" t="s">
        <v>16711</v>
      </c>
      <c r="H3976" t="s">
        <v>5474</v>
      </c>
      <c r="I3976" t="s">
        <v>16717</v>
      </c>
      <c r="J3976" t="s">
        <v>5476</v>
      </c>
      <c r="K3976" t="s">
        <v>16381</v>
      </c>
      <c r="L3976" t="s">
        <v>5471</v>
      </c>
      <c r="M3976" t="s">
        <v>5471</v>
      </c>
    </row>
    <row r="3977" spans="1:13" x14ac:dyDescent="0.3">
      <c r="A3977" t="s">
        <v>3380</v>
      </c>
      <c r="B3977" t="s">
        <v>5261</v>
      </c>
      <c r="C3977" t="s">
        <v>6342</v>
      </c>
      <c r="D3977" t="s">
        <v>4052</v>
      </c>
      <c r="E3977" t="s">
        <v>5532</v>
      </c>
      <c r="F3977" t="s">
        <v>16718</v>
      </c>
      <c r="G3977" t="s">
        <v>16719</v>
      </c>
      <c r="H3977" t="s">
        <v>5474</v>
      </c>
      <c r="I3977" t="s">
        <v>16720</v>
      </c>
      <c r="J3977" t="s">
        <v>5476</v>
      </c>
      <c r="K3977" t="s">
        <v>16721</v>
      </c>
      <c r="L3977" t="s">
        <v>5471</v>
      </c>
      <c r="M3977" t="s">
        <v>5471</v>
      </c>
    </row>
    <row r="3978" spans="1:13" x14ac:dyDescent="0.3">
      <c r="A3978" t="s">
        <v>3380</v>
      </c>
      <c r="B3978" t="s">
        <v>16102</v>
      </c>
      <c r="C3978" t="s">
        <v>6342</v>
      </c>
      <c r="D3978" t="s">
        <v>4119</v>
      </c>
      <c r="E3978" t="s">
        <v>5532</v>
      </c>
      <c r="F3978" t="s">
        <v>16722</v>
      </c>
      <c r="G3978" t="s">
        <v>16104</v>
      </c>
      <c r="H3978" t="s">
        <v>5474</v>
      </c>
      <c r="I3978" t="s">
        <v>16723</v>
      </c>
      <c r="J3978" t="s">
        <v>5476</v>
      </c>
      <c r="K3978" t="s">
        <v>16715</v>
      </c>
      <c r="L3978" t="s">
        <v>5471</v>
      </c>
      <c r="M3978" t="s">
        <v>5471</v>
      </c>
    </row>
    <row r="3979" spans="1:13" x14ac:dyDescent="0.3">
      <c r="A3979" t="s">
        <v>3380</v>
      </c>
      <c r="B3979" t="s">
        <v>5261</v>
      </c>
      <c r="C3979" t="s">
        <v>6342</v>
      </c>
      <c r="D3979" t="s">
        <v>4200</v>
      </c>
      <c r="E3979" t="s">
        <v>5532</v>
      </c>
      <c r="F3979" t="s">
        <v>16724</v>
      </c>
      <c r="G3979" t="s">
        <v>16719</v>
      </c>
      <c r="H3979" t="s">
        <v>5474</v>
      </c>
      <c r="I3979" t="s">
        <v>16725</v>
      </c>
      <c r="J3979" t="s">
        <v>5476</v>
      </c>
      <c r="K3979" t="s">
        <v>16381</v>
      </c>
      <c r="L3979" t="s">
        <v>5471</v>
      </c>
      <c r="M3979" t="s">
        <v>5471</v>
      </c>
    </row>
    <row r="3980" spans="1:13" x14ac:dyDescent="0.3">
      <c r="A3980" t="s">
        <v>3380</v>
      </c>
      <c r="B3980" t="s">
        <v>5261</v>
      </c>
      <c r="C3980" t="s">
        <v>6342</v>
      </c>
      <c r="D3980" t="s">
        <v>4052</v>
      </c>
      <c r="E3980" t="s">
        <v>5532</v>
      </c>
      <c r="F3980" t="s">
        <v>16726</v>
      </c>
      <c r="G3980" t="s">
        <v>16727</v>
      </c>
      <c r="H3980" t="s">
        <v>5474</v>
      </c>
      <c r="I3980" t="s">
        <v>16728</v>
      </c>
      <c r="J3980" t="s">
        <v>5476</v>
      </c>
      <c r="K3980" t="s">
        <v>16729</v>
      </c>
      <c r="L3980" t="s">
        <v>5471</v>
      </c>
      <c r="M3980" t="s">
        <v>5471</v>
      </c>
    </row>
    <row r="3981" spans="1:13" x14ac:dyDescent="0.3">
      <c r="A3981" t="s">
        <v>3380</v>
      </c>
      <c r="B3981" t="s">
        <v>5261</v>
      </c>
      <c r="C3981" t="s">
        <v>6342</v>
      </c>
      <c r="D3981" t="s">
        <v>4200</v>
      </c>
      <c r="E3981" t="s">
        <v>5532</v>
      </c>
      <c r="F3981" t="s">
        <v>16730</v>
      </c>
      <c r="G3981" t="s">
        <v>16727</v>
      </c>
      <c r="H3981" t="s">
        <v>5474</v>
      </c>
      <c r="I3981" t="s">
        <v>16731</v>
      </c>
      <c r="J3981" t="s">
        <v>5476</v>
      </c>
      <c r="K3981" t="s">
        <v>16381</v>
      </c>
      <c r="L3981" t="s">
        <v>5471</v>
      </c>
      <c r="M3981" t="s">
        <v>5471</v>
      </c>
    </row>
    <row r="3982" spans="1:13" x14ac:dyDescent="0.3">
      <c r="A3982" t="s">
        <v>3380</v>
      </c>
      <c r="B3982" t="s">
        <v>10539</v>
      </c>
      <c r="C3982" t="s">
        <v>6342</v>
      </c>
      <c r="D3982" t="s">
        <v>4119</v>
      </c>
      <c r="E3982" t="s">
        <v>9935</v>
      </c>
      <c r="F3982" t="s">
        <v>16732</v>
      </c>
      <c r="G3982" t="s">
        <v>10553</v>
      </c>
      <c r="H3982" t="s">
        <v>5474</v>
      </c>
      <c r="I3982" t="s">
        <v>16733</v>
      </c>
      <c r="J3982" t="s">
        <v>5476</v>
      </c>
      <c r="K3982" t="s">
        <v>16715</v>
      </c>
      <c r="L3982" t="s">
        <v>5471</v>
      </c>
      <c r="M3982" t="s">
        <v>5471</v>
      </c>
    </row>
    <row r="3983" spans="1:13" x14ac:dyDescent="0.3">
      <c r="A3983" t="s">
        <v>3380</v>
      </c>
      <c r="B3983" t="s">
        <v>15592</v>
      </c>
      <c r="C3983" t="s">
        <v>5487</v>
      </c>
      <c r="D3983" t="s">
        <v>4058</v>
      </c>
      <c r="E3983" t="s">
        <v>5843</v>
      </c>
      <c r="F3983" t="s">
        <v>16734</v>
      </c>
      <c r="G3983" t="s">
        <v>16500</v>
      </c>
      <c r="H3983" t="s">
        <v>5474</v>
      </c>
      <c r="I3983" t="s">
        <v>16735</v>
      </c>
      <c r="J3983" t="s">
        <v>5476</v>
      </c>
      <c r="K3983" t="s">
        <v>16736</v>
      </c>
      <c r="L3983" t="s">
        <v>5471</v>
      </c>
      <c r="M3983" t="s">
        <v>5471</v>
      </c>
    </row>
    <row r="3984" spans="1:13" x14ac:dyDescent="0.3">
      <c r="A3984" t="s">
        <v>3380</v>
      </c>
      <c r="B3984" t="s">
        <v>5261</v>
      </c>
      <c r="C3984" t="s">
        <v>6342</v>
      </c>
      <c r="D3984" t="s">
        <v>4052</v>
      </c>
      <c r="E3984" t="s">
        <v>5532</v>
      </c>
      <c r="F3984" t="s">
        <v>16737</v>
      </c>
      <c r="G3984" t="s">
        <v>16738</v>
      </c>
      <c r="H3984" t="s">
        <v>5474</v>
      </c>
      <c r="I3984" t="s">
        <v>16739</v>
      </c>
      <c r="J3984" t="s">
        <v>5476</v>
      </c>
      <c r="K3984" t="s">
        <v>9727</v>
      </c>
      <c r="L3984" t="s">
        <v>5471</v>
      </c>
      <c r="M3984" t="s">
        <v>5471</v>
      </c>
    </row>
    <row r="3985" spans="1:13" x14ac:dyDescent="0.3">
      <c r="A3985" t="s">
        <v>3380</v>
      </c>
      <c r="B3985" t="s">
        <v>15592</v>
      </c>
      <c r="C3985" t="s">
        <v>5487</v>
      </c>
      <c r="D3985" t="s">
        <v>4058</v>
      </c>
      <c r="E3985" t="s">
        <v>5843</v>
      </c>
      <c r="F3985" t="s">
        <v>16740</v>
      </c>
      <c r="G3985" t="s">
        <v>16504</v>
      </c>
      <c r="H3985" t="s">
        <v>5474</v>
      </c>
      <c r="I3985" t="s">
        <v>16741</v>
      </c>
      <c r="J3985" t="s">
        <v>5476</v>
      </c>
      <c r="K3985" t="s">
        <v>16742</v>
      </c>
      <c r="L3985" t="s">
        <v>5471</v>
      </c>
      <c r="M3985" t="s">
        <v>5471</v>
      </c>
    </row>
    <row r="3986" spans="1:13" x14ac:dyDescent="0.3">
      <c r="A3986" t="s">
        <v>3380</v>
      </c>
      <c r="B3986" t="s">
        <v>5261</v>
      </c>
      <c r="C3986" t="s">
        <v>6342</v>
      </c>
      <c r="D3986" t="s">
        <v>4200</v>
      </c>
      <c r="E3986" t="s">
        <v>5532</v>
      </c>
      <c r="F3986" t="s">
        <v>16743</v>
      </c>
      <c r="G3986" t="s">
        <v>16738</v>
      </c>
      <c r="H3986" t="s">
        <v>5474</v>
      </c>
      <c r="I3986" t="s">
        <v>16744</v>
      </c>
      <c r="J3986" t="s">
        <v>5476</v>
      </c>
      <c r="K3986" t="s">
        <v>16381</v>
      </c>
      <c r="L3986" t="s">
        <v>5471</v>
      </c>
      <c r="M3986" t="s">
        <v>5471</v>
      </c>
    </row>
    <row r="3987" spans="1:13" x14ac:dyDescent="0.3">
      <c r="A3987" t="s">
        <v>3380</v>
      </c>
      <c r="B3987" t="s">
        <v>16745</v>
      </c>
      <c r="C3987" t="s">
        <v>6342</v>
      </c>
      <c r="D3987" t="s">
        <v>4119</v>
      </c>
      <c r="E3987" t="s">
        <v>9935</v>
      </c>
      <c r="F3987" t="s">
        <v>16746</v>
      </c>
      <c r="G3987" t="s">
        <v>16747</v>
      </c>
      <c r="H3987" t="s">
        <v>5474</v>
      </c>
      <c r="I3987" t="s">
        <v>16748</v>
      </c>
      <c r="J3987" t="s">
        <v>5476</v>
      </c>
      <c r="K3987" t="s">
        <v>16715</v>
      </c>
      <c r="L3987" t="s">
        <v>5471</v>
      </c>
      <c r="M3987" t="s">
        <v>5471</v>
      </c>
    </row>
    <row r="3988" spans="1:13" x14ac:dyDescent="0.3">
      <c r="A3988" t="s">
        <v>3380</v>
      </c>
      <c r="B3988" t="s">
        <v>15592</v>
      </c>
      <c r="C3988" t="s">
        <v>5487</v>
      </c>
      <c r="D3988" t="s">
        <v>4058</v>
      </c>
      <c r="E3988" t="s">
        <v>5843</v>
      </c>
      <c r="F3988" t="s">
        <v>16749</v>
      </c>
      <c r="G3988" t="s">
        <v>16504</v>
      </c>
      <c r="H3988" t="s">
        <v>5474</v>
      </c>
      <c r="I3988" t="s">
        <v>16750</v>
      </c>
      <c r="J3988" t="s">
        <v>5476</v>
      </c>
      <c r="K3988" t="s">
        <v>16751</v>
      </c>
      <c r="L3988" t="s">
        <v>5471</v>
      </c>
      <c r="M3988" t="s">
        <v>5471</v>
      </c>
    </row>
    <row r="3989" spans="1:13" x14ac:dyDescent="0.3">
      <c r="A3989" t="s">
        <v>3380</v>
      </c>
      <c r="B3989" t="s">
        <v>5261</v>
      </c>
      <c r="C3989" t="s">
        <v>6342</v>
      </c>
      <c r="D3989" t="s">
        <v>4052</v>
      </c>
      <c r="E3989" t="s">
        <v>5532</v>
      </c>
      <c r="F3989" t="s">
        <v>16752</v>
      </c>
      <c r="G3989" t="s">
        <v>16661</v>
      </c>
      <c r="H3989" t="s">
        <v>5474</v>
      </c>
      <c r="I3989" t="s">
        <v>16753</v>
      </c>
      <c r="J3989" t="s">
        <v>5476</v>
      </c>
      <c r="K3989" t="s">
        <v>16754</v>
      </c>
      <c r="L3989" t="s">
        <v>5471</v>
      </c>
      <c r="M3989" t="s">
        <v>5471</v>
      </c>
    </row>
    <row r="3990" spans="1:13" x14ac:dyDescent="0.3">
      <c r="A3990" t="s">
        <v>3380</v>
      </c>
      <c r="B3990" t="s">
        <v>15592</v>
      </c>
      <c r="C3990" t="s">
        <v>5487</v>
      </c>
      <c r="D3990" t="s">
        <v>4058</v>
      </c>
      <c r="E3990" t="s">
        <v>5843</v>
      </c>
      <c r="F3990" t="s">
        <v>16755</v>
      </c>
      <c r="G3990" t="s">
        <v>16511</v>
      </c>
      <c r="H3990" t="s">
        <v>5474</v>
      </c>
      <c r="I3990" t="s">
        <v>16756</v>
      </c>
      <c r="J3990" t="s">
        <v>5476</v>
      </c>
      <c r="K3990" t="s">
        <v>16757</v>
      </c>
      <c r="L3990" t="s">
        <v>5471</v>
      </c>
      <c r="M3990" t="s">
        <v>5471</v>
      </c>
    </row>
    <row r="3991" spans="1:13" x14ac:dyDescent="0.3">
      <c r="A3991" t="s">
        <v>3380</v>
      </c>
      <c r="B3991" t="s">
        <v>16094</v>
      </c>
      <c r="C3991" t="s">
        <v>6342</v>
      </c>
      <c r="D3991" t="s">
        <v>4119</v>
      </c>
      <c r="E3991" t="s">
        <v>5532</v>
      </c>
      <c r="F3991" t="s">
        <v>16758</v>
      </c>
      <c r="G3991" t="s">
        <v>16096</v>
      </c>
      <c r="H3991" t="s">
        <v>5474</v>
      </c>
      <c r="I3991" t="s">
        <v>16759</v>
      </c>
      <c r="J3991" t="s">
        <v>5476</v>
      </c>
      <c r="K3991" t="s">
        <v>16715</v>
      </c>
      <c r="L3991" t="s">
        <v>5471</v>
      </c>
      <c r="M3991" t="s">
        <v>5471</v>
      </c>
    </row>
    <row r="3992" spans="1:13" x14ac:dyDescent="0.3">
      <c r="A3992" t="s">
        <v>3380</v>
      </c>
      <c r="B3992" t="s">
        <v>15592</v>
      </c>
      <c r="C3992" t="s">
        <v>5487</v>
      </c>
      <c r="D3992" t="s">
        <v>4058</v>
      </c>
      <c r="E3992" t="s">
        <v>5843</v>
      </c>
      <c r="F3992" t="s">
        <v>16760</v>
      </c>
      <c r="G3992" t="s">
        <v>16511</v>
      </c>
      <c r="H3992" t="s">
        <v>5474</v>
      </c>
      <c r="I3992" t="s">
        <v>16761</v>
      </c>
      <c r="J3992" t="s">
        <v>5476</v>
      </c>
      <c r="K3992" t="s">
        <v>16762</v>
      </c>
      <c r="L3992" t="s">
        <v>5471</v>
      </c>
      <c r="M3992" t="s">
        <v>5471</v>
      </c>
    </row>
    <row r="3993" spans="1:13" x14ac:dyDescent="0.3">
      <c r="A3993" t="s">
        <v>3380</v>
      </c>
      <c r="B3993" t="s">
        <v>5261</v>
      </c>
      <c r="C3993" t="s">
        <v>6342</v>
      </c>
      <c r="D3993" t="s">
        <v>4200</v>
      </c>
      <c r="E3993" t="s">
        <v>5532</v>
      </c>
      <c r="F3993" t="s">
        <v>16763</v>
      </c>
      <c r="G3993" t="s">
        <v>16661</v>
      </c>
      <c r="H3993" t="s">
        <v>5474</v>
      </c>
      <c r="I3993" t="s">
        <v>16764</v>
      </c>
      <c r="J3993" t="s">
        <v>5476</v>
      </c>
      <c r="K3993" t="s">
        <v>16381</v>
      </c>
      <c r="L3993" t="s">
        <v>5471</v>
      </c>
      <c r="M3993" t="s">
        <v>5471</v>
      </c>
    </row>
    <row r="3994" spans="1:13" x14ac:dyDescent="0.3">
      <c r="A3994" t="s">
        <v>3380</v>
      </c>
      <c r="B3994" t="s">
        <v>15592</v>
      </c>
      <c r="C3994" t="s">
        <v>5487</v>
      </c>
      <c r="D3994" t="s">
        <v>4058</v>
      </c>
      <c r="E3994" t="s">
        <v>5843</v>
      </c>
      <c r="F3994" t="s">
        <v>16765</v>
      </c>
      <c r="G3994" t="s">
        <v>16514</v>
      </c>
      <c r="H3994" t="s">
        <v>5474</v>
      </c>
      <c r="I3994" t="s">
        <v>16766</v>
      </c>
      <c r="J3994" t="s">
        <v>5476</v>
      </c>
      <c r="K3994" t="s">
        <v>16767</v>
      </c>
      <c r="L3994" t="s">
        <v>5471</v>
      </c>
      <c r="M3994" t="s">
        <v>5471</v>
      </c>
    </row>
    <row r="3995" spans="1:13" x14ac:dyDescent="0.3">
      <c r="A3995" t="s">
        <v>3380</v>
      </c>
      <c r="B3995" t="s">
        <v>15592</v>
      </c>
      <c r="C3995" t="s">
        <v>5487</v>
      </c>
      <c r="D3995" t="s">
        <v>4058</v>
      </c>
      <c r="E3995" t="s">
        <v>5843</v>
      </c>
      <c r="F3995" t="s">
        <v>16768</v>
      </c>
      <c r="G3995" t="s">
        <v>16514</v>
      </c>
      <c r="H3995" t="s">
        <v>5474</v>
      </c>
      <c r="I3995" t="s">
        <v>16769</v>
      </c>
      <c r="J3995" t="s">
        <v>5476</v>
      </c>
      <c r="K3995" t="s">
        <v>16770</v>
      </c>
      <c r="L3995" t="s">
        <v>5471</v>
      </c>
      <c r="M3995" t="s">
        <v>5471</v>
      </c>
    </row>
    <row r="3996" spans="1:13" x14ac:dyDescent="0.3">
      <c r="A3996" t="s">
        <v>3380</v>
      </c>
      <c r="B3996" t="s">
        <v>16257</v>
      </c>
      <c r="C3996" t="s">
        <v>6342</v>
      </c>
      <c r="D3996" t="s">
        <v>4119</v>
      </c>
      <c r="E3996" t="s">
        <v>5532</v>
      </c>
      <c r="F3996" t="s">
        <v>16771</v>
      </c>
      <c r="G3996" t="s">
        <v>16259</v>
      </c>
      <c r="H3996" t="s">
        <v>5474</v>
      </c>
      <c r="I3996" t="s">
        <v>16772</v>
      </c>
      <c r="J3996" t="s">
        <v>5476</v>
      </c>
      <c r="K3996" t="s">
        <v>16715</v>
      </c>
      <c r="L3996" t="s">
        <v>5471</v>
      </c>
      <c r="M3996" t="s">
        <v>5471</v>
      </c>
    </row>
    <row r="3997" spans="1:13" x14ac:dyDescent="0.3">
      <c r="A3997" t="s">
        <v>3380</v>
      </c>
      <c r="B3997" t="s">
        <v>15592</v>
      </c>
      <c r="C3997" t="s">
        <v>5487</v>
      </c>
      <c r="D3997" t="s">
        <v>4119</v>
      </c>
      <c r="E3997" t="s">
        <v>5843</v>
      </c>
      <c r="F3997" t="s">
        <v>16773</v>
      </c>
      <c r="G3997" t="s">
        <v>16418</v>
      </c>
      <c r="H3997" t="s">
        <v>5474</v>
      </c>
      <c r="I3997" t="s">
        <v>16774</v>
      </c>
      <c r="J3997" t="s">
        <v>5476</v>
      </c>
      <c r="K3997" t="s">
        <v>16098</v>
      </c>
      <c r="L3997" t="s">
        <v>5471</v>
      </c>
      <c r="M3997" t="s">
        <v>5471</v>
      </c>
    </row>
    <row r="3998" spans="1:13" x14ac:dyDescent="0.3">
      <c r="A3998" t="s">
        <v>3380</v>
      </c>
      <c r="B3998" t="s">
        <v>15592</v>
      </c>
      <c r="C3998" t="s">
        <v>5487</v>
      </c>
      <c r="D3998" t="s">
        <v>4119</v>
      </c>
      <c r="E3998" t="s">
        <v>5843</v>
      </c>
      <c r="F3998" t="s">
        <v>16775</v>
      </c>
      <c r="G3998" t="s">
        <v>16418</v>
      </c>
      <c r="H3998" t="s">
        <v>5474</v>
      </c>
      <c r="I3998" t="s">
        <v>16776</v>
      </c>
      <c r="J3998" t="s">
        <v>5476</v>
      </c>
      <c r="K3998" t="s">
        <v>16101</v>
      </c>
      <c r="L3998" t="s">
        <v>5471</v>
      </c>
      <c r="M3998" t="s">
        <v>5471</v>
      </c>
    </row>
    <row r="3999" spans="1:13" x14ac:dyDescent="0.3">
      <c r="A3999" t="s">
        <v>3380</v>
      </c>
      <c r="B3999" t="s">
        <v>15901</v>
      </c>
      <c r="C3999" t="s">
        <v>6342</v>
      </c>
      <c r="D3999" t="s">
        <v>4119</v>
      </c>
      <c r="E3999" t="s">
        <v>5532</v>
      </c>
      <c r="F3999" t="s">
        <v>16777</v>
      </c>
      <c r="G3999" t="s">
        <v>16778</v>
      </c>
      <c r="H3999" t="s">
        <v>5474</v>
      </c>
      <c r="I3999" t="s">
        <v>16779</v>
      </c>
      <c r="J3999" t="s">
        <v>5476</v>
      </c>
      <c r="K3999" t="s">
        <v>16715</v>
      </c>
      <c r="L3999" t="s">
        <v>5471</v>
      </c>
      <c r="M3999" t="s">
        <v>5471</v>
      </c>
    </row>
    <row r="4000" spans="1:13" x14ac:dyDescent="0.3">
      <c r="A4000" t="s">
        <v>3380</v>
      </c>
      <c r="B4000" t="s">
        <v>5261</v>
      </c>
      <c r="C4000" t="s">
        <v>6342</v>
      </c>
      <c r="D4000" t="s">
        <v>4052</v>
      </c>
      <c r="E4000" t="s">
        <v>5532</v>
      </c>
      <c r="F4000" t="s">
        <v>16780</v>
      </c>
      <c r="G4000" t="s">
        <v>15615</v>
      </c>
      <c r="H4000" t="s">
        <v>5474</v>
      </c>
      <c r="I4000" t="s">
        <v>16781</v>
      </c>
      <c r="J4000" t="s">
        <v>5476</v>
      </c>
      <c r="K4000" t="s">
        <v>16782</v>
      </c>
      <c r="L4000" t="s">
        <v>5471</v>
      </c>
      <c r="M4000" t="s">
        <v>5471</v>
      </c>
    </row>
    <row r="4001" spans="1:13" x14ac:dyDescent="0.3">
      <c r="A4001" t="s">
        <v>3380</v>
      </c>
      <c r="B4001" t="s">
        <v>5261</v>
      </c>
      <c r="C4001" t="s">
        <v>6342</v>
      </c>
      <c r="D4001" t="s">
        <v>4056</v>
      </c>
      <c r="E4001" t="s">
        <v>5532</v>
      </c>
      <c r="F4001" t="s">
        <v>16783</v>
      </c>
      <c r="G4001" t="s">
        <v>15615</v>
      </c>
      <c r="H4001" t="s">
        <v>5474</v>
      </c>
      <c r="I4001" t="s">
        <v>16784</v>
      </c>
      <c r="J4001" t="s">
        <v>5476</v>
      </c>
      <c r="K4001" t="s">
        <v>16785</v>
      </c>
      <c r="L4001" t="s">
        <v>5471</v>
      </c>
      <c r="M4001" t="s">
        <v>5471</v>
      </c>
    </row>
    <row r="4002" spans="1:13" x14ac:dyDescent="0.3">
      <c r="A4002" t="s">
        <v>3380</v>
      </c>
      <c r="B4002" t="s">
        <v>10132</v>
      </c>
      <c r="C4002" t="s">
        <v>6342</v>
      </c>
      <c r="D4002" t="s">
        <v>4119</v>
      </c>
      <c r="E4002" t="s">
        <v>5532</v>
      </c>
      <c r="F4002" t="s">
        <v>16786</v>
      </c>
      <c r="G4002" t="s">
        <v>16787</v>
      </c>
      <c r="H4002" t="s">
        <v>5474</v>
      </c>
      <c r="I4002" t="s">
        <v>16788</v>
      </c>
      <c r="J4002" t="s">
        <v>5476</v>
      </c>
      <c r="K4002" t="s">
        <v>16715</v>
      </c>
      <c r="L4002" t="s">
        <v>5471</v>
      </c>
      <c r="M4002" t="s">
        <v>5471</v>
      </c>
    </row>
    <row r="4003" spans="1:13" x14ac:dyDescent="0.3">
      <c r="A4003" t="s">
        <v>3380</v>
      </c>
      <c r="B4003" t="s">
        <v>5261</v>
      </c>
      <c r="C4003" t="s">
        <v>6342</v>
      </c>
      <c r="D4003" t="s">
        <v>4200</v>
      </c>
      <c r="E4003" t="s">
        <v>5532</v>
      </c>
      <c r="F4003" t="s">
        <v>16789</v>
      </c>
      <c r="G4003" t="s">
        <v>15615</v>
      </c>
      <c r="H4003" t="s">
        <v>5474</v>
      </c>
      <c r="I4003" t="s">
        <v>16790</v>
      </c>
      <c r="J4003" t="s">
        <v>5476</v>
      </c>
      <c r="K4003" t="s">
        <v>16381</v>
      </c>
      <c r="L4003" t="s">
        <v>5471</v>
      </c>
      <c r="M4003" t="s">
        <v>5471</v>
      </c>
    </row>
    <row r="4004" spans="1:13" x14ac:dyDescent="0.3">
      <c r="A4004" t="s">
        <v>3380</v>
      </c>
      <c r="B4004" t="s">
        <v>5261</v>
      </c>
      <c r="C4004" t="s">
        <v>6342</v>
      </c>
      <c r="D4004" t="s">
        <v>4058</v>
      </c>
      <c r="E4004" t="s">
        <v>5843</v>
      </c>
      <c r="F4004" t="s">
        <v>16791</v>
      </c>
      <c r="G4004" t="s">
        <v>16792</v>
      </c>
      <c r="H4004" t="s">
        <v>5474</v>
      </c>
      <c r="I4004" t="s">
        <v>16793</v>
      </c>
      <c r="J4004" t="s">
        <v>5476</v>
      </c>
      <c r="K4004" t="s">
        <v>15919</v>
      </c>
      <c r="L4004" t="s">
        <v>5471</v>
      </c>
      <c r="M4004" t="s">
        <v>5471</v>
      </c>
    </row>
    <row r="4005" spans="1:13" x14ac:dyDescent="0.3">
      <c r="A4005" t="s">
        <v>3380</v>
      </c>
      <c r="B4005" t="s">
        <v>15592</v>
      </c>
      <c r="C4005" t="s">
        <v>5487</v>
      </c>
      <c r="D4005" t="s">
        <v>4119</v>
      </c>
      <c r="E4005" t="s">
        <v>5843</v>
      </c>
      <c r="F4005" t="s">
        <v>16794</v>
      </c>
      <c r="G4005" t="s">
        <v>16418</v>
      </c>
      <c r="H4005" t="s">
        <v>5474</v>
      </c>
      <c r="I4005" t="s">
        <v>16795</v>
      </c>
      <c r="J4005" t="s">
        <v>5476</v>
      </c>
      <c r="K4005" t="s">
        <v>16715</v>
      </c>
      <c r="L4005" t="s">
        <v>5471</v>
      </c>
      <c r="M4005" t="s">
        <v>5471</v>
      </c>
    </row>
    <row r="4006" spans="1:13" x14ac:dyDescent="0.3">
      <c r="A4006" t="s">
        <v>3380</v>
      </c>
      <c r="B4006" t="s">
        <v>5261</v>
      </c>
      <c r="C4006" t="s">
        <v>6342</v>
      </c>
      <c r="D4006" t="s">
        <v>4058</v>
      </c>
      <c r="E4006" t="s">
        <v>5843</v>
      </c>
      <c r="F4006" t="s">
        <v>16796</v>
      </c>
      <c r="G4006" t="s">
        <v>16792</v>
      </c>
      <c r="H4006" t="s">
        <v>5474</v>
      </c>
      <c r="I4006" t="s">
        <v>16797</v>
      </c>
      <c r="J4006" t="s">
        <v>5476</v>
      </c>
      <c r="K4006" t="s">
        <v>15922</v>
      </c>
      <c r="L4006" t="s">
        <v>5471</v>
      </c>
      <c r="M4006" t="s">
        <v>5471</v>
      </c>
    </row>
    <row r="4007" spans="1:13" x14ac:dyDescent="0.3">
      <c r="A4007" t="s">
        <v>3380</v>
      </c>
      <c r="B4007" t="s">
        <v>5281</v>
      </c>
      <c r="C4007" t="s">
        <v>5487</v>
      </c>
      <c r="D4007" t="s">
        <v>4119</v>
      </c>
      <c r="E4007" t="s">
        <v>5532</v>
      </c>
      <c r="F4007" t="s">
        <v>16798</v>
      </c>
      <c r="G4007" t="s">
        <v>16799</v>
      </c>
      <c r="H4007" t="s">
        <v>5474</v>
      </c>
      <c r="I4007" t="s">
        <v>16800</v>
      </c>
      <c r="J4007" t="s">
        <v>5476</v>
      </c>
      <c r="K4007" t="s">
        <v>16715</v>
      </c>
      <c r="L4007" t="s">
        <v>5471</v>
      </c>
      <c r="M4007" t="s">
        <v>5471</v>
      </c>
    </row>
    <row r="4008" spans="1:13" x14ac:dyDescent="0.3">
      <c r="A4008" t="s">
        <v>3380</v>
      </c>
      <c r="B4008" t="s">
        <v>5261</v>
      </c>
      <c r="C4008" t="s">
        <v>6342</v>
      </c>
      <c r="D4008" t="s">
        <v>4058</v>
      </c>
      <c r="E4008" t="s">
        <v>5843</v>
      </c>
      <c r="F4008" t="s">
        <v>16801</v>
      </c>
      <c r="G4008" t="s">
        <v>16792</v>
      </c>
      <c r="H4008" t="s">
        <v>5474</v>
      </c>
      <c r="I4008" t="s">
        <v>16802</v>
      </c>
      <c r="J4008" t="s">
        <v>5476</v>
      </c>
      <c r="K4008" t="s">
        <v>15925</v>
      </c>
      <c r="L4008" t="s">
        <v>5471</v>
      </c>
      <c r="M4008" t="s">
        <v>5471</v>
      </c>
    </row>
    <row r="4009" spans="1:13" x14ac:dyDescent="0.3">
      <c r="A4009" t="s">
        <v>3380</v>
      </c>
      <c r="B4009" t="s">
        <v>5261</v>
      </c>
      <c r="C4009" t="s">
        <v>6342</v>
      </c>
      <c r="D4009" t="s">
        <v>4200</v>
      </c>
      <c r="E4009" t="s">
        <v>5843</v>
      </c>
      <c r="F4009" t="s">
        <v>16803</v>
      </c>
      <c r="G4009" t="s">
        <v>16792</v>
      </c>
      <c r="H4009" t="s">
        <v>5474</v>
      </c>
      <c r="I4009" t="s">
        <v>16804</v>
      </c>
      <c r="J4009" t="s">
        <v>5476</v>
      </c>
      <c r="K4009" t="s">
        <v>16805</v>
      </c>
      <c r="L4009" t="s">
        <v>5471</v>
      </c>
      <c r="M4009" t="s">
        <v>5471</v>
      </c>
    </row>
    <row r="4010" spans="1:13" x14ac:dyDescent="0.3">
      <c r="A4010" t="s">
        <v>3380</v>
      </c>
      <c r="B4010" t="s">
        <v>9713</v>
      </c>
      <c r="C4010" t="s">
        <v>6342</v>
      </c>
      <c r="D4010" t="s">
        <v>4119</v>
      </c>
      <c r="E4010" t="s">
        <v>9935</v>
      </c>
      <c r="F4010" t="s">
        <v>16806</v>
      </c>
      <c r="G4010" t="s">
        <v>9715</v>
      </c>
      <c r="H4010" t="s">
        <v>5474</v>
      </c>
      <c r="I4010" t="s">
        <v>16807</v>
      </c>
      <c r="J4010" t="s">
        <v>5476</v>
      </c>
      <c r="K4010" t="s">
        <v>16808</v>
      </c>
      <c r="L4010" t="s">
        <v>5471</v>
      </c>
      <c r="M4010" t="s">
        <v>5471</v>
      </c>
    </row>
    <row r="4011" spans="1:13" x14ac:dyDescent="0.3">
      <c r="A4011" t="s">
        <v>3380</v>
      </c>
      <c r="B4011" t="s">
        <v>5261</v>
      </c>
      <c r="C4011" t="s">
        <v>6342</v>
      </c>
      <c r="D4011" t="s">
        <v>10218</v>
      </c>
      <c r="E4011" t="s">
        <v>5843</v>
      </c>
      <c r="F4011" t="s">
        <v>16809</v>
      </c>
      <c r="G4011" t="s">
        <v>16792</v>
      </c>
      <c r="H4011" t="s">
        <v>5474</v>
      </c>
      <c r="I4011" t="s">
        <v>16810</v>
      </c>
      <c r="J4011" t="s">
        <v>5476</v>
      </c>
      <c r="K4011" t="s">
        <v>16811</v>
      </c>
      <c r="L4011" t="s">
        <v>5471</v>
      </c>
      <c r="M4011" t="s">
        <v>5471</v>
      </c>
    </row>
    <row r="4012" spans="1:13" x14ac:dyDescent="0.3">
      <c r="A4012" t="s">
        <v>3380</v>
      </c>
      <c r="B4012" t="s">
        <v>15695</v>
      </c>
      <c r="C4012" t="s">
        <v>6342</v>
      </c>
      <c r="D4012" t="s">
        <v>4119</v>
      </c>
      <c r="E4012" t="s">
        <v>9935</v>
      </c>
      <c r="F4012" t="s">
        <v>16812</v>
      </c>
      <c r="G4012" t="s">
        <v>16813</v>
      </c>
      <c r="H4012" t="s">
        <v>5474</v>
      </c>
      <c r="I4012" t="s">
        <v>16814</v>
      </c>
      <c r="J4012" t="s">
        <v>5476</v>
      </c>
      <c r="K4012" t="s">
        <v>16808</v>
      </c>
      <c r="L4012" t="s">
        <v>5471</v>
      </c>
      <c r="M4012" t="s">
        <v>5471</v>
      </c>
    </row>
    <row r="4013" spans="1:13" x14ac:dyDescent="0.3">
      <c r="A4013" t="s">
        <v>3380</v>
      </c>
      <c r="B4013" t="s">
        <v>5261</v>
      </c>
      <c r="C4013" t="s">
        <v>6342</v>
      </c>
      <c r="D4013" t="s">
        <v>4052</v>
      </c>
      <c r="E4013" t="s">
        <v>5843</v>
      </c>
      <c r="F4013" t="s">
        <v>16815</v>
      </c>
      <c r="G4013" t="s">
        <v>16816</v>
      </c>
      <c r="H4013" t="s">
        <v>5474</v>
      </c>
      <c r="I4013" t="s">
        <v>16817</v>
      </c>
      <c r="J4013" t="s">
        <v>5476</v>
      </c>
      <c r="K4013" t="s">
        <v>16488</v>
      </c>
      <c r="L4013" t="s">
        <v>5471</v>
      </c>
      <c r="M4013" t="s">
        <v>5471</v>
      </c>
    </row>
    <row r="4014" spans="1:13" x14ac:dyDescent="0.3">
      <c r="A4014" t="s">
        <v>3380</v>
      </c>
      <c r="B4014" t="s">
        <v>5261</v>
      </c>
      <c r="C4014" t="s">
        <v>6342</v>
      </c>
      <c r="D4014" t="s">
        <v>4058</v>
      </c>
      <c r="E4014" t="s">
        <v>5843</v>
      </c>
      <c r="F4014" t="s">
        <v>16818</v>
      </c>
      <c r="G4014" t="s">
        <v>16816</v>
      </c>
      <c r="H4014" t="s">
        <v>5474</v>
      </c>
      <c r="I4014" t="s">
        <v>16819</v>
      </c>
      <c r="J4014" t="s">
        <v>5476</v>
      </c>
      <c r="K4014" t="s">
        <v>15909</v>
      </c>
      <c r="L4014" t="s">
        <v>5471</v>
      </c>
      <c r="M4014" t="s">
        <v>5471</v>
      </c>
    </row>
    <row r="4015" spans="1:13" x14ac:dyDescent="0.3">
      <c r="A4015" t="s">
        <v>3380</v>
      </c>
      <c r="B4015" t="s">
        <v>16820</v>
      </c>
      <c r="C4015" t="s">
        <v>6342</v>
      </c>
      <c r="D4015" t="s">
        <v>4119</v>
      </c>
      <c r="E4015" t="s">
        <v>5532</v>
      </c>
      <c r="F4015" t="s">
        <v>16821</v>
      </c>
      <c r="G4015" t="s">
        <v>16822</v>
      </c>
      <c r="H4015" t="s">
        <v>5474</v>
      </c>
      <c r="I4015" t="s">
        <v>16823</v>
      </c>
      <c r="J4015" t="s">
        <v>5476</v>
      </c>
      <c r="K4015" t="s">
        <v>16808</v>
      </c>
      <c r="L4015" t="s">
        <v>5471</v>
      </c>
      <c r="M4015" t="s">
        <v>5471</v>
      </c>
    </row>
    <row r="4016" spans="1:13" x14ac:dyDescent="0.3">
      <c r="A4016" t="s">
        <v>3380</v>
      </c>
      <c r="B4016" t="s">
        <v>5261</v>
      </c>
      <c r="C4016" t="s">
        <v>6342</v>
      </c>
      <c r="D4016" t="s">
        <v>4058</v>
      </c>
      <c r="E4016" t="s">
        <v>5843</v>
      </c>
      <c r="F4016" t="s">
        <v>16824</v>
      </c>
      <c r="G4016" t="s">
        <v>16816</v>
      </c>
      <c r="H4016" t="s">
        <v>5474</v>
      </c>
      <c r="I4016" t="s">
        <v>16825</v>
      </c>
      <c r="J4016" t="s">
        <v>5476</v>
      </c>
      <c r="K4016" t="s">
        <v>15912</v>
      </c>
      <c r="L4016" t="s">
        <v>5471</v>
      </c>
      <c r="M4016" t="s">
        <v>5471</v>
      </c>
    </row>
    <row r="4017" spans="1:13" x14ac:dyDescent="0.3">
      <c r="A4017" t="s">
        <v>3380</v>
      </c>
      <c r="B4017" t="s">
        <v>10137</v>
      </c>
      <c r="C4017" t="s">
        <v>6342</v>
      </c>
      <c r="D4017" t="s">
        <v>4119</v>
      </c>
      <c r="E4017" t="s">
        <v>9935</v>
      </c>
      <c r="F4017" t="s">
        <v>16826</v>
      </c>
      <c r="G4017" t="s">
        <v>10145</v>
      </c>
      <c r="H4017" t="s">
        <v>5474</v>
      </c>
      <c r="I4017" t="s">
        <v>16827</v>
      </c>
      <c r="J4017" t="s">
        <v>5476</v>
      </c>
      <c r="K4017" t="s">
        <v>16808</v>
      </c>
      <c r="L4017" t="s">
        <v>5471</v>
      </c>
      <c r="M4017" t="s">
        <v>5471</v>
      </c>
    </row>
    <row r="4018" spans="1:13" x14ac:dyDescent="0.3">
      <c r="A4018" t="s">
        <v>3380</v>
      </c>
      <c r="B4018" t="s">
        <v>5261</v>
      </c>
      <c r="C4018" t="s">
        <v>6342</v>
      </c>
      <c r="D4018" t="s">
        <v>4058</v>
      </c>
      <c r="E4018" t="s">
        <v>5843</v>
      </c>
      <c r="F4018" t="s">
        <v>16828</v>
      </c>
      <c r="G4018" t="s">
        <v>16816</v>
      </c>
      <c r="H4018" t="s">
        <v>5474</v>
      </c>
      <c r="I4018" t="s">
        <v>16829</v>
      </c>
      <c r="J4018" t="s">
        <v>5476</v>
      </c>
      <c r="K4018" t="s">
        <v>15915</v>
      </c>
      <c r="L4018" t="s">
        <v>5471</v>
      </c>
      <c r="M4018" t="s">
        <v>5471</v>
      </c>
    </row>
    <row r="4019" spans="1:13" x14ac:dyDescent="0.3">
      <c r="A4019" t="s">
        <v>3380</v>
      </c>
      <c r="B4019" t="s">
        <v>10539</v>
      </c>
      <c r="C4019" t="s">
        <v>6342</v>
      </c>
      <c r="D4019" t="s">
        <v>4119</v>
      </c>
      <c r="E4019" t="s">
        <v>9935</v>
      </c>
      <c r="F4019" t="s">
        <v>16830</v>
      </c>
      <c r="G4019" t="s">
        <v>10553</v>
      </c>
      <c r="H4019" t="s">
        <v>5474</v>
      </c>
      <c r="I4019" t="s">
        <v>16831</v>
      </c>
      <c r="J4019" t="s">
        <v>5476</v>
      </c>
      <c r="K4019" t="s">
        <v>16808</v>
      </c>
      <c r="L4019" t="s">
        <v>5471</v>
      </c>
      <c r="M4019" t="s">
        <v>5471</v>
      </c>
    </row>
    <row r="4020" spans="1:13" x14ac:dyDescent="0.3">
      <c r="A4020" t="s">
        <v>3380</v>
      </c>
      <c r="B4020" t="s">
        <v>5261</v>
      </c>
      <c r="C4020" t="s">
        <v>6342</v>
      </c>
      <c r="D4020" t="s">
        <v>4200</v>
      </c>
      <c r="E4020" t="s">
        <v>5843</v>
      </c>
      <c r="F4020" t="s">
        <v>16832</v>
      </c>
      <c r="G4020" t="s">
        <v>16816</v>
      </c>
      <c r="H4020" t="s">
        <v>5474</v>
      </c>
      <c r="I4020" t="s">
        <v>16833</v>
      </c>
      <c r="J4020" t="s">
        <v>5476</v>
      </c>
      <c r="K4020" t="s">
        <v>16381</v>
      </c>
      <c r="L4020" t="s">
        <v>5471</v>
      </c>
      <c r="M4020" t="s">
        <v>5471</v>
      </c>
    </row>
    <row r="4021" spans="1:13" x14ac:dyDescent="0.3">
      <c r="A4021" t="s">
        <v>3380</v>
      </c>
      <c r="B4021" t="s">
        <v>5261</v>
      </c>
      <c r="C4021" t="s">
        <v>6342</v>
      </c>
      <c r="D4021" t="s">
        <v>4119</v>
      </c>
      <c r="E4021" t="s">
        <v>9935</v>
      </c>
      <c r="F4021" t="s">
        <v>16834</v>
      </c>
      <c r="G4021" t="s">
        <v>16694</v>
      </c>
      <c r="H4021" t="s">
        <v>5474</v>
      </c>
      <c r="I4021" t="s">
        <v>16835</v>
      </c>
      <c r="J4021" t="s">
        <v>5476</v>
      </c>
      <c r="K4021" t="s">
        <v>16808</v>
      </c>
      <c r="L4021" t="s">
        <v>5471</v>
      </c>
      <c r="M4021" t="s">
        <v>5471</v>
      </c>
    </row>
    <row r="4022" spans="1:13" x14ac:dyDescent="0.3">
      <c r="A4022" t="s">
        <v>3380</v>
      </c>
      <c r="B4022" t="s">
        <v>5261</v>
      </c>
      <c r="C4022" t="s">
        <v>6342</v>
      </c>
      <c r="D4022" t="s">
        <v>10218</v>
      </c>
      <c r="E4022" t="s">
        <v>5843</v>
      </c>
      <c r="F4022" t="s">
        <v>16836</v>
      </c>
      <c r="G4022" t="s">
        <v>16816</v>
      </c>
      <c r="H4022" t="s">
        <v>5474</v>
      </c>
      <c r="I4022" t="s">
        <v>16837</v>
      </c>
      <c r="J4022" t="s">
        <v>5476</v>
      </c>
      <c r="K4022" t="s">
        <v>16811</v>
      </c>
      <c r="L4022" t="s">
        <v>5471</v>
      </c>
      <c r="M4022" t="s">
        <v>5471</v>
      </c>
    </row>
    <row r="4023" spans="1:13" x14ac:dyDescent="0.3">
      <c r="A4023" t="s">
        <v>3380</v>
      </c>
      <c r="B4023" t="s">
        <v>11061</v>
      </c>
      <c r="C4023" t="s">
        <v>6342</v>
      </c>
      <c r="D4023" t="s">
        <v>4119</v>
      </c>
      <c r="E4023" t="s">
        <v>5532</v>
      </c>
      <c r="F4023" t="s">
        <v>16838</v>
      </c>
      <c r="G4023" t="s">
        <v>11063</v>
      </c>
      <c r="H4023" t="s">
        <v>5474</v>
      </c>
      <c r="I4023" t="s">
        <v>16839</v>
      </c>
      <c r="J4023" t="s">
        <v>5476</v>
      </c>
      <c r="K4023" t="s">
        <v>16808</v>
      </c>
      <c r="L4023" t="s">
        <v>5471</v>
      </c>
      <c r="M4023" t="s">
        <v>5471</v>
      </c>
    </row>
    <row r="4024" spans="1:13" x14ac:dyDescent="0.3">
      <c r="A4024" t="s">
        <v>3380</v>
      </c>
      <c r="B4024" t="s">
        <v>10966</v>
      </c>
      <c r="C4024" t="s">
        <v>6342</v>
      </c>
      <c r="D4024" t="s">
        <v>4119</v>
      </c>
      <c r="E4024" t="s">
        <v>5532</v>
      </c>
      <c r="F4024" t="s">
        <v>16840</v>
      </c>
      <c r="G4024" t="s">
        <v>11034</v>
      </c>
      <c r="H4024" t="s">
        <v>5474</v>
      </c>
      <c r="I4024" t="s">
        <v>16841</v>
      </c>
      <c r="J4024" t="s">
        <v>5476</v>
      </c>
      <c r="K4024" t="s">
        <v>16808</v>
      </c>
      <c r="L4024" t="s">
        <v>5471</v>
      </c>
      <c r="M4024" t="s">
        <v>5471</v>
      </c>
    </row>
    <row r="4025" spans="1:13" x14ac:dyDescent="0.3">
      <c r="A4025" t="s">
        <v>3380</v>
      </c>
      <c r="B4025" t="s">
        <v>5261</v>
      </c>
      <c r="C4025" t="s">
        <v>6342</v>
      </c>
      <c r="D4025" t="s">
        <v>4058</v>
      </c>
      <c r="E4025" t="s">
        <v>5843</v>
      </c>
      <c r="F4025" t="s">
        <v>16842</v>
      </c>
      <c r="G4025" t="s">
        <v>16843</v>
      </c>
      <c r="H4025" t="s">
        <v>5474</v>
      </c>
      <c r="I4025" t="s">
        <v>16844</v>
      </c>
      <c r="J4025" t="s">
        <v>5476</v>
      </c>
      <c r="K4025" t="s">
        <v>16845</v>
      </c>
      <c r="L4025" t="s">
        <v>5471</v>
      </c>
      <c r="M4025" t="s">
        <v>5471</v>
      </c>
    </row>
    <row r="4026" spans="1:13" x14ac:dyDescent="0.3">
      <c r="A4026" t="s">
        <v>3380</v>
      </c>
      <c r="B4026" t="s">
        <v>5337</v>
      </c>
      <c r="C4026" t="s">
        <v>6342</v>
      </c>
      <c r="D4026" t="s">
        <v>4119</v>
      </c>
      <c r="E4026" t="s">
        <v>5532</v>
      </c>
      <c r="F4026" t="s">
        <v>16846</v>
      </c>
      <c r="G4026" t="s">
        <v>16847</v>
      </c>
      <c r="H4026" t="s">
        <v>5474</v>
      </c>
      <c r="I4026" t="s">
        <v>16848</v>
      </c>
      <c r="J4026" t="s">
        <v>5476</v>
      </c>
      <c r="K4026" t="s">
        <v>16808</v>
      </c>
      <c r="L4026" t="s">
        <v>5471</v>
      </c>
      <c r="M4026" t="s">
        <v>5471</v>
      </c>
    </row>
    <row r="4027" spans="1:13" x14ac:dyDescent="0.3">
      <c r="A4027" t="s">
        <v>3380</v>
      </c>
      <c r="B4027" t="s">
        <v>5261</v>
      </c>
      <c r="C4027" t="s">
        <v>6342</v>
      </c>
      <c r="D4027" t="s">
        <v>4058</v>
      </c>
      <c r="E4027" t="s">
        <v>5843</v>
      </c>
      <c r="F4027" t="s">
        <v>16849</v>
      </c>
      <c r="G4027" t="s">
        <v>16843</v>
      </c>
      <c r="H4027" t="s">
        <v>5474</v>
      </c>
      <c r="I4027" t="s">
        <v>16850</v>
      </c>
      <c r="J4027" t="s">
        <v>5476</v>
      </c>
      <c r="K4027" t="s">
        <v>16851</v>
      </c>
      <c r="L4027" t="s">
        <v>5471</v>
      </c>
      <c r="M4027" t="s">
        <v>5471</v>
      </c>
    </row>
    <row r="4028" spans="1:13" x14ac:dyDescent="0.3">
      <c r="A4028" t="s">
        <v>3380</v>
      </c>
      <c r="B4028" t="s">
        <v>5261</v>
      </c>
      <c r="C4028" t="s">
        <v>6342</v>
      </c>
      <c r="D4028" t="s">
        <v>4058</v>
      </c>
      <c r="E4028" t="s">
        <v>5843</v>
      </c>
      <c r="F4028" t="s">
        <v>16852</v>
      </c>
      <c r="G4028" t="s">
        <v>16843</v>
      </c>
      <c r="H4028" t="s">
        <v>5474</v>
      </c>
      <c r="I4028" t="s">
        <v>16853</v>
      </c>
      <c r="J4028" t="s">
        <v>5476</v>
      </c>
      <c r="K4028" t="s">
        <v>16854</v>
      </c>
      <c r="L4028" t="s">
        <v>5471</v>
      </c>
      <c r="M4028" t="s">
        <v>5471</v>
      </c>
    </row>
    <row r="4029" spans="1:13" x14ac:dyDescent="0.3">
      <c r="A4029" t="s">
        <v>3380</v>
      </c>
      <c r="B4029" t="s">
        <v>16336</v>
      </c>
      <c r="C4029" t="s">
        <v>5487</v>
      </c>
      <c r="D4029" t="s">
        <v>4119</v>
      </c>
      <c r="E4029" t="s">
        <v>5843</v>
      </c>
      <c r="F4029" t="s">
        <v>16855</v>
      </c>
      <c r="G4029" t="s">
        <v>16856</v>
      </c>
      <c r="H4029" t="s">
        <v>5474</v>
      </c>
      <c r="I4029" t="s">
        <v>16857</v>
      </c>
      <c r="J4029" t="s">
        <v>5476</v>
      </c>
      <c r="K4029" t="s">
        <v>16808</v>
      </c>
      <c r="L4029" t="s">
        <v>5471</v>
      </c>
      <c r="M4029" t="s">
        <v>5471</v>
      </c>
    </row>
    <row r="4030" spans="1:13" x14ac:dyDescent="0.3">
      <c r="A4030" t="s">
        <v>3380</v>
      </c>
      <c r="B4030" t="s">
        <v>5261</v>
      </c>
      <c r="C4030" t="s">
        <v>6342</v>
      </c>
      <c r="D4030" t="s">
        <v>4200</v>
      </c>
      <c r="E4030" t="s">
        <v>5843</v>
      </c>
      <c r="F4030" t="s">
        <v>16858</v>
      </c>
      <c r="G4030" t="s">
        <v>16843</v>
      </c>
      <c r="H4030" t="s">
        <v>5474</v>
      </c>
      <c r="I4030" t="s">
        <v>16859</v>
      </c>
      <c r="J4030" t="s">
        <v>5476</v>
      </c>
      <c r="K4030" t="s">
        <v>16805</v>
      </c>
      <c r="L4030" t="s">
        <v>5471</v>
      </c>
      <c r="M4030" t="s">
        <v>5471</v>
      </c>
    </row>
    <row r="4031" spans="1:13" x14ac:dyDescent="0.3">
      <c r="A4031" t="s">
        <v>3380</v>
      </c>
      <c r="B4031" t="s">
        <v>5261</v>
      </c>
      <c r="C4031" t="s">
        <v>6342</v>
      </c>
      <c r="D4031" t="s">
        <v>10218</v>
      </c>
      <c r="E4031" t="s">
        <v>5843</v>
      </c>
      <c r="F4031" t="s">
        <v>16860</v>
      </c>
      <c r="G4031" t="s">
        <v>16843</v>
      </c>
      <c r="H4031" t="s">
        <v>5474</v>
      </c>
      <c r="I4031" t="s">
        <v>16861</v>
      </c>
      <c r="J4031" t="s">
        <v>5476</v>
      </c>
      <c r="K4031" t="s">
        <v>16811</v>
      </c>
      <c r="L4031" t="s">
        <v>5471</v>
      </c>
      <c r="M4031" t="s">
        <v>5471</v>
      </c>
    </row>
    <row r="4032" spans="1:13" x14ac:dyDescent="0.3">
      <c r="A4032" t="s">
        <v>3380</v>
      </c>
      <c r="B4032" t="s">
        <v>5261</v>
      </c>
      <c r="C4032" t="s">
        <v>6342</v>
      </c>
      <c r="D4032" t="s">
        <v>4058</v>
      </c>
      <c r="E4032" t="s">
        <v>5843</v>
      </c>
      <c r="F4032" t="s">
        <v>16862</v>
      </c>
      <c r="G4032" t="s">
        <v>16863</v>
      </c>
      <c r="H4032" t="s">
        <v>5474</v>
      </c>
      <c r="I4032" t="s">
        <v>16864</v>
      </c>
      <c r="J4032" t="s">
        <v>5476</v>
      </c>
      <c r="K4032" t="s">
        <v>16865</v>
      </c>
      <c r="L4032" t="s">
        <v>5471</v>
      </c>
      <c r="M4032" t="s">
        <v>5471</v>
      </c>
    </row>
    <row r="4033" spans="1:13" x14ac:dyDescent="0.3">
      <c r="A4033" t="s">
        <v>3380</v>
      </c>
      <c r="B4033" t="s">
        <v>5261</v>
      </c>
      <c r="C4033" t="s">
        <v>6342</v>
      </c>
      <c r="D4033" t="s">
        <v>4058</v>
      </c>
      <c r="E4033" t="s">
        <v>5843</v>
      </c>
      <c r="F4033" t="s">
        <v>16866</v>
      </c>
      <c r="G4033" t="s">
        <v>16863</v>
      </c>
      <c r="H4033" t="s">
        <v>5474</v>
      </c>
      <c r="I4033" t="s">
        <v>16867</v>
      </c>
      <c r="J4033" t="s">
        <v>5476</v>
      </c>
      <c r="K4033" t="s">
        <v>16868</v>
      </c>
      <c r="L4033" t="s">
        <v>5471</v>
      </c>
      <c r="M4033" t="s">
        <v>5471</v>
      </c>
    </row>
    <row r="4034" spans="1:13" x14ac:dyDescent="0.3">
      <c r="A4034" t="s">
        <v>3380</v>
      </c>
      <c r="B4034" t="s">
        <v>5261</v>
      </c>
      <c r="C4034" t="s">
        <v>6342</v>
      </c>
      <c r="D4034" t="s">
        <v>4058</v>
      </c>
      <c r="E4034" t="s">
        <v>5843</v>
      </c>
      <c r="F4034" t="s">
        <v>16869</v>
      </c>
      <c r="G4034" t="s">
        <v>16863</v>
      </c>
      <c r="H4034" t="s">
        <v>5474</v>
      </c>
      <c r="I4034" t="s">
        <v>16870</v>
      </c>
      <c r="J4034" t="s">
        <v>5476</v>
      </c>
      <c r="K4034" t="s">
        <v>16871</v>
      </c>
      <c r="L4034" t="s">
        <v>5471</v>
      </c>
      <c r="M4034" t="s">
        <v>5471</v>
      </c>
    </row>
    <row r="4035" spans="1:13" x14ac:dyDescent="0.3">
      <c r="A4035" t="s">
        <v>3380</v>
      </c>
      <c r="B4035" t="s">
        <v>5261</v>
      </c>
      <c r="C4035" t="s">
        <v>6342</v>
      </c>
      <c r="D4035" t="s">
        <v>4200</v>
      </c>
      <c r="E4035" t="s">
        <v>5843</v>
      </c>
      <c r="F4035" t="s">
        <v>16872</v>
      </c>
      <c r="G4035" t="s">
        <v>16863</v>
      </c>
      <c r="H4035" t="s">
        <v>5474</v>
      </c>
      <c r="I4035" t="s">
        <v>16873</v>
      </c>
      <c r="J4035" t="s">
        <v>5476</v>
      </c>
      <c r="K4035" t="s">
        <v>16805</v>
      </c>
      <c r="L4035" t="s">
        <v>5471</v>
      </c>
      <c r="M4035" t="s">
        <v>5471</v>
      </c>
    </row>
    <row r="4036" spans="1:13" x14ac:dyDescent="0.3">
      <c r="A4036" t="s">
        <v>3380</v>
      </c>
      <c r="B4036" t="s">
        <v>16094</v>
      </c>
      <c r="C4036" t="s">
        <v>6342</v>
      </c>
      <c r="D4036" t="s">
        <v>4119</v>
      </c>
      <c r="E4036" t="s">
        <v>5532</v>
      </c>
      <c r="F4036" t="s">
        <v>16874</v>
      </c>
      <c r="G4036" t="s">
        <v>16698</v>
      </c>
      <c r="H4036" t="s">
        <v>5474</v>
      </c>
      <c r="I4036" t="s">
        <v>16875</v>
      </c>
      <c r="J4036" t="s">
        <v>5476</v>
      </c>
      <c r="K4036" t="s">
        <v>16876</v>
      </c>
      <c r="L4036" t="s">
        <v>5471</v>
      </c>
      <c r="M4036" t="s">
        <v>5471</v>
      </c>
    </row>
    <row r="4037" spans="1:13" x14ac:dyDescent="0.3">
      <c r="A4037" t="s">
        <v>3380</v>
      </c>
      <c r="B4037" t="s">
        <v>16094</v>
      </c>
      <c r="C4037" t="s">
        <v>6342</v>
      </c>
      <c r="D4037" t="s">
        <v>4119</v>
      </c>
      <c r="E4037" t="s">
        <v>5843</v>
      </c>
      <c r="F4037" t="s">
        <v>16877</v>
      </c>
      <c r="G4037" t="s">
        <v>16698</v>
      </c>
      <c r="H4037" t="s">
        <v>5474</v>
      </c>
      <c r="I4037" t="s">
        <v>16878</v>
      </c>
      <c r="J4037" t="s">
        <v>5476</v>
      </c>
      <c r="K4037" t="s">
        <v>16879</v>
      </c>
      <c r="L4037" t="s">
        <v>5471</v>
      </c>
      <c r="M4037" t="s">
        <v>5471</v>
      </c>
    </row>
    <row r="4038" spans="1:13" x14ac:dyDescent="0.3">
      <c r="A4038" t="s">
        <v>3380</v>
      </c>
      <c r="B4038" t="s">
        <v>16094</v>
      </c>
      <c r="C4038" t="s">
        <v>6342</v>
      </c>
      <c r="D4038" t="s">
        <v>4119</v>
      </c>
      <c r="E4038" t="s">
        <v>5843</v>
      </c>
      <c r="F4038" t="s">
        <v>16880</v>
      </c>
      <c r="G4038" t="s">
        <v>16698</v>
      </c>
      <c r="H4038" t="s">
        <v>5474</v>
      </c>
      <c r="I4038" t="s">
        <v>16881</v>
      </c>
      <c r="J4038" t="s">
        <v>5476</v>
      </c>
      <c r="K4038" t="s">
        <v>16882</v>
      </c>
      <c r="L4038" t="s">
        <v>5471</v>
      </c>
      <c r="M4038" t="s">
        <v>5471</v>
      </c>
    </row>
    <row r="4039" spans="1:13" x14ac:dyDescent="0.3">
      <c r="A4039" t="s">
        <v>3380</v>
      </c>
      <c r="B4039" t="s">
        <v>16094</v>
      </c>
      <c r="C4039" t="s">
        <v>6342</v>
      </c>
      <c r="D4039" t="s">
        <v>4119</v>
      </c>
      <c r="E4039" t="s">
        <v>5532</v>
      </c>
      <c r="F4039" t="s">
        <v>16883</v>
      </c>
      <c r="G4039" t="s">
        <v>16884</v>
      </c>
      <c r="H4039" t="s">
        <v>5474</v>
      </c>
      <c r="I4039" t="s">
        <v>16885</v>
      </c>
      <c r="J4039" t="s">
        <v>5476</v>
      </c>
      <c r="K4039" t="s">
        <v>16886</v>
      </c>
      <c r="L4039" t="s">
        <v>5471</v>
      </c>
      <c r="M4039" t="s">
        <v>5471</v>
      </c>
    </row>
    <row r="4040" spans="1:13" x14ac:dyDescent="0.3">
      <c r="A4040" t="s">
        <v>3380</v>
      </c>
      <c r="B4040" t="s">
        <v>16094</v>
      </c>
      <c r="C4040" t="s">
        <v>6342</v>
      </c>
      <c r="D4040" t="s">
        <v>4119</v>
      </c>
      <c r="E4040" t="s">
        <v>5532</v>
      </c>
      <c r="F4040" t="s">
        <v>16887</v>
      </c>
      <c r="G4040" t="s">
        <v>16884</v>
      </c>
      <c r="H4040" t="s">
        <v>5474</v>
      </c>
      <c r="I4040" t="s">
        <v>16888</v>
      </c>
      <c r="J4040" t="s">
        <v>5476</v>
      </c>
      <c r="K4040" t="s">
        <v>16889</v>
      </c>
      <c r="L4040" t="s">
        <v>5471</v>
      </c>
      <c r="M4040" t="s">
        <v>5471</v>
      </c>
    </row>
    <row r="4041" spans="1:13" x14ac:dyDescent="0.3">
      <c r="A4041" t="s">
        <v>3380</v>
      </c>
      <c r="B4041" t="s">
        <v>16094</v>
      </c>
      <c r="C4041" t="s">
        <v>6342</v>
      </c>
      <c r="D4041" t="s">
        <v>4119</v>
      </c>
      <c r="E4041" t="s">
        <v>5843</v>
      </c>
      <c r="F4041" t="s">
        <v>16890</v>
      </c>
      <c r="G4041" t="s">
        <v>16884</v>
      </c>
      <c r="H4041" t="s">
        <v>5474</v>
      </c>
      <c r="I4041" t="s">
        <v>16891</v>
      </c>
      <c r="J4041" t="s">
        <v>5476</v>
      </c>
      <c r="K4041" t="s">
        <v>16892</v>
      </c>
      <c r="L4041" t="s">
        <v>5471</v>
      </c>
      <c r="M4041" t="s">
        <v>5471</v>
      </c>
    </row>
    <row r="4042" spans="1:13" x14ac:dyDescent="0.3">
      <c r="A4042" t="s">
        <v>3380</v>
      </c>
      <c r="B4042" t="s">
        <v>16094</v>
      </c>
      <c r="C4042" t="s">
        <v>6342</v>
      </c>
      <c r="D4042" t="s">
        <v>4119</v>
      </c>
      <c r="E4042" t="s">
        <v>5843</v>
      </c>
      <c r="F4042" t="s">
        <v>16893</v>
      </c>
      <c r="G4042" t="s">
        <v>16884</v>
      </c>
      <c r="H4042" t="s">
        <v>5474</v>
      </c>
      <c r="I4042" t="s">
        <v>16894</v>
      </c>
      <c r="J4042" t="s">
        <v>5476</v>
      </c>
      <c r="K4042" t="s">
        <v>16895</v>
      </c>
      <c r="L4042" t="s">
        <v>5471</v>
      </c>
      <c r="M4042" t="s">
        <v>5471</v>
      </c>
    </row>
    <row r="4043" spans="1:13" x14ac:dyDescent="0.3">
      <c r="A4043" t="s">
        <v>3380</v>
      </c>
      <c r="B4043" t="s">
        <v>16094</v>
      </c>
      <c r="C4043" t="s">
        <v>6342</v>
      </c>
      <c r="D4043" t="s">
        <v>4119</v>
      </c>
      <c r="E4043" t="s">
        <v>5532</v>
      </c>
      <c r="F4043" t="s">
        <v>16896</v>
      </c>
      <c r="G4043" t="s">
        <v>16096</v>
      </c>
      <c r="H4043" t="s">
        <v>5474</v>
      </c>
      <c r="I4043" t="s">
        <v>16897</v>
      </c>
      <c r="J4043" t="s">
        <v>5476</v>
      </c>
      <c r="K4043" t="s">
        <v>16898</v>
      </c>
      <c r="L4043" t="s">
        <v>5471</v>
      </c>
      <c r="M4043" t="s">
        <v>5471</v>
      </c>
    </row>
    <row r="4044" spans="1:13" x14ac:dyDescent="0.3">
      <c r="A4044" t="s">
        <v>3388</v>
      </c>
      <c r="B4044" t="s">
        <v>10852</v>
      </c>
      <c r="C4044" t="s">
        <v>5470</v>
      </c>
      <c r="D4044" t="s">
        <v>4119</v>
      </c>
      <c r="E4044" t="s">
        <v>5756</v>
      </c>
      <c r="F4044" t="s">
        <v>16899</v>
      </c>
      <c r="G4044" t="s">
        <v>10854</v>
      </c>
      <c r="H4044" t="s">
        <v>5474</v>
      </c>
      <c r="I4044" t="s">
        <v>16900</v>
      </c>
      <c r="J4044" t="s">
        <v>5476</v>
      </c>
      <c r="K4044" t="s">
        <v>5471</v>
      </c>
      <c r="L4044" t="s">
        <v>5471</v>
      </c>
      <c r="M4044" t="s">
        <v>5471</v>
      </c>
    </row>
    <row r="4045" spans="1:13" x14ac:dyDescent="0.3">
      <c r="A4045" t="s">
        <v>3388</v>
      </c>
      <c r="B4045" t="s">
        <v>10852</v>
      </c>
      <c r="C4045" t="s">
        <v>5470</v>
      </c>
      <c r="D4045" t="s">
        <v>4119</v>
      </c>
      <c r="E4045" t="s">
        <v>5756</v>
      </c>
      <c r="F4045" t="s">
        <v>16901</v>
      </c>
      <c r="G4045" t="s">
        <v>16902</v>
      </c>
      <c r="H4045" t="s">
        <v>5474</v>
      </c>
      <c r="I4045" t="s">
        <v>16903</v>
      </c>
      <c r="J4045" t="s">
        <v>5476</v>
      </c>
      <c r="K4045" t="s">
        <v>5471</v>
      </c>
      <c r="L4045" t="s">
        <v>5471</v>
      </c>
      <c r="M4045" t="s">
        <v>5471</v>
      </c>
    </row>
    <row r="4046" spans="1:13" x14ac:dyDescent="0.3">
      <c r="A4046" t="s">
        <v>3388</v>
      </c>
      <c r="B4046" t="s">
        <v>10852</v>
      </c>
      <c r="C4046" t="s">
        <v>5470</v>
      </c>
      <c r="D4046" t="s">
        <v>4119</v>
      </c>
      <c r="E4046" t="s">
        <v>5756</v>
      </c>
      <c r="F4046" t="s">
        <v>16904</v>
      </c>
      <c r="G4046" t="s">
        <v>16905</v>
      </c>
      <c r="H4046" t="s">
        <v>5474</v>
      </c>
      <c r="I4046" t="s">
        <v>16906</v>
      </c>
      <c r="J4046" t="s">
        <v>5476</v>
      </c>
      <c r="K4046" t="s">
        <v>5471</v>
      </c>
      <c r="L4046" t="s">
        <v>5471</v>
      </c>
      <c r="M4046" t="s">
        <v>5471</v>
      </c>
    </row>
    <row r="4047" spans="1:13" x14ac:dyDescent="0.3">
      <c r="A4047" t="s">
        <v>3388</v>
      </c>
      <c r="B4047" t="s">
        <v>10852</v>
      </c>
      <c r="C4047" t="s">
        <v>5470</v>
      </c>
      <c r="D4047" t="s">
        <v>4119</v>
      </c>
      <c r="E4047" t="s">
        <v>5756</v>
      </c>
      <c r="F4047" t="s">
        <v>16907</v>
      </c>
      <c r="G4047" t="s">
        <v>16908</v>
      </c>
      <c r="H4047" t="s">
        <v>5474</v>
      </c>
      <c r="I4047" t="s">
        <v>16909</v>
      </c>
      <c r="J4047" t="s">
        <v>5476</v>
      </c>
      <c r="K4047" t="s">
        <v>5471</v>
      </c>
      <c r="L4047" t="s">
        <v>5471</v>
      </c>
      <c r="M4047" t="s">
        <v>5471</v>
      </c>
    </row>
    <row r="4048" spans="1:13" x14ac:dyDescent="0.3">
      <c r="A4048" t="s">
        <v>3388</v>
      </c>
      <c r="B4048" t="s">
        <v>10852</v>
      </c>
      <c r="C4048" t="s">
        <v>5470</v>
      </c>
      <c r="D4048" t="s">
        <v>4119</v>
      </c>
      <c r="E4048" t="s">
        <v>5756</v>
      </c>
      <c r="F4048" t="s">
        <v>16910</v>
      </c>
      <c r="G4048" t="s">
        <v>16911</v>
      </c>
      <c r="H4048" t="s">
        <v>5474</v>
      </c>
      <c r="I4048" t="s">
        <v>16912</v>
      </c>
      <c r="J4048" t="s">
        <v>5476</v>
      </c>
      <c r="K4048" t="s">
        <v>5471</v>
      </c>
      <c r="L4048" t="s">
        <v>5471</v>
      </c>
      <c r="M4048" t="s">
        <v>5471</v>
      </c>
    </row>
    <row r="4049" spans="1:13" x14ac:dyDescent="0.3">
      <c r="A4049" t="s">
        <v>3388</v>
      </c>
      <c r="B4049" t="s">
        <v>10852</v>
      </c>
      <c r="C4049" t="s">
        <v>5470</v>
      </c>
      <c r="D4049" t="s">
        <v>4119</v>
      </c>
      <c r="E4049" t="s">
        <v>5756</v>
      </c>
      <c r="F4049" t="s">
        <v>16913</v>
      </c>
      <c r="G4049" t="s">
        <v>16914</v>
      </c>
      <c r="H4049" t="s">
        <v>5474</v>
      </c>
      <c r="I4049" t="s">
        <v>16915</v>
      </c>
      <c r="J4049" t="s">
        <v>5476</v>
      </c>
      <c r="K4049" t="s">
        <v>5471</v>
      </c>
      <c r="L4049" t="s">
        <v>5471</v>
      </c>
      <c r="M4049" t="s">
        <v>5471</v>
      </c>
    </row>
    <row r="4050" spans="1:13" x14ac:dyDescent="0.3">
      <c r="A4050" t="s">
        <v>3388</v>
      </c>
      <c r="B4050" t="s">
        <v>10852</v>
      </c>
      <c r="C4050" t="s">
        <v>5470</v>
      </c>
      <c r="D4050" t="s">
        <v>4119</v>
      </c>
      <c r="E4050" t="s">
        <v>5756</v>
      </c>
      <c r="F4050" t="s">
        <v>16916</v>
      </c>
      <c r="G4050" t="s">
        <v>16917</v>
      </c>
      <c r="H4050" t="s">
        <v>5474</v>
      </c>
      <c r="I4050" t="s">
        <v>16918</v>
      </c>
      <c r="J4050" t="s">
        <v>5476</v>
      </c>
      <c r="K4050" t="s">
        <v>5471</v>
      </c>
      <c r="L4050" t="s">
        <v>5471</v>
      </c>
      <c r="M4050" t="s">
        <v>5471</v>
      </c>
    </row>
    <row r="4051" spans="1:13" x14ac:dyDescent="0.3">
      <c r="A4051" t="s">
        <v>3388</v>
      </c>
      <c r="B4051" t="s">
        <v>10852</v>
      </c>
      <c r="C4051" t="s">
        <v>5470</v>
      </c>
      <c r="D4051" t="s">
        <v>4119</v>
      </c>
      <c r="E4051" t="s">
        <v>5756</v>
      </c>
      <c r="F4051" t="s">
        <v>16919</v>
      </c>
      <c r="G4051" t="s">
        <v>16920</v>
      </c>
      <c r="H4051" t="s">
        <v>5474</v>
      </c>
      <c r="I4051" t="s">
        <v>16921</v>
      </c>
      <c r="J4051" t="s">
        <v>5476</v>
      </c>
      <c r="K4051" t="s">
        <v>5471</v>
      </c>
      <c r="L4051" t="s">
        <v>5471</v>
      </c>
      <c r="M4051" t="s">
        <v>5471</v>
      </c>
    </row>
    <row r="4052" spans="1:13" x14ac:dyDescent="0.3">
      <c r="A4052" t="s">
        <v>3388</v>
      </c>
      <c r="B4052" t="s">
        <v>10852</v>
      </c>
      <c r="C4052" t="s">
        <v>5470</v>
      </c>
      <c r="D4052" t="s">
        <v>4119</v>
      </c>
      <c r="E4052" t="s">
        <v>5756</v>
      </c>
      <c r="F4052" t="s">
        <v>16922</v>
      </c>
      <c r="G4052" t="s">
        <v>16923</v>
      </c>
      <c r="H4052" t="s">
        <v>5474</v>
      </c>
      <c r="I4052" t="s">
        <v>16924</v>
      </c>
      <c r="J4052" t="s">
        <v>5476</v>
      </c>
      <c r="K4052" t="s">
        <v>5471</v>
      </c>
      <c r="L4052" t="s">
        <v>5471</v>
      </c>
      <c r="M4052" t="s">
        <v>5471</v>
      </c>
    </row>
    <row r="4053" spans="1:13" x14ac:dyDescent="0.3">
      <c r="A4053" t="s">
        <v>3388</v>
      </c>
      <c r="B4053" t="s">
        <v>10852</v>
      </c>
      <c r="C4053" t="s">
        <v>5470</v>
      </c>
      <c r="D4053" t="s">
        <v>4119</v>
      </c>
      <c r="E4053" t="s">
        <v>5756</v>
      </c>
      <c r="F4053" t="s">
        <v>16925</v>
      </c>
      <c r="G4053" t="s">
        <v>8255</v>
      </c>
      <c r="H4053" t="s">
        <v>5474</v>
      </c>
      <c r="I4053" t="s">
        <v>16926</v>
      </c>
      <c r="J4053" t="s">
        <v>5476</v>
      </c>
      <c r="K4053" t="s">
        <v>5471</v>
      </c>
      <c r="L4053" t="s">
        <v>5471</v>
      </c>
      <c r="M4053" t="s">
        <v>5471</v>
      </c>
    </row>
    <row r="4054" spans="1:13" x14ac:dyDescent="0.3">
      <c r="A4054" t="s">
        <v>3388</v>
      </c>
      <c r="B4054" t="s">
        <v>10852</v>
      </c>
      <c r="C4054" t="s">
        <v>5470</v>
      </c>
      <c r="D4054" t="s">
        <v>4119</v>
      </c>
      <c r="E4054" t="s">
        <v>5756</v>
      </c>
      <c r="F4054" t="s">
        <v>16927</v>
      </c>
      <c r="G4054" t="s">
        <v>10459</v>
      </c>
      <c r="H4054" t="s">
        <v>5474</v>
      </c>
      <c r="I4054" t="s">
        <v>16928</v>
      </c>
      <c r="J4054" t="s">
        <v>5476</v>
      </c>
      <c r="K4054" t="s">
        <v>5471</v>
      </c>
      <c r="L4054" t="s">
        <v>5471</v>
      </c>
      <c r="M4054" t="s">
        <v>5471</v>
      </c>
    </row>
    <row r="4055" spans="1:13" x14ac:dyDescent="0.3">
      <c r="A4055" t="s">
        <v>3380</v>
      </c>
      <c r="B4055" t="s">
        <v>15592</v>
      </c>
      <c r="C4055" t="s">
        <v>5487</v>
      </c>
      <c r="D4055" t="s">
        <v>4119</v>
      </c>
      <c r="E4055" t="s">
        <v>5843</v>
      </c>
      <c r="F4055" t="s">
        <v>16929</v>
      </c>
      <c r="G4055" t="s">
        <v>16418</v>
      </c>
      <c r="H4055" t="s">
        <v>5474</v>
      </c>
      <c r="I4055" t="s">
        <v>16930</v>
      </c>
      <c r="J4055" t="s">
        <v>5476</v>
      </c>
      <c r="K4055" t="s">
        <v>16808</v>
      </c>
      <c r="L4055" t="s">
        <v>5471</v>
      </c>
      <c r="M4055" t="s">
        <v>5471</v>
      </c>
    </row>
    <row r="4056" spans="1:13" x14ac:dyDescent="0.3">
      <c r="A4056" t="s">
        <v>3380</v>
      </c>
      <c r="B4056" t="s">
        <v>5281</v>
      </c>
      <c r="C4056" t="s">
        <v>5487</v>
      </c>
      <c r="D4056" t="s">
        <v>10210</v>
      </c>
      <c r="E4056" t="s">
        <v>5532</v>
      </c>
      <c r="F4056" t="s">
        <v>16931</v>
      </c>
      <c r="G4056" t="s">
        <v>16799</v>
      </c>
      <c r="H4056" t="s">
        <v>5474</v>
      </c>
      <c r="I4056" t="s">
        <v>16932</v>
      </c>
      <c r="J4056" t="s">
        <v>5476</v>
      </c>
      <c r="K4056" t="s">
        <v>16933</v>
      </c>
      <c r="L4056" t="s">
        <v>5471</v>
      </c>
      <c r="M4056" t="s">
        <v>5471</v>
      </c>
    </row>
    <row r="4057" spans="1:13" x14ac:dyDescent="0.3">
      <c r="A4057" t="s">
        <v>3380</v>
      </c>
      <c r="B4057" t="s">
        <v>16934</v>
      </c>
      <c r="C4057" t="s">
        <v>5487</v>
      </c>
      <c r="D4057" t="s">
        <v>10210</v>
      </c>
      <c r="E4057" t="s">
        <v>5532</v>
      </c>
      <c r="F4057" t="s">
        <v>16935</v>
      </c>
      <c r="G4057" t="s">
        <v>16936</v>
      </c>
      <c r="H4057" t="s">
        <v>5474</v>
      </c>
      <c r="I4057" t="s">
        <v>16937</v>
      </c>
      <c r="J4057" t="s">
        <v>5476</v>
      </c>
      <c r="K4057" t="s">
        <v>16933</v>
      </c>
      <c r="L4057" t="s">
        <v>5471</v>
      </c>
      <c r="M4057" t="s">
        <v>5471</v>
      </c>
    </row>
    <row r="4058" spans="1:13" x14ac:dyDescent="0.3">
      <c r="A4058" t="s">
        <v>3380</v>
      </c>
      <c r="B4058" t="s">
        <v>15592</v>
      </c>
      <c r="C4058" t="s">
        <v>5487</v>
      </c>
      <c r="D4058" t="s">
        <v>10210</v>
      </c>
      <c r="E4058" t="s">
        <v>5843</v>
      </c>
      <c r="F4058" t="s">
        <v>16938</v>
      </c>
      <c r="G4058" t="s">
        <v>16418</v>
      </c>
      <c r="H4058" t="s">
        <v>5474</v>
      </c>
      <c r="I4058" t="s">
        <v>16939</v>
      </c>
      <c r="J4058" t="s">
        <v>5476</v>
      </c>
      <c r="K4058" t="s">
        <v>16933</v>
      </c>
      <c r="L4058" t="s">
        <v>5471</v>
      </c>
      <c r="M4058" t="s">
        <v>5471</v>
      </c>
    </row>
    <row r="4059" spans="1:13" x14ac:dyDescent="0.3">
      <c r="A4059" t="s">
        <v>3380</v>
      </c>
      <c r="B4059" t="s">
        <v>16940</v>
      </c>
      <c r="C4059" t="s">
        <v>6342</v>
      </c>
      <c r="D4059" t="s">
        <v>10210</v>
      </c>
      <c r="E4059" t="s">
        <v>5532</v>
      </c>
      <c r="F4059" t="s">
        <v>16941</v>
      </c>
      <c r="G4059" t="s">
        <v>16942</v>
      </c>
      <c r="H4059" t="s">
        <v>5474</v>
      </c>
      <c r="I4059" t="s">
        <v>16943</v>
      </c>
      <c r="J4059" t="s">
        <v>5476</v>
      </c>
      <c r="K4059" t="s">
        <v>16944</v>
      </c>
      <c r="L4059" t="s">
        <v>5471</v>
      </c>
      <c r="M4059" t="s">
        <v>5471</v>
      </c>
    </row>
    <row r="4060" spans="1:13" x14ac:dyDescent="0.3">
      <c r="A4060" t="s">
        <v>3380</v>
      </c>
      <c r="B4060" t="s">
        <v>5247</v>
      </c>
      <c r="C4060" t="s">
        <v>6342</v>
      </c>
      <c r="D4060" t="s">
        <v>10210</v>
      </c>
      <c r="E4060" t="s">
        <v>9935</v>
      </c>
      <c r="F4060" t="s">
        <v>16945</v>
      </c>
      <c r="G4060" t="s">
        <v>16147</v>
      </c>
      <c r="H4060" t="s">
        <v>5474</v>
      </c>
      <c r="I4060" t="s">
        <v>16946</v>
      </c>
      <c r="J4060" t="s">
        <v>5476</v>
      </c>
      <c r="K4060" t="s">
        <v>16944</v>
      </c>
      <c r="L4060" t="s">
        <v>5471</v>
      </c>
      <c r="M4060" t="s">
        <v>5471</v>
      </c>
    </row>
    <row r="4061" spans="1:13" x14ac:dyDescent="0.3">
      <c r="A4061" t="s">
        <v>3380</v>
      </c>
      <c r="B4061" t="s">
        <v>10105</v>
      </c>
      <c r="C4061" t="s">
        <v>6342</v>
      </c>
      <c r="D4061" t="s">
        <v>4119</v>
      </c>
      <c r="E4061" t="s">
        <v>5532</v>
      </c>
      <c r="F4061" t="s">
        <v>16947</v>
      </c>
      <c r="G4061" t="s">
        <v>16308</v>
      </c>
      <c r="H4061" t="s">
        <v>5474</v>
      </c>
      <c r="I4061" t="s">
        <v>16948</v>
      </c>
      <c r="J4061" t="s">
        <v>5476</v>
      </c>
      <c r="K4061" t="s">
        <v>16949</v>
      </c>
      <c r="L4061" t="s">
        <v>5471</v>
      </c>
      <c r="M4061" t="s">
        <v>5471</v>
      </c>
    </row>
    <row r="4062" spans="1:13" x14ac:dyDescent="0.3">
      <c r="A4062" t="s">
        <v>3380</v>
      </c>
      <c r="B4062" t="s">
        <v>5247</v>
      </c>
      <c r="C4062" t="s">
        <v>6342</v>
      </c>
      <c r="D4062" t="s">
        <v>10210</v>
      </c>
      <c r="E4062" t="s">
        <v>9935</v>
      </c>
      <c r="F4062" t="s">
        <v>16950</v>
      </c>
      <c r="G4062" t="s">
        <v>16147</v>
      </c>
      <c r="H4062" t="s">
        <v>5474</v>
      </c>
      <c r="I4062" t="s">
        <v>16951</v>
      </c>
      <c r="J4062" t="s">
        <v>5476</v>
      </c>
      <c r="K4062" t="s">
        <v>16933</v>
      </c>
      <c r="L4062" t="s">
        <v>5471</v>
      </c>
      <c r="M4062" t="s">
        <v>5471</v>
      </c>
    </row>
    <row r="4063" spans="1:13" x14ac:dyDescent="0.3">
      <c r="A4063" t="s">
        <v>3380</v>
      </c>
      <c r="B4063" t="s">
        <v>16268</v>
      </c>
      <c r="C4063" t="s">
        <v>6342</v>
      </c>
      <c r="D4063" t="s">
        <v>10210</v>
      </c>
      <c r="E4063" t="s">
        <v>5532</v>
      </c>
      <c r="F4063" t="s">
        <v>16952</v>
      </c>
      <c r="G4063" t="s">
        <v>16270</v>
      </c>
      <c r="H4063" t="s">
        <v>5474</v>
      </c>
      <c r="I4063" t="s">
        <v>16953</v>
      </c>
      <c r="J4063" t="s">
        <v>5484</v>
      </c>
      <c r="K4063" t="s">
        <v>16944</v>
      </c>
      <c r="L4063" t="s">
        <v>5471</v>
      </c>
      <c r="M4063" t="s">
        <v>5471</v>
      </c>
    </row>
    <row r="4064" spans="1:13" x14ac:dyDescent="0.3">
      <c r="A4064" t="s">
        <v>3380</v>
      </c>
      <c r="B4064" t="s">
        <v>10105</v>
      </c>
      <c r="C4064" t="s">
        <v>6342</v>
      </c>
      <c r="D4064" t="s">
        <v>4119</v>
      </c>
      <c r="E4064" t="s">
        <v>5532</v>
      </c>
      <c r="F4064" t="s">
        <v>16954</v>
      </c>
      <c r="G4064" t="s">
        <v>16308</v>
      </c>
      <c r="H4064" t="s">
        <v>5474</v>
      </c>
      <c r="I4064" t="s">
        <v>16955</v>
      </c>
      <c r="J4064" t="s">
        <v>5476</v>
      </c>
      <c r="K4064" t="s">
        <v>16956</v>
      </c>
      <c r="L4064" t="s">
        <v>5471</v>
      </c>
      <c r="M4064" t="s">
        <v>5471</v>
      </c>
    </row>
    <row r="4065" spans="1:13" x14ac:dyDescent="0.3">
      <c r="A4065" t="s">
        <v>3380</v>
      </c>
      <c r="B4065" t="s">
        <v>10105</v>
      </c>
      <c r="C4065" t="s">
        <v>6342</v>
      </c>
      <c r="D4065" t="s">
        <v>4119</v>
      </c>
      <c r="E4065" t="s">
        <v>5532</v>
      </c>
      <c r="F4065" t="s">
        <v>16957</v>
      </c>
      <c r="G4065" t="s">
        <v>16958</v>
      </c>
      <c r="H4065" t="s">
        <v>5474</v>
      </c>
      <c r="I4065" t="s">
        <v>16959</v>
      </c>
      <c r="J4065" t="s">
        <v>5476</v>
      </c>
      <c r="K4065" t="s">
        <v>16960</v>
      </c>
      <c r="L4065" t="s">
        <v>5471</v>
      </c>
      <c r="M4065" t="s">
        <v>5471</v>
      </c>
    </row>
    <row r="4066" spans="1:13" x14ac:dyDescent="0.3">
      <c r="A4066" t="s">
        <v>3380</v>
      </c>
      <c r="B4066" t="s">
        <v>9702</v>
      </c>
      <c r="C4066" t="s">
        <v>6342</v>
      </c>
      <c r="D4066" t="s">
        <v>10210</v>
      </c>
      <c r="E4066" t="s">
        <v>5532</v>
      </c>
      <c r="F4066" t="s">
        <v>16961</v>
      </c>
      <c r="G4066" t="s">
        <v>9704</v>
      </c>
      <c r="H4066" t="s">
        <v>5474</v>
      </c>
      <c r="I4066" t="s">
        <v>16962</v>
      </c>
      <c r="J4066" t="s">
        <v>5476</v>
      </c>
      <c r="K4066" t="s">
        <v>16933</v>
      </c>
      <c r="L4066" t="s">
        <v>5471</v>
      </c>
      <c r="M4066" t="s">
        <v>5471</v>
      </c>
    </row>
    <row r="4067" spans="1:13" x14ac:dyDescent="0.3">
      <c r="A4067" t="s">
        <v>3380</v>
      </c>
      <c r="B4067" t="s">
        <v>5261</v>
      </c>
      <c r="C4067" t="s">
        <v>6342</v>
      </c>
      <c r="D4067" t="s">
        <v>10218</v>
      </c>
      <c r="E4067" t="s">
        <v>5843</v>
      </c>
      <c r="F4067" t="s">
        <v>16963</v>
      </c>
      <c r="G4067" t="s">
        <v>16863</v>
      </c>
      <c r="H4067" t="s">
        <v>5474</v>
      </c>
      <c r="I4067" t="s">
        <v>16964</v>
      </c>
      <c r="J4067" t="s">
        <v>5476</v>
      </c>
      <c r="K4067" t="s">
        <v>16811</v>
      </c>
      <c r="L4067" t="s">
        <v>5471</v>
      </c>
      <c r="M4067" t="s">
        <v>5471</v>
      </c>
    </row>
    <row r="4068" spans="1:13" x14ac:dyDescent="0.3">
      <c r="A4068" t="s">
        <v>3380</v>
      </c>
      <c r="B4068" t="s">
        <v>10105</v>
      </c>
      <c r="C4068" t="s">
        <v>6342</v>
      </c>
      <c r="D4068" t="s">
        <v>4119</v>
      </c>
      <c r="E4068" t="s">
        <v>5532</v>
      </c>
      <c r="F4068" t="s">
        <v>16965</v>
      </c>
      <c r="G4068" t="s">
        <v>16958</v>
      </c>
      <c r="H4068" t="s">
        <v>5474</v>
      </c>
      <c r="I4068" t="s">
        <v>16966</v>
      </c>
      <c r="J4068" t="s">
        <v>5476</v>
      </c>
      <c r="K4068" t="s">
        <v>16967</v>
      </c>
      <c r="L4068" t="s">
        <v>5471</v>
      </c>
      <c r="M4068" t="s">
        <v>5471</v>
      </c>
    </row>
    <row r="4069" spans="1:13" x14ac:dyDescent="0.3">
      <c r="A4069" t="s">
        <v>3380</v>
      </c>
      <c r="B4069" t="s">
        <v>5261</v>
      </c>
      <c r="C4069" t="s">
        <v>6342</v>
      </c>
      <c r="D4069" t="s">
        <v>4058</v>
      </c>
      <c r="E4069" t="s">
        <v>5843</v>
      </c>
      <c r="F4069" t="s">
        <v>16968</v>
      </c>
      <c r="G4069" t="s">
        <v>16694</v>
      </c>
      <c r="H4069" t="s">
        <v>5474</v>
      </c>
      <c r="I4069" t="s">
        <v>16969</v>
      </c>
      <c r="J4069" t="s">
        <v>5476</v>
      </c>
      <c r="K4069" t="s">
        <v>16970</v>
      </c>
      <c r="L4069" t="s">
        <v>5471</v>
      </c>
      <c r="M4069" t="s">
        <v>5471</v>
      </c>
    </row>
    <row r="4070" spans="1:13" x14ac:dyDescent="0.3">
      <c r="A4070" t="s">
        <v>3380</v>
      </c>
      <c r="B4070" t="s">
        <v>10105</v>
      </c>
      <c r="C4070" t="s">
        <v>6342</v>
      </c>
      <c r="D4070" t="s">
        <v>4119</v>
      </c>
      <c r="E4070" t="s">
        <v>5532</v>
      </c>
      <c r="F4070" t="s">
        <v>16971</v>
      </c>
      <c r="G4070" t="s">
        <v>16972</v>
      </c>
      <c r="H4070" t="s">
        <v>5474</v>
      </c>
      <c r="I4070" t="s">
        <v>16973</v>
      </c>
      <c r="J4070" t="s">
        <v>5476</v>
      </c>
      <c r="K4070" t="s">
        <v>16974</v>
      </c>
      <c r="L4070" t="s">
        <v>5471</v>
      </c>
      <c r="M4070" t="s">
        <v>5471</v>
      </c>
    </row>
    <row r="4071" spans="1:13" x14ac:dyDescent="0.3">
      <c r="A4071" t="s">
        <v>3380</v>
      </c>
      <c r="B4071" t="s">
        <v>10051</v>
      </c>
      <c r="C4071" t="s">
        <v>6342</v>
      </c>
      <c r="D4071" t="s">
        <v>10210</v>
      </c>
      <c r="E4071" t="s">
        <v>9935</v>
      </c>
      <c r="F4071" t="s">
        <v>16975</v>
      </c>
      <c r="G4071" t="s">
        <v>16085</v>
      </c>
      <c r="H4071" t="s">
        <v>5474</v>
      </c>
      <c r="I4071" t="s">
        <v>16976</v>
      </c>
      <c r="J4071" t="s">
        <v>5476</v>
      </c>
      <c r="K4071" t="s">
        <v>16933</v>
      </c>
      <c r="L4071" t="s">
        <v>5471</v>
      </c>
      <c r="M4071" t="s">
        <v>5471</v>
      </c>
    </row>
    <row r="4072" spans="1:13" x14ac:dyDescent="0.3">
      <c r="A4072" t="s">
        <v>3380</v>
      </c>
      <c r="B4072" t="s">
        <v>10105</v>
      </c>
      <c r="C4072" t="s">
        <v>6342</v>
      </c>
      <c r="D4072" t="s">
        <v>4119</v>
      </c>
      <c r="E4072" t="s">
        <v>5532</v>
      </c>
      <c r="F4072" t="s">
        <v>16977</v>
      </c>
      <c r="G4072" t="s">
        <v>16972</v>
      </c>
      <c r="H4072" t="s">
        <v>5474</v>
      </c>
      <c r="I4072" t="s">
        <v>16978</v>
      </c>
      <c r="J4072" t="s">
        <v>5476</v>
      </c>
      <c r="K4072" t="s">
        <v>16979</v>
      </c>
      <c r="L4072" t="s">
        <v>5471</v>
      </c>
      <c r="M4072" t="s">
        <v>5471</v>
      </c>
    </row>
    <row r="4073" spans="1:13" x14ac:dyDescent="0.3">
      <c r="A4073" t="s">
        <v>3380</v>
      </c>
      <c r="B4073" t="s">
        <v>5261</v>
      </c>
      <c r="C4073" t="s">
        <v>6342</v>
      </c>
      <c r="D4073" t="s">
        <v>4058</v>
      </c>
      <c r="E4073" t="s">
        <v>5843</v>
      </c>
      <c r="F4073" t="s">
        <v>16980</v>
      </c>
      <c r="G4073" t="s">
        <v>16694</v>
      </c>
      <c r="H4073" t="s">
        <v>5474</v>
      </c>
      <c r="I4073" t="s">
        <v>16981</v>
      </c>
      <c r="J4073" t="s">
        <v>5476</v>
      </c>
      <c r="K4073" t="s">
        <v>16982</v>
      </c>
      <c r="L4073" t="s">
        <v>5471</v>
      </c>
      <c r="M4073" t="s">
        <v>5471</v>
      </c>
    </row>
    <row r="4074" spans="1:13" x14ac:dyDescent="0.3">
      <c r="A4074" t="s">
        <v>3380</v>
      </c>
      <c r="B4074" t="s">
        <v>16983</v>
      </c>
      <c r="C4074" t="s">
        <v>6342</v>
      </c>
      <c r="D4074" t="s">
        <v>10210</v>
      </c>
      <c r="E4074" t="s">
        <v>5532</v>
      </c>
      <c r="F4074" t="s">
        <v>16984</v>
      </c>
      <c r="G4074" t="s">
        <v>16985</v>
      </c>
      <c r="H4074" t="s">
        <v>5474</v>
      </c>
      <c r="I4074" t="s">
        <v>16986</v>
      </c>
      <c r="J4074" t="s">
        <v>5476</v>
      </c>
      <c r="K4074" t="s">
        <v>16933</v>
      </c>
      <c r="L4074" t="s">
        <v>5471</v>
      </c>
      <c r="M4074" t="s">
        <v>5471</v>
      </c>
    </row>
    <row r="4075" spans="1:13" x14ac:dyDescent="0.3">
      <c r="A4075" t="s">
        <v>3380</v>
      </c>
      <c r="B4075" t="s">
        <v>5261</v>
      </c>
      <c r="C4075" t="s">
        <v>6342</v>
      </c>
      <c r="D4075" t="s">
        <v>4200</v>
      </c>
      <c r="E4075" t="s">
        <v>5843</v>
      </c>
      <c r="F4075" t="s">
        <v>16987</v>
      </c>
      <c r="G4075" t="s">
        <v>16694</v>
      </c>
      <c r="H4075" t="s">
        <v>5474</v>
      </c>
      <c r="I4075" t="s">
        <v>16988</v>
      </c>
      <c r="J4075" t="s">
        <v>5476</v>
      </c>
      <c r="K4075" t="s">
        <v>16989</v>
      </c>
      <c r="L4075" t="s">
        <v>5471</v>
      </c>
      <c r="M4075" t="s">
        <v>5471</v>
      </c>
    </row>
    <row r="4076" spans="1:13" x14ac:dyDescent="0.3">
      <c r="A4076" t="s">
        <v>3380</v>
      </c>
      <c r="B4076" t="s">
        <v>15901</v>
      </c>
      <c r="C4076" t="s">
        <v>6342</v>
      </c>
      <c r="D4076" t="s">
        <v>10210</v>
      </c>
      <c r="E4076" t="s">
        <v>5532</v>
      </c>
      <c r="F4076" t="s">
        <v>16990</v>
      </c>
      <c r="G4076" t="s">
        <v>16778</v>
      </c>
      <c r="H4076" t="s">
        <v>5474</v>
      </c>
      <c r="I4076" t="s">
        <v>16991</v>
      </c>
      <c r="J4076" t="s">
        <v>5476</v>
      </c>
      <c r="K4076" t="s">
        <v>16944</v>
      </c>
      <c r="L4076" t="s">
        <v>5471</v>
      </c>
      <c r="M4076" t="s">
        <v>5471</v>
      </c>
    </row>
    <row r="4077" spans="1:13" x14ac:dyDescent="0.3">
      <c r="A4077" t="s">
        <v>3380</v>
      </c>
      <c r="B4077" t="s">
        <v>10105</v>
      </c>
      <c r="C4077" t="s">
        <v>6342</v>
      </c>
      <c r="D4077" t="s">
        <v>4119</v>
      </c>
      <c r="E4077" t="s">
        <v>5532</v>
      </c>
      <c r="F4077" t="s">
        <v>16992</v>
      </c>
      <c r="G4077" t="s">
        <v>16993</v>
      </c>
      <c r="H4077" t="s">
        <v>5474</v>
      </c>
      <c r="I4077" t="s">
        <v>16994</v>
      </c>
      <c r="J4077" t="s">
        <v>5476</v>
      </c>
      <c r="K4077" t="s">
        <v>16995</v>
      </c>
      <c r="L4077" t="s">
        <v>5471</v>
      </c>
      <c r="M4077" t="s">
        <v>5471</v>
      </c>
    </row>
    <row r="4078" spans="1:13" x14ac:dyDescent="0.3">
      <c r="A4078" t="s">
        <v>3380</v>
      </c>
      <c r="B4078" t="s">
        <v>5261</v>
      </c>
      <c r="C4078" t="s">
        <v>6342</v>
      </c>
      <c r="D4078" t="s">
        <v>4058</v>
      </c>
      <c r="E4078" t="s">
        <v>5843</v>
      </c>
      <c r="F4078" t="s">
        <v>16996</v>
      </c>
      <c r="G4078" t="s">
        <v>16711</v>
      </c>
      <c r="H4078" t="s">
        <v>5474</v>
      </c>
      <c r="I4078" t="s">
        <v>16997</v>
      </c>
      <c r="J4078" t="s">
        <v>5476</v>
      </c>
      <c r="K4078" t="s">
        <v>16998</v>
      </c>
      <c r="L4078" t="s">
        <v>5471</v>
      </c>
      <c r="M4078" t="s">
        <v>5471</v>
      </c>
    </row>
    <row r="4079" spans="1:13" x14ac:dyDescent="0.3">
      <c r="A4079" t="s">
        <v>3380</v>
      </c>
      <c r="B4079" t="s">
        <v>10105</v>
      </c>
      <c r="C4079" t="s">
        <v>6342</v>
      </c>
      <c r="D4079" t="s">
        <v>4119</v>
      </c>
      <c r="E4079" t="s">
        <v>5532</v>
      </c>
      <c r="F4079" t="s">
        <v>16999</v>
      </c>
      <c r="G4079" t="s">
        <v>16993</v>
      </c>
      <c r="H4079" t="s">
        <v>5474</v>
      </c>
      <c r="I4079" t="s">
        <v>17000</v>
      </c>
      <c r="J4079" t="s">
        <v>5476</v>
      </c>
      <c r="K4079" t="s">
        <v>17001</v>
      </c>
      <c r="L4079" t="s">
        <v>5471</v>
      </c>
      <c r="M4079" t="s">
        <v>5471</v>
      </c>
    </row>
    <row r="4080" spans="1:13" x14ac:dyDescent="0.3">
      <c r="A4080" t="s">
        <v>3380</v>
      </c>
      <c r="B4080" t="s">
        <v>10132</v>
      </c>
      <c r="C4080" t="s">
        <v>6342</v>
      </c>
      <c r="D4080" t="s">
        <v>10210</v>
      </c>
      <c r="E4080" t="s">
        <v>5532</v>
      </c>
      <c r="F4080" t="s">
        <v>17002</v>
      </c>
      <c r="G4080" t="s">
        <v>16787</v>
      </c>
      <c r="H4080" t="s">
        <v>5474</v>
      </c>
      <c r="I4080" t="s">
        <v>17003</v>
      </c>
      <c r="J4080" t="s">
        <v>5476</v>
      </c>
      <c r="K4080" t="s">
        <v>16944</v>
      </c>
      <c r="L4080" t="s">
        <v>5471</v>
      </c>
      <c r="M4080" t="s">
        <v>5471</v>
      </c>
    </row>
    <row r="4081" spans="1:13" x14ac:dyDescent="0.3">
      <c r="A4081" t="s">
        <v>3380</v>
      </c>
      <c r="B4081" t="s">
        <v>5261</v>
      </c>
      <c r="C4081" t="s">
        <v>6342</v>
      </c>
      <c r="D4081" t="s">
        <v>4058</v>
      </c>
      <c r="E4081" t="s">
        <v>5843</v>
      </c>
      <c r="F4081" t="s">
        <v>17004</v>
      </c>
      <c r="G4081" t="s">
        <v>16711</v>
      </c>
      <c r="H4081" t="s">
        <v>5474</v>
      </c>
      <c r="I4081" t="s">
        <v>17005</v>
      </c>
      <c r="J4081" t="s">
        <v>5476</v>
      </c>
      <c r="K4081" t="s">
        <v>17006</v>
      </c>
      <c r="L4081" t="s">
        <v>5471</v>
      </c>
      <c r="M4081" t="s">
        <v>5471</v>
      </c>
    </row>
    <row r="4082" spans="1:13" x14ac:dyDescent="0.3">
      <c r="A4082" t="s">
        <v>3380</v>
      </c>
      <c r="B4082" t="s">
        <v>10105</v>
      </c>
      <c r="C4082" t="s">
        <v>6342</v>
      </c>
      <c r="D4082" t="s">
        <v>4119</v>
      </c>
      <c r="E4082" t="s">
        <v>5532</v>
      </c>
      <c r="F4082" t="s">
        <v>17007</v>
      </c>
      <c r="G4082" t="s">
        <v>17008</v>
      </c>
      <c r="H4082" t="s">
        <v>5474</v>
      </c>
      <c r="I4082" t="s">
        <v>17009</v>
      </c>
      <c r="J4082" t="s">
        <v>5476</v>
      </c>
      <c r="K4082" t="s">
        <v>17010</v>
      </c>
      <c r="L4082" t="s">
        <v>5471</v>
      </c>
      <c r="M4082" t="s">
        <v>5471</v>
      </c>
    </row>
    <row r="4083" spans="1:13" x14ac:dyDescent="0.3">
      <c r="A4083" t="s">
        <v>3380</v>
      </c>
      <c r="B4083" t="s">
        <v>5261</v>
      </c>
      <c r="C4083" t="s">
        <v>6342</v>
      </c>
      <c r="D4083" t="s">
        <v>4058</v>
      </c>
      <c r="E4083" t="s">
        <v>5843</v>
      </c>
      <c r="F4083" t="s">
        <v>17011</v>
      </c>
      <c r="G4083" t="s">
        <v>16711</v>
      </c>
      <c r="H4083" t="s">
        <v>5474</v>
      </c>
      <c r="I4083" t="s">
        <v>17012</v>
      </c>
      <c r="J4083" t="s">
        <v>5476</v>
      </c>
      <c r="K4083" t="s">
        <v>17013</v>
      </c>
      <c r="L4083" t="s">
        <v>5471</v>
      </c>
      <c r="M4083" t="s">
        <v>5471</v>
      </c>
    </row>
    <row r="4084" spans="1:13" x14ac:dyDescent="0.3">
      <c r="A4084" t="s">
        <v>3380</v>
      </c>
      <c r="B4084" t="s">
        <v>10105</v>
      </c>
      <c r="C4084" t="s">
        <v>6342</v>
      </c>
      <c r="D4084" t="s">
        <v>4119</v>
      </c>
      <c r="E4084" t="s">
        <v>5532</v>
      </c>
      <c r="F4084" t="s">
        <v>17014</v>
      </c>
      <c r="G4084" t="s">
        <v>17008</v>
      </c>
      <c r="H4084" t="s">
        <v>5474</v>
      </c>
      <c r="I4084" t="s">
        <v>17015</v>
      </c>
      <c r="J4084" t="s">
        <v>5476</v>
      </c>
      <c r="K4084" t="s">
        <v>17016</v>
      </c>
      <c r="L4084" t="s">
        <v>5471</v>
      </c>
      <c r="M4084" t="s">
        <v>5471</v>
      </c>
    </row>
    <row r="4085" spans="1:13" x14ac:dyDescent="0.3">
      <c r="A4085" t="s">
        <v>3380</v>
      </c>
      <c r="B4085" t="s">
        <v>5261</v>
      </c>
      <c r="C4085" t="s">
        <v>6342</v>
      </c>
      <c r="D4085" t="s">
        <v>10218</v>
      </c>
      <c r="E4085" t="s">
        <v>5843</v>
      </c>
      <c r="F4085" t="s">
        <v>17017</v>
      </c>
      <c r="G4085" t="s">
        <v>16711</v>
      </c>
      <c r="H4085" t="s">
        <v>5474</v>
      </c>
      <c r="I4085" t="s">
        <v>17018</v>
      </c>
      <c r="J4085" t="s">
        <v>5476</v>
      </c>
      <c r="K4085" t="s">
        <v>16811</v>
      </c>
      <c r="L4085" t="s">
        <v>5471</v>
      </c>
      <c r="M4085" t="s">
        <v>5471</v>
      </c>
    </row>
    <row r="4086" spans="1:13" x14ac:dyDescent="0.3">
      <c r="A4086" t="s">
        <v>3380</v>
      </c>
      <c r="B4086" t="s">
        <v>10105</v>
      </c>
      <c r="C4086" t="s">
        <v>6342</v>
      </c>
      <c r="D4086" t="s">
        <v>4119</v>
      </c>
      <c r="E4086" t="s">
        <v>5532</v>
      </c>
      <c r="F4086" t="s">
        <v>17019</v>
      </c>
      <c r="G4086" t="s">
        <v>17020</v>
      </c>
      <c r="H4086" t="s">
        <v>5474</v>
      </c>
      <c r="I4086" t="s">
        <v>17021</v>
      </c>
      <c r="J4086" t="s">
        <v>5476</v>
      </c>
      <c r="K4086" t="s">
        <v>17022</v>
      </c>
      <c r="L4086" t="s">
        <v>5471</v>
      </c>
      <c r="M4086" t="s">
        <v>5471</v>
      </c>
    </row>
    <row r="4087" spans="1:13" x14ac:dyDescent="0.3">
      <c r="A4087" t="s">
        <v>3380</v>
      </c>
      <c r="B4087" t="s">
        <v>16094</v>
      </c>
      <c r="C4087" t="s">
        <v>6342</v>
      </c>
      <c r="D4087" t="s">
        <v>10210</v>
      </c>
      <c r="E4087" t="s">
        <v>5532</v>
      </c>
      <c r="F4087" t="s">
        <v>17023</v>
      </c>
      <c r="G4087" t="s">
        <v>16096</v>
      </c>
      <c r="H4087" t="s">
        <v>5474</v>
      </c>
      <c r="I4087" t="s">
        <v>17024</v>
      </c>
      <c r="J4087" t="s">
        <v>5476</v>
      </c>
      <c r="K4087" t="s">
        <v>16944</v>
      </c>
      <c r="L4087" t="s">
        <v>5471</v>
      </c>
      <c r="M4087" t="s">
        <v>5471</v>
      </c>
    </row>
    <row r="4088" spans="1:13" x14ac:dyDescent="0.3">
      <c r="A4088" t="s">
        <v>3380</v>
      </c>
      <c r="B4088" t="s">
        <v>10105</v>
      </c>
      <c r="C4088" t="s">
        <v>6342</v>
      </c>
      <c r="D4088" t="s">
        <v>4119</v>
      </c>
      <c r="E4088" t="s">
        <v>5532</v>
      </c>
      <c r="F4088" t="s">
        <v>17025</v>
      </c>
      <c r="G4088" t="s">
        <v>17020</v>
      </c>
      <c r="H4088" t="s">
        <v>5474</v>
      </c>
      <c r="I4088" t="s">
        <v>17026</v>
      </c>
      <c r="J4088" t="s">
        <v>5476</v>
      </c>
      <c r="K4088" t="s">
        <v>17027</v>
      </c>
      <c r="L4088" t="s">
        <v>5471</v>
      </c>
      <c r="M4088" t="s">
        <v>5471</v>
      </c>
    </row>
    <row r="4089" spans="1:13" x14ac:dyDescent="0.3">
      <c r="A4089" t="s">
        <v>3380</v>
      </c>
      <c r="B4089" t="s">
        <v>5261</v>
      </c>
      <c r="C4089" t="s">
        <v>6342</v>
      </c>
      <c r="D4089" t="s">
        <v>4058</v>
      </c>
      <c r="E4089" t="s">
        <v>5843</v>
      </c>
      <c r="F4089" t="s">
        <v>17028</v>
      </c>
      <c r="G4089" t="s">
        <v>16719</v>
      </c>
      <c r="H4089" t="s">
        <v>5474</v>
      </c>
      <c r="I4089" t="s">
        <v>17029</v>
      </c>
      <c r="J4089" t="s">
        <v>5476</v>
      </c>
      <c r="K4089" t="s">
        <v>17030</v>
      </c>
      <c r="L4089" t="s">
        <v>5471</v>
      </c>
      <c r="M4089" t="s">
        <v>5471</v>
      </c>
    </row>
    <row r="4090" spans="1:13" x14ac:dyDescent="0.3">
      <c r="A4090" t="s">
        <v>3380</v>
      </c>
      <c r="B4090" t="s">
        <v>16940</v>
      </c>
      <c r="C4090" t="s">
        <v>6342</v>
      </c>
      <c r="D4090" t="s">
        <v>4119</v>
      </c>
      <c r="E4090" t="s">
        <v>5532</v>
      </c>
      <c r="F4090" t="s">
        <v>17031</v>
      </c>
      <c r="G4090" t="s">
        <v>17032</v>
      </c>
      <c r="H4090" t="s">
        <v>5474</v>
      </c>
      <c r="I4090" t="s">
        <v>17033</v>
      </c>
      <c r="J4090" t="s">
        <v>5476</v>
      </c>
      <c r="K4090" t="s">
        <v>17034</v>
      </c>
      <c r="L4090" t="s">
        <v>5471</v>
      </c>
      <c r="M4090" t="s">
        <v>5471</v>
      </c>
    </row>
    <row r="4091" spans="1:13" x14ac:dyDescent="0.3">
      <c r="A4091" t="s">
        <v>3380</v>
      </c>
      <c r="B4091" t="s">
        <v>16094</v>
      </c>
      <c r="C4091" t="s">
        <v>6342</v>
      </c>
      <c r="D4091" t="s">
        <v>10210</v>
      </c>
      <c r="E4091" t="s">
        <v>5532</v>
      </c>
      <c r="F4091" t="s">
        <v>17035</v>
      </c>
      <c r="G4091" t="s">
        <v>16096</v>
      </c>
      <c r="H4091" t="s">
        <v>5474</v>
      </c>
      <c r="I4091" t="s">
        <v>17036</v>
      </c>
      <c r="J4091" t="s">
        <v>5476</v>
      </c>
      <c r="K4091" t="s">
        <v>16933</v>
      </c>
      <c r="L4091" t="s">
        <v>5471</v>
      </c>
      <c r="M4091" t="s">
        <v>5471</v>
      </c>
    </row>
    <row r="4092" spans="1:13" x14ac:dyDescent="0.3">
      <c r="A4092" t="s">
        <v>3380</v>
      </c>
      <c r="B4092" t="s">
        <v>5261</v>
      </c>
      <c r="C4092" t="s">
        <v>6342</v>
      </c>
      <c r="D4092" t="s">
        <v>4058</v>
      </c>
      <c r="E4092" t="s">
        <v>5843</v>
      </c>
      <c r="F4092" t="s">
        <v>17037</v>
      </c>
      <c r="G4092" t="s">
        <v>16719</v>
      </c>
      <c r="H4092" t="s">
        <v>5474</v>
      </c>
      <c r="I4092" t="s">
        <v>17038</v>
      </c>
      <c r="J4092" t="s">
        <v>5476</v>
      </c>
      <c r="K4092" t="s">
        <v>17039</v>
      </c>
      <c r="L4092" t="s">
        <v>5471</v>
      </c>
      <c r="M4092" t="s">
        <v>5471</v>
      </c>
    </row>
    <row r="4093" spans="1:13" x14ac:dyDescent="0.3">
      <c r="A4093" t="s">
        <v>3380</v>
      </c>
      <c r="B4093" t="s">
        <v>10105</v>
      </c>
      <c r="C4093" t="s">
        <v>6342</v>
      </c>
      <c r="D4093" t="s">
        <v>4119</v>
      </c>
      <c r="E4093" t="s">
        <v>5532</v>
      </c>
      <c r="F4093" t="s">
        <v>17040</v>
      </c>
      <c r="G4093" t="s">
        <v>17041</v>
      </c>
      <c r="H4093" t="s">
        <v>5474</v>
      </c>
      <c r="I4093" t="s">
        <v>17042</v>
      </c>
      <c r="J4093" t="s">
        <v>5476</v>
      </c>
      <c r="K4093" t="s">
        <v>17043</v>
      </c>
      <c r="L4093" t="s">
        <v>5471</v>
      </c>
      <c r="M4093" t="s">
        <v>5471</v>
      </c>
    </row>
    <row r="4094" spans="1:13" x14ac:dyDescent="0.3">
      <c r="A4094" t="s">
        <v>3380</v>
      </c>
      <c r="B4094" t="s">
        <v>5261</v>
      </c>
      <c r="C4094" t="s">
        <v>6342</v>
      </c>
      <c r="D4094" t="s">
        <v>4058</v>
      </c>
      <c r="E4094" t="s">
        <v>5843</v>
      </c>
      <c r="F4094" t="s">
        <v>17044</v>
      </c>
      <c r="G4094" t="s">
        <v>16719</v>
      </c>
      <c r="H4094" t="s">
        <v>5474</v>
      </c>
      <c r="I4094" t="s">
        <v>17045</v>
      </c>
      <c r="J4094" t="s">
        <v>5476</v>
      </c>
      <c r="K4094" t="s">
        <v>17046</v>
      </c>
      <c r="L4094" t="s">
        <v>5471</v>
      </c>
      <c r="M4094" t="s">
        <v>5471</v>
      </c>
    </row>
    <row r="4095" spans="1:13" x14ac:dyDescent="0.3">
      <c r="A4095" t="s">
        <v>3380</v>
      </c>
      <c r="B4095" t="s">
        <v>10105</v>
      </c>
      <c r="C4095" t="s">
        <v>6342</v>
      </c>
      <c r="D4095" t="s">
        <v>4119</v>
      </c>
      <c r="E4095" t="s">
        <v>5532</v>
      </c>
      <c r="F4095" t="s">
        <v>17047</v>
      </c>
      <c r="G4095" t="s">
        <v>17041</v>
      </c>
      <c r="H4095" t="s">
        <v>5474</v>
      </c>
      <c r="I4095" t="s">
        <v>17048</v>
      </c>
      <c r="J4095" t="s">
        <v>5476</v>
      </c>
      <c r="K4095" t="s">
        <v>17049</v>
      </c>
      <c r="L4095" t="s">
        <v>5471</v>
      </c>
      <c r="M4095" t="s">
        <v>5471</v>
      </c>
    </row>
    <row r="4096" spans="1:13" x14ac:dyDescent="0.3">
      <c r="A4096" t="s">
        <v>3380</v>
      </c>
      <c r="B4096" t="s">
        <v>11061</v>
      </c>
      <c r="C4096" t="s">
        <v>6342</v>
      </c>
      <c r="D4096" t="s">
        <v>10210</v>
      </c>
      <c r="E4096" t="s">
        <v>5532</v>
      </c>
      <c r="F4096" t="s">
        <v>17050</v>
      </c>
      <c r="G4096" t="s">
        <v>11063</v>
      </c>
      <c r="H4096" t="s">
        <v>5474</v>
      </c>
      <c r="I4096" t="s">
        <v>17051</v>
      </c>
      <c r="J4096" t="s">
        <v>5476</v>
      </c>
      <c r="K4096" t="s">
        <v>16933</v>
      </c>
      <c r="L4096" t="s">
        <v>5471</v>
      </c>
      <c r="M4096" t="s">
        <v>5471</v>
      </c>
    </row>
    <row r="4097" spans="1:13" x14ac:dyDescent="0.3">
      <c r="A4097" t="s">
        <v>3380</v>
      </c>
      <c r="B4097" t="s">
        <v>16940</v>
      </c>
      <c r="C4097" t="s">
        <v>6342</v>
      </c>
      <c r="D4097" t="s">
        <v>4119</v>
      </c>
      <c r="E4097" t="s">
        <v>5532</v>
      </c>
      <c r="F4097" t="s">
        <v>17052</v>
      </c>
      <c r="G4097" t="s">
        <v>17053</v>
      </c>
      <c r="H4097" t="s">
        <v>5474</v>
      </c>
      <c r="I4097" t="s">
        <v>17054</v>
      </c>
      <c r="J4097" t="s">
        <v>5476</v>
      </c>
      <c r="K4097" t="s">
        <v>17055</v>
      </c>
      <c r="L4097" t="s">
        <v>5471</v>
      </c>
      <c r="M4097" t="s">
        <v>5471</v>
      </c>
    </row>
    <row r="4098" spans="1:13" x14ac:dyDescent="0.3">
      <c r="A4098" t="s">
        <v>3380</v>
      </c>
      <c r="B4098" t="s">
        <v>5261</v>
      </c>
      <c r="C4098" t="s">
        <v>6342</v>
      </c>
      <c r="D4098" t="s">
        <v>10218</v>
      </c>
      <c r="E4098" t="s">
        <v>5843</v>
      </c>
      <c r="F4098" t="s">
        <v>17056</v>
      </c>
      <c r="G4098" t="s">
        <v>16719</v>
      </c>
      <c r="H4098" t="s">
        <v>5474</v>
      </c>
      <c r="I4098" t="s">
        <v>17057</v>
      </c>
      <c r="J4098" t="s">
        <v>5476</v>
      </c>
      <c r="K4098" t="s">
        <v>16811</v>
      </c>
      <c r="L4098" t="s">
        <v>5471</v>
      </c>
      <c r="M4098" t="s">
        <v>5471</v>
      </c>
    </row>
    <row r="4099" spans="1:13" x14ac:dyDescent="0.3">
      <c r="A4099" t="s">
        <v>3380</v>
      </c>
      <c r="B4099" t="s">
        <v>16243</v>
      </c>
      <c r="C4099" t="s">
        <v>6342</v>
      </c>
      <c r="D4099" t="s">
        <v>10210</v>
      </c>
      <c r="E4099" t="s">
        <v>5532</v>
      </c>
      <c r="F4099" t="s">
        <v>17058</v>
      </c>
      <c r="G4099" t="s">
        <v>16245</v>
      </c>
      <c r="H4099" t="s">
        <v>5474</v>
      </c>
      <c r="I4099" t="s">
        <v>17059</v>
      </c>
      <c r="J4099" t="s">
        <v>5484</v>
      </c>
      <c r="K4099" t="s">
        <v>16944</v>
      </c>
      <c r="L4099" t="s">
        <v>5471</v>
      </c>
      <c r="M4099" t="s">
        <v>5471</v>
      </c>
    </row>
    <row r="4100" spans="1:13" x14ac:dyDescent="0.3">
      <c r="A4100" t="s">
        <v>3380</v>
      </c>
      <c r="B4100" t="s">
        <v>5261</v>
      </c>
      <c r="C4100" t="s">
        <v>6342</v>
      </c>
      <c r="D4100" t="s">
        <v>4058</v>
      </c>
      <c r="E4100" t="s">
        <v>5843</v>
      </c>
      <c r="F4100" t="s">
        <v>17060</v>
      </c>
      <c r="G4100" t="s">
        <v>16727</v>
      </c>
      <c r="H4100" t="s">
        <v>5474</v>
      </c>
      <c r="I4100" t="s">
        <v>17061</v>
      </c>
      <c r="J4100" t="s">
        <v>5476</v>
      </c>
      <c r="K4100" t="s">
        <v>17062</v>
      </c>
      <c r="L4100" t="s">
        <v>5471</v>
      </c>
      <c r="M4100" t="s">
        <v>5471</v>
      </c>
    </row>
    <row r="4101" spans="1:13" x14ac:dyDescent="0.3">
      <c r="A4101" t="s">
        <v>3380</v>
      </c>
      <c r="B4101" t="s">
        <v>5337</v>
      </c>
      <c r="C4101" t="s">
        <v>6342</v>
      </c>
      <c r="D4101" t="s">
        <v>10210</v>
      </c>
      <c r="E4101" t="s">
        <v>5532</v>
      </c>
      <c r="F4101" t="s">
        <v>17063</v>
      </c>
      <c r="G4101" t="s">
        <v>16847</v>
      </c>
      <c r="H4101" t="s">
        <v>5474</v>
      </c>
      <c r="I4101" t="s">
        <v>17064</v>
      </c>
      <c r="J4101" t="s">
        <v>5476</v>
      </c>
      <c r="K4101" t="s">
        <v>16933</v>
      </c>
      <c r="L4101" t="s">
        <v>5471</v>
      </c>
      <c r="M4101" t="s">
        <v>5471</v>
      </c>
    </row>
    <row r="4102" spans="1:13" x14ac:dyDescent="0.3">
      <c r="A4102" t="s">
        <v>3380</v>
      </c>
      <c r="B4102" t="s">
        <v>5261</v>
      </c>
      <c r="C4102" t="s">
        <v>6342</v>
      </c>
      <c r="D4102" t="s">
        <v>4058</v>
      </c>
      <c r="E4102" t="s">
        <v>5843</v>
      </c>
      <c r="F4102" t="s">
        <v>17065</v>
      </c>
      <c r="G4102" t="s">
        <v>16727</v>
      </c>
      <c r="H4102" t="s">
        <v>5474</v>
      </c>
      <c r="I4102" t="s">
        <v>17066</v>
      </c>
      <c r="J4102" t="s">
        <v>5476</v>
      </c>
      <c r="K4102" t="s">
        <v>17067</v>
      </c>
      <c r="L4102" t="s">
        <v>5471</v>
      </c>
      <c r="M4102" t="s">
        <v>5471</v>
      </c>
    </row>
    <row r="4103" spans="1:13" x14ac:dyDescent="0.3">
      <c r="A4103" t="s">
        <v>3380</v>
      </c>
      <c r="B4103" t="s">
        <v>5261</v>
      </c>
      <c r="C4103" t="s">
        <v>6342</v>
      </c>
      <c r="D4103" t="s">
        <v>4058</v>
      </c>
      <c r="E4103" t="s">
        <v>5843</v>
      </c>
      <c r="F4103" t="s">
        <v>17068</v>
      </c>
      <c r="G4103" t="s">
        <v>16727</v>
      </c>
      <c r="H4103" t="s">
        <v>5474</v>
      </c>
      <c r="I4103" t="s">
        <v>17069</v>
      </c>
      <c r="J4103" t="s">
        <v>5476</v>
      </c>
      <c r="K4103" t="s">
        <v>17070</v>
      </c>
      <c r="L4103" t="s">
        <v>5471</v>
      </c>
      <c r="M4103" t="s">
        <v>5471</v>
      </c>
    </row>
    <row r="4104" spans="1:13" x14ac:dyDescent="0.3">
      <c r="A4104" t="s">
        <v>3380</v>
      </c>
      <c r="B4104" t="s">
        <v>10105</v>
      </c>
      <c r="C4104" t="s">
        <v>6342</v>
      </c>
      <c r="D4104" t="s">
        <v>4119</v>
      </c>
      <c r="E4104" t="s">
        <v>5532</v>
      </c>
      <c r="F4104" t="s">
        <v>17071</v>
      </c>
      <c r="G4104" t="s">
        <v>16405</v>
      </c>
      <c r="H4104" t="s">
        <v>5474</v>
      </c>
      <c r="I4104" t="s">
        <v>17072</v>
      </c>
      <c r="J4104" t="s">
        <v>5476</v>
      </c>
      <c r="K4104" t="s">
        <v>11561</v>
      </c>
      <c r="L4104" t="s">
        <v>5471</v>
      </c>
      <c r="M4104" t="s">
        <v>5471</v>
      </c>
    </row>
    <row r="4105" spans="1:13" x14ac:dyDescent="0.3">
      <c r="A4105" t="s">
        <v>3380</v>
      </c>
      <c r="B4105" t="s">
        <v>5261</v>
      </c>
      <c r="C4105" t="s">
        <v>6342</v>
      </c>
      <c r="D4105" t="s">
        <v>10218</v>
      </c>
      <c r="E4105" t="s">
        <v>5843</v>
      </c>
      <c r="F4105" t="s">
        <v>17073</v>
      </c>
      <c r="G4105" t="s">
        <v>16727</v>
      </c>
      <c r="H4105" t="s">
        <v>5474</v>
      </c>
      <c r="I4105" t="s">
        <v>17074</v>
      </c>
      <c r="J4105" t="s">
        <v>5476</v>
      </c>
      <c r="K4105" t="s">
        <v>16811</v>
      </c>
      <c r="L4105" t="s">
        <v>5471</v>
      </c>
      <c r="M4105" t="s">
        <v>5471</v>
      </c>
    </row>
    <row r="4106" spans="1:13" x14ac:dyDescent="0.3">
      <c r="A4106" t="s">
        <v>3380</v>
      </c>
      <c r="B4106" t="s">
        <v>5261</v>
      </c>
      <c r="C4106" t="s">
        <v>6342</v>
      </c>
      <c r="D4106" t="s">
        <v>4052</v>
      </c>
      <c r="E4106" t="s">
        <v>5843</v>
      </c>
      <c r="F4106" t="s">
        <v>17075</v>
      </c>
      <c r="G4106" t="s">
        <v>16738</v>
      </c>
      <c r="H4106" t="s">
        <v>5474</v>
      </c>
      <c r="I4106" t="s">
        <v>17076</v>
      </c>
      <c r="J4106" t="s">
        <v>5476</v>
      </c>
      <c r="K4106" t="s">
        <v>9742</v>
      </c>
      <c r="L4106" t="s">
        <v>5471</v>
      </c>
      <c r="M4106" t="s">
        <v>5471</v>
      </c>
    </row>
    <row r="4107" spans="1:13" x14ac:dyDescent="0.3">
      <c r="A4107" t="s">
        <v>3380</v>
      </c>
      <c r="B4107" t="s">
        <v>5261</v>
      </c>
      <c r="C4107" t="s">
        <v>6342</v>
      </c>
      <c r="D4107" t="s">
        <v>4058</v>
      </c>
      <c r="E4107" t="s">
        <v>5843</v>
      </c>
      <c r="F4107" t="s">
        <v>17077</v>
      </c>
      <c r="G4107" t="s">
        <v>16738</v>
      </c>
      <c r="H4107" t="s">
        <v>5474</v>
      </c>
      <c r="I4107" t="s">
        <v>17078</v>
      </c>
      <c r="J4107" t="s">
        <v>5476</v>
      </c>
      <c r="K4107" t="s">
        <v>17079</v>
      </c>
      <c r="L4107" t="s">
        <v>5471</v>
      </c>
      <c r="M4107" t="s">
        <v>5471</v>
      </c>
    </row>
    <row r="4108" spans="1:13" x14ac:dyDescent="0.3">
      <c r="A4108" t="s">
        <v>3380</v>
      </c>
      <c r="B4108" t="s">
        <v>5261</v>
      </c>
      <c r="C4108" t="s">
        <v>6342</v>
      </c>
      <c r="D4108" t="s">
        <v>4058</v>
      </c>
      <c r="E4108" t="s">
        <v>5843</v>
      </c>
      <c r="F4108" t="s">
        <v>17080</v>
      </c>
      <c r="G4108" t="s">
        <v>16738</v>
      </c>
      <c r="H4108" t="s">
        <v>5474</v>
      </c>
      <c r="I4108" t="s">
        <v>17081</v>
      </c>
      <c r="J4108" t="s">
        <v>5476</v>
      </c>
      <c r="K4108" t="s">
        <v>17082</v>
      </c>
      <c r="L4108" t="s">
        <v>5471</v>
      </c>
      <c r="M4108" t="s">
        <v>5471</v>
      </c>
    </row>
    <row r="4109" spans="1:13" x14ac:dyDescent="0.3">
      <c r="A4109" t="s">
        <v>3380</v>
      </c>
      <c r="B4109" t="s">
        <v>10105</v>
      </c>
      <c r="C4109" t="s">
        <v>6342</v>
      </c>
      <c r="D4109" t="s">
        <v>4119</v>
      </c>
      <c r="E4109" t="s">
        <v>5532</v>
      </c>
      <c r="F4109" t="s">
        <v>17083</v>
      </c>
      <c r="G4109" t="s">
        <v>10107</v>
      </c>
      <c r="H4109" t="s">
        <v>5474</v>
      </c>
      <c r="I4109" t="s">
        <v>17084</v>
      </c>
      <c r="J4109" t="s">
        <v>5476</v>
      </c>
      <c r="K4109" t="s">
        <v>16700</v>
      </c>
      <c r="L4109" t="s">
        <v>5471</v>
      </c>
      <c r="M4109" t="s">
        <v>5471</v>
      </c>
    </row>
    <row r="4110" spans="1:13" x14ac:dyDescent="0.3">
      <c r="A4110" t="s">
        <v>3380</v>
      </c>
      <c r="B4110" t="s">
        <v>5261</v>
      </c>
      <c r="C4110" t="s">
        <v>6342</v>
      </c>
      <c r="D4110" t="s">
        <v>4058</v>
      </c>
      <c r="E4110" t="s">
        <v>5843</v>
      </c>
      <c r="F4110" t="s">
        <v>17085</v>
      </c>
      <c r="G4110" t="s">
        <v>16738</v>
      </c>
      <c r="H4110" t="s">
        <v>5474</v>
      </c>
      <c r="I4110" t="s">
        <v>17086</v>
      </c>
      <c r="J4110" t="s">
        <v>5476</v>
      </c>
      <c r="K4110" t="s">
        <v>17087</v>
      </c>
      <c r="L4110" t="s">
        <v>5471</v>
      </c>
      <c r="M4110" t="s">
        <v>5471</v>
      </c>
    </row>
    <row r="4111" spans="1:13" x14ac:dyDescent="0.3">
      <c r="A4111" t="s">
        <v>3383</v>
      </c>
      <c r="B4111" t="s">
        <v>5332</v>
      </c>
      <c r="C4111" t="s">
        <v>5470</v>
      </c>
      <c r="D4111" t="s">
        <v>4052</v>
      </c>
      <c r="E4111" t="s">
        <v>5532</v>
      </c>
      <c r="F4111" t="s">
        <v>17088</v>
      </c>
      <c r="G4111" t="s">
        <v>11627</v>
      </c>
      <c r="H4111" t="s">
        <v>5474</v>
      </c>
      <c r="I4111" t="s">
        <v>17089</v>
      </c>
      <c r="J4111" t="s">
        <v>5476</v>
      </c>
      <c r="K4111" t="s">
        <v>17090</v>
      </c>
      <c r="L4111" t="s">
        <v>5471</v>
      </c>
      <c r="M4111" t="s">
        <v>5471</v>
      </c>
    </row>
    <row r="4112" spans="1:13" x14ac:dyDescent="0.3">
      <c r="A4112" t="s">
        <v>3380</v>
      </c>
      <c r="B4112" t="s">
        <v>10105</v>
      </c>
      <c r="C4112" t="s">
        <v>6342</v>
      </c>
      <c r="D4112" t="s">
        <v>4119</v>
      </c>
      <c r="E4112" t="s">
        <v>5532</v>
      </c>
      <c r="F4112" t="s">
        <v>17091</v>
      </c>
      <c r="G4112" t="s">
        <v>16405</v>
      </c>
      <c r="H4112" t="s">
        <v>5474</v>
      </c>
      <c r="I4112" t="s">
        <v>17092</v>
      </c>
      <c r="J4112" t="s">
        <v>5476</v>
      </c>
      <c r="K4112" t="s">
        <v>17093</v>
      </c>
      <c r="L4112" t="s">
        <v>5471</v>
      </c>
      <c r="M4112" t="s">
        <v>5471</v>
      </c>
    </row>
    <row r="4113" spans="1:13" x14ac:dyDescent="0.3">
      <c r="A4113" t="s">
        <v>3380</v>
      </c>
      <c r="B4113" t="s">
        <v>10105</v>
      </c>
      <c r="C4113" t="s">
        <v>6342</v>
      </c>
      <c r="D4113" t="s">
        <v>4119</v>
      </c>
      <c r="E4113" t="s">
        <v>5532</v>
      </c>
      <c r="F4113" t="s">
        <v>17094</v>
      </c>
      <c r="G4113" t="s">
        <v>16405</v>
      </c>
      <c r="H4113" t="s">
        <v>5474</v>
      </c>
      <c r="I4113" t="s">
        <v>17095</v>
      </c>
      <c r="J4113" t="s">
        <v>5476</v>
      </c>
      <c r="K4113" t="s">
        <v>11039</v>
      </c>
      <c r="L4113" t="s">
        <v>5471</v>
      </c>
      <c r="M4113" t="s">
        <v>5471</v>
      </c>
    </row>
    <row r="4114" spans="1:13" x14ac:dyDescent="0.3">
      <c r="A4114" t="s">
        <v>3380</v>
      </c>
      <c r="B4114" t="s">
        <v>10105</v>
      </c>
      <c r="C4114" t="s">
        <v>6342</v>
      </c>
      <c r="D4114" t="s">
        <v>4119</v>
      </c>
      <c r="E4114" t="s">
        <v>5532</v>
      </c>
      <c r="F4114" t="s">
        <v>17096</v>
      </c>
      <c r="G4114" t="s">
        <v>10107</v>
      </c>
      <c r="H4114" t="s">
        <v>5474</v>
      </c>
      <c r="I4114" t="s">
        <v>17097</v>
      </c>
      <c r="J4114" t="s">
        <v>5476</v>
      </c>
      <c r="K4114" t="s">
        <v>16876</v>
      </c>
      <c r="L4114" t="s">
        <v>5471</v>
      </c>
      <c r="M4114" t="s">
        <v>5471</v>
      </c>
    </row>
    <row r="4115" spans="1:13" x14ac:dyDescent="0.3">
      <c r="A4115" t="s">
        <v>3380</v>
      </c>
      <c r="B4115" t="s">
        <v>11061</v>
      </c>
      <c r="C4115" t="s">
        <v>6342</v>
      </c>
      <c r="D4115" t="s">
        <v>4058</v>
      </c>
      <c r="E4115" t="s">
        <v>5532</v>
      </c>
      <c r="F4115" t="s">
        <v>17098</v>
      </c>
      <c r="G4115" t="s">
        <v>17099</v>
      </c>
      <c r="H4115" t="s">
        <v>5474</v>
      </c>
      <c r="I4115" t="s">
        <v>17100</v>
      </c>
      <c r="J4115" t="s">
        <v>5476</v>
      </c>
      <c r="K4115" t="s">
        <v>14792</v>
      </c>
      <c r="L4115" t="s">
        <v>5471</v>
      </c>
      <c r="M4115" t="s">
        <v>5471</v>
      </c>
    </row>
    <row r="4116" spans="1:13" x14ac:dyDescent="0.3">
      <c r="A4116" t="s">
        <v>3380</v>
      </c>
      <c r="B4116" t="s">
        <v>10105</v>
      </c>
      <c r="C4116" t="s">
        <v>6342</v>
      </c>
      <c r="D4116" t="s">
        <v>4119</v>
      </c>
      <c r="E4116" t="s">
        <v>5843</v>
      </c>
      <c r="F4116" t="s">
        <v>17101</v>
      </c>
      <c r="G4116" t="s">
        <v>10107</v>
      </c>
      <c r="H4116" t="s">
        <v>5474</v>
      </c>
      <c r="I4116" t="s">
        <v>17102</v>
      </c>
      <c r="J4116" t="s">
        <v>5476</v>
      </c>
      <c r="K4116" t="s">
        <v>16882</v>
      </c>
      <c r="L4116" t="s">
        <v>5471</v>
      </c>
      <c r="M4116" t="s">
        <v>5471</v>
      </c>
    </row>
    <row r="4117" spans="1:13" x14ac:dyDescent="0.3">
      <c r="A4117" t="s">
        <v>3380</v>
      </c>
      <c r="B4117" t="s">
        <v>16243</v>
      </c>
      <c r="C4117" t="s">
        <v>6342</v>
      </c>
      <c r="D4117" t="s">
        <v>4119</v>
      </c>
      <c r="E4117" t="s">
        <v>5532</v>
      </c>
      <c r="F4117" t="s">
        <v>17103</v>
      </c>
      <c r="G4117" t="s">
        <v>16245</v>
      </c>
      <c r="H4117" t="s">
        <v>5474</v>
      </c>
      <c r="I4117" t="s">
        <v>17104</v>
      </c>
      <c r="J4117" t="s">
        <v>5476</v>
      </c>
      <c r="K4117" t="s">
        <v>16715</v>
      </c>
      <c r="L4117" t="s">
        <v>5471</v>
      </c>
      <c r="M4117" t="s">
        <v>5471</v>
      </c>
    </row>
    <row r="4118" spans="1:13" x14ac:dyDescent="0.3">
      <c r="A4118" t="s">
        <v>3380</v>
      </c>
      <c r="B4118" t="s">
        <v>11061</v>
      </c>
      <c r="C4118" t="s">
        <v>6342</v>
      </c>
      <c r="D4118" t="s">
        <v>4058</v>
      </c>
      <c r="E4118" t="s">
        <v>5532</v>
      </c>
      <c r="F4118" t="s">
        <v>17105</v>
      </c>
      <c r="G4118" t="s">
        <v>17099</v>
      </c>
      <c r="H4118" t="s">
        <v>5474</v>
      </c>
      <c r="I4118" t="s">
        <v>17106</v>
      </c>
      <c r="J4118" t="s">
        <v>5476</v>
      </c>
      <c r="K4118" t="s">
        <v>17107</v>
      </c>
      <c r="L4118" t="s">
        <v>5471</v>
      </c>
      <c r="M4118" t="s">
        <v>5471</v>
      </c>
    </row>
    <row r="4119" spans="1:13" x14ac:dyDescent="0.3">
      <c r="A4119" t="s">
        <v>3380</v>
      </c>
      <c r="B4119" t="s">
        <v>5337</v>
      </c>
      <c r="C4119" t="s">
        <v>6342</v>
      </c>
      <c r="D4119" t="s">
        <v>4119</v>
      </c>
      <c r="E4119" t="s">
        <v>5532</v>
      </c>
      <c r="F4119" t="s">
        <v>17108</v>
      </c>
      <c r="G4119" t="s">
        <v>16847</v>
      </c>
      <c r="H4119" t="s">
        <v>5474</v>
      </c>
      <c r="I4119" t="s">
        <v>17109</v>
      </c>
      <c r="J4119" t="s">
        <v>5476</v>
      </c>
      <c r="K4119" t="s">
        <v>16715</v>
      </c>
      <c r="L4119" t="s">
        <v>5471</v>
      </c>
      <c r="M4119" t="s">
        <v>5471</v>
      </c>
    </row>
    <row r="4120" spans="1:13" x14ac:dyDescent="0.3">
      <c r="A4120" t="s">
        <v>3380</v>
      </c>
      <c r="B4120" t="s">
        <v>10105</v>
      </c>
      <c r="C4120" t="s">
        <v>6342</v>
      </c>
      <c r="D4120" t="s">
        <v>4119</v>
      </c>
      <c r="E4120" t="s">
        <v>5843</v>
      </c>
      <c r="F4120" t="s">
        <v>17110</v>
      </c>
      <c r="G4120" t="s">
        <v>10107</v>
      </c>
      <c r="H4120" t="s">
        <v>5474</v>
      </c>
      <c r="I4120" t="s">
        <v>17111</v>
      </c>
      <c r="J4120" t="s">
        <v>5476</v>
      </c>
      <c r="K4120" t="s">
        <v>16879</v>
      </c>
      <c r="L4120" t="s">
        <v>5471</v>
      </c>
      <c r="M4120" t="s">
        <v>5471</v>
      </c>
    </row>
    <row r="4121" spans="1:13" x14ac:dyDescent="0.3">
      <c r="A4121" t="s">
        <v>3380</v>
      </c>
      <c r="B4121" t="s">
        <v>10105</v>
      </c>
      <c r="C4121" t="s">
        <v>6342</v>
      </c>
      <c r="D4121" t="s">
        <v>4119</v>
      </c>
      <c r="E4121" t="s">
        <v>5532</v>
      </c>
      <c r="F4121" t="s">
        <v>17112</v>
      </c>
      <c r="G4121" t="s">
        <v>17113</v>
      </c>
      <c r="H4121" t="s">
        <v>5474</v>
      </c>
      <c r="I4121" t="s">
        <v>17114</v>
      </c>
      <c r="J4121" t="s">
        <v>5476</v>
      </c>
      <c r="K4121" t="s">
        <v>17115</v>
      </c>
      <c r="L4121" t="s">
        <v>5471</v>
      </c>
      <c r="M4121" t="s">
        <v>5471</v>
      </c>
    </row>
    <row r="4122" spans="1:13" x14ac:dyDescent="0.3">
      <c r="A4122" t="s">
        <v>3380</v>
      </c>
      <c r="B4122" t="s">
        <v>10132</v>
      </c>
      <c r="C4122" t="s">
        <v>6342</v>
      </c>
      <c r="D4122" t="s">
        <v>4119</v>
      </c>
      <c r="E4122" t="s">
        <v>5532</v>
      </c>
      <c r="F4122" t="s">
        <v>17116</v>
      </c>
      <c r="G4122" t="s">
        <v>16787</v>
      </c>
      <c r="H4122" t="s">
        <v>5474</v>
      </c>
      <c r="I4122" t="s">
        <v>17117</v>
      </c>
      <c r="J4122" t="s">
        <v>5476</v>
      </c>
      <c r="K4122" t="s">
        <v>17118</v>
      </c>
      <c r="L4122" t="s">
        <v>5471</v>
      </c>
      <c r="M4122" t="s">
        <v>5471</v>
      </c>
    </row>
    <row r="4123" spans="1:13" x14ac:dyDescent="0.3">
      <c r="A4123" t="s">
        <v>3380</v>
      </c>
      <c r="B4123" t="s">
        <v>10105</v>
      </c>
      <c r="C4123" t="s">
        <v>6342</v>
      </c>
      <c r="D4123" t="s">
        <v>4119</v>
      </c>
      <c r="E4123" t="s">
        <v>5532</v>
      </c>
      <c r="F4123" t="s">
        <v>17119</v>
      </c>
      <c r="G4123" t="s">
        <v>17113</v>
      </c>
      <c r="H4123" t="s">
        <v>5474</v>
      </c>
      <c r="I4123" t="s">
        <v>17120</v>
      </c>
      <c r="J4123" t="s">
        <v>5476</v>
      </c>
      <c r="K4123" t="s">
        <v>17121</v>
      </c>
      <c r="L4123" t="s">
        <v>5471</v>
      </c>
      <c r="M4123" t="s">
        <v>5471</v>
      </c>
    </row>
    <row r="4124" spans="1:13" x14ac:dyDescent="0.3">
      <c r="A4124" t="s">
        <v>3380</v>
      </c>
      <c r="B4124" t="s">
        <v>11061</v>
      </c>
      <c r="C4124" t="s">
        <v>6342</v>
      </c>
      <c r="D4124" t="s">
        <v>4058</v>
      </c>
      <c r="E4124" t="s">
        <v>5532</v>
      </c>
      <c r="F4124" t="s">
        <v>17122</v>
      </c>
      <c r="G4124" t="s">
        <v>17099</v>
      </c>
      <c r="H4124" t="s">
        <v>5474</v>
      </c>
      <c r="I4124" t="s">
        <v>17123</v>
      </c>
      <c r="J4124" t="s">
        <v>5476</v>
      </c>
      <c r="K4124" t="s">
        <v>16349</v>
      </c>
      <c r="L4124" t="s">
        <v>5471</v>
      </c>
      <c r="M4124" t="s">
        <v>5471</v>
      </c>
    </row>
    <row r="4125" spans="1:13" x14ac:dyDescent="0.3">
      <c r="A4125" t="s">
        <v>3380</v>
      </c>
      <c r="B4125" t="s">
        <v>10105</v>
      </c>
      <c r="C4125" t="s">
        <v>6342</v>
      </c>
      <c r="D4125" t="s">
        <v>4119</v>
      </c>
      <c r="E4125" t="s">
        <v>5843</v>
      </c>
      <c r="F4125" t="s">
        <v>17124</v>
      </c>
      <c r="G4125" t="s">
        <v>17113</v>
      </c>
      <c r="H4125" t="s">
        <v>5474</v>
      </c>
      <c r="I4125" t="s">
        <v>17125</v>
      </c>
      <c r="J4125" t="s">
        <v>5476</v>
      </c>
      <c r="K4125" t="s">
        <v>17126</v>
      </c>
      <c r="L4125" t="s">
        <v>5471</v>
      </c>
      <c r="M4125" t="s">
        <v>5471</v>
      </c>
    </row>
    <row r="4126" spans="1:13" x14ac:dyDescent="0.3">
      <c r="A4126" t="s">
        <v>3380</v>
      </c>
      <c r="B4126" t="s">
        <v>11061</v>
      </c>
      <c r="C4126" t="s">
        <v>6342</v>
      </c>
      <c r="D4126" t="s">
        <v>4058</v>
      </c>
      <c r="E4126" t="s">
        <v>5532</v>
      </c>
      <c r="F4126" t="s">
        <v>17127</v>
      </c>
      <c r="G4126" t="s">
        <v>17099</v>
      </c>
      <c r="H4126" t="s">
        <v>5474</v>
      </c>
      <c r="I4126" t="s">
        <v>17128</v>
      </c>
      <c r="J4126" t="s">
        <v>5476</v>
      </c>
      <c r="K4126" t="s">
        <v>16352</v>
      </c>
      <c r="L4126" t="s">
        <v>5471</v>
      </c>
      <c r="M4126" t="s">
        <v>5471</v>
      </c>
    </row>
    <row r="4127" spans="1:13" x14ac:dyDescent="0.3">
      <c r="A4127" t="s">
        <v>3380</v>
      </c>
      <c r="B4127" t="s">
        <v>16257</v>
      </c>
      <c r="C4127" t="s">
        <v>6342</v>
      </c>
      <c r="D4127" t="s">
        <v>4119</v>
      </c>
      <c r="E4127" t="s">
        <v>5532</v>
      </c>
      <c r="F4127" t="s">
        <v>17129</v>
      </c>
      <c r="G4127" t="s">
        <v>16259</v>
      </c>
      <c r="H4127" t="s">
        <v>5474</v>
      </c>
      <c r="I4127" t="s">
        <v>17130</v>
      </c>
      <c r="J4127" t="s">
        <v>5476</v>
      </c>
      <c r="K4127" t="s">
        <v>17118</v>
      </c>
      <c r="L4127" t="s">
        <v>5471</v>
      </c>
      <c r="M4127" t="s">
        <v>5471</v>
      </c>
    </row>
    <row r="4128" spans="1:13" x14ac:dyDescent="0.3">
      <c r="A4128" t="s">
        <v>3380</v>
      </c>
      <c r="B4128" t="s">
        <v>10105</v>
      </c>
      <c r="C4128" t="s">
        <v>6342</v>
      </c>
      <c r="D4128" t="s">
        <v>4119</v>
      </c>
      <c r="E4128" t="s">
        <v>5843</v>
      </c>
      <c r="F4128" t="s">
        <v>17131</v>
      </c>
      <c r="G4128" t="s">
        <v>17113</v>
      </c>
      <c r="H4128" t="s">
        <v>5474</v>
      </c>
      <c r="I4128" t="s">
        <v>17132</v>
      </c>
      <c r="J4128" t="s">
        <v>5476</v>
      </c>
      <c r="K4128" t="s">
        <v>17133</v>
      </c>
      <c r="L4128" t="s">
        <v>5471</v>
      </c>
      <c r="M4128" t="s">
        <v>5471</v>
      </c>
    </row>
    <row r="4129" spans="1:13" x14ac:dyDescent="0.3">
      <c r="A4129" t="s">
        <v>3380</v>
      </c>
      <c r="B4129" t="s">
        <v>11061</v>
      </c>
      <c r="C4129" t="s">
        <v>6342</v>
      </c>
      <c r="D4129" t="s">
        <v>4056</v>
      </c>
      <c r="E4129" t="s">
        <v>5532</v>
      </c>
      <c r="F4129" t="s">
        <v>17134</v>
      </c>
      <c r="G4129" t="s">
        <v>17099</v>
      </c>
      <c r="H4129" t="s">
        <v>5474</v>
      </c>
      <c r="I4129" t="s">
        <v>17135</v>
      </c>
      <c r="J4129" t="s">
        <v>5476</v>
      </c>
      <c r="K4129" t="s">
        <v>17136</v>
      </c>
      <c r="L4129" t="s">
        <v>5471</v>
      </c>
      <c r="M4129" t="s">
        <v>5471</v>
      </c>
    </row>
    <row r="4130" spans="1:13" x14ac:dyDescent="0.3">
      <c r="A4130" t="s">
        <v>3380</v>
      </c>
      <c r="B4130" t="s">
        <v>11061</v>
      </c>
      <c r="C4130" t="s">
        <v>6342</v>
      </c>
      <c r="D4130" t="s">
        <v>4200</v>
      </c>
      <c r="E4130" t="s">
        <v>5532</v>
      </c>
      <c r="F4130" t="s">
        <v>17137</v>
      </c>
      <c r="G4130" t="s">
        <v>17099</v>
      </c>
      <c r="H4130" t="s">
        <v>5474</v>
      </c>
      <c r="I4130" t="s">
        <v>17138</v>
      </c>
      <c r="J4130" t="s">
        <v>5476</v>
      </c>
      <c r="K4130" t="s">
        <v>16267</v>
      </c>
      <c r="L4130" t="s">
        <v>5471</v>
      </c>
      <c r="M4130" t="s">
        <v>5471</v>
      </c>
    </row>
    <row r="4131" spans="1:13" x14ac:dyDescent="0.3">
      <c r="A4131" t="s">
        <v>3380</v>
      </c>
      <c r="B4131" t="s">
        <v>16268</v>
      </c>
      <c r="C4131" t="s">
        <v>6342</v>
      </c>
      <c r="D4131" t="s">
        <v>4119</v>
      </c>
      <c r="E4131" t="s">
        <v>5532</v>
      </c>
      <c r="F4131" t="s">
        <v>17139</v>
      </c>
      <c r="G4131" t="s">
        <v>16270</v>
      </c>
      <c r="H4131" t="s">
        <v>5474</v>
      </c>
      <c r="I4131" t="s">
        <v>17140</v>
      </c>
      <c r="J4131" t="s">
        <v>5476</v>
      </c>
      <c r="K4131" t="s">
        <v>17141</v>
      </c>
      <c r="L4131" t="s">
        <v>5471</v>
      </c>
      <c r="M4131" t="s">
        <v>5471</v>
      </c>
    </row>
    <row r="4132" spans="1:13" x14ac:dyDescent="0.3">
      <c r="A4132" t="s">
        <v>3380</v>
      </c>
      <c r="B4132" t="s">
        <v>11061</v>
      </c>
      <c r="C4132" t="s">
        <v>6342</v>
      </c>
      <c r="D4132" t="s">
        <v>4058</v>
      </c>
      <c r="E4132" t="s">
        <v>5532</v>
      </c>
      <c r="F4132" t="s">
        <v>17142</v>
      </c>
      <c r="G4132" t="s">
        <v>17143</v>
      </c>
      <c r="H4132" t="s">
        <v>5474</v>
      </c>
      <c r="I4132" t="s">
        <v>17144</v>
      </c>
      <c r="J4132" t="s">
        <v>5476</v>
      </c>
      <c r="K4132" t="s">
        <v>14781</v>
      </c>
      <c r="L4132" t="s">
        <v>5471</v>
      </c>
      <c r="M4132" t="s">
        <v>5471</v>
      </c>
    </row>
    <row r="4133" spans="1:13" x14ac:dyDescent="0.3">
      <c r="A4133" t="s">
        <v>3380</v>
      </c>
      <c r="B4133" t="s">
        <v>10105</v>
      </c>
      <c r="C4133" t="s">
        <v>6342</v>
      </c>
      <c r="D4133" t="s">
        <v>4119</v>
      </c>
      <c r="E4133" t="s">
        <v>5843</v>
      </c>
      <c r="F4133" t="s">
        <v>17145</v>
      </c>
      <c r="G4133" t="s">
        <v>17146</v>
      </c>
      <c r="H4133" t="s">
        <v>5474</v>
      </c>
      <c r="I4133" t="s">
        <v>17147</v>
      </c>
      <c r="J4133" t="s">
        <v>5476</v>
      </c>
      <c r="K4133" t="s">
        <v>17148</v>
      </c>
      <c r="L4133" t="s">
        <v>5471</v>
      </c>
      <c r="M4133" t="s">
        <v>5471</v>
      </c>
    </row>
    <row r="4134" spans="1:13" x14ac:dyDescent="0.3">
      <c r="A4134" t="s">
        <v>3383</v>
      </c>
      <c r="B4134" t="s">
        <v>8871</v>
      </c>
      <c r="C4134" t="s">
        <v>5470</v>
      </c>
      <c r="D4134" t="s">
        <v>4052</v>
      </c>
      <c r="E4134" t="s">
        <v>5532</v>
      </c>
      <c r="F4134" t="s">
        <v>17149</v>
      </c>
      <c r="G4134" t="s">
        <v>12119</v>
      </c>
      <c r="H4134" t="s">
        <v>5474</v>
      </c>
      <c r="I4134" t="s">
        <v>17150</v>
      </c>
      <c r="J4134" t="s">
        <v>5476</v>
      </c>
      <c r="K4134" t="s">
        <v>17151</v>
      </c>
      <c r="L4134" t="s">
        <v>5471</v>
      </c>
      <c r="M4134" t="s">
        <v>5471</v>
      </c>
    </row>
    <row r="4135" spans="1:13" x14ac:dyDescent="0.3">
      <c r="A4135" t="s">
        <v>3380</v>
      </c>
      <c r="B4135" t="s">
        <v>10105</v>
      </c>
      <c r="C4135" t="s">
        <v>6342</v>
      </c>
      <c r="D4135" t="s">
        <v>4119</v>
      </c>
      <c r="E4135" t="s">
        <v>5843</v>
      </c>
      <c r="F4135" t="s">
        <v>17152</v>
      </c>
      <c r="G4135" t="s">
        <v>17146</v>
      </c>
      <c r="H4135" t="s">
        <v>5474</v>
      </c>
      <c r="I4135" t="s">
        <v>17153</v>
      </c>
      <c r="J4135" t="s">
        <v>5476</v>
      </c>
      <c r="K4135" t="s">
        <v>16895</v>
      </c>
      <c r="L4135" t="s">
        <v>5471</v>
      </c>
      <c r="M4135" t="s">
        <v>5471</v>
      </c>
    </row>
    <row r="4136" spans="1:13" x14ac:dyDescent="0.3">
      <c r="A4136" t="s">
        <v>3380</v>
      </c>
      <c r="B4136" t="s">
        <v>11061</v>
      </c>
      <c r="C4136" t="s">
        <v>6342</v>
      </c>
      <c r="D4136" t="s">
        <v>4058</v>
      </c>
      <c r="E4136" t="s">
        <v>5532</v>
      </c>
      <c r="F4136" t="s">
        <v>17154</v>
      </c>
      <c r="G4136" t="s">
        <v>17143</v>
      </c>
      <c r="H4136" t="s">
        <v>5474</v>
      </c>
      <c r="I4136" t="s">
        <v>17155</v>
      </c>
      <c r="J4136" t="s">
        <v>5476</v>
      </c>
      <c r="K4136" t="s">
        <v>17156</v>
      </c>
      <c r="L4136" t="s">
        <v>5471</v>
      </c>
      <c r="M4136" t="s">
        <v>5471</v>
      </c>
    </row>
    <row r="4137" spans="1:13" x14ac:dyDescent="0.3">
      <c r="A4137" t="s">
        <v>3380</v>
      </c>
      <c r="B4137" t="s">
        <v>10137</v>
      </c>
      <c r="C4137" t="s">
        <v>6342</v>
      </c>
      <c r="D4137" t="s">
        <v>4119</v>
      </c>
      <c r="E4137" t="s">
        <v>9935</v>
      </c>
      <c r="F4137" t="s">
        <v>17157</v>
      </c>
      <c r="G4137" t="s">
        <v>10145</v>
      </c>
      <c r="H4137" t="s">
        <v>5474</v>
      </c>
      <c r="I4137" t="s">
        <v>17158</v>
      </c>
      <c r="J4137" t="s">
        <v>5476</v>
      </c>
      <c r="K4137" t="s">
        <v>17141</v>
      </c>
      <c r="L4137" t="s">
        <v>5471</v>
      </c>
      <c r="M4137" t="s">
        <v>5471</v>
      </c>
    </row>
    <row r="4138" spans="1:13" x14ac:dyDescent="0.3">
      <c r="A4138" t="s">
        <v>3380</v>
      </c>
      <c r="B4138" t="s">
        <v>10105</v>
      </c>
      <c r="C4138" t="s">
        <v>6342</v>
      </c>
      <c r="D4138" t="s">
        <v>4119</v>
      </c>
      <c r="E4138" t="s">
        <v>5843</v>
      </c>
      <c r="F4138" t="s">
        <v>17159</v>
      </c>
      <c r="G4138" t="s">
        <v>17160</v>
      </c>
      <c r="H4138" t="s">
        <v>5474</v>
      </c>
      <c r="I4138" t="s">
        <v>17161</v>
      </c>
      <c r="J4138" t="s">
        <v>5476</v>
      </c>
      <c r="K4138" t="s">
        <v>17162</v>
      </c>
      <c r="L4138" t="s">
        <v>5471</v>
      </c>
      <c r="M4138" t="s">
        <v>5471</v>
      </c>
    </row>
    <row r="4139" spans="1:13" x14ac:dyDescent="0.3">
      <c r="A4139" t="s">
        <v>3380</v>
      </c>
      <c r="B4139" t="s">
        <v>11061</v>
      </c>
      <c r="C4139" t="s">
        <v>6342</v>
      </c>
      <c r="D4139" t="s">
        <v>4058</v>
      </c>
      <c r="E4139" t="s">
        <v>5532</v>
      </c>
      <c r="F4139" t="s">
        <v>17163</v>
      </c>
      <c r="G4139" t="s">
        <v>17143</v>
      </c>
      <c r="H4139" t="s">
        <v>5474</v>
      </c>
      <c r="I4139" t="s">
        <v>17164</v>
      </c>
      <c r="J4139" t="s">
        <v>5476</v>
      </c>
      <c r="K4139" t="s">
        <v>16242</v>
      </c>
      <c r="L4139" t="s">
        <v>5471</v>
      </c>
      <c r="M4139" t="s">
        <v>5471</v>
      </c>
    </row>
    <row r="4140" spans="1:13" x14ac:dyDescent="0.3">
      <c r="A4140" t="s">
        <v>3380</v>
      </c>
      <c r="B4140" t="s">
        <v>11061</v>
      </c>
      <c r="C4140" t="s">
        <v>6342</v>
      </c>
      <c r="D4140" t="s">
        <v>4058</v>
      </c>
      <c r="E4140" t="s">
        <v>5532</v>
      </c>
      <c r="F4140" t="s">
        <v>17165</v>
      </c>
      <c r="G4140" t="s">
        <v>17143</v>
      </c>
      <c r="H4140" t="s">
        <v>5474</v>
      </c>
      <c r="I4140" t="s">
        <v>17166</v>
      </c>
      <c r="J4140" t="s">
        <v>5476</v>
      </c>
      <c r="K4140" t="s">
        <v>16253</v>
      </c>
      <c r="L4140" t="s">
        <v>5471</v>
      </c>
      <c r="M4140" t="s">
        <v>5471</v>
      </c>
    </row>
    <row r="4141" spans="1:13" x14ac:dyDescent="0.3">
      <c r="A4141" t="s">
        <v>3383</v>
      </c>
      <c r="B4141" t="s">
        <v>5324</v>
      </c>
      <c r="C4141" t="s">
        <v>5487</v>
      </c>
      <c r="D4141" t="s">
        <v>4052</v>
      </c>
      <c r="E4141" t="s">
        <v>5532</v>
      </c>
      <c r="F4141" t="s">
        <v>17167</v>
      </c>
      <c r="G4141" t="s">
        <v>6087</v>
      </c>
      <c r="H4141" t="s">
        <v>5474</v>
      </c>
      <c r="I4141" t="s">
        <v>17168</v>
      </c>
      <c r="J4141" t="s">
        <v>5484</v>
      </c>
      <c r="K4141" t="s">
        <v>17169</v>
      </c>
      <c r="L4141" t="s">
        <v>5471</v>
      </c>
      <c r="M4141" t="s">
        <v>5471</v>
      </c>
    </row>
    <row r="4142" spans="1:13" x14ac:dyDescent="0.3">
      <c r="A4142" t="s">
        <v>3380</v>
      </c>
      <c r="B4142" t="s">
        <v>11061</v>
      </c>
      <c r="C4142" t="s">
        <v>6342</v>
      </c>
      <c r="D4142" t="s">
        <v>4058</v>
      </c>
      <c r="E4142" t="s">
        <v>5532</v>
      </c>
      <c r="F4142" t="s">
        <v>17170</v>
      </c>
      <c r="G4142" t="s">
        <v>17171</v>
      </c>
      <c r="H4142" t="s">
        <v>5474</v>
      </c>
      <c r="I4142" t="s">
        <v>17172</v>
      </c>
      <c r="J4142" t="s">
        <v>5476</v>
      </c>
      <c r="K4142" t="s">
        <v>15811</v>
      </c>
      <c r="L4142" t="s">
        <v>5471</v>
      </c>
      <c r="M4142" t="s">
        <v>5471</v>
      </c>
    </row>
    <row r="4143" spans="1:13" x14ac:dyDescent="0.3">
      <c r="A4143" t="s">
        <v>3380</v>
      </c>
      <c r="B4143" t="s">
        <v>11061</v>
      </c>
      <c r="C4143" t="s">
        <v>6342</v>
      </c>
      <c r="D4143" t="s">
        <v>4058</v>
      </c>
      <c r="E4143" t="s">
        <v>5532</v>
      </c>
      <c r="F4143" t="s">
        <v>17173</v>
      </c>
      <c r="G4143" t="s">
        <v>17171</v>
      </c>
      <c r="H4143" t="s">
        <v>5474</v>
      </c>
      <c r="I4143" t="s">
        <v>17174</v>
      </c>
      <c r="J4143" t="s">
        <v>5476</v>
      </c>
      <c r="K4143" t="s">
        <v>17175</v>
      </c>
      <c r="L4143" t="s">
        <v>5471</v>
      </c>
      <c r="M4143" t="s">
        <v>5471</v>
      </c>
    </row>
    <row r="4144" spans="1:13" x14ac:dyDescent="0.3">
      <c r="A4144" t="s">
        <v>3380</v>
      </c>
      <c r="B4144" t="s">
        <v>11061</v>
      </c>
      <c r="C4144" t="s">
        <v>6342</v>
      </c>
      <c r="D4144" t="s">
        <v>4058</v>
      </c>
      <c r="E4144" t="s">
        <v>5532</v>
      </c>
      <c r="F4144" t="s">
        <v>17176</v>
      </c>
      <c r="G4144" t="s">
        <v>17171</v>
      </c>
      <c r="H4144" t="s">
        <v>5474</v>
      </c>
      <c r="I4144" t="s">
        <v>17177</v>
      </c>
      <c r="J4144" t="s">
        <v>5476</v>
      </c>
      <c r="K4144" t="s">
        <v>16282</v>
      </c>
      <c r="L4144" t="s">
        <v>5471</v>
      </c>
      <c r="M4144" t="s">
        <v>5471</v>
      </c>
    </row>
    <row r="4145" spans="1:13" x14ac:dyDescent="0.3">
      <c r="A4145" t="s">
        <v>3380</v>
      </c>
      <c r="B4145" t="s">
        <v>16336</v>
      </c>
      <c r="C4145" t="s">
        <v>5487</v>
      </c>
      <c r="D4145" t="s">
        <v>4052</v>
      </c>
      <c r="E4145" t="s">
        <v>5843</v>
      </c>
      <c r="F4145" t="s">
        <v>17178</v>
      </c>
      <c r="G4145" t="s">
        <v>17179</v>
      </c>
      <c r="H4145" t="s">
        <v>5474</v>
      </c>
      <c r="I4145" t="s">
        <v>17180</v>
      </c>
      <c r="J4145" t="s">
        <v>5476</v>
      </c>
      <c r="K4145" t="s">
        <v>17181</v>
      </c>
      <c r="L4145" t="s">
        <v>5471</v>
      </c>
      <c r="M4145" t="s">
        <v>5471</v>
      </c>
    </row>
    <row r="4146" spans="1:13" x14ac:dyDescent="0.3">
      <c r="A4146" t="s">
        <v>3380</v>
      </c>
      <c r="B4146" t="s">
        <v>16336</v>
      </c>
      <c r="C4146" t="s">
        <v>5487</v>
      </c>
      <c r="D4146" t="s">
        <v>4052</v>
      </c>
      <c r="E4146" t="s">
        <v>5843</v>
      </c>
      <c r="F4146" t="s">
        <v>17182</v>
      </c>
      <c r="G4146" t="s">
        <v>16338</v>
      </c>
      <c r="H4146" t="s">
        <v>5474</v>
      </c>
      <c r="I4146" t="s">
        <v>17183</v>
      </c>
      <c r="J4146" t="s">
        <v>5476</v>
      </c>
      <c r="K4146" t="s">
        <v>17184</v>
      </c>
      <c r="L4146" t="s">
        <v>5471</v>
      </c>
      <c r="M4146" t="s">
        <v>5471</v>
      </c>
    </row>
    <row r="4147" spans="1:13" x14ac:dyDescent="0.3">
      <c r="A4147" t="s">
        <v>3380</v>
      </c>
      <c r="B4147" t="s">
        <v>16336</v>
      </c>
      <c r="C4147" t="s">
        <v>5487</v>
      </c>
      <c r="D4147" t="s">
        <v>4052</v>
      </c>
      <c r="E4147" t="s">
        <v>5843</v>
      </c>
      <c r="F4147" t="s">
        <v>17185</v>
      </c>
      <c r="G4147" t="s">
        <v>16856</v>
      </c>
      <c r="H4147" t="s">
        <v>5474</v>
      </c>
      <c r="I4147" t="s">
        <v>17186</v>
      </c>
      <c r="J4147" t="s">
        <v>5476</v>
      </c>
      <c r="K4147" t="s">
        <v>17187</v>
      </c>
      <c r="L4147" t="s">
        <v>5471</v>
      </c>
      <c r="M4147" t="s">
        <v>5471</v>
      </c>
    </row>
    <row r="4148" spans="1:13" x14ac:dyDescent="0.3">
      <c r="A4148" t="s">
        <v>3380</v>
      </c>
      <c r="B4148" t="s">
        <v>16336</v>
      </c>
      <c r="C4148" t="s">
        <v>5487</v>
      </c>
      <c r="D4148" t="s">
        <v>4052</v>
      </c>
      <c r="E4148" t="s">
        <v>5843</v>
      </c>
      <c r="F4148" t="s">
        <v>17188</v>
      </c>
      <c r="G4148" t="s">
        <v>17189</v>
      </c>
      <c r="H4148" t="s">
        <v>5474</v>
      </c>
      <c r="I4148" t="s">
        <v>17190</v>
      </c>
      <c r="J4148" t="s">
        <v>5476</v>
      </c>
      <c r="K4148" t="s">
        <v>17191</v>
      </c>
      <c r="L4148" t="s">
        <v>5471</v>
      </c>
      <c r="M4148" t="s">
        <v>5471</v>
      </c>
    </row>
    <row r="4149" spans="1:13" x14ac:dyDescent="0.3">
      <c r="A4149" t="s">
        <v>3380</v>
      </c>
      <c r="B4149" t="s">
        <v>16336</v>
      </c>
      <c r="C4149" t="s">
        <v>5487</v>
      </c>
      <c r="D4149" t="s">
        <v>4058</v>
      </c>
      <c r="E4149" t="s">
        <v>5843</v>
      </c>
      <c r="F4149" t="s">
        <v>17192</v>
      </c>
      <c r="G4149" t="s">
        <v>17189</v>
      </c>
      <c r="H4149" t="s">
        <v>5474</v>
      </c>
      <c r="I4149" t="s">
        <v>17193</v>
      </c>
      <c r="J4149" t="s">
        <v>5476</v>
      </c>
      <c r="K4149" t="s">
        <v>17194</v>
      </c>
      <c r="L4149" t="s">
        <v>5471</v>
      </c>
      <c r="M4149" t="s">
        <v>5471</v>
      </c>
    </row>
    <row r="4150" spans="1:13" x14ac:dyDescent="0.3">
      <c r="A4150" t="s">
        <v>3380</v>
      </c>
      <c r="B4150" t="s">
        <v>16336</v>
      </c>
      <c r="C4150" t="s">
        <v>5487</v>
      </c>
      <c r="D4150" t="s">
        <v>4058</v>
      </c>
      <c r="E4150" t="s">
        <v>5843</v>
      </c>
      <c r="F4150" t="s">
        <v>17195</v>
      </c>
      <c r="G4150" t="s">
        <v>17189</v>
      </c>
      <c r="H4150" t="s">
        <v>5474</v>
      </c>
      <c r="I4150" t="s">
        <v>17196</v>
      </c>
      <c r="J4150" t="s">
        <v>5476</v>
      </c>
      <c r="K4150" t="s">
        <v>17197</v>
      </c>
      <c r="L4150" t="s">
        <v>5471</v>
      </c>
      <c r="M4150" t="s">
        <v>5471</v>
      </c>
    </row>
    <row r="4151" spans="1:13" x14ac:dyDescent="0.3">
      <c r="A4151" t="s">
        <v>3380</v>
      </c>
      <c r="B4151" t="s">
        <v>16336</v>
      </c>
      <c r="C4151" t="s">
        <v>5487</v>
      </c>
      <c r="D4151" t="s">
        <v>4058</v>
      </c>
      <c r="E4151" t="s">
        <v>5843</v>
      </c>
      <c r="F4151" t="s">
        <v>17198</v>
      </c>
      <c r="G4151" t="s">
        <v>17179</v>
      </c>
      <c r="H4151" t="s">
        <v>5474</v>
      </c>
      <c r="I4151" t="s">
        <v>17199</v>
      </c>
      <c r="J4151" t="s">
        <v>5476</v>
      </c>
      <c r="K4151" t="s">
        <v>17200</v>
      </c>
      <c r="L4151" t="s">
        <v>5471</v>
      </c>
      <c r="M4151" t="s">
        <v>5471</v>
      </c>
    </row>
    <row r="4152" spans="1:13" x14ac:dyDescent="0.3">
      <c r="A4152" t="s">
        <v>3380</v>
      </c>
      <c r="B4152" t="s">
        <v>16336</v>
      </c>
      <c r="C4152" t="s">
        <v>5487</v>
      </c>
      <c r="D4152" t="s">
        <v>4058</v>
      </c>
      <c r="E4152" t="s">
        <v>5843</v>
      </c>
      <c r="F4152" t="s">
        <v>17201</v>
      </c>
      <c r="G4152" t="s">
        <v>17179</v>
      </c>
      <c r="H4152" t="s">
        <v>5474</v>
      </c>
      <c r="I4152" t="s">
        <v>17202</v>
      </c>
      <c r="J4152" t="s">
        <v>5476</v>
      </c>
      <c r="K4152" t="s">
        <v>17203</v>
      </c>
      <c r="L4152" t="s">
        <v>5471</v>
      </c>
      <c r="M4152" t="s">
        <v>5471</v>
      </c>
    </row>
    <row r="4153" spans="1:13" x14ac:dyDescent="0.3">
      <c r="A4153" t="s">
        <v>3380</v>
      </c>
      <c r="B4153" t="s">
        <v>16336</v>
      </c>
      <c r="C4153" t="s">
        <v>5487</v>
      </c>
      <c r="D4153" t="s">
        <v>4058</v>
      </c>
      <c r="E4153" t="s">
        <v>5843</v>
      </c>
      <c r="F4153" t="s">
        <v>17204</v>
      </c>
      <c r="G4153" t="s">
        <v>16338</v>
      </c>
      <c r="H4153" t="s">
        <v>5474</v>
      </c>
      <c r="I4153" t="s">
        <v>17205</v>
      </c>
      <c r="J4153" t="s">
        <v>5476</v>
      </c>
      <c r="K4153" t="s">
        <v>17206</v>
      </c>
      <c r="L4153" t="s">
        <v>5471</v>
      </c>
      <c r="M4153" t="s">
        <v>5471</v>
      </c>
    </row>
    <row r="4154" spans="1:13" x14ac:dyDescent="0.3">
      <c r="A4154" t="s">
        <v>3380</v>
      </c>
      <c r="B4154" t="s">
        <v>16336</v>
      </c>
      <c r="C4154" t="s">
        <v>5487</v>
      </c>
      <c r="D4154" t="s">
        <v>4058</v>
      </c>
      <c r="E4154" t="s">
        <v>5843</v>
      </c>
      <c r="F4154" t="s">
        <v>17207</v>
      </c>
      <c r="G4154" t="s">
        <v>16338</v>
      </c>
      <c r="H4154" t="s">
        <v>5474</v>
      </c>
      <c r="I4154" t="s">
        <v>17208</v>
      </c>
      <c r="J4154" t="s">
        <v>5476</v>
      </c>
      <c r="K4154" t="s">
        <v>17209</v>
      </c>
      <c r="L4154" t="s">
        <v>5471</v>
      </c>
      <c r="M4154" t="s">
        <v>5471</v>
      </c>
    </row>
    <row r="4155" spans="1:13" x14ac:dyDescent="0.3">
      <c r="A4155" t="s">
        <v>3380</v>
      </c>
      <c r="B4155" t="s">
        <v>16336</v>
      </c>
      <c r="C4155" t="s">
        <v>5487</v>
      </c>
      <c r="D4155" t="s">
        <v>4058</v>
      </c>
      <c r="E4155" t="s">
        <v>5843</v>
      </c>
      <c r="F4155" t="s">
        <v>17210</v>
      </c>
      <c r="G4155" t="s">
        <v>16856</v>
      </c>
      <c r="H4155" t="s">
        <v>5474</v>
      </c>
      <c r="I4155" t="s">
        <v>17211</v>
      </c>
      <c r="J4155" t="s">
        <v>5476</v>
      </c>
      <c r="K4155" t="s">
        <v>17212</v>
      </c>
      <c r="L4155" t="s">
        <v>5471</v>
      </c>
      <c r="M4155" t="s">
        <v>5471</v>
      </c>
    </row>
    <row r="4156" spans="1:13" x14ac:dyDescent="0.3">
      <c r="A4156" t="s">
        <v>3380</v>
      </c>
      <c r="B4156" t="s">
        <v>16336</v>
      </c>
      <c r="C4156" t="s">
        <v>5487</v>
      </c>
      <c r="D4156" t="s">
        <v>4058</v>
      </c>
      <c r="E4156" t="s">
        <v>5843</v>
      </c>
      <c r="F4156" t="s">
        <v>17213</v>
      </c>
      <c r="G4156" t="s">
        <v>16856</v>
      </c>
      <c r="H4156" t="s">
        <v>5474</v>
      </c>
      <c r="I4156" t="s">
        <v>17214</v>
      </c>
      <c r="J4156" t="s">
        <v>5476</v>
      </c>
      <c r="K4156" t="s">
        <v>17215</v>
      </c>
      <c r="L4156" t="s">
        <v>5471</v>
      </c>
      <c r="M4156" t="s">
        <v>5471</v>
      </c>
    </row>
    <row r="4157" spans="1:13" x14ac:dyDescent="0.3">
      <c r="A4157" t="s">
        <v>3380</v>
      </c>
      <c r="B4157" t="s">
        <v>16336</v>
      </c>
      <c r="C4157" t="s">
        <v>5487</v>
      </c>
      <c r="D4157" t="s">
        <v>4119</v>
      </c>
      <c r="E4157" t="s">
        <v>5843</v>
      </c>
      <c r="F4157" t="s">
        <v>17216</v>
      </c>
      <c r="G4157" t="s">
        <v>16856</v>
      </c>
      <c r="H4157" t="s">
        <v>5474</v>
      </c>
      <c r="I4157" t="s">
        <v>17217</v>
      </c>
      <c r="J4157" t="s">
        <v>5476</v>
      </c>
      <c r="K4157" t="s">
        <v>16098</v>
      </c>
      <c r="L4157" t="s">
        <v>5471</v>
      </c>
      <c r="M4157" t="s">
        <v>5471</v>
      </c>
    </row>
    <row r="4158" spans="1:13" x14ac:dyDescent="0.3">
      <c r="A4158" t="s">
        <v>3380</v>
      </c>
      <c r="B4158" t="s">
        <v>16336</v>
      </c>
      <c r="C4158" t="s">
        <v>5487</v>
      </c>
      <c r="D4158" t="s">
        <v>4119</v>
      </c>
      <c r="E4158" t="s">
        <v>5843</v>
      </c>
      <c r="F4158" t="s">
        <v>17218</v>
      </c>
      <c r="G4158" t="s">
        <v>16856</v>
      </c>
      <c r="H4158" t="s">
        <v>5474</v>
      </c>
      <c r="I4158" t="s">
        <v>17219</v>
      </c>
      <c r="J4158" t="s">
        <v>5476</v>
      </c>
      <c r="K4158" t="s">
        <v>16101</v>
      </c>
      <c r="L4158" t="s">
        <v>5471</v>
      </c>
      <c r="M4158" t="s">
        <v>5471</v>
      </c>
    </row>
    <row r="4159" spans="1:13" x14ac:dyDescent="0.3">
      <c r="A4159" t="s">
        <v>3380</v>
      </c>
      <c r="B4159" t="s">
        <v>16102</v>
      </c>
      <c r="C4159" t="s">
        <v>6342</v>
      </c>
      <c r="D4159" t="s">
        <v>4119</v>
      </c>
      <c r="E4159" t="s">
        <v>5532</v>
      </c>
      <c r="F4159" t="s">
        <v>17220</v>
      </c>
      <c r="G4159" t="s">
        <v>16104</v>
      </c>
      <c r="H4159" t="s">
        <v>5474</v>
      </c>
      <c r="I4159" t="s">
        <v>17221</v>
      </c>
      <c r="J4159" t="s">
        <v>5476</v>
      </c>
      <c r="K4159" t="s">
        <v>17141</v>
      </c>
      <c r="L4159" t="s">
        <v>5471</v>
      </c>
      <c r="M4159" t="s">
        <v>5471</v>
      </c>
    </row>
    <row r="4160" spans="1:13" x14ac:dyDescent="0.3">
      <c r="A4160" t="s">
        <v>3380</v>
      </c>
      <c r="B4160" t="s">
        <v>10539</v>
      </c>
      <c r="C4160" t="s">
        <v>6342</v>
      </c>
      <c r="D4160" t="s">
        <v>4119</v>
      </c>
      <c r="E4160" t="s">
        <v>9935</v>
      </c>
      <c r="F4160" t="s">
        <v>17222</v>
      </c>
      <c r="G4160" t="s">
        <v>10553</v>
      </c>
      <c r="H4160" t="s">
        <v>5474</v>
      </c>
      <c r="I4160" t="s">
        <v>17223</v>
      </c>
      <c r="J4160" t="s">
        <v>5476</v>
      </c>
      <c r="K4160" t="s">
        <v>17141</v>
      </c>
      <c r="L4160" t="s">
        <v>5471</v>
      </c>
      <c r="M4160" t="s">
        <v>5471</v>
      </c>
    </row>
    <row r="4161" spans="1:13" x14ac:dyDescent="0.3">
      <c r="A4161" t="s">
        <v>3380</v>
      </c>
      <c r="B4161" t="s">
        <v>5306</v>
      </c>
      <c r="C4161" t="s">
        <v>6342</v>
      </c>
      <c r="D4161" t="s">
        <v>4119</v>
      </c>
      <c r="E4161" t="s">
        <v>9935</v>
      </c>
      <c r="F4161" t="s">
        <v>17224</v>
      </c>
      <c r="G4161" t="s">
        <v>17225</v>
      </c>
      <c r="H4161" t="s">
        <v>5474</v>
      </c>
      <c r="I4161" t="s">
        <v>17226</v>
      </c>
      <c r="J4161" t="s">
        <v>5476</v>
      </c>
      <c r="K4161" t="s">
        <v>17141</v>
      </c>
      <c r="L4161" t="s">
        <v>5471</v>
      </c>
      <c r="M4161" t="s">
        <v>5471</v>
      </c>
    </row>
    <row r="4162" spans="1:13" x14ac:dyDescent="0.3">
      <c r="A4162" t="s">
        <v>3380</v>
      </c>
      <c r="B4162" t="s">
        <v>10105</v>
      </c>
      <c r="C4162" t="s">
        <v>6342</v>
      </c>
      <c r="D4162" t="s">
        <v>4119</v>
      </c>
      <c r="E4162" t="s">
        <v>5843</v>
      </c>
      <c r="F4162" t="s">
        <v>17227</v>
      </c>
      <c r="G4162" t="s">
        <v>17160</v>
      </c>
      <c r="H4162" t="s">
        <v>5474</v>
      </c>
      <c r="I4162" t="s">
        <v>17228</v>
      </c>
      <c r="J4162" t="s">
        <v>5476</v>
      </c>
      <c r="K4162" t="s">
        <v>17229</v>
      </c>
      <c r="L4162" t="s">
        <v>5471</v>
      </c>
      <c r="M4162" t="s">
        <v>5471</v>
      </c>
    </row>
    <row r="4163" spans="1:13" x14ac:dyDescent="0.3">
      <c r="A4163" t="s">
        <v>3380</v>
      </c>
      <c r="B4163" t="s">
        <v>10105</v>
      </c>
      <c r="C4163" t="s">
        <v>6342</v>
      </c>
      <c r="D4163" t="s">
        <v>4119</v>
      </c>
      <c r="E4163" t="s">
        <v>5843</v>
      </c>
      <c r="F4163" t="s">
        <v>17230</v>
      </c>
      <c r="G4163" t="s">
        <v>16405</v>
      </c>
      <c r="H4163" t="s">
        <v>5474</v>
      </c>
      <c r="I4163" t="s">
        <v>17231</v>
      </c>
      <c r="J4163" t="s">
        <v>5476</v>
      </c>
      <c r="K4163" t="s">
        <v>11578</v>
      </c>
      <c r="L4163" t="s">
        <v>5471</v>
      </c>
      <c r="M4163" t="s">
        <v>5471</v>
      </c>
    </row>
    <row r="4164" spans="1:13" x14ac:dyDescent="0.3">
      <c r="A4164" t="s">
        <v>3380</v>
      </c>
      <c r="B4164" t="s">
        <v>10105</v>
      </c>
      <c r="C4164" t="s">
        <v>6342</v>
      </c>
      <c r="D4164" t="s">
        <v>4119</v>
      </c>
      <c r="E4164" t="s">
        <v>5843</v>
      </c>
      <c r="F4164" t="s">
        <v>17232</v>
      </c>
      <c r="G4164" t="s">
        <v>16405</v>
      </c>
      <c r="H4164" t="s">
        <v>5474</v>
      </c>
      <c r="I4164" t="s">
        <v>17233</v>
      </c>
      <c r="J4164" t="s">
        <v>5476</v>
      </c>
      <c r="K4164" t="s">
        <v>17234</v>
      </c>
      <c r="L4164" t="s">
        <v>5471</v>
      </c>
      <c r="M4164" t="s">
        <v>5471</v>
      </c>
    </row>
    <row r="4165" spans="1:13" x14ac:dyDescent="0.3">
      <c r="A4165" t="s">
        <v>3380</v>
      </c>
      <c r="B4165" t="s">
        <v>9702</v>
      </c>
      <c r="C4165" t="s">
        <v>6342</v>
      </c>
      <c r="D4165" t="s">
        <v>10210</v>
      </c>
      <c r="E4165" t="s">
        <v>5532</v>
      </c>
      <c r="F4165" t="s">
        <v>17235</v>
      </c>
      <c r="G4165" t="s">
        <v>9704</v>
      </c>
      <c r="H4165" t="s">
        <v>5474</v>
      </c>
      <c r="I4165" t="s">
        <v>17236</v>
      </c>
      <c r="J4165" t="s">
        <v>5476</v>
      </c>
      <c r="K4165" t="s">
        <v>17237</v>
      </c>
      <c r="L4165" t="s">
        <v>5471</v>
      </c>
      <c r="M4165" t="s">
        <v>5471</v>
      </c>
    </row>
    <row r="4166" spans="1:13" x14ac:dyDescent="0.3">
      <c r="A4166" t="s">
        <v>3380</v>
      </c>
      <c r="B4166" t="s">
        <v>10105</v>
      </c>
      <c r="C4166" t="s">
        <v>6342</v>
      </c>
      <c r="D4166" t="s">
        <v>4119</v>
      </c>
      <c r="E4166" t="s">
        <v>5843</v>
      </c>
      <c r="F4166" t="s">
        <v>17238</v>
      </c>
      <c r="G4166" t="s">
        <v>16405</v>
      </c>
      <c r="H4166" t="s">
        <v>5474</v>
      </c>
      <c r="I4166" t="s">
        <v>17239</v>
      </c>
      <c r="J4166" t="s">
        <v>5476</v>
      </c>
      <c r="K4166" t="s">
        <v>11581</v>
      </c>
      <c r="L4166" t="s">
        <v>5471</v>
      </c>
      <c r="M4166" t="s">
        <v>5471</v>
      </c>
    </row>
    <row r="4167" spans="1:13" x14ac:dyDescent="0.3">
      <c r="A4167" t="s">
        <v>3380</v>
      </c>
      <c r="B4167" t="s">
        <v>10105</v>
      </c>
      <c r="C4167" t="s">
        <v>6342</v>
      </c>
      <c r="D4167" t="s">
        <v>4119</v>
      </c>
      <c r="E4167" t="s">
        <v>5532</v>
      </c>
      <c r="F4167" t="s">
        <v>17240</v>
      </c>
      <c r="G4167" t="s">
        <v>16405</v>
      </c>
      <c r="H4167" t="s">
        <v>5474</v>
      </c>
      <c r="I4167" t="s">
        <v>17241</v>
      </c>
      <c r="J4167" t="s">
        <v>5476</v>
      </c>
      <c r="K4167" t="s">
        <v>16898</v>
      </c>
      <c r="L4167" t="s">
        <v>5471</v>
      </c>
      <c r="M4167" t="s">
        <v>5471</v>
      </c>
    </row>
    <row r="4168" spans="1:13" x14ac:dyDescent="0.3">
      <c r="A4168" t="s">
        <v>3380</v>
      </c>
      <c r="B4168" t="s">
        <v>9702</v>
      </c>
      <c r="C4168" t="s">
        <v>6342</v>
      </c>
      <c r="D4168" t="s">
        <v>10210</v>
      </c>
      <c r="E4168" t="s">
        <v>5532</v>
      </c>
      <c r="F4168" t="s">
        <v>17242</v>
      </c>
      <c r="G4168" t="s">
        <v>9704</v>
      </c>
      <c r="H4168" t="s">
        <v>5474</v>
      </c>
      <c r="I4168" t="s">
        <v>17243</v>
      </c>
      <c r="J4168" t="s">
        <v>5476</v>
      </c>
      <c r="K4168" t="s">
        <v>17244</v>
      </c>
      <c r="L4168" t="s">
        <v>5471</v>
      </c>
      <c r="M4168" t="s">
        <v>5471</v>
      </c>
    </row>
    <row r="4169" spans="1:13" x14ac:dyDescent="0.3">
      <c r="A4169" t="s">
        <v>3380</v>
      </c>
      <c r="B4169" t="s">
        <v>11061</v>
      </c>
      <c r="C4169" t="s">
        <v>6342</v>
      </c>
      <c r="D4169" t="s">
        <v>4058</v>
      </c>
      <c r="E4169" t="s">
        <v>5532</v>
      </c>
      <c r="F4169" t="s">
        <v>17245</v>
      </c>
      <c r="G4169" t="s">
        <v>17171</v>
      </c>
      <c r="H4169" t="s">
        <v>5474</v>
      </c>
      <c r="I4169" t="s">
        <v>17246</v>
      </c>
      <c r="J4169" t="s">
        <v>5476</v>
      </c>
      <c r="K4169" t="s">
        <v>16289</v>
      </c>
      <c r="L4169" t="s">
        <v>5471</v>
      </c>
      <c r="M4169" t="s">
        <v>5471</v>
      </c>
    </row>
    <row r="4170" spans="1:13" x14ac:dyDescent="0.3">
      <c r="A4170" t="s">
        <v>3380</v>
      </c>
      <c r="B4170" t="s">
        <v>11061</v>
      </c>
      <c r="C4170" t="s">
        <v>6342</v>
      </c>
      <c r="D4170" t="s">
        <v>4056</v>
      </c>
      <c r="E4170" t="s">
        <v>5532</v>
      </c>
      <c r="F4170" t="s">
        <v>17247</v>
      </c>
      <c r="G4170" t="s">
        <v>17171</v>
      </c>
      <c r="H4170" t="s">
        <v>5474</v>
      </c>
      <c r="I4170" t="s">
        <v>17248</v>
      </c>
      <c r="J4170" t="s">
        <v>5476</v>
      </c>
      <c r="K4170" t="s">
        <v>16292</v>
      </c>
      <c r="L4170" t="s">
        <v>5471</v>
      </c>
      <c r="M4170" t="s">
        <v>5471</v>
      </c>
    </row>
    <row r="4171" spans="1:13" x14ac:dyDescent="0.3">
      <c r="A4171" t="s">
        <v>3380</v>
      </c>
      <c r="B4171" t="s">
        <v>11061</v>
      </c>
      <c r="C4171" t="s">
        <v>6342</v>
      </c>
      <c r="D4171" t="s">
        <v>4200</v>
      </c>
      <c r="E4171" t="s">
        <v>5532</v>
      </c>
      <c r="F4171" t="s">
        <v>17249</v>
      </c>
      <c r="G4171" t="s">
        <v>11063</v>
      </c>
      <c r="H4171" t="s">
        <v>5474</v>
      </c>
      <c r="I4171" t="s">
        <v>17250</v>
      </c>
      <c r="J4171" t="s">
        <v>5476</v>
      </c>
      <c r="K4171" t="s">
        <v>16989</v>
      </c>
      <c r="L4171" t="s">
        <v>5471</v>
      </c>
      <c r="M4171" t="s">
        <v>5471</v>
      </c>
    </row>
    <row r="4172" spans="1:13" x14ac:dyDescent="0.3">
      <c r="A4172" t="s">
        <v>3388</v>
      </c>
      <c r="B4172" t="s">
        <v>11094</v>
      </c>
      <c r="C4172" t="s">
        <v>5470</v>
      </c>
      <c r="D4172" t="s">
        <v>4119</v>
      </c>
      <c r="E4172" t="s">
        <v>5756</v>
      </c>
      <c r="F4172" t="s">
        <v>17251</v>
      </c>
      <c r="G4172" t="s">
        <v>17252</v>
      </c>
      <c r="H4172" t="s">
        <v>5474</v>
      </c>
      <c r="I4172" t="s">
        <v>17253</v>
      </c>
      <c r="J4172" t="s">
        <v>5476</v>
      </c>
      <c r="K4172" t="s">
        <v>5471</v>
      </c>
      <c r="L4172" t="s">
        <v>5471</v>
      </c>
      <c r="M4172" t="s">
        <v>5471</v>
      </c>
    </row>
    <row r="4173" spans="1:13" x14ac:dyDescent="0.3">
      <c r="A4173" t="s">
        <v>3388</v>
      </c>
      <c r="B4173" t="s">
        <v>11094</v>
      </c>
      <c r="C4173" t="s">
        <v>5470</v>
      </c>
      <c r="D4173" t="s">
        <v>4119</v>
      </c>
      <c r="E4173" t="s">
        <v>5756</v>
      </c>
      <c r="F4173" t="s">
        <v>17254</v>
      </c>
      <c r="G4173" t="s">
        <v>17255</v>
      </c>
      <c r="H4173" t="s">
        <v>5474</v>
      </c>
      <c r="I4173" t="s">
        <v>17256</v>
      </c>
      <c r="J4173" t="s">
        <v>5476</v>
      </c>
      <c r="K4173" t="s">
        <v>5471</v>
      </c>
      <c r="L4173" t="s">
        <v>5471</v>
      </c>
      <c r="M4173" t="s">
        <v>5471</v>
      </c>
    </row>
    <row r="4174" spans="1:13" x14ac:dyDescent="0.3">
      <c r="A4174" t="s">
        <v>3388</v>
      </c>
      <c r="B4174" t="s">
        <v>5531</v>
      </c>
      <c r="C4174" t="s">
        <v>5470</v>
      </c>
      <c r="D4174" t="s">
        <v>10218</v>
      </c>
      <c r="E4174" t="s">
        <v>5532</v>
      </c>
      <c r="F4174" t="s">
        <v>17257</v>
      </c>
      <c r="G4174" t="s">
        <v>5542</v>
      </c>
      <c r="H4174" t="s">
        <v>5474</v>
      </c>
      <c r="I4174" t="s">
        <v>17258</v>
      </c>
      <c r="J4174" t="s">
        <v>5484</v>
      </c>
      <c r="K4174" t="s">
        <v>17259</v>
      </c>
      <c r="L4174" t="s">
        <v>5471</v>
      </c>
      <c r="M4174" t="s">
        <v>5471</v>
      </c>
    </row>
    <row r="4175" spans="1:13" x14ac:dyDescent="0.3">
      <c r="A4175" t="s">
        <v>3380</v>
      </c>
      <c r="B4175" t="s">
        <v>5249</v>
      </c>
      <c r="C4175" t="s">
        <v>6342</v>
      </c>
      <c r="D4175" t="s">
        <v>4119</v>
      </c>
      <c r="E4175" t="s">
        <v>5532</v>
      </c>
      <c r="F4175" t="s">
        <v>17260</v>
      </c>
      <c r="G4175" t="s">
        <v>17261</v>
      </c>
      <c r="H4175" t="s">
        <v>5474</v>
      </c>
      <c r="I4175" t="s">
        <v>17262</v>
      </c>
      <c r="J4175" t="s">
        <v>5476</v>
      </c>
      <c r="K4175" t="s">
        <v>17263</v>
      </c>
      <c r="L4175" t="s">
        <v>5471</v>
      </c>
      <c r="M4175" t="s">
        <v>5471</v>
      </c>
    </row>
    <row r="4176" spans="1:13" x14ac:dyDescent="0.3">
      <c r="A4176" t="s">
        <v>3388</v>
      </c>
      <c r="B4176" t="s">
        <v>5531</v>
      </c>
      <c r="C4176" t="s">
        <v>5470</v>
      </c>
      <c r="D4176" t="s">
        <v>10218</v>
      </c>
      <c r="E4176" t="s">
        <v>5532</v>
      </c>
      <c r="F4176" t="s">
        <v>17264</v>
      </c>
      <c r="G4176" t="s">
        <v>9069</v>
      </c>
      <c r="H4176" t="s">
        <v>5474</v>
      </c>
      <c r="I4176" t="s">
        <v>17265</v>
      </c>
      <c r="J4176" t="s">
        <v>5476</v>
      </c>
      <c r="K4176" t="s">
        <v>17266</v>
      </c>
      <c r="L4176" t="s">
        <v>5471</v>
      </c>
      <c r="M4176" t="s">
        <v>5471</v>
      </c>
    </row>
    <row r="4177" spans="1:13" x14ac:dyDescent="0.3">
      <c r="A4177" t="s">
        <v>3380</v>
      </c>
      <c r="B4177" t="s">
        <v>10105</v>
      </c>
      <c r="C4177" t="s">
        <v>6342</v>
      </c>
      <c r="D4177" t="s">
        <v>4119</v>
      </c>
      <c r="E4177" t="s">
        <v>5532</v>
      </c>
      <c r="F4177" t="s">
        <v>17267</v>
      </c>
      <c r="G4177" t="s">
        <v>16405</v>
      </c>
      <c r="H4177" t="s">
        <v>5474</v>
      </c>
      <c r="I4177" t="s">
        <v>17268</v>
      </c>
      <c r="J4177" t="s">
        <v>5476</v>
      </c>
      <c r="K4177" t="s">
        <v>17269</v>
      </c>
      <c r="L4177" t="s">
        <v>5471</v>
      </c>
      <c r="M4177" t="s">
        <v>5471</v>
      </c>
    </row>
    <row r="4178" spans="1:13" x14ac:dyDescent="0.3">
      <c r="A4178" t="s">
        <v>3388</v>
      </c>
      <c r="B4178" t="s">
        <v>5531</v>
      </c>
      <c r="C4178" t="s">
        <v>5470</v>
      </c>
      <c r="D4178" t="s">
        <v>10218</v>
      </c>
      <c r="E4178" t="s">
        <v>5532</v>
      </c>
      <c r="F4178" t="s">
        <v>17270</v>
      </c>
      <c r="G4178" t="s">
        <v>9069</v>
      </c>
      <c r="H4178" t="s">
        <v>5474</v>
      </c>
      <c r="I4178" t="s">
        <v>17271</v>
      </c>
      <c r="J4178" t="s">
        <v>5476</v>
      </c>
      <c r="K4178" t="s">
        <v>17272</v>
      </c>
      <c r="L4178" t="s">
        <v>5471</v>
      </c>
      <c r="M4178" t="s">
        <v>5471</v>
      </c>
    </row>
    <row r="4179" spans="1:13" x14ac:dyDescent="0.3">
      <c r="A4179" t="s">
        <v>3380</v>
      </c>
      <c r="B4179" t="s">
        <v>11061</v>
      </c>
      <c r="C4179" t="s">
        <v>6342</v>
      </c>
      <c r="D4179" t="s">
        <v>4052</v>
      </c>
      <c r="E4179" t="s">
        <v>5843</v>
      </c>
      <c r="F4179" t="s">
        <v>17273</v>
      </c>
      <c r="G4179" t="s">
        <v>17274</v>
      </c>
      <c r="H4179" t="s">
        <v>5474</v>
      </c>
      <c r="I4179" t="s">
        <v>17275</v>
      </c>
      <c r="J4179" t="s">
        <v>5476</v>
      </c>
      <c r="K4179" t="s">
        <v>16498</v>
      </c>
      <c r="L4179" t="s">
        <v>5471</v>
      </c>
      <c r="M4179" t="s">
        <v>5471</v>
      </c>
    </row>
    <row r="4180" spans="1:13" x14ac:dyDescent="0.3">
      <c r="A4180" t="s">
        <v>3380</v>
      </c>
      <c r="B4180" t="s">
        <v>16299</v>
      </c>
      <c r="C4180" t="s">
        <v>6342</v>
      </c>
      <c r="D4180" t="s">
        <v>4119</v>
      </c>
      <c r="E4180" t="s">
        <v>5532</v>
      </c>
      <c r="F4180" t="s">
        <v>17276</v>
      </c>
      <c r="G4180" t="s">
        <v>17277</v>
      </c>
      <c r="H4180" t="s">
        <v>5474</v>
      </c>
      <c r="I4180" t="s">
        <v>17278</v>
      </c>
      <c r="J4180" t="s">
        <v>5476</v>
      </c>
      <c r="K4180" t="s">
        <v>17279</v>
      </c>
      <c r="L4180" t="s">
        <v>5471</v>
      </c>
      <c r="M4180" t="s">
        <v>5471</v>
      </c>
    </row>
    <row r="4181" spans="1:13" x14ac:dyDescent="0.3">
      <c r="A4181" t="s">
        <v>3388</v>
      </c>
      <c r="B4181" t="s">
        <v>5531</v>
      </c>
      <c r="C4181" t="s">
        <v>5470</v>
      </c>
      <c r="D4181" t="s">
        <v>10218</v>
      </c>
      <c r="E4181" t="s">
        <v>5532</v>
      </c>
      <c r="F4181" t="s">
        <v>17280</v>
      </c>
      <c r="G4181" t="s">
        <v>9069</v>
      </c>
      <c r="H4181" t="s">
        <v>5474</v>
      </c>
      <c r="I4181" t="s">
        <v>17281</v>
      </c>
      <c r="J4181" t="s">
        <v>5476</v>
      </c>
      <c r="K4181" t="s">
        <v>17282</v>
      </c>
      <c r="L4181" t="s">
        <v>5471</v>
      </c>
      <c r="M4181" t="s">
        <v>5471</v>
      </c>
    </row>
    <row r="4182" spans="1:13" x14ac:dyDescent="0.3">
      <c r="A4182" t="s">
        <v>3380</v>
      </c>
      <c r="B4182" t="s">
        <v>16940</v>
      </c>
      <c r="C4182" t="s">
        <v>6342</v>
      </c>
      <c r="D4182" t="s">
        <v>4119</v>
      </c>
      <c r="E4182" t="s">
        <v>5532</v>
      </c>
      <c r="F4182" t="s">
        <v>17283</v>
      </c>
      <c r="G4182" t="s">
        <v>16942</v>
      </c>
      <c r="H4182" t="s">
        <v>5474</v>
      </c>
      <c r="I4182" t="s">
        <v>17284</v>
      </c>
      <c r="J4182" t="s">
        <v>5476</v>
      </c>
      <c r="K4182" t="s">
        <v>17285</v>
      </c>
      <c r="L4182" t="s">
        <v>5471</v>
      </c>
      <c r="M4182" t="s">
        <v>5471</v>
      </c>
    </row>
    <row r="4183" spans="1:13" x14ac:dyDescent="0.3">
      <c r="A4183" t="s">
        <v>3380</v>
      </c>
      <c r="B4183" t="s">
        <v>11677</v>
      </c>
      <c r="C4183" t="s">
        <v>6342</v>
      </c>
      <c r="D4183" t="s">
        <v>4119</v>
      </c>
      <c r="E4183" t="s">
        <v>5532</v>
      </c>
      <c r="F4183" t="s">
        <v>17286</v>
      </c>
      <c r="G4183" t="s">
        <v>17287</v>
      </c>
      <c r="H4183" t="s">
        <v>5474</v>
      </c>
      <c r="I4183" t="s">
        <v>17288</v>
      </c>
      <c r="J4183" t="s">
        <v>5484</v>
      </c>
      <c r="K4183" t="s">
        <v>17289</v>
      </c>
      <c r="L4183" t="s">
        <v>5471</v>
      </c>
      <c r="M4183" t="s">
        <v>5471</v>
      </c>
    </row>
    <row r="4184" spans="1:13" x14ac:dyDescent="0.3">
      <c r="A4184" t="s">
        <v>3380</v>
      </c>
      <c r="B4184" t="s">
        <v>5306</v>
      </c>
      <c r="C4184" t="s">
        <v>6342</v>
      </c>
      <c r="D4184" t="s">
        <v>4119</v>
      </c>
      <c r="E4184" t="s">
        <v>9935</v>
      </c>
      <c r="F4184" t="s">
        <v>17290</v>
      </c>
      <c r="G4184" t="s">
        <v>17225</v>
      </c>
      <c r="H4184" t="s">
        <v>5474</v>
      </c>
      <c r="I4184" t="s">
        <v>17291</v>
      </c>
      <c r="J4184" t="s">
        <v>5476</v>
      </c>
      <c r="K4184" t="s">
        <v>17292</v>
      </c>
      <c r="L4184" t="s">
        <v>5471</v>
      </c>
      <c r="M4184" t="s">
        <v>5471</v>
      </c>
    </row>
    <row r="4185" spans="1:13" x14ac:dyDescent="0.3">
      <c r="A4185" t="s">
        <v>3380</v>
      </c>
      <c r="B4185" t="s">
        <v>15592</v>
      </c>
      <c r="C4185" t="s">
        <v>5487</v>
      </c>
      <c r="D4185" t="s">
        <v>4119</v>
      </c>
      <c r="E4185" t="s">
        <v>5843</v>
      </c>
      <c r="F4185" t="s">
        <v>17293</v>
      </c>
      <c r="G4185" t="s">
        <v>16418</v>
      </c>
      <c r="H4185" t="s">
        <v>5474</v>
      </c>
      <c r="I4185" t="s">
        <v>17294</v>
      </c>
      <c r="J4185" t="s">
        <v>5476</v>
      </c>
      <c r="K4185" t="s">
        <v>17295</v>
      </c>
      <c r="L4185" t="s">
        <v>5471</v>
      </c>
      <c r="M4185" t="s">
        <v>5471</v>
      </c>
    </row>
    <row r="4186" spans="1:13" x14ac:dyDescent="0.3">
      <c r="A4186" t="s">
        <v>3383</v>
      </c>
      <c r="B4186" t="s">
        <v>5332</v>
      </c>
      <c r="C4186" t="s">
        <v>5470</v>
      </c>
      <c r="D4186" t="s">
        <v>4052</v>
      </c>
      <c r="E4186" t="s">
        <v>5532</v>
      </c>
      <c r="F4186" t="s">
        <v>17296</v>
      </c>
      <c r="G4186" t="s">
        <v>17297</v>
      </c>
      <c r="H4186" t="s">
        <v>5474</v>
      </c>
      <c r="I4186" t="s">
        <v>17298</v>
      </c>
      <c r="J4186" t="s">
        <v>5476</v>
      </c>
      <c r="K4186" t="s">
        <v>17299</v>
      </c>
      <c r="L4186" t="s">
        <v>5471</v>
      </c>
      <c r="M4186" t="s">
        <v>5471</v>
      </c>
    </row>
    <row r="4187" spans="1:13" x14ac:dyDescent="0.3">
      <c r="A4187" t="s">
        <v>3388</v>
      </c>
      <c r="B4187" t="s">
        <v>10865</v>
      </c>
      <c r="C4187" t="s">
        <v>5470</v>
      </c>
      <c r="D4187" t="s">
        <v>10218</v>
      </c>
      <c r="E4187" t="s">
        <v>5532</v>
      </c>
      <c r="F4187" t="s">
        <v>17300</v>
      </c>
      <c r="G4187" t="s">
        <v>15782</v>
      </c>
      <c r="H4187" t="s">
        <v>5474</v>
      </c>
      <c r="I4187" t="s">
        <v>17301</v>
      </c>
      <c r="J4187" t="s">
        <v>5476</v>
      </c>
      <c r="K4187" t="s">
        <v>17302</v>
      </c>
      <c r="L4187" t="s">
        <v>5471</v>
      </c>
      <c r="M4187" t="s">
        <v>5471</v>
      </c>
    </row>
    <row r="4188" spans="1:13" x14ac:dyDescent="0.3">
      <c r="A4188" t="s">
        <v>3388</v>
      </c>
      <c r="B4188" t="s">
        <v>10961</v>
      </c>
      <c r="C4188" t="s">
        <v>5470</v>
      </c>
      <c r="D4188" t="s">
        <v>10218</v>
      </c>
      <c r="E4188" t="s">
        <v>5532</v>
      </c>
      <c r="F4188" t="s">
        <v>17303</v>
      </c>
      <c r="G4188" t="s">
        <v>17304</v>
      </c>
      <c r="H4188" t="s">
        <v>5474</v>
      </c>
      <c r="I4188" t="s">
        <v>17305</v>
      </c>
      <c r="J4188" t="s">
        <v>5476</v>
      </c>
      <c r="K4188" t="s">
        <v>17306</v>
      </c>
      <c r="L4188" t="s">
        <v>5471</v>
      </c>
      <c r="M4188" t="s">
        <v>5471</v>
      </c>
    </row>
    <row r="4189" spans="1:13" x14ac:dyDescent="0.3">
      <c r="A4189" t="s">
        <v>3388</v>
      </c>
      <c r="B4189" t="s">
        <v>8656</v>
      </c>
      <c r="C4189" t="s">
        <v>5470</v>
      </c>
      <c r="D4189" t="s">
        <v>10218</v>
      </c>
      <c r="E4189" t="s">
        <v>5617</v>
      </c>
      <c r="F4189" t="s">
        <v>17307</v>
      </c>
      <c r="G4189" t="s">
        <v>17308</v>
      </c>
      <c r="H4189" t="s">
        <v>5474</v>
      </c>
      <c r="I4189" t="s">
        <v>17309</v>
      </c>
      <c r="J4189" t="s">
        <v>5476</v>
      </c>
      <c r="K4189" t="s">
        <v>17310</v>
      </c>
      <c r="L4189" t="s">
        <v>5471</v>
      </c>
      <c r="M4189" t="s">
        <v>5471</v>
      </c>
    </row>
    <row r="4190" spans="1:13" x14ac:dyDescent="0.3">
      <c r="A4190" t="s">
        <v>3388</v>
      </c>
      <c r="B4190" t="s">
        <v>8656</v>
      </c>
      <c r="C4190" t="s">
        <v>5470</v>
      </c>
      <c r="D4190" t="s">
        <v>10218</v>
      </c>
      <c r="E4190" t="s">
        <v>5617</v>
      </c>
      <c r="F4190" t="s">
        <v>17311</v>
      </c>
      <c r="G4190" t="s">
        <v>17308</v>
      </c>
      <c r="H4190" t="s">
        <v>5474</v>
      </c>
      <c r="I4190" t="s">
        <v>17312</v>
      </c>
      <c r="J4190" t="s">
        <v>5476</v>
      </c>
      <c r="K4190" t="s">
        <v>17313</v>
      </c>
      <c r="L4190" t="s">
        <v>5471</v>
      </c>
      <c r="M4190" t="s">
        <v>5471</v>
      </c>
    </row>
    <row r="4191" spans="1:13" x14ac:dyDescent="0.3">
      <c r="A4191" t="s">
        <v>3388</v>
      </c>
      <c r="B4191" t="s">
        <v>8656</v>
      </c>
      <c r="C4191" t="s">
        <v>5470</v>
      </c>
      <c r="D4191" t="s">
        <v>10218</v>
      </c>
      <c r="E4191" t="s">
        <v>5617</v>
      </c>
      <c r="F4191" t="s">
        <v>17314</v>
      </c>
      <c r="G4191" t="s">
        <v>17308</v>
      </c>
      <c r="H4191" t="s">
        <v>5474</v>
      </c>
      <c r="I4191" t="s">
        <v>17315</v>
      </c>
      <c r="J4191" t="s">
        <v>5476</v>
      </c>
      <c r="K4191" t="s">
        <v>17316</v>
      </c>
      <c r="L4191" t="s">
        <v>5471</v>
      </c>
      <c r="M4191" t="s">
        <v>5471</v>
      </c>
    </row>
    <row r="4192" spans="1:13" x14ac:dyDescent="0.3">
      <c r="A4192" t="s">
        <v>3388</v>
      </c>
      <c r="B4192" t="s">
        <v>8799</v>
      </c>
      <c r="C4192" t="s">
        <v>5470</v>
      </c>
      <c r="D4192" t="s">
        <v>10218</v>
      </c>
      <c r="E4192" t="s">
        <v>5617</v>
      </c>
      <c r="F4192" t="s">
        <v>17317</v>
      </c>
      <c r="G4192" t="s">
        <v>17318</v>
      </c>
      <c r="H4192" t="s">
        <v>5474</v>
      </c>
      <c r="I4192" t="s">
        <v>17319</v>
      </c>
      <c r="J4192" t="s">
        <v>5476</v>
      </c>
      <c r="K4192" t="s">
        <v>17320</v>
      </c>
      <c r="L4192" t="s">
        <v>5471</v>
      </c>
      <c r="M4192" t="s">
        <v>5471</v>
      </c>
    </row>
    <row r="4193" spans="1:13" x14ac:dyDescent="0.3">
      <c r="A4193" t="s">
        <v>3388</v>
      </c>
      <c r="B4193" t="s">
        <v>17321</v>
      </c>
      <c r="C4193" t="s">
        <v>5470</v>
      </c>
      <c r="D4193" t="s">
        <v>10218</v>
      </c>
      <c r="E4193" t="s">
        <v>5532</v>
      </c>
      <c r="F4193" t="s">
        <v>17322</v>
      </c>
      <c r="G4193" t="s">
        <v>17323</v>
      </c>
      <c r="H4193" t="s">
        <v>5474</v>
      </c>
      <c r="I4193" t="s">
        <v>17324</v>
      </c>
      <c r="J4193" t="s">
        <v>5476</v>
      </c>
      <c r="K4193" t="s">
        <v>17325</v>
      </c>
      <c r="L4193" t="s">
        <v>5471</v>
      </c>
      <c r="M4193" t="s">
        <v>5471</v>
      </c>
    </row>
    <row r="4194" spans="1:13" x14ac:dyDescent="0.3">
      <c r="A4194" t="s">
        <v>3388</v>
      </c>
      <c r="B4194" t="s">
        <v>17321</v>
      </c>
      <c r="C4194" t="s">
        <v>5470</v>
      </c>
      <c r="D4194" t="s">
        <v>10218</v>
      </c>
      <c r="E4194" t="s">
        <v>5532</v>
      </c>
      <c r="F4194" t="s">
        <v>17326</v>
      </c>
      <c r="G4194" t="s">
        <v>17323</v>
      </c>
      <c r="H4194" t="s">
        <v>5474</v>
      </c>
      <c r="I4194" t="s">
        <v>17327</v>
      </c>
      <c r="J4194" t="s">
        <v>5476</v>
      </c>
      <c r="K4194" t="s">
        <v>17328</v>
      </c>
      <c r="L4194" t="s">
        <v>5471</v>
      </c>
      <c r="M4194" t="s">
        <v>5471</v>
      </c>
    </row>
    <row r="4195" spans="1:13" x14ac:dyDescent="0.3">
      <c r="A4195" t="s">
        <v>3388</v>
      </c>
      <c r="B4195" t="s">
        <v>17321</v>
      </c>
      <c r="C4195" t="s">
        <v>5470</v>
      </c>
      <c r="D4195" t="s">
        <v>10218</v>
      </c>
      <c r="E4195" t="s">
        <v>5532</v>
      </c>
      <c r="F4195" t="s">
        <v>17329</v>
      </c>
      <c r="G4195" t="s">
        <v>17323</v>
      </c>
      <c r="H4195" t="s">
        <v>5474</v>
      </c>
      <c r="I4195" t="s">
        <v>17330</v>
      </c>
      <c r="J4195" t="s">
        <v>5476</v>
      </c>
      <c r="K4195" t="s">
        <v>17331</v>
      </c>
      <c r="L4195" t="s">
        <v>5471</v>
      </c>
      <c r="M4195" t="s">
        <v>5471</v>
      </c>
    </row>
    <row r="4196" spans="1:13" x14ac:dyDescent="0.3">
      <c r="A4196" t="s">
        <v>3388</v>
      </c>
      <c r="B4196" t="s">
        <v>8573</v>
      </c>
      <c r="C4196" t="s">
        <v>5470</v>
      </c>
      <c r="D4196" t="s">
        <v>10218</v>
      </c>
      <c r="E4196" t="s">
        <v>5532</v>
      </c>
      <c r="F4196" t="s">
        <v>17332</v>
      </c>
      <c r="G4196" t="s">
        <v>17333</v>
      </c>
      <c r="H4196" t="s">
        <v>5474</v>
      </c>
      <c r="I4196" t="s">
        <v>17334</v>
      </c>
      <c r="J4196" t="s">
        <v>5476</v>
      </c>
      <c r="K4196" t="s">
        <v>17335</v>
      </c>
      <c r="L4196" t="s">
        <v>5471</v>
      </c>
      <c r="M4196" t="s">
        <v>5471</v>
      </c>
    </row>
    <row r="4197" spans="1:13" x14ac:dyDescent="0.3">
      <c r="A4197" t="s">
        <v>3388</v>
      </c>
      <c r="B4197" t="s">
        <v>8573</v>
      </c>
      <c r="C4197" t="s">
        <v>5470</v>
      </c>
      <c r="D4197" t="s">
        <v>10218</v>
      </c>
      <c r="E4197" t="s">
        <v>5532</v>
      </c>
      <c r="F4197" t="s">
        <v>17336</v>
      </c>
      <c r="G4197" t="s">
        <v>17333</v>
      </c>
      <c r="H4197" t="s">
        <v>5474</v>
      </c>
      <c r="I4197" t="s">
        <v>17337</v>
      </c>
      <c r="J4197" t="s">
        <v>5476</v>
      </c>
      <c r="K4197" t="s">
        <v>17338</v>
      </c>
      <c r="L4197" t="s">
        <v>5471</v>
      </c>
      <c r="M4197" t="s">
        <v>5471</v>
      </c>
    </row>
    <row r="4198" spans="1:13" x14ac:dyDescent="0.3">
      <c r="A4198" t="s">
        <v>3388</v>
      </c>
      <c r="B4198" t="s">
        <v>8573</v>
      </c>
      <c r="C4198" t="s">
        <v>5470</v>
      </c>
      <c r="D4198" t="s">
        <v>10218</v>
      </c>
      <c r="E4198" t="s">
        <v>5532</v>
      </c>
      <c r="F4198" t="s">
        <v>17339</v>
      </c>
      <c r="G4198" t="s">
        <v>17333</v>
      </c>
      <c r="H4198" t="s">
        <v>5474</v>
      </c>
      <c r="I4198" t="s">
        <v>17340</v>
      </c>
      <c r="J4198" t="s">
        <v>5476</v>
      </c>
      <c r="K4198" t="s">
        <v>17341</v>
      </c>
      <c r="L4198" t="s">
        <v>5471</v>
      </c>
      <c r="M4198" t="s">
        <v>5471</v>
      </c>
    </row>
    <row r="4199" spans="1:13" x14ac:dyDescent="0.3">
      <c r="A4199" t="s">
        <v>3388</v>
      </c>
      <c r="B4199" t="s">
        <v>8573</v>
      </c>
      <c r="C4199" t="s">
        <v>5470</v>
      </c>
      <c r="D4199" t="s">
        <v>10218</v>
      </c>
      <c r="E4199" t="s">
        <v>5532</v>
      </c>
      <c r="F4199" t="s">
        <v>17342</v>
      </c>
      <c r="G4199" t="s">
        <v>11355</v>
      </c>
      <c r="H4199" t="s">
        <v>5474</v>
      </c>
      <c r="I4199" t="s">
        <v>17343</v>
      </c>
      <c r="J4199" t="s">
        <v>5476</v>
      </c>
      <c r="K4199" t="s">
        <v>17344</v>
      </c>
      <c r="L4199" t="s">
        <v>5471</v>
      </c>
      <c r="M4199" t="s">
        <v>5471</v>
      </c>
    </row>
    <row r="4200" spans="1:13" x14ac:dyDescent="0.3">
      <c r="A4200" t="s">
        <v>3388</v>
      </c>
      <c r="B4200" t="s">
        <v>8573</v>
      </c>
      <c r="C4200" t="s">
        <v>5470</v>
      </c>
      <c r="D4200" t="s">
        <v>10218</v>
      </c>
      <c r="E4200" t="s">
        <v>5532</v>
      </c>
      <c r="F4200" t="s">
        <v>17345</v>
      </c>
      <c r="G4200" t="s">
        <v>11355</v>
      </c>
      <c r="H4200" t="s">
        <v>5474</v>
      </c>
      <c r="I4200" t="s">
        <v>17346</v>
      </c>
      <c r="J4200" t="s">
        <v>5476</v>
      </c>
      <c r="K4200" t="s">
        <v>17347</v>
      </c>
      <c r="L4200" t="s">
        <v>5471</v>
      </c>
      <c r="M4200" t="s">
        <v>5471</v>
      </c>
    </row>
    <row r="4201" spans="1:13" x14ac:dyDescent="0.3">
      <c r="A4201" t="s">
        <v>3388</v>
      </c>
      <c r="B4201" t="s">
        <v>8573</v>
      </c>
      <c r="C4201" t="s">
        <v>5470</v>
      </c>
      <c r="D4201" t="s">
        <v>10218</v>
      </c>
      <c r="E4201" t="s">
        <v>5532</v>
      </c>
      <c r="F4201" t="s">
        <v>17348</v>
      </c>
      <c r="G4201" t="s">
        <v>11355</v>
      </c>
      <c r="H4201" t="s">
        <v>5474</v>
      </c>
      <c r="I4201" t="s">
        <v>17349</v>
      </c>
      <c r="J4201" t="s">
        <v>5476</v>
      </c>
      <c r="K4201" t="s">
        <v>17350</v>
      </c>
      <c r="L4201" t="s">
        <v>5471</v>
      </c>
      <c r="M4201" t="s">
        <v>5471</v>
      </c>
    </row>
    <row r="4202" spans="1:13" x14ac:dyDescent="0.3">
      <c r="A4202" t="s">
        <v>3383</v>
      </c>
      <c r="B4202" t="s">
        <v>17351</v>
      </c>
      <c r="C4202" t="s">
        <v>5470</v>
      </c>
      <c r="D4202" t="s">
        <v>4052</v>
      </c>
      <c r="E4202" t="s">
        <v>5480</v>
      </c>
      <c r="F4202" t="s">
        <v>17352</v>
      </c>
      <c r="G4202" t="s">
        <v>17353</v>
      </c>
      <c r="H4202" t="s">
        <v>5474</v>
      </c>
      <c r="I4202" t="s">
        <v>17354</v>
      </c>
      <c r="J4202" t="s">
        <v>5476</v>
      </c>
      <c r="K4202" t="s">
        <v>17355</v>
      </c>
      <c r="L4202" t="s">
        <v>5471</v>
      </c>
      <c r="M4202" t="s">
        <v>5471</v>
      </c>
    </row>
    <row r="4203" spans="1:13" x14ac:dyDescent="0.3">
      <c r="A4203" t="s">
        <v>3383</v>
      </c>
      <c r="B4203" t="s">
        <v>17351</v>
      </c>
      <c r="C4203" t="s">
        <v>5470</v>
      </c>
      <c r="D4203" t="s">
        <v>4052</v>
      </c>
      <c r="E4203" t="s">
        <v>5480</v>
      </c>
      <c r="F4203" t="s">
        <v>17356</v>
      </c>
      <c r="G4203" t="s">
        <v>17353</v>
      </c>
      <c r="H4203" t="s">
        <v>5474</v>
      </c>
      <c r="I4203" t="s">
        <v>17357</v>
      </c>
      <c r="J4203" t="s">
        <v>5476</v>
      </c>
      <c r="K4203" t="s">
        <v>17358</v>
      </c>
      <c r="L4203" t="s">
        <v>5471</v>
      </c>
      <c r="M4203" t="s">
        <v>5471</v>
      </c>
    </row>
    <row r="4204" spans="1:13" x14ac:dyDescent="0.3">
      <c r="A4204" t="s">
        <v>3383</v>
      </c>
      <c r="B4204" t="s">
        <v>17351</v>
      </c>
      <c r="C4204" t="s">
        <v>5470</v>
      </c>
      <c r="D4204" t="s">
        <v>4052</v>
      </c>
      <c r="E4204" t="s">
        <v>5480</v>
      </c>
      <c r="F4204" t="s">
        <v>17359</v>
      </c>
      <c r="G4204" t="s">
        <v>17353</v>
      </c>
      <c r="H4204" t="s">
        <v>5474</v>
      </c>
      <c r="I4204" t="s">
        <v>17360</v>
      </c>
      <c r="J4204" t="s">
        <v>5476</v>
      </c>
      <c r="K4204" t="s">
        <v>17361</v>
      </c>
      <c r="L4204" t="s">
        <v>5471</v>
      </c>
      <c r="M4204" t="s">
        <v>5471</v>
      </c>
    </row>
    <row r="4205" spans="1:13" x14ac:dyDescent="0.3">
      <c r="A4205" t="s">
        <v>3397</v>
      </c>
      <c r="B4205" t="s">
        <v>17362</v>
      </c>
      <c r="C4205" t="s">
        <v>5487</v>
      </c>
      <c r="D4205" t="s">
        <v>4056</v>
      </c>
      <c r="E4205" t="s">
        <v>17363</v>
      </c>
      <c r="F4205" t="s">
        <v>17364</v>
      </c>
      <c r="G4205" t="s">
        <v>17365</v>
      </c>
      <c r="H4205" t="s">
        <v>5474</v>
      </c>
      <c r="I4205" t="s">
        <v>17366</v>
      </c>
      <c r="J4205" t="s">
        <v>5476</v>
      </c>
      <c r="K4205" t="s">
        <v>17367</v>
      </c>
      <c r="L4205" t="s">
        <v>5471</v>
      </c>
      <c r="M4205" t="s">
        <v>5471</v>
      </c>
    </row>
    <row r="4206" spans="1:13" x14ac:dyDescent="0.3">
      <c r="A4206" t="s">
        <v>3380</v>
      </c>
      <c r="B4206" t="s">
        <v>9702</v>
      </c>
      <c r="C4206" t="s">
        <v>6342</v>
      </c>
      <c r="D4206" t="s">
        <v>4119</v>
      </c>
      <c r="E4206" t="s">
        <v>5532</v>
      </c>
      <c r="F4206" t="s">
        <v>17368</v>
      </c>
      <c r="G4206" t="s">
        <v>9704</v>
      </c>
      <c r="H4206" t="s">
        <v>5474</v>
      </c>
      <c r="I4206" t="s">
        <v>17369</v>
      </c>
      <c r="J4206" t="s">
        <v>5476</v>
      </c>
      <c r="K4206" t="s">
        <v>17370</v>
      </c>
      <c r="L4206" t="s">
        <v>5471</v>
      </c>
      <c r="M4206" t="s">
        <v>5471</v>
      </c>
    </row>
    <row r="4207" spans="1:13" x14ac:dyDescent="0.3">
      <c r="A4207" t="s">
        <v>3380</v>
      </c>
      <c r="B4207" t="s">
        <v>9702</v>
      </c>
      <c r="C4207" t="s">
        <v>6342</v>
      </c>
      <c r="D4207" t="s">
        <v>4119</v>
      </c>
      <c r="E4207" t="s">
        <v>5532</v>
      </c>
      <c r="F4207" t="s">
        <v>17371</v>
      </c>
      <c r="G4207" t="s">
        <v>9704</v>
      </c>
      <c r="H4207" t="s">
        <v>5474</v>
      </c>
      <c r="I4207" t="s">
        <v>17372</v>
      </c>
      <c r="J4207" t="s">
        <v>5476</v>
      </c>
      <c r="K4207" t="s">
        <v>16098</v>
      </c>
      <c r="L4207" t="s">
        <v>5471</v>
      </c>
      <c r="M4207" t="s">
        <v>5471</v>
      </c>
    </row>
    <row r="4208" spans="1:13" x14ac:dyDescent="0.3">
      <c r="A4208" t="s">
        <v>3380</v>
      </c>
      <c r="B4208" t="s">
        <v>9702</v>
      </c>
      <c r="C4208" t="s">
        <v>6342</v>
      </c>
      <c r="D4208" t="s">
        <v>4119</v>
      </c>
      <c r="E4208" t="s">
        <v>5532</v>
      </c>
      <c r="F4208" t="s">
        <v>17373</v>
      </c>
      <c r="G4208" t="s">
        <v>9704</v>
      </c>
      <c r="H4208" t="s">
        <v>5474</v>
      </c>
      <c r="I4208" t="s">
        <v>17374</v>
      </c>
      <c r="J4208" t="s">
        <v>5476</v>
      </c>
      <c r="K4208" t="s">
        <v>16101</v>
      </c>
      <c r="L4208" t="s">
        <v>5471</v>
      </c>
      <c r="M4208" t="s">
        <v>5471</v>
      </c>
    </row>
    <row r="4209" spans="1:13" x14ac:dyDescent="0.3">
      <c r="A4209" t="s">
        <v>3380</v>
      </c>
      <c r="B4209" t="s">
        <v>9702</v>
      </c>
      <c r="C4209" t="s">
        <v>6342</v>
      </c>
      <c r="D4209" t="s">
        <v>4119</v>
      </c>
      <c r="E4209" t="s">
        <v>5532</v>
      </c>
      <c r="F4209" t="s">
        <v>17375</v>
      </c>
      <c r="G4209" t="s">
        <v>9704</v>
      </c>
      <c r="H4209" t="s">
        <v>5474</v>
      </c>
      <c r="I4209" t="s">
        <v>17376</v>
      </c>
      <c r="J4209" t="s">
        <v>5476</v>
      </c>
      <c r="K4209" t="s">
        <v>16110</v>
      </c>
      <c r="L4209" t="s">
        <v>5471</v>
      </c>
      <c r="M4209" t="s">
        <v>5471</v>
      </c>
    </row>
    <row r="4210" spans="1:13" x14ac:dyDescent="0.3">
      <c r="A4210" t="s">
        <v>3380</v>
      </c>
      <c r="B4210" t="s">
        <v>9702</v>
      </c>
      <c r="C4210" t="s">
        <v>6342</v>
      </c>
      <c r="D4210" t="s">
        <v>4119</v>
      </c>
      <c r="E4210" t="s">
        <v>5532</v>
      </c>
      <c r="F4210" t="s">
        <v>17377</v>
      </c>
      <c r="G4210" t="s">
        <v>9704</v>
      </c>
      <c r="H4210" t="s">
        <v>5474</v>
      </c>
      <c r="I4210" t="s">
        <v>17378</v>
      </c>
      <c r="J4210" t="s">
        <v>5476</v>
      </c>
      <c r="K4210" t="s">
        <v>11006</v>
      </c>
      <c r="L4210" t="s">
        <v>5471</v>
      </c>
      <c r="M4210" t="s">
        <v>5471</v>
      </c>
    </row>
    <row r="4211" spans="1:13" x14ac:dyDescent="0.3">
      <c r="A4211" t="s">
        <v>3380</v>
      </c>
      <c r="B4211" t="s">
        <v>9702</v>
      </c>
      <c r="C4211" t="s">
        <v>6342</v>
      </c>
      <c r="D4211" t="s">
        <v>4119</v>
      </c>
      <c r="E4211" t="s">
        <v>5532</v>
      </c>
      <c r="F4211" t="s">
        <v>17379</v>
      </c>
      <c r="G4211" t="s">
        <v>9704</v>
      </c>
      <c r="H4211" t="s">
        <v>5474</v>
      </c>
      <c r="I4211" t="s">
        <v>17380</v>
      </c>
      <c r="J4211" t="s">
        <v>5476</v>
      </c>
      <c r="K4211" t="s">
        <v>16413</v>
      </c>
      <c r="L4211" t="s">
        <v>5471</v>
      </c>
      <c r="M4211" t="s">
        <v>5471</v>
      </c>
    </row>
    <row r="4212" spans="1:13" x14ac:dyDescent="0.3">
      <c r="A4212" t="s">
        <v>3380</v>
      </c>
      <c r="B4212" t="s">
        <v>9713</v>
      </c>
      <c r="C4212" t="s">
        <v>6342</v>
      </c>
      <c r="D4212" t="s">
        <v>10210</v>
      </c>
      <c r="E4212" t="s">
        <v>9935</v>
      </c>
      <c r="F4212" t="s">
        <v>17381</v>
      </c>
      <c r="G4212" t="s">
        <v>9715</v>
      </c>
      <c r="H4212" t="s">
        <v>5474</v>
      </c>
      <c r="I4212" t="s">
        <v>17382</v>
      </c>
      <c r="J4212" t="s">
        <v>5484</v>
      </c>
      <c r="K4212" t="s">
        <v>17383</v>
      </c>
      <c r="L4212" t="s">
        <v>5471</v>
      </c>
      <c r="M4212" t="s">
        <v>5471</v>
      </c>
    </row>
    <row r="4213" spans="1:13" x14ac:dyDescent="0.3">
      <c r="A4213" t="s">
        <v>3380</v>
      </c>
      <c r="B4213" t="s">
        <v>9713</v>
      </c>
      <c r="C4213" t="s">
        <v>6342</v>
      </c>
      <c r="D4213" t="s">
        <v>10210</v>
      </c>
      <c r="E4213" t="s">
        <v>9935</v>
      </c>
      <c r="F4213" t="s">
        <v>17384</v>
      </c>
      <c r="G4213" t="s">
        <v>9715</v>
      </c>
      <c r="H4213" t="s">
        <v>5474</v>
      </c>
      <c r="I4213" t="s">
        <v>17385</v>
      </c>
      <c r="J4213" t="s">
        <v>5484</v>
      </c>
      <c r="K4213" t="s">
        <v>17386</v>
      </c>
      <c r="L4213" t="s">
        <v>5471</v>
      </c>
      <c r="M4213" t="s">
        <v>5471</v>
      </c>
    </row>
    <row r="4214" spans="1:13" x14ac:dyDescent="0.3">
      <c r="A4214" t="s">
        <v>3388</v>
      </c>
      <c r="B4214" t="s">
        <v>10961</v>
      </c>
      <c r="C4214" t="s">
        <v>5470</v>
      </c>
      <c r="D4214" t="s">
        <v>10218</v>
      </c>
      <c r="E4214" t="s">
        <v>5532</v>
      </c>
      <c r="F4214" t="s">
        <v>17387</v>
      </c>
      <c r="G4214" t="s">
        <v>17304</v>
      </c>
      <c r="H4214" t="s">
        <v>5474</v>
      </c>
      <c r="I4214" t="s">
        <v>17388</v>
      </c>
      <c r="J4214" t="s">
        <v>5476</v>
      </c>
      <c r="K4214" t="s">
        <v>17389</v>
      </c>
      <c r="L4214" t="s">
        <v>5471</v>
      </c>
      <c r="M4214" t="s">
        <v>5471</v>
      </c>
    </row>
    <row r="4215" spans="1:13" x14ac:dyDescent="0.3">
      <c r="A4215" t="s">
        <v>3380</v>
      </c>
      <c r="B4215" t="s">
        <v>11061</v>
      </c>
      <c r="C4215" t="s">
        <v>6342</v>
      </c>
      <c r="D4215" t="s">
        <v>4058</v>
      </c>
      <c r="E4215" t="s">
        <v>5843</v>
      </c>
      <c r="F4215" t="s">
        <v>17390</v>
      </c>
      <c r="G4215" t="s">
        <v>17274</v>
      </c>
      <c r="H4215" t="s">
        <v>5474</v>
      </c>
      <c r="I4215" t="s">
        <v>17391</v>
      </c>
      <c r="J4215" t="s">
        <v>5476</v>
      </c>
      <c r="K4215" t="s">
        <v>15919</v>
      </c>
      <c r="L4215" t="s">
        <v>5471</v>
      </c>
      <c r="M4215" t="s">
        <v>5471</v>
      </c>
    </row>
    <row r="4216" spans="1:13" x14ac:dyDescent="0.3">
      <c r="A4216" t="s">
        <v>3380</v>
      </c>
      <c r="B4216" t="s">
        <v>11061</v>
      </c>
      <c r="C4216" t="s">
        <v>6342</v>
      </c>
      <c r="D4216" t="s">
        <v>4058</v>
      </c>
      <c r="E4216" t="s">
        <v>5843</v>
      </c>
      <c r="F4216" t="s">
        <v>17392</v>
      </c>
      <c r="G4216" t="s">
        <v>17274</v>
      </c>
      <c r="H4216" t="s">
        <v>5474</v>
      </c>
      <c r="I4216" t="s">
        <v>17393</v>
      </c>
      <c r="J4216" t="s">
        <v>5476</v>
      </c>
      <c r="K4216" t="s">
        <v>15922</v>
      </c>
      <c r="L4216" t="s">
        <v>5471</v>
      </c>
      <c r="M4216" t="s">
        <v>5471</v>
      </c>
    </row>
    <row r="4217" spans="1:13" x14ac:dyDescent="0.3">
      <c r="A4217" t="s">
        <v>3380</v>
      </c>
      <c r="B4217" t="s">
        <v>11061</v>
      </c>
      <c r="C4217" t="s">
        <v>6342</v>
      </c>
      <c r="D4217" t="s">
        <v>4058</v>
      </c>
      <c r="E4217" t="s">
        <v>5843</v>
      </c>
      <c r="F4217" t="s">
        <v>17394</v>
      </c>
      <c r="G4217" t="s">
        <v>17274</v>
      </c>
      <c r="H4217" t="s">
        <v>5474</v>
      </c>
      <c r="I4217" t="s">
        <v>17395</v>
      </c>
      <c r="J4217" t="s">
        <v>5476</v>
      </c>
      <c r="K4217" t="s">
        <v>15925</v>
      </c>
      <c r="L4217" t="s">
        <v>5471</v>
      </c>
      <c r="M4217" t="s">
        <v>5471</v>
      </c>
    </row>
    <row r="4218" spans="1:13" x14ac:dyDescent="0.3">
      <c r="A4218" t="s">
        <v>3380</v>
      </c>
      <c r="B4218" t="s">
        <v>11061</v>
      </c>
      <c r="C4218" t="s">
        <v>6342</v>
      </c>
      <c r="D4218" t="s">
        <v>4056</v>
      </c>
      <c r="E4218" t="s">
        <v>5843</v>
      </c>
      <c r="F4218" t="s">
        <v>17396</v>
      </c>
      <c r="G4218" t="s">
        <v>17274</v>
      </c>
      <c r="H4218" t="s">
        <v>5474</v>
      </c>
      <c r="I4218" t="s">
        <v>17397</v>
      </c>
      <c r="J4218" t="s">
        <v>5476</v>
      </c>
      <c r="K4218" t="s">
        <v>17398</v>
      </c>
      <c r="L4218" t="s">
        <v>5471</v>
      </c>
      <c r="M4218" t="s">
        <v>5471</v>
      </c>
    </row>
    <row r="4219" spans="1:13" x14ac:dyDescent="0.3">
      <c r="A4219" t="s">
        <v>3380</v>
      </c>
      <c r="B4219" t="s">
        <v>11061</v>
      </c>
      <c r="C4219" t="s">
        <v>6342</v>
      </c>
      <c r="D4219" t="s">
        <v>4200</v>
      </c>
      <c r="E4219" t="s">
        <v>5843</v>
      </c>
      <c r="F4219" t="s">
        <v>17399</v>
      </c>
      <c r="G4219" t="s">
        <v>17274</v>
      </c>
      <c r="H4219" t="s">
        <v>5474</v>
      </c>
      <c r="I4219" t="s">
        <v>17400</v>
      </c>
      <c r="J4219" t="s">
        <v>5476</v>
      </c>
      <c r="K4219" t="s">
        <v>16989</v>
      </c>
      <c r="L4219" t="s">
        <v>5471</v>
      </c>
      <c r="M4219" t="s">
        <v>5471</v>
      </c>
    </row>
    <row r="4220" spans="1:13" x14ac:dyDescent="0.3">
      <c r="A4220" t="s">
        <v>3380</v>
      </c>
      <c r="B4220" t="s">
        <v>11061</v>
      </c>
      <c r="C4220" t="s">
        <v>6342</v>
      </c>
      <c r="D4220" t="s">
        <v>4052</v>
      </c>
      <c r="E4220" t="s">
        <v>5843</v>
      </c>
      <c r="F4220" t="s">
        <v>17401</v>
      </c>
      <c r="G4220" t="s">
        <v>17402</v>
      </c>
      <c r="H4220" t="s">
        <v>5474</v>
      </c>
      <c r="I4220" t="s">
        <v>17403</v>
      </c>
      <c r="J4220" t="s">
        <v>5476</v>
      </c>
      <c r="K4220" t="s">
        <v>16482</v>
      </c>
      <c r="L4220" t="s">
        <v>5471</v>
      </c>
      <c r="M4220" t="s">
        <v>5471</v>
      </c>
    </row>
    <row r="4221" spans="1:13" x14ac:dyDescent="0.3">
      <c r="A4221" t="s">
        <v>3380</v>
      </c>
      <c r="B4221" t="s">
        <v>11061</v>
      </c>
      <c r="C4221" t="s">
        <v>6342</v>
      </c>
      <c r="D4221" t="s">
        <v>4058</v>
      </c>
      <c r="E4221" t="s">
        <v>5843</v>
      </c>
      <c r="F4221" t="s">
        <v>17404</v>
      </c>
      <c r="G4221" t="s">
        <v>17402</v>
      </c>
      <c r="H4221" t="s">
        <v>5474</v>
      </c>
      <c r="I4221" t="s">
        <v>17405</v>
      </c>
      <c r="J4221" t="s">
        <v>5476</v>
      </c>
      <c r="K4221" t="s">
        <v>17406</v>
      </c>
      <c r="L4221" t="s">
        <v>5471</v>
      </c>
      <c r="M4221" t="s">
        <v>5471</v>
      </c>
    </row>
    <row r="4222" spans="1:13" x14ac:dyDescent="0.3">
      <c r="A4222" t="s">
        <v>3380</v>
      </c>
      <c r="B4222" t="s">
        <v>11061</v>
      </c>
      <c r="C4222" t="s">
        <v>6342</v>
      </c>
      <c r="D4222" t="s">
        <v>4058</v>
      </c>
      <c r="E4222" t="s">
        <v>5843</v>
      </c>
      <c r="F4222" t="s">
        <v>17407</v>
      </c>
      <c r="G4222" t="s">
        <v>17402</v>
      </c>
      <c r="H4222" t="s">
        <v>5474</v>
      </c>
      <c r="I4222" t="s">
        <v>17408</v>
      </c>
      <c r="J4222" t="s">
        <v>5476</v>
      </c>
      <c r="K4222" t="s">
        <v>17409</v>
      </c>
      <c r="L4222" t="s">
        <v>5471</v>
      </c>
      <c r="M4222" t="s">
        <v>5471</v>
      </c>
    </row>
    <row r="4223" spans="1:13" x14ac:dyDescent="0.3">
      <c r="A4223" t="s">
        <v>3380</v>
      </c>
      <c r="B4223" t="s">
        <v>11061</v>
      </c>
      <c r="C4223" t="s">
        <v>6342</v>
      </c>
      <c r="D4223" t="s">
        <v>4058</v>
      </c>
      <c r="E4223" t="s">
        <v>5617</v>
      </c>
      <c r="F4223" t="s">
        <v>17410</v>
      </c>
      <c r="G4223" t="s">
        <v>17411</v>
      </c>
      <c r="H4223" t="s">
        <v>5474</v>
      </c>
      <c r="I4223" t="s">
        <v>17412</v>
      </c>
      <c r="J4223" t="s">
        <v>5476</v>
      </c>
      <c r="K4223" t="s">
        <v>17413</v>
      </c>
      <c r="L4223" t="s">
        <v>5471</v>
      </c>
      <c r="M4223" t="s">
        <v>5471</v>
      </c>
    </row>
    <row r="4224" spans="1:13" x14ac:dyDescent="0.3">
      <c r="A4224" t="s">
        <v>3380</v>
      </c>
      <c r="B4224" t="s">
        <v>11061</v>
      </c>
      <c r="C4224" t="s">
        <v>6342</v>
      </c>
      <c r="D4224" t="s">
        <v>4058</v>
      </c>
      <c r="E4224" t="s">
        <v>5617</v>
      </c>
      <c r="F4224" t="s">
        <v>17414</v>
      </c>
      <c r="G4224" t="s">
        <v>17411</v>
      </c>
      <c r="H4224" t="s">
        <v>5474</v>
      </c>
      <c r="I4224" t="s">
        <v>17415</v>
      </c>
      <c r="J4224" t="s">
        <v>5476</v>
      </c>
      <c r="K4224" t="s">
        <v>17416</v>
      </c>
      <c r="L4224" t="s">
        <v>5471</v>
      </c>
      <c r="M4224" t="s">
        <v>5471</v>
      </c>
    </row>
    <row r="4225" spans="1:13" x14ac:dyDescent="0.3">
      <c r="A4225" t="s">
        <v>3380</v>
      </c>
      <c r="B4225" t="s">
        <v>11061</v>
      </c>
      <c r="C4225" t="s">
        <v>6342</v>
      </c>
      <c r="D4225" t="s">
        <v>4058</v>
      </c>
      <c r="E4225" t="s">
        <v>5843</v>
      </c>
      <c r="F4225" t="s">
        <v>17417</v>
      </c>
      <c r="G4225" t="s">
        <v>17402</v>
      </c>
      <c r="H4225" t="s">
        <v>5474</v>
      </c>
      <c r="I4225" t="s">
        <v>17418</v>
      </c>
      <c r="J4225" t="s">
        <v>5476</v>
      </c>
      <c r="K4225" t="s">
        <v>17419</v>
      </c>
      <c r="L4225" t="s">
        <v>5471</v>
      </c>
      <c r="M4225" t="s">
        <v>5471</v>
      </c>
    </row>
    <row r="4226" spans="1:13" x14ac:dyDescent="0.3">
      <c r="A4226" t="s">
        <v>3388</v>
      </c>
      <c r="B4226" t="s">
        <v>5263</v>
      </c>
      <c r="C4226" t="s">
        <v>5470</v>
      </c>
      <c r="D4226" t="s">
        <v>4200</v>
      </c>
      <c r="E4226" t="s">
        <v>5617</v>
      </c>
      <c r="F4226" t="s">
        <v>17420</v>
      </c>
      <c r="G4226" t="s">
        <v>17421</v>
      </c>
      <c r="H4226" t="s">
        <v>5474</v>
      </c>
      <c r="I4226" t="s">
        <v>17422</v>
      </c>
      <c r="J4226" t="s">
        <v>5476</v>
      </c>
      <c r="K4226" t="s">
        <v>17423</v>
      </c>
      <c r="L4226" t="s">
        <v>5471</v>
      </c>
      <c r="M4226" t="s">
        <v>5471</v>
      </c>
    </row>
    <row r="4227" spans="1:13" x14ac:dyDescent="0.3">
      <c r="A4227" t="s">
        <v>3380</v>
      </c>
      <c r="B4227" t="s">
        <v>11061</v>
      </c>
      <c r="C4227" t="s">
        <v>6342</v>
      </c>
      <c r="D4227" t="s">
        <v>4058</v>
      </c>
      <c r="E4227" t="s">
        <v>5617</v>
      </c>
      <c r="F4227" t="s">
        <v>17424</v>
      </c>
      <c r="G4227" t="s">
        <v>17425</v>
      </c>
      <c r="H4227" t="s">
        <v>5474</v>
      </c>
      <c r="I4227" t="s">
        <v>17426</v>
      </c>
      <c r="J4227" t="s">
        <v>5476</v>
      </c>
      <c r="K4227" t="s">
        <v>17427</v>
      </c>
      <c r="L4227" t="s">
        <v>5471</v>
      </c>
      <c r="M4227" t="s">
        <v>5471</v>
      </c>
    </row>
    <row r="4228" spans="1:13" x14ac:dyDescent="0.3">
      <c r="A4228" t="s">
        <v>3380</v>
      </c>
      <c r="B4228" t="s">
        <v>11061</v>
      </c>
      <c r="C4228" t="s">
        <v>6342</v>
      </c>
      <c r="D4228" t="s">
        <v>4058</v>
      </c>
      <c r="E4228" t="s">
        <v>5617</v>
      </c>
      <c r="F4228" t="s">
        <v>17428</v>
      </c>
      <c r="G4228" t="s">
        <v>17425</v>
      </c>
      <c r="H4228" t="s">
        <v>5474</v>
      </c>
      <c r="I4228" t="s">
        <v>17429</v>
      </c>
      <c r="J4228" t="s">
        <v>5476</v>
      </c>
      <c r="K4228" t="s">
        <v>17430</v>
      </c>
      <c r="L4228" t="s">
        <v>5471</v>
      </c>
      <c r="M4228" t="s">
        <v>5471</v>
      </c>
    </row>
    <row r="4229" spans="1:13" x14ac:dyDescent="0.3">
      <c r="A4229" t="s">
        <v>3380</v>
      </c>
      <c r="B4229" t="s">
        <v>11061</v>
      </c>
      <c r="C4229" t="s">
        <v>6342</v>
      </c>
      <c r="D4229" t="s">
        <v>4200</v>
      </c>
      <c r="E4229" t="s">
        <v>5617</v>
      </c>
      <c r="F4229" t="s">
        <v>17431</v>
      </c>
      <c r="G4229" t="s">
        <v>11063</v>
      </c>
      <c r="H4229" t="s">
        <v>5474</v>
      </c>
      <c r="I4229" t="s">
        <v>17432</v>
      </c>
      <c r="J4229" t="s">
        <v>5476</v>
      </c>
      <c r="K4229" t="s">
        <v>16989</v>
      </c>
      <c r="L4229" t="s">
        <v>5471</v>
      </c>
      <c r="M4229" t="s">
        <v>5471</v>
      </c>
    </row>
    <row r="4230" spans="1:13" x14ac:dyDescent="0.3">
      <c r="A4230" t="s">
        <v>3380</v>
      </c>
      <c r="B4230" t="s">
        <v>11061</v>
      </c>
      <c r="C4230" t="s">
        <v>6342</v>
      </c>
      <c r="D4230" t="s">
        <v>4056</v>
      </c>
      <c r="E4230" t="s">
        <v>5843</v>
      </c>
      <c r="F4230" t="s">
        <v>17433</v>
      </c>
      <c r="G4230" t="s">
        <v>17402</v>
      </c>
      <c r="H4230" t="s">
        <v>5474</v>
      </c>
      <c r="I4230" t="s">
        <v>17434</v>
      </c>
      <c r="J4230" t="s">
        <v>5476</v>
      </c>
      <c r="K4230" t="s">
        <v>17435</v>
      </c>
      <c r="L4230" t="s">
        <v>5471</v>
      </c>
      <c r="M4230" t="s">
        <v>5471</v>
      </c>
    </row>
    <row r="4231" spans="1:13" x14ac:dyDescent="0.3">
      <c r="A4231" t="s">
        <v>3380</v>
      </c>
      <c r="B4231" t="s">
        <v>11061</v>
      </c>
      <c r="C4231" t="s">
        <v>6342</v>
      </c>
      <c r="D4231" t="s">
        <v>4200</v>
      </c>
      <c r="E4231" t="s">
        <v>5843</v>
      </c>
      <c r="F4231" t="s">
        <v>17436</v>
      </c>
      <c r="G4231" t="s">
        <v>17402</v>
      </c>
      <c r="H4231" t="s">
        <v>5474</v>
      </c>
      <c r="I4231" t="s">
        <v>17437</v>
      </c>
      <c r="J4231" t="s">
        <v>5476</v>
      </c>
      <c r="K4231" t="s">
        <v>16989</v>
      </c>
      <c r="L4231" t="s">
        <v>5471</v>
      </c>
      <c r="M4231" t="s">
        <v>5471</v>
      </c>
    </row>
    <row r="4232" spans="1:13" x14ac:dyDescent="0.3">
      <c r="A4232" t="s">
        <v>3380</v>
      </c>
      <c r="B4232" t="s">
        <v>11061</v>
      </c>
      <c r="C4232" t="s">
        <v>6342</v>
      </c>
      <c r="D4232" t="s">
        <v>4052</v>
      </c>
      <c r="E4232" t="s">
        <v>5843</v>
      </c>
      <c r="F4232" t="s">
        <v>17438</v>
      </c>
      <c r="G4232" t="s">
        <v>17439</v>
      </c>
      <c r="H4232" t="s">
        <v>5474</v>
      </c>
      <c r="I4232" t="s">
        <v>17440</v>
      </c>
      <c r="J4232" t="s">
        <v>5476</v>
      </c>
      <c r="K4232" t="s">
        <v>16488</v>
      </c>
      <c r="L4232" t="s">
        <v>5471</v>
      </c>
      <c r="M4232" t="s">
        <v>5471</v>
      </c>
    </row>
    <row r="4233" spans="1:13" x14ac:dyDescent="0.3">
      <c r="A4233" t="s">
        <v>3380</v>
      </c>
      <c r="B4233" t="s">
        <v>11061</v>
      </c>
      <c r="C4233" t="s">
        <v>6342</v>
      </c>
      <c r="D4233" t="s">
        <v>4058</v>
      </c>
      <c r="E4233" t="s">
        <v>5617</v>
      </c>
      <c r="F4233" t="s">
        <v>17441</v>
      </c>
      <c r="G4233" t="s">
        <v>17442</v>
      </c>
      <c r="H4233" t="s">
        <v>5474</v>
      </c>
      <c r="I4233" t="s">
        <v>17443</v>
      </c>
      <c r="J4233" t="s">
        <v>5476</v>
      </c>
      <c r="K4233" t="s">
        <v>17444</v>
      </c>
      <c r="L4233" t="s">
        <v>5471</v>
      </c>
      <c r="M4233" t="s">
        <v>5471</v>
      </c>
    </row>
    <row r="4234" spans="1:13" x14ac:dyDescent="0.3">
      <c r="A4234" t="s">
        <v>3380</v>
      </c>
      <c r="B4234" t="s">
        <v>11061</v>
      </c>
      <c r="C4234" t="s">
        <v>6342</v>
      </c>
      <c r="D4234" t="s">
        <v>4058</v>
      </c>
      <c r="E4234" t="s">
        <v>5843</v>
      </c>
      <c r="F4234" t="s">
        <v>17445</v>
      </c>
      <c r="G4234" t="s">
        <v>17439</v>
      </c>
      <c r="H4234" t="s">
        <v>5474</v>
      </c>
      <c r="I4234" t="s">
        <v>17446</v>
      </c>
      <c r="J4234" t="s">
        <v>5476</v>
      </c>
      <c r="K4234" t="s">
        <v>15909</v>
      </c>
      <c r="L4234" t="s">
        <v>5471</v>
      </c>
      <c r="M4234" t="s">
        <v>5471</v>
      </c>
    </row>
    <row r="4235" spans="1:13" x14ac:dyDescent="0.3">
      <c r="A4235" t="s">
        <v>3380</v>
      </c>
      <c r="B4235" t="s">
        <v>11061</v>
      </c>
      <c r="C4235" t="s">
        <v>6342</v>
      </c>
      <c r="D4235" t="s">
        <v>4058</v>
      </c>
      <c r="E4235" t="s">
        <v>5843</v>
      </c>
      <c r="F4235" t="s">
        <v>17447</v>
      </c>
      <c r="G4235" t="s">
        <v>17439</v>
      </c>
      <c r="H4235" t="s">
        <v>5474</v>
      </c>
      <c r="I4235" t="s">
        <v>17448</v>
      </c>
      <c r="J4235" t="s">
        <v>5476</v>
      </c>
      <c r="K4235" t="s">
        <v>15912</v>
      </c>
      <c r="L4235" t="s">
        <v>5471</v>
      </c>
      <c r="M4235" t="s">
        <v>5471</v>
      </c>
    </row>
    <row r="4236" spans="1:13" x14ac:dyDescent="0.3">
      <c r="A4236" t="s">
        <v>3383</v>
      </c>
      <c r="B4236" t="s">
        <v>8871</v>
      </c>
      <c r="C4236" t="s">
        <v>5470</v>
      </c>
      <c r="D4236" t="s">
        <v>4052</v>
      </c>
      <c r="E4236" t="s">
        <v>5532</v>
      </c>
      <c r="F4236" t="s">
        <v>17449</v>
      </c>
      <c r="G4236" t="s">
        <v>17450</v>
      </c>
      <c r="H4236" t="s">
        <v>5474</v>
      </c>
      <c r="I4236" t="s">
        <v>17451</v>
      </c>
      <c r="J4236" t="s">
        <v>5476</v>
      </c>
      <c r="K4236" t="s">
        <v>17452</v>
      </c>
      <c r="L4236" t="s">
        <v>5471</v>
      </c>
      <c r="M4236" t="s">
        <v>5471</v>
      </c>
    </row>
    <row r="4237" spans="1:13" x14ac:dyDescent="0.3">
      <c r="A4237" t="s">
        <v>3380</v>
      </c>
      <c r="B4237" t="s">
        <v>11061</v>
      </c>
      <c r="C4237" t="s">
        <v>6342</v>
      </c>
      <c r="D4237" t="s">
        <v>4056</v>
      </c>
      <c r="E4237" t="s">
        <v>5843</v>
      </c>
      <c r="F4237" t="s">
        <v>17453</v>
      </c>
      <c r="G4237" t="s">
        <v>17439</v>
      </c>
      <c r="H4237" t="s">
        <v>5474</v>
      </c>
      <c r="I4237" t="s">
        <v>17454</v>
      </c>
      <c r="J4237" t="s">
        <v>5476</v>
      </c>
      <c r="K4237" t="s">
        <v>17455</v>
      </c>
      <c r="L4237" t="s">
        <v>5471</v>
      </c>
      <c r="M4237" t="s">
        <v>5471</v>
      </c>
    </row>
    <row r="4238" spans="1:13" x14ac:dyDescent="0.3">
      <c r="A4238" t="s">
        <v>3388</v>
      </c>
      <c r="B4238" t="s">
        <v>10961</v>
      </c>
      <c r="C4238" t="s">
        <v>5470</v>
      </c>
      <c r="D4238" t="s">
        <v>4200</v>
      </c>
      <c r="E4238" t="s">
        <v>5532</v>
      </c>
      <c r="F4238" t="s">
        <v>17456</v>
      </c>
      <c r="G4238" t="s">
        <v>10963</v>
      </c>
      <c r="H4238" t="s">
        <v>5474</v>
      </c>
      <c r="I4238" t="s">
        <v>17457</v>
      </c>
      <c r="J4238" t="s">
        <v>5476</v>
      </c>
      <c r="K4238" t="s">
        <v>17458</v>
      </c>
      <c r="L4238" t="s">
        <v>5471</v>
      </c>
      <c r="M4238" t="s">
        <v>5471</v>
      </c>
    </row>
    <row r="4239" spans="1:13" x14ac:dyDescent="0.3">
      <c r="A4239" t="s">
        <v>3388</v>
      </c>
      <c r="B4239" t="s">
        <v>10961</v>
      </c>
      <c r="C4239" t="s">
        <v>5470</v>
      </c>
      <c r="D4239" t="s">
        <v>4200</v>
      </c>
      <c r="E4239" t="s">
        <v>5532</v>
      </c>
      <c r="F4239" t="s">
        <v>17459</v>
      </c>
      <c r="G4239" t="s">
        <v>10963</v>
      </c>
      <c r="H4239" t="s">
        <v>5474</v>
      </c>
      <c r="I4239" t="s">
        <v>17460</v>
      </c>
      <c r="J4239" t="s">
        <v>5476</v>
      </c>
      <c r="K4239" t="s">
        <v>17461</v>
      </c>
      <c r="L4239" t="s">
        <v>5471</v>
      </c>
      <c r="M4239" t="s">
        <v>5471</v>
      </c>
    </row>
    <row r="4240" spans="1:13" x14ac:dyDescent="0.3">
      <c r="A4240" t="s">
        <v>3388</v>
      </c>
      <c r="B4240" t="s">
        <v>10961</v>
      </c>
      <c r="C4240" t="s">
        <v>5470</v>
      </c>
      <c r="D4240" t="s">
        <v>4200</v>
      </c>
      <c r="E4240" t="s">
        <v>5532</v>
      </c>
      <c r="F4240" t="s">
        <v>17462</v>
      </c>
      <c r="G4240" t="s">
        <v>10963</v>
      </c>
      <c r="H4240" t="s">
        <v>5474</v>
      </c>
      <c r="I4240" t="s">
        <v>17463</v>
      </c>
      <c r="J4240" t="s">
        <v>5476</v>
      </c>
      <c r="K4240" t="s">
        <v>17464</v>
      </c>
      <c r="L4240" t="s">
        <v>5471</v>
      </c>
      <c r="M4240" t="s">
        <v>5471</v>
      </c>
    </row>
    <row r="4241" spans="1:13" x14ac:dyDescent="0.3">
      <c r="A4241" t="s">
        <v>3388</v>
      </c>
      <c r="B4241" t="s">
        <v>10961</v>
      </c>
      <c r="C4241" t="s">
        <v>5470</v>
      </c>
      <c r="D4241" t="s">
        <v>4200</v>
      </c>
      <c r="E4241" t="s">
        <v>5532</v>
      </c>
      <c r="F4241" t="s">
        <v>17465</v>
      </c>
      <c r="G4241" t="s">
        <v>10963</v>
      </c>
      <c r="H4241" t="s">
        <v>5474</v>
      </c>
      <c r="I4241" t="s">
        <v>17466</v>
      </c>
      <c r="J4241" t="s">
        <v>5476</v>
      </c>
      <c r="K4241" t="s">
        <v>17467</v>
      </c>
      <c r="L4241" t="s">
        <v>5471</v>
      </c>
      <c r="M4241" t="s">
        <v>5471</v>
      </c>
    </row>
    <row r="4242" spans="1:13" x14ac:dyDescent="0.3">
      <c r="A4242" t="s">
        <v>3388</v>
      </c>
      <c r="B4242" t="s">
        <v>10961</v>
      </c>
      <c r="C4242" t="s">
        <v>5470</v>
      </c>
      <c r="D4242" t="s">
        <v>4200</v>
      </c>
      <c r="E4242" t="s">
        <v>5532</v>
      </c>
      <c r="F4242" t="s">
        <v>17468</v>
      </c>
      <c r="G4242" t="s">
        <v>10963</v>
      </c>
      <c r="H4242" t="s">
        <v>5474</v>
      </c>
      <c r="I4242" t="s">
        <v>17469</v>
      </c>
      <c r="J4242" t="s">
        <v>5476</v>
      </c>
      <c r="K4242" t="s">
        <v>17470</v>
      </c>
      <c r="L4242" t="s">
        <v>5471</v>
      </c>
      <c r="M4242" t="s">
        <v>5471</v>
      </c>
    </row>
    <row r="4243" spans="1:13" x14ac:dyDescent="0.3">
      <c r="A4243" t="s">
        <v>3388</v>
      </c>
      <c r="B4243" t="s">
        <v>10961</v>
      </c>
      <c r="C4243" t="s">
        <v>5470</v>
      </c>
      <c r="D4243" t="s">
        <v>4200</v>
      </c>
      <c r="E4243" t="s">
        <v>5532</v>
      </c>
      <c r="F4243" t="s">
        <v>17471</v>
      </c>
      <c r="G4243" t="s">
        <v>10963</v>
      </c>
      <c r="H4243" t="s">
        <v>5474</v>
      </c>
      <c r="I4243" t="s">
        <v>17472</v>
      </c>
      <c r="J4243" t="s">
        <v>5476</v>
      </c>
      <c r="K4243" t="s">
        <v>17473</v>
      </c>
      <c r="L4243" t="s">
        <v>5471</v>
      </c>
      <c r="M4243" t="s">
        <v>5471</v>
      </c>
    </row>
    <row r="4244" spans="1:13" x14ac:dyDescent="0.3">
      <c r="A4244" t="s">
        <v>3388</v>
      </c>
      <c r="B4244" t="s">
        <v>7088</v>
      </c>
      <c r="C4244" t="s">
        <v>5470</v>
      </c>
      <c r="D4244" t="s">
        <v>4200</v>
      </c>
      <c r="E4244" t="s">
        <v>5532</v>
      </c>
      <c r="F4244" t="s">
        <v>17474</v>
      </c>
      <c r="G4244" t="s">
        <v>11130</v>
      </c>
      <c r="H4244" t="s">
        <v>5474</v>
      </c>
      <c r="I4244" t="s">
        <v>17475</v>
      </c>
      <c r="J4244" t="s">
        <v>5476</v>
      </c>
      <c r="K4244" t="s">
        <v>17476</v>
      </c>
      <c r="L4244" t="s">
        <v>5471</v>
      </c>
      <c r="M4244" t="s">
        <v>5471</v>
      </c>
    </row>
    <row r="4245" spans="1:13" x14ac:dyDescent="0.3">
      <c r="A4245" t="s">
        <v>3388</v>
      </c>
      <c r="B4245" t="s">
        <v>7088</v>
      </c>
      <c r="C4245" t="s">
        <v>5470</v>
      </c>
      <c r="D4245" t="s">
        <v>4200</v>
      </c>
      <c r="E4245" t="s">
        <v>5532</v>
      </c>
      <c r="F4245" t="s">
        <v>17477</v>
      </c>
      <c r="G4245" t="s">
        <v>11130</v>
      </c>
      <c r="H4245" t="s">
        <v>5474</v>
      </c>
      <c r="I4245" t="s">
        <v>17478</v>
      </c>
      <c r="J4245" t="s">
        <v>5476</v>
      </c>
      <c r="K4245" t="s">
        <v>17479</v>
      </c>
      <c r="L4245" t="s">
        <v>5471</v>
      </c>
      <c r="M4245" t="s">
        <v>5471</v>
      </c>
    </row>
    <row r="4246" spans="1:13" x14ac:dyDescent="0.3">
      <c r="A4246" t="s">
        <v>3388</v>
      </c>
      <c r="B4246" t="s">
        <v>7088</v>
      </c>
      <c r="C4246" t="s">
        <v>5470</v>
      </c>
      <c r="D4246" t="s">
        <v>4200</v>
      </c>
      <c r="E4246" t="s">
        <v>5532</v>
      </c>
      <c r="F4246" t="s">
        <v>17480</v>
      </c>
      <c r="G4246" t="s">
        <v>11130</v>
      </c>
      <c r="H4246" t="s">
        <v>5474</v>
      </c>
      <c r="I4246" t="s">
        <v>17481</v>
      </c>
      <c r="J4246" t="s">
        <v>5476</v>
      </c>
      <c r="K4246" t="s">
        <v>17482</v>
      </c>
      <c r="L4246" t="s">
        <v>5471</v>
      </c>
      <c r="M4246" t="s">
        <v>5471</v>
      </c>
    </row>
    <row r="4247" spans="1:13" x14ac:dyDescent="0.3">
      <c r="A4247" t="s">
        <v>3388</v>
      </c>
      <c r="B4247" t="s">
        <v>17483</v>
      </c>
      <c r="C4247" t="s">
        <v>5470</v>
      </c>
      <c r="D4247" t="s">
        <v>4058</v>
      </c>
      <c r="E4247" t="s">
        <v>5843</v>
      </c>
      <c r="F4247" t="s">
        <v>17484</v>
      </c>
      <c r="G4247" t="s">
        <v>17485</v>
      </c>
      <c r="H4247" t="s">
        <v>5474</v>
      </c>
      <c r="I4247" t="s">
        <v>17486</v>
      </c>
      <c r="J4247" t="s">
        <v>5476</v>
      </c>
      <c r="K4247" t="s">
        <v>17487</v>
      </c>
      <c r="L4247" t="s">
        <v>5471</v>
      </c>
      <c r="M4247" t="s">
        <v>5471</v>
      </c>
    </row>
    <row r="4248" spans="1:13" x14ac:dyDescent="0.3">
      <c r="A4248" t="s">
        <v>3388</v>
      </c>
      <c r="B4248" t="s">
        <v>17483</v>
      </c>
      <c r="C4248" t="s">
        <v>5470</v>
      </c>
      <c r="D4248" t="s">
        <v>4058</v>
      </c>
      <c r="E4248" t="s">
        <v>5843</v>
      </c>
      <c r="F4248" t="s">
        <v>17488</v>
      </c>
      <c r="G4248" t="s">
        <v>17485</v>
      </c>
      <c r="H4248" t="s">
        <v>5474</v>
      </c>
      <c r="I4248" t="s">
        <v>17489</v>
      </c>
      <c r="J4248" t="s">
        <v>5476</v>
      </c>
      <c r="K4248" t="s">
        <v>17490</v>
      </c>
      <c r="L4248" t="s">
        <v>5471</v>
      </c>
      <c r="M4248" t="s">
        <v>5471</v>
      </c>
    </row>
    <row r="4249" spans="1:13" x14ac:dyDescent="0.3">
      <c r="A4249" t="s">
        <v>3388</v>
      </c>
      <c r="B4249" t="s">
        <v>17483</v>
      </c>
      <c r="C4249" t="s">
        <v>5470</v>
      </c>
      <c r="D4249" t="s">
        <v>4058</v>
      </c>
      <c r="E4249" t="s">
        <v>5532</v>
      </c>
      <c r="F4249" t="s">
        <v>17491</v>
      </c>
      <c r="G4249" t="s">
        <v>17492</v>
      </c>
      <c r="H4249" t="s">
        <v>5474</v>
      </c>
      <c r="I4249" t="s">
        <v>17493</v>
      </c>
      <c r="J4249" t="s">
        <v>5476</v>
      </c>
      <c r="K4249" t="s">
        <v>17494</v>
      </c>
      <c r="L4249" t="s">
        <v>5471</v>
      </c>
      <c r="M4249" t="s">
        <v>5471</v>
      </c>
    </row>
    <row r="4250" spans="1:13" x14ac:dyDescent="0.3">
      <c r="A4250" t="s">
        <v>3388</v>
      </c>
      <c r="B4250" t="s">
        <v>17495</v>
      </c>
      <c r="C4250" t="s">
        <v>5470</v>
      </c>
      <c r="D4250" t="s">
        <v>10218</v>
      </c>
      <c r="E4250" t="s">
        <v>5532</v>
      </c>
      <c r="F4250" t="s">
        <v>17496</v>
      </c>
      <c r="G4250" t="s">
        <v>17497</v>
      </c>
      <c r="H4250" t="s">
        <v>5474</v>
      </c>
      <c r="I4250" t="s">
        <v>17498</v>
      </c>
      <c r="J4250" t="s">
        <v>5476</v>
      </c>
      <c r="K4250" t="s">
        <v>17499</v>
      </c>
      <c r="L4250" t="s">
        <v>5471</v>
      </c>
      <c r="M4250" t="s">
        <v>5471</v>
      </c>
    </row>
    <row r="4251" spans="1:13" x14ac:dyDescent="0.3">
      <c r="A4251" t="s">
        <v>3388</v>
      </c>
      <c r="B4251" t="s">
        <v>17495</v>
      </c>
      <c r="C4251" t="s">
        <v>5470</v>
      </c>
      <c r="D4251" t="s">
        <v>10218</v>
      </c>
      <c r="E4251" t="s">
        <v>5532</v>
      </c>
      <c r="F4251" t="s">
        <v>17500</v>
      </c>
      <c r="G4251" t="s">
        <v>17497</v>
      </c>
      <c r="H4251" t="s">
        <v>5474</v>
      </c>
      <c r="I4251" t="s">
        <v>17501</v>
      </c>
      <c r="J4251" t="s">
        <v>5476</v>
      </c>
      <c r="K4251" t="s">
        <v>17502</v>
      </c>
      <c r="L4251" t="s">
        <v>5471</v>
      </c>
      <c r="M4251" t="s">
        <v>5471</v>
      </c>
    </row>
    <row r="4252" spans="1:13" x14ac:dyDescent="0.3">
      <c r="A4252" t="s">
        <v>3388</v>
      </c>
      <c r="B4252" t="s">
        <v>17495</v>
      </c>
      <c r="C4252" t="s">
        <v>5470</v>
      </c>
      <c r="D4252" t="s">
        <v>10218</v>
      </c>
      <c r="E4252" t="s">
        <v>5532</v>
      </c>
      <c r="F4252" t="s">
        <v>17503</v>
      </c>
      <c r="G4252" t="s">
        <v>17497</v>
      </c>
      <c r="H4252" t="s">
        <v>5474</v>
      </c>
      <c r="I4252" t="s">
        <v>17504</v>
      </c>
      <c r="J4252" t="s">
        <v>5476</v>
      </c>
      <c r="K4252" t="s">
        <v>17505</v>
      </c>
      <c r="L4252" t="s">
        <v>5471</v>
      </c>
      <c r="M4252" t="s">
        <v>5471</v>
      </c>
    </row>
    <row r="4253" spans="1:13" x14ac:dyDescent="0.3">
      <c r="A4253" t="s">
        <v>3388</v>
      </c>
      <c r="B4253" t="s">
        <v>17483</v>
      </c>
      <c r="C4253" t="s">
        <v>5470</v>
      </c>
      <c r="D4253" t="s">
        <v>4058</v>
      </c>
      <c r="E4253" t="s">
        <v>5532</v>
      </c>
      <c r="F4253" t="s">
        <v>17506</v>
      </c>
      <c r="G4253" t="s">
        <v>17492</v>
      </c>
      <c r="H4253" t="s">
        <v>5474</v>
      </c>
      <c r="I4253" t="s">
        <v>17507</v>
      </c>
      <c r="J4253" t="s">
        <v>5476</v>
      </c>
      <c r="K4253" t="s">
        <v>17508</v>
      </c>
      <c r="L4253" t="s">
        <v>5471</v>
      </c>
      <c r="M4253" t="s">
        <v>5471</v>
      </c>
    </row>
    <row r="4254" spans="1:13" x14ac:dyDescent="0.3">
      <c r="A4254" t="s">
        <v>3388</v>
      </c>
      <c r="B4254" t="s">
        <v>9921</v>
      </c>
      <c r="C4254" t="s">
        <v>5470</v>
      </c>
      <c r="D4254" t="s">
        <v>4058</v>
      </c>
      <c r="E4254" t="s">
        <v>5532</v>
      </c>
      <c r="F4254" t="s">
        <v>17509</v>
      </c>
      <c r="G4254" t="s">
        <v>17510</v>
      </c>
      <c r="H4254" t="s">
        <v>5474</v>
      </c>
      <c r="I4254" t="s">
        <v>17511</v>
      </c>
      <c r="J4254" t="s">
        <v>5476</v>
      </c>
      <c r="K4254" t="s">
        <v>17512</v>
      </c>
      <c r="L4254" t="s">
        <v>5471</v>
      </c>
      <c r="M4254" t="s">
        <v>5471</v>
      </c>
    </row>
    <row r="4255" spans="1:13" x14ac:dyDescent="0.3">
      <c r="A4255" t="s">
        <v>3388</v>
      </c>
      <c r="B4255" t="s">
        <v>9921</v>
      </c>
      <c r="C4255" t="s">
        <v>5470</v>
      </c>
      <c r="D4255" t="s">
        <v>4058</v>
      </c>
      <c r="E4255" t="s">
        <v>5532</v>
      </c>
      <c r="F4255" t="s">
        <v>17513</v>
      </c>
      <c r="G4255" t="s">
        <v>17510</v>
      </c>
      <c r="H4255" t="s">
        <v>5474</v>
      </c>
      <c r="I4255" t="s">
        <v>17514</v>
      </c>
      <c r="J4255" t="s">
        <v>5476</v>
      </c>
      <c r="K4255" t="s">
        <v>17515</v>
      </c>
      <c r="L4255" t="s">
        <v>5471</v>
      </c>
      <c r="M4255" t="s">
        <v>5471</v>
      </c>
    </row>
    <row r="4256" spans="1:13" x14ac:dyDescent="0.3">
      <c r="A4256" t="s">
        <v>3388</v>
      </c>
      <c r="B4256" t="s">
        <v>9921</v>
      </c>
      <c r="C4256" t="s">
        <v>5470</v>
      </c>
      <c r="D4256" t="s">
        <v>4058</v>
      </c>
      <c r="E4256" t="s">
        <v>5532</v>
      </c>
      <c r="F4256" t="s">
        <v>17516</v>
      </c>
      <c r="G4256" t="s">
        <v>17510</v>
      </c>
      <c r="H4256" t="s">
        <v>5474</v>
      </c>
      <c r="I4256" t="s">
        <v>17517</v>
      </c>
      <c r="J4256" t="s">
        <v>5476</v>
      </c>
      <c r="K4256" t="s">
        <v>17518</v>
      </c>
      <c r="L4256" t="s">
        <v>5471</v>
      </c>
      <c r="M4256" t="s">
        <v>5471</v>
      </c>
    </row>
    <row r="4257" spans="1:13" x14ac:dyDescent="0.3">
      <c r="A4257" t="s">
        <v>3388</v>
      </c>
      <c r="B4257" t="s">
        <v>9921</v>
      </c>
      <c r="C4257" t="s">
        <v>5470</v>
      </c>
      <c r="D4257" t="s">
        <v>4058</v>
      </c>
      <c r="E4257" t="s">
        <v>5532</v>
      </c>
      <c r="F4257" t="s">
        <v>17519</v>
      </c>
      <c r="G4257" t="s">
        <v>17520</v>
      </c>
      <c r="H4257" t="s">
        <v>5474</v>
      </c>
      <c r="I4257" t="s">
        <v>17521</v>
      </c>
      <c r="J4257" t="s">
        <v>5476</v>
      </c>
      <c r="K4257" t="s">
        <v>17522</v>
      </c>
      <c r="L4257" t="s">
        <v>5471</v>
      </c>
      <c r="M4257" t="s">
        <v>5471</v>
      </c>
    </row>
    <row r="4258" spans="1:13" x14ac:dyDescent="0.3">
      <c r="A4258" t="s">
        <v>3388</v>
      </c>
      <c r="B4258" t="s">
        <v>8573</v>
      </c>
      <c r="C4258" t="s">
        <v>5470</v>
      </c>
      <c r="D4258" t="s">
        <v>4056</v>
      </c>
      <c r="E4258" t="s">
        <v>5756</v>
      </c>
      <c r="F4258" t="s">
        <v>17523</v>
      </c>
      <c r="G4258" t="s">
        <v>17333</v>
      </c>
      <c r="H4258" t="s">
        <v>5474</v>
      </c>
      <c r="I4258" t="s">
        <v>17524</v>
      </c>
      <c r="J4258" t="s">
        <v>5476</v>
      </c>
      <c r="K4258" t="s">
        <v>17525</v>
      </c>
      <c r="L4258" t="s">
        <v>5471</v>
      </c>
      <c r="M4258" t="s">
        <v>5471</v>
      </c>
    </row>
    <row r="4259" spans="1:13" x14ac:dyDescent="0.3">
      <c r="A4259" t="s">
        <v>3388</v>
      </c>
      <c r="B4259" t="s">
        <v>8573</v>
      </c>
      <c r="C4259" t="s">
        <v>5470</v>
      </c>
      <c r="D4259" t="s">
        <v>4056</v>
      </c>
      <c r="E4259" t="s">
        <v>5756</v>
      </c>
      <c r="F4259" t="s">
        <v>17526</v>
      </c>
      <c r="G4259" t="s">
        <v>17333</v>
      </c>
      <c r="H4259" t="s">
        <v>5474</v>
      </c>
      <c r="I4259" t="s">
        <v>17527</v>
      </c>
      <c r="J4259" t="s">
        <v>5476</v>
      </c>
      <c r="K4259" t="s">
        <v>17528</v>
      </c>
      <c r="L4259" t="s">
        <v>5471</v>
      </c>
      <c r="M4259" t="s">
        <v>5471</v>
      </c>
    </row>
    <row r="4260" spans="1:13" x14ac:dyDescent="0.3">
      <c r="A4260" t="s">
        <v>3388</v>
      </c>
      <c r="B4260" t="s">
        <v>8573</v>
      </c>
      <c r="C4260" t="s">
        <v>5470</v>
      </c>
      <c r="D4260" t="s">
        <v>4056</v>
      </c>
      <c r="E4260" t="s">
        <v>5756</v>
      </c>
      <c r="F4260" t="s">
        <v>17529</v>
      </c>
      <c r="G4260" t="s">
        <v>17333</v>
      </c>
      <c r="H4260" t="s">
        <v>5474</v>
      </c>
      <c r="I4260" t="s">
        <v>17530</v>
      </c>
      <c r="J4260" t="s">
        <v>5476</v>
      </c>
      <c r="K4260" t="s">
        <v>17531</v>
      </c>
      <c r="L4260" t="s">
        <v>5471</v>
      </c>
      <c r="M4260" t="s">
        <v>5471</v>
      </c>
    </row>
    <row r="4261" spans="1:13" x14ac:dyDescent="0.3">
      <c r="A4261" t="s">
        <v>3388</v>
      </c>
      <c r="B4261" t="s">
        <v>5531</v>
      </c>
      <c r="C4261" t="s">
        <v>5470</v>
      </c>
      <c r="D4261" t="s">
        <v>4056</v>
      </c>
      <c r="E4261" t="s">
        <v>5617</v>
      </c>
      <c r="F4261" t="s">
        <v>17532</v>
      </c>
      <c r="G4261" t="s">
        <v>17533</v>
      </c>
      <c r="H4261" t="s">
        <v>5474</v>
      </c>
      <c r="I4261" t="s">
        <v>17534</v>
      </c>
      <c r="J4261" t="s">
        <v>5484</v>
      </c>
      <c r="K4261" t="s">
        <v>17535</v>
      </c>
      <c r="L4261" t="s">
        <v>5471</v>
      </c>
      <c r="M4261" t="s">
        <v>5471</v>
      </c>
    </row>
    <row r="4262" spans="1:13" x14ac:dyDescent="0.3">
      <c r="A4262" t="s">
        <v>3388</v>
      </c>
      <c r="B4262" t="s">
        <v>5531</v>
      </c>
      <c r="C4262" t="s">
        <v>5470</v>
      </c>
      <c r="D4262" t="s">
        <v>4056</v>
      </c>
      <c r="E4262" t="s">
        <v>5617</v>
      </c>
      <c r="F4262" t="s">
        <v>17536</v>
      </c>
      <c r="G4262" t="s">
        <v>17533</v>
      </c>
      <c r="H4262" t="s">
        <v>5474</v>
      </c>
      <c r="I4262" t="s">
        <v>17537</v>
      </c>
      <c r="J4262" t="s">
        <v>5484</v>
      </c>
      <c r="K4262" t="s">
        <v>17538</v>
      </c>
      <c r="L4262" t="s">
        <v>5471</v>
      </c>
      <c r="M4262" t="s">
        <v>5471</v>
      </c>
    </row>
    <row r="4263" spans="1:13" x14ac:dyDescent="0.3">
      <c r="A4263" t="s">
        <v>3388</v>
      </c>
      <c r="B4263" t="s">
        <v>5531</v>
      </c>
      <c r="C4263" t="s">
        <v>5470</v>
      </c>
      <c r="D4263" t="s">
        <v>4056</v>
      </c>
      <c r="E4263" t="s">
        <v>5617</v>
      </c>
      <c r="F4263" t="s">
        <v>17539</v>
      </c>
      <c r="G4263" t="s">
        <v>17533</v>
      </c>
      <c r="H4263" t="s">
        <v>5474</v>
      </c>
      <c r="I4263" t="s">
        <v>17540</v>
      </c>
      <c r="J4263" t="s">
        <v>5484</v>
      </c>
      <c r="K4263" t="s">
        <v>17541</v>
      </c>
      <c r="L4263" t="s">
        <v>5471</v>
      </c>
      <c r="M4263" t="s">
        <v>5471</v>
      </c>
    </row>
    <row r="4264" spans="1:13" x14ac:dyDescent="0.3">
      <c r="A4264" t="s">
        <v>3388</v>
      </c>
      <c r="B4264" t="s">
        <v>5531</v>
      </c>
      <c r="C4264" t="s">
        <v>5470</v>
      </c>
      <c r="D4264" t="s">
        <v>4056</v>
      </c>
      <c r="E4264" t="s">
        <v>5617</v>
      </c>
      <c r="F4264" t="s">
        <v>17542</v>
      </c>
      <c r="G4264" t="s">
        <v>17543</v>
      </c>
      <c r="H4264" t="s">
        <v>5474</v>
      </c>
      <c r="I4264" t="s">
        <v>17544</v>
      </c>
      <c r="J4264" t="s">
        <v>5484</v>
      </c>
      <c r="K4264" t="s">
        <v>17545</v>
      </c>
      <c r="L4264" t="s">
        <v>5471</v>
      </c>
      <c r="M4264" t="s">
        <v>5471</v>
      </c>
    </row>
    <row r="4265" spans="1:13" x14ac:dyDescent="0.3">
      <c r="A4265" t="s">
        <v>3388</v>
      </c>
      <c r="B4265" t="s">
        <v>5296</v>
      </c>
      <c r="C4265" t="s">
        <v>5470</v>
      </c>
      <c r="D4265" t="s">
        <v>4056</v>
      </c>
      <c r="E4265" t="s">
        <v>5617</v>
      </c>
      <c r="F4265" t="s">
        <v>17546</v>
      </c>
      <c r="G4265" t="s">
        <v>17547</v>
      </c>
      <c r="H4265" t="s">
        <v>5474</v>
      </c>
      <c r="I4265" t="s">
        <v>17548</v>
      </c>
      <c r="J4265" t="s">
        <v>5484</v>
      </c>
      <c r="K4265" t="s">
        <v>17549</v>
      </c>
      <c r="L4265" t="s">
        <v>5471</v>
      </c>
      <c r="M4265" t="s">
        <v>5471</v>
      </c>
    </row>
    <row r="4266" spans="1:13" x14ac:dyDescent="0.3">
      <c r="A4266" t="s">
        <v>3388</v>
      </c>
      <c r="B4266" t="s">
        <v>5296</v>
      </c>
      <c r="C4266" t="s">
        <v>5470</v>
      </c>
      <c r="D4266" t="s">
        <v>4056</v>
      </c>
      <c r="E4266" t="s">
        <v>5617</v>
      </c>
      <c r="F4266" t="s">
        <v>17550</v>
      </c>
      <c r="G4266" t="s">
        <v>17551</v>
      </c>
      <c r="H4266" t="s">
        <v>5474</v>
      </c>
      <c r="I4266" t="s">
        <v>17552</v>
      </c>
      <c r="J4266" t="s">
        <v>5484</v>
      </c>
      <c r="K4266" t="s">
        <v>17553</v>
      </c>
      <c r="L4266" t="s">
        <v>5471</v>
      </c>
      <c r="M4266" t="s">
        <v>5471</v>
      </c>
    </row>
    <row r="4267" spans="1:13" x14ac:dyDescent="0.3">
      <c r="A4267" t="s">
        <v>3388</v>
      </c>
      <c r="B4267" t="s">
        <v>9921</v>
      </c>
      <c r="C4267" t="s">
        <v>5470</v>
      </c>
      <c r="D4267" t="s">
        <v>4058</v>
      </c>
      <c r="E4267" t="s">
        <v>5532</v>
      </c>
      <c r="F4267" t="s">
        <v>17554</v>
      </c>
      <c r="G4267" t="s">
        <v>17520</v>
      </c>
      <c r="H4267" t="s">
        <v>5474</v>
      </c>
      <c r="I4267" t="s">
        <v>17555</v>
      </c>
      <c r="J4267" t="s">
        <v>5476</v>
      </c>
      <c r="K4267" t="s">
        <v>17556</v>
      </c>
      <c r="L4267" t="s">
        <v>5471</v>
      </c>
      <c r="M4267" t="s">
        <v>5471</v>
      </c>
    </row>
    <row r="4268" spans="1:13" x14ac:dyDescent="0.3">
      <c r="A4268" t="s">
        <v>3388</v>
      </c>
      <c r="B4268" t="s">
        <v>17483</v>
      </c>
      <c r="C4268" t="s">
        <v>5470</v>
      </c>
      <c r="D4268" t="s">
        <v>4052</v>
      </c>
      <c r="E4268" t="s">
        <v>5617</v>
      </c>
      <c r="F4268" t="s">
        <v>17557</v>
      </c>
      <c r="G4268" t="s">
        <v>17558</v>
      </c>
      <c r="H4268" t="s">
        <v>5474</v>
      </c>
      <c r="I4268" t="s">
        <v>17559</v>
      </c>
      <c r="J4268" t="s">
        <v>5476</v>
      </c>
      <c r="K4268" t="s">
        <v>17560</v>
      </c>
      <c r="L4268" t="s">
        <v>5471</v>
      </c>
      <c r="M4268" t="s">
        <v>5471</v>
      </c>
    </row>
    <row r="4269" spans="1:13" x14ac:dyDescent="0.3">
      <c r="A4269" t="s">
        <v>3388</v>
      </c>
      <c r="B4269" t="s">
        <v>17483</v>
      </c>
      <c r="C4269" t="s">
        <v>5470</v>
      </c>
      <c r="D4269" t="s">
        <v>4052</v>
      </c>
      <c r="E4269" t="s">
        <v>5843</v>
      </c>
      <c r="F4269" t="s">
        <v>17561</v>
      </c>
      <c r="G4269" t="s">
        <v>17562</v>
      </c>
      <c r="H4269" t="s">
        <v>5474</v>
      </c>
      <c r="I4269" t="s">
        <v>17563</v>
      </c>
      <c r="J4269" t="s">
        <v>5476</v>
      </c>
      <c r="K4269" t="s">
        <v>17564</v>
      </c>
      <c r="L4269" t="s">
        <v>5471</v>
      </c>
      <c r="M4269" t="s">
        <v>5471</v>
      </c>
    </row>
    <row r="4270" spans="1:13" x14ac:dyDescent="0.3">
      <c r="A4270" t="s">
        <v>3388</v>
      </c>
      <c r="B4270" t="s">
        <v>17483</v>
      </c>
      <c r="C4270" t="s">
        <v>5470</v>
      </c>
      <c r="D4270" t="s">
        <v>4052</v>
      </c>
      <c r="E4270" t="s">
        <v>5843</v>
      </c>
      <c r="F4270" t="s">
        <v>17565</v>
      </c>
      <c r="G4270" t="s">
        <v>17485</v>
      </c>
      <c r="H4270" t="s">
        <v>5474</v>
      </c>
      <c r="I4270" t="s">
        <v>17566</v>
      </c>
      <c r="J4270" t="s">
        <v>5476</v>
      </c>
      <c r="K4270" t="s">
        <v>17567</v>
      </c>
      <c r="L4270" t="s">
        <v>5471</v>
      </c>
      <c r="M4270" t="s">
        <v>5471</v>
      </c>
    </row>
    <row r="4271" spans="1:13" x14ac:dyDescent="0.3">
      <c r="A4271" t="s">
        <v>3388</v>
      </c>
      <c r="B4271" t="s">
        <v>17483</v>
      </c>
      <c r="C4271" t="s">
        <v>5470</v>
      </c>
      <c r="D4271" t="s">
        <v>4052</v>
      </c>
      <c r="E4271" t="s">
        <v>5532</v>
      </c>
      <c r="F4271" t="s">
        <v>17568</v>
      </c>
      <c r="G4271" t="s">
        <v>17492</v>
      </c>
      <c r="H4271" t="s">
        <v>5474</v>
      </c>
      <c r="I4271" t="s">
        <v>17569</v>
      </c>
      <c r="J4271" t="s">
        <v>5476</v>
      </c>
      <c r="K4271" t="s">
        <v>17570</v>
      </c>
      <c r="L4271" t="s">
        <v>5471</v>
      </c>
      <c r="M4271" t="s">
        <v>5471</v>
      </c>
    </row>
    <row r="4272" spans="1:13" x14ac:dyDescent="0.3">
      <c r="A4272" t="s">
        <v>3388</v>
      </c>
      <c r="B4272" t="s">
        <v>17483</v>
      </c>
      <c r="C4272" t="s">
        <v>5470</v>
      </c>
      <c r="D4272" t="s">
        <v>4052</v>
      </c>
      <c r="E4272" t="s">
        <v>5532</v>
      </c>
      <c r="F4272" t="s">
        <v>17571</v>
      </c>
      <c r="G4272" t="s">
        <v>17572</v>
      </c>
      <c r="H4272" t="s">
        <v>5474</v>
      </c>
      <c r="I4272" t="s">
        <v>17573</v>
      </c>
      <c r="J4272" t="s">
        <v>5476</v>
      </c>
      <c r="K4272" t="s">
        <v>17574</v>
      </c>
      <c r="L4272" t="s">
        <v>5471</v>
      </c>
      <c r="M4272" t="s">
        <v>5471</v>
      </c>
    </row>
    <row r="4273" spans="1:13" x14ac:dyDescent="0.3">
      <c r="A4273" t="s">
        <v>3388</v>
      </c>
      <c r="B4273" t="s">
        <v>17483</v>
      </c>
      <c r="C4273" t="s">
        <v>5470</v>
      </c>
      <c r="D4273" t="s">
        <v>4052</v>
      </c>
      <c r="E4273" t="s">
        <v>5532</v>
      </c>
      <c r="F4273" t="s">
        <v>17575</v>
      </c>
      <c r="G4273" t="s">
        <v>17485</v>
      </c>
      <c r="H4273" t="s">
        <v>5474</v>
      </c>
      <c r="I4273" t="s">
        <v>17576</v>
      </c>
      <c r="J4273" t="s">
        <v>5476</v>
      </c>
      <c r="K4273" t="s">
        <v>17577</v>
      </c>
      <c r="L4273" t="s">
        <v>5471</v>
      </c>
      <c r="M4273" t="s">
        <v>5471</v>
      </c>
    </row>
    <row r="4274" spans="1:13" x14ac:dyDescent="0.3">
      <c r="A4274" t="s">
        <v>3388</v>
      </c>
      <c r="B4274" t="s">
        <v>17483</v>
      </c>
      <c r="C4274" t="s">
        <v>5470</v>
      </c>
      <c r="D4274" t="s">
        <v>4052</v>
      </c>
      <c r="E4274" t="s">
        <v>5532</v>
      </c>
      <c r="F4274" t="s">
        <v>17578</v>
      </c>
      <c r="G4274" t="s">
        <v>17579</v>
      </c>
      <c r="H4274" t="s">
        <v>5474</v>
      </c>
      <c r="I4274" t="s">
        <v>17580</v>
      </c>
      <c r="J4274" t="s">
        <v>5476</v>
      </c>
      <c r="K4274" t="s">
        <v>17581</v>
      </c>
      <c r="L4274" t="s">
        <v>5471</v>
      </c>
      <c r="M4274" t="s">
        <v>5471</v>
      </c>
    </row>
    <row r="4275" spans="1:13" x14ac:dyDescent="0.3">
      <c r="A4275" t="s">
        <v>3388</v>
      </c>
      <c r="B4275" t="s">
        <v>5531</v>
      </c>
      <c r="C4275" t="s">
        <v>5470</v>
      </c>
      <c r="D4275" t="s">
        <v>4052</v>
      </c>
      <c r="E4275" t="s">
        <v>5532</v>
      </c>
      <c r="F4275" t="s">
        <v>17582</v>
      </c>
      <c r="G4275" t="s">
        <v>10194</v>
      </c>
      <c r="H4275" t="s">
        <v>5474</v>
      </c>
      <c r="I4275" t="s">
        <v>17583</v>
      </c>
      <c r="J4275" t="s">
        <v>5484</v>
      </c>
      <c r="K4275" t="s">
        <v>17584</v>
      </c>
      <c r="L4275" t="s">
        <v>5471</v>
      </c>
      <c r="M4275" t="s">
        <v>5471</v>
      </c>
    </row>
    <row r="4276" spans="1:13" x14ac:dyDescent="0.3">
      <c r="A4276" t="s">
        <v>3388</v>
      </c>
      <c r="B4276" t="s">
        <v>17585</v>
      </c>
      <c r="C4276" t="s">
        <v>5470</v>
      </c>
      <c r="D4276" t="s">
        <v>4058</v>
      </c>
      <c r="E4276" t="s">
        <v>5532</v>
      </c>
      <c r="F4276" t="s">
        <v>17586</v>
      </c>
      <c r="G4276" t="s">
        <v>17587</v>
      </c>
      <c r="H4276" t="s">
        <v>5474</v>
      </c>
      <c r="I4276" t="s">
        <v>17588</v>
      </c>
      <c r="J4276" t="s">
        <v>5476</v>
      </c>
      <c r="K4276" t="s">
        <v>17589</v>
      </c>
      <c r="L4276" t="s">
        <v>5471</v>
      </c>
      <c r="M4276" t="s">
        <v>5471</v>
      </c>
    </row>
    <row r="4277" spans="1:13" x14ac:dyDescent="0.3">
      <c r="A4277" t="s">
        <v>3388</v>
      </c>
      <c r="B4277" t="s">
        <v>15580</v>
      </c>
      <c r="C4277" t="s">
        <v>5470</v>
      </c>
      <c r="D4277" t="s">
        <v>4056</v>
      </c>
      <c r="E4277" t="s">
        <v>5756</v>
      </c>
      <c r="F4277" t="s">
        <v>17590</v>
      </c>
      <c r="G4277" t="s">
        <v>17591</v>
      </c>
      <c r="H4277" t="s">
        <v>5474</v>
      </c>
      <c r="I4277" t="s">
        <v>17592</v>
      </c>
      <c r="J4277" t="s">
        <v>5476</v>
      </c>
      <c r="K4277" t="s">
        <v>17593</v>
      </c>
      <c r="L4277" t="s">
        <v>5471</v>
      </c>
      <c r="M4277" t="s">
        <v>5471</v>
      </c>
    </row>
    <row r="4278" spans="1:13" x14ac:dyDescent="0.3">
      <c r="A4278" t="s">
        <v>3388</v>
      </c>
      <c r="B4278" t="s">
        <v>15580</v>
      </c>
      <c r="C4278" t="s">
        <v>5470</v>
      </c>
      <c r="D4278" t="s">
        <v>4056</v>
      </c>
      <c r="E4278" t="s">
        <v>5756</v>
      </c>
      <c r="F4278" t="s">
        <v>17594</v>
      </c>
      <c r="G4278" t="s">
        <v>17591</v>
      </c>
      <c r="H4278" t="s">
        <v>5474</v>
      </c>
      <c r="I4278" t="s">
        <v>17595</v>
      </c>
      <c r="J4278" t="s">
        <v>5476</v>
      </c>
      <c r="K4278" t="s">
        <v>17596</v>
      </c>
      <c r="L4278" t="s">
        <v>5471</v>
      </c>
      <c r="M4278" t="s">
        <v>5471</v>
      </c>
    </row>
    <row r="4279" spans="1:13" x14ac:dyDescent="0.3">
      <c r="A4279" t="s">
        <v>3388</v>
      </c>
      <c r="B4279" t="s">
        <v>15580</v>
      </c>
      <c r="C4279" t="s">
        <v>5470</v>
      </c>
      <c r="D4279" t="s">
        <v>4056</v>
      </c>
      <c r="E4279" t="s">
        <v>5756</v>
      </c>
      <c r="F4279" t="s">
        <v>17597</v>
      </c>
      <c r="G4279" t="s">
        <v>17591</v>
      </c>
      <c r="H4279" t="s">
        <v>5474</v>
      </c>
      <c r="I4279" t="s">
        <v>17598</v>
      </c>
      <c r="J4279" t="s">
        <v>5476</v>
      </c>
      <c r="K4279" t="s">
        <v>17599</v>
      </c>
      <c r="L4279" t="s">
        <v>5471</v>
      </c>
      <c r="M4279" t="s">
        <v>5471</v>
      </c>
    </row>
    <row r="4280" spans="1:13" x14ac:dyDescent="0.3">
      <c r="A4280" t="s">
        <v>3388</v>
      </c>
      <c r="B4280" t="s">
        <v>15580</v>
      </c>
      <c r="C4280" t="s">
        <v>5470</v>
      </c>
      <c r="D4280" t="s">
        <v>4056</v>
      </c>
      <c r="E4280" t="s">
        <v>5756</v>
      </c>
      <c r="F4280" t="s">
        <v>17600</v>
      </c>
      <c r="G4280" t="s">
        <v>17601</v>
      </c>
      <c r="H4280" t="s">
        <v>5474</v>
      </c>
      <c r="I4280" t="s">
        <v>17602</v>
      </c>
      <c r="J4280" t="s">
        <v>5476</v>
      </c>
      <c r="K4280" t="s">
        <v>17603</v>
      </c>
      <c r="L4280" t="s">
        <v>5471</v>
      </c>
      <c r="M4280" t="s">
        <v>5471</v>
      </c>
    </row>
    <row r="4281" spans="1:13" x14ac:dyDescent="0.3">
      <c r="A4281" t="s">
        <v>3388</v>
      </c>
      <c r="B4281" t="s">
        <v>17483</v>
      </c>
      <c r="C4281" t="s">
        <v>5470</v>
      </c>
      <c r="D4281" t="s">
        <v>4058</v>
      </c>
      <c r="E4281" t="s">
        <v>5532</v>
      </c>
      <c r="F4281" t="s">
        <v>17604</v>
      </c>
      <c r="G4281" t="s">
        <v>17572</v>
      </c>
      <c r="H4281" t="s">
        <v>5474</v>
      </c>
      <c r="I4281" t="s">
        <v>17605</v>
      </c>
      <c r="J4281" t="s">
        <v>5476</v>
      </c>
      <c r="K4281" t="s">
        <v>17606</v>
      </c>
      <c r="L4281" t="s">
        <v>5471</v>
      </c>
      <c r="M4281" t="s">
        <v>5471</v>
      </c>
    </row>
    <row r="4282" spans="1:13" x14ac:dyDescent="0.3">
      <c r="A4282" t="s">
        <v>3388</v>
      </c>
      <c r="B4282" t="s">
        <v>15580</v>
      </c>
      <c r="C4282" t="s">
        <v>5470</v>
      </c>
      <c r="D4282" t="s">
        <v>4056</v>
      </c>
      <c r="E4282" t="s">
        <v>5756</v>
      </c>
      <c r="F4282" t="s">
        <v>17607</v>
      </c>
      <c r="G4282" t="s">
        <v>17601</v>
      </c>
      <c r="H4282" t="s">
        <v>5474</v>
      </c>
      <c r="I4282" t="s">
        <v>17608</v>
      </c>
      <c r="J4282" t="s">
        <v>5476</v>
      </c>
      <c r="K4282" t="s">
        <v>17609</v>
      </c>
      <c r="L4282" t="s">
        <v>5471</v>
      </c>
      <c r="M4282" t="s">
        <v>5471</v>
      </c>
    </row>
    <row r="4283" spans="1:13" x14ac:dyDescent="0.3">
      <c r="A4283" t="s">
        <v>3388</v>
      </c>
      <c r="B4283" t="s">
        <v>15580</v>
      </c>
      <c r="C4283" t="s">
        <v>5470</v>
      </c>
      <c r="D4283" t="s">
        <v>4056</v>
      </c>
      <c r="E4283" t="s">
        <v>5756</v>
      </c>
      <c r="F4283" t="s">
        <v>17610</v>
      </c>
      <c r="G4283" t="s">
        <v>17601</v>
      </c>
      <c r="H4283" t="s">
        <v>5474</v>
      </c>
      <c r="I4283" t="s">
        <v>17611</v>
      </c>
      <c r="J4283" t="s">
        <v>5476</v>
      </c>
      <c r="K4283" t="s">
        <v>17612</v>
      </c>
      <c r="L4283" t="s">
        <v>5471</v>
      </c>
      <c r="M4283" t="s">
        <v>5471</v>
      </c>
    </row>
    <row r="4284" spans="1:13" x14ac:dyDescent="0.3">
      <c r="A4284" t="s">
        <v>3388</v>
      </c>
      <c r="B4284" t="s">
        <v>17483</v>
      </c>
      <c r="C4284" t="s">
        <v>5470</v>
      </c>
      <c r="D4284" t="s">
        <v>4058</v>
      </c>
      <c r="E4284" t="s">
        <v>5532</v>
      </c>
      <c r="F4284" t="s">
        <v>17613</v>
      </c>
      <c r="G4284" t="s">
        <v>17572</v>
      </c>
      <c r="H4284" t="s">
        <v>5474</v>
      </c>
      <c r="I4284" t="s">
        <v>17614</v>
      </c>
      <c r="J4284" t="s">
        <v>5476</v>
      </c>
      <c r="K4284" t="s">
        <v>17615</v>
      </c>
      <c r="L4284" t="s">
        <v>5471</v>
      </c>
      <c r="M4284" t="s">
        <v>5471</v>
      </c>
    </row>
    <row r="4285" spans="1:13" x14ac:dyDescent="0.3">
      <c r="A4285" t="s">
        <v>3388</v>
      </c>
      <c r="B4285" t="s">
        <v>9921</v>
      </c>
      <c r="C4285" t="s">
        <v>5470</v>
      </c>
      <c r="D4285" t="s">
        <v>4052</v>
      </c>
      <c r="E4285" t="s">
        <v>5617</v>
      </c>
      <c r="F4285" t="s">
        <v>17616</v>
      </c>
      <c r="G4285" t="s">
        <v>17617</v>
      </c>
      <c r="H4285" t="s">
        <v>5474</v>
      </c>
      <c r="I4285" t="s">
        <v>17618</v>
      </c>
      <c r="J4285" t="s">
        <v>5476</v>
      </c>
      <c r="K4285" t="s">
        <v>17619</v>
      </c>
      <c r="L4285" t="s">
        <v>5471</v>
      </c>
      <c r="M4285" t="s">
        <v>5471</v>
      </c>
    </row>
    <row r="4286" spans="1:13" x14ac:dyDescent="0.3">
      <c r="A4286" t="s">
        <v>3388</v>
      </c>
      <c r="B4286" t="s">
        <v>9921</v>
      </c>
      <c r="C4286" t="s">
        <v>5470</v>
      </c>
      <c r="D4286" t="s">
        <v>4052</v>
      </c>
      <c r="E4286" t="s">
        <v>5617</v>
      </c>
      <c r="F4286" t="s">
        <v>17620</v>
      </c>
      <c r="G4286" t="s">
        <v>17621</v>
      </c>
      <c r="H4286" t="s">
        <v>5474</v>
      </c>
      <c r="I4286" t="s">
        <v>17622</v>
      </c>
      <c r="J4286" t="s">
        <v>5476</v>
      </c>
      <c r="K4286" t="s">
        <v>17623</v>
      </c>
      <c r="L4286" t="s">
        <v>5471</v>
      </c>
      <c r="M4286" t="s">
        <v>5471</v>
      </c>
    </row>
    <row r="4287" spans="1:13" x14ac:dyDescent="0.3">
      <c r="A4287" t="s">
        <v>3388</v>
      </c>
      <c r="B4287" t="s">
        <v>17483</v>
      </c>
      <c r="C4287" t="s">
        <v>5470</v>
      </c>
      <c r="D4287" t="s">
        <v>4058</v>
      </c>
      <c r="E4287" t="s">
        <v>5532</v>
      </c>
      <c r="F4287" t="s">
        <v>17624</v>
      </c>
      <c r="G4287" t="s">
        <v>17572</v>
      </c>
      <c r="H4287" t="s">
        <v>5474</v>
      </c>
      <c r="I4287" t="s">
        <v>17625</v>
      </c>
      <c r="J4287" t="s">
        <v>5476</v>
      </c>
      <c r="K4287" t="s">
        <v>17626</v>
      </c>
      <c r="L4287" t="s">
        <v>5471</v>
      </c>
      <c r="M4287" t="s">
        <v>5471</v>
      </c>
    </row>
    <row r="4288" spans="1:13" x14ac:dyDescent="0.3">
      <c r="A4288" t="s">
        <v>3388</v>
      </c>
      <c r="B4288" t="s">
        <v>9921</v>
      </c>
      <c r="C4288" t="s">
        <v>5470</v>
      </c>
      <c r="D4288" t="s">
        <v>4052</v>
      </c>
      <c r="E4288" t="s">
        <v>5617</v>
      </c>
      <c r="F4288" t="s">
        <v>17627</v>
      </c>
      <c r="G4288" t="s">
        <v>17628</v>
      </c>
      <c r="H4288" t="s">
        <v>5474</v>
      </c>
      <c r="I4288" t="s">
        <v>17629</v>
      </c>
      <c r="J4288" t="s">
        <v>5476</v>
      </c>
      <c r="K4288" t="s">
        <v>17630</v>
      </c>
      <c r="L4288" t="s">
        <v>5471</v>
      </c>
      <c r="M4288" t="s">
        <v>5471</v>
      </c>
    </row>
    <row r="4289" spans="1:13" x14ac:dyDescent="0.3">
      <c r="A4289" t="s">
        <v>3388</v>
      </c>
      <c r="B4289" t="s">
        <v>9921</v>
      </c>
      <c r="C4289" t="s">
        <v>5470</v>
      </c>
      <c r="D4289" t="s">
        <v>4052</v>
      </c>
      <c r="E4289" t="s">
        <v>5532</v>
      </c>
      <c r="F4289" t="s">
        <v>17631</v>
      </c>
      <c r="G4289" t="s">
        <v>9931</v>
      </c>
      <c r="H4289" t="s">
        <v>5474</v>
      </c>
      <c r="I4289" t="s">
        <v>17632</v>
      </c>
      <c r="J4289" t="s">
        <v>5476</v>
      </c>
      <c r="K4289" t="s">
        <v>17633</v>
      </c>
      <c r="L4289" t="s">
        <v>5471</v>
      </c>
      <c r="M4289" t="s">
        <v>5471</v>
      </c>
    </row>
    <row r="4290" spans="1:13" x14ac:dyDescent="0.3">
      <c r="A4290" t="s">
        <v>3388</v>
      </c>
      <c r="B4290" t="s">
        <v>9921</v>
      </c>
      <c r="C4290" t="s">
        <v>5470</v>
      </c>
      <c r="D4290" t="s">
        <v>4052</v>
      </c>
      <c r="E4290" t="s">
        <v>5532</v>
      </c>
      <c r="F4290" t="s">
        <v>17634</v>
      </c>
      <c r="G4290" t="s">
        <v>17510</v>
      </c>
      <c r="H4290" t="s">
        <v>5474</v>
      </c>
      <c r="I4290" t="s">
        <v>17635</v>
      </c>
      <c r="J4290" t="s">
        <v>5476</v>
      </c>
      <c r="K4290" t="s">
        <v>17636</v>
      </c>
      <c r="L4290" t="s">
        <v>5471</v>
      </c>
      <c r="M4290" t="s">
        <v>5471</v>
      </c>
    </row>
    <row r="4291" spans="1:13" x14ac:dyDescent="0.3">
      <c r="A4291" t="s">
        <v>3388</v>
      </c>
      <c r="B4291" t="s">
        <v>9921</v>
      </c>
      <c r="C4291" t="s">
        <v>5470</v>
      </c>
      <c r="D4291" t="s">
        <v>4052</v>
      </c>
      <c r="E4291" t="s">
        <v>5532</v>
      </c>
      <c r="F4291" t="s">
        <v>17637</v>
      </c>
      <c r="G4291" t="s">
        <v>17520</v>
      </c>
      <c r="H4291" t="s">
        <v>5474</v>
      </c>
      <c r="I4291" t="s">
        <v>17638</v>
      </c>
      <c r="J4291" t="s">
        <v>5476</v>
      </c>
      <c r="K4291" t="s">
        <v>17639</v>
      </c>
      <c r="L4291" t="s">
        <v>5471</v>
      </c>
      <c r="M4291" t="s">
        <v>5471</v>
      </c>
    </row>
    <row r="4292" spans="1:13" x14ac:dyDescent="0.3">
      <c r="A4292" t="s">
        <v>3388</v>
      </c>
      <c r="B4292" t="s">
        <v>9921</v>
      </c>
      <c r="C4292" t="s">
        <v>5470</v>
      </c>
      <c r="D4292" t="s">
        <v>4052</v>
      </c>
      <c r="E4292" t="s">
        <v>5532</v>
      </c>
      <c r="F4292" t="s">
        <v>17640</v>
      </c>
      <c r="G4292" t="s">
        <v>17621</v>
      </c>
      <c r="H4292" t="s">
        <v>5474</v>
      </c>
      <c r="I4292" t="s">
        <v>17641</v>
      </c>
      <c r="J4292" t="s">
        <v>5476</v>
      </c>
      <c r="K4292" t="s">
        <v>17642</v>
      </c>
      <c r="L4292" t="s">
        <v>5471</v>
      </c>
      <c r="M4292" t="s">
        <v>5471</v>
      </c>
    </row>
    <row r="4293" spans="1:13" x14ac:dyDescent="0.3">
      <c r="A4293" t="s">
        <v>3388</v>
      </c>
      <c r="B4293" t="s">
        <v>9921</v>
      </c>
      <c r="C4293" t="s">
        <v>5470</v>
      </c>
      <c r="D4293" t="s">
        <v>4052</v>
      </c>
      <c r="E4293" t="s">
        <v>5532</v>
      </c>
      <c r="F4293" t="s">
        <v>17643</v>
      </c>
      <c r="G4293" t="s">
        <v>17628</v>
      </c>
      <c r="H4293" t="s">
        <v>5474</v>
      </c>
      <c r="I4293" t="s">
        <v>17644</v>
      </c>
      <c r="J4293" t="s">
        <v>5476</v>
      </c>
      <c r="K4293" t="s">
        <v>17645</v>
      </c>
      <c r="L4293" t="s">
        <v>5471</v>
      </c>
      <c r="M4293" t="s">
        <v>5471</v>
      </c>
    </row>
    <row r="4294" spans="1:13" x14ac:dyDescent="0.3">
      <c r="A4294" t="s">
        <v>3388</v>
      </c>
      <c r="B4294" t="s">
        <v>10852</v>
      </c>
      <c r="C4294" t="s">
        <v>5470</v>
      </c>
      <c r="D4294" t="s">
        <v>4056</v>
      </c>
      <c r="E4294" t="s">
        <v>5756</v>
      </c>
      <c r="F4294" t="s">
        <v>17646</v>
      </c>
      <c r="G4294" t="s">
        <v>10854</v>
      </c>
      <c r="H4294" t="s">
        <v>5474</v>
      </c>
      <c r="I4294" t="s">
        <v>17647</v>
      </c>
      <c r="J4294" t="s">
        <v>5476</v>
      </c>
      <c r="K4294" t="s">
        <v>17648</v>
      </c>
      <c r="L4294" t="s">
        <v>5471</v>
      </c>
      <c r="M4294" t="s">
        <v>5471</v>
      </c>
    </row>
    <row r="4295" spans="1:13" x14ac:dyDescent="0.3">
      <c r="A4295" t="s">
        <v>3388</v>
      </c>
      <c r="B4295" t="s">
        <v>10852</v>
      </c>
      <c r="C4295" t="s">
        <v>5470</v>
      </c>
      <c r="D4295" t="s">
        <v>4056</v>
      </c>
      <c r="E4295" t="s">
        <v>5756</v>
      </c>
      <c r="F4295" t="s">
        <v>17649</v>
      </c>
      <c r="G4295" t="s">
        <v>10854</v>
      </c>
      <c r="H4295" t="s">
        <v>5474</v>
      </c>
      <c r="I4295" t="s">
        <v>17650</v>
      </c>
      <c r="J4295" t="s">
        <v>5476</v>
      </c>
      <c r="K4295" t="s">
        <v>17651</v>
      </c>
      <c r="L4295" t="s">
        <v>5471</v>
      </c>
      <c r="M4295" t="s">
        <v>5471</v>
      </c>
    </row>
    <row r="4296" spans="1:13" x14ac:dyDescent="0.3">
      <c r="A4296" t="s">
        <v>3388</v>
      </c>
      <c r="B4296" t="s">
        <v>10852</v>
      </c>
      <c r="C4296" t="s">
        <v>5470</v>
      </c>
      <c r="D4296" t="s">
        <v>4056</v>
      </c>
      <c r="E4296" t="s">
        <v>5756</v>
      </c>
      <c r="F4296" t="s">
        <v>17652</v>
      </c>
      <c r="G4296" t="s">
        <v>10854</v>
      </c>
      <c r="H4296" t="s">
        <v>5474</v>
      </c>
      <c r="I4296" t="s">
        <v>17653</v>
      </c>
      <c r="J4296" t="s">
        <v>5476</v>
      </c>
      <c r="K4296" t="s">
        <v>17654</v>
      </c>
      <c r="L4296" t="s">
        <v>5471</v>
      </c>
      <c r="M4296" t="s">
        <v>5471</v>
      </c>
    </row>
    <row r="4297" spans="1:13" x14ac:dyDescent="0.3">
      <c r="A4297" t="s">
        <v>3388</v>
      </c>
      <c r="B4297" t="s">
        <v>10852</v>
      </c>
      <c r="C4297" t="s">
        <v>5470</v>
      </c>
      <c r="D4297" t="s">
        <v>4056</v>
      </c>
      <c r="E4297" t="s">
        <v>5756</v>
      </c>
      <c r="F4297" t="s">
        <v>17655</v>
      </c>
      <c r="G4297" t="s">
        <v>10854</v>
      </c>
      <c r="H4297" t="s">
        <v>5474</v>
      </c>
      <c r="I4297" t="s">
        <v>17656</v>
      </c>
      <c r="J4297" t="s">
        <v>5476</v>
      </c>
      <c r="K4297" t="s">
        <v>17657</v>
      </c>
      <c r="L4297" t="s">
        <v>5471</v>
      </c>
      <c r="M4297" t="s">
        <v>5471</v>
      </c>
    </row>
    <row r="4298" spans="1:13" x14ac:dyDescent="0.3">
      <c r="A4298" t="s">
        <v>3388</v>
      </c>
      <c r="B4298" t="s">
        <v>10852</v>
      </c>
      <c r="C4298" t="s">
        <v>5470</v>
      </c>
      <c r="D4298" t="s">
        <v>4056</v>
      </c>
      <c r="E4298" t="s">
        <v>5756</v>
      </c>
      <c r="F4298" t="s">
        <v>17658</v>
      </c>
      <c r="G4298" t="s">
        <v>10854</v>
      </c>
      <c r="H4298" t="s">
        <v>5474</v>
      </c>
      <c r="I4298" t="s">
        <v>17659</v>
      </c>
      <c r="J4298" t="s">
        <v>5476</v>
      </c>
      <c r="K4298" t="s">
        <v>17660</v>
      </c>
      <c r="L4298" t="s">
        <v>5471</v>
      </c>
      <c r="M4298" t="s">
        <v>5471</v>
      </c>
    </row>
    <row r="4299" spans="1:13" x14ac:dyDescent="0.3">
      <c r="A4299" t="s">
        <v>3388</v>
      </c>
      <c r="B4299" t="s">
        <v>10852</v>
      </c>
      <c r="C4299" t="s">
        <v>5470</v>
      </c>
      <c r="D4299" t="s">
        <v>4056</v>
      </c>
      <c r="E4299" t="s">
        <v>5756</v>
      </c>
      <c r="F4299" t="s">
        <v>17661</v>
      </c>
      <c r="G4299" t="s">
        <v>10854</v>
      </c>
      <c r="H4299" t="s">
        <v>5474</v>
      </c>
      <c r="I4299" t="s">
        <v>17662</v>
      </c>
      <c r="J4299" t="s">
        <v>5476</v>
      </c>
      <c r="K4299" t="s">
        <v>17663</v>
      </c>
      <c r="L4299" t="s">
        <v>5471</v>
      </c>
      <c r="M4299" t="s">
        <v>5471</v>
      </c>
    </row>
    <row r="4300" spans="1:13" x14ac:dyDescent="0.3">
      <c r="A4300" t="s">
        <v>3388</v>
      </c>
      <c r="B4300" t="s">
        <v>10961</v>
      </c>
      <c r="C4300" t="s">
        <v>5470</v>
      </c>
      <c r="D4300" t="s">
        <v>4056</v>
      </c>
      <c r="E4300" t="s">
        <v>5617</v>
      </c>
      <c r="F4300" t="s">
        <v>17664</v>
      </c>
      <c r="G4300" t="s">
        <v>17665</v>
      </c>
      <c r="H4300" t="s">
        <v>5474</v>
      </c>
      <c r="I4300" t="s">
        <v>17666</v>
      </c>
      <c r="J4300" t="s">
        <v>5476</v>
      </c>
      <c r="K4300" t="s">
        <v>17667</v>
      </c>
      <c r="L4300" t="s">
        <v>5471</v>
      </c>
      <c r="M4300" t="s">
        <v>5471</v>
      </c>
    </row>
    <row r="4301" spans="1:13" x14ac:dyDescent="0.3">
      <c r="A4301" t="s">
        <v>3388</v>
      </c>
      <c r="B4301" t="s">
        <v>10961</v>
      </c>
      <c r="C4301" t="s">
        <v>5470</v>
      </c>
      <c r="D4301" t="s">
        <v>4056</v>
      </c>
      <c r="E4301" t="s">
        <v>5617</v>
      </c>
      <c r="F4301" t="s">
        <v>17668</v>
      </c>
      <c r="G4301" t="s">
        <v>17665</v>
      </c>
      <c r="H4301" t="s">
        <v>5474</v>
      </c>
      <c r="I4301" t="s">
        <v>17669</v>
      </c>
      <c r="J4301" t="s">
        <v>5476</v>
      </c>
      <c r="K4301" t="s">
        <v>17670</v>
      </c>
      <c r="L4301" t="s">
        <v>5471</v>
      </c>
      <c r="M4301" t="s">
        <v>5471</v>
      </c>
    </row>
    <row r="4302" spans="1:13" x14ac:dyDescent="0.3">
      <c r="A4302" t="s">
        <v>3388</v>
      </c>
      <c r="B4302" t="s">
        <v>10961</v>
      </c>
      <c r="C4302" t="s">
        <v>5470</v>
      </c>
      <c r="D4302" t="s">
        <v>4056</v>
      </c>
      <c r="E4302" t="s">
        <v>5617</v>
      </c>
      <c r="F4302" t="s">
        <v>17671</v>
      </c>
      <c r="G4302" t="s">
        <v>17665</v>
      </c>
      <c r="H4302" t="s">
        <v>5474</v>
      </c>
      <c r="I4302" t="s">
        <v>17672</v>
      </c>
      <c r="J4302" t="s">
        <v>5476</v>
      </c>
      <c r="K4302" t="s">
        <v>17673</v>
      </c>
      <c r="L4302" t="s">
        <v>5471</v>
      </c>
      <c r="M4302" t="s">
        <v>5471</v>
      </c>
    </row>
    <row r="4303" spans="1:13" x14ac:dyDescent="0.3">
      <c r="A4303" t="s">
        <v>3388</v>
      </c>
      <c r="B4303" t="s">
        <v>10961</v>
      </c>
      <c r="C4303" t="s">
        <v>5470</v>
      </c>
      <c r="D4303" t="s">
        <v>4056</v>
      </c>
      <c r="E4303" t="s">
        <v>5617</v>
      </c>
      <c r="F4303" t="s">
        <v>17674</v>
      </c>
      <c r="G4303" t="s">
        <v>11054</v>
      </c>
      <c r="H4303" t="s">
        <v>5474</v>
      </c>
      <c r="I4303" t="s">
        <v>17675</v>
      </c>
      <c r="J4303" t="s">
        <v>5476</v>
      </c>
      <c r="K4303" t="s">
        <v>17676</v>
      </c>
      <c r="L4303" t="s">
        <v>5471</v>
      </c>
      <c r="M4303" t="s">
        <v>5471</v>
      </c>
    </row>
    <row r="4304" spans="1:13" x14ac:dyDescent="0.3">
      <c r="A4304" t="s">
        <v>3388</v>
      </c>
      <c r="B4304" t="s">
        <v>10961</v>
      </c>
      <c r="C4304" t="s">
        <v>5470</v>
      </c>
      <c r="D4304" t="s">
        <v>4056</v>
      </c>
      <c r="E4304" t="s">
        <v>5617</v>
      </c>
      <c r="F4304" t="s">
        <v>17677</v>
      </c>
      <c r="G4304" t="s">
        <v>11054</v>
      </c>
      <c r="H4304" t="s">
        <v>5474</v>
      </c>
      <c r="I4304" t="s">
        <v>17678</v>
      </c>
      <c r="J4304" t="s">
        <v>5476</v>
      </c>
      <c r="K4304" t="s">
        <v>17679</v>
      </c>
      <c r="L4304" t="s">
        <v>5471</v>
      </c>
      <c r="M4304" t="s">
        <v>5471</v>
      </c>
    </row>
    <row r="4305" spans="1:13" x14ac:dyDescent="0.3">
      <c r="A4305" t="s">
        <v>3388</v>
      </c>
      <c r="B4305" t="s">
        <v>10961</v>
      </c>
      <c r="C4305" t="s">
        <v>5470</v>
      </c>
      <c r="D4305" t="s">
        <v>4056</v>
      </c>
      <c r="E4305" t="s">
        <v>5617</v>
      </c>
      <c r="F4305" t="s">
        <v>17680</v>
      </c>
      <c r="G4305" t="s">
        <v>11054</v>
      </c>
      <c r="H4305" t="s">
        <v>5474</v>
      </c>
      <c r="I4305" t="s">
        <v>17681</v>
      </c>
      <c r="J4305" t="s">
        <v>5476</v>
      </c>
      <c r="K4305" t="s">
        <v>17682</v>
      </c>
      <c r="L4305" t="s">
        <v>5471</v>
      </c>
      <c r="M4305" t="s">
        <v>5471</v>
      </c>
    </row>
    <row r="4306" spans="1:13" x14ac:dyDescent="0.3">
      <c r="A4306" t="s">
        <v>3388</v>
      </c>
      <c r="B4306" t="s">
        <v>10961</v>
      </c>
      <c r="C4306" t="s">
        <v>5470</v>
      </c>
      <c r="D4306" t="s">
        <v>4052</v>
      </c>
      <c r="E4306" t="s">
        <v>5617</v>
      </c>
      <c r="F4306" t="s">
        <v>17683</v>
      </c>
      <c r="G4306" t="s">
        <v>10963</v>
      </c>
      <c r="H4306" t="s">
        <v>5474</v>
      </c>
      <c r="I4306" t="s">
        <v>17684</v>
      </c>
      <c r="J4306" t="s">
        <v>5476</v>
      </c>
      <c r="K4306" t="s">
        <v>17685</v>
      </c>
      <c r="L4306" t="s">
        <v>5471</v>
      </c>
      <c r="M4306" t="s">
        <v>5471</v>
      </c>
    </row>
    <row r="4307" spans="1:13" x14ac:dyDescent="0.3">
      <c r="A4307" t="s">
        <v>3388</v>
      </c>
      <c r="B4307" t="s">
        <v>10961</v>
      </c>
      <c r="C4307" t="s">
        <v>5470</v>
      </c>
      <c r="D4307" t="s">
        <v>4052</v>
      </c>
      <c r="E4307" t="s">
        <v>5532</v>
      </c>
      <c r="F4307" t="s">
        <v>17686</v>
      </c>
      <c r="G4307" t="s">
        <v>17665</v>
      </c>
      <c r="H4307" t="s">
        <v>5474</v>
      </c>
      <c r="I4307" t="s">
        <v>17687</v>
      </c>
      <c r="J4307" t="s">
        <v>5476</v>
      </c>
      <c r="K4307" t="s">
        <v>17688</v>
      </c>
      <c r="L4307" t="s">
        <v>5471</v>
      </c>
      <c r="M4307" t="s">
        <v>5471</v>
      </c>
    </row>
    <row r="4308" spans="1:13" x14ac:dyDescent="0.3">
      <c r="A4308" t="s">
        <v>3388</v>
      </c>
      <c r="B4308" t="s">
        <v>2749</v>
      </c>
      <c r="C4308" t="s">
        <v>5470</v>
      </c>
      <c r="D4308" t="s">
        <v>4052</v>
      </c>
      <c r="E4308" t="s">
        <v>5532</v>
      </c>
      <c r="F4308" t="s">
        <v>17689</v>
      </c>
      <c r="G4308" t="s">
        <v>17690</v>
      </c>
      <c r="H4308" t="s">
        <v>5474</v>
      </c>
      <c r="I4308" t="s">
        <v>17691</v>
      </c>
      <c r="J4308" t="s">
        <v>5476</v>
      </c>
      <c r="K4308" t="s">
        <v>17692</v>
      </c>
      <c r="L4308" t="s">
        <v>5471</v>
      </c>
      <c r="M4308" t="s">
        <v>5471</v>
      </c>
    </row>
    <row r="4309" spans="1:13" x14ac:dyDescent="0.3">
      <c r="A4309" t="s">
        <v>3388</v>
      </c>
      <c r="B4309" t="s">
        <v>2749</v>
      </c>
      <c r="C4309" t="s">
        <v>5470</v>
      </c>
      <c r="D4309" t="s">
        <v>4052</v>
      </c>
      <c r="E4309" t="s">
        <v>5532</v>
      </c>
      <c r="F4309" t="s">
        <v>17693</v>
      </c>
      <c r="G4309" t="s">
        <v>17694</v>
      </c>
      <c r="H4309" t="s">
        <v>5474</v>
      </c>
      <c r="I4309" t="s">
        <v>17695</v>
      </c>
      <c r="J4309" t="s">
        <v>5476</v>
      </c>
      <c r="K4309" t="s">
        <v>17696</v>
      </c>
      <c r="L4309" t="s">
        <v>5471</v>
      </c>
      <c r="M4309" t="s">
        <v>5471</v>
      </c>
    </row>
    <row r="4310" spans="1:13" x14ac:dyDescent="0.3">
      <c r="A4310" t="s">
        <v>3388</v>
      </c>
      <c r="B4310" t="s">
        <v>10852</v>
      </c>
      <c r="C4310" t="s">
        <v>5470</v>
      </c>
      <c r="D4310" t="s">
        <v>4056</v>
      </c>
      <c r="E4310" t="s">
        <v>5756</v>
      </c>
      <c r="F4310" t="s">
        <v>17697</v>
      </c>
      <c r="G4310" t="s">
        <v>10854</v>
      </c>
      <c r="H4310" t="s">
        <v>5474</v>
      </c>
      <c r="I4310" t="s">
        <v>17698</v>
      </c>
      <c r="J4310" t="s">
        <v>5476</v>
      </c>
      <c r="K4310" t="s">
        <v>17699</v>
      </c>
      <c r="L4310" t="s">
        <v>5471</v>
      </c>
      <c r="M4310" t="s">
        <v>5471</v>
      </c>
    </row>
    <row r="4311" spans="1:13" x14ac:dyDescent="0.3">
      <c r="A4311" t="s">
        <v>3388</v>
      </c>
      <c r="B4311" t="s">
        <v>10852</v>
      </c>
      <c r="C4311" t="s">
        <v>5470</v>
      </c>
      <c r="D4311" t="s">
        <v>4056</v>
      </c>
      <c r="E4311" t="s">
        <v>5756</v>
      </c>
      <c r="F4311" t="s">
        <v>17700</v>
      </c>
      <c r="G4311" t="s">
        <v>10854</v>
      </c>
      <c r="H4311" t="s">
        <v>5474</v>
      </c>
      <c r="I4311" t="s">
        <v>17701</v>
      </c>
      <c r="J4311" t="s">
        <v>5476</v>
      </c>
      <c r="K4311" t="s">
        <v>17702</v>
      </c>
      <c r="L4311" t="s">
        <v>5471</v>
      </c>
      <c r="M4311" t="s">
        <v>5471</v>
      </c>
    </row>
    <row r="4312" spans="1:13" x14ac:dyDescent="0.3">
      <c r="A4312" t="s">
        <v>3388</v>
      </c>
      <c r="B4312" t="s">
        <v>10852</v>
      </c>
      <c r="C4312" t="s">
        <v>5470</v>
      </c>
      <c r="D4312" t="s">
        <v>4056</v>
      </c>
      <c r="E4312" t="s">
        <v>5756</v>
      </c>
      <c r="F4312" t="s">
        <v>17703</v>
      </c>
      <c r="G4312" t="s">
        <v>10854</v>
      </c>
      <c r="H4312" t="s">
        <v>5474</v>
      </c>
      <c r="I4312" t="s">
        <v>17704</v>
      </c>
      <c r="J4312" t="s">
        <v>5476</v>
      </c>
      <c r="K4312" t="s">
        <v>17705</v>
      </c>
      <c r="L4312" t="s">
        <v>5471</v>
      </c>
      <c r="M4312" t="s">
        <v>5471</v>
      </c>
    </row>
    <row r="4313" spans="1:13" x14ac:dyDescent="0.3">
      <c r="A4313" t="s">
        <v>3388</v>
      </c>
      <c r="B4313" t="s">
        <v>5284</v>
      </c>
      <c r="C4313" t="s">
        <v>5470</v>
      </c>
      <c r="D4313" t="s">
        <v>4052</v>
      </c>
      <c r="E4313" t="s">
        <v>5532</v>
      </c>
      <c r="F4313" t="s">
        <v>17706</v>
      </c>
      <c r="G4313" t="s">
        <v>17707</v>
      </c>
      <c r="H4313" t="s">
        <v>5474</v>
      </c>
      <c r="I4313" t="s">
        <v>17708</v>
      </c>
      <c r="J4313" t="s">
        <v>5476</v>
      </c>
      <c r="K4313" t="s">
        <v>17709</v>
      </c>
      <c r="L4313" t="s">
        <v>5471</v>
      </c>
      <c r="M4313" t="s">
        <v>5471</v>
      </c>
    </row>
    <row r="4314" spans="1:13" x14ac:dyDescent="0.3">
      <c r="A4314" t="s">
        <v>3388</v>
      </c>
      <c r="B4314" t="s">
        <v>10852</v>
      </c>
      <c r="C4314" t="s">
        <v>5470</v>
      </c>
      <c r="D4314" t="s">
        <v>4056</v>
      </c>
      <c r="E4314" t="s">
        <v>5756</v>
      </c>
      <c r="F4314" t="s">
        <v>17710</v>
      </c>
      <c r="G4314" t="s">
        <v>10854</v>
      </c>
      <c r="H4314" t="s">
        <v>5474</v>
      </c>
      <c r="I4314" t="s">
        <v>17711</v>
      </c>
      <c r="J4314" t="s">
        <v>5476</v>
      </c>
      <c r="K4314" t="s">
        <v>17712</v>
      </c>
      <c r="L4314" t="s">
        <v>5471</v>
      </c>
      <c r="M4314" t="s">
        <v>5471</v>
      </c>
    </row>
    <row r="4315" spans="1:13" x14ac:dyDescent="0.3">
      <c r="A4315" t="s">
        <v>3388</v>
      </c>
      <c r="B4315" t="s">
        <v>10852</v>
      </c>
      <c r="C4315" t="s">
        <v>5470</v>
      </c>
      <c r="D4315" t="s">
        <v>4056</v>
      </c>
      <c r="E4315" t="s">
        <v>5756</v>
      </c>
      <c r="F4315" t="s">
        <v>17713</v>
      </c>
      <c r="G4315" t="s">
        <v>10854</v>
      </c>
      <c r="H4315" t="s">
        <v>5474</v>
      </c>
      <c r="I4315" t="s">
        <v>17714</v>
      </c>
      <c r="J4315" t="s">
        <v>5476</v>
      </c>
      <c r="K4315" t="s">
        <v>17715</v>
      </c>
      <c r="L4315" t="s">
        <v>5471</v>
      </c>
      <c r="M4315" t="s">
        <v>5471</v>
      </c>
    </row>
    <row r="4316" spans="1:13" x14ac:dyDescent="0.3">
      <c r="A4316" t="s">
        <v>3388</v>
      </c>
      <c r="B4316" t="s">
        <v>10852</v>
      </c>
      <c r="C4316" t="s">
        <v>5470</v>
      </c>
      <c r="D4316" t="s">
        <v>4056</v>
      </c>
      <c r="E4316" t="s">
        <v>5756</v>
      </c>
      <c r="F4316" t="s">
        <v>17716</v>
      </c>
      <c r="G4316" t="s">
        <v>10854</v>
      </c>
      <c r="H4316" t="s">
        <v>5474</v>
      </c>
      <c r="I4316" t="s">
        <v>17717</v>
      </c>
      <c r="J4316" t="s">
        <v>5476</v>
      </c>
      <c r="K4316" t="s">
        <v>17718</v>
      </c>
      <c r="L4316" t="s">
        <v>5471</v>
      </c>
      <c r="M4316" t="s">
        <v>5471</v>
      </c>
    </row>
    <row r="4317" spans="1:13" x14ac:dyDescent="0.3">
      <c r="A4317" t="s">
        <v>3388</v>
      </c>
      <c r="B4317" t="s">
        <v>10852</v>
      </c>
      <c r="C4317" t="s">
        <v>5470</v>
      </c>
      <c r="D4317" t="s">
        <v>4056</v>
      </c>
      <c r="E4317" t="s">
        <v>5756</v>
      </c>
      <c r="F4317" t="s">
        <v>17719</v>
      </c>
      <c r="G4317" t="s">
        <v>10854</v>
      </c>
      <c r="H4317" t="s">
        <v>5474</v>
      </c>
      <c r="I4317" t="s">
        <v>17720</v>
      </c>
      <c r="J4317" t="s">
        <v>5476</v>
      </c>
      <c r="K4317" t="s">
        <v>17721</v>
      </c>
      <c r="L4317" t="s">
        <v>5471</v>
      </c>
      <c r="M4317" t="s">
        <v>5471</v>
      </c>
    </row>
    <row r="4318" spans="1:13" x14ac:dyDescent="0.3">
      <c r="A4318" t="s">
        <v>3388</v>
      </c>
      <c r="B4318" t="s">
        <v>10852</v>
      </c>
      <c r="C4318" t="s">
        <v>5470</v>
      </c>
      <c r="D4318" t="s">
        <v>4056</v>
      </c>
      <c r="E4318" t="s">
        <v>5756</v>
      </c>
      <c r="F4318" t="s">
        <v>17722</v>
      </c>
      <c r="G4318" t="s">
        <v>10854</v>
      </c>
      <c r="H4318" t="s">
        <v>5474</v>
      </c>
      <c r="I4318" t="s">
        <v>17723</v>
      </c>
      <c r="J4318" t="s">
        <v>5476</v>
      </c>
      <c r="K4318" t="s">
        <v>17724</v>
      </c>
      <c r="L4318" t="s">
        <v>5471</v>
      </c>
      <c r="M4318" t="s">
        <v>5471</v>
      </c>
    </row>
    <row r="4319" spans="1:13" x14ac:dyDescent="0.3">
      <c r="A4319" t="s">
        <v>3388</v>
      </c>
      <c r="B4319" t="s">
        <v>10852</v>
      </c>
      <c r="C4319" t="s">
        <v>5470</v>
      </c>
      <c r="D4319" t="s">
        <v>4056</v>
      </c>
      <c r="E4319" t="s">
        <v>5756</v>
      </c>
      <c r="F4319" t="s">
        <v>17725</v>
      </c>
      <c r="G4319" t="s">
        <v>10854</v>
      </c>
      <c r="H4319" t="s">
        <v>5474</v>
      </c>
      <c r="I4319" t="s">
        <v>17726</v>
      </c>
      <c r="J4319" t="s">
        <v>5476</v>
      </c>
      <c r="K4319" t="s">
        <v>17727</v>
      </c>
      <c r="L4319" t="s">
        <v>5471</v>
      </c>
      <c r="M4319" t="s">
        <v>5471</v>
      </c>
    </row>
    <row r="4320" spans="1:13" x14ac:dyDescent="0.3">
      <c r="A4320" t="s">
        <v>3388</v>
      </c>
      <c r="B4320" t="s">
        <v>10852</v>
      </c>
      <c r="C4320" t="s">
        <v>5470</v>
      </c>
      <c r="D4320" t="s">
        <v>4056</v>
      </c>
      <c r="E4320" t="s">
        <v>5756</v>
      </c>
      <c r="F4320" t="s">
        <v>17728</v>
      </c>
      <c r="G4320" t="s">
        <v>10854</v>
      </c>
      <c r="H4320" t="s">
        <v>5474</v>
      </c>
      <c r="I4320" t="s">
        <v>17729</v>
      </c>
      <c r="J4320" t="s">
        <v>5476</v>
      </c>
      <c r="K4320" t="s">
        <v>17730</v>
      </c>
      <c r="L4320" t="s">
        <v>5471</v>
      </c>
      <c r="M4320" t="s">
        <v>5471</v>
      </c>
    </row>
    <row r="4321" spans="1:13" x14ac:dyDescent="0.3">
      <c r="A4321" t="s">
        <v>3388</v>
      </c>
      <c r="B4321" t="s">
        <v>10852</v>
      </c>
      <c r="C4321" t="s">
        <v>5470</v>
      </c>
      <c r="D4321" t="s">
        <v>4056</v>
      </c>
      <c r="E4321" t="s">
        <v>5756</v>
      </c>
      <c r="F4321" t="s">
        <v>17731</v>
      </c>
      <c r="G4321" t="s">
        <v>10854</v>
      </c>
      <c r="H4321" t="s">
        <v>5474</v>
      </c>
      <c r="I4321" t="s">
        <v>17732</v>
      </c>
      <c r="J4321" t="s">
        <v>5476</v>
      </c>
      <c r="K4321" t="s">
        <v>17733</v>
      </c>
      <c r="L4321" t="s">
        <v>5471</v>
      </c>
      <c r="M4321" t="s">
        <v>5471</v>
      </c>
    </row>
    <row r="4322" spans="1:13" x14ac:dyDescent="0.3">
      <c r="A4322" t="s">
        <v>3388</v>
      </c>
      <c r="B4322" t="s">
        <v>10852</v>
      </c>
      <c r="C4322" t="s">
        <v>5470</v>
      </c>
      <c r="D4322" t="s">
        <v>4056</v>
      </c>
      <c r="E4322" t="s">
        <v>5756</v>
      </c>
      <c r="F4322" t="s">
        <v>17734</v>
      </c>
      <c r="G4322" t="s">
        <v>10854</v>
      </c>
      <c r="H4322" t="s">
        <v>5474</v>
      </c>
      <c r="I4322" t="s">
        <v>17735</v>
      </c>
      <c r="J4322" t="s">
        <v>5476</v>
      </c>
      <c r="K4322" t="s">
        <v>17736</v>
      </c>
      <c r="L4322" t="s">
        <v>5471</v>
      </c>
      <c r="M4322" t="s">
        <v>5471</v>
      </c>
    </row>
    <row r="4323" spans="1:13" x14ac:dyDescent="0.3">
      <c r="A4323" t="s">
        <v>3388</v>
      </c>
      <c r="B4323" t="s">
        <v>10852</v>
      </c>
      <c r="C4323" t="s">
        <v>5470</v>
      </c>
      <c r="D4323" t="s">
        <v>4056</v>
      </c>
      <c r="E4323" t="s">
        <v>5756</v>
      </c>
      <c r="F4323" t="s">
        <v>17737</v>
      </c>
      <c r="G4323" t="s">
        <v>10854</v>
      </c>
      <c r="H4323" t="s">
        <v>5474</v>
      </c>
      <c r="I4323" t="s">
        <v>17738</v>
      </c>
      <c r="J4323" t="s">
        <v>5476</v>
      </c>
      <c r="K4323" t="s">
        <v>17739</v>
      </c>
      <c r="L4323" t="s">
        <v>5471</v>
      </c>
      <c r="M4323" t="s">
        <v>5471</v>
      </c>
    </row>
    <row r="4324" spans="1:13" x14ac:dyDescent="0.3">
      <c r="A4324" t="s">
        <v>3388</v>
      </c>
      <c r="B4324" t="s">
        <v>10852</v>
      </c>
      <c r="C4324" t="s">
        <v>5470</v>
      </c>
      <c r="D4324" t="s">
        <v>4056</v>
      </c>
      <c r="E4324" t="s">
        <v>5756</v>
      </c>
      <c r="F4324" t="s">
        <v>17740</v>
      </c>
      <c r="G4324" t="s">
        <v>10854</v>
      </c>
      <c r="H4324" t="s">
        <v>5474</v>
      </c>
      <c r="I4324" t="s">
        <v>17741</v>
      </c>
      <c r="J4324" t="s">
        <v>5476</v>
      </c>
      <c r="K4324" t="s">
        <v>17742</v>
      </c>
      <c r="L4324" t="s">
        <v>5471</v>
      </c>
      <c r="M4324" t="s">
        <v>5471</v>
      </c>
    </row>
    <row r="4325" spans="1:13" x14ac:dyDescent="0.3">
      <c r="A4325" t="s">
        <v>3388</v>
      </c>
      <c r="B4325" t="s">
        <v>9921</v>
      </c>
      <c r="C4325" t="s">
        <v>5470</v>
      </c>
      <c r="D4325" t="s">
        <v>4058</v>
      </c>
      <c r="E4325" t="s">
        <v>5532</v>
      </c>
      <c r="F4325" t="s">
        <v>17743</v>
      </c>
      <c r="G4325" t="s">
        <v>17621</v>
      </c>
      <c r="H4325" t="s">
        <v>5474</v>
      </c>
      <c r="I4325" t="s">
        <v>17744</v>
      </c>
      <c r="J4325" t="s">
        <v>5476</v>
      </c>
      <c r="K4325" t="s">
        <v>17745</v>
      </c>
      <c r="L4325" t="s">
        <v>5471</v>
      </c>
      <c r="M4325" t="s">
        <v>5471</v>
      </c>
    </row>
    <row r="4326" spans="1:13" x14ac:dyDescent="0.3">
      <c r="A4326" t="s">
        <v>3388</v>
      </c>
      <c r="B4326" t="s">
        <v>15596</v>
      </c>
      <c r="C4326" t="s">
        <v>5470</v>
      </c>
      <c r="D4326" t="s">
        <v>10210</v>
      </c>
      <c r="E4326" t="s">
        <v>5756</v>
      </c>
      <c r="F4326" t="s">
        <v>17746</v>
      </c>
      <c r="G4326" t="s">
        <v>17747</v>
      </c>
      <c r="H4326" t="s">
        <v>5474</v>
      </c>
      <c r="I4326" t="s">
        <v>17748</v>
      </c>
      <c r="J4326" t="s">
        <v>5476</v>
      </c>
      <c r="K4326" t="s">
        <v>17749</v>
      </c>
      <c r="L4326" t="s">
        <v>5471</v>
      </c>
      <c r="M4326" t="s">
        <v>5471</v>
      </c>
    </row>
    <row r="4327" spans="1:13" x14ac:dyDescent="0.3">
      <c r="A4327" t="s">
        <v>3388</v>
      </c>
      <c r="B4327" t="s">
        <v>9921</v>
      </c>
      <c r="C4327" t="s">
        <v>5470</v>
      </c>
      <c r="D4327" t="s">
        <v>4058</v>
      </c>
      <c r="E4327" t="s">
        <v>5532</v>
      </c>
      <c r="F4327" t="s">
        <v>17750</v>
      </c>
      <c r="G4327" t="s">
        <v>17621</v>
      </c>
      <c r="H4327" t="s">
        <v>5474</v>
      </c>
      <c r="I4327" t="s">
        <v>17751</v>
      </c>
      <c r="J4327" t="s">
        <v>5476</v>
      </c>
      <c r="K4327" t="s">
        <v>17752</v>
      </c>
      <c r="L4327" t="s">
        <v>5471</v>
      </c>
      <c r="M4327" t="s">
        <v>5471</v>
      </c>
    </row>
    <row r="4328" spans="1:13" x14ac:dyDescent="0.3">
      <c r="A4328" t="s">
        <v>3388</v>
      </c>
      <c r="B4328" t="s">
        <v>9921</v>
      </c>
      <c r="C4328" t="s">
        <v>5470</v>
      </c>
      <c r="D4328" t="s">
        <v>4058</v>
      </c>
      <c r="E4328" t="s">
        <v>5532</v>
      </c>
      <c r="F4328" t="s">
        <v>17753</v>
      </c>
      <c r="G4328" t="s">
        <v>17621</v>
      </c>
      <c r="H4328" t="s">
        <v>5474</v>
      </c>
      <c r="I4328" t="s">
        <v>17754</v>
      </c>
      <c r="J4328" t="s">
        <v>5476</v>
      </c>
      <c r="K4328" t="s">
        <v>17755</v>
      </c>
      <c r="L4328" t="s">
        <v>5471</v>
      </c>
      <c r="M4328" t="s">
        <v>5471</v>
      </c>
    </row>
    <row r="4329" spans="1:13" x14ac:dyDescent="0.3">
      <c r="A4329" t="s">
        <v>3388</v>
      </c>
      <c r="B4329" t="s">
        <v>5310</v>
      </c>
      <c r="C4329" t="s">
        <v>5470</v>
      </c>
      <c r="D4329" t="s">
        <v>4119</v>
      </c>
      <c r="E4329" t="s">
        <v>5532</v>
      </c>
      <c r="F4329" t="s">
        <v>17756</v>
      </c>
      <c r="G4329" t="s">
        <v>11081</v>
      </c>
      <c r="H4329" t="s">
        <v>5474</v>
      </c>
      <c r="I4329" t="s">
        <v>17757</v>
      </c>
      <c r="J4329" t="s">
        <v>5476</v>
      </c>
      <c r="K4329" t="s">
        <v>17758</v>
      </c>
      <c r="L4329" t="s">
        <v>5471</v>
      </c>
      <c r="M4329" t="s">
        <v>5471</v>
      </c>
    </row>
    <row r="4330" spans="1:13" x14ac:dyDescent="0.3">
      <c r="A4330" t="s">
        <v>3388</v>
      </c>
      <c r="B4330" t="s">
        <v>17483</v>
      </c>
      <c r="C4330" t="s">
        <v>5470</v>
      </c>
      <c r="D4330" t="s">
        <v>4058</v>
      </c>
      <c r="E4330" t="s">
        <v>5532</v>
      </c>
      <c r="F4330" t="s">
        <v>17759</v>
      </c>
      <c r="G4330" t="s">
        <v>17485</v>
      </c>
      <c r="H4330" t="s">
        <v>5474</v>
      </c>
      <c r="I4330" t="s">
        <v>17760</v>
      </c>
      <c r="J4330" t="s">
        <v>5476</v>
      </c>
      <c r="K4330" t="s">
        <v>17761</v>
      </c>
      <c r="L4330" t="s">
        <v>5471</v>
      </c>
      <c r="M4330" t="s">
        <v>5471</v>
      </c>
    </row>
    <row r="4331" spans="1:13" x14ac:dyDescent="0.3">
      <c r="A4331" t="s">
        <v>3388</v>
      </c>
      <c r="B4331" t="s">
        <v>15961</v>
      </c>
      <c r="C4331" t="s">
        <v>5470</v>
      </c>
      <c r="D4331" t="s">
        <v>4119</v>
      </c>
      <c r="E4331" t="s">
        <v>5756</v>
      </c>
      <c r="F4331" t="s">
        <v>17762</v>
      </c>
      <c r="G4331" t="s">
        <v>15963</v>
      </c>
      <c r="H4331" t="s">
        <v>5474</v>
      </c>
      <c r="I4331" t="s">
        <v>17763</v>
      </c>
      <c r="J4331" t="s">
        <v>5476</v>
      </c>
      <c r="K4331" t="s">
        <v>17764</v>
      </c>
      <c r="L4331" t="s">
        <v>5471</v>
      </c>
      <c r="M4331" t="s">
        <v>5471</v>
      </c>
    </row>
    <row r="4332" spans="1:13" x14ac:dyDescent="0.3">
      <c r="A4332" t="s">
        <v>3388</v>
      </c>
      <c r="B4332" t="s">
        <v>15961</v>
      </c>
      <c r="C4332" t="s">
        <v>5470</v>
      </c>
      <c r="D4332" t="s">
        <v>4119</v>
      </c>
      <c r="E4332" t="s">
        <v>5756</v>
      </c>
      <c r="F4332" t="s">
        <v>17765</v>
      </c>
      <c r="G4332" t="s">
        <v>15963</v>
      </c>
      <c r="H4332" t="s">
        <v>5474</v>
      </c>
      <c r="I4332" t="s">
        <v>17766</v>
      </c>
      <c r="J4332" t="s">
        <v>5476</v>
      </c>
      <c r="K4332" t="s">
        <v>17767</v>
      </c>
      <c r="L4332" t="s">
        <v>5471</v>
      </c>
      <c r="M4332" t="s">
        <v>5471</v>
      </c>
    </row>
    <row r="4333" spans="1:13" x14ac:dyDescent="0.3">
      <c r="A4333" t="s">
        <v>3388</v>
      </c>
      <c r="B4333" t="s">
        <v>10852</v>
      </c>
      <c r="C4333" t="s">
        <v>5470</v>
      </c>
      <c r="D4333" t="s">
        <v>4056</v>
      </c>
      <c r="E4333" t="s">
        <v>5756</v>
      </c>
      <c r="F4333" t="s">
        <v>17768</v>
      </c>
      <c r="G4333" t="s">
        <v>17769</v>
      </c>
      <c r="H4333" t="s">
        <v>5474</v>
      </c>
      <c r="I4333" t="s">
        <v>17770</v>
      </c>
      <c r="J4333" t="s">
        <v>5476</v>
      </c>
      <c r="K4333" t="s">
        <v>17771</v>
      </c>
      <c r="L4333" t="s">
        <v>5471</v>
      </c>
      <c r="M4333" t="s">
        <v>5471</v>
      </c>
    </row>
    <row r="4334" spans="1:13" x14ac:dyDescent="0.3">
      <c r="A4334" t="s">
        <v>3388</v>
      </c>
      <c r="B4334" t="s">
        <v>10852</v>
      </c>
      <c r="C4334" t="s">
        <v>5470</v>
      </c>
      <c r="D4334" t="s">
        <v>4056</v>
      </c>
      <c r="E4334" t="s">
        <v>5756</v>
      </c>
      <c r="F4334" t="s">
        <v>17772</v>
      </c>
      <c r="G4334" t="s">
        <v>17769</v>
      </c>
      <c r="H4334" t="s">
        <v>5474</v>
      </c>
      <c r="I4334" t="s">
        <v>17773</v>
      </c>
      <c r="J4334" t="s">
        <v>5476</v>
      </c>
      <c r="K4334" t="s">
        <v>17774</v>
      </c>
      <c r="L4334" t="s">
        <v>5471</v>
      </c>
      <c r="M4334" t="s">
        <v>5471</v>
      </c>
    </row>
    <row r="4335" spans="1:13" x14ac:dyDescent="0.3">
      <c r="A4335" t="s">
        <v>3388</v>
      </c>
      <c r="B4335" t="s">
        <v>9921</v>
      </c>
      <c r="C4335" t="s">
        <v>5470</v>
      </c>
      <c r="D4335" t="s">
        <v>4058</v>
      </c>
      <c r="E4335" t="s">
        <v>5532</v>
      </c>
      <c r="F4335" t="s">
        <v>17775</v>
      </c>
      <c r="G4335" t="s">
        <v>17628</v>
      </c>
      <c r="H4335" t="s">
        <v>5474</v>
      </c>
      <c r="I4335" t="s">
        <v>17776</v>
      </c>
      <c r="J4335" t="s">
        <v>5476</v>
      </c>
      <c r="K4335" t="s">
        <v>17777</v>
      </c>
      <c r="L4335" t="s">
        <v>5471</v>
      </c>
      <c r="M4335" t="s">
        <v>5471</v>
      </c>
    </row>
    <row r="4336" spans="1:13" x14ac:dyDescent="0.3">
      <c r="A4336" t="s">
        <v>3388</v>
      </c>
      <c r="B4336" t="s">
        <v>17483</v>
      </c>
      <c r="C4336" t="s">
        <v>5470</v>
      </c>
      <c r="D4336" t="s">
        <v>4058</v>
      </c>
      <c r="E4336" t="s">
        <v>5532</v>
      </c>
      <c r="F4336" t="s">
        <v>17778</v>
      </c>
      <c r="G4336" t="s">
        <v>17485</v>
      </c>
      <c r="H4336" t="s">
        <v>5474</v>
      </c>
      <c r="I4336" t="s">
        <v>17779</v>
      </c>
      <c r="J4336" t="s">
        <v>5476</v>
      </c>
      <c r="K4336" t="s">
        <v>17780</v>
      </c>
      <c r="L4336" t="s">
        <v>5471</v>
      </c>
      <c r="M4336" t="s">
        <v>5471</v>
      </c>
    </row>
    <row r="4337" spans="1:13" x14ac:dyDescent="0.3">
      <c r="A4337" t="s">
        <v>3388</v>
      </c>
      <c r="B4337" t="s">
        <v>5296</v>
      </c>
      <c r="C4337" t="s">
        <v>5470</v>
      </c>
      <c r="D4337" t="s">
        <v>4058</v>
      </c>
      <c r="E4337" t="s">
        <v>5617</v>
      </c>
      <c r="F4337" t="s">
        <v>17781</v>
      </c>
      <c r="G4337" t="s">
        <v>17782</v>
      </c>
      <c r="H4337" t="s">
        <v>5474</v>
      </c>
      <c r="I4337" t="s">
        <v>17783</v>
      </c>
      <c r="J4337" t="s">
        <v>5484</v>
      </c>
      <c r="K4337" t="s">
        <v>17784</v>
      </c>
      <c r="L4337" t="s">
        <v>5471</v>
      </c>
      <c r="M4337" t="s">
        <v>5471</v>
      </c>
    </row>
    <row r="4338" spans="1:13" x14ac:dyDescent="0.3">
      <c r="A4338" t="s">
        <v>3388</v>
      </c>
      <c r="B4338" t="s">
        <v>10852</v>
      </c>
      <c r="C4338" t="s">
        <v>5470</v>
      </c>
      <c r="D4338" t="s">
        <v>4056</v>
      </c>
      <c r="E4338" t="s">
        <v>5756</v>
      </c>
      <c r="F4338" t="s">
        <v>17785</v>
      </c>
      <c r="G4338" t="s">
        <v>17769</v>
      </c>
      <c r="H4338" t="s">
        <v>5474</v>
      </c>
      <c r="I4338" t="s">
        <v>17786</v>
      </c>
      <c r="J4338" t="s">
        <v>5476</v>
      </c>
      <c r="K4338" t="s">
        <v>17787</v>
      </c>
      <c r="L4338" t="s">
        <v>5471</v>
      </c>
      <c r="M4338" t="s">
        <v>5471</v>
      </c>
    </row>
    <row r="4339" spans="1:13" x14ac:dyDescent="0.3">
      <c r="A4339" t="s">
        <v>3388</v>
      </c>
      <c r="B4339" t="s">
        <v>5296</v>
      </c>
      <c r="C4339" t="s">
        <v>5470</v>
      </c>
      <c r="D4339" t="s">
        <v>4058</v>
      </c>
      <c r="E4339" t="s">
        <v>5617</v>
      </c>
      <c r="F4339" t="s">
        <v>17788</v>
      </c>
      <c r="G4339" t="s">
        <v>17789</v>
      </c>
      <c r="H4339" t="s">
        <v>5474</v>
      </c>
      <c r="I4339" t="s">
        <v>17790</v>
      </c>
      <c r="J4339" t="s">
        <v>5484</v>
      </c>
      <c r="K4339" t="s">
        <v>17791</v>
      </c>
      <c r="L4339" t="s">
        <v>5471</v>
      </c>
      <c r="M4339" t="s">
        <v>5471</v>
      </c>
    </row>
    <row r="4340" spans="1:13" x14ac:dyDescent="0.3">
      <c r="A4340" t="s">
        <v>3388</v>
      </c>
      <c r="B4340" t="s">
        <v>9921</v>
      </c>
      <c r="C4340" t="s">
        <v>5470</v>
      </c>
      <c r="D4340" t="s">
        <v>4058</v>
      </c>
      <c r="E4340" t="s">
        <v>5532</v>
      </c>
      <c r="F4340" t="s">
        <v>17792</v>
      </c>
      <c r="G4340" t="s">
        <v>17628</v>
      </c>
      <c r="H4340" t="s">
        <v>5474</v>
      </c>
      <c r="I4340" t="s">
        <v>17793</v>
      </c>
      <c r="J4340" t="s">
        <v>5476</v>
      </c>
      <c r="K4340" t="s">
        <v>17794</v>
      </c>
      <c r="L4340" t="s">
        <v>5471</v>
      </c>
      <c r="M4340" t="s">
        <v>5471</v>
      </c>
    </row>
    <row r="4341" spans="1:13" x14ac:dyDescent="0.3">
      <c r="A4341" t="s">
        <v>3388</v>
      </c>
      <c r="B4341" t="s">
        <v>5296</v>
      </c>
      <c r="C4341" t="s">
        <v>5470</v>
      </c>
      <c r="D4341" t="s">
        <v>4058</v>
      </c>
      <c r="E4341" t="s">
        <v>5617</v>
      </c>
      <c r="F4341" t="s">
        <v>17795</v>
      </c>
      <c r="G4341" t="s">
        <v>17789</v>
      </c>
      <c r="H4341" t="s">
        <v>5474</v>
      </c>
      <c r="I4341" t="s">
        <v>17796</v>
      </c>
      <c r="J4341" t="s">
        <v>5484</v>
      </c>
      <c r="K4341" t="s">
        <v>17797</v>
      </c>
      <c r="L4341" t="s">
        <v>5471</v>
      </c>
      <c r="M4341" t="s">
        <v>5471</v>
      </c>
    </row>
    <row r="4342" spans="1:13" x14ac:dyDescent="0.3">
      <c r="A4342" t="s">
        <v>3388</v>
      </c>
      <c r="B4342" t="s">
        <v>5296</v>
      </c>
      <c r="C4342" t="s">
        <v>5470</v>
      </c>
      <c r="D4342" t="s">
        <v>4058</v>
      </c>
      <c r="E4342" t="s">
        <v>5617</v>
      </c>
      <c r="F4342" t="s">
        <v>17798</v>
      </c>
      <c r="G4342" t="s">
        <v>17789</v>
      </c>
      <c r="H4342" t="s">
        <v>5474</v>
      </c>
      <c r="I4342" t="s">
        <v>17799</v>
      </c>
      <c r="J4342" t="s">
        <v>5484</v>
      </c>
      <c r="K4342" t="s">
        <v>17800</v>
      </c>
      <c r="L4342" t="s">
        <v>5471</v>
      </c>
      <c r="M4342" t="s">
        <v>5471</v>
      </c>
    </row>
    <row r="4343" spans="1:13" x14ac:dyDescent="0.3">
      <c r="A4343" t="s">
        <v>3388</v>
      </c>
      <c r="B4343" t="s">
        <v>9921</v>
      </c>
      <c r="C4343" t="s">
        <v>5470</v>
      </c>
      <c r="D4343" t="s">
        <v>4058</v>
      </c>
      <c r="E4343" t="s">
        <v>5617</v>
      </c>
      <c r="F4343" t="s">
        <v>17801</v>
      </c>
      <c r="G4343" t="s">
        <v>17802</v>
      </c>
      <c r="H4343" t="s">
        <v>5474</v>
      </c>
      <c r="I4343" t="s">
        <v>17803</v>
      </c>
      <c r="J4343" t="s">
        <v>5476</v>
      </c>
      <c r="K4343" t="s">
        <v>17804</v>
      </c>
      <c r="L4343" t="s">
        <v>5471</v>
      </c>
      <c r="M4343" t="s">
        <v>5471</v>
      </c>
    </row>
    <row r="4344" spans="1:13" x14ac:dyDescent="0.3">
      <c r="A4344" t="s">
        <v>3388</v>
      </c>
      <c r="B4344" t="s">
        <v>9921</v>
      </c>
      <c r="C4344" t="s">
        <v>5470</v>
      </c>
      <c r="D4344" t="s">
        <v>4058</v>
      </c>
      <c r="E4344" t="s">
        <v>5532</v>
      </c>
      <c r="F4344" t="s">
        <v>17805</v>
      </c>
      <c r="G4344" t="s">
        <v>17628</v>
      </c>
      <c r="H4344" t="s">
        <v>5474</v>
      </c>
      <c r="I4344" t="s">
        <v>17806</v>
      </c>
      <c r="J4344" t="s">
        <v>5476</v>
      </c>
      <c r="K4344" t="s">
        <v>17807</v>
      </c>
      <c r="L4344" t="s">
        <v>5471</v>
      </c>
      <c r="M4344" t="s">
        <v>5471</v>
      </c>
    </row>
    <row r="4345" spans="1:13" x14ac:dyDescent="0.3">
      <c r="A4345" t="s">
        <v>3388</v>
      </c>
      <c r="B4345" t="s">
        <v>9921</v>
      </c>
      <c r="C4345" t="s">
        <v>5470</v>
      </c>
      <c r="D4345" t="s">
        <v>4058</v>
      </c>
      <c r="E4345" t="s">
        <v>5532</v>
      </c>
      <c r="F4345" t="s">
        <v>17808</v>
      </c>
      <c r="G4345" t="s">
        <v>17809</v>
      </c>
      <c r="H4345" t="s">
        <v>5474</v>
      </c>
      <c r="I4345" t="s">
        <v>17810</v>
      </c>
      <c r="J4345" t="s">
        <v>5476</v>
      </c>
      <c r="K4345" t="s">
        <v>17811</v>
      </c>
      <c r="L4345" t="s">
        <v>5471</v>
      </c>
      <c r="M4345" t="s">
        <v>5471</v>
      </c>
    </row>
    <row r="4346" spans="1:13" x14ac:dyDescent="0.3">
      <c r="A4346" t="s">
        <v>3388</v>
      </c>
      <c r="B4346" t="s">
        <v>15961</v>
      </c>
      <c r="C4346" t="s">
        <v>5470</v>
      </c>
      <c r="D4346" t="s">
        <v>4119</v>
      </c>
      <c r="E4346" t="s">
        <v>5756</v>
      </c>
      <c r="F4346" t="s">
        <v>17812</v>
      </c>
      <c r="G4346" t="s">
        <v>15963</v>
      </c>
      <c r="H4346" t="s">
        <v>5474</v>
      </c>
      <c r="I4346" t="s">
        <v>17813</v>
      </c>
      <c r="J4346" t="s">
        <v>5476</v>
      </c>
      <c r="K4346" t="s">
        <v>17814</v>
      </c>
      <c r="L4346" t="s">
        <v>5471</v>
      </c>
      <c r="M4346" t="s">
        <v>5471</v>
      </c>
    </row>
    <row r="4347" spans="1:13" x14ac:dyDescent="0.3">
      <c r="A4347" t="s">
        <v>3388</v>
      </c>
      <c r="B4347" t="s">
        <v>17483</v>
      </c>
      <c r="C4347" t="s">
        <v>5470</v>
      </c>
      <c r="D4347" t="s">
        <v>4058</v>
      </c>
      <c r="E4347" t="s">
        <v>5532</v>
      </c>
      <c r="F4347" t="s">
        <v>17815</v>
      </c>
      <c r="G4347" t="s">
        <v>17558</v>
      </c>
      <c r="H4347" t="s">
        <v>5474</v>
      </c>
      <c r="I4347" t="s">
        <v>17816</v>
      </c>
      <c r="J4347" t="s">
        <v>5476</v>
      </c>
      <c r="K4347" t="s">
        <v>17817</v>
      </c>
      <c r="L4347" t="s">
        <v>5471</v>
      </c>
      <c r="M4347" t="s">
        <v>5471</v>
      </c>
    </row>
    <row r="4348" spans="1:13" x14ac:dyDescent="0.3">
      <c r="A4348" t="s">
        <v>3388</v>
      </c>
      <c r="B4348" t="s">
        <v>7109</v>
      </c>
      <c r="C4348" t="s">
        <v>5470</v>
      </c>
      <c r="D4348" t="s">
        <v>4119</v>
      </c>
      <c r="E4348" t="s">
        <v>5756</v>
      </c>
      <c r="F4348" t="s">
        <v>17818</v>
      </c>
      <c r="G4348" t="s">
        <v>10663</v>
      </c>
      <c r="H4348" t="s">
        <v>5474</v>
      </c>
      <c r="I4348" t="s">
        <v>17819</v>
      </c>
      <c r="J4348" t="s">
        <v>5476</v>
      </c>
      <c r="K4348" t="s">
        <v>17820</v>
      </c>
      <c r="L4348" t="s">
        <v>5471</v>
      </c>
      <c r="M4348" t="s">
        <v>5471</v>
      </c>
    </row>
    <row r="4349" spans="1:13" x14ac:dyDescent="0.3">
      <c r="A4349" t="s">
        <v>3388</v>
      </c>
      <c r="B4349" t="s">
        <v>7109</v>
      </c>
      <c r="C4349" t="s">
        <v>5470</v>
      </c>
      <c r="D4349" t="s">
        <v>4119</v>
      </c>
      <c r="E4349" t="s">
        <v>5756</v>
      </c>
      <c r="F4349" t="s">
        <v>17821</v>
      </c>
      <c r="G4349" t="s">
        <v>10663</v>
      </c>
      <c r="H4349" t="s">
        <v>5474</v>
      </c>
      <c r="I4349" t="s">
        <v>17822</v>
      </c>
      <c r="J4349" t="s">
        <v>5476</v>
      </c>
      <c r="K4349" t="s">
        <v>17823</v>
      </c>
      <c r="L4349" t="s">
        <v>5471</v>
      </c>
      <c r="M4349" t="s">
        <v>5471</v>
      </c>
    </row>
    <row r="4350" spans="1:13" x14ac:dyDescent="0.3">
      <c r="A4350" t="s">
        <v>3388</v>
      </c>
      <c r="B4350" t="s">
        <v>7088</v>
      </c>
      <c r="C4350" t="s">
        <v>5470</v>
      </c>
      <c r="D4350" t="s">
        <v>4119</v>
      </c>
      <c r="E4350" t="s">
        <v>5532</v>
      </c>
      <c r="F4350" t="s">
        <v>17824</v>
      </c>
      <c r="G4350" t="s">
        <v>11130</v>
      </c>
      <c r="H4350" t="s">
        <v>5474</v>
      </c>
      <c r="I4350" t="s">
        <v>17825</v>
      </c>
      <c r="J4350" t="s">
        <v>5476</v>
      </c>
      <c r="K4350" t="s">
        <v>17826</v>
      </c>
      <c r="L4350" t="s">
        <v>5471</v>
      </c>
      <c r="M4350" t="s">
        <v>5471</v>
      </c>
    </row>
    <row r="4351" spans="1:13" x14ac:dyDescent="0.3">
      <c r="A4351" t="s">
        <v>3388</v>
      </c>
      <c r="B4351" t="s">
        <v>17483</v>
      </c>
      <c r="C4351" t="s">
        <v>5470</v>
      </c>
      <c r="D4351" t="s">
        <v>4058</v>
      </c>
      <c r="E4351" t="s">
        <v>5532</v>
      </c>
      <c r="F4351" t="s">
        <v>17827</v>
      </c>
      <c r="G4351" t="s">
        <v>17558</v>
      </c>
      <c r="H4351" t="s">
        <v>5474</v>
      </c>
      <c r="I4351" t="s">
        <v>17828</v>
      </c>
      <c r="J4351" t="s">
        <v>5476</v>
      </c>
      <c r="K4351" t="s">
        <v>17829</v>
      </c>
      <c r="L4351" t="s">
        <v>5471</v>
      </c>
      <c r="M4351" t="s">
        <v>5471</v>
      </c>
    </row>
    <row r="4352" spans="1:13" x14ac:dyDescent="0.3">
      <c r="A4352" t="s">
        <v>3388</v>
      </c>
      <c r="B4352" t="s">
        <v>9921</v>
      </c>
      <c r="C4352" t="s">
        <v>5470</v>
      </c>
      <c r="D4352" t="s">
        <v>4058</v>
      </c>
      <c r="E4352" t="s">
        <v>5617</v>
      </c>
      <c r="F4352" t="s">
        <v>17830</v>
      </c>
      <c r="G4352" t="s">
        <v>17617</v>
      </c>
      <c r="H4352" t="s">
        <v>5474</v>
      </c>
      <c r="I4352" t="s">
        <v>17831</v>
      </c>
      <c r="J4352" t="s">
        <v>5476</v>
      </c>
      <c r="K4352" t="s">
        <v>17832</v>
      </c>
      <c r="L4352" t="s">
        <v>5471</v>
      </c>
      <c r="M4352" t="s">
        <v>5471</v>
      </c>
    </row>
    <row r="4353" spans="1:13" x14ac:dyDescent="0.3">
      <c r="A4353" t="s">
        <v>3388</v>
      </c>
      <c r="B4353" t="s">
        <v>9921</v>
      </c>
      <c r="C4353" t="s">
        <v>5470</v>
      </c>
      <c r="D4353" t="s">
        <v>4058</v>
      </c>
      <c r="E4353" t="s">
        <v>5617</v>
      </c>
      <c r="F4353" t="s">
        <v>17833</v>
      </c>
      <c r="G4353" t="s">
        <v>17617</v>
      </c>
      <c r="H4353" t="s">
        <v>5474</v>
      </c>
      <c r="I4353" t="s">
        <v>17834</v>
      </c>
      <c r="J4353" t="s">
        <v>5476</v>
      </c>
      <c r="K4353" t="s">
        <v>17835</v>
      </c>
      <c r="L4353" t="s">
        <v>5471</v>
      </c>
      <c r="M4353" t="s">
        <v>5471</v>
      </c>
    </row>
    <row r="4354" spans="1:13" x14ac:dyDescent="0.3">
      <c r="A4354" t="s">
        <v>3388</v>
      </c>
      <c r="B4354" t="s">
        <v>11153</v>
      </c>
      <c r="C4354" t="s">
        <v>5470</v>
      </c>
      <c r="D4354" t="s">
        <v>4058</v>
      </c>
      <c r="E4354" t="s">
        <v>5617</v>
      </c>
      <c r="F4354" t="s">
        <v>17836</v>
      </c>
      <c r="G4354" t="s">
        <v>17837</v>
      </c>
      <c r="H4354" t="s">
        <v>5474</v>
      </c>
      <c r="I4354" t="s">
        <v>17838</v>
      </c>
      <c r="J4354" t="s">
        <v>5476</v>
      </c>
      <c r="K4354" t="s">
        <v>17839</v>
      </c>
      <c r="L4354" t="s">
        <v>5471</v>
      </c>
      <c r="M4354" t="s">
        <v>5471</v>
      </c>
    </row>
    <row r="4355" spans="1:13" x14ac:dyDescent="0.3">
      <c r="A4355" t="s">
        <v>3388</v>
      </c>
      <c r="B4355" t="s">
        <v>9921</v>
      </c>
      <c r="C4355" t="s">
        <v>5470</v>
      </c>
      <c r="D4355" t="s">
        <v>4058</v>
      </c>
      <c r="E4355" t="s">
        <v>5617</v>
      </c>
      <c r="F4355" t="s">
        <v>17840</v>
      </c>
      <c r="G4355" t="s">
        <v>17621</v>
      </c>
      <c r="H4355" t="s">
        <v>5474</v>
      </c>
      <c r="I4355" t="s">
        <v>17841</v>
      </c>
      <c r="J4355" t="s">
        <v>5476</v>
      </c>
      <c r="K4355" t="s">
        <v>17842</v>
      </c>
      <c r="L4355" t="s">
        <v>5471</v>
      </c>
      <c r="M4355" t="s">
        <v>5471</v>
      </c>
    </row>
    <row r="4356" spans="1:13" x14ac:dyDescent="0.3">
      <c r="A4356" t="s">
        <v>3388</v>
      </c>
      <c r="B4356" t="s">
        <v>9921</v>
      </c>
      <c r="C4356" t="s">
        <v>5470</v>
      </c>
      <c r="D4356" t="s">
        <v>4058</v>
      </c>
      <c r="E4356" t="s">
        <v>5617</v>
      </c>
      <c r="F4356" t="s">
        <v>17843</v>
      </c>
      <c r="G4356" t="s">
        <v>17621</v>
      </c>
      <c r="H4356" t="s">
        <v>5474</v>
      </c>
      <c r="I4356" t="s">
        <v>17844</v>
      </c>
      <c r="J4356" t="s">
        <v>5476</v>
      </c>
      <c r="K4356" t="s">
        <v>17845</v>
      </c>
      <c r="L4356" t="s">
        <v>5471</v>
      </c>
      <c r="M4356" t="s">
        <v>5471</v>
      </c>
    </row>
    <row r="4357" spans="1:13" x14ac:dyDescent="0.3">
      <c r="A4357" t="s">
        <v>3388</v>
      </c>
      <c r="B4357" t="s">
        <v>9921</v>
      </c>
      <c r="C4357" t="s">
        <v>5470</v>
      </c>
      <c r="D4357" t="s">
        <v>4058</v>
      </c>
      <c r="E4357" t="s">
        <v>5617</v>
      </c>
      <c r="F4357" t="s">
        <v>17846</v>
      </c>
      <c r="G4357" t="s">
        <v>17628</v>
      </c>
      <c r="H4357" t="s">
        <v>5474</v>
      </c>
      <c r="I4357" t="s">
        <v>17847</v>
      </c>
      <c r="J4357" t="s">
        <v>5476</v>
      </c>
      <c r="K4357" t="s">
        <v>17848</v>
      </c>
      <c r="L4357" t="s">
        <v>5471</v>
      </c>
      <c r="M4357" t="s">
        <v>5471</v>
      </c>
    </row>
    <row r="4358" spans="1:13" x14ac:dyDescent="0.3">
      <c r="A4358" t="s">
        <v>3388</v>
      </c>
      <c r="B4358" t="s">
        <v>9921</v>
      </c>
      <c r="C4358" t="s">
        <v>5470</v>
      </c>
      <c r="D4358" t="s">
        <v>4058</v>
      </c>
      <c r="E4358" t="s">
        <v>5617</v>
      </c>
      <c r="F4358" t="s">
        <v>17849</v>
      </c>
      <c r="G4358" t="s">
        <v>17628</v>
      </c>
      <c r="H4358" t="s">
        <v>5474</v>
      </c>
      <c r="I4358" t="s">
        <v>17850</v>
      </c>
      <c r="J4358" t="s">
        <v>5476</v>
      </c>
      <c r="K4358" t="s">
        <v>17851</v>
      </c>
      <c r="L4358" t="s">
        <v>5471</v>
      </c>
      <c r="M4358" t="s">
        <v>5471</v>
      </c>
    </row>
    <row r="4359" spans="1:13" x14ac:dyDescent="0.3">
      <c r="A4359" t="s">
        <v>3388</v>
      </c>
      <c r="B4359" t="s">
        <v>9921</v>
      </c>
      <c r="C4359" t="s">
        <v>5470</v>
      </c>
      <c r="D4359" t="s">
        <v>4058</v>
      </c>
      <c r="E4359" t="s">
        <v>5617</v>
      </c>
      <c r="F4359" t="s">
        <v>17852</v>
      </c>
      <c r="G4359" t="s">
        <v>17628</v>
      </c>
      <c r="H4359" t="s">
        <v>5474</v>
      </c>
      <c r="I4359" t="s">
        <v>17853</v>
      </c>
      <c r="J4359" t="s">
        <v>5476</v>
      </c>
      <c r="K4359" t="s">
        <v>17854</v>
      </c>
      <c r="L4359" t="s">
        <v>5471</v>
      </c>
      <c r="M4359" t="s">
        <v>5471</v>
      </c>
    </row>
    <row r="4360" spans="1:13" x14ac:dyDescent="0.3">
      <c r="A4360" t="s">
        <v>3388</v>
      </c>
      <c r="B4360" t="s">
        <v>17483</v>
      </c>
      <c r="C4360" t="s">
        <v>5470</v>
      </c>
      <c r="D4360" t="s">
        <v>4058</v>
      </c>
      <c r="E4360" t="s">
        <v>5617</v>
      </c>
      <c r="F4360" t="s">
        <v>17855</v>
      </c>
      <c r="G4360" t="s">
        <v>17558</v>
      </c>
      <c r="H4360" t="s">
        <v>5474</v>
      </c>
      <c r="I4360" t="s">
        <v>17856</v>
      </c>
      <c r="J4360" t="s">
        <v>5476</v>
      </c>
      <c r="K4360" t="s">
        <v>17857</v>
      </c>
      <c r="L4360" t="s">
        <v>5471</v>
      </c>
      <c r="M4360" t="s">
        <v>5471</v>
      </c>
    </row>
    <row r="4361" spans="1:13" x14ac:dyDescent="0.3">
      <c r="A4361" t="s">
        <v>3388</v>
      </c>
      <c r="B4361" t="s">
        <v>17483</v>
      </c>
      <c r="C4361" t="s">
        <v>5470</v>
      </c>
      <c r="D4361" t="s">
        <v>4058</v>
      </c>
      <c r="E4361" t="s">
        <v>5617</v>
      </c>
      <c r="F4361" t="s">
        <v>17858</v>
      </c>
      <c r="G4361" t="s">
        <v>17558</v>
      </c>
      <c r="H4361" t="s">
        <v>5474</v>
      </c>
      <c r="I4361" t="s">
        <v>17859</v>
      </c>
      <c r="J4361" t="s">
        <v>5476</v>
      </c>
      <c r="K4361" t="s">
        <v>17860</v>
      </c>
      <c r="L4361" t="s">
        <v>5471</v>
      </c>
      <c r="M4361" t="s">
        <v>5471</v>
      </c>
    </row>
    <row r="4362" spans="1:13" x14ac:dyDescent="0.3">
      <c r="A4362" t="s">
        <v>3388</v>
      </c>
      <c r="B4362" t="s">
        <v>15961</v>
      </c>
      <c r="C4362" t="s">
        <v>5470</v>
      </c>
      <c r="D4362" t="s">
        <v>10218</v>
      </c>
      <c r="E4362" t="s">
        <v>5756</v>
      </c>
      <c r="F4362" t="s">
        <v>17861</v>
      </c>
      <c r="G4362" t="s">
        <v>17862</v>
      </c>
      <c r="H4362" t="s">
        <v>5474</v>
      </c>
      <c r="I4362" t="s">
        <v>17863</v>
      </c>
      <c r="J4362" t="s">
        <v>5476</v>
      </c>
      <c r="K4362" t="s">
        <v>5471</v>
      </c>
      <c r="L4362" t="s">
        <v>5471</v>
      </c>
      <c r="M4362" t="s">
        <v>5471</v>
      </c>
    </row>
    <row r="4363" spans="1:13" x14ac:dyDescent="0.3">
      <c r="A4363" t="s">
        <v>3388</v>
      </c>
      <c r="B4363" t="s">
        <v>15961</v>
      </c>
      <c r="C4363" t="s">
        <v>5470</v>
      </c>
      <c r="D4363" t="s">
        <v>10218</v>
      </c>
      <c r="E4363" t="s">
        <v>5756</v>
      </c>
      <c r="F4363" t="s">
        <v>17864</v>
      </c>
      <c r="G4363" t="s">
        <v>17862</v>
      </c>
      <c r="H4363" t="s">
        <v>5474</v>
      </c>
      <c r="I4363" t="s">
        <v>17865</v>
      </c>
      <c r="J4363" t="s">
        <v>5476</v>
      </c>
      <c r="K4363" t="s">
        <v>5471</v>
      </c>
      <c r="L4363" t="s">
        <v>5471</v>
      </c>
      <c r="M4363" t="s">
        <v>5471</v>
      </c>
    </row>
    <row r="4364" spans="1:13" x14ac:dyDescent="0.3">
      <c r="A4364" t="s">
        <v>3388</v>
      </c>
      <c r="B4364" t="s">
        <v>8573</v>
      </c>
      <c r="C4364" t="s">
        <v>5470</v>
      </c>
      <c r="D4364" t="s">
        <v>4056</v>
      </c>
      <c r="E4364" t="s">
        <v>5756</v>
      </c>
      <c r="F4364" t="s">
        <v>17866</v>
      </c>
      <c r="G4364" t="s">
        <v>17867</v>
      </c>
      <c r="H4364" t="s">
        <v>5474</v>
      </c>
      <c r="I4364" t="s">
        <v>17868</v>
      </c>
      <c r="J4364" t="s">
        <v>5476</v>
      </c>
      <c r="K4364" t="s">
        <v>17869</v>
      </c>
      <c r="L4364" t="s">
        <v>5471</v>
      </c>
      <c r="M4364" t="s">
        <v>5471</v>
      </c>
    </row>
    <row r="4365" spans="1:13" x14ac:dyDescent="0.3">
      <c r="A4365" t="s">
        <v>3388</v>
      </c>
      <c r="B4365" t="s">
        <v>8573</v>
      </c>
      <c r="C4365" t="s">
        <v>5470</v>
      </c>
      <c r="D4365" t="s">
        <v>4056</v>
      </c>
      <c r="E4365" t="s">
        <v>5756</v>
      </c>
      <c r="F4365" t="s">
        <v>17870</v>
      </c>
      <c r="G4365" t="s">
        <v>17867</v>
      </c>
      <c r="H4365" t="s">
        <v>5474</v>
      </c>
      <c r="I4365" t="s">
        <v>17871</v>
      </c>
      <c r="J4365" t="s">
        <v>5476</v>
      </c>
      <c r="K4365" t="s">
        <v>17872</v>
      </c>
      <c r="L4365" t="s">
        <v>5471</v>
      </c>
      <c r="M4365" t="s">
        <v>5471</v>
      </c>
    </row>
    <row r="4366" spans="1:13" x14ac:dyDescent="0.3">
      <c r="A4366" t="s">
        <v>3388</v>
      </c>
      <c r="B4366" t="s">
        <v>8573</v>
      </c>
      <c r="C4366" t="s">
        <v>5470</v>
      </c>
      <c r="D4366" t="s">
        <v>4056</v>
      </c>
      <c r="E4366" t="s">
        <v>5756</v>
      </c>
      <c r="F4366" t="s">
        <v>17873</v>
      </c>
      <c r="G4366" t="s">
        <v>17867</v>
      </c>
      <c r="H4366" t="s">
        <v>5474</v>
      </c>
      <c r="I4366" t="s">
        <v>17874</v>
      </c>
      <c r="J4366" t="s">
        <v>5476</v>
      </c>
      <c r="K4366" t="s">
        <v>17875</v>
      </c>
      <c r="L4366" t="s">
        <v>5471</v>
      </c>
      <c r="M4366" t="s">
        <v>5471</v>
      </c>
    </row>
    <row r="4367" spans="1:13" x14ac:dyDescent="0.3">
      <c r="A4367" t="s">
        <v>3388</v>
      </c>
      <c r="B4367" t="s">
        <v>7109</v>
      </c>
      <c r="C4367" t="s">
        <v>5470</v>
      </c>
      <c r="D4367" t="s">
        <v>4056</v>
      </c>
      <c r="E4367" t="s">
        <v>5756</v>
      </c>
      <c r="F4367" t="s">
        <v>17876</v>
      </c>
      <c r="G4367" t="s">
        <v>10493</v>
      </c>
      <c r="H4367" t="s">
        <v>5474</v>
      </c>
      <c r="I4367" t="s">
        <v>17877</v>
      </c>
      <c r="J4367" t="s">
        <v>5476</v>
      </c>
      <c r="K4367" t="s">
        <v>17878</v>
      </c>
      <c r="L4367" t="s">
        <v>5471</v>
      </c>
      <c r="M4367" t="s">
        <v>5471</v>
      </c>
    </row>
    <row r="4368" spans="1:13" x14ac:dyDescent="0.3">
      <c r="A4368" t="s">
        <v>3388</v>
      </c>
      <c r="B4368" t="s">
        <v>7109</v>
      </c>
      <c r="C4368" t="s">
        <v>5470</v>
      </c>
      <c r="D4368" t="s">
        <v>4056</v>
      </c>
      <c r="E4368" t="s">
        <v>5756</v>
      </c>
      <c r="F4368" t="s">
        <v>17879</v>
      </c>
      <c r="G4368" t="s">
        <v>10488</v>
      </c>
      <c r="H4368" t="s">
        <v>5474</v>
      </c>
      <c r="I4368" t="s">
        <v>17880</v>
      </c>
      <c r="J4368" t="s">
        <v>5476</v>
      </c>
      <c r="K4368" t="s">
        <v>17881</v>
      </c>
      <c r="L4368" t="s">
        <v>5471</v>
      </c>
      <c r="M4368" t="s">
        <v>5471</v>
      </c>
    </row>
    <row r="4369" spans="1:13" x14ac:dyDescent="0.3">
      <c r="A4369" t="s">
        <v>3388</v>
      </c>
      <c r="B4369" t="s">
        <v>7109</v>
      </c>
      <c r="C4369" t="s">
        <v>5470</v>
      </c>
      <c r="D4369" t="s">
        <v>4056</v>
      </c>
      <c r="E4369" t="s">
        <v>5756</v>
      </c>
      <c r="F4369" t="s">
        <v>17882</v>
      </c>
      <c r="G4369" t="s">
        <v>10488</v>
      </c>
      <c r="H4369" t="s">
        <v>5474</v>
      </c>
      <c r="I4369" t="s">
        <v>17883</v>
      </c>
      <c r="J4369" t="s">
        <v>5476</v>
      </c>
      <c r="K4369" t="s">
        <v>17884</v>
      </c>
      <c r="L4369" t="s">
        <v>5471</v>
      </c>
      <c r="M4369" t="s">
        <v>5471</v>
      </c>
    </row>
    <row r="4370" spans="1:13" x14ac:dyDescent="0.3">
      <c r="A4370" t="s">
        <v>3388</v>
      </c>
      <c r="B4370" t="s">
        <v>17483</v>
      </c>
      <c r="C4370" t="s">
        <v>5470</v>
      </c>
      <c r="D4370" t="s">
        <v>4058</v>
      </c>
      <c r="E4370" t="s">
        <v>5532</v>
      </c>
      <c r="F4370" t="s">
        <v>17885</v>
      </c>
      <c r="G4370" t="s">
        <v>17485</v>
      </c>
      <c r="H4370" t="s">
        <v>5474</v>
      </c>
      <c r="I4370" t="s">
        <v>17886</v>
      </c>
      <c r="J4370" t="s">
        <v>5476</v>
      </c>
      <c r="K4370" t="s">
        <v>17887</v>
      </c>
      <c r="L4370" t="s">
        <v>5471</v>
      </c>
      <c r="M4370" t="s">
        <v>5471</v>
      </c>
    </row>
    <row r="4371" spans="1:13" x14ac:dyDescent="0.3">
      <c r="A4371" t="s">
        <v>3388</v>
      </c>
      <c r="B4371" t="s">
        <v>17483</v>
      </c>
      <c r="C4371" t="s">
        <v>5470</v>
      </c>
      <c r="D4371" t="s">
        <v>4058</v>
      </c>
      <c r="E4371" t="s">
        <v>5532</v>
      </c>
      <c r="F4371" t="s">
        <v>17888</v>
      </c>
      <c r="G4371" t="s">
        <v>17558</v>
      </c>
      <c r="H4371" t="s">
        <v>5474</v>
      </c>
      <c r="I4371" t="s">
        <v>17889</v>
      </c>
      <c r="J4371" t="s">
        <v>5476</v>
      </c>
      <c r="K4371" t="s">
        <v>17890</v>
      </c>
      <c r="L4371" t="s">
        <v>5471</v>
      </c>
      <c r="M4371" t="s">
        <v>5471</v>
      </c>
    </row>
    <row r="4372" spans="1:13" x14ac:dyDescent="0.3">
      <c r="A4372" t="s">
        <v>3388</v>
      </c>
      <c r="B4372" t="s">
        <v>17483</v>
      </c>
      <c r="C4372" t="s">
        <v>5470</v>
      </c>
      <c r="D4372" t="s">
        <v>4058</v>
      </c>
      <c r="E4372" t="s">
        <v>5532</v>
      </c>
      <c r="F4372" t="s">
        <v>17891</v>
      </c>
      <c r="G4372" t="s">
        <v>17579</v>
      </c>
      <c r="H4372" t="s">
        <v>5474</v>
      </c>
      <c r="I4372" t="s">
        <v>17892</v>
      </c>
      <c r="J4372" t="s">
        <v>5476</v>
      </c>
      <c r="K4372" t="s">
        <v>17893</v>
      </c>
      <c r="L4372" t="s">
        <v>5471</v>
      </c>
      <c r="M4372" t="s">
        <v>5471</v>
      </c>
    </row>
    <row r="4373" spans="1:13" x14ac:dyDescent="0.3">
      <c r="A4373" t="s">
        <v>3388</v>
      </c>
      <c r="B4373" t="s">
        <v>17483</v>
      </c>
      <c r="C4373" t="s">
        <v>5470</v>
      </c>
      <c r="D4373" t="s">
        <v>4058</v>
      </c>
      <c r="E4373" t="s">
        <v>5532</v>
      </c>
      <c r="F4373" t="s">
        <v>17894</v>
      </c>
      <c r="G4373" t="s">
        <v>17579</v>
      </c>
      <c r="H4373" t="s">
        <v>5474</v>
      </c>
      <c r="I4373" t="s">
        <v>17895</v>
      </c>
      <c r="J4373" t="s">
        <v>5476</v>
      </c>
      <c r="K4373" t="s">
        <v>17896</v>
      </c>
      <c r="L4373" t="s">
        <v>5471</v>
      </c>
      <c r="M4373" t="s">
        <v>5471</v>
      </c>
    </row>
    <row r="4374" spans="1:13" x14ac:dyDescent="0.3">
      <c r="A4374" t="s">
        <v>3388</v>
      </c>
      <c r="B4374" t="s">
        <v>15961</v>
      </c>
      <c r="C4374" t="s">
        <v>5470</v>
      </c>
      <c r="D4374" t="s">
        <v>4056</v>
      </c>
      <c r="E4374" t="s">
        <v>5756</v>
      </c>
      <c r="F4374" t="s">
        <v>17897</v>
      </c>
      <c r="G4374" t="s">
        <v>8286</v>
      </c>
      <c r="H4374" t="s">
        <v>5474</v>
      </c>
      <c r="I4374" t="s">
        <v>17898</v>
      </c>
      <c r="J4374" t="s">
        <v>5476</v>
      </c>
      <c r="K4374" t="s">
        <v>17899</v>
      </c>
      <c r="L4374" t="s">
        <v>5471</v>
      </c>
      <c r="M4374" t="s">
        <v>5471</v>
      </c>
    </row>
    <row r="4375" spans="1:13" x14ac:dyDescent="0.3">
      <c r="A4375" t="s">
        <v>3388</v>
      </c>
      <c r="B4375" t="s">
        <v>15961</v>
      </c>
      <c r="C4375" t="s">
        <v>5470</v>
      </c>
      <c r="D4375" t="s">
        <v>4056</v>
      </c>
      <c r="E4375" t="s">
        <v>5756</v>
      </c>
      <c r="F4375" t="s">
        <v>17900</v>
      </c>
      <c r="G4375" t="s">
        <v>8286</v>
      </c>
      <c r="H4375" t="s">
        <v>5474</v>
      </c>
      <c r="I4375" t="s">
        <v>17901</v>
      </c>
      <c r="J4375" t="s">
        <v>5476</v>
      </c>
      <c r="K4375" t="s">
        <v>17902</v>
      </c>
      <c r="L4375" t="s">
        <v>5471</v>
      </c>
      <c r="M4375" t="s">
        <v>5471</v>
      </c>
    </row>
    <row r="4376" spans="1:13" x14ac:dyDescent="0.3">
      <c r="A4376" t="s">
        <v>3388</v>
      </c>
      <c r="B4376" t="s">
        <v>15961</v>
      </c>
      <c r="C4376" t="s">
        <v>5470</v>
      </c>
      <c r="D4376" t="s">
        <v>4056</v>
      </c>
      <c r="E4376" t="s">
        <v>5756</v>
      </c>
      <c r="F4376" t="s">
        <v>17903</v>
      </c>
      <c r="G4376" t="s">
        <v>8286</v>
      </c>
      <c r="H4376" t="s">
        <v>5474</v>
      </c>
      <c r="I4376" t="s">
        <v>17904</v>
      </c>
      <c r="J4376" t="s">
        <v>5476</v>
      </c>
      <c r="K4376" t="s">
        <v>17905</v>
      </c>
      <c r="L4376" t="s">
        <v>5471</v>
      </c>
      <c r="M4376" t="s">
        <v>5471</v>
      </c>
    </row>
    <row r="4377" spans="1:13" x14ac:dyDescent="0.3">
      <c r="A4377" t="s">
        <v>3388</v>
      </c>
      <c r="B4377" t="s">
        <v>15961</v>
      </c>
      <c r="C4377" t="s">
        <v>5470</v>
      </c>
      <c r="D4377" t="s">
        <v>4056</v>
      </c>
      <c r="E4377" t="s">
        <v>5756</v>
      </c>
      <c r="F4377" t="s">
        <v>17906</v>
      </c>
      <c r="G4377" t="s">
        <v>17907</v>
      </c>
      <c r="H4377" t="s">
        <v>5474</v>
      </c>
      <c r="I4377" t="s">
        <v>17908</v>
      </c>
      <c r="J4377" t="s">
        <v>5476</v>
      </c>
      <c r="K4377" t="s">
        <v>17909</v>
      </c>
      <c r="L4377" t="s">
        <v>5471</v>
      </c>
      <c r="M4377" t="s">
        <v>5471</v>
      </c>
    </row>
    <row r="4378" spans="1:13" x14ac:dyDescent="0.3">
      <c r="A4378" t="s">
        <v>3388</v>
      </c>
      <c r="B4378" t="s">
        <v>15961</v>
      </c>
      <c r="C4378" t="s">
        <v>5470</v>
      </c>
      <c r="D4378" t="s">
        <v>4056</v>
      </c>
      <c r="E4378" t="s">
        <v>5756</v>
      </c>
      <c r="F4378" t="s">
        <v>17910</v>
      </c>
      <c r="G4378" t="s">
        <v>17907</v>
      </c>
      <c r="H4378" t="s">
        <v>5474</v>
      </c>
      <c r="I4378" t="s">
        <v>17911</v>
      </c>
      <c r="J4378" t="s">
        <v>5476</v>
      </c>
      <c r="K4378" t="s">
        <v>17912</v>
      </c>
      <c r="L4378" t="s">
        <v>5471</v>
      </c>
      <c r="M4378" t="s">
        <v>5471</v>
      </c>
    </row>
    <row r="4379" spans="1:13" x14ac:dyDescent="0.3">
      <c r="A4379" t="s">
        <v>3388</v>
      </c>
      <c r="B4379" t="s">
        <v>15961</v>
      </c>
      <c r="C4379" t="s">
        <v>5470</v>
      </c>
      <c r="D4379" t="s">
        <v>4056</v>
      </c>
      <c r="E4379" t="s">
        <v>5756</v>
      </c>
      <c r="F4379" t="s">
        <v>17913</v>
      </c>
      <c r="G4379" t="s">
        <v>17907</v>
      </c>
      <c r="H4379" t="s">
        <v>5474</v>
      </c>
      <c r="I4379" t="s">
        <v>17914</v>
      </c>
      <c r="J4379" t="s">
        <v>5476</v>
      </c>
      <c r="K4379" t="s">
        <v>17915</v>
      </c>
      <c r="L4379" t="s">
        <v>5471</v>
      </c>
      <c r="M4379" t="s">
        <v>5471</v>
      </c>
    </row>
    <row r="4380" spans="1:13" x14ac:dyDescent="0.3">
      <c r="A4380" t="s">
        <v>3388</v>
      </c>
      <c r="B4380" t="s">
        <v>9921</v>
      </c>
      <c r="C4380" t="s">
        <v>5470</v>
      </c>
      <c r="D4380" t="s">
        <v>4058</v>
      </c>
      <c r="E4380" t="s">
        <v>5617</v>
      </c>
      <c r="F4380" t="s">
        <v>17916</v>
      </c>
      <c r="G4380" t="s">
        <v>17621</v>
      </c>
      <c r="H4380" t="s">
        <v>5474</v>
      </c>
      <c r="I4380" t="s">
        <v>17917</v>
      </c>
      <c r="J4380" t="s">
        <v>5476</v>
      </c>
      <c r="K4380" t="s">
        <v>17918</v>
      </c>
      <c r="L4380" t="s">
        <v>5471</v>
      </c>
      <c r="M4380" t="s">
        <v>5471</v>
      </c>
    </row>
    <row r="4381" spans="1:13" x14ac:dyDescent="0.3">
      <c r="A4381" t="s">
        <v>3388</v>
      </c>
      <c r="B4381" t="s">
        <v>15961</v>
      </c>
      <c r="C4381" t="s">
        <v>5470</v>
      </c>
      <c r="D4381" t="s">
        <v>10218</v>
      </c>
      <c r="E4381" t="s">
        <v>5756</v>
      </c>
      <c r="F4381" t="s">
        <v>17919</v>
      </c>
      <c r="G4381" t="s">
        <v>17862</v>
      </c>
      <c r="H4381" t="s">
        <v>5474</v>
      </c>
      <c r="I4381" t="s">
        <v>17920</v>
      </c>
      <c r="J4381" t="s">
        <v>5476</v>
      </c>
      <c r="K4381" t="s">
        <v>5471</v>
      </c>
      <c r="L4381" t="s">
        <v>5471</v>
      </c>
      <c r="M4381" t="s">
        <v>5471</v>
      </c>
    </row>
    <row r="4382" spans="1:13" x14ac:dyDescent="0.3">
      <c r="A4382" t="s">
        <v>3388</v>
      </c>
      <c r="B4382" t="s">
        <v>17483</v>
      </c>
      <c r="C4382" t="s">
        <v>5470</v>
      </c>
      <c r="D4382" t="s">
        <v>4058</v>
      </c>
      <c r="E4382" t="s">
        <v>5843</v>
      </c>
      <c r="F4382" t="s">
        <v>17921</v>
      </c>
      <c r="G4382" t="s">
        <v>17562</v>
      </c>
      <c r="H4382" t="s">
        <v>5474</v>
      </c>
      <c r="I4382" t="s">
        <v>17922</v>
      </c>
      <c r="J4382" t="s">
        <v>5476</v>
      </c>
      <c r="K4382" t="s">
        <v>17923</v>
      </c>
      <c r="L4382" t="s">
        <v>5471</v>
      </c>
      <c r="M4382" t="s">
        <v>5471</v>
      </c>
    </row>
    <row r="4383" spans="1:13" x14ac:dyDescent="0.3">
      <c r="A4383" t="s">
        <v>3388</v>
      </c>
      <c r="B4383" t="s">
        <v>17483</v>
      </c>
      <c r="C4383" t="s">
        <v>5470</v>
      </c>
      <c r="D4383" t="s">
        <v>4058</v>
      </c>
      <c r="E4383" t="s">
        <v>5843</v>
      </c>
      <c r="F4383" t="s">
        <v>17924</v>
      </c>
      <c r="G4383" t="s">
        <v>17562</v>
      </c>
      <c r="H4383" t="s">
        <v>5474</v>
      </c>
      <c r="I4383" t="s">
        <v>17925</v>
      </c>
      <c r="J4383" t="s">
        <v>5476</v>
      </c>
      <c r="K4383" t="s">
        <v>17926</v>
      </c>
      <c r="L4383" t="s">
        <v>5471</v>
      </c>
      <c r="M4383" t="s">
        <v>5471</v>
      </c>
    </row>
    <row r="4384" spans="1:13" x14ac:dyDescent="0.3">
      <c r="A4384" t="s">
        <v>3388</v>
      </c>
      <c r="B4384" t="s">
        <v>17483</v>
      </c>
      <c r="C4384" t="s">
        <v>5470</v>
      </c>
      <c r="D4384" t="s">
        <v>4058</v>
      </c>
      <c r="E4384" t="s">
        <v>5532</v>
      </c>
      <c r="F4384" t="s">
        <v>17927</v>
      </c>
      <c r="G4384" t="s">
        <v>17579</v>
      </c>
      <c r="H4384" t="s">
        <v>5474</v>
      </c>
      <c r="I4384" t="s">
        <v>17928</v>
      </c>
      <c r="J4384" t="s">
        <v>5476</v>
      </c>
      <c r="K4384" t="s">
        <v>17929</v>
      </c>
      <c r="L4384" t="s">
        <v>5471</v>
      </c>
      <c r="M4384" t="s">
        <v>5471</v>
      </c>
    </row>
    <row r="4385" spans="1:13" x14ac:dyDescent="0.3">
      <c r="A4385" t="s">
        <v>3388</v>
      </c>
      <c r="B4385" t="s">
        <v>15961</v>
      </c>
      <c r="C4385" t="s">
        <v>5470</v>
      </c>
      <c r="D4385" t="s">
        <v>4056</v>
      </c>
      <c r="E4385" t="s">
        <v>5756</v>
      </c>
      <c r="F4385" t="s">
        <v>17930</v>
      </c>
      <c r="G4385" t="s">
        <v>10454</v>
      </c>
      <c r="H4385" t="s">
        <v>5474</v>
      </c>
      <c r="I4385" t="s">
        <v>17931</v>
      </c>
      <c r="J4385" t="s">
        <v>5476</v>
      </c>
      <c r="K4385" t="s">
        <v>17932</v>
      </c>
      <c r="L4385" t="s">
        <v>5471</v>
      </c>
      <c r="M4385" t="s">
        <v>5471</v>
      </c>
    </row>
    <row r="4386" spans="1:13" x14ac:dyDescent="0.3">
      <c r="A4386" t="s">
        <v>3388</v>
      </c>
      <c r="B4386" t="s">
        <v>15961</v>
      </c>
      <c r="C4386" t="s">
        <v>5470</v>
      </c>
      <c r="D4386" t="s">
        <v>4056</v>
      </c>
      <c r="E4386" t="s">
        <v>5756</v>
      </c>
      <c r="F4386" t="s">
        <v>17933</v>
      </c>
      <c r="G4386" t="s">
        <v>10454</v>
      </c>
      <c r="H4386" t="s">
        <v>5474</v>
      </c>
      <c r="I4386" t="s">
        <v>17934</v>
      </c>
      <c r="J4386" t="s">
        <v>5476</v>
      </c>
      <c r="K4386" t="s">
        <v>17935</v>
      </c>
      <c r="L4386" t="s">
        <v>5471</v>
      </c>
      <c r="M4386" t="s">
        <v>5471</v>
      </c>
    </row>
    <row r="4387" spans="1:13" x14ac:dyDescent="0.3">
      <c r="A4387" t="s">
        <v>3388</v>
      </c>
      <c r="B4387" t="s">
        <v>15961</v>
      </c>
      <c r="C4387" t="s">
        <v>5470</v>
      </c>
      <c r="D4387" t="s">
        <v>4056</v>
      </c>
      <c r="E4387" t="s">
        <v>5756</v>
      </c>
      <c r="F4387" t="s">
        <v>17936</v>
      </c>
      <c r="G4387" t="s">
        <v>10454</v>
      </c>
      <c r="H4387" t="s">
        <v>5474</v>
      </c>
      <c r="I4387" t="s">
        <v>17937</v>
      </c>
      <c r="J4387" t="s">
        <v>5476</v>
      </c>
      <c r="K4387" t="s">
        <v>17938</v>
      </c>
      <c r="L4387" t="s">
        <v>5471</v>
      </c>
      <c r="M4387" t="s">
        <v>5471</v>
      </c>
    </row>
    <row r="4388" spans="1:13" x14ac:dyDescent="0.3">
      <c r="A4388" t="s">
        <v>3388</v>
      </c>
      <c r="B4388" t="s">
        <v>15961</v>
      </c>
      <c r="C4388" t="s">
        <v>5470</v>
      </c>
      <c r="D4388" t="s">
        <v>4056</v>
      </c>
      <c r="E4388" t="s">
        <v>5756</v>
      </c>
      <c r="F4388" t="s">
        <v>17939</v>
      </c>
      <c r="G4388" t="s">
        <v>17940</v>
      </c>
      <c r="H4388" t="s">
        <v>5474</v>
      </c>
      <c r="I4388" t="s">
        <v>17941</v>
      </c>
      <c r="J4388" t="s">
        <v>5476</v>
      </c>
      <c r="K4388" t="s">
        <v>17942</v>
      </c>
      <c r="L4388" t="s">
        <v>5471</v>
      </c>
      <c r="M4388" t="s">
        <v>5471</v>
      </c>
    </row>
    <row r="4389" spans="1:13" x14ac:dyDescent="0.3">
      <c r="A4389" t="s">
        <v>3388</v>
      </c>
      <c r="B4389" t="s">
        <v>15961</v>
      </c>
      <c r="C4389" t="s">
        <v>5470</v>
      </c>
      <c r="D4389" t="s">
        <v>4056</v>
      </c>
      <c r="E4389" t="s">
        <v>5756</v>
      </c>
      <c r="F4389" t="s">
        <v>17943</v>
      </c>
      <c r="G4389" t="s">
        <v>17940</v>
      </c>
      <c r="H4389" t="s">
        <v>5474</v>
      </c>
      <c r="I4389" t="s">
        <v>17944</v>
      </c>
      <c r="J4389" t="s">
        <v>5476</v>
      </c>
      <c r="K4389" t="s">
        <v>17945</v>
      </c>
      <c r="L4389" t="s">
        <v>5471</v>
      </c>
      <c r="M4389" t="s">
        <v>5471</v>
      </c>
    </row>
    <row r="4390" spans="1:13" x14ac:dyDescent="0.3">
      <c r="A4390" t="s">
        <v>3388</v>
      </c>
      <c r="B4390" t="s">
        <v>10852</v>
      </c>
      <c r="C4390" t="s">
        <v>5470</v>
      </c>
      <c r="D4390" t="s">
        <v>4056</v>
      </c>
      <c r="E4390" t="s">
        <v>5756</v>
      </c>
      <c r="F4390" t="s">
        <v>17946</v>
      </c>
      <c r="G4390" t="s">
        <v>16902</v>
      </c>
      <c r="H4390" t="s">
        <v>5474</v>
      </c>
      <c r="I4390" t="s">
        <v>17947</v>
      </c>
      <c r="J4390" t="s">
        <v>5476</v>
      </c>
      <c r="K4390" t="s">
        <v>17948</v>
      </c>
      <c r="L4390" t="s">
        <v>5471</v>
      </c>
      <c r="M4390" t="s">
        <v>5471</v>
      </c>
    </row>
    <row r="4391" spans="1:13" x14ac:dyDescent="0.3">
      <c r="A4391" t="s">
        <v>3388</v>
      </c>
      <c r="B4391" t="s">
        <v>10852</v>
      </c>
      <c r="C4391" t="s">
        <v>5470</v>
      </c>
      <c r="D4391" t="s">
        <v>4056</v>
      </c>
      <c r="E4391" t="s">
        <v>5756</v>
      </c>
      <c r="F4391" t="s">
        <v>17949</v>
      </c>
      <c r="G4391" t="s">
        <v>16902</v>
      </c>
      <c r="H4391" t="s">
        <v>5474</v>
      </c>
      <c r="I4391" t="s">
        <v>17950</v>
      </c>
      <c r="J4391" t="s">
        <v>5476</v>
      </c>
      <c r="K4391" t="s">
        <v>17951</v>
      </c>
      <c r="L4391" t="s">
        <v>5471</v>
      </c>
      <c r="M4391" t="s">
        <v>5471</v>
      </c>
    </row>
    <row r="4392" spans="1:13" x14ac:dyDescent="0.3">
      <c r="A4392" t="s">
        <v>3388</v>
      </c>
      <c r="B4392" t="s">
        <v>10852</v>
      </c>
      <c r="C4392" t="s">
        <v>5470</v>
      </c>
      <c r="D4392" t="s">
        <v>4056</v>
      </c>
      <c r="E4392" t="s">
        <v>5756</v>
      </c>
      <c r="F4392" t="s">
        <v>17952</v>
      </c>
      <c r="G4392" t="s">
        <v>16902</v>
      </c>
      <c r="H4392" t="s">
        <v>5474</v>
      </c>
      <c r="I4392" t="s">
        <v>17953</v>
      </c>
      <c r="J4392" t="s">
        <v>5476</v>
      </c>
      <c r="K4392" t="s">
        <v>17954</v>
      </c>
      <c r="L4392" t="s">
        <v>5471</v>
      </c>
      <c r="M4392" t="s">
        <v>5471</v>
      </c>
    </row>
    <row r="4393" spans="1:13" x14ac:dyDescent="0.3">
      <c r="A4393" t="s">
        <v>3388</v>
      </c>
      <c r="B4393" t="s">
        <v>9921</v>
      </c>
      <c r="C4393" t="s">
        <v>5470</v>
      </c>
      <c r="D4393" t="s">
        <v>4058</v>
      </c>
      <c r="E4393" t="s">
        <v>5617</v>
      </c>
      <c r="F4393" t="s">
        <v>17955</v>
      </c>
      <c r="G4393" t="s">
        <v>17617</v>
      </c>
      <c r="H4393" t="s">
        <v>5474</v>
      </c>
      <c r="I4393" t="s">
        <v>17956</v>
      </c>
      <c r="J4393" t="s">
        <v>5476</v>
      </c>
      <c r="K4393" t="s">
        <v>17957</v>
      </c>
      <c r="L4393" t="s">
        <v>5471</v>
      </c>
      <c r="M4393" t="s">
        <v>5471</v>
      </c>
    </row>
    <row r="4394" spans="1:13" x14ac:dyDescent="0.3">
      <c r="A4394" t="s">
        <v>3388</v>
      </c>
      <c r="B4394" t="s">
        <v>10852</v>
      </c>
      <c r="C4394" t="s">
        <v>5470</v>
      </c>
      <c r="D4394" t="s">
        <v>4056</v>
      </c>
      <c r="E4394" t="s">
        <v>5756</v>
      </c>
      <c r="F4394" t="s">
        <v>17958</v>
      </c>
      <c r="G4394" t="s">
        <v>16914</v>
      </c>
      <c r="H4394" t="s">
        <v>5474</v>
      </c>
      <c r="I4394" t="s">
        <v>17959</v>
      </c>
      <c r="J4394" t="s">
        <v>5476</v>
      </c>
      <c r="K4394" t="s">
        <v>17960</v>
      </c>
      <c r="L4394" t="s">
        <v>5471</v>
      </c>
      <c r="M4394" t="s">
        <v>5471</v>
      </c>
    </row>
    <row r="4395" spans="1:13" x14ac:dyDescent="0.3">
      <c r="A4395" t="s">
        <v>3388</v>
      </c>
      <c r="B4395" t="s">
        <v>10852</v>
      </c>
      <c r="C4395" t="s">
        <v>5470</v>
      </c>
      <c r="D4395" t="s">
        <v>4056</v>
      </c>
      <c r="E4395" t="s">
        <v>5756</v>
      </c>
      <c r="F4395" t="s">
        <v>17961</v>
      </c>
      <c r="G4395" t="s">
        <v>16914</v>
      </c>
      <c r="H4395" t="s">
        <v>5474</v>
      </c>
      <c r="I4395" t="s">
        <v>17962</v>
      </c>
      <c r="J4395" t="s">
        <v>5476</v>
      </c>
      <c r="K4395" t="s">
        <v>17963</v>
      </c>
      <c r="L4395" t="s">
        <v>5471</v>
      </c>
      <c r="M4395" t="s">
        <v>5471</v>
      </c>
    </row>
    <row r="4396" spans="1:13" x14ac:dyDescent="0.3">
      <c r="A4396" t="s">
        <v>3388</v>
      </c>
      <c r="B4396" t="s">
        <v>10852</v>
      </c>
      <c r="C4396" t="s">
        <v>5470</v>
      </c>
      <c r="D4396" t="s">
        <v>4056</v>
      </c>
      <c r="E4396" t="s">
        <v>5756</v>
      </c>
      <c r="F4396" t="s">
        <v>17964</v>
      </c>
      <c r="G4396" t="s">
        <v>16917</v>
      </c>
      <c r="H4396" t="s">
        <v>5474</v>
      </c>
      <c r="I4396" t="s">
        <v>17965</v>
      </c>
      <c r="J4396" t="s">
        <v>5476</v>
      </c>
      <c r="K4396" t="s">
        <v>17966</v>
      </c>
      <c r="L4396" t="s">
        <v>5471</v>
      </c>
      <c r="M4396" t="s">
        <v>5471</v>
      </c>
    </row>
    <row r="4397" spans="1:13" x14ac:dyDescent="0.3">
      <c r="A4397" t="s">
        <v>3388</v>
      </c>
      <c r="B4397" t="s">
        <v>10852</v>
      </c>
      <c r="C4397" t="s">
        <v>5470</v>
      </c>
      <c r="D4397" t="s">
        <v>4056</v>
      </c>
      <c r="E4397" t="s">
        <v>5756</v>
      </c>
      <c r="F4397" t="s">
        <v>17967</v>
      </c>
      <c r="G4397" t="s">
        <v>16917</v>
      </c>
      <c r="H4397" t="s">
        <v>5474</v>
      </c>
      <c r="I4397" t="s">
        <v>17968</v>
      </c>
      <c r="J4397" t="s">
        <v>5476</v>
      </c>
      <c r="K4397" t="s">
        <v>17969</v>
      </c>
      <c r="L4397" t="s">
        <v>5471</v>
      </c>
      <c r="M4397" t="s">
        <v>5471</v>
      </c>
    </row>
    <row r="4398" spans="1:13" x14ac:dyDescent="0.3">
      <c r="A4398" t="s">
        <v>3388</v>
      </c>
      <c r="B4398" t="s">
        <v>10852</v>
      </c>
      <c r="C4398" t="s">
        <v>5470</v>
      </c>
      <c r="D4398" t="s">
        <v>4056</v>
      </c>
      <c r="E4398" t="s">
        <v>5756</v>
      </c>
      <c r="F4398" t="s">
        <v>17970</v>
      </c>
      <c r="G4398" t="s">
        <v>16917</v>
      </c>
      <c r="H4398" t="s">
        <v>5474</v>
      </c>
      <c r="I4398" t="s">
        <v>17971</v>
      </c>
      <c r="J4398" t="s">
        <v>5476</v>
      </c>
      <c r="K4398" t="s">
        <v>17972</v>
      </c>
      <c r="L4398" t="s">
        <v>5471</v>
      </c>
      <c r="M4398" t="s">
        <v>5471</v>
      </c>
    </row>
    <row r="4399" spans="1:13" x14ac:dyDescent="0.3">
      <c r="A4399" t="s">
        <v>3388</v>
      </c>
      <c r="B4399" t="s">
        <v>10852</v>
      </c>
      <c r="C4399" t="s">
        <v>5470</v>
      </c>
      <c r="D4399" t="s">
        <v>4056</v>
      </c>
      <c r="E4399" t="s">
        <v>5756</v>
      </c>
      <c r="F4399" t="s">
        <v>17973</v>
      </c>
      <c r="G4399" t="s">
        <v>17974</v>
      </c>
      <c r="H4399" t="s">
        <v>5474</v>
      </c>
      <c r="I4399" t="s">
        <v>17975</v>
      </c>
      <c r="J4399" t="s">
        <v>5476</v>
      </c>
      <c r="K4399" t="s">
        <v>17976</v>
      </c>
      <c r="L4399" t="s">
        <v>5471</v>
      </c>
      <c r="M4399" t="s">
        <v>5471</v>
      </c>
    </row>
    <row r="4400" spans="1:13" x14ac:dyDescent="0.3">
      <c r="A4400" t="s">
        <v>3388</v>
      </c>
      <c r="B4400" t="s">
        <v>10852</v>
      </c>
      <c r="C4400" t="s">
        <v>5470</v>
      </c>
      <c r="D4400" t="s">
        <v>4056</v>
      </c>
      <c r="E4400" t="s">
        <v>5756</v>
      </c>
      <c r="F4400" t="s">
        <v>17977</v>
      </c>
      <c r="G4400" t="s">
        <v>17974</v>
      </c>
      <c r="H4400" t="s">
        <v>5474</v>
      </c>
      <c r="I4400" t="s">
        <v>17978</v>
      </c>
      <c r="J4400" t="s">
        <v>5476</v>
      </c>
      <c r="K4400" t="s">
        <v>17979</v>
      </c>
      <c r="L4400" t="s">
        <v>5471</v>
      </c>
      <c r="M4400" t="s">
        <v>5471</v>
      </c>
    </row>
    <row r="4401" spans="1:13" x14ac:dyDescent="0.3">
      <c r="A4401" t="s">
        <v>3388</v>
      </c>
      <c r="B4401" t="s">
        <v>10852</v>
      </c>
      <c r="C4401" t="s">
        <v>5470</v>
      </c>
      <c r="D4401" t="s">
        <v>4056</v>
      </c>
      <c r="E4401" t="s">
        <v>5756</v>
      </c>
      <c r="F4401" t="s">
        <v>17980</v>
      </c>
      <c r="G4401" t="s">
        <v>17974</v>
      </c>
      <c r="H4401" t="s">
        <v>5474</v>
      </c>
      <c r="I4401" t="s">
        <v>17981</v>
      </c>
      <c r="J4401" t="s">
        <v>5476</v>
      </c>
      <c r="K4401" t="s">
        <v>17982</v>
      </c>
      <c r="L4401" t="s">
        <v>5471</v>
      </c>
      <c r="M4401" t="s">
        <v>5471</v>
      </c>
    </row>
    <row r="4402" spans="1:13" x14ac:dyDescent="0.3">
      <c r="A4402" t="s">
        <v>3388</v>
      </c>
      <c r="B4402" t="s">
        <v>7109</v>
      </c>
      <c r="C4402" t="s">
        <v>5470</v>
      </c>
      <c r="D4402" t="s">
        <v>4056</v>
      </c>
      <c r="E4402" t="s">
        <v>5756</v>
      </c>
      <c r="F4402" t="s">
        <v>17983</v>
      </c>
      <c r="G4402" t="s">
        <v>10488</v>
      </c>
      <c r="H4402" t="s">
        <v>5474</v>
      </c>
      <c r="I4402" t="s">
        <v>17984</v>
      </c>
      <c r="J4402" t="s">
        <v>5476</v>
      </c>
      <c r="K4402" t="s">
        <v>17985</v>
      </c>
      <c r="L4402" t="s">
        <v>5471</v>
      </c>
      <c r="M4402" t="s">
        <v>5471</v>
      </c>
    </row>
    <row r="4403" spans="1:13" x14ac:dyDescent="0.3">
      <c r="A4403" t="s">
        <v>3388</v>
      </c>
      <c r="B4403" t="s">
        <v>10496</v>
      </c>
      <c r="C4403" t="s">
        <v>5470</v>
      </c>
      <c r="D4403" t="s">
        <v>10210</v>
      </c>
      <c r="E4403" t="s">
        <v>5471</v>
      </c>
      <c r="F4403" t="s">
        <v>17986</v>
      </c>
      <c r="G4403" t="s">
        <v>10498</v>
      </c>
      <c r="H4403" t="s">
        <v>5474</v>
      </c>
      <c r="I4403" t="s">
        <v>17987</v>
      </c>
      <c r="J4403" t="s">
        <v>5476</v>
      </c>
      <c r="K4403" t="s">
        <v>17988</v>
      </c>
      <c r="L4403" t="s">
        <v>5471</v>
      </c>
      <c r="M4403" t="s">
        <v>5471</v>
      </c>
    </row>
    <row r="4404" spans="1:13" x14ac:dyDescent="0.3">
      <c r="A4404" t="s">
        <v>3388</v>
      </c>
      <c r="B4404" t="s">
        <v>17989</v>
      </c>
      <c r="C4404" t="s">
        <v>5470</v>
      </c>
      <c r="D4404" t="s">
        <v>10210</v>
      </c>
      <c r="E4404" t="s">
        <v>5471</v>
      </c>
      <c r="F4404" t="s">
        <v>17990</v>
      </c>
      <c r="G4404" t="s">
        <v>5473</v>
      </c>
      <c r="H4404" t="s">
        <v>5474</v>
      </c>
      <c r="I4404" t="s">
        <v>17991</v>
      </c>
      <c r="J4404" t="s">
        <v>5476</v>
      </c>
      <c r="K4404" t="s">
        <v>17992</v>
      </c>
      <c r="L4404" t="s">
        <v>5471</v>
      </c>
      <c r="M4404" t="s">
        <v>5471</v>
      </c>
    </row>
    <row r="4405" spans="1:13" x14ac:dyDescent="0.3">
      <c r="A4405" t="s">
        <v>3388</v>
      </c>
      <c r="B4405" t="s">
        <v>17993</v>
      </c>
      <c r="C4405" t="s">
        <v>5470</v>
      </c>
      <c r="D4405" t="s">
        <v>10210</v>
      </c>
      <c r="E4405" t="s">
        <v>5471</v>
      </c>
      <c r="F4405" t="s">
        <v>17994</v>
      </c>
      <c r="G4405" t="s">
        <v>8317</v>
      </c>
      <c r="H4405" t="s">
        <v>5474</v>
      </c>
      <c r="I4405" t="s">
        <v>17995</v>
      </c>
      <c r="J4405" t="s">
        <v>5476</v>
      </c>
      <c r="K4405" t="s">
        <v>17996</v>
      </c>
      <c r="L4405" t="s">
        <v>5471</v>
      </c>
      <c r="M4405" t="s">
        <v>5471</v>
      </c>
    </row>
    <row r="4406" spans="1:13" x14ac:dyDescent="0.3">
      <c r="A4406" t="s">
        <v>3388</v>
      </c>
      <c r="B4406" t="s">
        <v>17993</v>
      </c>
      <c r="C4406" t="s">
        <v>5470</v>
      </c>
      <c r="D4406" t="s">
        <v>10210</v>
      </c>
      <c r="E4406" t="s">
        <v>5471</v>
      </c>
      <c r="F4406" t="s">
        <v>17997</v>
      </c>
      <c r="G4406" t="s">
        <v>8317</v>
      </c>
      <c r="H4406" t="s">
        <v>5474</v>
      </c>
      <c r="I4406" t="s">
        <v>17998</v>
      </c>
      <c r="J4406" t="s">
        <v>5476</v>
      </c>
      <c r="K4406" t="s">
        <v>17999</v>
      </c>
      <c r="L4406" t="s">
        <v>5471</v>
      </c>
      <c r="M4406" t="s">
        <v>5471</v>
      </c>
    </row>
    <row r="4407" spans="1:13" x14ac:dyDescent="0.3">
      <c r="A4407" t="s">
        <v>3388</v>
      </c>
      <c r="B4407" t="s">
        <v>18000</v>
      </c>
      <c r="C4407" t="s">
        <v>5470</v>
      </c>
      <c r="D4407" t="s">
        <v>10210</v>
      </c>
      <c r="E4407" t="s">
        <v>5471</v>
      </c>
      <c r="F4407" t="s">
        <v>18001</v>
      </c>
      <c r="G4407" t="s">
        <v>18002</v>
      </c>
      <c r="H4407" t="s">
        <v>5474</v>
      </c>
      <c r="I4407" t="s">
        <v>18003</v>
      </c>
      <c r="J4407" t="s">
        <v>5476</v>
      </c>
      <c r="K4407" t="s">
        <v>18004</v>
      </c>
      <c r="L4407" t="s">
        <v>5471</v>
      </c>
      <c r="M4407" t="s">
        <v>5471</v>
      </c>
    </row>
    <row r="4408" spans="1:13" x14ac:dyDescent="0.3">
      <c r="A4408" t="s">
        <v>3388</v>
      </c>
      <c r="B4408" t="s">
        <v>18000</v>
      </c>
      <c r="C4408" t="s">
        <v>5470</v>
      </c>
      <c r="D4408" t="s">
        <v>10210</v>
      </c>
      <c r="E4408" t="s">
        <v>5471</v>
      </c>
      <c r="F4408" t="s">
        <v>18005</v>
      </c>
      <c r="G4408" t="s">
        <v>18002</v>
      </c>
      <c r="H4408" t="s">
        <v>5474</v>
      </c>
      <c r="I4408" t="s">
        <v>18006</v>
      </c>
      <c r="J4408" t="s">
        <v>5476</v>
      </c>
      <c r="K4408" t="s">
        <v>18007</v>
      </c>
      <c r="L4408" t="s">
        <v>5471</v>
      </c>
      <c r="M4408" t="s">
        <v>5471</v>
      </c>
    </row>
    <row r="4409" spans="1:13" x14ac:dyDescent="0.3">
      <c r="A4409" t="s">
        <v>3388</v>
      </c>
      <c r="B4409" t="s">
        <v>18000</v>
      </c>
      <c r="C4409" t="s">
        <v>5470</v>
      </c>
      <c r="D4409" t="s">
        <v>10210</v>
      </c>
      <c r="E4409" t="s">
        <v>5471</v>
      </c>
      <c r="F4409" t="s">
        <v>18008</v>
      </c>
      <c r="G4409" t="s">
        <v>18002</v>
      </c>
      <c r="H4409" t="s">
        <v>5474</v>
      </c>
      <c r="I4409" t="s">
        <v>18009</v>
      </c>
      <c r="J4409" t="s">
        <v>5476</v>
      </c>
      <c r="K4409" t="s">
        <v>18010</v>
      </c>
      <c r="L4409" t="s">
        <v>5471</v>
      </c>
      <c r="M4409" t="s">
        <v>5471</v>
      </c>
    </row>
    <row r="4410" spans="1:13" x14ac:dyDescent="0.3">
      <c r="A4410" t="s">
        <v>3388</v>
      </c>
      <c r="B4410" t="s">
        <v>18000</v>
      </c>
      <c r="C4410" t="s">
        <v>5470</v>
      </c>
      <c r="D4410" t="s">
        <v>10210</v>
      </c>
      <c r="E4410" t="s">
        <v>5471</v>
      </c>
      <c r="F4410" t="s">
        <v>18011</v>
      </c>
      <c r="G4410" t="s">
        <v>18002</v>
      </c>
      <c r="H4410" t="s">
        <v>5474</v>
      </c>
      <c r="I4410" t="s">
        <v>18012</v>
      </c>
      <c r="J4410" t="s">
        <v>5476</v>
      </c>
      <c r="K4410" t="s">
        <v>18013</v>
      </c>
      <c r="L4410" t="s">
        <v>5471</v>
      </c>
      <c r="M4410" t="s">
        <v>5471</v>
      </c>
    </row>
    <row r="4411" spans="1:13" x14ac:dyDescent="0.3">
      <c r="A4411" t="s">
        <v>3388</v>
      </c>
      <c r="B4411" t="s">
        <v>18000</v>
      </c>
      <c r="C4411" t="s">
        <v>5470</v>
      </c>
      <c r="D4411" t="s">
        <v>10210</v>
      </c>
      <c r="E4411" t="s">
        <v>5471</v>
      </c>
      <c r="F4411" t="s">
        <v>18014</v>
      </c>
      <c r="G4411" t="s">
        <v>18002</v>
      </c>
      <c r="H4411" t="s">
        <v>5474</v>
      </c>
      <c r="I4411" t="s">
        <v>18015</v>
      </c>
      <c r="J4411" t="s">
        <v>5476</v>
      </c>
      <c r="K4411" t="s">
        <v>18016</v>
      </c>
      <c r="L4411" t="s">
        <v>5471</v>
      </c>
      <c r="M4411" t="s">
        <v>5471</v>
      </c>
    </row>
    <row r="4412" spans="1:13" x14ac:dyDescent="0.3">
      <c r="A4412" t="s">
        <v>3388</v>
      </c>
      <c r="B4412" t="s">
        <v>18017</v>
      </c>
      <c r="C4412" t="s">
        <v>5470</v>
      </c>
      <c r="D4412" t="s">
        <v>10210</v>
      </c>
      <c r="E4412" t="s">
        <v>5471</v>
      </c>
      <c r="F4412" t="s">
        <v>18018</v>
      </c>
      <c r="G4412" t="s">
        <v>18019</v>
      </c>
      <c r="H4412" t="s">
        <v>5474</v>
      </c>
      <c r="I4412" t="s">
        <v>18020</v>
      </c>
      <c r="J4412" t="s">
        <v>5476</v>
      </c>
      <c r="K4412" t="s">
        <v>18021</v>
      </c>
      <c r="L4412" t="s">
        <v>5471</v>
      </c>
      <c r="M4412" t="s">
        <v>5471</v>
      </c>
    </row>
    <row r="4413" spans="1:13" x14ac:dyDescent="0.3">
      <c r="A4413" t="s">
        <v>3388</v>
      </c>
      <c r="B4413" t="s">
        <v>18017</v>
      </c>
      <c r="C4413" t="s">
        <v>5470</v>
      </c>
      <c r="D4413" t="s">
        <v>10210</v>
      </c>
      <c r="E4413" t="s">
        <v>5471</v>
      </c>
      <c r="F4413" t="s">
        <v>18022</v>
      </c>
      <c r="G4413" t="s">
        <v>18019</v>
      </c>
      <c r="H4413" t="s">
        <v>5474</v>
      </c>
      <c r="I4413" t="s">
        <v>18023</v>
      </c>
      <c r="J4413" t="s">
        <v>5476</v>
      </c>
      <c r="K4413" t="s">
        <v>18024</v>
      </c>
      <c r="L4413" t="s">
        <v>5471</v>
      </c>
      <c r="M4413" t="s">
        <v>5471</v>
      </c>
    </row>
    <row r="4414" spans="1:13" x14ac:dyDescent="0.3">
      <c r="A4414" t="s">
        <v>3388</v>
      </c>
      <c r="B4414" t="s">
        <v>18017</v>
      </c>
      <c r="C4414" t="s">
        <v>5470</v>
      </c>
      <c r="D4414" t="s">
        <v>10210</v>
      </c>
      <c r="E4414" t="s">
        <v>5471</v>
      </c>
      <c r="F4414" t="s">
        <v>18025</v>
      </c>
      <c r="G4414" t="s">
        <v>18019</v>
      </c>
      <c r="H4414" t="s">
        <v>5474</v>
      </c>
      <c r="I4414" t="s">
        <v>18026</v>
      </c>
      <c r="J4414" t="s">
        <v>5476</v>
      </c>
      <c r="K4414" t="s">
        <v>18027</v>
      </c>
      <c r="L4414" t="s">
        <v>5471</v>
      </c>
      <c r="M4414" t="s">
        <v>5471</v>
      </c>
    </row>
    <row r="4415" spans="1:13" x14ac:dyDescent="0.3">
      <c r="A4415" t="s">
        <v>3388</v>
      </c>
      <c r="B4415" t="s">
        <v>18017</v>
      </c>
      <c r="C4415" t="s">
        <v>5470</v>
      </c>
      <c r="D4415" t="s">
        <v>10210</v>
      </c>
      <c r="E4415" t="s">
        <v>5471</v>
      </c>
      <c r="F4415" t="s">
        <v>18028</v>
      </c>
      <c r="G4415" t="s">
        <v>18019</v>
      </c>
      <c r="H4415" t="s">
        <v>5474</v>
      </c>
      <c r="I4415" t="s">
        <v>18029</v>
      </c>
      <c r="J4415" t="s">
        <v>5476</v>
      </c>
      <c r="K4415" t="s">
        <v>18030</v>
      </c>
      <c r="L4415" t="s">
        <v>5471</v>
      </c>
      <c r="M4415" t="s">
        <v>5471</v>
      </c>
    </row>
    <row r="4416" spans="1:13" x14ac:dyDescent="0.3">
      <c r="A4416" t="s">
        <v>3388</v>
      </c>
      <c r="B4416" t="s">
        <v>18017</v>
      </c>
      <c r="C4416" t="s">
        <v>5470</v>
      </c>
      <c r="D4416" t="s">
        <v>10210</v>
      </c>
      <c r="E4416" t="s">
        <v>5471</v>
      </c>
      <c r="F4416" t="s">
        <v>18031</v>
      </c>
      <c r="G4416" t="s">
        <v>18019</v>
      </c>
      <c r="H4416" t="s">
        <v>5474</v>
      </c>
      <c r="I4416" t="s">
        <v>18032</v>
      </c>
      <c r="J4416" t="s">
        <v>5476</v>
      </c>
      <c r="K4416" t="s">
        <v>18033</v>
      </c>
      <c r="L4416" t="s">
        <v>5471</v>
      </c>
      <c r="M4416" t="s">
        <v>5471</v>
      </c>
    </row>
    <row r="4417" spans="1:13" x14ac:dyDescent="0.3">
      <c r="A4417" t="s">
        <v>3388</v>
      </c>
      <c r="B4417" t="s">
        <v>18017</v>
      </c>
      <c r="C4417" t="s">
        <v>5470</v>
      </c>
      <c r="D4417" t="s">
        <v>10210</v>
      </c>
      <c r="E4417" t="s">
        <v>5471</v>
      </c>
      <c r="F4417" t="s">
        <v>18034</v>
      </c>
      <c r="G4417" t="s">
        <v>18019</v>
      </c>
      <c r="H4417" t="s">
        <v>5474</v>
      </c>
      <c r="I4417" t="s">
        <v>18035</v>
      </c>
      <c r="J4417" t="s">
        <v>5476</v>
      </c>
      <c r="K4417" t="s">
        <v>18036</v>
      </c>
      <c r="L4417" t="s">
        <v>5471</v>
      </c>
      <c r="M4417" t="s">
        <v>5471</v>
      </c>
    </row>
    <row r="4418" spans="1:13" x14ac:dyDescent="0.3">
      <c r="A4418" t="s">
        <v>3388</v>
      </c>
      <c r="B4418" t="s">
        <v>18017</v>
      </c>
      <c r="C4418" t="s">
        <v>5470</v>
      </c>
      <c r="D4418" t="s">
        <v>10210</v>
      </c>
      <c r="E4418" t="s">
        <v>5471</v>
      </c>
      <c r="F4418" t="s">
        <v>18037</v>
      </c>
      <c r="G4418" t="s">
        <v>18019</v>
      </c>
      <c r="H4418" t="s">
        <v>5474</v>
      </c>
      <c r="I4418" t="s">
        <v>18038</v>
      </c>
      <c r="J4418" t="s">
        <v>5476</v>
      </c>
      <c r="K4418" t="s">
        <v>18039</v>
      </c>
      <c r="L4418" t="s">
        <v>5471</v>
      </c>
      <c r="M4418" t="s">
        <v>5471</v>
      </c>
    </row>
    <row r="4419" spans="1:13" x14ac:dyDescent="0.3">
      <c r="A4419" t="s">
        <v>3388</v>
      </c>
      <c r="B4419" t="s">
        <v>18040</v>
      </c>
      <c r="C4419" t="s">
        <v>5470</v>
      </c>
      <c r="D4419" t="s">
        <v>10210</v>
      </c>
      <c r="E4419" t="s">
        <v>5471</v>
      </c>
      <c r="F4419" t="s">
        <v>18041</v>
      </c>
      <c r="G4419" t="s">
        <v>18042</v>
      </c>
      <c r="H4419" t="s">
        <v>5474</v>
      </c>
      <c r="I4419" t="s">
        <v>18043</v>
      </c>
      <c r="J4419" t="s">
        <v>5476</v>
      </c>
      <c r="K4419" t="s">
        <v>18044</v>
      </c>
      <c r="L4419" t="s">
        <v>5471</v>
      </c>
      <c r="M4419" t="s">
        <v>5471</v>
      </c>
    </row>
    <row r="4420" spans="1:13" x14ac:dyDescent="0.3">
      <c r="A4420" t="s">
        <v>3388</v>
      </c>
      <c r="B4420" t="s">
        <v>18040</v>
      </c>
      <c r="C4420" t="s">
        <v>5470</v>
      </c>
      <c r="D4420" t="s">
        <v>10210</v>
      </c>
      <c r="E4420" t="s">
        <v>5471</v>
      </c>
      <c r="F4420" t="s">
        <v>18045</v>
      </c>
      <c r="G4420" t="s">
        <v>18042</v>
      </c>
      <c r="H4420" t="s">
        <v>5474</v>
      </c>
      <c r="I4420" t="s">
        <v>18046</v>
      </c>
      <c r="J4420" t="s">
        <v>5476</v>
      </c>
      <c r="K4420" t="s">
        <v>18047</v>
      </c>
      <c r="L4420" t="s">
        <v>5471</v>
      </c>
      <c r="M4420" t="s">
        <v>5471</v>
      </c>
    </row>
    <row r="4421" spans="1:13" x14ac:dyDescent="0.3">
      <c r="A4421" t="s">
        <v>3388</v>
      </c>
      <c r="B4421" t="s">
        <v>18040</v>
      </c>
      <c r="C4421" t="s">
        <v>5470</v>
      </c>
      <c r="D4421" t="s">
        <v>10210</v>
      </c>
      <c r="E4421" t="s">
        <v>5471</v>
      </c>
      <c r="F4421" t="s">
        <v>18048</v>
      </c>
      <c r="G4421" t="s">
        <v>18042</v>
      </c>
      <c r="H4421" t="s">
        <v>5474</v>
      </c>
      <c r="I4421" t="s">
        <v>18049</v>
      </c>
      <c r="J4421" t="s">
        <v>5476</v>
      </c>
      <c r="K4421" t="s">
        <v>18050</v>
      </c>
      <c r="L4421" t="s">
        <v>5471</v>
      </c>
      <c r="M4421" t="s">
        <v>5471</v>
      </c>
    </row>
    <row r="4422" spans="1:13" x14ac:dyDescent="0.3">
      <c r="A4422" t="s">
        <v>3388</v>
      </c>
      <c r="B4422" t="s">
        <v>18017</v>
      </c>
      <c r="C4422" t="s">
        <v>5470</v>
      </c>
      <c r="D4422" t="s">
        <v>10210</v>
      </c>
      <c r="E4422" t="s">
        <v>5471</v>
      </c>
      <c r="F4422" t="s">
        <v>18051</v>
      </c>
      <c r="G4422" t="s">
        <v>18019</v>
      </c>
      <c r="H4422" t="s">
        <v>5474</v>
      </c>
      <c r="I4422" t="s">
        <v>18052</v>
      </c>
      <c r="J4422" t="s">
        <v>5476</v>
      </c>
      <c r="K4422" t="s">
        <v>18053</v>
      </c>
      <c r="L4422" t="s">
        <v>5471</v>
      </c>
      <c r="M4422" t="s">
        <v>5471</v>
      </c>
    </row>
    <row r="4423" spans="1:13" x14ac:dyDescent="0.3">
      <c r="A4423" t="s">
        <v>3388</v>
      </c>
      <c r="B4423" t="s">
        <v>18054</v>
      </c>
      <c r="C4423" t="s">
        <v>5470</v>
      </c>
      <c r="D4423" t="s">
        <v>10210</v>
      </c>
      <c r="E4423" t="s">
        <v>5471</v>
      </c>
      <c r="F4423" t="s">
        <v>18055</v>
      </c>
      <c r="G4423" t="s">
        <v>18056</v>
      </c>
      <c r="H4423" t="s">
        <v>5474</v>
      </c>
      <c r="I4423" t="s">
        <v>18057</v>
      </c>
      <c r="J4423" t="s">
        <v>5476</v>
      </c>
      <c r="K4423" t="s">
        <v>18058</v>
      </c>
      <c r="L4423" t="s">
        <v>5471</v>
      </c>
      <c r="M4423" t="s">
        <v>5471</v>
      </c>
    </row>
    <row r="4424" spans="1:13" x14ac:dyDescent="0.3">
      <c r="A4424" t="s">
        <v>3388</v>
      </c>
      <c r="B4424" t="s">
        <v>18059</v>
      </c>
      <c r="C4424" t="s">
        <v>5470</v>
      </c>
      <c r="D4424" t="s">
        <v>10210</v>
      </c>
      <c r="E4424" t="s">
        <v>5471</v>
      </c>
      <c r="F4424" t="s">
        <v>18060</v>
      </c>
      <c r="G4424" t="s">
        <v>11425</v>
      </c>
      <c r="H4424" t="s">
        <v>5474</v>
      </c>
      <c r="I4424" t="s">
        <v>18061</v>
      </c>
      <c r="J4424" t="s">
        <v>5476</v>
      </c>
      <c r="K4424" t="s">
        <v>18062</v>
      </c>
      <c r="L4424" t="s">
        <v>5471</v>
      </c>
      <c r="M4424" t="s">
        <v>5471</v>
      </c>
    </row>
    <row r="4425" spans="1:13" x14ac:dyDescent="0.3">
      <c r="A4425" t="s">
        <v>3388</v>
      </c>
      <c r="B4425" t="s">
        <v>18059</v>
      </c>
      <c r="C4425" t="s">
        <v>5470</v>
      </c>
      <c r="D4425" t="s">
        <v>10210</v>
      </c>
      <c r="E4425" t="s">
        <v>5471</v>
      </c>
      <c r="F4425" t="s">
        <v>18063</v>
      </c>
      <c r="G4425" t="s">
        <v>11425</v>
      </c>
      <c r="H4425" t="s">
        <v>5474</v>
      </c>
      <c r="I4425" t="s">
        <v>18064</v>
      </c>
      <c r="J4425" t="s">
        <v>5476</v>
      </c>
      <c r="K4425" t="s">
        <v>18065</v>
      </c>
      <c r="L4425" t="s">
        <v>5471</v>
      </c>
      <c r="M4425" t="s">
        <v>5471</v>
      </c>
    </row>
    <row r="4426" spans="1:13" x14ac:dyDescent="0.3">
      <c r="A4426" t="s">
        <v>3388</v>
      </c>
      <c r="B4426" t="s">
        <v>5616</v>
      </c>
      <c r="C4426" t="s">
        <v>5470</v>
      </c>
      <c r="D4426" t="s">
        <v>4119</v>
      </c>
      <c r="E4426" t="s">
        <v>5617</v>
      </c>
      <c r="F4426" t="s">
        <v>18066</v>
      </c>
      <c r="G4426" t="s">
        <v>18067</v>
      </c>
      <c r="H4426" t="s">
        <v>5474</v>
      </c>
      <c r="I4426" t="s">
        <v>18068</v>
      </c>
      <c r="J4426" t="s">
        <v>5484</v>
      </c>
      <c r="K4426" t="s">
        <v>18069</v>
      </c>
      <c r="L4426" t="s">
        <v>5471</v>
      </c>
      <c r="M4426" t="s">
        <v>5471</v>
      </c>
    </row>
    <row r="4427" spans="1:13" x14ac:dyDescent="0.3">
      <c r="A4427" t="s">
        <v>3388</v>
      </c>
      <c r="B4427" t="s">
        <v>10501</v>
      </c>
      <c r="C4427" t="s">
        <v>5470</v>
      </c>
      <c r="D4427" t="s">
        <v>10210</v>
      </c>
      <c r="E4427" t="s">
        <v>5471</v>
      </c>
      <c r="F4427" t="s">
        <v>18070</v>
      </c>
      <c r="G4427" t="s">
        <v>10503</v>
      </c>
      <c r="H4427" t="s">
        <v>5474</v>
      </c>
      <c r="I4427" t="s">
        <v>18071</v>
      </c>
      <c r="J4427" t="s">
        <v>5476</v>
      </c>
      <c r="K4427" t="s">
        <v>18072</v>
      </c>
      <c r="L4427" t="s">
        <v>5471</v>
      </c>
      <c r="M4427" t="s">
        <v>5471</v>
      </c>
    </row>
    <row r="4428" spans="1:13" x14ac:dyDescent="0.3">
      <c r="A4428" t="s">
        <v>3388</v>
      </c>
      <c r="B4428" t="s">
        <v>5616</v>
      </c>
      <c r="C4428" t="s">
        <v>5470</v>
      </c>
      <c r="D4428" t="s">
        <v>4119</v>
      </c>
      <c r="E4428" t="s">
        <v>5617</v>
      </c>
      <c r="F4428" t="s">
        <v>18073</v>
      </c>
      <c r="G4428" t="s">
        <v>18074</v>
      </c>
      <c r="H4428" t="s">
        <v>5474</v>
      </c>
      <c r="I4428" t="s">
        <v>18075</v>
      </c>
      <c r="J4428" t="s">
        <v>5484</v>
      </c>
      <c r="K4428" t="s">
        <v>18076</v>
      </c>
      <c r="L4428" t="s">
        <v>5471</v>
      </c>
      <c r="M4428" t="s">
        <v>5471</v>
      </c>
    </row>
    <row r="4429" spans="1:13" x14ac:dyDescent="0.3">
      <c r="A4429" t="s">
        <v>3388</v>
      </c>
      <c r="B4429" t="s">
        <v>5616</v>
      </c>
      <c r="C4429" t="s">
        <v>5470</v>
      </c>
      <c r="D4429" t="s">
        <v>4119</v>
      </c>
      <c r="E4429" t="s">
        <v>5617</v>
      </c>
      <c r="F4429" t="s">
        <v>18077</v>
      </c>
      <c r="G4429" t="s">
        <v>18078</v>
      </c>
      <c r="H4429" t="s">
        <v>5474</v>
      </c>
      <c r="I4429" t="s">
        <v>18079</v>
      </c>
      <c r="J4429" t="s">
        <v>5484</v>
      </c>
      <c r="K4429" t="s">
        <v>18080</v>
      </c>
      <c r="L4429" t="s">
        <v>5471</v>
      </c>
      <c r="M4429" t="s">
        <v>5471</v>
      </c>
    </row>
    <row r="4430" spans="1:13" x14ac:dyDescent="0.3">
      <c r="A4430" t="s">
        <v>3388</v>
      </c>
      <c r="B4430" t="s">
        <v>10501</v>
      </c>
      <c r="C4430" t="s">
        <v>5470</v>
      </c>
      <c r="D4430" t="s">
        <v>10210</v>
      </c>
      <c r="E4430" t="s">
        <v>5471</v>
      </c>
      <c r="F4430" t="s">
        <v>18081</v>
      </c>
      <c r="G4430" t="s">
        <v>10503</v>
      </c>
      <c r="H4430" t="s">
        <v>5474</v>
      </c>
      <c r="I4430" t="s">
        <v>18082</v>
      </c>
      <c r="J4430" t="s">
        <v>5476</v>
      </c>
      <c r="K4430" t="s">
        <v>18083</v>
      </c>
      <c r="L4430" t="s">
        <v>5471</v>
      </c>
      <c r="M4430" t="s">
        <v>5471</v>
      </c>
    </row>
    <row r="4431" spans="1:13" x14ac:dyDescent="0.3">
      <c r="A4431" t="s">
        <v>3388</v>
      </c>
      <c r="B4431" t="s">
        <v>10501</v>
      </c>
      <c r="C4431" t="s">
        <v>5470</v>
      </c>
      <c r="D4431" t="s">
        <v>10210</v>
      </c>
      <c r="E4431" t="s">
        <v>5471</v>
      </c>
      <c r="F4431" t="s">
        <v>18084</v>
      </c>
      <c r="G4431" t="s">
        <v>10503</v>
      </c>
      <c r="H4431" t="s">
        <v>5474</v>
      </c>
      <c r="I4431" t="s">
        <v>18085</v>
      </c>
      <c r="J4431" t="s">
        <v>5476</v>
      </c>
      <c r="K4431" t="s">
        <v>18086</v>
      </c>
      <c r="L4431" t="s">
        <v>5471</v>
      </c>
      <c r="M4431" t="s">
        <v>5471</v>
      </c>
    </row>
    <row r="4432" spans="1:13" x14ac:dyDescent="0.3">
      <c r="A4432" t="s">
        <v>3388</v>
      </c>
      <c r="B4432" t="s">
        <v>10501</v>
      </c>
      <c r="C4432" t="s">
        <v>5470</v>
      </c>
      <c r="D4432" t="s">
        <v>10210</v>
      </c>
      <c r="E4432" t="s">
        <v>5471</v>
      </c>
      <c r="F4432" t="s">
        <v>18087</v>
      </c>
      <c r="G4432" t="s">
        <v>10503</v>
      </c>
      <c r="H4432" t="s">
        <v>5474</v>
      </c>
      <c r="I4432" t="s">
        <v>18088</v>
      </c>
      <c r="J4432" t="s">
        <v>5484</v>
      </c>
      <c r="K4432" t="s">
        <v>18089</v>
      </c>
      <c r="L4432" t="s">
        <v>5471</v>
      </c>
      <c r="M4432" t="s">
        <v>5471</v>
      </c>
    </row>
    <row r="4433" spans="1:13" x14ac:dyDescent="0.3">
      <c r="A4433" t="s">
        <v>3388</v>
      </c>
      <c r="B4433" t="s">
        <v>5296</v>
      </c>
      <c r="C4433" t="s">
        <v>5470</v>
      </c>
      <c r="D4433" t="s">
        <v>4119</v>
      </c>
      <c r="E4433" t="s">
        <v>5532</v>
      </c>
      <c r="F4433" t="s">
        <v>18090</v>
      </c>
      <c r="G4433" t="s">
        <v>18091</v>
      </c>
      <c r="H4433" t="s">
        <v>5474</v>
      </c>
      <c r="I4433" t="s">
        <v>18092</v>
      </c>
      <c r="J4433" t="s">
        <v>5484</v>
      </c>
      <c r="K4433" t="s">
        <v>18093</v>
      </c>
      <c r="L4433" t="s">
        <v>5471</v>
      </c>
      <c r="M4433" t="s">
        <v>5471</v>
      </c>
    </row>
    <row r="4434" spans="1:13" x14ac:dyDescent="0.3">
      <c r="A4434" t="s">
        <v>3388</v>
      </c>
      <c r="B4434" t="s">
        <v>10501</v>
      </c>
      <c r="C4434" t="s">
        <v>5470</v>
      </c>
      <c r="D4434" t="s">
        <v>10210</v>
      </c>
      <c r="E4434" t="s">
        <v>5471</v>
      </c>
      <c r="F4434" t="s">
        <v>18094</v>
      </c>
      <c r="G4434" t="s">
        <v>10503</v>
      </c>
      <c r="H4434" t="s">
        <v>5474</v>
      </c>
      <c r="I4434" t="s">
        <v>18095</v>
      </c>
      <c r="J4434" t="s">
        <v>5484</v>
      </c>
      <c r="K4434" t="s">
        <v>18096</v>
      </c>
      <c r="L4434" t="s">
        <v>5471</v>
      </c>
      <c r="M4434" t="s">
        <v>5471</v>
      </c>
    </row>
    <row r="4435" spans="1:13" x14ac:dyDescent="0.3">
      <c r="A4435" t="s">
        <v>3388</v>
      </c>
      <c r="B4435" t="s">
        <v>5296</v>
      </c>
      <c r="C4435" t="s">
        <v>5470</v>
      </c>
      <c r="D4435" t="s">
        <v>4119</v>
      </c>
      <c r="E4435" t="s">
        <v>5532</v>
      </c>
      <c r="F4435" t="s">
        <v>18097</v>
      </c>
      <c r="G4435" t="s">
        <v>18091</v>
      </c>
      <c r="H4435" t="s">
        <v>5474</v>
      </c>
      <c r="I4435" t="s">
        <v>18098</v>
      </c>
      <c r="J4435" t="s">
        <v>5484</v>
      </c>
      <c r="K4435" t="s">
        <v>18099</v>
      </c>
      <c r="L4435" t="s">
        <v>5471</v>
      </c>
      <c r="M4435" t="s">
        <v>5471</v>
      </c>
    </row>
    <row r="4436" spans="1:13" x14ac:dyDescent="0.3">
      <c r="A4436" t="s">
        <v>3388</v>
      </c>
      <c r="B4436" t="s">
        <v>10501</v>
      </c>
      <c r="C4436" t="s">
        <v>5470</v>
      </c>
      <c r="D4436" t="s">
        <v>10210</v>
      </c>
      <c r="E4436" t="s">
        <v>5471</v>
      </c>
      <c r="F4436" t="s">
        <v>18100</v>
      </c>
      <c r="G4436" t="s">
        <v>10503</v>
      </c>
      <c r="H4436" t="s">
        <v>5474</v>
      </c>
      <c r="I4436" t="s">
        <v>18101</v>
      </c>
      <c r="J4436" t="s">
        <v>5484</v>
      </c>
      <c r="K4436" t="s">
        <v>18102</v>
      </c>
      <c r="L4436" t="s">
        <v>5471</v>
      </c>
      <c r="M4436" t="s">
        <v>5471</v>
      </c>
    </row>
    <row r="4437" spans="1:13" x14ac:dyDescent="0.3">
      <c r="A4437" t="s">
        <v>3388</v>
      </c>
      <c r="B4437" t="s">
        <v>10501</v>
      </c>
      <c r="C4437" t="s">
        <v>5470</v>
      </c>
      <c r="D4437" t="s">
        <v>10210</v>
      </c>
      <c r="E4437" t="s">
        <v>5471</v>
      </c>
      <c r="F4437" t="s">
        <v>18103</v>
      </c>
      <c r="G4437" t="s">
        <v>10503</v>
      </c>
      <c r="H4437" t="s">
        <v>5474</v>
      </c>
      <c r="I4437" t="s">
        <v>18104</v>
      </c>
      <c r="J4437" t="s">
        <v>5484</v>
      </c>
      <c r="K4437" t="s">
        <v>18105</v>
      </c>
      <c r="L4437" t="s">
        <v>5471</v>
      </c>
      <c r="M4437" t="s">
        <v>5471</v>
      </c>
    </row>
    <row r="4438" spans="1:13" x14ac:dyDescent="0.3">
      <c r="A4438" t="s">
        <v>3388</v>
      </c>
      <c r="B4438" t="s">
        <v>15961</v>
      </c>
      <c r="C4438" t="s">
        <v>5470</v>
      </c>
      <c r="D4438" t="s">
        <v>4056</v>
      </c>
      <c r="E4438" t="s">
        <v>5756</v>
      </c>
      <c r="F4438" t="s">
        <v>18106</v>
      </c>
      <c r="G4438" t="s">
        <v>17940</v>
      </c>
      <c r="H4438" t="s">
        <v>5474</v>
      </c>
      <c r="I4438" t="s">
        <v>18107</v>
      </c>
      <c r="J4438" t="s">
        <v>5476</v>
      </c>
      <c r="K4438" t="s">
        <v>18108</v>
      </c>
      <c r="L4438" t="s">
        <v>5471</v>
      </c>
      <c r="M4438" t="s">
        <v>5471</v>
      </c>
    </row>
    <row r="4439" spans="1:13" x14ac:dyDescent="0.3">
      <c r="A4439" t="s">
        <v>3388</v>
      </c>
      <c r="B4439" t="s">
        <v>10501</v>
      </c>
      <c r="C4439" t="s">
        <v>5470</v>
      </c>
      <c r="D4439" t="s">
        <v>10210</v>
      </c>
      <c r="E4439" t="s">
        <v>5471</v>
      </c>
      <c r="F4439" t="s">
        <v>18109</v>
      </c>
      <c r="G4439" t="s">
        <v>10503</v>
      </c>
      <c r="H4439" t="s">
        <v>5474</v>
      </c>
      <c r="I4439" t="s">
        <v>18110</v>
      </c>
      <c r="J4439" t="s">
        <v>5484</v>
      </c>
      <c r="K4439" t="s">
        <v>18111</v>
      </c>
      <c r="L4439" t="s">
        <v>5471</v>
      </c>
      <c r="M4439" t="s">
        <v>5471</v>
      </c>
    </row>
    <row r="4440" spans="1:13" x14ac:dyDescent="0.3">
      <c r="A4440" t="s">
        <v>3388</v>
      </c>
      <c r="B4440" t="s">
        <v>10501</v>
      </c>
      <c r="C4440" t="s">
        <v>5470</v>
      </c>
      <c r="D4440" t="s">
        <v>10210</v>
      </c>
      <c r="E4440" t="s">
        <v>5471</v>
      </c>
      <c r="F4440" t="s">
        <v>18112</v>
      </c>
      <c r="G4440" t="s">
        <v>10503</v>
      </c>
      <c r="H4440" t="s">
        <v>5474</v>
      </c>
      <c r="I4440" t="s">
        <v>18113</v>
      </c>
      <c r="J4440" t="s">
        <v>5484</v>
      </c>
      <c r="K4440" t="s">
        <v>18114</v>
      </c>
      <c r="L4440" t="s">
        <v>5471</v>
      </c>
      <c r="M4440" t="s">
        <v>5471</v>
      </c>
    </row>
    <row r="4441" spans="1:13" x14ac:dyDescent="0.3">
      <c r="A4441" t="s">
        <v>3388</v>
      </c>
      <c r="B4441" t="s">
        <v>10501</v>
      </c>
      <c r="C4441" t="s">
        <v>5470</v>
      </c>
      <c r="D4441" t="s">
        <v>10210</v>
      </c>
      <c r="E4441" t="s">
        <v>5471</v>
      </c>
      <c r="F4441" t="s">
        <v>18115</v>
      </c>
      <c r="G4441" t="s">
        <v>10503</v>
      </c>
      <c r="H4441" t="s">
        <v>5474</v>
      </c>
      <c r="I4441" t="s">
        <v>18116</v>
      </c>
      <c r="J4441" t="s">
        <v>5484</v>
      </c>
      <c r="K4441" t="s">
        <v>18117</v>
      </c>
      <c r="L4441" t="s">
        <v>5471</v>
      </c>
      <c r="M4441" t="s">
        <v>5471</v>
      </c>
    </row>
    <row r="4442" spans="1:13" x14ac:dyDescent="0.3">
      <c r="A4442" t="s">
        <v>3388</v>
      </c>
      <c r="B4442" t="s">
        <v>10501</v>
      </c>
      <c r="C4442" t="s">
        <v>5470</v>
      </c>
      <c r="D4442" t="s">
        <v>10210</v>
      </c>
      <c r="E4442" t="s">
        <v>5471</v>
      </c>
      <c r="F4442" t="s">
        <v>18118</v>
      </c>
      <c r="G4442" t="s">
        <v>10503</v>
      </c>
      <c r="H4442" t="s">
        <v>5474</v>
      </c>
      <c r="I4442" t="s">
        <v>18119</v>
      </c>
      <c r="J4442" t="s">
        <v>5484</v>
      </c>
      <c r="K4442" t="s">
        <v>18120</v>
      </c>
      <c r="L4442" t="s">
        <v>5471</v>
      </c>
      <c r="M4442" t="s">
        <v>5471</v>
      </c>
    </row>
    <row r="4443" spans="1:13" x14ac:dyDescent="0.3">
      <c r="A4443" t="s">
        <v>3388</v>
      </c>
      <c r="B4443" t="s">
        <v>10501</v>
      </c>
      <c r="C4443" t="s">
        <v>5470</v>
      </c>
      <c r="D4443" t="s">
        <v>10210</v>
      </c>
      <c r="E4443" t="s">
        <v>5471</v>
      </c>
      <c r="F4443" t="s">
        <v>18121</v>
      </c>
      <c r="G4443" t="s">
        <v>10503</v>
      </c>
      <c r="H4443" t="s">
        <v>5474</v>
      </c>
      <c r="I4443" t="s">
        <v>18122</v>
      </c>
      <c r="J4443" t="s">
        <v>5484</v>
      </c>
      <c r="K4443" t="s">
        <v>18123</v>
      </c>
      <c r="L4443" t="s">
        <v>5471</v>
      </c>
      <c r="M4443" t="s">
        <v>5471</v>
      </c>
    </row>
    <row r="4444" spans="1:13" x14ac:dyDescent="0.3">
      <c r="A4444" t="s">
        <v>3388</v>
      </c>
      <c r="B4444" t="s">
        <v>10501</v>
      </c>
      <c r="C4444" t="s">
        <v>5470</v>
      </c>
      <c r="D4444" t="s">
        <v>10210</v>
      </c>
      <c r="E4444" t="s">
        <v>5471</v>
      </c>
      <c r="F4444" t="s">
        <v>18124</v>
      </c>
      <c r="G4444" t="s">
        <v>10503</v>
      </c>
      <c r="H4444" t="s">
        <v>5474</v>
      </c>
      <c r="I4444" t="s">
        <v>18125</v>
      </c>
      <c r="J4444" t="s">
        <v>5484</v>
      </c>
      <c r="K4444" t="s">
        <v>18126</v>
      </c>
      <c r="L4444" t="s">
        <v>5471</v>
      </c>
      <c r="M4444" t="s">
        <v>5471</v>
      </c>
    </row>
    <row r="4445" spans="1:13" x14ac:dyDescent="0.3">
      <c r="A4445" t="s">
        <v>3388</v>
      </c>
      <c r="B4445" t="s">
        <v>10501</v>
      </c>
      <c r="C4445" t="s">
        <v>5470</v>
      </c>
      <c r="D4445" t="s">
        <v>10210</v>
      </c>
      <c r="E4445" t="s">
        <v>5471</v>
      </c>
      <c r="F4445" t="s">
        <v>18127</v>
      </c>
      <c r="G4445" t="s">
        <v>10503</v>
      </c>
      <c r="H4445" t="s">
        <v>5474</v>
      </c>
      <c r="I4445" t="s">
        <v>18128</v>
      </c>
      <c r="J4445" t="s">
        <v>5484</v>
      </c>
      <c r="K4445" t="s">
        <v>18129</v>
      </c>
      <c r="L4445" t="s">
        <v>5471</v>
      </c>
      <c r="M4445" t="s">
        <v>5471</v>
      </c>
    </row>
    <row r="4446" spans="1:13" x14ac:dyDescent="0.3">
      <c r="A4446" t="s">
        <v>3388</v>
      </c>
      <c r="B4446" t="s">
        <v>18130</v>
      </c>
      <c r="C4446" t="s">
        <v>5470</v>
      </c>
      <c r="D4446" t="s">
        <v>10210</v>
      </c>
      <c r="E4446" t="s">
        <v>5471</v>
      </c>
      <c r="F4446" t="s">
        <v>18131</v>
      </c>
      <c r="G4446" t="s">
        <v>10503</v>
      </c>
      <c r="H4446" t="s">
        <v>5474</v>
      </c>
      <c r="I4446" t="s">
        <v>18132</v>
      </c>
      <c r="J4446" t="s">
        <v>5484</v>
      </c>
      <c r="K4446" t="s">
        <v>18133</v>
      </c>
      <c r="L4446" t="s">
        <v>5471</v>
      </c>
      <c r="M4446" t="s">
        <v>5471</v>
      </c>
    </row>
    <row r="4447" spans="1:13" x14ac:dyDescent="0.3">
      <c r="A4447" t="s">
        <v>3388</v>
      </c>
      <c r="B4447" t="s">
        <v>10501</v>
      </c>
      <c r="C4447" t="s">
        <v>5470</v>
      </c>
      <c r="D4447" t="s">
        <v>10210</v>
      </c>
      <c r="E4447" t="s">
        <v>5471</v>
      </c>
      <c r="F4447" t="s">
        <v>18134</v>
      </c>
      <c r="G4447" t="s">
        <v>10503</v>
      </c>
      <c r="H4447" t="s">
        <v>5474</v>
      </c>
      <c r="I4447" t="s">
        <v>18135</v>
      </c>
      <c r="J4447" t="s">
        <v>5484</v>
      </c>
      <c r="K4447" t="s">
        <v>18136</v>
      </c>
      <c r="L4447" t="s">
        <v>5471</v>
      </c>
      <c r="M4447" t="s">
        <v>5471</v>
      </c>
    </row>
    <row r="4448" spans="1:13" x14ac:dyDescent="0.3">
      <c r="A4448" t="s">
        <v>3388</v>
      </c>
      <c r="B4448" t="s">
        <v>10501</v>
      </c>
      <c r="C4448" t="s">
        <v>5470</v>
      </c>
      <c r="D4448" t="s">
        <v>10210</v>
      </c>
      <c r="E4448" t="s">
        <v>5471</v>
      </c>
      <c r="F4448" t="s">
        <v>18137</v>
      </c>
      <c r="G4448" t="s">
        <v>10503</v>
      </c>
      <c r="H4448" t="s">
        <v>5474</v>
      </c>
      <c r="I4448" t="s">
        <v>18138</v>
      </c>
      <c r="J4448" t="s">
        <v>5484</v>
      </c>
      <c r="K4448" t="s">
        <v>18139</v>
      </c>
      <c r="L4448" t="s">
        <v>5471</v>
      </c>
      <c r="M4448" t="s">
        <v>5471</v>
      </c>
    </row>
    <row r="4449" spans="1:13" x14ac:dyDescent="0.3">
      <c r="A4449" t="s">
        <v>3388</v>
      </c>
      <c r="B4449" t="s">
        <v>10501</v>
      </c>
      <c r="C4449" t="s">
        <v>5470</v>
      </c>
      <c r="D4449" t="s">
        <v>10210</v>
      </c>
      <c r="E4449" t="s">
        <v>5471</v>
      </c>
      <c r="F4449" t="s">
        <v>18140</v>
      </c>
      <c r="G4449" t="s">
        <v>10503</v>
      </c>
      <c r="H4449" t="s">
        <v>5474</v>
      </c>
      <c r="I4449" t="s">
        <v>18141</v>
      </c>
      <c r="J4449" t="s">
        <v>5484</v>
      </c>
      <c r="K4449" t="s">
        <v>18142</v>
      </c>
      <c r="L4449" t="s">
        <v>5471</v>
      </c>
      <c r="M4449" t="s">
        <v>5471</v>
      </c>
    </row>
    <row r="4450" spans="1:13" x14ac:dyDescent="0.3">
      <c r="A4450" t="s">
        <v>3388</v>
      </c>
      <c r="B4450" t="s">
        <v>10501</v>
      </c>
      <c r="C4450" t="s">
        <v>5470</v>
      </c>
      <c r="D4450" t="s">
        <v>10210</v>
      </c>
      <c r="E4450" t="s">
        <v>5471</v>
      </c>
      <c r="F4450" t="s">
        <v>18143</v>
      </c>
      <c r="G4450" t="s">
        <v>10503</v>
      </c>
      <c r="H4450" t="s">
        <v>5474</v>
      </c>
      <c r="I4450" t="s">
        <v>18144</v>
      </c>
      <c r="J4450" t="s">
        <v>5484</v>
      </c>
      <c r="K4450" t="s">
        <v>18145</v>
      </c>
      <c r="L4450" t="s">
        <v>5471</v>
      </c>
      <c r="M4450" t="s">
        <v>5471</v>
      </c>
    </row>
    <row r="4451" spans="1:13" x14ac:dyDescent="0.3">
      <c r="A4451" t="s">
        <v>3388</v>
      </c>
      <c r="B4451" t="s">
        <v>10501</v>
      </c>
      <c r="C4451" t="s">
        <v>5470</v>
      </c>
      <c r="D4451" t="s">
        <v>10210</v>
      </c>
      <c r="E4451" t="s">
        <v>5471</v>
      </c>
      <c r="F4451" t="s">
        <v>18146</v>
      </c>
      <c r="G4451" t="s">
        <v>10503</v>
      </c>
      <c r="H4451" t="s">
        <v>5474</v>
      </c>
      <c r="I4451" t="s">
        <v>18147</v>
      </c>
      <c r="J4451" t="s">
        <v>5484</v>
      </c>
      <c r="K4451" t="s">
        <v>18148</v>
      </c>
      <c r="L4451" t="s">
        <v>5471</v>
      </c>
      <c r="M4451" t="s">
        <v>5471</v>
      </c>
    </row>
    <row r="4452" spans="1:13" x14ac:dyDescent="0.3">
      <c r="A4452" t="s">
        <v>3388</v>
      </c>
      <c r="B4452" t="s">
        <v>10501</v>
      </c>
      <c r="C4452" t="s">
        <v>5470</v>
      </c>
      <c r="D4452" t="s">
        <v>10210</v>
      </c>
      <c r="E4452" t="s">
        <v>5471</v>
      </c>
      <c r="F4452" t="s">
        <v>18149</v>
      </c>
      <c r="G4452" t="s">
        <v>10503</v>
      </c>
      <c r="H4452" t="s">
        <v>5474</v>
      </c>
      <c r="I4452" t="s">
        <v>18150</v>
      </c>
      <c r="J4452" t="s">
        <v>5484</v>
      </c>
      <c r="K4452" t="s">
        <v>18151</v>
      </c>
      <c r="L4452" t="s">
        <v>5471</v>
      </c>
      <c r="M4452" t="s">
        <v>5471</v>
      </c>
    </row>
    <row r="4453" spans="1:13" x14ac:dyDescent="0.3">
      <c r="A4453" t="s">
        <v>3388</v>
      </c>
      <c r="B4453" t="s">
        <v>10501</v>
      </c>
      <c r="C4453" t="s">
        <v>5470</v>
      </c>
      <c r="D4453" t="s">
        <v>10210</v>
      </c>
      <c r="E4453" t="s">
        <v>5471</v>
      </c>
      <c r="F4453" t="s">
        <v>18152</v>
      </c>
      <c r="G4453" t="s">
        <v>10503</v>
      </c>
      <c r="H4453" t="s">
        <v>5474</v>
      </c>
      <c r="I4453" t="s">
        <v>18153</v>
      </c>
      <c r="J4453" t="s">
        <v>5484</v>
      </c>
      <c r="K4453" t="s">
        <v>18154</v>
      </c>
      <c r="L4453" t="s">
        <v>5471</v>
      </c>
      <c r="M4453" t="s">
        <v>5471</v>
      </c>
    </row>
    <row r="4454" spans="1:13" x14ac:dyDescent="0.3">
      <c r="A4454" t="s">
        <v>3388</v>
      </c>
      <c r="B4454" t="s">
        <v>10501</v>
      </c>
      <c r="C4454" t="s">
        <v>5470</v>
      </c>
      <c r="D4454" t="s">
        <v>10210</v>
      </c>
      <c r="E4454" t="s">
        <v>5471</v>
      </c>
      <c r="F4454" t="s">
        <v>18155</v>
      </c>
      <c r="G4454" t="s">
        <v>10503</v>
      </c>
      <c r="H4454" t="s">
        <v>5474</v>
      </c>
      <c r="I4454" t="s">
        <v>18156</v>
      </c>
      <c r="J4454" t="s">
        <v>5484</v>
      </c>
      <c r="K4454" t="s">
        <v>18157</v>
      </c>
      <c r="L4454" t="s">
        <v>5471</v>
      </c>
      <c r="M4454" t="s">
        <v>5471</v>
      </c>
    </row>
    <row r="4455" spans="1:13" x14ac:dyDescent="0.3">
      <c r="A4455" t="s">
        <v>3388</v>
      </c>
      <c r="B4455" t="s">
        <v>10501</v>
      </c>
      <c r="C4455" t="s">
        <v>5470</v>
      </c>
      <c r="D4455" t="s">
        <v>10210</v>
      </c>
      <c r="E4455" t="s">
        <v>5471</v>
      </c>
      <c r="F4455" t="s">
        <v>18158</v>
      </c>
      <c r="G4455" t="s">
        <v>10503</v>
      </c>
      <c r="H4455" t="s">
        <v>5474</v>
      </c>
      <c r="I4455" t="s">
        <v>18159</v>
      </c>
      <c r="J4455" t="s">
        <v>5484</v>
      </c>
      <c r="K4455" t="s">
        <v>18160</v>
      </c>
      <c r="L4455" t="s">
        <v>5471</v>
      </c>
      <c r="M4455" t="s">
        <v>5471</v>
      </c>
    </row>
    <row r="4456" spans="1:13" x14ac:dyDescent="0.3">
      <c r="A4456" t="s">
        <v>3388</v>
      </c>
      <c r="B4456" t="s">
        <v>10501</v>
      </c>
      <c r="C4456" t="s">
        <v>5470</v>
      </c>
      <c r="D4456" t="s">
        <v>10210</v>
      </c>
      <c r="E4456" t="s">
        <v>5471</v>
      </c>
      <c r="F4456" t="s">
        <v>18161</v>
      </c>
      <c r="G4456" t="s">
        <v>10503</v>
      </c>
      <c r="H4456" t="s">
        <v>5474</v>
      </c>
      <c r="I4456" t="s">
        <v>18162</v>
      </c>
      <c r="J4456" t="s">
        <v>5484</v>
      </c>
      <c r="K4456" t="s">
        <v>18163</v>
      </c>
      <c r="L4456" t="s">
        <v>5471</v>
      </c>
      <c r="M4456" t="s">
        <v>5471</v>
      </c>
    </row>
    <row r="4457" spans="1:13" x14ac:dyDescent="0.3">
      <c r="A4457" t="s">
        <v>3388</v>
      </c>
      <c r="B4457" t="s">
        <v>10501</v>
      </c>
      <c r="C4457" t="s">
        <v>5470</v>
      </c>
      <c r="D4457" t="s">
        <v>10210</v>
      </c>
      <c r="E4457" t="s">
        <v>5471</v>
      </c>
      <c r="F4457" t="s">
        <v>18164</v>
      </c>
      <c r="G4457" t="s">
        <v>10503</v>
      </c>
      <c r="H4457" t="s">
        <v>5474</v>
      </c>
      <c r="I4457" t="s">
        <v>18165</v>
      </c>
      <c r="J4457" t="s">
        <v>5484</v>
      </c>
      <c r="K4457" t="s">
        <v>18166</v>
      </c>
      <c r="L4457" t="s">
        <v>5471</v>
      </c>
      <c r="M4457" t="s">
        <v>5471</v>
      </c>
    </row>
    <row r="4458" spans="1:13" x14ac:dyDescent="0.3">
      <c r="A4458" t="s">
        <v>3388</v>
      </c>
      <c r="B4458" t="s">
        <v>10501</v>
      </c>
      <c r="C4458" t="s">
        <v>5470</v>
      </c>
      <c r="D4458" t="s">
        <v>10210</v>
      </c>
      <c r="E4458" t="s">
        <v>5471</v>
      </c>
      <c r="F4458" t="s">
        <v>18167</v>
      </c>
      <c r="G4458" t="s">
        <v>10503</v>
      </c>
      <c r="H4458" t="s">
        <v>5474</v>
      </c>
      <c r="I4458" t="s">
        <v>18168</v>
      </c>
      <c r="J4458" t="s">
        <v>5484</v>
      </c>
      <c r="K4458" t="s">
        <v>18169</v>
      </c>
      <c r="L4458" t="s">
        <v>5471</v>
      </c>
      <c r="M4458" t="s">
        <v>5471</v>
      </c>
    </row>
    <row r="4459" spans="1:13" x14ac:dyDescent="0.3">
      <c r="A4459" t="s">
        <v>3388</v>
      </c>
      <c r="B4459" t="s">
        <v>10501</v>
      </c>
      <c r="C4459" t="s">
        <v>5470</v>
      </c>
      <c r="D4459" t="s">
        <v>10210</v>
      </c>
      <c r="E4459" t="s">
        <v>5471</v>
      </c>
      <c r="F4459" t="s">
        <v>18170</v>
      </c>
      <c r="G4459" t="s">
        <v>10503</v>
      </c>
      <c r="H4459" t="s">
        <v>5474</v>
      </c>
      <c r="I4459" t="s">
        <v>18171</v>
      </c>
      <c r="J4459" t="s">
        <v>5484</v>
      </c>
      <c r="K4459" t="s">
        <v>18172</v>
      </c>
      <c r="L4459" t="s">
        <v>5471</v>
      </c>
      <c r="M4459" t="s">
        <v>5471</v>
      </c>
    </row>
    <row r="4460" spans="1:13" x14ac:dyDescent="0.3">
      <c r="A4460" t="s">
        <v>3388</v>
      </c>
      <c r="B4460" t="s">
        <v>10501</v>
      </c>
      <c r="C4460" t="s">
        <v>5470</v>
      </c>
      <c r="D4460" t="s">
        <v>10210</v>
      </c>
      <c r="E4460" t="s">
        <v>5471</v>
      </c>
      <c r="F4460" t="s">
        <v>18173</v>
      </c>
      <c r="G4460" t="s">
        <v>10503</v>
      </c>
      <c r="H4460" t="s">
        <v>5474</v>
      </c>
      <c r="I4460" t="s">
        <v>18174</v>
      </c>
      <c r="J4460" t="s">
        <v>5484</v>
      </c>
      <c r="K4460" t="s">
        <v>18175</v>
      </c>
      <c r="L4460" t="s">
        <v>5471</v>
      </c>
      <c r="M4460" t="s">
        <v>5471</v>
      </c>
    </row>
    <row r="4461" spans="1:13" x14ac:dyDescent="0.3">
      <c r="A4461" t="s">
        <v>3388</v>
      </c>
      <c r="B4461" t="s">
        <v>10501</v>
      </c>
      <c r="C4461" t="s">
        <v>5470</v>
      </c>
      <c r="D4461" t="s">
        <v>10210</v>
      </c>
      <c r="E4461" t="s">
        <v>5471</v>
      </c>
      <c r="F4461" t="s">
        <v>18176</v>
      </c>
      <c r="G4461" t="s">
        <v>10503</v>
      </c>
      <c r="H4461" t="s">
        <v>5474</v>
      </c>
      <c r="I4461" t="s">
        <v>18177</v>
      </c>
      <c r="J4461" t="s">
        <v>5484</v>
      </c>
      <c r="K4461" t="s">
        <v>18178</v>
      </c>
      <c r="L4461" t="s">
        <v>5471</v>
      </c>
      <c r="M4461" t="s">
        <v>5471</v>
      </c>
    </row>
    <row r="4462" spans="1:13" x14ac:dyDescent="0.3">
      <c r="A4462" t="s">
        <v>3388</v>
      </c>
      <c r="B4462" t="s">
        <v>10501</v>
      </c>
      <c r="C4462" t="s">
        <v>5470</v>
      </c>
      <c r="D4462" t="s">
        <v>10210</v>
      </c>
      <c r="E4462" t="s">
        <v>5471</v>
      </c>
      <c r="F4462" t="s">
        <v>18179</v>
      </c>
      <c r="G4462" t="s">
        <v>10503</v>
      </c>
      <c r="H4462" t="s">
        <v>5474</v>
      </c>
      <c r="I4462" t="s">
        <v>18180</v>
      </c>
      <c r="J4462" t="s">
        <v>5484</v>
      </c>
      <c r="K4462" t="s">
        <v>18181</v>
      </c>
      <c r="L4462" t="s">
        <v>5471</v>
      </c>
      <c r="M4462" t="s">
        <v>5471</v>
      </c>
    </row>
    <row r="4463" spans="1:13" x14ac:dyDescent="0.3">
      <c r="A4463" t="s">
        <v>3388</v>
      </c>
      <c r="B4463" t="s">
        <v>10501</v>
      </c>
      <c r="C4463" t="s">
        <v>5470</v>
      </c>
      <c r="D4463" t="s">
        <v>10210</v>
      </c>
      <c r="E4463" t="s">
        <v>5471</v>
      </c>
      <c r="F4463" t="s">
        <v>18182</v>
      </c>
      <c r="G4463" t="s">
        <v>10503</v>
      </c>
      <c r="H4463" t="s">
        <v>5474</v>
      </c>
      <c r="I4463" t="s">
        <v>18183</v>
      </c>
      <c r="J4463" t="s">
        <v>5484</v>
      </c>
      <c r="K4463" t="s">
        <v>18184</v>
      </c>
      <c r="L4463" t="s">
        <v>5471</v>
      </c>
      <c r="M4463" t="s">
        <v>5471</v>
      </c>
    </row>
    <row r="4464" spans="1:13" x14ac:dyDescent="0.3">
      <c r="A4464" t="s">
        <v>3388</v>
      </c>
      <c r="B4464" t="s">
        <v>10501</v>
      </c>
      <c r="C4464" t="s">
        <v>5470</v>
      </c>
      <c r="D4464" t="s">
        <v>10210</v>
      </c>
      <c r="E4464" t="s">
        <v>5471</v>
      </c>
      <c r="F4464" t="s">
        <v>18185</v>
      </c>
      <c r="G4464" t="s">
        <v>10503</v>
      </c>
      <c r="H4464" t="s">
        <v>5474</v>
      </c>
      <c r="I4464" t="s">
        <v>18186</v>
      </c>
      <c r="J4464" t="s">
        <v>5484</v>
      </c>
      <c r="K4464" t="s">
        <v>18187</v>
      </c>
      <c r="L4464" t="s">
        <v>5471</v>
      </c>
      <c r="M4464" t="s">
        <v>5471</v>
      </c>
    </row>
    <row r="4465" spans="1:13" x14ac:dyDescent="0.3">
      <c r="A4465" t="s">
        <v>3388</v>
      </c>
      <c r="B4465" t="s">
        <v>10501</v>
      </c>
      <c r="C4465" t="s">
        <v>5470</v>
      </c>
      <c r="D4465" t="s">
        <v>10210</v>
      </c>
      <c r="E4465" t="s">
        <v>5471</v>
      </c>
      <c r="F4465" t="s">
        <v>18188</v>
      </c>
      <c r="G4465" t="s">
        <v>10503</v>
      </c>
      <c r="H4465" t="s">
        <v>5474</v>
      </c>
      <c r="I4465" t="s">
        <v>18189</v>
      </c>
      <c r="J4465" t="s">
        <v>5484</v>
      </c>
      <c r="K4465" t="s">
        <v>18190</v>
      </c>
      <c r="L4465" t="s">
        <v>5471</v>
      </c>
      <c r="M4465" t="s">
        <v>5471</v>
      </c>
    </row>
    <row r="4466" spans="1:13" x14ac:dyDescent="0.3">
      <c r="A4466" t="s">
        <v>3388</v>
      </c>
      <c r="B4466" t="s">
        <v>10501</v>
      </c>
      <c r="C4466" t="s">
        <v>5470</v>
      </c>
      <c r="D4466" t="s">
        <v>10210</v>
      </c>
      <c r="E4466" t="s">
        <v>5471</v>
      </c>
      <c r="F4466" t="s">
        <v>18191</v>
      </c>
      <c r="G4466" t="s">
        <v>10503</v>
      </c>
      <c r="H4466" t="s">
        <v>5474</v>
      </c>
      <c r="I4466" t="s">
        <v>18192</v>
      </c>
      <c r="J4466" t="s">
        <v>5484</v>
      </c>
      <c r="K4466" t="s">
        <v>18193</v>
      </c>
      <c r="L4466" t="s">
        <v>5471</v>
      </c>
      <c r="M4466" t="s">
        <v>5471</v>
      </c>
    </row>
    <row r="4467" spans="1:13" x14ac:dyDescent="0.3">
      <c r="A4467" t="s">
        <v>3388</v>
      </c>
      <c r="B4467" t="s">
        <v>10501</v>
      </c>
      <c r="C4467" t="s">
        <v>5470</v>
      </c>
      <c r="D4467" t="s">
        <v>10210</v>
      </c>
      <c r="E4467" t="s">
        <v>5471</v>
      </c>
      <c r="F4467" t="s">
        <v>18194</v>
      </c>
      <c r="G4467" t="s">
        <v>10503</v>
      </c>
      <c r="H4467" t="s">
        <v>5474</v>
      </c>
      <c r="I4467" t="s">
        <v>18195</v>
      </c>
      <c r="J4467" t="s">
        <v>5484</v>
      </c>
      <c r="K4467" t="s">
        <v>18196</v>
      </c>
      <c r="L4467" t="s">
        <v>5471</v>
      </c>
      <c r="M4467" t="s">
        <v>5471</v>
      </c>
    </row>
    <row r="4468" spans="1:13" x14ac:dyDescent="0.3">
      <c r="A4468" t="s">
        <v>3388</v>
      </c>
      <c r="B4468" t="s">
        <v>10501</v>
      </c>
      <c r="C4468" t="s">
        <v>5470</v>
      </c>
      <c r="D4468" t="s">
        <v>10210</v>
      </c>
      <c r="E4468" t="s">
        <v>5471</v>
      </c>
      <c r="F4468" t="s">
        <v>18197</v>
      </c>
      <c r="G4468" t="s">
        <v>10503</v>
      </c>
      <c r="H4468" t="s">
        <v>5474</v>
      </c>
      <c r="I4468" t="s">
        <v>18198</v>
      </c>
      <c r="J4468" t="s">
        <v>5484</v>
      </c>
      <c r="K4468" t="s">
        <v>18199</v>
      </c>
      <c r="L4468" t="s">
        <v>5471</v>
      </c>
      <c r="M4468" t="s">
        <v>5471</v>
      </c>
    </row>
    <row r="4469" spans="1:13" x14ac:dyDescent="0.3">
      <c r="A4469" t="s">
        <v>3388</v>
      </c>
      <c r="B4469" t="s">
        <v>10501</v>
      </c>
      <c r="C4469" t="s">
        <v>5470</v>
      </c>
      <c r="D4469" t="s">
        <v>10210</v>
      </c>
      <c r="E4469" t="s">
        <v>5471</v>
      </c>
      <c r="F4469" t="s">
        <v>18200</v>
      </c>
      <c r="G4469" t="s">
        <v>10503</v>
      </c>
      <c r="H4469" t="s">
        <v>5474</v>
      </c>
      <c r="I4469" t="s">
        <v>18201</v>
      </c>
      <c r="J4469" t="s">
        <v>5484</v>
      </c>
      <c r="K4469" t="s">
        <v>18202</v>
      </c>
      <c r="L4469" t="s">
        <v>5471</v>
      </c>
      <c r="M4469" t="s">
        <v>5471</v>
      </c>
    </row>
    <row r="4470" spans="1:13" x14ac:dyDescent="0.3">
      <c r="A4470" t="s">
        <v>3388</v>
      </c>
      <c r="B4470" t="s">
        <v>10501</v>
      </c>
      <c r="C4470" t="s">
        <v>5470</v>
      </c>
      <c r="D4470" t="s">
        <v>10210</v>
      </c>
      <c r="E4470" t="s">
        <v>5471</v>
      </c>
      <c r="F4470" t="s">
        <v>18203</v>
      </c>
      <c r="G4470" t="s">
        <v>10503</v>
      </c>
      <c r="H4470" t="s">
        <v>5474</v>
      </c>
      <c r="I4470" t="s">
        <v>18204</v>
      </c>
      <c r="J4470" t="s">
        <v>5484</v>
      </c>
      <c r="K4470" t="s">
        <v>18205</v>
      </c>
      <c r="L4470" t="s">
        <v>5471</v>
      </c>
      <c r="M4470" t="s">
        <v>5471</v>
      </c>
    </row>
    <row r="4471" spans="1:13" x14ac:dyDescent="0.3">
      <c r="A4471" t="s">
        <v>3388</v>
      </c>
      <c r="B4471" t="s">
        <v>10501</v>
      </c>
      <c r="C4471" t="s">
        <v>5470</v>
      </c>
      <c r="D4471" t="s">
        <v>10210</v>
      </c>
      <c r="E4471" t="s">
        <v>5471</v>
      </c>
      <c r="F4471" t="s">
        <v>18206</v>
      </c>
      <c r="G4471" t="s">
        <v>10503</v>
      </c>
      <c r="H4471" t="s">
        <v>5474</v>
      </c>
      <c r="I4471" t="s">
        <v>18207</v>
      </c>
      <c r="J4471" t="s">
        <v>5484</v>
      </c>
      <c r="K4471" t="s">
        <v>18208</v>
      </c>
      <c r="L4471" t="s">
        <v>5471</v>
      </c>
      <c r="M4471" t="s">
        <v>5471</v>
      </c>
    </row>
    <row r="4472" spans="1:13" x14ac:dyDescent="0.3">
      <c r="A4472" t="s">
        <v>3388</v>
      </c>
      <c r="B4472" t="s">
        <v>10501</v>
      </c>
      <c r="C4472" t="s">
        <v>5470</v>
      </c>
      <c r="D4472" t="s">
        <v>10210</v>
      </c>
      <c r="E4472" t="s">
        <v>5471</v>
      </c>
      <c r="F4472" t="s">
        <v>18209</v>
      </c>
      <c r="G4472" t="s">
        <v>10503</v>
      </c>
      <c r="H4472" t="s">
        <v>5474</v>
      </c>
      <c r="I4472" t="s">
        <v>18210</v>
      </c>
      <c r="J4472" t="s">
        <v>5484</v>
      </c>
      <c r="K4472" t="s">
        <v>18211</v>
      </c>
      <c r="L4472" t="s">
        <v>5471</v>
      </c>
      <c r="M4472" t="s">
        <v>5471</v>
      </c>
    </row>
    <row r="4473" spans="1:13" x14ac:dyDescent="0.3">
      <c r="A4473" t="s">
        <v>3388</v>
      </c>
      <c r="B4473" t="s">
        <v>10501</v>
      </c>
      <c r="C4473" t="s">
        <v>5470</v>
      </c>
      <c r="D4473" t="s">
        <v>10210</v>
      </c>
      <c r="E4473" t="s">
        <v>5471</v>
      </c>
      <c r="F4473" t="s">
        <v>18212</v>
      </c>
      <c r="G4473" t="s">
        <v>10503</v>
      </c>
      <c r="H4473" t="s">
        <v>5474</v>
      </c>
      <c r="I4473" t="s">
        <v>18213</v>
      </c>
      <c r="J4473" t="s">
        <v>5484</v>
      </c>
      <c r="K4473" t="s">
        <v>18214</v>
      </c>
      <c r="L4473" t="s">
        <v>5471</v>
      </c>
      <c r="M4473" t="s">
        <v>5471</v>
      </c>
    </row>
    <row r="4474" spans="1:13" x14ac:dyDescent="0.3">
      <c r="A4474" t="s">
        <v>3388</v>
      </c>
      <c r="B4474" t="s">
        <v>10501</v>
      </c>
      <c r="C4474" t="s">
        <v>5470</v>
      </c>
      <c r="D4474" t="s">
        <v>10210</v>
      </c>
      <c r="E4474" t="s">
        <v>5471</v>
      </c>
      <c r="F4474" t="s">
        <v>18215</v>
      </c>
      <c r="G4474" t="s">
        <v>10503</v>
      </c>
      <c r="H4474" t="s">
        <v>5474</v>
      </c>
      <c r="I4474" t="s">
        <v>18216</v>
      </c>
      <c r="J4474" t="s">
        <v>5484</v>
      </c>
      <c r="K4474" t="s">
        <v>18217</v>
      </c>
      <c r="L4474" t="s">
        <v>5471</v>
      </c>
      <c r="M4474" t="s">
        <v>5471</v>
      </c>
    </row>
    <row r="4475" spans="1:13" x14ac:dyDescent="0.3">
      <c r="A4475" t="s">
        <v>3388</v>
      </c>
      <c r="B4475" t="s">
        <v>10501</v>
      </c>
      <c r="C4475" t="s">
        <v>5470</v>
      </c>
      <c r="D4475" t="s">
        <v>10210</v>
      </c>
      <c r="E4475" t="s">
        <v>5471</v>
      </c>
      <c r="F4475" t="s">
        <v>18218</v>
      </c>
      <c r="G4475" t="s">
        <v>10503</v>
      </c>
      <c r="H4475" t="s">
        <v>5474</v>
      </c>
      <c r="I4475" t="s">
        <v>18219</v>
      </c>
      <c r="J4475" t="s">
        <v>5484</v>
      </c>
      <c r="K4475" t="s">
        <v>18220</v>
      </c>
      <c r="L4475" t="s">
        <v>5471</v>
      </c>
      <c r="M4475" t="s">
        <v>5471</v>
      </c>
    </row>
    <row r="4476" spans="1:13" x14ac:dyDescent="0.3">
      <c r="A4476" t="s">
        <v>3388</v>
      </c>
      <c r="B4476" t="s">
        <v>10501</v>
      </c>
      <c r="C4476" t="s">
        <v>5470</v>
      </c>
      <c r="D4476" t="s">
        <v>10210</v>
      </c>
      <c r="E4476" t="s">
        <v>5471</v>
      </c>
      <c r="F4476" t="s">
        <v>18221</v>
      </c>
      <c r="G4476" t="s">
        <v>10503</v>
      </c>
      <c r="H4476" t="s">
        <v>5474</v>
      </c>
      <c r="I4476" t="s">
        <v>18222</v>
      </c>
      <c r="J4476" t="s">
        <v>5484</v>
      </c>
      <c r="K4476" t="s">
        <v>18223</v>
      </c>
      <c r="L4476" t="s">
        <v>5471</v>
      </c>
      <c r="M4476" t="s">
        <v>5471</v>
      </c>
    </row>
    <row r="4477" spans="1:13" x14ac:dyDescent="0.3">
      <c r="A4477" t="s">
        <v>3388</v>
      </c>
      <c r="B4477" t="s">
        <v>10501</v>
      </c>
      <c r="C4477" t="s">
        <v>5470</v>
      </c>
      <c r="D4477" t="s">
        <v>10210</v>
      </c>
      <c r="E4477" t="s">
        <v>5471</v>
      </c>
      <c r="F4477" t="s">
        <v>18224</v>
      </c>
      <c r="G4477" t="s">
        <v>10503</v>
      </c>
      <c r="H4477" t="s">
        <v>5474</v>
      </c>
      <c r="I4477" t="s">
        <v>18225</v>
      </c>
      <c r="J4477" t="s">
        <v>5484</v>
      </c>
      <c r="K4477" t="s">
        <v>18226</v>
      </c>
      <c r="L4477" t="s">
        <v>5471</v>
      </c>
      <c r="M4477" t="s">
        <v>5471</v>
      </c>
    </row>
    <row r="4478" spans="1:13" x14ac:dyDescent="0.3">
      <c r="A4478" t="s">
        <v>3388</v>
      </c>
      <c r="B4478" t="s">
        <v>10501</v>
      </c>
      <c r="C4478" t="s">
        <v>5470</v>
      </c>
      <c r="D4478" t="s">
        <v>10210</v>
      </c>
      <c r="E4478" t="s">
        <v>5471</v>
      </c>
      <c r="F4478" t="s">
        <v>18227</v>
      </c>
      <c r="G4478" t="s">
        <v>10503</v>
      </c>
      <c r="H4478" t="s">
        <v>5474</v>
      </c>
      <c r="I4478" t="s">
        <v>18228</v>
      </c>
      <c r="J4478" t="s">
        <v>5484</v>
      </c>
      <c r="K4478" t="s">
        <v>18229</v>
      </c>
      <c r="L4478" t="s">
        <v>5471</v>
      </c>
      <c r="M4478" t="s">
        <v>5471</v>
      </c>
    </row>
    <row r="4479" spans="1:13" x14ac:dyDescent="0.3">
      <c r="A4479" t="s">
        <v>3388</v>
      </c>
      <c r="B4479" t="s">
        <v>10501</v>
      </c>
      <c r="C4479" t="s">
        <v>5470</v>
      </c>
      <c r="D4479" t="s">
        <v>10210</v>
      </c>
      <c r="E4479" t="s">
        <v>5471</v>
      </c>
      <c r="F4479" t="s">
        <v>18230</v>
      </c>
      <c r="G4479" t="s">
        <v>10503</v>
      </c>
      <c r="H4479" t="s">
        <v>5474</v>
      </c>
      <c r="I4479" t="s">
        <v>18231</v>
      </c>
      <c r="J4479" t="s">
        <v>5484</v>
      </c>
      <c r="K4479" t="s">
        <v>18232</v>
      </c>
      <c r="L4479" t="s">
        <v>5471</v>
      </c>
      <c r="M4479" t="s">
        <v>5471</v>
      </c>
    </row>
    <row r="4480" spans="1:13" x14ac:dyDescent="0.3">
      <c r="A4480" t="s">
        <v>3388</v>
      </c>
      <c r="B4480" t="s">
        <v>10501</v>
      </c>
      <c r="C4480" t="s">
        <v>5470</v>
      </c>
      <c r="D4480" t="s">
        <v>10210</v>
      </c>
      <c r="E4480" t="s">
        <v>5471</v>
      </c>
      <c r="F4480" t="s">
        <v>18233</v>
      </c>
      <c r="G4480" t="s">
        <v>10503</v>
      </c>
      <c r="H4480" t="s">
        <v>5474</v>
      </c>
      <c r="I4480" t="s">
        <v>18234</v>
      </c>
      <c r="J4480" t="s">
        <v>5484</v>
      </c>
      <c r="K4480" t="s">
        <v>18235</v>
      </c>
      <c r="L4480" t="s">
        <v>5471</v>
      </c>
      <c r="M4480" t="s">
        <v>5471</v>
      </c>
    </row>
    <row r="4481" spans="1:13" x14ac:dyDescent="0.3">
      <c r="A4481" t="s">
        <v>3388</v>
      </c>
      <c r="B4481" t="s">
        <v>10501</v>
      </c>
      <c r="C4481" t="s">
        <v>5470</v>
      </c>
      <c r="D4481" t="s">
        <v>10210</v>
      </c>
      <c r="E4481" t="s">
        <v>5471</v>
      </c>
      <c r="F4481" t="s">
        <v>18236</v>
      </c>
      <c r="G4481" t="s">
        <v>10503</v>
      </c>
      <c r="H4481" t="s">
        <v>5474</v>
      </c>
      <c r="I4481" t="s">
        <v>18237</v>
      </c>
      <c r="J4481" t="s">
        <v>5484</v>
      </c>
      <c r="K4481" t="s">
        <v>18238</v>
      </c>
      <c r="L4481" t="s">
        <v>5471</v>
      </c>
      <c r="M4481" t="s">
        <v>5471</v>
      </c>
    </row>
    <row r="4482" spans="1:13" x14ac:dyDescent="0.3">
      <c r="A4482" t="s">
        <v>3388</v>
      </c>
      <c r="B4482" t="s">
        <v>10501</v>
      </c>
      <c r="C4482" t="s">
        <v>5470</v>
      </c>
      <c r="D4482" t="s">
        <v>10210</v>
      </c>
      <c r="E4482" t="s">
        <v>5471</v>
      </c>
      <c r="F4482" t="s">
        <v>18239</v>
      </c>
      <c r="G4482" t="s">
        <v>10503</v>
      </c>
      <c r="H4482" t="s">
        <v>5474</v>
      </c>
      <c r="I4482" t="s">
        <v>18240</v>
      </c>
      <c r="J4482" t="s">
        <v>5484</v>
      </c>
      <c r="K4482" t="s">
        <v>18241</v>
      </c>
      <c r="L4482" t="s">
        <v>5471</v>
      </c>
      <c r="M4482" t="s">
        <v>5471</v>
      </c>
    </row>
    <row r="4483" spans="1:13" x14ac:dyDescent="0.3">
      <c r="A4483" t="s">
        <v>3388</v>
      </c>
      <c r="B4483" t="s">
        <v>10501</v>
      </c>
      <c r="C4483" t="s">
        <v>5470</v>
      </c>
      <c r="D4483" t="s">
        <v>10210</v>
      </c>
      <c r="E4483" t="s">
        <v>5471</v>
      </c>
      <c r="F4483" t="s">
        <v>18242</v>
      </c>
      <c r="G4483" t="s">
        <v>10503</v>
      </c>
      <c r="H4483" t="s">
        <v>5474</v>
      </c>
      <c r="I4483" t="s">
        <v>18243</v>
      </c>
      <c r="J4483" t="s">
        <v>5484</v>
      </c>
      <c r="K4483" t="s">
        <v>18244</v>
      </c>
      <c r="L4483" t="s">
        <v>5471</v>
      </c>
      <c r="M4483" t="s">
        <v>5471</v>
      </c>
    </row>
    <row r="4484" spans="1:13" x14ac:dyDescent="0.3">
      <c r="A4484" t="s">
        <v>3388</v>
      </c>
      <c r="B4484" t="s">
        <v>10501</v>
      </c>
      <c r="C4484" t="s">
        <v>5470</v>
      </c>
      <c r="D4484" t="s">
        <v>10210</v>
      </c>
      <c r="E4484" t="s">
        <v>5471</v>
      </c>
      <c r="F4484" t="s">
        <v>18245</v>
      </c>
      <c r="G4484" t="s">
        <v>10503</v>
      </c>
      <c r="H4484" t="s">
        <v>5474</v>
      </c>
      <c r="I4484" t="s">
        <v>18246</v>
      </c>
      <c r="J4484" t="s">
        <v>5484</v>
      </c>
      <c r="K4484" t="s">
        <v>18247</v>
      </c>
      <c r="L4484" t="s">
        <v>5471</v>
      </c>
      <c r="M4484" t="s">
        <v>5471</v>
      </c>
    </row>
    <row r="4485" spans="1:13" x14ac:dyDescent="0.3">
      <c r="A4485" t="s">
        <v>3388</v>
      </c>
      <c r="B4485" t="s">
        <v>10501</v>
      </c>
      <c r="C4485" t="s">
        <v>5470</v>
      </c>
      <c r="D4485" t="s">
        <v>10210</v>
      </c>
      <c r="E4485" t="s">
        <v>5471</v>
      </c>
      <c r="F4485" t="s">
        <v>18248</v>
      </c>
      <c r="G4485" t="s">
        <v>10503</v>
      </c>
      <c r="H4485" t="s">
        <v>5474</v>
      </c>
      <c r="I4485" t="s">
        <v>18249</v>
      </c>
      <c r="J4485" t="s">
        <v>5484</v>
      </c>
      <c r="K4485" t="s">
        <v>18250</v>
      </c>
      <c r="L4485" t="s">
        <v>5471</v>
      </c>
      <c r="M4485" t="s">
        <v>5471</v>
      </c>
    </row>
    <row r="4486" spans="1:13" x14ac:dyDescent="0.3">
      <c r="A4486" t="s">
        <v>3388</v>
      </c>
      <c r="B4486" t="s">
        <v>10501</v>
      </c>
      <c r="C4486" t="s">
        <v>5470</v>
      </c>
      <c r="D4486" t="s">
        <v>10210</v>
      </c>
      <c r="E4486" t="s">
        <v>5471</v>
      </c>
      <c r="F4486" t="s">
        <v>18251</v>
      </c>
      <c r="G4486" t="s">
        <v>10503</v>
      </c>
      <c r="H4486" t="s">
        <v>5474</v>
      </c>
      <c r="I4486" t="s">
        <v>18252</v>
      </c>
      <c r="J4486" t="s">
        <v>5484</v>
      </c>
      <c r="K4486" t="s">
        <v>18253</v>
      </c>
      <c r="L4486" t="s">
        <v>5471</v>
      </c>
      <c r="M4486" t="s">
        <v>5471</v>
      </c>
    </row>
    <row r="4487" spans="1:13" x14ac:dyDescent="0.3">
      <c r="A4487" t="s">
        <v>3380</v>
      </c>
      <c r="B4487" t="s">
        <v>11061</v>
      </c>
      <c r="C4487" t="s">
        <v>6342</v>
      </c>
      <c r="D4487" t="s">
        <v>4052</v>
      </c>
      <c r="E4487" t="s">
        <v>5843</v>
      </c>
      <c r="F4487" t="s">
        <v>18254</v>
      </c>
      <c r="G4487" t="s">
        <v>18255</v>
      </c>
      <c r="H4487" t="s">
        <v>5474</v>
      </c>
      <c r="I4487" t="s">
        <v>18256</v>
      </c>
      <c r="J4487" t="s">
        <v>5476</v>
      </c>
      <c r="K4487" t="s">
        <v>16502</v>
      </c>
      <c r="L4487" t="s">
        <v>5471</v>
      </c>
      <c r="M4487" t="s">
        <v>5471</v>
      </c>
    </row>
    <row r="4488" spans="1:13" x14ac:dyDescent="0.3">
      <c r="A4488" t="s">
        <v>3380</v>
      </c>
      <c r="B4488" t="s">
        <v>11061</v>
      </c>
      <c r="C4488" t="s">
        <v>6342</v>
      </c>
      <c r="D4488" t="s">
        <v>4058</v>
      </c>
      <c r="E4488" t="s">
        <v>5843</v>
      </c>
      <c r="F4488" t="s">
        <v>18257</v>
      </c>
      <c r="G4488" t="s">
        <v>18255</v>
      </c>
      <c r="H4488" t="s">
        <v>5474</v>
      </c>
      <c r="I4488" t="s">
        <v>18258</v>
      </c>
      <c r="J4488" t="s">
        <v>5476</v>
      </c>
      <c r="K4488" t="s">
        <v>16998</v>
      </c>
      <c r="L4488" t="s">
        <v>5471</v>
      </c>
      <c r="M4488" t="s">
        <v>5471</v>
      </c>
    </row>
    <row r="4489" spans="1:13" x14ac:dyDescent="0.3">
      <c r="A4489" t="s">
        <v>3380</v>
      </c>
      <c r="B4489" t="s">
        <v>11061</v>
      </c>
      <c r="C4489" t="s">
        <v>6342</v>
      </c>
      <c r="D4489" t="s">
        <v>4058</v>
      </c>
      <c r="E4489" t="s">
        <v>5843</v>
      </c>
      <c r="F4489" t="s">
        <v>18259</v>
      </c>
      <c r="G4489" t="s">
        <v>18255</v>
      </c>
      <c r="H4489" t="s">
        <v>5474</v>
      </c>
      <c r="I4489" t="s">
        <v>18260</v>
      </c>
      <c r="J4489" t="s">
        <v>5476</v>
      </c>
      <c r="K4489" t="s">
        <v>17006</v>
      </c>
      <c r="L4489" t="s">
        <v>5471</v>
      </c>
      <c r="M4489" t="s">
        <v>5471</v>
      </c>
    </row>
    <row r="4490" spans="1:13" x14ac:dyDescent="0.3">
      <c r="A4490" t="s">
        <v>3380</v>
      </c>
      <c r="B4490" t="s">
        <v>11061</v>
      </c>
      <c r="C4490" t="s">
        <v>6342</v>
      </c>
      <c r="D4490" t="s">
        <v>4056</v>
      </c>
      <c r="E4490" t="s">
        <v>5843</v>
      </c>
      <c r="F4490" t="s">
        <v>18261</v>
      </c>
      <c r="G4490" t="s">
        <v>18255</v>
      </c>
      <c r="H4490" t="s">
        <v>5474</v>
      </c>
      <c r="I4490" t="s">
        <v>18262</v>
      </c>
      <c r="J4490" t="s">
        <v>5476</v>
      </c>
      <c r="K4490" t="s">
        <v>18263</v>
      </c>
      <c r="L4490" t="s">
        <v>5471</v>
      </c>
      <c r="M4490" t="s">
        <v>5471</v>
      </c>
    </row>
    <row r="4491" spans="1:13" x14ac:dyDescent="0.3">
      <c r="A4491" t="s">
        <v>3380</v>
      </c>
      <c r="B4491" t="s">
        <v>11061</v>
      </c>
      <c r="C4491" t="s">
        <v>6342</v>
      </c>
      <c r="D4491" t="s">
        <v>4058</v>
      </c>
      <c r="E4491" t="s">
        <v>5843</v>
      </c>
      <c r="F4491" t="s">
        <v>18264</v>
      </c>
      <c r="G4491" t="s">
        <v>18265</v>
      </c>
      <c r="H4491" t="s">
        <v>5474</v>
      </c>
      <c r="I4491" t="s">
        <v>18266</v>
      </c>
      <c r="J4491" t="s">
        <v>5476</v>
      </c>
      <c r="K4491" t="s">
        <v>17062</v>
      </c>
      <c r="L4491" t="s">
        <v>5471</v>
      </c>
      <c r="M4491" t="s">
        <v>5471</v>
      </c>
    </row>
    <row r="4492" spans="1:13" x14ac:dyDescent="0.3">
      <c r="A4492" t="s">
        <v>3380</v>
      </c>
      <c r="B4492" t="s">
        <v>11061</v>
      </c>
      <c r="C4492" t="s">
        <v>6342</v>
      </c>
      <c r="D4492" t="s">
        <v>4058</v>
      </c>
      <c r="E4492" t="s">
        <v>5843</v>
      </c>
      <c r="F4492" t="s">
        <v>18267</v>
      </c>
      <c r="G4492" t="s">
        <v>18265</v>
      </c>
      <c r="H4492" t="s">
        <v>5474</v>
      </c>
      <c r="I4492" t="s">
        <v>18268</v>
      </c>
      <c r="J4492" t="s">
        <v>5476</v>
      </c>
      <c r="K4492" t="s">
        <v>17067</v>
      </c>
      <c r="L4492" t="s">
        <v>5471</v>
      </c>
      <c r="M4492" t="s">
        <v>5471</v>
      </c>
    </row>
    <row r="4493" spans="1:13" x14ac:dyDescent="0.3">
      <c r="A4493" t="s">
        <v>3380</v>
      </c>
      <c r="B4493" t="s">
        <v>11061</v>
      </c>
      <c r="C4493" t="s">
        <v>6342</v>
      </c>
      <c r="D4493" t="s">
        <v>4058</v>
      </c>
      <c r="E4493" t="s">
        <v>5843</v>
      </c>
      <c r="F4493" t="s">
        <v>18269</v>
      </c>
      <c r="G4493" t="s">
        <v>18265</v>
      </c>
      <c r="H4493" t="s">
        <v>5474</v>
      </c>
      <c r="I4493" t="s">
        <v>18270</v>
      </c>
      <c r="J4493" t="s">
        <v>5476</v>
      </c>
      <c r="K4493" t="s">
        <v>17070</v>
      </c>
      <c r="L4493" t="s">
        <v>5471</v>
      </c>
      <c r="M4493" t="s">
        <v>5471</v>
      </c>
    </row>
    <row r="4494" spans="1:13" x14ac:dyDescent="0.3">
      <c r="A4494" t="s">
        <v>3380</v>
      </c>
      <c r="B4494" t="s">
        <v>11061</v>
      </c>
      <c r="C4494" t="s">
        <v>6342</v>
      </c>
      <c r="D4494" t="s">
        <v>4056</v>
      </c>
      <c r="E4494" t="s">
        <v>5843</v>
      </c>
      <c r="F4494" t="s">
        <v>18271</v>
      </c>
      <c r="G4494" t="s">
        <v>18265</v>
      </c>
      <c r="H4494" t="s">
        <v>5474</v>
      </c>
      <c r="I4494" t="s">
        <v>18272</v>
      </c>
      <c r="J4494" t="s">
        <v>5476</v>
      </c>
      <c r="K4494" t="s">
        <v>18273</v>
      </c>
      <c r="L4494" t="s">
        <v>5471</v>
      </c>
      <c r="M4494" t="s">
        <v>5471</v>
      </c>
    </row>
    <row r="4495" spans="1:13" x14ac:dyDescent="0.3">
      <c r="A4495" t="s">
        <v>3380</v>
      </c>
      <c r="B4495" t="s">
        <v>11061</v>
      </c>
      <c r="C4495" t="s">
        <v>6342</v>
      </c>
      <c r="D4495" t="s">
        <v>4058</v>
      </c>
      <c r="E4495" t="s">
        <v>5843</v>
      </c>
      <c r="F4495" t="s">
        <v>18274</v>
      </c>
      <c r="G4495" t="s">
        <v>11063</v>
      </c>
      <c r="H4495" t="s">
        <v>5474</v>
      </c>
      <c r="I4495" t="s">
        <v>18275</v>
      </c>
      <c r="J4495" t="s">
        <v>5476</v>
      </c>
      <c r="K4495" t="s">
        <v>18276</v>
      </c>
      <c r="L4495" t="s">
        <v>5471</v>
      </c>
      <c r="M4495" t="s">
        <v>5471</v>
      </c>
    </row>
    <row r="4496" spans="1:13" x14ac:dyDescent="0.3">
      <c r="A4496" t="s">
        <v>3380</v>
      </c>
      <c r="B4496" t="s">
        <v>11061</v>
      </c>
      <c r="C4496" t="s">
        <v>6342</v>
      </c>
      <c r="D4496" t="s">
        <v>4058</v>
      </c>
      <c r="E4496" t="s">
        <v>5843</v>
      </c>
      <c r="F4496" t="s">
        <v>18277</v>
      </c>
      <c r="G4496" t="s">
        <v>11063</v>
      </c>
      <c r="H4496" t="s">
        <v>5474</v>
      </c>
      <c r="I4496" t="s">
        <v>18278</v>
      </c>
      <c r="J4496" t="s">
        <v>5476</v>
      </c>
      <c r="K4496" t="s">
        <v>18279</v>
      </c>
      <c r="L4496" t="s">
        <v>5471</v>
      </c>
      <c r="M4496" t="s">
        <v>5471</v>
      </c>
    </row>
    <row r="4497" spans="1:13" x14ac:dyDescent="0.3">
      <c r="A4497" t="s">
        <v>3383</v>
      </c>
      <c r="B4497" t="s">
        <v>7444</v>
      </c>
      <c r="C4497" t="s">
        <v>5470</v>
      </c>
      <c r="D4497" t="s">
        <v>4119</v>
      </c>
      <c r="E4497" t="s">
        <v>5532</v>
      </c>
      <c r="F4497" t="s">
        <v>18280</v>
      </c>
      <c r="G4497" t="s">
        <v>8162</v>
      </c>
      <c r="H4497" t="s">
        <v>5474</v>
      </c>
      <c r="I4497" t="s">
        <v>18281</v>
      </c>
      <c r="J4497" t="s">
        <v>5476</v>
      </c>
      <c r="K4497" t="s">
        <v>18282</v>
      </c>
      <c r="L4497" t="s">
        <v>5471</v>
      </c>
      <c r="M4497" t="s">
        <v>5471</v>
      </c>
    </row>
    <row r="4498" spans="1:13" x14ac:dyDescent="0.3">
      <c r="A4498" t="s">
        <v>3383</v>
      </c>
      <c r="B4498" t="s">
        <v>5294</v>
      </c>
      <c r="C4498" t="s">
        <v>5470</v>
      </c>
      <c r="D4498" t="s">
        <v>4052</v>
      </c>
      <c r="E4498" t="s">
        <v>5617</v>
      </c>
      <c r="F4498" t="s">
        <v>18283</v>
      </c>
      <c r="G4498" t="s">
        <v>18284</v>
      </c>
      <c r="H4498" t="s">
        <v>5474</v>
      </c>
      <c r="I4498" t="s">
        <v>18285</v>
      </c>
      <c r="J4498" t="s">
        <v>5484</v>
      </c>
      <c r="K4498" t="s">
        <v>18286</v>
      </c>
      <c r="L4498" t="s">
        <v>5471</v>
      </c>
      <c r="M4498" t="s">
        <v>5471</v>
      </c>
    </row>
    <row r="4499" spans="1:13" x14ac:dyDescent="0.3">
      <c r="A4499" t="s">
        <v>3383</v>
      </c>
      <c r="B4499" t="s">
        <v>5294</v>
      </c>
      <c r="C4499" t="s">
        <v>5470</v>
      </c>
      <c r="D4499" t="s">
        <v>4052</v>
      </c>
      <c r="E4499" t="s">
        <v>5617</v>
      </c>
      <c r="F4499" t="s">
        <v>18287</v>
      </c>
      <c r="G4499" t="s">
        <v>18288</v>
      </c>
      <c r="H4499" t="s">
        <v>5474</v>
      </c>
      <c r="I4499" t="s">
        <v>18289</v>
      </c>
      <c r="J4499" t="s">
        <v>5484</v>
      </c>
      <c r="K4499" t="s">
        <v>18290</v>
      </c>
      <c r="L4499" t="s">
        <v>5471</v>
      </c>
      <c r="M4499" t="s">
        <v>5471</v>
      </c>
    </row>
    <row r="4500" spans="1:13" x14ac:dyDescent="0.3">
      <c r="A4500" t="s">
        <v>3383</v>
      </c>
      <c r="B4500" t="s">
        <v>5952</v>
      </c>
      <c r="C4500" t="s">
        <v>5470</v>
      </c>
      <c r="D4500" t="s">
        <v>4052</v>
      </c>
      <c r="E4500" t="s">
        <v>5617</v>
      </c>
      <c r="F4500" t="s">
        <v>18291</v>
      </c>
      <c r="G4500" t="s">
        <v>7528</v>
      </c>
      <c r="H4500" t="s">
        <v>5474</v>
      </c>
      <c r="I4500" t="s">
        <v>18292</v>
      </c>
      <c r="J4500" t="s">
        <v>5484</v>
      </c>
      <c r="K4500" t="s">
        <v>18293</v>
      </c>
      <c r="L4500" t="s">
        <v>5471</v>
      </c>
      <c r="M4500" t="s">
        <v>5471</v>
      </c>
    </row>
    <row r="4501" spans="1:13" x14ac:dyDescent="0.3">
      <c r="A4501" t="s">
        <v>3380</v>
      </c>
      <c r="B4501" t="s">
        <v>18294</v>
      </c>
      <c r="C4501" t="s">
        <v>6342</v>
      </c>
      <c r="D4501" t="s">
        <v>4119</v>
      </c>
      <c r="E4501" t="s">
        <v>9935</v>
      </c>
      <c r="F4501" t="s">
        <v>18295</v>
      </c>
      <c r="G4501" t="s">
        <v>18296</v>
      </c>
      <c r="H4501" t="s">
        <v>5474</v>
      </c>
      <c r="I4501" t="s">
        <v>18297</v>
      </c>
      <c r="J4501" t="s">
        <v>5476</v>
      </c>
      <c r="K4501" t="s">
        <v>18298</v>
      </c>
      <c r="L4501" t="s">
        <v>5471</v>
      </c>
      <c r="M4501" t="s">
        <v>5471</v>
      </c>
    </row>
    <row r="4502" spans="1:13" x14ac:dyDescent="0.3">
      <c r="A4502" t="s">
        <v>3380</v>
      </c>
      <c r="B4502" t="s">
        <v>10051</v>
      </c>
      <c r="C4502" t="s">
        <v>6342</v>
      </c>
      <c r="D4502" t="s">
        <v>4119</v>
      </c>
      <c r="E4502" t="s">
        <v>9935</v>
      </c>
      <c r="F4502" t="s">
        <v>18299</v>
      </c>
      <c r="G4502" t="s">
        <v>16085</v>
      </c>
      <c r="H4502" t="s">
        <v>5474</v>
      </c>
      <c r="I4502" t="s">
        <v>18300</v>
      </c>
      <c r="J4502" t="s">
        <v>5476</v>
      </c>
      <c r="K4502" t="s">
        <v>18301</v>
      </c>
      <c r="L4502" t="s">
        <v>5471</v>
      </c>
      <c r="M4502" t="s">
        <v>5471</v>
      </c>
    </row>
    <row r="4503" spans="1:13" x14ac:dyDescent="0.3">
      <c r="A4503" t="s">
        <v>3380</v>
      </c>
      <c r="B4503" t="s">
        <v>10673</v>
      </c>
      <c r="C4503" t="s">
        <v>6342</v>
      </c>
      <c r="D4503" t="s">
        <v>4119</v>
      </c>
      <c r="E4503" t="s">
        <v>9935</v>
      </c>
      <c r="F4503" t="s">
        <v>18302</v>
      </c>
      <c r="G4503" t="s">
        <v>10799</v>
      </c>
      <c r="H4503" t="s">
        <v>5474</v>
      </c>
      <c r="I4503" t="s">
        <v>18303</v>
      </c>
      <c r="J4503" t="s">
        <v>5476</v>
      </c>
      <c r="K4503" t="s">
        <v>18301</v>
      </c>
      <c r="L4503" t="s">
        <v>5471</v>
      </c>
      <c r="M4503" t="s">
        <v>5471</v>
      </c>
    </row>
    <row r="4504" spans="1:13" x14ac:dyDescent="0.3">
      <c r="A4504" t="s">
        <v>3380</v>
      </c>
      <c r="B4504" t="s">
        <v>10673</v>
      </c>
      <c r="C4504" t="s">
        <v>6342</v>
      </c>
      <c r="D4504" t="s">
        <v>4119</v>
      </c>
      <c r="E4504" t="s">
        <v>9935</v>
      </c>
      <c r="F4504" t="s">
        <v>18304</v>
      </c>
      <c r="G4504" t="s">
        <v>10799</v>
      </c>
      <c r="H4504" t="s">
        <v>5474</v>
      </c>
      <c r="I4504" t="s">
        <v>18305</v>
      </c>
      <c r="J4504" t="s">
        <v>5476</v>
      </c>
      <c r="K4504" t="s">
        <v>18298</v>
      </c>
      <c r="L4504" t="s">
        <v>5471</v>
      </c>
      <c r="M4504" t="s">
        <v>5471</v>
      </c>
    </row>
    <row r="4505" spans="1:13" x14ac:dyDescent="0.3">
      <c r="A4505" t="s">
        <v>3380</v>
      </c>
      <c r="B4505" t="s">
        <v>10673</v>
      </c>
      <c r="C4505" t="s">
        <v>6342</v>
      </c>
      <c r="D4505" t="s">
        <v>4119</v>
      </c>
      <c r="E4505" t="s">
        <v>9935</v>
      </c>
      <c r="F4505" t="s">
        <v>18306</v>
      </c>
      <c r="G4505" t="s">
        <v>10799</v>
      </c>
      <c r="H4505" t="s">
        <v>5474</v>
      </c>
      <c r="I4505" t="s">
        <v>18307</v>
      </c>
      <c r="J4505" t="s">
        <v>5476</v>
      </c>
      <c r="K4505" t="s">
        <v>18308</v>
      </c>
      <c r="L4505" t="s">
        <v>5471</v>
      </c>
      <c r="M4505" t="s">
        <v>5471</v>
      </c>
    </row>
    <row r="4506" spans="1:13" x14ac:dyDescent="0.3">
      <c r="A4506" t="s">
        <v>3380</v>
      </c>
      <c r="B4506" t="s">
        <v>10673</v>
      </c>
      <c r="C4506" t="s">
        <v>6342</v>
      </c>
      <c r="D4506" t="s">
        <v>4119</v>
      </c>
      <c r="E4506" t="s">
        <v>9935</v>
      </c>
      <c r="F4506" t="s">
        <v>18309</v>
      </c>
      <c r="G4506" t="s">
        <v>10799</v>
      </c>
      <c r="H4506" t="s">
        <v>5474</v>
      </c>
      <c r="I4506" t="s">
        <v>18310</v>
      </c>
      <c r="J4506" t="s">
        <v>5476</v>
      </c>
      <c r="K4506" t="s">
        <v>18311</v>
      </c>
      <c r="L4506" t="s">
        <v>5471</v>
      </c>
      <c r="M4506" t="s">
        <v>5471</v>
      </c>
    </row>
    <row r="4507" spans="1:13" x14ac:dyDescent="0.3">
      <c r="A4507" t="s">
        <v>3383</v>
      </c>
      <c r="B4507" t="s">
        <v>5952</v>
      </c>
      <c r="C4507" t="s">
        <v>5470</v>
      </c>
      <c r="D4507" t="s">
        <v>4052</v>
      </c>
      <c r="E4507" t="s">
        <v>5617</v>
      </c>
      <c r="F4507" t="s">
        <v>18312</v>
      </c>
      <c r="G4507" t="s">
        <v>18313</v>
      </c>
      <c r="H4507" t="s">
        <v>5474</v>
      </c>
      <c r="I4507" t="s">
        <v>18314</v>
      </c>
      <c r="J4507" t="s">
        <v>5484</v>
      </c>
      <c r="K4507" t="s">
        <v>18315</v>
      </c>
      <c r="L4507" t="s">
        <v>5471</v>
      </c>
      <c r="M4507" t="s">
        <v>5471</v>
      </c>
    </row>
    <row r="4508" spans="1:13" x14ac:dyDescent="0.3">
      <c r="A4508" t="s">
        <v>3380</v>
      </c>
      <c r="B4508" t="s">
        <v>18316</v>
      </c>
      <c r="C4508" t="s">
        <v>6342</v>
      </c>
      <c r="D4508" t="s">
        <v>4119</v>
      </c>
      <c r="E4508" t="s">
        <v>5532</v>
      </c>
      <c r="F4508" t="s">
        <v>18317</v>
      </c>
      <c r="G4508" t="s">
        <v>18318</v>
      </c>
      <c r="H4508" t="s">
        <v>5474</v>
      </c>
      <c r="I4508" t="s">
        <v>18319</v>
      </c>
      <c r="J4508" t="s">
        <v>5476</v>
      </c>
      <c r="K4508" t="s">
        <v>18298</v>
      </c>
      <c r="L4508" t="s">
        <v>5471</v>
      </c>
      <c r="M4508" t="s">
        <v>5471</v>
      </c>
    </row>
    <row r="4509" spans="1:13" x14ac:dyDescent="0.3">
      <c r="A4509" t="s">
        <v>3383</v>
      </c>
      <c r="B4509" t="s">
        <v>5952</v>
      </c>
      <c r="C4509" t="s">
        <v>5470</v>
      </c>
      <c r="D4509" t="s">
        <v>4052</v>
      </c>
      <c r="E4509" t="s">
        <v>5617</v>
      </c>
      <c r="F4509" t="s">
        <v>18320</v>
      </c>
      <c r="G4509" t="s">
        <v>18321</v>
      </c>
      <c r="H4509" t="s">
        <v>5474</v>
      </c>
      <c r="I4509" t="s">
        <v>18322</v>
      </c>
      <c r="J4509" t="s">
        <v>5484</v>
      </c>
      <c r="K4509" t="s">
        <v>18315</v>
      </c>
      <c r="L4509" t="s">
        <v>5471</v>
      </c>
      <c r="M4509" t="s">
        <v>5471</v>
      </c>
    </row>
    <row r="4510" spans="1:13" x14ac:dyDescent="0.3">
      <c r="A4510" t="s">
        <v>3383</v>
      </c>
      <c r="B4510" t="s">
        <v>5952</v>
      </c>
      <c r="C4510" t="s">
        <v>5470</v>
      </c>
      <c r="D4510" t="s">
        <v>4052</v>
      </c>
      <c r="E4510" t="s">
        <v>5617</v>
      </c>
      <c r="F4510" t="s">
        <v>18323</v>
      </c>
      <c r="G4510" t="s">
        <v>18324</v>
      </c>
      <c r="H4510" t="s">
        <v>5474</v>
      </c>
      <c r="I4510" t="s">
        <v>18325</v>
      </c>
      <c r="J4510" t="s">
        <v>5484</v>
      </c>
      <c r="K4510" t="s">
        <v>18326</v>
      </c>
      <c r="L4510" t="s">
        <v>5471</v>
      </c>
      <c r="M4510" t="s">
        <v>5471</v>
      </c>
    </row>
    <row r="4511" spans="1:13" x14ac:dyDescent="0.3">
      <c r="A4511" t="s">
        <v>3380</v>
      </c>
      <c r="B4511" t="s">
        <v>18327</v>
      </c>
      <c r="C4511" t="s">
        <v>6342</v>
      </c>
      <c r="D4511" t="s">
        <v>4119</v>
      </c>
      <c r="E4511" t="s">
        <v>5532</v>
      </c>
      <c r="F4511" t="s">
        <v>18328</v>
      </c>
      <c r="G4511" t="s">
        <v>18329</v>
      </c>
      <c r="H4511" t="s">
        <v>5474</v>
      </c>
      <c r="I4511" t="s">
        <v>18330</v>
      </c>
      <c r="J4511" t="s">
        <v>5476</v>
      </c>
      <c r="K4511" t="s">
        <v>18301</v>
      </c>
      <c r="L4511" t="s">
        <v>5471</v>
      </c>
      <c r="M4511" t="s">
        <v>5471</v>
      </c>
    </row>
    <row r="4512" spans="1:13" x14ac:dyDescent="0.3">
      <c r="A4512" t="s">
        <v>3380</v>
      </c>
      <c r="B4512" t="s">
        <v>18327</v>
      </c>
      <c r="C4512" t="s">
        <v>6342</v>
      </c>
      <c r="D4512" t="s">
        <v>4119</v>
      </c>
      <c r="E4512" t="s">
        <v>5532</v>
      </c>
      <c r="F4512" t="s">
        <v>18331</v>
      </c>
      <c r="G4512" t="s">
        <v>18329</v>
      </c>
      <c r="H4512" t="s">
        <v>5474</v>
      </c>
      <c r="I4512" t="s">
        <v>18332</v>
      </c>
      <c r="J4512" t="s">
        <v>5476</v>
      </c>
      <c r="K4512" t="s">
        <v>18298</v>
      </c>
      <c r="L4512" t="s">
        <v>5471</v>
      </c>
      <c r="M4512" t="s">
        <v>5471</v>
      </c>
    </row>
    <row r="4513" spans="1:13" x14ac:dyDescent="0.3">
      <c r="A4513" t="s">
        <v>3380</v>
      </c>
      <c r="B4513" t="s">
        <v>10132</v>
      </c>
      <c r="C4513" t="s">
        <v>6342</v>
      </c>
      <c r="D4513" t="s">
        <v>4119</v>
      </c>
      <c r="E4513" t="s">
        <v>5532</v>
      </c>
      <c r="F4513" t="s">
        <v>18333</v>
      </c>
      <c r="G4513" t="s">
        <v>16787</v>
      </c>
      <c r="H4513" t="s">
        <v>5474</v>
      </c>
      <c r="I4513" t="s">
        <v>18334</v>
      </c>
      <c r="J4513" t="s">
        <v>5476</v>
      </c>
      <c r="K4513" t="s">
        <v>18301</v>
      </c>
      <c r="L4513" t="s">
        <v>5471</v>
      </c>
      <c r="M4513" t="s">
        <v>5471</v>
      </c>
    </row>
    <row r="4514" spans="1:13" x14ac:dyDescent="0.3">
      <c r="A4514" t="s">
        <v>3380</v>
      </c>
      <c r="B4514" t="s">
        <v>10132</v>
      </c>
      <c r="C4514" t="s">
        <v>6342</v>
      </c>
      <c r="D4514" t="s">
        <v>4119</v>
      </c>
      <c r="E4514" t="s">
        <v>5532</v>
      </c>
      <c r="F4514" t="s">
        <v>18335</v>
      </c>
      <c r="G4514" t="s">
        <v>16787</v>
      </c>
      <c r="H4514" t="s">
        <v>5474</v>
      </c>
      <c r="I4514" t="s">
        <v>18336</v>
      </c>
      <c r="J4514" t="s">
        <v>5476</v>
      </c>
      <c r="K4514" t="s">
        <v>18298</v>
      </c>
      <c r="L4514" t="s">
        <v>5471</v>
      </c>
      <c r="M4514" t="s">
        <v>5471</v>
      </c>
    </row>
    <row r="4515" spans="1:13" x14ac:dyDescent="0.3">
      <c r="A4515" t="s">
        <v>3388</v>
      </c>
      <c r="B4515" t="s">
        <v>6478</v>
      </c>
      <c r="C4515" t="s">
        <v>5470</v>
      </c>
      <c r="D4515" t="s">
        <v>4058</v>
      </c>
      <c r="E4515" t="s">
        <v>5843</v>
      </c>
      <c r="F4515" t="s">
        <v>18337</v>
      </c>
      <c r="G4515" t="s">
        <v>18338</v>
      </c>
      <c r="H4515" t="s">
        <v>5474</v>
      </c>
      <c r="I4515" t="s">
        <v>18339</v>
      </c>
      <c r="J4515" t="s">
        <v>5484</v>
      </c>
      <c r="K4515" t="s">
        <v>18340</v>
      </c>
      <c r="L4515" t="s">
        <v>5471</v>
      </c>
      <c r="M4515" t="s">
        <v>5471</v>
      </c>
    </row>
    <row r="4516" spans="1:13" x14ac:dyDescent="0.3">
      <c r="A4516" t="s">
        <v>3388</v>
      </c>
      <c r="B4516" t="s">
        <v>6478</v>
      </c>
      <c r="C4516" t="s">
        <v>5470</v>
      </c>
      <c r="D4516" t="s">
        <v>4058</v>
      </c>
      <c r="E4516" t="s">
        <v>5532</v>
      </c>
      <c r="F4516" t="s">
        <v>18341</v>
      </c>
      <c r="G4516" t="s">
        <v>18342</v>
      </c>
      <c r="H4516" t="s">
        <v>5474</v>
      </c>
      <c r="I4516" t="s">
        <v>18343</v>
      </c>
      <c r="J4516" t="s">
        <v>5484</v>
      </c>
      <c r="K4516" t="s">
        <v>18344</v>
      </c>
      <c r="L4516" t="s">
        <v>5471</v>
      </c>
      <c r="M4516" t="s">
        <v>5471</v>
      </c>
    </row>
    <row r="4517" spans="1:13" x14ac:dyDescent="0.3">
      <c r="A4517" t="s">
        <v>3388</v>
      </c>
      <c r="B4517" t="s">
        <v>6478</v>
      </c>
      <c r="C4517" t="s">
        <v>5470</v>
      </c>
      <c r="D4517" t="s">
        <v>4058</v>
      </c>
      <c r="E4517" t="s">
        <v>5532</v>
      </c>
      <c r="F4517" t="s">
        <v>18345</v>
      </c>
      <c r="G4517" t="s">
        <v>18342</v>
      </c>
      <c r="H4517" t="s">
        <v>5474</v>
      </c>
      <c r="I4517" t="s">
        <v>18346</v>
      </c>
      <c r="J4517" t="s">
        <v>5484</v>
      </c>
      <c r="K4517" t="s">
        <v>18347</v>
      </c>
      <c r="L4517" t="s">
        <v>5471</v>
      </c>
      <c r="M4517" t="s">
        <v>5471</v>
      </c>
    </row>
    <row r="4518" spans="1:13" x14ac:dyDescent="0.3">
      <c r="A4518" t="s">
        <v>3388</v>
      </c>
      <c r="B4518" t="s">
        <v>18040</v>
      </c>
      <c r="C4518" t="s">
        <v>5470</v>
      </c>
      <c r="D4518" t="s">
        <v>10210</v>
      </c>
      <c r="E4518" t="s">
        <v>5471</v>
      </c>
      <c r="F4518" t="s">
        <v>18348</v>
      </c>
      <c r="G4518" t="s">
        <v>18042</v>
      </c>
      <c r="H4518" t="s">
        <v>5474</v>
      </c>
      <c r="I4518" t="s">
        <v>18349</v>
      </c>
      <c r="J4518" t="s">
        <v>5476</v>
      </c>
      <c r="K4518" t="s">
        <v>18350</v>
      </c>
      <c r="L4518" t="s">
        <v>5471</v>
      </c>
      <c r="M4518" t="s">
        <v>5471</v>
      </c>
    </row>
    <row r="4519" spans="1:13" x14ac:dyDescent="0.3">
      <c r="A4519" t="s">
        <v>3388</v>
      </c>
      <c r="B4519" t="s">
        <v>5296</v>
      </c>
      <c r="C4519" t="s">
        <v>5470</v>
      </c>
      <c r="D4519" t="s">
        <v>4058</v>
      </c>
      <c r="E4519" t="s">
        <v>5532</v>
      </c>
      <c r="F4519" t="s">
        <v>18351</v>
      </c>
      <c r="G4519" t="s">
        <v>18352</v>
      </c>
      <c r="H4519" t="s">
        <v>5474</v>
      </c>
      <c r="I4519" t="s">
        <v>18353</v>
      </c>
      <c r="J4519" t="s">
        <v>5484</v>
      </c>
      <c r="K4519" t="s">
        <v>18354</v>
      </c>
      <c r="L4519" t="s">
        <v>5471</v>
      </c>
      <c r="M4519" t="s">
        <v>5471</v>
      </c>
    </row>
    <row r="4520" spans="1:13" x14ac:dyDescent="0.3">
      <c r="A4520" t="s">
        <v>3388</v>
      </c>
      <c r="B4520" t="s">
        <v>5296</v>
      </c>
      <c r="C4520" t="s">
        <v>5470</v>
      </c>
      <c r="D4520" t="s">
        <v>4058</v>
      </c>
      <c r="E4520" t="s">
        <v>5532</v>
      </c>
      <c r="F4520" t="s">
        <v>18355</v>
      </c>
      <c r="G4520" t="s">
        <v>18356</v>
      </c>
      <c r="H4520" t="s">
        <v>5474</v>
      </c>
      <c r="I4520" t="s">
        <v>18357</v>
      </c>
      <c r="J4520" t="s">
        <v>5484</v>
      </c>
      <c r="K4520" t="s">
        <v>18358</v>
      </c>
      <c r="L4520" t="s">
        <v>5471</v>
      </c>
      <c r="M4520" t="s">
        <v>5471</v>
      </c>
    </row>
    <row r="4521" spans="1:13" x14ac:dyDescent="0.3">
      <c r="A4521" t="s">
        <v>3388</v>
      </c>
      <c r="B4521" t="s">
        <v>5296</v>
      </c>
      <c r="C4521" t="s">
        <v>5470</v>
      </c>
      <c r="D4521" t="s">
        <v>4058</v>
      </c>
      <c r="E4521" t="s">
        <v>5532</v>
      </c>
      <c r="F4521" t="s">
        <v>18359</v>
      </c>
      <c r="G4521" t="s">
        <v>18360</v>
      </c>
      <c r="H4521" t="s">
        <v>5474</v>
      </c>
      <c r="I4521" t="s">
        <v>18361</v>
      </c>
      <c r="J4521" t="s">
        <v>5484</v>
      </c>
      <c r="K4521" t="s">
        <v>18362</v>
      </c>
      <c r="L4521" t="s">
        <v>5471</v>
      </c>
      <c r="M4521" t="s">
        <v>5471</v>
      </c>
    </row>
    <row r="4522" spans="1:13" x14ac:dyDescent="0.3">
      <c r="A4522" t="s">
        <v>3388</v>
      </c>
      <c r="B4522" t="s">
        <v>5296</v>
      </c>
      <c r="C4522" t="s">
        <v>5470</v>
      </c>
      <c r="D4522" t="s">
        <v>4058</v>
      </c>
      <c r="E4522" t="s">
        <v>5532</v>
      </c>
      <c r="F4522" t="s">
        <v>18363</v>
      </c>
      <c r="G4522" t="s">
        <v>18360</v>
      </c>
      <c r="H4522" t="s">
        <v>5474</v>
      </c>
      <c r="I4522" t="s">
        <v>18364</v>
      </c>
      <c r="J4522" t="s">
        <v>5484</v>
      </c>
      <c r="K4522" t="s">
        <v>18365</v>
      </c>
      <c r="L4522" t="s">
        <v>5471</v>
      </c>
      <c r="M4522" t="s">
        <v>5471</v>
      </c>
    </row>
    <row r="4523" spans="1:13" x14ac:dyDescent="0.3">
      <c r="A4523" t="s">
        <v>3388</v>
      </c>
      <c r="B4523" t="s">
        <v>5296</v>
      </c>
      <c r="C4523" t="s">
        <v>5470</v>
      </c>
      <c r="D4523" t="s">
        <v>4058</v>
      </c>
      <c r="E4523" t="s">
        <v>5532</v>
      </c>
      <c r="F4523" t="s">
        <v>18366</v>
      </c>
      <c r="G4523" t="s">
        <v>18360</v>
      </c>
      <c r="H4523" t="s">
        <v>5474</v>
      </c>
      <c r="I4523" t="s">
        <v>18367</v>
      </c>
      <c r="J4523" t="s">
        <v>5484</v>
      </c>
      <c r="K4523" t="s">
        <v>18368</v>
      </c>
      <c r="L4523" t="s">
        <v>5471</v>
      </c>
      <c r="M4523" t="s">
        <v>5471</v>
      </c>
    </row>
    <row r="4524" spans="1:13" x14ac:dyDescent="0.3">
      <c r="A4524" t="s">
        <v>3388</v>
      </c>
      <c r="B4524" t="s">
        <v>5296</v>
      </c>
      <c r="C4524" t="s">
        <v>5470</v>
      </c>
      <c r="D4524" t="s">
        <v>4058</v>
      </c>
      <c r="E4524" t="s">
        <v>5532</v>
      </c>
      <c r="F4524" t="s">
        <v>18369</v>
      </c>
      <c r="G4524" t="s">
        <v>17789</v>
      </c>
      <c r="H4524" t="s">
        <v>5474</v>
      </c>
      <c r="I4524" t="s">
        <v>18370</v>
      </c>
      <c r="J4524" t="s">
        <v>5484</v>
      </c>
      <c r="K4524" t="s">
        <v>18371</v>
      </c>
      <c r="L4524" t="s">
        <v>5471</v>
      </c>
      <c r="M4524" t="s">
        <v>5471</v>
      </c>
    </row>
    <row r="4525" spans="1:13" x14ac:dyDescent="0.3">
      <c r="A4525" t="s">
        <v>3388</v>
      </c>
      <c r="B4525" t="s">
        <v>5296</v>
      </c>
      <c r="C4525" t="s">
        <v>5470</v>
      </c>
      <c r="D4525" t="s">
        <v>4058</v>
      </c>
      <c r="E4525" t="s">
        <v>5532</v>
      </c>
      <c r="F4525" t="s">
        <v>18372</v>
      </c>
      <c r="G4525" t="s">
        <v>17789</v>
      </c>
      <c r="H4525" t="s">
        <v>5474</v>
      </c>
      <c r="I4525" t="s">
        <v>18373</v>
      </c>
      <c r="J4525" t="s">
        <v>5484</v>
      </c>
      <c r="K4525" t="s">
        <v>18374</v>
      </c>
      <c r="L4525" t="s">
        <v>5471</v>
      </c>
      <c r="M4525" t="s">
        <v>5471</v>
      </c>
    </row>
    <row r="4526" spans="1:13" x14ac:dyDescent="0.3">
      <c r="A4526" t="s">
        <v>3388</v>
      </c>
      <c r="B4526" t="s">
        <v>5296</v>
      </c>
      <c r="C4526" t="s">
        <v>5470</v>
      </c>
      <c r="D4526" t="s">
        <v>4058</v>
      </c>
      <c r="E4526" t="s">
        <v>5532</v>
      </c>
      <c r="F4526" t="s">
        <v>18375</v>
      </c>
      <c r="G4526" t="s">
        <v>17789</v>
      </c>
      <c r="H4526" t="s">
        <v>5474</v>
      </c>
      <c r="I4526" t="s">
        <v>18376</v>
      </c>
      <c r="J4526" t="s">
        <v>5484</v>
      </c>
      <c r="K4526" t="s">
        <v>18377</v>
      </c>
      <c r="L4526" t="s">
        <v>5471</v>
      </c>
      <c r="M4526" t="s">
        <v>5471</v>
      </c>
    </row>
    <row r="4527" spans="1:13" x14ac:dyDescent="0.3">
      <c r="A4527" t="s">
        <v>3388</v>
      </c>
      <c r="B4527" t="s">
        <v>10501</v>
      </c>
      <c r="C4527" t="s">
        <v>5470</v>
      </c>
      <c r="D4527" t="s">
        <v>10210</v>
      </c>
      <c r="E4527" t="s">
        <v>5471</v>
      </c>
      <c r="F4527" t="s">
        <v>18378</v>
      </c>
      <c r="G4527" t="s">
        <v>10503</v>
      </c>
      <c r="H4527" t="s">
        <v>5474</v>
      </c>
      <c r="I4527" t="s">
        <v>18379</v>
      </c>
      <c r="J4527" t="s">
        <v>5484</v>
      </c>
      <c r="K4527" t="s">
        <v>18380</v>
      </c>
      <c r="L4527" t="s">
        <v>5471</v>
      </c>
      <c r="M4527" t="s">
        <v>5471</v>
      </c>
    </row>
    <row r="4528" spans="1:13" x14ac:dyDescent="0.3">
      <c r="A4528" t="s">
        <v>3388</v>
      </c>
      <c r="B4528" t="s">
        <v>10501</v>
      </c>
      <c r="C4528" t="s">
        <v>5470</v>
      </c>
      <c r="D4528" t="s">
        <v>10210</v>
      </c>
      <c r="E4528" t="s">
        <v>5471</v>
      </c>
      <c r="F4528" t="s">
        <v>18381</v>
      </c>
      <c r="G4528" t="s">
        <v>10503</v>
      </c>
      <c r="H4528" t="s">
        <v>5474</v>
      </c>
      <c r="I4528" t="s">
        <v>18382</v>
      </c>
      <c r="J4528" t="s">
        <v>5484</v>
      </c>
      <c r="K4528" t="s">
        <v>18383</v>
      </c>
      <c r="L4528" t="s">
        <v>5471</v>
      </c>
      <c r="M4528" t="s">
        <v>5471</v>
      </c>
    </row>
    <row r="4529" spans="1:13" x14ac:dyDescent="0.3">
      <c r="A4529" t="s">
        <v>3388</v>
      </c>
      <c r="B4529" t="s">
        <v>10501</v>
      </c>
      <c r="C4529" t="s">
        <v>5470</v>
      </c>
      <c r="D4529" t="s">
        <v>10210</v>
      </c>
      <c r="E4529" t="s">
        <v>5471</v>
      </c>
      <c r="F4529" t="s">
        <v>18384</v>
      </c>
      <c r="G4529" t="s">
        <v>10503</v>
      </c>
      <c r="H4529" t="s">
        <v>5474</v>
      </c>
      <c r="I4529" t="s">
        <v>18385</v>
      </c>
      <c r="J4529" t="s">
        <v>5484</v>
      </c>
      <c r="K4529" t="s">
        <v>18386</v>
      </c>
      <c r="L4529" t="s">
        <v>5471</v>
      </c>
      <c r="M4529" t="s">
        <v>5471</v>
      </c>
    </row>
    <row r="4530" spans="1:13" x14ac:dyDescent="0.3">
      <c r="A4530" t="s">
        <v>3388</v>
      </c>
      <c r="B4530" t="s">
        <v>10501</v>
      </c>
      <c r="C4530" t="s">
        <v>5470</v>
      </c>
      <c r="D4530" t="s">
        <v>10210</v>
      </c>
      <c r="E4530" t="s">
        <v>5471</v>
      </c>
      <c r="F4530" t="s">
        <v>18387</v>
      </c>
      <c r="G4530" t="s">
        <v>10503</v>
      </c>
      <c r="H4530" t="s">
        <v>5474</v>
      </c>
      <c r="I4530" t="s">
        <v>18388</v>
      </c>
      <c r="J4530" t="s">
        <v>5484</v>
      </c>
      <c r="K4530" t="s">
        <v>18389</v>
      </c>
      <c r="L4530" t="s">
        <v>5471</v>
      </c>
      <c r="M4530" t="s">
        <v>5471</v>
      </c>
    </row>
    <row r="4531" spans="1:13" x14ac:dyDescent="0.3">
      <c r="A4531" t="s">
        <v>3388</v>
      </c>
      <c r="B4531" t="s">
        <v>10501</v>
      </c>
      <c r="C4531" t="s">
        <v>5470</v>
      </c>
      <c r="D4531" t="s">
        <v>10210</v>
      </c>
      <c r="E4531" t="s">
        <v>5471</v>
      </c>
      <c r="F4531" t="s">
        <v>18390</v>
      </c>
      <c r="G4531" t="s">
        <v>10503</v>
      </c>
      <c r="H4531" t="s">
        <v>5474</v>
      </c>
      <c r="I4531" t="s">
        <v>18391</v>
      </c>
      <c r="J4531" t="s">
        <v>5484</v>
      </c>
      <c r="K4531" t="s">
        <v>18392</v>
      </c>
      <c r="L4531" t="s">
        <v>5471</v>
      </c>
      <c r="M4531" t="s">
        <v>5471</v>
      </c>
    </row>
    <row r="4532" spans="1:13" x14ac:dyDescent="0.3">
      <c r="A4532" t="s">
        <v>3388</v>
      </c>
      <c r="B4532" t="s">
        <v>10501</v>
      </c>
      <c r="C4532" t="s">
        <v>5470</v>
      </c>
      <c r="D4532" t="s">
        <v>10210</v>
      </c>
      <c r="E4532" t="s">
        <v>5471</v>
      </c>
      <c r="F4532" t="s">
        <v>18393</v>
      </c>
      <c r="G4532" t="s">
        <v>10503</v>
      </c>
      <c r="H4532" t="s">
        <v>5474</v>
      </c>
      <c r="I4532" t="s">
        <v>18394</v>
      </c>
      <c r="J4532" t="s">
        <v>5484</v>
      </c>
      <c r="K4532" t="s">
        <v>18395</v>
      </c>
      <c r="L4532" t="s">
        <v>5471</v>
      </c>
      <c r="M4532" t="s">
        <v>5471</v>
      </c>
    </row>
    <row r="4533" spans="1:13" x14ac:dyDescent="0.3">
      <c r="A4533" t="s">
        <v>3388</v>
      </c>
      <c r="B4533" t="s">
        <v>10501</v>
      </c>
      <c r="C4533" t="s">
        <v>5470</v>
      </c>
      <c r="D4533" t="s">
        <v>10210</v>
      </c>
      <c r="E4533" t="s">
        <v>5471</v>
      </c>
      <c r="F4533" t="s">
        <v>18396</v>
      </c>
      <c r="G4533" t="s">
        <v>10503</v>
      </c>
      <c r="H4533" t="s">
        <v>5474</v>
      </c>
      <c r="I4533" t="s">
        <v>18397</v>
      </c>
      <c r="J4533" t="s">
        <v>5484</v>
      </c>
      <c r="K4533" t="s">
        <v>18398</v>
      </c>
      <c r="L4533" t="s">
        <v>5471</v>
      </c>
      <c r="M4533" t="s">
        <v>5471</v>
      </c>
    </row>
    <row r="4534" spans="1:13" x14ac:dyDescent="0.3">
      <c r="A4534" t="s">
        <v>3388</v>
      </c>
      <c r="B4534" t="s">
        <v>10501</v>
      </c>
      <c r="C4534" t="s">
        <v>5470</v>
      </c>
      <c r="D4534" t="s">
        <v>10210</v>
      </c>
      <c r="E4534" t="s">
        <v>5471</v>
      </c>
      <c r="F4534" t="s">
        <v>18399</v>
      </c>
      <c r="G4534" t="s">
        <v>10503</v>
      </c>
      <c r="H4534" t="s">
        <v>5474</v>
      </c>
      <c r="I4534" t="s">
        <v>18400</v>
      </c>
      <c r="J4534" t="s">
        <v>5484</v>
      </c>
      <c r="K4534" t="s">
        <v>18401</v>
      </c>
      <c r="L4534" t="s">
        <v>5471</v>
      </c>
      <c r="M4534" t="s">
        <v>5471</v>
      </c>
    </row>
    <row r="4535" spans="1:13" x14ac:dyDescent="0.3">
      <c r="A4535" t="s">
        <v>3380</v>
      </c>
      <c r="B4535" t="s">
        <v>15592</v>
      </c>
      <c r="C4535" t="s">
        <v>5487</v>
      </c>
      <c r="D4535" t="s">
        <v>4119</v>
      </c>
      <c r="E4535" t="s">
        <v>5843</v>
      </c>
      <c r="F4535" t="s">
        <v>18402</v>
      </c>
      <c r="G4535" t="s">
        <v>16418</v>
      </c>
      <c r="H4535" t="s">
        <v>5474</v>
      </c>
      <c r="I4535" t="s">
        <v>18403</v>
      </c>
      <c r="J4535" t="s">
        <v>5476</v>
      </c>
      <c r="K4535" t="s">
        <v>18311</v>
      </c>
      <c r="L4535" t="s">
        <v>5471</v>
      </c>
      <c r="M4535" t="s">
        <v>5471</v>
      </c>
    </row>
    <row r="4536" spans="1:13" x14ac:dyDescent="0.3">
      <c r="A4536" t="s">
        <v>3380</v>
      </c>
      <c r="B4536" t="s">
        <v>18316</v>
      </c>
      <c r="C4536" t="s">
        <v>6342</v>
      </c>
      <c r="D4536" t="s">
        <v>4119</v>
      </c>
      <c r="E4536" t="s">
        <v>5532</v>
      </c>
      <c r="F4536" t="s">
        <v>18404</v>
      </c>
      <c r="G4536" t="s">
        <v>18318</v>
      </c>
      <c r="H4536" t="s">
        <v>5474</v>
      </c>
      <c r="I4536" t="s">
        <v>18405</v>
      </c>
      <c r="J4536" t="s">
        <v>5476</v>
      </c>
      <c r="K4536" t="s">
        <v>18311</v>
      </c>
      <c r="L4536" t="s">
        <v>5471</v>
      </c>
      <c r="M4536" t="s">
        <v>5471</v>
      </c>
    </row>
    <row r="4537" spans="1:13" x14ac:dyDescent="0.3">
      <c r="A4537" t="s">
        <v>3383</v>
      </c>
      <c r="B4537" t="s">
        <v>8871</v>
      </c>
      <c r="C4537" t="s">
        <v>5470</v>
      </c>
      <c r="D4537" t="s">
        <v>4052</v>
      </c>
      <c r="E4537" t="s">
        <v>5532</v>
      </c>
      <c r="F4537" t="s">
        <v>18406</v>
      </c>
      <c r="G4537" t="s">
        <v>12205</v>
      </c>
      <c r="H4537" t="s">
        <v>5474</v>
      </c>
      <c r="I4537" t="s">
        <v>18407</v>
      </c>
      <c r="J4537" t="s">
        <v>5476</v>
      </c>
      <c r="K4537" t="s">
        <v>18408</v>
      </c>
      <c r="L4537" t="s">
        <v>5471</v>
      </c>
      <c r="M4537" t="s">
        <v>5471</v>
      </c>
    </row>
    <row r="4538" spans="1:13" x14ac:dyDescent="0.3">
      <c r="A4538" t="s">
        <v>3383</v>
      </c>
      <c r="B4538" t="s">
        <v>8871</v>
      </c>
      <c r="C4538" t="s">
        <v>5470</v>
      </c>
      <c r="D4538" t="s">
        <v>4052</v>
      </c>
      <c r="E4538" t="s">
        <v>5532</v>
      </c>
      <c r="F4538" t="s">
        <v>18409</v>
      </c>
      <c r="G4538" t="s">
        <v>18410</v>
      </c>
      <c r="H4538" t="s">
        <v>5474</v>
      </c>
      <c r="I4538" t="s">
        <v>18411</v>
      </c>
      <c r="J4538" t="s">
        <v>5476</v>
      </c>
      <c r="K4538" t="s">
        <v>18412</v>
      </c>
      <c r="L4538" t="s">
        <v>5471</v>
      </c>
      <c r="M4538" t="s">
        <v>5471</v>
      </c>
    </row>
    <row r="4539" spans="1:13" x14ac:dyDescent="0.3">
      <c r="A4539" t="s">
        <v>3388</v>
      </c>
      <c r="B4539" t="s">
        <v>10457</v>
      </c>
      <c r="C4539" t="s">
        <v>5470</v>
      </c>
      <c r="D4539" t="s">
        <v>4119</v>
      </c>
      <c r="E4539" t="s">
        <v>5471</v>
      </c>
      <c r="F4539" t="s">
        <v>18413</v>
      </c>
      <c r="G4539" t="s">
        <v>10459</v>
      </c>
      <c r="H4539" t="s">
        <v>5474</v>
      </c>
      <c r="I4539" t="s">
        <v>18414</v>
      </c>
      <c r="J4539" t="s">
        <v>5476</v>
      </c>
      <c r="K4539" t="s">
        <v>18415</v>
      </c>
      <c r="L4539" t="s">
        <v>5471</v>
      </c>
      <c r="M4539" t="s">
        <v>5471</v>
      </c>
    </row>
    <row r="4540" spans="1:13" x14ac:dyDescent="0.3">
      <c r="A4540" t="s">
        <v>3388</v>
      </c>
      <c r="B4540" t="s">
        <v>10457</v>
      </c>
      <c r="C4540" t="s">
        <v>5470</v>
      </c>
      <c r="D4540" t="s">
        <v>4119</v>
      </c>
      <c r="E4540" t="s">
        <v>5471</v>
      </c>
      <c r="F4540" t="s">
        <v>18416</v>
      </c>
      <c r="G4540" t="s">
        <v>10459</v>
      </c>
      <c r="H4540" t="s">
        <v>5474</v>
      </c>
      <c r="I4540" t="s">
        <v>18417</v>
      </c>
      <c r="J4540" t="s">
        <v>5476</v>
      </c>
      <c r="K4540" t="s">
        <v>18415</v>
      </c>
      <c r="L4540" t="s">
        <v>5471</v>
      </c>
      <c r="M4540" t="s">
        <v>5471</v>
      </c>
    </row>
    <row r="4541" spans="1:13" x14ac:dyDescent="0.3">
      <c r="A4541" t="s">
        <v>3383</v>
      </c>
      <c r="B4541" t="s">
        <v>8875</v>
      </c>
      <c r="C4541" t="s">
        <v>5470</v>
      </c>
      <c r="D4541" t="s">
        <v>4052</v>
      </c>
      <c r="E4541" t="s">
        <v>5532</v>
      </c>
      <c r="F4541" t="s">
        <v>18418</v>
      </c>
      <c r="G4541" t="s">
        <v>12135</v>
      </c>
      <c r="H4541" t="s">
        <v>5474</v>
      </c>
      <c r="I4541" t="s">
        <v>18419</v>
      </c>
      <c r="J4541" t="s">
        <v>5476</v>
      </c>
      <c r="K4541" t="s">
        <v>18420</v>
      </c>
      <c r="L4541" t="s">
        <v>5471</v>
      </c>
      <c r="M4541" t="s">
        <v>5471</v>
      </c>
    </row>
    <row r="4542" spans="1:13" x14ac:dyDescent="0.3">
      <c r="A4542" t="s">
        <v>3388</v>
      </c>
      <c r="B4542" t="s">
        <v>10457</v>
      </c>
      <c r="C4542" t="s">
        <v>5470</v>
      </c>
      <c r="D4542" t="s">
        <v>4119</v>
      </c>
      <c r="E4542" t="s">
        <v>5471</v>
      </c>
      <c r="F4542" t="s">
        <v>18421</v>
      </c>
      <c r="G4542" t="s">
        <v>10459</v>
      </c>
      <c r="H4542" t="s">
        <v>5474</v>
      </c>
      <c r="I4542" t="s">
        <v>18422</v>
      </c>
      <c r="J4542" t="s">
        <v>5476</v>
      </c>
      <c r="K4542" t="s">
        <v>18423</v>
      </c>
      <c r="L4542" t="s">
        <v>5471</v>
      </c>
      <c r="M4542" t="s">
        <v>5471</v>
      </c>
    </row>
    <row r="4543" spans="1:13" x14ac:dyDescent="0.3">
      <c r="A4543" t="s">
        <v>3388</v>
      </c>
      <c r="B4543" t="s">
        <v>10457</v>
      </c>
      <c r="C4543" t="s">
        <v>5470</v>
      </c>
      <c r="D4543" t="s">
        <v>4119</v>
      </c>
      <c r="E4543" t="s">
        <v>5471</v>
      </c>
      <c r="F4543" t="s">
        <v>18424</v>
      </c>
      <c r="G4543" t="s">
        <v>10459</v>
      </c>
      <c r="H4543" t="s">
        <v>5474</v>
      </c>
      <c r="I4543" t="s">
        <v>18425</v>
      </c>
      <c r="J4543" t="s">
        <v>5476</v>
      </c>
      <c r="K4543" t="s">
        <v>18426</v>
      </c>
      <c r="L4543" t="s">
        <v>5471</v>
      </c>
      <c r="M4543" t="s">
        <v>5471</v>
      </c>
    </row>
    <row r="4544" spans="1:13" x14ac:dyDescent="0.3">
      <c r="A4544" t="s">
        <v>3380</v>
      </c>
      <c r="B4544" t="s">
        <v>18427</v>
      </c>
      <c r="C4544" t="s">
        <v>6342</v>
      </c>
      <c r="D4544" t="s">
        <v>4119</v>
      </c>
      <c r="E4544" t="s">
        <v>5532</v>
      </c>
      <c r="F4544" t="s">
        <v>18428</v>
      </c>
      <c r="G4544" t="s">
        <v>18429</v>
      </c>
      <c r="H4544" t="s">
        <v>5474</v>
      </c>
      <c r="I4544" t="s">
        <v>18430</v>
      </c>
      <c r="J4544" t="s">
        <v>5476</v>
      </c>
      <c r="K4544" t="s">
        <v>18308</v>
      </c>
      <c r="L4544" t="s">
        <v>5471</v>
      </c>
      <c r="M4544" t="s">
        <v>5471</v>
      </c>
    </row>
    <row r="4545" spans="1:13" x14ac:dyDescent="0.3">
      <c r="A4545" t="s">
        <v>3380</v>
      </c>
      <c r="B4545" t="s">
        <v>18427</v>
      </c>
      <c r="C4545" t="s">
        <v>6342</v>
      </c>
      <c r="D4545" t="s">
        <v>4119</v>
      </c>
      <c r="E4545" t="s">
        <v>5532</v>
      </c>
      <c r="F4545" t="s">
        <v>18431</v>
      </c>
      <c r="G4545" t="s">
        <v>18429</v>
      </c>
      <c r="H4545" t="s">
        <v>5474</v>
      </c>
      <c r="I4545" t="s">
        <v>18432</v>
      </c>
      <c r="J4545" t="s">
        <v>5476</v>
      </c>
      <c r="K4545" t="s">
        <v>18311</v>
      </c>
      <c r="L4545" t="s">
        <v>5471</v>
      </c>
      <c r="M4545" t="s">
        <v>5471</v>
      </c>
    </row>
    <row r="4546" spans="1:13" x14ac:dyDescent="0.3">
      <c r="A4546" t="s">
        <v>3380</v>
      </c>
      <c r="B4546" t="s">
        <v>15901</v>
      </c>
      <c r="C4546" t="s">
        <v>6342</v>
      </c>
      <c r="D4546" t="s">
        <v>4119</v>
      </c>
      <c r="E4546" t="s">
        <v>5532</v>
      </c>
      <c r="F4546" t="s">
        <v>18433</v>
      </c>
      <c r="G4546" t="s">
        <v>16778</v>
      </c>
      <c r="H4546" t="s">
        <v>5474</v>
      </c>
      <c r="I4546" t="s">
        <v>18434</v>
      </c>
      <c r="J4546" t="s">
        <v>5476</v>
      </c>
      <c r="K4546" t="s">
        <v>18308</v>
      </c>
      <c r="L4546" t="s">
        <v>5471</v>
      </c>
      <c r="M4546" t="s">
        <v>5471</v>
      </c>
    </row>
    <row r="4547" spans="1:13" x14ac:dyDescent="0.3">
      <c r="A4547" t="s">
        <v>3388</v>
      </c>
      <c r="B4547" t="s">
        <v>18435</v>
      </c>
      <c r="C4547" t="s">
        <v>5470</v>
      </c>
      <c r="D4547" t="s">
        <v>4119</v>
      </c>
      <c r="E4547" t="s">
        <v>5471</v>
      </c>
      <c r="F4547" t="s">
        <v>18436</v>
      </c>
      <c r="G4547" t="s">
        <v>18437</v>
      </c>
      <c r="H4547" t="s">
        <v>5474</v>
      </c>
      <c r="I4547" t="s">
        <v>18438</v>
      </c>
      <c r="J4547" t="s">
        <v>5476</v>
      </c>
      <c r="K4547" t="s">
        <v>18439</v>
      </c>
      <c r="L4547" t="s">
        <v>5471</v>
      </c>
      <c r="M4547" t="s">
        <v>5471</v>
      </c>
    </row>
    <row r="4548" spans="1:13" x14ac:dyDescent="0.3">
      <c r="A4548" t="s">
        <v>3388</v>
      </c>
      <c r="B4548" t="s">
        <v>18435</v>
      </c>
      <c r="C4548" t="s">
        <v>5470</v>
      </c>
      <c r="D4548" t="s">
        <v>4119</v>
      </c>
      <c r="E4548" t="s">
        <v>5471</v>
      </c>
      <c r="F4548" t="s">
        <v>18440</v>
      </c>
      <c r="G4548" t="s">
        <v>18437</v>
      </c>
      <c r="H4548" t="s">
        <v>5474</v>
      </c>
      <c r="I4548" t="s">
        <v>18441</v>
      </c>
      <c r="J4548" t="s">
        <v>5476</v>
      </c>
      <c r="K4548" t="s">
        <v>18442</v>
      </c>
      <c r="L4548" t="s">
        <v>5471</v>
      </c>
      <c r="M4548" t="s">
        <v>5471</v>
      </c>
    </row>
    <row r="4549" spans="1:13" x14ac:dyDescent="0.3">
      <c r="A4549" t="s">
        <v>3380</v>
      </c>
      <c r="B4549" t="s">
        <v>15901</v>
      </c>
      <c r="C4549" t="s">
        <v>6342</v>
      </c>
      <c r="D4549" t="s">
        <v>4119</v>
      </c>
      <c r="E4549" t="s">
        <v>5532</v>
      </c>
      <c r="F4549" t="s">
        <v>18443</v>
      </c>
      <c r="G4549" t="s">
        <v>16778</v>
      </c>
      <c r="H4549" t="s">
        <v>5474</v>
      </c>
      <c r="I4549" t="s">
        <v>18444</v>
      </c>
      <c r="J4549" t="s">
        <v>5476</v>
      </c>
      <c r="K4549" t="s">
        <v>18311</v>
      </c>
      <c r="L4549" t="s">
        <v>5471</v>
      </c>
      <c r="M4549" t="s">
        <v>5471</v>
      </c>
    </row>
    <row r="4550" spans="1:13" x14ac:dyDescent="0.3">
      <c r="A4550" t="s">
        <v>3383</v>
      </c>
      <c r="B4550" t="s">
        <v>8875</v>
      </c>
      <c r="C4550" t="s">
        <v>5470</v>
      </c>
      <c r="D4550" t="s">
        <v>4052</v>
      </c>
      <c r="E4550" t="s">
        <v>5532</v>
      </c>
      <c r="F4550" t="s">
        <v>18445</v>
      </c>
      <c r="G4550" t="s">
        <v>12131</v>
      </c>
      <c r="H4550" t="s">
        <v>5474</v>
      </c>
      <c r="I4550" t="s">
        <v>18446</v>
      </c>
      <c r="J4550" t="s">
        <v>5476</v>
      </c>
      <c r="K4550" t="s">
        <v>18447</v>
      </c>
      <c r="L4550" t="s">
        <v>5471</v>
      </c>
      <c r="M4550" t="s">
        <v>5471</v>
      </c>
    </row>
    <row r="4551" spans="1:13" x14ac:dyDescent="0.3">
      <c r="A4551" t="s">
        <v>3388</v>
      </c>
      <c r="B4551" t="s">
        <v>18448</v>
      </c>
      <c r="C4551" t="s">
        <v>5470</v>
      </c>
      <c r="D4551" t="s">
        <v>4119</v>
      </c>
      <c r="E4551" t="s">
        <v>5471</v>
      </c>
      <c r="F4551" t="s">
        <v>18449</v>
      </c>
      <c r="G4551" t="s">
        <v>18450</v>
      </c>
      <c r="H4551" t="s">
        <v>5474</v>
      </c>
      <c r="I4551" t="s">
        <v>18451</v>
      </c>
      <c r="J4551" t="s">
        <v>5476</v>
      </c>
      <c r="K4551" t="s">
        <v>18452</v>
      </c>
      <c r="L4551" t="s">
        <v>5471</v>
      </c>
      <c r="M4551" t="s">
        <v>5471</v>
      </c>
    </row>
    <row r="4552" spans="1:13" x14ac:dyDescent="0.3">
      <c r="A4552" t="s">
        <v>3388</v>
      </c>
      <c r="B4552" t="s">
        <v>18435</v>
      </c>
      <c r="C4552" t="s">
        <v>5470</v>
      </c>
      <c r="D4552" t="s">
        <v>4119</v>
      </c>
      <c r="E4552" t="s">
        <v>5471</v>
      </c>
      <c r="F4552" t="s">
        <v>18453</v>
      </c>
      <c r="G4552" t="s">
        <v>18437</v>
      </c>
      <c r="H4552" t="s">
        <v>5474</v>
      </c>
      <c r="I4552" t="s">
        <v>18454</v>
      </c>
      <c r="J4552" t="s">
        <v>5476</v>
      </c>
      <c r="K4552" t="s">
        <v>18455</v>
      </c>
      <c r="L4552" t="s">
        <v>5471</v>
      </c>
      <c r="M4552" t="s">
        <v>5471</v>
      </c>
    </row>
    <row r="4553" spans="1:13" x14ac:dyDescent="0.3">
      <c r="A4553" t="s">
        <v>3388</v>
      </c>
      <c r="B4553" t="s">
        <v>18435</v>
      </c>
      <c r="C4553" t="s">
        <v>5470</v>
      </c>
      <c r="D4553" t="s">
        <v>4119</v>
      </c>
      <c r="E4553" t="s">
        <v>5471</v>
      </c>
      <c r="F4553" t="s">
        <v>18456</v>
      </c>
      <c r="G4553" t="s">
        <v>18437</v>
      </c>
      <c r="H4553" t="s">
        <v>5474</v>
      </c>
      <c r="I4553" t="s">
        <v>18457</v>
      </c>
      <c r="J4553" t="s">
        <v>5476</v>
      </c>
      <c r="K4553" t="s">
        <v>18439</v>
      </c>
      <c r="L4553" t="s">
        <v>5471</v>
      </c>
      <c r="M4553" t="s">
        <v>5471</v>
      </c>
    </row>
    <row r="4554" spans="1:13" x14ac:dyDescent="0.3">
      <c r="A4554" t="s">
        <v>3380</v>
      </c>
      <c r="B4554" t="s">
        <v>10132</v>
      </c>
      <c r="C4554" t="s">
        <v>6342</v>
      </c>
      <c r="D4554" t="s">
        <v>4119</v>
      </c>
      <c r="E4554" t="s">
        <v>5532</v>
      </c>
      <c r="F4554" t="s">
        <v>18458</v>
      </c>
      <c r="G4554" t="s">
        <v>16787</v>
      </c>
      <c r="H4554" t="s">
        <v>5474</v>
      </c>
      <c r="I4554" t="s">
        <v>18459</v>
      </c>
      <c r="J4554" t="s">
        <v>5476</v>
      </c>
      <c r="K4554" t="s">
        <v>18308</v>
      </c>
      <c r="L4554" t="s">
        <v>5471</v>
      </c>
      <c r="M4554" t="s">
        <v>5471</v>
      </c>
    </row>
    <row r="4555" spans="1:13" x14ac:dyDescent="0.3">
      <c r="A4555" t="s">
        <v>3388</v>
      </c>
      <c r="B4555" t="s">
        <v>18460</v>
      </c>
      <c r="C4555" t="s">
        <v>5470</v>
      </c>
      <c r="D4555" t="s">
        <v>4119</v>
      </c>
      <c r="E4555" t="s">
        <v>5471</v>
      </c>
      <c r="F4555" t="s">
        <v>18461</v>
      </c>
      <c r="G4555" t="s">
        <v>8370</v>
      </c>
      <c r="H4555" t="s">
        <v>5474</v>
      </c>
      <c r="I4555" t="s">
        <v>18462</v>
      </c>
      <c r="J4555" t="s">
        <v>5476</v>
      </c>
      <c r="K4555" t="s">
        <v>18463</v>
      </c>
      <c r="L4555" t="s">
        <v>5471</v>
      </c>
      <c r="M4555" t="s">
        <v>5471</v>
      </c>
    </row>
    <row r="4556" spans="1:13" x14ac:dyDescent="0.3">
      <c r="A4556" t="s">
        <v>3388</v>
      </c>
      <c r="B4556" t="s">
        <v>18435</v>
      </c>
      <c r="C4556" t="s">
        <v>5470</v>
      </c>
      <c r="D4556" t="s">
        <v>4119</v>
      </c>
      <c r="E4556" t="s">
        <v>5471</v>
      </c>
      <c r="F4556" t="s">
        <v>18464</v>
      </c>
      <c r="G4556" t="s">
        <v>18437</v>
      </c>
      <c r="H4556" t="s">
        <v>5474</v>
      </c>
      <c r="I4556" t="s">
        <v>18465</v>
      </c>
      <c r="J4556" t="s">
        <v>5476</v>
      </c>
      <c r="K4556" t="s">
        <v>18442</v>
      </c>
      <c r="L4556" t="s">
        <v>5471</v>
      </c>
      <c r="M4556" t="s">
        <v>5471</v>
      </c>
    </row>
    <row r="4557" spans="1:13" x14ac:dyDescent="0.3">
      <c r="A4557" t="s">
        <v>3388</v>
      </c>
      <c r="B4557" t="s">
        <v>18435</v>
      </c>
      <c r="C4557" t="s">
        <v>5470</v>
      </c>
      <c r="D4557" t="s">
        <v>4119</v>
      </c>
      <c r="E4557" t="s">
        <v>5471</v>
      </c>
      <c r="F4557" t="s">
        <v>18466</v>
      </c>
      <c r="G4557" t="s">
        <v>18437</v>
      </c>
      <c r="H4557" t="s">
        <v>5474</v>
      </c>
      <c r="I4557" t="s">
        <v>18467</v>
      </c>
      <c r="J4557" t="s">
        <v>5476</v>
      </c>
      <c r="K4557" t="s">
        <v>18455</v>
      </c>
      <c r="L4557" t="s">
        <v>5471</v>
      </c>
      <c r="M4557" t="s">
        <v>5471</v>
      </c>
    </row>
    <row r="4558" spans="1:13" x14ac:dyDescent="0.3">
      <c r="A4558" t="s">
        <v>3380</v>
      </c>
      <c r="B4558" t="s">
        <v>10132</v>
      </c>
      <c r="C4558" t="s">
        <v>6342</v>
      </c>
      <c r="D4558" t="s">
        <v>4119</v>
      </c>
      <c r="E4558" t="s">
        <v>5532</v>
      </c>
      <c r="F4558" t="s">
        <v>18468</v>
      </c>
      <c r="G4558" t="s">
        <v>16787</v>
      </c>
      <c r="H4558" t="s">
        <v>5474</v>
      </c>
      <c r="I4558" t="s">
        <v>18469</v>
      </c>
      <c r="J4558" t="s">
        <v>5476</v>
      </c>
      <c r="K4558" t="s">
        <v>18311</v>
      </c>
      <c r="L4558" t="s">
        <v>5471</v>
      </c>
      <c r="M4558" t="s">
        <v>5471</v>
      </c>
    </row>
    <row r="4559" spans="1:13" x14ac:dyDescent="0.3">
      <c r="A4559" t="s">
        <v>3388</v>
      </c>
      <c r="B4559" t="s">
        <v>18470</v>
      </c>
      <c r="C4559" t="s">
        <v>5470</v>
      </c>
      <c r="D4559" t="s">
        <v>4119</v>
      </c>
      <c r="E4559" t="s">
        <v>5471</v>
      </c>
      <c r="F4559" t="s">
        <v>18471</v>
      </c>
      <c r="G4559" t="s">
        <v>18472</v>
      </c>
      <c r="H4559" t="s">
        <v>5474</v>
      </c>
      <c r="I4559" t="s">
        <v>18473</v>
      </c>
      <c r="J4559" t="s">
        <v>5476</v>
      </c>
      <c r="K4559" t="s">
        <v>18474</v>
      </c>
      <c r="L4559" t="s">
        <v>5471</v>
      </c>
      <c r="M4559" t="s">
        <v>5471</v>
      </c>
    </row>
    <row r="4560" spans="1:13" x14ac:dyDescent="0.3">
      <c r="A4560" t="s">
        <v>3388</v>
      </c>
      <c r="B4560" t="s">
        <v>18435</v>
      </c>
      <c r="C4560" t="s">
        <v>5470</v>
      </c>
      <c r="D4560" t="s">
        <v>4119</v>
      </c>
      <c r="E4560" t="s">
        <v>5471</v>
      </c>
      <c r="F4560" t="s">
        <v>18475</v>
      </c>
      <c r="G4560" t="s">
        <v>18437</v>
      </c>
      <c r="H4560" t="s">
        <v>5474</v>
      </c>
      <c r="I4560" t="s">
        <v>18476</v>
      </c>
      <c r="J4560" t="s">
        <v>5476</v>
      </c>
      <c r="K4560" t="s">
        <v>18477</v>
      </c>
      <c r="L4560" t="s">
        <v>5471</v>
      </c>
      <c r="M4560" t="s">
        <v>5471</v>
      </c>
    </row>
    <row r="4561" spans="1:13" x14ac:dyDescent="0.3">
      <c r="A4561" t="s">
        <v>3388</v>
      </c>
      <c r="B4561" t="s">
        <v>18478</v>
      </c>
      <c r="C4561" t="s">
        <v>5470</v>
      </c>
      <c r="D4561" t="s">
        <v>4119</v>
      </c>
      <c r="E4561" t="s">
        <v>5471</v>
      </c>
      <c r="F4561" t="s">
        <v>18479</v>
      </c>
      <c r="G4561" t="s">
        <v>15824</v>
      </c>
      <c r="H4561" t="s">
        <v>5474</v>
      </c>
      <c r="I4561" t="s">
        <v>18480</v>
      </c>
      <c r="J4561" t="s">
        <v>5476</v>
      </c>
      <c r="K4561" t="s">
        <v>18481</v>
      </c>
      <c r="L4561" t="s">
        <v>5471</v>
      </c>
      <c r="M4561" t="s">
        <v>5471</v>
      </c>
    </row>
    <row r="4562" spans="1:13" x14ac:dyDescent="0.3">
      <c r="A4562" t="s">
        <v>3380</v>
      </c>
      <c r="B4562" t="s">
        <v>10132</v>
      </c>
      <c r="C4562" t="s">
        <v>6342</v>
      </c>
      <c r="D4562" t="s">
        <v>4119</v>
      </c>
      <c r="E4562" t="s">
        <v>5532</v>
      </c>
      <c r="F4562" t="s">
        <v>18482</v>
      </c>
      <c r="G4562" t="s">
        <v>16787</v>
      </c>
      <c r="H4562" t="s">
        <v>5474</v>
      </c>
      <c r="I4562" t="s">
        <v>18483</v>
      </c>
      <c r="J4562" t="s">
        <v>5476</v>
      </c>
      <c r="K4562" t="s">
        <v>18308</v>
      </c>
      <c r="L4562" t="s">
        <v>5471</v>
      </c>
      <c r="M4562" t="s">
        <v>5471</v>
      </c>
    </row>
    <row r="4563" spans="1:13" x14ac:dyDescent="0.3">
      <c r="A4563" t="s">
        <v>3388</v>
      </c>
      <c r="B4563" t="s">
        <v>18484</v>
      </c>
      <c r="C4563" t="s">
        <v>5470</v>
      </c>
      <c r="D4563" t="s">
        <v>4119</v>
      </c>
      <c r="E4563" t="s">
        <v>5471</v>
      </c>
      <c r="F4563" t="s">
        <v>18485</v>
      </c>
      <c r="G4563" t="s">
        <v>18486</v>
      </c>
      <c r="H4563" t="s">
        <v>5474</v>
      </c>
      <c r="I4563" t="s">
        <v>18487</v>
      </c>
      <c r="J4563" t="s">
        <v>5476</v>
      </c>
      <c r="K4563" t="s">
        <v>18488</v>
      </c>
      <c r="L4563" t="s">
        <v>5471</v>
      </c>
      <c r="M4563" t="s">
        <v>5471</v>
      </c>
    </row>
    <row r="4564" spans="1:13" x14ac:dyDescent="0.3">
      <c r="A4564" t="s">
        <v>3388</v>
      </c>
      <c r="B4564" t="s">
        <v>18448</v>
      </c>
      <c r="C4564" t="s">
        <v>5470</v>
      </c>
      <c r="D4564" t="s">
        <v>4119</v>
      </c>
      <c r="E4564" t="s">
        <v>5471</v>
      </c>
      <c r="F4564" t="s">
        <v>18489</v>
      </c>
      <c r="G4564" t="s">
        <v>18450</v>
      </c>
      <c r="H4564" t="s">
        <v>5474</v>
      </c>
      <c r="I4564" t="s">
        <v>18490</v>
      </c>
      <c r="J4564" t="s">
        <v>5476</v>
      </c>
      <c r="K4564" t="s">
        <v>18491</v>
      </c>
      <c r="L4564" t="s">
        <v>5471</v>
      </c>
      <c r="M4564" t="s">
        <v>5471</v>
      </c>
    </row>
    <row r="4565" spans="1:13" x14ac:dyDescent="0.3">
      <c r="A4565" t="s">
        <v>3388</v>
      </c>
      <c r="B4565" t="s">
        <v>18484</v>
      </c>
      <c r="C4565" t="s">
        <v>5470</v>
      </c>
      <c r="D4565" t="s">
        <v>4119</v>
      </c>
      <c r="E4565" t="s">
        <v>5471</v>
      </c>
      <c r="F4565" t="s">
        <v>18492</v>
      </c>
      <c r="G4565" t="s">
        <v>18486</v>
      </c>
      <c r="H4565" t="s">
        <v>5474</v>
      </c>
      <c r="I4565" t="s">
        <v>18493</v>
      </c>
      <c r="J4565" t="s">
        <v>5476</v>
      </c>
      <c r="K4565" t="s">
        <v>18488</v>
      </c>
      <c r="L4565" t="s">
        <v>5471</v>
      </c>
      <c r="M4565" t="s">
        <v>5471</v>
      </c>
    </row>
    <row r="4566" spans="1:13" x14ac:dyDescent="0.3">
      <c r="A4566" t="s">
        <v>3388</v>
      </c>
      <c r="B4566" t="s">
        <v>18448</v>
      </c>
      <c r="C4566" t="s">
        <v>5470</v>
      </c>
      <c r="D4566" t="s">
        <v>4119</v>
      </c>
      <c r="E4566" t="s">
        <v>5471</v>
      </c>
      <c r="F4566" t="s">
        <v>18494</v>
      </c>
      <c r="G4566" t="s">
        <v>18495</v>
      </c>
      <c r="H4566" t="s">
        <v>5474</v>
      </c>
      <c r="I4566" t="s">
        <v>18496</v>
      </c>
      <c r="J4566" t="s">
        <v>5476</v>
      </c>
      <c r="K4566" t="s">
        <v>18497</v>
      </c>
      <c r="L4566" t="s">
        <v>5471</v>
      </c>
      <c r="M4566" t="s">
        <v>5471</v>
      </c>
    </row>
    <row r="4567" spans="1:13" x14ac:dyDescent="0.3">
      <c r="A4567" t="s">
        <v>3388</v>
      </c>
      <c r="B4567" t="s">
        <v>18478</v>
      </c>
      <c r="C4567" t="s">
        <v>5470</v>
      </c>
      <c r="D4567" t="s">
        <v>4119</v>
      </c>
      <c r="E4567" t="s">
        <v>5471</v>
      </c>
      <c r="F4567" t="s">
        <v>18498</v>
      </c>
      <c r="G4567" t="s">
        <v>15824</v>
      </c>
      <c r="H4567" t="s">
        <v>5474</v>
      </c>
      <c r="I4567" t="s">
        <v>18499</v>
      </c>
      <c r="J4567" t="s">
        <v>5476</v>
      </c>
      <c r="K4567" t="s">
        <v>18500</v>
      </c>
      <c r="L4567" t="s">
        <v>5471</v>
      </c>
      <c r="M4567" t="s">
        <v>5471</v>
      </c>
    </row>
    <row r="4568" spans="1:13" x14ac:dyDescent="0.3">
      <c r="A4568" t="s">
        <v>3388</v>
      </c>
      <c r="B4568" t="s">
        <v>18484</v>
      </c>
      <c r="C4568" t="s">
        <v>5470</v>
      </c>
      <c r="D4568" t="s">
        <v>4119</v>
      </c>
      <c r="E4568" t="s">
        <v>5471</v>
      </c>
      <c r="F4568" t="s">
        <v>18501</v>
      </c>
      <c r="G4568" t="s">
        <v>18486</v>
      </c>
      <c r="H4568" t="s">
        <v>5474</v>
      </c>
      <c r="I4568" t="s">
        <v>18502</v>
      </c>
      <c r="J4568" t="s">
        <v>5476</v>
      </c>
      <c r="K4568" t="s">
        <v>18503</v>
      </c>
      <c r="L4568" t="s">
        <v>5471</v>
      </c>
      <c r="M4568" t="s">
        <v>5471</v>
      </c>
    </row>
    <row r="4569" spans="1:13" x14ac:dyDescent="0.3">
      <c r="A4569" t="s">
        <v>3388</v>
      </c>
      <c r="B4569" t="s">
        <v>18448</v>
      </c>
      <c r="C4569" t="s">
        <v>5470</v>
      </c>
      <c r="D4569" t="s">
        <v>4119</v>
      </c>
      <c r="E4569" t="s">
        <v>5471</v>
      </c>
      <c r="F4569" t="s">
        <v>18504</v>
      </c>
      <c r="G4569" t="s">
        <v>18495</v>
      </c>
      <c r="H4569" t="s">
        <v>5474</v>
      </c>
      <c r="I4569" t="s">
        <v>18505</v>
      </c>
      <c r="J4569" t="s">
        <v>5476</v>
      </c>
      <c r="K4569" t="s">
        <v>18506</v>
      </c>
      <c r="L4569" t="s">
        <v>5471</v>
      </c>
      <c r="M4569" t="s">
        <v>5471</v>
      </c>
    </row>
    <row r="4570" spans="1:13" x14ac:dyDescent="0.3">
      <c r="A4570" t="s">
        <v>3388</v>
      </c>
      <c r="B4570" t="s">
        <v>18484</v>
      </c>
      <c r="C4570" t="s">
        <v>5470</v>
      </c>
      <c r="D4570" t="s">
        <v>4119</v>
      </c>
      <c r="E4570" t="s">
        <v>5471</v>
      </c>
      <c r="F4570" t="s">
        <v>18507</v>
      </c>
      <c r="G4570" t="s">
        <v>18486</v>
      </c>
      <c r="H4570" t="s">
        <v>5474</v>
      </c>
      <c r="I4570" t="s">
        <v>18508</v>
      </c>
      <c r="J4570" t="s">
        <v>5476</v>
      </c>
      <c r="K4570" t="s">
        <v>18509</v>
      </c>
      <c r="L4570" t="s">
        <v>5471</v>
      </c>
      <c r="M4570" t="s">
        <v>5471</v>
      </c>
    </row>
    <row r="4571" spans="1:13" x14ac:dyDescent="0.3">
      <c r="A4571" t="s">
        <v>3388</v>
      </c>
      <c r="B4571" t="s">
        <v>18448</v>
      </c>
      <c r="C4571" t="s">
        <v>5470</v>
      </c>
      <c r="D4571" t="s">
        <v>4119</v>
      </c>
      <c r="E4571" t="s">
        <v>5471</v>
      </c>
      <c r="F4571" t="s">
        <v>18510</v>
      </c>
      <c r="G4571" t="s">
        <v>18495</v>
      </c>
      <c r="H4571" t="s">
        <v>5474</v>
      </c>
      <c r="I4571" t="s">
        <v>18511</v>
      </c>
      <c r="J4571" t="s">
        <v>5476</v>
      </c>
      <c r="K4571" t="s">
        <v>18512</v>
      </c>
      <c r="L4571" t="s">
        <v>5471</v>
      </c>
      <c r="M4571" t="s">
        <v>5471</v>
      </c>
    </row>
    <row r="4572" spans="1:13" x14ac:dyDescent="0.3">
      <c r="A4572" t="s">
        <v>3388</v>
      </c>
      <c r="B4572" t="s">
        <v>18478</v>
      </c>
      <c r="C4572" t="s">
        <v>5470</v>
      </c>
      <c r="D4572" t="s">
        <v>4119</v>
      </c>
      <c r="E4572" t="s">
        <v>5471</v>
      </c>
      <c r="F4572" t="s">
        <v>18513</v>
      </c>
      <c r="G4572" t="s">
        <v>15824</v>
      </c>
      <c r="H4572" t="s">
        <v>5474</v>
      </c>
      <c r="I4572" t="s">
        <v>18514</v>
      </c>
      <c r="J4572" t="s">
        <v>5476</v>
      </c>
      <c r="K4572" t="s">
        <v>18515</v>
      </c>
      <c r="L4572" t="s">
        <v>5471</v>
      </c>
      <c r="M4572" t="s">
        <v>5471</v>
      </c>
    </row>
    <row r="4573" spans="1:13" x14ac:dyDescent="0.3">
      <c r="A4573" t="s">
        <v>3388</v>
      </c>
      <c r="B4573" t="s">
        <v>18484</v>
      </c>
      <c r="C4573" t="s">
        <v>5470</v>
      </c>
      <c r="D4573" t="s">
        <v>4119</v>
      </c>
      <c r="E4573" t="s">
        <v>5471</v>
      </c>
      <c r="F4573" t="s">
        <v>18516</v>
      </c>
      <c r="G4573" t="s">
        <v>18486</v>
      </c>
      <c r="H4573" t="s">
        <v>5474</v>
      </c>
      <c r="I4573" t="s">
        <v>18517</v>
      </c>
      <c r="J4573" t="s">
        <v>5476</v>
      </c>
      <c r="K4573" t="s">
        <v>18518</v>
      </c>
      <c r="L4573" t="s">
        <v>5471</v>
      </c>
      <c r="M4573" t="s">
        <v>5471</v>
      </c>
    </row>
    <row r="4574" spans="1:13" x14ac:dyDescent="0.3">
      <c r="A4574" t="s">
        <v>3388</v>
      </c>
      <c r="B4574" t="s">
        <v>18448</v>
      </c>
      <c r="C4574" t="s">
        <v>5470</v>
      </c>
      <c r="D4574" t="s">
        <v>4119</v>
      </c>
      <c r="E4574" t="s">
        <v>5471</v>
      </c>
      <c r="F4574" t="s">
        <v>18519</v>
      </c>
      <c r="G4574" t="s">
        <v>18495</v>
      </c>
      <c r="H4574" t="s">
        <v>5474</v>
      </c>
      <c r="I4574" t="s">
        <v>18520</v>
      </c>
      <c r="J4574" t="s">
        <v>5476</v>
      </c>
      <c r="K4574" t="s">
        <v>18521</v>
      </c>
      <c r="L4574" t="s">
        <v>5471</v>
      </c>
      <c r="M4574" t="s">
        <v>5471</v>
      </c>
    </row>
    <row r="4575" spans="1:13" x14ac:dyDescent="0.3">
      <c r="A4575" t="s">
        <v>3388</v>
      </c>
      <c r="B4575" t="s">
        <v>18478</v>
      </c>
      <c r="C4575" t="s">
        <v>5470</v>
      </c>
      <c r="D4575" t="s">
        <v>4119</v>
      </c>
      <c r="E4575" t="s">
        <v>5471</v>
      </c>
      <c r="F4575" t="s">
        <v>18522</v>
      </c>
      <c r="G4575" t="s">
        <v>15824</v>
      </c>
      <c r="H4575" t="s">
        <v>5474</v>
      </c>
      <c r="I4575" t="s">
        <v>18523</v>
      </c>
      <c r="J4575" t="s">
        <v>5476</v>
      </c>
      <c r="K4575" t="s">
        <v>18524</v>
      </c>
      <c r="L4575" t="s">
        <v>5471</v>
      </c>
      <c r="M4575" t="s">
        <v>5471</v>
      </c>
    </row>
    <row r="4576" spans="1:13" x14ac:dyDescent="0.3">
      <c r="A4576" t="s">
        <v>3388</v>
      </c>
      <c r="B4576" t="s">
        <v>18448</v>
      </c>
      <c r="C4576" t="s">
        <v>5470</v>
      </c>
      <c r="D4576" t="s">
        <v>4119</v>
      </c>
      <c r="E4576" t="s">
        <v>5471</v>
      </c>
      <c r="F4576" t="s">
        <v>18525</v>
      </c>
      <c r="G4576" t="s">
        <v>18495</v>
      </c>
      <c r="H4576" t="s">
        <v>5474</v>
      </c>
      <c r="I4576" t="s">
        <v>18526</v>
      </c>
      <c r="J4576" t="s">
        <v>5476</v>
      </c>
      <c r="K4576" t="s">
        <v>18527</v>
      </c>
      <c r="L4576" t="s">
        <v>5471</v>
      </c>
      <c r="M4576" t="s">
        <v>5471</v>
      </c>
    </row>
    <row r="4577" spans="1:13" x14ac:dyDescent="0.3">
      <c r="A4577" t="s">
        <v>3388</v>
      </c>
      <c r="B4577" t="s">
        <v>18478</v>
      </c>
      <c r="C4577" t="s">
        <v>5470</v>
      </c>
      <c r="D4577" t="s">
        <v>4119</v>
      </c>
      <c r="E4577" t="s">
        <v>5471</v>
      </c>
      <c r="F4577" t="s">
        <v>18528</v>
      </c>
      <c r="G4577" t="s">
        <v>15824</v>
      </c>
      <c r="H4577" t="s">
        <v>5474</v>
      </c>
      <c r="I4577" t="s">
        <v>18529</v>
      </c>
      <c r="J4577" t="s">
        <v>5476</v>
      </c>
      <c r="K4577" t="s">
        <v>18530</v>
      </c>
      <c r="L4577" t="s">
        <v>5471</v>
      </c>
      <c r="M4577" t="s">
        <v>5471</v>
      </c>
    </row>
    <row r="4578" spans="1:13" x14ac:dyDescent="0.3">
      <c r="A4578" t="s">
        <v>3388</v>
      </c>
      <c r="B4578" t="s">
        <v>18531</v>
      </c>
      <c r="C4578" t="s">
        <v>5470</v>
      </c>
      <c r="D4578" t="s">
        <v>4119</v>
      </c>
      <c r="E4578" t="s">
        <v>5471</v>
      </c>
      <c r="F4578" t="s">
        <v>18532</v>
      </c>
      <c r="G4578" t="s">
        <v>18533</v>
      </c>
      <c r="H4578" t="s">
        <v>5474</v>
      </c>
      <c r="I4578" t="s">
        <v>18534</v>
      </c>
      <c r="J4578" t="s">
        <v>5476</v>
      </c>
      <c r="K4578" t="s">
        <v>18535</v>
      </c>
      <c r="L4578" t="s">
        <v>5471</v>
      </c>
      <c r="M4578" t="s">
        <v>5471</v>
      </c>
    </row>
    <row r="4579" spans="1:13" x14ac:dyDescent="0.3">
      <c r="A4579" t="s">
        <v>3388</v>
      </c>
      <c r="B4579" t="s">
        <v>18478</v>
      </c>
      <c r="C4579" t="s">
        <v>5470</v>
      </c>
      <c r="D4579" t="s">
        <v>4119</v>
      </c>
      <c r="E4579" t="s">
        <v>5471</v>
      </c>
      <c r="F4579" t="s">
        <v>18536</v>
      </c>
      <c r="G4579" t="s">
        <v>15824</v>
      </c>
      <c r="H4579" t="s">
        <v>5474</v>
      </c>
      <c r="I4579" t="s">
        <v>18537</v>
      </c>
      <c r="J4579" t="s">
        <v>5476</v>
      </c>
      <c r="K4579" t="s">
        <v>18538</v>
      </c>
      <c r="L4579" t="s">
        <v>5471</v>
      </c>
      <c r="M4579" t="s">
        <v>5471</v>
      </c>
    </row>
    <row r="4580" spans="1:13" x14ac:dyDescent="0.3">
      <c r="A4580" t="s">
        <v>3388</v>
      </c>
      <c r="B4580" t="s">
        <v>18531</v>
      </c>
      <c r="C4580" t="s">
        <v>5470</v>
      </c>
      <c r="D4580" t="s">
        <v>4119</v>
      </c>
      <c r="E4580" t="s">
        <v>5471</v>
      </c>
      <c r="F4580" t="s">
        <v>18539</v>
      </c>
      <c r="G4580" t="s">
        <v>18540</v>
      </c>
      <c r="H4580" t="s">
        <v>5474</v>
      </c>
      <c r="I4580" t="s">
        <v>18541</v>
      </c>
      <c r="J4580" t="s">
        <v>5476</v>
      </c>
      <c r="K4580" t="s">
        <v>18542</v>
      </c>
      <c r="L4580" t="s">
        <v>5471</v>
      </c>
      <c r="M4580" t="s">
        <v>5471</v>
      </c>
    </row>
    <row r="4581" spans="1:13" x14ac:dyDescent="0.3">
      <c r="A4581" t="s">
        <v>3388</v>
      </c>
      <c r="B4581" t="s">
        <v>18478</v>
      </c>
      <c r="C4581" t="s">
        <v>5470</v>
      </c>
      <c r="D4581" t="s">
        <v>4119</v>
      </c>
      <c r="E4581" t="s">
        <v>5471</v>
      </c>
      <c r="F4581" t="s">
        <v>18543</v>
      </c>
      <c r="G4581" t="s">
        <v>15824</v>
      </c>
      <c r="H4581" t="s">
        <v>5474</v>
      </c>
      <c r="I4581" t="s">
        <v>18544</v>
      </c>
      <c r="J4581" t="s">
        <v>5476</v>
      </c>
      <c r="K4581" t="s">
        <v>18545</v>
      </c>
      <c r="L4581" t="s">
        <v>5471</v>
      </c>
      <c r="M4581" t="s">
        <v>5471</v>
      </c>
    </row>
    <row r="4582" spans="1:13" x14ac:dyDescent="0.3">
      <c r="A4582" t="s">
        <v>3388</v>
      </c>
      <c r="B4582" t="s">
        <v>18531</v>
      </c>
      <c r="C4582" t="s">
        <v>5470</v>
      </c>
      <c r="D4582" t="s">
        <v>4119</v>
      </c>
      <c r="E4582" t="s">
        <v>5471</v>
      </c>
      <c r="F4582" t="s">
        <v>18546</v>
      </c>
      <c r="G4582" t="s">
        <v>18547</v>
      </c>
      <c r="H4582" t="s">
        <v>5474</v>
      </c>
      <c r="I4582" t="s">
        <v>18548</v>
      </c>
      <c r="J4582" t="s">
        <v>5476</v>
      </c>
      <c r="K4582" t="s">
        <v>18549</v>
      </c>
      <c r="L4582" t="s">
        <v>5471</v>
      </c>
      <c r="M4582" t="s">
        <v>5471</v>
      </c>
    </row>
    <row r="4583" spans="1:13" x14ac:dyDescent="0.3">
      <c r="A4583" t="s">
        <v>3388</v>
      </c>
      <c r="B4583" t="s">
        <v>18550</v>
      </c>
      <c r="C4583" t="s">
        <v>5470</v>
      </c>
      <c r="D4583" t="s">
        <v>4119</v>
      </c>
      <c r="E4583" t="s">
        <v>5471</v>
      </c>
      <c r="F4583" t="s">
        <v>18551</v>
      </c>
      <c r="G4583" t="s">
        <v>18552</v>
      </c>
      <c r="H4583" t="s">
        <v>5474</v>
      </c>
      <c r="I4583" t="s">
        <v>18553</v>
      </c>
      <c r="J4583" t="s">
        <v>5476</v>
      </c>
      <c r="K4583" t="s">
        <v>18554</v>
      </c>
      <c r="L4583" t="s">
        <v>5471</v>
      </c>
      <c r="M4583" t="s">
        <v>5471</v>
      </c>
    </row>
    <row r="4584" spans="1:13" x14ac:dyDescent="0.3">
      <c r="A4584" t="s">
        <v>3388</v>
      </c>
      <c r="B4584" t="s">
        <v>18555</v>
      </c>
      <c r="C4584" t="s">
        <v>5470</v>
      </c>
      <c r="D4584" t="s">
        <v>4119</v>
      </c>
      <c r="E4584" t="s">
        <v>5471</v>
      </c>
      <c r="F4584" t="s">
        <v>18556</v>
      </c>
      <c r="G4584" t="s">
        <v>15840</v>
      </c>
      <c r="H4584" t="s">
        <v>5474</v>
      </c>
      <c r="I4584" t="s">
        <v>18557</v>
      </c>
      <c r="J4584" t="s">
        <v>5476</v>
      </c>
      <c r="K4584" t="s">
        <v>18558</v>
      </c>
      <c r="L4584" t="s">
        <v>5471</v>
      </c>
      <c r="M4584" t="s">
        <v>5471</v>
      </c>
    </row>
    <row r="4585" spans="1:13" x14ac:dyDescent="0.3">
      <c r="A4585" t="s">
        <v>3388</v>
      </c>
      <c r="B4585" t="s">
        <v>18559</v>
      </c>
      <c r="C4585" t="s">
        <v>5470</v>
      </c>
      <c r="D4585" t="s">
        <v>4119</v>
      </c>
      <c r="E4585" t="s">
        <v>5471</v>
      </c>
      <c r="F4585" t="s">
        <v>18560</v>
      </c>
      <c r="G4585" t="s">
        <v>18561</v>
      </c>
      <c r="H4585" t="s">
        <v>5474</v>
      </c>
      <c r="I4585" t="s">
        <v>18562</v>
      </c>
      <c r="J4585" t="s">
        <v>5476</v>
      </c>
      <c r="K4585" t="s">
        <v>18563</v>
      </c>
      <c r="L4585" t="s">
        <v>5471</v>
      </c>
      <c r="M4585" t="s">
        <v>5471</v>
      </c>
    </row>
    <row r="4586" spans="1:13" x14ac:dyDescent="0.3">
      <c r="A4586" t="s">
        <v>3388</v>
      </c>
      <c r="B4586" t="s">
        <v>18550</v>
      </c>
      <c r="C4586" t="s">
        <v>5470</v>
      </c>
      <c r="D4586" t="s">
        <v>4119</v>
      </c>
      <c r="E4586" t="s">
        <v>5471</v>
      </c>
      <c r="F4586" t="s">
        <v>18564</v>
      </c>
      <c r="G4586" t="s">
        <v>18565</v>
      </c>
      <c r="H4586" t="s">
        <v>5474</v>
      </c>
      <c r="I4586" t="s">
        <v>18566</v>
      </c>
      <c r="J4586" t="s">
        <v>5476</v>
      </c>
      <c r="K4586" t="s">
        <v>18567</v>
      </c>
      <c r="L4586" t="s">
        <v>5471</v>
      </c>
      <c r="M4586" t="s">
        <v>5471</v>
      </c>
    </row>
    <row r="4587" spans="1:13" x14ac:dyDescent="0.3">
      <c r="A4587" t="s">
        <v>3388</v>
      </c>
      <c r="B4587" t="s">
        <v>18555</v>
      </c>
      <c r="C4587" t="s">
        <v>5470</v>
      </c>
      <c r="D4587" t="s">
        <v>4119</v>
      </c>
      <c r="E4587" t="s">
        <v>5471</v>
      </c>
      <c r="F4587" t="s">
        <v>18568</v>
      </c>
      <c r="G4587" t="s">
        <v>15840</v>
      </c>
      <c r="H4587" t="s">
        <v>5474</v>
      </c>
      <c r="I4587" t="s">
        <v>18569</v>
      </c>
      <c r="J4587" t="s">
        <v>5476</v>
      </c>
      <c r="K4587" t="s">
        <v>18570</v>
      </c>
      <c r="L4587" t="s">
        <v>5471</v>
      </c>
      <c r="M4587" t="s">
        <v>5471</v>
      </c>
    </row>
    <row r="4588" spans="1:13" x14ac:dyDescent="0.3">
      <c r="A4588" t="s">
        <v>3388</v>
      </c>
      <c r="B4588" t="s">
        <v>18559</v>
      </c>
      <c r="C4588" t="s">
        <v>5470</v>
      </c>
      <c r="D4588" t="s">
        <v>4119</v>
      </c>
      <c r="E4588" t="s">
        <v>5471</v>
      </c>
      <c r="F4588" t="s">
        <v>18571</v>
      </c>
      <c r="G4588" t="s">
        <v>18572</v>
      </c>
      <c r="H4588" t="s">
        <v>5474</v>
      </c>
      <c r="I4588" t="s">
        <v>18573</v>
      </c>
      <c r="J4588" t="s">
        <v>5476</v>
      </c>
      <c r="K4588" t="s">
        <v>18574</v>
      </c>
      <c r="L4588" t="s">
        <v>5471</v>
      </c>
      <c r="M4588" t="s">
        <v>5471</v>
      </c>
    </row>
    <row r="4589" spans="1:13" x14ac:dyDescent="0.3">
      <c r="A4589" t="s">
        <v>3388</v>
      </c>
      <c r="B4589" t="s">
        <v>10523</v>
      </c>
      <c r="C4589" t="s">
        <v>5470</v>
      </c>
      <c r="D4589" t="s">
        <v>4119</v>
      </c>
      <c r="E4589" t="s">
        <v>5471</v>
      </c>
      <c r="F4589" t="s">
        <v>18575</v>
      </c>
      <c r="G4589" t="s">
        <v>10525</v>
      </c>
      <c r="H4589" t="s">
        <v>5474</v>
      </c>
      <c r="I4589" t="s">
        <v>18576</v>
      </c>
      <c r="J4589" t="s">
        <v>5476</v>
      </c>
      <c r="K4589" t="s">
        <v>18577</v>
      </c>
      <c r="L4589" t="s">
        <v>5471</v>
      </c>
      <c r="M4589" t="s">
        <v>5471</v>
      </c>
    </row>
    <row r="4590" spans="1:13" x14ac:dyDescent="0.3">
      <c r="A4590" t="s">
        <v>3388</v>
      </c>
      <c r="B4590" t="s">
        <v>18555</v>
      </c>
      <c r="C4590" t="s">
        <v>5470</v>
      </c>
      <c r="D4590" t="s">
        <v>4119</v>
      </c>
      <c r="E4590" t="s">
        <v>5471</v>
      </c>
      <c r="F4590" t="s">
        <v>18578</v>
      </c>
      <c r="G4590" t="s">
        <v>15840</v>
      </c>
      <c r="H4590" t="s">
        <v>5474</v>
      </c>
      <c r="I4590" t="s">
        <v>18579</v>
      </c>
      <c r="J4590" t="s">
        <v>5476</v>
      </c>
      <c r="K4590" t="s">
        <v>18580</v>
      </c>
      <c r="L4590" t="s">
        <v>5471</v>
      </c>
      <c r="M4590" t="s">
        <v>5471</v>
      </c>
    </row>
    <row r="4591" spans="1:13" x14ac:dyDescent="0.3">
      <c r="A4591" t="s">
        <v>3388</v>
      </c>
      <c r="B4591" t="s">
        <v>18559</v>
      </c>
      <c r="C4591" t="s">
        <v>5470</v>
      </c>
      <c r="D4591" t="s">
        <v>4119</v>
      </c>
      <c r="E4591" t="s">
        <v>5471</v>
      </c>
      <c r="F4591" t="s">
        <v>18581</v>
      </c>
      <c r="G4591" t="s">
        <v>18582</v>
      </c>
      <c r="H4591" t="s">
        <v>5474</v>
      </c>
      <c r="I4591" t="s">
        <v>18583</v>
      </c>
      <c r="J4591" t="s">
        <v>5476</v>
      </c>
      <c r="K4591" t="s">
        <v>18584</v>
      </c>
      <c r="L4591" t="s">
        <v>5471</v>
      </c>
      <c r="M4591" t="s">
        <v>5471</v>
      </c>
    </row>
    <row r="4592" spans="1:13" x14ac:dyDescent="0.3">
      <c r="A4592" t="s">
        <v>3388</v>
      </c>
      <c r="B4592" t="s">
        <v>10523</v>
      </c>
      <c r="C4592" t="s">
        <v>5470</v>
      </c>
      <c r="D4592" t="s">
        <v>4119</v>
      </c>
      <c r="E4592" t="s">
        <v>5471</v>
      </c>
      <c r="F4592" t="s">
        <v>18585</v>
      </c>
      <c r="G4592" t="s">
        <v>18586</v>
      </c>
      <c r="H4592" t="s">
        <v>5474</v>
      </c>
      <c r="I4592" t="s">
        <v>18587</v>
      </c>
      <c r="J4592" t="s">
        <v>5476</v>
      </c>
      <c r="K4592" t="s">
        <v>18588</v>
      </c>
      <c r="L4592" t="s">
        <v>5471</v>
      </c>
      <c r="M4592" t="s">
        <v>5471</v>
      </c>
    </row>
    <row r="4593" spans="1:13" x14ac:dyDescent="0.3">
      <c r="A4593" t="s">
        <v>3388</v>
      </c>
      <c r="B4593" t="s">
        <v>10491</v>
      </c>
      <c r="C4593" t="s">
        <v>5470</v>
      </c>
      <c r="D4593" t="s">
        <v>4119</v>
      </c>
      <c r="E4593" t="s">
        <v>5471</v>
      </c>
      <c r="F4593" t="s">
        <v>18589</v>
      </c>
      <c r="G4593" t="s">
        <v>10493</v>
      </c>
      <c r="H4593" t="s">
        <v>5474</v>
      </c>
      <c r="I4593" t="s">
        <v>18590</v>
      </c>
      <c r="J4593" t="s">
        <v>5476</v>
      </c>
      <c r="K4593" t="s">
        <v>18591</v>
      </c>
      <c r="L4593" t="s">
        <v>5471</v>
      </c>
      <c r="M4593" t="s">
        <v>5471</v>
      </c>
    </row>
    <row r="4594" spans="1:13" x14ac:dyDescent="0.3">
      <c r="A4594" t="s">
        <v>3388</v>
      </c>
      <c r="B4594" t="s">
        <v>18592</v>
      </c>
      <c r="C4594" t="s">
        <v>5470</v>
      </c>
      <c r="D4594" t="s">
        <v>4119</v>
      </c>
      <c r="E4594" t="s">
        <v>5471</v>
      </c>
      <c r="F4594" t="s">
        <v>18593</v>
      </c>
      <c r="G4594" t="s">
        <v>18594</v>
      </c>
      <c r="H4594" t="s">
        <v>5474</v>
      </c>
      <c r="I4594" t="s">
        <v>18595</v>
      </c>
      <c r="J4594" t="s">
        <v>5476</v>
      </c>
      <c r="K4594" t="s">
        <v>18596</v>
      </c>
      <c r="L4594" t="s">
        <v>5471</v>
      </c>
      <c r="M4594" t="s">
        <v>5471</v>
      </c>
    </row>
    <row r="4595" spans="1:13" x14ac:dyDescent="0.3">
      <c r="A4595" t="s">
        <v>3388</v>
      </c>
      <c r="B4595" t="s">
        <v>18592</v>
      </c>
      <c r="C4595" t="s">
        <v>5470</v>
      </c>
      <c r="D4595" t="s">
        <v>4119</v>
      </c>
      <c r="E4595" t="s">
        <v>5471</v>
      </c>
      <c r="F4595" t="s">
        <v>18597</v>
      </c>
      <c r="G4595" t="s">
        <v>18594</v>
      </c>
      <c r="H4595" t="s">
        <v>5474</v>
      </c>
      <c r="I4595" t="s">
        <v>18598</v>
      </c>
      <c r="J4595" t="s">
        <v>5476</v>
      </c>
      <c r="K4595" t="s">
        <v>18599</v>
      </c>
      <c r="L4595" t="s">
        <v>5471</v>
      </c>
      <c r="M4595" t="s">
        <v>5471</v>
      </c>
    </row>
    <row r="4596" spans="1:13" x14ac:dyDescent="0.3">
      <c r="A4596" t="s">
        <v>3388</v>
      </c>
      <c r="B4596" t="s">
        <v>10501</v>
      </c>
      <c r="C4596" t="s">
        <v>5470</v>
      </c>
      <c r="D4596" t="s">
        <v>4119</v>
      </c>
      <c r="E4596" t="s">
        <v>5471</v>
      </c>
      <c r="F4596" t="s">
        <v>18600</v>
      </c>
      <c r="G4596" t="s">
        <v>18601</v>
      </c>
      <c r="H4596" t="s">
        <v>5474</v>
      </c>
      <c r="I4596" t="s">
        <v>18602</v>
      </c>
      <c r="J4596" t="s">
        <v>5476</v>
      </c>
      <c r="K4596" t="s">
        <v>18603</v>
      </c>
      <c r="L4596" t="s">
        <v>5471</v>
      </c>
      <c r="M4596" t="s">
        <v>5471</v>
      </c>
    </row>
    <row r="4597" spans="1:13" x14ac:dyDescent="0.3">
      <c r="A4597" t="s">
        <v>3383</v>
      </c>
      <c r="B4597" t="s">
        <v>6051</v>
      </c>
      <c r="C4597" t="s">
        <v>5470</v>
      </c>
      <c r="D4597" t="s">
        <v>4052</v>
      </c>
      <c r="E4597" t="s">
        <v>5617</v>
      </c>
      <c r="F4597" t="s">
        <v>18604</v>
      </c>
      <c r="G4597" t="s">
        <v>18605</v>
      </c>
      <c r="H4597" t="s">
        <v>5474</v>
      </c>
      <c r="I4597" t="s">
        <v>18606</v>
      </c>
      <c r="J4597" t="s">
        <v>5476</v>
      </c>
      <c r="K4597" t="s">
        <v>18607</v>
      </c>
      <c r="L4597" t="s">
        <v>5471</v>
      </c>
      <c r="M4597" t="s">
        <v>5471</v>
      </c>
    </row>
    <row r="4598" spans="1:13" x14ac:dyDescent="0.3">
      <c r="A4598" t="s">
        <v>3388</v>
      </c>
      <c r="B4598" t="s">
        <v>18592</v>
      </c>
      <c r="C4598" t="s">
        <v>5470</v>
      </c>
      <c r="D4598" t="s">
        <v>4119</v>
      </c>
      <c r="E4598" t="s">
        <v>5471</v>
      </c>
      <c r="F4598" t="s">
        <v>18608</v>
      </c>
      <c r="G4598" t="s">
        <v>18594</v>
      </c>
      <c r="H4598" t="s">
        <v>5474</v>
      </c>
      <c r="I4598" t="s">
        <v>18609</v>
      </c>
      <c r="J4598" t="s">
        <v>5476</v>
      </c>
      <c r="K4598" t="s">
        <v>18610</v>
      </c>
      <c r="L4598" t="s">
        <v>5471</v>
      </c>
      <c r="M4598" t="s">
        <v>5471</v>
      </c>
    </row>
    <row r="4599" spans="1:13" x14ac:dyDescent="0.3">
      <c r="A4599" t="s">
        <v>3388</v>
      </c>
      <c r="B4599" t="s">
        <v>10501</v>
      </c>
      <c r="C4599" t="s">
        <v>5470</v>
      </c>
      <c r="D4599" t="s">
        <v>4119</v>
      </c>
      <c r="E4599" t="s">
        <v>5471</v>
      </c>
      <c r="F4599" t="s">
        <v>18611</v>
      </c>
      <c r="G4599" t="s">
        <v>18601</v>
      </c>
      <c r="H4599" t="s">
        <v>5474</v>
      </c>
      <c r="I4599" t="s">
        <v>18612</v>
      </c>
      <c r="J4599" t="s">
        <v>5476</v>
      </c>
      <c r="K4599" t="s">
        <v>18613</v>
      </c>
      <c r="L4599" t="s">
        <v>5471</v>
      </c>
      <c r="M4599" t="s">
        <v>5471</v>
      </c>
    </row>
    <row r="4600" spans="1:13" x14ac:dyDescent="0.3">
      <c r="A4600" t="s">
        <v>3388</v>
      </c>
      <c r="B4600" t="s">
        <v>18592</v>
      </c>
      <c r="C4600" t="s">
        <v>5470</v>
      </c>
      <c r="D4600" t="s">
        <v>4119</v>
      </c>
      <c r="E4600" t="s">
        <v>5471</v>
      </c>
      <c r="F4600" t="s">
        <v>18614</v>
      </c>
      <c r="G4600" t="s">
        <v>18594</v>
      </c>
      <c r="H4600" t="s">
        <v>5474</v>
      </c>
      <c r="I4600" t="s">
        <v>18615</v>
      </c>
      <c r="J4600" t="s">
        <v>5476</v>
      </c>
      <c r="K4600" t="s">
        <v>18616</v>
      </c>
      <c r="L4600" t="s">
        <v>5471</v>
      </c>
      <c r="M4600" t="s">
        <v>5471</v>
      </c>
    </row>
    <row r="4601" spans="1:13" x14ac:dyDescent="0.3">
      <c r="A4601" t="s">
        <v>3388</v>
      </c>
      <c r="B4601" t="s">
        <v>10501</v>
      </c>
      <c r="C4601" t="s">
        <v>5470</v>
      </c>
      <c r="D4601" t="s">
        <v>4119</v>
      </c>
      <c r="E4601" t="s">
        <v>5471</v>
      </c>
      <c r="F4601" t="s">
        <v>18617</v>
      </c>
      <c r="G4601" t="s">
        <v>18601</v>
      </c>
      <c r="H4601" t="s">
        <v>5474</v>
      </c>
      <c r="I4601" t="s">
        <v>18618</v>
      </c>
      <c r="J4601" t="s">
        <v>5476</v>
      </c>
      <c r="K4601" t="s">
        <v>18619</v>
      </c>
      <c r="L4601" t="s">
        <v>5471</v>
      </c>
      <c r="M4601" t="s">
        <v>5471</v>
      </c>
    </row>
    <row r="4602" spans="1:13" x14ac:dyDescent="0.3">
      <c r="A4602" t="s">
        <v>3388</v>
      </c>
      <c r="B4602" t="s">
        <v>10496</v>
      </c>
      <c r="C4602" t="s">
        <v>5470</v>
      </c>
      <c r="D4602" t="s">
        <v>4119</v>
      </c>
      <c r="E4602" t="s">
        <v>5471</v>
      </c>
      <c r="F4602" t="s">
        <v>18620</v>
      </c>
      <c r="G4602" t="s">
        <v>10498</v>
      </c>
      <c r="H4602" t="s">
        <v>5474</v>
      </c>
      <c r="I4602" t="s">
        <v>18621</v>
      </c>
      <c r="J4602" t="s">
        <v>5476</v>
      </c>
      <c r="K4602" t="s">
        <v>18622</v>
      </c>
      <c r="L4602" t="s">
        <v>5471</v>
      </c>
      <c r="M4602" t="s">
        <v>5471</v>
      </c>
    </row>
    <row r="4603" spans="1:13" x14ac:dyDescent="0.3">
      <c r="A4603" t="s">
        <v>3388</v>
      </c>
      <c r="B4603" t="s">
        <v>18592</v>
      </c>
      <c r="C4603" t="s">
        <v>5470</v>
      </c>
      <c r="D4603" t="s">
        <v>4119</v>
      </c>
      <c r="E4603" t="s">
        <v>5471</v>
      </c>
      <c r="F4603" t="s">
        <v>18623</v>
      </c>
      <c r="G4603" t="s">
        <v>18594</v>
      </c>
      <c r="H4603" t="s">
        <v>5474</v>
      </c>
      <c r="I4603" t="s">
        <v>18624</v>
      </c>
      <c r="J4603" t="s">
        <v>5476</v>
      </c>
      <c r="K4603" t="s">
        <v>18625</v>
      </c>
      <c r="L4603" t="s">
        <v>5471</v>
      </c>
      <c r="M4603" t="s">
        <v>5471</v>
      </c>
    </row>
    <row r="4604" spans="1:13" x14ac:dyDescent="0.3">
      <c r="A4604" t="s">
        <v>3388</v>
      </c>
      <c r="B4604" t="s">
        <v>10501</v>
      </c>
      <c r="C4604" t="s">
        <v>5470</v>
      </c>
      <c r="D4604" t="s">
        <v>4119</v>
      </c>
      <c r="E4604" t="s">
        <v>5471</v>
      </c>
      <c r="F4604" t="s">
        <v>18626</v>
      </c>
      <c r="G4604" t="s">
        <v>18601</v>
      </c>
      <c r="H4604" t="s">
        <v>5474</v>
      </c>
      <c r="I4604" t="s">
        <v>18627</v>
      </c>
      <c r="J4604" t="s">
        <v>5476</v>
      </c>
      <c r="K4604" t="s">
        <v>18628</v>
      </c>
      <c r="L4604" t="s">
        <v>5471</v>
      </c>
      <c r="M4604" t="s">
        <v>5471</v>
      </c>
    </row>
    <row r="4605" spans="1:13" x14ac:dyDescent="0.3">
      <c r="A4605" t="s">
        <v>3388</v>
      </c>
      <c r="B4605" t="s">
        <v>10496</v>
      </c>
      <c r="C4605" t="s">
        <v>5470</v>
      </c>
      <c r="D4605" t="s">
        <v>4119</v>
      </c>
      <c r="E4605" t="s">
        <v>5471</v>
      </c>
      <c r="F4605" t="s">
        <v>18629</v>
      </c>
      <c r="G4605" t="s">
        <v>10498</v>
      </c>
      <c r="H4605" t="s">
        <v>5474</v>
      </c>
      <c r="I4605" t="s">
        <v>18630</v>
      </c>
      <c r="J4605" t="s">
        <v>5476</v>
      </c>
      <c r="K4605" t="s">
        <v>18622</v>
      </c>
      <c r="L4605" t="s">
        <v>5471</v>
      </c>
      <c r="M4605" t="s">
        <v>5471</v>
      </c>
    </row>
    <row r="4606" spans="1:13" x14ac:dyDescent="0.3">
      <c r="A4606" t="s">
        <v>3388</v>
      </c>
      <c r="B4606" t="s">
        <v>18592</v>
      </c>
      <c r="C4606" t="s">
        <v>5470</v>
      </c>
      <c r="D4606" t="s">
        <v>4119</v>
      </c>
      <c r="E4606" t="s">
        <v>5471</v>
      </c>
      <c r="F4606" t="s">
        <v>18631</v>
      </c>
      <c r="G4606" t="s">
        <v>18594</v>
      </c>
      <c r="H4606" t="s">
        <v>5474</v>
      </c>
      <c r="I4606" t="s">
        <v>18632</v>
      </c>
      <c r="J4606" t="s">
        <v>5476</v>
      </c>
      <c r="K4606" t="s">
        <v>18633</v>
      </c>
      <c r="L4606" t="s">
        <v>5471</v>
      </c>
      <c r="M4606" t="s">
        <v>5471</v>
      </c>
    </row>
    <row r="4607" spans="1:13" x14ac:dyDescent="0.3">
      <c r="A4607" t="s">
        <v>3388</v>
      </c>
      <c r="B4607" t="s">
        <v>18634</v>
      </c>
      <c r="C4607" t="s">
        <v>5470</v>
      </c>
      <c r="D4607" t="s">
        <v>4119</v>
      </c>
      <c r="E4607" t="s">
        <v>5471</v>
      </c>
      <c r="F4607" t="s">
        <v>18635</v>
      </c>
      <c r="G4607" t="s">
        <v>10178</v>
      </c>
      <c r="H4607" t="s">
        <v>5474</v>
      </c>
      <c r="I4607" t="s">
        <v>18636</v>
      </c>
      <c r="J4607" t="s">
        <v>5476</v>
      </c>
      <c r="K4607" t="s">
        <v>18637</v>
      </c>
      <c r="L4607" t="s">
        <v>5471</v>
      </c>
      <c r="M4607" t="s">
        <v>5471</v>
      </c>
    </row>
    <row r="4608" spans="1:13" x14ac:dyDescent="0.3">
      <c r="A4608" t="s">
        <v>3388</v>
      </c>
      <c r="B4608" t="s">
        <v>18592</v>
      </c>
      <c r="C4608" t="s">
        <v>5470</v>
      </c>
      <c r="D4608" t="s">
        <v>4119</v>
      </c>
      <c r="E4608" t="s">
        <v>5471</v>
      </c>
      <c r="F4608" t="s">
        <v>18638</v>
      </c>
      <c r="G4608" t="s">
        <v>18594</v>
      </c>
      <c r="H4608" t="s">
        <v>5474</v>
      </c>
      <c r="I4608" t="s">
        <v>18639</v>
      </c>
      <c r="J4608" t="s">
        <v>5476</v>
      </c>
      <c r="K4608" t="s">
        <v>18640</v>
      </c>
      <c r="L4608" t="s">
        <v>5471</v>
      </c>
      <c r="M4608" t="s">
        <v>5471</v>
      </c>
    </row>
    <row r="4609" spans="1:13" x14ac:dyDescent="0.3">
      <c r="A4609" t="s">
        <v>3388</v>
      </c>
      <c r="B4609" t="s">
        <v>18634</v>
      </c>
      <c r="C4609" t="s">
        <v>5470</v>
      </c>
      <c r="D4609" t="s">
        <v>4119</v>
      </c>
      <c r="E4609" t="s">
        <v>5471</v>
      </c>
      <c r="F4609" t="s">
        <v>18641</v>
      </c>
      <c r="G4609" t="s">
        <v>10178</v>
      </c>
      <c r="H4609" t="s">
        <v>5474</v>
      </c>
      <c r="I4609" t="s">
        <v>18642</v>
      </c>
      <c r="J4609" t="s">
        <v>5476</v>
      </c>
      <c r="K4609" t="s">
        <v>18643</v>
      </c>
      <c r="L4609" t="s">
        <v>5471</v>
      </c>
      <c r="M4609" t="s">
        <v>5471</v>
      </c>
    </row>
    <row r="4610" spans="1:13" x14ac:dyDescent="0.3">
      <c r="A4610" t="s">
        <v>3388</v>
      </c>
      <c r="B4610" t="s">
        <v>18592</v>
      </c>
      <c r="C4610" t="s">
        <v>5470</v>
      </c>
      <c r="D4610" t="s">
        <v>4119</v>
      </c>
      <c r="E4610" t="s">
        <v>5471</v>
      </c>
      <c r="F4610" t="s">
        <v>18644</v>
      </c>
      <c r="G4610" t="s">
        <v>18594</v>
      </c>
      <c r="H4610" t="s">
        <v>5474</v>
      </c>
      <c r="I4610" t="s">
        <v>18645</v>
      </c>
      <c r="J4610" t="s">
        <v>5476</v>
      </c>
      <c r="K4610" t="s">
        <v>18646</v>
      </c>
      <c r="L4610" t="s">
        <v>5471</v>
      </c>
      <c r="M4610" t="s">
        <v>5471</v>
      </c>
    </row>
    <row r="4611" spans="1:13" x14ac:dyDescent="0.3">
      <c r="A4611" t="s">
        <v>3388</v>
      </c>
      <c r="B4611" t="s">
        <v>18634</v>
      </c>
      <c r="C4611" t="s">
        <v>5470</v>
      </c>
      <c r="D4611" t="s">
        <v>4119</v>
      </c>
      <c r="E4611" t="s">
        <v>5471</v>
      </c>
      <c r="F4611" t="s">
        <v>18647</v>
      </c>
      <c r="G4611" t="s">
        <v>10178</v>
      </c>
      <c r="H4611" t="s">
        <v>5474</v>
      </c>
      <c r="I4611" t="s">
        <v>18648</v>
      </c>
      <c r="J4611" t="s">
        <v>5476</v>
      </c>
      <c r="K4611" t="s">
        <v>18649</v>
      </c>
      <c r="L4611" t="s">
        <v>5471</v>
      </c>
      <c r="M4611" t="s">
        <v>5471</v>
      </c>
    </row>
    <row r="4612" spans="1:13" x14ac:dyDescent="0.3">
      <c r="A4612" t="s">
        <v>3388</v>
      </c>
      <c r="B4612" t="s">
        <v>18592</v>
      </c>
      <c r="C4612" t="s">
        <v>5470</v>
      </c>
      <c r="D4612" t="s">
        <v>4119</v>
      </c>
      <c r="E4612" t="s">
        <v>5471</v>
      </c>
      <c r="F4612" t="s">
        <v>18650</v>
      </c>
      <c r="G4612" t="s">
        <v>18594</v>
      </c>
      <c r="H4612" t="s">
        <v>5474</v>
      </c>
      <c r="I4612" t="s">
        <v>18651</v>
      </c>
      <c r="J4612" t="s">
        <v>5476</v>
      </c>
      <c r="K4612" t="s">
        <v>18652</v>
      </c>
      <c r="L4612" t="s">
        <v>5471</v>
      </c>
      <c r="M4612" t="s">
        <v>5471</v>
      </c>
    </row>
    <row r="4613" spans="1:13" x14ac:dyDescent="0.3">
      <c r="A4613" t="s">
        <v>3388</v>
      </c>
      <c r="B4613" t="s">
        <v>18634</v>
      </c>
      <c r="C4613" t="s">
        <v>5470</v>
      </c>
      <c r="D4613" t="s">
        <v>4119</v>
      </c>
      <c r="E4613" t="s">
        <v>5471</v>
      </c>
      <c r="F4613" t="s">
        <v>18653</v>
      </c>
      <c r="G4613" t="s">
        <v>18654</v>
      </c>
      <c r="H4613" t="s">
        <v>5474</v>
      </c>
      <c r="I4613" t="s">
        <v>18655</v>
      </c>
      <c r="J4613" t="s">
        <v>5476</v>
      </c>
      <c r="K4613" t="s">
        <v>18656</v>
      </c>
      <c r="L4613" t="s">
        <v>5471</v>
      </c>
      <c r="M4613" t="s">
        <v>5471</v>
      </c>
    </row>
    <row r="4614" spans="1:13" x14ac:dyDescent="0.3">
      <c r="A4614" t="s">
        <v>3388</v>
      </c>
      <c r="B4614" t="s">
        <v>18634</v>
      </c>
      <c r="C4614" t="s">
        <v>5470</v>
      </c>
      <c r="D4614" t="s">
        <v>4119</v>
      </c>
      <c r="E4614" t="s">
        <v>5471</v>
      </c>
      <c r="F4614" t="s">
        <v>18657</v>
      </c>
      <c r="G4614" t="s">
        <v>18654</v>
      </c>
      <c r="H4614" t="s">
        <v>5474</v>
      </c>
      <c r="I4614" t="s">
        <v>18658</v>
      </c>
      <c r="J4614" t="s">
        <v>5476</v>
      </c>
      <c r="K4614" t="s">
        <v>18659</v>
      </c>
      <c r="L4614" t="s">
        <v>5471</v>
      </c>
      <c r="M4614" t="s">
        <v>5471</v>
      </c>
    </row>
    <row r="4615" spans="1:13" x14ac:dyDescent="0.3">
      <c r="A4615" t="s">
        <v>3388</v>
      </c>
      <c r="B4615" t="s">
        <v>18660</v>
      </c>
      <c r="C4615" t="s">
        <v>5470</v>
      </c>
      <c r="D4615" t="s">
        <v>4119</v>
      </c>
      <c r="E4615" t="s">
        <v>5471</v>
      </c>
      <c r="F4615" t="s">
        <v>18661</v>
      </c>
      <c r="G4615" t="s">
        <v>18662</v>
      </c>
      <c r="H4615" t="s">
        <v>5474</v>
      </c>
      <c r="I4615" t="s">
        <v>18663</v>
      </c>
      <c r="J4615" t="s">
        <v>5476</v>
      </c>
      <c r="K4615" t="s">
        <v>18664</v>
      </c>
      <c r="L4615" t="s">
        <v>5471</v>
      </c>
      <c r="M4615" t="s">
        <v>5471</v>
      </c>
    </row>
    <row r="4616" spans="1:13" x14ac:dyDescent="0.3">
      <c r="A4616" t="s">
        <v>3383</v>
      </c>
      <c r="B4616" t="s">
        <v>5294</v>
      </c>
      <c r="C4616" t="s">
        <v>5470</v>
      </c>
      <c r="D4616" t="s">
        <v>4119</v>
      </c>
      <c r="E4616" t="s">
        <v>5756</v>
      </c>
      <c r="F4616" t="s">
        <v>18665</v>
      </c>
      <c r="G4616" t="s">
        <v>6201</v>
      </c>
      <c r="H4616" t="s">
        <v>5474</v>
      </c>
      <c r="I4616" t="s">
        <v>18666</v>
      </c>
      <c r="J4616" t="s">
        <v>5484</v>
      </c>
      <c r="K4616" t="s">
        <v>18667</v>
      </c>
      <c r="L4616" t="s">
        <v>5471</v>
      </c>
      <c r="M4616" t="s">
        <v>5471</v>
      </c>
    </row>
    <row r="4617" spans="1:13" x14ac:dyDescent="0.3">
      <c r="A4617" t="s">
        <v>3388</v>
      </c>
      <c r="B4617" t="s">
        <v>18668</v>
      </c>
      <c r="C4617" t="s">
        <v>5470</v>
      </c>
      <c r="D4617" t="s">
        <v>4119</v>
      </c>
      <c r="E4617" t="s">
        <v>5471</v>
      </c>
      <c r="F4617" t="s">
        <v>18669</v>
      </c>
      <c r="G4617" t="s">
        <v>18670</v>
      </c>
      <c r="H4617" t="s">
        <v>5474</v>
      </c>
      <c r="I4617" t="s">
        <v>18671</v>
      </c>
      <c r="J4617" t="s">
        <v>5476</v>
      </c>
      <c r="K4617" t="s">
        <v>18672</v>
      </c>
      <c r="L4617" t="s">
        <v>5471</v>
      </c>
      <c r="M4617" t="s">
        <v>5471</v>
      </c>
    </row>
    <row r="4618" spans="1:13" x14ac:dyDescent="0.3">
      <c r="A4618" t="s">
        <v>3388</v>
      </c>
      <c r="B4618" t="s">
        <v>18660</v>
      </c>
      <c r="C4618" t="s">
        <v>5470</v>
      </c>
      <c r="D4618" t="s">
        <v>4119</v>
      </c>
      <c r="E4618" t="s">
        <v>5471</v>
      </c>
      <c r="F4618" t="s">
        <v>18673</v>
      </c>
      <c r="G4618" t="s">
        <v>18662</v>
      </c>
      <c r="H4618" t="s">
        <v>5474</v>
      </c>
      <c r="I4618" t="s">
        <v>18674</v>
      </c>
      <c r="J4618" t="s">
        <v>5476</v>
      </c>
      <c r="K4618" t="s">
        <v>18675</v>
      </c>
      <c r="L4618" t="s">
        <v>5471</v>
      </c>
      <c r="M4618" t="s">
        <v>5471</v>
      </c>
    </row>
    <row r="4619" spans="1:13" x14ac:dyDescent="0.3">
      <c r="A4619" t="s">
        <v>3388</v>
      </c>
      <c r="B4619" t="s">
        <v>18660</v>
      </c>
      <c r="C4619" t="s">
        <v>5470</v>
      </c>
      <c r="D4619" t="s">
        <v>4119</v>
      </c>
      <c r="E4619" t="s">
        <v>5471</v>
      </c>
      <c r="F4619" t="s">
        <v>18676</v>
      </c>
      <c r="G4619" t="s">
        <v>18662</v>
      </c>
      <c r="H4619" t="s">
        <v>5474</v>
      </c>
      <c r="I4619" t="s">
        <v>18677</v>
      </c>
      <c r="J4619" t="s">
        <v>5476</v>
      </c>
      <c r="K4619" t="s">
        <v>18678</v>
      </c>
      <c r="L4619" t="s">
        <v>5471</v>
      </c>
      <c r="M4619" t="s">
        <v>5471</v>
      </c>
    </row>
    <row r="4620" spans="1:13" x14ac:dyDescent="0.3">
      <c r="A4620" t="s">
        <v>3388</v>
      </c>
      <c r="B4620" t="s">
        <v>10481</v>
      </c>
      <c r="C4620" t="s">
        <v>5470</v>
      </c>
      <c r="D4620" t="s">
        <v>4119</v>
      </c>
      <c r="E4620" t="s">
        <v>5471</v>
      </c>
      <c r="F4620" t="s">
        <v>18679</v>
      </c>
      <c r="G4620" t="s">
        <v>18680</v>
      </c>
      <c r="H4620" t="s">
        <v>5474</v>
      </c>
      <c r="I4620" t="s">
        <v>18681</v>
      </c>
      <c r="J4620" t="s">
        <v>5476</v>
      </c>
      <c r="K4620" t="s">
        <v>18682</v>
      </c>
      <c r="L4620" t="s">
        <v>5471</v>
      </c>
      <c r="M4620" t="s">
        <v>5471</v>
      </c>
    </row>
    <row r="4621" spans="1:13" x14ac:dyDescent="0.3">
      <c r="A4621" t="s">
        <v>3388</v>
      </c>
      <c r="B4621" t="s">
        <v>18683</v>
      </c>
      <c r="C4621" t="s">
        <v>5470</v>
      </c>
      <c r="D4621" t="s">
        <v>4119</v>
      </c>
      <c r="E4621" t="s">
        <v>5471</v>
      </c>
      <c r="F4621" t="s">
        <v>18684</v>
      </c>
      <c r="G4621" t="s">
        <v>18685</v>
      </c>
      <c r="H4621" t="s">
        <v>5474</v>
      </c>
      <c r="I4621" t="s">
        <v>18686</v>
      </c>
      <c r="J4621" t="s">
        <v>5476</v>
      </c>
      <c r="K4621" t="s">
        <v>18687</v>
      </c>
      <c r="L4621" t="s">
        <v>5471</v>
      </c>
      <c r="M4621" t="s">
        <v>5471</v>
      </c>
    </row>
    <row r="4622" spans="1:13" x14ac:dyDescent="0.3">
      <c r="A4622" t="s">
        <v>3388</v>
      </c>
      <c r="B4622" t="s">
        <v>10481</v>
      </c>
      <c r="C4622" t="s">
        <v>5470</v>
      </c>
      <c r="D4622" t="s">
        <v>4119</v>
      </c>
      <c r="E4622" t="s">
        <v>5471</v>
      </c>
      <c r="F4622" t="s">
        <v>18688</v>
      </c>
      <c r="G4622" t="s">
        <v>18680</v>
      </c>
      <c r="H4622" t="s">
        <v>5474</v>
      </c>
      <c r="I4622" t="s">
        <v>18689</v>
      </c>
      <c r="J4622" t="s">
        <v>5476</v>
      </c>
      <c r="K4622" t="s">
        <v>18690</v>
      </c>
      <c r="L4622" t="s">
        <v>5471</v>
      </c>
      <c r="M4622" t="s">
        <v>5471</v>
      </c>
    </row>
    <row r="4623" spans="1:13" x14ac:dyDescent="0.3">
      <c r="A4623" t="s">
        <v>3388</v>
      </c>
      <c r="B4623" t="s">
        <v>18683</v>
      </c>
      <c r="C4623" t="s">
        <v>5470</v>
      </c>
      <c r="D4623" t="s">
        <v>4119</v>
      </c>
      <c r="E4623" t="s">
        <v>5471</v>
      </c>
      <c r="F4623" t="s">
        <v>18691</v>
      </c>
      <c r="G4623" t="s">
        <v>18685</v>
      </c>
      <c r="H4623" t="s">
        <v>5474</v>
      </c>
      <c r="I4623" t="s">
        <v>18692</v>
      </c>
      <c r="J4623" t="s">
        <v>5476</v>
      </c>
      <c r="K4623" t="s">
        <v>18693</v>
      </c>
      <c r="L4623" t="s">
        <v>5471</v>
      </c>
      <c r="M4623" t="s">
        <v>5471</v>
      </c>
    </row>
    <row r="4624" spans="1:13" x14ac:dyDescent="0.3">
      <c r="A4624" t="s">
        <v>3388</v>
      </c>
      <c r="B4624" t="s">
        <v>18683</v>
      </c>
      <c r="C4624" t="s">
        <v>5470</v>
      </c>
      <c r="D4624" t="s">
        <v>4119</v>
      </c>
      <c r="E4624" t="s">
        <v>5471</v>
      </c>
      <c r="F4624" t="s">
        <v>18694</v>
      </c>
      <c r="G4624" t="s">
        <v>18685</v>
      </c>
      <c r="H4624" t="s">
        <v>5474</v>
      </c>
      <c r="I4624" t="s">
        <v>18695</v>
      </c>
      <c r="J4624" t="s">
        <v>5476</v>
      </c>
      <c r="K4624" t="s">
        <v>18696</v>
      </c>
      <c r="L4624" t="s">
        <v>5471</v>
      </c>
      <c r="M4624" t="s">
        <v>5471</v>
      </c>
    </row>
    <row r="4625" spans="1:13" x14ac:dyDescent="0.3">
      <c r="A4625" t="s">
        <v>3388</v>
      </c>
      <c r="B4625" t="s">
        <v>18697</v>
      </c>
      <c r="C4625" t="s">
        <v>5470</v>
      </c>
      <c r="D4625" t="s">
        <v>4119</v>
      </c>
      <c r="E4625" t="s">
        <v>5471</v>
      </c>
      <c r="F4625" t="s">
        <v>18698</v>
      </c>
      <c r="G4625" t="s">
        <v>10175</v>
      </c>
      <c r="H4625" t="s">
        <v>5474</v>
      </c>
      <c r="I4625" t="s">
        <v>18699</v>
      </c>
      <c r="J4625" t="s">
        <v>5476</v>
      </c>
      <c r="K4625" t="s">
        <v>18700</v>
      </c>
      <c r="L4625" t="s">
        <v>5471</v>
      </c>
      <c r="M4625" t="s">
        <v>5471</v>
      </c>
    </row>
    <row r="4626" spans="1:13" x14ac:dyDescent="0.3">
      <c r="A4626" t="s">
        <v>3388</v>
      </c>
      <c r="B4626" t="s">
        <v>18697</v>
      </c>
      <c r="C4626" t="s">
        <v>5470</v>
      </c>
      <c r="D4626" t="s">
        <v>4119</v>
      </c>
      <c r="E4626" t="s">
        <v>5471</v>
      </c>
      <c r="F4626" t="s">
        <v>18701</v>
      </c>
      <c r="G4626" t="s">
        <v>10175</v>
      </c>
      <c r="H4626" t="s">
        <v>5474</v>
      </c>
      <c r="I4626" t="s">
        <v>18702</v>
      </c>
      <c r="J4626" t="s">
        <v>5476</v>
      </c>
      <c r="K4626" t="s">
        <v>18703</v>
      </c>
      <c r="L4626" t="s">
        <v>5471</v>
      </c>
      <c r="M4626" t="s">
        <v>5471</v>
      </c>
    </row>
    <row r="4627" spans="1:13" x14ac:dyDescent="0.3">
      <c r="A4627" t="s">
        <v>3388</v>
      </c>
      <c r="B4627" t="s">
        <v>18697</v>
      </c>
      <c r="C4627" t="s">
        <v>5470</v>
      </c>
      <c r="D4627" t="s">
        <v>4119</v>
      </c>
      <c r="E4627" t="s">
        <v>5471</v>
      </c>
      <c r="F4627" t="s">
        <v>18704</v>
      </c>
      <c r="G4627" t="s">
        <v>10175</v>
      </c>
      <c r="H4627" t="s">
        <v>5474</v>
      </c>
      <c r="I4627" t="s">
        <v>18705</v>
      </c>
      <c r="J4627" t="s">
        <v>5476</v>
      </c>
      <c r="K4627" t="s">
        <v>18706</v>
      </c>
      <c r="L4627" t="s">
        <v>5471</v>
      </c>
      <c r="M4627" t="s">
        <v>5471</v>
      </c>
    </row>
    <row r="4628" spans="1:13" x14ac:dyDescent="0.3">
      <c r="A4628" t="s">
        <v>3388</v>
      </c>
      <c r="B4628" t="s">
        <v>18697</v>
      </c>
      <c r="C4628" t="s">
        <v>5470</v>
      </c>
      <c r="D4628" t="s">
        <v>4119</v>
      </c>
      <c r="E4628" t="s">
        <v>5471</v>
      </c>
      <c r="F4628" t="s">
        <v>18707</v>
      </c>
      <c r="G4628" t="s">
        <v>10175</v>
      </c>
      <c r="H4628" t="s">
        <v>5474</v>
      </c>
      <c r="I4628" t="s">
        <v>18708</v>
      </c>
      <c r="J4628" t="s">
        <v>5476</v>
      </c>
      <c r="K4628" t="s">
        <v>18709</v>
      </c>
      <c r="L4628" t="s">
        <v>5471</v>
      </c>
      <c r="M4628" t="s">
        <v>5471</v>
      </c>
    </row>
    <row r="4629" spans="1:13" x14ac:dyDescent="0.3">
      <c r="A4629" t="s">
        <v>3388</v>
      </c>
      <c r="B4629" t="s">
        <v>10481</v>
      </c>
      <c r="C4629" t="s">
        <v>5470</v>
      </c>
      <c r="D4629" t="s">
        <v>4119</v>
      </c>
      <c r="E4629" t="s">
        <v>5471</v>
      </c>
      <c r="F4629" t="s">
        <v>18710</v>
      </c>
      <c r="G4629" t="s">
        <v>10483</v>
      </c>
      <c r="H4629" t="s">
        <v>5474</v>
      </c>
      <c r="I4629" t="s">
        <v>18711</v>
      </c>
      <c r="J4629" t="s">
        <v>5476</v>
      </c>
      <c r="K4629" t="s">
        <v>18712</v>
      </c>
      <c r="L4629" t="s">
        <v>5471</v>
      </c>
      <c r="M4629" t="s">
        <v>5471</v>
      </c>
    </row>
    <row r="4630" spans="1:13" x14ac:dyDescent="0.3">
      <c r="A4630" t="s">
        <v>3388</v>
      </c>
      <c r="B4630" t="s">
        <v>18697</v>
      </c>
      <c r="C4630" t="s">
        <v>5470</v>
      </c>
      <c r="D4630" t="s">
        <v>4119</v>
      </c>
      <c r="E4630" t="s">
        <v>5471</v>
      </c>
      <c r="F4630" t="s">
        <v>18713</v>
      </c>
      <c r="G4630" t="s">
        <v>10175</v>
      </c>
      <c r="H4630" t="s">
        <v>5474</v>
      </c>
      <c r="I4630" t="s">
        <v>18714</v>
      </c>
      <c r="J4630" t="s">
        <v>5476</v>
      </c>
      <c r="K4630" t="s">
        <v>18715</v>
      </c>
      <c r="L4630" t="s">
        <v>5471</v>
      </c>
      <c r="M4630" t="s">
        <v>5471</v>
      </c>
    </row>
    <row r="4631" spans="1:13" x14ac:dyDescent="0.3">
      <c r="A4631" t="s">
        <v>3388</v>
      </c>
      <c r="B4631" t="s">
        <v>10481</v>
      </c>
      <c r="C4631" t="s">
        <v>5470</v>
      </c>
      <c r="D4631" t="s">
        <v>4119</v>
      </c>
      <c r="E4631" t="s">
        <v>5471</v>
      </c>
      <c r="F4631" t="s">
        <v>18716</v>
      </c>
      <c r="G4631" t="s">
        <v>10483</v>
      </c>
      <c r="H4631" t="s">
        <v>5474</v>
      </c>
      <c r="I4631" t="s">
        <v>18717</v>
      </c>
      <c r="J4631" t="s">
        <v>5476</v>
      </c>
      <c r="K4631" t="s">
        <v>18718</v>
      </c>
      <c r="L4631" t="s">
        <v>5471</v>
      </c>
      <c r="M4631" t="s">
        <v>5471</v>
      </c>
    </row>
    <row r="4632" spans="1:13" x14ac:dyDescent="0.3">
      <c r="A4632" t="s">
        <v>3388</v>
      </c>
      <c r="B4632" t="s">
        <v>18697</v>
      </c>
      <c r="C4632" t="s">
        <v>5470</v>
      </c>
      <c r="D4632" t="s">
        <v>4119</v>
      </c>
      <c r="E4632" t="s">
        <v>5471</v>
      </c>
      <c r="F4632" t="s">
        <v>18719</v>
      </c>
      <c r="G4632" t="s">
        <v>10175</v>
      </c>
      <c r="H4632" t="s">
        <v>5474</v>
      </c>
      <c r="I4632" t="s">
        <v>18720</v>
      </c>
      <c r="J4632" t="s">
        <v>5476</v>
      </c>
      <c r="K4632" t="s">
        <v>18721</v>
      </c>
      <c r="L4632" t="s">
        <v>5471</v>
      </c>
      <c r="M4632" t="s">
        <v>5471</v>
      </c>
    </row>
    <row r="4633" spans="1:13" x14ac:dyDescent="0.3">
      <c r="A4633" t="s">
        <v>3388</v>
      </c>
      <c r="B4633" t="s">
        <v>10481</v>
      </c>
      <c r="C4633" t="s">
        <v>5470</v>
      </c>
      <c r="D4633" t="s">
        <v>4119</v>
      </c>
      <c r="E4633" t="s">
        <v>5471</v>
      </c>
      <c r="F4633" t="s">
        <v>18722</v>
      </c>
      <c r="G4633" t="s">
        <v>10483</v>
      </c>
      <c r="H4633" t="s">
        <v>5474</v>
      </c>
      <c r="I4633" t="s">
        <v>18723</v>
      </c>
      <c r="J4633" t="s">
        <v>5476</v>
      </c>
      <c r="K4633" t="s">
        <v>18724</v>
      </c>
      <c r="L4633" t="s">
        <v>5471</v>
      </c>
      <c r="M4633" t="s">
        <v>5471</v>
      </c>
    </row>
    <row r="4634" spans="1:13" x14ac:dyDescent="0.3">
      <c r="A4634" t="s">
        <v>3388</v>
      </c>
      <c r="B4634" t="s">
        <v>10486</v>
      </c>
      <c r="C4634" t="s">
        <v>5470</v>
      </c>
      <c r="D4634" t="s">
        <v>4119</v>
      </c>
      <c r="E4634" t="s">
        <v>5471</v>
      </c>
      <c r="F4634" t="s">
        <v>18725</v>
      </c>
      <c r="G4634" t="s">
        <v>10488</v>
      </c>
      <c r="H4634" t="s">
        <v>5474</v>
      </c>
      <c r="I4634" t="s">
        <v>18726</v>
      </c>
      <c r="J4634" t="s">
        <v>5476</v>
      </c>
      <c r="K4634" t="s">
        <v>18727</v>
      </c>
      <c r="L4634" t="s">
        <v>5471</v>
      </c>
      <c r="M4634" t="s">
        <v>5471</v>
      </c>
    </row>
    <row r="4635" spans="1:13" x14ac:dyDescent="0.3">
      <c r="A4635" t="s">
        <v>3388</v>
      </c>
      <c r="B4635" t="s">
        <v>10481</v>
      </c>
      <c r="C4635" t="s">
        <v>5470</v>
      </c>
      <c r="D4635" t="s">
        <v>4119</v>
      </c>
      <c r="E4635" t="s">
        <v>5471</v>
      </c>
      <c r="F4635" t="s">
        <v>18728</v>
      </c>
      <c r="G4635" t="s">
        <v>10483</v>
      </c>
      <c r="H4635" t="s">
        <v>5474</v>
      </c>
      <c r="I4635" t="s">
        <v>18729</v>
      </c>
      <c r="J4635" t="s">
        <v>5476</v>
      </c>
      <c r="K4635" t="s">
        <v>18730</v>
      </c>
      <c r="L4635" t="s">
        <v>5471</v>
      </c>
      <c r="M4635" t="s">
        <v>5471</v>
      </c>
    </row>
    <row r="4636" spans="1:13" x14ac:dyDescent="0.3">
      <c r="A4636" t="s">
        <v>3388</v>
      </c>
      <c r="B4636" t="s">
        <v>18731</v>
      </c>
      <c r="C4636" t="s">
        <v>5470</v>
      </c>
      <c r="D4636" t="s">
        <v>4119</v>
      </c>
      <c r="E4636" t="s">
        <v>5471</v>
      </c>
      <c r="F4636" t="s">
        <v>18732</v>
      </c>
      <c r="G4636" t="s">
        <v>18733</v>
      </c>
      <c r="H4636" t="s">
        <v>5474</v>
      </c>
      <c r="I4636" t="s">
        <v>18734</v>
      </c>
      <c r="J4636" t="s">
        <v>5476</v>
      </c>
      <c r="K4636" t="s">
        <v>18735</v>
      </c>
      <c r="L4636" t="s">
        <v>5471</v>
      </c>
      <c r="M4636" t="s">
        <v>5471</v>
      </c>
    </row>
    <row r="4637" spans="1:13" x14ac:dyDescent="0.3">
      <c r="A4637" t="s">
        <v>3388</v>
      </c>
      <c r="B4637" t="s">
        <v>10481</v>
      </c>
      <c r="C4637" t="s">
        <v>5470</v>
      </c>
      <c r="D4637" t="s">
        <v>4119</v>
      </c>
      <c r="E4637" t="s">
        <v>5471</v>
      </c>
      <c r="F4637" t="s">
        <v>18736</v>
      </c>
      <c r="G4637" t="s">
        <v>10483</v>
      </c>
      <c r="H4637" t="s">
        <v>5474</v>
      </c>
      <c r="I4637" t="s">
        <v>18737</v>
      </c>
      <c r="J4637" t="s">
        <v>5476</v>
      </c>
      <c r="K4637" t="s">
        <v>18738</v>
      </c>
      <c r="L4637" t="s">
        <v>5471</v>
      </c>
      <c r="M4637" t="s">
        <v>5471</v>
      </c>
    </row>
    <row r="4638" spans="1:13" x14ac:dyDescent="0.3">
      <c r="A4638" t="s">
        <v>3388</v>
      </c>
      <c r="B4638" t="s">
        <v>18731</v>
      </c>
      <c r="C4638" t="s">
        <v>5470</v>
      </c>
      <c r="D4638" t="s">
        <v>4119</v>
      </c>
      <c r="E4638" t="s">
        <v>5471</v>
      </c>
      <c r="F4638" t="s">
        <v>18739</v>
      </c>
      <c r="G4638" t="s">
        <v>18733</v>
      </c>
      <c r="H4638" t="s">
        <v>5474</v>
      </c>
      <c r="I4638" t="s">
        <v>18740</v>
      </c>
      <c r="J4638" t="s">
        <v>5476</v>
      </c>
      <c r="K4638" t="s">
        <v>18741</v>
      </c>
      <c r="L4638" t="s">
        <v>5471</v>
      </c>
      <c r="M4638" t="s">
        <v>5471</v>
      </c>
    </row>
    <row r="4639" spans="1:13" x14ac:dyDescent="0.3">
      <c r="A4639" t="s">
        <v>3388</v>
      </c>
      <c r="B4639" t="s">
        <v>10481</v>
      </c>
      <c r="C4639" t="s">
        <v>5470</v>
      </c>
      <c r="D4639" t="s">
        <v>4119</v>
      </c>
      <c r="E4639" t="s">
        <v>5471</v>
      </c>
      <c r="F4639" t="s">
        <v>18742</v>
      </c>
      <c r="G4639" t="s">
        <v>10483</v>
      </c>
      <c r="H4639" t="s">
        <v>5474</v>
      </c>
      <c r="I4639" t="s">
        <v>18743</v>
      </c>
      <c r="J4639" t="s">
        <v>5476</v>
      </c>
      <c r="K4639" t="s">
        <v>18744</v>
      </c>
      <c r="L4639" t="s">
        <v>5471</v>
      </c>
      <c r="M4639" t="s">
        <v>5471</v>
      </c>
    </row>
    <row r="4640" spans="1:13" x14ac:dyDescent="0.3">
      <c r="A4640" t="s">
        <v>3388</v>
      </c>
      <c r="B4640" t="s">
        <v>18731</v>
      </c>
      <c r="C4640" t="s">
        <v>5470</v>
      </c>
      <c r="D4640" t="s">
        <v>4119</v>
      </c>
      <c r="E4640" t="s">
        <v>5471</v>
      </c>
      <c r="F4640" t="s">
        <v>18745</v>
      </c>
      <c r="G4640" t="s">
        <v>18733</v>
      </c>
      <c r="H4640" t="s">
        <v>5474</v>
      </c>
      <c r="I4640" t="s">
        <v>18746</v>
      </c>
      <c r="J4640" t="s">
        <v>5476</v>
      </c>
      <c r="K4640" t="s">
        <v>18747</v>
      </c>
      <c r="L4640" t="s">
        <v>5471</v>
      </c>
      <c r="M4640" t="s">
        <v>5471</v>
      </c>
    </row>
    <row r="4641" spans="1:13" x14ac:dyDescent="0.3">
      <c r="A4641" t="s">
        <v>3388</v>
      </c>
      <c r="B4641" t="s">
        <v>10481</v>
      </c>
      <c r="C4641" t="s">
        <v>5470</v>
      </c>
      <c r="D4641" t="s">
        <v>4119</v>
      </c>
      <c r="E4641" t="s">
        <v>5471</v>
      </c>
      <c r="F4641" t="s">
        <v>18748</v>
      </c>
      <c r="G4641" t="s">
        <v>10483</v>
      </c>
      <c r="H4641" t="s">
        <v>5474</v>
      </c>
      <c r="I4641" t="s">
        <v>18749</v>
      </c>
      <c r="J4641" t="s">
        <v>5476</v>
      </c>
      <c r="K4641" t="s">
        <v>18750</v>
      </c>
      <c r="L4641" t="s">
        <v>5471</v>
      </c>
      <c r="M4641" t="s">
        <v>5471</v>
      </c>
    </row>
    <row r="4642" spans="1:13" x14ac:dyDescent="0.3">
      <c r="A4642" t="s">
        <v>3388</v>
      </c>
      <c r="B4642" t="s">
        <v>18731</v>
      </c>
      <c r="C4642" t="s">
        <v>5470</v>
      </c>
      <c r="D4642" t="s">
        <v>4119</v>
      </c>
      <c r="E4642" t="s">
        <v>5471</v>
      </c>
      <c r="F4642" t="s">
        <v>18751</v>
      </c>
      <c r="G4642" t="s">
        <v>18733</v>
      </c>
      <c r="H4642" t="s">
        <v>5474</v>
      </c>
      <c r="I4642" t="s">
        <v>18752</v>
      </c>
      <c r="J4642" t="s">
        <v>5476</v>
      </c>
      <c r="K4642" t="s">
        <v>18753</v>
      </c>
      <c r="L4642" t="s">
        <v>5471</v>
      </c>
      <c r="M4642" t="s">
        <v>5471</v>
      </c>
    </row>
    <row r="4643" spans="1:13" x14ac:dyDescent="0.3">
      <c r="A4643" t="s">
        <v>3388</v>
      </c>
      <c r="B4643" t="s">
        <v>17993</v>
      </c>
      <c r="C4643" t="s">
        <v>5470</v>
      </c>
      <c r="D4643" t="s">
        <v>4119</v>
      </c>
      <c r="E4643" t="s">
        <v>5471</v>
      </c>
      <c r="F4643" t="s">
        <v>18754</v>
      </c>
      <c r="G4643" t="s">
        <v>8317</v>
      </c>
      <c r="H4643" t="s">
        <v>5474</v>
      </c>
      <c r="I4643" t="s">
        <v>18755</v>
      </c>
      <c r="J4643" t="s">
        <v>5476</v>
      </c>
      <c r="K4643" t="s">
        <v>18756</v>
      </c>
      <c r="L4643" t="s">
        <v>5471</v>
      </c>
      <c r="M4643" t="s">
        <v>5471</v>
      </c>
    </row>
    <row r="4644" spans="1:13" x14ac:dyDescent="0.3">
      <c r="A4644" t="s">
        <v>3388</v>
      </c>
      <c r="B4644" t="s">
        <v>18757</v>
      </c>
      <c r="C4644" t="s">
        <v>5470</v>
      </c>
      <c r="D4644" t="s">
        <v>4119</v>
      </c>
      <c r="E4644" t="s">
        <v>5471</v>
      </c>
      <c r="F4644" t="s">
        <v>18758</v>
      </c>
      <c r="G4644" t="s">
        <v>18759</v>
      </c>
      <c r="H4644" t="s">
        <v>5474</v>
      </c>
      <c r="I4644" t="s">
        <v>18760</v>
      </c>
      <c r="J4644" t="s">
        <v>5476</v>
      </c>
      <c r="K4644" t="s">
        <v>18761</v>
      </c>
      <c r="L4644" t="s">
        <v>5471</v>
      </c>
      <c r="M4644" t="s">
        <v>5471</v>
      </c>
    </row>
    <row r="4645" spans="1:13" x14ac:dyDescent="0.3">
      <c r="A4645" t="s">
        <v>3388</v>
      </c>
      <c r="B4645" t="s">
        <v>17993</v>
      </c>
      <c r="C4645" t="s">
        <v>5470</v>
      </c>
      <c r="D4645" t="s">
        <v>4119</v>
      </c>
      <c r="E4645" t="s">
        <v>5471</v>
      </c>
      <c r="F4645" t="s">
        <v>18762</v>
      </c>
      <c r="G4645" t="s">
        <v>8317</v>
      </c>
      <c r="H4645" t="s">
        <v>5474</v>
      </c>
      <c r="I4645" t="s">
        <v>18763</v>
      </c>
      <c r="J4645" t="s">
        <v>5476</v>
      </c>
      <c r="K4645" t="s">
        <v>18764</v>
      </c>
      <c r="L4645" t="s">
        <v>5471</v>
      </c>
      <c r="M4645" t="s">
        <v>5471</v>
      </c>
    </row>
    <row r="4646" spans="1:13" x14ac:dyDescent="0.3">
      <c r="A4646" t="s">
        <v>3388</v>
      </c>
      <c r="B4646" t="s">
        <v>17993</v>
      </c>
      <c r="C4646" t="s">
        <v>5470</v>
      </c>
      <c r="D4646" t="s">
        <v>4119</v>
      </c>
      <c r="E4646" t="s">
        <v>5471</v>
      </c>
      <c r="F4646" t="s">
        <v>18765</v>
      </c>
      <c r="G4646" t="s">
        <v>8317</v>
      </c>
      <c r="H4646" t="s">
        <v>5474</v>
      </c>
      <c r="I4646" t="s">
        <v>18766</v>
      </c>
      <c r="J4646" t="s">
        <v>5476</v>
      </c>
      <c r="K4646" t="s">
        <v>18767</v>
      </c>
      <c r="L4646" t="s">
        <v>5471</v>
      </c>
      <c r="M4646" t="s">
        <v>5471</v>
      </c>
    </row>
    <row r="4647" spans="1:13" x14ac:dyDescent="0.3">
      <c r="A4647" t="s">
        <v>3388</v>
      </c>
      <c r="B4647" t="s">
        <v>18757</v>
      </c>
      <c r="C4647" t="s">
        <v>5470</v>
      </c>
      <c r="D4647" t="s">
        <v>4119</v>
      </c>
      <c r="E4647" t="s">
        <v>5471</v>
      </c>
      <c r="F4647" t="s">
        <v>18768</v>
      </c>
      <c r="G4647" t="s">
        <v>18769</v>
      </c>
      <c r="H4647" t="s">
        <v>5474</v>
      </c>
      <c r="I4647" t="s">
        <v>18770</v>
      </c>
      <c r="J4647" t="s">
        <v>5476</v>
      </c>
      <c r="K4647" t="s">
        <v>18771</v>
      </c>
      <c r="L4647" t="s">
        <v>5471</v>
      </c>
      <c r="M4647" t="s">
        <v>5471</v>
      </c>
    </row>
    <row r="4648" spans="1:13" x14ac:dyDescent="0.3">
      <c r="A4648" t="s">
        <v>3388</v>
      </c>
      <c r="B4648" t="s">
        <v>17993</v>
      </c>
      <c r="C4648" t="s">
        <v>5470</v>
      </c>
      <c r="D4648" t="s">
        <v>4119</v>
      </c>
      <c r="E4648" t="s">
        <v>5471</v>
      </c>
      <c r="F4648" t="s">
        <v>18772</v>
      </c>
      <c r="G4648" t="s">
        <v>8317</v>
      </c>
      <c r="H4648" t="s">
        <v>5474</v>
      </c>
      <c r="I4648" t="s">
        <v>18773</v>
      </c>
      <c r="J4648" t="s">
        <v>5476</v>
      </c>
      <c r="K4648" t="s">
        <v>18774</v>
      </c>
      <c r="L4648" t="s">
        <v>5471</v>
      </c>
      <c r="M4648" t="s">
        <v>5471</v>
      </c>
    </row>
    <row r="4649" spans="1:13" x14ac:dyDescent="0.3">
      <c r="A4649" t="s">
        <v>3388</v>
      </c>
      <c r="B4649" t="s">
        <v>17993</v>
      </c>
      <c r="C4649" t="s">
        <v>5470</v>
      </c>
      <c r="D4649" t="s">
        <v>4119</v>
      </c>
      <c r="E4649" t="s">
        <v>5471</v>
      </c>
      <c r="F4649" t="s">
        <v>18775</v>
      </c>
      <c r="G4649" t="s">
        <v>8317</v>
      </c>
      <c r="H4649" t="s">
        <v>5474</v>
      </c>
      <c r="I4649" t="s">
        <v>18776</v>
      </c>
      <c r="J4649" t="s">
        <v>5476</v>
      </c>
      <c r="K4649" t="s">
        <v>18777</v>
      </c>
      <c r="L4649" t="s">
        <v>5471</v>
      </c>
      <c r="M4649" t="s">
        <v>5471</v>
      </c>
    </row>
    <row r="4650" spans="1:13" x14ac:dyDescent="0.3">
      <c r="A4650" t="s">
        <v>3388</v>
      </c>
      <c r="B4650" t="s">
        <v>17993</v>
      </c>
      <c r="C4650" t="s">
        <v>5470</v>
      </c>
      <c r="D4650" t="s">
        <v>4119</v>
      </c>
      <c r="E4650" t="s">
        <v>5471</v>
      </c>
      <c r="F4650" t="s">
        <v>18778</v>
      </c>
      <c r="G4650" t="s">
        <v>8317</v>
      </c>
      <c r="H4650" t="s">
        <v>5474</v>
      </c>
      <c r="I4650" t="s">
        <v>18779</v>
      </c>
      <c r="J4650" t="s">
        <v>5476</v>
      </c>
      <c r="K4650" t="s">
        <v>18780</v>
      </c>
      <c r="L4650" t="s">
        <v>5471</v>
      </c>
      <c r="M4650" t="s">
        <v>5471</v>
      </c>
    </row>
    <row r="4651" spans="1:13" x14ac:dyDescent="0.3">
      <c r="A4651" t="s">
        <v>3388</v>
      </c>
      <c r="B4651" t="s">
        <v>10426</v>
      </c>
      <c r="C4651" t="s">
        <v>5470</v>
      </c>
      <c r="D4651" t="s">
        <v>4119</v>
      </c>
      <c r="E4651" t="s">
        <v>5471</v>
      </c>
      <c r="F4651" t="s">
        <v>18781</v>
      </c>
      <c r="G4651" t="s">
        <v>10428</v>
      </c>
      <c r="H4651" t="s">
        <v>5474</v>
      </c>
      <c r="I4651" t="s">
        <v>18782</v>
      </c>
      <c r="J4651" t="s">
        <v>5476</v>
      </c>
      <c r="K4651" t="s">
        <v>18783</v>
      </c>
      <c r="L4651" t="s">
        <v>5471</v>
      </c>
      <c r="M4651" t="s">
        <v>5471</v>
      </c>
    </row>
    <row r="4652" spans="1:13" x14ac:dyDescent="0.3">
      <c r="A4652" t="s">
        <v>3388</v>
      </c>
      <c r="B4652" t="s">
        <v>17993</v>
      </c>
      <c r="C4652" t="s">
        <v>5470</v>
      </c>
      <c r="D4652" t="s">
        <v>4119</v>
      </c>
      <c r="E4652" t="s">
        <v>5471</v>
      </c>
      <c r="F4652" t="s">
        <v>18784</v>
      </c>
      <c r="G4652" t="s">
        <v>8317</v>
      </c>
      <c r="H4652" t="s">
        <v>5474</v>
      </c>
      <c r="I4652" t="s">
        <v>18785</v>
      </c>
      <c r="J4652" t="s">
        <v>5476</v>
      </c>
      <c r="K4652" t="s">
        <v>18786</v>
      </c>
      <c r="L4652" t="s">
        <v>5471</v>
      </c>
      <c r="M4652" t="s">
        <v>5471</v>
      </c>
    </row>
    <row r="4653" spans="1:13" x14ac:dyDescent="0.3">
      <c r="A4653" t="s">
        <v>3388</v>
      </c>
      <c r="B4653" t="s">
        <v>18000</v>
      </c>
      <c r="C4653" t="s">
        <v>5470</v>
      </c>
      <c r="D4653" t="s">
        <v>4119</v>
      </c>
      <c r="E4653" t="s">
        <v>5471</v>
      </c>
      <c r="F4653" t="s">
        <v>18787</v>
      </c>
      <c r="G4653" t="s">
        <v>18002</v>
      </c>
      <c r="H4653" t="s">
        <v>5474</v>
      </c>
      <c r="I4653" t="s">
        <v>18788</v>
      </c>
      <c r="J4653" t="s">
        <v>5476</v>
      </c>
      <c r="K4653" t="s">
        <v>18789</v>
      </c>
      <c r="L4653" t="s">
        <v>5471</v>
      </c>
      <c r="M4653" t="s">
        <v>5471</v>
      </c>
    </row>
    <row r="4654" spans="1:13" x14ac:dyDescent="0.3">
      <c r="A4654" t="s">
        <v>3388</v>
      </c>
      <c r="B4654" t="s">
        <v>18790</v>
      </c>
      <c r="C4654" t="s">
        <v>5470</v>
      </c>
      <c r="D4654" t="s">
        <v>4119</v>
      </c>
      <c r="E4654" t="s">
        <v>5471</v>
      </c>
      <c r="F4654" t="s">
        <v>18791</v>
      </c>
      <c r="G4654" t="s">
        <v>8286</v>
      </c>
      <c r="H4654" t="s">
        <v>5474</v>
      </c>
      <c r="I4654" t="s">
        <v>18792</v>
      </c>
      <c r="J4654" t="s">
        <v>5476</v>
      </c>
      <c r="K4654" t="s">
        <v>18793</v>
      </c>
      <c r="L4654" t="s">
        <v>5471</v>
      </c>
      <c r="M4654" t="s">
        <v>5471</v>
      </c>
    </row>
    <row r="4655" spans="1:13" x14ac:dyDescent="0.3">
      <c r="A4655" t="s">
        <v>3388</v>
      </c>
      <c r="B4655" t="s">
        <v>18794</v>
      </c>
      <c r="C4655" t="s">
        <v>5470</v>
      </c>
      <c r="D4655" t="s">
        <v>4119</v>
      </c>
      <c r="E4655" t="s">
        <v>5471</v>
      </c>
      <c r="F4655" t="s">
        <v>18795</v>
      </c>
      <c r="G4655" t="s">
        <v>10454</v>
      </c>
      <c r="H4655" t="s">
        <v>5474</v>
      </c>
      <c r="I4655" t="s">
        <v>18796</v>
      </c>
      <c r="J4655" t="s">
        <v>5476</v>
      </c>
      <c r="K4655" t="s">
        <v>18797</v>
      </c>
      <c r="L4655" t="s">
        <v>5471</v>
      </c>
      <c r="M4655" t="s">
        <v>5471</v>
      </c>
    </row>
    <row r="4656" spans="1:13" x14ac:dyDescent="0.3">
      <c r="A4656" t="s">
        <v>3388</v>
      </c>
      <c r="B4656" t="s">
        <v>10426</v>
      </c>
      <c r="C4656" t="s">
        <v>5470</v>
      </c>
      <c r="D4656" t="s">
        <v>4119</v>
      </c>
      <c r="E4656" t="s">
        <v>5471</v>
      </c>
      <c r="F4656" t="s">
        <v>18798</v>
      </c>
      <c r="G4656" t="s">
        <v>15665</v>
      </c>
      <c r="H4656" t="s">
        <v>5474</v>
      </c>
      <c r="I4656" t="s">
        <v>18799</v>
      </c>
      <c r="J4656" t="s">
        <v>5476</v>
      </c>
      <c r="K4656" t="s">
        <v>18800</v>
      </c>
      <c r="L4656" t="s">
        <v>5471</v>
      </c>
      <c r="M4656" t="s">
        <v>5471</v>
      </c>
    </row>
    <row r="4657" spans="1:13" x14ac:dyDescent="0.3">
      <c r="A4657" t="s">
        <v>3388</v>
      </c>
      <c r="B4657" t="s">
        <v>18790</v>
      </c>
      <c r="C4657" t="s">
        <v>5470</v>
      </c>
      <c r="D4657" t="s">
        <v>4119</v>
      </c>
      <c r="E4657" t="s">
        <v>5471</v>
      </c>
      <c r="F4657" t="s">
        <v>18801</v>
      </c>
      <c r="G4657" t="s">
        <v>8286</v>
      </c>
      <c r="H4657" t="s">
        <v>5474</v>
      </c>
      <c r="I4657" t="s">
        <v>18802</v>
      </c>
      <c r="J4657" t="s">
        <v>5476</v>
      </c>
      <c r="K4657" t="s">
        <v>18803</v>
      </c>
      <c r="L4657" t="s">
        <v>5471</v>
      </c>
      <c r="M4657" t="s">
        <v>5471</v>
      </c>
    </row>
    <row r="4658" spans="1:13" x14ac:dyDescent="0.3">
      <c r="A4658" t="s">
        <v>3388</v>
      </c>
      <c r="B4658" t="s">
        <v>10474</v>
      </c>
      <c r="C4658" t="s">
        <v>5470</v>
      </c>
      <c r="D4658" t="s">
        <v>4119</v>
      </c>
      <c r="E4658" t="s">
        <v>5471</v>
      </c>
      <c r="F4658" t="s">
        <v>18804</v>
      </c>
      <c r="G4658" t="s">
        <v>10476</v>
      </c>
      <c r="H4658" t="s">
        <v>5474</v>
      </c>
      <c r="I4658" t="s">
        <v>18805</v>
      </c>
      <c r="J4658" t="s">
        <v>5476</v>
      </c>
      <c r="K4658" t="s">
        <v>18806</v>
      </c>
      <c r="L4658" t="s">
        <v>5471</v>
      </c>
      <c r="M4658" t="s">
        <v>5471</v>
      </c>
    </row>
    <row r="4659" spans="1:13" x14ac:dyDescent="0.3">
      <c r="A4659" t="s">
        <v>3383</v>
      </c>
      <c r="B4659" t="s">
        <v>5294</v>
      </c>
      <c r="C4659" t="s">
        <v>5470</v>
      </c>
      <c r="D4659" t="s">
        <v>4119</v>
      </c>
      <c r="E4659" t="s">
        <v>5756</v>
      </c>
      <c r="F4659" t="s">
        <v>18807</v>
      </c>
      <c r="G4659" t="s">
        <v>6237</v>
      </c>
      <c r="H4659" t="s">
        <v>5474</v>
      </c>
      <c r="I4659" t="s">
        <v>18808</v>
      </c>
      <c r="J4659" t="s">
        <v>5476</v>
      </c>
      <c r="K4659" t="s">
        <v>18809</v>
      </c>
      <c r="L4659" t="s">
        <v>5471</v>
      </c>
      <c r="M4659" t="s">
        <v>5471</v>
      </c>
    </row>
    <row r="4660" spans="1:13" x14ac:dyDescent="0.3">
      <c r="A4660" t="s">
        <v>3388</v>
      </c>
      <c r="B4660" t="s">
        <v>10426</v>
      </c>
      <c r="C4660" t="s">
        <v>5470</v>
      </c>
      <c r="D4660" t="s">
        <v>4119</v>
      </c>
      <c r="E4660" t="s">
        <v>5471</v>
      </c>
      <c r="F4660" t="s">
        <v>18810</v>
      </c>
      <c r="G4660" t="s">
        <v>15665</v>
      </c>
      <c r="H4660" t="s">
        <v>5474</v>
      </c>
      <c r="I4660" t="s">
        <v>18811</v>
      </c>
      <c r="J4660" t="s">
        <v>5476</v>
      </c>
      <c r="K4660" t="s">
        <v>18812</v>
      </c>
      <c r="L4660" t="s">
        <v>5471</v>
      </c>
      <c r="M4660" t="s">
        <v>5471</v>
      </c>
    </row>
    <row r="4661" spans="1:13" x14ac:dyDescent="0.3">
      <c r="A4661" t="s">
        <v>3388</v>
      </c>
      <c r="B4661" t="s">
        <v>18813</v>
      </c>
      <c r="C4661" t="s">
        <v>5470</v>
      </c>
      <c r="D4661" t="s">
        <v>4119</v>
      </c>
      <c r="E4661" t="s">
        <v>5471</v>
      </c>
      <c r="F4661" t="s">
        <v>18814</v>
      </c>
      <c r="G4661" t="s">
        <v>18815</v>
      </c>
      <c r="H4661" t="s">
        <v>5474</v>
      </c>
      <c r="I4661" t="s">
        <v>18816</v>
      </c>
      <c r="J4661" t="s">
        <v>5476</v>
      </c>
      <c r="K4661" t="s">
        <v>18817</v>
      </c>
      <c r="L4661" t="s">
        <v>5471</v>
      </c>
      <c r="M4661" t="s">
        <v>5471</v>
      </c>
    </row>
    <row r="4662" spans="1:13" x14ac:dyDescent="0.3">
      <c r="A4662" t="s">
        <v>3388</v>
      </c>
      <c r="B4662" t="s">
        <v>10434</v>
      </c>
      <c r="C4662" t="s">
        <v>5470</v>
      </c>
      <c r="D4662" t="s">
        <v>4119</v>
      </c>
      <c r="E4662" t="s">
        <v>5471</v>
      </c>
      <c r="F4662" t="s">
        <v>18818</v>
      </c>
      <c r="G4662" t="s">
        <v>8304</v>
      </c>
      <c r="H4662" t="s">
        <v>5474</v>
      </c>
      <c r="I4662" t="s">
        <v>18819</v>
      </c>
      <c r="J4662" t="s">
        <v>5476</v>
      </c>
      <c r="K4662" t="s">
        <v>18820</v>
      </c>
      <c r="L4662" t="s">
        <v>5471</v>
      </c>
      <c r="M4662" t="s">
        <v>5471</v>
      </c>
    </row>
    <row r="4663" spans="1:13" x14ac:dyDescent="0.3">
      <c r="A4663" t="s">
        <v>3388</v>
      </c>
      <c r="B4663" t="s">
        <v>18821</v>
      </c>
      <c r="C4663" t="s">
        <v>5470</v>
      </c>
      <c r="D4663" t="s">
        <v>4119</v>
      </c>
      <c r="E4663" t="s">
        <v>5471</v>
      </c>
      <c r="F4663" t="s">
        <v>18822</v>
      </c>
      <c r="G4663" t="s">
        <v>18823</v>
      </c>
      <c r="H4663" t="s">
        <v>5474</v>
      </c>
      <c r="I4663" t="s">
        <v>18824</v>
      </c>
      <c r="J4663" t="s">
        <v>5476</v>
      </c>
      <c r="K4663" t="s">
        <v>18825</v>
      </c>
      <c r="L4663" t="s">
        <v>5471</v>
      </c>
      <c r="M4663" t="s">
        <v>5471</v>
      </c>
    </row>
    <row r="4664" spans="1:13" x14ac:dyDescent="0.3">
      <c r="A4664" t="s">
        <v>3388</v>
      </c>
      <c r="B4664" t="s">
        <v>18813</v>
      </c>
      <c r="C4664" t="s">
        <v>5470</v>
      </c>
      <c r="D4664" t="s">
        <v>4119</v>
      </c>
      <c r="E4664" t="s">
        <v>5471</v>
      </c>
      <c r="F4664" t="s">
        <v>18826</v>
      </c>
      <c r="G4664" t="s">
        <v>18815</v>
      </c>
      <c r="H4664" t="s">
        <v>5474</v>
      </c>
      <c r="I4664" t="s">
        <v>18827</v>
      </c>
      <c r="J4664" t="s">
        <v>5476</v>
      </c>
      <c r="K4664" t="s">
        <v>18828</v>
      </c>
      <c r="L4664" t="s">
        <v>5471</v>
      </c>
      <c r="M4664" t="s">
        <v>5471</v>
      </c>
    </row>
    <row r="4665" spans="1:13" x14ac:dyDescent="0.3">
      <c r="A4665" t="s">
        <v>3388</v>
      </c>
      <c r="B4665" t="s">
        <v>10434</v>
      </c>
      <c r="C4665" t="s">
        <v>5470</v>
      </c>
      <c r="D4665" t="s">
        <v>4119</v>
      </c>
      <c r="E4665" t="s">
        <v>5471</v>
      </c>
      <c r="F4665" t="s">
        <v>18829</v>
      </c>
      <c r="G4665" t="s">
        <v>8304</v>
      </c>
      <c r="H4665" t="s">
        <v>5474</v>
      </c>
      <c r="I4665" t="s">
        <v>18830</v>
      </c>
      <c r="J4665" t="s">
        <v>5476</v>
      </c>
      <c r="K4665" t="s">
        <v>18831</v>
      </c>
      <c r="L4665" t="s">
        <v>5471</v>
      </c>
      <c r="M4665" t="s">
        <v>5471</v>
      </c>
    </row>
    <row r="4666" spans="1:13" x14ac:dyDescent="0.3">
      <c r="A4666" t="s">
        <v>3388</v>
      </c>
      <c r="B4666" t="s">
        <v>18832</v>
      </c>
      <c r="C4666" t="s">
        <v>5470</v>
      </c>
      <c r="D4666" t="s">
        <v>4119</v>
      </c>
      <c r="E4666" t="s">
        <v>5471</v>
      </c>
      <c r="F4666" t="s">
        <v>18833</v>
      </c>
      <c r="G4666" t="s">
        <v>18834</v>
      </c>
      <c r="H4666" t="s">
        <v>5474</v>
      </c>
      <c r="I4666" t="s">
        <v>18835</v>
      </c>
      <c r="J4666" t="s">
        <v>5476</v>
      </c>
      <c r="K4666" t="s">
        <v>18836</v>
      </c>
      <c r="L4666" t="s">
        <v>5471</v>
      </c>
      <c r="M4666" t="s">
        <v>5471</v>
      </c>
    </row>
    <row r="4667" spans="1:13" x14ac:dyDescent="0.3">
      <c r="A4667" t="s">
        <v>3383</v>
      </c>
      <c r="B4667" t="s">
        <v>5294</v>
      </c>
      <c r="C4667" t="s">
        <v>5470</v>
      </c>
      <c r="D4667" t="s">
        <v>4119</v>
      </c>
      <c r="E4667" t="s">
        <v>5756</v>
      </c>
      <c r="F4667" t="s">
        <v>18837</v>
      </c>
      <c r="G4667" t="s">
        <v>6407</v>
      </c>
      <c r="H4667" t="s">
        <v>5474</v>
      </c>
      <c r="I4667" t="s">
        <v>18838</v>
      </c>
      <c r="J4667" t="s">
        <v>5476</v>
      </c>
      <c r="K4667" t="s">
        <v>18839</v>
      </c>
      <c r="L4667" t="s">
        <v>5471</v>
      </c>
      <c r="M4667" t="s">
        <v>5471</v>
      </c>
    </row>
    <row r="4668" spans="1:13" x14ac:dyDescent="0.3">
      <c r="A4668" t="s">
        <v>3388</v>
      </c>
      <c r="B4668" t="s">
        <v>18840</v>
      </c>
      <c r="C4668" t="s">
        <v>5470</v>
      </c>
      <c r="D4668" t="s">
        <v>4119</v>
      </c>
      <c r="E4668" t="s">
        <v>5471</v>
      </c>
      <c r="F4668" t="s">
        <v>18841</v>
      </c>
      <c r="G4668" t="s">
        <v>18360</v>
      </c>
      <c r="H4668" t="s">
        <v>5474</v>
      </c>
      <c r="I4668" t="s">
        <v>18842</v>
      </c>
      <c r="J4668" t="s">
        <v>5476</v>
      </c>
      <c r="K4668" t="s">
        <v>18843</v>
      </c>
      <c r="L4668" t="s">
        <v>5471</v>
      </c>
      <c r="M4668" t="s">
        <v>5471</v>
      </c>
    </row>
    <row r="4669" spans="1:13" x14ac:dyDescent="0.3">
      <c r="A4669" t="s">
        <v>3388</v>
      </c>
      <c r="B4669" t="s">
        <v>10528</v>
      </c>
      <c r="C4669" t="s">
        <v>5470</v>
      </c>
      <c r="D4669" t="s">
        <v>4119</v>
      </c>
      <c r="E4669" t="s">
        <v>5471</v>
      </c>
      <c r="F4669" t="s">
        <v>18844</v>
      </c>
      <c r="G4669" t="s">
        <v>7885</v>
      </c>
      <c r="H4669" t="s">
        <v>5474</v>
      </c>
      <c r="I4669" t="s">
        <v>18845</v>
      </c>
      <c r="J4669" t="s">
        <v>5476</v>
      </c>
      <c r="K4669" t="s">
        <v>18846</v>
      </c>
      <c r="L4669" t="s">
        <v>5471</v>
      </c>
      <c r="M4669" t="s">
        <v>5471</v>
      </c>
    </row>
    <row r="4670" spans="1:13" x14ac:dyDescent="0.3">
      <c r="A4670" t="s">
        <v>3388</v>
      </c>
      <c r="B4670" t="s">
        <v>18840</v>
      </c>
      <c r="C4670" t="s">
        <v>5470</v>
      </c>
      <c r="D4670" t="s">
        <v>4119</v>
      </c>
      <c r="E4670" t="s">
        <v>5471</v>
      </c>
      <c r="F4670" t="s">
        <v>18847</v>
      </c>
      <c r="G4670" t="s">
        <v>18360</v>
      </c>
      <c r="H4670" t="s">
        <v>5474</v>
      </c>
      <c r="I4670" t="s">
        <v>18848</v>
      </c>
      <c r="J4670" t="s">
        <v>5476</v>
      </c>
      <c r="K4670" t="s">
        <v>18849</v>
      </c>
      <c r="L4670" t="s">
        <v>5471</v>
      </c>
      <c r="M4670" t="s">
        <v>5471</v>
      </c>
    </row>
    <row r="4671" spans="1:13" x14ac:dyDescent="0.3">
      <c r="A4671" t="s">
        <v>3388</v>
      </c>
      <c r="B4671" t="s">
        <v>10528</v>
      </c>
      <c r="C4671" t="s">
        <v>5470</v>
      </c>
      <c r="D4671" t="s">
        <v>4119</v>
      </c>
      <c r="E4671" t="s">
        <v>5471</v>
      </c>
      <c r="F4671" t="s">
        <v>18850</v>
      </c>
      <c r="G4671" t="s">
        <v>7885</v>
      </c>
      <c r="H4671" t="s">
        <v>5474</v>
      </c>
      <c r="I4671" t="s">
        <v>18851</v>
      </c>
      <c r="J4671" t="s">
        <v>5476</v>
      </c>
      <c r="K4671" t="s">
        <v>18852</v>
      </c>
      <c r="L4671" t="s">
        <v>5471</v>
      </c>
      <c r="M4671" t="s">
        <v>5471</v>
      </c>
    </row>
    <row r="4672" spans="1:13" x14ac:dyDescent="0.3">
      <c r="A4672" t="s">
        <v>3388</v>
      </c>
      <c r="B4672" t="s">
        <v>18853</v>
      </c>
      <c r="C4672" t="s">
        <v>5470</v>
      </c>
      <c r="D4672" t="s">
        <v>4119</v>
      </c>
      <c r="E4672" t="s">
        <v>5471</v>
      </c>
      <c r="F4672" t="s">
        <v>18854</v>
      </c>
      <c r="G4672" t="s">
        <v>18855</v>
      </c>
      <c r="H4672" t="s">
        <v>5474</v>
      </c>
      <c r="I4672" t="s">
        <v>18856</v>
      </c>
      <c r="J4672" t="s">
        <v>5476</v>
      </c>
      <c r="K4672" t="s">
        <v>18857</v>
      </c>
      <c r="L4672" t="s">
        <v>5471</v>
      </c>
      <c r="M4672" t="s">
        <v>5471</v>
      </c>
    </row>
    <row r="4673" spans="1:13" x14ac:dyDescent="0.3">
      <c r="A4673" t="s">
        <v>3388</v>
      </c>
      <c r="B4673" t="s">
        <v>10528</v>
      </c>
      <c r="C4673" t="s">
        <v>5470</v>
      </c>
      <c r="D4673" t="s">
        <v>4119</v>
      </c>
      <c r="E4673" t="s">
        <v>5471</v>
      </c>
      <c r="F4673" t="s">
        <v>18858</v>
      </c>
      <c r="G4673" t="s">
        <v>7885</v>
      </c>
      <c r="H4673" t="s">
        <v>5474</v>
      </c>
      <c r="I4673" t="s">
        <v>18859</v>
      </c>
      <c r="J4673" t="s">
        <v>5476</v>
      </c>
      <c r="K4673" t="s">
        <v>18860</v>
      </c>
      <c r="L4673" t="s">
        <v>5471</v>
      </c>
      <c r="M4673" t="s">
        <v>5471</v>
      </c>
    </row>
    <row r="4674" spans="1:13" x14ac:dyDescent="0.3">
      <c r="A4674" t="s">
        <v>3388</v>
      </c>
      <c r="B4674" t="s">
        <v>18853</v>
      </c>
      <c r="C4674" t="s">
        <v>5470</v>
      </c>
      <c r="D4674" t="s">
        <v>4119</v>
      </c>
      <c r="E4674" t="s">
        <v>5471</v>
      </c>
      <c r="F4674" t="s">
        <v>18861</v>
      </c>
      <c r="G4674" t="s">
        <v>18855</v>
      </c>
      <c r="H4674" t="s">
        <v>5474</v>
      </c>
      <c r="I4674" t="s">
        <v>18862</v>
      </c>
      <c r="J4674" t="s">
        <v>5476</v>
      </c>
      <c r="K4674" t="s">
        <v>18863</v>
      </c>
      <c r="L4674" t="s">
        <v>5471</v>
      </c>
      <c r="M4674" t="s">
        <v>5471</v>
      </c>
    </row>
    <row r="4675" spans="1:13" x14ac:dyDescent="0.3">
      <c r="A4675" t="s">
        <v>3383</v>
      </c>
      <c r="B4675" t="s">
        <v>5294</v>
      </c>
      <c r="C4675" t="s">
        <v>5470</v>
      </c>
      <c r="D4675" t="s">
        <v>4119</v>
      </c>
      <c r="E4675" t="s">
        <v>5756</v>
      </c>
      <c r="F4675" t="s">
        <v>18864</v>
      </c>
      <c r="G4675" t="s">
        <v>5977</v>
      </c>
      <c r="H4675" t="s">
        <v>5474</v>
      </c>
      <c r="I4675" t="s">
        <v>18865</v>
      </c>
      <c r="J4675" t="s">
        <v>5484</v>
      </c>
      <c r="K4675" t="s">
        <v>18866</v>
      </c>
      <c r="L4675" t="s">
        <v>5471</v>
      </c>
      <c r="M4675" t="s">
        <v>5471</v>
      </c>
    </row>
    <row r="4676" spans="1:13" x14ac:dyDescent="0.3">
      <c r="A4676" t="s">
        <v>3388</v>
      </c>
      <c r="B4676" t="s">
        <v>10528</v>
      </c>
      <c r="C4676" t="s">
        <v>5470</v>
      </c>
      <c r="D4676" t="s">
        <v>4119</v>
      </c>
      <c r="E4676" t="s">
        <v>5471</v>
      </c>
      <c r="F4676" t="s">
        <v>18867</v>
      </c>
      <c r="G4676" t="s">
        <v>7885</v>
      </c>
      <c r="H4676" t="s">
        <v>5474</v>
      </c>
      <c r="I4676" t="s">
        <v>18868</v>
      </c>
      <c r="J4676" t="s">
        <v>5476</v>
      </c>
      <c r="K4676" t="s">
        <v>18869</v>
      </c>
      <c r="L4676" t="s">
        <v>5471</v>
      </c>
      <c r="M4676" t="s">
        <v>5471</v>
      </c>
    </row>
    <row r="4677" spans="1:13" x14ac:dyDescent="0.3">
      <c r="A4677" t="s">
        <v>3388</v>
      </c>
      <c r="B4677" t="s">
        <v>18853</v>
      </c>
      <c r="C4677" t="s">
        <v>5470</v>
      </c>
      <c r="D4677" t="s">
        <v>4119</v>
      </c>
      <c r="E4677" t="s">
        <v>5471</v>
      </c>
      <c r="F4677" t="s">
        <v>18870</v>
      </c>
      <c r="G4677" t="s">
        <v>18855</v>
      </c>
      <c r="H4677" t="s">
        <v>5474</v>
      </c>
      <c r="I4677" t="s">
        <v>18871</v>
      </c>
      <c r="J4677" t="s">
        <v>5476</v>
      </c>
      <c r="K4677" t="s">
        <v>18872</v>
      </c>
      <c r="L4677" t="s">
        <v>5471</v>
      </c>
      <c r="M4677" t="s">
        <v>5471</v>
      </c>
    </row>
    <row r="4678" spans="1:13" x14ac:dyDescent="0.3">
      <c r="A4678" t="s">
        <v>3388</v>
      </c>
      <c r="B4678" t="s">
        <v>10528</v>
      </c>
      <c r="C4678" t="s">
        <v>5470</v>
      </c>
      <c r="D4678" t="s">
        <v>4119</v>
      </c>
      <c r="E4678" t="s">
        <v>5471</v>
      </c>
      <c r="F4678" t="s">
        <v>18873</v>
      </c>
      <c r="G4678" t="s">
        <v>7885</v>
      </c>
      <c r="H4678" t="s">
        <v>5474</v>
      </c>
      <c r="I4678" t="s">
        <v>18874</v>
      </c>
      <c r="J4678" t="s">
        <v>5476</v>
      </c>
      <c r="K4678" t="s">
        <v>18875</v>
      </c>
      <c r="L4678" t="s">
        <v>5471</v>
      </c>
      <c r="M4678" t="s">
        <v>5471</v>
      </c>
    </row>
    <row r="4679" spans="1:13" x14ac:dyDescent="0.3">
      <c r="A4679" t="s">
        <v>3388</v>
      </c>
      <c r="B4679" t="s">
        <v>10528</v>
      </c>
      <c r="C4679" t="s">
        <v>5470</v>
      </c>
      <c r="D4679" t="s">
        <v>4119</v>
      </c>
      <c r="E4679" t="s">
        <v>5471</v>
      </c>
      <c r="F4679" t="s">
        <v>18876</v>
      </c>
      <c r="G4679" t="s">
        <v>7885</v>
      </c>
      <c r="H4679" t="s">
        <v>5474</v>
      </c>
      <c r="I4679" t="s">
        <v>18877</v>
      </c>
      <c r="J4679" t="s">
        <v>5476</v>
      </c>
      <c r="K4679" t="s">
        <v>18878</v>
      </c>
      <c r="L4679" t="s">
        <v>5471</v>
      </c>
      <c r="M4679" t="s">
        <v>5471</v>
      </c>
    </row>
    <row r="4680" spans="1:13" x14ac:dyDescent="0.3">
      <c r="A4680" t="s">
        <v>3388</v>
      </c>
      <c r="B4680" t="s">
        <v>18879</v>
      </c>
      <c r="C4680" t="s">
        <v>5470</v>
      </c>
      <c r="D4680" t="s">
        <v>4119</v>
      </c>
      <c r="E4680" t="s">
        <v>5471</v>
      </c>
      <c r="F4680" t="s">
        <v>18880</v>
      </c>
      <c r="G4680" t="s">
        <v>5473</v>
      </c>
      <c r="H4680" t="s">
        <v>5474</v>
      </c>
      <c r="I4680" t="s">
        <v>18881</v>
      </c>
      <c r="J4680" t="s">
        <v>5476</v>
      </c>
      <c r="K4680" t="s">
        <v>18882</v>
      </c>
      <c r="L4680" t="s">
        <v>5471</v>
      </c>
      <c r="M4680" t="s">
        <v>5471</v>
      </c>
    </row>
    <row r="4681" spans="1:13" x14ac:dyDescent="0.3">
      <c r="A4681" t="s">
        <v>3388</v>
      </c>
      <c r="B4681" t="s">
        <v>10528</v>
      </c>
      <c r="C4681" t="s">
        <v>5470</v>
      </c>
      <c r="D4681" t="s">
        <v>4119</v>
      </c>
      <c r="E4681" t="s">
        <v>5471</v>
      </c>
      <c r="F4681" t="s">
        <v>18883</v>
      </c>
      <c r="G4681" t="s">
        <v>7885</v>
      </c>
      <c r="H4681" t="s">
        <v>5474</v>
      </c>
      <c r="I4681" t="s">
        <v>18884</v>
      </c>
      <c r="J4681" t="s">
        <v>5476</v>
      </c>
      <c r="K4681" t="s">
        <v>18885</v>
      </c>
      <c r="L4681" t="s">
        <v>5471</v>
      </c>
      <c r="M4681" t="s">
        <v>5471</v>
      </c>
    </row>
    <row r="4682" spans="1:13" x14ac:dyDescent="0.3">
      <c r="A4682" t="s">
        <v>3388</v>
      </c>
      <c r="B4682" t="s">
        <v>10528</v>
      </c>
      <c r="C4682" t="s">
        <v>5470</v>
      </c>
      <c r="D4682" t="s">
        <v>4119</v>
      </c>
      <c r="E4682" t="s">
        <v>5471</v>
      </c>
      <c r="F4682" t="s">
        <v>18886</v>
      </c>
      <c r="G4682" t="s">
        <v>7885</v>
      </c>
      <c r="H4682" t="s">
        <v>5474</v>
      </c>
      <c r="I4682" t="s">
        <v>18887</v>
      </c>
      <c r="J4682" t="s">
        <v>5476</v>
      </c>
      <c r="K4682" t="s">
        <v>18888</v>
      </c>
      <c r="L4682" t="s">
        <v>5471</v>
      </c>
      <c r="M4682" t="s">
        <v>5471</v>
      </c>
    </row>
    <row r="4683" spans="1:13" x14ac:dyDescent="0.3">
      <c r="A4683" t="s">
        <v>3388</v>
      </c>
      <c r="B4683" t="s">
        <v>18017</v>
      </c>
      <c r="C4683" t="s">
        <v>5470</v>
      </c>
      <c r="D4683" t="s">
        <v>4119</v>
      </c>
      <c r="E4683" t="s">
        <v>5471</v>
      </c>
      <c r="F4683" t="s">
        <v>18889</v>
      </c>
      <c r="G4683" t="s">
        <v>18019</v>
      </c>
      <c r="H4683" t="s">
        <v>5474</v>
      </c>
      <c r="I4683" t="s">
        <v>18890</v>
      </c>
      <c r="J4683" t="s">
        <v>5476</v>
      </c>
      <c r="K4683" t="s">
        <v>18891</v>
      </c>
      <c r="L4683" t="s">
        <v>5471</v>
      </c>
      <c r="M4683" t="s">
        <v>5471</v>
      </c>
    </row>
    <row r="4684" spans="1:13" x14ac:dyDescent="0.3">
      <c r="A4684" t="s">
        <v>3388</v>
      </c>
      <c r="B4684" t="s">
        <v>18892</v>
      </c>
      <c r="C4684" t="s">
        <v>5470</v>
      </c>
      <c r="D4684" t="s">
        <v>4119</v>
      </c>
      <c r="E4684" t="s">
        <v>5471</v>
      </c>
      <c r="F4684" t="s">
        <v>18893</v>
      </c>
      <c r="G4684" t="s">
        <v>15790</v>
      </c>
      <c r="H4684" t="s">
        <v>5474</v>
      </c>
      <c r="I4684" t="s">
        <v>18894</v>
      </c>
      <c r="J4684" t="s">
        <v>5476</v>
      </c>
      <c r="K4684" t="s">
        <v>18895</v>
      </c>
      <c r="L4684" t="s">
        <v>5471</v>
      </c>
      <c r="M4684" t="s">
        <v>5471</v>
      </c>
    </row>
    <row r="4685" spans="1:13" x14ac:dyDescent="0.3">
      <c r="A4685" t="s">
        <v>3388</v>
      </c>
      <c r="B4685" t="s">
        <v>18054</v>
      </c>
      <c r="C4685" t="s">
        <v>5470</v>
      </c>
      <c r="D4685" t="s">
        <v>4119</v>
      </c>
      <c r="E4685" t="s">
        <v>5471</v>
      </c>
      <c r="F4685" t="s">
        <v>18896</v>
      </c>
      <c r="G4685" t="s">
        <v>18056</v>
      </c>
      <c r="H4685" t="s">
        <v>5474</v>
      </c>
      <c r="I4685" t="s">
        <v>18897</v>
      </c>
      <c r="J4685" t="s">
        <v>5476</v>
      </c>
      <c r="K4685" t="s">
        <v>18898</v>
      </c>
      <c r="L4685" t="s">
        <v>5471</v>
      </c>
      <c r="M4685" t="s">
        <v>5471</v>
      </c>
    </row>
    <row r="4686" spans="1:13" x14ac:dyDescent="0.3">
      <c r="A4686" t="s">
        <v>3388</v>
      </c>
      <c r="B4686" t="s">
        <v>18899</v>
      </c>
      <c r="C4686" t="s">
        <v>5470</v>
      </c>
      <c r="D4686" t="s">
        <v>4119</v>
      </c>
      <c r="E4686" t="s">
        <v>5471</v>
      </c>
      <c r="F4686" t="s">
        <v>18900</v>
      </c>
      <c r="G4686" t="s">
        <v>18901</v>
      </c>
      <c r="H4686" t="s">
        <v>5474</v>
      </c>
      <c r="I4686" t="s">
        <v>18902</v>
      </c>
      <c r="J4686" t="s">
        <v>5476</v>
      </c>
      <c r="K4686" t="s">
        <v>18903</v>
      </c>
      <c r="L4686" t="s">
        <v>5471</v>
      </c>
      <c r="M4686" t="s">
        <v>5471</v>
      </c>
    </row>
    <row r="4687" spans="1:13" x14ac:dyDescent="0.3">
      <c r="A4687" t="s">
        <v>3388</v>
      </c>
      <c r="B4687" t="s">
        <v>18904</v>
      </c>
      <c r="C4687" t="s">
        <v>5470</v>
      </c>
      <c r="D4687" t="s">
        <v>4119</v>
      </c>
      <c r="E4687" t="s">
        <v>5471</v>
      </c>
      <c r="F4687" t="s">
        <v>18905</v>
      </c>
      <c r="G4687" t="s">
        <v>18906</v>
      </c>
      <c r="H4687" t="s">
        <v>5474</v>
      </c>
      <c r="I4687" t="s">
        <v>18907</v>
      </c>
      <c r="J4687" t="s">
        <v>5476</v>
      </c>
      <c r="K4687" t="s">
        <v>18908</v>
      </c>
      <c r="L4687" t="s">
        <v>5471</v>
      </c>
      <c r="M4687" t="s">
        <v>5471</v>
      </c>
    </row>
    <row r="4688" spans="1:13" x14ac:dyDescent="0.3">
      <c r="A4688" t="s">
        <v>3388</v>
      </c>
      <c r="B4688" t="s">
        <v>18040</v>
      </c>
      <c r="C4688" t="s">
        <v>5470</v>
      </c>
      <c r="D4688" t="s">
        <v>4119</v>
      </c>
      <c r="E4688" t="s">
        <v>5471</v>
      </c>
      <c r="F4688" t="s">
        <v>18909</v>
      </c>
      <c r="G4688" t="s">
        <v>18042</v>
      </c>
      <c r="H4688" t="s">
        <v>5474</v>
      </c>
      <c r="I4688" t="s">
        <v>18910</v>
      </c>
      <c r="J4688" t="s">
        <v>5476</v>
      </c>
      <c r="K4688" t="s">
        <v>18911</v>
      </c>
      <c r="L4688" t="s">
        <v>5471</v>
      </c>
      <c r="M4688" t="s">
        <v>5471</v>
      </c>
    </row>
    <row r="4689" spans="1:13" x14ac:dyDescent="0.3">
      <c r="A4689" t="s">
        <v>3388</v>
      </c>
      <c r="B4689" t="s">
        <v>18912</v>
      </c>
      <c r="C4689" t="s">
        <v>5470</v>
      </c>
      <c r="D4689" t="s">
        <v>4119</v>
      </c>
      <c r="E4689" t="s">
        <v>5471</v>
      </c>
      <c r="F4689" t="s">
        <v>18913</v>
      </c>
      <c r="G4689" t="s">
        <v>18914</v>
      </c>
      <c r="H4689" t="s">
        <v>5474</v>
      </c>
      <c r="I4689" t="s">
        <v>18915</v>
      </c>
      <c r="J4689" t="s">
        <v>5476</v>
      </c>
      <c r="K4689" t="s">
        <v>18916</v>
      </c>
      <c r="L4689" t="s">
        <v>5471</v>
      </c>
      <c r="M4689" t="s">
        <v>5471</v>
      </c>
    </row>
    <row r="4690" spans="1:13" x14ac:dyDescent="0.3">
      <c r="A4690" t="s">
        <v>3388</v>
      </c>
      <c r="B4690" t="s">
        <v>18904</v>
      </c>
      <c r="C4690" t="s">
        <v>5470</v>
      </c>
      <c r="D4690" t="s">
        <v>4119</v>
      </c>
      <c r="E4690" t="s">
        <v>5471</v>
      </c>
      <c r="F4690" t="s">
        <v>18917</v>
      </c>
      <c r="G4690" t="s">
        <v>18906</v>
      </c>
      <c r="H4690" t="s">
        <v>5474</v>
      </c>
      <c r="I4690" t="s">
        <v>18918</v>
      </c>
      <c r="J4690" t="s">
        <v>5476</v>
      </c>
      <c r="K4690" t="s">
        <v>18919</v>
      </c>
      <c r="L4690" t="s">
        <v>5471</v>
      </c>
      <c r="M4690" t="s">
        <v>5471</v>
      </c>
    </row>
    <row r="4691" spans="1:13" x14ac:dyDescent="0.3">
      <c r="A4691" t="s">
        <v>3388</v>
      </c>
      <c r="B4691" t="s">
        <v>18904</v>
      </c>
      <c r="C4691" t="s">
        <v>5470</v>
      </c>
      <c r="D4691" t="s">
        <v>4119</v>
      </c>
      <c r="E4691" t="s">
        <v>5471</v>
      </c>
      <c r="F4691" t="s">
        <v>18920</v>
      </c>
      <c r="G4691" t="s">
        <v>18906</v>
      </c>
      <c r="H4691" t="s">
        <v>5474</v>
      </c>
      <c r="I4691" t="s">
        <v>18921</v>
      </c>
      <c r="J4691" t="s">
        <v>5476</v>
      </c>
      <c r="K4691" t="s">
        <v>18922</v>
      </c>
      <c r="L4691" t="s">
        <v>5471</v>
      </c>
      <c r="M4691" t="s">
        <v>5471</v>
      </c>
    </row>
    <row r="4692" spans="1:13" x14ac:dyDescent="0.3">
      <c r="A4692" t="s">
        <v>3388</v>
      </c>
      <c r="B4692" t="s">
        <v>10457</v>
      </c>
      <c r="C4692" t="s">
        <v>5470</v>
      </c>
      <c r="D4692" t="s">
        <v>4119</v>
      </c>
      <c r="E4692" t="s">
        <v>5471</v>
      </c>
      <c r="F4692" t="s">
        <v>18923</v>
      </c>
      <c r="G4692" t="s">
        <v>10459</v>
      </c>
      <c r="H4692" t="s">
        <v>5474</v>
      </c>
      <c r="I4692" t="s">
        <v>18924</v>
      </c>
      <c r="J4692" t="s">
        <v>5476</v>
      </c>
      <c r="K4692" t="s">
        <v>18415</v>
      </c>
      <c r="L4692" t="s">
        <v>5471</v>
      </c>
      <c r="M4692" t="s">
        <v>5471</v>
      </c>
    </row>
    <row r="4693" spans="1:13" x14ac:dyDescent="0.3">
      <c r="A4693" t="s">
        <v>3388</v>
      </c>
      <c r="B4693" t="s">
        <v>18925</v>
      </c>
      <c r="C4693" t="s">
        <v>5470</v>
      </c>
      <c r="D4693" t="s">
        <v>4119</v>
      </c>
      <c r="E4693" t="s">
        <v>5471</v>
      </c>
      <c r="F4693" t="s">
        <v>18926</v>
      </c>
      <c r="G4693" t="s">
        <v>18927</v>
      </c>
      <c r="H4693" t="s">
        <v>5474</v>
      </c>
      <c r="I4693" t="s">
        <v>18928</v>
      </c>
      <c r="J4693" t="s">
        <v>5476</v>
      </c>
      <c r="K4693" t="s">
        <v>18929</v>
      </c>
      <c r="L4693" t="s">
        <v>5471</v>
      </c>
      <c r="M4693" t="s">
        <v>5471</v>
      </c>
    </row>
    <row r="4694" spans="1:13" x14ac:dyDescent="0.3">
      <c r="A4694" t="s">
        <v>3388</v>
      </c>
      <c r="B4694" t="s">
        <v>18925</v>
      </c>
      <c r="C4694" t="s">
        <v>5470</v>
      </c>
      <c r="D4694" t="s">
        <v>4119</v>
      </c>
      <c r="E4694" t="s">
        <v>5471</v>
      </c>
      <c r="F4694" t="s">
        <v>18930</v>
      </c>
      <c r="G4694" t="s">
        <v>18927</v>
      </c>
      <c r="H4694" t="s">
        <v>5474</v>
      </c>
      <c r="I4694" t="s">
        <v>18931</v>
      </c>
      <c r="J4694" t="s">
        <v>5476</v>
      </c>
      <c r="K4694" t="s">
        <v>18932</v>
      </c>
      <c r="L4694" t="s">
        <v>5471</v>
      </c>
      <c r="M4694" t="s">
        <v>5471</v>
      </c>
    </row>
    <row r="4695" spans="1:13" x14ac:dyDescent="0.3">
      <c r="A4695" t="s">
        <v>3388</v>
      </c>
      <c r="B4695" t="s">
        <v>18634</v>
      </c>
      <c r="C4695" t="s">
        <v>5470</v>
      </c>
      <c r="D4695" t="s">
        <v>4119</v>
      </c>
      <c r="E4695" t="s">
        <v>5471</v>
      </c>
      <c r="F4695" t="s">
        <v>18933</v>
      </c>
      <c r="G4695" t="s">
        <v>18654</v>
      </c>
      <c r="H4695" t="s">
        <v>5474</v>
      </c>
      <c r="I4695" t="s">
        <v>18934</v>
      </c>
      <c r="J4695" t="s">
        <v>5476</v>
      </c>
      <c r="K4695" t="s">
        <v>18656</v>
      </c>
      <c r="L4695" t="s">
        <v>5471</v>
      </c>
      <c r="M4695" t="s">
        <v>5471</v>
      </c>
    </row>
    <row r="4696" spans="1:13" x14ac:dyDescent="0.3">
      <c r="A4696" t="s">
        <v>3388</v>
      </c>
      <c r="B4696" t="s">
        <v>18935</v>
      </c>
      <c r="C4696" t="s">
        <v>5470</v>
      </c>
      <c r="D4696" t="s">
        <v>4119</v>
      </c>
      <c r="E4696" t="s">
        <v>5471</v>
      </c>
      <c r="F4696" t="s">
        <v>18936</v>
      </c>
      <c r="G4696" t="s">
        <v>18937</v>
      </c>
      <c r="H4696" t="s">
        <v>5474</v>
      </c>
      <c r="I4696" t="s">
        <v>18938</v>
      </c>
      <c r="J4696" t="s">
        <v>5476</v>
      </c>
      <c r="K4696" t="s">
        <v>18939</v>
      </c>
      <c r="L4696" t="s">
        <v>5471</v>
      </c>
      <c r="M4696" t="s">
        <v>5471</v>
      </c>
    </row>
    <row r="4697" spans="1:13" x14ac:dyDescent="0.3">
      <c r="A4697" t="s">
        <v>3388</v>
      </c>
      <c r="B4697" t="s">
        <v>18925</v>
      </c>
      <c r="C4697" t="s">
        <v>5470</v>
      </c>
      <c r="D4697" t="s">
        <v>4119</v>
      </c>
      <c r="E4697" t="s">
        <v>5471</v>
      </c>
      <c r="F4697" t="s">
        <v>18940</v>
      </c>
      <c r="G4697" t="s">
        <v>18927</v>
      </c>
      <c r="H4697" t="s">
        <v>5474</v>
      </c>
      <c r="I4697" t="s">
        <v>18941</v>
      </c>
      <c r="J4697" t="s">
        <v>5476</v>
      </c>
      <c r="K4697" t="s">
        <v>18942</v>
      </c>
      <c r="L4697" t="s">
        <v>5471</v>
      </c>
      <c r="M4697" t="s">
        <v>5471</v>
      </c>
    </row>
    <row r="4698" spans="1:13" x14ac:dyDescent="0.3">
      <c r="A4698" t="s">
        <v>3388</v>
      </c>
      <c r="B4698" t="s">
        <v>17993</v>
      </c>
      <c r="C4698" t="s">
        <v>5470</v>
      </c>
      <c r="D4698" t="s">
        <v>4119</v>
      </c>
      <c r="E4698" t="s">
        <v>5471</v>
      </c>
      <c r="F4698" t="s">
        <v>18943</v>
      </c>
      <c r="G4698" t="s">
        <v>8317</v>
      </c>
      <c r="H4698" t="s">
        <v>5474</v>
      </c>
      <c r="I4698" t="s">
        <v>18944</v>
      </c>
      <c r="J4698" t="s">
        <v>5476</v>
      </c>
      <c r="K4698" t="s">
        <v>18756</v>
      </c>
      <c r="L4698" t="s">
        <v>5471</v>
      </c>
      <c r="M4698" t="s">
        <v>5471</v>
      </c>
    </row>
    <row r="4699" spans="1:13" x14ac:dyDescent="0.3">
      <c r="A4699" t="s">
        <v>3388</v>
      </c>
      <c r="B4699" t="s">
        <v>18945</v>
      </c>
      <c r="C4699" t="s">
        <v>5470</v>
      </c>
      <c r="D4699" t="s">
        <v>4119</v>
      </c>
      <c r="E4699" t="s">
        <v>5471</v>
      </c>
      <c r="F4699" t="s">
        <v>18946</v>
      </c>
      <c r="G4699" t="s">
        <v>18947</v>
      </c>
      <c r="H4699" t="s">
        <v>5474</v>
      </c>
      <c r="I4699" t="s">
        <v>18948</v>
      </c>
      <c r="J4699" t="s">
        <v>5476</v>
      </c>
      <c r="K4699" t="s">
        <v>18949</v>
      </c>
      <c r="L4699" t="s">
        <v>5471</v>
      </c>
      <c r="M4699" t="s">
        <v>5471</v>
      </c>
    </row>
    <row r="4700" spans="1:13" x14ac:dyDescent="0.3">
      <c r="A4700" t="s">
        <v>3388</v>
      </c>
      <c r="B4700" t="s">
        <v>18925</v>
      </c>
      <c r="C4700" t="s">
        <v>5470</v>
      </c>
      <c r="D4700" t="s">
        <v>4119</v>
      </c>
      <c r="E4700" t="s">
        <v>5471</v>
      </c>
      <c r="F4700" t="s">
        <v>18950</v>
      </c>
      <c r="G4700" t="s">
        <v>18927</v>
      </c>
      <c r="H4700" t="s">
        <v>5474</v>
      </c>
      <c r="I4700" t="s">
        <v>18951</v>
      </c>
      <c r="J4700" t="s">
        <v>5476</v>
      </c>
      <c r="K4700" t="s">
        <v>18952</v>
      </c>
      <c r="L4700" t="s">
        <v>5471</v>
      </c>
      <c r="M4700" t="s">
        <v>5471</v>
      </c>
    </row>
    <row r="4701" spans="1:13" x14ac:dyDescent="0.3">
      <c r="A4701" t="s">
        <v>3388</v>
      </c>
      <c r="B4701" t="s">
        <v>18945</v>
      </c>
      <c r="C4701" t="s">
        <v>5470</v>
      </c>
      <c r="D4701" t="s">
        <v>4119</v>
      </c>
      <c r="E4701" t="s">
        <v>5471</v>
      </c>
      <c r="F4701" t="s">
        <v>18953</v>
      </c>
      <c r="G4701" t="s">
        <v>18954</v>
      </c>
      <c r="H4701" t="s">
        <v>5474</v>
      </c>
      <c r="I4701" t="s">
        <v>18955</v>
      </c>
      <c r="J4701" t="s">
        <v>5476</v>
      </c>
      <c r="K4701" t="s">
        <v>18956</v>
      </c>
      <c r="L4701" t="s">
        <v>5471</v>
      </c>
      <c r="M4701" t="s">
        <v>5471</v>
      </c>
    </row>
    <row r="4702" spans="1:13" x14ac:dyDescent="0.3">
      <c r="A4702" t="s">
        <v>3388</v>
      </c>
      <c r="B4702" t="s">
        <v>18925</v>
      </c>
      <c r="C4702" t="s">
        <v>5470</v>
      </c>
      <c r="D4702" t="s">
        <v>4119</v>
      </c>
      <c r="E4702" t="s">
        <v>5471</v>
      </c>
      <c r="F4702" t="s">
        <v>18957</v>
      </c>
      <c r="G4702" t="s">
        <v>18927</v>
      </c>
      <c r="H4702" t="s">
        <v>5474</v>
      </c>
      <c r="I4702" t="s">
        <v>18958</v>
      </c>
      <c r="J4702" t="s">
        <v>5476</v>
      </c>
      <c r="K4702" t="s">
        <v>18959</v>
      </c>
      <c r="L4702" t="s">
        <v>5471</v>
      </c>
      <c r="M4702" t="s">
        <v>5471</v>
      </c>
    </row>
    <row r="4703" spans="1:13" x14ac:dyDescent="0.3">
      <c r="A4703" t="s">
        <v>3388</v>
      </c>
      <c r="B4703" t="s">
        <v>18448</v>
      </c>
      <c r="C4703" t="s">
        <v>5470</v>
      </c>
      <c r="D4703" t="s">
        <v>4119</v>
      </c>
      <c r="E4703" t="s">
        <v>5471</v>
      </c>
      <c r="F4703" t="s">
        <v>18960</v>
      </c>
      <c r="G4703" t="s">
        <v>18450</v>
      </c>
      <c r="H4703" t="s">
        <v>5474</v>
      </c>
      <c r="I4703" t="s">
        <v>18961</v>
      </c>
      <c r="J4703" t="s">
        <v>5476</v>
      </c>
      <c r="K4703" t="s">
        <v>18962</v>
      </c>
      <c r="L4703" t="s">
        <v>5471</v>
      </c>
      <c r="M4703" t="s">
        <v>5471</v>
      </c>
    </row>
    <row r="4704" spans="1:13" x14ac:dyDescent="0.3">
      <c r="A4704" t="s">
        <v>3388</v>
      </c>
      <c r="B4704" t="s">
        <v>18925</v>
      </c>
      <c r="C4704" t="s">
        <v>5470</v>
      </c>
      <c r="D4704" t="s">
        <v>4119</v>
      </c>
      <c r="E4704" t="s">
        <v>5471</v>
      </c>
      <c r="F4704" t="s">
        <v>18963</v>
      </c>
      <c r="G4704" t="s">
        <v>18927</v>
      </c>
      <c r="H4704" t="s">
        <v>5474</v>
      </c>
      <c r="I4704" t="s">
        <v>18964</v>
      </c>
      <c r="J4704" t="s">
        <v>5476</v>
      </c>
      <c r="K4704" t="s">
        <v>18965</v>
      </c>
      <c r="L4704" t="s">
        <v>5471</v>
      </c>
      <c r="M4704" t="s">
        <v>5471</v>
      </c>
    </row>
    <row r="4705" spans="1:13" x14ac:dyDescent="0.3">
      <c r="A4705" t="s">
        <v>3388</v>
      </c>
      <c r="B4705" t="s">
        <v>18448</v>
      </c>
      <c r="C4705" t="s">
        <v>5470</v>
      </c>
      <c r="D4705" t="s">
        <v>4119</v>
      </c>
      <c r="E4705" t="s">
        <v>5471</v>
      </c>
      <c r="F4705" t="s">
        <v>18966</v>
      </c>
      <c r="G4705" t="s">
        <v>18450</v>
      </c>
      <c r="H4705" t="s">
        <v>5474</v>
      </c>
      <c r="I4705" t="s">
        <v>18967</v>
      </c>
      <c r="J4705" t="s">
        <v>5476</v>
      </c>
      <c r="K4705" t="s">
        <v>18968</v>
      </c>
      <c r="L4705" t="s">
        <v>5471</v>
      </c>
      <c r="M4705" t="s">
        <v>5471</v>
      </c>
    </row>
    <row r="4706" spans="1:13" x14ac:dyDescent="0.3">
      <c r="A4706" t="s">
        <v>3388</v>
      </c>
      <c r="B4706" t="s">
        <v>18925</v>
      </c>
      <c r="C4706" t="s">
        <v>5470</v>
      </c>
      <c r="D4706" t="s">
        <v>4119</v>
      </c>
      <c r="E4706" t="s">
        <v>5471</v>
      </c>
      <c r="F4706" t="s">
        <v>18969</v>
      </c>
      <c r="G4706" t="s">
        <v>18927</v>
      </c>
      <c r="H4706" t="s">
        <v>5474</v>
      </c>
      <c r="I4706" t="s">
        <v>18970</v>
      </c>
      <c r="J4706" t="s">
        <v>5476</v>
      </c>
      <c r="K4706" t="s">
        <v>18971</v>
      </c>
      <c r="L4706" t="s">
        <v>5471</v>
      </c>
      <c r="M4706" t="s">
        <v>5471</v>
      </c>
    </row>
    <row r="4707" spans="1:13" x14ac:dyDescent="0.3">
      <c r="A4707" t="s">
        <v>3388</v>
      </c>
      <c r="B4707" t="s">
        <v>18592</v>
      </c>
      <c r="C4707" t="s">
        <v>5470</v>
      </c>
      <c r="D4707" t="s">
        <v>4119</v>
      </c>
      <c r="E4707" t="s">
        <v>5471</v>
      </c>
      <c r="F4707" t="s">
        <v>18972</v>
      </c>
      <c r="G4707" t="s">
        <v>18594</v>
      </c>
      <c r="H4707" t="s">
        <v>5474</v>
      </c>
      <c r="I4707" t="s">
        <v>18973</v>
      </c>
      <c r="J4707" t="s">
        <v>5476</v>
      </c>
      <c r="K4707" t="s">
        <v>18596</v>
      </c>
      <c r="L4707" t="s">
        <v>5471</v>
      </c>
      <c r="M4707" t="s">
        <v>5471</v>
      </c>
    </row>
    <row r="4708" spans="1:13" x14ac:dyDescent="0.3">
      <c r="A4708" t="s">
        <v>3388</v>
      </c>
      <c r="B4708" t="s">
        <v>10481</v>
      </c>
      <c r="C4708" t="s">
        <v>5470</v>
      </c>
      <c r="D4708" t="s">
        <v>4119</v>
      </c>
      <c r="E4708" t="s">
        <v>5471</v>
      </c>
      <c r="F4708" t="s">
        <v>18974</v>
      </c>
      <c r="G4708" t="s">
        <v>10483</v>
      </c>
      <c r="H4708" t="s">
        <v>5474</v>
      </c>
      <c r="I4708" t="s">
        <v>18975</v>
      </c>
      <c r="J4708" t="s">
        <v>5476</v>
      </c>
      <c r="K4708" t="s">
        <v>18712</v>
      </c>
      <c r="L4708" t="s">
        <v>5471</v>
      </c>
      <c r="M4708" t="s">
        <v>5471</v>
      </c>
    </row>
    <row r="4709" spans="1:13" x14ac:dyDescent="0.3">
      <c r="A4709" t="s">
        <v>3388</v>
      </c>
      <c r="B4709" t="s">
        <v>18059</v>
      </c>
      <c r="C4709" t="s">
        <v>5470</v>
      </c>
      <c r="D4709" t="s">
        <v>4119</v>
      </c>
      <c r="E4709" t="s">
        <v>5471</v>
      </c>
      <c r="F4709" t="s">
        <v>18976</v>
      </c>
      <c r="G4709" t="s">
        <v>11425</v>
      </c>
      <c r="H4709" t="s">
        <v>5474</v>
      </c>
      <c r="I4709" t="s">
        <v>18977</v>
      </c>
      <c r="J4709" t="s">
        <v>5476</v>
      </c>
      <c r="K4709" t="s">
        <v>18978</v>
      </c>
      <c r="L4709" t="s">
        <v>5471</v>
      </c>
      <c r="M4709" t="s">
        <v>5471</v>
      </c>
    </row>
    <row r="4710" spans="1:13" x14ac:dyDescent="0.3">
      <c r="A4710" t="s">
        <v>3388</v>
      </c>
      <c r="B4710" t="s">
        <v>10501</v>
      </c>
      <c r="C4710" t="s">
        <v>5470</v>
      </c>
      <c r="D4710" t="s">
        <v>4119</v>
      </c>
      <c r="E4710" t="s">
        <v>5471</v>
      </c>
      <c r="F4710" t="s">
        <v>18979</v>
      </c>
      <c r="G4710" t="s">
        <v>10503</v>
      </c>
      <c r="H4710" t="s">
        <v>5474</v>
      </c>
      <c r="I4710" t="s">
        <v>18980</v>
      </c>
      <c r="J4710" t="s">
        <v>5484</v>
      </c>
      <c r="K4710" t="s">
        <v>18981</v>
      </c>
      <c r="L4710" t="s">
        <v>5471</v>
      </c>
      <c r="M4710" t="s">
        <v>5471</v>
      </c>
    </row>
    <row r="4711" spans="1:13" x14ac:dyDescent="0.3">
      <c r="A4711" t="s">
        <v>3388</v>
      </c>
      <c r="B4711" t="s">
        <v>10501</v>
      </c>
      <c r="C4711" t="s">
        <v>5470</v>
      </c>
      <c r="D4711" t="s">
        <v>4119</v>
      </c>
      <c r="E4711" t="s">
        <v>5471</v>
      </c>
      <c r="F4711" t="s">
        <v>18982</v>
      </c>
      <c r="G4711" t="s">
        <v>10503</v>
      </c>
      <c r="H4711" t="s">
        <v>5474</v>
      </c>
      <c r="I4711" t="s">
        <v>18983</v>
      </c>
      <c r="J4711" t="s">
        <v>5484</v>
      </c>
      <c r="K4711" t="s">
        <v>18984</v>
      </c>
      <c r="L4711" t="s">
        <v>5471</v>
      </c>
      <c r="M4711" t="s">
        <v>5471</v>
      </c>
    </row>
    <row r="4712" spans="1:13" x14ac:dyDescent="0.3">
      <c r="A4712" t="s">
        <v>3388</v>
      </c>
      <c r="B4712" t="s">
        <v>18059</v>
      </c>
      <c r="C4712" t="s">
        <v>5470</v>
      </c>
      <c r="D4712" t="s">
        <v>4119</v>
      </c>
      <c r="E4712" t="s">
        <v>5471</v>
      </c>
      <c r="F4712" t="s">
        <v>18985</v>
      </c>
      <c r="G4712" t="s">
        <v>11425</v>
      </c>
      <c r="H4712" t="s">
        <v>5474</v>
      </c>
      <c r="I4712" t="s">
        <v>18986</v>
      </c>
      <c r="J4712" t="s">
        <v>5476</v>
      </c>
      <c r="K4712" t="s">
        <v>18987</v>
      </c>
      <c r="L4712" t="s">
        <v>5471</v>
      </c>
      <c r="M4712" t="s">
        <v>5471</v>
      </c>
    </row>
    <row r="4713" spans="1:13" x14ac:dyDescent="0.3">
      <c r="A4713" t="s">
        <v>3388</v>
      </c>
      <c r="B4713" t="s">
        <v>18460</v>
      </c>
      <c r="C4713" t="s">
        <v>5470</v>
      </c>
      <c r="D4713" t="s">
        <v>4119</v>
      </c>
      <c r="E4713" t="s">
        <v>5471</v>
      </c>
      <c r="F4713" t="s">
        <v>18988</v>
      </c>
      <c r="G4713" t="s">
        <v>8370</v>
      </c>
      <c r="H4713" t="s">
        <v>5474</v>
      </c>
      <c r="I4713" t="s">
        <v>18989</v>
      </c>
      <c r="J4713" t="s">
        <v>5476</v>
      </c>
      <c r="K4713" t="s">
        <v>18990</v>
      </c>
      <c r="L4713" t="s">
        <v>5471</v>
      </c>
      <c r="M4713" t="s">
        <v>5471</v>
      </c>
    </row>
    <row r="4714" spans="1:13" x14ac:dyDescent="0.3">
      <c r="A4714" t="s">
        <v>3388</v>
      </c>
      <c r="B4714" t="s">
        <v>18879</v>
      </c>
      <c r="C4714" t="s">
        <v>5470</v>
      </c>
      <c r="D4714" t="s">
        <v>4119</v>
      </c>
      <c r="E4714" t="s">
        <v>5471</v>
      </c>
      <c r="F4714" t="s">
        <v>18991</v>
      </c>
      <c r="G4714" t="s">
        <v>5473</v>
      </c>
      <c r="H4714" t="s">
        <v>5474</v>
      </c>
      <c r="I4714" t="s">
        <v>18992</v>
      </c>
      <c r="J4714" t="s">
        <v>5476</v>
      </c>
      <c r="K4714" t="s">
        <v>18882</v>
      </c>
      <c r="L4714" t="s">
        <v>5471</v>
      </c>
      <c r="M4714" t="s">
        <v>5471</v>
      </c>
    </row>
    <row r="4715" spans="1:13" x14ac:dyDescent="0.3">
      <c r="A4715" t="s">
        <v>3388</v>
      </c>
      <c r="B4715" t="s">
        <v>18460</v>
      </c>
      <c r="C4715" t="s">
        <v>5470</v>
      </c>
      <c r="D4715" t="s">
        <v>4119</v>
      </c>
      <c r="E4715" t="s">
        <v>5471</v>
      </c>
      <c r="F4715" t="s">
        <v>18993</v>
      </c>
      <c r="G4715" t="s">
        <v>8370</v>
      </c>
      <c r="H4715" t="s">
        <v>5474</v>
      </c>
      <c r="I4715" t="s">
        <v>18994</v>
      </c>
      <c r="J4715" t="s">
        <v>5476</v>
      </c>
      <c r="K4715" t="s">
        <v>18995</v>
      </c>
      <c r="L4715" t="s">
        <v>5471</v>
      </c>
      <c r="M4715" t="s">
        <v>5471</v>
      </c>
    </row>
    <row r="4716" spans="1:13" x14ac:dyDescent="0.3">
      <c r="A4716" t="s">
        <v>3388</v>
      </c>
      <c r="B4716" t="s">
        <v>18460</v>
      </c>
      <c r="C4716" t="s">
        <v>5470</v>
      </c>
      <c r="D4716" t="s">
        <v>4119</v>
      </c>
      <c r="E4716" t="s">
        <v>5471</v>
      </c>
      <c r="F4716" t="s">
        <v>18996</v>
      </c>
      <c r="G4716" t="s">
        <v>8370</v>
      </c>
      <c r="H4716" t="s">
        <v>5474</v>
      </c>
      <c r="I4716" t="s">
        <v>18997</v>
      </c>
      <c r="J4716" t="s">
        <v>5476</v>
      </c>
      <c r="K4716" t="s">
        <v>18998</v>
      </c>
      <c r="L4716" t="s">
        <v>5471</v>
      </c>
      <c r="M4716" t="s">
        <v>5471</v>
      </c>
    </row>
    <row r="4717" spans="1:13" x14ac:dyDescent="0.3">
      <c r="A4717" t="s">
        <v>3388</v>
      </c>
      <c r="B4717" t="s">
        <v>18470</v>
      </c>
      <c r="C4717" t="s">
        <v>5470</v>
      </c>
      <c r="D4717" t="s">
        <v>4119</v>
      </c>
      <c r="E4717" t="s">
        <v>5471</v>
      </c>
      <c r="F4717" t="s">
        <v>18999</v>
      </c>
      <c r="G4717" t="s">
        <v>18472</v>
      </c>
      <c r="H4717" t="s">
        <v>5474</v>
      </c>
      <c r="I4717" t="s">
        <v>19000</v>
      </c>
      <c r="J4717" t="s">
        <v>5476</v>
      </c>
      <c r="K4717" t="s">
        <v>18474</v>
      </c>
      <c r="L4717" t="s">
        <v>5471</v>
      </c>
      <c r="M4717" t="s">
        <v>5471</v>
      </c>
    </row>
    <row r="4718" spans="1:13" x14ac:dyDescent="0.3">
      <c r="A4718" t="s">
        <v>3388</v>
      </c>
      <c r="B4718" t="s">
        <v>18460</v>
      </c>
      <c r="C4718" t="s">
        <v>5470</v>
      </c>
      <c r="D4718" t="s">
        <v>4119</v>
      </c>
      <c r="E4718" t="s">
        <v>5471</v>
      </c>
      <c r="F4718" t="s">
        <v>19001</v>
      </c>
      <c r="G4718" t="s">
        <v>8370</v>
      </c>
      <c r="H4718" t="s">
        <v>5474</v>
      </c>
      <c r="I4718" t="s">
        <v>19002</v>
      </c>
      <c r="J4718" t="s">
        <v>5476</v>
      </c>
      <c r="K4718" t="s">
        <v>19003</v>
      </c>
      <c r="L4718" t="s">
        <v>5471</v>
      </c>
      <c r="M4718" t="s">
        <v>5471</v>
      </c>
    </row>
    <row r="4719" spans="1:13" x14ac:dyDescent="0.3">
      <c r="A4719" t="s">
        <v>3388</v>
      </c>
      <c r="B4719" t="s">
        <v>18460</v>
      </c>
      <c r="C4719" t="s">
        <v>5470</v>
      </c>
      <c r="D4719" t="s">
        <v>4119</v>
      </c>
      <c r="E4719" t="s">
        <v>5471</v>
      </c>
      <c r="F4719" t="s">
        <v>19004</v>
      </c>
      <c r="G4719" t="s">
        <v>8370</v>
      </c>
      <c r="H4719" t="s">
        <v>5474</v>
      </c>
      <c r="I4719" t="s">
        <v>19005</v>
      </c>
      <c r="J4719" t="s">
        <v>5476</v>
      </c>
      <c r="K4719" t="s">
        <v>19006</v>
      </c>
      <c r="L4719" t="s">
        <v>5471</v>
      </c>
      <c r="M4719" t="s">
        <v>5471</v>
      </c>
    </row>
    <row r="4720" spans="1:13" x14ac:dyDescent="0.3">
      <c r="A4720" t="s">
        <v>3388</v>
      </c>
      <c r="B4720" t="s">
        <v>18892</v>
      </c>
      <c r="C4720" t="s">
        <v>5470</v>
      </c>
      <c r="D4720" t="s">
        <v>4119</v>
      </c>
      <c r="E4720" t="s">
        <v>5471</v>
      </c>
      <c r="F4720" t="s">
        <v>19007</v>
      </c>
      <c r="G4720" t="s">
        <v>15794</v>
      </c>
      <c r="H4720" t="s">
        <v>5474</v>
      </c>
      <c r="I4720" t="s">
        <v>19008</v>
      </c>
      <c r="J4720" t="s">
        <v>5476</v>
      </c>
      <c r="K4720" t="s">
        <v>19009</v>
      </c>
      <c r="L4720" t="s">
        <v>5471</v>
      </c>
      <c r="M4720" t="s">
        <v>5471</v>
      </c>
    </row>
    <row r="4721" spans="1:13" x14ac:dyDescent="0.3">
      <c r="A4721" t="s">
        <v>3388</v>
      </c>
      <c r="B4721" t="s">
        <v>18757</v>
      </c>
      <c r="C4721" t="s">
        <v>5470</v>
      </c>
      <c r="D4721" t="s">
        <v>4119</v>
      </c>
      <c r="E4721" t="s">
        <v>5471</v>
      </c>
      <c r="F4721" t="s">
        <v>19010</v>
      </c>
      <c r="G4721" t="s">
        <v>18769</v>
      </c>
      <c r="H4721" t="s">
        <v>5474</v>
      </c>
      <c r="I4721" t="s">
        <v>19011</v>
      </c>
      <c r="J4721" t="s">
        <v>5476</v>
      </c>
      <c r="K4721" t="s">
        <v>19012</v>
      </c>
      <c r="L4721" t="s">
        <v>5471</v>
      </c>
      <c r="M4721" t="s">
        <v>5471</v>
      </c>
    </row>
    <row r="4722" spans="1:13" x14ac:dyDescent="0.3">
      <c r="A4722" t="s">
        <v>3383</v>
      </c>
      <c r="B4722" t="s">
        <v>6051</v>
      </c>
      <c r="C4722" t="s">
        <v>5470</v>
      </c>
      <c r="D4722" t="s">
        <v>4119</v>
      </c>
      <c r="E4722" t="s">
        <v>5756</v>
      </c>
      <c r="F4722" t="s">
        <v>19013</v>
      </c>
      <c r="G4722" t="s">
        <v>6053</v>
      </c>
      <c r="H4722" t="s">
        <v>5474</v>
      </c>
      <c r="I4722" t="s">
        <v>19014</v>
      </c>
      <c r="J4722" t="s">
        <v>5484</v>
      </c>
      <c r="K4722" t="s">
        <v>19015</v>
      </c>
      <c r="L4722" t="s">
        <v>5471</v>
      </c>
      <c r="M4722" t="s">
        <v>5471</v>
      </c>
    </row>
    <row r="4723" spans="1:13" x14ac:dyDescent="0.3">
      <c r="A4723" t="s">
        <v>3380</v>
      </c>
      <c r="B4723" t="s">
        <v>16102</v>
      </c>
      <c r="C4723" t="s">
        <v>6342</v>
      </c>
      <c r="D4723" t="s">
        <v>4119</v>
      </c>
      <c r="E4723" t="s">
        <v>5532</v>
      </c>
      <c r="F4723" t="s">
        <v>19016</v>
      </c>
      <c r="G4723" t="s">
        <v>16104</v>
      </c>
      <c r="H4723" t="s">
        <v>5474</v>
      </c>
      <c r="I4723" t="s">
        <v>19017</v>
      </c>
      <c r="J4723" t="s">
        <v>5476</v>
      </c>
      <c r="K4723" t="s">
        <v>18301</v>
      </c>
      <c r="L4723" t="s">
        <v>5471</v>
      </c>
      <c r="M4723" t="s">
        <v>5471</v>
      </c>
    </row>
    <row r="4724" spans="1:13" x14ac:dyDescent="0.3">
      <c r="A4724" t="s">
        <v>3380</v>
      </c>
      <c r="B4724" t="s">
        <v>16102</v>
      </c>
      <c r="C4724" t="s">
        <v>6342</v>
      </c>
      <c r="D4724" t="s">
        <v>4119</v>
      </c>
      <c r="E4724" t="s">
        <v>5532</v>
      </c>
      <c r="F4724" t="s">
        <v>19018</v>
      </c>
      <c r="G4724" t="s">
        <v>16104</v>
      </c>
      <c r="H4724" t="s">
        <v>5474</v>
      </c>
      <c r="I4724" t="s">
        <v>19019</v>
      </c>
      <c r="J4724" t="s">
        <v>5476</v>
      </c>
      <c r="K4724" t="s">
        <v>18298</v>
      </c>
      <c r="L4724" t="s">
        <v>5471</v>
      </c>
      <c r="M4724" t="s">
        <v>5471</v>
      </c>
    </row>
    <row r="4725" spans="1:13" x14ac:dyDescent="0.3">
      <c r="A4725" t="s">
        <v>3380</v>
      </c>
      <c r="B4725" t="s">
        <v>16102</v>
      </c>
      <c r="C4725" t="s">
        <v>6342</v>
      </c>
      <c r="D4725" t="s">
        <v>4119</v>
      </c>
      <c r="E4725" t="s">
        <v>5532</v>
      </c>
      <c r="F4725" t="s">
        <v>19020</v>
      </c>
      <c r="G4725" t="s">
        <v>16104</v>
      </c>
      <c r="H4725" t="s">
        <v>5474</v>
      </c>
      <c r="I4725" t="s">
        <v>19021</v>
      </c>
      <c r="J4725" t="s">
        <v>5476</v>
      </c>
      <c r="K4725" t="s">
        <v>18308</v>
      </c>
      <c r="L4725" t="s">
        <v>5471</v>
      </c>
      <c r="M4725" t="s">
        <v>5471</v>
      </c>
    </row>
    <row r="4726" spans="1:13" x14ac:dyDescent="0.3">
      <c r="A4726" t="s">
        <v>3380</v>
      </c>
      <c r="B4726" t="s">
        <v>16102</v>
      </c>
      <c r="C4726" t="s">
        <v>6342</v>
      </c>
      <c r="D4726" t="s">
        <v>4119</v>
      </c>
      <c r="E4726" t="s">
        <v>5532</v>
      </c>
      <c r="F4726" t="s">
        <v>19022</v>
      </c>
      <c r="G4726" t="s">
        <v>16104</v>
      </c>
      <c r="H4726" t="s">
        <v>5474</v>
      </c>
      <c r="I4726" t="s">
        <v>19023</v>
      </c>
      <c r="J4726" t="s">
        <v>5476</v>
      </c>
      <c r="K4726" t="s">
        <v>18311</v>
      </c>
      <c r="L4726" t="s">
        <v>5471</v>
      </c>
      <c r="M4726" t="s">
        <v>5471</v>
      </c>
    </row>
    <row r="4727" spans="1:13" x14ac:dyDescent="0.3">
      <c r="A4727" t="s">
        <v>3388</v>
      </c>
      <c r="B4727" t="s">
        <v>19024</v>
      </c>
      <c r="C4727" t="s">
        <v>5470</v>
      </c>
      <c r="D4727" t="s">
        <v>4119</v>
      </c>
      <c r="E4727" t="s">
        <v>5532</v>
      </c>
      <c r="F4727" t="s">
        <v>19025</v>
      </c>
      <c r="G4727" t="s">
        <v>19026</v>
      </c>
      <c r="H4727" t="s">
        <v>5474</v>
      </c>
      <c r="I4727" t="s">
        <v>19027</v>
      </c>
      <c r="J4727" t="s">
        <v>5476</v>
      </c>
      <c r="K4727" t="s">
        <v>19028</v>
      </c>
      <c r="L4727" t="s">
        <v>5471</v>
      </c>
      <c r="M4727" t="s">
        <v>5471</v>
      </c>
    </row>
    <row r="4728" spans="1:13" x14ac:dyDescent="0.3">
      <c r="A4728" t="s">
        <v>3388</v>
      </c>
      <c r="B4728" t="s">
        <v>5616</v>
      </c>
      <c r="C4728" t="s">
        <v>5470</v>
      </c>
      <c r="D4728" t="s">
        <v>4119</v>
      </c>
      <c r="E4728" t="s">
        <v>5617</v>
      </c>
      <c r="F4728" t="s">
        <v>19029</v>
      </c>
      <c r="G4728" t="s">
        <v>19030</v>
      </c>
      <c r="H4728" t="s">
        <v>5474</v>
      </c>
      <c r="I4728" t="s">
        <v>19031</v>
      </c>
      <c r="J4728" t="s">
        <v>5484</v>
      </c>
      <c r="K4728" t="s">
        <v>19032</v>
      </c>
      <c r="L4728" t="s">
        <v>5471</v>
      </c>
      <c r="M4728" t="s">
        <v>5471</v>
      </c>
    </row>
    <row r="4729" spans="1:13" x14ac:dyDescent="0.3">
      <c r="A4729" t="s">
        <v>3388</v>
      </c>
      <c r="B4729" t="s">
        <v>5616</v>
      </c>
      <c r="C4729" t="s">
        <v>5470</v>
      </c>
      <c r="D4729" t="s">
        <v>4119</v>
      </c>
      <c r="E4729" t="s">
        <v>5617</v>
      </c>
      <c r="F4729" t="s">
        <v>19033</v>
      </c>
      <c r="G4729" t="s">
        <v>19034</v>
      </c>
      <c r="H4729" t="s">
        <v>5474</v>
      </c>
      <c r="I4729" t="s">
        <v>19035</v>
      </c>
      <c r="J4729" t="s">
        <v>5484</v>
      </c>
      <c r="K4729" t="s">
        <v>19036</v>
      </c>
      <c r="L4729" t="s">
        <v>5471</v>
      </c>
      <c r="M4729" t="s">
        <v>5471</v>
      </c>
    </row>
    <row r="4730" spans="1:13" x14ac:dyDescent="0.3">
      <c r="A4730" t="s">
        <v>3388</v>
      </c>
      <c r="B4730" t="s">
        <v>5616</v>
      </c>
      <c r="C4730" t="s">
        <v>5470</v>
      </c>
      <c r="D4730" t="s">
        <v>4119</v>
      </c>
      <c r="E4730" t="s">
        <v>5617</v>
      </c>
      <c r="F4730" t="s">
        <v>19037</v>
      </c>
      <c r="G4730" t="s">
        <v>19038</v>
      </c>
      <c r="H4730" t="s">
        <v>5474</v>
      </c>
      <c r="I4730" t="s">
        <v>19039</v>
      </c>
      <c r="J4730" t="s">
        <v>5484</v>
      </c>
      <c r="K4730" t="s">
        <v>19040</v>
      </c>
      <c r="L4730" t="s">
        <v>5471</v>
      </c>
      <c r="M4730" t="s">
        <v>5471</v>
      </c>
    </row>
    <row r="4731" spans="1:13" x14ac:dyDescent="0.3">
      <c r="A4731" t="s">
        <v>3388</v>
      </c>
      <c r="B4731" t="s">
        <v>5616</v>
      </c>
      <c r="C4731" t="s">
        <v>5470</v>
      </c>
      <c r="D4731" t="s">
        <v>4119</v>
      </c>
      <c r="E4731" t="s">
        <v>5617</v>
      </c>
      <c r="F4731" t="s">
        <v>19041</v>
      </c>
      <c r="G4731" t="s">
        <v>19042</v>
      </c>
      <c r="H4731" t="s">
        <v>5474</v>
      </c>
      <c r="I4731" t="s">
        <v>19043</v>
      </c>
      <c r="J4731" t="s">
        <v>5484</v>
      </c>
      <c r="K4731" t="s">
        <v>19044</v>
      </c>
      <c r="L4731" t="s">
        <v>5471</v>
      </c>
      <c r="M4731" t="s">
        <v>5471</v>
      </c>
    </row>
    <row r="4732" spans="1:13" x14ac:dyDescent="0.3">
      <c r="A4732" t="s">
        <v>3383</v>
      </c>
      <c r="B4732" t="s">
        <v>6122</v>
      </c>
      <c r="C4732" t="s">
        <v>5470</v>
      </c>
      <c r="D4732" t="s">
        <v>4052</v>
      </c>
      <c r="E4732" t="s">
        <v>5532</v>
      </c>
      <c r="F4732" t="s">
        <v>19045</v>
      </c>
      <c r="G4732" t="s">
        <v>7497</v>
      </c>
      <c r="H4732" t="s">
        <v>5474</v>
      </c>
      <c r="I4732" t="s">
        <v>19046</v>
      </c>
      <c r="J4732" t="s">
        <v>5476</v>
      </c>
      <c r="K4732" t="s">
        <v>19047</v>
      </c>
      <c r="L4732" t="s">
        <v>5471</v>
      </c>
      <c r="M4732" t="s">
        <v>5471</v>
      </c>
    </row>
    <row r="4733" spans="1:13" x14ac:dyDescent="0.3">
      <c r="A4733" t="s">
        <v>3383</v>
      </c>
      <c r="B4733" t="s">
        <v>6122</v>
      </c>
      <c r="C4733" t="s">
        <v>5470</v>
      </c>
      <c r="D4733" t="s">
        <v>4052</v>
      </c>
      <c r="E4733" t="s">
        <v>5532</v>
      </c>
      <c r="F4733" t="s">
        <v>19048</v>
      </c>
      <c r="G4733" t="s">
        <v>19049</v>
      </c>
      <c r="H4733" t="s">
        <v>5474</v>
      </c>
      <c r="I4733" t="s">
        <v>19050</v>
      </c>
      <c r="J4733" t="s">
        <v>5476</v>
      </c>
      <c r="K4733" t="s">
        <v>19051</v>
      </c>
      <c r="L4733" t="s">
        <v>5471</v>
      </c>
      <c r="M4733" t="s">
        <v>5471</v>
      </c>
    </row>
    <row r="4734" spans="1:13" x14ac:dyDescent="0.3">
      <c r="A4734" t="s">
        <v>3383</v>
      </c>
      <c r="B4734" t="s">
        <v>6122</v>
      </c>
      <c r="C4734" t="s">
        <v>5470</v>
      </c>
      <c r="D4734" t="s">
        <v>4052</v>
      </c>
      <c r="E4734" t="s">
        <v>5532</v>
      </c>
      <c r="F4734" t="s">
        <v>19052</v>
      </c>
      <c r="G4734" t="s">
        <v>7128</v>
      </c>
      <c r="H4734" t="s">
        <v>5474</v>
      </c>
      <c r="I4734" t="s">
        <v>19053</v>
      </c>
      <c r="J4734" t="s">
        <v>5476</v>
      </c>
      <c r="K4734" t="s">
        <v>19054</v>
      </c>
      <c r="L4734" t="s">
        <v>5471</v>
      </c>
      <c r="M4734" t="s">
        <v>5471</v>
      </c>
    </row>
    <row r="4735" spans="1:13" x14ac:dyDescent="0.3">
      <c r="A4735" t="s">
        <v>3383</v>
      </c>
      <c r="B4735" t="s">
        <v>6122</v>
      </c>
      <c r="C4735" t="s">
        <v>5470</v>
      </c>
      <c r="D4735" t="s">
        <v>4052</v>
      </c>
      <c r="E4735" t="s">
        <v>5532</v>
      </c>
      <c r="F4735" t="s">
        <v>19055</v>
      </c>
      <c r="G4735" t="s">
        <v>19056</v>
      </c>
      <c r="H4735" t="s">
        <v>5474</v>
      </c>
      <c r="I4735" t="s">
        <v>19057</v>
      </c>
      <c r="J4735" t="s">
        <v>5476</v>
      </c>
      <c r="K4735" t="s">
        <v>19058</v>
      </c>
      <c r="L4735" t="s">
        <v>5471</v>
      </c>
      <c r="M4735" t="s">
        <v>5471</v>
      </c>
    </row>
    <row r="4736" spans="1:13" x14ac:dyDescent="0.3">
      <c r="A4736" t="s">
        <v>3383</v>
      </c>
      <c r="B4736" t="s">
        <v>5332</v>
      </c>
      <c r="C4736" t="s">
        <v>5470</v>
      </c>
      <c r="D4736" t="s">
        <v>4052</v>
      </c>
      <c r="E4736" t="s">
        <v>5532</v>
      </c>
      <c r="F4736" t="s">
        <v>19059</v>
      </c>
      <c r="G4736" t="s">
        <v>6105</v>
      </c>
      <c r="H4736" t="s">
        <v>5474</v>
      </c>
      <c r="I4736" t="s">
        <v>19060</v>
      </c>
      <c r="J4736" t="s">
        <v>5476</v>
      </c>
      <c r="K4736" t="s">
        <v>19061</v>
      </c>
      <c r="L4736" t="s">
        <v>5471</v>
      </c>
      <c r="M4736" t="s">
        <v>5471</v>
      </c>
    </row>
    <row r="4737" spans="1:13" x14ac:dyDescent="0.3">
      <c r="A4737" t="s">
        <v>3383</v>
      </c>
      <c r="B4737" t="s">
        <v>5332</v>
      </c>
      <c r="C4737" t="s">
        <v>5470</v>
      </c>
      <c r="D4737" t="s">
        <v>4052</v>
      </c>
      <c r="E4737" t="s">
        <v>5532</v>
      </c>
      <c r="F4737" t="s">
        <v>19062</v>
      </c>
      <c r="G4737" t="s">
        <v>6239</v>
      </c>
      <c r="H4737" t="s">
        <v>5474</v>
      </c>
      <c r="I4737" t="s">
        <v>19063</v>
      </c>
      <c r="J4737" t="s">
        <v>5476</v>
      </c>
      <c r="K4737" t="s">
        <v>19064</v>
      </c>
      <c r="L4737" t="s">
        <v>5471</v>
      </c>
      <c r="M4737" t="s">
        <v>5471</v>
      </c>
    </row>
    <row r="4738" spans="1:13" x14ac:dyDescent="0.3">
      <c r="A4738" t="s">
        <v>3383</v>
      </c>
      <c r="B4738" t="s">
        <v>5332</v>
      </c>
      <c r="C4738" t="s">
        <v>5470</v>
      </c>
      <c r="D4738" t="s">
        <v>4052</v>
      </c>
      <c r="E4738" t="s">
        <v>5532</v>
      </c>
      <c r="F4738" t="s">
        <v>19065</v>
      </c>
      <c r="G4738" t="s">
        <v>6241</v>
      </c>
      <c r="H4738" t="s">
        <v>5474</v>
      </c>
      <c r="I4738" t="s">
        <v>19066</v>
      </c>
      <c r="J4738" t="s">
        <v>5476</v>
      </c>
      <c r="K4738" t="s">
        <v>19067</v>
      </c>
      <c r="L4738" t="s">
        <v>5471</v>
      </c>
      <c r="M4738" t="s">
        <v>5471</v>
      </c>
    </row>
    <row r="4739" spans="1:13" x14ac:dyDescent="0.3">
      <c r="A4739" t="s">
        <v>3383</v>
      </c>
      <c r="B4739" t="s">
        <v>5332</v>
      </c>
      <c r="C4739" t="s">
        <v>5470</v>
      </c>
      <c r="D4739" t="s">
        <v>4052</v>
      </c>
      <c r="E4739" t="s">
        <v>5532</v>
      </c>
      <c r="F4739" t="s">
        <v>19068</v>
      </c>
      <c r="G4739" t="s">
        <v>6589</v>
      </c>
      <c r="H4739" t="s">
        <v>5474</v>
      </c>
      <c r="I4739" t="s">
        <v>19069</v>
      </c>
      <c r="J4739" t="s">
        <v>5476</v>
      </c>
      <c r="K4739" t="s">
        <v>19070</v>
      </c>
      <c r="L4739" t="s">
        <v>5471</v>
      </c>
      <c r="M4739" t="s">
        <v>5471</v>
      </c>
    </row>
    <row r="4740" spans="1:13" x14ac:dyDescent="0.3">
      <c r="A4740" t="s">
        <v>3383</v>
      </c>
      <c r="B4740" t="s">
        <v>5332</v>
      </c>
      <c r="C4740" t="s">
        <v>5470</v>
      </c>
      <c r="D4740" t="s">
        <v>4052</v>
      </c>
      <c r="E4740" t="s">
        <v>5532</v>
      </c>
      <c r="F4740" t="s">
        <v>19071</v>
      </c>
      <c r="G4740" t="s">
        <v>6592</v>
      </c>
      <c r="H4740" t="s">
        <v>5474</v>
      </c>
      <c r="I4740" t="s">
        <v>19072</v>
      </c>
      <c r="J4740" t="s">
        <v>5476</v>
      </c>
      <c r="K4740" t="s">
        <v>19073</v>
      </c>
      <c r="L4740" t="s">
        <v>5471</v>
      </c>
      <c r="M4740" t="s">
        <v>5471</v>
      </c>
    </row>
    <row r="4741" spans="1:13" x14ac:dyDescent="0.3">
      <c r="A4741" t="s">
        <v>3383</v>
      </c>
      <c r="B4741" t="s">
        <v>5294</v>
      </c>
      <c r="C4741" t="s">
        <v>5470</v>
      </c>
      <c r="D4741" t="s">
        <v>4052</v>
      </c>
      <c r="E4741" t="s">
        <v>5532</v>
      </c>
      <c r="F4741" t="s">
        <v>19074</v>
      </c>
      <c r="G4741" t="s">
        <v>7054</v>
      </c>
      <c r="H4741" t="s">
        <v>5474</v>
      </c>
      <c r="I4741" t="s">
        <v>19075</v>
      </c>
      <c r="J4741" t="s">
        <v>5476</v>
      </c>
      <c r="K4741" t="s">
        <v>19076</v>
      </c>
      <c r="L4741" t="s">
        <v>5471</v>
      </c>
      <c r="M4741" t="s">
        <v>5471</v>
      </c>
    </row>
    <row r="4742" spans="1:13" x14ac:dyDescent="0.3">
      <c r="A4742" t="s">
        <v>3383</v>
      </c>
      <c r="B4742" t="s">
        <v>6122</v>
      </c>
      <c r="C4742" t="s">
        <v>5470</v>
      </c>
      <c r="D4742" t="s">
        <v>4052</v>
      </c>
      <c r="E4742" t="s">
        <v>5532</v>
      </c>
      <c r="F4742" t="s">
        <v>19077</v>
      </c>
      <c r="G4742" t="s">
        <v>7168</v>
      </c>
      <c r="H4742" t="s">
        <v>5474</v>
      </c>
      <c r="I4742" t="s">
        <v>19078</v>
      </c>
      <c r="J4742" t="s">
        <v>5476</v>
      </c>
      <c r="K4742" t="s">
        <v>19079</v>
      </c>
      <c r="L4742" t="s">
        <v>5471</v>
      </c>
      <c r="M4742" t="s">
        <v>5471</v>
      </c>
    </row>
    <row r="4743" spans="1:13" x14ac:dyDescent="0.3">
      <c r="A4743" t="s">
        <v>3383</v>
      </c>
      <c r="B4743" t="s">
        <v>6051</v>
      </c>
      <c r="C4743" t="s">
        <v>5470</v>
      </c>
      <c r="D4743" t="s">
        <v>4052</v>
      </c>
      <c r="E4743" t="s">
        <v>5617</v>
      </c>
      <c r="F4743" t="s">
        <v>19080</v>
      </c>
      <c r="G4743" t="s">
        <v>19081</v>
      </c>
      <c r="H4743" t="s">
        <v>5474</v>
      </c>
      <c r="I4743" t="s">
        <v>19082</v>
      </c>
      <c r="J4743" t="s">
        <v>5476</v>
      </c>
      <c r="K4743" t="s">
        <v>19083</v>
      </c>
      <c r="L4743" t="s">
        <v>5471</v>
      </c>
      <c r="M4743" t="s">
        <v>5471</v>
      </c>
    </row>
    <row r="4744" spans="1:13" x14ac:dyDescent="0.3">
      <c r="A4744" t="s">
        <v>3397</v>
      </c>
      <c r="B4744" t="s">
        <v>7424</v>
      </c>
      <c r="C4744" t="s">
        <v>5487</v>
      </c>
      <c r="D4744" t="s">
        <v>4119</v>
      </c>
      <c r="E4744" t="s">
        <v>5756</v>
      </c>
      <c r="F4744" t="s">
        <v>19084</v>
      </c>
      <c r="G4744" t="s">
        <v>7426</v>
      </c>
      <c r="H4744" t="s">
        <v>5474</v>
      </c>
      <c r="I4744" t="s">
        <v>19085</v>
      </c>
      <c r="J4744" t="s">
        <v>5476</v>
      </c>
      <c r="K4744" t="s">
        <v>14007</v>
      </c>
      <c r="L4744" t="s">
        <v>5471</v>
      </c>
      <c r="M4744" t="s">
        <v>5471</v>
      </c>
    </row>
    <row r="4745" spans="1:13" x14ac:dyDescent="0.3">
      <c r="A4745" t="s">
        <v>3397</v>
      </c>
      <c r="B4745" t="s">
        <v>7424</v>
      </c>
      <c r="C4745" t="s">
        <v>5487</v>
      </c>
      <c r="D4745" t="s">
        <v>4119</v>
      </c>
      <c r="E4745" t="s">
        <v>5756</v>
      </c>
      <c r="F4745" t="s">
        <v>19086</v>
      </c>
      <c r="G4745" t="s">
        <v>7426</v>
      </c>
      <c r="H4745" t="s">
        <v>5474</v>
      </c>
      <c r="I4745" t="s">
        <v>19087</v>
      </c>
      <c r="J4745" t="s">
        <v>5476</v>
      </c>
      <c r="K4745" t="s">
        <v>19088</v>
      </c>
      <c r="L4745" t="s">
        <v>5471</v>
      </c>
      <c r="M4745" t="s">
        <v>5471</v>
      </c>
    </row>
    <row r="4746" spans="1:13" x14ac:dyDescent="0.3">
      <c r="A4746" t="s">
        <v>3397</v>
      </c>
      <c r="B4746" t="s">
        <v>7424</v>
      </c>
      <c r="C4746" t="s">
        <v>5487</v>
      </c>
      <c r="D4746" t="s">
        <v>4119</v>
      </c>
      <c r="E4746" t="s">
        <v>5756</v>
      </c>
      <c r="F4746" t="s">
        <v>19089</v>
      </c>
      <c r="G4746" t="s">
        <v>7426</v>
      </c>
      <c r="H4746" t="s">
        <v>5474</v>
      </c>
      <c r="I4746" t="s">
        <v>19090</v>
      </c>
      <c r="J4746" t="s">
        <v>5476</v>
      </c>
      <c r="K4746" t="s">
        <v>19091</v>
      </c>
      <c r="L4746" t="s">
        <v>5471</v>
      </c>
      <c r="M4746" t="s">
        <v>5471</v>
      </c>
    </row>
    <row r="4747" spans="1:13" x14ac:dyDescent="0.3">
      <c r="A4747" t="s">
        <v>3397</v>
      </c>
      <c r="B4747" t="s">
        <v>7424</v>
      </c>
      <c r="C4747" t="s">
        <v>5487</v>
      </c>
      <c r="D4747" t="s">
        <v>4119</v>
      </c>
      <c r="E4747" t="s">
        <v>5756</v>
      </c>
      <c r="F4747" t="s">
        <v>19092</v>
      </c>
      <c r="G4747" t="s">
        <v>7426</v>
      </c>
      <c r="H4747" t="s">
        <v>5474</v>
      </c>
      <c r="I4747" t="s">
        <v>19093</v>
      </c>
      <c r="J4747" t="s">
        <v>5476</v>
      </c>
      <c r="K4747" t="s">
        <v>19094</v>
      </c>
      <c r="L4747" t="s">
        <v>5471</v>
      </c>
      <c r="M4747" t="s">
        <v>5471</v>
      </c>
    </row>
    <row r="4748" spans="1:13" x14ac:dyDescent="0.3">
      <c r="A4748" t="s">
        <v>3397</v>
      </c>
      <c r="B4748" t="s">
        <v>7424</v>
      </c>
      <c r="C4748" t="s">
        <v>5487</v>
      </c>
      <c r="D4748" t="s">
        <v>4119</v>
      </c>
      <c r="E4748" t="s">
        <v>5756</v>
      </c>
      <c r="F4748" t="s">
        <v>19095</v>
      </c>
      <c r="G4748" t="s">
        <v>7426</v>
      </c>
      <c r="H4748" t="s">
        <v>5474</v>
      </c>
      <c r="I4748" t="s">
        <v>19096</v>
      </c>
      <c r="J4748" t="s">
        <v>5476</v>
      </c>
      <c r="K4748" t="s">
        <v>13995</v>
      </c>
      <c r="L4748" t="s">
        <v>5471</v>
      </c>
      <c r="M4748" t="s">
        <v>5471</v>
      </c>
    </row>
    <row r="4749" spans="1:13" x14ac:dyDescent="0.3">
      <c r="A4749" t="s">
        <v>3397</v>
      </c>
      <c r="B4749" t="s">
        <v>7424</v>
      </c>
      <c r="C4749" t="s">
        <v>5487</v>
      </c>
      <c r="D4749" t="s">
        <v>4119</v>
      </c>
      <c r="E4749" t="s">
        <v>5756</v>
      </c>
      <c r="F4749" t="s">
        <v>19097</v>
      </c>
      <c r="G4749" t="s">
        <v>7426</v>
      </c>
      <c r="H4749" t="s">
        <v>5474</v>
      </c>
      <c r="I4749" t="s">
        <v>19098</v>
      </c>
      <c r="J4749" t="s">
        <v>5476</v>
      </c>
      <c r="K4749" t="s">
        <v>19099</v>
      </c>
      <c r="L4749" t="s">
        <v>5471</v>
      </c>
      <c r="M4749" t="s">
        <v>5471</v>
      </c>
    </row>
    <row r="4750" spans="1:13" x14ac:dyDescent="0.3">
      <c r="A4750" t="s">
        <v>3397</v>
      </c>
      <c r="B4750" t="s">
        <v>7424</v>
      </c>
      <c r="C4750" t="s">
        <v>5487</v>
      </c>
      <c r="D4750" t="s">
        <v>4119</v>
      </c>
      <c r="E4750" t="s">
        <v>5756</v>
      </c>
      <c r="F4750" t="s">
        <v>19100</v>
      </c>
      <c r="G4750" t="s">
        <v>7426</v>
      </c>
      <c r="H4750" t="s">
        <v>5474</v>
      </c>
      <c r="I4750" t="s">
        <v>19101</v>
      </c>
      <c r="J4750" t="s">
        <v>5476</v>
      </c>
      <c r="K4750" t="s">
        <v>19102</v>
      </c>
      <c r="L4750" t="s">
        <v>5471</v>
      </c>
      <c r="M4750" t="s">
        <v>5471</v>
      </c>
    </row>
    <row r="4751" spans="1:13" x14ac:dyDescent="0.3">
      <c r="A4751" t="s">
        <v>3397</v>
      </c>
      <c r="B4751" t="s">
        <v>7424</v>
      </c>
      <c r="C4751" t="s">
        <v>5487</v>
      </c>
      <c r="D4751" t="s">
        <v>4119</v>
      </c>
      <c r="E4751" t="s">
        <v>5756</v>
      </c>
      <c r="F4751" t="s">
        <v>19103</v>
      </c>
      <c r="G4751" t="s">
        <v>7426</v>
      </c>
      <c r="H4751" t="s">
        <v>5474</v>
      </c>
      <c r="I4751" t="s">
        <v>19104</v>
      </c>
      <c r="J4751" t="s">
        <v>5476</v>
      </c>
      <c r="K4751" t="s">
        <v>19105</v>
      </c>
      <c r="L4751" t="s">
        <v>5471</v>
      </c>
      <c r="M4751" t="s">
        <v>5471</v>
      </c>
    </row>
    <row r="4752" spans="1:13" x14ac:dyDescent="0.3">
      <c r="A4752" t="s">
        <v>3397</v>
      </c>
      <c r="B4752" t="s">
        <v>7424</v>
      </c>
      <c r="C4752" t="s">
        <v>5487</v>
      </c>
      <c r="D4752" t="s">
        <v>4119</v>
      </c>
      <c r="E4752" t="s">
        <v>5756</v>
      </c>
      <c r="F4752" t="s">
        <v>19106</v>
      </c>
      <c r="G4752" t="s">
        <v>7426</v>
      </c>
      <c r="H4752" t="s">
        <v>5474</v>
      </c>
      <c r="I4752" t="s">
        <v>19107</v>
      </c>
      <c r="J4752" t="s">
        <v>5476</v>
      </c>
      <c r="K4752" t="s">
        <v>19108</v>
      </c>
      <c r="L4752" t="s">
        <v>5471</v>
      </c>
      <c r="M4752" t="s">
        <v>5471</v>
      </c>
    </row>
    <row r="4753" spans="1:13" x14ac:dyDescent="0.3">
      <c r="A4753" t="s">
        <v>3397</v>
      </c>
      <c r="B4753" t="s">
        <v>7424</v>
      </c>
      <c r="C4753" t="s">
        <v>5487</v>
      </c>
      <c r="D4753" t="s">
        <v>4119</v>
      </c>
      <c r="E4753" t="s">
        <v>5756</v>
      </c>
      <c r="F4753" t="s">
        <v>19109</v>
      </c>
      <c r="G4753" t="s">
        <v>7426</v>
      </c>
      <c r="H4753" t="s">
        <v>5474</v>
      </c>
      <c r="I4753" t="s">
        <v>19110</v>
      </c>
      <c r="J4753" t="s">
        <v>5476</v>
      </c>
      <c r="K4753" t="s">
        <v>19111</v>
      </c>
      <c r="L4753" t="s">
        <v>5471</v>
      </c>
      <c r="M4753" t="s">
        <v>5471</v>
      </c>
    </row>
    <row r="4754" spans="1:13" x14ac:dyDescent="0.3">
      <c r="A4754" t="s">
        <v>3397</v>
      </c>
      <c r="B4754" t="s">
        <v>7424</v>
      </c>
      <c r="C4754" t="s">
        <v>5487</v>
      </c>
      <c r="D4754" t="s">
        <v>4119</v>
      </c>
      <c r="E4754" t="s">
        <v>5756</v>
      </c>
      <c r="F4754" t="s">
        <v>19112</v>
      </c>
      <c r="G4754" t="s">
        <v>7426</v>
      </c>
      <c r="H4754" t="s">
        <v>5474</v>
      </c>
      <c r="I4754" t="s">
        <v>19113</v>
      </c>
      <c r="J4754" t="s">
        <v>5476</v>
      </c>
      <c r="K4754" t="s">
        <v>19114</v>
      </c>
      <c r="L4754" t="s">
        <v>5471</v>
      </c>
      <c r="M4754" t="s">
        <v>5471</v>
      </c>
    </row>
    <row r="4755" spans="1:13" x14ac:dyDescent="0.3">
      <c r="A4755" t="s">
        <v>3397</v>
      </c>
      <c r="B4755" t="s">
        <v>7424</v>
      </c>
      <c r="C4755" t="s">
        <v>5487</v>
      </c>
      <c r="D4755" t="s">
        <v>4119</v>
      </c>
      <c r="E4755" t="s">
        <v>5756</v>
      </c>
      <c r="F4755" t="s">
        <v>19115</v>
      </c>
      <c r="G4755" t="s">
        <v>7426</v>
      </c>
      <c r="H4755" t="s">
        <v>5474</v>
      </c>
      <c r="I4755" t="s">
        <v>19116</v>
      </c>
      <c r="J4755" t="s">
        <v>5476</v>
      </c>
      <c r="K4755" t="s">
        <v>19117</v>
      </c>
      <c r="L4755" t="s">
        <v>5471</v>
      </c>
      <c r="M4755" t="s">
        <v>5471</v>
      </c>
    </row>
    <row r="4756" spans="1:13" x14ac:dyDescent="0.3">
      <c r="A4756" t="s">
        <v>3397</v>
      </c>
      <c r="B4756" t="s">
        <v>7424</v>
      </c>
      <c r="C4756" t="s">
        <v>5487</v>
      </c>
      <c r="D4756" t="s">
        <v>4119</v>
      </c>
      <c r="E4756" t="s">
        <v>5756</v>
      </c>
      <c r="F4756" t="s">
        <v>19118</v>
      </c>
      <c r="G4756" t="s">
        <v>7426</v>
      </c>
      <c r="H4756" t="s">
        <v>5474</v>
      </c>
      <c r="I4756" t="s">
        <v>19119</v>
      </c>
      <c r="J4756" t="s">
        <v>5476</v>
      </c>
      <c r="K4756" t="s">
        <v>14061</v>
      </c>
      <c r="L4756" t="s">
        <v>5471</v>
      </c>
      <c r="M4756" t="s">
        <v>5471</v>
      </c>
    </row>
    <row r="4757" spans="1:13" x14ac:dyDescent="0.3">
      <c r="A4757" t="s">
        <v>3397</v>
      </c>
      <c r="B4757" t="s">
        <v>7424</v>
      </c>
      <c r="C4757" t="s">
        <v>5487</v>
      </c>
      <c r="D4757" t="s">
        <v>4119</v>
      </c>
      <c r="E4757" t="s">
        <v>5756</v>
      </c>
      <c r="F4757" t="s">
        <v>19120</v>
      </c>
      <c r="G4757" t="s">
        <v>7426</v>
      </c>
      <c r="H4757" t="s">
        <v>5474</v>
      </c>
      <c r="I4757" t="s">
        <v>19121</v>
      </c>
      <c r="J4757" t="s">
        <v>5476</v>
      </c>
      <c r="K4757" t="s">
        <v>19122</v>
      </c>
      <c r="L4757" t="s">
        <v>5471</v>
      </c>
      <c r="M4757" t="s">
        <v>5471</v>
      </c>
    </row>
    <row r="4758" spans="1:13" x14ac:dyDescent="0.3">
      <c r="A4758" t="s">
        <v>3397</v>
      </c>
      <c r="B4758" t="s">
        <v>7424</v>
      </c>
      <c r="C4758" t="s">
        <v>5487</v>
      </c>
      <c r="D4758" t="s">
        <v>4119</v>
      </c>
      <c r="E4758" t="s">
        <v>5756</v>
      </c>
      <c r="F4758" t="s">
        <v>19123</v>
      </c>
      <c r="G4758" t="s">
        <v>7426</v>
      </c>
      <c r="H4758" t="s">
        <v>5474</v>
      </c>
      <c r="I4758" t="s">
        <v>19124</v>
      </c>
      <c r="J4758" t="s">
        <v>5476</v>
      </c>
      <c r="K4758" t="s">
        <v>19125</v>
      </c>
      <c r="L4758" t="s">
        <v>5471</v>
      </c>
      <c r="M4758" t="s">
        <v>5471</v>
      </c>
    </row>
    <row r="4759" spans="1:13" x14ac:dyDescent="0.3">
      <c r="A4759" t="s">
        <v>3397</v>
      </c>
      <c r="B4759" t="s">
        <v>7424</v>
      </c>
      <c r="C4759" t="s">
        <v>5487</v>
      </c>
      <c r="D4759" t="s">
        <v>4119</v>
      </c>
      <c r="E4759" t="s">
        <v>5756</v>
      </c>
      <c r="F4759" t="s">
        <v>19126</v>
      </c>
      <c r="G4759" t="s">
        <v>7426</v>
      </c>
      <c r="H4759" t="s">
        <v>5474</v>
      </c>
      <c r="I4759" t="s">
        <v>19127</v>
      </c>
      <c r="J4759" t="s">
        <v>5476</v>
      </c>
      <c r="K4759" t="s">
        <v>19128</v>
      </c>
      <c r="L4759" t="s">
        <v>5471</v>
      </c>
      <c r="M4759" t="s">
        <v>5471</v>
      </c>
    </row>
    <row r="4760" spans="1:13" x14ac:dyDescent="0.3">
      <c r="A4760" t="s">
        <v>3397</v>
      </c>
      <c r="B4760" t="s">
        <v>7424</v>
      </c>
      <c r="C4760" t="s">
        <v>5487</v>
      </c>
      <c r="D4760" t="s">
        <v>4119</v>
      </c>
      <c r="E4760" t="s">
        <v>5756</v>
      </c>
      <c r="F4760" t="s">
        <v>19129</v>
      </c>
      <c r="G4760" t="s">
        <v>7426</v>
      </c>
      <c r="H4760" t="s">
        <v>5474</v>
      </c>
      <c r="I4760" t="s">
        <v>19130</v>
      </c>
      <c r="J4760" t="s">
        <v>5476</v>
      </c>
      <c r="K4760" t="s">
        <v>19131</v>
      </c>
      <c r="L4760" t="s">
        <v>5471</v>
      </c>
      <c r="M4760" t="s">
        <v>5471</v>
      </c>
    </row>
    <row r="4761" spans="1:13" x14ac:dyDescent="0.3">
      <c r="A4761" t="s">
        <v>3397</v>
      </c>
      <c r="B4761" t="s">
        <v>7424</v>
      </c>
      <c r="C4761" t="s">
        <v>5487</v>
      </c>
      <c r="D4761" t="s">
        <v>4119</v>
      </c>
      <c r="E4761" t="s">
        <v>5756</v>
      </c>
      <c r="F4761" t="s">
        <v>19132</v>
      </c>
      <c r="G4761" t="s">
        <v>7426</v>
      </c>
      <c r="H4761" t="s">
        <v>5474</v>
      </c>
      <c r="I4761" t="s">
        <v>19133</v>
      </c>
      <c r="J4761" t="s">
        <v>5476</v>
      </c>
      <c r="K4761" t="s">
        <v>19134</v>
      </c>
      <c r="L4761" t="s">
        <v>5471</v>
      </c>
      <c r="M4761" t="s">
        <v>5471</v>
      </c>
    </row>
    <row r="4762" spans="1:13" x14ac:dyDescent="0.3">
      <c r="A4762" t="s">
        <v>3397</v>
      </c>
      <c r="B4762" t="s">
        <v>7424</v>
      </c>
      <c r="C4762" t="s">
        <v>5487</v>
      </c>
      <c r="D4762" t="s">
        <v>4119</v>
      </c>
      <c r="E4762" t="s">
        <v>5756</v>
      </c>
      <c r="F4762" t="s">
        <v>19135</v>
      </c>
      <c r="G4762" t="s">
        <v>7426</v>
      </c>
      <c r="H4762" t="s">
        <v>5474</v>
      </c>
      <c r="I4762" t="s">
        <v>19136</v>
      </c>
      <c r="J4762" t="s">
        <v>5476</v>
      </c>
      <c r="K4762" t="s">
        <v>19137</v>
      </c>
      <c r="L4762" t="s">
        <v>5471</v>
      </c>
      <c r="M4762" t="s">
        <v>5471</v>
      </c>
    </row>
    <row r="4763" spans="1:13" x14ac:dyDescent="0.3">
      <c r="A4763" t="s">
        <v>3397</v>
      </c>
      <c r="B4763" t="s">
        <v>7424</v>
      </c>
      <c r="C4763" t="s">
        <v>5487</v>
      </c>
      <c r="D4763" t="s">
        <v>4119</v>
      </c>
      <c r="E4763" t="s">
        <v>5756</v>
      </c>
      <c r="F4763" t="s">
        <v>19138</v>
      </c>
      <c r="G4763" t="s">
        <v>7426</v>
      </c>
      <c r="H4763" t="s">
        <v>5474</v>
      </c>
      <c r="I4763" t="s">
        <v>19139</v>
      </c>
      <c r="J4763" t="s">
        <v>5476</v>
      </c>
      <c r="K4763" t="s">
        <v>19140</v>
      </c>
      <c r="L4763" t="s">
        <v>5471</v>
      </c>
      <c r="M4763" t="s">
        <v>5471</v>
      </c>
    </row>
    <row r="4764" spans="1:13" x14ac:dyDescent="0.3">
      <c r="A4764" t="s">
        <v>3397</v>
      </c>
      <c r="B4764" t="s">
        <v>7424</v>
      </c>
      <c r="C4764" t="s">
        <v>5487</v>
      </c>
      <c r="D4764" t="s">
        <v>4119</v>
      </c>
      <c r="E4764" t="s">
        <v>5756</v>
      </c>
      <c r="F4764" t="s">
        <v>19141</v>
      </c>
      <c r="G4764" t="s">
        <v>7426</v>
      </c>
      <c r="H4764" t="s">
        <v>5474</v>
      </c>
      <c r="I4764" t="s">
        <v>19142</v>
      </c>
      <c r="J4764" t="s">
        <v>5476</v>
      </c>
      <c r="K4764" t="s">
        <v>19143</v>
      </c>
      <c r="L4764" t="s">
        <v>5471</v>
      </c>
      <c r="M4764" t="s">
        <v>5471</v>
      </c>
    </row>
    <row r="4765" spans="1:13" x14ac:dyDescent="0.3">
      <c r="A4765" t="s">
        <v>3397</v>
      </c>
      <c r="B4765" t="s">
        <v>7424</v>
      </c>
      <c r="C4765" t="s">
        <v>5487</v>
      </c>
      <c r="D4765" t="s">
        <v>4119</v>
      </c>
      <c r="E4765" t="s">
        <v>5756</v>
      </c>
      <c r="F4765" t="s">
        <v>19144</v>
      </c>
      <c r="G4765" t="s">
        <v>7426</v>
      </c>
      <c r="H4765" t="s">
        <v>5474</v>
      </c>
      <c r="I4765" t="s">
        <v>19145</v>
      </c>
      <c r="J4765" t="s">
        <v>5476</v>
      </c>
      <c r="K4765" t="s">
        <v>19146</v>
      </c>
      <c r="L4765" t="s">
        <v>5471</v>
      </c>
      <c r="M4765" t="s">
        <v>5471</v>
      </c>
    </row>
    <row r="4766" spans="1:13" x14ac:dyDescent="0.3">
      <c r="A4766" t="s">
        <v>3397</v>
      </c>
      <c r="B4766" t="s">
        <v>7424</v>
      </c>
      <c r="C4766" t="s">
        <v>5487</v>
      </c>
      <c r="D4766" t="s">
        <v>4119</v>
      </c>
      <c r="E4766" t="s">
        <v>5756</v>
      </c>
      <c r="F4766" t="s">
        <v>19147</v>
      </c>
      <c r="G4766" t="s">
        <v>7426</v>
      </c>
      <c r="H4766" t="s">
        <v>5474</v>
      </c>
      <c r="I4766" t="s">
        <v>19148</v>
      </c>
      <c r="J4766" t="s">
        <v>5476</v>
      </c>
      <c r="K4766" t="s">
        <v>19149</v>
      </c>
      <c r="L4766" t="s">
        <v>5471</v>
      </c>
      <c r="M4766" t="s">
        <v>5471</v>
      </c>
    </row>
    <row r="4767" spans="1:13" x14ac:dyDescent="0.3">
      <c r="A4767" t="s">
        <v>3397</v>
      </c>
      <c r="B4767" t="s">
        <v>7424</v>
      </c>
      <c r="C4767" t="s">
        <v>5487</v>
      </c>
      <c r="D4767" t="s">
        <v>4119</v>
      </c>
      <c r="E4767" t="s">
        <v>5756</v>
      </c>
      <c r="F4767" t="s">
        <v>19150</v>
      </c>
      <c r="G4767" t="s">
        <v>7426</v>
      </c>
      <c r="H4767" t="s">
        <v>5474</v>
      </c>
      <c r="I4767" t="s">
        <v>19151</v>
      </c>
      <c r="J4767" t="s">
        <v>5476</v>
      </c>
      <c r="K4767" t="s">
        <v>19152</v>
      </c>
      <c r="L4767" t="s">
        <v>5471</v>
      </c>
      <c r="M4767" t="s">
        <v>5471</v>
      </c>
    </row>
    <row r="4768" spans="1:13" x14ac:dyDescent="0.3">
      <c r="A4768" t="s">
        <v>3397</v>
      </c>
      <c r="B4768" t="s">
        <v>7424</v>
      </c>
      <c r="C4768" t="s">
        <v>5487</v>
      </c>
      <c r="D4768" t="s">
        <v>4119</v>
      </c>
      <c r="E4768" t="s">
        <v>5756</v>
      </c>
      <c r="F4768" t="s">
        <v>19153</v>
      </c>
      <c r="G4768" t="s">
        <v>7426</v>
      </c>
      <c r="H4768" t="s">
        <v>5474</v>
      </c>
      <c r="I4768" t="s">
        <v>19154</v>
      </c>
      <c r="J4768" t="s">
        <v>5476</v>
      </c>
      <c r="K4768" t="s">
        <v>19155</v>
      </c>
      <c r="L4768" t="s">
        <v>5471</v>
      </c>
      <c r="M4768" t="s">
        <v>5471</v>
      </c>
    </row>
    <row r="4769" spans="1:13" x14ac:dyDescent="0.3">
      <c r="A4769" t="s">
        <v>3397</v>
      </c>
      <c r="B4769" t="s">
        <v>7424</v>
      </c>
      <c r="C4769" t="s">
        <v>5487</v>
      </c>
      <c r="D4769" t="s">
        <v>4119</v>
      </c>
      <c r="E4769" t="s">
        <v>5756</v>
      </c>
      <c r="F4769" t="s">
        <v>19156</v>
      </c>
      <c r="G4769" t="s">
        <v>7426</v>
      </c>
      <c r="H4769" t="s">
        <v>5474</v>
      </c>
      <c r="I4769" t="s">
        <v>19157</v>
      </c>
      <c r="J4769" t="s">
        <v>5476</v>
      </c>
      <c r="K4769" t="s">
        <v>19158</v>
      </c>
      <c r="L4769" t="s">
        <v>5471</v>
      </c>
      <c r="M4769" t="s">
        <v>5471</v>
      </c>
    </row>
    <row r="4770" spans="1:13" x14ac:dyDescent="0.3">
      <c r="A4770" t="s">
        <v>3397</v>
      </c>
      <c r="B4770" t="s">
        <v>7424</v>
      </c>
      <c r="C4770" t="s">
        <v>5487</v>
      </c>
      <c r="D4770" t="s">
        <v>4119</v>
      </c>
      <c r="E4770" t="s">
        <v>5756</v>
      </c>
      <c r="F4770" t="s">
        <v>19159</v>
      </c>
      <c r="G4770" t="s">
        <v>7426</v>
      </c>
      <c r="H4770" t="s">
        <v>5474</v>
      </c>
      <c r="I4770" t="s">
        <v>19160</v>
      </c>
      <c r="J4770" t="s">
        <v>5476</v>
      </c>
      <c r="K4770" t="s">
        <v>19161</v>
      </c>
      <c r="L4770" t="s">
        <v>5471</v>
      </c>
      <c r="M4770" t="s">
        <v>5471</v>
      </c>
    </row>
    <row r="4771" spans="1:13" x14ac:dyDescent="0.3">
      <c r="A4771" t="s">
        <v>3397</v>
      </c>
      <c r="B4771" t="s">
        <v>7424</v>
      </c>
      <c r="C4771" t="s">
        <v>5487</v>
      </c>
      <c r="D4771" t="s">
        <v>4119</v>
      </c>
      <c r="E4771" t="s">
        <v>5756</v>
      </c>
      <c r="F4771" t="s">
        <v>19162</v>
      </c>
      <c r="G4771" t="s">
        <v>7426</v>
      </c>
      <c r="H4771" t="s">
        <v>5474</v>
      </c>
      <c r="I4771" t="s">
        <v>19163</v>
      </c>
      <c r="J4771" t="s">
        <v>5476</v>
      </c>
      <c r="K4771" t="s">
        <v>19164</v>
      </c>
      <c r="L4771" t="s">
        <v>5471</v>
      </c>
      <c r="M4771" t="s">
        <v>5471</v>
      </c>
    </row>
    <row r="4772" spans="1:13" x14ac:dyDescent="0.3">
      <c r="A4772" t="s">
        <v>3397</v>
      </c>
      <c r="B4772" t="s">
        <v>7424</v>
      </c>
      <c r="C4772" t="s">
        <v>5487</v>
      </c>
      <c r="D4772" t="s">
        <v>4119</v>
      </c>
      <c r="E4772" t="s">
        <v>5756</v>
      </c>
      <c r="F4772" t="s">
        <v>19165</v>
      </c>
      <c r="G4772" t="s">
        <v>7426</v>
      </c>
      <c r="H4772" t="s">
        <v>5474</v>
      </c>
      <c r="I4772" t="s">
        <v>19166</v>
      </c>
      <c r="J4772" t="s">
        <v>5476</v>
      </c>
      <c r="K4772" t="s">
        <v>19167</v>
      </c>
      <c r="L4772" t="s">
        <v>5471</v>
      </c>
      <c r="M4772" t="s">
        <v>5471</v>
      </c>
    </row>
    <row r="4773" spans="1:13" x14ac:dyDescent="0.3">
      <c r="A4773" t="s">
        <v>3397</v>
      </c>
      <c r="B4773" t="s">
        <v>7424</v>
      </c>
      <c r="C4773" t="s">
        <v>5487</v>
      </c>
      <c r="D4773" t="s">
        <v>4119</v>
      </c>
      <c r="E4773" t="s">
        <v>5756</v>
      </c>
      <c r="F4773" t="s">
        <v>19168</v>
      </c>
      <c r="G4773" t="s">
        <v>7426</v>
      </c>
      <c r="H4773" t="s">
        <v>5474</v>
      </c>
      <c r="I4773" t="s">
        <v>19169</v>
      </c>
      <c r="J4773" t="s">
        <v>5476</v>
      </c>
      <c r="K4773" t="s">
        <v>19170</v>
      </c>
      <c r="L4773" t="s">
        <v>5471</v>
      </c>
      <c r="M4773" t="s">
        <v>5471</v>
      </c>
    </row>
    <row r="4774" spans="1:13" x14ac:dyDescent="0.3">
      <c r="A4774" t="s">
        <v>3397</v>
      </c>
      <c r="B4774" t="s">
        <v>7424</v>
      </c>
      <c r="C4774" t="s">
        <v>5487</v>
      </c>
      <c r="D4774" t="s">
        <v>4119</v>
      </c>
      <c r="E4774" t="s">
        <v>5756</v>
      </c>
      <c r="F4774" t="s">
        <v>19171</v>
      </c>
      <c r="G4774" t="s">
        <v>7426</v>
      </c>
      <c r="H4774" t="s">
        <v>5474</v>
      </c>
      <c r="I4774" t="s">
        <v>19172</v>
      </c>
      <c r="J4774" t="s">
        <v>5476</v>
      </c>
      <c r="K4774" t="s">
        <v>19173</v>
      </c>
      <c r="L4774" t="s">
        <v>5471</v>
      </c>
      <c r="M4774" t="s">
        <v>5471</v>
      </c>
    </row>
    <row r="4775" spans="1:13" x14ac:dyDescent="0.3">
      <c r="A4775" t="s">
        <v>3397</v>
      </c>
      <c r="B4775" t="s">
        <v>7424</v>
      </c>
      <c r="C4775" t="s">
        <v>5487</v>
      </c>
      <c r="D4775" t="s">
        <v>4119</v>
      </c>
      <c r="E4775" t="s">
        <v>5756</v>
      </c>
      <c r="F4775" t="s">
        <v>19174</v>
      </c>
      <c r="G4775" t="s">
        <v>7426</v>
      </c>
      <c r="H4775" t="s">
        <v>5474</v>
      </c>
      <c r="I4775" t="s">
        <v>19175</v>
      </c>
      <c r="J4775" t="s">
        <v>5476</v>
      </c>
      <c r="K4775" t="s">
        <v>19176</v>
      </c>
      <c r="L4775" t="s">
        <v>5471</v>
      </c>
      <c r="M4775" t="s">
        <v>5471</v>
      </c>
    </row>
    <row r="4776" spans="1:13" x14ac:dyDescent="0.3">
      <c r="A4776" t="s">
        <v>3397</v>
      </c>
      <c r="B4776" t="s">
        <v>7424</v>
      </c>
      <c r="C4776" t="s">
        <v>5487</v>
      </c>
      <c r="D4776" t="s">
        <v>4119</v>
      </c>
      <c r="E4776" t="s">
        <v>5756</v>
      </c>
      <c r="F4776" t="s">
        <v>19177</v>
      </c>
      <c r="G4776" t="s">
        <v>7426</v>
      </c>
      <c r="H4776" t="s">
        <v>5474</v>
      </c>
      <c r="I4776" t="s">
        <v>19178</v>
      </c>
      <c r="J4776" t="s">
        <v>5476</v>
      </c>
      <c r="K4776" t="s">
        <v>19179</v>
      </c>
      <c r="L4776" t="s">
        <v>5471</v>
      </c>
      <c r="M4776" t="s">
        <v>5471</v>
      </c>
    </row>
    <row r="4777" spans="1:13" x14ac:dyDescent="0.3">
      <c r="A4777" t="s">
        <v>3397</v>
      </c>
      <c r="B4777" t="s">
        <v>7424</v>
      </c>
      <c r="C4777" t="s">
        <v>5487</v>
      </c>
      <c r="D4777" t="s">
        <v>4119</v>
      </c>
      <c r="E4777" t="s">
        <v>5756</v>
      </c>
      <c r="F4777" t="s">
        <v>19180</v>
      </c>
      <c r="G4777" t="s">
        <v>7426</v>
      </c>
      <c r="H4777" t="s">
        <v>5474</v>
      </c>
      <c r="I4777" t="s">
        <v>19181</v>
      </c>
      <c r="J4777" t="s">
        <v>5476</v>
      </c>
      <c r="K4777" t="s">
        <v>19182</v>
      </c>
      <c r="L4777" t="s">
        <v>5471</v>
      </c>
      <c r="M4777" t="s">
        <v>5471</v>
      </c>
    </row>
    <row r="4778" spans="1:13" x14ac:dyDescent="0.3">
      <c r="A4778" t="s">
        <v>3397</v>
      </c>
      <c r="B4778" t="s">
        <v>7424</v>
      </c>
      <c r="C4778" t="s">
        <v>5487</v>
      </c>
      <c r="D4778" t="s">
        <v>4119</v>
      </c>
      <c r="E4778" t="s">
        <v>5756</v>
      </c>
      <c r="F4778" t="s">
        <v>19183</v>
      </c>
      <c r="G4778" t="s">
        <v>7426</v>
      </c>
      <c r="H4778" t="s">
        <v>5474</v>
      </c>
      <c r="I4778" t="s">
        <v>19184</v>
      </c>
      <c r="J4778" t="s">
        <v>5476</v>
      </c>
      <c r="K4778" t="s">
        <v>19185</v>
      </c>
      <c r="L4778" t="s">
        <v>5471</v>
      </c>
      <c r="M4778" t="s">
        <v>5471</v>
      </c>
    </row>
    <row r="4779" spans="1:13" x14ac:dyDescent="0.3">
      <c r="A4779" t="s">
        <v>3397</v>
      </c>
      <c r="B4779" t="s">
        <v>7424</v>
      </c>
      <c r="C4779" t="s">
        <v>5487</v>
      </c>
      <c r="D4779" t="s">
        <v>4119</v>
      </c>
      <c r="E4779" t="s">
        <v>5756</v>
      </c>
      <c r="F4779" t="s">
        <v>19186</v>
      </c>
      <c r="G4779" t="s">
        <v>7426</v>
      </c>
      <c r="H4779" t="s">
        <v>5474</v>
      </c>
      <c r="I4779" t="s">
        <v>19187</v>
      </c>
      <c r="J4779" t="s">
        <v>5476</v>
      </c>
      <c r="K4779" t="s">
        <v>19188</v>
      </c>
      <c r="L4779" t="s">
        <v>5471</v>
      </c>
      <c r="M4779" t="s">
        <v>5471</v>
      </c>
    </row>
    <row r="4780" spans="1:13" x14ac:dyDescent="0.3">
      <c r="A4780" t="s">
        <v>3397</v>
      </c>
      <c r="B4780" t="s">
        <v>7424</v>
      </c>
      <c r="C4780" t="s">
        <v>5487</v>
      </c>
      <c r="D4780" t="s">
        <v>4119</v>
      </c>
      <c r="E4780" t="s">
        <v>5756</v>
      </c>
      <c r="F4780" t="s">
        <v>19189</v>
      </c>
      <c r="G4780" t="s">
        <v>7426</v>
      </c>
      <c r="H4780" t="s">
        <v>5474</v>
      </c>
      <c r="I4780" t="s">
        <v>19190</v>
      </c>
      <c r="J4780" t="s">
        <v>5476</v>
      </c>
      <c r="K4780" t="s">
        <v>19191</v>
      </c>
      <c r="L4780" t="s">
        <v>5471</v>
      </c>
      <c r="M4780" t="s">
        <v>5471</v>
      </c>
    </row>
    <row r="4781" spans="1:13" x14ac:dyDescent="0.3">
      <c r="A4781" t="s">
        <v>3397</v>
      </c>
      <c r="B4781" t="s">
        <v>7424</v>
      </c>
      <c r="C4781" t="s">
        <v>5487</v>
      </c>
      <c r="D4781" t="s">
        <v>4119</v>
      </c>
      <c r="E4781" t="s">
        <v>5756</v>
      </c>
      <c r="F4781" t="s">
        <v>19192</v>
      </c>
      <c r="G4781" t="s">
        <v>7426</v>
      </c>
      <c r="H4781" t="s">
        <v>5474</v>
      </c>
      <c r="I4781" t="s">
        <v>19193</v>
      </c>
      <c r="J4781" t="s">
        <v>5476</v>
      </c>
      <c r="K4781" t="s">
        <v>14187</v>
      </c>
      <c r="L4781" t="s">
        <v>5471</v>
      </c>
      <c r="M4781" t="s">
        <v>5471</v>
      </c>
    </row>
    <row r="4782" spans="1:13" x14ac:dyDescent="0.3">
      <c r="A4782" t="s">
        <v>3388</v>
      </c>
      <c r="B4782" t="s">
        <v>7109</v>
      </c>
      <c r="C4782" t="s">
        <v>5470</v>
      </c>
      <c r="D4782" t="s">
        <v>4119</v>
      </c>
      <c r="E4782" t="s">
        <v>5756</v>
      </c>
      <c r="F4782" t="s">
        <v>19194</v>
      </c>
      <c r="G4782" t="s">
        <v>19195</v>
      </c>
      <c r="H4782" t="s">
        <v>5474</v>
      </c>
      <c r="I4782" t="s">
        <v>19196</v>
      </c>
      <c r="J4782" t="s">
        <v>5476</v>
      </c>
      <c r="K4782" t="s">
        <v>19197</v>
      </c>
      <c r="L4782" t="s">
        <v>5471</v>
      </c>
      <c r="M4782" t="s">
        <v>5471</v>
      </c>
    </row>
    <row r="4783" spans="1:13" x14ac:dyDescent="0.3">
      <c r="A4783" t="s">
        <v>3397</v>
      </c>
      <c r="B4783" t="s">
        <v>7424</v>
      </c>
      <c r="C4783" t="s">
        <v>5487</v>
      </c>
      <c r="D4783" t="s">
        <v>4119</v>
      </c>
      <c r="E4783" t="s">
        <v>5756</v>
      </c>
      <c r="F4783" t="s">
        <v>19198</v>
      </c>
      <c r="G4783" t="s">
        <v>7426</v>
      </c>
      <c r="H4783" t="s">
        <v>5474</v>
      </c>
      <c r="I4783" t="s">
        <v>19199</v>
      </c>
      <c r="J4783" t="s">
        <v>5476</v>
      </c>
      <c r="K4783" t="s">
        <v>19200</v>
      </c>
      <c r="L4783" t="s">
        <v>5471</v>
      </c>
      <c r="M4783" t="s">
        <v>5471</v>
      </c>
    </row>
    <row r="4784" spans="1:13" x14ac:dyDescent="0.3">
      <c r="A4784" t="s">
        <v>3397</v>
      </c>
      <c r="B4784" t="s">
        <v>7424</v>
      </c>
      <c r="C4784" t="s">
        <v>5487</v>
      </c>
      <c r="D4784" t="s">
        <v>4119</v>
      </c>
      <c r="E4784" t="s">
        <v>5756</v>
      </c>
      <c r="F4784" t="s">
        <v>19201</v>
      </c>
      <c r="G4784" t="s">
        <v>7426</v>
      </c>
      <c r="H4784" t="s">
        <v>5474</v>
      </c>
      <c r="I4784" t="s">
        <v>19202</v>
      </c>
      <c r="J4784" t="s">
        <v>5476</v>
      </c>
      <c r="K4784" t="s">
        <v>19203</v>
      </c>
      <c r="L4784" t="s">
        <v>5471</v>
      </c>
      <c r="M4784" t="s">
        <v>5471</v>
      </c>
    </row>
    <row r="4785" spans="1:13" x14ac:dyDescent="0.3">
      <c r="A4785" t="s">
        <v>3397</v>
      </c>
      <c r="B4785" t="s">
        <v>7424</v>
      </c>
      <c r="C4785" t="s">
        <v>5487</v>
      </c>
      <c r="D4785" t="s">
        <v>4119</v>
      </c>
      <c r="E4785" t="s">
        <v>5756</v>
      </c>
      <c r="F4785" t="s">
        <v>19204</v>
      </c>
      <c r="G4785" t="s">
        <v>7426</v>
      </c>
      <c r="H4785" t="s">
        <v>5474</v>
      </c>
      <c r="I4785" t="s">
        <v>19205</v>
      </c>
      <c r="J4785" t="s">
        <v>5476</v>
      </c>
      <c r="K4785" t="s">
        <v>19206</v>
      </c>
      <c r="L4785" t="s">
        <v>5471</v>
      </c>
      <c r="M4785" t="s">
        <v>5471</v>
      </c>
    </row>
    <row r="4786" spans="1:13" x14ac:dyDescent="0.3">
      <c r="A4786" t="s">
        <v>3388</v>
      </c>
      <c r="B4786" t="s">
        <v>19207</v>
      </c>
      <c r="C4786" t="s">
        <v>5470</v>
      </c>
      <c r="D4786" t="s">
        <v>4119</v>
      </c>
      <c r="E4786" t="s">
        <v>5532</v>
      </c>
      <c r="F4786" t="s">
        <v>19208</v>
      </c>
      <c r="G4786" t="s">
        <v>19209</v>
      </c>
      <c r="H4786" t="s">
        <v>5474</v>
      </c>
      <c r="I4786" t="s">
        <v>19210</v>
      </c>
      <c r="J4786" t="s">
        <v>5476</v>
      </c>
      <c r="K4786" t="s">
        <v>19211</v>
      </c>
      <c r="L4786" t="s">
        <v>5471</v>
      </c>
      <c r="M4786" t="s">
        <v>5471</v>
      </c>
    </row>
    <row r="4787" spans="1:13" x14ac:dyDescent="0.3">
      <c r="A4787" t="s">
        <v>3397</v>
      </c>
      <c r="B4787" t="s">
        <v>7424</v>
      </c>
      <c r="C4787" t="s">
        <v>5487</v>
      </c>
      <c r="D4787" t="s">
        <v>4119</v>
      </c>
      <c r="E4787" t="s">
        <v>5756</v>
      </c>
      <c r="F4787" t="s">
        <v>19212</v>
      </c>
      <c r="G4787" t="s">
        <v>7426</v>
      </c>
      <c r="H4787" t="s">
        <v>5474</v>
      </c>
      <c r="I4787" t="s">
        <v>19213</v>
      </c>
      <c r="J4787" t="s">
        <v>5476</v>
      </c>
      <c r="K4787" t="s">
        <v>19214</v>
      </c>
      <c r="L4787" t="s">
        <v>5471</v>
      </c>
      <c r="M4787" t="s">
        <v>5471</v>
      </c>
    </row>
    <row r="4788" spans="1:13" x14ac:dyDescent="0.3">
      <c r="A4788" t="s">
        <v>3397</v>
      </c>
      <c r="B4788" t="s">
        <v>7424</v>
      </c>
      <c r="C4788" t="s">
        <v>5487</v>
      </c>
      <c r="D4788" t="s">
        <v>4119</v>
      </c>
      <c r="E4788" t="s">
        <v>5756</v>
      </c>
      <c r="F4788" t="s">
        <v>19215</v>
      </c>
      <c r="G4788" t="s">
        <v>7426</v>
      </c>
      <c r="H4788" t="s">
        <v>5474</v>
      </c>
      <c r="I4788" t="s">
        <v>19216</v>
      </c>
      <c r="J4788" t="s">
        <v>5476</v>
      </c>
      <c r="K4788" t="s">
        <v>19217</v>
      </c>
      <c r="L4788" t="s">
        <v>5471</v>
      </c>
      <c r="M4788" t="s">
        <v>5471</v>
      </c>
    </row>
    <row r="4789" spans="1:13" x14ac:dyDescent="0.3">
      <c r="A4789" t="s">
        <v>3397</v>
      </c>
      <c r="B4789" t="s">
        <v>7424</v>
      </c>
      <c r="C4789" t="s">
        <v>5487</v>
      </c>
      <c r="D4789" t="s">
        <v>4119</v>
      </c>
      <c r="E4789" t="s">
        <v>5756</v>
      </c>
      <c r="F4789" t="s">
        <v>19218</v>
      </c>
      <c r="G4789" t="s">
        <v>7426</v>
      </c>
      <c r="H4789" t="s">
        <v>5474</v>
      </c>
      <c r="I4789" t="s">
        <v>19219</v>
      </c>
      <c r="J4789" t="s">
        <v>5476</v>
      </c>
      <c r="K4789" t="s">
        <v>19220</v>
      </c>
      <c r="L4789" t="s">
        <v>5471</v>
      </c>
      <c r="M4789" t="s">
        <v>5471</v>
      </c>
    </row>
    <row r="4790" spans="1:13" x14ac:dyDescent="0.3">
      <c r="A4790" t="s">
        <v>3397</v>
      </c>
      <c r="B4790" t="s">
        <v>7424</v>
      </c>
      <c r="C4790" t="s">
        <v>5487</v>
      </c>
      <c r="D4790" t="s">
        <v>4119</v>
      </c>
      <c r="E4790" t="s">
        <v>5756</v>
      </c>
      <c r="F4790" t="s">
        <v>19221</v>
      </c>
      <c r="G4790" t="s">
        <v>7426</v>
      </c>
      <c r="H4790" t="s">
        <v>5474</v>
      </c>
      <c r="I4790" t="s">
        <v>19222</v>
      </c>
      <c r="J4790" t="s">
        <v>5476</v>
      </c>
      <c r="K4790" t="s">
        <v>19223</v>
      </c>
      <c r="L4790" t="s">
        <v>5471</v>
      </c>
      <c r="M4790" t="s">
        <v>5471</v>
      </c>
    </row>
    <row r="4791" spans="1:13" x14ac:dyDescent="0.3">
      <c r="A4791" t="s">
        <v>3397</v>
      </c>
      <c r="B4791" t="s">
        <v>7424</v>
      </c>
      <c r="C4791" t="s">
        <v>5487</v>
      </c>
      <c r="D4791" t="s">
        <v>4119</v>
      </c>
      <c r="E4791" t="s">
        <v>5756</v>
      </c>
      <c r="F4791" t="s">
        <v>19224</v>
      </c>
      <c r="G4791" t="s">
        <v>7426</v>
      </c>
      <c r="H4791" t="s">
        <v>5474</v>
      </c>
      <c r="I4791" t="s">
        <v>19225</v>
      </c>
      <c r="J4791" t="s">
        <v>5476</v>
      </c>
      <c r="K4791" t="s">
        <v>19226</v>
      </c>
      <c r="L4791" t="s">
        <v>5471</v>
      </c>
      <c r="M4791" t="s">
        <v>5471</v>
      </c>
    </row>
    <row r="4792" spans="1:13" x14ac:dyDescent="0.3">
      <c r="A4792" t="s">
        <v>3388</v>
      </c>
      <c r="B4792" t="s">
        <v>5616</v>
      </c>
      <c r="C4792" t="s">
        <v>5470</v>
      </c>
      <c r="D4792" t="s">
        <v>4119</v>
      </c>
      <c r="E4792" t="s">
        <v>5617</v>
      </c>
      <c r="F4792" t="s">
        <v>19227</v>
      </c>
      <c r="G4792" t="s">
        <v>19228</v>
      </c>
      <c r="H4792" t="s">
        <v>5474</v>
      </c>
      <c r="I4792" t="s">
        <v>19229</v>
      </c>
      <c r="J4792" t="s">
        <v>5484</v>
      </c>
      <c r="K4792" t="s">
        <v>19230</v>
      </c>
      <c r="L4792" t="s">
        <v>5471</v>
      </c>
      <c r="M4792" t="s">
        <v>5471</v>
      </c>
    </row>
    <row r="4793" spans="1:13" x14ac:dyDescent="0.3">
      <c r="A4793" t="s">
        <v>3397</v>
      </c>
      <c r="B4793" t="s">
        <v>7424</v>
      </c>
      <c r="C4793" t="s">
        <v>5487</v>
      </c>
      <c r="D4793" t="s">
        <v>4119</v>
      </c>
      <c r="E4793" t="s">
        <v>5756</v>
      </c>
      <c r="F4793" t="s">
        <v>19231</v>
      </c>
      <c r="G4793" t="s">
        <v>7426</v>
      </c>
      <c r="H4793" t="s">
        <v>5474</v>
      </c>
      <c r="I4793" t="s">
        <v>19232</v>
      </c>
      <c r="J4793" t="s">
        <v>5476</v>
      </c>
      <c r="K4793" t="s">
        <v>19233</v>
      </c>
      <c r="L4793" t="s">
        <v>5471</v>
      </c>
      <c r="M4793" t="s">
        <v>5471</v>
      </c>
    </row>
    <row r="4794" spans="1:13" x14ac:dyDescent="0.3">
      <c r="A4794" t="s">
        <v>3397</v>
      </c>
      <c r="B4794" t="s">
        <v>7424</v>
      </c>
      <c r="C4794" t="s">
        <v>5487</v>
      </c>
      <c r="D4794" t="s">
        <v>4119</v>
      </c>
      <c r="E4794" t="s">
        <v>5756</v>
      </c>
      <c r="F4794" t="s">
        <v>19234</v>
      </c>
      <c r="G4794" t="s">
        <v>7426</v>
      </c>
      <c r="H4794" t="s">
        <v>5474</v>
      </c>
      <c r="I4794" t="s">
        <v>19235</v>
      </c>
      <c r="J4794" t="s">
        <v>5476</v>
      </c>
      <c r="K4794" t="s">
        <v>19236</v>
      </c>
      <c r="L4794" t="s">
        <v>5471</v>
      </c>
      <c r="M4794" t="s">
        <v>5471</v>
      </c>
    </row>
    <row r="4795" spans="1:13" x14ac:dyDescent="0.3">
      <c r="A4795" t="s">
        <v>3397</v>
      </c>
      <c r="B4795" t="s">
        <v>7424</v>
      </c>
      <c r="C4795" t="s">
        <v>5487</v>
      </c>
      <c r="D4795" t="s">
        <v>4119</v>
      </c>
      <c r="E4795" t="s">
        <v>5756</v>
      </c>
      <c r="F4795" t="s">
        <v>19237</v>
      </c>
      <c r="G4795" t="s">
        <v>7426</v>
      </c>
      <c r="H4795" t="s">
        <v>5474</v>
      </c>
      <c r="I4795" t="s">
        <v>19238</v>
      </c>
      <c r="J4795" t="s">
        <v>5476</v>
      </c>
      <c r="K4795" t="s">
        <v>19239</v>
      </c>
      <c r="L4795" t="s">
        <v>5471</v>
      </c>
      <c r="M4795" t="s">
        <v>5471</v>
      </c>
    </row>
    <row r="4796" spans="1:13" x14ac:dyDescent="0.3">
      <c r="A4796" t="s">
        <v>3397</v>
      </c>
      <c r="B4796" t="s">
        <v>7424</v>
      </c>
      <c r="C4796" t="s">
        <v>5487</v>
      </c>
      <c r="D4796" t="s">
        <v>4119</v>
      </c>
      <c r="E4796" t="s">
        <v>5756</v>
      </c>
      <c r="F4796" t="s">
        <v>19240</v>
      </c>
      <c r="G4796" t="s">
        <v>7426</v>
      </c>
      <c r="H4796" t="s">
        <v>5474</v>
      </c>
      <c r="I4796" t="s">
        <v>19241</v>
      </c>
      <c r="J4796" t="s">
        <v>5476</v>
      </c>
      <c r="K4796" t="s">
        <v>19242</v>
      </c>
      <c r="L4796" t="s">
        <v>5471</v>
      </c>
      <c r="M4796" t="s">
        <v>5471</v>
      </c>
    </row>
    <row r="4797" spans="1:13" x14ac:dyDescent="0.3">
      <c r="A4797" t="s">
        <v>3397</v>
      </c>
      <c r="B4797" t="s">
        <v>7424</v>
      </c>
      <c r="C4797" t="s">
        <v>5487</v>
      </c>
      <c r="D4797" t="s">
        <v>4119</v>
      </c>
      <c r="E4797" t="s">
        <v>5756</v>
      </c>
      <c r="F4797" t="s">
        <v>19243</v>
      </c>
      <c r="G4797" t="s">
        <v>7426</v>
      </c>
      <c r="H4797" t="s">
        <v>5474</v>
      </c>
      <c r="I4797" t="s">
        <v>19244</v>
      </c>
      <c r="J4797" t="s">
        <v>5476</v>
      </c>
      <c r="K4797" t="s">
        <v>19245</v>
      </c>
      <c r="L4797" t="s">
        <v>5471</v>
      </c>
      <c r="M4797" t="s">
        <v>5471</v>
      </c>
    </row>
    <row r="4798" spans="1:13" x14ac:dyDescent="0.3">
      <c r="A4798" t="s">
        <v>3397</v>
      </c>
      <c r="B4798" t="s">
        <v>7424</v>
      </c>
      <c r="C4798" t="s">
        <v>5487</v>
      </c>
      <c r="D4798" t="s">
        <v>4119</v>
      </c>
      <c r="E4798" t="s">
        <v>5756</v>
      </c>
      <c r="F4798" t="s">
        <v>19246</v>
      </c>
      <c r="G4798" t="s">
        <v>7426</v>
      </c>
      <c r="H4798" t="s">
        <v>5474</v>
      </c>
      <c r="I4798" t="s">
        <v>19247</v>
      </c>
      <c r="J4798" t="s">
        <v>5476</v>
      </c>
      <c r="K4798" t="s">
        <v>19248</v>
      </c>
      <c r="L4798" t="s">
        <v>5471</v>
      </c>
      <c r="M4798" t="s">
        <v>5471</v>
      </c>
    </row>
    <row r="4799" spans="1:13" x14ac:dyDescent="0.3">
      <c r="A4799" t="s">
        <v>3397</v>
      </c>
      <c r="B4799" t="s">
        <v>7424</v>
      </c>
      <c r="C4799" t="s">
        <v>5487</v>
      </c>
      <c r="D4799" t="s">
        <v>4119</v>
      </c>
      <c r="E4799" t="s">
        <v>5756</v>
      </c>
      <c r="F4799" t="s">
        <v>19249</v>
      </c>
      <c r="G4799" t="s">
        <v>7426</v>
      </c>
      <c r="H4799" t="s">
        <v>5474</v>
      </c>
      <c r="I4799" t="s">
        <v>19250</v>
      </c>
      <c r="J4799" t="s">
        <v>5476</v>
      </c>
      <c r="K4799" t="s">
        <v>19251</v>
      </c>
      <c r="L4799" t="s">
        <v>5471</v>
      </c>
      <c r="M4799" t="s">
        <v>5471</v>
      </c>
    </row>
    <row r="4800" spans="1:13" x14ac:dyDescent="0.3">
      <c r="A4800" t="s">
        <v>3397</v>
      </c>
      <c r="B4800" t="s">
        <v>7424</v>
      </c>
      <c r="C4800" t="s">
        <v>5487</v>
      </c>
      <c r="D4800" t="s">
        <v>4119</v>
      </c>
      <c r="E4800" t="s">
        <v>5756</v>
      </c>
      <c r="F4800" t="s">
        <v>19252</v>
      </c>
      <c r="G4800" t="s">
        <v>7426</v>
      </c>
      <c r="H4800" t="s">
        <v>5474</v>
      </c>
      <c r="I4800" t="s">
        <v>19253</v>
      </c>
      <c r="J4800" t="s">
        <v>5476</v>
      </c>
      <c r="K4800" t="s">
        <v>19254</v>
      </c>
      <c r="L4800" t="s">
        <v>5471</v>
      </c>
      <c r="M4800" t="s">
        <v>5471</v>
      </c>
    </row>
    <row r="4801" spans="1:13" x14ac:dyDescent="0.3">
      <c r="A4801" t="s">
        <v>3397</v>
      </c>
      <c r="B4801" t="s">
        <v>7424</v>
      </c>
      <c r="C4801" t="s">
        <v>5487</v>
      </c>
      <c r="D4801" t="s">
        <v>4119</v>
      </c>
      <c r="E4801" t="s">
        <v>5756</v>
      </c>
      <c r="F4801" t="s">
        <v>19255</v>
      </c>
      <c r="G4801" t="s">
        <v>7426</v>
      </c>
      <c r="H4801" t="s">
        <v>5474</v>
      </c>
      <c r="I4801" t="s">
        <v>19256</v>
      </c>
      <c r="J4801" t="s">
        <v>5476</v>
      </c>
      <c r="K4801" t="s">
        <v>19257</v>
      </c>
      <c r="L4801" t="s">
        <v>5471</v>
      </c>
      <c r="M4801" t="s">
        <v>5471</v>
      </c>
    </row>
    <row r="4802" spans="1:13" x14ac:dyDescent="0.3">
      <c r="A4802" t="s">
        <v>3383</v>
      </c>
      <c r="B4802" t="s">
        <v>6051</v>
      </c>
      <c r="C4802" t="s">
        <v>5470</v>
      </c>
      <c r="D4802" t="s">
        <v>4052</v>
      </c>
      <c r="E4802" t="s">
        <v>5480</v>
      </c>
      <c r="F4802" t="s">
        <v>19258</v>
      </c>
      <c r="G4802" t="s">
        <v>7133</v>
      </c>
      <c r="H4802" t="s">
        <v>5474</v>
      </c>
      <c r="I4802" t="s">
        <v>19259</v>
      </c>
      <c r="J4802" t="s">
        <v>5484</v>
      </c>
      <c r="K4802" t="s">
        <v>19260</v>
      </c>
      <c r="L4802" t="s">
        <v>5471</v>
      </c>
      <c r="M4802" t="s">
        <v>5471</v>
      </c>
    </row>
    <row r="4803" spans="1:13" x14ac:dyDescent="0.3">
      <c r="A4803" t="s">
        <v>3383</v>
      </c>
      <c r="B4803" t="s">
        <v>6051</v>
      </c>
      <c r="C4803" t="s">
        <v>5470</v>
      </c>
      <c r="D4803" t="s">
        <v>4052</v>
      </c>
      <c r="E4803" t="s">
        <v>5480</v>
      </c>
      <c r="F4803" t="s">
        <v>19261</v>
      </c>
      <c r="G4803" t="s">
        <v>7133</v>
      </c>
      <c r="H4803" t="s">
        <v>5474</v>
      </c>
      <c r="I4803" t="s">
        <v>19262</v>
      </c>
      <c r="J4803" t="s">
        <v>5484</v>
      </c>
      <c r="K4803" t="s">
        <v>19263</v>
      </c>
      <c r="L4803" t="s">
        <v>5471</v>
      </c>
      <c r="M4803" t="s">
        <v>5471</v>
      </c>
    </row>
    <row r="4804" spans="1:13" x14ac:dyDescent="0.3">
      <c r="A4804" t="s">
        <v>3380</v>
      </c>
      <c r="B4804" t="s">
        <v>19264</v>
      </c>
      <c r="C4804" t="s">
        <v>6342</v>
      </c>
      <c r="D4804" t="s">
        <v>4119</v>
      </c>
      <c r="E4804" t="s">
        <v>5471</v>
      </c>
      <c r="F4804" t="s">
        <v>19265</v>
      </c>
      <c r="G4804" t="s">
        <v>19264</v>
      </c>
      <c r="H4804" t="s">
        <v>5474</v>
      </c>
      <c r="I4804" t="s">
        <v>19266</v>
      </c>
      <c r="J4804" t="s">
        <v>5476</v>
      </c>
      <c r="K4804" t="s">
        <v>19267</v>
      </c>
      <c r="L4804" t="s">
        <v>5471</v>
      </c>
      <c r="M4804" t="s">
        <v>5471</v>
      </c>
    </row>
    <row r="4805" spans="1:13" x14ac:dyDescent="0.3">
      <c r="A4805" t="s">
        <v>3383</v>
      </c>
      <c r="B4805" t="s">
        <v>8871</v>
      </c>
      <c r="C4805" t="s">
        <v>5470</v>
      </c>
      <c r="D4805" t="s">
        <v>4056</v>
      </c>
      <c r="E4805" t="s">
        <v>5480</v>
      </c>
      <c r="F4805" t="s">
        <v>19268</v>
      </c>
      <c r="G4805" t="s">
        <v>19269</v>
      </c>
      <c r="H4805" t="s">
        <v>5474</v>
      </c>
      <c r="I4805" t="s">
        <v>19270</v>
      </c>
      <c r="J4805" t="s">
        <v>5484</v>
      </c>
      <c r="K4805" t="s">
        <v>19271</v>
      </c>
      <c r="L4805" t="s">
        <v>5471</v>
      </c>
      <c r="M4805" t="s">
        <v>5471</v>
      </c>
    </row>
    <row r="4806" spans="1:13" x14ac:dyDescent="0.3">
      <c r="A4806" t="s">
        <v>3397</v>
      </c>
      <c r="B4806" t="s">
        <v>5301</v>
      </c>
      <c r="C4806" t="s">
        <v>6342</v>
      </c>
      <c r="D4806" t="s">
        <v>4119</v>
      </c>
      <c r="E4806" t="s">
        <v>6332</v>
      </c>
      <c r="F4806" t="s">
        <v>19272</v>
      </c>
      <c r="G4806" t="s">
        <v>12784</v>
      </c>
      <c r="H4806" t="s">
        <v>5474</v>
      </c>
      <c r="I4806" t="s">
        <v>19273</v>
      </c>
      <c r="J4806" t="s">
        <v>5476</v>
      </c>
      <c r="K4806" t="s">
        <v>9836</v>
      </c>
      <c r="L4806" t="s">
        <v>5471</v>
      </c>
      <c r="M4806" t="s">
        <v>5471</v>
      </c>
    </row>
    <row r="4807" spans="1:13" x14ac:dyDescent="0.3">
      <c r="A4807" t="s">
        <v>3397</v>
      </c>
      <c r="B4807" t="s">
        <v>6331</v>
      </c>
      <c r="C4807" t="s">
        <v>5487</v>
      </c>
      <c r="D4807" t="s">
        <v>4119</v>
      </c>
      <c r="E4807" t="s">
        <v>6332</v>
      </c>
      <c r="F4807" t="s">
        <v>19272</v>
      </c>
      <c r="G4807" t="s">
        <v>12582</v>
      </c>
      <c r="H4807" t="s">
        <v>5474</v>
      </c>
      <c r="I4807" t="s">
        <v>19274</v>
      </c>
      <c r="J4807" t="s">
        <v>5476</v>
      </c>
      <c r="K4807" t="s">
        <v>9836</v>
      </c>
      <c r="L4807" t="s">
        <v>5471</v>
      </c>
      <c r="M4807" t="s">
        <v>5471</v>
      </c>
    </row>
    <row r="4808" spans="1:13" x14ac:dyDescent="0.3">
      <c r="A4808" t="s">
        <v>3383</v>
      </c>
      <c r="B4808" t="s">
        <v>5330</v>
      </c>
      <c r="C4808" t="s">
        <v>5470</v>
      </c>
      <c r="D4808" t="s">
        <v>4052</v>
      </c>
      <c r="E4808" t="s">
        <v>5617</v>
      </c>
      <c r="F4808" t="s">
        <v>19275</v>
      </c>
      <c r="G4808" t="s">
        <v>6098</v>
      </c>
      <c r="H4808" t="s">
        <v>5474</v>
      </c>
      <c r="I4808" t="s">
        <v>19276</v>
      </c>
      <c r="J4808" t="s">
        <v>5476</v>
      </c>
      <c r="K4808" t="s">
        <v>19277</v>
      </c>
      <c r="L4808" t="s">
        <v>5471</v>
      </c>
      <c r="M4808" t="s">
        <v>5471</v>
      </c>
    </row>
    <row r="4809" spans="1:13" x14ac:dyDescent="0.3">
      <c r="A4809" t="s">
        <v>3383</v>
      </c>
      <c r="B4809" t="s">
        <v>6051</v>
      </c>
      <c r="C4809" t="s">
        <v>5470</v>
      </c>
      <c r="D4809" t="s">
        <v>4058</v>
      </c>
      <c r="E4809" t="s">
        <v>5756</v>
      </c>
      <c r="F4809" t="s">
        <v>19278</v>
      </c>
      <c r="G4809" t="s">
        <v>6053</v>
      </c>
      <c r="H4809" t="s">
        <v>5474</v>
      </c>
      <c r="I4809" t="s">
        <v>19279</v>
      </c>
      <c r="J4809" t="s">
        <v>5476</v>
      </c>
      <c r="K4809" t="s">
        <v>19280</v>
      </c>
      <c r="L4809" t="s">
        <v>5471</v>
      </c>
      <c r="M4809" t="s">
        <v>5471</v>
      </c>
    </row>
    <row r="4810" spans="1:13" x14ac:dyDescent="0.3">
      <c r="A4810" t="s">
        <v>3383</v>
      </c>
      <c r="B4810" t="s">
        <v>5952</v>
      </c>
      <c r="C4810" t="s">
        <v>5470</v>
      </c>
      <c r="D4810" t="s">
        <v>4056</v>
      </c>
      <c r="E4810" t="s">
        <v>5756</v>
      </c>
      <c r="F4810" t="s">
        <v>19281</v>
      </c>
      <c r="G4810" t="s">
        <v>6199</v>
      </c>
      <c r="H4810" t="s">
        <v>5474</v>
      </c>
      <c r="I4810" t="s">
        <v>19282</v>
      </c>
      <c r="J4810" t="s">
        <v>5476</v>
      </c>
      <c r="K4810" t="s">
        <v>19283</v>
      </c>
      <c r="L4810" t="s">
        <v>5471</v>
      </c>
      <c r="M4810" t="s">
        <v>5471</v>
      </c>
    </row>
    <row r="4811" spans="1:13" x14ac:dyDescent="0.3">
      <c r="A4811" t="s">
        <v>3383</v>
      </c>
      <c r="B4811" t="s">
        <v>5952</v>
      </c>
      <c r="C4811" t="s">
        <v>5470</v>
      </c>
      <c r="D4811" t="s">
        <v>4056</v>
      </c>
      <c r="E4811" t="s">
        <v>5756</v>
      </c>
      <c r="F4811" t="s">
        <v>19284</v>
      </c>
      <c r="G4811" t="s">
        <v>6369</v>
      </c>
      <c r="H4811" t="s">
        <v>5474</v>
      </c>
      <c r="I4811" t="s">
        <v>19285</v>
      </c>
      <c r="J4811" t="s">
        <v>5476</v>
      </c>
      <c r="K4811" t="s">
        <v>19286</v>
      </c>
      <c r="L4811" t="s">
        <v>5471</v>
      </c>
      <c r="M4811" t="s">
        <v>5471</v>
      </c>
    </row>
    <row r="4812" spans="1:13" x14ac:dyDescent="0.3">
      <c r="A4812" t="s">
        <v>3383</v>
      </c>
      <c r="B4812" t="s">
        <v>5332</v>
      </c>
      <c r="C4812" t="s">
        <v>5470</v>
      </c>
      <c r="D4812" t="s">
        <v>4052</v>
      </c>
      <c r="E4812" t="s">
        <v>5532</v>
      </c>
      <c r="F4812" t="s">
        <v>19287</v>
      </c>
      <c r="G4812" t="s">
        <v>11627</v>
      </c>
      <c r="H4812" t="s">
        <v>5474</v>
      </c>
      <c r="I4812" t="s">
        <v>19288</v>
      </c>
      <c r="J4812" t="s">
        <v>5484</v>
      </c>
      <c r="K4812" t="s">
        <v>19289</v>
      </c>
      <c r="L4812" t="s">
        <v>5471</v>
      </c>
      <c r="M4812" t="s">
        <v>5471</v>
      </c>
    </row>
    <row r="4813" spans="1:13" x14ac:dyDescent="0.3">
      <c r="A4813" t="s">
        <v>3383</v>
      </c>
      <c r="B4813" t="s">
        <v>5586</v>
      </c>
      <c r="C4813" t="s">
        <v>5487</v>
      </c>
      <c r="D4813" t="s">
        <v>15984</v>
      </c>
      <c r="E4813" t="s">
        <v>5532</v>
      </c>
      <c r="F4813" t="s">
        <v>19290</v>
      </c>
      <c r="G4813" t="s">
        <v>19291</v>
      </c>
      <c r="H4813" t="s">
        <v>5474</v>
      </c>
      <c r="I4813" t="s">
        <v>19292</v>
      </c>
      <c r="J4813" t="s">
        <v>5484</v>
      </c>
      <c r="K4813" t="s">
        <v>19293</v>
      </c>
      <c r="L4813" t="s">
        <v>5471</v>
      </c>
      <c r="M4813" t="s">
        <v>5471</v>
      </c>
    </row>
    <row r="4814" spans="1:13" x14ac:dyDescent="0.3">
      <c r="A4814" t="s">
        <v>3388</v>
      </c>
      <c r="B4814" t="s">
        <v>10496</v>
      </c>
      <c r="C4814" t="s">
        <v>5470</v>
      </c>
      <c r="D4814" t="s">
        <v>4119</v>
      </c>
      <c r="E4814" t="s">
        <v>5471</v>
      </c>
      <c r="F4814" t="s">
        <v>19294</v>
      </c>
      <c r="G4814" t="s">
        <v>10498</v>
      </c>
      <c r="H4814" t="s">
        <v>5474</v>
      </c>
      <c r="I4814" t="s">
        <v>19295</v>
      </c>
      <c r="J4814" t="s">
        <v>5476</v>
      </c>
      <c r="K4814" t="s">
        <v>19296</v>
      </c>
      <c r="L4814" t="s">
        <v>5471</v>
      </c>
      <c r="M4814" t="s">
        <v>5471</v>
      </c>
    </row>
    <row r="4815" spans="1:13" x14ac:dyDescent="0.3">
      <c r="A4815" t="s">
        <v>3383</v>
      </c>
      <c r="B4815" t="s">
        <v>6051</v>
      </c>
      <c r="C4815" t="s">
        <v>5470</v>
      </c>
      <c r="D4815" t="s">
        <v>4058</v>
      </c>
      <c r="E4815" t="s">
        <v>5756</v>
      </c>
      <c r="F4815" t="s">
        <v>19297</v>
      </c>
      <c r="G4815" t="s">
        <v>6204</v>
      </c>
      <c r="H4815" t="s">
        <v>5474</v>
      </c>
      <c r="I4815" t="s">
        <v>19298</v>
      </c>
      <c r="J4815" t="s">
        <v>5476</v>
      </c>
      <c r="K4815" t="s">
        <v>19299</v>
      </c>
      <c r="L4815" t="s">
        <v>5471</v>
      </c>
      <c r="M4815" t="s">
        <v>5471</v>
      </c>
    </row>
    <row r="4816" spans="1:13" x14ac:dyDescent="0.3">
      <c r="A4816" t="s">
        <v>3388</v>
      </c>
      <c r="B4816" t="s">
        <v>18054</v>
      </c>
      <c r="C4816" t="s">
        <v>5470</v>
      </c>
      <c r="D4816" t="s">
        <v>4119</v>
      </c>
      <c r="E4816" t="s">
        <v>5471</v>
      </c>
      <c r="F4816" t="s">
        <v>19300</v>
      </c>
      <c r="G4816" t="s">
        <v>18056</v>
      </c>
      <c r="H4816" t="s">
        <v>5474</v>
      </c>
      <c r="I4816" t="s">
        <v>19301</v>
      </c>
      <c r="J4816" t="s">
        <v>5476</v>
      </c>
      <c r="K4816" t="s">
        <v>19302</v>
      </c>
      <c r="L4816" t="s">
        <v>5471</v>
      </c>
      <c r="M4816" t="s">
        <v>5471</v>
      </c>
    </row>
    <row r="4817" spans="1:13" x14ac:dyDescent="0.3">
      <c r="A4817" t="s">
        <v>3383</v>
      </c>
      <c r="B4817" t="s">
        <v>6051</v>
      </c>
      <c r="C4817" t="s">
        <v>5470</v>
      </c>
      <c r="D4817" t="s">
        <v>4058</v>
      </c>
      <c r="E4817" t="s">
        <v>5756</v>
      </c>
      <c r="F4817" t="s">
        <v>19303</v>
      </c>
      <c r="G4817" t="s">
        <v>6204</v>
      </c>
      <c r="H4817" t="s">
        <v>5474</v>
      </c>
      <c r="I4817" t="s">
        <v>19304</v>
      </c>
      <c r="J4817" t="s">
        <v>5476</v>
      </c>
      <c r="K4817" t="s">
        <v>19305</v>
      </c>
      <c r="L4817" t="s">
        <v>5471</v>
      </c>
      <c r="M4817" t="s">
        <v>5471</v>
      </c>
    </row>
    <row r="4818" spans="1:13" x14ac:dyDescent="0.3">
      <c r="A4818" t="s">
        <v>3388</v>
      </c>
      <c r="B4818" t="s">
        <v>18000</v>
      </c>
      <c r="C4818" t="s">
        <v>5470</v>
      </c>
      <c r="D4818" t="s">
        <v>4119</v>
      </c>
      <c r="E4818" t="s">
        <v>5471</v>
      </c>
      <c r="F4818" t="s">
        <v>19306</v>
      </c>
      <c r="G4818" t="s">
        <v>18002</v>
      </c>
      <c r="H4818" t="s">
        <v>5474</v>
      </c>
      <c r="I4818" t="s">
        <v>19307</v>
      </c>
      <c r="J4818" t="s">
        <v>5476</v>
      </c>
      <c r="K4818" t="s">
        <v>19308</v>
      </c>
      <c r="L4818" t="s">
        <v>5471</v>
      </c>
      <c r="M4818" t="s">
        <v>5471</v>
      </c>
    </row>
    <row r="4819" spans="1:13" x14ac:dyDescent="0.3">
      <c r="A4819" t="s">
        <v>3388</v>
      </c>
      <c r="B4819" t="s">
        <v>18040</v>
      </c>
      <c r="C4819" t="s">
        <v>5470</v>
      </c>
      <c r="D4819" t="s">
        <v>4119</v>
      </c>
      <c r="E4819" t="s">
        <v>5471</v>
      </c>
      <c r="F4819" t="s">
        <v>19309</v>
      </c>
      <c r="G4819" t="s">
        <v>18042</v>
      </c>
      <c r="H4819" t="s">
        <v>5474</v>
      </c>
      <c r="I4819" t="s">
        <v>19310</v>
      </c>
      <c r="J4819" t="s">
        <v>5476</v>
      </c>
      <c r="K4819" t="s">
        <v>19311</v>
      </c>
      <c r="L4819" t="s">
        <v>5471</v>
      </c>
      <c r="M4819" t="s">
        <v>5471</v>
      </c>
    </row>
    <row r="4820" spans="1:13" x14ac:dyDescent="0.3">
      <c r="A4820" t="s">
        <v>3383</v>
      </c>
      <c r="B4820" t="s">
        <v>5332</v>
      </c>
      <c r="C4820" t="s">
        <v>5470</v>
      </c>
      <c r="D4820" t="s">
        <v>4119</v>
      </c>
      <c r="E4820" t="s">
        <v>5480</v>
      </c>
      <c r="F4820" t="s">
        <v>19312</v>
      </c>
      <c r="G4820" t="s">
        <v>6239</v>
      </c>
      <c r="H4820" t="s">
        <v>5474</v>
      </c>
      <c r="I4820" t="s">
        <v>19313</v>
      </c>
      <c r="J4820" t="s">
        <v>5484</v>
      </c>
      <c r="K4820" t="s">
        <v>19314</v>
      </c>
      <c r="L4820" t="s">
        <v>5471</v>
      </c>
      <c r="M4820" t="s">
        <v>5471</v>
      </c>
    </row>
    <row r="4821" spans="1:13" x14ac:dyDescent="0.3">
      <c r="A4821" t="s">
        <v>3383</v>
      </c>
      <c r="B4821" t="s">
        <v>5294</v>
      </c>
      <c r="C4821" t="s">
        <v>5470</v>
      </c>
      <c r="D4821" t="s">
        <v>4058</v>
      </c>
      <c r="E4821" t="s">
        <v>5756</v>
      </c>
      <c r="F4821" t="s">
        <v>19315</v>
      </c>
      <c r="G4821" t="s">
        <v>6283</v>
      </c>
      <c r="H4821" t="s">
        <v>5474</v>
      </c>
      <c r="I4821" t="s">
        <v>19316</v>
      </c>
      <c r="J4821" t="s">
        <v>5476</v>
      </c>
      <c r="K4821" t="s">
        <v>19317</v>
      </c>
      <c r="L4821" t="s">
        <v>5471</v>
      </c>
      <c r="M4821" t="s">
        <v>5471</v>
      </c>
    </row>
    <row r="4822" spans="1:13" x14ac:dyDescent="0.3">
      <c r="A4822" t="s">
        <v>3383</v>
      </c>
      <c r="B4822" t="s">
        <v>5332</v>
      </c>
      <c r="C4822" t="s">
        <v>5470</v>
      </c>
      <c r="D4822" t="s">
        <v>4119</v>
      </c>
      <c r="E4822" t="s">
        <v>5756</v>
      </c>
      <c r="F4822" t="s">
        <v>19318</v>
      </c>
      <c r="G4822" t="s">
        <v>6239</v>
      </c>
      <c r="H4822" t="s">
        <v>5474</v>
      </c>
      <c r="I4822" t="s">
        <v>19319</v>
      </c>
      <c r="J4822" t="s">
        <v>5476</v>
      </c>
      <c r="K4822" t="s">
        <v>19320</v>
      </c>
      <c r="L4822" t="s">
        <v>5471</v>
      </c>
      <c r="M4822" t="s">
        <v>5471</v>
      </c>
    </row>
    <row r="4823" spans="1:13" x14ac:dyDescent="0.3">
      <c r="A4823" t="s">
        <v>3383</v>
      </c>
      <c r="B4823" t="s">
        <v>5332</v>
      </c>
      <c r="C4823" t="s">
        <v>5470</v>
      </c>
      <c r="D4823" t="s">
        <v>4119</v>
      </c>
      <c r="E4823" t="s">
        <v>5756</v>
      </c>
      <c r="F4823" t="s">
        <v>19321</v>
      </c>
      <c r="G4823" t="s">
        <v>6239</v>
      </c>
      <c r="H4823" t="s">
        <v>5474</v>
      </c>
      <c r="I4823" t="s">
        <v>19322</v>
      </c>
      <c r="J4823" t="s">
        <v>5476</v>
      </c>
      <c r="K4823" t="s">
        <v>5471</v>
      </c>
      <c r="L4823" t="s">
        <v>5471</v>
      </c>
      <c r="M4823" t="s">
        <v>5471</v>
      </c>
    </row>
    <row r="4824" spans="1:13" x14ac:dyDescent="0.3">
      <c r="A4824" t="s">
        <v>3383</v>
      </c>
      <c r="B4824" t="s">
        <v>5332</v>
      </c>
      <c r="C4824" t="s">
        <v>5470</v>
      </c>
      <c r="D4824" t="s">
        <v>4119</v>
      </c>
      <c r="E4824" t="s">
        <v>5756</v>
      </c>
      <c r="F4824" t="s">
        <v>19323</v>
      </c>
      <c r="G4824" t="s">
        <v>6239</v>
      </c>
      <c r="H4824" t="s">
        <v>5474</v>
      </c>
      <c r="I4824" t="s">
        <v>19324</v>
      </c>
      <c r="J4824" t="s">
        <v>5476</v>
      </c>
      <c r="K4824" t="s">
        <v>5471</v>
      </c>
      <c r="L4824" t="s">
        <v>5471</v>
      </c>
      <c r="M4824" t="s">
        <v>5471</v>
      </c>
    </row>
    <row r="4825" spans="1:13" x14ac:dyDescent="0.3">
      <c r="A4825" t="s">
        <v>3383</v>
      </c>
      <c r="B4825" t="s">
        <v>5952</v>
      </c>
      <c r="C4825" t="s">
        <v>5470</v>
      </c>
      <c r="D4825" t="s">
        <v>4058</v>
      </c>
      <c r="E4825" t="s">
        <v>5756</v>
      </c>
      <c r="F4825" t="s">
        <v>19325</v>
      </c>
      <c r="G4825" t="s">
        <v>19326</v>
      </c>
      <c r="H4825" t="s">
        <v>5474</v>
      </c>
      <c r="I4825" t="s">
        <v>19327</v>
      </c>
      <c r="J4825" t="s">
        <v>5476</v>
      </c>
      <c r="K4825" t="s">
        <v>19328</v>
      </c>
      <c r="L4825" t="s">
        <v>5471</v>
      </c>
      <c r="M4825" t="s">
        <v>5471</v>
      </c>
    </row>
    <row r="4826" spans="1:13" x14ac:dyDescent="0.3">
      <c r="A4826" t="s">
        <v>3388</v>
      </c>
      <c r="B4826" t="s">
        <v>6536</v>
      </c>
      <c r="C4826" t="s">
        <v>5470</v>
      </c>
      <c r="D4826" t="s">
        <v>4119</v>
      </c>
      <c r="E4826" t="s">
        <v>5532</v>
      </c>
      <c r="F4826" t="s">
        <v>19329</v>
      </c>
      <c r="G4826" t="s">
        <v>19330</v>
      </c>
      <c r="H4826" t="s">
        <v>5474</v>
      </c>
      <c r="I4826" t="s">
        <v>19331</v>
      </c>
      <c r="J4826" t="s">
        <v>5476</v>
      </c>
      <c r="K4826" t="s">
        <v>19332</v>
      </c>
      <c r="L4826" t="s">
        <v>5471</v>
      </c>
      <c r="M4826" t="s">
        <v>5471</v>
      </c>
    </row>
    <row r="4827" spans="1:13" x14ac:dyDescent="0.3">
      <c r="A4827" t="s">
        <v>3388</v>
      </c>
      <c r="B4827" t="s">
        <v>6536</v>
      </c>
      <c r="C4827" t="s">
        <v>5470</v>
      </c>
      <c r="D4827" t="s">
        <v>4119</v>
      </c>
      <c r="E4827" t="s">
        <v>5532</v>
      </c>
      <c r="F4827" t="s">
        <v>19333</v>
      </c>
      <c r="G4827" t="s">
        <v>19334</v>
      </c>
      <c r="H4827" t="s">
        <v>5474</v>
      </c>
      <c r="I4827" t="s">
        <v>19335</v>
      </c>
      <c r="J4827" t="s">
        <v>5476</v>
      </c>
      <c r="K4827" t="s">
        <v>19336</v>
      </c>
      <c r="L4827" t="s">
        <v>5471</v>
      </c>
      <c r="M4827" t="s">
        <v>5471</v>
      </c>
    </row>
    <row r="4828" spans="1:13" x14ac:dyDescent="0.3">
      <c r="A4828" t="s">
        <v>3388</v>
      </c>
      <c r="B4828" t="s">
        <v>18017</v>
      </c>
      <c r="C4828" t="s">
        <v>5470</v>
      </c>
      <c r="D4828" t="s">
        <v>4119</v>
      </c>
      <c r="E4828" t="s">
        <v>5471</v>
      </c>
      <c r="F4828" t="s">
        <v>19337</v>
      </c>
      <c r="G4828" t="s">
        <v>18019</v>
      </c>
      <c r="H4828" t="s">
        <v>5474</v>
      </c>
      <c r="I4828" t="s">
        <v>19338</v>
      </c>
      <c r="J4828" t="s">
        <v>5476</v>
      </c>
      <c r="K4828" t="s">
        <v>19339</v>
      </c>
      <c r="L4828" t="s">
        <v>5471</v>
      </c>
      <c r="M4828" t="s">
        <v>5471</v>
      </c>
    </row>
    <row r="4829" spans="1:13" x14ac:dyDescent="0.3">
      <c r="A4829" t="s">
        <v>3388</v>
      </c>
      <c r="B4829" t="s">
        <v>15970</v>
      </c>
      <c r="C4829" t="s">
        <v>5470</v>
      </c>
      <c r="D4829" t="s">
        <v>4119</v>
      </c>
      <c r="E4829" t="s">
        <v>5532</v>
      </c>
      <c r="F4829" t="s">
        <v>19340</v>
      </c>
      <c r="G4829" t="s">
        <v>19334</v>
      </c>
      <c r="H4829" t="s">
        <v>5474</v>
      </c>
      <c r="I4829" t="s">
        <v>19341</v>
      </c>
      <c r="J4829" t="s">
        <v>5476</v>
      </c>
      <c r="K4829" t="s">
        <v>19342</v>
      </c>
      <c r="L4829" t="s">
        <v>5471</v>
      </c>
      <c r="M4829" t="s">
        <v>5471</v>
      </c>
    </row>
    <row r="4830" spans="1:13" x14ac:dyDescent="0.3">
      <c r="A4830" t="s">
        <v>3388</v>
      </c>
      <c r="B4830" t="s">
        <v>19343</v>
      </c>
      <c r="C4830" t="s">
        <v>5470</v>
      </c>
      <c r="D4830" t="s">
        <v>4119</v>
      </c>
      <c r="E4830" t="s">
        <v>5532</v>
      </c>
      <c r="F4830" t="s">
        <v>19344</v>
      </c>
      <c r="G4830" t="s">
        <v>19330</v>
      </c>
      <c r="H4830" t="s">
        <v>5474</v>
      </c>
      <c r="I4830" t="s">
        <v>19345</v>
      </c>
      <c r="J4830" t="s">
        <v>5476</v>
      </c>
      <c r="K4830" t="s">
        <v>19346</v>
      </c>
      <c r="L4830" t="s">
        <v>5471</v>
      </c>
      <c r="M4830" t="s">
        <v>5471</v>
      </c>
    </row>
    <row r="4831" spans="1:13" x14ac:dyDescent="0.3">
      <c r="A4831" t="s">
        <v>3383</v>
      </c>
      <c r="B4831" t="s">
        <v>5332</v>
      </c>
      <c r="C4831" t="s">
        <v>5470</v>
      </c>
      <c r="D4831" t="s">
        <v>9771</v>
      </c>
      <c r="E4831" t="s">
        <v>5480</v>
      </c>
      <c r="F4831" t="s">
        <v>19347</v>
      </c>
      <c r="G4831" t="s">
        <v>19348</v>
      </c>
      <c r="H4831" t="s">
        <v>5474</v>
      </c>
      <c r="I4831" t="s">
        <v>19349</v>
      </c>
      <c r="J4831" t="s">
        <v>5476</v>
      </c>
      <c r="K4831" t="s">
        <v>19350</v>
      </c>
      <c r="L4831" t="s">
        <v>5471</v>
      </c>
      <c r="M4831" t="s">
        <v>5471</v>
      </c>
    </row>
    <row r="4832" spans="1:13" x14ac:dyDescent="0.3">
      <c r="A4832" t="s">
        <v>3383</v>
      </c>
      <c r="B4832" t="s">
        <v>6051</v>
      </c>
      <c r="C4832" t="s">
        <v>5470</v>
      </c>
      <c r="D4832" t="s">
        <v>4052</v>
      </c>
      <c r="E4832" t="s">
        <v>5480</v>
      </c>
      <c r="F4832" t="s">
        <v>19351</v>
      </c>
      <c r="G4832" t="s">
        <v>7133</v>
      </c>
      <c r="H4832" t="s">
        <v>5474</v>
      </c>
      <c r="I4832" t="s">
        <v>19352</v>
      </c>
      <c r="J4832" t="s">
        <v>5484</v>
      </c>
      <c r="K4832" t="s">
        <v>19353</v>
      </c>
      <c r="L4832" t="s">
        <v>5471</v>
      </c>
      <c r="M4832" t="s">
        <v>5471</v>
      </c>
    </row>
    <row r="4833" spans="1:13" x14ac:dyDescent="0.3">
      <c r="A4833" t="s">
        <v>3383</v>
      </c>
      <c r="B4833" t="s">
        <v>5294</v>
      </c>
      <c r="C4833" t="s">
        <v>5470</v>
      </c>
      <c r="D4833" t="s">
        <v>4058</v>
      </c>
      <c r="E4833" t="s">
        <v>5756</v>
      </c>
      <c r="F4833" t="s">
        <v>19354</v>
      </c>
      <c r="G4833" t="s">
        <v>6201</v>
      </c>
      <c r="H4833" t="s">
        <v>5474</v>
      </c>
      <c r="I4833" t="s">
        <v>19355</v>
      </c>
      <c r="J4833" t="s">
        <v>5476</v>
      </c>
      <c r="K4833" t="s">
        <v>19356</v>
      </c>
      <c r="L4833" t="s">
        <v>5471</v>
      </c>
      <c r="M4833" t="s">
        <v>5471</v>
      </c>
    </row>
    <row r="4834" spans="1:13" x14ac:dyDescent="0.3">
      <c r="A4834" t="s">
        <v>3383</v>
      </c>
      <c r="B4834" t="s">
        <v>5332</v>
      </c>
      <c r="C4834" t="s">
        <v>5470</v>
      </c>
      <c r="D4834" t="s">
        <v>4119</v>
      </c>
      <c r="E4834" t="s">
        <v>5532</v>
      </c>
      <c r="F4834" t="s">
        <v>19357</v>
      </c>
      <c r="G4834" t="s">
        <v>6105</v>
      </c>
      <c r="H4834" t="s">
        <v>5474</v>
      </c>
      <c r="I4834" t="s">
        <v>19358</v>
      </c>
      <c r="J4834" t="s">
        <v>5484</v>
      </c>
      <c r="K4834" t="s">
        <v>19359</v>
      </c>
      <c r="L4834" t="s">
        <v>5471</v>
      </c>
      <c r="M4834" t="s">
        <v>5471</v>
      </c>
    </row>
    <row r="4835" spans="1:13" x14ac:dyDescent="0.3">
      <c r="A4835" t="s">
        <v>3383</v>
      </c>
      <c r="B4835" t="s">
        <v>5332</v>
      </c>
      <c r="C4835" t="s">
        <v>5470</v>
      </c>
      <c r="D4835" t="s">
        <v>4119</v>
      </c>
      <c r="E4835" t="s">
        <v>5532</v>
      </c>
      <c r="F4835" t="s">
        <v>19360</v>
      </c>
      <c r="G4835" t="s">
        <v>6105</v>
      </c>
      <c r="H4835" t="s">
        <v>5474</v>
      </c>
      <c r="I4835" t="s">
        <v>19361</v>
      </c>
      <c r="J4835" t="s">
        <v>5484</v>
      </c>
      <c r="K4835" t="s">
        <v>19362</v>
      </c>
      <c r="L4835" t="s">
        <v>5471</v>
      </c>
      <c r="M4835" t="s">
        <v>5471</v>
      </c>
    </row>
    <row r="4836" spans="1:13" x14ac:dyDescent="0.3">
      <c r="A4836" t="s">
        <v>3383</v>
      </c>
      <c r="B4836" t="s">
        <v>6022</v>
      </c>
      <c r="C4836" t="s">
        <v>5487</v>
      </c>
      <c r="D4836" t="s">
        <v>4119</v>
      </c>
      <c r="E4836" t="s">
        <v>5532</v>
      </c>
      <c r="F4836" t="s">
        <v>19363</v>
      </c>
      <c r="G4836" t="s">
        <v>10941</v>
      </c>
      <c r="H4836" t="s">
        <v>5474</v>
      </c>
      <c r="I4836" t="s">
        <v>19364</v>
      </c>
      <c r="J4836" t="s">
        <v>5476</v>
      </c>
      <c r="K4836" t="s">
        <v>19365</v>
      </c>
      <c r="L4836" t="s">
        <v>5471</v>
      </c>
      <c r="M4836" t="s">
        <v>5471</v>
      </c>
    </row>
    <row r="4837" spans="1:13" x14ac:dyDescent="0.3">
      <c r="A4837" t="s">
        <v>3383</v>
      </c>
      <c r="B4837" t="s">
        <v>6022</v>
      </c>
      <c r="C4837" t="s">
        <v>5487</v>
      </c>
      <c r="D4837" t="s">
        <v>4119</v>
      </c>
      <c r="E4837" t="s">
        <v>5532</v>
      </c>
      <c r="F4837" t="s">
        <v>19366</v>
      </c>
      <c r="G4837" t="s">
        <v>19367</v>
      </c>
      <c r="H4837" t="s">
        <v>5474</v>
      </c>
      <c r="I4837" t="s">
        <v>19368</v>
      </c>
      <c r="J4837" t="s">
        <v>5476</v>
      </c>
      <c r="K4837" t="s">
        <v>19369</v>
      </c>
      <c r="L4837" t="s">
        <v>5471</v>
      </c>
      <c r="M4837" t="s">
        <v>5471</v>
      </c>
    </row>
    <row r="4838" spans="1:13" x14ac:dyDescent="0.3">
      <c r="A4838" t="s">
        <v>3383</v>
      </c>
      <c r="B4838" t="s">
        <v>5952</v>
      </c>
      <c r="C4838" t="s">
        <v>5470</v>
      </c>
      <c r="D4838" t="s">
        <v>4058</v>
      </c>
      <c r="E4838" t="s">
        <v>5756</v>
      </c>
      <c r="F4838" t="s">
        <v>19370</v>
      </c>
      <c r="G4838" t="s">
        <v>6201</v>
      </c>
      <c r="H4838" t="s">
        <v>5474</v>
      </c>
      <c r="I4838" t="s">
        <v>19371</v>
      </c>
      <c r="J4838" t="s">
        <v>5476</v>
      </c>
      <c r="K4838" t="s">
        <v>19372</v>
      </c>
      <c r="L4838" t="s">
        <v>5471</v>
      </c>
      <c r="M4838" t="s">
        <v>5471</v>
      </c>
    </row>
    <row r="4839" spans="1:13" x14ac:dyDescent="0.3">
      <c r="A4839" t="s">
        <v>3383</v>
      </c>
      <c r="B4839" t="s">
        <v>5294</v>
      </c>
      <c r="C4839" t="s">
        <v>5470</v>
      </c>
      <c r="D4839" t="s">
        <v>4056</v>
      </c>
      <c r="E4839" t="s">
        <v>5756</v>
      </c>
      <c r="F4839" t="s">
        <v>19373</v>
      </c>
      <c r="G4839" t="s">
        <v>6283</v>
      </c>
      <c r="H4839" t="s">
        <v>5474</v>
      </c>
      <c r="I4839" t="s">
        <v>19374</v>
      </c>
      <c r="J4839" t="s">
        <v>5484</v>
      </c>
      <c r="K4839" t="s">
        <v>19375</v>
      </c>
      <c r="L4839" t="s">
        <v>5471</v>
      </c>
      <c r="M4839" t="s">
        <v>5471</v>
      </c>
    </row>
    <row r="4840" spans="1:13" x14ac:dyDescent="0.3">
      <c r="A4840" t="s">
        <v>3397</v>
      </c>
      <c r="B4840" t="s">
        <v>5301</v>
      </c>
      <c r="C4840" t="s">
        <v>6342</v>
      </c>
      <c r="D4840" t="s">
        <v>4058</v>
      </c>
      <c r="E4840" t="s">
        <v>6332</v>
      </c>
      <c r="F4840" t="s">
        <v>19376</v>
      </c>
      <c r="G4840" t="s">
        <v>6991</v>
      </c>
      <c r="H4840" t="s">
        <v>5474</v>
      </c>
      <c r="I4840" t="s">
        <v>19377</v>
      </c>
      <c r="J4840" t="s">
        <v>5476</v>
      </c>
      <c r="K4840" t="s">
        <v>19378</v>
      </c>
      <c r="L4840" t="s">
        <v>5485</v>
      </c>
      <c r="M4840" t="s">
        <v>5471</v>
      </c>
    </row>
    <row r="4841" spans="1:13" x14ac:dyDescent="0.3">
      <c r="A4841" t="s">
        <v>3397</v>
      </c>
      <c r="B4841" t="s">
        <v>5594</v>
      </c>
      <c r="C4841" t="s">
        <v>5487</v>
      </c>
      <c r="D4841" t="s">
        <v>4058</v>
      </c>
      <c r="E4841" t="s">
        <v>6332</v>
      </c>
      <c r="F4841" t="s">
        <v>19379</v>
      </c>
      <c r="G4841" t="s">
        <v>10379</v>
      </c>
      <c r="H4841" t="s">
        <v>5474</v>
      </c>
      <c r="I4841" t="s">
        <v>19380</v>
      </c>
      <c r="J4841" t="s">
        <v>5476</v>
      </c>
      <c r="K4841" t="s">
        <v>12565</v>
      </c>
      <c r="L4841" t="s">
        <v>5485</v>
      </c>
      <c r="M4841" t="s">
        <v>5471</v>
      </c>
    </row>
    <row r="4842" spans="1:13" x14ac:dyDescent="0.3">
      <c r="A4842" t="s">
        <v>3397</v>
      </c>
      <c r="B4842" t="s">
        <v>5594</v>
      </c>
      <c r="C4842" t="s">
        <v>5487</v>
      </c>
      <c r="D4842" t="s">
        <v>4058</v>
      </c>
      <c r="E4842" t="s">
        <v>6332</v>
      </c>
      <c r="F4842" t="s">
        <v>19381</v>
      </c>
      <c r="G4842" t="s">
        <v>13418</v>
      </c>
      <c r="H4842" t="s">
        <v>5474</v>
      </c>
      <c r="I4842" t="s">
        <v>19382</v>
      </c>
      <c r="J4842" t="s">
        <v>5476</v>
      </c>
      <c r="K4842" t="s">
        <v>19383</v>
      </c>
      <c r="L4842" t="s">
        <v>5485</v>
      </c>
      <c r="M4842" t="s">
        <v>5471</v>
      </c>
    </row>
    <row r="4843" spans="1:13" x14ac:dyDescent="0.3">
      <c r="A4843" t="s">
        <v>3397</v>
      </c>
      <c r="B4843" t="s">
        <v>6331</v>
      </c>
      <c r="C4843" t="s">
        <v>5487</v>
      </c>
      <c r="D4843" t="s">
        <v>4058</v>
      </c>
      <c r="E4843" t="s">
        <v>6332</v>
      </c>
      <c r="F4843" t="s">
        <v>19384</v>
      </c>
      <c r="G4843" t="s">
        <v>12582</v>
      </c>
      <c r="H4843" t="s">
        <v>5474</v>
      </c>
      <c r="I4843" t="s">
        <v>19385</v>
      </c>
      <c r="J4843" t="s">
        <v>5476</v>
      </c>
      <c r="K4843" t="s">
        <v>19386</v>
      </c>
      <c r="L4843" t="s">
        <v>5485</v>
      </c>
      <c r="M4843" t="s">
        <v>5471</v>
      </c>
    </row>
    <row r="4844" spans="1:13" x14ac:dyDescent="0.3">
      <c r="A4844" t="s">
        <v>3397</v>
      </c>
      <c r="B4844" t="s">
        <v>6331</v>
      </c>
      <c r="C4844" t="s">
        <v>5487</v>
      </c>
      <c r="D4844" t="s">
        <v>4058</v>
      </c>
      <c r="E4844" t="s">
        <v>6332</v>
      </c>
      <c r="F4844" t="s">
        <v>19387</v>
      </c>
      <c r="G4844" t="s">
        <v>12582</v>
      </c>
      <c r="H4844" t="s">
        <v>5474</v>
      </c>
      <c r="I4844" t="s">
        <v>19388</v>
      </c>
      <c r="J4844" t="s">
        <v>5476</v>
      </c>
      <c r="K4844" t="s">
        <v>19389</v>
      </c>
      <c r="L4844" t="s">
        <v>5485</v>
      </c>
      <c r="M4844" t="s">
        <v>5471</v>
      </c>
    </row>
    <row r="4845" spans="1:13" x14ac:dyDescent="0.3">
      <c r="A4845" t="s">
        <v>3397</v>
      </c>
      <c r="B4845" t="s">
        <v>6331</v>
      </c>
      <c r="C4845" t="s">
        <v>5487</v>
      </c>
      <c r="D4845" t="s">
        <v>4058</v>
      </c>
      <c r="E4845" t="s">
        <v>6332</v>
      </c>
      <c r="F4845" t="s">
        <v>19390</v>
      </c>
      <c r="G4845" t="s">
        <v>12582</v>
      </c>
      <c r="H4845" t="s">
        <v>5474</v>
      </c>
      <c r="I4845" t="s">
        <v>19391</v>
      </c>
      <c r="J4845" t="s">
        <v>5476</v>
      </c>
      <c r="K4845" t="s">
        <v>19392</v>
      </c>
      <c r="L4845" t="s">
        <v>5485</v>
      </c>
      <c r="M4845" t="s">
        <v>5471</v>
      </c>
    </row>
    <row r="4846" spans="1:13" x14ac:dyDescent="0.3">
      <c r="A4846" t="s">
        <v>3397</v>
      </c>
      <c r="B4846" t="s">
        <v>6331</v>
      </c>
      <c r="C4846" t="s">
        <v>5487</v>
      </c>
      <c r="D4846" t="s">
        <v>4058</v>
      </c>
      <c r="E4846" t="s">
        <v>6332</v>
      </c>
      <c r="F4846" t="s">
        <v>19393</v>
      </c>
      <c r="G4846" t="s">
        <v>12582</v>
      </c>
      <c r="H4846" t="s">
        <v>5474</v>
      </c>
      <c r="I4846" t="s">
        <v>19394</v>
      </c>
      <c r="J4846" t="s">
        <v>5476</v>
      </c>
      <c r="K4846" t="s">
        <v>19395</v>
      </c>
      <c r="L4846" t="s">
        <v>5485</v>
      </c>
      <c r="M4846" t="s">
        <v>5471</v>
      </c>
    </row>
    <row r="4847" spans="1:13" x14ac:dyDescent="0.3">
      <c r="A4847" t="s">
        <v>3397</v>
      </c>
      <c r="B4847" t="s">
        <v>6331</v>
      </c>
      <c r="C4847" t="s">
        <v>5487</v>
      </c>
      <c r="D4847" t="s">
        <v>4052</v>
      </c>
      <c r="E4847" t="s">
        <v>6332</v>
      </c>
      <c r="F4847" t="s">
        <v>19396</v>
      </c>
      <c r="G4847" t="s">
        <v>12582</v>
      </c>
      <c r="H4847" t="s">
        <v>5474</v>
      </c>
      <c r="I4847" t="s">
        <v>19397</v>
      </c>
      <c r="J4847" t="s">
        <v>5476</v>
      </c>
      <c r="K4847" t="s">
        <v>19398</v>
      </c>
      <c r="L4847" t="s">
        <v>5485</v>
      </c>
      <c r="M4847" t="s">
        <v>5471</v>
      </c>
    </row>
    <row r="4848" spans="1:13" x14ac:dyDescent="0.3">
      <c r="A4848" t="s">
        <v>3397</v>
      </c>
      <c r="B4848" t="s">
        <v>6331</v>
      </c>
      <c r="C4848" t="s">
        <v>5487</v>
      </c>
      <c r="D4848" t="s">
        <v>4052</v>
      </c>
      <c r="E4848" t="s">
        <v>6332</v>
      </c>
      <c r="F4848" t="s">
        <v>19399</v>
      </c>
      <c r="G4848" t="s">
        <v>12582</v>
      </c>
      <c r="H4848" t="s">
        <v>5474</v>
      </c>
      <c r="I4848" t="s">
        <v>19400</v>
      </c>
      <c r="J4848" t="s">
        <v>5476</v>
      </c>
      <c r="K4848" t="s">
        <v>19401</v>
      </c>
      <c r="L4848" t="s">
        <v>5485</v>
      </c>
      <c r="M4848" t="s">
        <v>5471</v>
      </c>
    </row>
    <row r="4849" spans="1:13" x14ac:dyDescent="0.3">
      <c r="A4849" t="s">
        <v>3397</v>
      </c>
      <c r="B4849" t="s">
        <v>6331</v>
      </c>
      <c r="C4849" t="s">
        <v>5487</v>
      </c>
      <c r="D4849" t="s">
        <v>4056</v>
      </c>
      <c r="E4849" t="s">
        <v>6332</v>
      </c>
      <c r="F4849" t="s">
        <v>19402</v>
      </c>
      <c r="G4849" t="s">
        <v>12582</v>
      </c>
      <c r="H4849" t="s">
        <v>5474</v>
      </c>
      <c r="I4849" t="s">
        <v>19403</v>
      </c>
      <c r="J4849" t="s">
        <v>5476</v>
      </c>
      <c r="K4849" t="s">
        <v>19404</v>
      </c>
      <c r="L4849" t="s">
        <v>5485</v>
      </c>
      <c r="M4849" t="s">
        <v>5471</v>
      </c>
    </row>
    <row r="4850" spans="1:13" x14ac:dyDescent="0.3">
      <c r="A4850" t="s">
        <v>3397</v>
      </c>
      <c r="B4850" t="s">
        <v>6331</v>
      </c>
      <c r="C4850" t="s">
        <v>5487</v>
      </c>
      <c r="D4850" t="s">
        <v>4056</v>
      </c>
      <c r="E4850" t="s">
        <v>6332</v>
      </c>
      <c r="F4850" t="s">
        <v>19405</v>
      </c>
      <c r="G4850" t="s">
        <v>12582</v>
      </c>
      <c r="H4850" t="s">
        <v>5474</v>
      </c>
      <c r="I4850" t="s">
        <v>19406</v>
      </c>
      <c r="J4850" t="s">
        <v>5476</v>
      </c>
      <c r="K4850" t="s">
        <v>19407</v>
      </c>
      <c r="L4850" t="s">
        <v>5485</v>
      </c>
      <c r="M4850" t="s">
        <v>5471</v>
      </c>
    </row>
    <row r="4851" spans="1:13" x14ac:dyDescent="0.3">
      <c r="A4851" t="s">
        <v>3397</v>
      </c>
      <c r="B4851" t="s">
        <v>6331</v>
      </c>
      <c r="C4851" t="s">
        <v>5487</v>
      </c>
      <c r="D4851" t="s">
        <v>4056</v>
      </c>
      <c r="E4851" t="s">
        <v>6332</v>
      </c>
      <c r="F4851" t="s">
        <v>19408</v>
      </c>
      <c r="G4851" t="s">
        <v>12582</v>
      </c>
      <c r="H4851" t="s">
        <v>5474</v>
      </c>
      <c r="I4851" t="s">
        <v>19409</v>
      </c>
      <c r="J4851" t="s">
        <v>5476</v>
      </c>
      <c r="K4851" t="s">
        <v>19410</v>
      </c>
      <c r="L4851" t="s">
        <v>5485</v>
      </c>
      <c r="M4851" t="s">
        <v>5471</v>
      </c>
    </row>
    <row r="4852" spans="1:13" x14ac:dyDescent="0.3">
      <c r="A4852" t="s">
        <v>3397</v>
      </c>
      <c r="B4852" t="s">
        <v>6331</v>
      </c>
      <c r="C4852" t="s">
        <v>5487</v>
      </c>
      <c r="D4852" t="s">
        <v>4056</v>
      </c>
      <c r="E4852" t="s">
        <v>6332</v>
      </c>
      <c r="F4852" t="s">
        <v>19411</v>
      </c>
      <c r="G4852" t="s">
        <v>12582</v>
      </c>
      <c r="H4852" t="s">
        <v>5474</v>
      </c>
      <c r="I4852" t="s">
        <v>19412</v>
      </c>
      <c r="J4852" t="s">
        <v>5476</v>
      </c>
      <c r="K4852" t="s">
        <v>19413</v>
      </c>
      <c r="L4852" t="s">
        <v>5485</v>
      </c>
      <c r="M4852" t="s">
        <v>5471</v>
      </c>
    </row>
    <row r="4853" spans="1:13" x14ac:dyDescent="0.3">
      <c r="A4853" t="s">
        <v>3397</v>
      </c>
      <c r="B4853" t="s">
        <v>6331</v>
      </c>
      <c r="C4853" t="s">
        <v>5487</v>
      </c>
      <c r="D4853" t="s">
        <v>4056</v>
      </c>
      <c r="E4853" t="s">
        <v>6332</v>
      </c>
      <c r="F4853" t="s">
        <v>19414</v>
      </c>
      <c r="G4853" t="s">
        <v>12582</v>
      </c>
      <c r="H4853" t="s">
        <v>5474</v>
      </c>
      <c r="I4853" t="s">
        <v>19415</v>
      </c>
      <c r="J4853" t="s">
        <v>5476</v>
      </c>
      <c r="K4853" t="s">
        <v>19416</v>
      </c>
      <c r="L4853" t="s">
        <v>5485</v>
      </c>
      <c r="M4853" t="s">
        <v>5471</v>
      </c>
    </row>
    <row r="4854" spans="1:13" x14ac:dyDescent="0.3">
      <c r="A4854" t="s">
        <v>3397</v>
      </c>
      <c r="B4854" t="s">
        <v>6331</v>
      </c>
      <c r="C4854" t="s">
        <v>5487</v>
      </c>
      <c r="D4854" t="s">
        <v>4056</v>
      </c>
      <c r="E4854" t="s">
        <v>6332</v>
      </c>
      <c r="F4854" t="s">
        <v>19417</v>
      </c>
      <c r="G4854" t="s">
        <v>12582</v>
      </c>
      <c r="H4854" t="s">
        <v>5474</v>
      </c>
      <c r="I4854" t="s">
        <v>19418</v>
      </c>
      <c r="J4854" t="s">
        <v>5476</v>
      </c>
      <c r="K4854" t="s">
        <v>19419</v>
      </c>
      <c r="L4854" t="s">
        <v>5485</v>
      </c>
      <c r="M4854" t="s">
        <v>5471</v>
      </c>
    </row>
    <row r="4855" spans="1:13" x14ac:dyDescent="0.3">
      <c r="A4855" t="s">
        <v>3397</v>
      </c>
      <c r="B4855" t="s">
        <v>6331</v>
      </c>
      <c r="C4855" t="s">
        <v>5487</v>
      </c>
      <c r="D4855" t="s">
        <v>4056</v>
      </c>
      <c r="E4855" t="s">
        <v>6332</v>
      </c>
      <c r="F4855" t="s">
        <v>19420</v>
      </c>
      <c r="G4855" t="s">
        <v>12582</v>
      </c>
      <c r="H4855" t="s">
        <v>5474</v>
      </c>
      <c r="I4855" t="s">
        <v>19421</v>
      </c>
      <c r="J4855" t="s">
        <v>5476</v>
      </c>
      <c r="K4855" t="s">
        <v>19422</v>
      </c>
      <c r="L4855" t="s">
        <v>5485</v>
      </c>
      <c r="M4855" t="s">
        <v>5471</v>
      </c>
    </row>
    <row r="4856" spans="1:13" x14ac:dyDescent="0.3">
      <c r="A4856" t="s">
        <v>3397</v>
      </c>
      <c r="B4856" t="s">
        <v>6331</v>
      </c>
      <c r="C4856" t="s">
        <v>5487</v>
      </c>
      <c r="D4856" t="s">
        <v>4056</v>
      </c>
      <c r="E4856" t="s">
        <v>6332</v>
      </c>
      <c r="F4856" t="s">
        <v>19423</v>
      </c>
      <c r="G4856" t="s">
        <v>12582</v>
      </c>
      <c r="H4856" t="s">
        <v>5474</v>
      </c>
      <c r="I4856" t="s">
        <v>19424</v>
      </c>
      <c r="J4856" t="s">
        <v>5476</v>
      </c>
      <c r="K4856" t="s">
        <v>19425</v>
      </c>
      <c r="L4856" t="s">
        <v>5485</v>
      </c>
      <c r="M4856" t="s">
        <v>5471</v>
      </c>
    </row>
    <row r="4857" spans="1:13" x14ac:dyDescent="0.3">
      <c r="A4857" t="s">
        <v>3397</v>
      </c>
      <c r="B4857" t="s">
        <v>6331</v>
      </c>
      <c r="C4857" t="s">
        <v>5487</v>
      </c>
      <c r="D4857" t="s">
        <v>4056</v>
      </c>
      <c r="E4857" t="s">
        <v>6332</v>
      </c>
      <c r="F4857" t="s">
        <v>19426</v>
      </c>
      <c r="G4857" t="s">
        <v>12582</v>
      </c>
      <c r="H4857" t="s">
        <v>5474</v>
      </c>
      <c r="I4857" t="s">
        <v>19427</v>
      </c>
      <c r="J4857" t="s">
        <v>5476</v>
      </c>
      <c r="K4857" t="s">
        <v>19428</v>
      </c>
      <c r="L4857" t="s">
        <v>5485</v>
      </c>
      <c r="M4857" t="s">
        <v>5471</v>
      </c>
    </row>
    <row r="4858" spans="1:13" x14ac:dyDescent="0.3">
      <c r="A4858" t="s">
        <v>3397</v>
      </c>
      <c r="B4858" t="s">
        <v>5301</v>
      </c>
      <c r="C4858" t="s">
        <v>6342</v>
      </c>
      <c r="D4858" t="s">
        <v>4058</v>
      </c>
      <c r="E4858" t="s">
        <v>6332</v>
      </c>
      <c r="F4858" t="s">
        <v>19429</v>
      </c>
      <c r="G4858" t="s">
        <v>12784</v>
      </c>
      <c r="H4858" t="s">
        <v>5474</v>
      </c>
      <c r="I4858" t="s">
        <v>19430</v>
      </c>
      <c r="J4858" t="s">
        <v>5476</v>
      </c>
      <c r="K4858" t="s">
        <v>12584</v>
      </c>
      <c r="L4858" t="s">
        <v>5485</v>
      </c>
      <c r="M4858" t="s">
        <v>5471</v>
      </c>
    </row>
    <row r="4859" spans="1:13" x14ac:dyDescent="0.3">
      <c r="A4859" t="s">
        <v>3397</v>
      </c>
      <c r="B4859" t="s">
        <v>5301</v>
      </c>
      <c r="C4859" t="s">
        <v>6342</v>
      </c>
      <c r="D4859" t="s">
        <v>4058</v>
      </c>
      <c r="E4859" t="s">
        <v>6332</v>
      </c>
      <c r="F4859" t="s">
        <v>19387</v>
      </c>
      <c r="G4859" t="s">
        <v>12784</v>
      </c>
      <c r="H4859" t="s">
        <v>5474</v>
      </c>
      <c r="I4859" t="s">
        <v>19431</v>
      </c>
      <c r="J4859" t="s">
        <v>5476</v>
      </c>
      <c r="K4859" t="s">
        <v>19389</v>
      </c>
      <c r="L4859" t="s">
        <v>5485</v>
      </c>
      <c r="M4859" t="s">
        <v>5471</v>
      </c>
    </row>
    <row r="4860" spans="1:13" x14ac:dyDescent="0.3">
      <c r="A4860" t="s">
        <v>3397</v>
      </c>
      <c r="B4860" t="s">
        <v>5301</v>
      </c>
      <c r="C4860" t="s">
        <v>6342</v>
      </c>
      <c r="D4860" t="s">
        <v>4058</v>
      </c>
      <c r="E4860" t="s">
        <v>6332</v>
      </c>
      <c r="F4860" t="s">
        <v>19384</v>
      </c>
      <c r="G4860" t="s">
        <v>12784</v>
      </c>
      <c r="H4860" t="s">
        <v>5474</v>
      </c>
      <c r="I4860" t="s">
        <v>19432</v>
      </c>
      <c r="J4860" t="s">
        <v>5476</v>
      </c>
      <c r="K4860" t="s">
        <v>19386</v>
      </c>
      <c r="L4860" t="s">
        <v>5485</v>
      </c>
      <c r="M4860" t="s">
        <v>5471</v>
      </c>
    </row>
    <row r="4861" spans="1:13" x14ac:dyDescent="0.3">
      <c r="A4861" t="s">
        <v>3397</v>
      </c>
      <c r="B4861" t="s">
        <v>5301</v>
      </c>
      <c r="C4861" t="s">
        <v>6342</v>
      </c>
      <c r="D4861" t="s">
        <v>4052</v>
      </c>
      <c r="E4861" t="s">
        <v>6332</v>
      </c>
      <c r="F4861" t="s">
        <v>19433</v>
      </c>
      <c r="G4861" t="s">
        <v>12784</v>
      </c>
      <c r="H4861" t="s">
        <v>5474</v>
      </c>
      <c r="I4861" t="s">
        <v>19434</v>
      </c>
      <c r="J4861" t="s">
        <v>5476</v>
      </c>
      <c r="K4861" t="s">
        <v>19435</v>
      </c>
      <c r="L4861" t="s">
        <v>5485</v>
      </c>
      <c r="M4861" t="s">
        <v>5471</v>
      </c>
    </row>
    <row r="4862" spans="1:13" x14ac:dyDescent="0.3">
      <c r="A4862" t="s">
        <v>3397</v>
      </c>
      <c r="B4862" t="s">
        <v>5301</v>
      </c>
      <c r="C4862" t="s">
        <v>6342</v>
      </c>
      <c r="D4862" t="s">
        <v>4052</v>
      </c>
      <c r="E4862" t="s">
        <v>6332</v>
      </c>
      <c r="F4862" t="s">
        <v>19436</v>
      </c>
      <c r="G4862" t="s">
        <v>12784</v>
      </c>
      <c r="H4862" t="s">
        <v>5474</v>
      </c>
      <c r="I4862" t="s">
        <v>19437</v>
      </c>
      <c r="J4862" t="s">
        <v>5476</v>
      </c>
      <c r="K4862" t="s">
        <v>19438</v>
      </c>
      <c r="L4862" t="s">
        <v>5485</v>
      </c>
      <c r="M4862" t="s">
        <v>5471</v>
      </c>
    </row>
    <row r="4863" spans="1:13" x14ac:dyDescent="0.3">
      <c r="A4863" t="s">
        <v>3397</v>
      </c>
      <c r="B4863" t="s">
        <v>5301</v>
      </c>
      <c r="C4863" t="s">
        <v>6342</v>
      </c>
      <c r="D4863" t="s">
        <v>4056</v>
      </c>
      <c r="E4863" t="s">
        <v>6332</v>
      </c>
      <c r="F4863" t="s">
        <v>19439</v>
      </c>
      <c r="G4863" t="s">
        <v>12784</v>
      </c>
      <c r="H4863" t="s">
        <v>5474</v>
      </c>
      <c r="I4863" t="s">
        <v>19440</v>
      </c>
      <c r="J4863" t="s">
        <v>5476</v>
      </c>
      <c r="K4863" t="s">
        <v>19441</v>
      </c>
      <c r="L4863" t="s">
        <v>5485</v>
      </c>
      <c r="M4863" t="s">
        <v>5471</v>
      </c>
    </row>
    <row r="4864" spans="1:13" x14ac:dyDescent="0.3">
      <c r="A4864" t="s">
        <v>3397</v>
      </c>
      <c r="B4864" t="s">
        <v>5301</v>
      </c>
      <c r="C4864" t="s">
        <v>6342</v>
      </c>
      <c r="D4864" t="s">
        <v>4056</v>
      </c>
      <c r="E4864" t="s">
        <v>6332</v>
      </c>
      <c r="F4864" t="s">
        <v>19442</v>
      </c>
      <c r="G4864" t="s">
        <v>12784</v>
      </c>
      <c r="H4864" t="s">
        <v>5474</v>
      </c>
      <c r="I4864" t="s">
        <v>19443</v>
      </c>
      <c r="J4864" t="s">
        <v>5476</v>
      </c>
      <c r="K4864" t="s">
        <v>19444</v>
      </c>
      <c r="L4864" t="s">
        <v>5485</v>
      </c>
      <c r="M4864" t="s">
        <v>5471</v>
      </c>
    </row>
    <row r="4865" spans="1:13" x14ac:dyDescent="0.3">
      <c r="A4865" t="s">
        <v>3397</v>
      </c>
      <c r="B4865" t="s">
        <v>5301</v>
      </c>
      <c r="C4865" t="s">
        <v>6342</v>
      </c>
      <c r="D4865" t="s">
        <v>4056</v>
      </c>
      <c r="E4865" t="s">
        <v>6332</v>
      </c>
      <c r="F4865" t="s">
        <v>19445</v>
      </c>
      <c r="G4865" t="s">
        <v>12784</v>
      </c>
      <c r="H4865" t="s">
        <v>5474</v>
      </c>
      <c r="I4865" t="s">
        <v>19446</v>
      </c>
      <c r="J4865" t="s">
        <v>5476</v>
      </c>
      <c r="K4865" t="s">
        <v>19447</v>
      </c>
      <c r="L4865" t="s">
        <v>5485</v>
      </c>
      <c r="M4865" t="s">
        <v>5471</v>
      </c>
    </row>
    <row r="4866" spans="1:13" x14ac:dyDescent="0.3">
      <c r="A4866" t="s">
        <v>3397</v>
      </c>
      <c r="B4866" t="s">
        <v>5301</v>
      </c>
      <c r="C4866" t="s">
        <v>6342</v>
      </c>
      <c r="D4866" t="s">
        <v>4056</v>
      </c>
      <c r="E4866" t="s">
        <v>6332</v>
      </c>
      <c r="F4866" t="s">
        <v>19448</v>
      </c>
      <c r="G4866" t="s">
        <v>12784</v>
      </c>
      <c r="H4866" t="s">
        <v>5474</v>
      </c>
      <c r="I4866" t="s">
        <v>19449</v>
      </c>
      <c r="J4866" t="s">
        <v>5476</v>
      </c>
      <c r="K4866" t="s">
        <v>19450</v>
      </c>
      <c r="L4866" t="s">
        <v>5485</v>
      </c>
      <c r="M4866" t="s">
        <v>5471</v>
      </c>
    </row>
    <row r="4867" spans="1:13" x14ac:dyDescent="0.3">
      <c r="A4867" t="s">
        <v>3397</v>
      </c>
      <c r="B4867" t="s">
        <v>5301</v>
      </c>
      <c r="C4867" t="s">
        <v>6342</v>
      </c>
      <c r="D4867" t="s">
        <v>4056</v>
      </c>
      <c r="E4867" t="s">
        <v>6332</v>
      </c>
      <c r="F4867" t="s">
        <v>19451</v>
      </c>
      <c r="G4867" t="s">
        <v>12784</v>
      </c>
      <c r="H4867" t="s">
        <v>5474</v>
      </c>
      <c r="I4867" t="s">
        <v>19452</v>
      </c>
      <c r="J4867" t="s">
        <v>5476</v>
      </c>
      <c r="K4867" t="s">
        <v>19453</v>
      </c>
      <c r="L4867" t="s">
        <v>5485</v>
      </c>
      <c r="M4867" t="s">
        <v>5471</v>
      </c>
    </row>
    <row r="4868" spans="1:13" x14ac:dyDescent="0.3">
      <c r="A4868" t="s">
        <v>3397</v>
      </c>
      <c r="B4868" t="s">
        <v>5301</v>
      </c>
      <c r="C4868" t="s">
        <v>6342</v>
      </c>
      <c r="D4868" t="s">
        <v>4056</v>
      </c>
      <c r="E4868" t="s">
        <v>6332</v>
      </c>
      <c r="F4868" t="s">
        <v>19454</v>
      </c>
      <c r="G4868" t="s">
        <v>12784</v>
      </c>
      <c r="H4868" t="s">
        <v>5474</v>
      </c>
      <c r="I4868" t="s">
        <v>19455</v>
      </c>
      <c r="J4868" t="s">
        <v>5476</v>
      </c>
      <c r="K4868" t="s">
        <v>19456</v>
      </c>
      <c r="L4868" t="s">
        <v>5485</v>
      </c>
      <c r="M4868" t="s">
        <v>5471</v>
      </c>
    </row>
    <row r="4869" spans="1:13" x14ac:dyDescent="0.3">
      <c r="A4869" t="s">
        <v>3383</v>
      </c>
      <c r="B4869" t="s">
        <v>5952</v>
      </c>
      <c r="C4869" t="s">
        <v>5470</v>
      </c>
      <c r="D4869" t="s">
        <v>4119</v>
      </c>
      <c r="E4869" t="s">
        <v>5756</v>
      </c>
      <c r="F4869" t="s">
        <v>19457</v>
      </c>
      <c r="G4869" t="s">
        <v>7728</v>
      </c>
      <c r="H4869" t="s">
        <v>5474</v>
      </c>
      <c r="I4869" t="s">
        <v>19458</v>
      </c>
      <c r="J4869" t="s">
        <v>5476</v>
      </c>
      <c r="K4869" t="s">
        <v>5471</v>
      </c>
      <c r="L4869" t="s">
        <v>5471</v>
      </c>
      <c r="M4869" t="s">
        <v>5471</v>
      </c>
    </row>
    <row r="4870" spans="1:13" x14ac:dyDescent="0.3">
      <c r="A4870" t="s">
        <v>3380</v>
      </c>
      <c r="B4870" t="s">
        <v>16094</v>
      </c>
      <c r="C4870" t="s">
        <v>6342</v>
      </c>
      <c r="D4870" t="s">
        <v>4119</v>
      </c>
      <c r="E4870" t="s">
        <v>5532</v>
      </c>
      <c r="F4870" t="s">
        <v>19459</v>
      </c>
      <c r="G4870" t="s">
        <v>16096</v>
      </c>
      <c r="H4870" t="s">
        <v>5474</v>
      </c>
      <c r="I4870" t="s">
        <v>19460</v>
      </c>
      <c r="J4870" t="s">
        <v>5476</v>
      </c>
      <c r="K4870" t="s">
        <v>16427</v>
      </c>
      <c r="L4870" t="s">
        <v>5471</v>
      </c>
      <c r="M4870" t="s">
        <v>5471</v>
      </c>
    </row>
    <row r="4871" spans="1:13" x14ac:dyDescent="0.3">
      <c r="A4871" t="s">
        <v>3380</v>
      </c>
      <c r="B4871" t="s">
        <v>10105</v>
      </c>
      <c r="C4871" t="s">
        <v>6342</v>
      </c>
      <c r="D4871" t="s">
        <v>4119</v>
      </c>
      <c r="E4871" t="s">
        <v>5532</v>
      </c>
      <c r="F4871" t="s">
        <v>19461</v>
      </c>
      <c r="G4871" t="s">
        <v>16405</v>
      </c>
      <c r="H4871" t="s">
        <v>5474</v>
      </c>
      <c r="I4871" t="s">
        <v>19462</v>
      </c>
      <c r="J4871" t="s">
        <v>5476</v>
      </c>
      <c r="K4871" t="s">
        <v>11039</v>
      </c>
      <c r="L4871" t="s">
        <v>5471</v>
      </c>
      <c r="M4871" t="s">
        <v>5471</v>
      </c>
    </row>
    <row r="4872" spans="1:13" x14ac:dyDescent="0.3">
      <c r="A4872" t="s">
        <v>3397</v>
      </c>
      <c r="B4872" t="s">
        <v>13796</v>
      </c>
      <c r="C4872" t="s">
        <v>5487</v>
      </c>
      <c r="D4872" t="s">
        <v>4119</v>
      </c>
      <c r="E4872" t="s">
        <v>5843</v>
      </c>
      <c r="F4872" t="s">
        <v>19463</v>
      </c>
      <c r="G4872" t="s">
        <v>13801</v>
      </c>
      <c r="H4872" t="s">
        <v>5474</v>
      </c>
      <c r="I4872" t="s">
        <v>19464</v>
      </c>
      <c r="J4872" t="s">
        <v>5476</v>
      </c>
      <c r="K4872" t="s">
        <v>9836</v>
      </c>
      <c r="L4872" t="s">
        <v>5471</v>
      </c>
      <c r="M4872" t="s">
        <v>5471</v>
      </c>
    </row>
    <row r="4873" spans="1:13" x14ac:dyDescent="0.3">
      <c r="A4873" t="s">
        <v>3397</v>
      </c>
      <c r="B4873" t="s">
        <v>13796</v>
      </c>
      <c r="C4873" t="s">
        <v>5487</v>
      </c>
      <c r="D4873" t="s">
        <v>4119</v>
      </c>
      <c r="E4873" t="s">
        <v>5843</v>
      </c>
      <c r="F4873" t="s">
        <v>19465</v>
      </c>
      <c r="G4873" t="s">
        <v>19466</v>
      </c>
      <c r="H4873" t="s">
        <v>5474</v>
      </c>
      <c r="I4873" t="s">
        <v>19467</v>
      </c>
      <c r="J4873" t="s">
        <v>5476</v>
      </c>
      <c r="K4873" t="s">
        <v>9836</v>
      </c>
      <c r="L4873" t="s">
        <v>5471</v>
      </c>
      <c r="M4873" t="s">
        <v>5471</v>
      </c>
    </row>
    <row r="4874" spans="1:13" x14ac:dyDescent="0.3">
      <c r="A4874" t="s">
        <v>3397</v>
      </c>
      <c r="B4874" t="s">
        <v>13796</v>
      </c>
      <c r="C4874" t="s">
        <v>5487</v>
      </c>
      <c r="D4874" t="s">
        <v>4119</v>
      </c>
      <c r="E4874" t="s">
        <v>5843</v>
      </c>
      <c r="F4874" t="s">
        <v>19468</v>
      </c>
      <c r="G4874" t="s">
        <v>19469</v>
      </c>
      <c r="H4874" t="s">
        <v>5474</v>
      </c>
      <c r="I4874" t="s">
        <v>19470</v>
      </c>
      <c r="J4874" t="s">
        <v>5476</v>
      </c>
      <c r="K4874" t="s">
        <v>9836</v>
      </c>
      <c r="L4874" t="s">
        <v>5471</v>
      </c>
      <c r="M4874" t="s">
        <v>5471</v>
      </c>
    </row>
    <row r="4875" spans="1:13" x14ac:dyDescent="0.3">
      <c r="A4875" t="s">
        <v>3397</v>
      </c>
      <c r="B4875" t="s">
        <v>13796</v>
      </c>
      <c r="C4875" t="s">
        <v>5487</v>
      </c>
      <c r="D4875" t="s">
        <v>4119</v>
      </c>
      <c r="E4875" t="s">
        <v>5843</v>
      </c>
      <c r="F4875" t="s">
        <v>19471</v>
      </c>
      <c r="G4875" t="s">
        <v>19472</v>
      </c>
      <c r="H4875" t="s">
        <v>5474</v>
      </c>
      <c r="I4875" t="s">
        <v>19473</v>
      </c>
      <c r="J4875" t="s">
        <v>5476</v>
      </c>
      <c r="K4875" t="s">
        <v>9836</v>
      </c>
      <c r="L4875" t="s">
        <v>5471</v>
      </c>
      <c r="M4875" t="s">
        <v>5471</v>
      </c>
    </row>
    <row r="4876" spans="1:13" x14ac:dyDescent="0.3">
      <c r="A4876" t="s">
        <v>3397</v>
      </c>
      <c r="B4876" t="s">
        <v>13796</v>
      </c>
      <c r="C4876" t="s">
        <v>5487</v>
      </c>
      <c r="D4876" t="s">
        <v>4119</v>
      </c>
      <c r="E4876" t="s">
        <v>5843</v>
      </c>
      <c r="F4876" t="s">
        <v>19474</v>
      </c>
      <c r="G4876" t="s">
        <v>19475</v>
      </c>
      <c r="H4876" t="s">
        <v>5474</v>
      </c>
      <c r="I4876" t="s">
        <v>19476</v>
      </c>
      <c r="J4876" t="s">
        <v>5476</v>
      </c>
      <c r="K4876" t="s">
        <v>9836</v>
      </c>
      <c r="L4876" t="s">
        <v>5471</v>
      </c>
      <c r="M4876" t="s">
        <v>5471</v>
      </c>
    </row>
    <row r="4877" spans="1:13" x14ac:dyDescent="0.3">
      <c r="A4877" t="s">
        <v>3397</v>
      </c>
      <c r="B4877" t="s">
        <v>13796</v>
      </c>
      <c r="C4877" t="s">
        <v>5487</v>
      </c>
      <c r="D4877" t="s">
        <v>4119</v>
      </c>
      <c r="E4877" t="s">
        <v>5843</v>
      </c>
      <c r="F4877" t="s">
        <v>19477</v>
      </c>
      <c r="G4877" t="s">
        <v>14386</v>
      </c>
      <c r="H4877" t="s">
        <v>5474</v>
      </c>
      <c r="I4877" t="s">
        <v>19478</v>
      </c>
      <c r="J4877" t="s">
        <v>5476</v>
      </c>
      <c r="K4877" t="s">
        <v>9836</v>
      </c>
      <c r="L4877" t="s">
        <v>5471</v>
      </c>
      <c r="M4877" t="s">
        <v>5471</v>
      </c>
    </row>
    <row r="4878" spans="1:13" x14ac:dyDescent="0.3">
      <c r="A4878" t="s">
        <v>3397</v>
      </c>
      <c r="B4878" t="s">
        <v>13796</v>
      </c>
      <c r="C4878" t="s">
        <v>5487</v>
      </c>
      <c r="D4878" t="s">
        <v>4119</v>
      </c>
      <c r="E4878" t="s">
        <v>5843</v>
      </c>
      <c r="F4878" t="s">
        <v>19479</v>
      </c>
      <c r="G4878" t="s">
        <v>14343</v>
      </c>
      <c r="H4878" t="s">
        <v>5474</v>
      </c>
      <c r="I4878" t="s">
        <v>19480</v>
      </c>
      <c r="J4878" t="s">
        <v>5476</v>
      </c>
      <c r="K4878" t="s">
        <v>9836</v>
      </c>
      <c r="L4878" t="s">
        <v>5471</v>
      </c>
      <c r="M4878" t="s">
        <v>5471</v>
      </c>
    </row>
    <row r="4879" spans="1:13" x14ac:dyDescent="0.3">
      <c r="A4879" t="s">
        <v>3397</v>
      </c>
      <c r="B4879" t="s">
        <v>13796</v>
      </c>
      <c r="C4879" t="s">
        <v>5487</v>
      </c>
      <c r="D4879" t="s">
        <v>4119</v>
      </c>
      <c r="E4879" t="s">
        <v>5843</v>
      </c>
      <c r="F4879" t="s">
        <v>19481</v>
      </c>
      <c r="G4879" t="s">
        <v>19482</v>
      </c>
      <c r="H4879" t="s">
        <v>5474</v>
      </c>
      <c r="I4879" t="s">
        <v>19483</v>
      </c>
      <c r="J4879" t="s">
        <v>5476</v>
      </c>
      <c r="K4879" t="s">
        <v>9836</v>
      </c>
      <c r="L4879" t="s">
        <v>5471</v>
      </c>
      <c r="M4879" t="s">
        <v>5471</v>
      </c>
    </row>
    <row r="4880" spans="1:13" x14ac:dyDescent="0.3">
      <c r="A4880" t="s">
        <v>3397</v>
      </c>
      <c r="B4880" t="s">
        <v>5292</v>
      </c>
      <c r="C4880" t="s">
        <v>5487</v>
      </c>
      <c r="D4880" t="s">
        <v>4119</v>
      </c>
      <c r="E4880" t="s">
        <v>19484</v>
      </c>
      <c r="F4880" t="s">
        <v>19485</v>
      </c>
      <c r="G4880" t="s">
        <v>19486</v>
      </c>
      <c r="H4880" t="s">
        <v>5474</v>
      </c>
      <c r="I4880" t="s">
        <v>19487</v>
      </c>
      <c r="J4880" t="s">
        <v>5476</v>
      </c>
      <c r="K4880" t="s">
        <v>5471</v>
      </c>
      <c r="L4880" t="s">
        <v>5471</v>
      </c>
      <c r="M4880" t="s">
        <v>5471</v>
      </c>
    </row>
    <row r="4881" spans="1:13" x14ac:dyDescent="0.3">
      <c r="A4881" t="s">
        <v>3397</v>
      </c>
      <c r="B4881" t="s">
        <v>5292</v>
      </c>
      <c r="C4881" t="s">
        <v>5487</v>
      </c>
      <c r="D4881" t="s">
        <v>4119</v>
      </c>
      <c r="E4881" t="s">
        <v>19484</v>
      </c>
      <c r="F4881" t="s">
        <v>19488</v>
      </c>
      <c r="G4881" t="s">
        <v>19489</v>
      </c>
      <c r="H4881" t="s">
        <v>5474</v>
      </c>
      <c r="I4881" t="s">
        <v>19490</v>
      </c>
      <c r="J4881" t="s">
        <v>5476</v>
      </c>
      <c r="K4881" t="s">
        <v>5471</v>
      </c>
      <c r="L4881" t="s">
        <v>5471</v>
      </c>
      <c r="M4881" t="s">
        <v>5471</v>
      </c>
    </row>
    <row r="4882" spans="1:13" x14ac:dyDescent="0.3">
      <c r="A4882" t="s">
        <v>3397</v>
      </c>
      <c r="B4882" t="s">
        <v>5292</v>
      </c>
      <c r="C4882" t="s">
        <v>5487</v>
      </c>
      <c r="D4882" t="s">
        <v>4119</v>
      </c>
      <c r="E4882" t="s">
        <v>19484</v>
      </c>
      <c r="F4882" t="s">
        <v>19491</v>
      </c>
      <c r="G4882" t="s">
        <v>19492</v>
      </c>
      <c r="H4882" t="s">
        <v>5474</v>
      </c>
      <c r="I4882" t="s">
        <v>19493</v>
      </c>
      <c r="J4882" t="s">
        <v>5476</v>
      </c>
      <c r="K4882" t="s">
        <v>5471</v>
      </c>
      <c r="L4882" t="s">
        <v>5471</v>
      </c>
      <c r="M4882" t="s">
        <v>5471</v>
      </c>
    </row>
    <row r="4883" spans="1:13" x14ac:dyDescent="0.3">
      <c r="A4883" t="s">
        <v>3397</v>
      </c>
      <c r="B4883" t="s">
        <v>5292</v>
      </c>
      <c r="C4883" t="s">
        <v>5487</v>
      </c>
      <c r="D4883" t="s">
        <v>4119</v>
      </c>
      <c r="E4883" t="s">
        <v>19484</v>
      </c>
      <c r="F4883" t="s">
        <v>19494</v>
      </c>
      <c r="G4883" t="s">
        <v>19495</v>
      </c>
      <c r="H4883" t="s">
        <v>5474</v>
      </c>
      <c r="I4883" t="s">
        <v>19496</v>
      </c>
      <c r="J4883" t="s">
        <v>5476</v>
      </c>
      <c r="K4883" t="s">
        <v>5471</v>
      </c>
      <c r="L4883" t="s">
        <v>5471</v>
      </c>
      <c r="M4883" t="s">
        <v>5471</v>
      </c>
    </row>
    <row r="4884" spans="1:13" x14ac:dyDescent="0.3">
      <c r="A4884" t="s">
        <v>3397</v>
      </c>
      <c r="B4884" t="s">
        <v>5292</v>
      </c>
      <c r="C4884" t="s">
        <v>5487</v>
      </c>
      <c r="D4884" t="s">
        <v>4119</v>
      </c>
      <c r="E4884" t="s">
        <v>19484</v>
      </c>
      <c r="F4884" t="s">
        <v>19497</v>
      </c>
      <c r="G4884" t="s">
        <v>19498</v>
      </c>
      <c r="H4884" t="s">
        <v>5474</v>
      </c>
      <c r="I4884" t="s">
        <v>19499</v>
      </c>
      <c r="J4884" t="s">
        <v>5476</v>
      </c>
      <c r="K4884" t="s">
        <v>5471</v>
      </c>
      <c r="L4884" t="s">
        <v>5471</v>
      </c>
      <c r="M4884" t="s">
        <v>5471</v>
      </c>
    </row>
    <row r="4885" spans="1:13" x14ac:dyDescent="0.3">
      <c r="A4885" t="s">
        <v>3397</v>
      </c>
      <c r="B4885" t="s">
        <v>5292</v>
      </c>
      <c r="C4885" t="s">
        <v>5487</v>
      </c>
      <c r="D4885" t="s">
        <v>4119</v>
      </c>
      <c r="E4885" t="s">
        <v>19484</v>
      </c>
      <c r="F4885" t="s">
        <v>19500</v>
      </c>
      <c r="G4885" t="s">
        <v>19501</v>
      </c>
      <c r="H4885" t="s">
        <v>5474</v>
      </c>
      <c r="I4885" t="s">
        <v>19502</v>
      </c>
      <c r="J4885" t="s">
        <v>5476</v>
      </c>
      <c r="K4885" t="s">
        <v>5471</v>
      </c>
      <c r="L4885" t="s">
        <v>5471</v>
      </c>
      <c r="M4885" t="s">
        <v>5471</v>
      </c>
    </row>
    <row r="4886" spans="1:13" x14ac:dyDescent="0.3">
      <c r="A4886" t="s">
        <v>3397</v>
      </c>
      <c r="B4886" t="s">
        <v>5292</v>
      </c>
      <c r="C4886" t="s">
        <v>5487</v>
      </c>
      <c r="D4886" t="s">
        <v>4119</v>
      </c>
      <c r="E4886" t="s">
        <v>19484</v>
      </c>
      <c r="F4886" t="s">
        <v>19503</v>
      </c>
      <c r="G4886" t="s">
        <v>19504</v>
      </c>
      <c r="H4886" t="s">
        <v>5474</v>
      </c>
      <c r="I4886" t="s">
        <v>19505</v>
      </c>
      <c r="J4886" t="s">
        <v>5476</v>
      </c>
      <c r="K4886" t="s">
        <v>5471</v>
      </c>
      <c r="L4886" t="s">
        <v>5471</v>
      </c>
      <c r="M4886" t="s">
        <v>5471</v>
      </c>
    </row>
    <row r="4887" spans="1:13" x14ac:dyDescent="0.3">
      <c r="A4887" t="s">
        <v>3397</v>
      </c>
      <c r="B4887" t="s">
        <v>5292</v>
      </c>
      <c r="C4887" t="s">
        <v>5487</v>
      </c>
      <c r="D4887" t="s">
        <v>4119</v>
      </c>
      <c r="E4887" t="s">
        <v>19484</v>
      </c>
      <c r="F4887" t="s">
        <v>19506</v>
      </c>
      <c r="G4887" t="s">
        <v>19507</v>
      </c>
      <c r="H4887" t="s">
        <v>5474</v>
      </c>
      <c r="I4887" t="s">
        <v>19508</v>
      </c>
      <c r="J4887" t="s">
        <v>5476</v>
      </c>
      <c r="K4887" t="s">
        <v>5471</v>
      </c>
      <c r="L4887" t="s">
        <v>5471</v>
      </c>
      <c r="M4887" t="s">
        <v>5471</v>
      </c>
    </row>
    <row r="4888" spans="1:13" x14ac:dyDescent="0.3">
      <c r="A4888" t="s">
        <v>3397</v>
      </c>
      <c r="B4888" t="s">
        <v>13562</v>
      </c>
      <c r="C4888" t="s">
        <v>6342</v>
      </c>
      <c r="D4888" t="s">
        <v>4119</v>
      </c>
      <c r="E4888" t="s">
        <v>19484</v>
      </c>
      <c r="F4888" t="s">
        <v>19485</v>
      </c>
      <c r="G4888" t="s">
        <v>19509</v>
      </c>
      <c r="H4888" t="s">
        <v>5474</v>
      </c>
      <c r="I4888" t="s">
        <v>19510</v>
      </c>
      <c r="J4888" t="s">
        <v>5476</v>
      </c>
      <c r="K4888" t="s">
        <v>5471</v>
      </c>
      <c r="L4888" t="s">
        <v>5471</v>
      </c>
      <c r="M4888" t="s">
        <v>5471</v>
      </c>
    </row>
    <row r="4889" spans="1:13" x14ac:dyDescent="0.3">
      <c r="A4889" t="s">
        <v>3397</v>
      </c>
      <c r="B4889" t="s">
        <v>13562</v>
      </c>
      <c r="C4889" t="s">
        <v>6342</v>
      </c>
      <c r="D4889" t="s">
        <v>4119</v>
      </c>
      <c r="E4889" t="s">
        <v>19484</v>
      </c>
      <c r="F4889" t="s">
        <v>19488</v>
      </c>
      <c r="G4889" t="s">
        <v>19511</v>
      </c>
      <c r="H4889" t="s">
        <v>5474</v>
      </c>
      <c r="I4889" t="s">
        <v>19512</v>
      </c>
      <c r="J4889" t="s">
        <v>5476</v>
      </c>
      <c r="K4889" t="s">
        <v>5471</v>
      </c>
      <c r="L4889" t="s">
        <v>5471</v>
      </c>
      <c r="M4889" t="s">
        <v>5471</v>
      </c>
    </row>
    <row r="4890" spans="1:13" x14ac:dyDescent="0.3">
      <c r="A4890" t="s">
        <v>3397</v>
      </c>
      <c r="B4890" t="s">
        <v>13562</v>
      </c>
      <c r="C4890" t="s">
        <v>6342</v>
      </c>
      <c r="D4890" t="s">
        <v>4119</v>
      </c>
      <c r="E4890" t="s">
        <v>19484</v>
      </c>
      <c r="F4890" t="s">
        <v>19513</v>
      </c>
      <c r="G4890" t="s">
        <v>19514</v>
      </c>
      <c r="H4890" t="s">
        <v>5474</v>
      </c>
      <c r="I4890" t="s">
        <v>19515</v>
      </c>
      <c r="J4890" t="s">
        <v>5476</v>
      </c>
      <c r="K4890" t="s">
        <v>5471</v>
      </c>
      <c r="L4890" t="s">
        <v>5471</v>
      </c>
      <c r="M4890" t="s">
        <v>5471</v>
      </c>
    </row>
    <row r="4891" spans="1:13" x14ac:dyDescent="0.3">
      <c r="A4891" t="s">
        <v>3397</v>
      </c>
      <c r="B4891" t="s">
        <v>13562</v>
      </c>
      <c r="C4891" t="s">
        <v>6342</v>
      </c>
      <c r="D4891" t="s">
        <v>4119</v>
      </c>
      <c r="E4891" t="s">
        <v>19484</v>
      </c>
      <c r="F4891" t="s">
        <v>19516</v>
      </c>
      <c r="G4891" t="s">
        <v>19517</v>
      </c>
      <c r="H4891" t="s">
        <v>5474</v>
      </c>
      <c r="I4891" t="s">
        <v>19518</v>
      </c>
      <c r="J4891" t="s">
        <v>5476</v>
      </c>
      <c r="K4891" t="s">
        <v>5471</v>
      </c>
      <c r="L4891" t="s">
        <v>5471</v>
      </c>
      <c r="M4891" t="s">
        <v>5471</v>
      </c>
    </row>
    <row r="4892" spans="1:13" x14ac:dyDescent="0.3">
      <c r="A4892" t="s">
        <v>3397</v>
      </c>
      <c r="B4892" t="s">
        <v>13562</v>
      </c>
      <c r="C4892" t="s">
        <v>6342</v>
      </c>
      <c r="D4892" t="s">
        <v>4119</v>
      </c>
      <c r="E4892" t="s">
        <v>19484</v>
      </c>
      <c r="F4892" t="s">
        <v>19519</v>
      </c>
      <c r="G4892" t="s">
        <v>19520</v>
      </c>
      <c r="H4892" t="s">
        <v>5474</v>
      </c>
      <c r="I4892" t="s">
        <v>19521</v>
      </c>
      <c r="J4892" t="s">
        <v>5476</v>
      </c>
      <c r="K4892" t="s">
        <v>5471</v>
      </c>
      <c r="L4892" t="s">
        <v>5471</v>
      </c>
      <c r="M4892" t="s">
        <v>5471</v>
      </c>
    </row>
    <row r="4893" spans="1:13" x14ac:dyDescent="0.3">
      <c r="A4893" t="s">
        <v>3397</v>
      </c>
      <c r="B4893" t="s">
        <v>13562</v>
      </c>
      <c r="C4893" t="s">
        <v>6342</v>
      </c>
      <c r="D4893" t="s">
        <v>4119</v>
      </c>
      <c r="E4893" t="s">
        <v>19484</v>
      </c>
      <c r="F4893" t="s">
        <v>19500</v>
      </c>
      <c r="G4893" t="s">
        <v>19522</v>
      </c>
      <c r="H4893" t="s">
        <v>5474</v>
      </c>
      <c r="I4893" t="s">
        <v>19523</v>
      </c>
      <c r="J4893" t="s">
        <v>5476</v>
      </c>
      <c r="K4893" t="s">
        <v>5471</v>
      </c>
      <c r="L4893" t="s">
        <v>5471</v>
      </c>
      <c r="M4893" t="s">
        <v>5471</v>
      </c>
    </row>
    <row r="4894" spans="1:13" x14ac:dyDescent="0.3">
      <c r="A4894" t="s">
        <v>3397</v>
      </c>
      <c r="B4894" t="s">
        <v>13562</v>
      </c>
      <c r="C4894" t="s">
        <v>6342</v>
      </c>
      <c r="D4894" t="s">
        <v>4119</v>
      </c>
      <c r="E4894" t="s">
        <v>19484</v>
      </c>
      <c r="F4894" t="s">
        <v>19503</v>
      </c>
      <c r="G4894" t="s">
        <v>19524</v>
      </c>
      <c r="H4894" t="s">
        <v>5474</v>
      </c>
      <c r="I4894" t="s">
        <v>19525</v>
      </c>
      <c r="J4894" t="s">
        <v>5476</v>
      </c>
      <c r="K4894" t="s">
        <v>5471</v>
      </c>
      <c r="L4894" t="s">
        <v>5471</v>
      </c>
      <c r="M4894" t="s">
        <v>5471</v>
      </c>
    </row>
    <row r="4895" spans="1:13" x14ac:dyDescent="0.3">
      <c r="A4895" t="s">
        <v>3397</v>
      </c>
      <c r="B4895" t="s">
        <v>13562</v>
      </c>
      <c r="C4895" t="s">
        <v>6342</v>
      </c>
      <c r="D4895" t="s">
        <v>4119</v>
      </c>
      <c r="E4895" t="s">
        <v>19484</v>
      </c>
      <c r="F4895" t="s">
        <v>19506</v>
      </c>
      <c r="G4895" t="s">
        <v>19526</v>
      </c>
      <c r="H4895" t="s">
        <v>5474</v>
      </c>
      <c r="I4895" t="s">
        <v>19527</v>
      </c>
      <c r="J4895" t="s">
        <v>5476</v>
      </c>
      <c r="K4895" t="s">
        <v>5471</v>
      </c>
      <c r="L4895" t="s">
        <v>5471</v>
      </c>
      <c r="M4895" t="s">
        <v>5471</v>
      </c>
    </row>
    <row r="4896" spans="1:13" x14ac:dyDescent="0.3">
      <c r="A4896" t="s">
        <v>3397</v>
      </c>
      <c r="B4896" t="s">
        <v>5318</v>
      </c>
      <c r="C4896" t="s">
        <v>5487</v>
      </c>
      <c r="D4896" t="s">
        <v>4081</v>
      </c>
      <c r="E4896" t="s">
        <v>5595</v>
      </c>
      <c r="F4896" t="s">
        <v>19528</v>
      </c>
      <c r="G4896" t="s">
        <v>19529</v>
      </c>
      <c r="H4896" t="s">
        <v>5474</v>
      </c>
      <c r="I4896" t="s">
        <v>19530</v>
      </c>
      <c r="J4896" t="s">
        <v>5476</v>
      </c>
      <c r="K4896" t="s">
        <v>19531</v>
      </c>
      <c r="L4896" t="s">
        <v>5471</v>
      </c>
      <c r="M4896" t="s">
        <v>5471</v>
      </c>
    </row>
    <row r="4897" spans="1:13" x14ac:dyDescent="0.3">
      <c r="A4897" t="s">
        <v>3397</v>
      </c>
      <c r="B4897" t="s">
        <v>5301</v>
      </c>
      <c r="C4897" t="s">
        <v>6342</v>
      </c>
      <c r="D4897" t="s">
        <v>4081</v>
      </c>
      <c r="E4897" t="s">
        <v>9935</v>
      </c>
      <c r="F4897" t="s">
        <v>19532</v>
      </c>
      <c r="G4897" t="s">
        <v>14930</v>
      </c>
      <c r="H4897" t="s">
        <v>5474</v>
      </c>
      <c r="I4897" t="s">
        <v>19533</v>
      </c>
      <c r="J4897" t="s">
        <v>5476</v>
      </c>
      <c r="K4897" t="s">
        <v>19534</v>
      </c>
      <c r="L4897" t="s">
        <v>5471</v>
      </c>
      <c r="M4897" t="s">
        <v>5471</v>
      </c>
    </row>
    <row r="4898" spans="1:13" x14ac:dyDescent="0.3">
      <c r="A4898" t="s">
        <v>3397</v>
      </c>
      <c r="B4898" t="s">
        <v>5594</v>
      </c>
      <c r="C4898" t="s">
        <v>5487</v>
      </c>
      <c r="D4898" t="s">
        <v>4081</v>
      </c>
      <c r="E4898" t="s">
        <v>6332</v>
      </c>
      <c r="F4898" t="s">
        <v>19535</v>
      </c>
      <c r="G4898" t="s">
        <v>12954</v>
      </c>
      <c r="H4898" t="s">
        <v>5474</v>
      </c>
      <c r="I4898" t="s">
        <v>19536</v>
      </c>
      <c r="J4898" t="s">
        <v>5476</v>
      </c>
      <c r="K4898" t="s">
        <v>19537</v>
      </c>
      <c r="L4898" t="s">
        <v>5471</v>
      </c>
      <c r="M4898" t="s">
        <v>5471</v>
      </c>
    </row>
    <row r="4899" spans="1:13" x14ac:dyDescent="0.3">
      <c r="A4899" t="s">
        <v>3397</v>
      </c>
      <c r="B4899" t="s">
        <v>5594</v>
      </c>
      <c r="C4899" t="s">
        <v>5487</v>
      </c>
      <c r="D4899" t="s">
        <v>4081</v>
      </c>
      <c r="E4899" t="s">
        <v>6332</v>
      </c>
      <c r="F4899" t="s">
        <v>19538</v>
      </c>
      <c r="G4899" t="s">
        <v>5675</v>
      </c>
      <c r="H4899" t="s">
        <v>5474</v>
      </c>
      <c r="I4899" t="s">
        <v>19539</v>
      </c>
      <c r="J4899" t="s">
        <v>5476</v>
      </c>
      <c r="K4899" t="s">
        <v>19540</v>
      </c>
      <c r="L4899" t="s">
        <v>5471</v>
      </c>
      <c r="M4899" t="s">
        <v>5471</v>
      </c>
    </row>
    <row r="4900" spans="1:13" x14ac:dyDescent="0.3">
      <c r="A4900" t="s">
        <v>3397</v>
      </c>
      <c r="B4900" t="s">
        <v>5594</v>
      </c>
      <c r="C4900" t="s">
        <v>5487</v>
      </c>
      <c r="D4900" t="s">
        <v>4081</v>
      </c>
      <c r="E4900" t="s">
        <v>6332</v>
      </c>
      <c r="F4900" t="s">
        <v>19541</v>
      </c>
      <c r="G4900" t="s">
        <v>5597</v>
      </c>
      <c r="H4900" t="s">
        <v>5474</v>
      </c>
      <c r="I4900" t="s">
        <v>19542</v>
      </c>
      <c r="J4900" t="s">
        <v>5476</v>
      </c>
      <c r="K4900" t="s">
        <v>19543</v>
      </c>
      <c r="L4900" t="s">
        <v>5471</v>
      </c>
      <c r="M4900" t="s">
        <v>5471</v>
      </c>
    </row>
    <row r="4901" spans="1:13" x14ac:dyDescent="0.3">
      <c r="A4901" t="s">
        <v>3397</v>
      </c>
      <c r="B4901" t="s">
        <v>5594</v>
      </c>
      <c r="C4901" t="s">
        <v>5487</v>
      </c>
      <c r="D4901" t="s">
        <v>4081</v>
      </c>
      <c r="E4901" t="s">
        <v>6332</v>
      </c>
      <c r="F4901" t="s">
        <v>19544</v>
      </c>
      <c r="G4901" t="s">
        <v>5601</v>
      </c>
      <c r="H4901" t="s">
        <v>5474</v>
      </c>
      <c r="I4901" t="s">
        <v>19545</v>
      </c>
      <c r="J4901" t="s">
        <v>5476</v>
      </c>
      <c r="K4901" t="s">
        <v>19546</v>
      </c>
      <c r="L4901" t="s">
        <v>5471</v>
      </c>
      <c r="M4901" t="s">
        <v>5471</v>
      </c>
    </row>
    <row r="4902" spans="1:13" x14ac:dyDescent="0.3">
      <c r="A4902" t="s">
        <v>3397</v>
      </c>
      <c r="B4902" t="s">
        <v>5594</v>
      </c>
      <c r="C4902" t="s">
        <v>5487</v>
      </c>
      <c r="D4902" t="s">
        <v>4081</v>
      </c>
      <c r="E4902" t="s">
        <v>5756</v>
      </c>
      <c r="F4902" t="s">
        <v>19547</v>
      </c>
      <c r="G4902" t="s">
        <v>19548</v>
      </c>
      <c r="H4902" t="s">
        <v>5474</v>
      </c>
      <c r="I4902" t="s">
        <v>19549</v>
      </c>
      <c r="J4902" t="s">
        <v>5476</v>
      </c>
      <c r="K4902" t="s">
        <v>19550</v>
      </c>
      <c r="L4902" t="s">
        <v>5471</v>
      </c>
      <c r="M4902" t="s">
        <v>5471</v>
      </c>
    </row>
    <row r="4903" spans="1:13" x14ac:dyDescent="0.3">
      <c r="A4903" t="s">
        <v>3397</v>
      </c>
      <c r="B4903" t="s">
        <v>5594</v>
      </c>
      <c r="C4903" t="s">
        <v>5487</v>
      </c>
      <c r="D4903" t="s">
        <v>4081</v>
      </c>
      <c r="E4903" t="s">
        <v>5756</v>
      </c>
      <c r="F4903" t="s">
        <v>19551</v>
      </c>
      <c r="G4903" t="s">
        <v>19548</v>
      </c>
      <c r="H4903" t="s">
        <v>5474</v>
      </c>
      <c r="I4903" t="s">
        <v>19552</v>
      </c>
      <c r="J4903" t="s">
        <v>5476</v>
      </c>
      <c r="K4903" t="s">
        <v>19553</v>
      </c>
      <c r="L4903" t="s">
        <v>5471</v>
      </c>
      <c r="M4903" t="s">
        <v>5471</v>
      </c>
    </row>
    <row r="4904" spans="1:13" x14ac:dyDescent="0.3">
      <c r="A4904" t="s">
        <v>3397</v>
      </c>
      <c r="B4904" t="s">
        <v>5594</v>
      </c>
      <c r="C4904" t="s">
        <v>5487</v>
      </c>
      <c r="D4904" t="s">
        <v>4081</v>
      </c>
      <c r="E4904" t="s">
        <v>5756</v>
      </c>
      <c r="F4904" t="s">
        <v>19554</v>
      </c>
      <c r="G4904" t="s">
        <v>19548</v>
      </c>
      <c r="H4904" t="s">
        <v>5474</v>
      </c>
      <c r="I4904" t="s">
        <v>19555</v>
      </c>
      <c r="J4904" t="s">
        <v>5476</v>
      </c>
      <c r="K4904" t="s">
        <v>19556</v>
      </c>
      <c r="L4904" t="s">
        <v>5471</v>
      </c>
      <c r="M4904" t="s">
        <v>5471</v>
      </c>
    </row>
    <row r="4905" spans="1:13" x14ac:dyDescent="0.3">
      <c r="A4905" t="s">
        <v>3397</v>
      </c>
      <c r="B4905" t="s">
        <v>5594</v>
      </c>
      <c r="C4905" t="s">
        <v>5487</v>
      </c>
      <c r="D4905" t="s">
        <v>4081</v>
      </c>
      <c r="E4905" t="s">
        <v>5756</v>
      </c>
      <c r="F4905" t="s">
        <v>19557</v>
      </c>
      <c r="G4905" t="s">
        <v>19558</v>
      </c>
      <c r="H4905" t="s">
        <v>5474</v>
      </c>
      <c r="I4905" t="s">
        <v>19559</v>
      </c>
      <c r="J4905" t="s">
        <v>5476</v>
      </c>
      <c r="K4905" t="s">
        <v>19560</v>
      </c>
      <c r="L4905" t="s">
        <v>5471</v>
      </c>
      <c r="M4905" t="s">
        <v>5471</v>
      </c>
    </row>
    <row r="4906" spans="1:13" x14ac:dyDescent="0.3">
      <c r="A4906" t="s">
        <v>3397</v>
      </c>
      <c r="B4906" t="s">
        <v>5594</v>
      </c>
      <c r="C4906" t="s">
        <v>5487</v>
      </c>
      <c r="D4906" t="s">
        <v>4081</v>
      </c>
      <c r="E4906" t="s">
        <v>5756</v>
      </c>
      <c r="F4906" t="s">
        <v>19561</v>
      </c>
      <c r="G4906" t="s">
        <v>19558</v>
      </c>
      <c r="H4906" t="s">
        <v>5474</v>
      </c>
      <c r="I4906" t="s">
        <v>19562</v>
      </c>
      <c r="J4906" t="s">
        <v>5476</v>
      </c>
      <c r="K4906" t="s">
        <v>19563</v>
      </c>
      <c r="L4906" t="s">
        <v>5471</v>
      </c>
      <c r="M4906" t="s">
        <v>5471</v>
      </c>
    </row>
    <row r="4907" spans="1:13" x14ac:dyDescent="0.3">
      <c r="A4907" t="s">
        <v>3397</v>
      </c>
      <c r="B4907" t="s">
        <v>5594</v>
      </c>
      <c r="C4907" t="s">
        <v>5487</v>
      </c>
      <c r="D4907" t="s">
        <v>4081</v>
      </c>
      <c r="E4907" t="s">
        <v>5756</v>
      </c>
      <c r="F4907" t="s">
        <v>19564</v>
      </c>
      <c r="G4907" t="s">
        <v>19558</v>
      </c>
      <c r="H4907" t="s">
        <v>5474</v>
      </c>
      <c r="I4907" t="s">
        <v>19565</v>
      </c>
      <c r="J4907" t="s">
        <v>5476</v>
      </c>
      <c r="K4907" t="s">
        <v>19566</v>
      </c>
      <c r="L4907" t="s">
        <v>5471</v>
      </c>
      <c r="M4907" t="s">
        <v>5471</v>
      </c>
    </row>
    <row r="4908" spans="1:13" x14ac:dyDescent="0.3">
      <c r="A4908" t="s">
        <v>3397</v>
      </c>
      <c r="B4908" t="s">
        <v>5594</v>
      </c>
      <c r="C4908" t="s">
        <v>5487</v>
      </c>
      <c r="D4908" t="s">
        <v>4081</v>
      </c>
      <c r="E4908" t="s">
        <v>5756</v>
      </c>
      <c r="F4908" t="s">
        <v>19567</v>
      </c>
      <c r="G4908" t="s">
        <v>12849</v>
      </c>
      <c r="H4908" t="s">
        <v>5474</v>
      </c>
      <c r="I4908" t="s">
        <v>19568</v>
      </c>
      <c r="J4908" t="s">
        <v>5476</v>
      </c>
      <c r="K4908" t="s">
        <v>19569</v>
      </c>
      <c r="L4908" t="s">
        <v>5471</v>
      </c>
      <c r="M4908" t="s">
        <v>5471</v>
      </c>
    </row>
    <row r="4909" spans="1:13" x14ac:dyDescent="0.3">
      <c r="A4909" t="s">
        <v>3397</v>
      </c>
      <c r="B4909" t="s">
        <v>5594</v>
      </c>
      <c r="C4909" t="s">
        <v>5487</v>
      </c>
      <c r="D4909" t="s">
        <v>4081</v>
      </c>
      <c r="E4909" t="s">
        <v>5756</v>
      </c>
      <c r="F4909" t="s">
        <v>19570</v>
      </c>
      <c r="G4909" t="s">
        <v>12849</v>
      </c>
      <c r="H4909" t="s">
        <v>5474</v>
      </c>
      <c r="I4909" t="s">
        <v>19571</v>
      </c>
      <c r="J4909" t="s">
        <v>5476</v>
      </c>
      <c r="K4909" t="s">
        <v>19572</v>
      </c>
      <c r="L4909" t="s">
        <v>5471</v>
      </c>
      <c r="M4909" t="s">
        <v>5471</v>
      </c>
    </row>
    <row r="4910" spans="1:13" x14ac:dyDescent="0.3">
      <c r="A4910" t="s">
        <v>3397</v>
      </c>
      <c r="B4910" t="s">
        <v>5594</v>
      </c>
      <c r="C4910" t="s">
        <v>5487</v>
      </c>
      <c r="D4910" t="s">
        <v>4081</v>
      </c>
      <c r="E4910" t="s">
        <v>5756</v>
      </c>
      <c r="F4910" t="s">
        <v>19573</v>
      </c>
      <c r="G4910" t="s">
        <v>12849</v>
      </c>
      <c r="H4910" t="s">
        <v>5474</v>
      </c>
      <c r="I4910" t="s">
        <v>19574</v>
      </c>
      <c r="J4910" t="s">
        <v>5476</v>
      </c>
      <c r="K4910" t="s">
        <v>19575</v>
      </c>
      <c r="L4910" t="s">
        <v>5471</v>
      </c>
      <c r="M4910" t="s">
        <v>5471</v>
      </c>
    </row>
    <row r="4911" spans="1:13" x14ac:dyDescent="0.3">
      <c r="A4911" t="s">
        <v>3397</v>
      </c>
      <c r="B4911" t="s">
        <v>5594</v>
      </c>
      <c r="C4911" t="s">
        <v>5487</v>
      </c>
      <c r="D4911" t="s">
        <v>4081</v>
      </c>
      <c r="E4911" t="s">
        <v>5756</v>
      </c>
      <c r="F4911" t="s">
        <v>19576</v>
      </c>
      <c r="G4911" t="s">
        <v>12849</v>
      </c>
      <c r="H4911" t="s">
        <v>5474</v>
      </c>
      <c r="I4911" t="s">
        <v>19577</v>
      </c>
      <c r="J4911" t="s">
        <v>5476</v>
      </c>
      <c r="K4911" t="s">
        <v>19578</v>
      </c>
      <c r="L4911" t="s">
        <v>5471</v>
      </c>
      <c r="M4911" t="s">
        <v>5471</v>
      </c>
    </row>
    <row r="4912" spans="1:13" x14ac:dyDescent="0.3">
      <c r="A4912" t="s">
        <v>3383</v>
      </c>
      <c r="B4912" t="s">
        <v>6122</v>
      </c>
      <c r="C4912" t="s">
        <v>5470</v>
      </c>
      <c r="D4912" t="s">
        <v>4119</v>
      </c>
      <c r="E4912" t="s">
        <v>5532</v>
      </c>
      <c r="F4912" t="s">
        <v>19579</v>
      </c>
      <c r="G4912" t="s">
        <v>6123</v>
      </c>
      <c r="H4912" t="s">
        <v>5474</v>
      </c>
      <c r="I4912" t="s">
        <v>19580</v>
      </c>
      <c r="J4912" t="s">
        <v>5476</v>
      </c>
      <c r="K4912" t="s">
        <v>19581</v>
      </c>
      <c r="L4912" t="s">
        <v>5471</v>
      </c>
      <c r="M4912" t="s">
        <v>5471</v>
      </c>
    </row>
    <row r="4913" spans="1:13" x14ac:dyDescent="0.3">
      <c r="A4913" t="s">
        <v>3383</v>
      </c>
      <c r="B4913" t="s">
        <v>6122</v>
      </c>
      <c r="C4913" t="s">
        <v>5470</v>
      </c>
      <c r="D4913" t="s">
        <v>4119</v>
      </c>
      <c r="E4913" t="s">
        <v>5532</v>
      </c>
      <c r="F4913" t="s">
        <v>19582</v>
      </c>
      <c r="G4913" t="s">
        <v>6123</v>
      </c>
      <c r="H4913" t="s">
        <v>5474</v>
      </c>
      <c r="I4913" t="s">
        <v>19583</v>
      </c>
      <c r="J4913" t="s">
        <v>5476</v>
      </c>
      <c r="K4913" t="s">
        <v>5471</v>
      </c>
      <c r="L4913" t="s">
        <v>5471</v>
      </c>
      <c r="M4913" t="s">
        <v>5471</v>
      </c>
    </row>
    <row r="4914" spans="1:13" x14ac:dyDescent="0.3">
      <c r="A4914" t="s">
        <v>3388</v>
      </c>
      <c r="B4914" t="s">
        <v>15942</v>
      </c>
      <c r="C4914" t="s">
        <v>5470</v>
      </c>
      <c r="D4914" t="s">
        <v>4081</v>
      </c>
      <c r="E4914" t="s">
        <v>5756</v>
      </c>
      <c r="F4914" t="s">
        <v>19584</v>
      </c>
      <c r="G4914" t="s">
        <v>19585</v>
      </c>
      <c r="H4914" t="s">
        <v>5474</v>
      </c>
      <c r="I4914" t="s">
        <v>19586</v>
      </c>
      <c r="J4914" t="s">
        <v>5476</v>
      </c>
      <c r="K4914" t="s">
        <v>19587</v>
      </c>
      <c r="L4914" t="s">
        <v>5471</v>
      </c>
      <c r="M4914" t="s">
        <v>5471</v>
      </c>
    </row>
    <row r="4915" spans="1:13" x14ac:dyDescent="0.3">
      <c r="A4915" t="s">
        <v>3388</v>
      </c>
      <c r="B4915" t="s">
        <v>15942</v>
      </c>
      <c r="C4915" t="s">
        <v>5470</v>
      </c>
      <c r="D4915" t="s">
        <v>4081</v>
      </c>
      <c r="E4915" t="s">
        <v>5756</v>
      </c>
      <c r="F4915" t="s">
        <v>19588</v>
      </c>
      <c r="G4915" t="s">
        <v>19585</v>
      </c>
      <c r="H4915" t="s">
        <v>5474</v>
      </c>
      <c r="I4915" t="s">
        <v>19589</v>
      </c>
      <c r="J4915" t="s">
        <v>5476</v>
      </c>
      <c r="K4915" t="s">
        <v>19590</v>
      </c>
      <c r="L4915" t="s">
        <v>5471</v>
      </c>
      <c r="M4915" t="s">
        <v>5471</v>
      </c>
    </row>
    <row r="4916" spans="1:13" x14ac:dyDescent="0.3">
      <c r="A4916" t="s">
        <v>3388</v>
      </c>
      <c r="B4916" t="s">
        <v>15942</v>
      </c>
      <c r="C4916" t="s">
        <v>5470</v>
      </c>
      <c r="D4916" t="s">
        <v>4081</v>
      </c>
      <c r="E4916" t="s">
        <v>5756</v>
      </c>
      <c r="F4916" t="s">
        <v>19591</v>
      </c>
      <c r="G4916" t="s">
        <v>19592</v>
      </c>
      <c r="H4916" t="s">
        <v>5474</v>
      </c>
      <c r="I4916" t="s">
        <v>19593</v>
      </c>
      <c r="J4916" t="s">
        <v>5476</v>
      </c>
      <c r="K4916" t="s">
        <v>19594</v>
      </c>
      <c r="L4916" t="s">
        <v>5471</v>
      </c>
      <c r="M4916" t="s">
        <v>5471</v>
      </c>
    </row>
    <row r="4917" spans="1:13" x14ac:dyDescent="0.3">
      <c r="A4917" t="s">
        <v>3397</v>
      </c>
      <c r="B4917" t="s">
        <v>14973</v>
      </c>
      <c r="C4917" t="s">
        <v>6342</v>
      </c>
      <c r="D4917" t="s">
        <v>4200</v>
      </c>
      <c r="E4917" t="s">
        <v>6332</v>
      </c>
      <c r="F4917" t="s">
        <v>19595</v>
      </c>
      <c r="G4917" t="s">
        <v>10239</v>
      </c>
      <c r="H4917" t="s">
        <v>5474</v>
      </c>
      <c r="I4917" t="s">
        <v>19596</v>
      </c>
      <c r="J4917" t="s">
        <v>5476</v>
      </c>
      <c r="K4917" t="s">
        <v>19597</v>
      </c>
      <c r="L4917" t="s">
        <v>5471</v>
      </c>
      <c r="M4917" t="s">
        <v>5471</v>
      </c>
    </row>
    <row r="4918" spans="1:13" x14ac:dyDescent="0.3">
      <c r="A4918" t="s">
        <v>3397</v>
      </c>
      <c r="B4918" t="s">
        <v>14973</v>
      </c>
      <c r="C4918" t="s">
        <v>6342</v>
      </c>
      <c r="D4918" t="s">
        <v>4200</v>
      </c>
      <c r="E4918" t="s">
        <v>6332</v>
      </c>
      <c r="F4918" t="s">
        <v>19598</v>
      </c>
      <c r="G4918" t="s">
        <v>10239</v>
      </c>
      <c r="H4918" t="s">
        <v>5474</v>
      </c>
      <c r="I4918" t="s">
        <v>19599</v>
      </c>
      <c r="J4918" t="s">
        <v>5476</v>
      </c>
      <c r="K4918" t="s">
        <v>19600</v>
      </c>
      <c r="L4918" t="s">
        <v>5471</v>
      </c>
      <c r="M4918" t="s">
        <v>5471</v>
      </c>
    </row>
    <row r="4919" spans="1:13" x14ac:dyDescent="0.3">
      <c r="A4919" t="s">
        <v>3397</v>
      </c>
      <c r="B4919" t="s">
        <v>14973</v>
      </c>
      <c r="C4919" t="s">
        <v>6342</v>
      </c>
      <c r="D4919" t="s">
        <v>4200</v>
      </c>
      <c r="E4919" t="s">
        <v>6332</v>
      </c>
      <c r="F4919" t="s">
        <v>19601</v>
      </c>
      <c r="G4919" t="s">
        <v>10239</v>
      </c>
      <c r="H4919" t="s">
        <v>5474</v>
      </c>
      <c r="I4919" t="s">
        <v>19602</v>
      </c>
      <c r="J4919" t="s">
        <v>5476</v>
      </c>
      <c r="K4919" t="s">
        <v>19603</v>
      </c>
      <c r="L4919" t="s">
        <v>5471</v>
      </c>
      <c r="M4919" t="s">
        <v>5471</v>
      </c>
    </row>
    <row r="4920" spans="1:13" x14ac:dyDescent="0.3">
      <c r="A4920" t="s">
        <v>3397</v>
      </c>
      <c r="B4920" t="s">
        <v>14973</v>
      </c>
      <c r="C4920" t="s">
        <v>6342</v>
      </c>
      <c r="D4920" t="s">
        <v>4200</v>
      </c>
      <c r="E4920" t="s">
        <v>6332</v>
      </c>
      <c r="F4920" t="s">
        <v>19604</v>
      </c>
      <c r="G4920" t="s">
        <v>10239</v>
      </c>
      <c r="H4920" t="s">
        <v>5474</v>
      </c>
      <c r="I4920" t="s">
        <v>19605</v>
      </c>
      <c r="J4920" t="s">
        <v>5476</v>
      </c>
      <c r="K4920" t="s">
        <v>19606</v>
      </c>
      <c r="L4920" t="s">
        <v>5471</v>
      </c>
      <c r="M4920" t="s">
        <v>5471</v>
      </c>
    </row>
    <row r="4921" spans="1:13" x14ac:dyDescent="0.3">
      <c r="A4921" t="s">
        <v>3397</v>
      </c>
      <c r="B4921" t="s">
        <v>14973</v>
      </c>
      <c r="C4921" t="s">
        <v>6342</v>
      </c>
      <c r="D4921" t="s">
        <v>4200</v>
      </c>
      <c r="E4921" t="s">
        <v>6332</v>
      </c>
      <c r="F4921" t="s">
        <v>19607</v>
      </c>
      <c r="G4921" t="s">
        <v>10239</v>
      </c>
      <c r="H4921" t="s">
        <v>5474</v>
      </c>
      <c r="I4921" t="s">
        <v>19608</v>
      </c>
      <c r="J4921" t="s">
        <v>5476</v>
      </c>
      <c r="K4921" t="s">
        <v>19609</v>
      </c>
      <c r="L4921" t="s">
        <v>5471</v>
      </c>
      <c r="M4921" t="s">
        <v>5471</v>
      </c>
    </row>
    <row r="4922" spans="1:13" x14ac:dyDescent="0.3">
      <c r="A4922" t="s">
        <v>3397</v>
      </c>
      <c r="B4922" t="s">
        <v>14973</v>
      </c>
      <c r="C4922" t="s">
        <v>6342</v>
      </c>
      <c r="D4922" t="s">
        <v>4200</v>
      </c>
      <c r="E4922" t="s">
        <v>6332</v>
      </c>
      <c r="F4922" t="s">
        <v>19610</v>
      </c>
      <c r="G4922" t="s">
        <v>10239</v>
      </c>
      <c r="H4922" t="s">
        <v>5474</v>
      </c>
      <c r="I4922" t="s">
        <v>19611</v>
      </c>
      <c r="J4922" t="s">
        <v>5476</v>
      </c>
      <c r="K4922" t="s">
        <v>19612</v>
      </c>
      <c r="L4922" t="s">
        <v>5471</v>
      </c>
      <c r="M4922" t="s">
        <v>5471</v>
      </c>
    </row>
    <row r="4923" spans="1:13" x14ac:dyDescent="0.3">
      <c r="A4923" t="s">
        <v>3397</v>
      </c>
      <c r="B4923" t="s">
        <v>14973</v>
      </c>
      <c r="C4923" t="s">
        <v>6342</v>
      </c>
      <c r="D4923" t="s">
        <v>4200</v>
      </c>
      <c r="E4923" t="s">
        <v>6332</v>
      </c>
      <c r="F4923" t="s">
        <v>19613</v>
      </c>
      <c r="G4923" t="s">
        <v>10239</v>
      </c>
      <c r="H4923" t="s">
        <v>5474</v>
      </c>
      <c r="I4923" t="s">
        <v>19614</v>
      </c>
      <c r="J4923" t="s">
        <v>5476</v>
      </c>
      <c r="K4923" t="s">
        <v>19615</v>
      </c>
      <c r="L4923" t="s">
        <v>5471</v>
      </c>
      <c r="M4923" t="s">
        <v>5471</v>
      </c>
    </row>
    <row r="4924" spans="1:13" x14ac:dyDescent="0.3">
      <c r="A4924" t="s">
        <v>3397</v>
      </c>
      <c r="B4924" t="s">
        <v>14973</v>
      </c>
      <c r="C4924" t="s">
        <v>6342</v>
      </c>
      <c r="D4924" t="s">
        <v>4200</v>
      </c>
      <c r="E4924" t="s">
        <v>6332</v>
      </c>
      <c r="F4924" t="s">
        <v>19616</v>
      </c>
      <c r="G4924" t="s">
        <v>10239</v>
      </c>
      <c r="H4924" t="s">
        <v>5474</v>
      </c>
      <c r="I4924" t="s">
        <v>19617</v>
      </c>
      <c r="J4924" t="s">
        <v>5476</v>
      </c>
      <c r="K4924" t="s">
        <v>19618</v>
      </c>
      <c r="L4924" t="s">
        <v>5471</v>
      </c>
      <c r="M4924" t="s">
        <v>5471</v>
      </c>
    </row>
    <row r="4925" spans="1:13" x14ac:dyDescent="0.3">
      <c r="A4925" t="s">
        <v>3397</v>
      </c>
      <c r="B4925" t="s">
        <v>14973</v>
      </c>
      <c r="C4925" t="s">
        <v>6342</v>
      </c>
      <c r="D4925" t="s">
        <v>4200</v>
      </c>
      <c r="E4925" t="s">
        <v>6332</v>
      </c>
      <c r="F4925" t="s">
        <v>19619</v>
      </c>
      <c r="G4925" t="s">
        <v>10239</v>
      </c>
      <c r="H4925" t="s">
        <v>5474</v>
      </c>
      <c r="I4925" t="s">
        <v>19620</v>
      </c>
      <c r="J4925" t="s">
        <v>5476</v>
      </c>
      <c r="K4925" t="s">
        <v>19621</v>
      </c>
      <c r="L4925" t="s">
        <v>5471</v>
      </c>
      <c r="M4925" t="s">
        <v>5471</v>
      </c>
    </row>
    <row r="4926" spans="1:13" x14ac:dyDescent="0.3">
      <c r="A4926" t="s">
        <v>3397</v>
      </c>
      <c r="B4926" t="s">
        <v>14973</v>
      </c>
      <c r="C4926" t="s">
        <v>6342</v>
      </c>
      <c r="D4926" t="s">
        <v>4200</v>
      </c>
      <c r="E4926" t="s">
        <v>6332</v>
      </c>
      <c r="F4926" t="s">
        <v>19622</v>
      </c>
      <c r="G4926" t="s">
        <v>10239</v>
      </c>
      <c r="H4926" t="s">
        <v>5474</v>
      </c>
      <c r="I4926" t="s">
        <v>19623</v>
      </c>
      <c r="J4926" t="s">
        <v>5476</v>
      </c>
      <c r="K4926" t="s">
        <v>19624</v>
      </c>
      <c r="L4926" t="s">
        <v>5471</v>
      </c>
      <c r="M4926" t="s">
        <v>5471</v>
      </c>
    </row>
    <row r="4927" spans="1:13" x14ac:dyDescent="0.3">
      <c r="A4927" t="s">
        <v>3397</v>
      </c>
      <c r="B4927" t="s">
        <v>14973</v>
      </c>
      <c r="C4927" t="s">
        <v>6342</v>
      </c>
      <c r="D4927" t="s">
        <v>4200</v>
      </c>
      <c r="E4927" t="s">
        <v>6332</v>
      </c>
      <c r="F4927" t="s">
        <v>19625</v>
      </c>
      <c r="G4927" t="s">
        <v>10239</v>
      </c>
      <c r="H4927" t="s">
        <v>5474</v>
      </c>
      <c r="I4927" t="s">
        <v>19626</v>
      </c>
      <c r="J4927" t="s">
        <v>5476</v>
      </c>
      <c r="K4927" t="s">
        <v>19627</v>
      </c>
      <c r="L4927" t="s">
        <v>5471</v>
      </c>
      <c r="M4927" t="s">
        <v>5471</v>
      </c>
    </row>
    <row r="4928" spans="1:13" x14ac:dyDescent="0.3">
      <c r="A4928" t="s">
        <v>3397</v>
      </c>
      <c r="B4928" t="s">
        <v>14973</v>
      </c>
      <c r="C4928" t="s">
        <v>6342</v>
      </c>
      <c r="D4928" t="s">
        <v>4200</v>
      </c>
      <c r="E4928" t="s">
        <v>6332</v>
      </c>
      <c r="F4928" t="s">
        <v>19628</v>
      </c>
      <c r="G4928" t="s">
        <v>10239</v>
      </c>
      <c r="H4928" t="s">
        <v>5474</v>
      </c>
      <c r="I4928" t="s">
        <v>19629</v>
      </c>
      <c r="J4928" t="s">
        <v>5476</v>
      </c>
      <c r="K4928" t="s">
        <v>19630</v>
      </c>
      <c r="L4928" t="s">
        <v>5471</v>
      </c>
      <c r="M4928" t="s">
        <v>5471</v>
      </c>
    </row>
    <row r="4929" spans="1:13" x14ac:dyDescent="0.3">
      <c r="A4929" t="s">
        <v>3397</v>
      </c>
      <c r="B4929" t="s">
        <v>3397</v>
      </c>
      <c r="C4929" t="s">
        <v>5487</v>
      </c>
      <c r="D4929" t="s">
        <v>4119</v>
      </c>
      <c r="E4929" t="s">
        <v>5595</v>
      </c>
      <c r="F4929" t="s">
        <v>19631</v>
      </c>
      <c r="G4929" t="s">
        <v>19632</v>
      </c>
      <c r="H4929" t="s">
        <v>5474</v>
      </c>
      <c r="I4929" t="s">
        <v>19633</v>
      </c>
      <c r="J4929" t="s">
        <v>5484</v>
      </c>
      <c r="K4929" t="s">
        <v>5471</v>
      </c>
      <c r="L4929" t="s">
        <v>5471</v>
      </c>
      <c r="M4929" t="s">
        <v>5471</v>
      </c>
    </row>
    <row r="4930" spans="1:13" x14ac:dyDescent="0.3">
      <c r="A4930" t="s">
        <v>3397</v>
      </c>
      <c r="B4930" t="s">
        <v>5318</v>
      </c>
      <c r="C4930" t="s">
        <v>5487</v>
      </c>
      <c r="D4930" t="s">
        <v>9940</v>
      </c>
      <c r="E4930" t="s">
        <v>5756</v>
      </c>
      <c r="F4930" t="s">
        <v>19634</v>
      </c>
      <c r="G4930" t="s">
        <v>19635</v>
      </c>
      <c r="H4930" t="s">
        <v>5474</v>
      </c>
      <c r="I4930" t="s">
        <v>19636</v>
      </c>
      <c r="J4930" t="s">
        <v>5484</v>
      </c>
      <c r="K4930" t="s">
        <v>19637</v>
      </c>
      <c r="L4930" t="s">
        <v>5471</v>
      </c>
      <c r="M4930" t="s">
        <v>5471</v>
      </c>
    </row>
    <row r="4931" spans="1:13" x14ac:dyDescent="0.3">
      <c r="A4931" t="s">
        <v>3397</v>
      </c>
      <c r="B4931" t="s">
        <v>5318</v>
      </c>
      <c r="C4931" t="s">
        <v>5487</v>
      </c>
      <c r="D4931" t="s">
        <v>9940</v>
      </c>
      <c r="E4931" t="s">
        <v>5756</v>
      </c>
      <c r="F4931" t="s">
        <v>19638</v>
      </c>
      <c r="G4931" t="s">
        <v>19635</v>
      </c>
      <c r="H4931" t="s">
        <v>5474</v>
      </c>
      <c r="I4931" t="s">
        <v>19639</v>
      </c>
      <c r="J4931" t="s">
        <v>5484</v>
      </c>
      <c r="K4931" t="s">
        <v>19640</v>
      </c>
      <c r="L4931" t="s">
        <v>5471</v>
      </c>
      <c r="M4931" t="s">
        <v>5471</v>
      </c>
    </row>
    <row r="4932" spans="1:13" x14ac:dyDescent="0.3">
      <c r="A4932" t="s">
        <v>3397</v>
      </c>
      <c r="B4932" t="s">
        <v>5318</v>
      </c>
      <c r="C4932" t="s">
        <v>5487</v>
      </c>
      <c r="D4932" t="s">
        <v>9940</v>
      </c>
      <c r="E4932" t="s">
        <v>5756</v>
      </c>
      <c r="F4932" t="s">
        <v>19641</v>
      </c>
      <c r="G4932" t="s">
        <v>19635</v>
      </c>
      <c r="H4932" t="s">
        <v>5474</v>
      </c>
      <c r="I4932" t="s">
        <v>19642</v>
      </c>
      <c r="J4932" t="s">
        <v>5484</v>
      </c>
      <c r="K4932" t="s">
        <v>19643</v>
      </c>
      <c r="L4932" t="s">
        <v>5471</v>
      </c>
      <c r="M4932" t="s">
        <v>5471</v>
      </c>
    </row>
    <row r="4933" spans="1:13" x14ac:dyDescent="0.3">
      <c r="A4933" t="s">
        <v>3397</v>
      </c>
      <c r="B4933" t="s">
        <v>5318</v>
      </c>
      <c r="C4933" t="s">
        <v>5487</v>
      </c>
      <c r="D4933" t="s">
        <v>9940</v>
      </c>
      <c r="E4933" t="s">
        <v>5756</v>
      </c>
      <c r="F4933" t="s">
        <v>19644</v>
      </c>
      <c r="G4933" t="s">
        <v>19635</v>
      </c>
      <c r="H4933" t="s">
        <v>5474</v>
      </c>
      <c r="I4933" t="s">
        <v>19645</v>
      </c>
      <c r="J4933" t="s">
        <v>5484</v>
      </c>
      <c r="K4933" t="s">
        <v>19646</v>
      </c>
      <c r="L4933" t="s">
        <v>5471</v>
      </c>
      <c r="M4933" t="s">
        <v>5471</v>
      </c>
    </row>
    <row r="4934" spans="1:13" x14ac:dyDescent="0.3">
      <c r="A4934" t="s">
        <v>3397</v>
      </c>
      <c r="B4934" t="s">
        <v>19647</v>
      </c>
      <c r="C4934" t="s">
        <v>5487</v>
      </c>
      <c r="D4934" t="s">
        <v>4119</v>
      </c>
      <c r="E4934" t="s">
        <v>5756</v>
      </c>
      <c r="F4934" t="s">
        <v>19648</v>
      </c>
      <c r="G4934" t="s">
        <v>19649</v>
      </c>
      <c r="H4934" t="s">
        <v>5474</v>
      </c>
      <c r="I4934" t="s">
        <v>19650</v>
      </c>
      <c r="J4934" t="s">
        <v>5476</v>
      </c>
      <c r="K4934" t="s">
        <v>5471</v>
      </c>
      <c r="L4934" t="s">
        <v>5471</v>
      </c>
      <c r="M4934" t="s">
        <v>5471</v>
      </c>
    </row>
    <row r="4935" spans="1:13" x14ac:dyDescent="0.3">
      <c r="A4935" t="s">
        <v>3397</v>
      </c>
      <c r="B4935" t="s">
        <v>19651</v>
      </c>
      <c r="C4935" t="s">
        <v>5487</v>
      </c>
      <c r="D4935" t="s">
        <v>4119</v>
      </c>
      <c r="E4935" t="s">
        <v>5595</v>
      </c>
      <c r="F4935" t="s">
        <v>19652</v>
      </c>
      <c r="G4935" t="s">
        <v>15994</v>
      </c>
      <c r="H4935" t="s">
        <v>5474</v>
      </c>
      <c r="I4935" t="s">
        <v>19653</v>
      </c>
      <c r="J4935" t="s">
        <v>5476</v>
      </c>
      <c r="K4935" t="s">
        <v>19654</v>
      </c>
      <c r="L4935" t="s">
        <v>5471</v>
      </c>
      <c r="M4935" t="s">
        <v>5471</v>
      </c>
    </row>
    <row r="4936" spans="1:13" x14ac:dyDescent="0.3">
      <c r="A4936" t="s">
        <v>3397</v>
      </c>
      <c r="B4936" t="s">
        <v>19651</v>
      </c>
      <c r="C4936" t="s">
        <v>5487</v>
      </c>
      <c r="D4936" t="s">
        <v>4119</v>
      </c>
      <c r="E4936" t="s">
        <v>5595</v>
      </c>
      <c r="F4936" t="s">
        <v>19655</v>
      </c>
      <c r="G4936" t="s">
        <v>19656</v>
      </c>
      <c r="H4936" t="s">
        <v>5474</v>
      </c>
      <c r="I4936" t="s">
        <v>19657</v>
      </c>
      <c r="J4936" t="s">
        <v>5476</v>
      </c>
      <c r="K4936" t="s">
        <v>19658</v>
      </c>
      <c r="L4936" t="s">
        <v>5471</v>
      </c>
      <c r="M4936" t="s">
        <v>5471</v>
      </c>
    </row>
    <row r="4937" spans="1:13" x14ac:dyDescent="0.3">
      <c r="A4937" t="s">
        <v>3397</v>
      </c>
      <c r="B4937" t="s">
        <v>19651</v>
      </c>
      <c r="C4937" t="s">
        <v>5487</v>
      </c>
      <c r="D4937" t="s">
        <v>4119</v>
      </c>
      <c r="E4937" t="s">
        <v>5595</v>
      </c>
      <c r="F4937" t="s">
        <v>19659</v>
      </c>
      <c r="G4937" t="s">
        <v>19660</v>
      </c>
      <c r="H4937" t="s">
        <v>5474</v>
      </c>
      <c r="I4937" t="s">
        <v>19661</v>
      </c>
      <c r="J4937" t="s">
        <v>5476</v>
      </c>
      <c r="K4937" t="s">
        <v>19662</v>
      </c>
      <c r="L4937" t="s">
        <v>5471</v>
      </c>
      <c r="M4937" t="s">
        <v>5471</v>
      </c>
    </row>
    <row r="4938" spans="1:13" x14ac:dyDescent="0.3">
      <c r="A4938" t="s">
        <v>3397</v>
      </c>
      <c r="B4938" t="s">
        <v>19651</v>
      </c>
      <c r="C4938" t="s">
        <v>5487</v>
      </c>
      <c r="D4938" t="s">
        <v>4119</v>
      </c>
      <c r="E4938" t="s">
        <v>5595</v>
      </c>
      <c r="F4938" t="s">
        <v>19663</v>
      </c>
      <c r="G4938" t="s">
        <v>19660</v>
      </c>
      <c r="H4938" t="s">
        <v>5474</v>
      </c>
      <c r="I4938" t="s">
        <v>19664</v>
      </c>
      <c r="J4938" t="s">
        <v>5476</v>
      </c>
      <c r="K4938" t="s">
        <v>19665</v>
      </c>
      <c r="L4938" t="s">
        <v>5471</v>
      </c>
      <c r="M4938" t="s">
        <v>5471</v>
      </c>
    </row>
    <row r="4939" spans="1:13" x14ac:dyDescent="0.3">
      <c r="A4939" t="s">
        <v>3397</v>
      </c>
      <c r="B4939" t="s">
        <v>19651</v>
      </c>
      <c r="C4939" t="s">
        <v>5487</v>
      </c>
      <c r="D4939" t="s">
        <v>4119</v>
      </c>
      <c r="E4939" t="s">
        <v>5595</v>
      </c>
      <c r="F4939" t="s">
        <v>19666</v>
      </c>
      <c r="G4939" t="s">
        <v>19667</v>
      </c>
      <c r="H4939" t="s">
        <v>5474</v>
      </c>
      <c r="I4939" t="s">
        <v>19668</v>
      </c>
      <c r="J4939" t="s">
        <v>5476</v>
      </c>
      <c r="K4939" t="s">
        <v>19669</v>
      </c>
      <c r="L4939" t="s">
        <v>5471</v>
      </c>
      <c r="M4939" t="s">
        <v>5471</v>
      </c>
    </row>
    <row r="4940" spans="1:13" x14ac:dyDescent="0.3">
      <c r="A4940" t="s">
        <v>3383</v>
      </c>
      <c r="B4940" t="s">
        <v>7461</v>
      </c>
      <c r="C4940" t="s">
        <v>5470</v>
      </c>
      <c r="D4940" t="s">
        <v>4119</v>
      </c>
      <c r="E4940" t="s">
        <v>5480</v>
      </c>
      <c r="F4940" t="s">
        <v>19670</v>
      </c>
      <c r="G4940" t="s">
        <v>19671</v>
      </c>
      <c r="H4940" t="s">
        <v>5474</v>
      </c>
      <c r="I4940" t="s">
        <v>19672</v>
      </c>
      <c r="J4940" t="s">
        <v>5484</v>
      </c>
      <c r="K4940" t="s">
        <v>19673</v>
      </c>
      <c r="L4940" t="s">
        <v>5471</v>
      </c>
      <c r="M4940" t="s">
        <v>5471</v>
      </c>
    </row>
    <row r="4941" spans="1:13" x14ac:dyDescent="0.3">
      <c r="A4941" t="s">
        <v>3383</v>
      </c>
      <c r="B4941" t="s">
        <v>7461</v>
      </c>
      <c r="C4941" t="s">
        <v>5470</v>
      </c>
      <c r="D4941" t="s">
        <v>4119</v>
      </c>
      <c r="E4941" t="s">
        <v>5480</v>
      </c>
      <c r="F4941" t="s">
        <v>19674</v>
      </c>
      <c r="G4941" t="s">
        <v>19675</v>
      </c>
      <c r="H4941" t="s">
        <v>5474</v>
      </c>
      <c r="I4941" t="s">
        <v>19676</v>
      </c>
      <c r="J4941" t="s">
        <v>5484</v>
      </c>
      <c r="K4941" t="s">
        <v>19677</v>
      </c>
      <c r="L4941" t="s">
        <v>5471</v>
      </c>
      <c r="M4941" t="s">
        <v>5471</v>
      </c>
    </row>
    <row r="4942" spans="1:13" x14ac:dyDescent="0.3">
      <c r="A4942" t="s">
        <v>3383</v>
      </c>
      <c r="B4942" t="s">
        <v>7461</v>
      </c>
      <c r="C4942" t="s">
        <v>5470</v>
      </c>
      <c r="D4942" t="s">
        <v>4119</v>
      </c>
      <c r="E4942" t="s">
        <v>5480</v>
      </c>
      <c r="F4942" t="s">
        <v>19678</v>
      </c>
      <c r="G4942" t="s">
        <v>19679</v>
      </c>
      <c r="H4942" t="s">
        <v>5474</v>
      </c>
      <c r="I4942" t="s">
        <v>19680</v>
      </c>
      <c r="J4942" t="s">
        <v>5484</v>
      </c>
      <c r="K4942" t="s">
        <v>19681</v>
      </c>
      <c r="L4942" t="s">
        <v>5471</v>
      </c>
      <c r="M4942" t="s">
        <v>5471</v>
      </c>
    </row>
    <row r="4943" spans="1:13" x14ac:dyDescent="0.3">
      <c r="A4943" t="s">
        <v>3383</v>
      </c>
      <c r="B4943" t="s">
        <v>7461</v>
      </c>
      <c r="C4943" t="s">
        <v>5470</v>
      </c>
      <c r="D4943" t="s">
        <v>4119</v>
      </c>
      <c r="E4943" t="s">
        <v>5480</v>
      </c>
      <c r="F4943" t="s">
        <v>19682</v>
      </c>
      <c r="G4943" t="s">
        <v>19683</v>
      </c>
      <c r="H4943" t="s">
        <v>5474</v>
      </c>
      <c r="I4943" t="s">
        <v>19684</v>
      </c>
      <c r="J4943" t="s">
        <v>5484</v>
      </c>
      <c r="K4943" t="s">
        <v>19685</v>
      </c>
      <c r="L4943" t="s">
        <v>5471</v>
      </c>
      <c r="M4943" t="s">
        <v>5471</v>
      </c>
    </row>
    <row r="4944" spans="1:13" x14ac:dyDescent="0.3">
      <c r="A4944" t="s">
        <v>3383</v>
      </c>
      <c r="B4944" t="s">
        <v>7461</v>
      </c>
      <c r="C4944" t="s">
        <v>5470</v>
      </c>
      <c r="D4944" t="s">
        <v>4119</v>
      </c>
      <c r="E4944" t="s">
        <v>5480</v>
      </c>
      <c r="F4944" t="s">
        <v>19686</v>
      </c>
      <c r="G4944" t="s">
        <v>19687</v>
      </c>
      <c r="H4944" t="s">
        <v>5474</v>
      </c>
      <c r="I4944" t="s">
        <v>19688</v>
      </c>
      <c r="J4944" t="s">
        <v>5484</v>
      </c>
      <c r="K4944" t="s">
        <v>19689</v>
      </c>
      <c r="L4944" t="s">
        <v>5471</v>
      </c>
      <c r="M4944" t="s">
        <v>5471</v>
      </c>
    </row>
    <row r="4945" spans="1:13" x14ac:dyDescent="0.3">
      <c r="A4945" t="s">
        <v>3383</v>
      </c>
      <c r="B4945" t="s">
        <v>5294</v>
      </c>
      <c r="C4945" t="s">
        <v>5470</v>
      </c>
      <c r="D4945" t="s">
        <v>4081</v>
      </c>
      <c r="E4945" t="s">
        <v>5532</v>
      </c>
      <c r="F4945" t="s">
        <v>19690</v>
      </c>
      <c r="G4945" t="s">
        <v>6337</v>
      </c>
      <c r="H4945" t="s">
        <v>5474</v>
      </c>
      <c r="I4945" t="s">
        <v>19691</v>
      </c>
      <c r="J4945" t="s">
        <v>5476</v>
      </c>
      <c r="K4945" t="s">
        <v>19692</v>
      </c>
      <c r="L4945" t="s">
        <v>5471</v>
      </c>
      <c r="M4945" t="s">
        <v>5471</v>
      </c>
    </row>
    <row r="4946" spans="1:13" x14ac:dyDescent="0.3">
      <c r="A4946" t="s">
        <v>3397</v>
      </c>
      <c r="B4946" t="s">
        <v>5594</v>
      </c>
      <c r="C4946" t="s">
        <v>5487</v>
      </c>
      <c r="D4946" t="s">
        <v>9940</v>
      </c>
      <c r="E4946" t="s">
        <v>6332</v>
      </c>
      <c r="F4946" t="s">
        <v>19693</v>
      </c>
      <c r="G4946" t="s">
        <v>6427</v>
      </c>
      <c r="H4946" t="s">
        <v>5474</v>
      </c>
      <c r="I4946" t="s">
        <v>19694</v>
      </c>
      <c r="J4946" t="s">
        <v>5476</v>
      </c>
      <c r="K4946" t="s">
        <v>19695</v>
      </c>
      <c r="L4946" t="s">
        <v>5471</v>
      </c>
      <c r="M4946" t="s">
        <v>5471</v>
      </c>
    </row>
    <row r="4947" spans="1:13" x14ac:dyDescent="0.3">
      <c r="A4947" t="s">
        <v>3397</v>
      </c>
      <c r="B4947" t="s">
        <v>5594</v>
      </c>
      <c r="C4947" t="s">
        <v>5487</v>
      </c>
      <c r="D4947" t="s">
        <v>9940</v>
      </c>
      <c r="E4947" t="s">
        <v>6332</v>
      </c>
      <c r="F4947" t="s">
        <v>19696</v>
      </c>
      <c r="G4947" t="s">
        <v>6427</v>
      </c>
      <c r="H4947" t="s">
        <v>5474</v>
      </c>
      <c r="I4947" t="s">
        <v>19697</v>
      </c>
      <c r="J4947" t="s">
        <v>5476</v>
      </c>
      <c r="K4947" t="s">
        <v>19698</v>
      </c>
      <c r="L4947" t="s">
        <v>5471</v>
      </c>
      <c r="M4947" t="s">
        <v>5471</v>
      </c>
    </row>
    <row r="4948" spans="1:13" x14ac:dyDescent="0.3">
      <c r="A4948" t="s">
        <v>3397</v>
      </c>
      <c r="B4948" t="s">
        <v>5594</v>
      </c>
      <c r="C4948" t="s">
        <v>5487</v>
      </c>
      <c r="D4948" t="s">
        <v>9940</v>
      </c>
      <c r="E4948" t="s">
        <v>6332</v>
      </c>
      <c r="F4948" t="s">
        <v>19699</v>
      </c>
      <c r="G4948" t="s">
        <v>6427</v>
      </c>
      <c r="H4948" t="s">
        <v>5474</v>
      </c>
      <c r="I4948" t="s">
        <v>19700</v>
      </c>
      <c r="J4948" t="s">
        <v>5476</v>
      </c>
      <c r="K4948" t="s">
        <v>19701</v>
      </c>
      <c r="L4948" t="s">
        <v>5471</v>
      </c>
      <c r="M4948" t="s">
        <v>5471</v>
      </c>
    </row>
    <row r="4949" spans="1:13" x14ac:dyDescent="0.3">
      <c r="A4949" t="s">
        <v>3397</v>
      </c>
      <c r="B4949" t="s">
        <v>5594</v>
      </c>
      <c r="C4949" t="s">
        <v>5487</v>
      </c>
      <c r="D4949" t="s">
        <v>4081</v>
      </c>
      <c r="E4949" t="s">
        <v>6332</v>
      </c>
      <c r="F4949" t="s">
        <v>19702</v>
      </c>
      <c r="G4949" t="s">
        <v>12849</v>
      </c>
      <c r="H4949" t="s">
        <v>5474</v>
      </c>
      <c r="I4949" t="s">
        <v>19703</v>
      </c>
      <c r="J4949" t="s">
        <v>5476</v>
      </c>
      <c r="K4949" t="s">
        <v>19704</v>
      </c>
      <c r="L4949" t="s">
        <v>5471</v>
      </c>
      <c r="M4949" t="s">
        <v>5471</v>
      </c>
    </row>
    <row r="4950" spans="1:13" x14ac:dyDescent="0.3">
      <c r="A4950" t="s">
        <v>3397</v>
      </c>
      <c r="B4950" t="s">
        <v>5594</v>
      </c>
      <c r="C4950" t="s">
        <v>5487</v>
      </c>
      <c r="D4950" t="s">
        <v>4081</v>
      </c>
      <c r="E4950" t="s">
        <v>6332</v>
      </c>
      <c r="F4950" t="s">
        <v>19705</v>
      </c>
      <c r="G4950" t="s">
        <v>12849</v>
      </c>
      <c r="H4950" t="s">
        <v>5474</v>
      </c>
      <c r="I4950" t="s">
        <v>19706</v>
      </c>
      <c r="J4950" t="s">
        <v>5476</v>
      </c>
      <c r="K4950" t="s">
        <v>19707</v>
      </c>
      <c r="L4950" t="s">
        <v>5471</v>
      </c>
      <c r="M4950" t="s">
        <v>5471</v>
      </c>
    </row>
    <row r="4951" spans="1:13" x14ac:dyDescent="0.3">
      <c r="A4951" t="s">
        <v>3397</v>
      </c>
      <c r="B4951" t="s">
        <v>5594</v>
      </c>
      <c r="C4951" t="s">
        <v>5487</v>
      </c>
      <c r="D4951" t="s">
        <v>4081</v>
      </c>
      <c r="E4951" t="s">
        <v>6332</v>
      </c>
      <c r="F4951" t="s">
        <v>19708</v>
      </c>
      <c r="G4951" t="s">
        <v>12849</v>
      </c>
      <c r="H4951" t="s">
        <v>5474</v>
      </c>
      <c r="I4951" t="s">
        <v>19709</v>
      </c>
      <c r="J4951" t="s">
        <v>5476</v>
      </c>
      <c r="K4951" t="s">
        <v>19710</v>
      </c>
      <c r="L4951" t="s">
        <v>5471</v>
      </c>
      <c r="M4951" t="s">
        <v>5471</v>
      </c>
    </row>
    <row r="4952" spans="1:13" x14ac:dyDescent="0.3">
      <c r="A4952" t="s">
        <v>3397</v>
      </c>
      <c r="B4952" t="s">
        <v>5594</v>
      </c>
      <c r="C4952" t="s">
        <v>5487</v>
      </c>
      <c r="D4952" t="s">
        <v>4081</v>
      </c>
      <c r="E4952" t="s">
        <v>5756</v>
      </c>
      <c r="F4952" t="s">
        <v>19711</v>
      </c>
      <c r="G4952" t="s">
        <v>12849</v>
      </c>
      <c r="H4952" t="s">
        <v>5474</v>
      </c>
      <c r="I4952" t="s">
        <v>19712</v>
      </c>
      <c r="J4952" t="s">
        <v>5476</v>
      </c>
      <c r="K4952" t="s">
        <v>19713</v>
      </c>
      <c r="L4952" t="s">
        <v>5471</v>
      </c>
      <c r="M4952" t="s">
        <v>5471</v>
      </c>
    </row>
    <row r="4953" spans="1:13" x14ac:dyDescent="0.3">
      <c r="A4953" t="s">
        <v>3397</v>
      </c>
      <c r="B4953" t="s">
        <v>5594</v>
      </c>
      <c r="C4953" t="s">
        <v>5487</v>
      </c>
      <c r="D4953" t="s">
        <v>4081</v>
      </c>
      <c r="E4953" t="s">
        <v>5756</v>
      </c>
      <c r="F4953" t="s">
        <v>19714</v>
      </c>
      <c r="G4953" t="s">
        <v>12849</v>
      </c>
      <c r="H4953" t="s">
        <v>5474</v>
      </c>
      <c r="I4953" t="s">
        <v>19715</v>
      </c>
      <c r="J4953" t="s">
        <v>5476</v>
      </c>
      <c r="K4953" t="s">
        <v>19716</v>
      </c>
      <c r="L4953" t="s">
        <v>5471</v>
      </c>
      <c r="M4953" t="s">
        <v>5471</v>
      </c>
    </row>
    <row r="4954" spans="1:13" x14ac:dyDescent="0.3">
      <c r="A4954" t="s">
        <v>3397</v>
      </c>
      <c r="B4954" t="s">
        <v>5594</v>
      </c>
      <c r="C4954" t="s">
        <v>5487</v>
      </c>
      <c r="D4954" t="s">
        <v>9940</v>
      </c>
      <c r="E4954" t="s">
        <v>5617</v>
      </c>
      <c r="F4954" t="s">
        <v>19717</v>
      </c>
      <c r="G4954" t="s">
        <v>19718</v>
      </c>
      <c r="H4954" t="s">
        <v>5474</v>
      </c>
      <c r="I4954" t="s">
        <v>19719</v>
      </c>
      <c r="J4954" t="s">
        <v>5476</v>
      </c>
      <c r="K4954" t="s">
        <v>19720</v>
      </c>
      <c r="L4954" t="s">
        <v>5471</v>
      </c>
      <c r="M4954" t="s">
        <v>5471</v>
      </c>
    </row>
    <row r="4955" spans="1:13" x14ac:dyDescent="0.3">
      <c r="A4955" t="s">
        <v>3397</v>
      </c>
      <c r="B4955" t="s">
        <v>5594</v>
      </c>
      <c r="C4955" t="s">
        <v>5487</v>
      </c>
      <c r="D4955" t="s">
        <v>9940</v>
      </c>
      <c r="E4955" t="s">
        <v>5617</v>
      </c>
      <c r="F4955" t="s">
        <v>19721</v>
      </c>
      <c r="G4955" t="s">
        <v>19718</v>
      </c>
      <c r="H4955" t="s">
        <v>5474</v>
      </c>
      <c r="I4955" t="s">
        <v>19722</v>
      </c>
      <c r="J4955" t="s">
        <v>5476</v>
      </c>
      <c r="K4955" t="s">
        <v>19723</v>
      </c>
      <c r="L4955" t="s">
        <v>5471</v>
      </c>
      <c r="M4955" t="s">
        <v>5471</v>
      </c>
    </row>
    <row r="4956" spans="1:13" x14ac:dyDescent="0.3">
      <c r="A4956" t="s">
        <v>3397</v>
      </c>
      <c r="B4956" t="s">
        <v>5594</v>
      </c>
      <c r="C4956" t="s">
        <v>5487</v>
      </c>
      <c r="D4956" t="s">
        <v>9940</v>
      </c>
      <c r="E4956" t="s">
        <v>5617</v>
      </c>
      <c r="F4956" t="s">
        <v>19724</v>
      </c>
      <c r="G4956" t="s">
        <v>19718</v>
      </c>
      <c r="H4956" t="s">
        <v>5474</v>
      </c>
      <c r="I4956" t="s">
        <v>19725</v>
      </c>
      <c r="J4956" t="s">
        <v>5476</v>
      </c>
      <c r="K4956" t="s">
        <v>19726</v>
      </c>
      <c r="L4956" t="s">
        <v>5471</v>
      </c>
      <c r="M4956" t="s">
        <v>5471</v>
      </c>
    </row>
    <row r="4957" spans="1:13" x14ac:dyDescent="0.3">
      <c r="A4957" t="s">
        <v>3397</v>
      </c>
      <c r="B4957" t="s">
        <v>5594</v>
      </c>
      <c r="C4957" t="s">
        <v>5487</v>
      </c>
      <c r="D4957" t="s">
        <v>9940</v>
      </c>
      <c r="E4957" t="s">
        <v>5617</v>
      </c>
      <c r="F4957" t="s">
        <v>19727</v>
      </c>
      <c r="G4957" t="s">
        <v>19728</v>
      </c>
      <c r="H4957" t="s">
        <v>5474</v>
      </c>
      <c r="I4957" t="s">
        <v>19729</v>
      </c>
      <c r="J4957" t="s">
        <v>5476</v>
      </c>
      <c r="K4957" t="s">
        <v>19730</v>
      </c>
      <c r="L4957" t="s">
        <v>5471</v>
      </c>
      <c r="M4957" t="s">
        <v>5471</v>
      </c>
    </row>
    <row r="4958" spans="1:13" x14ac:dyDescent="0.3">
      <c r="A4958" t="s">
        <v>3397</v>
      </c>
      <c r="B4958" t="s">
        <v>5594</v>
      </c>
      <c r="C4958" t="s">
        <v>5487</v>
      </c>
      <c r="D4958" t="s">
        <v>9940</v>
      </c>
      <c r="E4958" t="s">
        <v>5617</v>
      </c>
      <c r="F4958" t="s">
        <v>19731</v>
      </c>
      <c r="G4958" t="s">
        <v>19728</v>
      </c>
      <c r="H4958" t="s">
        <v>5474</v>
      </c>
      <c r="I4958" t="s">
        <v>19732</v>
      </c>
      <c r="J4958" t="s">
        <v>5476</v>
      </c>
      <c r="K4958" t="s">
        <v>19733</v>
      </c>
      <c r="L4958" t="s">
        <v>5471</v>
      </c>
      <c r="M4958" t="s">
        <v>5471</v>
      </c>
    </row>
    <row r="4959" spans="1:13" x14ac:dyDescent="0.3">
      <c r="A4959" t="s">
        <v>3383</v>
      </c>
      <c r="B4959" t="s">
        <v>5952</v>
      </c>
      <c r="C4959" t="s">
        <v>5470</v>
      </c>
      <c r="D4959" t="s">
        <v>9940</v>
      </c>
      <c r="E4959" t="s">
        <v>5756</v>
      </c>
      <c r="F4959" t="s">
        <v>19734</v>
      </c>
      <c r="G4959" t="s">
        <v>8385</v>
      </c>
      <c r="H4959" t="s">
        <v>5474</v>
      </c>
      <c r="I4959" t="s">
        <v>19735</v>
      </c>
      <c r="J4959" t="s">
        <v>5476</v>
      </c>
      <c r="K4959" t="s">
        <v>19736</v>
      </c>
      <c r="L4959" t="s">
        <v>5471</v>
      </c>
      <c r="M4959" t="s">
        <v>5471</v>
      </c>
    </row>
    <row r="4960" spans="1:13" x14ac:dyDescent="0.3">
      <c r="A4960" t="s">
        <v>3397</v>
      </c>
      <c r="B4960" t="s">
        <v>5594</v>
      </c>
      <c r="C4960" t="s">
        <v>5487</v>
      </c>
      <c r="D4960" t="s">
        <v>9940</v>
      </c>
      <c r="E4960" t="s">
        <v>5617</v>
      </c>
      <c r="F4960" t="s">
        <v>19737</v>
      </c>
      <c r="G4960" t="s">
        <v>19728</v>
      </c>
      <c r="H4960" t="s">
        <v>5474</v>
      </c>
      <c r="I4960" t="s">
        <v>19738</v>
      </c>
      <c r="J4960" t="s">
        <v>5476</v>
      </c>
      <c r="K4960" t="s">
        <v>19739</v>
      </c>
      <c r="L4960" t="s">
        <v>5471</v>
      </c>
      <c r="M4960" t="s">
        <v>5471</v>
      </c>
    </row>
    <row r="4961" spans="1:13" x14ac:dyDescent="0.3">
      <c r="A4961" t="s">
        <v>3397</v>
      </c>
      <c r="B4961" t="s">
        <v>15323</v>
      </c>
      <c r="C4961" t="s">
        <v>5487</v>
      </c>
      <c r="D4961" t="s">
        <v>4081</v>
      </c>
      <c r="E4961" t="s">
        <v>5532</v>
      </c>
      <c r="F4961" t="s">
        <v>19740</v>
      </c>
      <c r="G4961" t="s">
        <v>15325</v>
      </c>
      <c r="H4961" t="s">
        <v>5474</v>
      </c>
      <c r="I4961" t="s">
        <v>19741</v>
      </c>
      <c r="J4961" t="s">
        <v>5476</v>
      </c>
      <c r="K4961" t="s">
        <v>19742</v>
      </c>
      <c r="L4961" t="s">
        <v>5471</v>
      </c>
      <c r="M4961" t="s">
        <v>5471</v>
      </c>
    </row>
    <row r="4962" spans="1:13" x14ac:dyDescent="0.3">
      <c r="A4962" t="s">
        <v>3397</v>
      </c>
      <c r="B4962" t="s">
        <v>15323</v>
      </c>
      <c r="C4962" t="s">
        <v>5487</v>
      </c>
      <c r="D4962" t="s">
        <v>4081</v>
      </c>
      <c r="E4962" t="s">
        <v>5532</v>
      </c>
      <c r="F4962" t="s">
        <v>19743</v>
      </c>
      <c r="G4962" t="s">
        <v>15325</v>
      </c>
      <c r="H4962" t="s">
        <v>5474</v>
      </c>
      <c r="I4962" t="s">
        <v>19744</v>
      </c>
      <c r="J4962" t="s">
        <v>5476</v>
      </c>
      <c r="K4962" t="s">
        <v>19745</v>
      </c>
      <c r="L4962" t="s">
        <v>5471</v>
      </c>
      <c r="M4962" t="s">
        <v>5471</v>
      </c>
    </row>
    <row r="4963" spans="1:13" x14ac:dyDescent="0.3">
      <c r="A4963" t="s">
        <v>3397</v>
      </c>
      <c r="B4963" t="s">
        <v>15323</v>
      </c>
      <c r="C4963" t="s">
        <v>5487</v>
      </c>
      <c r="D4963" t="s">
        <v>4081</v>
      </c>
      <c r="E4963" t="s">
        <v>5532</v>
      </c>
      <c r="F4963" t="s">
        <v>19746</v>
      </c>
      <c r="G4963" t="s">
        <v>15325</v>
      </c>
      <c r="H4963" t="s">
        <v>5474</v>
      </c>
      <c r="I4963" t="s">
        <v>19747</v>
      </c>
      <c r="J4963" t="s">
        <v>5476</v>
      </c>
      <c r="K4963" t="s">
        <v>19748</v>
      </c>
      <c r="L4963" t="s">
        <v>5471</v>
      </c>
      <c r="M4963" t="s">
        <v>5471</v>
      </c>
    </row>
    <row r="4964" spans="1:13" x14ac:dyDescent="0.3">
      <c r="A4964" t="s">
        <v>3397</v>
      </c>
      <c r="B4964" t="s">
        <v>15323</v>
      </c>
      <c r="C4964" t="s">
        <v>5487</v>
      </c>
      <c r="D4964" t="s">
        <v>4347</v>
      </c>
      <c r="E4964" t="s">
        <v>5480</v>
      </c>
      <c r="F4964" t="s">
        <v>19749</v>
      </c>
      <c r="G4964" t="s">
        <v>15325</v>
      </c>
      <c r="H4964" t="s">
        <v>5474</v>
      </c>
      <c r="I4964" t="s">
        <v>19750</v>
      </c>
      <c r="J4964" t="s">
        <v>5476</v>
      </c>
      <c r="K4964" t="s">
        <v>19751</v>
      </c>
      <c r="L4964" t="s">
        <v>5471</v>
      </c>
      <c r="M4964" t="s">
        <v>5471</v>
      </c>
    </row>
    <row r="4965" spans="1:13" x14ac:dyDescent="0.3">
      <c r="A4965" t="s">
        <v>3397</v>
      </c>
      <c r="B4965" t="s">
        <v>15323</v>
      </c>
      <c r="C4965" t="s">
        <v>5487</v>
      </c>
      <c r="D4965" t="s">
        <v>4347</v>
      </c>
      <c r="E4965" t="s">
        <v>5480</v>
      </c>
      <c r="F4965" t="s">
        <v>19752</v>
      </c>
      <c r="G4965" t="s">
        <v>15325</v>
      </c>
      <c r="H4965" t="s">
        <v>5474</v>
      </c>
      <c r="I4965" t="s">
        <v>19753</v>
      </c>
      <c r="J4965" t="s">
        <v>5476</v>
      </c>
      <c r="K4965" t="s">
        <v>19754</v>
      </c>
      <c r="L4965" t="s">
        <v>5471</v>
      </c>
      <c r="M4965" t="s">
        <v>5471</v>
      </c>
    </row>
    <row r="4966" spans="1:13" x14ac:dyDescent="0.3">
      <c r="A4966" t="s">
        <v>3397</v>
      </c>
      <c r="B4966" t="s">
        <v>15323</v>
      </c>
      <c r="C4966" t="s">
        <v>5487</v>
      </c>
      <c r="D4966" t="s">
        <v>4347</v>
      </c>
      <c r="E4966" t="s">
        <v>5480</v>
      </c>
      <c r="F4966" t="s">
        <v>19755</v>
      </c>
      <c r="G4966" t="s">
        <v>15325</v>
      </c>
      <c r="H4966" t="s">
        <v>5474</v>
      </c>
      <c r="I4966" t="s">
        <v>19756</v>
      </c>
      <c r="J4966" t="s">
        <v>5476</v>
      </c>
      <c r="K4966" t="s">
        <v>19757</v>
      </c>
      <c r="L4966" t="s">
        <v>5471</v>
      </c>
      <c r="M4966" t="s">
        <v>5471</v>
      </c>
    </row>
    <row r="4967" spans="1:13" x14ac:dyDescent="0.3">
      <c r="A4967" t="s">
        <v>3397</v>
      </c>
      <c r="B4967" t="s">
        <v>15323</v>
      </c>
      <c r="C4967" t="s">
        <v>5487</v>
      </c>
      <c r="D4967" t="s">
        <v>4081</v>
      </c>
      <c r="E4967" t="s">
        <v>5532</v>
      </c>
      <c r="F4967" t="s">
        <v>19758</v>
      </c>
      <c r="G4967" t="s">
        <v>19759</v>
      </c>
      <c r="H4967" t="s">
        <v>5474</v>
      </c>
      <c r="I4967" t="s">
        <v>19760</v>
      </c>
      <c r="J4967" t="s">
        <v>5476</v>
      </c>
      <c r="K4967" t="s">
        <v>19761</v>
      </c>
      <c r="L4967" t="s">
        <v>5471</v>
      </c>
      <c r="M4967" t="s">
        <v>5471</v>
      </c>
    </row>
    <row r="4968" spans="1:13" x14ac:dyDescent="0.3">
      <c r="A4968" t="s">
        <v>3397</v>
      </c>
      <c r="B4968" t="s">
        <v>5301</v>
      </c>
      <c r="C4968" t="s">
        <v>6342</v>
      </c>
      <c r="D4968" t="s">
        <v>4081</v>
      </c>
      <c r="E4968" t="s">
        <v>6332</v>
      </c>
      <c r="F4968" t="s">
        <v>19762</v>
      </c>
      <c r="G4968" t="s">
        <v>14527</v>
      </c>
      <c r="H4968" t="s">
        <v>5474</v>
      </c>
      <c r="I4968" t="s">
        <v>19763</v>
      </c>
      <c r="J4968" t="s">
        <v>5476</v>
      </c>
      <c r="K4968" t="s">
        <v>19742</v>
      </c>
      <c r="L4968" t="s">
        <v>5471</v>
      </c>
      <c r="M4968" t="s">
        <v>5471</v>
      </c>
    </row>
    <row r="4969" spans="1:13" x14ac:dyDescent="0.3">
      <c r="A4969" t="s">
        <v>3397</v>
      </c>
      <c r="B4969" t="s">
        <v>5301</v>
      </c>
      <c r="C4969" t="s">
        <v>6342</v>
      </c>
      <c r="D4969" t="s">
        <v>4081</v>
      </c>
      <c r="E4969" t="s">
        <v>6332</v>
      </c>
      <c r="F4969" t="s">
        <v>19764</v>
      </c>
      <c r="G4969" t="s">
        <v>14527</v>
      </c>
      <c r="H4969" t="s">
        <v>5474</v>
      </c>
      <c r="I4969" t="s">
        <v>19765</v>
      </c>
      <c r="J4969" t="s">
        <v>5476</v>
      </c>
      <c r="K4969" t="s">
        <v>19748</v>
      </c>
      <c r="L4969" t="s">
        <v>5471</v>
      </c>
      <c r="M4969" t="s">
        <v>5471</v>
      </c>
    </row>
    <row r="4970" spans="1:13" x14ac:dyDescent="0.3">
      <c r="A4970" t="s">
        <v>3397</v>
      </c>
      <c r="B4970" t="s">
        <v>5301</v>
      </c>
      <c r="C4970" t="s">
        <v>6342</v>
      </c>
      <c r="D4970" t="s">
        <v>4081</v>
      </c>
      <c r="E4970" t="s">
        <v>9935</v>
      </c>
      <c r="F4970" t="s">
        <v>19766</v>
      </c>
      <c r="G4970" t="s">
        <v>14527</v>
      </c>
      <c r="H4970" t="s">
        <v>5474</v>
      </c>
      <c r="I4970" t="s">
        <v>19767</v>
      </c>
      <c r="J4970" t="s">
        <v>5476</v>
      </c>
      <c r="K4970" t="s">
        <v>19768</v>
      </c>
      <c r="L4970" t="s">
        <v>5471</v>
      </c>
      <c r="M4970" t="s">
        <v>5471</v>
      </c>
    </row>
    <row r="4971" spans="1:13" x14ac:dyDescent="0.3">
      <c r="A4971" t="s">
        <v>3397</v>
      </c>
      <c r="B4971" t="s">
        <v>5301</v>
      </c>
      <c r="C4971" t="s">
        <v>6342</v>
      </c>
      <c r="D4971" t="s">
        <v>4081</v>
      </c>
      <c r="E4971" t="s">
        <v>9935</v>
      </c>
      <c r="F4971" t="s">
        <v>19769</v>
      </c>
      <c r="G4971" t="s">
        <v>14527</v>
      </c>
      <c r="H4971" t="s">
        <v>5474</v>
      </c>
      <c r="I4971" t="s">
        <v>19770</v>
      </c>
      <c r="J4971" t="s">
        <v>5476</v>
      </c>
      <c r="K4971" t="s">
        <v>19771</v>
      </c>
      <c r="L4971" t="s">
        <v>5471</v>
      </c>
      <c r="M4971" t="s">
        <v>5471</v>
      </c>
    </row>
    <row r="4972" spans="1:13" x14ac:dyDescent="0.3">
      <c r="A4972" t="s">
        <v>3397</v>
      </c>
      <c r="B4972" t="s">
        <v>5301</v>
      </c>
      <c r="C4972" t="s">
        <v>6342</v>
      </c>
      <c r="D4972" t="s">
        <v>4081</v>
      </c>
      <c r="E4972" t="s">
        <v>9935</v>
      </c>
      <c r="F4972" t="s">
        <v>19772</v>
      </c>
      <c r="G4972" t="s">
        <v>14527</v>
      </c>
      <c r="H4972" t="s">
        <v>5474</v>
      </c>
      <c r="I4972" t="s">
        <v>19773</v>
      </c>
      <c r="J4972" t="s">
        <v>5476</v>
      </c>
      <c r="K4972" t="s">
        <v>19774</v>
      </c>
      <c r="L4972" t="s">
        <v>5471</v>
      </c>
      <c r="M4972" t="s">
        <v>5471</v>
      </c>
    </row>
    <row r="4973" spans="1:13" x14ac:dyDescent="0.3">
      <c r="A4973" t="s">
        <v>3397</v>
      </c>
      <c r="B4973" t="s">
        <v>5301</v>
      </c>
      <c r="C4973" t="s">
        <v>6342</v>
      </c>
      <c r="D4973" t="s">
        <v>9940</v>
      </c>
      <c r="E4973" t="s">
        <v>5617</v>
      </c>
      <c r="F4973" t="s">
        <v>19775</v>
      </c>
      <c r="G4973" t="s">
        <v>14592</v>
      </c>
      <c r="H4973" t="s">
        <v>5474</v>
      </c>
      <c r="I4973" t="s">
        <v>19776</v>
      </c>
      <c r="J4973" t="s">
        <v>5476</v>
      </c>
      <c r="K4973" t="s">
        <v>19777</v>
      </c>
      <c r="L4973" t="s">
        <v>5471</v>
      </c>
      <c r="M4973" t="s">
        <v>5471</v>
      </c>
    </row>
    <row r="4974" spans="1:13" x14ac:dyDescent="0.3">
      <c r="A4974" t="s">
        <v>3397</v>
      </c>
      <c r="B4974" t="s">
        <v>5301</v>
      </c>
      <c r="C4974" t="s">
        <v>6342</v>
      </c>
      <c r="D4974" t="s">
        <v>9940</v>
      </c>
      <c r="E4974" t="s">
        <v>5617</v>
      </c>
      <c r="F4974" t="s">
        <v>19778</v>
      </c>
      <c r="G4974" t="s">
        <v>14592</v>
      </c>
      <c r="H4974" t="s">
        <v>5474</v>
      </c>
      <c r="I4974" t="s">
        <v>19779</v>
      </c>
      <c r="J4974" t="s">
        <v>5476</v>
      </c>
      <c r="K4974" t="s">
        <v>19780</v>
      </c>
      <c r="L4974" t="s">
        <v>5471</v>
      </c>
      <c r="M4974" t="s">
        <v>5471</v>
      </c>
    </row>
    <row r="4975" spans="1:13" x14ac:dyDescent="0.3">
      <c r="A4975" t="s">
        <v>3397</v>
      </c>
      <c r="B4975" t="s">
        <v>5301</v>
      </c>
      <c r="C4975" t="s">
        <v>6342</v>
      </c>
      <c r="D4975" t="s">
        <v>9940</v>
      </c>
      <c r="E4975" t="s">
        <v>5617</v>
      </c>
      <c r="F4975" t="s">
        <v>19781</v>
      </c>
      <c r="G4975" t="s">
        <v>14592</v>
      </c>
      <c r="H4975" t="s">
        <v>5474</v>
      </c>
      <c r="I4975" t="s">
        <v>19782</v>
      </c>
      <c r="J4975" t="s">
        <v>5476</v>
      </c>
      <c r="K4975" t="s">
        <v>19783</v>
      </c>
      <c r="L4975" t="s">
        <v>5471</v>
      </c>
      <c r="M4975" t="s">
        <v>5471</v>
      </c>
    </row>
    <row r="4976" spans="1:13" x14ac:dyDescent="0.3">
      <c r="A4976" t="s">
        <v>3397</v>
      </c>
      <c r="B4976" t="s">
        <v>5301</v>
      </c>
      <c r="C4976" t="s">
        <v>6342</v>
      </c>
      <c r="D4976" t="s">
        <v>9940</v>
      </c>
      <c r="E4976" t="s">
        <v>5617</v>
      </c>
      <c r="F4976" t="s">
        <v>19784</v>
      </c>
      <c r="G4976" t="s">
        <v>14596</v>
      </c>
      <c r="H4976" t="s">
        <v>5474</v>
      </c>
      <c r="I4976" t="s">
        <v>19785</v>
      </c>
      <c r="J4976" t="s">
        <v>5476</v>
      </c>
      <c r="K4976" t="s">
        <v>19786</v>
      </c>
      <c r="L4976" t="s">
        <v>5471</v>
      </c>
      <c r="M4976" t="s">
        <v>5471</v>
      </c>
    </row>
    <row r="4977" spans="1:13" x14ac:dyDescent="0.3">
      <c r="A4977" t="s">
        <v>3397</v>
      </c>
      <c r="B4977" t="s">
        <v>5301</v>
      </c>
      <c r="C4977" t="s">
        <v>6342</v>
      </c>
      <c r="D4977" t="s">
        <v>9940</v>
      </c>
      <c r="E4977" t="s">
        <v>5617</v>
      </c>
      <c r="F4977" t="s">
        <v>19787</v>
      </c>
      <c r="G4977" t="s">
        <v>14596</v>
      </c>
      <c r="H4977" t="s">
        <v>5474</v>
      </c>
      <c r="I4977" t="s">
        <v>19788</v>
      </c>
      <c r="J4977" t="s">
        <v>5476</v>
      </c>
      <c r="K4977" t="s">
        <v>19789</v>
      </c>
      <c r="L4977" t="s">
        <v>5471</v>
      </c>
      <c r="M4977" t="s">
        <v>5471</v>
      </c>
    </row>
    <row r="4978" spans="1:13" x14ac:dyDescent="0.3">
      <c r="A4978" t="s">
        <v>3397</v>
      </c>
      <c r="B4978" t="s">
        <v>5301</v>
      </c>
      <c r="C4978" t="s">
        <v>6342</v>
      </c>
      <c r="D4978" t="s">
        <v>9940</v>
      </c>
      <c r="E4978" t="s">
        <v>5617</v>
      </c>
      <c r="F4978" t="s">
        <v>19790</v>
      </c>
      <c r="G4978" t="s">
        <v>14596</v>
      </c>
      <c r="H4978" t="s">
        <v>5474</v>
      </c>
      <c r="I4978" t="s">
        <v>19791</v>
      </c>
      <c r="J4978" t="s">
        <v>5476</v>
      </c>
      <c r="K4978" t="s">
        <v>19792</v>
      </c>
      <c r="L4978" t="s">
        <v>5471</v>
      </c>
      <c r="M4978" t="s">
        <v>5471</v>
      </c>
    </row>
    <row r="4979" spans="1:13" x14ac:dyDescent="0.3">
      <c r="A4979" t="s">
        <v>3397</v>
      </c>
      <c r="B4979" t="s">
        <v>5301</v>
      </c>
      <c r="C4979" t="s">
        <v>6342</v>
      </c>
      <c r="D4979" t="s">
        <v>9940</v>
      </c>
      <c r="E4979" t="s">
        <v>5617</v>
      </c>
      <c r="F4979" t="s">
        <v>19793</v>
      </c>
      <c r="G4979" t="s">
        <v>14600</v>
      </c>
      <c r="H4979" t="s">
        <v>5474</v>
      </c>
      <c r="I4979" t="s">
        <v>19794</v>
      </c>
      <c r="J4979" t="s">
        <v>5476</v>
      </c>
      <c r="K4979" t="s">
        <v>19795</v>
      </c>
      <c r="L4979" t="s">
        <v>5471</v>
      </c>
      <c r="M4979" t="s">
        <v>5471</v>
      </c>
    </row>
    <row r="4980" spans="1:13" x14ac:dyDescent="0.3">
      <c r="A4980" t="s">
        <v>3397</v>
      </c>
      <c r="B4980" t="s">
        <v>5301</v>
      </c>
      <c r="C4980" t="s">
        <v>6342</v>
      </c>
      <c r="D4980" t="s">
        <v>9940</v>
      </c>
      <c r="E4980" t="s">
        <v>5617</v>
      </c>
      <c r="F4980" t="s">
        <v>19796</v>
      </c>
      <c r="G4980" t="s">
        <v>14600</v>
      </c>
      <c r="H4980" t="s">
        <v>5474</v>
      </c>
      <c r="I4980" t="s">
        <v>19797</v>
      </c>
      <c r="J4980" t="s">
        <v>5476</v>
      </c>
      <c r="K4980" t="s">
        <v>19798</v>
      </c>
      <c r="L4980" t="s">
        <v>5471</v>
      </c>
      <c r="M4980" t="s">
        <v>5471</v>
      </c>
    </row>
    <row r="4981" spans="1:13" x14ac:dyDescent="0.3">
      <c r="A4981" t="s">
        <v>3397</v>
      </c>
      <c r="B4981" t="s">
        <v>5301</v>
      </c>
      <c r="C4981" t="s">
        <v>6342</v>
      </c>
      <c r="D4981" t="s">
        <v>9940</v>
      </c>
      <c r="E4981" t="s">
        <v>5617</v>
      </c>
      <c r="F4981" t="s">
        <v>19799</v>
      </c>
      <c r="G4981" t="s">
        <v>14600</v>
      </c>
      <c r="H4981" t="s">
        <v>5474</v>
      </c>
      <c r="I4981" t="s">
        <v>19800</v>
      </c>
      <c r="J4981" t="s">
        <v>5476</v>
      </c>
      <c r="K4981" t="s">
        <v>19801</v>
      </c>
      <c r="L4981" t="s">
        <v>5471</v>
      </c>
      <c r="M4981" t="s">
        <v>5471</v>
      </c>
    </row>
    <row r="4982" spans="1:13" x14ac:dyDescent="0.3">
      <c r="A4982" t="s">
        <v>3397</v>
      </c>
      <c r="B4982" t="s">
        <v>5301</v>
      </c>
      <c r="C4982" t="s">
        <v>6342</v>
      </c>
      <c r="D4982" t="s">
        <v>4081</v>
      </c>
      <c r="E4982" t="s">
        <v>6332</v>
      </c>
      <c r="F4982" t="s">
        <v>19802</v>
      </c>
      <c r="G4982" t="s">
        <v>14607</v>
      </c>
      <c r="H4982" t="s">
        <v>5474</v>
      </c>
      <c r="I4982" t="s">
        <v>19803</v>
      </c>
      <c r="J4982" t="s">
        <v>5476</v>
      </c>
      <c r="K4982" t="s">
        <v>19804</v>
      </c>
      <c r="L4982" t="s">
        <v>5471</v>
      </c>
      <c r="M4982" t="s">
        <v>5471</v>
      </c>
    </row>
    <row r="4983" spans="1:13" x14ac:dyDescent="0.3">
      <c r="A4983" t="s">
        <v>3397</v>
      </c>
      <c r="B4983" t="s">
        <v>5301</v>
      </c>
      <c r="C4983" t="s">
        <v>6342</v>
      </c>
      <c r="D4983" t="s">
        <v>4081</v>
      </c>
      <c r="E4983" t="s">
        <v>9935</v>
      </c>
      <c r="F4983" t="s">
        <v>19805</v>
      </c>
      <c r="G4983" t="s">
        <v>14607</v>
      </c>
      <c r="H4983" t="s">
        <v>5474</v>
      </c>
      <c r="I4983" t="s">
        <v>19806</v>
      </c>
      <c r="J4983" t="s">
        <v>5476</v>
      </c>
      <c r="K4983" t="s">
        <v>19807</v>
      </c>
      <c r="L4983" t="s">
        <v>5471</v>
      </c>
      <c r="M4983" t="s">
        <v>5471</v>
      </c>
    </row>
    <row r="4984" spans="1:13" x14ac:dyDescent="0.3">
      <c r="A4984" t="s">
        <v>3397</v>
      </c>
      <c r="B4984" t="s">
        <v>6315</v>
      </c>
      <c r="C4984" t="s">
        <v>5487</v>
      </c>
      <c r="D4984" t="s">
        <v>4081</v>
      </c>
      <c r="E4984" t="s">
        <v>5595</v>
      </c>
      <c r="F4984" t="s">
        <v>19808</v>
      </c>
      <c r="G4984" t="s">
        <v>13880</v>
      </c>
      <c r="H4984" t="s">
        <v>5474</v>
      </c>
      <c r="I4984" t="s">
        <v>19809</v>
      </c>
      <c r="J4984" t="s">
        <v>5476</v>
      </c>
      <c r="K4984" t="s">
        <v>19810</v>
      </c>
      <c r="L4984" t="s">
        <v>5471</v>
      </c>
      <c r="M4984" t="s">
        <v>5471</v>
      </c>
    </row>
    <row r="4985" spans="1:13" x14ac:dyDescent="0.3">
      <c r="A4985" t="s">
        <v>3397</v>
      </c>
      <c r="B4985" t="s">
        <v>6315</v>
      </c>
      <c r="C4985" t="s">
        <v>5487</v>
      </c>
      <c r="D4985" t="s">
        <v>4347</v>
      </c>
      <c r="E4985" t="s">
        <v>5480</v>
      </c>
      <c r="F4985" t="s">
        <v>19811</v>
      </c>
      <c r="G4985" t="s">
        <v>13880</v>
      </c>
      <c r="H4985" t="s">
        <v>5474</v>
      </c>
      <c r="I4985" t="s">
        <v>19812</v>
      </c>
      <c r="J4985" t="s">
        <v>5476</v>
      </c>
      <c r="K4985" t="s">
        <v>19813</v>
      </c>
      <c r="L4985" t="s">
        <v>5471</v>
      </c>
      <c r="M4985" t="s">
        <v>5471</v>
      </c>
    </row>
    <row r="4986" spans="1:13" x14ac:dyDescent="0.3">
      <c r="A4986" t="s">
        <v>3397</v>
      </c>
      <c r="B4986" t="s">
        <v>6315</v>
      </c>
      <c r="C4986" t="s">
        <v>5487</v>
      </c>
      <c r="D4986" t="s">
        <v>4347</v>
      </c>
      <c r="E4986" t="s">
        <v>5480</v>
      </c>
      <c r="F4986" t="s">
        <v>19814</v>
      </c>
      <c r="G4986" t="s">
        <v>13880</v>
      </c>
      <c r="H4986" t="s">
        <v>5474</v>
      </c>
      <c r="I4986" t="s">
        <v>19815</v>
      </c>
      <c r="J4986" t="s">
        <v>5476</v>
      </c>
      <c r="K4986" t="s">
        <v>19816</v>
      </c>
      <c r="L4986" t="s">
        <v>5471</v>
      </c>
      <c r="M4986" t="s">
        <v>5471</v>
      </c>
    </row>
    <row r="4987" spans="1:13" x14ac:dyDescent="0.3">
      <c r="A4987" t="s">
        <v>3397</v>
      </c>
      <c r="B4987" t="s">
        <v>6315</v>
      </c>
      <c r="C4987" t="s">
        <v>5487</v>
      </c>
      <c r="D4987" t="s">
        <v>4347</v>
      </c>
      <c r="E4987" t="s">
        <v>5480</v>
      </c>
      <c r="F4987" t="s">
        <v>19817</v>
      </c>
      <c r="G4987" t="s">
        <v>13880</v>
      </c>
      <c r="H4987" t="s">
        <v>5474</v>
      </c>
      <c r="I4987" t="s">
        <v>19818</v>
      </c>
      <c r="J4987" t="s">
        <v>5476</v>
      </c>
      <c r="K4987" t="s">
        <v>19819</v>
      </c>
      <c r="L4987" t="s">
        <v>5471</v>
      </c>
      <c r="M4987" t="s">
        <v>5471</v>
      </c>
    </row>
    <row r="4988" spans="1:13" x14ac:dyDescent="0.3">
      <c r="A4988" t="s">
        <v>3397</v>
      </c>
      <c r="B4988" t="s">
        <v>5259</v>
      </c>
      <c r="C4988" t="s">
        <v>5487</v>
      </c>
      <c r="D4988" t="s">
        <v>4081</v>
      </c>
      <c r="E4988" t="s">
        <v>5532</v>
      </c>
      <c r="F4988" t="s">
        <v>19820</v>
      </c>
      <c r="G4988" t="s">
        <v>19821</v>
      </c>
      <c r="H4988" t="s">
        <v>5474</v>
      </c>
      <c r="I4988" t="s">
        <v>19822</v>
      </c>
      <c r="J4988" t="s">
        <v>5476</v>
      </c>
      <c r="K4988" t="s">
        <v>19823</v>
      </c>
      <c r="L4988" t="s">
        <v>5471</v>
      </c>
      <c r="M4988" t="s">
        <v>5471</v>
      </c>
    </row>
    <row r="4989" spans="1:13" x14ac:dyDescent="0.3">
      <c r="A4989" t="s">
        <v>3397</v>
      </c>
      <c r="B4989" t="s">
        <v>5259</v>
      </c>
      <c r="C4989" t="s">
        <v>5487</v>
      </c>
      <c r="D4989" t="s">
        <v>4081</v>
      </c>
      <c r="E4989" t="s">
        <v>5532</v>
      </c>
      <c r="F4989" t="s">
        <v>19824</v>
      </c>
      <c r="G4989" t="s">
        <v>19821</v>
      </c>
      <c r="H4989" t="s">
        <v>5474</v>
      </c>
      <c r="I4989" t="s">
        <v>19825</v>
      </c>
      <c r="J4989" t="s">
        <v>5476</v>
      </c>
      <c r="K4989" t="s">
        <v>19826</v>
      </c>
      <c r="L4989" t="s">
        <v>5471</v>
      </c>
      <c r="M4989" t="s">
        <v>5471</v>
      </c>
    </row>
    <row r="4990" spans="1:13" x14ac:dyDescent="0.3">
      <c r="A4990" t="s">
        <v>3397</v>
      </c>
      <c r="B4990" t="s">
        <v>5259</v>
      </c>
      <c r="C4990" t="s">
        <v>5487</v>
      </c>
      <c r="D4990" t="s">
        <v>4081</v>
      </c>
      <c r="E4990" t="s">
        <v>5532</v>
      </c>
      <c r="F4990" t="s">
        <v>19827</v>
      </c>
      <c r="G4990" t="s">
        <v>19821</v>
      </c>
      <c r="H4990" t="s">
        <v>5474</v>
      </c>
      <c r="I4990" t="s">
        <v>19828</v>
      </c>
      <c r="J4990" t="s">
        <v>5476</v>
      </c>
      <c r="K4990" t="s">
        <v>19829</v>
      </c>
      <c r="L4990" t="s">
        <v>5471</v>
      </c>
      <c r="M4990" t="s">
        <v>5471</v>
      </c>
    </row>
    <row r="4991" spans="1:13" x14ac:dyDescent="0.3">
      <c r="A4991" t="s">
        <v>3397</v>
      </c>
      <c r="B4991" t="s">
        <v>5255</v>
      </c>
      <c r="C4991" t="s">
        <v>5487</v>
      </c>
      <c r="D4991" t="s">
        <v>9940</v>
      </c>
      <c r="E4991" t="s">
        <v>5595</v>
      </c>
      <c r="F4991" t="s">
        <v>19830</v>
      </c>
      <c r="G4991" t="s">
        <v>19831</v>
      </c>
      <c r="H4991" t="s">
        <v>5474</v>
      </c>
      <c r="I4991" t="s">
        <v>19832</v>
      </c>
      <c r="J4991" t="s">
        <v>5476</v>
      </c>
      <c r="K4991" t="s">
        <v>19833</v>
      </c>
      <c r="L4991" t="s">
        <v>5471</v>
      </c>
      <c r="M4991" t="s">
        <v>5471</v>
      </c>
    </row>
    <row r="4992" spans="1:13" x14ac:dyDescent="0.3">
      <c r="A4992" t="s">
        <v>3397</v>
      </c>
      <c r="B4992" t="s">
        <v>5255</v>
      </c>
      <c r="C4992" t="s">
        <v>5487</v>
      </c>
      <c r="D4992" t="s">
        <v>9940</v>
      </c>
      <c r="E4992" t="s">
        <v>5595</v>
      </c>
      <c r="F4992" t="s">
        <v>19834</v>
      </c>
      <c r="G4992" t="s">
        <v>19831</v>
      </c>
      <c r="H4992" t="s">
        <v>5474</v>
      </c>
      <c r="I4992" t="s">
        <v>19835</v>
      </c>
      <c r="J4992" t="s">
        <v>5476</v>
      </c>
      <c r="K4992" t="s">
        <v>19836</v>
      </c>
      <c r="L4992" t="s">
        <v>5471</v>
      </c>
      <c r="M4992" t="s">
        <v>5471</v>
      </c>
    </row>
    <row r="4993" spans="1:13" x14ac:dyDescent="0.3">
      <c r="A4993" t="s">
        <v>3397</v>
      </c>
      <c r="B4993" t="s">
        <v>5255</v>
      </c>
      <c r="C4993" t="s">
        <v>5487</v>
      </c>
      <c r="D4993" t="s">
        <v>9940</v>
      </c>
      <c r="E4993" t="s">
        <v>5595</v>
      </c>
      <c r="F4993" t="s">
        <v>19837</v>
      </c>
      <c r="G4993" t="s">
        <v>19831</v>
      </c>
      <c r="H4993" t="s">
        <v>5474</v>
      </c>
      <c r="I4993" t="s">
        <v>19838</v>
      </c>
      <c r="J4993" t="s">
        <v>5476</v>
      </c>
      <c r="K4993" t="s">
        <v>19839</v>
      </c>
      <c r="L4993" t="s">
        <v>5471</v>
      </c>
      <c r="M4993" t="s">
        <v>5471</v>
      </c>
    </row>
    <row r="4994" spans="1:13" x14ac:dyDescent="0.3">
      <c r="A4994" t="s">
        <v>3397</v>
      </c>
      <c r="B4994" t="s">
        <v>5255</v>
      </c>
      <c r="C4994" t="s">
        <v>5487</v>
      </c>
      <c r="D4994" t="s">
        <v>9940</v>
      </c>
      <c r="E4994" t="s">
        <v>5595</v>
      </c>
      <c r="F4994" t="s">
        <v>19840</v>
      </c>
      <c r="G4994" t="s">
        <v>19841</v>
      </c>
      <c r="H4994" t="s">
        <v>5474</v>
      </c>
      <c r="I4994" t="s">
        <v>19842</v>
      </c>
      <c r="J4994" t="s">
        <v>5476</v>
      </c>
      <c r="K4994" t="s">
        <v>19843</v>
      </c>
      <c r="L4994" t="s">
        <v>5471</v>
      </c>
      <c r="M4994" t="s">
        <v>5471</v>
      </c>
    </row>
    <row r="4995" spans="1:13" x14ac:dyDescent="0.3">
      <c r="A4995" t="s">
        <v>3397</v>
      </c>
      <c r="B4995" t="s">
        <v>5255</v>
      </c>
      <c r="C4995" t="s">
        <v>5487</v>
      </c>
      <c r="D4995" t="s">
        <v>9940</v>
      </c>
      <c r="E4995" t="s">
        <v>5595</v>
      </c>
      <c r="F4995" t="s">
        <v>19844</v>
      </c>
      <c r="G4995" t="s">
        <v>19841</v>
      </c>
      <c r="H4995" t="s">
        <v>5474</v>
      </c>
      <c r="I4995" t="s">
        <v>19845</v>
      </c>
      <c r="J4995" t="s">
        <v>5476</v>
      </c>
      <c r="K4995" t="s">
        <v>19846</v>
      </c>
      <c r="L4995" t="s">
        <v>5471</v>
      </c>
      <c r="M4995" t="s">
        <v>5471</v>
      </c>
    </row>
    <row r="4996" spans="1:13" x14ac:dyDescent="0.3">
      <c r="A4996" t="s">
        <v>3397</v>
      </c>
      <c r="B4996" t="s">
        <v>5255</v>
      </c>
      <c r="C4996" t="s">
        <v>5487</v>
      </c>
      <c r="D4996" t="s">
        <v>9940</v>
      </c>
      <c r="E4996" t="s">
        <v>5595</v>
      </c>
      <c r="F4996" t="s">
        <v>19847</v>
      </c>
      <c r="G4996" t="s">
        <v>19841</v>
      </c>
      <c r="H4996" t="s">
        <v>5474</v>
      </c>
      <c r="I4996" t="s">
        <v>19848</v>
      </c>
      <c r="J4996" t="s">
        <v>5476</v>
      </c>
      <c r="K4996" t="s">
        <v>19849</v>
      </c>
      <c r="L4996" t="s">
        <v>5471</v>
      </c>
      <c r="M4996" t="s">
        <v>5471</v>
      </c>
    </row>
    <row r="4997" spans="1:13" x14ac:dyDescent="0.3">
      <c r="A4997" t="s">
        <v>3397</v>
      </c>
      <c r="B4997" t="s">
        <v>5255</v>
      </c>
      <c r="C4997" t="s">
        <v>5487</v>
      </c>
      <c r="D4997" t="s">
        <v>4081</v>
      </c>
      <c r="E4997" t="s">
        <v>5595</v>
      </c>
      <c r="F4997" t="s">
        <v>19850</v>
      </c>
      <c r="G4997" t="s">
        <v>19851</v>
      </c>
      <c r="H4997" t="s">
        <v>5474</v>
      </c>
      <c r="I4997" t="s">
        <v>19852</v>
      </c>
      <c r="J4997" t="s">
        <v>5476</v>
      </c>
      <c r="K4997" t="s">
        <v>19853</v>
      </c>
      <c r="L4997" t="s">
        <v>5471</v>
      </c>
      <c r="M4997" t="s">
        <v>5471</v>
      </c>
    </row>
    <row r="4998" spans="1:13" x14ac:dyDescent="0.3">
      <c r="A4998" t="s">
        <v>3383</v>
      </c>
      <c r="B4998" t="s">
        <v>5330</v>
      </c>
      <c r="C4998" t="s">
        <v>5470</v>
      </c>
      <c r="D4998" t="s">
        <v>4081</v>
      </c>
      <c r="E4998" t="s">
        <v>5532</v>
      </c>
      <c r="F4998" t="s">
        <v>19854</v>
      </c>
      <c r="G4998" t="s">
        <v>9264</v>
      </c>
      <c r="H4998" t="s">
        <v>5474</v>
      </c>
      <c r="I4998" t="s">
        <v>19855</v>
      </c>
      <c r="J4998" t="s">
        <v>5476</v>
      </c>
      <c r="K4998" t="s">
        <v>19856</v>
      </c>
      <c r="L4998" t="s">
        <v>5471</v>
      </c>
      <c r="M4998" t="s">
        <v>5471</v>
      </c>
    </row>
    <row r="4999" spans="1:13" x14ac:dyDescent="0.3">
      <c r="A4999" t="s">
        <v>3383</v>
      </c>
      <c r="B4999" t="s">
        <v>5952</v>
      </c>
      <c r="C4999" t="s">
        <v>5470</v>
      </c>
      <c r="D4999" t="s">
        <v>9940</v>
      </c>
      <c r="E4999" t="s">
        <v>5756</v>
      </c>
      <c r="F4999" t="s">
        <v>19857</v>
      </c>
      <c r="G4999" t="s">
        <v>8385</v>
      </c>
      <c r="H4999" t="s">
        <v>5474</v>
      </c>
      <c r="I4999" t="s">
        <v>19858</v>
      </c>
      <c r="J4999" t="s">
        <v>5476</v>
      </c>
      <c r="K4999" t="s">
        <v>19859</v>
      </c>
      <c r="L4999" t="s">
        <v>5471</v>
      </c>
      <c r="M4999" t="s">
        <v>5471</v>
      </c>
    </row>
    <row r="5000" spans="1:13" x14ac:dyDescent="0.3">
      <c r="A5000" t="s">
        <v>3383</v>
      </c>
      <c r="B5000" t="s">
        <v>5952</v>
      </c>
      <c r="C5000" t="s">
        <v>5470</v>
      </c>
      <c r="D5000" t="s">
        <v>9940</v>
      </c>
      <c r="E5000" t="s">
        <v>5756</v>
      </c>
      <c r="F5000" t="s">
        <v>19860</v>
      </c>
      <c r="G5000" t="s">
        <v>8385</v>
      </c>
      <c r="H5000" t="s">
        <v>5474</v>
      </c>
      <c r="I5000" t="s">
        <v>19861</v>
      </c>
      <c r="J5000" t="s">
        <v>5476</v>
      </c>
      <c r="K5000" t="s">
        <v>19862</v>
      </c>
      <c r="L5000" t="s">
        <v>5471</v>
      </c>
      <c r="M5000" t="s">
        <v>5471</v>
      </c>
    </row>
    <row r="5001" spans="1:13" x14ac:dyDescent="0.3">
      <c r="A5001" t="s">
        <v>3383</v>
      </c>
      <c r="B5001" t="s">
        <v>5952</v>
      </c>
      <c r="C5001" t="s">
        <v>5470</v>
      </c>
      <c r="D5001" t="s">
        <v>9940</v>
      </c>
      <c r="E5001" t="s">
        <v>5756</v>
      </c>
      <c r="F5001" t="s">
        <v>19863</v>
      </c>
      <c r="G5001" t="s">
        <v>6289</v>
      </c>
      <c r="H5001" t="s">
        <v>5474</v>
      </c>
      <c r="I5001" t="s">
        <v>19864</v>
      </c>
      <c r="J5001" t="s">
        <v>5476</v>
      </c>
      <c r="K5001" t="s">
        <v>19865</v>
      </c>
      <c r="L5001" t="s">
        <v>5471</v>
      </c>
      <c r="M5001" t="s">
        <v>5471</v>
      </c>
    </row>
    <row r="5002" spans="1:13" x14ac:dyDescent="0.3">
      <c r="A5002" t="s">
        <v>3383</v>
      </c>
      <c r="B5002" t="s">
        <v>5952</v>
      </c>
      <c r="C5002" t="s">
        <v>5470</v>
      </c>
      <c r="D5002" t="s">
        <v>9940</v>
      </c>
      <c r="E5002" t="s">
        <v>5756</v>
      </c>
      <c r="F5002" t="s">
        <v>19866</v>
      </c>
      <c r="G5002" t="s">
        <v>6289</v>
      </c>
      <c r="H5002" t="s">
        <v>5474</v>
      </c>
      <c r="I5002" t="s">
        <v>19867</v>
      </c>
      <c r="J5002" t="s">
        <v>5476</v>
      </c>
      <c r="K5002" t="s">
        <v>19868</v>
      </c>
      <c r="L5002" t="s">
        <v>5471</v>
      </c>
      <c r="M5002" t="s">
        <v>5471</v>
      </c>
    </row>
    <row r="5003" spans="1:13" x14ac:dyDescent="0.3">
      <c r="A5003" t="s">
        <v>3383</v>
      </c>
      <c r="B5003" t="s">
        <v>5952</v>
      </c>
      <c r="C5003" t="s">
        <v>5470</v>
      </c>
      <c r="D5003" t="s">
        <v>9940</v>
      </c>
      <c r="E5003" t="s">
        <v>5756</v>
      </c>
      <c r="F5003" t="s">
        <v>19869</v>
      </c>
      <c r="G5003" t="s">
        <v>6289</v>
      </c>
      <c r="H5003" t="s">
        <v>5474</v>
      </c>
      <c r="I5003" t="s">
        <v>19870</v>
      </c>
      <c r="J5003" t="s">
        <v>5476</v>
      </c>
      <c r="K5003" t="s">
        <v>19871</v>
      </c>
      <c r="L5003" t="s">
        <v>5471</v>
      </c>
      <c r="M5003" t="s">
        <v>5471</v>
      </c>
    </row>
    <row r="5004" spans="1:13" x14ac:dyDescent="0.3">
      <c r="A5004" t="s">
        <v>3383</v>
      </c>
      <c r="B5004" t="s">
        <v>5952</v>
      </c>
      <c r="C5004" t="s">
        <v>5470</v>
      </c>
      <c r="D5004" t="s">
        <v>9940</v>
      </c>
      <c r="E5004" t="s">
        <v>5756</v>
      </c>
      <c r="F5004" t="s">
        <v>19872</v>
      </c>
      <c r="G5004" t="s">
        <v>19873</v>
      </c>
      <c r="H5004" t="s">
        <v>5474</v>
      </c>
      <c r="I5004" t="s">
        <v>19874</v>
      </c>
      <c r="J5004" t="s">
        <v>5476</v>
      </c>
      <c r="K5004" t="s">
        <v>19875</v>
      </c>
      <c r="L5004" t="s">
        <v>5471</v>
      </c>
      <c r="M5004" t="s">
        <v>5471</v>
      </c>
    </row>
    <row r="5005" spans="1:13" x14ac:dyDescent="0.3">
      <c r="A5005" t="s">
        <v>3388</v>
      </c>
      <c r="B5005" t="s">
        <v>5316</v>
      </c>
      <c r="C5005" t="s">
        <v>5470</v>
      </c>
      <c r="D5005" t="s">
        <v>4081</v>
      </c>
      <c r="E5005" t="s">
        <v>5532</v>
      </c>
      <c r="F5005" t="s">
        <v>19876</v>
      </c>
      <c r="G5005" t="s">
        <v>19877</v>
      </c>
      <c r="H5005" t="s">
        <v>5474</v>
      </c>
      <c r="I5005" t="s">
        <v>19878</v>
      </c>
      <c r="J5005" t="s">
        <v>5476</v>
      </c>
      <c r="K5005" t="s">
        <v>19879</v>
      </c>
      <c r="L5005" t="s">
        <v>5471</v>
      </c>
      <c r="M5005" t="s">
        <v>5471</v>
      </c>
    </row>
    <row r="5006" spans="1:13" x14ac:dyDescent="0.3">
      <c r="A5006" t="s">
        <v>3388</v>
      </c>
      <c r="B5006" t="s">
        <v>6128</v>
      </c>
      <c r="C5006" t="s">
        <v>5470</v>
      </c>
      <c r="D5006" t="s">
        <v>4081</v>
      </c>
      <c r="E5006" t="s">
        <v>5532</v>
      </c>
      <c r="F5006" t="s">
        <v>19880</v>
      </c>
      <c r="G5006" t="s">
        <v>19881</v>
      </c>
      <c r="H5006" t="s">
        <v>5474</v>
      </c>
      <c r="I5006" t="s">
        <v>19882</v>
      </c>
      <c r="J5006" t="s">
        <v>5476</v>
      </c>
      <c r="K5006" t="s">
        <v>19883</v>
      </c>
      <c r="L5006" t="s">
        <v>5471</v>
      </c>
      <c r="M5006" t="s">
        <v>5471</v>
      </c>
    </row>
    <row r="5007" spans="1:13" x14ac:dyDescent="0.3">
      <c r="A5007" t="s">
        <v>3388</v>
      </c>
      <c r="B5007" t="s">
        <v>6128</v>
      </c>
      <c r="C5007" t="s">
        <v>5470</v>
      </c>
      <c r="D5007" t="s">
        <v>4081</v>
      </c>
      <c r="E5007" t="s">
        <v>5532</v>
      </c>
      <c r="F5007" t="s">
        <v>19884</v>
      </c>
      <c r="G5007" t="s">
        <v>19885</v>
      </c>
      <c r="H5007" t="s">
        <v>5474</v>
      </c>
      <c r="I5007" t="s">
        <v>19886</v>
      </c>
      <c r="J5007" t="s">
        <v>5476</v>
      </c>
      <c r="K5007" t="s">
        <v>19887</v>
      </c>
      <c r="L5007" t="s">
        <v>5471</v>
      </c>
      <c r="M5007" t="s">
        <v>5471</v>
      </c>
    </row>
    <row r="5008" spans="1:13" x14ac:dyDescent="0.3">
      <c r="A5008" t="s">
        <v>3380</v>
      </c>
      <c r="B5008" t="s">
        <v>5276</v>
      </c>
      <c r="C5008" t="s">
        <v>6342</v>
      </c>
      <c r="D5008" t="s">
        <v>9958</v>
      </c>
      <c r="E5008" t="s">
        <v>5480</v>
      </c>
      <c r="F5008" t="s">
        <v>19888</v>
      </c>
      <c r="G5008" t="s">
        <v>19889</v>
      </c>
      <c r="H5008" t="s">
        <v>5474</v>
      </c>
      <c r="I5008" t="s">
        <v>19890</v>
      </c>
      <c r="J5008" t="s">
        <v>5476</v>
      </c>
      <c r="K5008" t="s">
        <v>10136</v>
      </c>
      <c r="L5008" t="s">
        <v>5471</v>
      </c>
      <c r="M5008" t="s">
        <v>5471</v>
      </c>
    </row>
    <row r="5009" spans="1:13" x14ac:dyDescent="0.3">
      <c r="A5009" t="s">
        <v>3380</v>
      </c>
      <c r="B5009" t="s">
        <v>5276</v>
      </c>
      <c r="C5009" t="s">
        <v>6342</v>
      </c>
      <c r="D5009" t="s">
        <v>9958</v>
      </c>
      <c r="E5009" t="s">
        <v>5480</v>
      </c>
      <c r="F5009" t="s">
        <v>19891</v>
      </c>
      <c r="G5009" t="s">
        <v>19892</v>
      </c>
      <c r="H5009" t="s">
        <v>5474</v>
      </c>
      <c r="I5009" t="s">
        <v>19893</v>
      </c>
      <c r="J5009" t="s">
        <v>5476</v>
      </c>
      <c r="K5009" t="s">
        <v>19894</v>
      </c>
      <c r="L5009" t="s">
        <v>5471</v>
      </c>
      <c r="M5009" t="s">
        <v>5471</v>
      </c>
    </row>
    <row r="5010" spans="1:13" x14ac:dyDescent="0.3">
      <c r="A5010" t="s">
        <v>3380</v>
      </c>
      <c r="B5010" t="s">
        <v>5276</v>
      </c>
      <c r="C5010" t="s">
        <v>6342</v>
      </c>
      <c r="D5010" t="s">
        <v>9958</v>
      </c>
      <c r="E5010" t="s">
        <v>5480</v>
      </c>
      <c r="F5010" t="s">
        <v>19895</v>
      </c>
      <c r="G5010" t="s">
        <v>19896</v>
      </c>
      <c r="H5010" t="s">
        <v>5474</v>
      </c>
      <c r="I5010" t="s">
        <v>19897</v>
      </c>
      <c r="J5010" t="s">
        <v>5476</v>
      </c>
      <c r="K5010" t="s">
        <v>19898</v>
      </c>
      <c r="L5010" t="s">
        <v>5471</v>
      </c>
      <c r="M5010" t="s">
        <v>5471</v>
      </c>
    </row>
    <row r="5011" spans="1:13" x14ac:dyDescent="0.3">
      <c r="A5011" t="s">
        <v>3380</v>
      </c>
      <c r="B5011" t="s">
        <v>5276</v>
      </c>
      <c r="C5011" t="s">
        <v>6342</v>
      </c>
      <c r="D5011" t="s">
        <v>9958</v>
      </c>
      <c r="E5011" t="s">
        <v>5480</v>
      </c>
      <c r="F5011" t="s">
        <v>19899</v>
      </c>
      <c r="G5011" t="s">
        <v>19900</v>
      </c>
      <c r="H5011" t="s">
        <v>5474</v>
      </c>
      <c r="I5011" t="s">
        <v>19901</v>
      </c>
      <c r="J5011" t="s">
        <v>5476</v>
      </c>
      <c r="K5011" t="s">
        <v>10100</v>
      </c>
      <c r="L5011" t="s">
        <v>5471</v>
      </c>
      <c r="M5011" t="s">
        <v>5471</v>
      </c>
    </row>
    <row r="5012" spans="1:13" x14ac:dyDescent="0.3">
      <c r="A5012" t="s">
        <v>3397</v>
      </c>
      <c r="B5012" t="s">
        <v>19902</v>
      </c>
      <c r="C5012" t="s">
        <v>5487</v>
      </c>
      <c r="D5012" t="s">
        <v>15984</v>
      </c>
      <c r="E5012" t="s">
        <v>5595</v>
      </c>
      <c r="F5012" t="s">
        <v>19903</v>
      </c>
      <c r="G5012" t="s">
        <v>19902</v>
      </c>
      <c r="H5012" t="s">
        <v>5474</v>
      </c>
      <c r="I5012" t="s">
        <v>19904</v>
      </c>
      <c r="J5012" t="s">
        <v>5484</v>
      </c>
      <c r="K5012" t="s">
        <v>19905</v>
      </c>
      <c r="L5012" t="s">
        <v>5471</v>
      </c>
      <c r="M5012" t="s">
        <v>5471</v>
      </c>
    </row>
    <row r="5013" spans="1:13" x14ac:dyDescent="0.3">
      <c r="A5013" t="s">
        <v>3397</v>
      </c>
      <c r="B5013" t="s">
        <v>19906</v>
      </c>
      <c r="C5013" t="s">
        <v>5487</v>
      </c>
      <c r="D5013" t="s">
        <v>15984</v>
      </c>
      <c r="E5013" t="s">
        <v>5595</v>
      </c>
      <c r="F5013" t="s">
        <v>19907</v>
      </c>
      <c r="G5013" t="s">
        <v>19906</v>
      </c>
      <c r="H5013" t="s">
        <v>5474</v>
      </c>
      <c r="I5013" t="s">
        <v>19908</v>
      </c>
      <c r="J5013" t="s">
        <v>5484</v>
      </c>
      <c r="K5013" t="s">
        <v>19909</v>
      </c>
      <c r="L5013" t="s">
        <v>5471</v>
      </c>
      <c r="M5013" t="s">
        <v>5471</v>
      </c>
    </row>
    <row r="5014" spans="1:13" x14ac:dyDescent="0.3">
      <c r="A5014" t="s">
        <v>3397</v>
      </c>
      <c r="B5014" t="s">
        <v>19910</v>
      </c>
      <c r="C5014" t="s">
        <v>5487</v>
      </c>
      <c r="D5014" t="s">
        <v>15984</v>
      </c>
      <c r="E5014" t="s">
        <v>5843</v>
      </c>
      <c r="F5014" t="s">
        <v>19911</v>
      </c>
      <c r="G5014" t="s">
        <v>19910</v>
      </c>
      <c r="H5014" t="s">
        <v>5474</v>
      </c>
      <c r="I5014" t="s">
        <v>19912</v>
      </c>
      <c r="J5014" t="s">
        <v>5476</v>
      </c>
      <c r="K5014" t="s">
        <v>19913</v>
      </c>
      <c r="L5014" t="s">
        <v>5471</v>
      </c>
      <c r="M5014" t="s">
        <v>5471</v>
      </c>
    </row>
    <row r="5015" spans="1:13" x14ac:dyDescent="0.3">
      <c r="A5015" t="s">
        <v>3397</v>
      </c>
      <c r="B5015" t="s">
        <v>19914</v>
      </c>
      <c r="C5015" t="s">
        <v>5487</v>
      </c>
      <c r="D5015" t="s">
        <v>15984</v>
      </c>
      <c r="E5015" t="s">
        <v>5843</v>
      </c>
      <c r="F5015" t="s">
        <v>19915</v>
      </c>
      <c r="G5015" t="s">
        <v>19914</v>
      </c>
      <c r="H5015" t="s">
        <v>5474</v>
      </c>
      <c r="I5015" t="s">
        <v>19916</v>
      </c>
      <c r="J5015" t="s">
        <v>5476</v>
      </c>
      <c r="K5015" t="s">
        <v>19917</v>
      </c>
      <c r="L5015" t="s">
        <v>5471</v>
      </c>
      <c r="M5015" t="s">
        <v>5471</v>
      </c>
    </row>
    <row r="5016" spans="1:13" x14ac:dyDescent="0.3">
      <c r="A5016" t="s">
        <v>3397</v>
      </c>
      <c r="B5016" t="s">
        <v>19918</v>
      </c>
      <c r="C5016" t="s">
        <v>5487</v>
      </c>
      <c r="D5016" t="s">
        <v>15984</v>
      </c>
      <c r="E5016" t="s">
        <v>5843</v>
      </c>
      <c r="F5016" t="s">
        <v>19919</v>
      </c>
      <c r="G5016" t="s">
        <v>19918</v>
      </c>
      <c r="H5016" t="s">
        <v>5474</v>
      </c>
      <c r="I5016" t="s">
        <v>19920</v>
      </c>
      <c r="J5016" t="s">
        <v>5476</v>
      </c>
      <c r="K5016" t="s">
        <v>19921</v>
      </c>
      <c r="L5016" t="s">
        <v>5471</v>
      </c>
      <c r="M5016" t="s">
        <v>5471</v>
      </c>
    </row>
    <row r="5017" spans="1:13" x14ac:dyDescent="0.3">
      <c r="A5017" t="s">
        <v>3397</v>
      </c>
      <c r="B5017" t="s">
        <v>19922</v>
      </c>
      <c r="C5017" t="s">
        <v>5487</v>
      </c>
      <c r="D5017" t="s">
        <v>15984</v>
      </c>
      <c r="E5017" t="s">
        <v>5595</v>
      </c>
      <c r="F5017" t="s">
        <v>19923</v>
      </c>
      <c r="G5017" t="s">
        <v>19922</v>
      </c>
      <c r="H5017" t="s">
        <v>5474</v>
      </c>
      <c r="I5017" t="s">
        <v>19924</v>
      </c>
      <c r="J5017" t="s">
        <v>5476</v>
      </c>
      <c r="K5017" t="s">
        <v>19925</v>
      </c>
      <c r="L5017" t="s">
        <v>5471</v>
      </c>
      <c r="M5017" t="s">
        <v>5471</v>
      </c>
    </row>
    <row r="5018" spans="1:13" x14ac:dyDescent="0.3">
      <c r="A5018" t="s">
        <v>3397</v>
      </c>
      <c r="B5018" t="s">
        <v>8210</v>
      </c>
      <c r="C5018" t="s">
        <v>5487</v>
      </c>
      <c r="D5018" t="s">
        <v>15984</v>
      </c>
      <c r="E5018" t="s">
        <v>5595</v>
      </c>
      <c r="F5018" t="s">
        <v>19926</v>
      </c>
      <c r="G5018" t="s">
        <v>8210</v>
      </c>
      <c r="H5018" t="s">
        <v>5474</v>
      </c>
      <c r="I5018" t="s">
        <v>19927</v>
      </c>
      <c r="J5018" t="s">
        <v>5476</v>
      </c>
      <c r="K5018" t="s">
        <v>19928</v>
      </c>
      <c r="L5018" t="s">
        <v>5471</v>
      </c>
      <c r="M5018" t="s">
        <v>5471</v>
      </c>
    </row>
    <row r="5019" spans="1:13" x14ac:dyDescent="0.3">
      <c r="A5019" t="s">
        <v>3397</v>
      </c>
      <c r="B5019" t="s">
        <v>19929</v>
      </c>
      <c r="C5019" t="s">
        <v>5487</v>
      </c>
      <c r="D5019" t="s">
        <v>15984</v>
      </c>
      <c r="E5019" t="s">
        <v>5595</v>
      </c>
      <c r="F5019" t="s">
        <v>19919</v>
      </c>
      <c r="G5019" t="s">
        <v>19929</v>
      </c>
      <c r="H5019" t="s">
        <v>5474</v>
      </c>
      <c r="I5019" t="s">
        <v>19930</v>
      </c>
      <c r="J5019" t="s">
        <v>5476</v>
      </c>
      <c r="K5019" t="s">
        <v>19931</v>
      </c>
      <c r="L5019" t="s">
        <v>5471</v>
      </c>
      <c r="M5019" t="s">
        <v>5471</v>
      </c>
    </row>
    <row r="5020" spans="1:13" x14ac:dyDescent="0.3">
      <c r="A5020" t="s">
        <v>3397</v>
      </c>
      <c r="B5020" t="s">
        <v>19932</v>
      </c>
      <c r="C5020" t="s">
        <v>5487</v>
      </c>
      <c r="D5020" t="s">
        <v>15984</v>
      </c>
      <c r="E5020" t="s">
        <v>5595</v>
      </c>
      <c r="F5020" t="s">
        <v>19933</v>
      </c>
      <c r="G5020" t="s">
        <v>19932</v>
      </c>
      <c r="H5020" t="s">
        <v>5474</v>
      </c>
      <c r="I5020" t="s">
        <v>19934</v>
      </c>
      <c r="J5020" t="s">
        <v>5476</v>
      </c>
      <c r="K5020" t="s">
        <v>19935</v>
      </c>
      <c r="L5020" t="s">
        <v>5471</v>
      </c>
      <c r="M5020" t="s">
        <v>5471</v>
      </c>
    </row>
    <row r="5021" spans="1:13" x14ac:dyDescent="0.3">
      <c r="A5021" t="s">
        <v>3397</v>
      </c>
      <c r="B5021" t="s">
        <v>8218</v>
      </c>
      <c r="C5021" t="s">
        <v>5487</v>
      </c>
      <c r="D5021" t="s">
        <v>15984</v>
      </c>
      <c r="E5021" t="s">
        <v>5595</v>
      </c>
      <c r="F5021" t="s">
        <v>19936</v>
      </c>
      <c r="G5021" t="s">
        <v>8218</v>
      </c>
      <c r="H5021" t="s">
        <v>5474</v>
      </c>
      <c r="I5021" t="s">
        <v>19937</v>
      </c>
      <c r="J5021" t="s">
        <v>5476</v>
      </c>
      <c r="K5021" t="s">
        <v>19938</v>
      </c>
      <c r="L5021" t="s">
        <v>5471</v>
      </c>
      <c r="M5021" t="s">
        <v>5471</v>
      </c>
    </row>
    <row r="5022" spans="1:13" x14ac:dyDescent="0.3">
      <c r="A5022" t="s">
        <v>3397</v>
      </c>
      <c r="B5022" t="s">
        <v>19939</v>
      </c>
      <c r="C5022" t="s">
        <v>5487</v>
      </c>
      <c r="D5022" t="s">
        <v>15984</v>
      </c>
      <c r="E5022" t="s">
        <v>5595</v>
      </c>
      <c r="F5022" t="s">
        <v>19940</v>
      </c>
      <c r="G5022" t="s">
        <v>19939</v>
      </c>
      <c r="H5022" t="s">
        <v>5474</v>
      </c>
      <c r="I5022" t="s">
        <v>19941</v>
      </c>
      <c r="J5022" t="s">
        <v>5476</v>
      </c>
      <c r="K5022" t="s">
        <v>19942</v>
      </c>
      <c r="L5022" t="s">
        <v>5471</v>
      </c>
      <c r="M5022" t="s">
        <v>5471</v>
      </c>
    </row>
    <row r="5023" spans="1:13" x14ac:dyDescent="0.3">
      <c r="A5023" t="s">
        <v>3397</v>
      </c>
      <c r="B5023" t="s">
        <v>19943</v>
      </c>
      <c r="C5023" t="s">
        <v>5487</v>
      </c>
      <c r="D5023" t="s">
        <v>15984</v>
      </c>
      <c r="E5023" t="s">
        <v>5595</v>
      </c>
      <c r="F5023" t="s">
        <v>19936</v>
      </c>
      <c r="G5023" t="s">
        <v>19943</v>
      </c>
      <c r="H5023" t="s">
        <v>5474</v>
      </c>
      <c r="I5023" t="s">
        <v>19944</v>
      </c>
      <c r="J5023" t="s">
        <v>5476</v>
      </c>
      <c r="K5023" t="s">
        <v>19945</v>
      </c>
      <c r="L5023" t="s">
        <v>5471</v>
      </c>
      <c r="M5023" t="s">
        <v>5471</v>
      </c>
    </row>
    <row r="5024" spans="1:13" x14ac:dyDescent="0.3">
      <c r="A5024" t="s">
        <v>3397</v>
      </c>
      <c r="B5024" t="s">
        <v>19946</v>
      </c>
      <c r="C5024" t="s">
        <v>5487</v>
      </c>
      <c r="D5024" t="s">
        <v>15984</v>
      </c>
      <c r="E5024" t="s">
        <v>5595</v>
      </c>
      <c r="F5024" t="s">
        <v>19947</v>
      </c>
      <c r="G5024" t="s">
        <v>19946</v>
      </c>
      <c r="H5024" t="s">
        <v>5474</v>
      </c>
      <c r="I5024" t="s">
        <v>19948</v>
      </c>
      <c r="J5024" t="s">
        <v>5476</v>
      </c>
      <c r="K5024" t="s">
        <v>19949</v>
      </c>
      <c r="L5024" t="s">
        <v>5471</v>
      </c>
      <c r="M5024" t="s">
        <v>5471</v>
      </c>
    </row>
    <row r="5025" spans="1:13" x14ac:dyDescent="0.3">
      <c r="A5025" t="s">
        <v>3397</v>
      </c>
      <c r="B5025" t="s">
        <v>19950</v>
      </c>
      <c r="C5025" t="s">
        <v>5487</v>
      </c>
      <c r="D5025" t="s">
        <v>15984</v>
      </c>
      <c r="E5025" t="s">
        <v>5595</v>
      </c>
      <c r="F5025" t="s">
        <v>19936</v>
      </c>
      <c r="G5025" t="s">
        <v>19950</v>
      </c>
      <c r="H5025" t="s">
        <v>5474</v>
      </c>
      <c r="I5025" t="s">
        <v>19951</v>
      </c>
      <c r="J5025" t="s">
        <v>5476</v>
      </c>
      <c r="K5025" t="s">
        <v>19952</v>
      </c>
      <c r="L5025" t="s">
        <v>5471</v>
      </c>
      <c r="M5025" t="s">
        <v>5471</v>
      </c>
    </row>
    <row r="5026" spans="1:13" x14ac:dyDescent="0.3">
      <c r="A5026" t="s">
        <v>3397</v>
      </c>
      <c r="B5026" t="s">
        <v>19953</v>
      </c>
      <c r="C5026" t="s">
        <v>5487</v>
      </c>
      <c r="D5026" t="s">
        <v>15984</v>
      </c>
      <c r="E5026" t="s">
        <v>5595</v>
      </c>
      <c r="F5026" t="s">
        <v>19954</v>
      </c>
      <c r="G5026" t="s">
        <v>19953</v>
      </c>
      <c r="H5026" t="s">
        <v>5474</v>
      </c>
      <c r="I5026" t="s">
        <v>19955</v>
      </c>
      <c r="J5026" t="s">
        <v>5476</v>
      </c>
      <c r="K5026" t="s">
        <v>19956</v>
      </c>
      <c r="L5026" t="s">
        <v>5471</v>
      </c>
      <c r="M5026" t="s">
        <v>5471</v>
      </c>
    </row>
    <row r="5027" spans="1:13" x14ac:dyDescent="0.3">
      <c r="A5027" t="s">
        <v>3397</v>
      </c>
      <c r="B5027" t="s">
        <v>5269</v>
      </c>
      <c r="C5027" t="s">
        <v>5487</v>
      </c>
      <c r="D5027" t="s">
        <v>4056</v>
      </c>
      <c r="E5027" t="s">
        <v>5756</v>
      </c>
      <c r="F5027" t="s">
        <v>19957</v>
      </c>
      <c r="G5027" t="s">
        <v>19958</v>
      </c>
      <c r="H5027" t="s">
        <v>5474</v>
      </c>
      <c r="I5027" t="s">
        <v>19959</v>
      </c>
      <c r="J5027" t="s">
        <v>5476</v>
      </c>
      <c r="K5027" t="s">
        <v>19960</v>
      </c>
      <c r="L5027" t="s">
        <v>5471</v>
      </c>
      <c r="M5027" t="s">
        <v>5471</v>
      </c>
    </row>
    <row r="5028" spans="1:13" x14ac:dyDescent="0.3">
      <c r="A5028" t="s">
        <v>3383</v>
      </c>
      <c r="B5028" t="s">
        <v>6122</v>
      </c>
      <c r="C5028" t="s">
        <v>5470</v>
      </c>
      <c r="D5028" t="s">
        <v>4052</v>
      </c>
      <c r="E5028" t="s">
        <v>5532</v>
      </c>
      <c r="F5028" t="s">
        <v>19961</v>
      </c>
      <c r="G5028" t="s">
        <v>6123</v>
      </c>
      <c r="H5028" t="s">
        <v>5474</v>
      </c>
      <c r="I5028" t="s">
        <v>19962</v>
      </c>
      <c r="J5028" t="s">
        <v>5484</v>
      </c>
      <c r="K5028" t="s">
        <v>19963</v>
      </c>
      <c r="L5028" t="s">
        <v>5471</v>
      </c>
      <c r="M5028" t="s">
        <v>5471</v>
      </c>
    </row>
    <row r="5029" spans="1:13" x14ac:dyDescent="0.3">
      <c r="A5029" t="s">
        <v>3388</v>
      </c>
      <c r="B5029" t="s">
        <v>6540</v>
      </c>
      <c r="C5029" t="s">
        <v>5470</v>
      </c>
      <c r="D5029" t="s">
        <v>4081</v>
      </c>
      <c r="E5029" t="s">
        <v>5532</v>
      </c>
      <c r="F5029" t="s">
        <v>19964</v>
      </c>
      <c r="G5029" t="s">
        <v>19965</v>
      </c>
      <c r="H5029" t="s">
        <v>5474</v>
      </c>
      <c r="I5029" t="s">
        <v>19966</v>
      </c>
      <c r="J5029" t="s">
        <v>5484</v>
      </c>
      <c r="K5029" t="s">
        <v>19967</v>
      </c>
      <c r="L5029" t="s">
        <v>5471</v>
      </c>
      <c r="M5029" t="s">
        <v>5471</v>
      </c>
    </row>
    <row r="5030" spans="1:13" x14ac:dyDescent="0.3">
      <c r="A5030" t="s">
        <v>3380</v>
      </c>
      <c r="B5030" t="s">
        <v>5306</v>
      </c>
      <c r="C5030" t="s">
        <v>6342</v>
      </c>
      <c r="D5030" t="s">
        <v>4052</v>
      </c>
      <c r="E5030" t="s">
        <v>5532</v>
      </c>
      <c r="F5030" t="s">
        <v>19968</v>
      </c>
      <c r="G5030" t="s">
        <v>15601</v>
      </c>
      <c r="H5030" t="s">
        <v>5474</v>
      </c>
      <c r="I5030" t="s">
        <v>19969</v>
      </c>
      <c r="J5030" t="s">
        <v>5476</v>
      </c>
      <c r="K5030" t="s">
        <v>19970</v>
      </c>
      <c r="L5030" t="s">
        <v>5471</v>
      </c>
      <c r="M5030" t="s">
        <v>5471</v>
      </c>
    </row>
    <row r="5031" spans="1:13" x14ac:dyDescent="0.3">
      <c r="A5031" t="s">
        <v>3380</v>
      </c>
      <c r="B5031" t="s">
        <v>5306</v>
      </c>
      <c r="C5031" t="s">
        <v>6342</v>
      </c>
      <c r="D5031" t="s">
        <v>4058</v>
      </c>
      <c r="E5031" t="s">
        <v>5532</v>
      </c>
      <c r="F5031" t="s">
        <v>19971</v>
      </c>
      <c r="G5031" t="s">
        <v>15601</v>
      </c>
      <c r="H5031" t="s">
        <v>5474</v>
      </c>
      <c r="I5031" t="s">
        <v>19972</v>
      </c>
      <c r="J5031" t="s">
        <v>5476</v>
      </c>
      <c r="K5031" t="s">
        <v>19973</v>
      </c>
      <c r="L5031" t="s">
        <v>5471</v>
      </c>
      <c r="M5031" t="s">
        <v>5471</v>
      </c>
    </row>
    <row r="5032" spans="1:13" x14ac:dyDescent="0.3">
      <c r="A5032" t="s">
        <v>3380</v>
      </c>
      <c r="B5032" t="s">
        <v>5306</v>
      </c>
      <c r="C5032" t="s">
        <v>6342</v>
      </c>
      <c r="D5032" t="s">
        <v>4058</v>
      </c>
      <c r="E5032" t="s">
        <v>5532</v>
      </c>
      <c r="F5032" t="s">
        <v>19974</v>
      </c>
      <c r="G5032" t="s">
        <v>15601</v>
      </c>
      <c r="H5032" t="s">
        <v>5474</v>
      </c>
      <c r="I5032" t="s">
        <v>19975</v>
      </c>
      <c r="J5032" t="s">
        <v>5476</v>
      </c>
      <c r="K5032" t="s">
        <v>19976</v>
      </c>
      <c r="L5032" t="s">
        <v>5471</v>
      </c>
      <c r="M5032" t="s">
        <v>5471</v>
      </c>
    </row>
    <row r="5033" spans="1:13" x14ac:dyDescent="0.3">
      <c r="A5033" t="s">
        <v>3380</v>
      </c>
      <c r="B5033" t="s">
        <v>5306</v>
      </c>
      <c r="C5033" t="s">
        <v>6342</v>
      </c>
      <c r="D5033" t="s">
        <v>4058</v>
      </c>
      <c r="E5033" t="s">
        <v>5532</v>
      </c>
      <c r="F5033" t="s">
        <v>19977</v>
      </c>
      <c r="G5033" t="s">
        <v>15601</v>
      </c>
      <c r="H5033" t="s">
        <v>5474</v>
      </c>
      <c r="I5033" t="s">
        <v>19978</v>
      </c>
      <c r="J5033" t="s">
        <v>5476</v>
      </c>
      <c r="K5033" t="s">
        <v>19979</v>
      </c>
      <c r="L5033" t="s">
        <v>5471</v>
      </c>
      <c r="M5033" t="s">
        <v>5471</v>
      </c>
    </row>
    <row r="5034" spans="1:13" x14ac:dyDescent="0.3">
      <c r="A5034" t="s">
        <v>3380</v>
      </c>
      <c r="B5034" t="s">
        <v>5306</v>
      </c>
      <c r="C5034" t="s">
        <v>6342</v>
      </c>
      <c r="D5034" t="s">
        <v>4058</v>
      </c>
      <c r="E5034" t="s">
        <v>5532</v>
      </c>
      <c r="F5034" t="s">
        <v>19980</v>
      </c>
      <c r="G5034" t="s">
        <v>15601</v>
      </c>
      <c r="H5034" t="s">
        <v>5474</v>
      </c>
      <c r="I5034" t="s">
        <v>19981</v>
      </c>
      <c r="J5034" t="s">
        <v>5476</v>
      </c>
      <c r="K5034" t="s">
        <v>19982</v>
      </c>
      <c r="L5034" t="s">
        <v>5471</v>
      </c>
      <c r="M5034" t="s">
        <v>5471</v>
      </c>
    </row>
    <row r="5035" spans="1:13" x14ac:dyDescent="0.3">
      <c r="A5035" t="s">
        <v>3380</v>
      </c>
      <c r="B5035" t="s">
        <v>5306</v>
      </c>
      <c r="C5035" t="s">
        <v>6342</v>
      </c>
      <c r="D5035" t="s">
        <v>4052</v>
      </c>
      <c r="E5035" t="s">
        <v>5532</v>
      </c>
      <c r="F5035" t="s">
        <v>19983</v>
      </c>
      <c r="G5035" t="s">
        <v>17225</v>
      </c>
      <c r="H5035" t="s">
        <v>5474</v>
      </c>
      <c r="I5035" t="s">
        <v>19984</v>
      </c>
      <c r="J5035" t="s">
        <v>5476</v>
      </c>
      <c r="K5035" t="s">
        <v>9724</v>
      </c>
      <c r="L5035" t="s">
        <v>5471</v>
      </c>
      <c r="M5035" t="s">
        <v>5471</v>
      </c>
    </row>
    <row r="5036" spans="1:13" x14ac:dyDescent="0.3">
      <c r="A5036" t="s">
        <v>3388</v>
      </c>
      <c r="B5036" t="s">
        <v>7105</v>
      </c>
      <c r="C5036" t="s">
        <v>5470</v>
      </c>
      <c r="D5036" t="s">
        <v>4119</v>
      </c>
      <c r="E5036" t="s">
        <v>5532</v>
      </c>
      <c r="F5036" t="s">
        <v>19985</v>
      </c>
      <c r="G5036" t="s">
        <v>19986</v>
      </c>
      <c r="H5036" t="s">
        <v>5474</v>
      </c>
      <c r="I5036" t="s">
        <v>19987</v>
      </c>
      <c r="J5036" t="s">
        <v>5476</v>
      </c>
      <c r="K5036" t="s">
        <v>5471</v>
      </c>
      <c r="L5036" t="s">
        <v>5471</v>
      </c>
      <c r="M5036" t="s">
        <v>5471</v>
      </c>
    </row>
    <row r="5037" spans="1:13" x14ac:dyDescent="0.3">
      <c r="A5037" t="s">
        <v>3388</v>
      </c>
      <c r="B5037" t="s">
        <v>19988</v>
      </c>
      <c r="C5037" t="s">
        <v>5470</v>
      </c>
      <c r="D5037" t="s">
        <v>4119</v>
      </c>
      <c r="E5037" t="s">
        <v>5532</v>
      </c>
      <c r="F5037" t="s">
        <v>19989</v>
      </c>
      <c r="G5037" t="s">
        <v>19990</v>
      </c>
      <c r="H5037" t="s">
        <v>5474</v>
      </c>
      <c r="I5037" t="s">
        <v>19991</v>
      </c>
      <c r="J5037" t="s">
        <v>5476</v>
      </c>
      <c r="K5037" t="s">
        <v>5471</v>
      </c>
      <c r="L5037" t="s">
        <v>5471</v>
      </c>
      <c r="M5037" t="s">
        <v>5471</v>
      </c>
    </row>
    <row r="5038" spans="1:13" x14ac:dyDescent="0.3">
      <c r="A5038" t="s">
        <v>3388</v>
      </c>
      <c r="B5038" t="s">
        <v>5253</v>
      </c>
      <c r="C5038" t="s">
        <v>5470</v>
      </c>
      <c r="D5038" t="s">
        <v>4119</v>
      </c>
      <c r="E5038" t="s">
        <v>5532</v>
      </c>
      <c r="F5038" t="s">
        <v>19992</v>
      </c>
      <c r="G5038" t="s">
        <v>19993</v>
      </c>
      <c r="H5038" t="s">
        <v>5474</v>
      </c>
      <c r="I5038" t="s">
        <v>19994</v>
      </c>
      <c r="J5038" t="s">
        <v>5476</v>
      </c>
      <c r="K5038" t="s">
        <v>5471</v>
      </c>
      <c r="L5038" t="s">
        <v>5471</v>
      </c>
      <c r="M5038" t="s">
        <v>5471</v>
      </c>
    </row>
    <row r="5039" spans="1:13" x14ac:dyDescent="0.3">
      <c r="A5039" t="s">
        <v>3388</v>
      </c>
      <c r="B5039" t="s">
        <v>15876</v>
      </c>
      <c r="C5039" t="s">
        <v>5470</v>
      </c>
      <c r="D5039" t="s">
        <v>4119</v>
      </c>
      <c r="E5039" t="s">
        <v>5532</v>
      </c>
      <c r="F5039" t="s">
        <v>19995</v>
      </c>
      <c r="G5039" t="s">
        <v>19996</v>
      </c>
      <c r="H5039" t="s">
        <v>5474</v>
      </c>
      <c r="I5039" t="s">
        <v>19997</v>
      </c>
      <c r="J5039" t="s">
        <v>5476</v>
      </c>
      <c r="K5039" t="s">
        <v>5471</v>
      </c>
      <c r="L5039" t="s">
        <v>5471</v>
      </c>
      <c r="M5039" t="s">
        <v>5471</v>
      </c>
    </row>
    <row r="5040" spans="1:13" x14ac:dyDescent="0.3">
      <c r="A5040" t="s">
        <v>3388</v>
      </c>
      <c r="B5040" t="s">
        <v>15953</v>
      </c>
      <c r="C5040" t="s">
        <v>5470</v>
      </c>
      <c r="D5040" t="s">
        <v>4119</v>
      </c>
      <c r="E5040" t="s">
        <v>5532</v>
      </c>
      <c r="F5040" t="s">
        <v>19998</v>
      </c>
      <c r="G5040" t="s">
        <v>19999</v>
      </c>
      <c r="H5040" t="s">
        <v>5474</v>
      </c>
      <c r="I5040" t="s">
        <v>20000</v>
      </c>
      <c r="J5040" t="s">
        <v>5476</v>
      </c>
      <c r="K5040" t="s">
        <v>5471</v>
      </c>
      <c r="L5040" t="s">
        <v>5471</v>
      </c>
      <c r="M5040" t="s">
        <v>5471</v>
      </c>
    </row>
    <row r="5041" spans="1:13" x14ac:dyDescent="0.3">
      <c r="A5041" t="s">
        <v>3388</v>
      </c>
      <c r="B5041" t="s">
        <v>15957</v>
      </c>
      <c r="C5041" t="s">
        <v>5470</v>
      </c>
      <c r="D5041" t="s">
        <v>4119</v>
      </c>
      <c r="E5041" t="s">
        <v>5532</v>
      </c>
      <c r="F5041" t="s">
        <v>20001</v>
      </c>
      <c r="G5041" t="s">
        <v>20002</v>
      </c>
      <c r="H5041" t="s">
        <v>5474</v>
      </c>
      <c r="I5041" t="s">
        <v>20003</v>
      </c>
      <c r="J5041" t="s">
        <v>5476</v>
      </c>
      <c r="K5041" t="s">
        <v>5471</v>
      </c>
      <c r="L5041" t="s">
        <v>5471</v>
      </c>
      <c r="M5041" t="s">
        <v>5471</v>
      </c>
    </row>
    <row r="5042" spans="1:13" x14ac:dyDescent="0.3">
      <c r="A5042" t="s">
        <v>3388</v>
      </c>
      <c r="B5042" t="s">
        <v>5296</v>
      </c>
      <c r="C5042" t="s">
        <v>5470</v>
      </c>
      <c r="D5042" t="s">
        <v>4119</v>
      </c>
      <c r="E5042" t="s">
        <v>5532</v>
      </c>
      <c r="F5042" t="s">
        <v>20004</v>
      </c>
      <c r="G5042" t="s">
        <v>18091</v>
      </c>
      <c r="H5042" t="s">
        <v>5474</v>
      </c>
      <c r="I5042" t="s">
        <v>20005</v>
      </c>
      <c r="J5042" t="s">
        <v>5476</v>
      </c>
      <c r="K5042" t="s">
        <v>5471</v>
      </c>
      <c r="L5042" t="s">
        <v>5471</v>
      </c>
      <c r="M5042" t="s">
        <v>5471</v>
      </c>
    </row>
    <row r="5043" spans="1:13" x14ac:dyDescent="0.3">
      <c r="A5043" t="s">
        <v>3388</v>
      </c>
      <c r="B5043" t="s">
        <v>20006</v>
      </c>
      <c r="C5043" t="s">
        <v>5470</v>
      </c>
      <c r="D5043" t="s">
        <v>4119</v>
      </c>
      <c r="E5043" t="s">
        <v>5532</v>
      </c>
      <c r="F5043" t="s">
        <v>20007</v>
      </c>
      <c r="G5043" t="s">
        <v>20008</v>
      </c>
      <c r="H5043" t="s">
        <v>5474</v>
      </c>
      <c r="I5043" t="s">
        <v>20009</v>
      </c>
      <c r="J5043" t="s">
        <v>5476</v>
      </c>
      <c r="K5043" t="s">
        <v>5471</v>
      </c>
      <c r="L5043" t="s">
        <v>5471</v>
      </c>
      <c r="M5043" t="s">
        <v>5471</v>
      </c>
    </row>
    <row r="5044" spans="1:13" x14ac:dyDescent="0.3">
      <c r="A5044" t="s">
        <v>3388</v>
      </c>
      <c r="B5044" t="s">
        <v>20010</v>
      </c>
      <c r="C5044" t="s">
        <v>5470</v>
      </c>
      <c r="D5044" t="s">
        <v>4119</v>
      </c>
      <c r="E5044" t="s">
        <v>5532</v>
      </c>
      <c r="F5044" t="s">
        <v>20011</v>
      </c>
      <c r="G5044" t="s">
        <v>20012</v>
      </c>
      <c r="H5044" t="s">
        <v>5474</v>
      </c>
      <c r="I5044" t="s">
        <v>20013</v>
      </c>
      <c r="J5044" t="s">
        <v>5476</v>
      </c>
      <c r="K5044" t="s">
        <v>5471</v>
      </c>
      <c r="L5044" t="s">
        <v>5471</v>
      </c>
      <c r="M5044" t="s">
        <v>5471</v>
      </c>
    </row>
    <row r="5045" spans="1:13" x14ac:dyDescent="0.3">
      <c r="A5045" t="s">
        <v>3388</v>
      </c>
      <c r="B5045" t="s">
        <v>20014</v>
      </c>
      <c r="C5045" t="s">
        <v>5470</v>
      </c>
      <c r="D5045" t="s">
        <v>4119</v>
      </c>
      <c r="E5045" t="s">
        <v>5532</v>
      </c>
      <c r="F5045" t="s">
        <v>20015</v>
      </c>
      <c r="G5045" t="s">
        <v>20016</v>
      </c>
      <c r="H5045" t="s">
        <v>5474</v>
      </c>
      <c r="I5045" t="s">
        <v>20017</v>
      </c>
      <c r="J5045" t="s">
        <v>5476</v>
      </c>
      <c r="K5045" t="s">
        <v>5471</v>
      </c>
      <c r="L5045" t="s">
        <v>5471</v>
      </c>
      <c r="M5045" t="s">
        <v>5471</v>
      </c>
    </row>
    <row r="5046" spans="1:13" x14ac:dyDescent="0.3">
      <c r="A5046" t="s">
        <v>3388</v>
      </c>
      <c r="B5046" t="s">
        <v>11423</v>
      </c>
      <c r="C5046" t="s">
        <v>5470</v>
      </c>
      <c r="D5046" t="s">
        <v>4119</v>
      </c>
      <c r="E5046" t="s">
        <v>5532</v>
      </c>
      <c r="F5046" t="s">
        <v>20018</v>
      </c>
      <c r="G5046" t="s">
        <v>20019</v>
      </c>
      <c r="H5046" t="s">
        <v>5474</v>
      </c>
      <c r="I5046" t="s">
        <v>20020</v>
      </c>
      <c r="J5046" t="s">
        <v>5476</v>
      </c>
      <c r="K5046" t="s">
        <v>5471</v>
      </c>
      <c r="L5046" t="s">
        <v>5471</v>
      </c>
      <c r="M5046" t="s">
        <v>5471</v>
      </c>
    </row>
    <row r="5047" spans="1:13" x14ac:dyDescent="0.3">
      <c r="A5047" t="s">
        <v>3388</v>
      </c>
      <c r="B5047" t="s">
        <v>15863</v>
      </c>
      <c r="C5047" t="s">
        <v>5470</v>
      </c>
      <c r="D5047" t="s">
        <v>4119</v>
      </c>
      <c r="E5047" t="s">
        <v>5532</v>
      </c>
      <c r="F5047" t="s">
        <v>20021</v>
      </c>
      <c r="G5047" t="s">
        <v>20022</v>
      </c>
      <c r="H5047" t="s">
        <v>5474</v>
      </c>
      <c r="I5047" t="s">
        <v>20023</v>
      </c>
      <c r="J5047" t="s">
        <v>5476</v>
      </c>
      <c r="K5047" t="s">
        <v>5471</v>
      </c>
      <c r="L5047" t="s">
        <v>5471</v>
      </c>
      <c r="M5047" t="s">
        <v>5471</v>
      </c>
    </row>
    <row r="5048" spans="1:13" x14ac:dyDescent="0.3">
      <c r="A5048" t="s">
        <v>3388</v>
      </c>
      <c r="B5048" t="s">
        <v>17321</v>
      </c>
      <c r="C5048" t="s">
        <v>5470</v>
      </c>
      <c r="D5048" t="s">
        <v>4119</v>
      </c>
      <c r="E5048" t="s">
        <v>5532</v>
      </c>
      <c r="F5048" t="s">
        <v>20024</v>
      </c>
      <c r="G5048" t="s">
        <v>20025</v>
      </c>
      <c r="H5048" t="s">
        <v>5474</v>
      </c>
      <c r="I5048" t="s">
        <v>20026</v>
      </c>
      <c r="J5048" t="s">
        <v>5476</v>
      </c>
      <c r="K5048" t="s">
        <v>5471</v>
      </c>
      <c r="L5048" t="s">
        <v>5471</v>
      </c>
      <c r="M5048" t="s">
        <v>5471</v>
      </c>
    </row>
    <row r="5049" spans="1:13" x14ac:dyDescent="0.3">
      <c r="A5049" t="s">
        <v>3388</v>
      </c>
      <c r="B5049" t="s">
        <v>20027</v>
      </c>
      <c r="C5049" t="s">
        <v>5470</v>
      </c>
      <c r="D5049" t="s">
        <v>4119</v>
      </c>
      <c r="E5049" t="s">
        <v>5532</v>
      </c>
      <c r="F5049" t="s">
        <v>20028</v>
      </c>
      <c r="G5049" t="s">
        <v>20029</v>
      </c>
      <c r="H5049" t="s">
        <v>5474</v>
      </c>
      <c r="I5049" t="s">
        <v>20030</v>
      </c>
      <c r="J5049" t="s">
        <v>5476</v>
      </c>
      <c r="K5049" t="s">
        <v>5471</v>
      </c>
      <c r="L5049" t="s">
        <v>5471</v>
      </c>
      <c r="M5049" t="s">
        <v>5471</v>
      </c>
    </row>
    <row r="5050" spans="1:13" x14ac:dyDescent="0.3">
      <c r="A5050" t="s">
        <v>3388</v>
      </c>
      <c r="B5050" t="s">
        <v>11089</v>
      </c>
      <c r="C5050" t="s">
        <v>5470</v>
      </c>
      <c r="D5050" t="s">
        <v>4119</v>
      </c>
      <c r="E5050" t="s">
        <v>5532</v>
      </c>
      <c r="F5050" t="s">
        <v>20031</v>
      </c>
      <c r="G5050" t="s">
        <v>11091</v>
      </c>
      <c r="H5050" t="s">
        <v>5474</v>
      </c>
      <c r="I5050" t="s">
        <v>20032</v>
      </c>
      <c r="J5050" t="s">
        <v>5476</v>
      </c>
      <c r="K5050" t="s">
        <v>5471</v>
      </c>
      <c r="L5050" t="s">
        <v>5471</v>
      </c>
      <c r="M5050" t="s">
        <v>5471</v>
      </c>
    </row>
    <row r="5051" spans="1:13" x14ac:dyDescent="0.3">
      <c r="A5051" t="s">
        <v>3388</v>
      </c>
      <c r="B5051" t="s">
        <v>5272</v>
      </c>
      <c r="C5051" t="s">
        <v>5470</v>
      </c>
      <c r="D5051" t="s">
        <v>4119</v>
      </c>
      <c r="E5051" t="s">
        <v>5532</v>
      </c>
      <c r="F5051" t="s">
        <v>20033</v>
      </c>
      <c r="G5051" t="s">
        <v>20034</v>
      </c>
      <c r="H5051" t="s">
        <v>5474</v>
      </c>
      <c r="I5051" t="s">
        <v>20035</v>
      </c>
      <c r="J5051" t="s">
        <v>5476</v>
      </c>
      <c r="K5051" t="s">
        <v>5471</v>
      </c>
      <c r="L5051" t="s">
        <v>5471</v>
      </c>
      <c r="M5051" t="s">
        <v>5471</v>
      </c>
    </row>
    <row r="5052" spans="1:13" x14ac:dyDescent="0.3">
      <c r="A5052" t="s">
        <v>3388</v>
      </c>
      <c r="B5052" t="s">
        <v>20036</v>
      </c>
      <c r="C5052" t="s">
        <v>5470</v>
      </c>
      <c r="D5052" t="s">
        <v>4119</v>
      </c>
      <c r="E5052" t="s">
        <v>5532</v>
      </c>
      <c r="F5052" t="s">
        <v>20037</v>
      </c>
      <c r="G5052" t="s">
        <v>20038</v>
      </c>
      <c r="H5052" t="s">
        <v>5474</v>
      </c>
      <c r="I5052" t="s">
        <v>20039</v>
      </c>
      <c r="J5052" t="s">
        <v>5476</v>
      </c>
      <c r="K5052" t="s">
        <v>5471</v>
      </c>
      <c r="L5052" t="s">
        <v>5471</v>
      </c>
      <c r="M5052" t="s">
        <v>5471</v>
      </c>
    </row>
    <row r="5053" spans="1:13" x14ac:dyDescent="0.3">
      <c r="A5053" t="s">
        <v>3388</v>
      </c>
      <c r="B5053" t="s">
        <v>20040</v>
      </c>
      <c r="C5053" t="s">
        <v>5470</v>
      </c>
      <c r="D5053" t="s">
        <v>4119</v>
      </c>
      <c r="E5053" t="s">
        <v>5756</v>
      </c>
      <c r="F5053" t="s">
        <v>20041</v>
      </c>
      <c r="G5053" t="s">
        <v>20042</v>
      </c>
      <c r="H5053" t="s">
        <v>5474</v>
      </c>
      <c r="I5053" t="s">
        <v>20043</v>
      </c>
      <c r="J5053" t="s">
        <v>5476</v>
      </c>
      <c r="K5053" t="s">
        <v>5471</v>
      </c>
      <c r="L5053" t="s">
        <v>5471</v>
      </c>
      <c r="M5053" t="s">
        <v>5471</v>
      </c>
    </row>
    <row r="5054" spans="1:13" x14ac:dyDescent="0.3">
      <c r="A5054" t="s">
        <v>3388</v>
      </c>
      <c r="B5054" t="s">
        <v>5290</v>
      </c>
      <c r="C5054" t="s">
        <v>5470</v>
      </c>
      <c r="D5054" t="s">
        <v>4119</v>
      </c>
      <c r="E5054" t="s">
        <v>5756</v>
      </c>
      <c r="F5054" t="s">
        <v>20044</v>
      </c>
      <c r="G5054" t="s">
        <v>20045</v>
      </c>
      <c r="H5054" t="s">
        <v>5474</v>
      </c>
      <c r="I5054" t="s">
        <v>20046</v>
      </c>
      <c r="J5054" t="s">
        <v>5476</v>
      </c>
      <c r="K5054" t="s">
        <v>5471</v>
      </c>
      <c r="L5054" t="s">
        <v>5471</v>
      </c>
      <c r="M5054" t="s">
        <v>5471</v>
      </c>
    </row>
    <row r="5055" spans="1:13" x14ac:dyDescent="0.3">
      <c r="A5055" t="s">
        <v>3388</v>
      </c>
      <c r="B5055" t="s">
        <v>10961</v>
      </c>
      <c r="C5055" t="s">
        <v>5470</v>
      </c>
      <c r="D5055" t="s">
        <v>4119</v>
      </c>
      <c r="E5055" t="s">
        <v>5617</v>
      </c>
      <c r="F5055" t="s">
        <v>20047</v>
      </c>
      <c r="G5055" t="s">
        <v>20048</v>
      </c>
      <c r="H5055" t="s">
        <v>5474</v>
      </c>
      <c r="I5055" t="s">
        <v>20049</v>
      </c>
      <c r="J5055" t="s">
        <v>5476</v>
      </c>
      <c r="K5055" t="s">
        <v>5471</v>
      </c>
      <c r="L5055" t="s">
        <v>5471</v>
      </c>
      <c r="M5055" t="s">
        <v>5471</v>
      </c>
    </row>
    <row r="5056" spans="1:13" x14ac:dyDescent="0.3">
      <c r="A5056" t="s">
        <v>3388</v>
      </c>
      <c r="B5056" t="s">
        <v>6478</v>
      </c>
      <c r="C5056" t="s">
        <v>5470</v>
      </c>
      <c r="D5056" t="s">
        <v>4119</v>
      </c>
      <c r="E5056" t="s">
        <v>5532</v>
      </c>
      <c r="F5056" t="s">
        <v>20050</v>
      </c>
      <c r="G5056" t="s">
        <v>20051</v>
      </c>
      <c r="H5056" t="s">
        <v>5474</v>
      </c>
      <c r="I5056" t="s">
        <v>20052</v>
      </c>
      <c r="J5056" t="s">
        <v>5476</v>
      </c>
      <c r="K5056" t="s">
        <v>5471</v>
      </c>
      <c r="L5056" t="s">
        <v>5471</v>
      </c>
      <c r="M5056" t="s">
        <v>5471</v>
      </c>
    </row>
    <row r="5057" spans="1:13" x14ac:dyDescent="0.3">
      <c r="A5057" t="s">
        <v>3388</v>
      </c>
      <c r="B5057" t="s">
        <v>5272</v>
      </c>
      <c r="C5057" t="s">
        <v>5470</v>
      </c>
      <c r="D5057" t="s">
        <v>4119</v>
      </c>
      <c r="E5057" t="s">
        <v>5532</v>
      </c>
      <c r="F5057" t="s">
        <v>20053</v>
      </c>
      <c r="G5057" t="s">
        <v>20034</v>
      </c>
      <c r="H5057" t="s">
        <v>5474</v>
      </c>
      <c r="I5057" t="s">
        <v>20054</v>
      </c>
      <c r="J5057" t="s">
        <v>5476</v>
      </c>
      <c r="K5057" t="s">
        <v>5471</v>
      </c>
      <c r="L5057" t="s">
        <v>5471</v>
      </c>
      <c r="M5057" t="s">
        <v>5471</v>
      </c>
    </row>
    <row r="5058" spans="1:13" x14ac:dyDescent="0.3">
      <c r="A5058" t="s">
        <v>3388</v>
      </c>
      <c r="B5058" t="s">
        <v>15863</v>
      </c>
      <c r="C5058" t="s">
        <v>5470</v>
      </c>
      <c r="D5058" t="s">
        <v>4119</v>
      </c>
      <c r="E5058" t="s">
        <v>5532</v>
      </c>
      <c r="F5058" t="s">
        <v>20055</v>
      </c>
      <c r="G5058" t="s">
        <v>20022</v>
      </c>
      <c r="H5058" t="s">
        <v>5474</v>
      </c>
      <c r="I5058" t="s">
        <v>20056</v>
      </c>
      <c r="J5058" t="s">
        <v>5476</v>
      </c>
      <c r="K5058" t="s">
        <v>5471</v>
      </c>
      <c r="L5058" t="s">
        <v>5471</v>
      </c>
      <c r="M5058" t="s">
        <v>5471</v>
      </c>
    </row>
    <row r="5059" spans="1:13" x14ac:dyDescent="0.3">
      <c r="A5059" t="s">
        <v>3388</v>
      </c>
      <c r="B5059" t="s">
        <v>11089</v>
      </c>
      <c r="C5059" t="s">
        <v>5470</v>
      </c>
      <c r="D5059" t="s">
        <v>4119</v>
      </c>
      <c r="E5059" t="s">
        <v>5532</v>
      </c>
      <c r="F5059" t="s">
        <v>20057</v>
      </c>
      <c r="G5059" t="s">
        <v>11091</v>
      </c>
      <c r="H5059" t="s">
        <v>5474</v>
      </c>
      <c r="I5059" t="s">
        <v>20058</v>
      </c>
      <c r="J5059" t="s">
        <v>5476</v>
      </c>
      <c r="K5059" t="s">
        <v>5471</v>
      </c>
      <c r="L5059" t="s">
        <v>5471</v>
      </c>
      <c r="M5059" t="s">
        <v>5471</v>
      </c>
    </row>
    <row r="5060" spans="1:13" x14ac:dyDescent="0.3">
      <c r="A5060" t="s">
        <v>3388</v>
      </c>
      <c r="B5060" t="s">
        <v>7101</v>
      </c>
      <c r="C5060" t="s">
        <v>5470</v>
      </c>
      <c r="D5060" t="s">
        <v>4119</v>
      </c>
      <c r="E5060" t="s">
        <v>5756</v>
      </c>
      <c r="F5060" t="s">
        <v>20059</v>
      </c>
      <c r="G5060" t="s">
        <v>18670</v>
      </c>
      <c r="H5060" t="s">
        <v>5474</v>
      </c>
      <c r="I5060" t="s">
        <v>20060</v>
      </c>
      <c r="J5060" t="s">
        <v>5476</v>
      </c>
      <c r="K5060" t="s">
        <v>5471</v>
      </c>
      <c r="L5060" t="s">
        <v>5471</v>
      </c>
      <c r="M5060" t="s">
        <v>5471</v>
      </c>
    </row>
    <row r="5061" spans="1:13" x14ac:dyDescent="0.3">
      <c r="A5061" t="s">
        <v>3388</v>
      </c>
      <c r="B5061" t="s">
        <v>15822</v>
      </c>
      <c r="C5061" t="s">
        <v>5470</v>
      </c>
      <c r="D5061" t="s">
        <v>4119</v>
      </c>
      <c r="E5061" t="s">
        <v>5756</v>
      </c>
      <c r="F5061" t="s">
        <v>20061</v>
      </c>
      <c r="G5061" t="s">
        <v>20062</v>
      </c>
      <c r="H5061" t="s">
        <v>5474</v>
      </c>
      <c r="I5061" t="s">
        <v>20063</v>
      </c>
      <c r="J5061" t="s">
        <v>5476</v>
      </c>
      <c r="K5061" t="s">
        <v>5471</v>
      </c>
      <c r="L5061" t="s">
        <v>5471</v>
      </c>
      <c r="M5061" t="s">
        <v>5471</v>
      </c>
    </row>
    <row r="5062" spans="1:13" x14ac:dyDescent="0.3">
      <c r="A5062" t="s">
        <v>3388</v>
      </c>
      <c r="B5062" t="s">
        <v>20064</v>
      </c>
      <c r="C5062" t="s">
        <v>5470</v>
      </c>
      <c r="D5062" t="s">
        <v>4119</v>
      </c>
      <c r="E5062" t="s">
        <v>5532</v>
      </c>
      <c r="F5062" t="s">
        <v>20065</v>
      </c>
      <c r="G5062" t="s">
        <v>20066</v>
      </c>
      <c r="H5062" t="s">
        <v>5474</v>
      </c>
      <c r="I5062" t="s">
        <v>20067</v>
      </c>
      <c r="J5062" t="s">
        <v>5476</v>
      </c>
      <c r="K5062" t="s">
        <v>5471</v>
      </c>
      <c r="L5062" t="s">
        <v>5471</v>
      </c>
      <c r="M5062" t="s">
        <v>5471</v>
      </c>
    </row>
    <row r="5063" spans="1:13" x14ac:dyDescent="0.3">
      <c r="A5063" t="s">
        <v>3388</v>
      </c>
      <c r="B5063" t="s">
        <v>7109</v>
      </c>
      <c r="C5063" t="s">
        <v>5470</v>
      </c>
      <c r="D5063" t="s">
        <v>4119</v>
      </c>
      <c r="E5063" t="s">
        <v>5756</v>
      </c>
      <c r="F5063" t="s">
        <v>20068</v>
      </c>
      <c r="G5063" t="s">
        <v>19195</v>
      </c>
      <c r="H5063" t="s">
        <v>5474</v>
      </c>
      <c r="I5063" t="s">
        <v>20069</v>
      </c>
      <c r="J5063" t="s">
        <v>5476</v>
      </c>
      <c r="K5063" t="s">
        <v>5471</v>
      </c>
      <c r="L5063" t="s">
        <v>5471</v>
      </c>
      <c r="M5063" t="s">
        <v>5471</v>
      </c>
    </row>
    <row r="5064" spans="1:13" x14ac:dyDescent="0.3">
      <c r="A5064" t="s">
        <v>3388</v>
      </c>
      <c r="B5064" t="s">
        <v>15580</v>
      </c>
      <c r="C5064" t="s">
        <v>5470</v>
      </c>
      <c r="D5064" t="s">
        <v>4119</v>
      </c>
      <c r="E5064" t="s">
        <v>5756</v>
      </c>
      <c r="F5064" t="s">
        <v>20070</v>
      </c>
      <c r="G5064" t="s">
        <v>17591</v>
      </c>
      <c r="H5064" t="s">
        <v>5474</v>
      </c>
      <c r="I5064" t="s">
        <v>20071</v>
      </c>
      <c r="J5064" t="s">
        <v>5476</v>
      </c>
      <c r="K5064" t="s">
        <v>5471</v>
      </c>
      <c r="L5064" t="s">
        <v>5471</v>
      </c>
      <c r="M5064" t="s">
        <v>5471</v>
      </c>
    </row>
    <row r="5065" spans="1:13" x14ac:dyDescent="0.3">
      <c r="A5065" t="s">
        <v>3388</v>
      </c>
      <c r="B5065" t="s">
        <v>20072</v>
      </c>
      <c r="C5065" t="s">
        <v>5470</v>
      </c>
      <c r="D5065" t="s">
        <v>4119</v>
      </c>
      <c r="E5065" t="s">
        <v>5532</v>
      </c>
      <c r="F5065" t="s">
        <v>20073</v>
      </c>
      <c r="G5065" t="s">
        <v>20074</v>
      </c>
      <c r="H5065" t="s">
        <v>5474</v>
      </c>
      <c r="I5065" t="s">
        <v>20075</v>
      </c>
      <c r="J5065" t="s">
        <v>5476</v>
      </c>
      <c r="K5065" t="s">
        <v>5471</v>
      </c>
      <c r="L5065" t="s">
        <v>5471</v>
      </c>
      <c r="M5065" t="s">
        <v>5471</v>
      </c>
    </row>
    <row r="5066" spans="1:13" x14ac:dyDescent="0.3">
      <c r="A5066" t="s">
        <v>3388</v>
      </c>
      <c r="B5066" t="s">
        <v>11153</v>
      </c>
      <c r="C5066" t="s">
        <v>5470</v>
      </c>
      <c r="D5066" t="s">
        <v>4119</v>
      </c>
      <c r="E5066" t="s">
        <v>5532</v>
      </c>
      <c r="F5066" t="s">
        <v>20076</v>
      </c>
      <c r="G5066" t="s">
        <v>11155</v>
      </c>
      <c r="H5066" t="s">
        <v>5474</v>
      </c>
      <c r="I5066" t="s">
        <v>20077</v>
      </c>
      <c r="J5066" t="s">
        <v>5476</v>
      </c>
      <c r="K5066" t="s">
        <v>5471</v>
      </c>
      <c r="L5066" t="s">
        <v>5471</v>
      </c>
      <c r="M5066" t="s">
        <v>5471</v>
      </c>
    </row>
    <row r="5067" spans="1:13" x14ac:dyDescent="0.3">
      <c r="A5067" t="s">
        <v>3388</v>
      </c>
      <c r="B5067" t="s">
        <v>20040</v>
      </c>
      <c r="C5067" t="s">
        <v>5470</v>
      </c>
      <c r="D5067" t="s">
        <v>4119</v>
      </c>
      <c r="E5067" t="s">
        <v>5756</v>
      </c>
      <c r="F5067" t="s">
        <v>20078</v>
      </c>
      <c r="G5067" t="s">
        <v>18670</v>
      </c>
      <c r="H5067" t="s">
        <v>5474</v>
      </c>
      <c r="I5067" t="s">
        <v>20079</v>
      </c>
      <c r="J5067" t="s">
        <v>5476</v>
      </c>
      <c r="K5067" t="s">
        <v>5471</v>
      </c>
      <c r="L5067" t="s">
        <v>5471</v>
      </c>
      <c r="M5067" t="s">
        <v>5471</v>
      </c>
    </row>
    <row r="5068" spans="1:13" x14ac:dyDescent="0.3">
      <c r="A5068" t="s">
        <v>3388</v>
      </c>
      <c r="B5068" t="s">
        <v>10961</v>
      </c>
      <c r="C5068" t="s">
        <v>5470</v>
      </c>
      <c r="D5068" t="s">
        <v>12448</v>
      </c>
      <c r="E5068" t="s">
        <v>5532</v>
      </c>
      <c r="F5068" t="s">
        <v>20080</v>
      </c>
      <c r="G5068" t="s">
        <v>15790</v>
      </c>
      <c r="H5068" t="s">
        <v>5474</v>
      </c>
      <c r="I5068" t="s">
        <v>20081</v>
      </c>
      <c r="J5068" t="s">
        <v>5484</v>
      </c>
      <c r="K5068" t="s">
        <v>5471</v>
      </c>
      <c r="L5068" t="s">
        <v>5471</v>
      </c>
      <c r="M5068" t="s">
        <v>5471</v>
      </c>
    </row>
    <row r="5069" spans="1:13" x14ac:dyDescent="0.3">
      <c r="A5069" t="s">
        <v>3388</v>
      </c>
      <c r="B5069" t="s">
        <v>10961</v>
      </c>
      <c r="C5069" t="s">
        <v>5470</v>
      </c>
      <c r="D5069" t="s">
        <v>12448</v>
      </c>
      <c r="E5069" t="s">
        <v>5532</v>
      </c>
      <c r="F5069" t="s">
        <v>20082</v>
      </c>
      <c r="G5069" t="s">
        <v>15794</v>
      </c>
      <c r="H5069" t="s">
        <v>5474</v>
      </c>
      <c r="I5069" t="s">
        <v>20083</v>
      </c>
      <c r="J5069" t="s">
        <v>5484</v>
      </c>
      <c r="K5069" t="s">
        <v>5471</v>
      </c>
      <c r="L5069" t="s">
        <v>5471</v>
      </c>
      <c r="M5069" t="s">
        <v>5471</v>
      </c>
    </row>
    <row r="5070" spans="1:13" x14ac:dyDescent="0.3">
      <c r="A5070" t="s">
        <v>3388</v>
      </c>
      <c r="B5070" t="s">
        <v>10865</v>
      </c>
      <c r="C5070" t="s">
        <v>5470</v>
      </c>
      <c r="D5070" t="s">
        <v>12448</v>
      </c>
      <c r="E5070" t="s">
        <v>5532</v>
      </c>
      <c r="F5070" t="s">
        <v>20084</v>
      </c>
      <c r="G5070" t="s">
        <v>15802</v>
      </c>
      <c r="H5070" t="s">
        <v>5474</v>
      </c>
      <c r="I5070" t="s">
        <v>20085</v>
      </c>
      <c r="J5070" t="s">
        <v>5484</v>
      </c>
      <c r="K5070" t="s">
        <v>5471</v>
      </c>
      <c r="L5070" t="s">
        <v>5471</v>
      </c>
      <c r="M5070" t="s">
        <v>5471</v>
      </c>
    </row>
    <row r="5071" spans="1:13" x14ac:dyDescent="0.3">
      <c r="A5071" t="s">
        <v>3388</v>
      </c>
      <c r="B5071" t="s">
        <v>10865</v>
      </c>
      <c r="C5071" t="s">
        <v>5470</v>
      </c>
      <c r="D5071" t="s">
        <v>12448</v>
      </c>
      <c r="E5071" t="s">
        <v>5532</v>
      </c>
      <c r="F5071" t="s">
        <v>20086</v>
      </c>
      <c r="G5071" t="s">
        <v>15806</v>
      </c>
      <c r="H5071" t="s">
        <v>5474</v>
      </c>
      <c r="I5071" t="s">
        <v>20087</v>
      </c>
      <c r="J5071" t="s">
        <v>5484</v>
      </c>
      <c r="K5071" t="s">
        <v>5471</v>
      </c>
      <c r="L5071" t="s">
        <v>5471</v>
      </c>
      <c r="M5071" t="s">
        <v>5471</v>
      </c>
    </row>
    <row r="5072" spans="1:13" x14ac:dyDescent="0.3">
      <c r="A5072" t="s">
        <v>3388</v>
      </c>
      <c r="B5072" t="s">
        <v>10865</v>
      </c>
      <c r="C5072" t="s">
        <v>5470</v>
      </c>
      <c r="D5072" t="s">
        <v>12448</v>
      </c>
      <c r="E5072" t="s">
        <v>5532</v>
      </c>
      <c r="F5072" t="s">
        <v>20088</v>
      </c>
      <c r="G5072" t="s">
        <v>15790</v>
      </c>
      <c r="H5072" t="s">
        <v>5474</v>
      </c>
      <c r="I5072" t="s">
        <v>20089</v>
      </c>
      <c r="J5072" t="s">
        <v>5484</v>
      </c>
      <c r="K5072" t="s">
        <v>5471</v>
      </c>
      <c r="L5072" t="s">
        <v>5471</v>
      </c>
      <c r="M5072" t="s">
        <v>5471</v>
      </c>
    </row>
    <row r="5073" spans="1:13" x14ac:dyDescent="0.3">
      <c r="A5073" t="s">
        <v>3388</v>
      </c>
      <c r="B5073" t="s">
        <v>10865</v>
      </c>
      <c r="C5073" t="s">
        <v>5470</v>
      </c>
      <c r="D5073" t="s">
        <v>12448</v>
      </c>
      <c r="E5073" t="s">
        <v>5532</v>
      </c>
      <c r="F5073" t="s">
        <v>20090</v>
      </c>
      <c r="G5073" t="s">
        <v>15794</v>
      </c>
      <c r="H5073" t="s">
        <v>5474</v>
      </c>
      <c r="I5073" t="s">
        <v>20091</v>
      </c>
      <c r="J5073" t="s">
        <v>5484</v>
      </c>
      <c r="K5073" t="s">
        <v>5471</v>
      </c>
      <c r="L5073" t="s">
        <v>5471</v>
      </c>
      <c r="M5073" t="s">
        <v>5471</v>
      </c>
    </row>
    <row r="5074" spans="1:13" x14ac:dyDescent="0.3">
      <c r="A5074" t="s">
        <v>3388</v>
      </c>
      <c r="B5074" t="s">
        <v>15702</v>
      </c>
      <c r="C5074" t="s">
        <v>5470</v>
      </c>
      <c r="D5074" t="s">
        <v>12448</v>
      </c>
      <c r="E5074" t="s">
        <v>5532</v>
      </c>
      <c r="F5074" t="s">
        <v>20092</v>
      </c>
      <c r="G5074" t="s">
        <v>15704</v>
      </c>
      <c r="H5074" t="s">
        <v>5474</v>
      </c>
      <c r="I5074" t="s">
        <v>20093</v>
      </c>
      <c r="J5074" t="s">
        <v>5484</v>
      </c>
      <c r="K5074" t="s">
        <v>5471</v>
      </c>
      <c r="L5074" t="s">
        <v>5471</v>
      </c>
      <c r="M5074" t="s">
        <v>5471</v>
      </c>
    </row>
    <row r="5075" spans="1:13" x14ac:dyDescent="0.3">
      <c r="A5075" t="s">
        <v>3388</v>
      </c>
      <c r="B5075" t="s">
        <v>15702</v>
      </c>
      <c r="C5075" t="s">
        <v>5470</v>
      </c>
      <c r="D5075" t="s">
        <v>12448</v>
      </c>
      <c r="E5075" t="s">
        <v>5532</v>
      </c>
      <c r="F5075" t="s">
        <v>20094</v>
      </c>
      <c r="G5075" t="s">
        <v>15708</v>
      </c>
      <c r="H5075" t="s">
        <v>5474</v>
      </c>
      <c r="I5075" t="s">
        <v>20095</v>
      </c>
      <c r="J5075" t="s">
        <v>5484</v>
      </c>
      <c r="K5075" t="s">
        <v>5471</v>
      </c>
      <c r="L5075" t="s">
        <v>5471</v>
      </c>
      <c r="M5075" t="s">
        <v>5471</v>
      </c>
    </row>
    <row r="5076" spans="1:13" x14ac:dyDescent="0.3">
      <c r="A5076" t="s">
        <v>3388</v>
      </c>
      <c r="B5076" t="s">
        <v>6452</v>
      </c>
      <c r="C5076" t="s">
        <v>5470</v>
      </c>
      <c r="D5076" t="s">
        <v>12448</v>
      </c>
      <c r="E5076" t="s">
        <v>5532</v>
      </c>
      <c r="F5076" t="s">
        <v>20096</v>
      </c>
      <c r="G5076" t="s">
        <v>15704</v>
      </c>
      <c r="H5076" t="s">
        <v>5474</v>
      </c>
      <c r="I5076" t="s">
        <v>20097</v>
      </c>
      <c r="J5076" t="s">
        <v>5484</v>
      </c>
      <c r="K5076" t="s">
        <v>5471</v>
      </c>
      <c r="L5076" t="s">
        <v>5471</v>
      </c>
      <c r="M5076" t="s">
        <v>5471</v>
      </c>
    </row>
    <row r="5077" spans="1:13" x14ac:dyDescent="0.3">
      <c r="A5077" t="s">
        <v>3388</v>
      </c>
      <c r="B5077" t="s">
        <v>6452</v>
      </c>
      <c r="C5077" t="s">
        <v>5470</v>
      </c>
      <c r="D5077" t="s">
        <v>12448</v>
      </c>
      <c r="E5077" t="s">
        <v>5532</v>
      </c>
      <c r="F5077" t="s">
        <v>20098</v>
      </c>
      <c r="G5077" t="s">
        <v>15708</v>
      </c>
      <c r="H5077" t="s">
        <v>5474</v>
      </c>
      <c r="I5077" t="s">
        <v>20099</v>
      </c>
      <c r="J5077" t="s">
        <v>5484</v>
      </c>
      <c r="K5077" t="s">
        <v>5471</v>
      </c>
      <c r="L5077" t="s">
        <v>5471</v>
      </c>
      <c r="M5077" t="s">
        <v>5471</v>
      </c>
    </row>
    <row r="5078" spans="1:13" x14ac:dyDescent="0.3">
      <c r="A5078" t="s">
        <v>3388</v>
      </c>
      <c r="B5078" t="s">
        <v>5956</v>
      </c>
      <c r="C5078" t="s">
        <v>5470</v>
      </c>
      <c r="D5078" t="s">
        <v>12448</v>
      </c>
      <c r="E5078" t="s">
        <v>5532</v>
      </c>
      <c r="F5078" t="s">
        <v>20100</v>
      </c>
      <c r="G5078" t="s">
        <v>15619</v>
      </c>
      <c r="H5078" t="s">
        <v>5474</v>
      </c>
      <c r="I5078" t="s">
        <v>20101</v>
      </c>
      <c r="J5078" t="s">
        <v>5484</v>
      </c>
      <c r="K5078" t="s">
        <v>5471</v>
      </c>
      <c r="L5078" t="s">
        <v>5471</v>
      </c>
      <c r="M5078" t="s">
        <v>5471</v>
      </c>
    </row>
    <row r="5079" spans="1:13" x14ac:dyDescent="0.3">
      <c r="A5079" t="s">
        <v>3388</v>
      </c>
      <c r="B5079" t="s">
        <v>5956</v>
      </c>
      <c r="C5079" t="s">
        <v>5470</v>
      </c>
      <c r="D5079" t="s">
        <v>12448</v>
      </c>
      <c r="E5079" t="s">
        <v>5532</v>
      </c>
      <c r="F5079" t="s">
        <v>20102</v>
      </c>
      <c r="G5079" t="s">
        <v>15623</v>
      </c>
      <c r="H5079" t="s">
        <v>5474</v>
      </c>
      <c r="I5079" t="s">
        <v>20103</v>
      </c>
      <c r="J5079" t="s">
        <v>5484</v>
      </c>
      <c r="K5079" t="s">
        <v>5471</v>
      </c>
      <c r="L5079" t="s">
        <v>5471</v>
      </c>
      <c r="M5079" t="s">
        <v>5471</v>
      </c>
    </row>
    <row r="5080" spans="1:13" x14ac:dyDescent="0.3">
      <c r="A5080" t="s">
        <v>3380</v>
      </c>
      <c r="B5080" t="s">
        <v>9702</v>
      </c>
      <c r="C5080" t="s">
        <v>6342</v>
      </c>
      <c r="D5080" t="s">
        <v>4119</v>
      </c>
      <c r="E5080" t="s">
        <v>5532</v>
      </c>
      <c r="F5080" t="s">
        <v>20104</v>
      </c>
      <c r="G5080" t="s">
        <v>9704</v>
      </c>
      <c r="H5080" t="s">
        <v>5474</v>
      </c>
      <c r="I5080" t="s">
        <v>20105</v>
      </c>
      <c r="J5080" t="s">
        <v>5476</v>
      </c>
      <c r="K5080" t="s">
        <v>16113</v>
      </c>
      <c r="L5080" t="s">
        <v>5471</v>
      </c>
      <c r="M5080" t="s">
        <v>5471</v>
      </c>
    </row>
    <row r="5081" spans="1:13" x14ac:dyDescent="0.3">
      <c r="A5081" t="s">
        <v>3380</v>
      </c>
      <c r="B5081" t="s">
        <v>15901</v>
      </c>
      <c r="C5081" t="s">
        <v>6342</v>
      </c>
      <c r="D5081" t="s">
        <v>4119</v>
      </c>
      <c r="E5081" t="s">
        <v>5843</v>
      </c>
      <c r="F5081" t="s">
        <v>20106</v>
      </c>
      <c r="G5081" t="s">
        <v>20107</v>
      </c>
      <c r="H5081" t="s">
        <v>5474</v>
      </c>
      <c r="I5081" t="s">
        <v>20108</v>
      </c>
      <c r="J5081" t="s">
        <v>5476</v>
      </c>
      <c r="K5081" t="s">
        <v>20109</v>
      </c>
      <c r="L5081" t="s">
        <v>5471</v>
      </c>
      <c r="M5081" t="s">
        <v>5471</v>
      </c>
    </row>
    <row r="5082" spans="1:13" x14ac:dyDescent="0.3">
      <c r="A5082" t="s">
        <v>3388</v>
      </c>
      <c r="B5082" t="s">
        <v>8573</v>
      </c>
      <c r="C5082" t="s">
        <v>5470</v>
      </c>
      <c r="D5082" t="s">
        <v>12448</v>
      </c>
      <c r="E5082" t="s">
        <v>5532</v>
      </c>
      <c r="F5082" t="s">
        <v>20110</v>
      </c>
      <c r="G5082" t="s">
        <v>15619</v>
      </c>
      <c r="H5082" t="s">
        <v>5474</v>
      </c>
      <c r="I5082" t="s">
        <v>20111</v>
      </c>
      <c r="J5082" t="s">
        <v>5484</v>
      </c>
      <c r="K5082" t="s">
        <v>5471</v>
      </c>
      <c r="L5082" t="s">
        <v>5471</v>
      </c>
      <c r="M5082" t="s">
        <v>5471</v>
      </c>
    </row>
    <row r="5083" spans="1:13" x14ac:dyDescent="0.3">
      <c r="A5083" t="s">
        <v>3388</v>
      </c>
      <c r="B5083" t="s">
        <v>8573</v>
      </c>
      <c r="C5083" t="s">
        <v>5470</v>
      </c>
      <c r="D5083" t="s">
        <v>12448</v>
      </c>
      <c r="E5083" t="s">
        <v>5532</v>
      </c>
      <c r="F5083" t="s">
        <v>20112</v>
      </c>
      <c r="G5083" t="s">
        <v>15623</v>
      </c>
      <c r="H5083" t="s">
        <v>5474</v>
      </c>
      <c r="I5083" t="s">
        <v>20113</v>
      </c>
      <c r="J5083" t="s">
        <v>5484</v>
      </c>
      <c r="K5083" t="s">
        <v>5471</v>
      </c>
      <c r="L5083" t="s">
        <v>5471</v>
      </c>
      <c r="M5083" t="s">
        <v>5471</v>
      </c>
    </row>
    <row r="5084" spans="1:13" x14ac:dyDescent="0.3">
      <c r="A5084" t="s">
        <v>3388</v>
      </c>
      <c r="B5084" t="s">
        <v>10865</v>
      </c>
      <c r="C5084" t="s">
        <v>5470</v>
      </c>
      <c r="D5084" t="s">
        <v>12448</v>
      </c>
      <c r="E5084" t="s">
        <v>5756</v>
      </c>
      <c r="F5084" t="s">
        <v>20114</v>
      </c>
      <c r="G5084" t="s">
        <v>15840</v>
      </c>
      <c r="H5084" t="s">
        <v>5474</v>
      </c>
      <c r="I5084" t="s">
        <v>20115</v>
      </c>
      <c r="J5084" t="s">
        <v>5484</v>
      </c>
      <c r="K5084" t="s">
        <v>5471</v>
      </c>
      <c r="L5084" t="s">
        <v>5471</v>
      </c>
      <c r="M5084" t="s">
        <v>5471</v>
      </c>
    </row>
    <row r="5085" spans="1:13" x14ac:dyDescent="0.3">
      <c r="A5085" t="s">
        <v>3388</v>
      </c>
      <c r="B5085" t="s">
        <v>15876</v>
      </c>
      <c r="C5085" t="s">
        <v>5470</v>
      </c>
      <c r="D5085" t="s">
        <v>12448</v>
      </c>
      <c r="E5085" t="s">
        <v>5532</v>
      </c>
      <c r="F5085" t="s">
        <v>20116</v>
      </c>
      <c r="G5085" t="s">
        <v>15802</v>
      </c>
      <c r="H5085" t="s">
        <v>5474</v>
      </c>
      <c r="I5085" t="s">
        <v>20117</v>
      </c>
      <c r="J5085" t="s">
        <v>5484</v>
      </c>
      <c r="K5085" t="s">
        <v>5471</v>
      </c>
      <c r="L5085" t="s">
        <v>5471</v>
      </c>
      <c r="M5085" t="s">
        <v>5471</v>
      </c>
    </row>
    <row r="5086" spans="1:13" x14ac:dyDescent="0.3">
      <c r="A5086" t="s">
        <v>3388</v>
      </c>
      <c r="B5086" t="s">
        <v>15876</v>
      </c>
      <c r="C5086" t="s">
        <v>5470</v>
      </c>
      <c r="D5086" t="s">
        <v>12448</v>
      </c>
      <c r="E5086" t="s">
        <v>5532</v>
      </c>
      <c r="F5086" t="s">
        <v>20118</v>
      </c>
      <c r="G5086" t="s">
        <v>15806</v>
      </c>
      <c r="H5086" t="s">
        <v>5474</v>
      </c>
      <c r="I5086" t="s">
        <v>20119</v>
      </c>
      <c r="J5086" t="s">
        <v>5484</v>
      </c>
      <c r="K5086" t="s">
        <v>5471</v>
      </c>
      <c r="L5086" t="s">
        <v>5471</v>
      </c>
      <c r="M5086" t="s">
        <v>5471</v>
      </c>
    </row>
    <row r="5087" spans="1:13" x14ac:dyDescent="0.3">
      <c r="A5087" t="s">
        <v>3380</v>
      </c>
      <c r="B5087" t="s">
        <v>20120</v>
      </c>
      <c r="C5087" t="s">
        <v>6342</v>
      </c>
      <c r="D5087" t="s">
        <v>4119</v>
      </c>
      <c r="E5087" t="s">
        <v>5843</v>
      </c>
      <c r="F5087" t="s">
        <v>20121</v>
      </c>
      <c r="G5087" t="s">
        <v>20122</v>
      </c>
      <c r="H5087" t="s">
        <v>5474</v>
      </c>
      <c r="I5087" t="s">
        <v>20123</v>
      </c>
      <c r="J5087" t="s">
        <v>5476</v>
      </c>
      <c r="K5087" t="s">
        <v>20124</v>
      </c>
      <c r="L5087" t="s">
        <v>5471</v>
      </c>
      <c r="M5087" t="s">
        <v>5471</v>
      </c>
    </row>
    <row r="5088" spans="1:13" x14ac:dyDescent="0.3">
      <c r="A5088" t="s">
        <v>3388</v>
      </c>
      <c r="B5088" t="s">
        <v>15859</v>
      </c>
      <c r="C5088" t="s">
        <v>5470</v>
      </c>
      <c r="D5088" t="s">
        <v>12448</v>
      </c>
      <c r="E5088" t="s">
        <v>5756</v>
      </c>
      <c r="F5088" t="s">
        <v>20125</v>
      </c>
      <c r="G5088" t="s">
        <v>15840</v>
      </c>
      <c r="H5088" t="s">
        <v>5474</v>
      </c>
      <c r="I5088" t="s">
        <v>20126</v>
      </c>
      <c r="J5088" t="s">
        <v>5484</v>
      </c>
      <c r="K5088" t="s">
        <v>5471</v>
      </c>
      <c r="L5088" t="s">
        <v>5471</v>
      </c>
      <c r="M5088" t="s">
        <v>5471</v>
      </c>
    </row>
    <row r="5089" spans="1:13" x14ac:dyDescent="0.3">
      <c r="A5089" t="s">
        <v>3380</v>
      </c>
      <c r="B5089" t="s">
        <v>15901</v>
      </c>
      <c r="C5089" t="s">
        <v>6342</v>
      </c>
      <c r="D5089" t="s">
        <v>4119</v>
      </c>
      <c r="E5089" t="s">
        <v>5843</v>
      </c>
      <c r="F5089" t="s">
        <v>20127</v>
      </c>
      <c r="G5089" t="s">
        <v>15927</v>
      </c>
      <c r="H5089" t="s">
        <v>5474</v>
      </c>
      <c r="I5089" t="s">
        <v>20128</v>
      </c>
      <c r="J5089" t="s">
        <v>5476</v>
      </c>
      <c r="K5089" t="s">
        <v>20129</v>
      </c>
      <c r="L5089" t="s">
        <v>5471</v>
      </c>
      <c r="M5089" t="s">
        <v>5471</v>
      </c>
    </row>
    <row r="5090" spans="1:13" x14ac:dyDescent="0.3">
      <c r="A5090" t="s">
        <v>3380</v>
      </c>
      <c r="B5090" t="s">
        <v>5247</v>
      </c>
      <c r="C5090" t="s">
        <v>6342</v>
      </c>
      <c r="D5090" t="s">
        <v>4119</v>
      </c>
      <c r="E5090" t="s">
        <v>9935</v>
      </c>
      <c r="F5090" t="s">
        <v>20130</v>
      </c>
      <c r="G5090" t="s">
        <v>16147</v>
      </c>
      <c r="H5090" t="s">
        <v>5474</v>
      </c>
      <c r="I5090" t="s">
        <v>20131</v>
      </c>
      <c r="J5090" t="s">
        <v>5476</v>
      </c>
      <c r="K5090" t="s">
        <v>11039</v>
      </c>
      <c r="L5090" t="s">
        <v>5471</v>
      </c>
      <c r="M5090" t="s">
        <v>5471</v>
      </c>
    </row>
    <row r="5091" spans="1:13" x14ac:dyDescent="0.3">
      <c r="A5091" t="s">
        <v>3388</v>
      </c>
      <c r="B5091" t="s">
        <v>17483</v>
      </c>
      <c r="C5091" t="s">
        <v>5470</v>
      </c>
      <c r="D5091" t="s">
        <v>4347</v>
      </c>
      <c r="E5091" t="s">
        <v>5617</v>
      </c>
      <c r="F5091" t="s">
        <v>20132</v>
      </c>
      <c r="G5091" t="s">
        <v>20133</v>
      </c>
      <c r="H5091" t="s">
        <v>5474</v>
      </c>
      <c r="I5091" t="s">
        <v>20134</v>
      </c>
      <c r="J5091" t="s">
        <v>5476</v>
      </c>
      <c r="K5091" t="s">
        <v>5471</v>
      </c>
      <c r="L5091" t="s">
        <v>15887</v>
      </c>
      <c r="M5091" t="s">
        <v>5471</v>
      </c>
    </row>
    <row r="5092" spans="1:13" x14ac:dyDescent="0.3">
      <c r="A5092" t="s">
        <v>3388</v>
      </c>
      <c r="B5092" t="s">
        <v>6478</v>
      </c>
      <c r="C5092" t="s">
        <v>5470</v>
      </c>
      <c r="D5092" t="s">
        <v>4347</v>
      </c>
      <c r="E5092" t="s">
        <v>5617</v>
      </c>
      <c r="F5092" t="s">
        <v>20135</v>
      </c>
      <c r="G5092" t="s">
        <v>20136</v>
      </c>
      <c r="H5092" t="s">
        <v>5474</v>
      </c>
      <c r="I5092" t="s">
        <v>20137</v>
      </c>
      <c r="J5092" t="s">
        <v>5476</v>
      </c>
      <c r="K5092" t="s">
        <v>5471</v>
      </c>
      <c r="L5092" t="s">
        <v>15887</v>
      </c>
      <c r="M5092" t="s">
        <v>5471</v>
      </c>
    </row>
    <row r="5093" spans="1:13" x14ac:dyDescent="0.3">
      <c r="A5093" t="s">
        <v>3388</v>
      </c>
      <c r="B5093" t="s">
        <v>15942</v>
      </c>
      <c r="C5093" t="s">
        <v>5470</v>
      </c>
      <c r="D5093" t="s">
        <v>4347</v>
      </c>
      <c r="E5093" t="s">
        <v>5617</v>
      </c>
      <c r="F5093" t="s">
        <v>20138</v>
      </c>
      <c r="G5093" t="s">
        <v>20139</v>
      </c>
      <c r="H5093" t="s">
        <v>5474</v>
      </c>
      <c r="I5093" t="s">
        <v>20140</v>
      </c>
      <c r="J5093" t="s">
        <v>5476</v>
      </c>
      <c r="K5093" t="s">
        <v>5471</v>
      </c>
      <c r="L5093" t="s">
        <v>15887</v>
      </c>
      <c r="M5093" t="s">
        <v>5471</v>
      </c>
    </row>
    <row r="5094" spans="1:13" x14ac:dyDescent="0.3">
      <c r="A5094" t="s">
        <v>3388</v>
      </c>
      <c r="B5094" t="s">
        <v>20072</v>
      </c>
      <c r="C5094" t="s">
        <v>5470</v>
      </c>
      <c r="D5094" t="s">
        <v>4347</v>
      </c>
      <c r="E5094" t="s">
        <v>5617</v>
      </c>
      <c r="F5094" t="s">
        <v>20141</v>
      </c>
      <c r="G5094" t="s">
        <v>20142</v>
      </c>
      <c r="H5094" t="s">
        <v>5474</v>
      </c>
      <c r="I5094" t="s">
        <v>20143</v>
      </c>
      <c r="J5094" t="s">
        <v>5476</v>
      </c>
      <c r="K5094" t="s">
        <v>5471</v>
      </c>
      <c r="L5094" t="s">
        <v>15887</v>
      </c>
      <c r="M5094" t="s">
        <v>5471</v>
      </c>
    </row>
    <row r="5095" spans="1:13" x14ac:dyDescent="0.3">
      <c r="A5095" t="s">
        <v>3388</v>
      </c>
      <c r="B5095" t="s">
        <v>8656</v>
      </c>
      <c r="C5095" t="s">
        <v>5470</v>
      </c>
      <c r="D5095" t="s">
        <v>4347</v>
      </c>
      <c r="E5095" t="s">
        <v>5617</v>
      </c>
      <c r="F5095" t="s">
        <v>20144</v>
      </c>
      <c r="G5095" t="s">
        <v>20145</v>
      </c>
      <c r="H5095" t="s">
        <v>5474</v>
      </c>
      <c r="I5095" t="s">
        <v>20146</v>
      </c>
      <c r="J5095" t="s">
        <v>5476</v>
      </c>
      <c r="K5095" t="s">
        <v>5471</v>
      </c>
      <c r="L5095" t="s">
        <v>15887</v>
      </c>
      <c r="M5095" t="s">
        <v>5471</v>
      </c>
    </row>
    <row r="5096" spans="1:13" x14ac:dyDescent="0.3">
      <c r="A5096" t="s">
        <v>3388</v>
      </c>
      <c r="B5096" t="s">
        <v>8656</v>
      </c>
      <c r="C5096" t="s">
        <v>5470</v>
      </c>
      <c r="D5096" t="s">
        <v>4119</v>
      </c>
      <c r="E5096" t="s">
        <v>5617</v>
      </c>
      <c r="F5096" t="s">
        <v>20147</v>
      </c>
      <c r="G5096" t="s">
        <v>20148</v>
      </c>
      <c r="H5096" t="s">
        <v>5474</v>
      </c>
      <c r="I5096" t="s">
        <v>20149</v>
      </c>
      <c r="J5096" t="s">
        <v>5476</v>
      </c>
      <c r="K5096" t="s">
        <v>5471</v>
      </c>
      <c r="L5096" t="s">
        <v>20150</v>
      </c>
      <c r="M5096" t="s">
        <v>5471</v>
      </c>
    </row>
    <row r="5097" spans="1:13" x14ac:dyDescent="0.3">
      <c r="A5097" t="s">
        <v>3388</v>
      </c>
      <c r="B5097" t="s">
        <v>15942</v>
      </c>
      <c r="C5097" t="s">
        <v>5470</v>
      </c>
      <c r="D5097" t="s">
        <v>4119</v>
      </c>
      <c r="E5097" t="s">
        <v>5617</v>
      </c>
      <c r="F5097" t="s">
        <v>20151</v>
      </c>
      <c r="G5097" t="s">
        <v>20152</v>
      </c>
      <c r="H5097" t="s">
        <v>5474</v>
      </c>
      <c r="I5097" t="s">
        <v>20153</v>
      </c>
      <c r="J5097" t="s">
        <v>5476</v>
      </c>
      <c r="K5097" t="s">
        <v>5471</v>
      </c>
      <c r="L5097" t="s">
        <v>20150</v>
      </c>
      <c r="M5097" t="s">
        <v>5471</v>
      </c>
    </row>
    <row r="5098" spans="1:13" x14ac:dyDescent="0.3">
      <c r="A5098" t="s">
        <v>3388</v>
      </c>
      <c r="B5098" t="s">
        <v>17483</v>
      </c>
      <c r="C5098" t="s">
        <v>5470</v>
      </c>
      <c r="D5098" t="s">
        <v>4119</v>
      </c>
      <c r="E5098" t="s">
        <v>5617</v>
      </c>
      <c r="F5098" t="s">
        <v>20154</v>
      </c>
      <c r="G5098" t="s">
        <v>20155</v>
      </c>
      <c r="H5098" t="s">
        <v>5474</v>
      </c>
      <c r="I5098" t="s">
        <v>20156</v>
      </c>
      <c r="J5098" t="s">
        <v>5476</v>
      </c>
      <c r="K5098" t="s">
        <v>5471</v>
      </c>
      <c r="L5098" t="s">
        <v>20150</v>
      </c>
      <c r="M5098" t="s">
        <v>5471</v>
      </c>
    </row>
    <row r="5099" spans="1:13" x14ac:dyDescent="0.3">
      <c r="A5099" t="s">
        <v>3388</v>
      </c>
      <c r="B5099" t="s">
        <v>6478</v>
      </c>
      <c r="C5099" t="s">
        <v>5470</v>
      </c>
      <c r="D5099" t="s">
        <v>4119</v>
      </c>
      <c r="E5099" t="s">
        <v>5617</v>
      </c>
      <c r="F5099" t="s">
        <v>20157</v>
      </c>
      <c r="G5099" t="s">
        <v>20158</v>
      </c>
      <c r="H5099" t="s">
        <v>5474</v>
      </c>
      <c r="I5099" t="s">
        <v>20159</v>
      </c>
      <c r="J5099" t="s">
        <v>5476</v>
      </c>
      <c r="K5099" t="s">
        <v>5471</v>
      </c>
      <c r="L5099" t="s">
        <v>20150</v>
      </c>
      <c r="M5099" t="s">
        <v>5471</v>
      </c>
    </row>
    <row r="5100" spans="1:13" x14ac:dyDescent="0.3">
      <c r="A5100" t="s">
        <v>3388</v>
      </c>
      <c r="B5100" t="s">
        <v>20072</v>
      </c>
      <c r="C5100" t="s">
        <v>5470</v>
      </c>
      <c r="D5100" t="s">
        <v>4119</v>
      </c>
      <c r="E5100" t="s">
        <v>5617</v>
      </c>
      <c r="F5100" t="s">
        <v>20160</v>
      </c>
      <c r="G5100" t="s">
        <v>20161</v>
      </c>
      <c r="H5100" t="s">
        <v>5474</v>
      </c>
      <c r="I5100" t="s">
        <v>20162</v>
      </c>
      <c r="J5100" t="s">
        <v>5476</v>
      </c>
      <c r="K5100" t="s">
        <v>5471</v>
      </c>
      <c r="L5100" t="s">
        <v>20150</v>
      </c>
      <c r="M5100" t="s">
        <v>5471</v>
      </c>
    </row>
    <row r="5101" spans="1:13" x14ac:dyDescent="0.3">
      <c r="A5101" t="s">
        <v>3388</v>
      </c>
      <c r="B5101" t="s">
        <v>20163</v>
      </c>
      <c r="C5101" t="s">
        <v>5470</v>
      </c>
      <c r="D5101" t="s">
        <v>9833</v>
      </c>
      <c r="E5101" t="s">
        <v>5532</v>
      </c>
      <c r="F5101" t="s">
        <v>20164</v>
      </c>
      <c r="G5101" t="s">
        <v>20165</v>
      </c>
      <c r="H5101" t="s">
        <v>5474</v>
      </c>
      <c r="I5101" t="s">
        <v>20166</v>
      </c>
      <c r="J5101" t="s">
        <v>5476</v>
      </c>
      <c r="K5101" t="s">
        <v>20167</v>
      </c>
      <c r="L5101" t="s">
        <v>5471</v>
      </c>
      <c r="M5101" t="s">
        <v>5471</v>
      </c>
    </row>
    <row r="5102" spans="1:13" x14ac:dyDescent="0.3">
      <c r="A5102" t="s">
        <v>3388</v>
      </c>
      <c r="B5102" t="s">
        <v>8799</v>
      </c>
      <c r="C5102" t="s">
        <v>5470</v>
      </c>
      <c r="D5102" t="s">
        <v>4119</v>
      </c>
      <c r="E5102" t="s">
        <v>5756</v>
      </c>
      <c r="F5102" t="s">
        <v>20168</v>
      </c>
      <c r="G5102" t="s">
        <v>15977</v>
      </c>
      <c r="H5102" t="s">
        <v>5474</v>
      </c>
      <c r="I5102" t="s">
        <v>20169</v>
      </c>
      <c r="J5102" t="s">
        <v>5476</v>
      </c>
      <c r="K5102" t="s">
        <v>20170</v>
      </c>
      <c r="L5102" t="s">
        <v>5471</v>
      </c>
      <c r="M5102" t="s">
        <v>5471</v>
      </c>
    </row>
    <row r="5103" spans="1:13" x14ac:dyDescent="0.3">
      <c r="A5103" t="s">
        <v>3388</v>
      </c>
      <c r="B5103" t="s">
        <v>6632</v>
      </c>
      <c r="C5103" t="s">
        <v>5470</v>
      </c>
      <c r="D5103" t="s">
        <v>4119</v>
      </c>
      <c r="E5103" t="s">
        <v>5532</v>
      </c>
      <c r="F5103" t="s">
        <v>20171</v>
      </c>
      <c r="G5103" t="s">
        <v>20172</v>
      </c>
      <c r="H5103" t="s">
        <v>5474</v>
      </c>
      <c r="I5103" t="s">
        <v>20173</v>
      </c>
      <c r="J5103" t="s">
        <v>5476</v>
      </c>
      <c r="K5103" t="s">
        <v>20174</v>
      </c>
      <c r="L5103" t="s">
        <v>5471</v>
      </c>
      <c r="M5103" t="s">
        <v>5471</v>
      </c>
    </row>
    <row r="5104" spans="1:13" x14ac:dyDescent="0.3">
      <c r="A5104" t="s">
        <v>3388</v>
      </c>
      <c r="B5104" t="s">
        <v>20175</v>
      </c>
      <c r="C5104" t="s">
        <v>5470</v>
      </c>
      <c r="D5104" t="s">
        <v>4119</v>
      </c>
      <c r="E5104" t="s">
        <v>5532</v>
      </c>
      <c r="F5104" t="s">
        <v>20176</v>
      </c>
      <c r="G5104" t="s">
        <v>20177</v>
      </c>
      <c r="H5104" t="s">
        <v>5474</v>
      </c>
      <c r="I5104" t="s">
        <v>20178</v>
      </c>
      <c r="J5104" t="s">
        <v>5476</v>
      </c>
      <c r="K5104" t="s">
        <v>20179</v>
      </c>
      <c r="L5104" t="s">
        <v>5471</v>
      </c>
      <c r="M5104" t="s">
        <v>5471</v>
      </c>
    </row>
    <row r="5105" spans="1:13" x14ac:dyDescent="0.3">
      <c r="A5105" t="s">
        <v>3388</v>
      </c>
      <c r="B5105" t="s">
        <v>8656</v>
      </c>
      <c r="C5105" t="s">
        <v>5470</v>
      </c>
      <c r="D5105" t="s">
        <v>4119</v>
      </c>
      <c r="E5105" t="s">
        <v>5532</v>
      </c>
      <c r="F5105" t="s">
        <v>20180</v>
      </c>
      <c r="G5105" t="s">
        <v>20181</v>
      </c>
      <c r="H5105" t="s">
        <v>5474</v>
      </c>
      <c r="I5105" t="s">
        <v>20182</v>
      </c>
      <c r="J5105" t="s">
        <v>5476</v>
      </c>
      <c r="K5105" t="s">
        <v>20183</v>
      </c>
      <c r="L5105" t="s">
        <v>5471</v>
      </c>
      <c r="M5105" t="s">
        <v>5471</v>
      </c>
    </row>
    <row r="5106" spans="1:13" x14ac:dyDescent="0.3">
      <c r="A5106" t="s">
        <v>3388</v>
      </c>
      <c r="B5106" t="s">
        <v>15863</v>
      </c>
      <c r="C5106" t="s">
        <v>5470</v>
      </c>
      <c r="D5106" t="s">
        <v>4119</v>
      </c>
      <c r="E5106" t="s">
        <v>5532</v>
      </c>
      <c r="F5106" t="s">
        <v>20184</v>
      </c>
      <c r="G5106" t="s">
        <v>8317</v>
      </c>
      <c r="H5106" t="s">
        <v>5474</v>
      </c>
      <c r="I5106" t="s">
        <v>20185</v>
      </c>
      <c r="J5106" t="s">
        <v>5476</v>
      </c>
      <c r="K5106" t="s">
        <v>20186</v>
      </c>
      <c r="L5106" t="s">
        <v>5471</v>
      </c>
      <c r="M5106" t="s">
        <v>5471</v>
      </c>
    </row>
    <row r="5107" spans="1:13" x14ac:dyDescent="0.3">
      <c r="A5107" t="s">
        <v>3388</v>
      </c>
      <c r="B5107" t="s">
        <v>11423</v>
      </c>
      <c r="C5107" t="s">
        <v>5470</v>
      </c>
      <c r="D5107" t="s">
        <v>4119</v>
      </c>
      <c r="E5107" t="s">
        <v>5532</v>
      </c>
      <c r="F5107" t="s">
        <v>20187</v>
      </c>
      <c r="G5107" t="s">
        <v>8317</v>
      </c>
      <c r="H5107" t="s">
        <v>5474</v>
      </c>
      <c r="I5107" t="s">
        <v>20188</v>
      </c>
      <c r="J5107" t="s">
        <v>5476</v>
      </c>
      <c r="K5107" t="s">
        <v>20189</v>
      </c>
      <c r="L5107" t="s">
        <v>5471</v>
      </c>
      <c r="M5107" t="s">
        <v>5471</v>
      </c>
    </row>
    <row r="5108" spans="1:13" x14ac:dyDescent="0.3">
      <c r="A5108" t="s">
        <v>3388</v>
      </c>
      <c r="B5108" t="s">
        <v>5272</v>
      </c>
      <c r="C5108" t="s">
        <v>5470</v>
      </c>
      <c r="D5108" t="s">
        <v>4119</v>
      </c>
      <c r="E5108" t="s">
        <v>5532</v>
      </c>
      <c r="F5108" t="s">
        <v>20190</v>
      </c>
      <c r="G5108" t="s">
        <v>10423</v>
      </c>
      <c r="H5108" t="s">
        <v>5474</v>
      </c>
      <c r="I5108" t="s">
        <v>20191</v>
      </c>
      <c r="J5108" t="s">
        <v>5476</v>
      </c>
      <c r="K5108" t="s">
        <v>20192</v>
      </c>
      <c r="L5108" t="s">
        <v>5471</v>
      </c>
      <c r="M5108" t="s">
        <v>5471</v>
      </c>
    </row>
    <row r="5109" spans="1:13" x14ac:dyDescent="0.3">
      <c r="A5109" t="s">
        <v>3388</v>
      </c>
      <c r="B5109" t="s">
        <v>5272</v>
      </c>
      <c r="C5109" t="s">
        <v>5470</v>
      </c>
      <c r="D5109" t="s">
        <v>4119</v>
      </c>
      <c r="E5109" t="s">
        <v>5532</v>
      </c>
      <c r="F5109" t="s">
        <v>20193</v>
      </c>
      <c r="G5109" t="s">
        <v>20194</v>
      </c>
      <c r="H5109" t="s">
        <v>5474</v>
      </c>
      <c r="I5109" t="s">
        <v>20195</v>
      </c>
      <c r="J5109" t="s">
        <v>5476</v>
      </c>
      <c r="K5109" t="s">
        <v>20196</v>
      </c>
      <c r="L5109" t="s">
        <v>5471</v>
      </c>
      <c r="M5109" t="s">
        <v>5471</v>
      </c>
    </row>
    <row r="5110" spans="1:13" x14ac:dyDescent="0.3">
      <c r="A5110" t="s">
        <v>3388</v>
      </c>
      <c r="B5110" t="s">
        <v>11153</v>
      </c>
      <c r="C5110" t="s">
        <v>5470</v>
      </c>
      <c r="D5110" t="s">
        <v>4119</v>
      </c>
      <c r="E5110" t="s">
        <v>5532</v>
      </c>
      <c r="F5110" t="s">
        <v>20197</v>
      </c>
      <c r="G5110" t="s">
        <v>10423</v>
      </c>
      <c r="H5110" t="s">
        <v>5474</v>
      </c>
      <c r="I5110" t="s">
        <v>20198</v>
      </c>
      <c r="J5110" t="s">
        <v>5476</v>
      </c>
      <c r="K5110" t="s">
        <v>20199</v>
      </c>
      <c r="L5110" t="s">
        <v>5471</v>
      </c>
      <c r="M5110" t="s">
        <v>5471</v>
      </c>
    </row>
    <row r="5111" spans="1:13" x14ac:dyDescent="0.3">
      <c r="A5111" t="s">
        <v>3388</v>
      </c>
      <c r="B5111" t="s">
        <v>17321</v>
      </c>
      <c r="C5111" t="s">
        <v>5470</v>
      </c>
      <c r="D5111" t="s">
        <v>4119</v>
      </c>
      <c r="E5111" t="s">
        <v>5532</v>
      </c>
      <c r="F5111" t="s">
        <v>20200</v>
      </c>
      <c r="G5111" t="s">
        <v>20194</v>
      </c>
      <c r="H5111" t="s">
        <v>5474</v>
      </c>
      <c r="I5111" t="s">
        <v>20201</v>
      </c>
      <c r="J5111" t="s">
        <v>5476</v>
      </c>
      <c r="K5111" t="s">
        <v>20202</v>
      </c>
      <c r="L5111" t="s">
        <v>5471</v>
      </c>
      <c r="M5111" t="s">
        <v>5471</v>
      </c>
    </row>
    <row r="5112" spans="1:13" x14ac:dyDescent="0.3">
      <c r="A5112" t="s">
        <v>3388</v>
      </c>
      <c r="B5112" t="s">
        <v>7109</v>
      </c>
      <c r="C5112" t="s">
        <v>5470</v>
      </c>
      <c r="D5112" t="s">
        <v>4119</v>
      </c>
      <c r="E5112" t="s">
        <v>5532</v>
      </c>
      <c r="F5112" t="s">
        <v>20203</v>
      </c>
      <c r="G5112" t="s">
        <v>20204</v>
      </c>
      <c r="H5112" t="s">
        <v>5474</v>
      </c>
      <c r="I5112" t="s">
        <v>20205</v>
      </c>
      <c r="J5112" t="s">
        <v>5476</v>
      </c>
      <c r="K5112" t="s">
        <v>20206</v>
      </c>
      <c r="L5112" t="s">
        <v>5471</v>
      </c>
      <c r="M5112" t="s">
        <v>5471</v>
      </c>
    </row>
    <row r="5113" spans="1:13" x14ac:dyDescent="0.3">
      <c r="A5113" t="s">
        <v>3388</v>
      </c>
      <c r="B5113" t="s">
        <v>11089</v>
      </c>
      <c r="C5113" t="s">
        <v>5470</v>
      </c>
      <c r="D5113" t="s">
        <v>4119</v>
      </c>
      <c r="E5113" t="s">
        <v>5532</v>
      </c>
      <c r="F5113" t="s">
        <v>20207</v>
      </c>
      <c r="G5113" t="s">
        <v>18733</v>
      </c>
      <c r="H5113" t="s">
        <v>5474</v>
      </c>
      <c r="I5113" t="s">
        <v>20208</v>
      </c>
      <c r="J5113" t="s">
        <v>5476</v>
      </c>
      <c r="K5113" t="s">
        <v>20209</v>
      </c>
      <c r="L5113" t="s">
        <v>5471</v>
      </c>
      <c r="M5113" t="s">
        <v>5471</v>
      </c>
    </row>
    <row r="5114" spans="1:13" x14ac:dyDescent="0.3">
      <c r="A5114" t="s">
        <v>3388</v>
      </c>
      <c r="B5114" t="s">
        <v>11089</v>
      </c>
      <c r="C5114" t="s">
        <v>5470</v>
      </c>
      <c r="D5114" t="s">
        <v>4119</v>
      </c>
      <c r="E5114" t="s">
        <v>5532</v>
      </c>
      <c r="F5114" t="s">
        <v>20210</v>
      </c>
      <c r="G5114" t="s">
        <v>20204</v>
      </c>
      <c r="H5114" t="s">
        <v>5474</v>
      </c>
      <c r="I5114" t="s">
        <v>20211</v>
      </c>
      <c r="J5114" t="s">
        <v>5476</v>
      </c>
      <c r="K5114" t="s">
        <v>20212</v>
      </c>
      <c r="L5114" t="s">
        <v>5471</v>
      </c>
      <c r="M5114" t="s">
        <v>5471</v>
      </c>
    </row>
    <row r="5115" spans="1:13" x14ac:dyDescent="0.3">
      <c r="A5115" t="s">
        <v>3388</v>
      </c>
      <c r="B5115" t="s">
        <v>11089</v>
      </c>
      <c r="C5115" t="s">
        <v>5470</v>
      </c>
      <c r="D5115" t="s">
        <v>4119</v>
      </c>
      <c r="E5115" t="s">
        <v>5532</v>
      </c>
      <c r="F5115" t="s">
        <v>20213</v>
      </c>
      <c r="G5115" t="s">
        <v>20214</v>
      </c>
      <c r="H5115" t="s">
        <v>5474</v>
      </c>
      <c r="I5115" t="s">
        <v>20215</v>
      </c>
      <c r="J5115" t="s">
        <v>5476</v>
      </c>
      <c r="K5115" t="s">
        <v>20216</v>
      </c>
      <c r="L5115" t="s">
        <v>5471</v>
      </c>
      <c r="M5115" t="s">
        <v>5471</v>
      </c>
    </row>
    <row r="5116" spans="1:13" x14ac:dyDescent="0.3">
      <c r="A5116" t="s">
        <v>3388</v>
      </c>
      <c r="B5116" t="s">
        <v>6128</v>
      </c>
      <c r="C5116" t="s">
        <v>5470</v>
      </c>
      <c r="D5116" t="s">
        <v>4119</v>
      </c>
      <c r="E5116" t="s">
        <v>5532</v>
      </c>
      <c r="F5116" t="s">
        <v>20217</v>
      </c>
      <c r="G5116" t="s">
        <v>18733</v>
      </c>
      <c r="H5116" t="s">
        <v>5474</v>
      </c>
      <c r="I5116" t="s">
        <v>20218</v>
      </c>
      <c r="J5116" t="s">
        <v>5476</v>
      </c>
      <c r="K5116" t="s">
        <v>20219</v>
      </c>
      <c r="L5116" t="s">
        <v>5471</v>
      </c>
      <c r="M5116" t="s">
        <v>5471</v>
      </c>
    </row>
    <row r="5117" spans="1:13" x14ac:dyDescent="0.3">
      <c r="A5117" t="s">
        <v>3388</v>
      </c>
      <c r="B5117" t="s">
        <v>7109</v>
      </c>
      <c r="C5117" t="s">
        <v>5470</v>
      </c>
      <c r="D5117" t="s">
        <v>4119</v>
      </c>
      <c r="E5117" t="s">
        <v>5532</v>
      </c>
      <c r="F5117" t="s">
        <v>20220</v>
      </c>
      <c r="G5117" t="s">
        <v>20214</v>
      </c>
      <c r="H5117" t="s">
        <v>5474</v>
      </c>
      <c r="I5117" t="s">
        <v>20221</v>
      </c>
      <c r="J5117" t="s">
        <v>5476</v>
      </c>
      <c r="K5117" t="s">
        <v>20222</v>
      </c>
      <c r="L5117" t="s">
        <v>5471</v>
      </c>
      <c r="M5117" t="s">
        <v>5471</v>
      </c>
    </row>
    <row r="5118" spans="1:13" x14ac:dyDescent="0.3">
      <c r="A5118" t="s">
        <v>3388</v>
      </c>
      <c r="B5118" t="s">
        <v>11346</v>
      </c>
      <c r="C5118" t="s">
        <v>5470</v>
      </c>
      <c r="D5118" t="s">
        <v>4119</v>
      </c>
      <c r="E5118" t="s">
        <v>5532</v>
      </c>
      <c r="F5118" t="s">
        <v>20223</v>
      </c>
      <c r="G5118" t="s">
        <v>20224</v>
      </c>
      <c r="H5118" t="s">
        <v>5474</v>
      </c>
      <c r="I5118" t="s">
        <v>20225</v>
      </c>
      <c r="J5118" t="s">
        <v>5476</v>
      </c>
      <c r="K5118" t="s">
        <v>20226</v>
      </c>
      <c r="L5118" t="s">
        <v>5471</v>
      </c>
      <c r="M5118" t="s">
        <v>5471</v>
      </c>
    </row>
    <row r="5119" spans="1:13" x14ac:dyDescent="0.3">
      <c r="A5119" t="s">
        <v>3388</v>
      </c>
      <c r="B5119" t="s">
        <v>11186</v>
      </c>
      <c r="C5119" t="s">
        <v>5470</v>
      </c>
      <c r="D5119" t="s">
        <v>4119</v>
      </c>
      <c r="E5119" t="s">
        <v>5532</v>
      </c>
      <c r="F5119" t="s">
        <v>20227</v>
      </c>
      <c r="G5119" t="s">
        <v>11188</v>
      </c>
      <c r="H5119" t="s">
        <v>5474</v>
      </c>
      <c r="I5119" t="s">
        <v>20228</v>
      </c>
      <c r="J5119" t="s">
        <v>5476</v>
      </c>
      <c r="K5119" t="s">
        <v>20229</v>
      </c>
      <c r="L5119" t="s">
        <v>5471</v>
      </c>
      <c r="M5119" t="s">
        <v>5471</v>
      </c>
    </row>
    <row r="5120" spans="1:13" x14ac:dyDescent="0.3">
      <c r="A5120" t="s">
        <v>3388</v>
      </c>
      <c r="B5120" t="s">
        <v>17321</v>
      </c>
      <c r="C5120" t="s">
        <v>5470</v>
      </c>
      <c r="D5120" t="s">
        <v>4119</v>
      </c>
      <c r="E5120" t="s">
        <v>5532</v>
      </c>
      <c r="F5120" t="s">
        <v>20230</v>
      </c>
      <c r="G5120" t="s">
        <v>20194</v>
      </c>
      <c r="H5120" t="s">
        <v>5474</v>
      </c>
      <c r="I5120" t="s">
        <v>20231</v>
      </c>
      <c r="J5120" t="s">
        <v>5476</v>
      </c>
      <c r="K5120" t="s">
        <v>20232</v>
      </c>
      <c r="L5120" t="s">
        <v>5471</v>
      </c>
      <c r="M5120" t="s">
        <v>5471</v>
      </c>
    </row>
    <row r="5121" spans="1:13" x14ac:dyDescent="0.3">
      <c r="A5121" t="s">
        <v>3388</v>
      </c>
      <c r="B5121" t="s">
        <v>6478</v>
      </c>
      <c r="C5121" t="s">
        <v>5470</v>
      </c>
      <c r="D5121" t="s">
        <v>4119</v>
      </c>
      <c r="E5121" t="s">
        <v>5532</v>
      </c>
      <c r="F5121" t="s">
        <v>20233</v>
      </c>
      <c r="G5121" t="s">
        <v>20234</v>
      </c>
      <c r="H5121" t="s">
        <v>5474</v>
      </c>
      <c r="I5121" t="s">
        <v>20235</v>
      </c>
      <c r="J5121" t="s">
        <v>5476</v>
      </c>
      <c r="K5121" t="s">
        <v>20236</v>
      </c>
      <c r="L5121" t="s">
        <v>5471</v>
      </c>
      <c r="M5121" t="s">
        <v>5471</v>
      </c>
    </row>
    <row r="5122" spans="1:13" x14ac:dyDescent="0.3">
      <c r="A5122" t="s">
        <v>3388</v>
      </c>
      <c r="B5122" t="s">
        <v>6478</v>
      </c>
      <c r="C5122" t="s">
        <v>5470</v>
      </c>
      <c r="D5122" t="s">
        <v>4119</v>
      </c>
      <c r="E5122" t="s">
        <v>5532</v>
      </c>
      <c r="F5122" t="s">
        <v>20237</v>
      </c>
      <c r="G5122" t="s">
        <v>20238</v>
      </c>
      <c r="H5122" t="s">
        <v>5474</v>
      </c>
      <c r="I5122" t="s">
        <v>20239</v>
      </c>
      <c r="J5122" t="s">
        <v>5476</v>
      </c>
      <c r="K5122" t="s">
        <v>20240</v>
      </c>
      <c r="L5122" t="s">
        <v>5471</v>
      </c>
      <c r="M5122" t="s">
        <v>5471</v>
      </c>
    </row>
    <row r="5123" spans="1:13" x14ac:dyDescent="0.3">
      <c r="A5123" t="s">
        <v>3388</v>
      </c>
      <c r="B5123" t="s">
        <v>6478</v>
      </c>
      <c r="C5123" t="s">
        <v>5470</v>
      </c>
      <c r="D5123" t="s">
        <v>4119</v>
      </c>
      <c r="E5123" t="s">
        <v>5532</v>
      </c>
      <c r="F5123" t="s">
        <v>20241</v>
      </c>
      <c r="G5123" t="s">
        <v>20242</v>
      </c>
      <c r="H5123" t="s">
        <v>5474</v>
      </c>
      <c r="I5123" t="s">
        <v>20243</v>
      </c>
      <c r="J5123" t="s">
        <v>5476</v>
      </c>
      <c r="K5123" t="s">
        <v>20244</v>
      </c>
      <c r="L5123" t="s">
        <v>5471</v>
      </c>
      <c r="M5123" t="s">
        <v>5471</v>
      </c>
    </row>
    <row r="5124" spans="1:13" x14ac:dyDescent="0.3">
      <c r="A5124" t="s">
        <v>3388</v>
      </c>
      <c r="B5124" t="s">
        <v>6478</v>
      </c>
      <c r="C5124" t="s">
        <v>5470</v>
      </c>
      <c r="D5124" t="s">
        <v>4119</v>
      </c>
      <c r="E5124" t="s">
        <v>5532</v>
      </c>
      <c r="F5124" t="s">
        <v>20245</v>
      </c>
      <c r="G5124" t="s">
        <v>18342</v>
      </c>
      <c r="H5124" t="s">
        <v>5474</v>
      </c>
      <c r="I5124" t="s">
        <v>20246</v>
      </c>
      <c r="J5124" t="s">
        <v>5476</v>
      </c>
      <c r="K5124" t="s">
        <v>20247</v>
      </c>
      <c r="L5124" t="s">
        <v>5471</v>
      </c>
      <c r="M5124" t="s">
        <v>5471</v>
      </c>
    </row>
    <row r="5125" spans="1:13" x14ac:dyDescent="0.3">
      <c r="A5125" t="s">
        <v>3388</v>
      </c>
      <c r="B5125" t="s">
        <v>6478</v>
      </c>
      <c r="C5125" t="s">
        <v>5470</v>
      </c>
      <c r="D5125" t="s">
        <v>4119</v>
      </c>
      <c r="E5125" t="s">
        <v>5532</v>
      </c>
      <c r="F5125" t="s">
        <v>20248</v>
      </c>
      <c r="G5125" t="s">
        <v>20249</v>
      </c>
      <c r="H5125" t="s">
        <v>5474</v>
      </c>
      <c r="I5125" t="s">
        <v>20250</v>
      </c>
      <c r="J5125" t="s">
        <v>5476</v>
      </c>
      <c r="K5125" t="s">
        <v>20251</v>
      </c>
      <c r="L5125" t="s">
        <v>5471</v>
      </c>
      <c r="M5125" t="s">
        <v>5471</v>
      </c>
    </row>
    <row r="5126" spans="1:13" x14ac:dyDescent="0.3">
      <c r="A5126" t="s">
        <v>3388</v>
      </c>
      <c r="B5126" t="s">
        <v>6478</v>
      </c>
      <c r="C5126" t="s">
        <v>5470</v>
      </c>
      <c r="D5126" t="s">
        <v>4119</v>
      </c>
      <c r="E5126" t="s">
        <v>5532</v>
      </c>
      <c r="F5126" t="s">
        <v>20252</v>
      </c>
      <c r="G5126" t="s">
        <v>20051</v>
      </c>
      <c r="H5126" t="s">
        <v>5474</v>
      </c>
      <c r="I5126" t="s">
        <v>20253</v>
      </c>
      <c r="J5126" t="s">
        <v>5476</v>
      </c>
      <c r="K5126" t="s">
        <v>20254</v>
      </c>
      <c r="L5126" t="s">
        <v>5471</v>
      </c>
      <c r="M5126" t="s">
        <v>5471</v>
      </c>
    </row>
    <row r="5127" spans="1:13" x14ac:dyDescent="0.3">
      <c r="A5127" t="s">
        <v>3388</v>
      </c>
      <c r="B5127" t="s">
        <v>11153</v>
      </c>
      <c r="C5127" t="s">
        <v>5470</v>
      </c>
      <c r="D5127" t="s">
        <v>4119</v>
      </c>
      <c r="E5127" t="s">
        <v>5532</v>
      </c>
      <c r="F5127" t="s">
        <v>20255</v>
      </c>
      <c r="G5127" t="s">
        <v>10423</v>
      </c>
      <c r="H5127" t="s">
        <v>5474</v>
      </c>
      <c r="I5127" t="s">
        <v>20256</v>
      </c>
      <c r="J5127" t="s">
        <v>5476</v>
      </c>
      <c r="K5127" t="s">
        <v>20257</v>
      </c>
      <c r="L5127" t="s">
        <v>5471</v>
      </c>
      <c r="M5127" t="s">
        <v>5471</v>
      </c>
    </row>
    <row r="5128" spans="1:13" x14ac:dyDescent="0.3">
      <c r="A5128" t="s">
        <v>3388</v>
      </c>
      <c r="B5128" t="s">
        <v>5272</v>
      </c>
      <c r="C5128" t="s">
        <v>5470</v>
      </c>
      <c r="D5128" t="s">
        <v>4119</v>
      </c>
      <c r="E5128" t="s">
        <v>5532</v>
      </c>
      <c r="F5128" t="s">
        <v>20258</v>
      </c>
      <c r="G5128" t="s">
        <v>20259</v>
      </c>
      <c r="H5128" t="s">
        <v>5474</v>
      </c>
      <c r="I5128" t="s">
        <v>20260</v>
      </c>
      <c r="J5128" t="s">
        <v>5476</v>
      </c>
      <c r="K5128" t="s">
        <v>20261</v>
      </c>
      <c r="L5128" t="s">
        <v>5471</v>
      </c>
      <c r="M5128" t="s">
        <v>5471</v>
      </c>
    </row>
    <row r="5129" spans="1:13" x14ac:dyDescent="0.3">
      <c r="A5129" t="s">
        <v>3388</v>
      </c>
      <c r="B5129" t="s">
        <v>5272</v>
      </c>
      <c r="C5129" t="s">
        <v>5470</v>
      </c>
      <c r="D5129" t="s">
        <v>4119</v>
      </c>
      <c r="E5129" t="s">
        <v>5532</v>
      </c>
      <c r="F5129" t="s">
        <v>20262</v>
      </c>
      <c r="G5129" t="s">
        <v>10423</v>
      </c>
      <c r="H5129" t="s">
        <v>5474</v>
      </c>
      <c r="I5129" t="s">
        <v>20263</v>
      </c>
      <c r="J5129" t="s">
        <v>5476</v>
      </c>
      <c r="K5129" t="s">
        <v>20264</v>
      </c>
      <c r="L5129" t="s">
        <v>5471</v>
      </c>
      <c r="M5129" t="s">
        <v>5471</v>
      </c>
    </row>
    <row r="5130" spans="1:13" x14ac:dyDescent="0.3">
      <c r="A5130" t="s">
        <v>3388</v>
      </c>
      <c r="B5130" t="s">
        <v>5272</v>
      </c>
      <c r="C5130" t="s">
        <v>5470</v>
      </c>
      <c r="D5130" t="s">
        <v>4119</v>
      </c>
      <c r="E5130" t="s">
        <v>5532</v>
      </c>
      <c r="F5130" t="s">
        <v>20265</v>
      </c>
      <c r="G5130" t="s">
        <v>20194</v>
      </c>
      <c r="H5130" t="s">
        <v>5474</v>
      </c>
      <c r="I5130" t="s">
        <v>20266</v>
      </c>
      <c r="J5130" t="s">
        <v>5476</v>
      </c>
      <c r="K5130" t="s">
        <v>20267</v>
      </c>
      <c r="L5130" t="s">
        <v>5471</v>
      </c>
      <c r="M5130" t="s">
        <v>5471</v>
      </c>
    </row>
    <row r="5131" spans="1:13" x14ac:dyDescent="0.3">
      <c r="A5131" t="s">
        <v>3388</v>
      </c>
      <c r="B5131" t="s">
        <v>5272</v>
      </c>
      <c r="C5131" t="s">
        <v>5470</v>
      </c>
      <c r="D5131" t="s">
        <v>4119</v>
      </c>
      <c r="E5131" t="s">
        <v>5532</v>
      </c>
      <c r="F5131" t="s">
        <v>20268</v>
      </c>
      <c r="G5131" t="s">
        <v>20269</v>
      </c>
      <c r="H5131" t="s">
        <v>5474</v>
      </c>
      <c r="I5131" t="s">
        <v>20270</v>
      </c>
      <c r="J5131" t="s">
        <v>5476</v>
      </c>
      <c r="K5131" t="s">
        <v>20271</v>
      </c>
      <c r="L5131" t="s">
        <v>5471</v>
      </c>
      <c r="M5131" t="s">
        <v>5471</v>
      </c>
    </row>
    <row r="5132" spans="1:13" x14ac:dyDescent="0.3">
      <c r="A5132" t="s">
        <v>3388</v>
      </c>
      <c r="B5132" t="s">
        <v>5272</v>
      </c>
      <c r="C5132" t="s">
        <v>5470</v>
      </c>
      <c r="D5132" t="s">
        <v>4119</v>
      </c>
      <c r="E5132" t="s">
        <v>5532</v>
      </c>
      <c r="F5132" t="s">
        <v>20272</v>
      </c>
      <c r="G5132" t="s">
        <v>20034</v>
      </c>
      <c r="H5132" t="s">
        <v>5474</v>
      </c>
      <c r="I5132" t="s">
        <v>20273</v>
      </c>
      <c r="J5132" t="s">
        <v>5476</v>
      </c>
      <c r="K5132" t="s">
        <v>20274</v>
      </c>
      <c r="L5132" t="s">
        <v>5471</v>
      </c>
      <c r="M5132" t="s">
        <v>5471</v>
      </c>
    </row>
    <row r="5133" spans="1:13" x14ac:dyDescent="0.3">
      <c r="A5133" t="s">
        <v>3388</v>
      </c>
      <c r="B5133" t="s">
        <v>5272</v>
      </c>
      <c r="C5133" t="s">
        <v>5470</v>
      </c>
      <c r="D5133" t="s">
        <v>4119</v>
      </c>
      <c r="E5133" t="s">
        <v>5532</v>
      </c>
      <c r="F5133" t="s">
        <v>20275</v>
      </c>
      <c r="G5133" t="s">
        <v>11292</v>
      </c>
      <c r="H5133" t="s">
        <v>5474</v>
      </c>
      <c r="I5133" t="s">
        <v>20276</v>
      </c>
      <c r="J5133" t="s">
        <v>5476</v>
      </c>
      <c r="K5133" t="s">
        <v>20277</v>
      </c>
      <c r="L5133" t="s">
        <v>5471</v>
      </c>
      <c r="M5133" t="s">
        <v>5471</v>
      </c>
    </row>
    <row r="5134" spans="1:13" x14ac:dyDescent="0.3">
      <c r="A5134" t="s">
        <v>3388</v>
      </c>
      <c r="B5134" t="s">
        <v>5272</v>
      </c>
      <c r="C5134" t="s">
        <v>5470</v>
      </c>
      <c r="D5134" t="s">
        <v>4119</v>
      </c>
      <c r="E5134" t="s">
        <v>5532</v>
      </c>
      <c r="F5134" t="s">
        <v>20278</v>
      </c>
      <c r="G5134" t="s">
        <v>11302</v>
      </c>
      <c r="H5134" t="s">
        <v>5474</v>
      </c>
      <c r="I5134" t="s">
        <v>20279</v>
      </c>
      <c r="J5134" t="s">
        <v>5476</v>
      </c>
      <c r="K5134" t="s">
        <v>20280</v>
      </c>
      <c r="L5134" t="s">
        <v>5471</v>
      </c>
      <c r="M5134" t="s">
        <v>5471</v>
      </c>
    </row>
    <row r="5135" spans="1:13" x14ac:dyDescent="0.3">
      <c r="A5135" t="s">
        <v>3388</v>
      </c>
      <c r="B5135" t="s">
        <v>5272</v>
      </c>
      <c r="C5135" t="s">
        <v>5470</v>
      </c>
      <c r="D5135" t="s">
        <v>4119</v>
      </c>
      <c r="E5135" t="s">
        <v>5532</v>
      </c>
      <c r="F5135" t="s">
        <v>20281</v>
      </c>
      <c r="G5135" t="s">
        <v>20282</v>
      </c>
      <c r="H5135" t="s">
        <v>5474</v>
      </c>
      <c r="I5135" t="s">
        <v>20283</v>
      </c>
      <c r="J5135" t="s">
        <v>5476</v>
      </c>
      <c r="K5135" t="s">
        <v>20284</v>
      </c>
      <c r="L5135" t="s">
        <v>5471</v>
      </c>
      <c r="M5135" t="s">
        <v>5471</v>
      </c>
    </row>
    <row r="5136" spans="1:13" x14ac:dyDescent="0.3">
      <c r="A5136" t="s">
        <v>3388</v>
      </c>
      <c r="B5136" t="s">
        <v>6128</v>
      </c>
      <c r="C5136" t="s">
        <v>5470</v>
      </c>
      <c r="D5136" t="s">
        <v>4119</v>
      </c>
      <c r="E5136" t="s">
        <v>5532</v>
      </c>
      <c r="F5136" t="s">
        <v>20285</v>
      </c>
      <c r="G5136" t="s">
        <v>18733</v>
      </c>
      <c r="H5136" t="s">
        <v>5474</v>
      </c>
      <c r="I5136" t="s">
        <v>20286</v>
      </c>
      <c r="J5136" t="s">
        <v>5476</v>
      </c>
      <c r="K5136" t="s">
        <v>20287</v>
      </c>
      <c r="L5136" t="s">
        <v>5471</v>
      </c>
      <c r="M5136" t="s">
        <v>5471</v>
      </c>
    </row>
    <row r="5137" spans="1:13" x14ac:dyDescent="0.3">
      <c r="A5137" t="s">
        <v>3388</v>
      </c>
      <c r="B5137" t="s">
        <v>15863</v>
      </c>
      <c r="C5137" t="s">
        <v>5470</v>
      </c>
      <c r="D5137" t="s">
        <v>4119</v>
      </c>
      <c r="E5137" t="s">
        <v>5532</v>
      </c>
      <c r="F5137" t="s">
        <v>20288</v>
      </c>
      <c r="G5137" t="s">
        <v>8317</v>
      </c>
      <c r="H5137" t="s">
        <v>5474</v>
      </c>
      <c r="I5137" t="s">
        <v>20289</v>
      </c>
      <c r="J5137" t="s">
        <v>5476</v>
      </c>
      <c r="K5137" t="s">
        <v>20290</v>
      </c>
      <c r="L5137" t="s">
        <v>5471</v>
      </c>
      <c r="M5137" t="s">
        <v>5471</v>
      </c>
    </row>
    <row r="5138" spans="1:13" x14ac:dyDescent="0.3">
      <c r="A5138" t="s">
        <v>3388</v>
      </c>
      <c r="B5138" t="s">
        <v>15863</v>
      </c>
      <c r="C5138" t="s">
        <v>5470</v>
      </c>
      <c r="D5138" t="s">
        <v>4119</v>
      </c>
      <c r="E5138" t="s">
        <v>5532</v>
      </c>
      <c r="F5138" t="s">
        <v>20291</v>
      </c>
      <c r="G5138" t="s">
        <v>20022</v>
      </c>
      <c r="H5138" t="s">
        <v>5474</v>
      </c>
      <c r="I5138" t="s">
        <v>20292</v>
      </c>
      <c r="J5138" t="s">
        <v>5476</v>
      </c>
      <c r="K5138" t="s">
        <v>20293</v>
      </c>
      <c r="L5138" t="s">
        <v>5471</v>
      </c>
      <c r="M5138" t="s">
        <v>5471</v>
      </c>
    </row>
    <row r="5139" spans="1:13" x14ac:dyDescent="0.3">
      <c r="A5139" t="s">
        <v>3388</v>
      </c>
      <c r="B5139" t="s">
        <v>15863</v>
      </c>
      <c r="C5139" t="s">
        <v>5470</v>
      </c>
      <c r="D5139" t="s">
        <v>4119</v>
      </c>
      <c r="E5139" t="s">
        <v>5532</v>
      </c>
      <c r="F5139" t="s">
        <v>20294</v>
      </c>
      <c r="G5139" t="s">
        <v>20295</v>
      </c>
      <c r="H5139" t="s">
        <v>5474</v>
      </c>
      <c r="I5139" t="s">
        <v>20296</v>
      </c>
      <c r="J5139" t="s">
        <v>5476</v>
      </c>
      <c r="K5139" t="s">
        <v>20297</v>
      </c>
      <c r="L5139" t="s">
        <v>5471</v>
      </c>
      <c r="M5139" t="s">
        <v>5471</v>
      </c>
    </row>
    <row r="5140" spans="1:13" x14ac:dyDescent="0.3">
      <c r="A5140" t="s">
        <v>3388</v>
      </c>
      <c r="B5140" t="s">
        <v>15863</v>
      </c>
      <c r="C5140" t="s">
        <v>5470</v>
      </c>
      <c r="D5140" t="s">
        <v>4119</v>
      </c>
      <c r="E5140" t="s">
        <v>5532</v>
      </c>
      <c r="F5140" t="s">
        <v>20298</v>
      </c>
      <c r="G5140" t="s">
        <v>20299</v>
      </c>
      <c r="H5140" t="s">
        <v>5474</v>
      </c>
      <c r="I5140" t="s">
        <v>20300</v>
      </c>
      <c r="J5140" t="s">
        <v>5476</v>
      </c>
      <c r="K5140" t="s">
        <v>20301</v>
      </c>
      <c r="L5140" t="s">
        <v>5471</v>
      </c>
      <c r="M5140" t="s">
        <v>5471</v>
      </c>
    </row>
    <row r="5141" spans="1:13" x14ac:dyDescent="0.3">
      <c r="A5141" t="s">
        <v>3388</v>
      </c>
      <c r="B5141" t="s">
        <v>20072</v>
      </c>
      <c r="C5141" t="s">
        <v>5470</v>
      </c>
      <c r="D5141" t="s">
        <v>4119</v>
      </c>
      <c r="E5141" t="s">
        <v>5532</v>
      </c>
      <c r="F5141" t="s">
        <v>20302</v>
      </c>
      <c r="G5141" t="s">
        <v>20259</v>
      </c>
      <c r="H5141" t="s">
        <v>5474</v>
      </c>
      <c r="I5141" t="s">
        <v>20303</v>
      </c>
      <c r="J5141" t="s">
        <v>5476</v>
      </c>
      <c r="K5141" t="s">
        <v>20304</v>
      </c>
      <c r="L5141" t="s">
        <v>5471</v>
      </c>
      <c r="M5141" t="s">
        <v>5471</v>
      </c>
    </row>
    <row r="5142" spans="1:13" x14ac:dyDescent="0.3">
      <c r="A5142" t="s">
        <v>3388</v>
      </c>
      <c r="B5142" t="s">
        <v>11089</v>
      </c>
      <c r="C5142" t="s">
        <v>5470</v>
      </c>
      <c r="D5142" t="s">
        <v>4119</v>
      </c>
      <c r="E5142" t="s">
        <v>5532</v>
      </c>
      <c r="F5142" t="s">
        <v>20305</v>
      </c>
      <c r="G5142" t="s">
        <v>18733</v>
      </c>
      <c r="H5142" t="s">
        <v>5474</v>
      </c>
      <c r="I5142" t="s">
        <v>20306</v>
      </c>
      <c r="J5142" t="s">
        <v>5476</v>
      </c>
      <c r="K5142" t="s">
        <v>20307</v>
      </c>
      <c r="L5142" t="s">
        <v>5471</v>
      </c>
      <c r="M5142" t="s">
        <v>5471</v>
      </c>
    </row>
    <row r="5143" spans="1:13" x14ac:dyDescent="0.3">
      <c r="A5143" t="s">
        <v>3388</v>
      </c>
      <c r="B5143" t="s">
        <v>11089</v>
      </c>
      <c r="C5143" t="s">
        <v>5470</v>
      </c>
      <c r="D5143" t="s">
        <v>4119</v>
      </c>
      <c r="E5143" t="s">
        <v>5532</v>
      </c>
      <c r="F5143" t="s">
        <v>20308</v>
      </c>
      <c r="G5143" t="s">
        <v>20204</v>
      </c>
      <c r="H5143" t="s">
        <v>5474</v>
      </c>
      <c r="I5143" t="s">
        <v>20309</v>
      </c>
      <c r="J5143" t="s">
        <v>5476</v>
      </c>
      <c r="K5143" t="s">
        <v>20310</v>
      </c>
      <c r="L5143" t="s">
        <v>5471</v>
      </c>
      <c r="M5143" t="s">
        <v>5471</v>
      </c>
    </row>
    <row r="5144" spans="1:13" x14ac:dyDescent="0.3">
      <c r="A5144" t="s">
        <v>3388</v>
      </c>
      <c r="B5144" t="s">
        <v>11089</v>
      </c>
      <c r="C5144" t="s">
        <v>5470</v>
      </c>
      <c r="D5144" t="s">
        <v>4119</v>
      </c>
      <c r="E5144" t="s">
        <v>5532</v>
      </c>
      <c r="F5144" t="s">
        <v>20311</v>
      </c>
      <c r="G5144" t="s">
        <v>20214</v>
      </c>
      <c r="H5144" t="s">
        <v>5474</v>
      </c>
      <c r="I5144" t="s">
        <v>20312</v>
      </c>
      <c r="J5144" t="s">
        <v>5476</v>
      </c>
      <c r="K5144" t="s">
        <v>20313</v>
      </c>
      <c r="L5144" t="s">
        <v>5471</v>
      </c>
      <c r="M5144" t="s">
        <v>5471</v>
      </c>
    </row>
    <row r="5145" spans="1:13" x14ac:dyDescent="0.3">
      <c r="A5145" t="s">
        <v>3388</v>
      </c>
      <c r="B5145" t="s">
        <v>11089</v>
      </c>
      <c r="C5145" t="s">
        <v>5470</v>
      </c>
      <c r="D5145" t="s">
        <v>4119</v>
      </c>
      <c r="E5145" t="s">
        <v>5532</v>
      </c>
      <c r="F5145" t="s">
        <v>20314</v>
      </c>
      <c r="G5145" t="s">
        <v>20315</v>
      </c>
      <c r="H5145" t="s">
        <v>5474</v>
      </c>
      <c r="I5145" t="s">
        <v>20316</v>
      </c>
      <c r="J5145" t="s">
        <v>5476</v>
      </c>
      <c r="K5145" t="s">
        <v>20317</v>
      </c>
      <c r="L5145" t="s">
        <v>5471</v>
      </c>
      <c r="M5145" t="s">
        <v>5471</v>
      </c>
    </row>
    <row r="5146" spans="1:13" x14ac:dyDescent="0.3">
      <c r="A5146" t="s">
        <v>3388</v>
      </c>
      <c r="B5146" t="s">
        <v>11089</v>
      </c>
      <c r="C5146" t="s">
        <v>5470</v>
      </c>
      <c r="D5146" t="s">
        <v>4119</v>
      </c>
      <c r="E5146" t="s">
        <v>5532</v>
      </c>
      <c r="F5146" t="s">
        <v>20318</v>
      </c>
      <c r="G5146" t="s">
        <v>20319</v>
      </c>
      <c r="H5146" t="s">
        <v>5474</v>
      </c>
      <c r="I5146" t="s">
        <v>20320</v>
      </c>
      <c r="J5146" t="s">
        <v>5476</v>
      </c>
      <c r="K5146" t="s">
        <v>20321</v>
      </c>
      <c r="L5146" t="s">
        <v>5471</v>
      </c>
      <c r="M5146" t="s">
        <v>5471</v>
      </c>
    </row>
    <row r="5147" spans="1:13" x14ac:dyDescent="0.3">
      <c r="A5147" t="s">
        <v>3388</v>
      </c>
      <c r="B5147" t="s">
        <v>11089</v>
      </c>
      <c r="C5147" t="s">
        <v>5470</v>
      </c>
      <c r="D5147" t="s">
        <v>4119</v>
      </c>
      <c r="E5147" t="s">
        <v>5532</v>
      </c>
      <c r="F5147" t="s">
        <v>20322</v>
      </c>
      <c r="G5147" t="s">
        <v>20323</v>
      </c>
      <c r="H5147" t="s">
        <v>5474</v>
      </c>
      <c r="I5147" t="s">
        <v>20324</v>
      </c>
      <c r="J5147" t="s">
        <v>5476</v>
      </c>
      <c r="K5147" t="s">
        <v>20325</v>
      </c>
      <c r="L5147" t="s">
        <v>5471</v>
      </c>
      <c r="M5147" t="s">
        <v>5471</v>
      </c>
    </row>
    <row r="5148" spans="1:13" x14ac:dyDescent="0.3">
      <c r="A5148" t="s">
        <v>3388</v>
      </c>
      <c r="B5148" t="s">
        <v>20064</v>
      </c>
      <c r="C5148" t="s">
        <v>5470</v>
      </c>
      <c r="D5148" t="s">
        <v>4119</v>
      </c>
      <c r="E5148" t="s">
        <v>5532</v>
      </c>
      <c r="F5148" t="s">
        <v>20326</v>
      </c>
      <c r="G5148" t="s">
        <v>20234</v>
      </c>
      <c r="H5148" t="s">
        <v>5474</v>
      </c>
      <c r="I5148" t="s">
        <v>20327</v>
      </c>
      <c r="J5148" t="s">
        <v>5476</v>
      </c>
      <c r="K5148" t="s">
        <v>20328</v>
      </c>
      <c r="L5148" t="s">
        <v>5471</v>
      </c>
      <c r="M5148" t="s">
        <v>5471</v>
      </c>
    </row>
    <row r="5149" spans="1:13" x14ac:dyDescent="0.3">
      <c r="A5149" t="s">
        <v>3388</v>
      </c>
      <c r="B5149" t="s">
        <v>20040</v>
      </c>
      <c r="C5149" t="s">
        <v>5470</v>
      </c>
      <c r="D5149" t="s">
        <v>4119</v>
      </c>
      <c r="E5149" t="s">
        <v>5756</v>
      </c>
      <c r="F5149" t="s">
        <v>20329</v>
      </c>
      <c r="G5149" t="s">
        <v>18670</v>
      </c>
      <c r="H5149" t="s">
        <v>5474</v>
      </c>
      <c r="I5149" t="s">
        <v>20330</v>
      </c>
      <c r="J5149" t="s">
        <v>5476</v>
      </c>
      <c r="K5149" t="s">
        <v>20331</v>
      </c>
      <c r="L5149" t="s">
        <v>5471</v>
      </c>
      <c r="M5149" t="s">
        <v>5471</v>
      </c>
    </row>
    <row r="5150" spans="1:13" x14ac:dyDescent="0.3">
      <c r="A5150" t="s">
        <v>3388</v>
      </c>
      <c r="B5150" t="s">
        <v>7109</v>
      </c>
      <c r="C5150" t="s">
        <v>5470</v>
      </c>
      <c r="D5150" t="s">
        <v>4119</v>
      </c>
      <c r="E5150" t="s">
        <v>5532</v>
      </c>
      <c r="F5150" t="s">
        <v>20332</v>
      </c>
      <c r="G5150" t="s">
        <v>20204</v>
      </c>
      <c r="H5150" t="s">
        <v>5474</v>
      </c>
      <c r="I5150" t="s">
        <v>20333</v>
      </c>
      <c r="J5150" t="s">
        <v>5476</v>
      </c>
      <c r="K5150" t="s">
        <v>20334</v>
      </c>
      <c r="L5150" t="s">
        <v>5471</v>
      </c>
      <c r="M5150" t="s">
        <v>5471</v>
      </c>
    </row>
    <row r="5151" spans="1:13" x14ac:dyDescent="0.3">
      <c r="A5151" t="s">
        <v>3388</v>
      </c>
      <c r="B5151" t="s">
        <v>7109</v>
      </c>
      <c r="C5151" t="s">
        <v>5470</v>
      </c>
      <c r="D5151" t="s">
        <v>4119</v>
      </c>
      <c r="E5151" t="s">
        <v>5532</v>
      </c>
      <c r="F5151" t="s">
        <v>20335</v>
      </c>
      <c r="G5151" t="s">
        <v>20214</v>
      </c>
      <c r="H5151" t="s">
        <v>5474</v>
      </c>
      <c r="I5151" t="s">
        <v>20336</v>
      </c>
      <c r="J5151" t="s">
        <v>5476</v>
      </c>
      <c r="K5151" t="s">
        <v>20337</v>
      </c>
      <c r="L5151" t="s">
        <v>5471</v>
      </c>
      <c r="M5151" t="s">
        <v>5471</v>
      </c>
    </row>
    <row r="5152" spans="1:13" x14ac:dyDescent="0.3">
      <c r="A5152" t="s">
        <v>3388</v>
      </c>
      <c r="B5152" t="s">
        <v>7101</v>
      </c>
      <c r="C5152" t="s">
        <v>5470</v>
      </c>
      <c r="D5152" t="s">
        <v>4119</v>
      </c>
      <c r="E5152" t="s">
        <v>5756</v>
      </c>
      <c r="F5152" t="s">
        <v>20338</v>
      </c>
      <c r="G5152" t="s">
        <v>10449</v>
      </c>
      <c r="H5152" t="s">
        <v>5474</v>
      </c>
      <c r="I5152" t="s">
        <v>20339</v>
      </c>
      <c r="J5152" t="s">
        <v>5476</v>
      </c>
      <c r="K5152" t="s">
        <v>20340</v>
      </c>
      <c r="L5152" t="s">
        <v>5471</v>
      </c>
      <c r="M5152" t="s">
        <v>5471</v>
      </c>
    </row>
    <row r="5153" spans="1:13" x14ac:dyDescent="0.3">
      <c r="A5153" t="s">
        <v>3388</v>
      </c>
      <c r="B5153" t="s">
        <v>7101</v>
      </c>
      <c r="C5153" t="s">
        <v>5470</v>
      </c>
      <c r="D5153" t="s">
        <v>4119</v>
      </c>
      <c r="E5153" t="s">
        <v>5756</v>
      </c>
      <c r="F5153" t="s">
        <v>20341</v>
      </c>
      <c r="G5153" t="s">
        <v>10449</v>
      </c>
      <c r="H5153" t="s">
        <v>5474</v>
      </c>
      <c r="I5153" t="s">
        <v>20342</v>
      </c>
      <c r="J5153" t="s">
        <v>5476</v>
      </c>
      <c r="K5153" t="s">
        <v>20343</v>
      </c>
      <c r="L5153" t="s">
        <v>5471</v>
      </c>
      <c r="M5153" t="s">
        <v>5471</v>
      </c>
    </row>
    <row r="5154" spans="1:13" x14ac:dyDescent="0.3">
      <c r="A5154" t="s">
        <v>3388</v>
      </c>
      <c r="B5154" t="s">
        <v>7101</v>
      </c>
      <c r="C5154" t="s">
        <v>5470</v>
      </c>
      <c r="D5154" t="s">
        <v>4119</v>
      </c>
      <c r="E5154" t="s">
        <v>5756</v>
      </c>
      <c r="F5154" t="s">
        <v>20344</v>
      </c>
      <c r="G5154" t="s">
        <v>18670</v>
      </c>
      <c r="H5154" t="s">
        <v>5474</v>
      </c>
      <c r="I5154" t="s">
        <v>20345</v>
      </c>
      <c r="J5154" t="s">
        <v>5476</v>
      </c>
      <c r="K5154" t="s">
        <v>20346</v>
      </c>
      <c r="L5154" t="s">
        <v>5471</v>
      </c>
      <c r="M5154" t="s">
        <v>5471</v>
      </c>
    </row>
    <row r="5155" spans="1:13" x14ac:dyDescent="0.3">
      <c r="A5155" t="s">
        <v>3388</v>
      </c>
      <c r="B5155" t="s">
        <v>7101</v>
      </c>
      <c r="C5155" t="s">
        <v>5470</v>
      </c>
      <c r="D5155" t="s">
        <v>4119</v>
      </c>
      <c r="E5155" t="s">
        <v>5756</v>
      </c>
      <c r="F5155" t="s">
        <v>20347</v>
      </c>
      <c r="G5155" t="s">
        <v>20348</v>
      </c>
      <c r="H5155" t="s">
        <v>5474</v>
      </c>
      <c r="I5155" t="s">
        <v>20349</v>
      </c>
      <c r="J5155" t="s">
        <v>5476</v>
      </c>
      <c r="K5155" t="s">
        <v>20350</v>
      </c>
      <c r="L5155" t="s">
        <v>5471</v>
      </c>
      <c r="M5155" t="s">
        <v>5471</v>
      </c>
    </row>
    <row r="5156" spans="1:13" x14ac:dyDescent="0.3">
      <c r="A5156" t="s">
        <v>3388</v>
      </c>
      <c r="B5156" t="s">
        <v>7101</v>
      </c>
      <c r="C5156" t="s">
        <v>5470</v>
      </c>
      <c r="D5156" t="s">
        <v>4119</v>
      </c>
      <c r="E5156" t="s">
        <v>5756</v>
      </c>
      <c r="F5156" t="s">
        <v>20351</v>
      </c>
      <c r="G5156" t="s">
        <v>20348</v>
      </c>
      <c r="H5156" t="s">
        <v>5474</v>
      </c>
      <c r="I5156" t="s">
        <v>20352</v>
      </c>
      <c r="J5156" t="s">
        <v>5476</v>
      </c>
      <c r="K5156" t="s">
        <v>20353</v>
      </c>
      <c r="L5156" t="s">
        <v>5471</v>
      </c>
      <c r="M5156" t="s">
        <v>5471</v>
      </c>
    </row>
    <row r="5157" spans="1:13" x14ac:dyDescent="0.3">
      <c r="A5157" t="s">
        <v>3388</v>
      </c>
      <c r="B5157" t="s">
        <v>7101</v>
      </c>
      <c r="C5157" t="s">
        <v>5470</v>
      </c>
      <c r="D5157" t="s">
        <v>4119</v>
      </c>
      <c r="E5157" t="s">
        <v>5756</v>
      </c>
      <c r="F5157" t="s">
        <v>20354</v>
      </c>
      <c r="G5157" t="s">
        <v>20355</v>
      </c>
      <c r="H5157" t="s">
        <v>5474</v>
      </c>
      <c r="I5157" t="s">
        <v>20356</v>
      </c>
      <c r="J5157" t="s">
        <v>5476</v>
      </c>
      <c r="K5157" t="s">
        <v>20357</v>
      </c>
      <c r="L5157" t="s">
        <v>5471</v>
      </c>
      <c r="M5157" t="s">
        <v>5471</v>
      </c>
    </row>
    <row r="5158" spans="1:13" x14ac:dyDescent="0.3">
      <c r="A5158" t="s">
        <v>3388</v>
      </c>
      <c r="B5158" t="s">
        <v>5299</v>
      </c>
      <c r="C5158" t="s">
        <v>5470</v>
      </c>
      <c r="D5158" t="s">
        <v>4119</v>
      </c>
      <c r="E5158" t="s">
        <v>5532</v>
      </c>
      <c r="F5158" t="s">
        <v>20358</v>
      </c>
      <c r="G5158" t="s">
        <v>20359</v>
      </c>
      <c r="H5158" t="s">
        <v>5474</v>
      </c>
      <c r="I5158" t="s">
        <v>20360</v>
      </c>
      <c r="J5158" t="s">
        <v>5476</v>
      </c>
      <c r="K5158" t="s">
        <v>20361</v>
      </c>
      <c r="L5158" t="s">
        <v>5471</v>
      </c>
      <c r="M5158" t="s">
        <v>5471</v>
      </c>
    </row>
    <row r="5159" spans="1:13" x14ac:dyDescent="0.3">
      <c r="A5159" t="s">
        <v>3388</v>
      </c>
      <c r="B5159" t="s">
        <v>5299</v>
      </c>
      <c r="C5159" t="s">
        <v>5470</v>
      </c>
      <c r="D5159" t="s">
        <v>4119</v>
      </c>
      <c r="E5159" t="s">
        <v>5532</v>
      </c>
      <c r="F5159" t="s">
        <v>20362</v>
      </c>
      <c r="G5159" t="s">
        <v>20363</v>
      </c>
      <c r="H5159" t="s">
        <v>5474</v>
      </c>
      <c r="I5159" t="s">
        <v>20364</v>
      </c>
      <c r="J5159" t="s">
        <v>5476</v>
      </c>
      <c r="K5159" t="s">
        <v>20365</v>
      </c>
      <c r="L5159" t="s">
        <v>5471</v>
      </c>
      <c r="M5159" t="s">
        <v>5471</v>
      </c>
    </row>
    <row r="5160" spans="1:13" x14ac:dyDescent="0.3">
      <c r="A5160" t="s">
        <v>3388</v>
      </c>
      <c r="B5160" t="s">
        <v>10417</v>
      </c>
      <c r="C5160" t="s">
        <v>5470</v>
      </c>
      <c r="D5160" t="s">
        <v>4119</v>
      </c>
      <c r="E5160" t="s">
        <v>5756</v>
      </c>
      <c r="F5160" t="s">
        <v>20366</v>
      </c>
      <c r="G5160" t="s">
        <v>10449</v>
      </c>
      <c r="H5160" t="s">
        <v>5474</v>
      </c>
      <c r="I5160" t="s">
        <v>20367</v>
      </c>
      <c r="J5160" t="s">
        <v>5476</v>
      </c>
      <c r="K5160" t="s">
        <v>20368</v>
      </c>
      <c r="L5160" t="s">
        <v>5471</v>
      </c>
      <c r="M5160" t="s">
        <v>5471</v>
      </c>
    </row>
    <row r="5161" spans="1:13" x14ac:dyDescent="0.3">
      <c r="A5161" t="s">
        <v>3383</v>
      </c>
      <c r="B5161" t="s">
        <v>5952</v>
      </c>
      <c r="C5161" t="s">
        <v>5470</v>
      </c>
      <c r="D5161" t="s">
        <v>4119</v>
      </c>
      <c r="E5161" t="s">
        <v>5756</v>
      </c>
      <c r="F5161" t="s">
        <v>20369</v>
      </c>
      <c r="G5161" t="s">
        <v>5960</v>
      </c>
      <c r="H5161" t="s">
        <v>5474</v>
      </c>
      <c r="I5161" t="s">
        <v>20370</v>
      </c>
      <c r="J5161" t="s">
        <v>5484</v>
      </c>
      <c r="K5161" t="s">
        <v>20371</v>
      </c>
      <c r="L5161" t="s">
        <v>5471</v>
      </c>
      <c r="M5161" t="s">
        <v>5471</v>
      </c>
    </row>
    <row r="5162" spans="1:13" x14ac:dyDescent="0.3">
      <c r="A5162" t="s">
        <v>3383</v>
      </c>
      <c r="B5162" t="s">
        <v>5952</v>
      </c>
      <c r="C5162" t="s">
        <v>5470</v>
      </c>
      <c r="D5162" t="s">
        <v>4119</v>
      </c>
      <c r="E5162" t="s">
        <v>5756</v>
      </c>
      <c r="F5162" t="s">
        <v>20372</v>
      </c>
      <c r="G5162" t="s">
        <v>5960</v>
      </c>
      <c r="H5162" t="s">
        <v>5474</v>
      </c>
      <c r="I5162" t="s">
        <v>20373</v>
      </c>
      <c r="J5162" t="s">
        <v>5484</v>
      </c>
      <c r="K5162" t="s">
        <v>20371</v>
      </c>
      <c r="L5162" t="s">
        <v>5471</v>
      </c>
      <c r="M5162" t="s">
        <v>5471</v>
      </c>
    </row>
    <row r="5163" spans="1:13" x14ac:dyDescent="0.3">
      <c r="A5163" t="s">
        <v>3383</v>
      </c>
      <c r="B5163" t="s">
        <v>5952</v>
      </c>
      <c r="C5163" t="s">
        <v>5470</v>
      </c>
      <c r="D5163" t="s">
        <v>4119</v>
      </c>
      <c r="E5163" t="s">
        <v>5756</v>
      </c>
      <c r="F5163" t="s">
        <v>20374</v>
      </c>
      <c r="G5163" t="s">
        <v>6369</v>
      </c>
      <c r="H5163" t="s">
        <v>5474</v>
      </c>
      <c r="I5163" t="s">
        <v>20375</v>
      </c>
      <c r="J5163" t="s">
        <v>5484</v>
      </c>
      <c r="K5163" t="s">
        <v>20371</v>
      </c>
      <c r="L5163" t="s">
        <v>5471</v>
      </c>
      <c r="M5163" t="s">
        <v>5471</v>
      </c>
    </row>
    <row r="5164" spans="1:13" x14ac:dyDescent="0.3">
      <c r="A5164" t="s">
        <v>3383</v>
      </c>
      <c r="B5164" t="s">
        <v>6122</v>
      </c>
      <c r="C5164" t="s">
        <v>5470</v>
      </c>
      <c r="D5164" t="s">
        <v>12448</v>
      </c>
      <c r="E5164" t="s">
        <v>5756</v>
      </c>
      <c r="F5164" t="s">
        <v>20376</v>
      </c>
      <c r="G5164" t="s">
        <v>6123</v>
      </c>
      <c r="H5164" t="s">
        <v>5474</v>
      </c>
      <c r="I5164" t="s">
        <v>20377</v>
      </c>
      <c r="J5164" t="s">
        <v>5484</v>
      </c>
      <c r="K5164" t="s">
        <v>20371</v>
      </c>
      <c r="L5164" t="s">
        <v>5471</v>
      </c>
      <c r="M5164" t="s">
        <v>5471</v>
      </c>
    </row>
    <row r="5165" spans="1:13" x14ac:dyDescent="0.3">
      <c r="A5165" t="s">
        <v>3383</v>
      </c>
      <c r="B5165" t="s">
        <v>6051</v>
      </c>
      <c r="C5165" t="s">
        <v>5470</v>
      </c>
      <c r="D5165" t="s">
        <v>12448</v>
      </c>
      <c r="E5165" t="s">
        <v>5756</v>
      </c>
      <c r="F5165" t="s">
        <v>20378</v>
      </c>
      <c r="G5165" t="s">
        <v>6053</v>
      </c>
      <c r="H5165" t="s">
        <v>5474</v>
      </c>
      <c r="I5165" t="s">
        <v>20379</v>
      </c>
      <c r="J5165" t="s">
        <v>5484</v>
      </c>
      <c r="K5165" t="s">
        <v>20371</v>
      </c>
      <c r="L5165" t="s">
        <v>5471</v>
      </c>
      <c r="M5165" t="s">
        <v>5471</v>
      </c>
    </row>
    <row r="5166" spans="1:13" x14ac:dyDescent="0.3">
      <c r="A5166" t="s">
        <v>3383</v>
      </c>
      <c r="B5166" t="s">
        <v>5952</v>
      </c>
      <c r="C5166" t="s">
        <v>5470</v>
      </c>
      <c r="D5166" t="s">
        <v>12448</v>
      </c>
      <c r="E5166" t="s">
        <v>5756</v>
      </c>
      <c r="F5166" t="s">
        <v>20380</v>
      </c>
      <c r="G5166" t="s">
        <v>5960</v>
      </c>
      <c r="H5166" t="s">
        <v>5474</v>
      </c>
      <c r="I5166" t="s">
        <v>20381</v>
      </c>
      <c r="J5166" t="s">
        <v>5484</v>
      </c>
      <c r="K5166" t="s">
        <v>20371</v>
      </c>
      <c r="L5166" t="s">
        <v>5471</v>
      </c>
      <c r="M5166" t="s">
        <v>5471</v>
      </c>
    </row>
    <row r="5167" spans="1:13" x14ac:dyDescent="0.3">
      <c r="A5167" t="s">
        <v>3383</v>
      </c>
      <c r="B5167" t="s">
        <v>5332</v>
      </c>
      <c r="C5167" t="s">
        <v>5470</v>
      </c>
      <c r="D5167" t="s">
        <v>12448</v>
      </c>
      <c r="E5167" t="s">
        <v>5756</v>
      </c>
      <c r="F5167" t="s">
        <v>20382</v>
      </c>
      <c r="G5167" t="s">
        <v>6105</v>
      </c>
      <c r="H5167" t="s">
        <v>5474</v>
      </c>
      <c r="I5167" t="s">
        <v>20383</v>
      </c>
      <c r="J5167" t="s">
        <v>5484</v>
      </c>
      <c r="K5167" t="s">
        <v>20371</v>
      </c>
      <c r="L5167" t="s">
        <v>5471</v>
      </c>
      <c r="M5167" t="s">
        <v>5471</v>
      </c>
    </row>
    <row r="5168" spans="1:13" x14ac:dyDescent="0.3">
      <c r="A5168" t="s">
        <v>3380</v>
      </c>
      <c r="B5168" t="s">
        <v>10137</v>
      </c>
      <c r="C5168" t="s">
        <v>6342</v>
      </c>
      <c r="D5168" t="s">
        <v>4119</v>
      </c>
      <c r="E5168" t="s">
        <v>9935</v>
      </c>
      <c r="F5168" t="s">
        <v>20384</v>
      </c>
      <c r="G5168" t="s">
        <v>10145</v>
      </c>
      <c r="H5168" t="s">
        <v>5474</v>
      </c>
      <c r="I5168" t="s">
        <v>20385</v>
      </c>
      <c r="J5168" t="s">
        <v>5476</v>
      </c>
      <c r="K5168" t="s">
        <v>11039</v>
      </c>
      <c r="L5168" t="s">
        <v>5471</v>
      </c>
      <c r="M5168" t="s">
        <v>5471</v>
      </c>
    </row>
    <row r="5169" spans="1:13" x14ac:dyDescent="0.3">
      <c r="A5169" t="s">
        <v>3380</v>
      </c>
      <c r="B5169" t="s">
        <v>10137</v>
      </c>
      <c r="C5169" t="s">
        <v>6342</v>
      </c>
      <c r="D5169" t="s">
        <v>4119</v>
      </c>
      <c r="E5169" t="s">
        <v>5532</v>
      </c>
      <c r="F5169" t="s">
        <v>20386</v>
      </c>
      <c r="G5169" t="s">
        <v>10145</v>
      </c>
      <c r="H5169" t="s">
        <v>5474</v>
      </c>
      <c r="I5169" t="s">
        <v>20387</v>
      </c>
      <c r="J5169" t="s">
        <v>5476</v>
      </c>
      <c r="K5169" t="s">
        <v>20388</v>
      </c>
      <c r="L5169" t="s">
        <v>5471</v>
      </c>
      <c r="M5169" t="s">
        <v>5471</v>
      </c>
    </row>
    <row r="5170" spans="1:13" x14ac:dyDescent="0.3">
      <c r="A5170" t="s">
        <v>3388</v>
      </c>
      <c r="B5170" t="s">
        <v>11423</v>
      </c>
      <c r="C5170" t="s">
        <v>5470</v>
      </c>
      <c r="D5170" t="s">
        <v>4119</v>
      </c>
      <c r="E5170" t="s">
        <v>5532</v>
      </c>
      <c r="F5170" t="s">
        <v>20389</v>
      </c>
      <c r="G5170" t="s">
        <v>8317</v>
      </c>
      <c r="H5170" t="s">
        <v>5474</v>
      </c>
      <c r="I5170" t="s">
        <v>20390</v>
      </c>
      <c r="J5170" t="s">
        <v>5476</v>
      </c>
      <c r="K5170" t="s">
        <v>20391</v>
      </c>
      <c r="L5170" t="s">
        <v>5471</v>
      </c>
      <c r="M5170" t="s">
        <v>5471</v>
      </c>
    </row>
    <row r="5171" spans="1:13" x14ac:dyDescent="0.3">
      <c r="A5171" t="s">
        <v>3388</v>
      </c>
      <c r="B5171" t="s">
        <v>7101</v>
      </c>
      <c r="C5171" t="s">
        <v>5470</v>
      </c>
      <c r="D5171" t="s">
        <v>4119</v>
      </c>
      <c r="E5171" t="s">
        <v>5532</v>
      </c>
      <c r="F5171" t="s">
        <v>20392</v>
      </c>
      <c r="G5171" t="s">
        <v>20359</v>
      </c>
      <c r="H5171" t="s">
        <v>5474</v>
      </c>
      <c r="I5171" t="s">
        <v>20393</v>
      </c>
      <c r="J5171" t="s">
        <v>5476</v>
      </c>
      <c r="K5171" t="s">
        <v>20394</v>
      </c>
      <c r="L5171" t="s">
        <v>5471</v>
      </c>
      <c r="M5171" t="s">
        <v>5471</v>
      </c>
    </row>
    <row r="5172" spans="1:13" x14ac:dyDescent="0.3">
      <c r="A5172" t="s">
        <v>3388</v>
      </c>
      <c r="B5172" t="s">
        <v>7101</v>
      </c>
      <c r="C5172" t="s">
        <v>5470</v>
      </c>
      <c r="D5172" t="s">
        <v>4119</v>
      </c>
      <c r="E5172" t="s">
        <v>5532</v>
      </c>
      <c r="F5172" t="s">
        <v>20395</v>
      </c>
      <c r="G5172" t="s">
        <v>20363</v>
      </c>
      <c r="H5172" t="s">
        <v>5474</v>
      </c>
      <c r="I5172" t="s">
        <v>20396</v>
      </c>
      <c r="J5172" t="s">
        <v>5476</v>
      </c>
      <c r="K5172" t="s">
        <v>20397</v>
      </c>
      <c r="L5172" t="s">
        <v>5471</v>
      </c>
      <c r="M5172" t="s">
        <v>5471</v>
      </c>
    </row>
    <row r="5173" spans="1:13" x14ac:dyDescent="0.3">
      <c r="A5173" t="s">
        <v>3388</v>
      </c>
      <c r="B5173" t="s">
        <v>7101</v>
      </c>
      <c r="C5173" t="s">
        <v>5470</v>
      </c>
      <c r="D5173" t="s">
        <v>4119</v>
      </c>
      <c r="E5173" t="s">
        <v>5532</v>
      </c>
      <c r="F5173" t="s">
        <v>20398</v>
      </c>
      <c r="G5173" t="s">
        <v>20399</v>
      </c>
      <c r="H5173" t="s">
        <v>5474</v>
      </c>
      <c r="I5173" t="s">
        <v>20400</v>
      </c>
      <c r="J5173" t="s">
        <v>5476</v>
      </c>
      <c r="K5173" t="s">
        <v>20401</v>
      </c>
      <c r="L5173" t="s">
        <v>5471</v>
      </c>
      <c r="M5173" t="s">
        <v>5471</v>
      </c>
    </row>
    <row r="5174" spans="1:13" x14ac:dyDescent="0.3">
      <c r="A5174" t="s">
        <v>3388</v>
      </c>
      <c r="B5174" t="s">
        <v>7101</v>
      </c>
      <c r="C5174" t="s">
        <v>5470</v>
      </c>
      <c r="D5174" t="s">
        <v>4119</v>
      </c>
      <c r="E5174" t="s">
        <v>5532</v>
      </c>
      <c r="F5174" t="s">
        <v>20402</v>
      </c>
      <c r="G5174" t="s">
        <v>20348</v>
      </c>
      <c r="H5174" t="s">
        <v>5474</v>
      </c>
      <c r="I5174" t="s">
        <v>20403</v>
      </c>
      <c r="J5174" t="s">
        <v>5476</v>
      </c>
      <c r="K5174" t="s">
        <v>20404</v>
      </c>
      <c r="L5174" t="s">
        <v>5471</v>
      </c>
      <c r="M5174" t="s">
        <v>5471</v>
      </c>
    </row>
    <row r="5175" spans="1:13" x14ac:dyDescent="0.3">
      <c r="A5175" t="s">
        <v>3388</v>
      </c>
      <c r="B5175" t="s">
        <v>7101</v>
      </c>
      <c r="C5175" t="s">
        <v>5470</v>
      </c>
      <c r="D5175" t="s">
        <v>4119</v>
      </c>
      <c r="E5175" t="s">
        <v>5532</v>
      </c>
      <c r="F5175" t="s">
        <v>20405</v>
      </c>
      <c r="G5175" t="s">
        <v>20406</v>
      </c>
      <c r="H5175" t="s">
        <v>5474</v>
      </c>
      <c r="I5175" t="s">
        <v>20407</v>
      </c>
      <c r="J5175" t="s">
        <v>5476</v>
      </c>
      <c r="K5175" t="s">
        <v>20408</v>
      </c>
      <c r="L5175" t="s">
        <v>5471</v>
      </c>
      <c r="M5175" t="s">
        <v>5471</v>
      </c>
    </row>
    <row r="5176" spans="1:13" x14ac:dyDescent="0.3">
      <c r="A5176" t="s">
        <v>3388</v>
      </c>
      <c r="B5176" t="s">
        <v>6478</v>
      </c>
      <c r="C5176" t="s">
        <v>5470</v>
      </c>
      <c r="D5176" t="s">
        <v>4119</v>
      </c>
      <c r="E5176" t="s">
        <v>5532</v>
      </c>
      <c r="F5176" t="s">
        <v>20409</v>
      </c>
      <c r="G5176" t="s">
        <v>20410</v>
      </c>
      <c r="H5176" t="s">
        <v>5474</v>
      </c>
      <c r="I5176" t="s">
        <v>20411</v>
      </c>
      <c r="J5176" t="s">
        <v>5476</v>
      </c>
      <c r="K5176" t="s">
        <v>20412</v>
      </c>
      <c r="L5176" t="s">
        <v>5471</v>
      </c>
      <c r="M5176" t="s">
        <v>5471</v>
      </c>
    </row>
    <row r="5177" spans="1:13" x14ac:dyDescent="0.3">
      <c r="A5177" t="s">
        <v>3388</v>
      </c>
      <c r="B5177" t="s">
        <v>20413</v>
      </c>
      <c r="C5177" t="s">
        <v>5470</v>
      </c>
      <c r="D5177" t="s">
        <v>9833</v>
      </c>
      <c r="E5177" t="s">
        <v>5756</v>
      </c>
      <c r="F5177" t="s">
        <v>20414</v>
      </c>
      <c r="G5177" t="s">
        <v>20415</v>
      </c>
      <c r="H5177" t="s">
        <v>5474</v>
      </c>
      <c r="I5177" t="s">
        <v>20416</v>
      </c>
      <c r="J5177" t="s">
        <v>5476</v>
      </c>
      <c r="K5177" t="s">
        <v>20417</v>
      </c>
      <c r="L5177" t="s">
        <v>5471</v>
      </c>
      <c r="M5177" t="s">
        <v>5471</v>
      </c>
    </row>
    <row r="5178" spans="1:13" x14ac:dyDescent="0.3">
      <c r="A5178" t="s">
        <v>3388</v>
      </c>
      <c r="B5178" t="s">
        <v>20413</v>
      </c>
      <c r="C5178" t="s">
        <v>5470</v>
      </c>
      <c r="D5178" t="s">
        <v>9833</v>
      </c>
      <c r="E5178" t="s">
        <v>5756</v>
      </c>
      <c r="F5178" t="s">
        <v>20418</v>
      </c>
      <c r="G5178" t="s">
        <v>20419</v>
      </c>
      <c r="H5178" t="s">
        <v>5474</v>
      </c>
      <c r="I5178" t="s">
        <v>20420</v>
      </c>
      <c r="J5178" t="s">
        <v>5476</v>
      </c>
      <c r="K5178" t="s">
        <v>20421</v>
      </c>
      <c r="L5178" t="s">
        <v>5471</v>
      </c>
      <c r="M5178" t="s">
        <v>5471</v>
      </c>
    </row>
    <row r="5179" spans="1:13" x14ac:dyDescent="0.3">
      <c r="A5179" t="s">
        <v>3388</v>
      </c>
      <c r="B5179" t="s">
        <v>20422</v>
      </c>
      <c r="C5179" t="s">
        <v>5470</v>
      </c>
      <c r="D5179" t="s">
        <v>9833</v>
      </c>
      <c r="E5179" t="s">
        <v>5532</v>
      </c>
      <c r="F5179" t="s">
        <v>20423</v>
      </c>
      <c r="G5179" t="s">
        <v>20424</v>
      </c>
      <c r="H5179" t="s">
        <v>5474</v>
      </c>
      <c r="I5179" t="s">
        <v>20425</v>
      </c>
      <c r="J5179" t="s">
        <v>5476</v>
      </c>
      <c r="K5179" t="s">
        <v>20426</v>
      </c>
      <c r="L5179" t="s">
        <v>5471</v>
      </c>
      <c r="M5179" t="s">
        <v>5471</v>
      </c>
    </row>
    <row r="5180" spans="1:13" x14ac:dyDescent="0.3">
      <c r="A5180" t="s">
        <v>3388</v>
      </c>
      <c r="B5180" t="s">
        <v>20427</v>
      </c>
      <c r="C5180" t="s">
        <v>5470</v>
      </c>
      <c r="D5180" t="s">
        <v>9833</v>
      </c>
      <c r="E5180" t="s">
        <v>5532</v>
      </c>
      <c r="F5180" t="s">
        <v>20428</v>
      </c>
      <c r="G5180" t="s">
        <v>20429</v>
      </c>
      <c r="H5180" t="s">
        <v>5474</v>
      </c>
      <c r="I5180" t="s">
        <v>20430</v>
      </c>
      <c r="J5180" t="s">
        <v>5476</v>
      </c>
      <c r="K5180" t="s">
        <v>20431</v>
      </c>
      <c r="L5180" t="s">
        <v>5471</v>
      </c>
      <c r="M5180" t="s">
        <v>5471</v>
      </c>
    </row>
    <row r="5181" spans="1:13" x14ac:dyDescent="0.3">
      <c r="A5181" t="s">
        <v>3388</v>
      </c>
      <c r="B5181" t="s">
        <v>20432</v>
      </c>
      <c r="C5181" t="s">
        <v>5470</v>
      </c>
      <c r="D5181" t="s">
        <v>9833</v>
      </c>
      <c r="E5181" t="s">
        <v>5532</v>
      </c>
      <c r="F5181" t="s">
        <v>20433</v>
      </c>
      <c r="G5181" t="s">
        <v>20434</v>
      </c>
      <c r="H5181" t="s">
        <v>5474</v>
      </c>
      <c r="I5181" t="s">
        <v>20435</v>
      </c>
      <c r="J5181" t="s">
        <v>5476</v>
      </c>
      <c r="K5181" t="s">
        <v>20436</v>
      </c>
      <c r="L5181" t="s">
        <v>5471</v>
      </c>
      <c r="M5181" t="s">
        <v>5471</v>
      </c>
    </row>
    <row r="5182" spans="1:13" x14ac:dyDescent="0.3">
      <c r="A5182" t="s">
        <v>3388</v>
      </c>
      <c r="B5182" t="s">
        <v>20437</v>
      </c>
      <c r="C5182" t="s">
        <v>5470</v>
      </c>
      <c r="D5182" t="s">
        <v>9833</v>
      </c>
      <c r="E5182" t="s">
        <v>5532</v>
      </c>
      <c r="F5182" t="s">
        <v>20438</v>
      </c>
      <c r="G5182" t="s">
        <v>20194</v>
      </c>
      <c r="H5182" t="s">
        <v>5474</v>
      </c>
      <c r="I5182" t="s">
        <v>20439</v>
      </c>
      <c r="J5182" t="s">
        <v>5476</v>
      </c>
      <c r="K5182" t="s">
        <v>20440</v>
      </c>
      <c r="L5182" t="s">
        <v>5471</v>
      </c>
      <c r="M5182" t="s">
        <v>5471</v>
      </c>
    </row>
    <row r="5183" spans="1:13" x14ac:dyDescent="0.3">
      <c r="A5183" t="s">
        <v>3388</v>
      </c>
      <c r="B5183" t="s">
        <v>17993</v>
      </c>
      <c r="C5183" t="s">
        <v>5470</v>
      </c>
      <c r="D5183" t="s">
        <v>9833</v>
      </c>
      <c r="E5183" t="s">
        <v>5532</v>
      </c>
      <c r="F5183" t="s">
        <v>20441</v>
      </c>
      <c r="G5183" t="s">
        <v>8317</v>
      </c>
      <c r="H5183" t="s">
        <v>5474</v>
      </c>
      <c r="I5183" t="s">
        <v>20442</v>
      </c>
      <c r="J5183" t="s">
        <v>5476</v>
      </c>
      <c r="K5183" t="s">
        <v>20443</v>
      </c>
      <c r="L5183" t="s">
        <v>5471</v>
      </c>
      <c r="M5183" t="s">
        <v>5471</v>
      </c>
    </row>
    <row r="5184" spans="1:13" x14ac:dyDescent="0.3">
      <c r="A5184" t="s">
        <v>3380</v>
      </c>
      <c r="B5184" t="s">
        <v>5261</v>
      </c>
      <c r="C5184" t="s">
        <v>6342</v>
      </c>
      <c r="D5184" t="s">
        <v>4119</v>
      </c>
      <c r="E5184" t="s">
        <v>9935</v>
      </c>
      <c r="F5184" t="s">
        <v>20444</v>
      </c>
      <c r="G5184" t="s">
        <v>16694</v>
      </c>
      <c r="H5184" t="s">
        <v>5474</v>
      </c>
      <c r="I5184" t="s">
        <v>20445</v>
      </c>
      <c r="J5184" t="s">
        <v>5476</v>
      </c>
      <c r="K5184" t="s">
        <v>11039</v>
      </c>
      <c r="L5184" t="s">
        <v>5471</v>
      </c>
      <c r="M5184" t="s">
        <v>5471</v>
      </c>
    </row>
    <row r="5185" spans="1:13" x14ac:dyDescent="0.3">
      <c r="A5185" t="s">
        <v>3380</v>
      </c>
      <c r="B5185" t="s">
        <v>5261</v>
      </c>
      <c r="C5185" t="s">
        <v>6342</v>
      </c>
      <c r="D5185" t="s">
        <v>4119</v>
      </c>
      <c r="E5185" t="s">
        <v>5532</v>
      </c>
      <c r="F5185" t="s">
        <v>20446</v>
      </c>
      <c r="G5185" t="s">
        <v>16694</v>
      </c>
      <c r="H5185" t="s">
        <v>5474</v>
      </c>
      <c r="I5185" t="s">
        <v>20447</v>
      </c>
      <c r="J5185" t="s">
        <v>5476</v>
      </c>
      <c r="K5185" t="s">
        <v>20388</v>
      </c>
      <c r="L5185" t="s">
        <v>5471</v>
      </c>
      <c r="M5185" t="s">
        <v>5471</v>
      </c>
    </row>
    <row r="5186" spans="1:13" x14ac:dyDescent="0.3">
      <c r="A5186" t="s">
        <v>3388</v>
      </c>
      <c r="B5186" t="s">
        <v>17321</v>
      </c>
      <c r="C5186" t="s">
        <v>5470</v>
      </c>
      <c r="D5186" t="s">
        <v>5471</v>
      </c>
      <c r="E5186" t="s">
        <v>5617</v>
      </c>
      <c r="F5186" t="s">
        <v>20448</v>
      </c>
      <c r="G5186" t="s">
        <v>20449</v>
      </c>
      <c r="H5186" t="s">
        <v>5471</v>
      </c>
      <c r="I5186" t="s">
        <v>20450</v>
      </c>
      <c r="J5186" t="s">
        <v>5484</v>
      </c>
      <c r="K5186" t="s">
        <v>5471</v>
      </c>
      <c r="L5186" t="s">
        <v>5471</v>
      </c>
      <c r="M5186" t="s">
        <v>5471</v>
      </c>
    </row>
    <row r="5187" spans="1:13" x14ac:dyDescent="0.3">
      <c r="A5187" t="s">
        <v>3388</v>
      </c>
      <c r="B5187" t="s">
        <v>5616</v>
      </c>
      <c r="C5187" t="s">
        <v>5470</v>
      </c>
      <c r="D5187" t="s">
        <v>5471</v>
      </c>
      <c r="E5187" t="s">
        <v>5617</v>
      </c>
      <c r="F5187" t="s">
        <v>20451</v>
      </c>
      <c r="G5187" t="s">
        <v>20452</v>
      </c>
      <c r="H5187" t="s">
        <v>5471</v>
      </c>
      <c r="I5187" t="s">
        <v>20453</v>
      </c>
      <c r="J5187" t="s">
        <v>5484</v>
      </c>
      <c r="K5187" t="s">
        <v>5471</v>
      </c>
      <c r="L5187" t="s">
        <v>5471</v>
      </c>
      <c r="M5187" t="s">
        <v>5471</v>
      </c>
    </row>
    <row r="5188" spans="1:13" x14ac:dyDescent="0.3">
      <c r="A5188" t="s">
        <v>3388</v>
      </c>
      <c r="B5188" t="s">
        <v>5616</v>
      </c>
      <c r="C5188" t="s">
        <v>5470</v>
      </c>
      <c r="D5188" t="s">
        <v>5471</v>
      </c>
      <c r="E5188" t="s">
        <v>5617</v>
      </c>
      <c r="F5188" t="s">
        <v>20454</v>
      </c>
      <c r="G5188" t="s">
        <v>20455</v>
      </c>
      <c r="H5188" t="s">
        <v>5471</v>
      </c>
      <c r="I5188" t="s">
        <v>20456</v>
      </c>
      <c r="J5188" t="s">
        <v>5476</v>
      </c>
      <c r="K5188" t="s">
        <v>5471</v>
      </c>
      <c r="L5188" t="s">
        <v>5471</v>
      </c>
      <c r="M5188" t="s">
        <v>5471</v>
      </c>
    </row>
    <row r="5189" spans="1:13" x14ac:dyDescent="0.3">
      <c r="A5189" t="s">
        <v>3388</v>
      </c>
      <c r="B5189" t="s">
        <v>20457</v>
      </c>
      <c r="C5189" t="s">
        <v>5470</v>
      </c>
      <c r="D5189" t="s">
        <v>5471</v>
      </c>
      <c r="E5189" t="s">
        <v>5617</v>
      </c>
      <c r="F5189" t="s">
        <v>20458</v>
      </c>
      <c r="G5189" t="s">
        <v>20459</v>
      </c>
      <c r="H5189" t="s">
        <v>5471</v>
      </c>
      <c r="I5189" t="s">
        <v>20460</v>
      </c>
      <c r="J5189" t="s">
        <v>5476</v>
      </c>
      <c r="K5189" t="s">
        <v>5471</v>
      </c>
      <c r="L5189" t="s">
        <v>5471</v>
      </c>
      <c r="M5189" t="s">
        <v>5471</v>
      </c>
    </row>
    <row r="5190" spans="1:13" x14ac:dyDescent="0.3">
      <c r="A5190" t="s">
        <v>3388</v>
      </c>
      <c r="B5190" t="s">
        <v>20461</v>
      </c>
      <c r="C5190" t="s">
        <v>5470</v>
      </c>
      <c r="D5190" t="s">
        <v>5471</v>
      </c>
      <c r="E5190" t="s">
        <v>5617</v>
      </c>
      <c r="F5190" t="s">
        <v>20462</v>
      </c>
      <c r="G5190" t="s">
        <v>20463</v>
      </c>
      <c r="H5190" t="s">
        <v>5471</v>
      </c>
      <c r="I5190" t="s">
        <v>20464</v>
      </c>
      <c r="J5190" t="s">
        <v>5476</v>
      </c>
      <c r="K5190" t="s">
        <v>5471</v>
      </c>
      <c r="L5190" t="s">
        <v>5471</v>
      </c>
      <c r="M5190" t="s">
        <v>5471</v>
      </c>
    </row>
    <row r="5191" spans="1:13" x14ac:dyDescent="0.3">
      <c r="A5191" t="s">
        <v>3388</v>
      </c>
      <c r="B5191" t="s">
        <v>20461</v>
      </c>
      <c r="C5191" t="s">
        <v>5470</v>
      </c>
      <c r="D5191" t="s">
        <v>5471</v>
      </c>
      <c r="E5191" t="s">
        <v>5617</v>
      </c>
      <c r="F5191" t="s">
        <v>20465</v>
      </c>
      <c r="G5191" t="s">
        <v>20466</v>
      </c>
      <c r="H5191" t="s">
        <v>5471</v>
      </c>
      <c r="I5191" t="s">
        <v>20467</v>
      </c>
      <c r="J5191" t="s">
        <v>5476</v>
      </c>
      <c r="K5191" t="s">
        <v>5471</v>
      </c>
      <c r="L5191" t="s">
        <v>5471</v>
      </c>
      <c r="M5191" t="s">
        <v>5471</v>
      </c>
    </row>
    <row r="5192" spans="1:13" x14ac:dyDescent="0.3">
      <c r="A5192" t="s">
        <v>3388</v>
      </c>
      <c r="B5192" t="s">
        <v>15863</v>
      </c>
      <c r="C5192" t="s">
        <v>5470</v>
      </c>
      <c r="D5192" t="s">
        <v>5471</v>
      </c>
      <c r="E5192" t="s">
        <v>5617</v>
      </c>
      <c r="F5192" t="s">
        <v>20468</v>
      </c>
      <c r="G5192" t="s">
        <v>20469</v>
      </c>
      <c r="H5192" t="s">
        <v>5471</v>
      </c>
      <c r="I5192" t="s">
        <v>20470</v>
      </c>
      <c r="J5192" t="s">
        <v>5476</v>
      </c>
      <c r="K5192" t="s">
        <v>5471</v>
      </c>
      <c r="L5192" t="s">
        <v>5471</v>
      </c>
      <c r="M5192" t="s">
        <v>5471</v>
      </c>
    </row>
    <row r="5193" spans="1:13" x14ac:dyDescent="0.3">
      <c r="A5193" t="s">
        <v>3388</v>
      </c>
      <c r="B5193" t="s">
        <v>15863</v>
      </c>
      <c r="C5193" t="s">
        <v>5470</v>
      </c>
      <c r="D5193" t="s">
        <v>5471</v>
      </c>
      <c r="E5193" t="s">
        <v>5617</v>
      </c>
      <c r="F5193" t="s">
        <v>20471</v>
      </c>
      <c r="G5193" t="s">
        <v>20472</v>
      </c>
      <c r="H5193" t="s">
        <v>5471</v>
      </c>
      <c r="I5193" t="s">
        <v>20473</v>
      </c>
      <c r="J5193" t="s">
        <v>5476</v>
      </c>
      <c r="K5193" t="s">
        <v>5471</v>
      </c>
      <c r="L5193" t="s">
        <v>5471</v>
      </c>
      <c r="M5193" t="s">
        <v>5471</v>
      </c>
    </row>
    <row r="5194" spans="1:13" x14ac:dyDescent="0.3">
      <c r="A5194" t="s">
        <v>3388</v>
      </c>
      <c r="B5194" t="s">
        <v>15863</v>
      </c>
      <c r="C5194" t="s">
        <v>5470</v>
      </c>
      <c r="D5194" t="s">
        <v>5471</v>
      </c>
      <c r="E5194" t="s">
        <v>5617</v>
      </c>
      <c r="F5194" t="s">
        <v>20474</v>
      </c>
      <c r="G5194" t="s">
        <v>20475</v>
      </c>
      <c r="H5194" t="s">
        <v>5471</v>
      </c>
      <c r="I5194" t="s">
        <v>20476</v>
      </c>
      <c r="J5194" t="s">
        <v>5476</v>
      </c>
      <c r="K5194" t="s">
        <v>5471</v>
      </c>
      <c r="L5194" t="s">
        <v>5471</v>
      </c>
      <c r="M5194" t="s">
        <v>5471</v>
      </c>
    </row>
    <row r="5195" spans="1:13" x14ac:dyDescent="0.3">
      <c r="A5195" t="s">
        <v>3388</v>
      </c>
      <c r="B5195" t="s">
        <v>20477</v>
      </c>
      <c r="C5195" t="s">
        <v>5470</v>
      </c>
      <c r="D5195" t="s">
        <v>5471</v>
      </c>
      <c r="E5195" t="s">
        <v>5617</v>
      </c>
      <c r="F5195" t="s">
        <v>20478</v>
      </c>
      <c r="G5195" t="s">
        <v>20479</v>
      </c>
      <c r="H5195" t="s">
        <v>5471</v>
      </c>
      <c r="I5195" t="s">
        <v>20480</v>
      </c>
      <c r="J5195" t="s">
        <v>5476</v>
      </c>
      <c r="K5195" t="s">
        <v>5471</v>
      </c>
      <c r="L5195" t="s">
        <v>5471</v>
      </c>
      <c r="M5195" t="s">
        <v>5471</v>
      </c>
    </row>
    <row r="5196" spans="1:13" x14ac:dyDescent="0.3">
      <c r="A5196" t="s">
        <v>3388</v>
      </c>
      <c r="B5196" t="s">
        <v>15892</v>
      </c>
      <c r="C5196" t="s">
        <v>5470</v>
      </c>
      <c r="D5196" t="s">
        <v>5471</v>
      </c>
      <c r="E5196" t="s">
        <v>5617</v>
      </c>
      <c r="F5196" t="s">
        <v>20481</v>
      </c>
      <c r="G5196" t="s">
        <v>20482</v>
      </c>
      <c r="H5196" t="s">
        <v>5471</v>
      </c>
      <c r="I5196" t="s">
        <v>20483</v>
      </c>
      <c r="J5196" t="s">
        <v>5476</v>
      </c>
      <c r="K5196" t="s">
        <v>5471</v>
      </c>
      <c r="L5196" t="s">
        <v>5471</v>
      </c>
      <c r="M5196" t="s">
        <v>5471</v>
      </c>
    </row>
    <row r="5197" spans="1:13" x14ac:dyDescent="0.3">
      <c r="A5197" t="s">
        <v>3388</v>
      </c>
      <c r="B5197" t="s">
        <v>5253</v>
      </c>
      <c r="C5197" t="s">
        <v>5470</v>
      </c>
      <c r="D5197" t="s">
        <v>4347</v>
      </c>
      <c r="E5197" t="s">
        <v>5617</v>
      </c>
      <c r="F5197" t="s">
        <v>20484</v>
      </c>
      <c r="G5197" t="s">
        <v>20485</v>
      </c>
      <c r="H5197" t="s">
        <v>5474</v>
      </c>
      <c r="I5197" t="s">
        <v>20486</v>
      </c>
      <c r="J5197" t="s">
        <v>5484</v>
      </c>
      <c r="K5197" t="s">
        <v>20487</v>
      </c>
      <c r="L5197" t="s">
        <v>15887</v>
      </c>
      <c r="M5197" t="s">
        <v>5471</v>
      </c>
    </row>
    <row r="5198" spans="1:13" x14ac:dyDescent="0.3">
      <c r="A5198" t="s">
        <v>3380</v>
      </c>
      <c r="B5198" t="s">
        <v>18327</v>
      </c>
      <c r="C5198" t="s">
        <v>6342</v>
      </c>
      <c r="D5198" t="s">
        <v>4119</v>
      </c>
      <c r="E5198" t="s">
        <v>5532</v>
      </c>
      <c r="F5198" t="s">
        <v>20488</v>
      </c>
      <c r="G5198" t="s">
        <v>18329</v>
      </c>
      <c r="H5198" t="s">
        <v>5474</v>
      </c>
      <c r="I5198" t="s">
        <v>20489</v>
      </c>
      <c r="J5198" t="s">
        <v>5476</v>
      </c>
      <c r="K5198" t="s">
        <v>5471</v>
      </c>
      <c r="L5198" t="s">
        <v>5471</v>
      </c>
      <c r="M5198" t="s">
        <v>5471</v>
      </c>
    </row>
    <row r="5199" spans="1:13" x14ac:dyDescent="0.3">
      <c r="A5199" t="s">
        <v>3380</v>
      </c>
      <c r="B5199" t="s">
        <v>20490</v>
      </c>
      <c r="C5199" t="s">
        <v>6342</v>
      </c>
      <c r="D5199" t="s">
        <v>4119</v>
      </c>
      <c r="E5199" t="s">
        <v>5532</v>
      </c>
      <c r="F5199" t="s">
        <v>20491</v>
      </c>
      <c r="G5199" t="s">
        <v>16263</v>
      </c>
      <c r="H5199" t="s">
        <v>5474</v>
      </c>
      <c r="I5199" t="s">
        <v>20492</v>
      </c>
      <c r="J5199" t="s">
        <v>5476</v>
      </c>
      <c r="K5199" t="s">
        <v>5471</v>
      </c>
      <c r="L5199" t="s">
        <v>5471</v>
      </c>
      <c r="M5199" t="s">
        <v>5471</v>
      </c>
    </row>
    <row r="5200" spans="1:13" x14ac:dyDescent="0.3">
      <c r="A5200" t="s">
        <v>3380</v>
      </c>
      <c r="B5200" t="s">
        <v>10105</v>
      </c>
      <c r="C5200" t="s">
        <v>6342</v>
      </c>
      <c r="D5200" t="s">
        <v>4119</v>
      </c>
      <c r="E5200" t="s">
        <v>5532</v>
      </c>
      <c r="F5200" t="s">
        <v>20493</v>
      </c>
      <c r="G5200" t="s">
        <v>16405</v>
      </c>
      <c r="H5200" t="s">
        <v>5474</v>
      </c>
      <c r="I5200" t="s">
        <v>20494</v>
      </c>
      <c r="J5200" t="s">
        <v>5476</v>
      </c>
      <c r="K5200" t="s">
        <v>5471</v>
      </c>
      <c r="L5200" t="s">
        <v>5471</v>
      </c>
      <c r="M5200" t="s">
        <v>5471</v>
      </c>
    </row>
    <row r="5201" spans="1:13" x14ac:dyDescent="0.3">
      <c r="A5201" t="s">
        <v>3383</v>
      </c>
      <c r="B5201" t="s">
        <v>6122</v>
      </c>
      <c r="C5201" t="s">
        <v>5470</v>
      </c>
      <c r="D5201" t="s">
        <v>4058</v>
      </c>
      <c r="E5201" t="s">
        <v>5532</v>
      </c>
      <c r="F5201" t="s">
        <v>20495</v>
      </c>
      <c r="G5201" t="s">
        <v>20496</v>
      </c>
      <c r="H5201" t="s">
        <v>5474</v>
      </c>
      <c r="I5201" t="s">
        <v>20497</v>
      </c>
      <c r="J5201" t="s">
        <v>5484</v>
      </c>
      <c r="K5201" t="s">
        <v>20498</v>
      </c>
      <c r="L5201" t="s">
        <v>5485</v>
      </c>
      <c r="M5201" t="s">
        <v>5471</v>
      </c>
    </row>
    <row r="5202" spans="1:13" x14ac:dyDescent="0.3">
      <c r="A5202" t="s">
        <v>3383</v>
      </c>
      <c r="B5202" t="s">
        <v>6122</v>
      </c>
      <c r="C5202" t="s">
        <v>5470</v>
      </c>
      <c r="D5202" t="s">
        <v>4058</v>
      </c>
      <c r="E5202" t="s">
        <v>5532</v>
      </c>
      <c r="F5202" t="s">
        <v>20499</v>
      </c>
      <c r="G5202" t="s">
        <v>20500</v>
      </c>
      <c r="H5202" t="s">
        <v>5474</v>
      </c>
      <c r="I5202" t="s">
        <v>20501</v>
      </c>
      <c r="J5202" t="s">
        <v>5484</v>
      </c>
      <c r="K5202" t="s">
        <v>20502</v>
      </c>
      <c r="L5202" t="s">
        <v>5485</v>
      </c>
      <c r="M5202" t="s">
        <v>5471</v>
      </c>
    </row>
    <row r="5203" spans="1:13" x14ac:dyDescent="0.3">
      <c r="A5203" t="s">
        <v>3383</v>
      </c>
      <c r="B5203" t="s">
        <v>8483</v>
      </c>
      <c r="C5203" t="s">
        <v>5487</v>
      </c>
      <c r="D5203" t="s">
        <v>4119</v>
      </c>
      <c r="E5203" t="s">
        <v>19484</v>
      </c>
      <c r="F5203" t="s">
        <v>20503</v>
      </c>
      <c r="G5203" t="s">
        <v>20504</v>
      </c>
      <c r="H5203" t="s">
        <v>5474</v>
      </c>
      <c r="I5203" t="s">
        <v>20505</v>
      </c>
      <c r="J5203" t="s">
        <v>5476</v>
      </c>
      <c r="K5203" t="s">
        <v>5471</v>
      </c>
      <c r="L5203" t="s">
        <v>5471</v>
      </c>
      <c r="M5203" t="s">
        <v>5471</v>
      </c>
    </row>
    <row r="5204" spans="1:13" x14ac:dyDescent="0.3">
      <c r="A5204" t="s">
        <v>3383</v>
      </c>
      <c r="B5204" t="s">
        <v>5330</v>
      </c>
      <c r="C5204" t="s">
        <v>5470</v>
      </c>
      <c r="D5204" t="s">
        <v>4052</v>
      </c>
      <c r="E5204" t="s">
        <v>5617</v>
      </c>
      <c r="F5204" t="s">
        <v>20506</v>
      </c>
      <c r="G5204" t="s">
        <v>7942</v>
      </c>
      <c r="H5204" t="s">
        <v>5474</v>
      </c>
      <c r="I5204" t="s">
        <v>20507</v>
      </c>
      <c r="J5204" t="s">
        <v>5484</v>
      </c>
      <c r="K5204" t="s">
        <v>20508</v>
      </c>
      <c r="L5204" t="s">
        <v>20509</v>
      </c>
      <c r="M5204" t="s">
        <v>5471</v>
      </c>
    </row>
    <row r="5205" spans="1:13" x14ac:dyDescent="0.3">
      <c r="A5205" t="s">
        <v>3383</v>
      </c>
      <c r="B5205" t="s">
        <v>5330</v>
      </c>
      <c r="C5205" t="s">
        <v>5470</v>
      </c>
      <c r="D5205" t="s">
        <v>4052</v>
      </c>
      <c r="E5205" t="s">
        <v>5617</v>
      </c>
      <c r="F5205" t="s">
        <v>20510</v>
      </c>
      <c r="G5205" t="s">
        <v>20511</v>
      </c>
      <c r="H5205" t="s">
        <v>5474</v>
      </c>
      <c r="I5205" t="s">
        <v>20512</v>
      </c>
      <c r="J5205" t="s">
        <v>5484</v>
      </c>
      <c r="K5205" t="s">
        <v>20513</v>
      </c>
      <c r="L5205" t="s">
        <v>20509</v>
      </c>
      <c r="M5205" t="s">
        <v>5471</v>
      </c>
    </row>
    <row r="5206" spans="1:13" x14ac:dyDescent="0.3">
      <c r="A5206" t="s">
        <v>3383</v>
      </c>
      <c r="B5206" t="s">
        <v>5330</v>
      </c>
      <c r="C5206" t="s">
        <v>5470</v>
      </c>
      <c r="D5206" t="s">
        <v>4052</v>
      </c>
      <c r="E5206" t="s">
        <v>5617</v>
      </c>
      <c r="F5206" t="s">
        <v>20510</v>
      </c>
      <c r="G5206" t="s">
        <v>7936</v>
      </c>
      <c r="H5206" t="s">
        <v>5474</v>
      </c>
      <c r="I5206" t="s">
        <v>20514</v>
      </c>
      <c r="J5206" t="s">
        <v>5484</v>
      </c>
      <c r="K5206" t="s">
        <v>20515</v>
      </c>
      <c r="L5206" t="s">
        <v>20509</v>
      </c>
      <c r="M5206" t="s">
        <v>5471</v>
      </c>
    </row>
    <row r="5207" spans="1:13" x14ac:dyDescent="0.3">
      <c r="A5207" t="s">
        <v>3383</v>
      </c>
      <c r="B5207" t="s">
        <v>5330</v>
      </c>
      <c r="C5207" t="s">
        <v>5470</v>
      </c>
      <c r="D5207" t="s">
        <v>4052</v>
      </c>
      <c r="E5207" t="s">
        <v>5617</v>
      </c>
      <c r="F5207" t="s">
        <v>20510</v>
      </c>
      <c r="G5207" t="s">
        <v>7930</v>
      </c>
      <c r="H5207" t="s">
        <v>5474</v>
      </c>
      <c r="I5207" t="s">
        <v>20516</v>
      </c>
      <c r="J5207" t="s">
        <v>5484</v>
      </c>
      <c r="K5207" t="s">
        <v>20517</v>
      </c>
      <c r="L5207" t="s">
        <v>20509</v>
      </c>
      <c r="M5207" t="s">
        <v>5471</v>
      </c>
    </row>
    <row r="5208" spans="1:13" x14ac:dyDescent="0.3">
      <c r="A5208" t="s">
        <v>3383</v>
      </c>
      <c r="B5208" t="s">
        <v>5330</v>
      </c>
      <c r="C5208" t="s">
        <v>5470</v>
      </c>
      <c r="D5208" t="s">
        <v>4052</v>
      </c>
      <c r="E5208" t="s">
        <v>5617</v>
      </c>
      <c r="F5208" t="s">
        <v>20510</v>
      </c>
      <c r="G5208" t="s">
        <v>20518</v>
      </c>
      <c r="H5208" t="s">
        <v>5474</v>
      </c>
      <c r="I5208" t="s">
        <v>20519</v>
      </c>
      <c r="J5208" t="s">
        <v>5484</v>
      </c>
      <c r="K5208" t="s">
        <v>20520</v>
      </c>
      <c r="L5208" t="s">
        <v>20509</v>
      </c>
      <c r="M5208" t="s">
        <v>5471</v>
      </c>
    </row>
    <row r="5209" spans="1:13" x14ac:dyDescent="0.3">
      <c r="A5209" t="s">
        <v>3383</v>
      </c>
      <c r="B5209" t="s">
        <v>5330</v>
      </c>
      <c r="C5209" t="s">
        <v>5470</v>
      </c>
      <c r="D5209" t="s">
        <v>4052</v>
      </c>
      <c r="E5209" t="s">
        <v>5617</v>
      </c>
      <c r="F5209" t="s">
        <v>20510</v>
      </c>
      <c r="G5209" t="s">
        <v>7965</v>
      </c>
      <c r="H5209" t="s">
        <v>5474</v>
      </c>
      <c r="I5209" t="s">
        <v>20521</v>
      </c>
      <c r="J5209" t="s">
        <v>5484</v>
      </c>
      <c r="K5209" t="s">
        <v>20522</v>
      </c>
      <c r="L5209" t="s">
        <v>20509</v>
      </c>
      <c r="M5209" t="s">
        <v>5471</v>
      </c>
    </row>
    <row r="5210" spans="1:13" x14ac:dyDescent="0.3">
      <c r="A5210" t="s">
        <v>3383</v>
      </c>
      <c r="B5210" t="s">
        <v>5330</v>
      </c>
      <c r="C5210" t="s">
        <v>5470</v>
      </c>
      <c r="D5210" t="s">
        <v>4052</v>
      </c>
      <c r="E5210" t="s">
        <v>5617</v>
      </c>
      <c r="F5210" t="s">
        <v>20510</v>
      </c>
      <c r="G5210" t="s">
        <v>7957</v>
      </c>
      <c r="H5210" t="s">
        <v>5474</v>
      </c>
      <c r="I5210" t="s">
        <v>20523</v>
      </c>
      <c r="J5210" t="s">
        <v>5484</v>
      </c>
      <c r="K5210" t="s">
        <v>20524</v>
      </c>
      <c r="L5210" t="s">
        <v>20509</v>
      </c>
      <c r="M5210" t="s">
        <v>5471</v>
      </c>
    </row>
    <row r="5211" spans="1:13" x14ac:dyDescent="0.3">
      <c r="A5211" t="s">
        <v>3383</v>
      </c>
      <c r="B5211" t="s">
        <v>5330</v>
      </c>
      <c r="C5211" t="s">
        <v>5470</v>
      </c>
      <c r="D5211" t="s">
        <v>4052</v>
      </c>
      <c r="E5211" t="s">
        <v>5617</v>
      </c>
      <c r="F5211" t="s">
        <v>20510</v>
      </c>
      <c r="G5211" t="s">
        <v>7952</v>
      </c>
      <c r="H5211" t="s">
        <v>5474</v>
      </c>
      <c r="I5211" t="s">
        <v>20525</v>
      </c>
      <c r="J5211" t="s">
        <v>5484</v>
      </c>
      <c r="K5211" t="s">
        <v>20526</v>
      </c>
      <c r="L5211" t="s">
        <v>20509</v>
      </c>
      <c r="M5211" t="s">
        <v>5471</v>
      </c>
    </row>
    <row r="5212" spans="1:13" x14ac:dyDescent="0.3">
      <c r="A5212" t="s">
        <v>3383</v>
      </c>
      <c r="B5212" t="s">
        <v>5330</v>
      </c>
      <c r="C5212" t="s">
        <v>5470</v>
      </c>
      <c r="D5212" t="s">
        <v>4052</v>
      </c>
      <c r="E5212" t="s">
        <v>5617</v>
      </c>
      <c r="F5212" t="s">
        <v>20510</v>
      </c>
      <c r="G5212" t="s">
        <v>20527</v>
      </c>
      <c r="H5212" t="s">
        <v>5474</v>
      </c>
      <c r="I5212" t="s">
        <v>20528</v>
      </c>
      <c r="J5212" t="s">
        <v>5484</v>
      </c>
      <c r="K5212" t="s">
        <v>20529</v>
      </c>
      <c r="L5212" t="s">
        <v>20509</v>
      </c>
      <c r="M5212" t="s">
        <v>5471</v>
      </c>
    </row>
    <row r="5213" spans="1:13" x14ac:dyDescent="0.3">
      <c r="A5213" t="s">
        <v>3383</v>
      </c>
      <c r="B5213" t="s">
        <v>5330</v>
      </c>
      <c r="C5213" t="s">
        <v>5470</v>
      </c>
      <c r="D5213" t="s">
        <v>4052</v>
      </c>
      <c r="E5213" t="s">
        <v>5617</v>
      </c>
      <c r="F5213" t="s">
        <v>20510</v>
      </c>
      <c r="G5213" t="s">
        <v>20530</v>
      </c>
      <c r="H5213" t="s">
        <v>5474</v>
      </c>
      <c r="I5213" t="s">
        <v>20531</v>
      </c>
      <c r="J5213" t="s">
        <v>5484</v>
      </c>
      <c r="K5213" t="s">
        <v>20532</v>
      </c>
      <c r="L5213" t="s">
        <v>20509</v>
      </c>
      <c r="M5213" t="s">
        <v>5471</v>
      </c>
    </row>
    <row r="5214" spans="1:13" x14ac:dyDescent="0.3">
      <c r="A5214" t="s">
        <v>3383</v>
      </c>
      <c r="B5214" t="s">
        <v>6187</v>
      </c>
      <c r="C5214" t="s">
        <v>5470</v>
      </c>
      <c r="D5214" t="s">
        <v>4052</v>
      </c>
      <c r="E5214" t="s">
        <v>5756</v>
      </c>
      <c r="F5214" t="s">
        <v>20533</v>
      </c>
      <c r="G5214" t="s">
        <v>20534</v>
      </c>
      <c r="H5214" t="s">
        <v>5474</v>
      </c>
      <c r="I5214" t="s">
        <v>20535</v>
      </c>
      <c r="J5214" t="s">
        <v>5476</v>
      </c>
      <c r="K5214" t="s">
        <v>20536</v>
      </c>
      <c r="L5214" t="s">
        <v>20537</v>
      </c>
      <c r="M5214" t="s">
        <v>5471</v>
      </c>
    </row>
    <row r="5215" spans="1:13" x14ac:dyDescent="0.3">
      <c r="A5215" t="s">
        <v>3383</v>
      </c>
      <c r="B5215" t="s">
        <v>6187</v>
      </c>
      <c r="C5215" t="s">
        <v>5470</v>
      </c>
      <c r="D5215" t="s">
        <v>4056</v>
      </c>
      <c r="E5215" t="s">
        <v>5756</v>
      </c>
      <c r="F5215" t="s">
        <v>20538</v>
      </c>
      <c r="G5215" t="s">
        <v>7490</v>
      </c>
      <c r="H5215" t="s">
        <v>5474</v>
      </c>
      <c r="I5215" t="s">
        <v>20539</v>
      </c>
      <c r="J5215" t="s">
        <v>5476</v>
      </c>
      <c r="K5215" t="s">
        <v>20540</v>
      </c>
      <c r="L5215" t="s">
        <v>5478</v>
      </c>
      <c r="M5215" t="s">
        <v>5471</v>
      </c>
    </row>
    <row r="5216" spans="1:13" x14ac:dyDescent="0.3">
      <c r="A5216" t="s">
        <v>3383</v>
      </c>
      <c r="B5216" t="s">
        <v>6187</v>
      </c>
      <c r="C5216" t="s">
        <v>5470</v>
      </c>
      <c r="D5216" t="s">
        <v>4056</v>
      </c>
      <c r="E5216" t="s">
        <v>5756</v>
      </c>
      <c r="F5216" t="s">
        <v>20541</v>
      </c>
      <c r="G5216" t="s">
        <v>20542</v>
      </c>
      <c r="H5216" t="s">
        <v>5474</v>
      </c>
      <c r="I5216" t="s">
        <v>20543</v>
      </c>
      <c r="J5216" t="s">
        <v>5476</v>
      </c>
      <c r="K5216" t="s">
        <v>20544</v>
      </c>
      <c r="L5216" t="s">
        <v>9709</v>
      </c>
      <c r="M5216" t="s">
        <v>5471</v>
      </c>
    </row>
    <row r="5217" spans="1:13" x14ac:dyDescent="0.3">
      <c r="A5217" t="s">
        <v>3383</v>
      </c>
      <c r="B5217" t="s">
        <v>6187</v>
      </c>
      <c r="C5217" t="s">
        <v>5470</v>
      </c>
      <c r="D5217" t="s">
        <v>4056</v>
      </c>
      <c r="E5217" t="s">
        <v>5756</v>
      </c>
      <c r="F5217" t="s">
        <v>20545</v>
      </c>
      <c r="G5217" t="s">
        <v>7490</v>
      </c>
      <c r="H5217" t="s">
        <v>5474</v>
      </c>
      <c r="I5217" t="s">
        <v>20546</v>
      </c>
      <c r="J5217" t="s">
        <v>5476</v>
      </c>
      <c r="K5217" t="s">
        <v>20547</v>
      </c>
      <c r="L5217" t="s">
        <v>9709</v>
      </c>
      <c r="M5217" t="s">
        <v>5471</v>
      </c>
    </row>
    <row r="5218" spans="1:13" x14ac:dyDescent="0.3">
      <c r="A5218" t="s">
        <v>3383</v>
      </c>
      <c r="B5218" t="s">
        <v>6187</v>
      </c>
      <c r="C5218" t="s">
        <v>5470</v>
      </c>
      <c r="D5218" t="s">
        <v>4058</v>
      </c>
      <c r="E5218" t="s">
        <v>5756</v>
      </c>
      <c r="F5218" t="s">
        <v>20548</v>
      </c>
      <c r="G5218" t="s">
        <v>20549</v>
      </c>
      <c r="H5218" t="s">
        <v>5474</v>
      </c>
      <c r="I5218" t="s">
        <v>20550</v>
      </c>
      <c r="J5218" t="s">
        <v>5476</v>
      </c>
      <c r="K5218" t="s">
        <v>20551</v>
      </c>
      <c r="L5218" t="s">
        <v>9709</v>
      </c>
      <c r="M5218" t="s">
        <v>5471</v>
      </c>
    </row>
    <row r="5219" spans="1:13" x14ac:dyDescent="0.3">
      <c r="A5219" t="s">
        <v>3383</v>
      </c>
      <c r="B5219" t="s">
        <v>6187</v>
      </c>
      <c r="C5219" t="s">
        <v>5470</v>
      </c>
      <c r="D5219" t="s">
        <v>4058</v>
      </c>
      <c r="E5219" t="s">
        <v>5756</v>
      </c>
      <c r="F5219" t="s">
        <v>20552</v>
      </c>
      <c r="G5219" t="s">
        <v>20553</v>
      </c>
      <c r="H5219" t="s">
        <v>5474</v>
      </c>
      <c r="I5219" t="s">
        <v>20554</v>
      </c>
      <c r="J5219" t="s">
        <v>5476</v>
      </c>
      <c r="K5219" t="s">
        <v>20555</v>
      </c>
      <c r="L5219" t="s">
        <v>5478</v>
      </c>
      <c r="M5219" t="s">
        <v>5471</v>
      </c>
    </row>
    <row r="5220" spans="1:13" x14ac:dyDescent="0.3">
      <c r="A5220" t="s">
        <v>3383</v>
      </c>
      <c r="B5220" t="s">
        <v>6187</v>
      </c>
      <c r="C5220" t="s">
        <v>5470</v>
      </c>
      <c r="D5220" t="s">
        <v>4175</v>
      </c>
      <c r="E5220" t="s">
        <v>5756</v>
      </c>
      <c r="F5220" t="s">
        <v>20556</v>
      </c>
      <c r="G5220" t="s">
        <v>7490</v>
      </c>
      <c r="H5220" t="s">
        <v>5474</v>
      </c>
      <c r="I5220" t="s">
        <v>20557</v>
      </c>
      <c r="J5220" t="s">
        <v>5476</v>
      </c>
      <c r="K5220" t="s">
        <v>20558</v>
      </c>
      <c r="L5220" t="s">
        <v>9709</v>
      </c>
      <c r="M5220" t="s">
        <v>5471</v>
      </c>
    </row>
    <row r="5221" spans="1:13" x14ac:dyDescent="0.3">
      <c r="A5221" t="s">
        <v>3383</v>
      </c>
      <c r="B5221" t="s">
        <v>6187</v>
      </c>
      <c r="C5221" t="s">
        <v>5470</v>
      </c>
      <c r="D5221" t="s">
        <v>4058</v>
      </c>
      <c r="E5221" t="s">
        <v>5756</v>
      </c>
      <c r="F5221" t="s">
        <v>20559</v>
      </c>
      <c r="G5221" t="s">
        <v>20560</v>
      </c>
      <c r="H5221" t="s">
        <v>5474</v>
      </c>
      <c r="I5221" t="s">
        <v>20561</v>
      </c>
      <c r="J5221" t="s">
        <v>5476</v>
      </c>
      <c r="K5221" t="s">
        <v>20562</v>
      </c>
      <c r="L5221" t="s">
        <v>5478</v>
      </c>
      <c r="M5221" t="s">
        <v>5471</v>
      </c>
    </row>
    <row r="5222" spans="1:13" x14ac:dyDescent="0.3">
      <c r="A5222" t="s">
        <v>3383</v>
      </c>
      <c r="B5222" t="s">
        <v>6187</v>
      </c>
      <c r="C5222" t="s">
        <v>5470</v>
      </c>
      <c r="D5222" t="s">
        <v>4058</v>
      </c>
      <c r="E5222" t="s">
        <v>5756</v>
      </c>
      <c r="F5222" t="s">
        <v>20563</v>
      </c>
      <c r="G5222" t="s">
        <v>20564</v>
      </c>
      <c r="H5222" t="s">
        <v>5474</v>
      </c>
      <c r="I5222" t="s">
        <v>20565</v>
      </c>
      <c r="J5222" t="s">
        <v>5476</v>
      </c>
      <c r="K5222" t="s">
        <v>20566</v>
      </c>
      <c r="L5222" t="s">
        <v>9709</v>
      </c>
      <c r="M5222" t="s">
        <v>5471</v>
      </c>
    </row>
    <row r="5223" spans="1:13" x14ac:dyDescent="0.3">
      <c r="A5223" t="s">
        <v>3383</v>
      </c>
      <c r="B5223" t="s">
        <v>6187</v>
      </c>
      <c r="C5223" t="s">
        <v>5470</v>
      </c>
      <c r="D5223" t="s">
        <v>4058</v>
      </c>
      <c r="E5223" t="s">
        <v>5756</v>
      </c>
      <c r="F5223" t="s">
        <v>20567</v>
      </c>
      <c r="G5223" t="s">
        <v>20568</v>
      </c>
      <c r="H5223" t="s">
        <v>5474</v>
      </c>
      <c r="I5223" t="s">
        <v>20569</v>
      </c>
      <c r="J5223" t="s">
        <v>5476</v>
      </c>
      <c r="K5223" t="s">
        <v>20570</v>
      </c>
      <c r="L5223" t="s">
        <v>9709</v>
      </c>
      <c r="M5223" t="s">
        <v>5471</v>
      </c>
    </row>
    <row r="5224" spans="1:13" x14ac:dyDescent="0.3">
      <c r="A5224" t="s">
        <v>3383</v>
      </c>
      <c r="B5224" t="s">
        <v>6187</v>
      </c>
      <c r="C5224" t="s">
        <v>5470</v>
      </c>
      <c r="D5224" t="s">
        <v>4058</v>
      </c>
      <c r="E5224" t="s">
        <v>5756</v>
      </c>
      <c r="F5224" t="s">
        <v>20571</v>
      </c>
      <c r="G5224" t="s">
        <v>6204</v>
      </c>
      <c r="H5224" t="s">
        <v>5474</v>
      </c>
      <c r="I5224" t="s">
        <v>20572</v>
      </c>
      <c r="J5224" t="s">
        <v>5476</v>
      </c>
      <c r="K5224" t="s">
        <v>20573</v>
      </c>
      <c r="L5224" t="s">
        <v>9709</v>
      </c>
      <c r="M5224" t="s">
        <v>5471</v>
      </c>
    </row>
    <row r="5225" spans="1:13" x14ac:dyDescent="0.3">
      <c r="A5225" t="s">
        <v>3383</v>
      </c>
      <c r="B5225" t="s">
        <v>6187</v>
      </c>
      <c r="C5225" t="s">
        <v>5470</v>
      </c>
      <c r="D5225" t="s">
        <v>4058</v>
      </c>
      <c r="E5225" t="s">
        <v>5756</v>
      </c>
      <c r="F5225" t="s">
        <v>20574</v>
      </c>
      <c r="G5225" t="s">
        <v>20575</v>
      </c>
      <c r="H5225" t="s">
        <v>5474</v>
      </c>
      <c r="I5225" t="s">
        <v>20576</v>
      </c>
      <c r="J5225" t="s">
        <v>5476</v>
      </c>
      <c r="K5225" t="s">
        <v>20577</v>
      </c>
      <c r="L5225" t="s">
        <v>9709</v>
      </c>
      <c r="M5225" t="s">
        <v>5471</v>
      </c>
    </row>
    <row r="5226" spans="1:13" x14ac:dyDescent="0.3">
      <c r="A5226" t="s">
        <v>3383</v>
      </c>
      <c r="B5226" t="s">
        <v>6187</v>
      </c>
      <c r="C5226" t="s">
        <v>5470</v>
      </c>
      <c r="D5226" t="s">
        <v>4058</v>
      </c>
      <c r="E5226" t="s">
        <v>5756</v>
      </c>
      <c r="F5226" t="s">
        <v>20578</v>
      </c>
      <c r="G5226" t="s">
        <v>20568</v>
      </c>
      <c r="H5226" t="s">
        <v>5474</v>
      </c>
      <c r="I5226" t="s">
        <v>20579</v>
      </c>
      <c r="J5226" t="s">
        <v>5476</v>
      </c>
      <c r="K5226" t="s">
        <v>20580</v>
      </c>
      <c r="L5226" t="s">
        <v>9709</v>
      </c>
      <c r="M5226" t="s">
        <v>5471</v>
      </c>
    </row>
    <row r="5227" spans="1:13" x14ac:dyDescent="0.3">
      <c r="A5227" t="s">
        <v>3383</v>
      </c>
      <c r="B5227" t="s">
        <v>6187</v>
      </c>
      <c r="C5227" t="s">
        <v>5470</v>
      </c>
      <c r="D5227" t="s">
        <v>4058</v>
      </c>
      <c r="E5227" t="s">
        <v>5756</v>
      </c>
      <c r="F5227" t="s">
        <v>20581</v>
      </c>
      <c r="G5227" t="s">
        <v>6197</v>
      </c>
      <c r="H5227" t="s">
        <v>5474</v>
      </c>
      <c r="I5227" t="s">
        <v>20582</v>
      </c>
      <c r="J5227" t="s">
        <v>5476</v>
      </c>
      <c r="K5227" t="s">
        <v>20583</v>
      </c>
      <c r="L5227" t="s">
        <v>9709</v>
      </c>
      <c r="M5227" t="s">
        <v>5471</v>
      </c>
    </row>
    <row r="5228" spans="1:13" x14ac:dyDescent="0.3">
      <c r="A5228" t="s">
        <v>3383</v>
      </c>
      <c r="B5228" t="s">
        <v>6187</v>
      </c>
      <c r="C5228" t="s">
        <v>5470</v>
      </c>
      <c r="D5228" t="s">
        <v>10218</v>
      </c>
      <c r="E5228" t="s">
        <v>5756</v>
      </c>
      <c r="F5228" t="s">
        <v>20584</v>
      </c>
      <c r="G5228" t="s">
        <v>20585</v>
      </c>
      <c r="H5228" t="s">
        <v>5474</v>
      </c>
      <c r="I5228" t="s">
        <v>20586</v>
      </c>
      <c r="J5228" t="s">
        <v>5476</v>
      </c>
      <c r="K5228" t="s">
        <v>20587</v>
      </c>
      <c r="L5228" t="s">
        <v>5471</v>
      </c>
      <c r="M5228" t="s">
        <v>5471</v>
      </c>
    </row>
    <row r="5229" spans="1:13" x14ac:dyDescent="0.3">
      <c r="A5229" t="s">
        <v>3383</v>
      </c>
      <c r="B5229" t="s">
        <v>6187</v>
      </c>
      <c r="C5229" t="s">
        <v>5470</v>
      </c>
      <c r="D5229" t="s">
        <v>4058</v>
      </c>
      <c r="E5229" t="s">
        <v>5756</v>
      </c>
      <c r="F5229" t="s">
        <v>20588</v>
      </c>
      <c r="G5229" t="s">
        <v>7455</v>
      </c>
      <c r="H5229" t="s">
        <v>5474</v>
      </c>
      <c r="I5229" t="s">
        <v>20589</v>
      </c>
      <c r="J5229" t="s">
        <v>5476</v>
      </c>
      <c r="K5229" t="s">
        <v>20590</v>
      </c>
      <c r="L5229" t="s">
        <v>9709</v>
      </c>
      <c r="M5229" t="s">
        <v>5471</v>
      </c>
    </row>
    <row r="5230" spans="1:13" x14ac:dyDescent="0.3">
      <c r="A5230" t="s">
        <v>3383</v>
      </c>
      <c r="B5230" t="s">
        <v>6187</v>
      </c>
      <c r="C5230" t="s">
        <v>5470</v>
      </c>
      <c r="D5230" t="s">
        <v>4058</v>
      </c>
      <c r="E5230" t="s">
        <v>5756</v>
      </c>
      <c r="F5230" t="s">
        <v>20591</v>
      </c>
      <c r="G5230" t="s">
        <v>20568</v>
      </c>
      <c r="H5230" t="s">
        <v>5474</v>
      </c>
      <c r="I5230" t="s">
        <v>20592</v>
      </c>
      <c r="J5230" t="s">
        <v>5476</v>
      </c>
      <c r="K5230" t="s">
        <v>20593</v>
      </c>
      <c r="L5230" t="s">
        <v>5478</v>
      </c>
      <c r="M5230" t="s">
        <v>5471</v>
      </c>
    </row>
    <row r="5231" spans="1:13" x14ac:dyDescent="0.3">
      <c r="A5231" t="s">
        <v>3383</v>
      </c>
      <c r="B5231" t="s">
        <v>6187</v>
      </c>
      <c r="C5231" t="s">
        <v>5470</v>
      </c>
      <c r="D5231" t="s">
        <v>10218</v>
      </c>
      <c r="E5231" t="s">
        <v>5756</v>
      </c>
      <c r="F5231" t="s">
        <v>20594</v>
      </c>
      <c r="G5231" t="s">
        <v>20595</v>
      </c>
      <c r="H5231" t="s">
        <v>5474</v>
      </c>
      <c r="I5231" t="s">
        <v>20596</v>
      </c>
      <c r="J5231" t="s">
        <v>5476</v>
      </c>
      <c r="K5231" t="s">
        <v>20597</v>
      </c>
      <c r="L5231" t="s">
        <v>5471</v>
      </c>
      <c r="M5231" t="s">
        <v>5471</v>
      </c>
    </row>
    <row r="5232" spans="1:13" x14ac:dyDescent="0.3">
      <c r="A5232" t="s">
        <v>3383</v>
      </c>
      <c r="B5232" t="s">
        <v>6187</v>
      </c>
      <c r="C5232" t="s">
        <v>5470</v>
      </c>
      <c r="D5232" t="s">
        <v>4058</v>
      </c>
      <c r="E5232" t="s">
        <v>5756</v>
      </c>
      <c r="F5232" t="s">
        <v>20598</v>
      </c>
      <c r="G5232" t="s">
        <v>20599</v>
      </c>
      <c r="H5232" t="s">
        <v>5474</v>
      </c>
      <c r="I5232" t="s">
        <v>20600</v>
      </c>
      <c r="J5232" t="s">
        <v>5476</v>
      </c>
      <c r="K5232" t="s">
        <v>20601</v>
      </c>
      <c r="L5232" t="s">
        <v>5478</v>
      </c>
      <c r="M5232" t="s">
        <v>5471</v>
      </c>
    </row>
    <row r="5233" spans="1:13" x14ac:dyDescent="0.3">
      <c r="A5233" t="s">
        <v>3383</v>
      </c>
      <c r="B5233" t="s">
        <v>6187</v>
      </c>
      <c r="C5233" t="s">
        <v>5470</v>
      </c>
      <c r="D5233" t="s">
        <v>4058</v>
      </c>
      <c r="E5233" t="s">
        <v>5756</v>
      </c>
      <c r="F5233" t="s">
        <v>20602</v>
      </c>
      <c r="G5233" t="s">
        <v>20603</v>
      </c>
      <c r="H5233" t="s">
        <v>5474</v>
      </c>
      <c r="I5233" t="s">
        <v>20604</v>
      </c>
      <c r="J5233" t="s">
        <v>5476</v>
      </c>
      <c r="K5233" t="s">
        <v>20605</v>
      </c>
      <c r="L5233" t="s">
        <v>9709</v>
      </c>
      <c r="M5233" t="s">
        <v>5471</v>
      </c>
    </row>
    <row r="5234" spans="1:13" x14ac:dyDescent="0.3">
      <c r="A5234" t="s">
        <v>3383</v>
      </c>
      <c r="B5234" t="s">
        <v>6187</v>
      </c>
      <c r="C5234" t="s">
        <v>5470</v>
      </c>
      <c r="D5234" t="s">
        <v>10218</v>
      </c>
      <c r="E5234" t="s">
        <v>5756</v>
      </c>
      <c r="F5234" t="s">
        <v>20606</v>
      </c>
      <c r="G5234" t="s">
        <v>6204</v>
      </c>
      <c r="H5234" t="s">
        <v>5474</v>
      </c>
      <c r="I5234" t="s">
        <v>20607</v>
      </c>
      <c r="J5234" t="s">
        <v>5476</v>
      </c>
      <c r="K5234" t="s">
        <v>20608</v>
      </c>
      <c r="L5234" t="s">
        <v>5471</v>
      </c>
      <c r="M5234" t="s">
        <v>5471</v>
      </c>
    </row>
    <row r="5235" spans="1:13" x14ac:dyDescent="0.3">
      <c r="A5235" t="s">
        <v>3383</v>
      </c>
      <c r="B5235" t="s">
        <v>6187</v>
      </c>
      <c r="C5235" t="s">
        <v>5470</v>
      </c>
      <c r="D5235" t="s">
        <v>4058</v>
      </c>
      <c r="E5235" t="s">
        <v>5756</v>
      </c>
      <c r="F5235" t="s">
        <v>20609</v>
      </c>
      <c r="G5235" t="s">
        <v>20568</v>
      </c>
      <c r="H5235" t="s">
        <v>5474</v>
      </c>
      <c r="I5235" t="s">
        <v>20610</v>
      </c>
      <c r="J5235" t="s">
        <v>5476</v>
      </c>
      <c r="K5235" t="s">
        <v>20611</v>
      </c>
      <c r="L5235" t="s">
        <v>5478</v>
      </c>
      <c r="M5235" t="s">
        <v>5471</v>
      </c>
    </row>
    <row r="5236" spans="1:13" x14ac:dyDescent="0.3">
      <c r="A5236" t="s">
        <v>3383</v>
      </c>
      <c r="B5236" t="s">
        <v>6187</v>
      </c>
      <c r="C5236" t="s">
        <v>5470</v>
      </c>
      <c r="D5236" t="s">
        <v>4058</v>
      </c>
      <c r="E5236" t="s">
        <v>5756</v>
      </c>
      <c r="F5236" t="s">
        <v>20612</v>
      </c>
      <c r="G5236" t="s">
        <v>20613</v>
      </c>
      <c r="H5236" t="s">
        <v>5474</v>
      </c>
      <c r="I5236" t="s">
        <v>20614</v>
      </c>
      <c r="J5236" t="s">
        <v>5476</v>
      </c>
      <c r="K5236" t="s">
        <v>20615</v>
      </c>
      <c r="L5236" t="s">
        <v>9709</v>
      </c>
      <c r="M5236" t="s">
        <v>5471</v>
      </c>
    </row>
    <row r="5237" spans="1:13" x14ac:dyDescent="0.3">
      <c r="A5237" t="s">
        <v>3383</v>
      </c>
      <c r="B5237" t="s">
        <v>6187</v>
      </c>
      <c r="C5237" t="s">
        <v>5470</v>
      </c>
      <c r="D5237" t="s">
        <v>10218</v>
      </c>
      <c r="E5237" t="s">
        <v>5756</v>
      </c>
      <c r="F5237" t="s">
        <v>20616</v>
      </c>
      <c r="G5237" t="s">
        <v>20617</v>
      </c>
      <c r="H5237" t="s">
        <v>5474</v>
      </c>
      <c r="I5237" t="s">
        <v>20618</v>
      </c>
      <c r="J5237" t="s">
        <v>5476</v>
      </c>
      <c r="K5237" t="s">
        <v>20619</v>
      </c>
      <c r="L5237" t="s">
        <v>5471</v>
      </c>
      <c r="M5237" t="s">
        <v>5471</v>
      </c>
    </row>
    <row r="5238" spans="1:13" x14ac:dyDescent="0.3">
      <c r="A5238" t="s">
        <v>3383</v>
      </c>
      <c r="B5238" t="s">
        <v>6187</v>
      </c>
      <c r="C5238" t="s">
        <v>5470</v>
      </c>
      <c r="D5238" t="s">
        <v>4058</v>
      </c>
      <c r="E5238" t="s">
        <v>5756</v>
      </c>
      <c r="F5238" t="s">
        <v>20620</v>
      </c>
      <c r="G5238" t="s">
        <v>20568</v>
      </c>
      <c r="H5238" t="s">
        <v>5474</v>
      </c>
      <c r="I5238" t="s">
        <v>20621</v>
      </c>
      <c r="J5238" t="s">
        <v>5476</v>
      </c>
      <c r="K5238" t="s">
        <v>20622</v>
      </c>
      <c r="L5238" t="s">
        <v>9709</v>
      </c>
      <c r="M5238" t="s">
        <v>5471</v>
      </c>
    </row>
    <row r="5239" spans="1:13" x14ac:dyDescent="0.3">
      <c r="A5239" t="s">
        <v>3383</v>
      </c>
      <c r="B5239" t="s">
        <v>6187</v>
      </c>
      <c r="C5239" t="s">
        <v>5470</v>
      </c>
      <c r="D5239" t="s">
        <v>4058</v>
      </c>
      <c r="E5239" t="s">
        <v>5756</v>
      </c>
      <c r="F5239" t="s">
        <v>20623</v>
      </c>
      <c r="G5239" t="s">
        <v>7455</v>
      </c>
      <c r="H5239" t="s">
        <v>5474</v>
      </c>
      <c r="I5239" t="s">
        <v>20624</v>
      </c>
      <c r="J5239" t="s">
        <v>5476</v>
      </c>
      <c r="K5239" t="s">
        <v>20625</v>
      </c>
      <c r="L5239" t="s">
        <v>9709</v>
      </c>
      <c r="M5239" t="s">
        <v>5471</v>
      </c>
    </row>
    <row r="5240" spans="1:13" x14ac:dyDescent="0.3">
      <c r="A5240" t="s">
        <v>3383</v>
      </c>
      <c r="B5240" t="s">
        <v>6187</v>
      </c>
      <c r="C5240" t="s">
        <v>5470</v>
      </c>
      <c r="D5240" t="s">
        <v>10218</v>
      </c>
      <c r="E5240" t="s">
        <v>5756</v>
      </c>
      <c r="F5240" t="s">
        <v>20626</v>
      </c>
      <c r="G5240" t="s">
        <v>20627</v>
      </c>
      <c r="H5240" t="s">
        <v>5474</v>
      </c>
      <c r="I5240" t="s">
        <v>20628</v>
      </c>
      <c r="J5240" t="s">
        <v>5476</v>
      </c>
      <c r="K5240" t="s">
        <v>20629</v>
      </c>
      <c r="L5240" t="s">
        <v>5471</v>
      </c>
      <c r="M5240" t="s">
        <v>5471</v>
      </c>
    </row>
    <row r="5241" spans="1:13" x14ac:dyDescent="0.3">
      <c r="A5241" t="s">
        <v>3383</v>
      </c>
      <c r="B5241" t="s">
        <v>6187</v>
      </c>
      <c r="C5241" t="s">
        <v>5470</v>
      </c>
      <c r="D5241" t="s">
        <v>10218</v>
      </c>
      <c r="E5241" t="s">
        <v>5756</v>
      </c>
      <c r="F5241" t="s">
        <v>20630</v>
      </c>
      <c r="G5241" t="s">
        <v>20631</v>
      </c>
      <c r="H5241" t="s">
        <v>5474</v>
      </c>
      <c r="I5241" t="s">
        <v>20632</v>
      </c>
      <c r="J5241" t="s">
        <v>5476</v>
      </c>
      <c r="K5241" t="s">
        <v>20633</v>
      </c>
      <c r="L5241" t="s">
        <v>5471</v>
      </c>
      <c r="M5241" t="s">
        <v>5471</v>
      </c>
    </row>
    <row r="5242" spans="1:13" x14ac:dyDescent="0.3">
      <c r="A5242" t="s">
        <v>3383</v>
      </c>
      <c r="B5242" t="s">
        <v>6187</v>
      </c>
      <c r="C5242" t="s">
        <v>5470</v>
      </c>
      <c r="D5242" t="s">
        <v>4058</v>
      </c>
      <c r="E5242" t="s">
        <v>5756</v>
      </c>
      <c r="F5242" t="s">
        <v>20634</v>
      </c>
      <c r="G5242" t="s">
        <v>20635</v>
      </c>
      <c r="H5242" t="s">
        <v>5474</v>
      </c>
      <c r="I5242" t="s">
        <v>20636</v>
      </c>
      <c r="J5242" t="s">
        <v>5476</v>
      </c>
      <c r="K5242" t="s">
        <v>20637</v>
      </c>
      <c r="L5242" t="s">
        <v>5478</v>
      </c>
      <c r="M5242" t="s">
        <v>5471</v>
      </c>
    </row>
    <row r="5243" spans="1:13" x14ac:dyDescent="0.3">
      <c r="A5243" t="s">
        <v>3383</v>
      </c>
      <c r="B5243" t="s">
        <v>6187</v>
      </c>
      <c r="C5243" t="s">
        <v>5470</v>
      </c>
      <c r="D5243" t="s">
        <v>4200</v>
      </c>
      <c r="E5243" t="s">
        <v>5756</v>
      </c>
      <c r="F5243" t="s">
        <v>20638</v>
      </c>
      <c r="G5243" t="s">
        <v>6204</v>
      </c>
      <c r="H5243" t="s">
        <v>5474</v>
      </c>
      <c r="I5243" t="s">
        <v>20639</v>
      </c>
      <c r="J5243" t="s">
        <v>5476</v>
      </c>
      <c r="K5243" t="s">
        <v>20640</v>
      </c>
      <c r="L5243" t="s">
        <v>5471</v>
      </c>
      <c r="M5243" t="s">
        <v>5471</v>
      </c>
    </row>
    <row r="5244" spans="1:13" x14ac:dyDescent="0.3">
      <c r="A5244" t="s">
        <v>3383</v>
      </c>
      <c r="B5244" t="s">
        <v>6187</v>
      </c>
      <c r="C5244" t="s">
        <v>5470</v>
      </c>
      <c r="D5244" t="s">
        <v>4058</v>
      </c>
      <c r="E5244" t="s">
        <v>5756</v>
      </c>
      <c r="F5244" t="s">
        <v>20641</v>
      </c>
      <c r="G5244" t="s">
        <v>20642</v>
      </c>
      <c r="H5244" t="s">
        <v>5474</v>
      </c>
      <c r="I5244" t="s">
        <v>20643</v>
      </c>
      <c r="J5244" t="s">
        <v>5476</v>
      </c>
      <c r="K5244" t="s">
        <v>20644</v>
      </c>
      <c r="L5244" t="s">
        <v>9709</v>
      </c>
      <c r="M5244" t="s">
        <v>5471</v>
      </c>
    </row>
    <row r="5245" spans="1:13" x14ac:dyDescent="0.3">
      <c r="A5245" t="s">
        <v>3383</v>
      </c>
      <c r="B5245" t="s">
        <v>6187</v>
      </c>
      <c r="C5245" t="s">
        <v>5470</v>
      </c>
      <c r="D5245" t="s">
        <v>4058</v>
      </c>
      <c r="E5245" t="s">
        <v>5756</v>
      </c>
      <c r="F5245" t="s">
        <v>20645</v>
      </c>
      <c r="G5245" t="s">
        <v>6204</v>
      </c>
      <c r="H5245" t="s">
        <v>5474</v>
      </c>
      <c r="I5245" t="s">
        <v>20646</v>
      </c>
      <c r="J5245" t="s">
        <v>5476</v>
      </c>
      <c r="K5245" t="s">
        <v>20647</v>
      </c>
      <c r="L5245" t="s">
        <v>9709</v>
      </c>
      <c r="M5245" t="s">
        <v>5471</v>
      </c>
    </row>
    <row r="5246" spans="1:13" x14ac:dyDescent="0.3">
      <c r="A5246" t="s">
        <v>3383</v>
      </c>
      <c r="B5246" t="s">
        <v>6187</v>
      </c>
      <c r="C5246" t="s">
        <v>5470</v>
      </c>
      <c r="D5246" t="s">
        <v>4058</v>
      </c>
      <c r="E5246" t="s">
        <v>5756</v>
      </c>
      <c r="F5246" t="s">
        <v>20648</v>
      </c>
      <c r="G5246" t="s">
        <v>20649</v>
      </c>
      <c r="H5246" t="s">
        <v>5474</v>
      </c>
      <c r="I5246" t="s">
        <v>20650</v>
      </c>
      <c r="J5246" t="s">
        <v>5476</v>
      </c>
      <c r="K5246" t="s">
        <v>20651</v>
      </c>
      <c r="L5246" t="s">
        <v>9709</v>
      </c>
      <c r="M5246" t="s">
        <v>5471</v>
      </c>
    </row>
    <row r="5247" spans="1:13" x14ac:dyDescent="0.3">
      <c r="A5247" t="s">
        <v>3383</v>
      </c>
      <c r="B5247" t="s">
        <v>6187</v>
      </c>
      <c r="C5247" t="s">
        <v>5470</v>
      </c>
      <c r="D5247" t="s">
        <v>4052</v>
      </c>
      <c r="E5247" t="s">
        <v>5756</v>
      </c>
      <c r="F5247" t="s">
        <v>20652</v>
      </c>
      <c r="G5247" t="s">
        <v>20653</v>
      </c>
      <c r="H5247" t="s">
        <v>5474</v>
      </c>
      <c r="I5247" t="s">
        <v>20654</v>
      </c>
      <c r="J5247" t="s">
        <v>5476</v>
      </c>
      <c r="K5247" t="s">
        <v>20655</v>
      </c>
      <c r="L5247" t="s">
        <v>5478</v>
      </c>
      <c r="M5247" t="s">
        <v>5471</v>
      </c>
    </row>
    <row r="5248" spans="1:13" x14ac:dyDescent="0.3">
      <c r="A5248" t="s">
        <v>3383</v>
      </c>
      <c r="B5248" t="s">
        <v>6187</v>
      </c>
      <c r="C5248" t="s">
        <v>5470</v>
      </c>
      <c r="D5248" t="s">
        <v>4058</v>
      </c>
      <c r="E5248" t="s">
        <v>5756</v>
      </c>
      <c r="F5248" t="s">
        <v>20656</v>
      </c>
      <c r="G5248" t="s">
        <v>6197</v>
      </c>
      <c r="H5248" t="s">
        <v>5474</v>
      </c>
      <c r="I5248" t="s">
        <v>20657</v>
      </c>
      <c r="J5248" t="s">
        <v>5476</v>
      </c>
      <c r="K5248" t="s">
        <v>20658</v>
      </c>
      <c r="L5248" t="s">
        <v>9709</v>
      </c>
      <c r="M5248" t="s">
        <v>5471</v>
      </c>
    </row>
    <row r="5249" spans="1:13" x14ac:dyDescent="0.3">
      <c r="A5249" t="s">
        <v>3383</v>
      </c>
      <c r="B5249" t="s">
        <v>6187</v>
      </c>
      <c r="C5249" t="s">
        <v>5470</v>
      </c>
      <c r="D5249" t="s">
        <v>4058</v>
      </c>
      <c r="E5249" t="s">
        <v>5756</v>
      </c>
      <c r="F5249" t="s">
        <v>20659</v>
      </c>
      <c r="G5249" t="s">
        <v>20660</v>
      </c>
      <c r="H5249" t="s">
        <v>5474</v>
      </c>
      <c r="I5249" t="s">
        <v>20661</v>
      </c>
      <c r="J5249" t="s">
        <v>5476</v>
      </c>
      <c r="K5249" t="s">
        <v>20662</v>
      </c>
      <c r="L5249" t="s">
        <v>9709</v>
      </c>
      <c r="M5249" t="s">
        <v>5471</v>
      </c>
    </row>
    <row r="5250" spans="1:13" x14ac:dyDescent="0.3">
      <c r="A5250" t="s">
        <v>3383</v>
      </c>
      <c r="B5250" t="s">
        <v>6187</v>
      </c>
      <c r="C5250" t="s">
        <v>5470</v>
      </c>
      <c r="D5250" t="s">
        <v>4052</v>
      </c>
      <c r="E5250" t="s">
        <v>5756</v>
      </c>
      <c r="F5250" t="s">
        <v>20663</v>
      </c>
      <c r="G5250" t="s">
        <v>20664</v>
      </c>
      <c r="H5250" t="s">
        <v>5474</v>
      </c>
      <c r="I5250" t="s">
        <v>20665</v>
      </c>
      <c r="J5250" t="s">
        <v>5476</v>
      </c>
      <c r="K5250" t="s">
        <v>20666</v>
      </c>
      <c r="L5250" t="s">
        <v>20537</v>
      </c>
      <c r="M5250" t="s">
        <v>5471</v>
      </c>
    </row>
    <row r="5251" spans="1:13" x14ac:dyDescent="0.3">
      <c r="A5251" t="s">
        <v>3383</v>
      </c>
      <c r="B5251" t="s">
        <v>6187</v>
      </c>
      <c r="C5251" t="s">
        <v>5470</v>
      </c>
      <c r="D5251" t="s">
        <v>4058</v>
      </c>
      <c r="E5251" t="s">
        <v>5756</v>
      </c>
      <c r="F5251" t="s">
        <v>20667</v>
      </c>
      <c r="G5251" t="s">
        <v>20668</v>
      </c>
      <c r="H5251" t="s">
        <v>5474</v>
      </c>
      <c r="I5251" t="s">
        <v>20669</v>
      </c>
      <c r="J5251" t="s">
        <v>5476</v>
      </c>
      <c r="K5251" t="s">
        <v>20670</v>
      </c>
      <c r="L5251" t="s">
        <v>9709</v>
      </c>
      <c r="M5251" t="s">
        <v>5471</v>
      </c>
    </row>
    <row r="5252" spans="1:13" x14ac:dyDescent="0.3">
      <c r="A5252" t="s">
        <v>3383</v>
      </c>
      <c r="B5252" t="s">
        <v>6187</v>
      </c>
      <c r="C5252" t="s">
        <v>5470</v>
      </c>
      <c r="D5252" t="s">
        <v>4052</v>
      </c>
      <c r="E5252" t="s">
        <v>5756</v>
      </c>
      <c r="F5252" t="s">
        <v>20671</v>
      </c>
      <c r="G5252" t="s">
        <v>7490</v>
      </c>
      <c r="H5252" t="s">
        <v>5474</v>
      </c>
      <c r="I5252" t="s">
        <v>20672</v>
      </c>
      <c r="J5252" t="s">
        <v>5476</v>
      </c>
      <c r="K5252" t="s">
        <v>20673</v>
      </c>
      <c r="L5252" t="s">
        <v>20537</v>
      </c>
      <c r="M5252" t="s">
        <v>5471</v>
      </c>
    </row>
    <row r="5253" spans="1:13" x14ac:dyDescent="0.3">
      <c r="A5253" t="s">
        <v>3383</v>
      </c>
      <c r="B5253" t="s">
        <v>6187</v>
      </c>
      <c r="C5253" t="s">
        <v>5470</v>
      </c>
      <c r="D5253" t="s">
        <v>4058</v>
      </c>
      <c r="E5253" t="s">
        <v>5756</v>
      </c>
      <c r="F5253" t="s">
        <v>20674</v>
      </c>
      <c r="G5253" t="s">
        <v>20675</v>
      </c>
      <c r="H5253" t="s">
        <v>5474</v>
      </c>
      <c r="I5253" t="s">
        <v>20676</v>
      </c>
      <c r="J5253" t="s">
        <v>5476</v>
      </c>
      <c r="K5253" t="s">
        <v>20677</v>
      </c>
      <c r="L5253" t="s">
        <v>9709</v>
      </c>
      <c r="M5253" t="s">
        <v>5471</v>
      </c>
    </row>
    <row r="5254" spans="1:13" x14ac:dyDescent="0.3">
      <c r="A5254" t="s">
        <v>3383</v>
      </c>
      <c r="B5254" t="s">
        <v>6187</v>
      </c>
      <c r="C5254" t="s">
        <v>5470</v>
      </c>
      <c r="D5254" t="s">
        <v>4052</v>
      </c>
      <c r="E5254" t="s">
        <v>5756</v>
      </c>
      <c r="F5254" t="s">
        <v>20678</v>
      </c>
      <c r="G5254" t="s">
        <v>6204</v>
      </c>
      <c r="H5254" t="s">
        <v>5474</v>
      </c>
      <c r="I5254" t="s">
        <v>20679</v>
      </c>
      <c r="J5254" t="s">
        <v>5476</v>
      </c>
      <c r="K5254" t="s">
        <v>20680</v>
      </c>
      <c r="L5254" t="s">
        <v>20537</v>
      </c>
      <c r="M5254" t="s">
        <v>5471</v>
      </c>
    </row>
    <row r="5255" spans="1:13" x14ac:dyDescent="0.3">
      <c r="A5255" t="s">
        <v>3383</v>
      </c>
      <c r="B5255" t="s">
        <v>6051</v>
      </c>
      <c r="C5255" t="s">
        <v>5470</v>
      </c>
      <c r="D5255" t="s">
        <v>10218</v>
      </c>
      <c r="E5255" t="s">
        <v>5756</v>
      </c>
      <c r="F5255" t="s">
        <v>20681</v>
      </c>
      <c r="G5255" t="s">
        <v>6283</v>
      </c>
      <c r="H5255" t="s">
        <v>5474</v>
      </c>
      <c r="I5255" t="s">
        <v>20682</v>
      </c>
      <c r="J5255" t="s">
        <v>5476</v>
      </c>
      <c r="K5255" t="s">
        <v>20683</v>
      </c>
      <c r="L5255" t="s">
        <v>5471</v>
      </c>
      <c r="M5255" t="s">
        <v>5471</v>
      </c>
    </row>
    <row r="5256" spans="1:13" x14ac:dyDescent="0.3">
      <c r="A5256" t="s">
        <v>3383</v>
      </c>
      <c r="B5256" t="s">
        <v>6187</v>
      </c>
      <c r="C5256" t="s">
        <v>5470</v>
      </c>
      <c r="D5256" t="s">
        <v>4052</v>
      </c>
      <c r="E5256" t="s">
        <v>5756</v>
      </c>
      <c r="F5256" t="s">
        <v>20684</v>
      </c>
      <c r="G5256" t="s">
        <v>20685</v>
      </c>
      <c r="H5256" t="s">
        <v>5474</v>
      </c>
      <c r="I5256" t="s">
        <v>20686</v>
      </c>
      <c r="J5256" t="s">
        <v>5476</v>
      </c>
      <c r="K5256" t="s">
        <v>20687</v>
      </c>
      <c r="L5256" t="s">
        <v>20537</v>
      </c>
      <c r="M5256" t="s">
        <v>5471</v>
      </c>
    </row>
    <row r="5257" spans="1:13" x14ac:dyDescent="0.3">
      <c r="A5257" t="s">
        <v>3383</v>
      </c>
      <c r="B5257" t="s">
        <v>6187</v>
      </c>
      <c r="C5257" t="s">
        <v>5470</v>
      </c>
      <c r="D5257" t="s">
        <v>4052</v>
      </c>
      <c r="E5257" t="s">
        <v>5756</v>
      </c>
      <c r="F5257" t="s">
        <v>20688</v>
      </c>
      <c r="G5257" t="s">
        <v>7490</v>
      </c>
      <c r="H5257" t="s">
        <v>5474</v>
      </c>
      <c r="I5257" t="s">
        <v>20689</v>
      </c>
      <c r="J5257" t="s">
        <v>5476</v>
      </c>
      <c r="K5257" t="s">
        <v>20690</v>
      </c>
      <c r="L5257" t="s">
        <v>20537</v>
      </c>
      <c r="M5257" t="s">
        <v>5471</v>
      </c>
    </row>
    <row r="5258" spans="1:13" x14ac:dyDescent="0.3">
      <c r="A5258" t="s">
        <v>3383</v>
      </c>
      <c r="B5258" t="s">
        <v>6187</v>
      </c>
      <c r="C5258" t="s">
        <v>5470</v>
      </c>
      <c r="D5258" t="s">
        <v>4052</v>
      </c>
      <c r="E5258" t="s">
        <v>5756</v>
      </c>
      <c r="F5258" t="s">
        <v>20691</v>
      </c>
      <c r="G5258" t="s">
        <v>20692</v>
      </c>
      <c r="H5258" t="s">
        <v>5474</v>
      </c>
      <c r="I5258" t="s">
        <v>20693</v>
      </c>
      <c r="J5258" t="s">
        <v>5476</v>
      </c>
      <c r="K5258" t="s">
        <v>20694</v>
      </c>
      <c r="L5258" t="s">
        <v>20537</v>
      </c>
      <c r="M5258" t="s">
        <v>5471</v>
      </c>
    </row>
    <row r="5259" spans="1:13" x14ac:dyDescent="0.3">
      <c r="A5259" t="s">
        <v>3383</v>
      </c>
      <c r="B5259" t="s">
        <v>6187</v>
      </c>
      <c r="C5259" t="s">
        <v>5470</v>
      </c>
      <c r="D5259" t="s">
        <v>4058</v>
      </c>
      <c r="E5259" t="s">
        <v>5756</v>
      </c>
      <c r="F5259" t="s">
        <v>20695</v>
      </c>
      <c r="G5259" t="s">
        <v>20696</v>
      </c>
      <c r="H5259" t="s">
        <v>5474</v>
      </c>
      <c r="I5259" t="s">
        <v>20697</v>
      </c>
      <c r="J5259" t="s">
        <v>5476</v>
      </c>
      <c r="K5259" t="s">
        <v>20698</v>
      </c>
      <c r="L5259" t="s">
        <v>9709</v>
      </c>
      <c r="M5259" t="s">
        <v>5471</v>
      </c>
    </row>
    <row r="5260" spans="1:13" x14ac:dyDescent="0.3">
      <c r="A5260" t="s">
        <v>3383</v>
      </c>
      <c r="B5260" t="s">
        <v>6187</v>
      </c>
      <c r="C5260" t="s">
        <v>5470</v>
      </c>
      <c r="D5260" t="s">
        <v>4052</v>
      </c>
      <c r="E5260" t="s">
        <v>5756</v>
      </c>
      <c r="F5260" t="s">
        <v>20699</v>
      </c>
      <c r="G5260" t="s">
        <v>20700</v>
      </c>
      <c r="H5260" t="s">
        <v>5474</v>
      </c>
      <c r="I5260" t="s">
        <v>20701</v>
      </c>
      <c r="J5260" t="s">
        <v>5476</v>
      </c>
      <c r="K5260" t="s">
        <v>20702</v>
      </c>
      <c r="L5260" t="s">
        <v>5478</v>
      </c>
      <c r="M5260" t="s">
        <v>5471</v>
      </c>
    </row>
    <row r="5261" spans="1:13" x14ac:dyDescent="0.3">
      <c r="A5261" t="s">
        <v>3383</v>
      </c>
      <c r="B5261" t="s">
        <v>6187</v>
      </c>
      <c r="C5261" t="s">
        <v>5470</v>
      </c>
      <c r="D5261" t="s">
        <v>4052</v>
      </c>
      <c r="E5261" t="s">
        <v>5756</v>
      </c>
      <c r="F5261" t="s">
        <v>20703</v>
      </c>
      <c r="G5261" t="s">
        <v>20704</v>
      </c>
      <c r="H5261" t="s">
        <v>5474</v>
      </c>
      <c r="I5261" t="s">
        <v>20705</v>
      </c>
      <c r="J5261" t="s">
        <v>5476</v>
      </c>
      <c r="K5261" t="s">
        <v>20706</v>
      </c>
      <c r="L5261" t="s">
        <v>20537</v>
      </c>
      <c r="M5261" t="s">
        <v>5471</v>
      </c>
    </row>
    <row r="5262" spans="1:13" x14ac:dyDescent="0.3">
      <c r="A5262" t="s">
        <v>3383</v>
      </c>
      <c r="B5262" t="s">
        <v>6187</v>
      </c>
      <c r="C5262" t="s">
        <v>5470</v>
      </c>
      <c r="D5262" t="s">
        <v>4058</v>
      </c>
      <c r="E5262" t="s">
        <v>5756</v>
      </c>
      <c r="F5262" t="s">
        <v>20707</v>
      </c>
      <c r="G5262" t="s">
        <v>20653</v>
      </c>
      <c r="H5262" t="s">
        <v>5474</v>
      </c>
      <c r="I5262" t="s">
        <v>20708</v>
      </c>
      <c r="J5262" t="s">
        <v>5476</v>
      </c>
      <c r="K5262" t="s">
        <v>20709</v>
      </c>
      <c r="L5262" t="s">
        <v>9709</v>
      </c>
      <c r="M5262" t="s">
        <v>5471</v>
      </c>
    </row>
    <row r="5263" spans="1:13" x14ac:dyDescent="0.3">
      <c r="A5263" t="s">
        <v>3383</v>
      </c>
      <c r="B5263" t="s">
        <v>6187</v>
      </c>
      <c r="C5263" t="s">
        <v>5470</v>
      </c>
      <c r="D5263" t="s">
        <v>4058</v>
      </c>
      <c r="E5263" t="s">
        <v>5756</v>
      </c>
      <c r="F5263" t="s">
        <v>20710</v>
      </c>
      <c r="G5263" t="s">
        <v>20711</v>
      </c>
      <c r="H5263" t="s">
        <v>5474</v>
      </c>
      <c r="I5263" t="s">
        <v>20712</v>
      </c>
      <c r="J5263" t="s">
        <v>5476</v>
      </c>
      <c r="K5263" t="s">
        <v>20713</v>
      </c>
      <c r="L5263" t="s">
        <v>9709</v>
      </c>
      <c r="M5263" t="s">
        <v>5471</v>
      </c>
    </row>
    <row r="5264" spans="1:13" x14ac:dyDescent="0.3">
      <c r="A5264" t="s">
        <v>3383</v>
      </c>
      <c r="B5264" t="s">
        <v>6187</v>
      </c>
      <c r="C5264" t="s">
        <v>5470</v>
      </c>
      <c r="D5264" t="s">
        <v>4058</v>
      </c>
      <c r="E5264" t="s">
        <v>5756</v>
      </c>
      <c r="F5264" t="s">
        <v>20714</v>
      </c>
      <c r="G5264" t="s">
        <v>20715</v>
      </c>
      <c r="H5264" t="s">
        <v>5474</v>
      </c>
      <c r="I5264" t="s">
        <v>20716</v>
      </c>
      <c r="J5264" t="s">
        <v>5476</v>
      </c>
      <c r="K5264" t="s">
        <v>20717</v>
      </c>
      <c r="L5264" t="s">
        <v>9709</v>
      </c>
      <c r="M5264" t="s">
        <v>5471</v>
      </c>
    </row>
    <row r="5265" spans="1:13" x14ac:dyDescent="0.3">
      <c r="A5265" t="s">
        <v>3383</v>
      </c>
      <c r="B5265" t="s">
        <v>6187</v>
      </c>
      <c r="C5265" t="s">
        <v>5470</v>
      </c>
      <c r="D5265" t="s">
        <v>4058</v>
      </c>
      <c r="E5265" t="s">
        <v>5756</v>
      </c>
      <c r="F5265" t="s">
        <v>20718</v>
      </c>
      <c r="G5265" t="s">
        <v>20653</v>
      </c>
      <c r="H5265" t="s">
        <v>5474</v>
      </c>
      <c r="I5265" t="s">
        <v>20719</v>
      </c>
      <c r="J5265" t="s">
        <v>5476</v>
      </c>
      <c r="K5265" t="s">
        <v>20720</v>
      </c>
      <c r="L5265" t="s">
        <v>5478</v>
      </c>
      <c r="M5265" t="s">
        <v>5471</v>
      </c>
    </row>
    <row r="5266" spans="1:13" x14ac:dyDescent="0.3">
      <c r="A5266" t="s">
        <v>3383</v>
      </c>
      <c r="B5266" t="s">
        <v>6187</v>
      </c>
      <c r="C5266" t="s">
        <v>5470</v>
      </c>
      <c r="D5266" t="s">
        <v>4058</v>
      </c>
      <c r="E5266" t="s">
        <v>5756</v>
      </c>
      <c r="F5266" t="s">
        <v>20721</v>
      </c>
      <c r="G5266" t="s">
        <v>20722</v>
      </c>
      <c r="H5266" t="s">
        <v>5474</v>
      </c>
      <c r="I5266" t="s">
        <v>20723</v>
      </c>
      <c r="J5266" t="s">
        <v>5476</v>
      </c>
      <c r="K5266" t="s">
        <v>20724</v>
      </c>
      <c r="L5266" t="s">
        <v>5478</v>
      </c>
      <c r="M5266" t="s">
        <v>5471</v>
      </c>
    </row>
    <row r="5267" spans="1:13" x14ac:dyDescent="0.3">
      <c r="A5267" t="s">
        <v>3383</v>
      </c>
      <c r="B5267" t="s">
        <v>6187</v>
      </c>
      <c r="C5267" t="s">
        <v>5470</v>
      </c>
      <c r="D5267" t="s">
        <v>4058</v>
      </c>
      <c r="E5267" t="s">
        <v>5756</v>
      </c>
      <c r="F5267" t="s">
        <v>20725</v>
      </c>
      <c r="G5267" t="s">
        <v>20726</v>
      </c>
      <c r="H5267" t="s">
        <v>5474</v>
      </c>
      <c r="I5267" t="s">
        <v>20727</v>
      </c>
      <c r="J5267" t="s">
        <v>5476</v>
      </c>
      <c r="K5267" t="s">
        <v>20728</v>
      </c>
      <c r="L5267" t="s">
        <v>9709</v>
      </c>
      <c r="M5267" t="s">
        <v>5471</v>
      </c>
    </row>
    <row r="5268" spans="1:13" x14ac:dyDescent="0.3">
      <c r="A5268" t="s">
        <v>3383</v>
      </c>
      <c r="B5268" t="s">
        <v>6187</v>
      </c>
      <c r="C5268" t="s">
        <v>5470</v>
      </c>
      <c r="D5268" t="s">
        <v>4058</v>
      </c>
      <c r="E5268" t="s">
        <v>5756</v>
      </c>
      <c r="F5268" t="s">
        <v>20729</v>
      </c>
      <c r="G5268" t="s">
        <v>20730</v>
      </c>
      <c r="H5268" t="s">
        <v>5474</v>
      </c>
      <c r="I5268" t="s">
        <v>20731</v>
      </c>
      <c r="J5268" t="s">
        <v>5476</v>
      </c>
      <c r="K5268" t="s">
        <v>20732</v>
      </c>
      <c r="L5268" t="s">
        <v>9709</v>
      </c>
      <c r="M5268" t="s">
        <v>5471</v>
      </c>
    </row>
    <row r="5269" spans="1:13" x14ac:dyDescent="0.3">
      <c r="A5269" t="s">
        <v>3383</v>
      </c>
      <c r="B5269" t="s">
        <v>6187</v>
      </c>
      <c r="C5269" t="s">
        <v>5470</v>
      </c>
      <c r="D5269" t="s">
        <v>4058</v>
      </c>
      <c r="E5269" t="s">
        <v>5756</v>
      </c>
      <c r="F5269" t="s">
        <v>20733</v>
      </c>
      <c r="G5269" t="s">
        <v>20653</v>
      </c>
      <c r="H5269" t="s">
        <v>5474</v>
      </c>
      <c r="I5269" t="s">
        <v>20734</v>
      </c>
      <c r="J5269" t="s">
        <v>5476</v>
      </c>
      <c r="K5269" t="s">
        <v>20735</v>
      </c>
      <c r="L5269" t="s">
        <v>5478</v>
      </c>
      <c r="M5269" t="s">
        <v>5471</v>
      </c>
    </row>
    <row r="5270" spans="1:13" x14ac:dyDescent="0.3">
      <c r="A5270" t="s">
        <v>3383</v>
      </c>
      <c r="B5270" t="s">
        <v>6187</v>
      </c>
      <c r="C5270" t="s">
        <v>5470</v>
      </c>
      <c r="D5270" t="s">
        <v>4058</v>
      </c>
      <c r="E5270" t="s">
        <v>5756</v>
      </c>
      <c r="F5270" t="s">
        <v>20736</v>
      </c>
      <c r="G5270" t="s">
        <v>20653</v>
      </c>
      <c r="H5270" t="s">
        <v>5474</v>
      </c>
      <c r="I5270" t="s">
        <v>20737</v>
      </c>
      <c r="J5270" t="s">
        <v>5476</v>
      </c>
      <c r="K5270" t="s">
        <v>20738</v>
      </c>
      <c r="L5270" t="s">
        <v>9709</v>
      </c>
      <c r="M5270" t="s">
        <v>5471</v>
      </c>
    </row>
    <row r="5271" spans="1:13" x14ac:dyDescent="0.3">
      <c r="A5271" t="s">
        <v>3383</v>
      </c>
      <c r="B5271" t="s">
        <v>6187</v>
      </c>
      <c r="C5271" t="s">
        <v>5470</v>
      </c>
      <c r="D5271" t="s">
        <v>4058</v>
      </c>
      <c r="E5271" t="s">
        <v>5756</v>
      </c>
      <c r="F5271" t="s">
        <v>20739</v>
      </c>
      <c r="G5271" t="s">
        <v>20740</v>
      </c>
      <c r="H5271" t="s">
        <v>5474</v>
      </c>
      <c r="I5271" t="s">
        <v>20741</v>
      </c>
      <c r="J5271" t="s">
        <v>5476</v>
      </c>
      <c r="K5271" t="s">
        <v>20742</v>
      </c>
      <c r="L5271" t="s">
        <v>9709</v>
      </c>
      <c r="M5271" t="s">
        <v>5471</v>
      </c>
    </row>
    <row r="5272" spans="1:13" x14ac:dyDescent="0.3">
      <c r="A5272" t="s">
        <v>3383</v>
      </c>
      <c r="B5272" t="s">
        <v>6187</v>
      </c>
      <c r="C5272" t="s">
        <v>5470</v>
      </c>
      <c r="D5272" t="s">
        <v>4058</v>
      </c>
      <c r="E5272" t="s">
        <v>5756</v>
      </c>
      <c r="F5272" t="s">
        <v>20743</v>
      </c>
      <c r="G5272" t="s">
        <v>20744</v>
      </c>
      <c r="H5272" t="s">
        <v>5474</v>
      </c>
      <c r="I5272" t="s">
        <v>20745</v>
      </c>
      <c r="J5272" t="s">
        <v>5476</v>
      </c>
      <c r="K5272" t="s">
        <v>20746</v>
      </c>
      <c r="L5272" t="s">
        <v>9709</v>
      </c>
      <c r="M5272" t="s">
        <v>5471</v>
      </c>
    </row>
    <row r="5273" spans="1:13" x14ac:dyDescent="0.3">
      <c r="A5273" t="s">
        <v>3383</v>
      </c>
      <c r="B5273" t="s">
        <v>6187</v>
      </c>
      <c r="C5273" t="s">
        <v>5470</v>
      </c>
      <c r="D5273" t="s">
        <v>4058</v>
      </c>
      <c r="E5273" t="s">
        <v>5756</v>
      </c>
      <c r="F5273" t="s">
        <v>20747</v>
      </c>
      <c r="G5273" t="s">
        <v>20748</v>
      </c>
      <c r="H5273" t="s">
        <v>5474</v>
      </c>
      <c r="I5273" t="s">
        <v>20749</v>
      </c>
      <c r="J5273" t="s">
        <v>5476</v>
      </c>
      <c r="K5273" t="s">
        <v>20750</v>
      </c>
      <c r="L5273" t="s">
        <v>9709</v>
      </c>
      <c r="M5273" t="s">
        <v>5471</v>
      </c>
    </row>
    <row r="5274" spans="1:13" x14ac:dyDescent="0.3">
      <c r="A5274" t="s">
        <v>3383</v>
      </c>
      <c r="B5274" t="s">
        <v>6187</v>
      </c>
      <c r="C5274" t="s">
        <v>5470</v>
      </c>
      <c r="D5274" t="s">
        <v>4058</v>
      </c>
      <c r="E5274" t="s">
        <v>5756</v>
      </c>
      <c r="F5274" t="s">
        <v>20751</v>
      </c>
      <c r="G5274" t="s">
        <v>8524</v>
      </c>
      <c r="H5274" t="s">
        <v>5474</v>
      </c>
      <c r="I5274" t="s">
        <v>20752</v>
      </c>
      <c r="J5274" t="s">
        <v>5476</v>
      </c>
      <c r="K5274" t="s">
        <v>20753</v>
      </c>
      <c r="L5274" t="s">
        <v>5478</v>
      </c>
      <c r="M5274" t="s">
        <v>5471</v>
      </c>
    </row>
    <row r="5275" spans="1:13" x14ac:dyDescent="0.3">
      <c r="A5275" t="s">
        <v>3383</v>
      </c>
      <c r="B5275" t="s">
        <v>6187</v>
      </c>
      <c r="C5275" t="s">
        <v>5470</v>
      </c>
      <c r="D5275" t="s">
        <v>4058</v>
      </c>
      <c r="E5275" t="s">
        <v>5756</v>
      </c>
      <c r="F5275" t="s">
        <v>20754</v>
      </c>
      <c r="G5275" t="s">
        <v>20755</v>
      </c>
      <c r="H5275" t="s">
        <v>5474</v>
      </c>
      <c r="I5275" t="s">
        <v>20756</v>
      </c>
      <c r="J5275" t="s">
        <v>5476</v>
      </c>
      <c r="K5275" t="s">
        <v>20757</v>
      </c>
      <c r="L5275" t="s">
        <v>5478</v>
      </c>
      <c r="M5275" t="s">
        <v>5471</v>
      </c>
    </row>
    <row r="5276" spans="1:13" x14ac:dyDescent="0.3">
      <c r="A5276" t="s">
        <v>3383</v>
      </c>
      <c r="B5276" t="s">
        <v>6187</v>
      </c>
      <c r="C5276" t="s">
        <v>5470</v>
      </c>
      <c r="D5276" t="s">
        <v>4058</v>
      </c>
      <c r="E5276" t="s">
        <v>5756</v>
      </c>
      <c r="F5276" t="s">
        <v>20758</v>
      </c>
      <c r="G5276" t="s">
        <v>20759</v>
      </c>
      <c r="H5276" t="s">
        <v>5474</v>
      </c>
      <c r="I5276" t="s">
        <v>20760</v>
      </c>
      <c r="J5276" t="s">
        <v>5476</v>
      </c>
      <c r="K5276" t="s">
        <v>20761</v>
      </c>
      <c r="L5276" t="s">
        <v>9709</v>
      </c>
      <c r="M5276" t="s">
        <v>5471</v>
      </c>
    </row>
    <row r="5277" spans="1:13" x14ac:dyDescent="0.3">
      <c r="A5277" t="s">
        <v>3383</v>
      </c>
      <c r="B5277" t="s">
        <v>6187</v>
      </c>
      <c r="C5277" t="s">
        <v>5470</v>
      </c>
      <c r="D5277" t="s">
        <v>12448</v>
      </c>
      <c r="E5277" t="s">
        <v>5756</v>
      </c>
      <c r="F5277" t="s">
        <v>20762</v>
      </c>
      <c r="G5277" t="s">
        <v>8524</v>
      </c>
      <c r="H5277" t="s">
        <v>5474</v>
      </c>
      <c r="I5277" t="s">
        <v>20763</v>
      </c>
      <c r="J5277" t="s">
        <v>5476</v>
      </c>
      <c r="K5277" t="s">
        <v>20764</v>
      </c>
      <c r="L5277" t="s">
        <v>5478</v>
      </c>
      <c r="M5277" t="s">
        <v>5471</v>
      </c>
    </row>
    <row r="5278" spans="1:13" x14ac:dyDescent="0.3">
      <c r="A5278" t="s">
        <v>3383</v>
      </c>
      <c r="B5278" t="s">
        <v>6122</v>
      </c>
      <c r="C5278" t="s">
        <v>5470</v>
      </c>
      <c r="D5278" t="s">
        <v>12448</v>
      </c>
      <c r="E5278" t="s">
        <v>5756</v>
      </c>
      <c r="F5278" t="s">
        <v>20765</v>
      </c>
      <c r="G5278" t="s">
        <v>8524</v>
      </c>
      <c r="H5278" t="s">
        <v>5474</v>
      </c>
      <c r="I5278" t="s">
        <v>20766</v>
      </c>
      <c r="J5278" t="s">
        <v>5476</v>
      </c>
      <c r="K5278" t="s">
        <v>20764</v>
      </c>
      <c r="L5278" t="s">
        <v>20150</v>
      </c>
      <c r="M5278" t="s">
        <v>5471</v>
      </c>
    </row>
    <row r="5279" spans="1:13" x14ac:dyDescent="0.3">
      <c r="A5279" t="s">
        <v>3383</v>
      </c>
      <c r="B5279" t="s">
        <v>6187</v>
      </c>
      <c r="C5279" t="s">
        <v>5470</v>
      </c>
      <c r="D5279" t="s">
        <v>12448</v>
      </c>
      <c r="E5279" t="s">
        <v>5756</v>
      </c>
      <c r="F5279" t="s">
        <v>20767</v>
      </c>
      <c r="G5279" t="s">
        <v>6197</v>
      </c>
      <c r="H5279" t="s">
        <v>5474</v>
      </c>
      <c r="I5279" t="s">
        <v>20768</v>
      </c>
      <c r="J5279" t="s">
        <v>5476</v>
      </c>
      <c r="K5279" t="s">
        <v>20769</v>
      </c>
      <c r="L5279" t="s">
        <v>5478</v>
      </c>
      <c r="M5279" t="s">
        <v>5471</v>
      </c>
    </row>
    <row r="5280" spans="1:13" x14ac:dyDescent="0.3">
      <c r="A5280" t="s">
        <v>3383</v>
      </c>
      <c r="B5280" t="s">
        <v>6051</v>
      </c>
      <c r="C5280" t="s">
        <v>5470</v>
      </c>
      <c r="D5280" t="s">
        <v>12448</v>
      </c>
      <c r="E5280" t="s">
        <v>5756</v>
      </c>
      <c r="F5280" t="s">
        <v>20770</v>
      </c>
      <c r="G5280" t="s">
        <v>6197</v>
      </c>
      <c r="H5280" t="s">
        <v>5474</v>
      </c>
      <c r="I5280" t="s">
        <v>20771</v>
      </c>
      <c r="J5280" t="s">
        <v>5476</v>
      </c>
      <c r="K5280" t="s">
        <v>20772</v>
      </c>
      <c r="L5280" t="s">
        <v>20150</v>
      </c>
      <c r="M5280" t="s">
        <v>5471</v>
      </c>
    </row>
    <row r="5281" spans="1:13" x14ac:dyDescent="0.3">
      <c r="A5281" t="s">
        <v>3383</v>
      </c>
      <c r="B5281" t="s">
        <v>6187</v>
      </c>
      <c r="C5281" t="s">
        <v>5470</v>
      </c>
      <c r="D5281" t="s">
        <v>4200</v>
      </c>
      <c r="E5281" t="s">
        <v>5756</v>
      </c>
      <c r="F5281" t="s">
        <v>20773</v>
      </c>
      <c r="G5281" t="s">
        <v>8524</v>
      </c>
      <c r="H5281" t="s">
        <v>5474</v>
      </c>
      <c r="I5281" t="s">
        <v>20774</v>
      </c>
      <c r="J5281" t="s">
        <v>5476</v>
      </c>
      <c r="K5281" t="s">
        <v>20775</v>
      </c>
      <c r="L5281" t="s">
        <v>5471</v>
      </c>
      <c r="M5281" t="s">
        <v>5471</v>
      </c>
    </row>
    <row r="5282" spans="1:13" x14ac:dyDescent="0.3">
      <c r="A5282" t="s">
        <v>3383</v>
      </c>
      <c r="B5282" t="s">
        <v>7461</v>
      </c>
      <c r="C5282" t="s">
        <v>5470</v>
      </c>
      <c r="D5282" t="s">
        <v>10218</v>
      </c>
      <c r="E5282" t="s">
        <v>5756</v>
      </c>
      <c r="F5282" t="s">
        <v>744</v>
      </c>
      <c r="G5282" t="s">
        <v>20776</v>
      </c>
      <c r="H5282" t="s">
        <v>5474</v>
      </c>
      <c r="I5282" t="s">
        <v>20777</v>
      </c>
      <c r="J5282" t="s">
        <v>5476</v>
      </c>
      <c r="K5282" t="s">
        <v>5471</v>
      </c>
      <c r="L5282" t="s">
        <v>5471</v>
      </c>
      <c r="M5282" t="s">
        <v>5471</v>
      </c>
    </row>
    <row r="5283" spans="1:13" x14ac:dyDescent="0.3">
      <c r="A5283" t="s">
        <v>3383</v>
      </c>
      <c r="B5283" t="s">
        <v>7461</v>
      </c>
      <c r="C5283" t="s">
        <v>5470</v>
      </c>
      <c r="D5283" t="s">
        <v>10218</v>
      </c>
      <c r="E5283" t="s">
        <v>5756</v>
      </c>
      <c r="F5283" t="s">
        <v>20778</v>
      </c>
      <c r="G5283" t="s">
        <v>20779</v>
      </c>
      <c r="H5283" t="s">
        <v>5474</v>
      </c>
      <c r="I5283" t="s">
        <v>20780</v>
      </c>
      <c r="J5283" t="s">
        <v>5476</v>
      </c>
      <c r="K5283" t="s">
        <v>5471</v>
      </c>
      <c r="L5283" t="s">
        <v>5471</v>
      </c>
      <c r="M5283" t="s">
        <v>5471</v>
      </c>
    </row>
    <row r="5284" spans="1:13" x14ac:dyDescent="0.3">
      <c r="A5284" t="s">
        <v>3383</v>
      </c>
      <c r="B5284" t="s">
        <v>7461</v>
      </c>
      <c r="C5284" t="s">
        <v>5470</v>
      </c>
      <c r="D5284" t="s">
        <v>4200</v>
      </c>
      <c r="E5284" t="s">
        <v>5756</v>
      </c>
      <c r="F5284" t="s">
        <v>20781</v>
      </c>
      <c r="G5284" t="s">
        <v>20779</v>
      </c>
      <c r="H5284" t="s">
        <v>5474</v>
      </c>
      <c r="I5284" t="s">
        <v>20782</v>
      </c>
      <c r="J5284" t="s">
        <v>5476</v>
      </c>
      <c r="K5284" t="s">
        <v>5471</v>
      </c>
      <c r="L5284" t="s">
        <v>5471</v>
      </c>
      <c r="M5284" t="s">
        <v>5471</v>
      </c>
    </row>
    <row r="5285" spans="1:13" x14ac:dyDescent="0.3">
      <c r="A5285" t="s">
        <v>3383</v>
      </c>
      <c r="B5285" t="s">
        <v>7461</v>
      </c>
      <c r="C5285" t="s">
        <v>5470</v>
      </c>
      <c r="D5285" t="s">
        <v>4119</v>
      </c>
      <c r="E5285" t="s">
        <v>5756</v>
      </c>
      <c r="F5285" t="s">
        <v>20783</v>
      </c>
      <c r="G5285" t="s">
        <v>20784</v>
      </c>
      <c r="H5285" t="s">
        <v>5474</v>
      </c>
      <c r="I5285" t="s">
        <v>20785</v>
      </c>
      <c r="J5285" t="s">
        <v>5476</v>
      </c>
      <c r="K5285" t="s">
        <v>5471</v>
      </c>
      <c r="L5285" t="s">
        <v>5478</v>
      </c>
      <c r="M5285" t="s">
        <v>5471</v>
      </c>
    </row>
    <row r="5286" spans="1:13" x14ac:dyDescent="0.3">
      <c r="A5286" t="s">
        <v>3383</v>
      </c>
      <c r="B5286" t="s">
        <v>7461</v>
      </c>
      <c r="C5286" t="s">
        <v>5470</v>
      </c>
      <c r="D5286" t="s">
        <v>4119</v>
      </c>
      <c r="E5286" t="s">
        <v>5756</v>
      </c>
      <c r="F5286" t="s">
        <v>20786</v>
      </c>
      <c r="G5286" t="s">
        <v>20787</v>
      </c>
      <c r="H5286" t="s">
        <v>5474</v>
      </c>
      <c r="I5286" t="s">
        <v>20788</v>
      </c>
      <c r="J5286" t="s">
        <v>5476</v>
      </c>
      <c r="K5286" t="s">
        <v>5471</v>
      </c>
      <c r="L5286" t="s">
        <v>5478</v>
      </c>
      <c r="M5286" t="s">
        <v>5471</v>
      </c>
    </row>
    <row r="5287" spans="1:13" x14ac:dyDescent="0.3">
      <c r="A5287" t="s">
        <v>3383</v>
      </c>
      <c r="B5287" t="s">
        <v>7461</v>
      </c>
      <c r="C5287" t="s">
        <v>5470</v>
      </c>
      <c r="D5287" t="s">
        <v>4081</v>
      </c>
      <c r="E5287" t="s">
        <v>5756</v>
      </c>
      <c r="F5287" t="s">
        <v>20789</v>
      </c>
      <c r="G5287" t="s">
        <v>20790</v>
      </c>
      <c r="H5287" t="s">
        <v>5474</v>
      </c>
      <c r="I5287" t="s">
        <v>20791</v>
      </c>
      <c r="J5287" t="s">
        <v>5484</v>
      </c>
      <c r="K5287" t="s">
        <v>20792</v>
      </c>
      <c r="L5287" t="s">
        <v>12472</v>
      </c>
      <c r="M5287" t="s">
        <v>5471</v>
      </c>
    </row>
    <row r="5288" spans="1:13" x14ac:dyDescent="0.3">
      <c r="A5288" t="s">
        <v>3383</v>
      </c>
      <c r="B5288" t="s">
        <v>7461</v>
      </c>
      <c r="C5288" t="s">
        <v>5470</v>
      </c>
      <c r="D5288" t="s">
        <v>4081</v>
      </c>
      <c r="E5288" t="s">
        <v>5756</v>
      </c>
      <c r="F5288" t="s">
        <v>20793</v>
      </c>
      <c r="G5288" t="s">
        <v>20794</v>
      </c>
      <c r="H5288" t="s">
        <v>5474</v>
      </c>
      <c r="I5288" t="s">
        <v>20795</v>
      </c>
      <c r="J5288" t="s">
        <v>5484</v>
      </c>
      <c r="K5288" t="s">
        <v>20796</v>
      </c>
      <c r="L5288" t="s">
        <v>12472</v>
      </c>
      <c r="M5288" t="s">
        <v>5471</v>
      </c>
    </row>
    <row r="5289" spans="1:13" x14ac:dyDescent="0.3">
      <c r="A5289" t="s">
        <v>3383</v>
      </c>
      <c r="B5289" t="s">
        <v>7461</v>
      </c>
      <c r="C5289" t="s">
        <v>5470</v>
      </c>
      <c r="D5289" t="s">
        <v>4119</v>
      </c>
      <c r="E5289" t="s">
        <v>5756</v>
      </c>
      <c r="F5289" t="s">
        <v>20797</v>
      </c>
      <c r="G5289" t="s">
        <v>20798</v>
      </c>
      <c r="H5289" t="s">
        <v>5474</v>
      </c>
      <c r="I5289" t="s">
        <v>20799</v>
      </c>
      <c r="J5289" t="s">
        <v>5476</v>
      </c>
      <c r="K5289" t="s">
        <v>5471</v>
      </c>
      <c r="L5289" t="s">
        <v>5478</v>
      </c>
      <c r="M5289" t="s">
        <v>5471</v>
      </c>
    </row>
    <row r="5290" spans="1:13" x14ac:dyDescent="0.3">
      <c r="A5290" t="s">
        <v>3383</v>
      </c>
      <c r="B5290" t="s">
        <v>7461</v>
      </c>
      <c r="C5290" t="s">
        <v>5470</v>
      </c>
      <c r="D5290" t="s">
        <v>4119</v>
      </c>
      <c r="E5290" t="s">
        <v>5756</v>
      </c>
      <c r="F5290" t="s">
        <v>20800</v>
      </c>
      <c r="G5290" t="s">
        <v>20801</v>
      </c>
      <c r="H5290" t="s">
        <v>5474</v>
      </c>
      <c r="I5290" t="s">
        <v>20802</v>
      </c>
      <c r="J5290" t="s">
        <v>5476</v>
      </c>
      <c r="K5290" t="s">
        <v>5471</v>
      </c>
      <c r="L5290" t="s">
        <v>5478</v>
      </c>
      <c r="M5290" t="s">
        <v>5471</v>
      </c>
    </row>
    <row r="5291" spans="1:13" x14ac:dyDescent="0.3">
      <c r="A5291" t="s">
        <v>3383</v>
      </c>
      <c r="B5291" t="s">
        <v>7461</v>
      </c>
      <c r="C5291" t="s">
        <v>5470</v>
      </c>
      <c r="D5291" t="s">
        <v>4081</v>
      </c>
      <c r="E5291" t="s">
        <v>5756</v>
      </c>
      <c r="F5291" t="s">
        <v>20803</v>
      </c>
      <c r="G5291" t="s">
        <v>20804</v>
      </c>
      <c r="H5291" t="s">
        <v>5474</v>
      </c>
      <c r="I5291" t="s">
        <v>20805</v>
      </c>
      <c r="J5291" t="s">
        <v>5484</v>
      </c>
      <c r="K5291" t="s">
        <v>20806</v>
      </c>
      <c r="L5291" t="s">
        <v>12472</v>
      </c>
      <c r="M5291" t="s">
        <v>5471</v>
      </c>
    </row>
    <row r="5292" spans="1:13" x14ac:dyDescent="0.3">
      <c r="A5292" t="s">
        <v>3383</v>
      </c>
      <c r="B5292" t="s">
        <v>7461</v>
      </c>
      <c r="C5292" t="s">
        <v>5470</v>
      </c>
      <c r="D5292" t="s">
        <v>4119</v>
      </c>
      <c r="E5292" t="s">
        <v>5756</v>
      </c>
      <c r="F5292" t="s">
        <v>20807</v>
      </c>
      <c r="G5292" t="s">
        <v>20808</v>
      </c>
      <c r="H5292" t="s">
        <v>5474</v>
      </c>
      <c r="I5292" t="s">
        <v>20809</v>
      </c>
      <c r="J5292" t="s">
        <v>5476</v>
      </c>
      <c r="K5292" t="s">
        <v>5471</v>
      </c>
      <c r="L5292" t="s">
        <v>5478</v>
      </c>
      <c r="M5292" t="s">
        <v>5471</v>
      </c>
    </row>
    <row r="5293" spans="1:13" x14ac:dyDescent="0.3">
      <c r="A5293" t="s">
        <v>3383</v>
      </c>
      <c r="B5293" t="s">
        <v>7461</v>
      </c>
      <c r="C5293" t="s">
        <v>5470</v>
      </c>
      <c r="D5293" t="s">
        <v>4081</v>
      </c>
      <c r="E5293" t="s">
        <v>5756</v>
      </c>
      <c r="F5293" t="s">
        <v>20810</v>
      </c>
      <c r="G5293" t="s">
        <v>20811</v>
      </c>
      <c r="H5293" t="s">
        <v>5474</v>
      </c>
      <c r="I5293" t="s">
        <v>20812</v>
      </c>
      <c r="J5293" t="s">
        <v>5484</v>
      </c>
      <c r="K5293" t="s">
        <v>20813</v>
      </c>
      <c r="L5293" t="s">
        <v>12472</v>
      </c>
      <c r="M5293" t="s">
        <v>5471</v>
      </c>
    </row>
    <row r="5294" spans="1:13" x14ac:dyDescent="0.3">
      <c r="A5294" t="s">
        <v>3383</v>
      </c>
      <c r="B5294" t="s">
        <v>7461</v>
      </c>
      <c r="C5294" t="s">
        <v>5470</v>
      </c>
      <c r="D5294" t="s">
        <v>4081</v>
      </c>
      <c r="E5294" t="s">
        <v>5756</v>
      </c>
      <c r="F5294" t="s">
        <v>20814</v>
      </c>
      <c r="G5294" t="s">
        <v>20815</v>
      </c>
      <c r="H5294" t="s">
        <v>5474</v>
      </c>
      <c r="I5294" t="s">
        <v>20816</v>
      </c>
      <c r="J5294" t="s">
        <v>5484</v>
      </c>
      <c r="K5294" t="s">
        <v>20817</v>
      </c>
      <c r="L5294" t="s">
        <v>12472</v>
      </c>
      <c r="M5294" t="s">
        <v>5471</v>
      </c>
    </row>
    <row r="5295" spans="1:13" x14ac:dyDescent="0.3">
      <c r="A5295" t="s">
        <v>3383</v>
      </c>
      <c r="B5295" t="s">
        <v>7461</v>
      </c>
      <c r="C5295" t="s">
        <v>5470</v>
      </c>
      <c r="D5295" t="s">
        <v>4081</v>
      </c>
      <c r="E5295" t="s">
        <v>5756</v>
      </c>
      <c r="F5295" t="s">
        <v>20818</v>
      </c>
      <c r="G5295" t="s">
        <v>20819</v>
      </c>
      <c r="H5295" t="s">
        <v>5474</v>
      </c>
      <c r="I5295" t="s">
        <v>20820</v>
      </c>
      <c r="J5295" t="s">
        <v>5484</v>
      </c>
      <c r="K5295" t="s">
        <v>20821</v>
      </c>
      <c r="L5295" t="s">
        <v>12472</v>
      </c>
      <c r="M5295" t="s">
        <v>5471</v>
      </c>
    </row>
    <row r="5296" spans="1:13" x14ac:dyDescent="0.3">
      <c r="A5296" t="s">
        <v>3383</v>
      </c>
      <c r="B5296" t="s">
        <v>7461</v>
      </c>
      <c r="C5296" t="s">
        <v>5470</v>
      </c>
      <c r="D5296" t="s">
        <v>4081</v>
      </c>
      <c r="E5296" t="s">
        <v>5756</v>
      </c>
      <c r="F5296" t="s">
        <v>20822</v>
      </c>
      <c r="G5296" t="s">
        <v>20823</v>
      </c>
      <c r="H5296" t="s">
        <v>5474</v>
      </c>
      <c r="I5296" t="s">
        <v>20824</v>
      </c>
      <c r="J5296" t="s">
        <v>5484</v>
      </c>
      <c r="K5296" t="s">
        <v>20825</v>
      </c>
      <c r="L5296" t="s">
        <v>12472</v>
      </c>
      <c r="M5296" t="s">
        <v>5471</v>
      </c>
    </row>
    <row r="5297" spans="1:13" x14ac:dyDescent="0.3">
      <c r="A5297" t="s">
        <v>3383</v>
      </c>
      <c r="B5297" t="s">
        <v>7461</v>
      </c>
      <c r="C5297" t="s">
        <v>5470</v>
      </c>
      <c r="D5297" t="s">
        <v>4081</v>
      </c>
      <c r="E5297" t="s">
        <v>5756</v>
      </c>
      <c r="F5297" t="s">
        <v>20826</v>
      </c>
      <c r="G5297" t="s">
        <v>20827</v>
      </c>
      <c r="H5297" t="s">
        <v>5474</v>
      </c>
      <c r="I5297" t="s">
        <v>20828</v>
      </c>
      <c r="J5297" t="s">
        <v>5484</v>
      </c>
      <c r="K5297" t="s">
        <v>20829</v>
      </c>
      <c r="L5297" t="s">
        <v>12472</v>
      </c>
      <c r="M5297" t="s">
        <v>5471</v>
      </c>
    </row>
    <row r="5298" spans="1:13" x14ac:dyDescent="0.3">
      <c r="A5298" t="s">
        <v>3388</v>
      </c>
      <c r="B5298" t="s">
        <v>7088</v>
      </c>
      <c r="C5298" t="s">
        <v>5470</v>
      </c>
      <c r="D5298" t="s">
        <v>4119</v>
      </c>
      <c r="E5298" t="s">
        <v>5532</v>
      </c>
      <c r="F5298" t="s">
        <v>20830</v>
      </c>
      <c r="G5298" t="s">
        <v>15635</v>
      </c>
      <c r="H5298" t="s">
        <v>5474</v>
      </c>
      <c r="I5298" t="s">
        <v>20831</v>
      </c>
      <c r="J5298" t="s">
        <v>5476</v>
      </c>
      <c r="K5298" t="s">
        <v>20832</v>
      </c>
      <c r="L5298" t="s">
        <v>5471</v>
      </c>
      <c r="M5298" t="s">
        <v>5471</v>
      </c>
    </row>
    <row r="5299" spans="1:13" x14ac:dyDescent="0.3">
      <c r="A5299" t="s">
        <v>3388</v>
      </c>
      <c r="B5299" t="s">
        <v>7088</v>
      </c>
      <c r="C5299" t="s">
        <v>5470</v>
      </c>
      <c r="D5299" t="s">
        <v>4119</v>
      </c>
      <c r="E5299" t="s">
        <v>5532</v>
      </c>
      <c r="F5299" t="s">
        <v>20833</v>
      </c>
      <c r="G5299" t="s">
        <v>15635</v>
      </c>
      <c r="H5299" t="s">
        <v>5474</v>
      </c>
      <c r="I5299" t="s">
        <v>20834</v>
      </c>
      <c r="J5299" t="s">
        <v>5476</v>
      </c>
      <c r="K5299" t="s">
        <v>15648</v>
      </c>
      <c r="L5299" t="s">
        <v>5471</v>
      </c>
      <c r="M5299" t="s">
        <v>5471</v>
      </c>
    </row>
    <row r="5300" spans="1:13" x14ac:dyDescent="0.3">
      <c r="A5300" t="s">
        <v>3388</v>
      </c>
      <c r="B5300" t="s">
        <v>7088</v>
      </c>
      <c r="C5300" t="s">
        <v>5470</v>
      </c>
      <c r="D5300" t="s">
        <v>4119</v>
      </c>
      <c r="E5300" t="s">
        <v>5532</v>
      </c>
      <c r="F5300" t="s">
        <v>20835</v>
      </c>
      <c r="G5300" t="s">
        <v>15650</v>
      </c>
      <c r="H5300" t="s">
        <v>5474</v>
      </c>
      <c r="I5300" t="s">
        <v>20836</v>
      </c>
      <c r="J5300" t="s">
        <v>5476</v>
      </c>
      <c r="K5300" t="s">
        <v>20837</v>
      </c>
      <c r="L5300" t="s">
        <v>5471</v>
      </c>
      <c r="M5300" t="s">
        <v>5471</v>
      </c>
    </row>
    <row r="5301" spans="1:13" x14ac:dyDescent="0.3">
      <c r="A5301" t="s">
        <v>3388</v>
      </c>
      <c r="B5301" t="s">
        <v>7088</v>
      </c>
      <c r="C5301" t="s">
        <v>5470</v>
      </c>
      <c r="D5301" t="s">
        <v>4119</v>
      </c>
      <c r="E5301" t="s">
        <v>5532</v>
      </c>
      <c r="F5301" t="s">
        <v>20838</v>
      </c>
      <c r="G5301" t="s">
        <v>15650</v>
      </c>
      <c r="H5301" t="s">
        <v>5474</v>
      </c>
      <c r="I5301" t="s">
        <v>20839</v>
      </c>
      <c r="J5301" t="s">
        <v>5476</v>
      </c>
      <c r="K5301" t="s">
        <v>15652</v>
      </c>
      <c r="L5301" t="s">
        <v>5471</v>
      </c>
      <c r="M5301" t="s">
        <v>5471</v>
      </c>
    </row>
    <row r="5302" spans="1:13" x14ac:dyDescent="0.3">
      <c r="A5302" t="s">
        <v>3388</v>
      </c>
      <c r="B5302" t="s">
        <v>7088</v>
      </c>
      <c r="C5302" t="s">
        <v>5470</v>
      </c>
      <c r="D5302" t="s">
        <v>4119</v>
      </c>
      <c r="E5302" t="s">
        <v>5532</v>
      </c>
      <c r="F5302" t="s">
        <v>20840</v>
      </c>
      <c r="G5302" t="s">
        <v>15627</v>
      </c>
      <c r="H5302" t="s">
        <v>5474</v>
      </c>
      <c r="I5302" t="s">
        <v>20841</v>
      </c>
      <c r="J5302" t="s">
        <v>5476</v>
      </c>
      <c r="K5302" t="s">
        <v>20842</v>
      </c>
      <c r="L5302" t="s">
        <v>5471</v>
      </c>
      <c r="M5302" t="s">
        <v>5471</v>
      </c>
    </row>
    <row r="5303" spans="1:13" x14ac:dyDescent="0.3">
      <c r="A5303" t="s">
        <v>3388</v>
      </c>
      <c r="B5303" t="s">
        <v>7088</v>
      </c>
      <c r="C5303" t="s">
        <v>5470</v>
      </c>
      <c r="D5303" t="s">
        <v>4119</v>
      </c>
      <c r="E5303" t="s">
        <v>5532</v>
      </c>
      <c r="F5303" t="s">
        <v>20843</v>
      </c>
      <c r="G5303" t="s">
        <v>15627</v>
      </c>
      <c r="H5303" t="s">
        <v>5474</v>
      </c>
      <c r="I5303" t="s">
        <v>20844</v>
      </c>
      <c r="J5303" t="s">
        <v>5476</v>
      </c>
      <c r="K5303" t="s">
        <v>15655</v>
      </c>
      <c r="L5303" t="s">
        <v>5471</v>
      </c>
      <c r="M5303" t="s">
        <v>5471</v>
      </c>
    </row>
    <row r="5304" spans="1:13" x14ac:dyDescent="0.3">
      <c r="A5304" t="s">
        <v>3388</v>
      </c>
      <c r="B5304" t="s">
        <v>7088</v>
      </c>
      <c r="C5304" t="s">
        <v>5470</v>
      </c>
      <c r="D5304" t="s">
        <v>4119</v>
      </c>
      <c r="E5304" t="s">
        <v>5532</v>
      </c>
      <c r="F5304" t="s">
        <v>20845</v>
      </c>
      <c r="G5304" t="s">
        <v>15635</v>
      </c>
      <c r="H5304" t="s">
        <v>5474</v>
      </c>
      <c r="I5304" t="s">
        <v>20846</v>
      </c>
      <c r="J5304" t="s">
        <v>5476</v>
      </c>
      <c r="K5304" t="s">
        <v>5471</v>
      </c>
      <c r="L5304" t="s">
        <v>5471</v>
      </c>
      <c r="M5304" t="s">
        <v>5471</v>
      </c>
    </row>
    <row r="5305" spans="1:13" x14ac:dyDescent="0.3">
      <c r="A5305" t="s">
        <v>3388</v>
      </c>
      <c r="B5305" t="s">
        <v>7088</v>
      </c>
      <c r="C5305" t="s">
        <v>5470</v>
      </c>
      <c r="D5305" t="s">
        <v>4119</v>
      </c>
      <c r="E5305" t="s">
        <v>5532</v>
      </c>
      <c r="F5305" t="s">
        <v>20847</v>
      </c>
      <c r="G5305" t="s">
        <v>15650</v>
      </c>
      <c r="H5305" t="s">
        <v>5474</v>
      </c>
      <c r="I5305" t="s">
        <v>20848</v>
      </c>
      <c r="J5305" t="s">
        <v>5476</v>
      </c>
      <c r="K5305" t="s">
        <v>5471</v>
      </c>
      <c r="L5305" t="s">
        <v>5471</v>
      </c>
      <c r="M5305" t="s">
        <v>5471</v>
      </c>
    </row>
    <row r="5306" spans="1:13" x14ac:dyDescent="0.3">
      <c r="A5306" t="s">
        <v>3388</v>
      </c>
      <c r="B5306" t="s">
        <v>8573</v>
      </c>
      <c r="C5306" t="s">
        <v>5470</v>
      </c>
      <c r="D5306" t="s">
        <v>4119</v>
      </c>
      <c r="E5306" t="s">
        <v>5532</v>
      </c>
      <c r="F5306" t="s">
        <v>20849</v>
      </c>
      <c r="G5306" t="s">
        <v>15619</v>
      </c>
      <c r="H5306" t="s">
        <v>5474</v>
      </c>
      <c r="I5306" t="s">
        <v>20850</v>
      </c>
      <c r="J5306" t="s">
        <v>5476</v>
      </c>
      <c r="K5306" t="s">
        <v>20851</v>
      </c>
      <c r="L5306" t="s">
        <v>5471</v>
      </c>
      <c r="M5306" t="s">
        <v>5471</v>
      </c>
    </row>
    <row r="5307" spans="1:13" x14ac:dyDescent="0.3">
      <c r="A5307" t="s">
        <v>3388</v>
      </c>
      <c r="B5307" t="s">
        <v>8573</v>
      </c>
      <c r="C5307" t="s">
        <v>5470</v>
      </c>
      <c r="D5307" t="s">
        <v>4119</v>
      </c>
      <c r="E5307" t="s">
        <v>5532</v>
      </c>
      <c r="F5307" t="s">
        <v>20852</v>
      </c>
      <c r="G5307" t="s">
        <v>15619</v>
      </c>
      <c r="H5307" t="s">
        <v>5474</v>
      </c>
      <c r="I5307" t="s">
        <v>20853</v>
      </c>
      <c r="J5307" t="s">
        <v>5476</v>
      </c>
      <c r="K5307" t="s">
        <v>20854</v>
      </c>
      <c r="L5307" t="s">
        <v>5471</v>
      </c>
      <c r="M5307" t="s">
        <v>5471</v>
      </c>
    </row>
    <row r="5308" spans="1:13" x14ac:dyDescent="0.3">
      <c r="A5308" t="s">
        <v>3388</v>
      </c>
      <c r="B5308" t="s">
        <v>8573</v>
      </c>
      <c r="C5308" t="s">
        <v>5470</v>
      </c>
      <c r="D5308" t="s">
        <v>4119</v>
      </c>
      <c r="E5308" t="s">
        <v>5532</v>
      </c>
      <c r="F5308" t="s">
        <v>20855</v>
      </c>
      <c r="G5308" t="s">
        <v>15623</v>
      </c>
      <c r="H5308" t="s">
        <v>5474</v>
      </c>
      <c r="I5308" t="s">
        <v>20856</v>
      </c>
      <c r="J5308" t="s">
        <v>5476</v>
      </c>
      <c r="K5308" t="s">
        <v>20857</v>
      </c>
      <c r="L5308" t="s">
        <v>5471</v>
      </c>
      <c r="M5308" t="s">
        <v>5471</v>
      </c>
    </row>
    <row r="5309" spans="1:13" x14ac:dyDescent="0.3">
      <c r="A5309" t="s">
        <v>3388</v>
      </c>
      <c r="B5309" t="s">
        <v>8573</v>
      </c>
      <c r="C5309" t="s">
        <v>5470</v>
      </c>
      <c r="D5309" t="s">
        <v>4119</v>
      </c>
      <c r="E5309" t="s">
        <v>5532</v>
      </c>
      <c r="F5309" t="s">
        <v>20858</v>
      </c>
      <c r="G5309" t="s">
        <v>15623</v>
      </c>
      <c r="H5309" t="s">
        <v>5474</v>
      </c>
      <c r="I5309" t="s">
        <v>20859</v>
      </c>
      <c r="J5309" t="s">
        <v>5476</v>
      </c>
      <c r="K5309" t="s">
        <v>5471</v>
      </c>
      <c r="L5309" t="s">
        <v>5471</v>
      </c>
      <c r="M5309" t="s">
        <v>5471</v>
      </c>
    </row>
    <row r="5310" spans="1:13" x14ac:dyDescent="0.3">
      <c r="A5310" t="s">
        <v>3388</v>
      </c>
      <c r="B5310" t="s">
        <v>8573</v>
      </c>
      <c r="C5310" t="s">
        <v>5470</v>
      </c>
      <c r="D5310" t="s">
        <v>4119</v>
      </c>
      <c r="E5310" t="s">
        <v>5532</v>
      </c>
      <c r="F5310" t="s">
        <v>20860</v>
      </c>
      <c r="G5310" t="s">
        <v>15619</v>
      </c>
      <c r="H5310" t="s">
        <v>5474</v>
      </c>
      <c r="I5310" t="s">
        <v>20861</v>
      </c>
      <c r="J5310" t="s">
        <v>5476</v>
      </c>
      <c r="K5310" t="s">
        <v>5471</v>
      </c>
      <c r="L5310" t="s">
        <v>5471</v>
      </c>
      <c r="M5310" t="s">
        <v>5471</v>
      </c>
    </row>
    <row r="5311" spans="1:13" x14ac:dyDescent="0.3">
      <c r="A5311" t="s">
        <v>3388</v>
      </c>
      <c r="B5311" t="s">
        <v>8573</v>
      </c>
      <c r="C5311" t="s">
        <v>5470</v>
      </c>
      <c r="D5311" t="s">
        <v>4119</v>
      </c>
      <c r="E5311" t="s">
        <v>5532</v>
      </c>
      <c r="F5311" t="s">
        <v>20862</v>
      </c>
      <c r="G5311" t="s">
        <v>15623</v>
      </c>
      <c r="H5311" t="s">
        <v>5474</v>
      </c>
      <c r="I5311" t="s">
        <v>20863</v>
      </c>
      <c r="J5311" t="s">
        <v>5476</v>
      </c>
      <c r="K5311" t="s">
        <v>5471</v>
      </c>
      <c r="L5311" t="s">
        <v>5471</v>
      </c>
      <c r="M5311" t="s">
        <v>5471</v>
      </c>
    </row>
    <row r="5312" spans="1:13" x14ac:dyDescent="0.3">
      <c r="A5312" t="s">
        <v>3388</v>
      </c>
      <c r="B5312" t="s">
        <v>10865</v>
      </c>
      <c r="C5312" t="s">
        <v>5470</v>
      </c>
      <c r="D5312" t="s">
        <v>4119</v>
      </c>
      <c r="E5312" t="s">
        <v>5756</v>
      </c>
      <c r="F5312" t="s">
        <v>20864</v>
      </c>
      <c r="G5312" t="s">
        <v>10867</v>
      </c>
      <c r="H5312" t="s">
        <v>5474</v>
      </c>
      <c r="I5312" t="s">
        <v>20865</v>
      </c>
      <c r="J5312" t="s">
        <v>5476</v>
      </c>
      <c r="K5312" t="s">
        <v>20866</v>
      </c>
      <c r="L5312" t="s">
        <v>5471</v>
      </c>
      <c r="M5312" t="s">
        <v>5471</v>
      </c>
    </row>
    <row r="5313" spans="1:13" x14ac:dyDescent="0.3">
      <c r="A5313" t="s">
        <v>3388</v>
      </c>
      <c r="B5313" t="s">
        <v>10865</v>
      </c>
      <c r="C5313" t="s">
        <v>5470</v>
      </c>
      <c r="D5313" t="s">
        <v>4119</v>
      </c>
      <c r="E5313" t="s">
        <v>5756</v>
      </c>
      <c r="F5313" t="s">
        <v>20867</v>
      </c>
      <c r="G5313" t="s">
        <v>15782</v>
      </c>
      <c r="H5313" t="s">
        <v>5474</v>
      </c>
      <c r="I5313" t="s">
        <v>20868</v>
      </c>
      <c r="J5313" t="s">
        <v>5476</v>
      </c>
      <c r="K5313" t="s">
        <v>20869</v>
      </c>
      <c r="L5313" t="s">
        <v>5471</v>
      </c>
      <c r="M5313" t="s">
        <v>5471</v>
      </c>
    </row>
    <row r="5314" spans="1:13" x14ac:dyDescent="0.3">
      <c r="A5314" t="s">
        <v>3388</v>
      </c>
      <c r="B5314" t="s">
        <v>10865</v>
      </c>
      <c r="C5314" t="s">
        <v>5470</v>
      </c>
      <c r="D5314" t="s">
        <v>4119</v>
      </c>
      <c r="E5314" t="s">
        <v>5756</v>
      </c>
      <c r="F5314" t="s">
        <v>20870</v>
      </c>
      <c r="G5314" t="s">
        <v>15786</v>
      </c>
      <c r="H5314" t="s">
        <v>5474</v>
      </c>
      <c r="I5314" t="s">
        <v>20871</v>
      </c>
      <c r="J5314" t="s">
        <v>5476</v>
      </c>
      <c r="K5314" t="s">
        <v>20872</v>
      </c>
      <c r="L5314" t="s">
        <v>5471</v>
      </c>
      <c r="M5314" t="s">
        <v>5471</v>
      </c>
    </row>
    <row r="5315" spans="1:13" x14ac:dyDescent="0.3">
      <c r="A5315" t="s">
        <v>3388</v>
      </c>
      <c r="B5315" t="s">
        <v>10865</v>
      </c>
      <c r="C5315" t="s">
        <v>5470</v>
      </c>
      <c r="D5315" t="s">
        <v>4119</v>
      </c>
      <c r="E5315" t="s">
        <v>5532</v>
      </c>
      <c r="F5315" t="s">
        <v>20873</v>
      </c>
      <c r="G5315" t="s">
        <v>15790</v>
      </c>
      <c r="H5315" t="s">
        <v>5474</v>
      </c>
      <c r="I5315" t="s">
        <v>20874</v>
      </c>
      <c r="J5315" t="s">
        <v>5476</v>
      </c>
      <c r="K5315" t="s">
        <v>20875</v>
      </c>
      <c r="L5315" t="s">
        <v>5471</v>
      </c>
      <c r="M5315" t="s">
        <v>5471</v>
      </c>
    </row>
    <row r="5316" spans="1:13" x14ac:dyDescent="0.3">
      <c r="A5316" t="s">
        <v>3388</v>
      </c>
      <c r="B5316" t="s">
        <v>10865</v>
      </c>
      <c r="C5316" t="s">
        <v>5470</v>
      </c>
      <c r="D5316" t="s">
        <v>4119</v>
      </c>
      <c r="E5316" t="s">
        <v>5532</v>
      </c>
      <c r="F5316" t="s">
        <v>20876</v>
      </c>
      <c r="G5316" t="s">
        <v>15790</v>
      </c>
      <c r="H5316" t="s">
        <v>5474</v>
      </c>
      <c r="I5316" t="s">
        <v>20877</v>
      </c>
      <c r="J5316" t="s">
        <v>5476</v>
      </c>
      <c r="K5316" t="s">
        <v>20878</v>
      </c>
      <c r="L5316" t="s">
        <v>5471</v>
      </c>
      <c r="M5316" t="s">
        <v>5471</v>
      </c>
    </row>
    <row r="5317" spans="1:13" x14ac:dyDescent="0.3">
      <c r="A5317" t="s">
        <v>3388</v>
      </c>
      <c r="B5317" t="s">
        <v>10865</v>
      </c>
      <c r="C5317" t="s">
        <v>5470</v>
      </c>
      <c r="D5317" t="s">
        <v>4119</v>
      </c>
      <c r="E5317" t="s">
        <v>5532</v>
      </c>
      <c r="F5317" t="s">
        <v>20879</v>
      </c>
      <c r="G5317" t="s">
        <v>15794</v>
      </c>
      <c r="H5317" t="s">
        <v>5474</v>
      </c>
      <c r="I5317" t="s">
        <v>20880</v>
      </c>
      <c r="J5317" t="s">
        <v>5476</v>
      </c>
      <c r="K5317" t="s">
        <v>20881</v>
      </c>
      <c r="L5317" t="s">
        <v>5471</v>
      </c>
      <c r="M5317" t="s">
        <v>5471</v>
      </c>
    </row>
    <row r="5318" spans="1:13" x14ac:dyDescent="0.3">
      <c r="A5318" t="s">
        <v>3388</v>
      </c>
      <c r="B5318" t="s">
        <v>10865</v>
      </c>
      <c r="C5318" t="s">
        <v>5470</v>
      </c>
      <c r="D5318" t="s">
        <v>4119</v>
      </c>
      <c r="E5318" t="s">
        <v>5532</v>
      </c>
      <c r="F5318" t="s">
        <v>20882</v>
      </c>
      <c r="G5318" t="s">
        <v>15794</v>
      </c>
      <c r="H5318" t="s">
        <v>5474</v>
      </c>
      <c r="I5318" t="s">
        <v>20883</v>
      </c>
      <c r="J5318" t="s">
        <v>5476</v>
      </c>
      <c r="K5318" t="s">
        <v>20884</v>
      </c>
      <c r="L5318" t="s">
        <v>5471</v>
      </c>
      <c r="M5318" t="s">
        <v>5471</v>
      </c>
    </row>
    <row r="5319" spans="1:13" x14ac:dyDescent="0.3">
      <c r="A5319" t="s">
        <v>3388</v>
      </c>
      <c r="B5319" t="s">
        <v>10865</v>
      </c>
      <c r="C5319" t="s">
        <v>5470</v>
      </c>
      <c r="D5319" t="s">
        <v>4119</v>
      </c>
      <c r="E5319" t="s">
        <v>5532</v>
      </c>
      <c r="F5319" t="s">
        <v>20885</v>
      </c>
      <c r="G5319" t="s">
        <v>20886</v>
      </c>
      <c r="H5319" t="s">
        <v>5474</v>
      </c>
      <c r="I5319" t="s">
        <v>20887</v>
      </c>
      <c r="J5319" t="s">
        <v>5476</v>
      </c>
      <c r="K5319" t="s">
        <v>20888</v>
      </c>
      <c r="L5319" t="s">
        <v>5471</v>
      </c>
      <c r="M5319" t="s">
        <v>5471</v>
      </c>
    </row>
    <row r="5320" spans="1:13" x14ac:dyDescent="0.3">
      <c r="A5320" t="s">
        <v>3388</v>
      </c>
      <c r="B5320" t="s">
        <v>10865</v>
      </c>
      <c r="C5320" t="s">
        <v>5470</v>
      </c>
      <c r="D5320" t="s">
        <v>4119</v>
      </c>
      <c r="E5320" t="s">
        <v>5532</v>
      </c>
      <c r="F5320" t="s">
        <v>20889</v>
      </c>
      <c r="G5320" t="s">
        <v>20890</v>
      </c>
      <c r="H5320" t="s">
        <v>5474</v>
      </c>
      <c r="I5320" t="s">
        <v>20891</v>
      </c>
      <c r="J5320" t="s">
        <v>5476</v>
      </c>
      <c r="K5320" t="s">
        <v>20892</v>
      </c>
      <c r="L5320" t="s">
        <v>5471</v>
      </c>
      <c r="M5320" t="s">
        <v>5471</v>
      </c>
    </row>
    <row r="5321" spans="1:13" x14ac:dyDescent="0.3">
      <c r="A5321" t="s">
        <v>3388</v>
      </c>
      <c r="B5321" t="s">
        <v>10865</v>
      </c>
      <c r="C5321" t="s">
        <v>5470</v>
      </c>
      <c r="D5321" t="s">
        <v>4119</v>
      </c>
      <c r="E5321" t="s">
        <v>5532</v>
      </c>
      <c r="F5321" t="s">
        <v>20893</v>
      </c>
      <c r="G5321" t="s">
        <v>15798</v>
      </c>
      <c r="H5321" t="s">
        <v>5474</v>
      </c>
      <c r="I5321" t="s">
        <v>20894</v>
      </c>
      <c r="J5321" t="s">
        <v>5476</v>
      </c>
      <c r="K5321" t="s">
        <v>20895</v>
      </c>
      <c r="L5321" t="s">
        <v>5471</v>
      </c>
      <c r="M5321" t="s">
        <v>5471</v>
      </c>
    </row>
    <row r="5322" spans="1:13" x14ac:dyDescent="0.3">
      <c r="A5322" t="s">
        <v>3388</v>
      </c>
      <c r="B5322" t="s">
        <v>10865</v>
      </c>
      <c r="C5322" t="s">
        <v>5470</v>
      </c>
      <c r="D5322" t="s">
        <v>4119</v>
      </c>
      <c r="E5322" t="s">
        <v>5532</v>
      </c>
      <c r="F5322" t="s">
        <v>20896</v>
      </c>
      <c r="G5322" t="s">
        <v>15798</v>
      </c>
      <c r="H5322" t="s">
        <v>5474</v>
      </c>
      <c r="I5322" t="s">
        <v>20897</v>
      </c>
      <c r="J5322" t="s">
        <v>5476</v>
      </c>
      <c r="K5322" t="s">
        <v>20898</v>
      </c>
      <c r="L5322" t="s">
        <v>5471</v>
      </c>
      <c r="M5322" t="s">
        <v>5471</v>
      </c>
    </row>
    <row r="5323" spans="1:13" x14ac:dyDescent="0.3">
      <c r="A5323" t="s">
        <v>3388</v>
      </c>
      <c r="B5323" t="s">
        <v>10865</v>
      </c>
      <c r="C5323" t="s">
        <v>5470</v>
      </c>
      <c r="D5323" t="s">
        <v>4119</v>
      </c>
      <c r="E5323" t="s">
        <v>5532</v>
      </c>
      <c r="F5323" t="s">
        <v>20899</v>
      </c>
      <c r="G5323" t="s">
        <v>15802</v>
      </c>
      <c r="H5323" t="s">
        <v>5474</v>
      </c>
      <c r="I5323" t="s">
        <v>20900</v>
      </c>
      <c r="J5323" t="s">
        <v>5476</v>
      </c>
      <c r="K5323" t="s">
        <v>20901</v>
      </c>
      <c r="L5323" t="s">
        <v>5471</v>
      </c>
      <c r="M5323" t="s">
        <v>5471</v>
      </c>
    </row>
    <row r="5324" spans="1:13" x14ac:dyDescent="0.3">
      <c r="A5324" t="s">
        <v>3388</v>
      </c>
      <c r="B5324" t="s">
        <v>10865</v>
      </c>
      <c r="C5324" t="s">
        <v>5470</v>
      </c>
      <c r="D5324" t="s">
        <v>4119</v>
      </c>
      <c r="E5324" t="s">
        <v>5532</v>
      </c>
      <c r="F5324" t="s">
        <v>20902</v>
      </c>
      <c r="G5324" t="s">
        <v>15802</v>
      </c>
      <c r="H5324" t="s">
        <v>5474</v>
      </c>
      <c r="I5324" t="s">
        <v>20903</v>
      </c>
      <c r="J5324" t="s">
        <v>5476</v>
      </c>
      <c r="K5324" t="s">
        <v>20904</v>
      </c>
      <c r="L5324" t="s">
        <v>5471</v>
      </c>
      <c r="M5324" t="s">
        <v>5471</v>
      </c>
    </row>
    <row r="5325" spans="1:13" x14ac:dyDescent="0.3">
      <c r="A5325" t="s">
        <v>3388</v>
      </c>
      <c r="B5325" t="s">
        <v>10865</v>
      </c>
      <c r="C5325" t="s">
        <v>5470</v>
      </c>
      <c r="D5325" t="s">
        <v>4119</v>
      </c>
      <c r="E5325" t="s">
        <v>5532</v>
      </c>
      <c r="F5325" t="s">
        <v>20905</v>
      </c>
      <c r="G5325" t="s">
        <v>15806</v>
      </c>
      <c r="H5325" t="s">
        <v>5474</v>
      </c>
      <c r="I5325" t="s">
        <v>20906</v>
      </c>
      <c r="J5325" t="s">
        <v>5476</v>
      </c>
      <c r="K5325" t="s">
        <v>20907</v>
      </c>
      <c r="L5325" t="s">
        <v>5471</v>
      </c>
      <c r="M5325" t="s">
        <v>5471</v>
      </c>
    </row>
    <row r="5326" spans="1:13" x14ac:dyDescent="0.3">
      <c r="A5326" t="s">
        <v>3388</v>
      </c>
      <c r="B5326" t="s">
        <v>10865</v>
      </c>
      <c r="C5326" t="s">
        <v>5470</v>
      </c>
      <c r="D5326" t="s">
        <v>4119</v>
      </c>
      <c r="E5326" t="s">
        <v>5532</v>
      </c>
      <c r="F5326" t="s">
        <v>20908</v>
      </c>
      <c r="G5326" t="s">
        <v>15635</v>
      </c>
      <c r="H5326" t="s">
        <v>5474</v>
      </c>
      <c r="I5326" t="s">
        <v>20909</v>
      </c>
      <c r="J5326" t="s">
        <v>5476</v>
      </c>
      <c r="K5326" t="s">
        <v>20910</v>
      </c>
      <c r="L5326" t="s">
        <v>5471</v>
      </c>
      <c r="M5326" t="s">
        <v>5471</v>
      </c>
    </row>
    <row r="5327" spans="1:13" x14ac:dyDescent="0.3">
      <c r="A5327" t="s">
        <v>3388</v>
      </c>
      <c r="B5327" t="s">
        <v>10865</v>
      </c>
      <c r="C5327" t="s">
        <v>5470</v>
      </c>
      <c r="D5327" t="s">
        <v>4119</v>
      </c>
      <c r="E5327" t="s">
        <v>5532</v>
      </c>
      <c r="F5327" t="s">
        <v>20911</v>
      </c>
      <c r="G5327" t="s">
        <v>15635</v>
      </c>
      <c r="H5327" t="s">
        <v>5474</v>
      </c>
      <c r="I5327" t="s">
        <v>20912</v>
      </c>
      <c r="J5327" t="s">
        <v>5476</v>
      </c>
      <c r="K5327" t="s">
        <v>15832</v>
      </c>
      <c r="L5327" t="s">
        <v>5471</v>
      </c>
      <c r="M5327" t="s">
        <v>5471</v>
      </c>
    </row>
    <row r="5328" spans="1:13" x14ac:dyDescent="0.3">
      <c r="A5328" t="s">
        <v>3388</v>
      </c>
      <c r="B5328" t="s">
        <v>10865</v>
      </c>
      <c r="C5328" t="s">
        <v>5470</v>
      </c>
      <c r="D5328" t="s">
        <v>4119</v>
      </c>
      <c r="E5328" t="s">
        <v>5532</v>
      </c>
      <c r="F5328" t="s">
        <v>20913</v>
      </c>
      <c r="G5328" t="s">
        <v>15650</v>
      </c>
      <c r="H5328" t="s">
        <v>5474</v>
      </c>
      <c r="I5328" t="s">
        <v>20914</v>
      </c>
      <c r="J5328" t="s">
        <v>5476</v>
      </c>
      <c r="K5328" t="s">
        <v>20915</v>
      </c>
      <c r="L5328" t="s">
        <v>5471</v>
      </c>
      <c r="M5328" t="s">
        <v>5471</v>
      </c>
    </row>
    <row r="5329" spans="1:13" x14ac:dyDescent="0.3">
      <c r="A5329" t="s">
        <v>3388</v>
      </c>
      <c r="B5329" t="s">
        <v>10865</v>
      </c>
      <c r="C5329" t="s">
        <v>5470</v>
      </c>
      <c r="D5329" t="s">
        <v>4119</v>
      </c>
      <c r="E5329" t="s">
        <v>5532</v>
      </c>
      <c r="F5329" t="s">
        <v>20916</v>
      </c>
      <c r="G5329" t="s">
        <v>15627</v>
      </c>
      <c r="H5329" t="s">
        <v>5474</v>
      </c>
      <c r="I5329" t="s">
        <v>20917</v>
      </c>
      <c r="J5329" t="s">
        <v>5476</v>
      </c>
      <c r="K5329" t="s">
        <v>20918</v>
      </c>
      <c r="L5329" t="s">
        <v>5471</v>
      </c>
      <c r="M5329" t="s">
        <v>5471</v>
      </c>
    </row>
    <row r="5330" spans="1:13" x14ac:dyDescent="0.3">
      <c r="A5330" t="s">
        <v>3388</v>
      </c>
      <c r="B5330" t="s">
        <v>10865</v>
      </c>
      <c r="C5330" t="s">
        <v>5470</v>
      </c>
      <c r="D5330" t="s">
        <v>4119</v>
      </c>
      <c r="E5330" t="s">
        <v>5532</v>
      </c>
      <c r="F5330" t="s">
        <v>20919</v>
      </c>
      <c r="G5330" t="s">
        <v>15627</v>
      </c>
      <c r="H5330" t="s">
        <v>5474</v>
      </c>
      <c r="I5330" t="s">
        <v>20920</v>
      </c>
      <c r="J5330" t="s">
        <v>5476</v>
      </c>
      <c r="K5330" t="s">
        <v>15838</v>
      </c>
      <c r="L5330" t="s">
        <v>5471</v>
      </c>
      <c r="M5330" t="s">
        <v>5471</v>
      </c>
    </row>
    <row r="5331" spans="1:13" x14ac:dyDescent="0.3">
      <c r="A5331" t="s">
        <v>3388</v>
      </c>
      <c r="B5331" t="s">
        <v>10865</v>
      </c>
      <c r="C5331" t="s">
        <v>5470</v>
      </c>
      <c r="D5331" t="s">
        <v>4119</v>
      </c>
      <c r="E5331" t="s">
        <v>5756</v>
      </c>
      <c r="F5331" t="s">
        <v>20921</v>
      </c>
      <c r="G5331" t="s">
        <v>15840</v>
      </c>
      <c r="H5331" t="s">
        <v>5474</v>
      </c>
      <c r="I5331" t="s">
        <v>20922</v>
      </c>
      <c r="J5331" t="s">
        <v>5476</v>
      </c>
      <c r="K5331" t="s">
        <v>20923</v>
      </c>
      <c r="L5331" t="s">
        <v>5471</v>
      </c>
      <c r="M5331" t="s">
        <v>5471</v>
      </c>
    </row>
    <row r="5332" spans="1:13" x14ac:dyDescent="0.3">
      <c r="A5332" t="s">
        <v>3388</v>
      </c>
      <c r="B5332" t="s">
        <v>10865</v>
      </c>
      <c r="C5332" t="s">
        <v>5470</v>
      </c>
      <c r="D5332" t="s">
        <v>4119</v>
      </c>
      <c r="E5332" t="s">
        <v>5756</v>
      </c>
      <c r="F5332" t="s">
        <v>20924</v>
      </c>
      <c r="G5332" t="s">
        <v>15840</v>
      </c>
      <c r="H5332" t="s">
        <v>5474</v>
      </c>
      <c r="I5332" t="s">
        <v>20925</v>
      </c>
      <c r="J5332" t="s">
        <v>5476</v>
      </c>
      <c r="K5332" t="s">
        <v>20926</v>
      </c>
      <c r="L5332" t="s">
        <v>5471</v>
      </c>
      <c r="M5332" t="s">
        <v>5471</v>
      </c>
    </row>
    <row r="5333" spans="1:13" x14ac:dyDescent="0.3">
      <c r="A5333" t="s">
        <v>3388</v>
      </c>
      <c r="B5333" t="s">
        <v>10865</v>
      </c>
      <c r="C5333" t="s">
        <v>5470</v>
      </c>
      <c r="D5333" t="s">
        <v>4119</v>
      </c>
      <c r="E5333" t="s">
        <v>5756</v>
      </c>
      <c r="F5333" t="s">
        <v>20927</v>
      </c>
      <c r="G5333" t="s">
        <v>15844</v>
      </c>
      <c r="H5333" t="s">
        <v>5474</v>
      </c>
      <c r="I5333" t="s">
        <v>20928</v>
      </c>
      <c r="J5333" t="s">
        <v>5476</v>
      </c>
      <c r="K5333" t="s">
        <v>20929</v>
      </c>
      <c r="L5333" t="s">
        <v>5471</v>
      </c>
      <c r="M5333" t="s">
        <v>5471</v>
      </c>
    </row>
    <row r="5334" spans="1:13" x14ac:dyDescent="0.3">
      <c r="A5334" t="s">
        <v>3388</v>
      </c>
      <c r="B5334" t="s">
        <v>10865</v>
      </c>
      <c r="C5334" t="s">
        <v>5470</v>
      </c>
      <c r="D5334" t="s">
        <v>4119</v>
      </c>
      <c r="E5334" t="s">
        <v>5756</v>
      </c>
      <c r="F5334" t="s">
        <v>20930</v>
      </c>
      <c r="G5334" t="s">
        <v>15824</v>
      </c>
      <c r="H5334" t="s">
        <v>5474</v>
      </c>
      <c r="I5334" t="s">
        <v>20931</v>
      </c>
      <c r="J5334" t="s">
        <v>5476</v>
      </c>
      <c r="K5334" t="s">
        <v>20932</v>
      </c>
      <c r="L5334" t="s">
        <v>5471</v>
      </c>
      <c r="M5334" t="s">
        <v>5471</v>
      </c>
    </row>
    <row r="5335" spans="1:13" x14ac:dyDescent="0.3">
      <c r="A5335" t="s">
        <v>3388</v>
      </c>
      <c r="B5335" t="s">
        <v>10865</v>
      </c>
      <c r="C5335" t="s">
        <v>5470</v>
      </c>
      <c r="D5335" t="s">
        <v>4119</v>
      </c>
      <c r="E5335" t="s">
        <v>5756</v>
      </c>
      <c r="F5335" t="s">
        <v>20933</v>
      </c>
      <c r="G5335" t="s">
        <v>15824</v>
      </c>
      <c r="H5335" t="s">
        <v>5474</v>
      </c>
      <c r="I5335" t="s">
        <v>20934</v>
      </c>
      <c r="J5335" t="s">
        <v>5476</v>
      </c>
      <c r="K5335" t="s">
        <v>20935</v>
      </c>
      <c r="L5335" t="s">
        <v>5471</v>
      </c>
      <c r="M5335" t="s">
        <v>5471</v>
      </c>
    </row>
    <row r="5336" spans="1:13" x14ac:dyDescent="0.3">
      <c r="A5336" t="s">
        <v>3388</v>
      </c>
      <c r="B5336" t="s">
        <v>10865</v>
      </c>
      <c r="C5336" t="s">
        <v>5470</v>
      </c>
      <c r="D5336" t="s">
        <v>4119</v>
      </c>
      <c r="E5336" t="s">
        <v>5756</v>
      </c>
      <c r="F5336" t="s">
        <v>20936</v>
      </c>
      <c r="G5336" t="s">
        <v>15813</v>
      </c>
      <c r="H5336" t="s">
        <v>5474</v>
      </c>
      <c r="I5336" t="s">
        <v>20937</v>
      </c>
      <c r="J5336" t="s">
        <v>5476</v>
      </c>
      <c r="K5336" t="s">
        <v>5471</v>
      </c>
      <c r="L5336" t="s">
        <v>5471</v>
      </c>
      <c r="M5336" t="s">
        <v>5471</v>
      </c>
    </row>
    <row r="5337" spans="1:13" x14ac:dyDescent="0.3">
      <c r="A5337" t="s">
        <v>3388</v>
      </c>
      <c r="B5337" t="s">
        <v>10865</v>
      </c>
      <c r="C5337" t="s">
        <v>5470</v>
      </c>
      <c r="D5337" t="s">
        <v>4119</v>
      </c>
      <c r="E5337" t="s">
        <v>5532</v>
      </c>
      <c r="F5337" t="s">
        <v>20938</v>
      </c>
      <c r="G5337" t="s">
        <v>15650</v>
      </c>
      <c r="H5337" t="s">
        <v>5474</v>
      </c>
      <c r="I5337" t="s">
        <v>20939</v>
      </c>
      <c r="J5337" t="s">
        <v>5476</v>
      </c>
      <c r="K5337" t="s">
        <v>15835</v>
      </c>
      <c r="L5337" t="s">
        <v>5471</v>
      </c>
      <c r="M5337" t="s">
        <v>5471</v>
      </c>
    </row>
    <row r="5338" spans="1:13" x14ac:dyDescent="0.3">
      <c r="A5338" t="s">
        <v>3388</v>
      </c>
      <c r="B5338" t="s">
        <v>10865</v>
      </c>
      <c r="C5338" t="s">
        <v>5470</v>
      </c>
      <c r="D5338" t="s">
        <v>4119</v>
      </c>
      <c r="E5338" t="s">
        <v>5532</v>
      </c>
      <c r="F5338" t="s">
        <v>20940</v>
      </c>
      <c r="G5338" t="s">
        <v>20890</v>
      </c>
      <c r="H5338" t="s">
        <v>5474</v>
      </c>
      <c r="I5338" t="s">
        <v>20941</v>
      </c>
      <c r="J5338" t="s">
        <v>5476</v>
      </c>
      <c r="K5338" t="s">
        <v>5471</v>
      </c>
      <c r="L5338" t="s">
        <v>5471</v>
      </c>
      <c r="M5338" t="s">
        <v>5471</v>
      </c>
    </row>
    <row r="5339" spans="1:13" x14ac:dyDescent="0.3">
      <c r="A5339" t="s">
        <v>3388</v>
      </c>
      <c r="B5339" t="s">
        <v>10865</v>
      </c>
      <c r="C5339" t="s">
        <v>5470</v>
      </c>
      <c r="D5339" t="s">
        <v>4119</v>
      </c>
      <c r="E5339" t="s">
        <v>5532</v>
      </c>
      <c r="F5339" t="s">
        <v>20942</v>
      </c>
      <c r="G5339" t="s">
        <v>15798</v>
      </c>
      <c r="H5339" t="s">
        <v>5474</v>
      </c>
      <c r="I5339" t="s">
        <v>20943</v>
      </c>
      <c r="J5339" t="s">
        <v>5476</v>
      </c>
      <c r="K5339" t="s">
        <v>5471</v>
      </c>
      <c r="L5339" t="s">
        <v>5471</v>
      </c>
      <c r="M5339" t="s">
        <v>5471</v>
      </c>
    </row>
    <row r="5340" spans="1:13" x14ac:dyDescent="0.3">
      <c r="A5340" t="s">
        <v>3388</v>
      </c>
      <c r="B5340" t="s">
        <v>10865</v>
      </c>
      <c r="C5340" t="s">
        <v>5470</v>
      </c>
      <c r="D5340" t="s">
        <v>4119</v>
      </c>
      <c r="E5340" t="s">
        <v>5532</v>
      </c>
      <c r="F5340" t="s">
        <v>20944</v>
      </c>
      <c r="G5340" t="s">
        <v>15802</v>
      </c>
      <c r="H5340" t="s">
        <v>5474</v>
      </c>
      <c r="I5340" t="s">
        <v>20945</v>
      </c>
      <c r="J5340" t="s">
        <v>5476</v>
      </c>
      <c r="K5340" t="s">
        <v>5471</v>
      </c>
      <c r="L5340" t="s">
        <v>5471</v>
      </c>
      <c r="M5340" t="s">
        <v>5471</v>
      </c>
    </row>
    <row r="5341" spans="1:13" x14ac:dyDescent="0.3">
      <c r="A5341" t="s">
        <v>3388</v>
      </c>
      <c r="B5341" t="s">
        <v>10865</v>
      </c>
      <c r="C5341" t="s">
        <v>5470</v>
      </c>
      <c r="D5341" t="s">
        <v>4119</v>
      </c>
      <c r="E5341" t="s">
        <v>5532</v>
      </c>
      <c r="F5341" t="s">
        <v>20946</v>
      </c>
      <c r="G5341" t="s">
        <v>15806</v>
      </c>
      <c r="H5341" t="s">
        <v>5474</v>
      </c>
      <c r="I5341" t="s">
        <v>20947</v>
      </c>
      <c r="J5341" t="s">
        <v>5476</v>
      </c>
      <c r="K5341" t="s">
        <v>5471</v>
      </c>
      <c r="L5341" t="s">
        <v>5471</v>
      </c>
      <c r="M5341" t="s">
        <v>5471</v>
      </c>
    </row>
    <row r="5342" spans="1:13" x14ac:dyDescent="0.3">
      <c r="A5342" t="s">
        <v>3388</v>
      </c>
      <c r="B5342" t="s">
        <v>10865</v>
      </c>
      <c r="C5342" t="s">
        <v>5470</v>
      </c>
      <c r="D5342" t="s">
        <v>4119</v>
      </c>
      <c r="E5342" t="s">
        <v>5532</v>
      </c>
      <c r="F5342" t="s">
        <v>20948</v>
      </c>
      <c r="G5342" t="s">
        <v>15635</v>
      </c>
      <c r="H5342" t="s">
        <v>5474</v>
      </c>
      <c r="I5342" t="s">
        <v>20949</v>
      </c>
      <c r="J5342" t="s">
        <v>5476</v>
      </c>
      <c r="K5342" t="s">
        <v>5471</v>
      </c>
      <c r="L5342" t="s">
        <v>5471</v>
      </c>
      <c r="M5342" t="s">
        <v>5471</v>
      </c>
    </row>
    <row r="5343" spans="1:13" x14ac:dyDescent="0.3">
      <c r="A5343" t="s">
        <v>3388</v>
      </c>
      <c r="B5343" t="s">
        <v>10865</v>
      </c>
      <c r="C5343" t="s">
        <v>5470</v>
      </c>
      <c r="D5343" t="s">
        <v>4119</v>
      </c>
      <c r="E5343" t="s">
        <v>5532</v>
      </c>
      <c r="F5343" t="s">
        <v>20950</v>
      </c>
      <c r="G5343" t="s">
        <v>15650</v>
      </c>
      <c r="H5343" t="s">
        <v>5474</v>
      </c>
      <c r="I5343" t="s">
        <v>20951</v>
      </c>
      <c r="J5343" t="s">
        <v>5476</v>
      </c>
      <c r="K5343" t="s">
        <v>5471</v>
      </c>
      <c r="L5343" t="s">
        <v>5471</v>
      </c>
      <c r="M5343" t="s">
        <v>5471</v>
      </c>
    </row>
    <row r="5344" spans="1:13" x14ac:dyDescent="0.3">
      <c r="A5344" t="s">
        <v>3388</v>
      </c>
      <c r="B5344" t="s">
        <v>10865</v>
      </c>
      <c r="C5344" t="s">
        <v>5470</v>
      </c>
      <c r="D5344" t="s">
        <v>4119</v>
      </c>
      <c r="E5344" t="s">
        <v>5532</v>
      </c>
      <c r="F5344" t="s">
        <v>20952</v>
      </c>
      <c r="G5344" t="s">
        <v>15806</v>
      </c>
      <c r="H5344" t="s">
        <v>5474</v>
      </c>
      <c r="I5344" t="s">
        <v>20953</v>
      </c>
      <c r="J5344" t="s">
        <v>5476</v>
      </c>
      <c r="K5344" t="s">
        <v>20954</v>
      </c>
      <c r="L5344" t="s">
        <v>5471</v>
      </c>
      <c r="M5344" t="s">
        <v>5471</v>
      </c>
    </row>
    <row r="5345" spans="1:13" x14ac:dyDescent="0.3">
      <c r="A5345" t="s">
        <v>3388</v>
      </c>
      <c r="B5345" t="s">
        <v>15822</v>
      </c>
      <c r="C5345" t="s">
        <v>5470</v>
      </c>
      <c r="D5345" t="s">
        <v>4119</v>
      </c>
      <c r="E5345" t="s">
        <v>5756</v>
      </c>
      <c r="F5345" t="s">
        <v>20955</v>
      </c>
      <c r="G5345" t="s">
        <v>15824</v>
      </c>
      <c r="H5345" t="s">
        <v>5474</v>
      </c>
      <c r="I5345" t="s">
        <v>20956</v>
      </c>
      <c r="J5345" t="s">
        <v>5476</v>
      </c>
      <c r="K5345" t="s">
        <v>20957</v>
      </c>
      <c r="L5345" t="s">
        <v>5471</v>
      </c>
      <c r="M5345" t="s">
        <v>5471</v>
      </c>
    </row>
    <row r="5346" spans="1:13" x14ac:dyDescent="0.3">
      <c r="A5346" t="s">
        <v>3388</v>
      </c>
      <c r="B5346" t="s">
        <v>15822</v>
      </c>
      <c r="C5346" t="s">
        <v>5470</v>
      </c>
      <c r="D5346" t="s">
        <v>4119</v>
      </c>
      <c r="E5346" t="s">
        <v>5756</v>
      </c>
      <c r="F5346" t="s">
        <v>20958</v>
      </c>
      <c r="G5346" t="s">
        <v>15824</v>
      </c>
      <c r="H5346" t="s">
        <v>5474</v>
      </c>
      <c r="I5346" t="s">
        <v>20959</v>
      </c>
      <c r="J5346" t="s">
        <v>5476</v>
      </c>
      <c r="K5346" t="s">
        <v>20960</v>
      </c>
      <c r="L5346" t="s">
        <v>5471</v>
      </c>
      <c r="M5346" t="s">
        <v>5471</v>
      </c>
    </row>
    <row r="5347" spans="1:13" x14ac:dyDescent="0.3">
      <c r="A5347" t="s">
        <v>3388</v>
      </c>
      <c r="B5347" t="s">
        <v>15702</v>
      </c>
      <c r="C5347" t="s">
        <v>5470</v>
      </c>
      <c r="D5347" t="s">
        <v>4119</v>
      </c>
      <c r="E5347" t="s">
        <v>5532</v>
      </c>
      <c r="F5347" t="s">
        <v>20961</v>
      </c>
      <c r="G5347" t="s">
        <v>15704</v>
      </c>
      <c r="H5347" t="s">
        <v>5474</v>
      </c>
      <c r="I5347" t="s">
        <v>20962</v>
      </c>
      <c r="J5347" t="s">
        <v>5476</v>
      </c>
      <c r="K5347" t="s">
        <v>20963</v>
      </c>
      <c r="L5347" t="s">
        <v>5471</v>
      </c>
      <c r="M5347" t="s">
        <v>5471</v>
      </c>
    </row>
    <row r="5348" spans="1:13" x14ac:dyDescent="0.3">
      <c r="A5348" t="s">
        <v>3388</v>
      </c>
      <c r="B5348" t="s">
        <v>15702</v>
      </c>
      <c r="C5348" t="s">
        <v>5470</v>
      </c>
      <c r="D5348" t="s">
        <v>4119</v>
      </c>
      <c r="E5348" t="s">
        <v>5532</v>
      </c>
      <c r="F5348" t="s">
        <v>20964</v>
      </c>
      <c r="G5348" t="s">
        <v>15704</v>
      </c>
      <c r="H5348" t="s">
        <v>5474</v>
      </c>
      <c r="I5348" t="s">
        <v>20965</v>
      </c>
      <c r="J5348" t="s">
        <v>5476</v>
      </c>
      <c r="K5348" t="s">
        <v>20966</v>
      </c>
      <c r="L5348" t="s">
        <v>5471</v>
      </c>
      <c r="M5348" t="s">
        <v>5471</v>
      </c>
    </row>
    <row r="5349" spans="1:13" x14ac:dyDescent="0.3">
      <c r="A5349" t="s">
        <v>3388</v>
      </c>
      <c r="B5349" t="s">
        <v>15702</v>
      </c>
      <c r="C5349" t="s">
        <v>5470</v>
      </c>
      <c r="D5349" t="s">
        <v>4119</v>
      </c>
      <c r="E5349" t="s">
        <v>5532</v>
      </c>
      <c r="F5349" t="s">
        <v>20967</v>
      </c>
      <c r="G5349" t="s">
        <v>15708</v>
      </c>
      <c r="H5349" t="s">
        <v>5474</v>
      </c>
      <c r="I5349" t="s">
        <v>20968</v>
      </c>
      <c r="J5349" t="s">
        <v>5476</v>
      </c>
      <c r="K5349" t="s">
        <v>20969</v>
      </c>
      <c r="L5349" t="s">
        <v>5471</v>
      </c>
      <c r="M5349" t="s">
        <v>5471</v>
      </c>
    </row>
    <row r="5350" spans="1:13" x14ac:dyDescent="0.3">
      <c r="A5350" t="s">
        <v>3388</v>
      </c>
      <c r="B5350" t="s">
        <v>15702</v>
      </c>
      <c r="C5350" t="s">
        <v>5470</v>
      </c>
      <c r="D5350" t="s">
        <v>4119</v>
      </c>
      <c r="E5350" t="s">
        <v>5532</v>
      </c>
      <c r="F5350" t="s">
        <v>20970</v>
      </c>
      <c r="G5350" t="s">
        <v>15708</v>
      </c>
      <c r="H5350" t="s">
        <v>5474</v>
      </c>
      <c r="I5350" t="s">
        <v>20971</v>
      </c>
      <c r="J5350" t="s">
        <v>5476</v>
      </c>
      <c r="K5350" t="s">
        <v>5471</v>
      </c>
      <c r="L5350" t="s">
        <v>5471</v>
      </c>
      <c r="M5350" t="s">
        <v>5471</v>
      </c>
    </row>
    <row r="5351" spans="1:13" x14ac:dyDescent="0.3">
      <c r="A5351" t="s">
        <v>3388</v>
      </c>
      <c r="B5351" t="s">
        <v>15859</v>
      </c>
      <c r="C5351" t="s">
        <v>5470</v>
      </c>
      <c r="D5351" t="s">
        <v>4119</v>
      </c>
      <c r="E5351" t="s">
        <v>5756</v>
      </c>
      <c r="F5351" t="s">
        <v>20972</v>
      </c>
      <c r="G5351" t="s">
        <v>15840</v>
      </c>
      <c r="H5351" t="s">
        <v>5474</v>
      </c>
      <c r="I5351" t="s">
        <v>20973</v>
      </c>
      <c r="J5351" t="s">
        <v>5476</v>
      </c>
      <c r="K5351" t="s">
        <v>20974</v>
      </c>
      <c r="L5351" t="s">
        <v>5471</v>
      </c>
      <c r="M5351" t="s">
        <v>5471</v>
      </c>
    </row>
    <row r="5352" spans="1:13" x14ac:dyDescent="0.3">
      <c r="A5352" t="s">
        <v>3388</v>
      </c>
      <c r="B5352" t="s">
        <v>15859</v>
      </c>
      <c r="C5352" t="s">
        <v>5470</v>
      </c>
      <c r="D5352" t="s">
        <v>4119</v>
      </c>
      <c r="E5352" t="s">
        <v>5756</v>
      </c>
      <c r="F5352" t="s">
        <v>20975</v>
      </c>
      <c r="G5352" t="s">
        <v>15840</v>
      </c>
      <c r="H5352" t="s">
        <v>5474</v>
      </c>
      <c r="I5352" t="s">
        <v>20976</v>
      </c>
      <c r="J5352" t="s">
        <v>5476</v>
      </c>
      <c r="K5352" t="s">
        <v>5471</v>
      </c>
      <c r="L5352" t="s">
        <v>5471</v>
      </c>
      <c r="M5352" t="s">
        <v>5471</v>
      </c>
    </row>
    <row r="5353" spans="1:13" x14ac:dyDescent="0.3">
      <c r="A5353" t="s">
        <v>3388</v>
      </c>
      <c r="B5353" t="s">
        <v>10961</v>
      </c>
      <c r="C5353" t="s">
        <v>5470</v>
      </c>
      <c r="D5353" t="s">
        <v>4119</v>
      </c>
      <c r="E5353" t="s">
        <v>5532</v>
      </c>
      <c r="F5353" t="s">
        <v>20977</v>
      </c>
      <c r="G5353" t="s">
        <v>15790</v>
      </c>
      <c r="H5353" t="s">
        <v>5474</v>
      </c>
      <c r="I5353" t="s">
        <v>20978</v>
      </c>
      <c r="J5353" t="s">
        <v>5476</v>
      </c>
      <c r="K5353" t="s">
        <v>20979</v>
      </c>
      <c r="L5353" t="s">
        <v>5471</v>
      </c>
      <c r="M5353" t="s">
        <v>5471</v>
      </c>
    </row>
    <row r="5354" spans="1:13" x14ac:dyDescent="0.3">
      <c r="A5354" t="s">
        <v>3388</v>
      </c>
      <c r="B5354" t="s">
        <v>10961</v>
      </c>
      <c r="C5354" t="s">
        <v>5470</v>
      </c>
      <c r="D5354" t="s">
        <v>4119</v>
      </c>
      <c r="E5354" t="s">
        <v>5532</v>
      </c>
      <c r="F5354" t="s">
        <v>20980</v>
      </c>
      <c r="G5354" t="s">
        <v>15790</v>
      </c>
      <c r="H5354" t="s">
        <v>5474</v>
      </c>
      <c r="I5354" t="s">
        <v>20981</v>
      </c>
      <c r="J5354" t="s">
        <v>5476</v>
      </c>
      <c r="K5354" t="s">
        <v>20982</v>
      </c>
      <c r="L5354" t="s">
        <v>5471</v>
      </c>
      <c r="M5354" t="s">
        <v>5471</v>
      </c>
    </row>
    <row r="5355" spans="1:13" x14ac:dyDescent="0.3">
      <c r="A5355" t="s">
        <v>3388</v>
      </c>
      <c r="B5355" t="s">
        <v>10961</v>
      </c>
      <c r="C5355" t="s">
        <v>5470</v>
      </c>
      <c r="D5355" t="s">
        <v>4119</v>
      </c>
      <c r="E5355" t="s">
        <v>5532</v>
      </c>
      <c r="F5355" t="s">
        <v>20983</v>
      </c>
      <c r="G5355" t="s">
        <v>15794</v>
      </c>
      <c r="H5355" t="s">
        <v>5474</v>
      </c>
      <c r="I5355" t="s">
        <v>20984</v>
      </c>
      <c r="J5355" t="s">
        <v>5476</v>
      </c>
      <c r="K5355" t="s">
        <v>20985</v>
      </c>
      <c r="L5355" t="s">
        <v>5471</v>
      </c>
      <c r="M5355" t="s">
        <v>5471</v>
      </c>
    </row>
    <row r="5356" spans="1:13" x14ac:dyDescent="0.3">
      <c r="A5356" t="s">
        <v>3388</v>
      </c>
      <c r="B5356" t="s">
        <v>10961</v>
      </c>
      <c r="C5356" t="s">
        <v>5470</v>
      </c>
      <c r="D5356" t="s">
        <v>4119</v>
      </c>
      <c r="E5356" t="s">
        <v>5532</v>
      </c>
      <c r="F5356" t="s">
        <v>20986</v>
      </c>
      <c r="G5356" t="s">
        <v>15794</v>
      </c>
      <c r="H5356" t="s">
        <v>5474</v>
      </c>
      <c r="I5356" t="s">
        <v>20987</v>
      </c>
      <c r="J5356" t="s">
        <v>5476</v>
      </c>
      <c r="K5356" t="s">
        <v>20988</v>
      </c>
      <c r="L5356" t="s">
        <v>5471</v>
      </c>
      <c r="M5356" t="s">
        <v>5471</v>
      </c>
    </row>
    <row r="5357" spans="1:13" x14ac:dyDescent="0.3">
      <c r="A5357" t="s">
        <v>3388</v>
      </c>
      <c r="B5357" t="s">
        <v>15863</v>
      </c>
      <c r="C5357" t="s">
        <v>5470</v>
      </c>
      <c r="D5357" t="s">
        <v>4119</v>
      </c>
      <c r="E5357" t="s">
        <v>5532</v>
      </c>
      <c r="F5357" t="s">
        <v>20989</v>
      </c>
      <c r="G5357" t="s">
        <v>15798</v>
      </c>
      <c r="H5357" t="s">
        <v>5474</v>
      </c>
      <c r="I5357" t="s">
        <v>20990</v>
      </c>
      <c r="J5357" t="s">
        <v>5476</v>
      </c>
      <c r="K5357" t="s">
        <v>20991</v>
      </c>
      <c r="L5357" t="s">
        <v>5471</v>
      </c>
      <c r="M5357" t="s">
        <v>5471</v>
      </c>
    </row>
    <row r="5358" spans="1:13" x14ac:dyDescent="0.3">
      <c r="A5358" t="s">
        <v>3388</v>
      </c>
      <c r="B5358" t="s">
        <v>15863</v>
      </c>
      <c r="C5358" t="s">
        <v>5470</v>
      </c>
      <c r="D5358" t="s">
        <v>4119</v>
      </c>
      <c r="E5358" t="s">
        <v>5532</v>
      </c>
      <c r="F5358" t="s">
        <v>20992</v>
      </c>
      <c r="G5358" t="s">
        <v>20993</v>
      </c>
      <c r="H5358" t="s">
        <v>5474</v>
      </c>
      <c r="I5358" t="s">
        <v>20994</v>
      </c>
      <c r="J5358" t="s">
        <v>5476</v>
      </c>
      <c r="K5358" t="s">
        <v>20995</v>
      </c>
      <c r="L5358" t="s">
        <v>5471</v>
      </c>
      <c r="M5358" t="s">
        <v>5471</v>
      </c>
    </row>
    <row r="5359" spans="1:13" x14ac:dyDescent="0.3">
      <c r="A5359" t="s">
        <v>3388</v>
      </c>
      <c r="B5359" t="s">
        <v>15863</v>
      </c>
      <c r="C5359" t="s">
        <v>5470</v>
      </c>
      <c r="D5359" t="s">
        <v>4119</v>
      </c>
      <c r="E5359" t="s">
        <v>5532</v>
      </c>
      <c r="F5359" t="s">
        <v>20996</v>
      </c>
      <c r="G5359" t="s">
        <v>20890</v>
      </c>
      <c r="H5359" t="s">
        <v>5474</v>
      </c>
      <c r="I5359" t="s">
        <v>20997</v>
      </c>
      <c r="J5359" t="s">
        <v>5476</v>
      </c>
      <c r="K5359" t="s">
        <v>20998</v>
      </c>
      <c r="L5359" t="s">
        <v>5471</v>
      </c>
      <c r="M5359" t="s">
        <v>5471</v>
      </c>
    </row>
    <row r="5360" spans="1:13" x14ac:dyDescent="0.3">
      <c r="A5360" t="s">
        <v>3388</v>
      </c>
      <c r="B5360" t="s">
        <v>15863</v>
      </c>
      <c r="C5360" t="s">
        <v>5470</v>
      </c>
      <c r="D5360" t="s">
        <v>4119</v>
      </c>
      <c r="E5360" t="s">
        <v>5532</v>
      </c>
      <c r="F5360" t="s">
        <v>20999</v>
      </c>
      <c r="G5360" t="s">
        <v>15798</v>
      </c>
      <c r="H5360" t="s">
        <v>5474</v>
      </c>
      <c r="I5360" t="s">
        <v>21000</v>
      </c>
      <c r="J5360" t="s">
        <v>5476</v>
      </c>
      <c r="K5360" t="s">
        <v>5471</v>
      </c>
      <c r="L5360" t="s">
        <v>5471</v>
      </c>
      <c r="M5360" t="s">
        <v>5471</v>
      </c>
    </row>
    <row r="5361" spans="1:13" x14ac:dyDescent="0.3">
      <c r="A5361" t="s">
        <v>3388</v>
      </c>
      <c r="B5361" t="s">
        <v>15863</v>
      </c>
      <c r="C5361" t="s">
        <v>5470</v>
      </c>
      <c r="D5361" t="s">
        <v>4119</v>
      </c>
      <c r="E5361" t="s">
        <v>5532</v>
      </c>
      <c r="F5361" t="s">
        <v>21001</v>
      </c>
      <c r="G5361" t="s">
        <v>15798</v>
      </c>
      <c r="H5361" t="s">
        <v>5474</v>
      </c>
      <c r="I5361" t="s">
        <v>21002</v>
      </c>
      <c r="J5361" t="s">
        <v>5476</v>
      </c>
      <c r="K5361" t="s">
        <v>5471</v>
      </c>
      <c r="L5361" t="s">
        <v>5471</v>
      </c>
      <c r="M5361" t="s">
        <v>5471</v>
      </c>
    </row>
    <row r="5362" spans="1:13" x14ac:dyDescent="0.3">
      <c r="A5362" t="s">
        <v>3388</v>
      </c>
      <c r="B5362" t="s">
        <v>15863</v>
      </c>
      <c r="C5362" t="s">
        <v>5470</v>
      </c>
      <c r="D5362" t="s">
        <v>4119</v>
      </c>
      <c r="E5362" t="s">
        <v>5532</v>
      </c>
      <c r="F5362" t="s">
        <v>21003</v>
      </c>
      <c r="G5362" t="s">
        <v>20890</v>
      </c>
      <c r="H5362" t="s">
        <v>5474</v>
      </c>
      <c r="I5362" t="s">
        <v>21004</v>
      </c>
      <c r="J5362" t="s">
        <v>5476</v>
      </c>
      <c r="K5362" t="s">
        <v>5471</v>
      </c>
      <c r="L5362" t="s">
        <v>5471</v>
      </c>
      <c r="M5362" t="s">
        <v>5471</v>
      </c>
    </row>
    <row r="5363" spans="1:13" x14ac:dyDescent="0.3">
      <c r="A5363" t="s">
        <v>3388</v>
      </c>
      <c r="B5363" t="s">
        <v>15876</v>
      </c>
      <c r="C5363" t="s">
        <v>5470</v>
      </c>
      <c r="D5363" t="s">
        <v>4119</v>
      </c>
      <c r="E5363" t="s">
        <v>5532</v>
      </c>
      <c r="F5363" t="s">
        <v>21005</v>
      </c>
      <c r="G5363" t="s">
        <v>15802</v>
      </c>
      <c r="H5363" t="s">
        <v>5474</v>
      </c>
      <c r="I5363" t="s">
        <v>21006</v>
      </c>
      <c r="J5363" t="s">
        <v>5476</v>
      </c>
      <c r="K5363" t="s">
        <v>21007</v>
      </c>
      <c r="L5363" t="s">
        <v>5471</v>
      </c>
      <c r="M5363" t="s">
        <v>5471</v>
      </c>
    </row>
    <row r="5364" spans="1:13" x14ac:dyDescent="0.3">
      <c r="A5364" t="s">
        <v>3388</v>
      </c>
      <c r="B5364" t="s">
        <v>15876</v>
      </c>
      <c r="C5364" t="s">
        <v>5470</v>
      </c>
      <c r="D5364" t="s">
        <v>4119</v>
      </c>
      <c r="E5364" t="s">
        <v>5532</v>
      </c>
      <c r="F5364" t="s">
        <v>21008</v>
      </c>
      <c r="G5364" t="s">
        <v>15802</v>
      </c>
      <c r="H5364" t="s">
        <v>5474</v>
      </c>
      <c r="I5364" t="s">
        <v>21009</v>
      </c>
      <c r="J5364" t="s">
        <v>5476</v>
      </c>
      <c r="K5364" t="s">
        <v>21010</v>
      </c>
      <c r="L5364" t="s">
        <v>5471</v>
      </c>
      <c r="M5364" t="s">
        <v>5471</v>
      </c>
    </row>
    <row r="5365" spans="1:13" x14ac:dyDescent="0.3">
      <c r="A5365" t="s">
        <v>3388</v>
      </c>
      <c r="B5365" t="s">
        <v>15876</v>
      </c>
      <c r="C5365" t="s">
        <v>5470</v>
      </c>
      <c r="D5365" t="s">
        <v>4119</v>
      </c>
      <c r="E5365" t="s">
        <v>5532</v>
      </c>
      <c r="F5365" t="s">
        <v>21011</v>
      </c>
      <c r="G5365" t="s">
        <v>15806</v>
      </c>
      <c r="H5365" t="s">
        <v>5474</v>
      </c>
      <c r="I5365" t="s">
        <v>21012</v>
      </c>
      <c r="J5365" t="s">
        <v>5476</v>
      </c>
      <c r="K5365" t="s">
        <v>21013</v>
      </c>
      <c r="L5365" t="s">
        <v>5471</v>
      </c>
      <c r="M5365" t="s">
        <v>5471</v>
      </c>
    </row>
    <row r="5366" spans="1:13" x14ac:dyDescent="0.3">
      <c r="A5366" t="s">
        <v>3388</v>
      </c>
      <c r="B5366" t="s">
        <v>15876</v>
      </c>
      <c r="C5366" t="s">
        <v>5470</v>
      </c>
      <c r="D5366" t="s">
        <v>4119</v>
      </c>
      <c r="E5366" t="s">
        <v>5532</v>
      </c>
      <c r="F5366" t="s">
        <v>21014</v>
      </c>
      <c r="G5366" t="s">
        <v>15806</v>
      </c>
      <c r="H5366" t="s">
        <v>5474</v>
      </c>
      <c r="I5366" t="s">
        <v>21015</v>
      </c>
      <c r="J5366" t="s">
        <v>5476</v>
      </c>
      <c r="K5366" t="s">
        <v>21016</v>
      </c>
      <c r="L5366" t="s">
        <v>5471</v>
      </c>
      <c r="M5366" t="s">
        <v>5471</v>
      </c>
    </row>
    <row r="5367" spans="1:13" x14ac:dyDescent="0.3">
      <c r="A5367" t="s">
        <v>3388</v>
      </c>
      <c r="B5367" t="s">
        <v>15876</v>
      </c>
      <c r="C5367" t="s">
        <v>5470</v>
      </c>
      <c r="D5367" t="s">
        <v>4119</v>
      </c>
      <c r="E5367" t="s">
        <v>5532</v>
      </c>
      <c r="F5367" t="s">
        <v>21017</v>
      </c>
      <c r="G5367" t="s">
        <v>15802</v>
      </c>
      <c r="H5367" t="s">
        <v>5474</v>
      </c>
      <c r="I5367" t="s">
        <v>21018</v>
      </c>
      <c r="J5367" t="s">
        <v>5476</v>
      </c>
      <c r="K5367" t="s">
        <v>5471</v>
      </c>
      <c r="L5367" t="s">
        <v>5471</v>
      </c>
      <c r="M5367" t="s">
        <v>5471</v>
      </c>
    </row>
    <row r="5368" spans="1:13" x14ac:dyDescent="0.3">
      <c r="A5368" t="s">
        <v>3388</v>
      </c>
      <c r="B5368" t="s">
        <v>15876</v>
      </c>
      <c r="C5368" t="s">
        <v>5470</v>
      </c>
      <c r="D5368" t="s">
        <v>4119</v>
      </c>
      <c r="E5368" t="s">
        <v>5532</v>
      </c>
      <c r="F5368" t="s">
        <v>21019</v>
      </c>
      <c r="G5368" t="s">
        <v>15806</v>
      </c>
      <c r="H5368" t="s">
        <v>5474</v>
      </c>
      <c r="I5368" t="s">
        <v>21020</v>
      </c>
      <c r="J5368" t="s">
        <v>5476</v>
      </c>
      <c r="K5368" t="s">
        <v>5471</v>
      </c>
      <c r="L5368" t="s">
        <v>5471</v>
      </c>
      <c r="M5368" t="s">
        <v>5471</v>
      </c>
    </row>
    <row r="5369" spans="1:13" x14ac:dyDescent="0.3">
      <c r="A5369" t="s">
        <v>3388</v>
      </c>
      <c r="B5369" t="s">
        <v>6452</v>
      </c>
      <c r="C5369" t="s">
        <v>5470</v>
      </c>
      <c r="D5369" t="s">
        <v>4119</v>
      </c>
      <c r="E5369" t="s">
        <v>5756</v>
      </c>
      <c r="F5369" t="s">
        <v>21021</v>
      </c>
      <c r="G5369" t="s">
        <v>15712</v>
      </c>
      <c r="H5369" t="s">
        <v>5474</v>
      </c>
      <c r="I5369" t="s">
        <v>21022</v>
      </c>
      <c r="J5369" t="s">
        <v>5476</v>
      </c>
      <c r="K5369" t="s">
        <v>21023</v>
      </c>
      <c r="L5369" t="s">
        <v>5471</v>
      </c>
      <c r="M5369" t="s">
        <v>5471</v>
      </c>
    </row>
    <row r="5370" spans="1:13" x14ac:dyDescent="0.3">
      <c r="A5370" t="s">
        <v>3388</v>
      </c>
      <c r="B5370" t="s">
        <v>6452</v>
      </c>
      <c r="C5370" t="s">
        <v>5470</v>
      </c>
      <c r="D5370" t="s">
        <v>4119</v>
      </c>
      <c r="E5370" t="s">
        <v>5532</v>
      </c>
      <c r="F5370" t="s">
        <v>21024</v>
      </c>
      <c r="G5370" t="s">
        <v>15704</v>
      </c>
      <c r="H5370" t="s">
        <v>5474</v>
      </c>
      <c r="I5370" t="s">
        <v>21025</v>
      </c>
      <c r="J5370" t="s">
        <v>5476</v>
      </c>
      <c r="K5370" t="s">
        <v>21026</v>
      </c>
      <c r="L5370" t="s">
        <v>5471</v>
      </c>
      <c r="M5370" t="s">
        <v>5471</v>
      </c>
    </row>
    <row r="5371" spans="1:13" x14ac:dyDescent="0.3">
      <c r="A5371" t="s">
        <v>3388</v>
      </c>
      <c r="B5371" t="s">
        <v>6452</v>
      </c>
      <c r="C5371" t="s">
        <v>5470</v>
      </c>
      <c r="D5371" t="s">
        <v>4119</v>
      </c>
      <c r="E5371" t="s">
        <v>5532</v>
      </c>
      <c r="F5371" t="s">
        <v>21027</v>
      </c>
      <c r="G5371" t="s">
        <v>15704</v>
      </c>
      <c r="H5371" t="s">
        <v>5474</v>
      </c>
      <c r="I5371" t="s">
        <v>21028</v>
      </c>
      <c r="J5371" t="s">
        <v>5476</v>
      </c>
      <c r="K5371" t="s">
        <v>21029</v>
      </c>
      <c r="L5371" t="s">
        <v>5471</v>
      </c>
      <c r="M5371" t="s">
        <v>5471</v>
      </c>
    </row>
    <row r="5372" spans="1:13" x14ac:dyDescent="0.3">
      <c r="A5372" t="s">
        <v>3388</v>
      </c>
      <c r="B5372" t="s">
        <v>6452</v>
      </c>
      <c r="C5372" t="s">
        <v>5470</v>
      </c>
      <c r="D5372" t="s">
        <v>4119</v>
      </c>
      <c r="E5372" t="s">
        <v>5532</v>
      </c>
      <c r="F5372" t="s">
        <v>21030</v>
      </c>
      <c r="G5372" t="s">
        <v>15708</v>
      </c>
      <c r="H5372" t="s">
        <v>5474</v>
      </c>
      <c r="I5372" t="s">
        <v>21031</v>
      </c>
      <c r="J5372" t="s">
        <v>5476</v>
      </c>
      <c r="K5372" t="s">
        <v>21032</v>
      </c>
      <c r="L5372" t="s">
        <v>5471</v>
      </c>
      <c r="M5372" t="s">
        <v>5471</v>
      </c>
    </row>
    <row r="5373" spans="1:13" x14ac:dyDescent="0.3">
      <c r="A5373" t="s">
        <v>3388</v>
      </c>
      <c r="B5373" t="s">
        <v>6452</v>
      </c>
      <c r="C5373" t="s">
        <v>5470</v>
      </c>
      <c r="D5373" t="s">
        <v>4119</v>
      </c>
      <c r="E5373" t="s">
        <v>5532</v>
      </c>
      <c r="F5373" t="s">
        <v>21033</v>
      </c>
      <c r="G5373" t="s">
        <v>15708</v>
      </c>
      <c r="H5373" t="s">
        <v>5474</v>
      </c>
      <c r="I5373" t="s">
        <v>21034</v>
      </c>
      <c r="J5373" t="s">
        <v>5476</v>
      </c>
      <c r="K5373" t="s">
        <v>21035</v>
      </c>
      <c r="L5373" t="s">
        <v>5471</v>
      </c>
      <c r="M5373" t="s">
        <v>5471</v>
      </c>
    </row>
    <row r="5374" spans="1:13" x14ac:dyDescent="0.3">
      <c r="A5374" t="s">
        <v>3388</v>
      </c>
      <c r="B5374" t="s">
        <v>6452</v>
      </c>
      <c r="C5374" t="s">
        <v>5470</v>
      </c>
      <c r="D5374" t="s">
        <v>4119</v>
      </c>
      <c r="E5374" t="s">
        <v>5756</v>
      </c>
      <c r="F5374" t="s">
        <v>21036</v>
      </c>
      <c r="G5374" t="s">
        <v>6322</v>
      </c>
      <c r="H5374" t="s">
        <v>5474</v>
      </c>
      <c r="I5374" t="s">
        <v>21037</v>
      </c>
      <c r="J5374" t="s">
        <v>5476</v>
      </c>
      <c r="K5374" t="s">
        <v>21038</v>
      </c>
      <c r="L5374" t="s">
        <v>5471</v>
      </c>
      <c r="M5374" t="s">
        <v>5471</v>
      </c>
    </row>
    <row r="5375" spans="1:13" x14ac:dyDescent="0.3">
      <c r="A5375" t="s">
        <v>3388</v>
      </c>
      <c r="B5375" t="s">
        <v>6452</v>
      </c>
      <c r="C5375" t="s">
        <v>5470</v>
      </c>
      <c r="D5375" t="s">
        <v>4119</v>
      </c>
      <c r="E5375" t="s">
        <v>5756</v>
      </c>
      <c r="F5375" t="s">
        <v>21039</v>
      </c>
      <c r="G5375" t="s">
        <v>6322</v>
      </c>
      <c r="H5375" t="s">
        <v>5474</v>
      </c>
      <c r="I5375" t="s">
        <v>21040</v>
      </c>
      <c r="J5375" t="s">
        <v>5476</v>
      </c>
      <c r="K5375" t="s">
        <v>21041</v>
      </c>
      <c r="L5375" t="s">
        <v>5471</v>
      </c>
      <c r="M5375" t="s">
        <v>5471</v>
      </c>
    </row>
    <row r="5376" spans="1:13" x14ac:dyDescent="0.3">
      <c r="A5376" t="s">
        <v>3388</v>
      </c>
      <c r="B5376" t="s">
        <v>6452</v>
      </c>
      <c r="C5376" t="s">
        <v>5470</v>
      </c>
      <c r="D5376" t="s">
        <v>4119</v>
      </c>
      <c r="E5376" t="s">
        <v>5756</v>
      </c>
      <c r="F5376" t="s">
        <v>21042</v>
      </c>
      <c r="G5376" t="s">
        <v>12154</v>
      </c>
      <c r="H5376" t="s">
        <v>5474</v>
      </c>
      <c r="I5376" t="s">
        <v>21043</v>
      </c>
      <c r="J5376" t="s">
        <v>5476</v>
      </c>
      <c r="K5376" t="s">
        <v>21044</v>
      </c>
      <c r="L5376" t="s">
        <v>5471</v>
      </c>
      <c r="M5376" t="s">
        <v>5471</v>
      </c>
    </row>
    <row r="5377" spans="1:13" x14ac:dyDescent="0.3">
      <c r="A5377" t="s">
        <v>3388</v>
      </c>
      <c r="B5377" t="s">
        <v>6452</v>
      </c>
      <c r="C5377" t="s">
        <v>5470</v>
      </c>
      <c r="D5377" t="s">
        <v>4119</v>
      </c>
      <c r="E5377" t="s">
        <v>5756</v>
      </c>
      <c r="F5377" t="s">
        <v>21045</v>
      </c>
      <c r="G5377" t="s">
        <v>12154</v>
      </c>
      <c r="H5377" t="s">
        <v>5474</v>
      </c>
      <c r="I5377" t="s">
        <v>21046</v>
      </c>
      <c r="J5377" t="s">
        <v>5476</v>
      </c>
      <c r="K5377" t="s">
        <v>21047</v>
      </c>
      <c r="L5377" t="s">
        <v>5471</v>
      </c>
      <c r="M5377" t="s">
        <v>5471</v>
      </c>
    </row>
    <row r="5378" spans="1:13" x14ac:dyDescent="0.3">
      <c r="A5378" t="s">
        <v>3388</v>
      </c>
      <c r="B5378" t="s">
        <v>6452</v>
      </c>
      <c r="C5378" t="s">
        <v>5470</v>
      </c>
      <c r="D5378" t="s">
        <v>4119</v>
      </c>
      <c r="E5378" t="s">
        <v>5756</v>
      </c>
      <c r="F5378" t="s">
        <v>21048</v>
      </c>
      <c r="G5378" t="s">
        <v>15749</v>
      </c>
      <c r="H5378" t="s">
        <v>5474</v>
      </c>
      <c r="I5378" t="s">
        <v>21049</v>
      </c>
      <c r="J5378" t="s">
        <v>5476</v>
      </c>
      <c r="K5378" t="s">
        <v>21050</v>
      </c>
      <c r="L5378" t="s">
        <v>5471</v>
      </c>
      <c r="M5378" t="s">
        <v>5471</v>
      </c>
    </row>
    <row r="5379" spans="1:13" x14ac:dyDescent="0.3">
      <c r="A5379" t="s">
        <v>3388</v>
      </c>
      <c r="B5379" t="s">
        <v>6452</v>
      </c>
      <c r="C5379" t="s">
        <v>5470</v>
      </c>
      <c r="D5379" t="s">
        <v>4119</v>
      </c>
      <c r="E5379" t="s">
        <v>5756</v>
      </c>
      <c r="F5379" t="s">
        <v>21051</v>
      </c>
      <c r="G5379" t="s">
        <v>15741</v>
      </c>
      <c r="H5379" t="s">
        <v>5474</v>
      </c>
      <c r="I5379" t="s">
        <v>21052</v>
      </c>
      <c r="J5379" t="s">
        <v>5476</v>
      </c>
      <c r="K5379" t="s">
        <v>21053</v>
      </c>
      <c r="L5379" t="s">
        <v>5471</v>
      </c>
      <c r="M5379" t="s">
        <v>5471</v>
      </c>
    </row>
    <row r="5380" spans="1:13" x14ac:dyDescent="0.3">
      <c r="A5380" t="s">
        <v>3388</v>
      </c>
      <c r="B5380" t="s">
        <v>6452</v>
      </c>
      <c r="C5380" t="s">
        <v>5470</v>
      </c>
      <c r="D5380" t="s">
        <v>4119</v>
      </c>
      <c r="E5380" t="s">
        <v>5756</v>
      </c>
      <c r="F5380" t="s">
        <v>21054</v>
      </c>
      <c r="G5380" t="s">
        <v>15766</v>
      </c>
      <c r="H5380" t="s">
        <v>5474</v>
      </c>
      <c r="I5380" t="s">
        <v>21055</v>
      </c>
      <c r="J5380" t="s">
        <v>5476</v>
      </c>
      <c r="K5380" t="s">
        <v>21056</v>
      </c>
      <c r="L5380" t="s">
        <v>5471</v>
      </c>
      <c r="M5380" t="s">
        <v>5471</v>
      </c>
    </row>
    <row r="5381" spans="1:13" x14ac:dyDescent="0.3">
      <c r="A5381" t="s">
        <v>3388</v>
      </c>
      <c r="B5381" t="s">
        <v>6452</v>
      </c>
      <c r="C5381" t="s">
        <v>5470</v>
      </c>
      <c r="D5381" t="s">
        <v>4119</v>
      </c>
      <c r="E5381" t="s">
        <v>5756</v>
      </c>
      <c r="F5381" t="s">
        <v>21057</v>
      </c>
      <c r="G5381" t="s">
        <v>15722</v>
      </c>
      <c r="H5381" t="s">
        <v>5474</v>
      </c>
      <c r="I5381" t="s">
        <v>21058</v>
      </c>
      <c r="J5381" t="s">
        <v>5476</v>
      </c>
      <c r="K5381" t="s">
        <v>5471</v>
      </c>
      <c r="L5381" t="s">
        <v>5471</v>
      </c>
      <c r="M5381" t="s">
        <v>5471</v>
      </c>
    </row>
    <row r="5382" spans="1:13" x14ac:dyDescent="0.3">
      <c r="A5382" t="s">
        <v>3388</v>
      </c>
      <c r="B5382" t="s">
        <v>5956</v>
      </c>
      <c r="C5382" t="s">
        <v>5470</v>
      </c>
      <c r="D5382" t="s">
        <v>4119</v>
      </c>
      <c r="E5382" t="s">
        <v>5532</v>
      </c>
      <c r="F5382" t="s">
        <v>21059</v>
      </c>
      <c r="G5382" t="s">
        <v>15619</v>
      </c>
      <c r="H5382" t="s">
        <v>5474</v>
      </c>
      <c r="I5382" t="s">
        <v>21060</v>
      </c>
      <c r="J5382" t="s">
        <v>5476</v>
      </c>
      <c r="K5382" t="s">
        <v>21061</v>
      </c>
      <c r="L5382" t="s">
        <v>5471</v>
      </c>
      <c r="M5382" t="s">
        <v>5471</v>
      </c>
    </row>
    <row r="5383" spans="1:13" x14ac:dyDescent="0.3">
      <c r="A5383" t="s">
        <v>3388</v>
      </c>
      <c r="B5383" t="s">
        <v>5956</v>
      </c>
      <c r="C5383" t="s">
        <v>5470</v>
      </c>
      <c r="D5383" t="s">
        <v>4119</v>
      </c>
      <c r="E5383" t="s">
        <v>5532</v>
      </c>
      <c r="F5383" t="s">
        <v>21062</v>
      </c>
      <c r="G5383" t="s">
        <v>15619</v>
      </c>
      <c r="H5383" t="s">
        <v>5474</v>
      </c>
      <c r="I5383" t="s">
        <v>21063</v>
      </c>
      <c r="J5383" t="s">
        <v>5476</v>
      </c>
      <c r="K5383" t="s">
        <v>21064</v>
      </c>
      <c r="L5383" t="s">
        <v>5471</v>
      </c>
      <c r="M5383" t="s">
        <v>5471</v>
      </c>
    </row>
    <row r="5384" spans="1:13" x14ac:dyDescent="0.3">
      <c r="A5384" t="s">
        <v>3388</v>
      </c>
      <c r="B5384" t="s">
        <v>5956</v>
      </c>
      <c r="C5384" t="s">
        <v>5470</v>
      </c>
      <c r="D5384" t="s">
        <v>4119</v>
      </c>
      <c r="E5384" t="s">
        <v>5532</v>
      </c>
      <c r="F5384" t="s">
        <v>21065</v>
      </c>
      <c r="G5384" t="s">
        <v>15623</v>
      </c>
      <c r="H5384" t="s">
        <v>5474</v>
      </c>
      <c r="I5384" t="s">
        <v>21066</v>
      </c>
      <c r="J5384" t="s">
        <v>5476</v>
      </c>
      <c r="K5384" t="s">
        <v>21067</v>
      </c>
      <c r="L5384" t="s">
        <v>5471</v>
      </c>
      <c r="M5384" t="s">
        <v>5471</v>
      </c>
    </row>
    <row r="5385" spans="1:13" x14ac:dyDescent="0.3">
      <c r="A5385" t="s">
        <v>3388</v>
      </c>
      <c r="B5385" t="s">
        <v>5956</v>
      </c>
      <c r="C5385" t="s">
        <v>5470</v>
      </c>
      <c r="D5385" t="s">
        <v>4119</v>
      </c>
      <c r="E5385" t="s">
        <v>5532</v>
      </c>
      <c r="F5385" t="s">
        <v>21068</v>
      </c>
      <c r="G5385" t="s">
        <v>15623</v>
      </c>
      <c r="H5385" t="s">
        <v>5474</v>
      </c>
      <c r="I5385" t="s">
        <v>21069</v>
      </c>
      <c r="J5385" t="s">
        <v>5476</v>
      </c>
      <c r="K5385" t="s">
        <v>21070</v>
      </c>
      <c r="L5385" t="s">
        <v>5471</v>
      </c>
      <c r="M5385" t="s">
        <v>5471</v>
      </c>
    </row>
    <row r="5386" spans="1:13" x14ac:dyDescent="0.3">
      <c r="A5386" t="s">
        <v>3388</v>
      </c>
      <c r="B5386" t="s">
        <v>5956</v>
      </c>
      <c r="C5386" t="s">
        <v>5470</v>
      </c>
      <c r="D5386" t="s">
        <v>4119</v>
      </c>
      <c r="E5386" t="s">
        <v>5532</v>
      </c>
      <c r="F5386" t="s">
        <v>21071</v>
      </c>
      <c r="G5386" t="s">
        <v>15675</v>
      </c>
      <c r="H5386" t="s">
        <v>5474</v>
      </c>
      <c r="I5386" t="s">
        <v>21072</v>
      </c>
      <c r="J5386" t="s">
        <v>5476</v>
      </c>
      <c r="K5386" t="s">
        <v>21073</v>
      </c>
      <c r="L5386" t="s">
        <v>5471</v>
      </c>
      <c r="M5386" t="s">
        <v>5471</v>
      </c>
    </row>
    <row r="5387" spans="1:13" x14ac:dyDescent="0.3">
      <c r="A5387" t="s">
        <v>3388</v>
      </c>
      <c r="B5387" t="s">
        <v>5956</v>
      </c>
      <c r="C5387" t="s">
        <v>5470</v>
      </c>
      <c r="D5387" t="s">
        <v>4119</v>
      </c>
      <c r="E5387" t="s">
        <v>5532</v>
      </c>
      <c r="F5387" t="s">
        <v>21074</v>
      </c>
      <c r="G5387" t="s">
        <v>10828</v>
      </c>
      <c r="H5387" t="s">
        <v>5474</v>
      </c>
      <c r="I5387" t="s">
        <v>21075</v>
      </c>
      <c r="J5387" t="s">
        <v>5476</v>
      </c>
      <c r="K5387" t="s">
        <v>21076</v>
      </c>
      <c r="L5387" t="s">
        <v>5471</v>
      </c>
      <c r="M5387" t="s">
        <v>5471</v>
      </c>
    </row>
    <row r="5388" spans="1:13" x14ac:dyDescent="0.3">
      <c r="A5388" t="s">
        <v>3388</v>
      </c>
      <c r="B5388" t="s">
        <v>5956</v>
      </c>
      <c r="C5388" t="s">
        <v>5470</v>
      </c>
      <c r="D5388" t="s">
        <v>4119</v>
      </c>
      <c r="E5388" t="s">
        <v>5532</v>
      </c>
      <c r="F5388" t="s">
        <v>21077</v>
      </c>
      <c r="G5388" t="s">
        <v>7096</v>
      </c>
      <c r="H5388" t="s">
        <v>5474</v>
      </c>
      <c r="I5388" t="s">
        <v>21078</v>
      </c>
      <c r="J5388" t="s">
        <v>5476</v>
      </c>
      <c r="K5388" t="s">
        <v>21079</v>
      </c>
      <c r="L5388" t="s">
        <v>5471</v>
      </c>
      <c r="M5388" t="s">
        <v>5471</v>
      </c>
    </row>
    <row r="5389" spans="1:13" x14ac:dyDescent="0.3">
      <c r="A5389" t="s">
        <v>3388</v>
      </c>
      <c r="B5389" t="s">
        <v>5956</v>
      </c>
      <c r="C5389" t="s">
        <v>5470</v>
      </c>
      <c r="D5389" t="s">
        <v>4119</v>
      </c>
      <c r="E5389" t="s">
        <v>5532</v>
      </c>
      <c r="F5389" t="s">
        <v>21080</v>
      </c>
      <c r="G5389" t="s">
        <v>10832</v>
      </c>
      <c r="H5389" t="s">
        <v>5474</v>
      </c>
      <c r="I5389" t="s">
        <v>21081</v>
      </c>
      <c r="J5389" t="s">
        <v>5476</v>
      </c>
      <c r="K5389" t="s">
        <v>21082</v>
      </c>
      <c r="L5389" t="s">
        <v>5471</v>
      </c>
      <c r="M5389" t="s">
        <v>5471</v>
      </c>
    </row>
    <row r="5390" spans="1:13" x14ac:dyDescent="0.3">
      <c r="A5390" t="s">
        <v>3388</v>
      </c>
      <c r="B5390" t="s">
        <v>5956</v>
      </c>
      <c r="C5390" t="s">
        <v>5470</v>
      </c>
      <c r="D5390" t="s">
        <v>4119</v>
      </c>
      <c r="E5390" t="s">
        <v>5532</v>
      </c>
      <c r="F5390" t="s">
        <v>21083</v>
      </c>
      <c r="G5390" t="s">
        <v>15619</v>
      </c>
      <c r="H5390" t="s">
        <v>5474</v>
      </c>
      <c r="I5390" t="s">
        <v>21084</v>
      </c>
      <c r="J5390" t="s">
        <v>5476</v>
      </c>
      <c r="K5390" t="s">
        <v>5471</v>
      </c>
      <c r="L5390" t="s">
        <v>5471</v>
      </c>
      <c r="M5390" t="s">
        <v>5471</v>
      </c>
    </row>
    <row r="5391" spans="1:13" x14ac:dyDescent="0.3">
      <c r="A5391" t="s">
        <v>3388</v>
      </c>
      <c r="B5391" t="s">
        <v>5956</v>
      </c>
      <c r="C5391" t="s">
        <v>5470</v>
      </c>
      <c r="D5391" t="s">
        <v>4119</v>
      </c>
      <c r="E5391" t="s">
        <v>5532</v>
      </c>
      <c r="F5391" t="s">
        <v>21085</v>
      </c>
      <c r="G5391" t="s">
        <v>15623</v>
      </c>
      <c r="H5391" t="s">
        <v>5474</v>
      </c>
      <c r="I5391" t="s">
        <v>21086</v>
      </c>
      <c r="J5391" t="s">
        <v>5476</v>
      </c>
      <c r="K5391" t="s">
        <v>5471</v>
      </c>
      <c r="L5391" t="s">
        <v>5471</v>
      </c>
      <c r="M5391" t="s">
        <v>5471</v>
      </c>
    </row>
    <row r="5392" spans="1:13" x14ac:dyDescent="0.3">
      <c r="A5392" t="s">
        <v>3388</v>
      </c>
      <c r="B5392" t="s">
        <v>6478</v>
      </c>
      <c r="C5392" t="s">
        <v>5470</v>
      </c>
      <c r="D5392" t="s">
        <v>4119</v>
      </c>
      <c r="E5392" t="s">
        <v>5532</v>
      </c>
      <c r="F5392" t="s">
        <v>21087</v>
      </c>
      <c r="G5392" t="s">
        <v>20234</v>
      </c>
      <c r="H5392" t="s">
        <v>5474</v>
      </c>
      <c r="I5392" t="s">
        <v>21088</v>
      </c>
      <c r="J5392" t="s">
        <v>5476</v>
      </c>
      <c r="K5392" t="s">
        <v>21089</v>
      </c>
      <c r="L5392" t="s">
        <v>5471</v>
      </c>
      <c r="M5392" t="s">
        <v>5471</v>
      </c>
    </row>
    <row r="5393" spans="1:13" x14ac:dyDescent="0.3">
      <c r="A5393" t="s">
        <v>3388</v>
      </c>
      <c r="B5393" t="s">
        <v>6478</v>
      </c>
      <c r="C5393" t="s">
        <v>5470</v>
      </c>
      <c r="D5393" t="s">
        <v>4119</v>
      </c>
      <c r="E5393" t="s">
        <v>5843</v>
      </c>
      <c r="F5393" t="s">
        <v>21090</v>
      </c>
      <c r="G5393" t="s">
        <v>18338</v>
      </c>
      <c r="H5393" t="s">
        <v>5474</v>
      </c>
      <c r="I5393" t="s">
        <v>21091</v>
      </c>
      <c r="J5393" t="s">
        <v>5476</v>
      </c>
      <c r="K5393" t="s">
        <v>21092</v>
      </c>
      <c r="L5393" t="s">
        <v>5471</v>
      </c>
      <c r="M5393" t="s">
        <v>5471</v>
      </c>
    </row>
    <row r="5394" spans="1:13" x14ac:dyDescent="0.3">
      <c r="A5394" t="s">
        <v>3388</v>
      </c>
      <c r="B5394" t="s">
        <v>6478</v>
      </c>
      <c r="C5394" t="s">
        <v>5470</v>
      </c>
      <c r="D5394" t="s">
        <v>4119</v>
      </c>
      <c r="E5394" t="s">
        <v>5843</v>
      </c>
      <c r="F5394" t="s">
        <v>21093</v>
      </c>
      <c r="G5394" t="s">
        <v>21094</v>
      </c>
      <c r="H5394" t="s">
        <v>5474</v>
      </c>
      <c r="I5394" t="s">
        <v>21095</v>
      </c>
      <c r="J5394" t="s">
        <v>5476</v>
      </c>
      <c r="K5394" t="s">
        <v>21096</v>
      </c>
      <c r="L5394" t="s">
        <v>5471</v>
      </c>
      <c r="M5394" t="s">
        <v>5471</v>
      </c>
    </row>
    <row r="5395" spans="1:13" x14ac:dyDescent="0.3">
      <c r="A5395" t="s">
        <v>3388</v>
      </c>
      <c r="B5395" t="s">
        <v>6478</v>
      </c>
      <c r="C5395" t="s">
        <v>5470</v>
      </c>
      <c r="D5395" t="s">
        <v>4119</v>
      </c>
      <c r="E5395" t="s">
        <v>5843</v>
      </c>
      <c r="F5395" t="s">
        <v>21097</v>
      </c>
      <c r="G5395" t="s">
        <v>21098</v>
      </c>
      <c r="H5395" t="s">
        <v>5474</v>
      </c>
      <c r="I5395" t="s">
        <v>21099</v>
      </c>
      <c r="J5395" t="s">
        <v>5476</v>
      </c>
      <c r="K5395" t="s">
        <v>21100</v>
      </c>
      <c r="L5395" t="s">
        <v>5471</v>
      </c>
      <c r="M5395" t="s">
        <v>5471</v>
      </c>
    </row>
    <row r="5396" spans="1:13" x14ac:dyDescent="0.3">
      <c r="A5396" t="s">
        <v>3388</v>
      </c>
      <c r="B5396" t="s">
        <v>6478</v>
      </c>
      <c r="C5396" t="s">
        <v>5470</v>
      </c>
      <c r="D5396" t="s">
        <v>4119</v>
      </c>
      <c r="E5396" t="s">
        <v>5843</v>
      </c>
      <c r="F5396" t="s">
        <v>21101</v>
      </c>
      <c r="G5396" t="s">
        <v>21102</v>
      </c>
      <c r="H5396" t="s">
        <v>5474</v>
      </c>
      <c r="I5396" t="s">
        <v>21103</v>
      </c>
      <c r="J5396" t="s">
        <v>5476</v>
      </c>
      <c r="K5396" t="s">
        <v>21104</v>
      </c>
      <c r="L5396" t="s">
        <v>5471</v>
      </c>
      <c r="M5396" t="s">
        <v>5471</v>
      </c>
    </row>
    <row r="5397" spans="1:13" x14ac:dyDescent="0.3">
      <c r="A5397" t="s">
        <v>3388</v>
      </c>
      <c r="B5397" t="s">
        <v>5531</v>
      </c>
      <c r="C5397" t="s">
        <v>5470</v>
      </c>
      <c r="D5397" t="s">
        <v>4119</v>
      </c>
      <c r="E5397" t="s">
        <v>5480</v>
      </c>
      <c r="F5397" t="s">
        <v>21105</v>
      </c>
      <c r="G5397" t="s">
        <v>21106</v>
      </c>
      <c r="H5397" t="s">
        <v>5474</v>
      </c>
      <c r="I5397" t="s">
        <v>21107</v>
      </c>
      <c r="J5397" t="s">
        <v>5476</v>
      </c>
      <c r="K5397" t="s">
        <v>21108</v>
      </c>
      <c r="L5397" t="s">
        <v>5471</v>
      </c>
      <c r="M5397" t="s">
        <v>5471</v>
      </c>
    </row>
    <row r="5398" spans="1:13" x14ac:dyDescent="0.3">
      <c r="A5398" t="s">
        <v>3388</v>
      </c>
      <c r="B5398" t="s">
        <v>5531</v>
      </c>
      <c r="C5398" t="s">
        <v>5470</v>
      </c>
      <c r="D5398" t="s">
        <v>4119</v>
      </c>
      <c r="E5398" t="s">
        <v>5480</v>
      </c>
      <c r="F5398" t="s">
        <v>21109</v>
      </c>
      <c r="G5398" t="s">
        <v>21106</v>
      </c>
      <c r="H5398" t="s">
        <v>5474</v>
      </c>
      <c r="I5398" t="s">
        <v>21110</v>
      </c>
      <c r="J5398" t="s">
        <v>5476</v>
      </c>
      <c r="K5398" t="s">
        <v>21111</v>
      </c>
      <c r="L5398" t="s">
        <v>5471</v>
      </c>
      <c r="M5398" t="s">
        <v>5471</v>
      </c>
    </row>
    <row r="5399" spans="1:13" x14ac:dyDescent="0.3">
      <c r="A5399" t="s">
        <v>3388</v>
      </c>
      <c r="B5399" t="s">
        <v>5531</v>
      </c>
      <c r="C5399" t="s">
        <v>5470</v>
      </c>
      <c r="D5399" t="s">
        <v>4119</v>
      </c>
      <c r="E5399" t="s">
        <v>5532</v>
      </c>
      <c r="F5399" t="s">
        <v>21112</v>
      </c>
      <c r="G5399" t="s">
        <v>9069</v>
      </c>
      <c r="H5399" t="s">
        <v>5474</v>
      </c>
      <c r="I5399" t="s">
        <v>21113</v>
      </c>
      <c r="J5399" t="s">
        <v>5476</v>
      </c>
      <c r="K5399" t="s">
        <v>21114</v>
      </c>
      <c r="L5399" t="s">
        <v>5471</v>
      </c>
      <c r="M5399" t="s">
        <v>5471</v>
      </c>
    </row>
    <row r="5400" spans="1:13" x14ac:dyDescent="0.3">
      <c r="A5400" t="s">
        <v>3388</v>
      </c>
      <c r="B5400" t="s">
        <v>5531</v>
      </c>
      <c r="C5400" t="s">
        <v>5470</v>
      </c>
      <c r="D5400" t="s">
        <v>4119</v>
      </c>
      <c r="E5400" t="s">
        <v>5532</v>
      </c>
      <c r="F5400" t="s">
        <v>21115</v>
      </c>
      <c r="G5400" t="s">
        <v>9069</v>
      </c>
      <c r="H5400" t="s">
        <v>5474</v>
      </c>
      <c r="I5400" t="s">
        <v>21116</v>
      </c>
      <c r="J5400" t="s">
        <v>5476</v>
      </c>
      <c r="K5400" t="s">
        <v>21117</v>
      </c>
      <c r="L5400" t="s">
        <v>5471</v>
      </c>
      <c r="M5400" t="s">
        <v>5471</v>
      </c>
    </row>
    <row r="5401" spans="1:13" x14ac:dyDescent="0.3">
      <c r="A5401" t="s">
        <v>3388</v>
      </c>
      <c r="B5401" t="s">
        <v>5531</v>
      </c>
      <c r="C5401" t="s">
        <v>5470</v>
      </c>
      <c r="D5401" t="s">
        <v>4119</v>
      </c>
      <c r="E5401" t="s">
        <v>5617</v>
      </c>
      <c r="F5401" t="s">
        <v>21118</v>
      </c>
      <c r="G5401" t="s">
        <v>21119</v>
      </c>
      <c r="H5401" t="s">
        <v>5474</v>
      </c>
      <c r="I5401" t="s">
        <v>21120</v>
      </c>
      <c r="J5401" t="s">
        <v>5476</v>
      </c>
      <c r="K5401" t="s">
        <v>21121</v>
      </c>
      <c r="L5401" t="s">
        <v>5471</v>
      </c>
      <c r="M5401" t="s">
        <v>5471</v>
      </c>
    </row>
    <row r="5402" spans="1:13" x14ac:dyDescent="0.3">
      <c r="A5402" t="s">
        <v>3388</v>
      </c>
      <c r="B5402" t="s">
        <v>5531</v>
      </c>
      <c r="C5402" t="s">
        <v>5470</v>
      </c>
      <c r="D5402" t="s">
        <v>4119</v>
      </c>
      <c r="E5402" t="s">
        <v>5617</v>
      </c>
      <c r="F5402" t="s">
        <v>21122</v>
      </c>
      <c r="G5402" t="s">
        <v>21123</v>
      </c>
      <c r="H5402" t="s">
        <v>5474</v>
      </c>
      <c r="I5402" t="s">
        <v>21124</v>
      </c>
      <c r="J5402" t="s">
        <v>5476</v>
      </c>
      <c r="K5402" t="s">
        <v>21125</v>
      </c>
      <c r="L5402" t="s">
        <v>5471</v>
      </c>
      <c r="M5402" t="s">
        <v>5471</v>
      </c>
    </row>
    <row r="5403" spans="1:13" x14ac:dyDescent="0.3">
      <c r="A5403" t="s">
        <v>3388</v>
      </c>
      <c r="B5403" t="s">
        <v>5531</v>
      </c>
      <c r="C5403" t="s">
        <v>5470</v>
      </c>
      <c r="D5403" t="s">
        <v>4119</v>
      </c>
      <c r="E5403" t="s">
        <v>5617</v>
      </c>
      <c r="F5403" t="s">
        <v>21126</v>
      </c>
      <c r="G5403" t="s">
        <v>21127</v>
      </c>
      <c r="H5403" t="s">
        <v>5474</v>
      </c>
      <c r="I5403" t="s">
        <v>21128</v>
      </c>
      <c r="J5403" t="s">
        <v>5476</v>
      </c>
      <c r="K5403" t="s">
        <v>21129</v>
      </c>
      <c r="L5403" t="s">
        <v>5471</v>
      </c>
      <c r="M5403" t="s">
        <v>5471</v>
      </c>
    </row>
    <row r="5404" spans="1:13" x14ac:dyDescent="0.3">
      <c r="A5404" t="s">
        <v>3388</v>
      </c>
      <c r="B5404" t="s">
        <v>5531</v>
      </c>
      <c r="C5404" t="s">
        <v>5470</v>
      </c>
      <c r="D5404" t="s">
        <v>4119</v>
      </c>
      <c r="E5404" t="s">
        <v>5617</v>
      </c>
      <c r="F5404" t="s">
        <v>21130</v>
      </c>
      <c r="G5404" t="s">
        <v>21131</v>
      </c>
      <c r="H5404" t="s">
        <v>5474</v>
      </c>
      <c r="I5404" t="s">
        <v>21132</v>
      </c>
      <c r="J5404" t="s">
        <v>5476</v>
      </c>
      <c r="K5404" t="s">
        <v>21133</v>
      </c>
      <c r="L5404" t="s">
        <v>5471</v>
      </c>
      <c r="M5404" t="s">
        <v>5471</v>
      </c>
    </row>
    <row r="5405" spans="1:13" x14ac:dyDescent="0.3">
      <c r="A5405" t="s">
        <v>3388</v>
      </c>
      <c r="B5405" t="s">
        <v>5531</v>
      </c>
      <c r="C5405" t="s">
        <v>5470</v>
      </c>
      <c r="D5405" t="s">
        <v>4119</v>
      </c>
      <c r="E5405" t="s">
        <v>5617</v>
      </c>
      <c r="F5405" t="s">
        <v>21134</v>
      </c>
      <c r="G5405" t="s">
        <v>21135</v>
      </c>
      <c r="H5405" t="s">
        <v>5474</v>
      </c>
      <c r="I5405" t="s">
        <v>21136</v>
      </c>
      <c r="J5405" t="s">
        <v>5476</v>
      </c>
      <c r="K5405" t="s">
        <v>21137</v>
      </c>
      <c r="L5405" t="s">
        <v>5471</v>
      </c>
      <c r="M5405" t="s">
        <v>5471</v>
      </c>
    </row>
    <row r="5406" spans="1:13" x14ac:dyDescent="0.3">
      <c r="A5406" t="s">
        <v>3388</v>
      </c>
      <c r="B5406" t="s">
        <v>5531</v>
      </c>
      <c r="C5406" t="s">
        <v>5470</v>
      </c>
      <c r="D5406" t="s">
        <v>4119</v>
      </c>
      <c r="E5406" t="s">
        <v>5617</v>
      </c>
      <c r="F5406" t="s">
        <v>21138</v>
      </c>
      <c r="G5406" t="s">
        <v>21139</v>
      </c>
      <c r="H5406" t="s">
        <v>5474</v>
      </c>
      <c r="I5406" t="s">
        <v>21140</v>
      </c>
      <c r="J5406" t="s">
        <v>5476</v>
      </c>
      <c r="K5406" t="s">
        <v>21141</v>
      </c>
      <c r="L5406" t="s">
        <v>5471</v>
      </c>
      <c r="M5406" t="s">
        <v>5471</v>
      </c>
    </row>
    <row r="5407" spans="1:13" x14ac:dyDescent="0.3">
      <c r="A5407" t="s">
        <v>3388</v>
      </c>
      <c r="B5407" t="s">
        <v>5531</v>
      </c>
      <c r="C5407" t="s">
        <v>5470</v>
      </c>
      <c r="D5407" t="s">
        <v>4119</v>
      </c>
      <c r="E5407" t="s">
        <v>5617</v>
      </c>
      <c r="F5407" t="s">
        <v>21142</v>
      </c>
      <c r="G5407" t="s">
        <v>21143</v>
      </c>
      <c r="H5407" t="s">
        <v>5474</v>
      </c>
      <c r="I5407" t="s">
        <v>21144</v>
      </c>
      <c r="J5407" t="s">
        <v>5476</v>
      </c>
      <c r="K5407" t="s">
        <v>21145</v>
      </c>
      <c r="L5407" t="s">
        <v>5471</v>
      </c>
      <c r="M5407" t="s">
        <v>5471</v>
      </c>
    </row>
    <row r="5408" spans="1:13" x14ac:dyDescent="0.3">
      <c r="A5408" t="s">
        <v>3388</v>
      </c>
      <c r="B5408" t="s">
        <v>5531</v>
      </c>
      <c r="C5408" t="s">
        <v>5470</v>
      </c>
      <c r="D5408" t="s">
        <v>4119</v>
      </c>
      <c r="E5408" t="s">
        <v>5617</v>
      </c>
      <c r="F5408" t="s">
        <v>21146</v>
      </c>
      <c r="G5408" t="s">
        <v>21147</v>
      </c>
      <c r="H5408" t="s">
        <v>5474</v>
      </c>
      <c r="I5408" t="s">
        <v>21148</v>
      </c>
      <c r="J5408" t="s">
        <v>5476</v>
      </c>
      <c r="K5408" t="s">
        <v>21149</v>
      </c>
      <c r="L5408" t="s">
        <v>5471</v>
      </c>
      <c r="M5408" t="s">
        <v>5471</v>
      </c>
    </row>
    <row r="5409" spans="1:13" x14ac:dyDescent="0.3">
      <c r="A5409" t="s">
        <v>3388</v>
      </c>
      <c r="B5409" t="s">
        <v>5531</v>
      </c>
      <c r="C5409" t="s">
        <v>5470</v>
      </c>
      <c r="D5409" t="s">
        <v>4119</v>
      </c>
      <c r="E5409" t="s">
        <v>5617</v>
      </c>
      <c r="F5409" t="s">
        <v>21150</v>
      </c>
      <c r="G5409" t="s">
        <v>21151</v>
      </c>
      <c r="H5409" t="s">
        <v>5474</v>
      </c>
      <c r="I5409" t="s">
        <v>21152</v>
      </c>
      <c r="J5409" t="s">
        <v>5476</v>
      </c>
      <c r="K5409" t="s">
        <v>21153</v>
      </c>
      <c r="L5409" t="s">
        <v>5471</v>
      </c>
      <c r="M5409" t="s">
        <v>5471</v>
      </c>
    </row>
    <row r="5410" spans="1:13" x14ac:dyDescent="0.3">
      <c r="A5410" t="s">
        <v>3388</v>
      </c>
      <c r="B5410" t="s">
        <v>5531</v>
      </c>
      <c r="C5410" t="s">
        <v>5470</v>
      </c>
      <c r="D5410" t="s">
        <v>4119</v>
      </c>
      <c r="E5410" t="s">
        <v>5617</v>
      </c>
      <c r="F5410" t="s">
        <v>21154</v>
      </c>
      <c r="G5410" t="s">
        <v>21155</v>
      </c>
      <c r="H5410" t="s">
        <v>5474</v>
      </c>
      <c r="I5410" t="s">
        <v>21156</v>
      </c>
      <c r="J5410" t="s">
        <v>5476</v>
      </c>
      <c r="K5410" t="s">
        <v>21157</v>
      </c>
      <c r="L5410" t="s">
        <v>5471</v>
      </c>
      <c r="M5410" t="s">
        <v>5471</v>
      </c>
    </row>
    <row r="5411" spans="1:13" x14ac:dyDescent="0.3">
      <c r="A5411" t="s">
        <v>3388</v>
      </c>
      <c r="B5411" t="s">
        <v>5531</v>
      </c>
      <c r="C5411" t="s">
        <v>5470</v>
      </c>
      <c r="D5411" t="s">
        <v>4119</v>
      </c>
      <c r="E5411" t="s">
        <v>5617</v>
      </c>
      <c r="F5411" t="s">
        <v>21158</v>
      </c>
      <c r="G5411" t="s">
        <v>21159</v>
      </c>
      <c r="H5411" t="s">
        <v>5474</v>
      </c>
      <c r="I5411" t="s">
        <v>21160</v>
      </c>
      <c r="J5411" t="s">
        <v>5476</v>
      </c>
      <c r="K5411" t="s">
        <v>21161</v>
      </c>
      <c r="L5411" t="s">
        <v>5471</v>
      </c>
      <c r="M5411" t="s">
        <v>5471</v>
      </c>
    </row>
    <row r="5412" spans="1:13" x14ac:dyDescent="0.3">
      <c r="A5412" t="s">
        <v>3388</v>
      </c>
      <c r="B5412" t="s">
        <v>5531</v>
      </c>
      <c r="C5412" t="s">
        <v>5470</v>
      </c>
      <c r="D5412" t="s">
        <v>4119</v>
      </c>
      <c r="E5412" t="s">
        <v>5617</v>
      </c>
      <c r="F5412" t="s">
        <v>21162</v>
      </c>
      <c r="G5412" t="s">
        <v>21163</v>
      </c>
      <c r="H5412" t="s">
        <v>5474</v>
      </c>
      <c r="I5412" t="s">
        <v>21164</v>
      </c>
      <c r="J5412" t="s">
        <v>5476</v>
      </c>
      <c r="K5412" t="s">
        <v>21165</v>
      </c>
      <c r="L5412" t="s">
        <v>5471</v>
      </c>
      <c r="M5412" t="s">
        <v>5471</v>
      </c>
    </row>
    <row r="5413" spans="1:13" x14ac:dyDescent="0.3">
      <c r="A5413" t="s">
        <v>3388</v>
      </c>
      <c r="B5413" t="s">
        <v>15863</v>
      </c>
      <c r="C5413" t="s">
        <v>5470</v>
      </c>
      <c r="D5413" t="s">
        <v>4119</v>
      </c>
      <c r="E5413" t="s">
        <v>5532</v>
      </c>
      <c r="F5413" t="s">
        <v>21166</v>
      </c>
      <c r="G5413" t="s">
        <v>8317</v>
      </c>
      <c r="H5413" t="s">
        <v>5474</v>
      </c>
      <c r="I5413" t="s">
        <v>21167</v>
      </c>
      <c r="J5413" t="s">
        <v>5476</v>
      </c>
      <c r="K5413" t="s">
        <v>21168</v>
      </c>
      <c r="L5413" t="s">
        <v>5471</v>
      </c>
      <c r="M5413" t="s">
        <v>5471</v>
      </c>
    </row>
    <row r="5414" spans="1:13" x14ac:dyDescent="0.3">
      <c r="A5414" t="s">
        <v>3388</v>
      </c>
      <c r="B5414" t="s">
        <v>15863</v>
      </c>
      <c r="C5414" t="s">
        <v>5470</v>
      </c>
      <c r="D5414" t="s">
        <v>4119</v>
      </c>
      <c r="E5414" t="s">
        <v>5532</v>
      </c>
      <c r="F5414" t="s">
        <v>21169</v>
      </c>
      <c r="G5414" t="s">
        <v>20295</v>
      </c>
      <c r="H5414" t="s">
        <v>5474</v>
      </c>
      <c r="I5414" t="s">
        <v>21170</v>
      </c>
      <c r="J5414" t="s">
        <v>5476</v>
      </c>
      <c r="K5414" t="s">
        <v>21171</v>
      </c>
      <c r="L5414" t="s">
        <v>5471</v>
      </c>
      <c r="M5414" t="s">
        <v>5471</v>
      </c>
    </row>
    <row r="5415" spans="1:13" x14ac:dyDescent="0.3">
      <c r="A5415" t="s">
        <v>3388</v>
      </c>
      <c r="B5415" t="s">
        <v>15863</v>
      </c>
      <c r="C5415" t="s">
        <v>5470</v>
      </c>
      <c r="D5415" t="s">
        <v>4119</v>
      </c>
      <c r="E5415" t="s">
        <v>5532</v>
      </c>
      <c r="F5415" t="s">
        <v>21172</v>
      </c>
      <c r="G5415" t="s">
        <v>20299</v>
      </c>
      <c r="H5415" t="s">
        <v>5474</v>
      </c>
      <c r="I5415" t="s">
        <v>21173</v>
      </c>
      <c r="J5415" t="s">
        <v>5476</v>
      </c>
      <c r="K5415" t="s">
        <v>21174</v>
      </c>
      <c r="L5415" t="s">
        <v>5471</v>
      </c>
      <c r="M5415" t="s">
        <v>5471</v>
      </c>
    </row>
    <row r="5416" spans="1:13" x14ac:dyDescent="0.3">
      <c r="A5416" t="s">
        <v>3388</v>
      </c>
      <c r="B5416" t="s">
        <v>15863</v>
      </c>
      <c r="C5416" t="s">
        <v>5470</v>
      </c>
      <c r="D5416" t="s">
        <v>4119</v>
      </c>
      <c r="E5416" t="s">
        <v>5617</v>
      </c>
      <c r="F5416" t="s">
        <v>21175</v>
      </c>
      <c r="G5416" t="s">
        <v>21176</v>
      </c>
      <c r="H5416" t="s">
        <v>5474</v>
      </c>
      <c r="I5416" t="s">
        <v>21177</v>
      </c>
      <c r="J5416" t="s">
        <v>5476</v>
      </c>
      <c r="K5416" t="s">
        <v>21178</v>
      </c>
      <c r="L5416" t="s">
        <v>5471</v>
      </c>
      <c r="M5416" t="s">
        <v>5471</v>
      </c>
    </row>
    <row r="5417" spans="1:13" x14ac:dyDescent="0.3">
      <c r="A5417" t="s">
        <v>3388</v>
      </c>
      <c r="B5417" t="s">
        <v>15863</v>
      </c>
      <c r="C5417" t="s">
        <v>5470</v>
      </c>
      <c r="D5417" t="s">
        <v>4119</v>
      </c>
      <c r="E5417" t="s">
        <v>5617</v>
      </c>
      <c r="F5417" t="s">
        <v>21179</v>
      </c>
      <c r="G5417" t="s">
        <v>21180</v>
      </c>
      <c r="H5417" t="s">
        <v>5474</v>
      </c>
      <c r="I5417" t="s">
        <v>21181</v>
      </c>
      <c r="J5417" t="s">
        <v>5476</v>
      </c>
      <c r="K5417" t="s">
        <v>21182</v>
      </c>
      <c r="L5417" t="s">
        <v>5471</v>
      </c>
      <c r="M5417" t="s">
        <v>5471</v>
      </c>
    </row>
    <row r="5418" spans="1:13" x14ac:dyDescent="0.3">
      <c r="A5418" t="s">
        <v>3388</v>
      </c>
      <c r="B5418" t="s">
        <v>15863</v>
      </c>
      <c r="C5418" t="s">
        <v>5470</v>
      </c>
      <c r="D5418" t="s">
        <v>4119</v>
      </c>
      <c r="E5418" t="s">
        <v>5617</v>
      </c>
      <c r="F5418" t="s">
        <v>21183</v>
      </c>
      <c r="G5418" t="s">
        <v>21184</v>
      </c>
      <c r="H5418" t="s">
        <v>5474</v>
      </c>
      <c r="I5418" t="s">
        <v>21185</v>
      </c>
      <c r="J5418" t="s">
        <v>5476</v>
      </c>
      <c r="K5418" t="s">
        <v>21186</v>
      </c>
      <c r="L5418" t="s">
        <v>5471</v>
      </c>
      <c r="M5418" t="s">
        <v>5471</v>
      </c>
    </row>
    <row r="5419" spans="1:13" x14ac:dyDescent="0.3">
      <c r="A5419" t="s">
        <v>3388</v>
      </c>
      <c r="B5419" t="s">
        <v>15863</v>
      </c>
      <c r="C5419" t="s">
        <v>5470</v>
      </c>
      <c r="D5419" t="s">
        <v>4119</v>
      </c>
      <c r="E5419" t="s">
        <v>5617</v>
      </c>
      <c r="F5419" t="s">
        <v>21187</v>
      </c>
      <c r="G5419" t="s">
        <v>21188</v>
      </c>
      <c r="H5419" t="s">
        <v>5474</v>
      </c>
      <c r="I5419" t="s">
        <v>21189</v>
      </c>
      <c r="J5419" t="s">
        <v>5476</v>
      </c>
      <c r="K5419" t="s">
        <v>21190</v>
      </c>
      <c r="L5419" t="s">
        <v>5471</v>
      </c>
      <c r="M5419" t="s">
        <v>5471</v>
      </c>
    </row>
    <row r="5420" spans="1:13" x14ac:dyDescent="0.3">
      <c r="A5420" t="s">
        <v>3388</v>
      </c>
      <c r="B5420" t="s">
        <v>15863</v>
      </c>
      <c r="C5420" t="s">
        <v>5470</v>
      </c>
      <c r="D5420" t="s">
        <v>4119</v>
      </c>
      <c r="E5420" t="s">
        <v>5617</v>
      </c>
      <c r="F5420" t="s">
        <v>21191</v>
      </c>
      <c r="G5420" t="s">
        <v>21192</v>
      </c>
      <c r="H5420" t="s">
        <v>5474</v>
      </c>
      <c r="I5420" t="s">
        <v>21193</v>
      </c>
      <c r="J5420" t="s">
        <v>5476</v>
      </c>
      <c r="K5420" t="s">
        <v>21194</v>
      </c>
      <c r="L5420" t="s">
        <v>5471</v>
      </c>
      <c r="M5420" t="s">
        <v>5471</v>
      </c>
    </row>
    <row r="5421" spans="1:13" x14ac:dyDescent="0.3">
      <c r="A5421" t="s">
        <v>3388</v>
      </c>
      <c r="B5421" t="s">
        <v>15863</v>
      </c>
      <c r="C5421" t="s">
        <v>5470</v>
      </c>
      <c r="D5421" t="s">
        <v>4119</v>
      </c>
      <c r="E5421" t="s">
        <v>5617</v>
      </c>
      <c r="F5421" t="s">
        <v>21195</v>
      </c>
      <c r="G5421" t="s">
        <v>21196</v>
      </c>
      <c r="H5421" t="s">
        <v>5474</v>
      </c>
      <c r="I5421" t="s">
        <v>21197</v>
      </c>
      <c r="J5421" t="s">
        <v>5476</v>
      </c>
      <c r="K5421" t="s">
        <v>21198</v>
      </c>
      <c r="L5421" t="s">
        <v>5471</v>
      </c>
      <c r="M5421" t="s">
        <v>5471</v>
      </c>
    </row>
    <row r="5422" spans="1:13" x14ac:dyDescent="0.3">
      <c r="A5422" t="s">
        <v>3388</v>
      </c>
      <c r="B5422" t="s">
        <v>15863</v>
      </c>
      <c r="C5422" t="s">
        <v>5470</v>
      </c>
      <c r="D5422" t="s">
        <v>4119</v>
      </c>
      <c r="E5422" t="s">
        <v>5617</v>
      </c>
      <c r="F5422" t="s">
        <v>21199</v>
      </c>
      <c r="G5422" t="s">
        <v>21200</v>
      </c>
      <c r="H5422" t="s">
        <v>5474</v>
      </c>
      <c r="I5422" t="s">
        <v>21201</v>
      </c>
      <c r="J5422" t="s">
        <v>5476</v>
      </c>
      <c r="K5422" t="s">
        <v>21202</v>
      </c>
      <c r="L5422" t="s">
        <v>5471</v>
      </c>
      <c r="M5422" t="s">
        <v>5471</v>
      </c>
    </row>
    <row r="5423" spans="1:13" x14ac:dyDescent="0.3">
      <c r="A5423" t="s">
        <v>3388</v>
      </c>
      <c r="B5423" t="s">
        <v>15863</v>
      </c>
      <c r="C5423" t="s">
        <v>5470</v>
      </c>
      <c r="D5423" t="s">
        <v>4119</v>
      </c>
      <c r="E5423" t="s">
        <v>5617</v>
      </c>
      <c r="F5423" t="s">
        <v>21203</v>
      </c>
      <c r="G5423" t="s">
        <v>21204</v>
      </c>
      <c r="H5423" t="s">
        <v>5474</v>
      </c>
      <c r="I5423" t="s">
        <v>21205</v>
      </c>
      <c r="J5423" t="s">
        <v>5476</v>
      </c>
      <c r="K5423" t="s">
        <v>21206</v>
      </c>
      <c r="L5423" t="s">
        <v>5471</v>
      </c>
      <c r="M5423" t="s">
        <v>5471</v>
      </c>
    </row>
    <row r="5424" spans="1:13" x14ac:dyDescent="0.3">
      <c r="A5424" t="s">
        <v>3388</v>
      </c>
      <c r="B5424" t="s">
        <v>15863</v>
      </c>
      <c r="C5424" t="s">
        <v>5470</v>
      </c>
      <c r="D5424" t="s">
        <v>4119</v>
      </c>
      <c r="E5424" t="s">
        <v>5617</v>
      </c>
      <c r="F5424" t="s">
        <v>21207</v>
      </c>
      <c r="G5424" t="s">
        <v>20022</v>
      </c>
      <c r="H5424" t="s">
        <v>5474</v>
      </c>
      <c r="I5424" t="s">
        <v>21208</v>
      </c>
      <c r="J5424" t="s">
        <v>5476</v>
      </c>
      <c r="K5424" t="s">
        <v>21209</v>
      </c>
      <c r="L5424" t="s">
        <v>5471</v>
      </c>
      <c r="M5424" t="s">
        <v>5471</v>
      </c>
    </row>
    <row r="5425" spans="1:13" x14ac:dyDescent="0.3">
      <c r="A5425" t="s">
        <v>3388</v>
      </c>
      <c r="B5425" t="s">
        <v>11423</v>
      </c>
      <c r="C5425" t="s">
        <v>5470</v>
      </c>
      <c r="D5425" t="s">
        <v>4119</v>
      </c>
      <c r="E5425" t="s">
        <v>5532</v>
      </c>
      <c r="F5425" t="s">
        <v>21210</v>
      </c>
      <c r="G5425" t="s">
        <v>8317</v>
      </c>
      <c r="H5425" t="s">
        <v>5474</v>
      </c>
      <c r="I5425" t="s">
        <v>21211</v>
      </c>
      <c r="J5425" t="s">
        <v>5476</v>
      </c>
      <c r="K5425" t="s">
        <v>21212</v>
      </c>
      <c r="L5425" t="s">
        <v>5471</v>
      </c>
      <c r="M5425" t="s">
        <v>5471</v>
      </c>
    </row>
    <row r="5426" spans="1:13" x14ac:dyDescent="0.3">
      <c r="A5426" t="s">
        <v>3388</v>
      </c>
      <c r="B5426" t="s">
        <v>5272</v>
      </c>
      <c r="C5426" t="s">
        <v>5470</v>
      </c>
      <c r="D5426" t="s">
        <v>4119</v>
      </c>
      <c r="E5426" t="s">
        <v>5532</v>
      </c>
      <c r="F5426" t="s">
        <v>21213</v>
      </c>
      <c r="G5426" t="s">
        <v>20259</v>
      </c>
      <c r="H5426" t="s">
        <v>5474</v>
      </c>
      <c r="I5426" t="s">
        <v>21214</v>
      </c>
      <c r="J5426" t="s">
        <v>5476</v>
      </c>
      <c r="K5426" t="s">
        <v>21215</v>
      </c>
      <c r="L5426" t="s">
        <v>5471</v>
      </c>
      <c r="M5426" t="s">
        <v>5471</v>
      </c>
    </row>
    <row r="5427" spans="1:13" x14ac:dyDescent="0.3">
      <c r="A5427" t="s">
        <v>3388</v>
      </c>
      <c r="B5427" t="s">
        <v>5272</v>
      </c>
      <c r="C5427" t="s">
        <v>5470</v>
      </c>
      <c r="D5427" t="s">
        <v>4119</v>
      </c>
      <c r="E5427" t="s">
        <v>5532</v>
      </c>
      <c r="F5427" t="s">
        <v>21216</v>
      </c>
      <c r="G5427" t="s">
        <v>10423</v>
      </c>
      <c r="H5427" t="s">
        <v>5474</v>
      </c>
      <c r="I5427" t="s">
        <v>21217</v>
      </c>
      <c r="J5427" t="s">
        <v>5476</v>
      </c>
      <c r="K5427" t="s">
        <v>21218</v>
      </c>
      <c r="L5427" t="s">
        <v>5471</v>
      </c>
      <c r="M5427" t="s">
        <v>5471</v>
      </c>
    </row>
    <row r="5428" spans="1:13" x14ac:dyDescent="0.3">
      <c r="A5428" t="s">
        <v>3388</v>
      </c>
      <c r="B5428" t="s">
        <v>5272</v>
      </c>
      <c r="C5428" t="s">
        <v>5470</v>
      </c>
      <c r="D5428" t="s">
        <v>4119</v>
      </c>
      <c r="E5428" t="s">
        <v>5532</v>
      </c>
      <c r="F5428" t="s">
        <v>21219</v>
      </c>
      <c r="G5428" t="s">
        <v>10423</v>
      </c>
      <c r="H5428" t="s">
        <v>5474</v>
      </c>
      <c r="I5428" t="s">
        <v>21220</v>
      </c>
      <c r="J5428" t="s">
        <v>5476</v>
      </c>
      <c r="K5428" t="s">
        <v>5471</v>
      </c>
      <c r="L5428" t="s">
        <v>5471</v>
      </c>
      <c r="M5428" t="s">
        <v>5471</v>
      </c>
    </row>
    <row r="5429" spans="1:13" x14ac:dyDescent="0.3">
      <c r="A5429" t="s">
        <v>3388</v>
      </c>
      <c r="B5429" t="s">
        <v>5272</v>
      </c>
      <c r="C5429" t="s">
        <v>5470</v>
      </c>
      <c r="D5429" t="s">
        <v>4119</v>
      </c>
      <c r="E5429" t="s">
        <v>5532</v>
      </c>
      <c r="F5429" t="s">
        <v>21221</v>
      </c>
      <c r="G5429" t="s">
        <v>20194</v>
      </c>
      <c r="H5429" t="s">
        <v>5474</v>
      </c>
      <c r="I5429" t="s">
        <v>21222</v>
      </c>
      <c r="J5429" t="s">
        <v>5476</v>
      </c>
      <c r="K5429" t="s">
        <v>21223</v>
      </c>
      <c r="L5429" t="s">
        <v>5471</v>
      </c>
      <c r="M5429" t="s">
        <v>5471</v>
      </c>
    </row>
    <row r="5430" spans="1:13" x14ac:dyDescent="0.3">
      <c r="A5430" t="s">
        <v>3388</v>
      </c>
      <c r="B5430" t="s">
        <v>5272</v>
      </c>
      <c r="C5430" t="s">
        <v>5470</v>
      </c>
      <c r="D5430" t="s">
        <v>4119</v>
      </c>
      <c r="E5430" t="s">
        <v>5532</v>
      </c>
      <c r="F5430" t="s">
        <v>21224</v>
      </c>
      <c r="G5430" t="s">
        <v>20194</v>
      </c>
      <c r="H5430" t="s">
        <v>5474</v>
      </c>
      <c r="I5430" t="s">
        <v>21225</v>
      </c>
      <c r="J5430" t="s">
        <v>5476</v>
      </c>
      <c r="K5430" t="s">
        <v>5471</v>
      </c>
      <c r="L5430" t="s">
        <v>5471</v>
      </c>
      <c r="M5430" t="s">
        <v>5471</v>
      </c>
    </row>
    <row r="5431" spans="1:13" x14ac:dyDescent="0.3">
      <c r="A5431" t="s">
        <v>3388</v>
      </c>
      <c r="B5431" t="s">
        <v>5272</v>
      </c>
      <c r="C5431" t="s">
        <v>5470</v>
      </c>
      <c r="D5431" t="s">
        <v>4119</v>
      </c>
      <c r="E5431" t="s">
        <v>5532</v>
      </c>
      <c r="F5431" t="s">
        <v>21226</v>
      </c>
      <c r="G5431" t="s">
        <v>20269</v>
      </c>
      <c r="H5431" t="s">
        <v>5474</v>
      </c>
      <c r="I5431" t="s">
        <v>21227</v>
      </c>
      <c r="J5431" t="s">
        <v>5476</v>
      </c>
      <c r="K5431" t="s">
        <v>21228</v>
      </c>
      <c r="L5431" t="s">
        <v>5471</v>
      </c>
      <c r="M5431" t="s">
        <v>5471</v>
      </c>
    </row>
    <row r="5432" spans="1:13" x14ac:dyDescent="0.3">
      <c r="A5432" t="s">
        <v>3388</v>
      </c>
      <c r="B5432" t="s">
        <v>5272</v>
      </c>
      <c r="C5432" t="s">
        <v>5470</v>
      </c>
      <c r="D5432" t="s">
        <v>4119</v>
      </c>
      <c r="E5432" t="s">
        <v>5532</v>
      </c>
      <c r="F5432" t="s">
        <v>21229</v>
      </c>
      <c r="G5432" t="s">
        <v>11302</v>
      </c>
      <c r="H5432" t="s">
        <v>5474</v>
      </c>
      <c r="I5432" t="s">
        <v>21230</v>
      </c>
      <c r="J5432" t="s">
        <v>5476</v>
      </c>
      <c r="K5432" t="s">
        <v>21231</v>
      </c>
      <c r="L5432" t="s">
        <v>5471</v>
      </c>
      <c r="M5432" t="s">
        <v>5471</v>
      </c>
    </row>
    <row r="5433" spans="1:13" x14ac:dyDescent="0.3">
      <c r="A5433" t="s">
        <v>3388</v>
      </c>
      <c r="B5433" t="s">
        <v>5272</v>
      </c>
      <c r="C5433" t="s">
        <v>5470</v>
      </c>
      <c r="D5433" t="s">
        <v>4119</v>
      </c>
      <c r="E5433" t="s">
        <v>5480</v>
      </c>
      <c r="F5433" t="s">
        <v>21232</v>
      </c>
      <c r="G5433" t="s">
        <v>21233</v>
      </c>
      <c r="H5433" t="s">
        <v>5474</v>
      </c>
      <c r="I5433" t="s">
        <v>21234</v>
      </c>
      <c r="J5433" t="s">
        <v>5476</v>
      </c>
      <c r="K5433" t="s">
        <v>21235</v>
      </c>
      <c r="L5433" t="s">
        <v>5471</v>
      </c>
      <c r="M5433" t="s">
        <v>5471</v>
      </c>
    </row>
    <row r="5434" spans="1:13" x14ac:dyDescent="0.3">
      <c r="A5434" t="s">
        <v>3388</v>
      </c>
      <c r="B5434" t="s">
        <v>5272</v>
      </c>
      <c r="C5434" t="s">
        <v>5470</v>
      </c>
      <c r="D5434" t="s">
        <v>4119</v>
      </c>
      <c r="E5434" t="s">
        <v>5480</v>
      </c>
      <c r="F5434" t="s">
        <v>21236</v>
      </c>
      <c r="G5434" t="s">
        <v>21237</v>
      </c>
      <c r="H5434" t="s">
        <v>5474</v>
      </c>
      <c r="I5434" t="s">
        <v>21238</v>
      </c>
      <c r="J5434" t="s">
        <v>5476</v>
      </c>
      <c r="K5434" t="s">
        <v>21239</v>
      </c>
      <c r="L5434" t="s">
        <v>5471</v>
      </c>
      <c r="M5434" t="s">
        <v>5471</v>
      </c>
    </row>
    <row r="5435" spans="1:13" x14ac:dyDescent="0.3">
      <c r="A5435" t="s">
        <v>3388</v>
      </c>
      <c r="B5435" t="s">
        <v>5272</v>
      </c>
      <c r="C5435" t="s">
        <v>5470</v>
      </c>
      <c r="D5435" t="s">
        <v>4119</v>
      </c>
      <c r="E5435" t="s">
        <v>5532</v>
      </c>
      <c r="F5435" t="s">
        <v>21240</v>
      </c>
      <c r="G5435" t="s">
        <v>20034</v>
      </c>
      <c r="H5435" t="s">
        <v>5474</v>
      </c>
      <c r="I5435" t="s">
        <v>21241</v>
      </c>
      <c r="J5435" t="s">
        <v>5476</v>
      </c>
      <c r="K5435" t="s">
        <v>21242</v>
      </c>
      <c r="L5435" t="s">
        <v>5471</v>
      </c>
      <c r="M5435" t="s">
        <v>5471</v>
      </c>
    </row>
    <row r="5436" spans="1:13" x14ac:dyDescent="0.3">
      <c r="A5436" t="s">
        <v>3388</v>
      </c>
      <c r="B5436" t="s">
        <v>5272</v>
      </c>
      <c r="C5436" t="s">
        <v>5470</v>
      </c>
      <c r="D5436" t="s">
        <v>4119</v>
      </c>
      <c r="E5436" t="s">
        <v>5617</v>
      </c>
      <c r="F5436" t="s">
        <v>21243</v>
      </c>
      <c r="G5436" t="s">
        <v>21244</v>
      </c>
      <c r="H5436" t="s">
        <v>5474</v>
      </c>
      <c r="I5436" t="s">
        <v>21245</v>
      </c>
      <c r="J5436" t="s">
        <v>5476</v>
      </c>
      <c r="K5436" t="s">
        <v>21246</v>
      </c>
      <c r="L5436" t="s">
        <v>5471</v>
      </c>
      <c r="M5436" t="s">
        <v>5471</v>
      </c>
    </row>
    <row r="5437" spans="1:13" x14ac:dyDescent="0.3">
      <c r="A5437" t="s">
        <v>3388</v>
      </c>
      <c r="B5437" t="s">
        <v>5272</v>
      </c>
      <c r="C5437" t="s">
        <v>5470</v>
      </c>
      <c r="D5437" t="s">
        <v>4119</v>
      </c>
      <c r="E5437" t="s">
        <v>5617</v>
      </c>
      <c r="F5437" t="s">
        <v>21247</v>
      </c>
      <c r="G5437" t="s">
        <v>21248</v>
      </c>
      <c r="H5437" t="s">
        <v>5474</v>
      </c>
      <c r="I5437" t="s">
        <v>21249</v>
      </c>
      <c r="J5437" t="s">
        <v>5476</v>
      </c>
      <c r="K5437" t="s">
        <v>21250</v>
      </c>
      <c r="L5437" t="s">
        <v>5471</v>
      </c>
      <c r="M5437" t="s">
        <v>5471</v>
      </c>
    </row>
    <row r="5438" spans="1:13" x14ac:dyDescent="0.3">
      <c r="A5438" t="s">
        <v>3388</v>
      </c>
      <c r="B5438" t="s">
        <v>5272</v>
      </c>
      <c r="C5438" t="s">
        <v>5470</v>
      </c>
      <c r="D5438" t="s">
        <v>4119</v>
      </c>
      <c r="E5438" t="s">
        <v>5617</v>
      </c>
      <c r="F5438" t="s">
        <v>21251</v>
      </c>
      <c r="G5438" t="s">
        <v>21252</v>
      </c>
      <c r="H5438" t="s">
        <v>5474</v>
      </c>
      <c r="I5438" t="s">
        <v>21253</v>
      </c>
      <c r="J5438" t="s">
        <v>5476</v>
      </c>
      <c r="K5438" t="s">
        <v>21254</v>
      </c>
      <c r="L5438" t="s">
        <v>5471</v>
      </c>
      <c r="M5438" t="s">
        <v>5471</v>
      </c>
    </row>
    <row r="5439" spans="1:13" x14ac:dyDescent="0.3">
      <c r="A5439" t="s">
        <v>3388</v>
      </c>
      <c r="B5439" t="s">
        <v>5272</v>
      </c>
      <c r="C5439" t="s">
        <v>5470</v>
      </c>
      <c r="D5439" t="s">
        <v>4119</v>
      </c>
      <c r="E5439" t="s">
        <v>5617</v>
      </c>
      <c r="F5439" t="s">
        <v>21255</v>
      </c>
      <c r="G5439" t="s">
        <v>21256</v>
      </c>
      <c r="H5439" t="s">
        <v>5474</v>
      </c>
      <c r="I5439" t="s">
        <v>21257</v>
      </c>
      <c r="J5439" t="s">
        <v>5476</v>
      </c>
      <c r="K5439" t="s">
        <v>21258</v>
      </c>
      <c r="L5439" t="s">
        <v>5471</v>
      </c>
      <c r="M5439" t="s">
        <v>5471</v>
      </c>
    </row>
    <row r="5440" spans="1:13" x14ac:dyDescent="0.3">
      <c r="A5440" t="s">
        <v>3388</v>
      </c>
      <c r="B5440" t="s">
        <v>5272</v>
      </c>
      <c r="C5440" t="s">
        <v>5470</v>
      </c>
      <c r="D5440" t="s">
        <v>4119</v>
      </c>
      <c r="E5440" t="s">
        <v>5617</v>
      </c>
      <c r="F5440" t="s">
        <v>21259</v>
      </c>
      <c r="G5440" t="s">
        <v>21260</v>
      </c>
      <c r="H5440" t="s">
        <v>5474</v>
      </c>
      <c r="I5440" t="s">
        <v>21261</v>
      </c>
      <c r="J5440" t="s">
        <v>5476</v>
      </c>
      <c r="K5440" t="s">
        <v>21262</v>
      </c>
      <c r="L5440" t="s">
        <v>5471</v>
      </c>
      <c r="M5440" t="s">
        <v>5471</v>
      </c>
    </row>
    <row r="5441" spans="1:13" x14ac:dyDescent="0.3">
      <c r="A5441" t="s">
        <v>3388</v>
      </c>
      <c r="B5441" t="s">
        <v>5272</v>
      </c>
      <c r="C5441" t="s">
        <v>5470</v>
      </c>
      <c r="D5441" t="s">
        <v>4119</v>
      </c>
      <c r="E5441" t="s">
        <v>5617</v>
      </c>
      <c r="F5441" t="s">
        <v>21263</v>
      </c>
      <c r="G5441" t="s">
        <v>21264</v>
      </c>
      <c r="H5441" t="s">
        <v>5474</v>
      </c>
      <c r="I5441" t="s">
        <v>21265</v>
      </c>
      <c r="J5441" t="s">
        <v>5476</v>
      </c>
      <c r="K5441" t="s">
        <v>21266</v>
      </c>
      <c r="L5441" t="s">
        <v>5471</v>
      </c>
      <c r="M5441" t="s">
        <v>5471</v>
      </c>
    </row>
    <row r="5442" spans="1:13" x14ac:dyDescent="0.3">
      <c r="A5442" t="s">
        <v>3388</v>
      </c>
      <c r="B5442" t="s">
        <v>5272</v>
      </c>
      <c r="C5442" t="s">
        <v>5470</v>
      </c>
      <c r="D5442" t="s">
        <v>4119</v>
      </c>
      <c r="E5442" t="s">
        <v>5617</v>
      </c>
      <c r="F5442" t="s">
        <v>21267</v>
      </c>
      <c r="G5442" t="s">
        <v>21268</v>
      </c>
      <c r="H5442" t="s">
        <v>5474</v>
      </c>
      <c r="I5442" t="s">
        <v>21269</v>
      </c>
      <c r="J5442" t="s">
        <v>5476</v>
      </c>
      <c r="K5442" t="s">
        <v>21270</v>
      </c>
      <c r="L5442" t="s">
        <v>5471</v>
      </c>
      <c r="M5442" t="s">
        <v>5471</v>
      </c>
    </row>
    <row r="5443" spans="1:13" x14ac:dyDescent="0.3">
      <c r="A5443" t="s">
        <v>3388</v>
      </c>
      <c r="B5443" t="s">
        <v>5272</v>
      </c>
      <c r="C5443" t="s">
        <v>5470</v>
      </c>
      <c r="D5443" t="s">
        <v>4119</v>
      </c>
      <c r="E5443" t="s">
        <v>5617</v>
      </c>
      <c r="F5443" t="s">
        <v>21271</v>
      </c>
      <c r="G5443" t="s">
        <v>21272</v>
      </c>
      <c r="H5443" t="s">
        <v>5474</v>
      </c>
      <c r="I5443" t="s">
        <v>21273</v>
      </c>
      <c r="J5443" t="s">
        <v>5476</v>
      </c>
      <c r="K5443" t="s">
        <v>21274</v>
      </c>
      <c r="L5443" t="s">
        <v>5471</v>
      </c>
      <c r="M5443" t="s">
        <v>5471</v>
      </c>
    </row>
    <row r="5444" spans="1:13" x14ac:dyDescent="0.3">
      <c r="A5444" t="s">
        <v>3388</v>
      </c>
      <c r="B5444" t="s">
        <v>5272</v>
      </c>
      <c r="C5444" t="s">
        <v>5470</v>
      </c>
      <c r="D5444" t="s">
        <v>4119</v>
      </c>
      <c r="E5444" t="s">
        <v>5617</v>
      </c>
      <c r="F5444" t="s">
        <v>21275</v>
      </c>
      <c r="G5444" t="s">
        <v>21276</v>
      </c>
      <c r="H5444" t="s">
        <v>5474</v>
      </c>
      <c r="I5444" t="s">
        <v>21277</v>
      </c>
      <c r="J5444" t="s">
        <v>5476</v>
      </c>
      <c r="K5444" t="s">
        <v>21278</v>
      </c>
      <c r="L5444" t="s">
        <v>5471</v>
      </c>
      <c r="M5444" t="s">
        <v>5471</v>
      </c>
    </row>
    <row r="5445" spans="1:13" x14ac:dyDescent="0.3">
      <c r="A5445" t="s">
        <v>3388</v>
      </c>
      <c r="B5445" t="s">
        <v>5272</v>
      </c>
      <c r="C5445" t="s">
        <v>5470</v>
      </c>
      <c r="D5445" t="s">
        <v>4119</v>
      </c>
      <c r="E5445" t="s">
        <v>5617</v>
      </c>
      <c r="F5445" t="s">
        <v>21279</v>
      </c>
      <c r="G5445" t="s">
        <v>21280</v>
      </c>
      <c r="H5445" t="s">
        <v>5474</v>
      </c>
      <c r="I5445" t="s">
        <v>21281</v>
      </c>
      <c r="J5445" t="s">
        <v>5476</v>
      </c>
      <c r="K5445" t="s">
        <v>21282</v>
      </c>
      <c r="L5445" t="s">
        <v>5471</v>
      </c>
      <c r="M5445" t="s">
        <v>5471</v>
      </c>
    </row>
    <row r="5446" spans="1:13" x14ac:dyDescent="0.3">
      <c r="A5446" t="s">
        <v>3388</v>
      </c>
      <c r="B5446" t="s">
        <v>5272</v>
      </c>
      <c r="C5446" t="s">
        <v>5470</v>
      </c>
      <c r="D5446" t="s">
        <v>4119</v>
      </c>
      <c r="E5446" t="s">
        <v>5617</v>
      </c>
      <c r="F5446" t="s">
        <v>21283</v>
      </c>
      <c r="G5446" t="s">
        <v>21284</v>
      </c>
      <c r="H5446" t="s">
        <v>5474</v>
      </c>
      <c r="I5446" t="s">
        <v>21285</v>
      </c>
      <c r="J5446" t="s">
        <v>5476</v>
      </c>
      <c r="K5446" t="s">
        <v>21286</v>
      </c>
      <c r="L5446" t="s">
        <v>5471</v>
      </c>
      <c r="M5446" t="s">
        <v>5471</v>
      </c>
    </row>
    <row r="5447" spans="1:13" x14ac:dyDescent="0.3">
      <c r="A5447" t="s">
        <v>3388</v>
      </c>
      <c r="B5447" t="s">
        <v>6128</v>
      </c>
      <c r="C5447" t="s">
        <v>5470</v>
      </c>
      <c r="D5447" t="s">
        <v>4119</v>
      </c>
      <c r="E5447" t="s">
        <v>5532</v>
      </c>
      <c r="F5447" t="s">
        <v>21287</v>
      </c>
      <c r="G5447" t="s">
        <v>18733</v>
      </c>
      <c r="H5447" t="s">
        <v>5474</v>
      </c>
      <c r="I5447" t="s">
        <v>21288</v>
      </c>
      <c r="J5447" t="s">
        <v>5476</v>
      </c>
      <c r="K5447" t="s">
        <v>21289</v>
      </c>
      <c r="L5447" t="s">
        <v>5471</v>
      </c>
      <c r="M5447" t="s">
        <v>5471</v>
      </c>
    </row>
    <row r="5448" spans="1:13" x14ac:dyDescent="0.3">
      <c r="A5448" t="s">
        <v>3388</v>
      </c>
      <c r="B5448" t="s">
        <v>6128</v>
      </c>
      <c r="C5448" t="s">
        <v>5470</v>
      </c>
      <c r="D5448" t="s">
        <v>4119</v>
      </c>
      <c r="E5448" t="s">
        <v>5532</v>
      </c>
      <c r="F5448" t="s">
        <v>21290</v>
      </c>
      <c r="G5448" t="s">
        <v>18733</v>
      </c>
      <c r="H5448" t="s">
        <v>5474</v>
      </c>
      <c r="I5448" t="s">
        <v>21291</v>
      </c>
      <c r="J5448" t="s">
        <v>5476</v>
      </c>
      <c r="K5448" t="s">
        <v>5471</v>
      </c>
      <c r="L5448" t="s">
        <v>5471</v>
      </c>
      <c r="M5448" t="s">
        <v>5471</v>
      </c>
    </row>
    <row r="5449" spans="1:13" x14ac:dyDescent="0.3">
      <c r="A5449" t="s">
        <v>3388</v>
      </c>
      <c r="B5449" t="s">
        <v>11153</v>
      </c>
      <c r="C5449" t="s">
        <v>5470</v>
      </c>
      <c r="D5449" t="s">
        <v>4119</v>
      </c>
      <c r="E5449" t="s">
        <v>5532</v>
      </c>
      <c r="F5449" t="s">
        <v>21292</v>
      </c>
      <c r="G5449" t="s">
        <v>10423</v>
      </c>
      <c r="H5449" t="s">
        <v>5474</v>
      </c>
      <c r="I5449" t="s">
        <v>21293</v>
      </c>
      <c r="J5449" t="s">
        <v>5476</v>
      </c>
      <c r="K5449" t="s">
        <v>21294</v>
      </c>
      <c r="L5449" t="s">
        <v>5471</v>
      </c>
      <c r="M5449" t="s">
        <v>5471</v>
      </c>
    </row>
    <row r="5450" spans="1:13" x14ac:dyDescent="0.3">
      <c r="A5450" t="s">
        <v>3388</v>
      </c>
      <c r="B5450" t="s">
        <v>5299</v>
      </c>
      <c r="C5450" t="s">
        <v>5470</v>
      </c>
      <c r="D5450" t="s">
        <v>4119</v>
      </c>
      <c r="E5450" t="s">
        <v>5532</v>
      </c>
      <c r="F5450" t="s">
        <v>21295</v>
      </c>
      <c r="G5450" t="s">
        <v>20359</v>
      </c>
      <c r="H5450" t="s">
        <v>5474</v>
      </c>
      <c r="I5450" t="s">
        <v>21296</v>
      </c>
      <c r="J5450" t="s">
        <v>5476</v>
      </c>
      <c r="K5450" t="s">
        <v>21297</v>
      </c>
      <c r="L5450" t="s">
        <v>5471</v>
      </c>
      <c r="M5450" t="s">
        <v>5471</v>
      </c>
    </row>
    <row r="5451" spans="1:13" x14ac:dyDescent="0.3">
      <c r="A5451" t="s">
        <v>3388</v>
      </c>
      <c r="B5451" t="s">
        <v>5299</v>
      </c>
      <c r="C5451" t="s">
        <v>5470</v>
      </c>
      <c r="D5451" t="s">
        <v>4119</v>
      </c>
      <c r="E5451" t="s">
        <v>5532</v>
      </c>
      <c r="F5451" t="s">
        <v>21298</v>
      </c>
      <c r="G5451" t="s">
        <v>20363</v>
      </c>
      <c r="H5451" t="s">
        <v>5474</v>
      </c>
      <c r="I5451" t="s">
        <v>21299</v>
      </c>
      <c r="J5451" t="s">
        <v>5476</v>
      </c>
      <c r="K5451" t="s">
        <v>21300</v>
      </c>
      <c r="L5451" t="s">
        <v>5471</v>
      </c>
      <c r="M5451" t="s">
        <v>5471</v>
      </c>
    </row>
    <row r="5452" spans="1:13" x14ac:dyDescent="0.3">
      <c r="A5452" t="s">
        <v>3388</v>
      </c>
      <c r="B5452" t="s">
        <v>20040</v>
      </c>
      <c r="C5452" t="s">
        <v>5470</v>
      </c>
      <c r="D5452" t="s">
        <v>4119</v>
      </c>
      <c r="E5452" t="s">
        <v>5756</v>
      </c>
      <c r="F5452" t="s">
        <v>21301</v>
      </c>
      <c r="G5452" t="s">
        <v>18670</v>
      </c>
      <c r="H5452" t="s">
        <v>5474</v>
      </c>
      <c r="I5452" t="s">
        <v>21302</v>
      </c>
      <c r="J5452" t="s">
        <v>5476</v>
      </c>
      <c r="K5452" t="s">
        <v>5471</v>
      </c>
      <c r="L5452" t="s">
        <v>5471</v>
      </c>
      <c r="M5452" t="s">
        <v>5471</v>
      </c>
    </row>
    <row r="5453" spans="1:13" x14ac:dyDescent="0.3">
      <c r="A5453" t="s">
        <v>3388</v>
      </c>
      <c r="B5453" t="s">
        <v>11089</v>
      </c>
      <c r="C5453" t="s">
        <v>5470</v>
      </c>
      <c r="D5453" t="s">
        <v>4119</v>
      </c>
      <c r="E5453" t="s">
        <v>5532</v>
      </c>
      <c r="F5453" t="s">
        <v>21303</v>
      </c>
      <c r="G5453" t="s">
        <v>18733</v>
      </c>
      <c r="H5453" t="s">
        <v>5474</v>
      </c>
      <c r="I5453" t="s">
        <v>21304</v>
      </c>
      <c r="J5453" t="s">
        <v>5476</v>
      </c>
      <c r="K5453" t="s">
        <v>21305</v>
      </c>
      <c r="L5453" t="s">
        <v>5471</v>
      </c>
      <c r="M5453" t="s">
        <v>5471</v>
      </c>
    </row>
    <row r="5454" spans="1:13" x14ac:dyDescent="0.3">
      <c r="A5454" t="s">
        <v>3388</v>
      </c>
      <c r="B5454" t="s">
        <v>11089</v>
      </c>
      <c r="C5454" t="s">
        <v>5470</v>
      </c>
      <c r="D5454" t="s">
        <v>4119</v>
      </c>
      <c r="E5454" t="s">
        <v>5532</v>
      </c>
      <c r="F5454" t="s">
        <v>21306</v>
      </c>
      <c r="G5454" t="s">
        <v>18733</v>
      </c>
      <c r="H5454" t="s">
        <v>5474</v>
      </c>
      <c r="I5454" t="s">
        <v>21307</v>
      </c>
      <c r="J5454" t="s">
        <v>5476</v>
      </c>
      <c r="K5454" t="s">
        <v>5471</v>
      </c>
      <c r="L5454" t="s">
        <v>5471</v>
      </c>
      <c r="M5454" t="s">
        <v>5471</v>
      </c>
    </row>
    <row r="5455" spans="1:13" x14ac:dyDescent="0.3">
      <c r="A5455" t="s">
        <v>3388</v>
      </c>
      <c r="B5455" t="s">
        <v>11089</v>
      </c>
      <c r="C5455" t="s">
        <v>5470</v>
      </c>
      <c r="D5455" t="s">
        <v>4119</v>
      </c>
      <c r="E5455" t="s">
        <v>5532</v>
      </c>
      <c r="F5455" t="s">
        <v>21308</v>
      </c>
      <c r="G5455" t="s">
        <v>20204</v>
      </c>
      <c r="H5455" t="s">
        <v>5474</v>
      </c>
      <c r="I5455" t="s">
        <v>21309</v>
      </c>
      <c r="J5455" t="s">
        <v>5476</v>
      </c>
      <c r="K5455" t="s">
        <v>21310</v>
      </c>
      <c r="L5455" t="s">
        <v>5471</v>
      </c>
      <c r="M5455" t="s">
        <v>5471</v>
      </c>
    </row>
    <row r="5456" spans="1:13" x14ac:dyDescent="0.3">
      <c r="A5456" t="s">
        <v>3388</v>
      </c>
      <c r="B5456" t="s">
        <v>11089</v>
      </c>
      <c r="C5456" t="s">
        <v>5470</v>
      </c>
      <c r="D5456" t="s">
        <v>4119</v>
      </c>
      <c r="E5456" t="s">
        <v>5532</v>
      </c>
      <c r="F5456" t="s">
        <v>21311</v>
      </c>
      <c r="G5456" t="s">
        <v>20204</v>
      </c>
      <c r="H5456" t="s">
        <v>5474</v>
      </c>
      <c r="I5456" t="s">
        <v>21312</v>
      </c>
      <c r="J5456" t="s">
        <v>5476</v>
      </c>
      <c r="K5456" t="s">
        <v>5471</v>
      </c>
      <c r="L5456" t="s">
        <v>5471</v>
      </c>
      <c r="M5456" t="s">
        <v>5471</v>
      </c>
    </row>
    <row r="5457" spans="1:13" x14ac:dyDescent="0.3">
      <c r="A5457" t="s">
        <v>3388</v>
      </c>
      <c r="B5457" t="s">
        <v>11089</v>
      </c>
      <c r="C5457" t="s">
        <v>5470</v>
      </c>
      <c r="D5457" t="s">
        <v>4119</v>
      </c>
      <c r="E5457" t="s">
        <v>5532</v>
      </c>
      <c r="F5457" t="s">
        <v>21313</v>
      </c>
      <c r="G5457" t="s">
        <v>20214</v>
      </c>
      <c r="H5457" t="s">
        <v>5474</v>
      </c>
      <c r="I5457" t="s">
        <v>21314</v>
      </c>
      <c r="J5457" t="s">
        <v>5476</v>
      </c>
      <c r="K5457" t="s">
        <v>21315</v>
      </c>
      <c r="L5457" t="s">
        <v>5471</v>
      </c>
      <c r="M5457" t="s">
        <v>5471</v>
      </c>
    </row>
    <row r="5458" spans="1:13" x14ac:dyDescent="0.3">
      <c r="A5458" t="s">
        <v>3388</v>
      </c>
      <c r="B5458" t="s">
        <v>11089</v>
      </c>
      <c r="C5458" t="s">
        <v>5470</v>
      </c>
      <c r="D5458" t="s">
        <v>4119</v>
      </c>
      <c r="E5458" t="s">
        <v>5532</v>
      </c>
      <c r="F5458" t="s">
        <v>21316</v>
      </c>
      <c r="G5458" t="s">
        <v>20214</v>
      </c>
      <c r="H5458" t="s">
        <v>5474</v>
      </c>
      <c r="I5458" t="s">
        <v>21317</v>
      </c>
      <c r="J5458" t="s">
        <v>5476</v>
      </c>
      <c r="K5458" t="s">
        <v>5471</v>
      </c>
      <c r="L5458" t="s">
        <v>5471</v>
      </c>
      <c r="M5458" t="s">
        <v>5471</v>
      </c>
    </row>
    <row r="5459" spans="1:13" x14ac:dyDescent="0.3">
      <c r="A5459" t="s">
        <v>3388</v>
      </c>
      <c r="B5459" t="s">
        <v>11089</v>
      </c>
      <c r="C5459" t="s">
        <v>5470</v>
      </c>
      <c r="D5459" t="s">
        <v>4119</v>
      </c>
      <c r="E5459" t="s">
        <v>5532</v>
      </c>
      <c r="F5459" t="s">
        <v>21318</v>
      </c>
      <c r="G5459" t="s">
        <v>20315</v>
      </c>
      <c r="H5459" t="s">
        <v>5474</v>
      </c>
      <c r="I5459" t="s">
        <v>21319</v>
      </c>
      <c r="J5459" t="s">
        <v>5476</v>
      </c>
      <c r="K5459" t="s">
        <v>21320</v>
      </c>
      <c r="L5459" t="s">
        <v>5471</v>
      </c>
      <c r="M5459" t="s">
        <v>5471</v>
      </c>
    </row>
    <row r="5460" spans="1:13" x14ac:dyDescent="0.3">
      <c r="A5460" t="s">
        <v>3388</v>
      </c>
      <c r="B5460" t="s">
        <v>11089</v>
      </c>
      <c r="C5460" t="s">
        <v>5470</v>
      </c>
      <c r="D5460" t="s">
        <v>4119</v>
      </c>
      <c r="E5460" t="s">
        <v>5617</v>
      </c>
      <c r="F5460" t="s">
        <v>21321</v>
      </c>
      <c r="G5460" t="s">
        <v>21322</v>
      </c>
      <c r="H5460" t="s">
        <v>5474</v>
      </c>
      <c r="I5460" t="s">
        <v>21323</v>
      </c>
      <c r="J5460" t="s">
        <v>5476</v>
      </c>
      <c r="K5460" t="s">
        <v>21324</v>
      </c>
      <c r="L5460" t="s">
        <v>5471</v>
      </c>
      <c r="M5460" t="s">
        <v>5471</v>
      </c>
    </row>
    <row r="5461" spans="1:13" x14ac:dyDescent="0.3">
      <c r="A5461" t="s">
        <v>3388</v>
      </c>
      <c r="B5461" t="s">
        <v>11089</v>
      </c>
      <c r="C5461" t="s">
        <v>5470</v>
      </c>
      <c r="D5461" t="s">
        <v>4119</v>
      </c>
      <c r="E5461" t="s">
        <v>5617</v>
      </c>
      <c r="F5461" t="s">
        <v>21325</v>
      </c>
      <c r="G5461" t="s">
        <v>21326</v>
      </c>
      <c r="H5461" t="s">
        <v>5474</v>
      </c>
      <c r="I5461" t="s">
        <v>21327</v>
      </c>
      <c r="J5461" t="s">
        <v>5476</v>
      </c>
      <c r="K5461" t="s">
        <v>21328</v>
      </c>
      <c r="L5461" t="s">
        <v>5471</v>
      </c>
      <c r="M5461" t="s">
        <v>5471</v>
      </c>
    </row>
    <row r="5462" spans="1:13" x14ac:dyDescent="0.3">
      <c r="A5462" t="s">
        <v>3388</v>
      </c>
      <c r="B5462" t="s">
        <v>11089</v>
      </c>
      <c r="C5462" t="s">
        <v>5470</v>
      </c>
      <c r="D5462" t="s">
        <v>4119</v>
      </c>
      <c r="E5462" t="s">
        <v>5617</v>
      </c>
      <c r="F5462" t="s">
        <v>21329</v>
      </c>
      <c r="G5462" t="s">
        <v>21330</v>
      </c>
      <c r="H5462" t="s">
        <v>5474</v>
      </c>
      <c r="I5462" t="s">
        <v>21331</v>
      </c>
      <c r="J5462" t="s">
        <v>5476</v>
      </c>
      <c r="K5462" t="s">
        <v>21332</v>
      </c>
      <c r="L5462" t="s">
        <v>5471</v>
      </c>
      <c r="M5462" t="s">
        <v>5471</v>
      </c>
    </row>
    <row r="5463" spans="1:13" x14ac:dyDescent="0.3">
      <c r="A5463" t="s">
        <v>3388</v>
      </c>
      <c r="B5463" t="s">
        <v>11089</v>
      </c>
      <c r="C5463" t="s">
        <v>5470</v>
      </c>
      <c r="D5463" t="s">
        <v>4119</v>
      </c>
      <c r="E5463" t="s">
        <v>5617</v>
      </c>
      <c r="F5463" t="s">
        <v>21333</v>
      </c>
      <c r="G5463" t="s">
        <v>21334</v>
      </c>
      <c r="H5463" t="s">
        <v>5474</v>
      </c>
      <c r="I5463" t="s">
        <v>21335</v>
      </c>
      <c r="J5463" t="s">
        <v>5476</v>
      </c>
      <c r="K5463" t="s">
        <v>21336</v>
      </c>
      <c r="L5463" t="s">
        <v>5471</v>
      </c>
      <c r="M5463" t="s">
        <v>5471</v>
      </c>
    </row>
    <row r="5464" spans="1:13" x14ac:dyDescent="0.3">
      <c r="A5464" t="s">
        <v>3388</v>
      </c>
      <c r="B5464" t="s">
        <v>11089</v>
      </c>
      <c r="C5464" t="s">
        <v>5470</v>
      </c>
      <c r="D5464" t="s">
        <v>4119</v>
      </c>
      <c r="E5464" t="s">
        <v>5617</v>
      </c>
      <c r="F5464" t="s">
        <v>21337</v>
      </c>
      <c r="G5464" t="s">
        <v>21338</v>
      </c>
      <c r="H5464" t="s">
        <v>5474</v>
      </c>
      <c r="I5464" t="s">
        <v>21339</v>
      </c>
      <c r="J5464" t="s">
        <v>5476</v>
      </c>
      <c r="K5464" t="s">
        <v>21340</v>
      </c>
      <c r="L5464" t="s">
        <v>5471</v>
      </c>
      <c r="M5464" t="s">
        <v>5471</v>
      </c>
    </row>
    <row r="5465" spans="1:13" x14ac:dyDescent="0.3">
      <c r="A5465" t="s">
        <v>3388</v>
      </c>
      <c r="B5465" t="s">
        <v>11089</v>
      </c>
      <c r="C5465" t="s">
        <v>5470</v>
      </c>
      <c r="D5465" t="s">
        <v>4119</v>
      </c>
      <c r="E5465" t="s">
        <v>5617</v>
      </c>
      <c r="F5465" t="s">
        <v>21341</v>
      </c>
      <c r="G5465" t="s">
        <v>21342</v>
      </c>
      <c r="H5465" t="s">
        <v>5474</v>
      </c>
      <c r="I5465" t="s">
        <v>21343</v>
      </c>
      <c r="J5465" t="s">
        <v>5476</v>
      </c>
      <c r="K5465" t="s">
        <v>21344</v>
      </c>
      <c r="L5465" t="s">
        <v>5471</v>
      </c>
      <c r="M5465" t="s">
        <v>5471</v>
      </c>
    </row>
    <row r="5466" spans="1:13" x14ac:dyDescent="0.3">
      <c r="A5466" t="s">
        <v>3388</v>
      </c>
      <c r="B5466" t="s">
        <v>11089</v>
      </c>
      <c r="C5466" t="s">
        <v>5470</v>
      </c>
      <c r="D5466" t="s">
        <v>4119</v>
      </c>
      <c r="E5466" t="s">
        <v>5617</v>
      </c>
      <c r="F5466" t="s">
        <v>21345</v>
      </c>
      <c r="G5466" t="s">
        <v>11091</v>
      </c>
      <c r="H5466" t="s">
        <v>5474</v>
      </c>
      <c r="I5466" t="s">
        <v>21346</v>
      </c>
      <c r="J5466" t="s">
        <v>5476</v>
      </c>
      <c r="K5466" t="s">
        <v>21347</v>
      </c>
      <c r="L5466" t="s">
        <v>5471</v>
      </c>
      <c r="M5466" t="s">
        <v>5471</v>
      </c>
    </row>
    <row r="5467" spans="1:13" x14ac:dyDescent="0.3">
      <c r="A5467" t="s">
        <v>3388</v>
      </c>
      <c r="B5467" t="s">
        <v>7109</v>
      </c>
      <c r="C5467" t="s">
        <v>5470</v>
      </c>
      <c r="D5467" t="s">
        <v>4119</v>
      </c>
      <c r="E5467" t="s">
        <v>5532</v>
      </c>
      <c r="F5467" t="s">
        <v>21348</v>
      </c>
      <c r="G5467" t="s">
        <v>20204</v>
      </c>
      <c r="H5467" t="s">
        <v>5474</v>
      </c>
      <c r="I5467" t="s">
        <v>21349</v>
      </c>
      <c r="J5467" t="s">
        <v>5476</v>
      </c>
      <c r="K5467" t="s">
        <v>21350</v>
      </c>
      <c r="L5467" t="s">
        <v>5471</v>
      </c>
      <c r="M5467" t="s">
        <v>5471</v>
      </c>
    </row>
    <row r="5468" spans="1:13" x14ac:dyDescent="0.3">
      <c r="A5468" t="s">
        <v>3388</v>
      </c>
      <c r="B5468" t="s">
        <v>7109</v>
      </c>
      <c r="C5468" t="s">
        <v>5470</v>
      </c>
      <c r="D5468" t="s">
        <v>4119</v>
      </c>
      <c r="E5468" t="s">
        <v>5532</v>
      </c>
      <c r="F5468" t="s">
        <v>21351</v>
      </c>
      <c r="G5468" t="s">
        <v>20204</v>
      </c>
      <c r="H5468" t="s">
        <v>5474</v>
      </c>
      <c r="I5468" t="s">
        <v>21352</v>
      </c>
      <c r="J5468" t="s">
        <v>5476</v>
      </c>
      <c r="K5468" t="s">
        <v>5471</v>
      </c>
      <c r="L5468" t="s">
        <v>5471</v>
      </c>
      <c r="M5468" t="s">
        <v>5471</v>
      </c>
    </row>
    <row r="5469" spans="1:13" x14ac:dyDescent="0.3">
      <c r="A5469" t="s">
        <v>3388</v>
      </c>
      <c r="B5469" t="s">
        <v>7109</v>
      </c>
      <c r="C5469" t="s">
        <v>5470</v>
      </c>
      <c r="D5469" t="s">
        <v>4119</v>
      </c>
      <c r="E5469" t="s">
        <v>5532</v>
      </c>
      <c r="F5469" t="s">
        <v>21353</v>
      </c>
      <c r="G5469" t="s">
        <v>20214</v>
      </c>
      <c r="H5469" t="s">
        <v>5474</v>
      </c>
      <c r="I5469" t="s">
        <v>21354</v>
      </c>
      <c r="J5469" t="s">
        <v>5476</v>
      </c>
      <c r="K5469" t="s">
        <v>21355</v>
      </c>
      <c r="L5469" t="s">
        <v>5471</v>
      </c>
      <c r="M5469" t="s">
        <v>5471</v>
      </c>
    </row>
    <row r="5470" spans="1:13" x14ac:dyDescent="0.3">
      <c r="A5470" t="s">
        <v>3388</v>
      </c>
      <c r="B5470" t="s">
        <v>7109</v>
      </c>
      <c r="C5470" t="s">
        <v>5470</v>
      </c>
      <c r="D5470" t="s">
        <v>4119</v>
      </c>
      <c r="E5470" t="s">
        <v>5532</v>
      </c>
      <c r="F5470" t="s">
        <v>21356</v>
      </c>
      <c r="G5470" t="s">
        <v>20214</v>
      </c>
      <c r="H5470" t="s">
        <v>5474</v>
      </c>
      <c r="I5470" t="s">
        <v>21357</v>
      </c>
      <c r="J5470" t="s">
        <v>5476</v>
      </c>
      <c r="K5470" t="s">
        <v>5471</v>
      </c>
      <c r="L5470" t="s">
        <v>5471</v>
      </c>
      <c r="M5470" t="s">
        <v>5471</v>
      </c>
    </row>
    <row r="5471" spans="1:13" x14ac:dyDescent="0.3">
      <c r="A5471" t="s">
        <v>3388</v>
      </c>
      <c r="B5471" t="s">
        <v>20064</v>
      </c>
      <c r="C5471" t="s">
        <v>5470</v>
      </c>
      <c r="D5471" t="s">
        <v>4119</v>
      </c>
      <c r="E5471" t="s">
        <v>5532</v>
      </c>
      <c r="F5471" t="s">
        <v>21358</v>
      </c>
      <c r="G5471" t="s">
        <v>20234</v>
      </c>
      <c r="H5471" t="s">
        <v>5474</v>
      </c>
      <c r="I5471" t="s">
        <v>21359</v>
      </c>
      <c r="J5471" t="s">
        <v>5476</v>
      </c>
      <c r="K5471" t="s">
        <v>21360</v>
      </c>
      <c r="L5471" t="s">
        <v>5471</v>
      </c>
      <c r="M5471" t="s">
        <v>5471</v>
      </c>
    </row>
    <row r="5472" spans="1:13" x14ac:dyDescent="0.3">
      <c r="A5472" t="s">
        <v>3388</v>
      </c>
      <c r="B5472" t="s">
        <v>20072</v>
      </c>
      <c r="C5472" t="s">
        <v>5470</v>
      </c>
      <c r="D5472" t="s">
        <v>4119</v>
      </c>
      <c r="E5472" t="s">
        <v>5532</v>
      </c>
      <c r="F5472" t="s">
        <v>21361</v>
      </c>
      <c r="G5472" t="s">
        <v>20259</v>
      </c>
      <c r="H5472" t="s">
        <v>5474</v>
      </c>
      <c r="I5472" t="s">
        <v>21362</v>
      </c>
      <c r="J5472" t="s">
        <v>5476</v>
      </c>
      <c r="K5472" t="s">
        <v>21363</v>
      </c>
      <c r="L5472" t="s">
        <v>5471</v>
      </c>
      <c r="M5472" t="s">
        <v>5471</v>
      </c>
    </row>
    <row r="5473" spans="1:13" x14ac:dyDescent="0.3">
      <c r="A5473" t="s">
        <v>3388</v>
      </c>
      <c r="B5473" t="s">
        <v>17321</v>
      </c>
      <c r="C5473" t="s">
        <v>5470</v>
      </c>
      <c r="D5473" t="s">
        <v>4119</v>
      </c>
      <c r="E5473" t="s">
        <v>5532</v>
      </c>
      <c r="F5473" t="s">
        <v>21364</v>
      </c>
      <c r="G5473" t="s">
        <v>20194</v>
      </c>
      <c r="H5473" t="s">
        <v>5474</v>
      </c>
      <c r="I5473" t="s">
        <v>21365</v>
      </c>
      <c r="J5473" t="s">
        <v>5476</v>
      </c>
      <c r="K5473" t="s">
        <v>21366</v>
      </c>
      <c r="L5473" t="s">
        <v>5471</v>
      </c>
      <c r="M5473" t="s">
        <v>5471</v>
      </c>
    </row>
    <row r="5474" spans="1:13" x14ac:dyDescent="0.3">
      <c r="A5474" t="s">
        <v>3388</v>
      </c>
      <c r="B5474" t="s">
        <v>17321</v>
      </c>
      <c r="C5474" t="s">
        <v>5470</v>
      </c>
      <c r="D5474" t="s">
        <v>4119</v>
      </c>
      <c r="E5474" t="s">
        <v>5532</v>
      </c>
      <c r="F5474" t="s">
        <v>21367</v>
      </c>
      <c r="G5474" t="s">
        <v>20194</v>
      </c>
      <c r="H5474" t="s">
        <v>5474</v>
      </c>
      <c r="I5474" t="s">
        <v>21368</v>
      </c>
      <c r="J5474" t="s">
        <v>5476</v>
      </c>
      <c r="K5474" t="s">
        <v>5471</v>
      </c>
      <c r="L5474" t="s">
        <v>5471</v>
      </c>
      <c r="M5474" t="s">
        <v>5471</v>
      </c>
    </row>
    <row r="5475" spans="1:13" x14ac:dyDescent="0.3">
      <c r="A5475" t="s">
        <v>3388</v>
      </c>
      <c r="B5475" t="s">
        <v>7101</v>
      </c>
      <c r="C5475" t="s">
        <v>5470</v>
      </c>
      <c r="D5475" t="s">
        <v>4119</v>
      </c>
      <c r="E5475" t="s">
        <v>5532</v>
      </c>
      <c r="F5475" t="s">
        <v>21369</v>
      </c>
      <c r="G5475" t="s">
        <v>20359</v>
      </c>
      <c r="H5475" t="s">
        <v>5474</v>
      </c>
      <c r="I5475" t="s">
        <v>21370</v>
      </c>
      <c r="J5475" t="s">
        <v>5476</v>
      </c>
      <c r="K5475" t="s">
        <v>21371</v>
      </c>
      <c r="L5475" t="s">
        <v>5471</v>
      </c>
      <c r="M5475" t="s">
        <v>5471</v>
      </c>
    </row>
    <row r="5476" spans="1:13" x14ac:dyDescent="0.3">
      <c r="A5476" t="s">
        <v>3388</v>
      </c>
      <c r="B5476" t="s">
        <v>7101</v>
      </c>
      <c r="C5476" t="s">
        <v>5470</v>
      </c>
      <c r="D5476" t="s">
        <v>4119</v>
      </c>
      <c r="E5476" t="s">
        <v>5532</v>
      </c>
      <c r="F5476" t="s">
        <v>21372</v>
      </c>
      <c r="G5476" t="s">
        <v>20363</v>
      </c>
      <c r="H5476" t="s">
        <v>5474</v>
      </c>
      <c r="I5476" t="s">
        <v>21373</v>
      </c>
      <c r="J5476" t="s">
        <v>5476</v>
      </c>
      <c r="K5476" t="s">
        <v>21374</v>
      </c>
      <c r="L5476" t="s">
        <v>5471</v>
      </c>
      <c r="M5476" t="s">
        <v>5471</v>
      </c>
    </row>
    <row r="5477" spans="1:13" x14ac:dyDescent="0.3">
      <c r="A5477" t="s">
        <v>3388</v>
      </c>
      <c r="B5477" t="s">
        <v>7101</v>
      </c>
      <c r="C5477" t="s">
        <v>5470</v>
      </c>
      <c r="D5477" t="s">
        <v>4119</v>
      </c>
      <c r="E5477" t="s">
        <v>5532</v>
      </c>
      <c r="F5477" t="s">
        <v>21375</v>
      </c>
      <c r="G5477" t="s">
        <v>20399</v>
      </c>
      <c r="H5477" t="s">
        <v>5474</v>
      </c>
      <c r="I5477" t="s">
        <v>21376</v>
      </c>
      <c r="J5477" t="s">
        <v>5476</v>
      </c>
      <c r="K5477" t="s">
        <v>21377</v>
      </c>
      <c r="L5477" t="s">
        <v>5471</v>
      </c>
      <c r="M5477" t="s">
        <v>5471</v>
      </c>
    </row>
    <row r="5478" spans="1:13" x14ac:dyDescent="0.3">
      <c r="A5478" t="s">
        <v>3388</v>
      </c>
      <c r="B5478" t="s">
        <v>7101</v>
      </c>
      <c r="C5478" t="s">
        <v>5470</v>
      </c>
      <c r="D5478" t="s">
        <v>4119</v>
      </c>
      <c r="E5478" t="s">
        <v>5756</v>
      </c>
      <c r="F5478" t="s">
        <v>21378</v>
      </c>
      <c r="G5478" t="s">
        <v>10449</v>
      </c>
      <c r="H5478" t="s">
        <v>5474</v>
      </c>
      <c r="I5478" t="s">
        <v>21379</v>
      </c>
      <c r="J5478" t="s">
        <v>5476</v>
      </c>
      <c r="K5478" t="s">
        <v>21380</v>
      </c>
      <c r="L5478" t="s">
        <v>5471</v>
      </c>
      <c r="M5478" t="s">
        <v>5471</v>
      </c>
    </row>
    <row r="5479" spans="1:13" x14ac:dyDescent="0.3">
      <c r="A5479" t="s">
        <v>3388</v>
      </c>
      <c r="B5479" t="s">
        <v>7101</v>
      </c>
      <c r="C5479" t="s">
        <v>5470</v>
      </c>
      <c r="D5479" t="s">
        <v>4119</v>
      </c>
      <c r="E5479" t="s">
        <v>5756</v>
      </c>
      <c r="F5479" t="s">
        <v>21381</v>
      </c>
      <c r="G5479" t="s">
        <v>20355</v>
      </c>
      <c r="H5479" t="s">
        <v>5474</v>
      </c>
      <c r="I5479" t="s">
        <v>21382</v>
      </c>
      <c r="J5479" t="s">
        <v>5476</v>
      </c>
      <c r="K5479" t="s">
        <v>5471</v>
      </c>
      <c r="L5479" t="s">
        <v>5471</v>
      </c>
      <c r="M5479" t="s">
        <v>5471</v>
      </c>
    </row>
    <row r="5480" spans="1:13" x14ac:dyDescent="0.3">
      <c r="A5480" t="s">
        <v>3388</v>
      </c>
      <c r="B5480" t="s">
        <v>10417</v>
      </c>
      <c r="C5480" t="s">
        <v>5470</v>
      </c>
      <c r="D5480" t="s">
        <v>4119</v>
      </c>
      <c r="E5480" t="s">
        <v>5756</v>
      </c>
      <c r="F5480" t="s">
        <v>21383</v>
      </c>
      <c r="G5480" t="s">
        <v>10449</v>
      </c>
      <c r="H5480" t="s">
        <v>5474</v>
      </c>
      <c r="I5480" t="s">
        <v>21384</v>
      </c>
      <c r="J5480" t="s">
        <v>5476</v>
      </c>
      <c r="K5480" t="s">
        <v>21385</v>
      </c>
      <c r="L5480" t="s">
        <v>5471</v>
      </c>
      <c r="M5480" t="s">
        <v>5471</v>
      </c>
    </row>
    <row r="5481" spans="1:13" x14ac:dyDescent="0.3">
      <c r="A5481" t="s">
        <v>3383</v>
      </c>
      <c r="B5481" t="s">
        <v>8483</v>
      </c>
      <c r="C5481" t="s">
        <v>5487</v>
      </c>
      <c r="D5481" t="s">
        <v>4119</v>
      </c>
      <c r="E5481" t="s">
        <v>19484</v>
      </c>
      <c r="F5481" t="s">
        <v>21386</v>
      </c>
      <c r="G5481" t="s">
        <v>21387</v>
      </c>
      <c r="H5481" t="s">
        <v>5474</v>
      </c>
      <c r="I5481" t="s">
        <v>21388</v>
      </c>
      <c r="J5481" t="s">
        <v>5476</v>
      </c>
      <c r="K5481" t="s">
        <v>21389</v>
      </c>
      <c r="L5481" t="s">
        <v>5471</v>
      </c>
      <c r="M5481" t="s">
        <v>5471</v>
      </c>
    </row>
    <row r="5482" spans="1:13" x14ac:dyDescent="0.3">
      <c r="A5482" t="s">
        <v>3383</v>
      </c>
      <c r="B5482" t="s">
        <v>6005</v>
      </c>
      <c r="C5482" t="s">
        <v>5487</v>
      </c>
      <c r="D5482" t="s">
        <v>4056</v>
      </c>
      <c r="E5482" t="s">
        <v>5532</v>
      </c>
      <c r="F5482" t="s">
        <v>21390</v>
      </c>
      <c r="G5482" t="s">
        <v>10894</v>
      </c>
      <c r="H5482" t="s">
        <v>5474</v>
      </c>
      <c r="I5482" t="s">
        <v>21391</v>
      </c>
      <c r="J5482" t="s">
        <v>5476</v>
      </c>
      <c r="K5482" t="s">
        <v>21392</v>
      </c>
      <c r="L5482" t="s">
        <v>5471</v>
      </c>
      <c r="M5482" t="s">
        <v>5471</v>
      </c>
    </row>
    <row r="5483" spans="1:13" x14ac:dyDescent="0.3">
      <c r="A5483" t="s">
        <v>3380</v>
      </c>
      <c r="B5483" t="s">
        <v>16820</v>
      </c>
      <c r="C5483" t="s">
        <v>6342</v>
      </c>
      <c r="D5483" t="s">
        <v>4119</v>
      </c>
      <c r="E5483" t="s">
        <v>5532</v>
      </c>
      <c r="F5483" t="s">
        <v>21393</v>
      </c>
      <c r="G5483" t="s">
        <v>21394</v>
      </c>
      <c r="H5483" t="s">
        <v>5474</v>
      </c>
      <c r="I5483" t="s">
        <v>21395</v>
      </c>
      <c r="J5483" t="s">
        <v>5476</v>
      </c>
      <c r="K5483" t="s">
        <v>21396</v>
      </c>
      <c r="L5483" t="s">
        <v>5471</v>
      </c>
      <c r="M5483" t="s">
        <v>5471</v>
      </c>
    </row>
    <row r="5484" spans="1:13" x14ac:dyDescent="0.3">
      <c r="A5484" t="s">
        <v>3380</v>
      </c>
      <c r="B5484" t="s">
        <v>16820</v>
      </c>
      <c r="C5484" t="s">
        <v>6342</v>
      </c>
      <c r="D5484" t="s">
        <v>4119</v>
      </c>
      <c r="E5484" t="s">
        <v>5532</v>
      </c>
      <c r="F5484" t="s">
        <v>21397</v>
      </c>
      <c r="G5484" t="s">
        <v>21398</v>
      </c>
      <c r="H5484" t="s">
        <v>5474</v>
      </c>
      <c r="I5484" t="s">
        <v>21399</v>
      </c>
      <c r="J5484" t="s">
        <v>5476</v>
      </c>
      <c r="K5484" t="s">
        <v>21400</v>
      </c>
      <c r="L5484" t="s">
        <v>5471</v>
      </c>
      <c r="M5484" t="s">
        <v>5471</v>
      </c>
    </row>
    <row r="5485" spans="1:13" x14ac:dyDescent="0.3">
      <c r="A5485" t="s">
        <v>3383</v>
      </c>
      <c r="B5485" t="s">
        <v>5304</v>
      </c>
      <c r="C5485" t="s">
        <v>5487</v>
      </c>
      <c r="D5485" t="s">
        <v>4058</v>
      </c>
      <c r="E5485" t="s">
        <v>5532</v>
      </c>
      <c r="F5485" t="s">
        <v>21401</v>
      </c>
      <c r="G5485" t="s">
        <v>21402</v>
      </c>
      <c r="H5485" t="s">
        <v>5474</v>
      </c>
      <c r="I5485" t="s">
        <v>21403</v>
      </c>
      <c r="J5485" t="s">
        <v>5484</v>
      </c>
      <c r="K5485" t="s">
        <v>21404</v>
      </c>
      <c r="L5485" t="s">
        <v>5471</v>
      </c>
      <c r="M5485" t="s">
        <v>5471</v>
      </c>
    </row>
    <row r="5486" spans="1:13" x14ac:dyDescent="0.3">
      <c r="A5486" t="s">
        <v>3380</v>
      </c>
      <c r="B5486" t="s">
        <v>11677</v>
      </c>
      <c r="C5486" t="s">
        <v>6342</v>
      </c>
      <c r="D5486" t="s">
        <v>4119</v>
      </c>
      <c r="E5486" t="s">
        <v>5532</v>
      </c>
      <c r="F5486" t="s">
        <v>21405</v>
      </c>
      <c r="G5486" t="s">
        <v>17287</v>
      </c>
      <c r="H5486" t="s">
        <v>5474</v>
      </c>
      <c r="I5486" t="s">
        <v>21406</v>
      </c>
      <c r="J5486" t="s">
        <v>5476</v>
      </c>
      <c r="K5486" t="s">
        <v>16427</v>
      </c>
      <c r="L5486" t="s">
        <v>5471</v>
      </c>
      <c r="M5486" t="s">
        <v>5471</v>
      </c>
    </row>
    <row r="5487" spans="1:13" x14ac:dyDescent="0.3">
      <c r="A5487" t="s">
        <v>3380</v>
      </c>
      <c r="B5487" t="s">
        <v>11677</v>
      </c>
      <c r="C5487" t="s">
        <v>6342</v>
      </c>
      <c r="D5487" t="s">
        <v>4119</v>
      </c>
      <c r="E5487" t="s">
        <v>5532</v>
      </c>
      <c r="F5487" t="s">
        <v>21407</v>
      </c>
      <c r="G5487" t="s">
        <v>21408</v>
      </c>
      <c r="H5487" t="s">
        <v>5474</v>
      </c>
      <c r="I5487" t="s">
        <v>21409</v>
      </c>
      <c r="J5487" t="s">
        <v>5476</v>
      </c>
      <c r="K5487" t="s">
        <v>21410</v>
      </c>
      <c r="L5487" t="s">
        <v>5471</v>
      </c>
      <c r="M5487" t="s">
        <v>5471</v>
      </c>
    </row>
    <row r="5488" spans="1:13" x14ac:dyDescent="0.3">
      <c r="A5488" t="s">
        <v>3380</v>
      </c>
      <c r="B5488" t="s">
        <v>11677</v>
      </c>
      <c r="C5488" t="s">
        <v>6342</v>
      </c>
      <c r="D5488" t="s">
        <v>4119</v>
      </c>
      <c r="E5488" t="s">
        <v>5532</v>
      </c>
      <c r="F5488" t="s">
        <v>21411</v>
      </c>
      <c r="G5488" t="s">
        <v>21412</v>
      </c>
      <c r="H5488" t="s">
        <v>5474</v>
      </c>
      <c r="I5488" t="s">
        <v>21413</v>
      </c>
      <c r="J5488" t="s">
        <v>5476</v>
      </c>
      <c r="K5488" t="s">
        <v>21414</v>
      </c>
      <c r="L5488" t="s">
        <v>5471</v>
      </c>
      <c r="M5488" t="s">
        <v>5471</v>
      </c>
    </row>
    <row r="5489" spans="1:13" x14ac:dyDescent="0.3">
      <c r="A5489" t="s">
        <v>3380</v>
      </c>
      <c r="B5489" t="s">
        <v>11677</v>
      </c>
      <c r="C5489" t="s">
        <v>6342</v>
      </c>
      <c r="D5489" t="s">
        <v>4119</v>
      </c>
      <c r="E5489" t="s">
        <v>5617</v>
      </c>
      <c r="F5489" t="s">
        <v>21415</v>
      </c>
      <c r="G5489" t="s">
        <v>21416</v>
      </c>
      <c r="H5489" t="s">
        <v>5474</v>
      </c>
      <c r="I5489" t="s">
        <v>21417</v>
      </c>
      <c r="J5489" t="s">
        <v>5476</v>
      </c>
      <c r="K5489" t="s">
        <v>10714</v>
      </c>
      <c r="L5489" t="s">
        <v>5471</v>
      </c>
      <c r="M5489" t="s">
        <v>5471</v>
      </c>
    </row>
    <row r="5490" spans="1:13" x14ac:dyDescent="0.3">
      <c r="A5490" t="s">
        <v>3380</v>
      </c>
      <c r="B5490" t="s">
        <v>15695</v>
      </c>
      <c r="C5490" t="s">
        <v>6342</v>
      </c>
      <c r="D5490" t="s">
        <v>4058</v>
      </c>
      <c r="E5490" t="s">
        <v>9935</v>
      </c>
      <c r="F5490" t="s">
        <v>21418</v>
      </c>
      <c r="G5490" t="s">
        <v>16813</v>
      </c>
      <c r="H5490" t="s">
        <v>5474</v>
      </c>
      <c r="I5490" t="s">
        <v>21419</v>
      </c>
      <c r="J5490" t="s">
        <v>5476</v>
      </c>
      <c r="K5490" t="s">
        <v>16529</v>
      </c>
      <c r="L5490" t="s">
        <v>5471</v>
      </c>
      <c r="M5490" t="s">
        <v>5471</v>
      </c>
    </row>
    <row r="5491" spans="1:13" x14ac:dyDescent="0.3">
      <c r="A5491" t="s">
        <v>3380</v>
      </c>
      <c r="B5491" t="s">
        <v>15695</v>
      </c>
      <c r="C5491" t="s">
        <v>6342</v>
      </c>
      <c r="D5491" t="s">
        <v>4058</v>
      </c>
      <c r="E5491" t="s">
        <v>9935</v>
      </c>
      <c r="F5491" t="s">
        <v>21420</v>
      </c>
      <c r="G5491" t="s">
        <v>16813</v>
      </c>
      <c r="H5491" t="s">
        <v>5474</v>
      </c>
      <c r="I5491" t="s">
        <v>21421</v>
      </c>
      <c r="J5491" t="s">
        <v>5476</v>
      </c>
      <c r="K5491" t="s">
        <v>16170</v>
      </c>
      <c r="L5491" t="s">
        <v>5471</v>
      </c>
      <c r="M5491" t="s">
        <v>5471</v>
      </c>
    </row>
    <row r="5492" spans="1:13" x14ac:dyDescent="0.3">
      <c r="A5492" t="s">
        <v>3380</v>
      </c>
      <c r="B5492" t="s">
        <v>15695</v>
      </c>
      <c r="C5492" t="s">
        <v>6342</v>
      </c>
      <c r="D5492" t="s">
        <v>4058</v>
      </c>
      <c r="E5492" t="s">
        <v>9935</v>
      </c>
      <c r="F5492" t="s">
        <v>21422</v>
      </c>
      <c r="G5492" t="s">
        <v>21423</v>
      </c>
      <c r="H5492" t="s">
        <v>5474</v>
      </c>
      <c r="I5492" t="s">
        <v>21424</v>
      </c>
      <c r="J5492" t="s">
        <v>5476</v>
      </c>
      <c r="K5492" t="s">
        <v>16129</v>
      </c>
      <c r="L5492" t="s">
        <v>5471</v>
      </c>
      <c r="M5492" t="s">
        <v>5471</v>
      </c>
    </row>
    <row r="5493" spans="1:13" x14ac:dyDescent="0.3">
      <c r="A5493" t="s">
        <v>3380</v>
      </c>
      <c r="B5493" t="s">
        <v>21425</v>
      </c>
      <c r="C5493" t="s">
        <v>6342</v>
      </c>
      <c r="D5493" t="s">
        <v>4119</v>
      </c>
      <c r="E5493" t="s">
        <v>5532</v>
      </c>
      <c r="F5493" t="s">
        <v>21426</v>
      </c>
      <c r="G5493" t="s">
        <v>21425</v>
      </c>
      <c r="H5493" t="s">
        <v>5474</v>
      </c>
      <c r="I5493" t="s">
        <v>21427</v>
      </c>
      <c r="J5493" t="s">
        <v>5476</v>
      </c>
      <c r="K5493" t="s">
        <v>19267</v>
      </c>
      <c r="L5493" t="s">
        <v>5471</v>
      </c>
      <c r="M5493" t="s">
        <v>5471</v>
      </c>
    </row>
    <row r="5494" spans="1:13" x14ac:dyDescent="0.3">
      <c r="A5494" t="s">
        <v>3380</v>
      </c>
      <c r="B5494" t="s">
        <v>21425</v>
      </c>
      <c r="C5494" t="s">
        <v>6342</v>
      </c>
      <c r="D5494" t="s">
        <v>4119</v>
      </c>
      <c r="E5494" t="s">
        <v>5532</v>
      </c>
      <c r="F5494" t="s">
        <v>21428</v>
      </c>
      <c r="G5494" t="s">
        <v>21425</v>
      </c>
      <c r="H5494" t="s">
        <v>5474</v>
      </c>
      <c r="I5494" t="s">
        <v>21429</v>
      </c>
      <c r="J5494" t="s">
        <v>5476</v>
      </c>
      <c r="K5494" t="s">
        <v>21430</v>
      </c>
      <c r="L5494" t="s">
        <v>5471</v>
      </c>
      <c r="M5494" t="s">
        <v>5471</v>
      </c>
    </row>
    <row r="5495" spans="1:13" x14ac:dyDescent="0.3">
      <c r="A5495" t="s">
        <v>3380</v>
      </c>
      <c r="B5495" t="s">
        <v>21425</v>
      </c>
      <c r="C5495" t="s">
        <v>6342</v>
      </c>
      <c r="D5495" t="s">
        <v>4119</v>
      </c>
      <c r="E5495" t="s">
        <v>5532</v>
      </c>
      <c r="F5495" t="s">
        <v>21431</v>
      </c>
      <c r="G5495" t="s">
        <v>21425</v>
      </c>
      <c r="H5495" t="s">
        <v>5474</v>
      </c>
      <c r="I5495" t="s">
        <v>21432</v>
      </c>
      <c r="J5495" t="s">
        <v>5476</v>
      </c>
      <c r="K5495" t="s">
        <v>21433</v>
      </c>
      <c r="L5495" t="s">
        <v>5471</v>
      </c>
      <c r="M5495" t="s">
        <v>5471</v>
      </c>
    </row>
    <row r="5496" spans="1:13" x14ac:dyDescent="0.3">
      <c r="A5496" t="s">
        <v>3380</v>
      </c>
      <c r="B5496" t="s">
        <v>21434</v>
      </c>
      <c r="C5496" t="s">
        <v>6342</v>
      </c>
      <c r="D5496" t="s">
        <v>4119</v>
      </c>
      <c r="E5496" t="s">
        <v>5532</v>
      </c>
      <c r="F5496" t="s">
        <v>21435</v>
      </c>
      <c r="G5496" t="s">
        <v>21434</v>
      </c>
      <c r="H5496" t="s">
        <v>5474</v>
      </c>
      <c r="I5496" t="s">
        <v>21436</v>
      </c>
      <c r="J5496" t="s">
        <v>5476</v>
      </c>
      <c r="K5496" t="s">
        <v>19267</v>
      </c>
      <c r="L5496" t="s">
        <v>5471</v>
      </c>
      <c r="M5496" t="s">
        <v>5471</v>
      </c>
    </row>
    <row r="5497" spans="1:13" x14ac:dyDescent="0.3">
      <c r="A5497" t="s">
        <v>3380</v>
      </c>
      <c r="B5497" t="s">
        <v>21434</v>
      </c>
      <c r="C5497" t="s">
        <v>6342</v>
      </c>
      <c r="D5497" t="s">
        <v>4119</v>
      </c>
      <c r="E5497" t="s">
        <v>5532</v>
      </c>
      <c r="F5497" t="s">
        <v>21437</v>
      </c>
      <c r="G5497" t="s">
        <v>21434</v>
      </c>
      <c r="H5497" t="s">
        <v>5474</v>
      </c>
      <c r="I5497" t="s">
        <v>21438</v>
      </c>
      <c r="J5497" t="s">
        <v>5476</v>
      </c>
      <c r="K5497" t="s">
        <v>21430</v>
      </c>
      <c r="L5497" t="s">
        <v>5471</v>
      </c>
      <c r="M5497" t="s">
        <v>5471</v>
      </c>
    </row>
    <row r="5498" spans="1:13" x14ac:dyDescent="0.3">
      <c r="A5498" t="s">
        <v>3380</v>
      </c>
      <c r="B5498" t="s">
        <v>21434</v>
      </c>
      <c r="C5498" t="s">
        <v>6342</v>
      </c>
      <c r="D5498" t="s">
        <v>4119</v>
      </c>
      <c r="E5498" t="s">
        <v>5532</v>
      </c>
      <c r="F5498" t="s">
        <v>21439</v>
      </c>
      <c r="G5498" t="s">
        <v>21434</v>
      </c>
      <c r="H5498" t="s">
        <v>5474</v>
      </c>
      <c r="I5498" t="s">
        <v>21440</v>
      </c>
      <c r="J5498" t="s">
        <v>5476</v>
      </c>
      <c r="K5498" t="s">
        <v>21433</v>
      </c>
      <c r="L5498" t="s">
        <v>5471</v>
      </c>
      <c r="M5498" t="s">
        <v>5471</v>
      </c>
    </row>
    <row r="5499" spans="1:13" x14ac:dyDescent="0.3">
      <c r="A5499" t="s">
        <v>3380</v>
      </c>
      <c r="B5499" t="s">
        <v>21441</v>
      </c>
      <c r="C5499" t="s">
        <v>6342</v>
      </c>
      <c r="D5499" t="s">
        <v>4119</v>
      </c>
      <c r="E5499" t="s">
        <v>9935</v>
      </c>
      <c r="F5499" t="s">
        <v>21442</v>
      </c>
      <c r="G5499" t="s">
        <v>21441</v>
      </c>
      <c r="H5499" t="s">
        <v>5474</v>
      </c>
      <c r="I5499" t="s">
        <v>21443</v>
      </c>
      <c r="J5499" t="s">
        <v>5476</v>
      </c>
      <c r="K5499" t="s">
        <v>21430</v>
      </c>
      <c r="L5499" t="s">
        <v>5471</v>
      </c>
      <c r="M5499" t="s">
        <v>5471</v>
      </c>
    </row>
    <row r="5500" spans="1:13" x14ac:dyDescent="0.3">
      <c r="A5500" t="s">
        <v>3380</v>
      </c>
      <c r="B5500" t="s">
        <v>21441</v>
      </c>
      <c r="C5500" t="s">
        <v>6342</v>
      </c>
      <c r="D5500" t="s">
        <v>4119</v>
      </c>
      <c r="E5500" t="s">
        <v>9935</v>
      </c>
      <c r="F5500" t="s">
        <v>21444</v>
      </c>
      <c r="G5500" t="s">
        <v>21441</v>
      </c>
      <c r="H5500" t="s">
        <v>5474</v>
      </c>
      <c r="I5500" t="s">
        <v>21445</v>
      </c>
      <c r="J5500" t="s">
        <v>5476</v>
      </c>
      <c r="K5500" t="s">
        <v>21433</v>
      </c>
      <c r="L5500" t="s">
        <v>5471</v>
      </c>
      <c r="M5500" t="s">
        <v>5471</v>
      </c>
    </row>
    <row r="5501" spans="1:13" x14ac:dyDescent="0.3">
      <c r="A5501" t="s">
        <v>3380</v>
      </c>
      <c r="B5501" t="s">
        <v>21446</v>
      </c>
      <c r="C5501" t="s">
        <v>6342</v>
      </c>
      <c r="D5501" t="s">
        <v>4119</v>
      </c>
      <c r="E5501" t="s">
        <v>9935</v>
      </c>
      <c r="F5501" t="s">
        <v>21447</v>
      </c>
      <c r="G5501" t="s">
        <v>21446</v>
      </c>
      <c r="H5501" t="s">
        <v>5474</v>
      </c>
      <c r="I5501" t="s">
        <v>21448</v>
      </c>
      <c r="J5501" t="s">
        <v>5476</v>
      </c>
      <c r="K5501" t="s">
        <v>21430</v>
      </c>
      <c r="L5501" t="s">
        <v>5471</v>
      </c>
      <c r="M5501" t="s">
        <v>5471</v>
      </c>
    </row>
    <row r="5502" spans="1:13" x14ac:dyDescent="0.3">
      <c r="A5502" t="s">
        <v>3380</v>
      </c>
      <c r="B5502" t="s">
        <v>21446</v>
      </c>
      <c r="C5502" t="s">
        <v>6342</v>
      </c>
      <c r="D5502" t="s">
        <v>4119</v>
      </c>
      <c r="E5502" t="s">
        <v>9935</v>
      </c>
      <c r="F5502" t="s">
        <v>21449</v>
      </c>
      <c r="G5502" t="s">
        <v>21446</v>
      </c>
      <c r="H5502" t="s">
        <v>5474</v>
      </c>
      <c r="I5502" t="s">
        <v>21450</v>
      </c>
      <c r="J5502" t="s">
        <v>5476</v>
      </c>
      <c r="K5502" t="s">
        <v>21433</v>
      </c>
      <c r="L5502" t="s">
        <v>5471</v>
      </c>
      <c r="M5502" t="s">
        <v>5471</v>
      </c>
    </row>
    <row r="5503" spans="1:13" x14ac:dyDescent="0.3">
      <c r="A5503" t="s">
        <v>3383</v>
      </c>
      <c r="B5503" t="s">
        <v>5304</v>
      </c>
      <c r="C5503" t="s">
        <v>5487</v>
      </c>
      <c r="D5503" t="s">
        <v>4058</v>
      </c>
      <c r="E5503" t="s">
        <v>5532</v>
      </c>
      <c r="F5503" t="s">
        <v>21451</v>
      </c>
      <c r="G5503" t="s">
        <v>21402</v>
      </c>
      <c r="H5503" t="s">
        <v>5474</v>
      </c>
      <c r="I5503" t="s">
        <v>21452</v>
      </c>
      <c r="J5503" t="s">
        <v>5484</v>
      </c>
      <c r="K5503" t="s">
        <v>21453</v>
      </c>
      <c r="L5503" t="s">
        <v>5471</v>
      </c>
      <c r="M5503" t="s">
        <v>5471</v>
      </c>
    </row>
    <row r="5504" spans="1:13" x14ac:dyDescent="0.3">
      <c r="A5504" t="s">
        <v>3383</v>
      </c>
      <c r="B5504" t="s">
        <v>5304</v>
      </c>
      <c r="C5504" t="s">
        <v>5487</v>
      </c>
      <c r="D5504" t="s">
        <v>4200</v>
      </c>
      <c r="E5504" t="s">
        <v>5532</v>
      </c>
      <c r="F5504" t="s">
        <v>21454</v>
      </c>
      <c r="G5504" t="s">
        <v>11978</v>
      </c>
      <c r="H5504" t="s">
        <v>5474</v>
      </c>
      <c r="I5504" t="s">
        <v>21455</v>
      </c>
      <c r="J5504" t="s">
        <v>5484</v>
      </c>
      <c r="K5504" t="s">
        <v>21456</v>
      </c>
      <c r="L5504" t="s">
        <v>5471</v>
      </c>
      <c r="M5504" t="s">
        <v>5471</v>
      </c>
    </row>
    <row r="5505" spans="1:13" x14ac:dyDescent="0.3">
      <c r="A5505" t="s">
        <v>3383</v>
      </c>
      <c r="B5505" t="s">
        <v>5304</v>
      </c>
      <c r="C5505" t="s">
        <v>5487</v>
      </c>
      <c r="D5505" t="s">
        <v>4200</v>
      </c>
      <c r="E5505" t="s">
        <v>5532</v>
      </c>
      <c r="F5505" t="s">
        <v>21457</v>
      </c>
      <c r="G5505" t="s">
        <v>11978</v>
      </c>
      <c r="H5505" t="s">
        <v>5474</v>
      </c>
      <c r="I5505" t="s">
        <v>21458</v>
      </c>
      <c r="J5505" t="s">
        <v>5484</v>
      </c>
      <c r="K5505" t="s">
        <v>21456</v>
      </c>
      <c r="L5505" t="s">
        <v>5471</v>
      </c>
      <c r="M5505" t="s">
        <v>5471</v>
      </c>
    </row>
    <row r="5506" spans="1:13" x14ac:dyDescent="0.3">
      <c r="A5506" t="s">
        <v>3383</v>
      </c>
      <c r="B5506" t="s">
        <v>5304</v>
      </c>
      <c r="C5506" t="s">
        <v>5487</v>
      </c>
      <c r="D5506" t="s">
        <v>4200</v>
      </c>
      <c r="E5506" t="s">
        <v>5532</v>
      </c>
      <c r="F5506" t="s">
        <v>21459</v>
      </c>
      <c r="G5506" t="s">
        <v>11978</v>
      </c>
      <c r="H5506" t="s">
        <v>5474</v>
      </c>
      <c r="I5506" t="s">
        <v>21460</v>
      </c>
      <c r="J5506" t="s">
        <v>5484</v>
      </c>
      <c r="K5506" t="s">
        <v>21456</v>
      </c>
      <c r="L5506" t="s">
        <v>5471</v>
      </c>
      <c r="M5506" t="s">
        <v>5471</v>
      </c>
    </row>
    <row r="5507" spans="1:13" x14ac:dyDescent="0.3">
      <c r="A5507" t="s">
        <v>3383</v>
      </c>
      <c r="B5507" t="s">
        <v>5952</v>
      </c>
      <c r="C5507" t="s">
        <v>5470</v>
      </c>
      <c r="D5507" t="s">
        <v>4056</v>
      </c>
      <c r="E5507" t="s">
        <v>5756</v>
      </c>
      <c r="F5507" t="s">
        <v>21461</v>
      </c>
      <c r="G5507" t="s">
        <v>7728</v>
      </c>
      <c r="H5507" t="s">
        <v>5474</v>
      </c>
      <c r="I5507" t="s">
        <v>21462</v>
      </c>
      <c r="J5507" t="s">
        <v>5484</v>
      </c>
      <c r="K5507" t="s">
        <v>21463</v>
      </c>
      <c r="L5507" t="s">
        <v>5471</v>
      </c>
      <c r="M5507" t="s">
        <v>5471</v>
      </c>
    </row>
    <row r="5508" spans="1:13" x14ac:dyDescent="0.3">
      <c r="A5508" t="s">
        <v>3383</v>
      </c>
      <c r="B5508" t="s">
        <v>8875</v>
      </c>
      <c r="C5508" t="s">
        <v>5470</v>
      </c>
      <c r="D5508" t="s">
        <v>4052</v>
      </c>
      <c r="E5508" t="s">
        <v>5532</v>
      </c>
      <c r="F5508" t="s">
        <v>21464</v>
      </c>
      <c r="G5508" t="s">
        <v>21465</v>
      </c>
      <c r="H5508" t="s">
        <v>5474</v>
      </c>
      <c r="I5508" t="s">
        <v>21466</v>
      </c>
      <c r="J5508" t="s">
        <v>5484</v>
      </c>
      <c r="K5508" t="s">
        <v>21467</v>
      </c>
      <c r="L5508" t="s">
        <v>5471</v>
      </c>
      <c r="M5508" t="s">
        <v>5471</v>
      </c>
    </row>
    <row r="5509" spans="1:13" x14ac:dyDescent="0.3">
      <c r="A5509" t="s">
        <v>3383</v>
      </c>
      <c r="B5509" t="s">
        <v>5952</v>
      </c>
      <c r="C5509" t="s">
        <v>5470</v>
      </c>
      <c r="D5509" t="s">
        <v>4056</v>
      </c>
      <c r="E5509" t="s">
        <v>5756</v>
      </c>
      <c r="F5509" t="s">
        <v>21468</v>
      </c>
      <c r="G5509" t="s">
        <v>6211</v>
      </c>
      <c r="H5509" t="s">
        <v>5474</v>
      </c>
      <c r="I5509" t="s">
        <v>21469</v>
      </c>
      <c r="J5509" t="s">
        <v>5484</v>
      </c>
      <c r="K5509" t="s">
        <v>21470</v>
      </c>
      <c r="L5509" t="s">
        <v>5471</v>
      </c>
      <c r="M5509" t="s">
        <v>5471</v>
      </c>
    </row>
    <row r="5510" spans="1:13" x14ac:dyDescent="0.3">
      <c r="A5510" t="s">
        <v>3383</v>
      </c>
      <c r="B5510" t="s">
        <v>6083</v>
      </c>
      <c r="C5510" t="s">
        <v>5487</v>
      </c>
      <c r="D5510" t="s">
        <v>4058</v>
      </c>
      <c r="E5510" t="s">
        <v>5532</v>
      </c>
      <c r="F5510" t="s">
        <v>21471</v>
      </c>
      <c r="G5510" t="s">
        <v>5471</v>
      </c>
      <c r="H5510" t="s">
        <v>5474</v>
      </c>
      <c r="I5510" t="s">
        <v>21472</v>
      </c>
      <c r="J5510" t="s">
        <v>5484</v>
      </c>
      <c r="K5510" t="s">
        <v>21473</v>
      </c>
      <c r="L5510" t="s">
        <v>5471</v>
      </c>
      <c r="M5510" t="s">
        <v>5471</v>
      </c>
    </row>
    <row r="5511" spans="1:13" x14ac:dyDescent="0.3">
      <c r="A5511" t="s">
        <v>3388</v>
      </c>
      <c r="B5511" t="s">
        <v>6478</v>
      </c>
      <c r="C5511" t="s">
        <v>5470</v>
      </c>
      <c r="D5511" t="s">
        <v>4119</v>
      </c>
      <c r="E5511" t="s">
        <v>5480</v>
      </c>
      <c r="F5511" t="s">
        <v>21474</v>
      </c>
      <c r="G5511" t="s">
        <v>21475</v>
      </c>
      <c r="H5511" t="s">
        <v>5474</v>
      </c>
      <c r="I5511" t="s">
        <v>21476</v>
      </c>
      <c r="J5511" t="s">
        <v>5476</v>
      </c>
      <c r="K5511" t="s">
        <v>21477</v>
      </c>
      <c r="L5511" t="s">
        <v>5471</v>
      </c>
      <c r="M5511" t="s">
        <v>5471</v>
      </c>
    </row>
    <row r="5512" spans="1:13" x14ac:dyDescent="0.3">
      <c r="A5512" t="s">
        <v>3388</v>
      </c>
      <c r="B5512" t="s">
        <v>6478</v>
      </c>
      <c r="C5512" t="s">
        <v>5470</v>
      </c>
      <c r="D5512" t="s">
        <v>4119</v>
      </c>
      <c r="E5512" t="s">
        <v>5480</v>
      </c>
      <c r="F5512" t="s">
        <v>21478</v>
      </c>
      <c r="G5512" t="s">
        <v>21479</v>
      </c>
      <c r="H5512" t="s">
        <v>5474</v>
      </c>
      <c r="I5512" t="s">
        <v>21480</v>
      </c>
      <c r="J5512" t="s">
        <v>5476</v>
      </c>
      <c r="K5512" t="s">
        <v>21481</v>
      </c>
      <c r="L5512" t="s">
        <v>5471</v>
      </c>
      <c r="M5512" t="s">
        <v>5471</v>
      </c>
    </row>
    <row r="5513" spans="1:13" x14ac:dyDescent="0.3">
      <c r="A5513" t="s">
        <v>3388</v>
      </c>
      <c r="B5513" t="s">
        <v>8799</v>
      </c>
      <c r="C5513" t="s">
        <v>5470</v>
      </c>
      <c r="D5513" t="s">
        <v>4200</v>
      </c>
      <c r="E5513" t="s">
        <v>5532</v>
      </c>
      <c r="F5513" t="s">
        <v>21482</v>
      </c>
      <c r="G5513" t="s">
        <v>21483</v>
      </c>
      <c r="H5513" t="s">
        <v>5474</v>
      </c>
      <c r="I5513" t="s">
        <v>21484</v>
      </c>
      <c r="J5513" t="s">
        <v>5476</v>
      </c>
      <c r="K5513" t="s">
        <v>21485</v>
      </c>
      <c r="L5513" t="s">
        <v>5471</v>
      </c>
      <c r="M5513" t="s">
        <v>5471</v>
      </c>
    </row>
    <row r="5514" spans="1:13" x14ac:dyDescent="0.3">
      <c r="A5514" t="s">
        <v>3388</v>
      </c>
      <c r="B5514" t="s">
        <v>8799</v>
      </c>
      <c r="C5514" t="s">
        <v>5470</v>
      </c>
      <c r="D5514" t="s">
        <v>4200</v>
      </c>
      <c r="E5514" t="s">
        <v>5532</v>
      </c>
      <c r="F5514" t="s">
        <v>21486</v>
      </c>
      <c r="G5514" t="s">
        <v>21483</v>
      </c>
      <c r="H5514" t="s">
        <v>5474</v>
      </c>
      <c r="I5514" t="s">
        <v>21487</v>
      </c>
      <c r="J5514" t="s">
        <v>5476</v>
      </c>
      <c r="K5514" t="s">
        <v>21488</v>
      </c>
      <c r="L5514" t="s">
        <v>5471</v>
      </c>
      <c r="M5514" t="s">
        <v>5471</v>
      </c>
    </row>
    <row r="5515" spans="1:13" x14ac:dyDescent="0.3">
      <c r="A5515" t="s">
        <v>3388</v>
      </c>
      <c r="B5515" t="s">
        <v>8799</v>
      </c>
      <c r="C5515" t="s">
        <v>5470</v>
      </c>
      <c r="D5515" t="s">
        <v>4200</v>
      </c>
      <c r="E5515" t="s">
        <v>5532</v>
      </c>
      <c r="F5515" t="s">
        <v>21489</v>
      </c>
      <c r="G5515" t="s">
        <v>21483</v>
      </c>
      <c r="H5515" t="s">
        <v>5474</v>
      </c>
      <c r="I5515" t="s">
        <v>21490</v>
      </c>
      <c r="J5515" t="s">
        <v>5476</v>
      </c>
      <c r="K5515" t="s">
        <v>21491</v>
      </c>
      <c r="L5515" t="s">
        <v>5471</v>
      </c>
      <c r="M5515" t="s">
        <v>5471</v>
      </c>
    </row>
    <row r="5516" spans="1:13" x14ac:dyDescent="0.3">
      <c r="A5516" t="s">
        <v>3388</v>
      </c>
      <c r="B5516" t="s">
        <v>17585</v>
      </c>
      <c r="C5516" t="s">
        <v>5470</v>
      </c>
      <c r="D5516" t="s">
        <v>4200</v>
      </c>
      <c r="E5516" t="s">
        <v>5532</v>
      </c>
      <c r="F5516" t="s">
        <v>21492</v>
      </c>
      <c r="G5516" t="s">
        <v>17587</v>
      </c>
      <c r="H5516" t="s">
        <v>5474</v>
      </c>
      <c r="I5516" t="s">
        <v>21493</v>
      </c>
      <c r="J5516" t="s">
        <v>5476</v>
      </c>
      <c r="K5516" t="s">
        <v>21494</v>
      </c>
      <c r="L5516" t="s">
        <v>5471</v>
      </c>
      <c r="M5516" t="s">
        <v>5471</v>
      </c>
    </row>
    <row r="5517" spans="1:13" x14ac:dyDescent="0.3">
      <c r="A5517" t="s">
        <v>3388</v>
      </c>
      <c r="B5517" t="s">
        <v>17585</v>
      </c>
      <c r="C5517" t="s">
        <v>5470</v>
      </c>
      <c r="D5517" t="s">
        <v>4200</v>
      </c>
      <c r="E5517" t="s">
        <v>5532</v>
      </c>
      <c r="F5517" t="s">
        <v>21495</v>
      </c>
      <c r="G5517" t="s">
        <v>17587</v>
      </c>
      <c r="H5517" t="s">
        <v>5474</v>
      </c>
      <c r="I5517" t="s">
        <v>21496</v>
      </c>
      <c r="J5517" t="s">
        <v>5476</v>
      </c>
      <c r="K5517" t="s">
        <v>21497</v>
      </c>
      <c r="L5517" t="s">
        <v>5471</v>
      </c>
      <c r="M5517" t="s">
        <v>5471</v>
      </c>
    </row>
    <row r="5518" spans="1:13" x14ac:dyDescent="0.3">
      <c r="A5518" t="s">
        <v>3388</v>
      </c>
      <c r="B5518" t="s">
        <v>17585</v>
      </c>
      <c r="C5518" t="s">
        <v>5470</v>
      </c>
      <c r="D5518" t="s">
        <v>4200</v>
      </c>
      <c r="E5518" t="s">
        <v>5532</v>
      </c>
      <c r="F5518" t="s">
        <v>21498</v>
      </c>
      <c r="G5518" t="s">
        <v>17587</v>
      </c>
      <c r="H5518" t="s">
        <v>5474</v>
      </c>
      <c r="I5518" t="s">
        <v>21499</v>
      </c>
      <c r="J5518" t="s">
        <v>5476</v>
      </c>
      <c r="K5518" t="s">
        <v>21500</v>
      </c>
      <c r="L5518" t="s">
        <v>5471</v>
      </c>
      <c r="M5518" t="s">
        <v>5471</v>
      </c>
    </row>
    <row r="5519" spans="1:13" x14ac:dyDescent="0.3">
      <c r="A5519" t="s">
        <v>3388</v>
      </c>
      <c r="B5519" t="s">
        <v>5616</v>
      </c>
      <c r="C5519" t="s">
        <v>5470</v>
      </c>
      <c r="D5519" t="s">
        <v>4200</v>
      </c>
      <c r="E5519" t="s">
        <v>5532</v>
      </c>
      <c r="F5519" t="s">
        <v>21501</v>
      </c>
      <c r="G5519" t="s">
        <v>21502</v>
      </c>
      <c r="H5519" t="s">
        <v>5474</v>
      </c>
      <c r="I5519" t="s">
        <v>21503</v>
      </c>
      <c r="J5519" t="s">
        <v>5476</v>
      </c>
      <c r="K5519" t="s">
        <v>21504</v>
      </c>
      <c r="L5519" t="s">
        <v>5471</v>
      </c>
      <c r="M5519" t="s">
        <v>5471</v>
      </c>
    </row>
    <row r="5520" spans="1:13" x14ac:dyDescent="0.3">
      <c r="A5520" t="s">
        <v>3388</v>
      </c>
      <c r="B5520" t="s">
        <v>5616</v>
      </c>
      <c r="C5520" t="s">
        <v>5470</v>
      </c>
      <c r="D5520" t="s">
        <v>4200</v>
      </c>
      <c r="E5520" t="s">
        <v>5532</v>
      </c>
      <c r="F5520" t="s">
        <v>21505</v>
      </c>
      <c r="G5520" t="s">
        <v>21502</v>
      </c>
      <c r="H5520" t="s">
        <v>5474</v>
      </c>
      <c r="I5520" t="s">
        <v>21506</v>
      </c>
      <c r="J5520" t="s">
        <v>5476</v>
      </c>
      <c r="K5520" t="s">
        <v>21507</v>
      </c>
      <c r="L5520" t="s">
        <v>5471</v>
      </c>
      <c r="M5520" t="s">
        <v>5471</v>
      </c>
    </row>
    <row r="5521" spans="1:13" x14ac:dyDescent="0.3">
      <c r="A5521" t="s">
        <v>3388</v>
      </c>
      <c r="B5521" t="s">
        <v>5616</v>
      </c>
      <c r="C5521" t="s">
        <v>5470</v>
      </c>
      <c r="D5521" t="s">
        <v>4200</v>
      </c>
      <c r="E5521" t="s">
        <v>5532</v>
      </c>
      <c r="F5521" t="s">
        <v>21508</v>
      </c>
      <c r="G5521" t="s">
        <v>21502</v>
      </c>
      <c r="H5521" t="s">
        <v>5474</v>
      </c>
      <c r="I5521" t="s">
        <v>21509</v>
      </c>
      <c r="J5521" t="s">
        <v>5476</v>
      </c>
      <c r="K5521" t="s">
        <v>21510</v>
      </c>
      <c r="L5521" t="s">
        <v>5471</v>
      </c>
      <c r="M5521" t="s">
        <v>5471</v>
      </c>
    </row>
    <row r="5522" spans="1:13" x14ac:dyDescent="0.3">
      <c r="A5522" t="s">
        <v>3388</v>
      </c>
      <c r="B5522" t="s">
        <v>11153</v>
      </c>
      <c r="C5522" t="s">
        <v>5470</v>
      </c>
      <c r="D5522" t="s">
        <v>4200</v>
      </c>
      <c r="E5522" t="s">
        <v>5532</v>
      </c>
      <c r="F5522" t="s">
        <v>21511</v>
      </c>
      <c r="G5522" t="s">
        <v>11155</v>
      </c>
      <c r="H5522" t="s">
        <v>5474</v>
      </c>
      <c r="I5522" t="s">
        <v>21512</v>
      </c>
      <c r="J5522" t="s">
        <v>5476</v>
      </c>
      <c r="K5522" t="s">
        <v>21513</v>
      </c>
      <c r="L5522" t="s">
        <v>5471</v>
      </c>
      <c r="M5522" t="s">
        <v>5471</v>
      </c>
    </row>
    <row r="5523" spans="1:13" x14ac:dyDescent="0.3">
      <c r="A5523" t="s">
        <v>3388</v>
      </c>
      <c r="B5523" t="s">
        <v>11153</v>
      </c>
      <c r="C5523" t="s">
        <v>5470</v>
      </c>
      <c r="D5523" t="s">
        <v>4200</v>
      </c>
      <c r="E5523" t="s">
        <v>5532</v>
      </c>
      <c r="F5523" t="s">
        <v>21514</v>
      </c>
      <c r="G5523" t="s">
        <v>11155</v>
      </c>
      <c r="H5523" t="s">
        <v>5474</v>
      </c>
      <c r="I5523" t="s">
        <v>21515</v>
      </c>
      <c r="J5523" t="s">
        <v>5476</v>
      </c>
      <c r="K5523" t="s">
        <v>21516</v>
      </c>
      <c r="L5523" t="s">
        <v>5471</v>
      </c>
      <c r="M5523" t="s">
        <v>5471</v>
      </c>
    </row>
    <row r="5524" spans="1:13" x14ac:dyDescent="0.3">
      <c r="A5524" t="s">
        <v>3388</v>
      </c>
      <c r="B5524" t="s">
        <v>11153</v>
      </c>
      <c r="C5524" t="s">
        <v>5470</v>
      </c>
      <c r="D5524" t="s">
        <v>4200</v>
      </c>
      <c r="E5524" t="s">
        <v>5532</v>
      </c>
      <c r="F5524" t="s">
        <v>21517</v>
      </c>
      <c r="G5524" t="s">
        <v>11155</v>
      </c>
      <c r="H5524" t="s">
        <v>5474</v>
      </c>
      <c r="I5524" t="s">
        <v>21518</v>
      </c>
      <c r="J5524" t="s">
        <v>5476</v>
      </c>
      <c r="K5524" t="s">
        <v>21519</v>
      </c>
      <c r="L5524" t="s">
        <v>5471</v>
      </c>
      <c r="M5524" t="s">
        <v>5471</v>
      </c>
    </row>
    <row r="5525" spans="1:13" x14ac:dyDescent="0.3">
      <c r="A5525" t="s">
        <v>3388</v>
      </c>
      <c r="B5525" t="s">
        <v>8656</v>
      </c>
      <c r="C5525" t="s">
        <v>5470</v>
      </c>
      <c r="D5525" t="s">
        <v>4200</v>
      </c>
      <c r="E5525" t="s">
        <v>5532</v>
      </c>
      <c r="F5525" t="s">
        <v>21520</v>
      </c>
      <c r="G5525" t="s">
        <v>20181</v>
      </c>
      <c r="H5525" t="s">
        <v>5474</v>
      </c>
      <c r="I5525" t="s">
        <v>21521</v>
      </c>
      <c r="J5525" t="s">
        <v>5476</v>
      </c>
      <c r="K5525" t="s">
        <v>21522</v>
      </c>
      <c r="L5525" t="s">
        <v>5471</v>
      </c>
      <c r="M5525" t="s">
        <v>5471</v>
      </c>
    </row>
    <row r="5526" spans="1:13" x14ac:dyDescent="0.3">
      <c r="A5526" t="s">
        <v>3388</v>
      </c>
      <c r="B5526" t="s">
        <v>8656</v>
      </c>
      <c r="C5526" t="s">
        <v>5470</v>
      </c>
      <c r="D5526" t="s">
        <v>4200</v>
      </c>
      <c r="E5526" t="s">
        <v>5532</v>
      </c>
      <c r="F5526" t="s">
        <v>21523</v>
      </c>
      <c r="G5526" t="s">
        <v>20181</v>
      </c>
      <c r="H5526" t="s">
        <v>5474</v>
      </c>
      <c r="I5526" t="s">
        <v>21524</v>
      </c>
      <c r="J5526" t="s">
        <v>5476</v>
      </c>
      <c r="K5526" t="s">
        <v>21525</v>
      </c>
      <c r="L5526" t="s">
        <v>5471</v>
      </c>
      <c r="M5526" t="s">
        <v>5471</v>
      </c>
    </row>
    <row r="5527" spans="1:13" x14ac:dyDescent="0.3">
      <c r="A5527" t="s">
        <v>3388</v>
      </c>
      <c r="B5527" t="s">
        <v>8656</v>
      </c>
      <c r="C5527" t="s">
        <v>5470</v>
      </c>
      <c r="D5527" t="s">
        <v>4200</v>
      </c>
      <c r="E5527" t="s">
        <v>5532</v>
      </c>
      <c r="F5527" t="s">
        <v>21526</v>
      </c>
      <c r="G5527" t="s">
        <v>20181</v>
      </c>
      <c r="H5527" t="s">
        <v>5474</v>
      </c>
      <c r="I5527" t="s">
        <v>21527</v>
      </c>
      <c r="J5527" t="s">
        <v>5476</v>
      </c>
      <c r="K5527" t="s">
        <v>21528</v>
      </c>
      <c r="L5527" t="s">
        <v>5471</v>
      </c>
      <c r="M5527" t="s">
        <v>5471</v>
      </c>
    </row>
    <row r="5528" spans="1:13" x14ac:dyDescent="0.3">
      <c r="A5528" t="s">
        <v>3388</v>
      </c>
      <c r="B5528" t="s">
        <v>10961</v>
      </c>
      <c r="C5528" t="s">
        <v>5470</v>
      </c>
      <c r="D5528" t="s">
        <v>4200</v>
      </c>
      <c r="E5528" t="s">
        <v>5617</v>
      </c>
      <c r="F5528" t="s">
        <v>21529</v>
      </c>
      <c r="G5528" t="s">
        <v>17665</v>
      </c>
      <c r="H5528" t="s">
        <v>5474</v>
      </c>
      <c r="I5528" t="s">
        <v>21530</v>
      </c>
      <c r="J5528" t="s">
        <v>5476</v>
      </c>
      <c r="K5528" t="s">
        <v>21531</v>
      </c>
      <c r="L5528" t="s">
        <v>5471</v>
      </c>
      <c r="M5528" t="s">
        <v>5471</v>
      </c>
    </row>
    <row r="5529" spans="1:13" x14ac:dyDescent="0.3">
      <c r="A5529" t="s">
        <v>3388</v>
      </c>
      <c r="B5529" t="s">
        <v>10961</v>
      </c>
      <c r="C5529" t="s">
        <v>5470</v>
      </c>
      <c r="D5529" t="s">
        <v>4200</v>
      </c>
      <c r="E5529" t="s">
        <v>5617</v>
      </c>
      <c r="F5529" t="s">
        <v>21532</v>
      </c>
      <c r="G5529" t="s">
        <v>17665</v>
      </c>
      <c r="H5529" t="s">
        <v>5474</v>
      </c>
      <c r="I5529" t="s">
        <v>21533</v>
      </c>
      <c r="J5529" t="s">
        <v>5476</v>
      </c>
      <c r="K5529" t="s">
        <v>21534</v>
      </c>
      <c r="L5529" t="s">
        <v>5471</v>
      </c>
      <c r="M5529" t="s">
        <v>5471</v>
      </c>
    </row>
    <row r="5530" spans="1:13" x14ac:dyDescent="0.3">
      <c r="A5530" t="s">
        <v>3388</v>
      </c>
      <c r="B5530" t="s">
        <v>10961</v>
      </c>
      <c r="C5530" t="s">
        <v>5470</v>
      </c>
      <c r="D5530" t="s">
        <v>4200</v>
      </c>
      <c r="E5530" t="s">
        <v>5617</v>
      </c>
      <c r="F5530" t="s">
        <v>21535</v>
      </c>
      <c r="G5530" t="s">
        <v>17665</v>
      </c>
      <c r="H5530" t="s">
        <v>5474</v>
      </c>
      <c r="I5530" t="s">
        <v>21536</v>
      </c>
      <c r="J5530" t="s">
        <v>5476</v>
      </c>
      <c r="K5530" t="s">
        <v>21537</v>
      </c>
      <c r="L5530" t="s">
        <v>5471</v>
      </c>
      <c r="M5530" t="s">
        <v>5471</v>
      </c>
    </row>
    <row r="5531" spans="1:13" x14ac:dyDescent="0.3">
      <c r="A5531" t="s">
        <v>3388</v>
      </c>
      <c r="B5531" t="s">
        <v>10961</v>
      </c>
      <c r="C5531" t="s">
        <v>5470</v>
      </c>
      <c r="D5531" t="s">
        <v>4200</v>
      </c>
      <c r="E5531" t="s">
        <v>5617</v>
      </c>
      <c r="F5531" t="s">
        <v>21538</v>
      </c>
      <c r="G5531" t="s">
        <v>11054</v>
      </c>
      <c r="H5531" t="s">
        <v>5474</v>
      </c>
      <c r="I5531" t="s">
        <v>21539</v>
      </c>
      <c r="J5531" t="s">
        <v>5476</v>
      </c>
      <c r="K5531" t="s">
        <v>21540</v>
      </c>
      <c r="L5531" t="s">
        <v>5471</v>
      </c>
      <c r="M5531" t="s">
        <v>5471</v>
      </c>
    </row>
    <row r="5532" spans="1:13" x14ac:dyDescent="0.3">
      <c r="A5532" t="s">
        <v>3388</v>
      </c>
      <c r="B5532" t="s">
        <v>10961</v>
      </c>
      <c r="C5532" t="s">
        <v>5470</v>
      </c>
      <c r="D5532" t="s">
        <v>4200</v>
      </c>
      <c r="E5532" t="s">
        <v>5617</v>
      </c>
      <c r="F5532" t="s">
        <v>21541</v>
      </c>
      <c r="G5532" t="s">
        <v>11054</v>
      </c>
      <c r="H5532" t="s">
        <v>5474</v>
      </c>
      <c r="I5532" t="s">
        <v>21542</v>
      </c>
      <c r="J5532" t="s">
        <v>5476</v>
      </c>
      <c r="K5532" t="s">
        <v>21543</v>
      </c>
      <c r="L5532" t="s">
        <v>5471</v>
      </c>
      <c r="M5532" t="s">
        <v>5471</v>
      </c>
    </row>
    <row r="5533" spans="1:13" x14ac:dyDescent="0.3">
      <c r="A5533" t="s">
        <v>3388</v>
      </c>
      <c r="B5533" t="s">
        <v>10961</v>
      </c>
      <c r="C5533" t="s">
        <v>5470</v>
      </c>
      <c r="D5533" t="s">
        <v>4200</v>
      </c>
      <c r="E5533" t="s">
        <v>5617</v>
      </c>
      <c r="F5533" t="s">
        <v>21544</v>
      </c>
      <c r="G5533" t="s">
        <v>11054</v>
      </c>
      <c r="H5533" t="s">
        <v>5474</v>
      </c>
      <c r="I5533" t="s">
        <v>21545</v>
      </c>
      <c r="J5533" t="s">
        <v>5476</v>
      </c>
      <c r="K5533" t="s">
        <v>21546</v>
      </c>
      <c r="L5533" t="s">
        <v>5471</v>
      </c>
      <c r="M5533" t="s">
        <v>5471</v>
      </c>
    </row>
    <row r="5534" spans="1:13" x14ac:dyDescent="0.3">
      <c r="A5534" t="s">
        <v>3388</v>
      </c>
      <c r="B5534" t="s">
        <v>10870</v>
      </c>
      <c r="C5534" t="s">
        <v>5470</v>
      </c>
      <c r="D5534" t="s">
        <v>4200</v>
      </c>
      <c r="E5534" t="s">
        <v>5532</v>
      </c>
      <c r="F5534" t="s">
        <v>21547</v>
      </c>
      <c r="G5534" t="s">
        <v>21548</v>
      </c>
      <c r="H5534" t="s">
        <v>5474</v>
      </c>
      <c r="I5534" t="s">
        <v>21549</v>
      </c>
      <c r="J5534" t="s">
        <v>5476</v>
      </c>
      <c r="K5534" t="s">
        <v>21550</v>
      </c>
      <c r="L5534" t="s">
        <v>5471</v>
      </c>
      <c r="M5534" t="s">
        <v>5471</v>
      </c>
    </row>
    <row r="5535" spans="1:13" x14ac:dyDescent="0.3">
      <c r="A5535" t="s">
        <v>3388</v>
      </c>
      <c r="B5535" t="s">
        <v>10870</v>
      </c>
      <c r="C5535" t="s">
        <v>5470</v>
      </c>
      <c r="D5535" t="s">
        <v>4200</v>
      </c>
      <c r="E5535" t="s">
        <v>5532</v>
      </c>
      <c r="F5535" t="s">
        <v>21551</v>
      </c>
      <c r="G5535" t="s">
        <v>21548</v>
      </c>
      <c r="H5535" t="s">
        <v>5474</v>
      </c>
      <c r="I5535" t="s">
        <v>21552</v>
      </c>
      <c r="J5535" t="s">
        <v>5476</v>
      </c>
      <c r="K5535" t="s">
        <v>21553</v>
      </c>
      <c r="L5535" t="s">
        <v>5471</v>
      </c>
      <c r="M5535" t="s">
        <v>5471</v>
      </c>
    </row>
    <row r="5536" spans="1:13" x14ac:dyDescent="0.3">
      <c r="A5536" t="s">
        <v>3388</v>
      </c>
      <c r="B5536" t="s">
        <v>10870</v>
      </c>
      <c r="C5536" t="s">
        <v>5470</v>
      </c>
      <c r="D5536" t="s">
        <v>4200</v>
      </c>
      <c r="E5536" t="s">
        <v>5532</v>
      </c>
      <c r="F5536" t="s">
        <v>21554</v>
      </c>
      <c r="G5536" t="s">
        <v>21548</v>
      </c>
      <c r="H5536" t="s">
        <v>5474</v>
      </c>
      <c r="I5536" t="s">
        <v>21555</v>
      </c>
      <c r="J5536" t="s">
        <v>5476</v>
      </c>
      <c r="K5536" t="s">
        <v>21556</v>
      </c>
      <c r="L5536" t="s">
        <v>5471</v>
      </c>
      <c r="M5536" t="s">
        <v>5471</v>
      </c>
    </row>
    <row r="5537" spans="1:13" x14ac:dyDescent="0.3">
      <c r="A5537" t="s">
        <v>3388</v>
      </c>
      <c r="B5537" t="s">
        <v>5296</v>
      </c>
      <c r="C5537" t="s">
        <v>5470</v>
      </c>
      <c r="D5537" t="s">
        <v>4200</v>
      </c>
      <c r="E5537" t="s">
        <v>5532</v>
      </c>
      <c r="F5537" t="s">
        <v>21557</v>
      </c>
      <c r="G5537" t="s">
        <v>18360</v>
      </c>
      <c r="H5537" t="s">
        <v>5474</v>
      </c>
      <c r="I5537" t="s">
        <v>21558</v>
      </c>
      <c r="J5537" t="s">
        <v>5476</v>
      </c>
      <c r="K5537" t="s">
        <v>21559</v>
      </c>
      <c r="L5537" t="s">
        <v>5471</v>
      </c>
      <c r="M5537" t="s">
        <v>5471</v>
      </c>
    </row>
    <row r="5538" spans="1:13" x14ac:dyDescent="0.3">
      <c r="A5538" t="s">
        <v>3388</v>
      </c>
      <c r="B5538" t="s">
        <v>5299</v>
      </c>
      <c r="C5538" t="s">
        <v>5470</v>
      </c>
      <c r="D5538" t="s">
        <v>4200</v>
      </c>
      <c r="E5538" t="s">
        <v>5532</v>
      </c>
      <c r="F5538" t="s">
        <v>21560</v>
      </c>
      <c r="G5538" t="s">
        <v>21561</v>
      </c>
      <c r="H5538" t="s">
        <v>5474</v>
      </c>
      <c r="I5538" t="s">
        <v>21562</v>
      </c>
      <c r="J5538" t="s">
        <v>5476</v>
      </c>
      <c r="K5538" t="s">
        <v>21563</v>
      </c>
      <c r="L5538" t="s">
        <v>5471</v>
      </c>
      <c r="M5538" t="s">
        <v>5471</v>
      </c>
    </row>
    <row r="5539" spans="1:13" x14ac:dyDescent="0.3">
      <c r="A5539" t="s">
        <v>3388</v>
      </c>
      <c r="B5539" t="s">
        <v>8799</v>
      </c>
      <c r="C5539" t="s">
        <v>5470</v>
      </c>
      <c r="D5539" t="s">
        <v>4200</v>
      </c>
      <c r="E5539" t="s">
        <v>5617</v>
      </c>
      <c r="F5539" t="s">
        <v>21564</v>
      </c>
      <c r="G5539" t="s">
        <v>21565</v>
      </c>
      <c r="H5539" t="s">
        <v>5474</v>
      </c>
      <c r="I5539" t="s">
        <v>21566</v>
      </c>
      <c r="J5539" t="s">
        <v>5476</v>
      </c>
      <c r="K5539" t="s">
        <v>21567</v>
      </c>
      <c r="L5539" t="s">
        <v>5471</v>
      </c>
      <c r="M5539" t="s">
        <v>5471</v>
      </c>
    </row>
    <row r="5540" spans="1:13" x14ac:dyDescent="0.3">
      <c r="A5540" t="s">
        <v>3388</v>
      </c>
      <c r="B5540" t="s">
        <v>21568</v>
      </c>
      <c r="C5540" t="s">
        <v>5470</v>
      </c>
      <c r="D5540" t="s">
        <v>4200</v>
      </c>
      <c r="E5540" t="s">
        <v>5532</v>
      </c>
      <c r="F5540" t="s">
        <v>21569</v>
      </c>
      <c r="G5540" t="s">
        <v>21570</v>
      </c>
      <c r="H5540" t="s">
        <v>5474</v>
      </c>
      <c r="I5540" t="s">
        <v>21571</v>
      </c>
      <c r="J5540" t="s">
        <v>5476</v>
      </c>
      <c r="K5540" t="s">
        <v>21572</v>
      </c>
      <c r="L5540" t="s">
        <v>5471</v>
      </c>
      <c r="M5540" t="s">
        <v>5471</v>
      </c>
    </row>
    <row r="5541" spans="1:13" x14ac:dyDescent="0.3">
      <c r="A5541" t="s">
        <v>3388</v>
      </c>
      <c r="B5541" t="s">
        <v>21568</v>
      </c>
      <c r="C5541" t="s">
        <v>5470</v>
      </c>
      <c r="D5541" t="s">
        <v>4200</v>
      </c>
      <c r="E5541" t="s">
        <v>5532</v>
      </c>
      <c r="F5541" t="s">
        <v>21573</v>
      </c>
      <c r="G5541" t="s">
        <v>21570</v>
      </c>
      <c r="H5541" t="s">
        <v>5474</v>
      </c>
      <c r="I5541" t="s">
        <v>21574</v>
      </c>
      <c r="J5541" t="s">
        <v>5476</v>
      </c>
      <c r="K5541" t="s">
        <v>21575</v>
      </c>
      <c r="L5541" t="s">
        <v>5471</v>
      </c>
      <c r="M5541" t="s">
        <v>5471</v>
      </c>
    </row>
    <row r="5542" spans="1:13" x14ac:dyDescent="0.3">
      <c r="A5542" t="s">
        <v>3388</v>
      </c>
      <c r="B5542" t="s">
        <v>21568</v>
      </c>
      <c r="C5542" t="s">
        <v>5470</v>
      </c>
      <c r="D5542" t="s">
        <v>4200</v>
      </c>
      <c r="E5542" t="s">
        <v>5532</v>
      </c>
      <c r="F5542" t="s">
        <v>21576</v>
      </c>
      <c r="G5542" t="s">
        <v>21570</v>
      </c>
      <c r="H5542" t="s">
        <v>5474</v>
      </c>
      <c r="I5542" t="s">
        <v>21577</v>
      </c>
      <c r="J5542" t="s">
        <v>5476</v>
      </c>
      <c r="K5542" t="s">
        <v>21578</v>
      </c>
      <c r="L5542" t="s">
        <v>5471</v>
      </c>
      <c r="M5542" t="s">
        <v>5471</v>
      </c>
    </row>
    <row r="5543" spans="1:13" x14ac:dyDescent="0.3">
      <c r="A5543" t="s">
        <v>3388</v>
      </c>
      <c r="B5543" t="s">
        <v>8799</v>
      </c>
      <c r="C5543" t="s">
        <v>5470</v>
      </c>
      <c r="D5543" t="s">
        <v>4200</v>
      </c>
      <c r="E5543" t="s">
        <v>5756</v>
      </c>
      <c r="F5543" t="s">
        <v>21579</v>
      </c>
      <c r="G5543" t="s">
        <v>15977</v>
      </c>
      <c r="H5543" t="s">
        <v>5474</v>
      </c>
      <c r="I5543" t="s">
        <v>21580</v>
      </c>
      <c r="J5543" t="s">
        <v>5476</v>
      </c>
      <c r="K5543" t="s">
        <v>21581</v>
      </c>
      <c r="L5543" t="s">
        <v>5471</v>
      </c>
      <c r="M5543" t="s">
        <v>5471</v>
      </c>
    </row>
    <row r="5544" spans="1:13" x14ac:dyDescent="0.3">
      <c r="A5544" t="s">
        <v>3388</v>
      </c>
      <c r="B5544" t="s">
        <v>8799</v>
      </c>
      <c r="C5544" t="s">
        <v>5470</v>
      </c>
      <c r="D5544" t="s">
        <v>4200</v>
      </c>
      <c r="E5544" t="s">
        <v>5756</v>
      </c>
      <c r="F5544" t="s">
        <v>21582</v>
      </c>
      <c r="G5544" t="s">
        <v>15977</v>
      </c>
      <c r="H5544" t="s">
        <v>5474</v>
      </c>
      <c r="I5544" t="s">
        <v>21583</v>
      </c>
      <c r="J5544" t="s">
        <v>5476</v>
      </c>
      <c r="K5544" t="s">
        <v>21584</v>
      </c>
      <c r="L5544" t="s">
        <v>5471</v>
      </c>
      <c r="M5544" t="s">
        <v>5471</v>
      </c>
    </row>
    <row r="5545" spans="1:13" x14ac:dyDescent="0.3">
      <c r="A5545" t="s">
        <v>3388</v>
      </c>
      <c r="B5545" t="s">
        <v>8799</v>
      </c>
      <c r="C5545" t="s">
        <v>5470</v>
      </c>
      <c r="D5545" t="s">
        <v>4200</v>
      </c>
      <c r="E5545" t="s">
        <v>5756</v>
      </c>
      <c r="F5545" t="s">
        <v>21585</v>
      </c>
      <c r="G5545" t="s">
        <v>15977</v>
      </c>
      <c r="H5545" t="s">
        <v>5474</v>
      </c>
      <c r="I5545" t="s">
        <v>21586</v>
      </c>
      <c r="J5545" t="s">
        <v>5476</v>
      </c>
      <c r="K5545" t="s">
        <v>21587</v>
      </c>
      <c r="L5545" t="s">
        <v>5471</v>
      </c>
      <c r="M5545" t="s">
        <v>5471</v>
      </c>
    </row>
    <row r="5546" spans="1:13" x14ac:dyDescent="0.3">
      <c r="A5546" t="s">
        <v>3388</v>
      </c>
      <c r="B5546" t="s">
        <v>11186</v>
      </c>
      <c r="C5546" t="s">
        <v>5470</v>
      </c>
      <c r="D5546" t="s">
        <v>4200</v>
      </c>
      <c r="E5546" t="s">
        <v>5532</v>
      </c>
      <c r="F5546" t="s">
        <v>21588</v>
      </c>
      <c r="G5546" t="s">
        <v>21589</v>
      </c>
      <c r="H5546" t="s">
        <v>5474</v>
      </c>
      <c r="I5546" t="s">
        <v>21590</v>
      </c>
      <c r="J5546" t="s">
        <v>5476</v>
      </c>
      <c r="K5546" t="s">
        <v>21591</v>
      </c>
      <c r="L5546" t="s">
        <v>5471</v>
      </c>
      <c r="M5546" t="s">
        <v>5471</v>
      </c>
    </row>
    <row r="5547" spans="1:13" x14ac:dyDescent="0.3">
      <c r="A5547" t="s">
        <v>3388</v>
      </c>
      <c r="B5547" t="s">
        <v>11186</v>
      </c>
      <c r="C5547" t="s">
        <v>5470</v>
      </c>
      <c r="D5547" t="s">
        <v>4200</v>
      </c>
      <c r="E5547" t="s">
        <v>5532</v>
      </c>
      <c r="F5547" t="s">
        <v>21592</v>
      </c>
      <c r="G5547" t="s">
        <v>21589</v>
      </c>
      <c r="H5547" t="s">
        <v>5474</v>
      </c>
      <c r="I5547" t="s">
        <v>21593</v>
      </c>
      <c r="J5547" t="s">
        <v>5476</v>
      </c>
      <c r="K5547" t="s">
        <v>21594</v>
      </c>
      <c r="L5547" t="s">
        <v>5471</v>
      </c>
      <c r="M5547" t="s">
        <v>5471</v>
      </c>
    </row>
    <row r="5548" spans="1:13" x14ac:dyDescent="0.3">
      <c r="A5548" t="s">
        <v>3388</v>
      </c>
      <c r="B5548" t="s">
        <v>21595</v>
      </c>
      <c r="C5548" t="s">
        <v>5470</v>
      </c>
      <c r="D5548" t="s">
        <v>4200</v>
      </c>
      <c r="E5548" t="s">
        <v>5617</v>
      </c>
      <c r="F5548" t="s">
        <v>21596</v>
      </c>
      <c r="G5548" t="s">
        <v>21597</v>
      </c>
      <c r="H5548" t="s">
        <v>5474</v>
      </c>
      <c r="I5548" t="s">
        <v>21598</v>
      </c>
      <c r="J5548" t="s">
        <v>5476</v>
      </c>
      <c r="K5548" t="s">
        <v>21599</v>
      </c>
      <c r="L5548" t="s">
        <v>5471</v>
      </c>
      <c r="M5548" t="s">
        <v>5471</v>
      </c>
    </row>
    <row r="5549" spans="1:13" x14ac:dyDescent="0.3">
      <c r="A5549" t="s">
        <v>3388</v>
      </c>
      <c r="B5549" t="s">
        <v>21595</v>
      </c>
      <c r="C5549" t="s">
        <v>5470</v>
      </c>
      <c r="D5549" t="s">
        <v>4200</v>
      </c>
      <c r="E5549" t="s">
        <v>5617</v>
      </c>
      <c r="F5549" t="s">
        <v>21600</v>
      </c>
      <c r="G5549" t="s">
        <v>21597</v>
      </c>
      <c r="H5549" t="s">
        <v>5474</v>
      </c>
      <c r="I5549" t="s">
        <v>21601</v>
      </c>
      <c r="J5549" t="s">
        <v>5476</v>
      </c>
      <c r="K5549" t="s">
        <v>21602</v>
      </c>
      <c r="L5549" t="s">
        <v>5471</v>
      </c>
      <c r="M5549" t="s">
        <v>5471</v>
      </c>
    </row>
    <row r="5550" spans="1:13" x14ac:dyDescent="0.3">
      <c r="A5550" t="s">
        <v>3388</v>
      </c>
      <c r="B5550" t="s">
        <v>21595</v>
      </c>
      <c r="C5550" t="s">
        <v>5470</v>
      </c>
      <c r="D5550" t="s">
        <v>4200</v>
      </c>
      <c r="E5550" t="s">
        <v>5617</v>
      </c>
      <c r="F5550" t="s">
        <v>21603</v>
      </c>
      <c r="G5550" t="s">
        <v>21597</v>
      </c>
      <c r="H5550" t="s">
        <v>5474</v>
      </c>
      <c r="I5550" t="s">
        <v>21604</v>
      </c>
      <c r="J5550" t="s">
        <v>5476</v>
      </c>
      <c r="K5550" t="s">
        <v>21605</v>
      </c>
      <c r="L5550" t="s">
        <v>5471</v>
      </c>
      <c r="M5550" t="s">
        <v>5471</v>
      </c>
    </row>
    <row r="5551" spans="1:13" x14ac:dyDescent="0.3">
      <c r="A5551" t="s">
        <v>3388</v>
      </c>
      <c r="B5551" t="s">
        <v>15892</v>
      </c>
      <c r="C5551" t="s">
        <v>5470</v>
      </c>
      <c r="D5551" t="s">
        <v>4200</v>
      </c>
      <c r="E5551" t="s">
        <v>5532</v>
      </c>
      <c r="F5551" t="s">
        <v>21606</v>
      </c>
      <c r="G5551" t="s">
        <v>21607</v>
      </c>
      <c r="H5551" t="s">
        <v>5474</v>
      </c>
      <c r="I5551" t="s">
        <v>21608</v>
      </c>
      <c r="J5551" t="s">
        <v>5476</v>
      </c>
      <c r="K5551" t="s">
        <v>21609</v>
      </c>
      <c r="L5551" t="s">
        <v>5471</v>
      </c>
      <c r="M5551" t="s">
        <v>5471</v>
      </c>
    </row>
    <row r="5552" spans="1:13" x14ac:dyDescent="0.3">
      <c r="A5552" t="s">
        <v>3388</v>
      </c>
      <c r="B5552" t="s">
        <v>15892</v>
      </c>
      <c r="C5552" t="s">
        <v>5470</v>
      </c>
      <c r="D5552" t="s">
        <v>4200</v>
      </c>
      <c r="E5552" t="s">
        <v>5532</v>
      </c>
      <c r="F5552" t="s">
        <v>21610</v>
      </c>
      <c r="G5552" t="s">
        <v>21607</v>
      </c>
      <c r="H5552" t="s">
        <v>5474</v>
      </c>
      <c r="I5552" t="s">
        <v>21611</v>
      </c>
      <c r="J5552" t="s">
        <v>5476</v>
      </c>
      <c r="K5552" t="s">
        <v>21612</v>
      </c>
      <c r="L5552" t="s">
        <v>5471</v>
      </c>
      <c r="M5552" t="s">
        <v>5471</v>
      </c>
    </row>
    <row r="5553" spans="1:13" x14ac:dyDescent="0.3">
      <c r="A5553" t="s">
        <v>3388</v>
      </c>
      <c r="B5553" t="s">
        <v>15892</v>
      </c>
      <c r="C5553" t="s">
        <v>5470</v>
      </c>
      <c r="D5553" t="s">
        <v>4200</v>
      </c>
      <c r="E5553" t="s">
        <v>5532</v>
      </c>
      <c r="F5553" t="s">
        <v>21613</v>
      </c>
      <c r="G5553" t="s">
        <v>21607</v>
      </c>
      <c r="H5553" t="s">
        <v>5474</v>
      </c>
      <c r="I5553" t="s">
        <v>21614</v>
      </c>
      <c r="J5553" t="s">
        <v>5476</v>
      </c>
      <c r="K5553" t="s">
        <v>21615</v>
      </c>
      <c r="L5553" t="s">
        <v>5471</v>
      </c>
      <c r="M5553" t="s">
        <v>5471</v>
      </c>
    </row>
    <row r="5554" spans="1:13" x14ac:dyDescent="0.3">
      <c r="A5554" t="s">
        <v>3388</v>
      </c>
      <c r="B5554" t="s">
        <v>11423</v>
      </c>
      <c r="C5554" t="s">
        <v>5470</v>
      </c>
      <c r="D5554" t="s">
        <v>4200</v>
      </c>
      <c r="E5554" t="s">
        <v>5617</v>
      </c>
      <c r="F5554" t="s">
        <v>21616</v>
      </c>
      <c r="G5554" t="s">
        <v>21617</v>
      </c>
      <c r="H5554" t="s">
        <v>5474</v>
      </c>
      <c r="I5554" t="s">
        <v>21618</v>
      </c>
      <c r="J5554" t="s">
        <v>5476</v>
      </c>
      <c r="K5554" t="s">
        <v>21619</v>
      </c>
      <c r="L5554" t="s">
        <v>5471</v>
      </c>
      <c r="M5554" t="s">
        <v>5471</v>
      </c>
    </row>
    <row r="5555" spans="1:13" x14ac:dyDescent="0.3">
      <c r="A5555" t="s">
        <v>3388</v>
      </c>
      <c r="B5555" t="s">
        <v>11423</v>
      </c>
      <c r="C5555" t="s">
        <v>5470</v>
      </c>
      <c r="D5555" t="s">
        <v>4200</v>
      </c>
      <c r="E5555" t="s">
        <v>5617</v>
      </c>
      <c r="F5555" t="s">
        <v>21620</v>
      </c>
      <c r="G5555" t="s">
        <v>21617</v>
      </c>
      <c r="H5555" t="s">
        <v>5474</v>
      </c>
      <c r="I5555" t="s">
        <v>21621</v>
      </c>
      <c r="J5555" t="s">
        <v>5476</v>
      </c>
      <c r="K5555" t="s">
        <v>21622</v>
      </c>
      <c r="L5555" t="s">
        <v>5471</v>
      </c>
      <c r="M5555" t="s">
        <v>5471</v>
      </c>
    </row>
    <row r="5556" spans="1:13" x14ac:dyDescent="0.3">
      <c r="A5556" t="s">
        <v>3388</v>
      </c>
      <c r="B5556" t="s">
        <v>11423</v>
      </c>
      <c r="C5556" t="s">
        <v>5470</v>
      </c>
      <c r="D5556" t="s">
        <v>4200</v>
      </c>
      <c r="E5556" t="s">
        <v>5617</v>
      </c>
      <c r="F5556" t="s">
        <v>21623</v>
      </c>
      <c r="G5556" t="s">
        <v>21617</v>
      </c>
      <c r="H5556" t="s">
        <v>5474</v>
      </c>
      <c r="I5556" t="s">
        <v>21624</v>
      </c>
      <c r="J5556" t="s">
        <v>5476</v>
      </c>
      <c r="K5556" t="s">
        <v>21625</v>
      </c>
      <c r="L5556" t="s">
        <v>5471</v>
      </c>
      <c r="M5556" t="s">
        <v>5471</v>
      </c>
    </row>
    <row r="5557" spans="1:13" x14ac:dyDescent="0.3">
      <c r="A5557" t="s">
        <v>3388</v>
      </c>
      <c r="B5557" t="s">
        <v>11423</v>
      </c>
      <c r="C5557" t="s">
        <v>5470</v>
      </c>
      <c r="D5557" t="s">
        <v>4200</v>
      </c>
      <c r="E5557" t="s">
        <v>5617</v>
      </c>
      <c r="F5557" t="s">
        <v>21626</v>
      </c>
      <c r="G5557" t="s">
        <v>21627</v>
      </c>
      <c r="H5557" t="s">
        <v>5474</v>
      </c>
      <c r="I5557" t="s">
        <v>21628</v>
      </c>
      <c r="J5557" t="s">
        <v>5476</v>
      </c>
      <c r="K5557" t="s">
        <v>21629</v>
      </c>
      <c r="L5557" t="s">
        <v>5471</v>
      </c>
      <c r="M5557" t="s">
        <v>5471</v>
      </c>
    </row>
    <row r="5558" spans="1:13" x14ac:dyDescent="0.3">
      <c r="A5558" t="s">
        <v>3388</v>
      </c>
      <c r="B5558" t="s">
        <v>11423</v>
      </c>
      <c r="C5558" t="s">
        <v>5470</v>
      </c>
      <c r="D5558" t="s">
        <v>4200</v>
      </c>
      <c r="E5558" t="s">
        <v>5617</v>
      </c>
      <c r="F5558" t="s">
        <v>21630</v>
      </c>
      <c r="G5558" t="s">
        <v>21627</v>
      </c>
      <c r="H5558" t="s">
        <v>5474</v>
      </c>
      <c r="I5558" t="s">
        <v>21631</v>
      </c>
      <c r="J5558" t="s">
        <v>5476</v>
      </c>
      <c r="K5558" t="s">
        <v>21632</v>
      </c>
      <c r="L5558" t="s">
        <v>5471</v>
      </c>
      <c r="M5558" t="s">
        <v>5471</v>
      </c>
    </row>
    <row r="5559" spans="1:13" x14ac:dyDescent="0.3">
      <c r="A5559" t="s">
        <v>3388</v>
      </c>
      <c r="B5559" t="s">
        <v>11423</v>
      </c>
      <c r="C5559" t="s">
        <v>5470</v>
      </c>
      <c r="D5559" t="s">
        <v>4200</v>
      </c>
      <c r="E5559" t="s">
        <v>5617</v>
      </c>
      <c r="F5559" t="s">
        <v>21633</v>
      </c>
      <c r="G5559" t="s">
        <v>21627</v>
      </c>
      <c r="H5559" t="s">
        <v>5474</v>
      </c>
      <c r="I5559" t="s">
        <v>21634</v>
      </c>
      <c r="J5559" t="s">
        <v>5476</v>
      </c>
      <c r="K5559" t="s">
        <v>21635</v>
      </c>
      <c r="L5559" t="s">
        <v>5471</v>
      </c>
      <c r="M5559" t="s">
        <v>5471</v>
      </c>
    </row>
    <row r="5560" spans="1:13" x14ac:dyDescent="0.3">
      <c r="A5560" t="s">
        <v>3388</v>
      </c>
      <c r="B5560" t="s">
        <v>15953</v>
      </c>
      <c r="C5560" t="s">
        <v>5470</v>
      </c>
      <c r="D5560" t="s">
        <v>4200</v>
      </c>
      <c r="E5560" t="s">
        <v>5532</v>
      </c>
      <c r="F5560" t="s">
        <v>21636</v>
      </c>
      <c r="G5560" t="s">
        <v>19999</v>
      </c>
      <c r="H5560" t="s">
        <v>5474</v>
      </c>
      <c r="I5560" t="s">
        <v>21637</v>
      </c>
      <c r="J5560" t="s">
        <v>5476</v>
      </c>
      <c r="K5560" t="s">
        <v>21638</v>
      </c>
      <c r="L5560" t="s">
        <v>5471</v>
      </c>
      <c r="M5560" t="s">
        <v>5471</v>
      </c>
    </row>
    <row r="5561" spans="1:13" x14ac:dyDescent="0.3">
      <c r="A5561" t="s">
        <v>3388</v>
      </c>
      <c r="B5561" t="s">
        <v>15953</v>
      </c>
      <c r="C5561" t="s">
        <v>5470</v>
      </c>
      <c r="D5561" t="s">
        <v>4200</v>
      </c>
      <c r="E5561" t="s">
        <v>5532</v>
      </c>
      <c r="F5561" t="s">
        <v>21639</v>
      </c>
      <c r="G5561" t="s">
        <v>19999</v>
      </c>
      <c r="H5561" t="s">
        <v>5474</v>
      </c>
      <c r="I5561" t="s">
        <v>21640</v>
      </c>
      <c r="J5561" t="s">
        <v>5476</v>
      </c>
      <c r="K5561" t="s">
        <v>21641</v>
      </c>
      <c r="L5561" t="s">
        <v>5471</v>
      </c>
      <c r="M5561" t="s">
        <v>5471</v>
      </c>
    </row>
    <row r="5562" spans="1:13" x14ac:dyDescent="0.3">
      <c r="A5562" t="s">
        <v>3388</v>
      </c>
      <c r="B5562" t="s">
        <v>15953</v>
      </c>
      <c r="C5562" t="s">
        <v>5470</v>
      </c>
      <c r="D5562" t="s">
        <v>4200</v>
      </c>
      <c r="E5562" t="s">
        <v>5532</v>
      </c>
      <c r="F5562" t="s">
        <v>21642</v>
      </c>
      <c r="G5562" t="s">
        <v>19999</v>
      </c>
      <c r="H5562" t="s">
        <v>5474</v>
      </c>
      <c r="I5562" t="s">
        <v>21643</v>
      </c>
      <c r="J5562" t="s">
        <v>5476</v>
      </c>
      <c r="K5562" t="s">
        <v>21644</v>
      </c>
      <c r="L5562" t="s">
        <v>5471</v>
      </c>
      <c r="M5562" t="s">
        <v>5471</v>
      </c>
    </row>
    <row r="5563" spans="1:13" x14ac:dyDescent="0.3">
      <c r="A5563" t="s">
        <v>3388</v>
      </c>
      <c r="B5563" t="s">
        <v>2749</v>
      </c>
      <c r="C5563" t="s">
        <v>5470</v>
      </c>
      <c r="D5563" t="s">
        <v>4200</v>
      </c>
      <c r="E5563" t="s">
        <v>5532</v>
      </c>
      <c r="F5563" t="s">
        <v>21645</v>
      </c>
      <c r="G5563" t="s">
        <v>10498</v>
      </c>
      <c r="H5563" t="s">
        <v>5474</v>
      </c>
      <c r="I5563" t="s">
        <v>21646</v>
      </c>
      <c r="J5563" t="s">
        <v>5476</v>
      </c>
      <c r="K5563" t="s">
        <v>21647</v>
      </c>
      <c r="L5563" t="s">
        <v>5471</v>
      </c>
      <c r="M5563" t="s">
        <v>5471</v>
      </c>
    </row>
    <row r="5564" spans="1:13" x14ac:dyDescent="0.3">
      <c r="A5564" t="s">
        <v>3388</v>
      </c>
      <c r="B5564" t="s">
        <v>2749</v>
      </c>
      <c r="C5564" t="s">
        <v>5470</v>
      </c>
      <c r="D5564" t="s">
        <v>4200</v>
      </c>
      <c r="E5564" t="s">
        <v>5532</v>
      </c>
      <c r="F5564" t="s">
        <v>21648</v>
      </c>
      <c r="G5564" t="s">
        <v>10498</v>
      </c>
      <c r="H5564" t="s">
        <v>5474</v>
      </c>
      <c r="I5564" t="s">
        <v>21649</v>
      </c>
      <c r="J5564" t="s">
        <v>5476</v>
      </c>
      <c r="K5564" t="s">
        <v>21650</v>
      </c>
      <c r="L5564" t="s">
        <v>5471</v>
      </c>
      <c r="M5564" t="s">
        <v>5471</v>
      </c>
    </row>
    <row r="5565" spans="1:13" x14ac:dyDescent="0.3">
      <c r="A5565" t="s">
        <v>3388</v>
      </c>
      <c r="B5565" t="s">
        <v>2749</v>
      </c>
      <c r="C5565" t="s">
        <v>5470</v>
      </c>
      <c r="D5565" t="s">
        <v>4200</v>
      </c>
      <c r="E5565" t="s">
        <v>5532</v>
      </c>
      <c r="F5565" t="s">
        <v>21651</v>
      </c>
      <c r="G5565" t="s">
        <v>21652</v>
      </c>
      <c r="H5565" t="s">
        <v>5474</v>
      </c>
      <c r="I5565" t="s">
        <v>21653</v>
      </c>
      <c r="J5565" t="s">
        <v>5476</v>
      </c>
      <c r="K5565" t="s">
        <v>21654</v>
      </c>
      <c r="L5565" t="s">
        <v>5471</v>
      </c>
      <c r="M5565" t="s">
        <v>5471</v>
      </c>
    </row>
    <row r="5566" spans="1:13" x14ac:dyDescent="0.3">
      <c r="A5566" t="s">
        <v>3388</v>
      </c>
      <c r="B5566" t="s">
        <v>2749</v>
      </c>
      <c r="C5566" t="s">
        <v>5470</v>
      </c>
      <c r="D5566" t="s">
        <v>4200</v>
      </c>
      <c r="E5566" t="s">
        <v>5532</v>
      </c>
      <c r="F5566" t="s">
        <v>21655</v>
      </c>
      <c r="G5566" t="s">
        <v>21656</v>
      </c>
      <c r="H5566" t="s">
        <v>5474</v>
      </c>
      <c r="I5566" t="s">
        <v>21657</v>
      </c>
      <c r="J5566" t="s">
        <v>5476</v>
      </c>
      <c r="K5566" t="s">
        <v>21658</v>
      </c>
      <c r="L5566" t="s">
        <v>5471</v>
      </c>
      <c r="M5566" t="s">
        <v>5471</v>
      </c>
    </row>
    <row r="5567" spans="1:13" x14ac:dyDescent="0.3">
      <c r="A5567" t="s">
        <v>3388</v>
      </c>
      <c r="B5567" t="s">
        <v>2749</v>
      </c>
      <c r="C5567" t="s">
        <v>5470</v>
      </c>
      <c r="D5567" t="s">
        <v>4200</v>
      </c>
      <c r="E5567" t="s">
        <v>5532</v>
      </c>
      <c r="F5567" t="s">
        <v>21659</v>
      </c>
      <c r="G5567" t="s">
        <v>21656</v>
      </c>
      <c r="H5567" t="s">
        <v>5474</v>
      </c>
      <c r="I5567" t="s">
        <v>21660</v>
      </c>
      <c r="J5567" t="s">
        <v>5476</v>
      </c>
      <c r="K5567" t="s">
        <v>21661</v>
      </c>
      <c r="L5567" t="s">
        <v>5471</v>
      </c>
      <c r="M5567" t="s">
        <v>5471</v>
      </c>
    </row>
    <row r="5568" spans="1:13" x14ac:dyDescent="0.3">
      <c r="A5568" t="s">
        <v>3388</v>
      </c>
      <c r="B5568" t="s">
        <v>10865</v>
      </c>
      <c r="C5568" t="s">
        <v>5470</v>
      </c>
      <c r="D5568" t="s">
        <v>4200</v>
      </c>
      <c r="E5568" t="s">
        <v>5532</v>
      </c>
      <c r="F5568" t="s">
        <v>21662</v>
      </c>
      <c r="G5568" t="s">
        <v>15782</v>
      </c>
      <c r="H5568" t="s">
        <v>5474</v>
      </c>
      <c r="I5568" t="s">
        <v>21663</v>
      </c>
      <c r="J5568" t="s">
        <v>5476</v>
      </c>
      <c r="K5568" t="s">
        <v>21664</v>
      </c>
      <c r="L5568" t="s">
        <v>5471</v>
      </c>
      <c r="M5568" t="s">
        <v>5471</v>
      </c>
    </row>
    <row r="5569" spans="1:13" x14ac:dyDescent="0.3">
      <c r="A5569" t="s">
        <v>3388</v>
      </c>
      <c r="B5569" t="s">
        <v>10865</v>
      </c>
      <c r="C5569" t="s">
        <v>5470</v>
      </c>
      <c r="D5569" t="s">
        <v>4200</v>
      </c>
      <c r="E5569" t="s">
        <v>5532</v>
      </c>
      <c r="F5569" t="s">
        <v>21665</v>
      </c>
      <c r="G5569" t="s">
        <v>15782</v>
      </c>
      <c r="H5569" t="s">
        <v>5474</v>
      </c>
      <c r="I5569" t="s">
        <v>21666</v>
      </c>
      <c r="J5569" t="s">
        <v>5476</v>
      </c>
      <c r="K5569" t="s">
        <v>21667</v>
      </c>
      <c r="L5569" t="s">
        <v>5471</v>
      </c>
      <c r="M5569" t="s">
        <v>5471</v>
      </c>
    </row>
    <row r="5570" spans="1:13" x14ac:dyDescent="0.3">
      <c r="A5570" t="s">
        <v>3388</v>
      </c>
      <c r="B5570" t="s">
        <v>10865</v>
      </c>
      <c r="C5570" t="s">
        <v>5470</v>
      </c>
      <c r="D5570" t="s">
        <v>4200</v>
      </c>
      <c r="E5570" t="s">
        <v>5532</v>
      </c>
      <c r="F5570" t="s">
        <v>21668</v>
      </c>
      <c r="G5570" t="s">
        <v>15782</v>
      </c>
      <c r="H5570" t="s">
        <v>5474</v>
      </c>
      <c r="I5570" t="s">
        <v>21669</v>
      </c>
      <c r="J5570" t="s">
        <v>5476</v>
      </c>
      <c r="K5570" t="s">
        <v>21670</v>
      </c>
      <c r="L5570" t="s">
        <v>5471</v>
      </c>
      <c r="M5570" t="s">
        <v>5471</v>
      </c>
    </row>
    <row r="5571" spans="1:13" x14ac:dyDescent="0.3">
      <c r="A5571" t="s">
        <v>3388</v>
      </c>
      <c r="B5571" t="s">
        <v>7101</v>
      </c>
      <c r="C5571" t="s">
        <v>5470</v>
      </c>
      <c r="D5571" t="s">
        <v>4200</v>
      </c>
      <c r="E5571" t="s">
        <v>5532</v>
      </c>
      <c r="F5571" t="s">
        <v>21671</v>
      </c>
      <c r="G5571" t="s">
        <v>21672</v>
      </c>
      <c r="H5571" t="s">
        <v>5474</v>
      </c>
      <c r="I5571" t="s">
        <v>21673</v>
      </c>
      <c r="J5571" t="s">
        <v>5476</v>
      </c>
      <c r="K5571" t="s">
        <v>21674</v>
      </c>
      <c r="L5571" t="s">
        <v>5471</v>
      </c>
      <c r="M5571" t="s">
        <v>5471</v>
      </c>
    </row>
    <row r="5572" spans="1:13" x14ac:dyDescent="0.3">
      <c r="A5572" t="s">
        <v>3388</v>
      </c>
      <c r="B5572" t="s">
        <v>7101</v>
      </c>
      <c r="C5572" t="s">
        <v>5470</v>
      </c>
      <c r="D5572" t="s">
        <v>4200</v>
      </c>
      <c r="E5572" t="s">
        <v>5532</v>
      </c>
      <c r="F5572" t="s">
        <v>21675</v>
      </c>
      <c r="G5572" t="s">
        <v>21672</v>
      </c>
      <c r="H5572" t="s">
        <v>5474</v>
      </c>
      <c r="I5572" t="s">
        <v>21676</v>
      </c>
      <c r="J5572" t="s">
        <v>5476</v>
      </c>
      <c r="K5572" t="s">
        <v>21677</v>
      </c>
      <c r="L5572" t="s">
        <v>5471</v>
      </c>
      <c r="M5572" t="s">
        <v>5471</v>
      </c>
    </row>
    <row r="5573" spans="1:13" x14ac:dyDescent="0.3">
      <c r="A5573" t="s">
        <v>3388</v>
      </c>
      <c r="B5573" t="s">
        <v>7101</v>
      </c>
      <c r="C5573" t="s">
        <v>5470</v>
      </c>
      <c r="D5573" t="s">
        <v>4200</v>
      </c>
      <c r="E5573" t="s">
        <v>5532</v>
      </c>
      <c r="F5573" t="s">
        <v>21678</v>
      </c>
      <c r="G5573" t="s">
        <v>21672</v>
      </c>
      <c r="H5573" t="s">
        <v>5474</v>
      </c>
      <c r="I5573" t="s">
        <v>21679</v>
      </c>
      <c r="J5573" t="s">
        <v>5476</v>
      </c>
      <c r="K5573" t="s">
        <v>21680</v>
      </c>
      <c r="L5573" t="s">
        <v>5471</v>
      </c>
      <c r="M5573" t="s">
        <v>5471</v>
      </c>
    </row>
    <row r="5574" spans="1:13" x14ac:dyDescent="0.3">
      <c r="A5574" t="s">
        <v>3388</v>
      </c>
      <c r="B5574" t="s">
        <v>8573</v>
      </c>
      <c r="C5574" t="s">
        <v>5470</v>
      </c>
      <c r="D5574" t="s">
        <v>4200</v>
      </c>
      <c r="E5574" t="s">
        <v>5532</v>
      </c>
      <c r="F5574" t="s">
        <v>21681</v>
      </c>
      <c r="G5574" t="s">
        <v>5554</v>
      </c>
      <c r="H5574" t="s">
        <v>5474</v>
      </c>
      <c r="I5574" t="s">
        <v>21682</v>
      </c>
      <c r="J5574" t="s">
        <v>5476</v>
      </c>
      <c r="K5574" t="s">
        <v>21683</v>
      </c>
      <c r="L5574" t="s">
        <v>5471</v>
      </c>
      <c r="M5574" t="s">
        <v>5471</v>
      </c>
    </row>
    <row r="5575" spans="1:13" x14ac:dyDescent="0.3">
      <c r="A5575" t="s">
        <v>3388</v>
      </c>
      <c r="B5575" t="s">
        <v>8573</v>
      </c>
      <c r="C5575" t="s">
        <v>5470</v>
      </c>
      <c r="D5575" t="s">
        <v>4200</v>
      </c>
      <c r="E5575" t="s">
        <v>5532</v>
      </c>
      <c r="F5575" t="s">
        <v>21684</v>
      </c>
      <c r="G5575" t="s">
        <v>5554</v>
      </c>
      <c r="H5575" t="s">
        <v>5474</v>
      </c>
      <c r="I5575" t="s">
        <v>21685</v>
      </c>
      <c r="J5575" t="s">
        <v>5476</v>
      </c>
      <c r="K5575" t="s">
        <v>21686</v>
      </c>
      <c r="L5575" t="s">
        <v>5471</v>
      </c>
      <c r="M5575" t="s">
        <v>5471</v>
      </c>
    </row>
    <row r="5576" spans="1:13" x14ac:dyDescent="0.3">
      <c r="A5576" t="s">
        <v>3388</v>
      </c>
      <c r="B5576" t="s">
        <v>8573</v>
      </c>
      <c r="C5576" t="s">
        <v>5470</v>
      </c>
      <c r="D5576" t="s">
        <v>4200</v>
      </c>
      <c r="E5576" t="s">
        <v>5532</v>
      </c>
      <c r="F5576" t="s">
        <v>21687</v>
      </c>
      <c r="G5576" t="s">
        <v>5554</v>
      </c>
      <c r="H5576" t="s">
        <v>5474</v>
      </c>
      <c r="I5576" t="s">
        <v>21688</v>
      </c>
      <c r="J5576" t="s">
        <v>5476</v>
      </c>
      <c r="K5576" t="s">
        <v>21689</v>
      </c>
      <c r="L5576" t="s">
        <v>5471</v>
      </c>
      <c r="M5576" t="s">
        <v>5471</v>
      </c>
    </row>
    <row r="5577" spans="1:13" x14ac:dyDescent="0.3">
      <c r="A5577" t="s">
        <v>3388</v>
      </c>
      <c r="B5577" t="s">
        <v>19343</v>
      </c>
      <c r="C5577" t="s">
        <v>5470</v>
      </c>
      <c r="D5577" t="s">
        <v>4200</v>
      </c>
      <c r="E5577" t="s">
        <v>5532</v>
      </c>
      <c r="F5577" t="s">
        <v>21690</v>
      </c>
      <c r="G5577" t="s">
        <v>21691</v>
      </c>
      <c r="H5577" t="s">
        <v>5474</v>
      </c>
      <c r="I5577" t="s">
        <v>21692</v>
      </c>
      <c r="J5577" t="s">
        <v>5476</v>
      </c>
      <c r="K5577" t="s">
        <v>21693</v>
      </c>
      <c r="L5577" t="s">
        <v>5471</v>
      </c>
      <c r="M5577" t="s">
        <v>5471</v>
      </c>
    </row>
    <row r="5578" spans="1:13" x14ac:dyDescent="0.3">
      <c r="A5578" t="s">
        <v>3388</v>
      </c>
      <c r="B5578" t="s">
        <v>7109</v>
      </c>
      <c r="C5578" t="s">
        <v>5470</v>
      </c>
      <c r="D5578" t="s">
        <v>4200</v>
      </c>
      <c r="E5578" t="s">
        <v>5480</v>
      </c>
      <c r="F5578" t="s">
        <v>21694</v>
      </c>
      <c r="G5578" t="s">
        <v>10952</v>
      </c>
      <c r="H5578" t="s">
        <v>5474</v>
      </c>
      <c r="I5578" t="s">
        <v>21695</v>
      </c>
      <c r="J5578" t="s">
        <v>5476</v>
      </c>
      <c r="K5578" t="s">
        <v>21696</v>
      </c>
      <c r="L5578" t="s">
        <v>5471</v>
      </c>
      <c r="M5578" t="s">
        <v>5471</v>
      </c>
    </row>
    <row r="5579" spans="1:13" x14ac:dyDescent="0.3">
      <c r="A5579" t="s">
        <v>3388</v>
      </c>
      <c r="B5579" t="s">
        <v>7109</v>
      </c>
      <c r="C5579" t="s">
        <v>5470</v>
      </c>
      <c r="D5579" t="s">
        <v>4200</v>
      </c>
      <c r="E5579" t="s">
        <v>5480</v>
      </c>
      <c r="F5579" t="s">
        <v>21697</v>
      </c>
      <c r="G5579" t="s">
        <v>10952</v>
      </c>
      <c r="H5579" t="s">
        <v>5474</v>
      </c>
      <c r="I5579" t="s">
        <v>21698</v>
      </c>
      <c r="J5579" t="s">
        <v>5476</v>
      </c>
      <c r="K5579" t="s">
        <v>21699</v>
      </c>
      <c r="L5579" t="s">
        <v>5471</v>
      </c>
      <c r="M5579" t="s">
        <v>5471</v>
      </c>
    </row>
    <row r="5580" spans="1:13" x14ac:dyDescent="0.3">
      <c r="A5580" t="s">
        <v>3388</v>
      </c>
      <c r="B5580" t="s">
        <v>7109</v>
      </c>
      <c r="C5580" t="s">
        <v>5470</v>
      </c>
      <c r="D5580" t="s">
        <v>4200</v>
      </c>
      <c r="E5580" t="s">
        <v>5480</v>
      </c>
      <c r="F5580" t="s">
        <v>21700</v>
      </c>
      <c r="G5580" t="s">
        <v>10952</v>
      </c>
      <c r="H5580" t="s">
        <v>5474</v>
      </c>
      <c r="I5580" t="s">
        <v>21701</v>
      </c>
      <c r="J5580" t="s">
        <v>5476</v>
      </c>
      <c r="K5580" t="s">
        <v>21702</v>
      </c>
      <c r="L5580" t="s">
        <v>5471</v>
      </c>
      <c r="M5580" t="s">
        <v>5471</v>
      </c>
    </row>
    <row r="5581" spans="1:13" x14ac:dyDescent="0.3">
      <c r="A5581" t="s">
        <v>3388</v>
      </c>
      <c r="B5581" t="s">
        <v>7109</v>
      </c>
      <c r="C5581" t="s">
        <v>5470</v>
      </c>
      <c r="D5581" t="s">
        <v>4200</v>
      </c>
      <c r="E5581" t="s">
        <v>5480</v>
      </c>
      <c r="F5581" t="s">
        <v>21703</v>
      </c>
      <c r="G5581" t="s">
        <v>10952</v>
      </c>
      <c r="H5581" t="s">
        <v>5474</v>
      </c>
      <c r="I5581" t="s">
        <v>21704</v>
      </c>
      <c r="J5581" t="s">
        <v>5476</v>
      </c>
      <c r="K5581" t="s">
        <v>21705</v>
      </c>
      <c r="L5581" t="s">
        <v>5471</v>
      </c>
      <c r="M5581" t="s">
        <v>5471</v>
      </c>
    </row>
    <row r="5582" spans="1:13" x14ac:dyDescent="0.3">
      <c r="A5582" t="s">
        <v>3388</v>
      </c>
      <c r="B5582" t="s">
        <v>8656</v>
      </c>
      <c r="C5582" t="s">
        <v>5470</v>
      </c>
      <c r="D5582" t="s">
        <v>10218</v>
      </c>
      <c r="E5582" t="s">
        <v>5617</v>
      </c>
      <c r="F5582" t="s">
        <v>21706</v>
      </c>
      <c r="G5582" t="s">
        <v>21707</v>
      </c>
      <c r="H5582" t="s">
        <v>5474</v>
      </c>
      <c r="I5582" t="s">
        <v>21708</v>
      </c>
      <c r="J5582" t="s">
        <v>5476</v>
      </c>
      <c r="K5582" t="s">
        <v>21709</v>
      </c>
      <c r="L5582" t="s">
        <v>5471</v>
      </c>
      <c r="M5582" t="s">
        <v>5471</v>
      </c>
    </row>
    <row r="5583" spans="1:13" x14ac:dyDescent="0.3">
      <c r="A5583" t="s">
        <v>3388</v>
      </c>
      <c r="B5583" t="s">
        <v>8656</v>
      </c>
      <c r="C5583" t="s">
        <v>5470</v>
      </c>
      <c r="D5583" t="s">
        <v>10218</v>
      </c>
      <c r="E5583" t="s">
        <v>5617</v>
      </c>
      <c r="F5583" t="s">
        <v>21710</v>
      </c>
      <c r="G5583" t="s">
        <v>21707</v>
      </c>
      <c r="H5583" t="s">
        <v>5474</v>
      </c>
      <c r="I5583" t="s">
        <v>21711</v>
      </c>
      <c r="J5583" t="s">
        <v>5476</v>
      </c>
      <c r="K5583" t="s">
        <v>21712</v>
      </c>
      <c r="L5583" t="s">
        <v>5471</v>
      </c>
      <c r="M5583" t="s">
        <v>5471</v>
      </c>
    </row>
    <row r="5584" spans="1:13" x14ac:dyDescent="0.3">
      <c r="A5584" t="s">
        <v>3388</v>
      </c>
      <c r="B5584" t="s">
        <v>8656</v>
      </c>
      <c r="C5584" t="s">
        <v>5470</v>
      </c>
      <c r="D5584" t="s">
        <v>10218</v>
      </c>
      <c r="E5584" t="s">
        <v>5617</v>
      </c>
      <c r="F5584" t="s">
        <v>21713</v>
      </c>
      <c r="G5584" t="s">
        <v>21707</v>
      </c>
      <c r="H5584" t="s">
        <v>5474</v>
      </c>
      <c r="I5584" t="s">
        <v>21714</v>
      </c>
      <c r="J5584" t="s">
        <v>5476</v>
      </c>
      <c r="K5584" t="s">
        <v>21715</v>
      </c>
      <c r="L5584" t="s">
        <v>5471</v>
      </c>
      <c r="M5584" t="s">
        <v>5471</v>
      </c>
    </row>
    <row r="5585" spans="1:13" x14ac:dyDescent="0.3">
      <c r="A5585" t="s">
        <v>3388</v>
      </c>
      <c r="B5585" t="s">
        <v>8799</v>
      </c>
      <c r="C5585" t="s">
        <v>5470</v>
      </c>
      <c r="D5585" t="s">
        <v>10218</v>
      </c>
      <c r="E5585" t="s">
        <v>5756</v>
      </c>
      <c r="F5585" t="s">
        <v>21716</v>
      </c>
      <c r="G5585" t="s">
        <v>15977</v>
      </c>
      <c r="H5585" t="s">
        <v>5474</v>
      </c>
      <c r="I5585" t="s">
        <v>21717</v>
      </c>
      <c r="J5585" t="s">
        <v>5476</v>
      </c>
      <c r="K5585" t="s">
        <v>21718</v>
      </c>
      <c r="L5585" t="s">
        <v>5471</v>
      </c>
      <c r="M5585" t="s">
        <v>5471</v>
      </c>
    </row>
    <row r="5586" spans="1:13" x14ac:dyDescent="0.3">
      <c r="A5586" t="s">
        <v>3388</v>
      </c>
      <c r="B5586" t="s">
        <v>8799</v>
      </c>
      <c r="C5586" t="s">
        <v>5470</v>
      </c>
      <c r="D5586" t="s">
        <v>10218</v>
      </c>
      <c r="E5586" t="s">
        <v>5756</v>
      </c>
      <c r="F5586" t="s">
        <v>21719</v>
      </c>
      <c r="G5586" t="s">
        <v>15977</v>
      </c>
      <c r="H5586" t="s">
        <v>5474</v>
      </c>
      <c r="I5586" t="s">
        <v>21720</v>
      </c>
      <c r="J5586" t="s">
        <v>5476</v>
      </c>
      <c r="K5586" t="s">
        <v>21721</v>
      </c>
      <c r="L5586" t="s">
        <v>5471</v>
      </c>
      <c r="M5586" t="s">
        <v>5471</v>
      </c>
    </row>
    <row r="5587" spans="1:13" x14ac:dyDescent="0.3">
      <c r="A5587" t="s">
        <v>3388</v>
      </c>
      <c r="B5587" t="s">
        <v>8799</v>
      </c>
      <c r="C5587" t="s">
        <v>5470</v>
      </c>
      <c r="D5587" t="s">
        <v>10218</v>
      </c>
      <c r="E5587" t="s">
        <v>5756</v>
      </c>
      <c r="F5587" t="s">
        <v>21722</v>
      </c>
      <c r="G5587" t="s">
        <v>15977</v>
      </c>
      <c r="H5587" t="s">
        <v>5474</v>
      </c>
      <c r="I5587" t="s">
        <v>21723</v>
      </c>
      <c r="J5587" t="s">
        <v>5476</v>
      </c>
      <c r="K5587" t="s">
        <v>21724</v>
      </c>
      <c r="L5587" t="s">
        <v>5471</v>
      </c>
      <c r="M5587" t="s">
        <v>5471</v>
      </c>
    </row>
    <row r="5588" spans="1:13" x14ac:dyDescent="0.3">
      <c r="A5588" t="s">
        <v>3388</v>
      </c>
      <c r="B5588" t="s">
        <v>8573</v>
      </c>
      <c r="C5588" t="s">
        <v>5470</v>
      </c>
      <c r="D5588" t="s">
        <v>10218</v>
      </c>
      <c r="E5588" t="s">
        <v>5756</v>
      </c>
      <c r="F5588" t="s">
        <v>21725</v>
      </c>
      <c r="G5588" t="s">
        <v>8015</v>
      </c>
      <c r="H5588" t="s">
        <v>5474</v>
      </c>
      <c r="I5588" t="s">
        <v>21726</v>
      </c>
      <c r="J5588" t="s">
        <v>5476</v>
      </c>
      <c r="K5588" t="s">
        <v>21727</v>
      </c>
      <c r="L5588" t="s">
        <v>5471</v>
      </c>
      <c r="M5588" t="s">
        <v>5471</v>
      </c>
    </row>
    <row r="5589" spans="1:13" x14ac:dyDescent="0.3">
      <c r="A5589" t="s">
        <v>3388</v>
      </c>
      <c r="B5589" t="s">
        <v>8573</v>
      </c>
      <c r="C5589" t="s">
        <v>5470</v>
      </c>
      <c r="D5589" t="s">
        <v>10218</v>
      </c>
      <c r="E5589" t="s">
        <v>5756</v>
      </c>
      <c r="F5589" t="s">
        <v>21728</v>
      </c>
      <c r="G5589" t="s">
        <v>8015</v>
      </c>
      <c r="H5589" t="s">
        <v>5474</v>
      </c>
      <c r="I5589" t="s">
        <v>21729</v>
      </c>
      <c r="J5589" t="s">
        <v>5476</v>
      </c>
      <c r="K5589" t="s">
        <v>21730</v>
      </c>
      <c r="L5589" t="s">
        <v>5471</v>
      </c>
      <c r="M5589" t="s">
        <v>5471</v>
      </c>
    </row>
    <row r="5590" spans="1:13" x14ac:dyDescent="0.3">
      <c r="A5590" t="s">
        <v>3388</v>
      </c>
      <c r="B5590" t="s">
        <v>8573</v>
      </c>
      <c r="C5590" t="s">
        <v>5470</v>
      </c>
      <c r="D5590" t="s">
        <v>10218</v>
      </c>
      <c r="E5590" t="s">
        <v>5756</v>
      </c>
      <c r="F5590" t="s">
        <v>21731</v>
      </c>
      <c r="G5590" t="s">
        <v>8015</v>
      </c>
      <c r="H5590" t="s">
        <v>5474</v>
      </c>
      <c r="I5590" t="s">
        <v>21732</v>
      </c>
      <c r="J5590" t="s">
        <v>5476</v>
      </c>
      <c r="K5590" t="s">
        <v>21733</v>
      </c>
      <c r="L5590" t="s">
        <v>5471</v>
      </c>
      <c r="M5590" t="s">
        <v>5471</v>
      </c>
    </row>
    <row r="5591" spans="1:13" x14ac:dyDescent="0.3">
      <c r="A5591" t="s">
        <v>3388</v>
      </c>
      <c r="B5591" t="s">
        <v>8573</v>
      </c>
      <c r="C5591" t="s">
        <v>5470</v>
      </c>
      <c r="D5591" t="s">
        <v>10218</v>
      </c>
      <c r="E5591" t="s">
        <v>5756</v>
      </c>
      <c r="F5591" t="s">
        <v>21734</v>
      </c>
      <c r="G5591" t="s">
        <v>21735</v>
      </c>
      <c r="H5591" t="s">
        <v>5474</v>
      </c>
      <c r="I5591" t="s">
        <v>21736</v>
      </c>
      <c r="J5591" t="s">
        <v>5476</v>
      </c>
      <c r="K5591" t="s">
        <v>21737</v>
      </c>
      <c r="L5591" t="s">
        <v>5471</v>
      </c>
      <c r="M5591" t="s">
        <v>5471</v>
      </c>
    </row>
    <row r="5592" spans="1:13" x14ac:dyDescent="0.3">
      <c r="A5592" t="s">
        <v>3388</v>
      </c>
      <c r="B5592" t="s">
        <v>8573</v>
      </c>
      <c r="C5592" t="s">
        <v>5470</v>
      </c>
      <c r="D5592" t="s">
        <v>10218</v>
      </c>
      <c r="E5592" t="s">
        <v>5756</v>
      </c>
      <c r="F5592" t="s">
        <v>21738</v>
      </c>
      <c r="G5592" t="s">
        <v>17333</v>
      </c>
      <c r="H5592" t="s">
        <v>5474</v>
      </c>
      <c r="I5592" t="s">
        <v>21739</v>
      </c>
      <c r="J5592" t="s">
        <v>5476</v>
      </c>
      <c r="K5592" t="s">
        <v>21740</v>
      </c>
      <c r="L5592" t="s">
        <v>5471</v>
      </c>
      <c r="M5592" t="s">
        <v>5471</v>
      </c>
    </row>
    <row r="5593" spans="1:13" x14ac:dyDescent="0.3">
      <c r="A5593" t="s">
        <v>3388</v>
      </c>
      <c r="B5593" t="s">
        <v>8573</v>
      </c>
      <c r="C5593" t="s">
        <v>5470</v>
      </c>
      <c r="D5593" t="s">
        <v>10218</v>
      </c>
      <c r="E5593" t="s">
        <v>5756</v>
      </c>
      <c r="F5593" t="s">
        <v>21741</v>
      </c>
      <c r="G5593" t="s">
        <v>17333</v>
      </c>
      <c r="H5593" t="s">
        <v>5474</v>
      </c>
      <c r="I5593" t="s">
        <v>21742</v>
      </c>
      <c r="J5593" t="s">
        <v>5476</v>
      </c>
      <c r="K5593" t="s">
        <v>21743</v>
      </c>
      <c r="L5593" t="s">
        <v>5471</v>
      </c>
      <c r="M5593" t="s">
        <v>5471</v>
      </c>
    </row>
    <row r="5594" spans="1:13" x14ac:dyDescent="0.3">
      <c r="A5594" t="s">
        <v>3388</v>
      </c>
      <c r="B5594" t="s">
        <v>8573</v>
      </c>
      <c r="C5594" t="s">
        <v>5470</v>
      </c>
      <c r="D5594" t="s">
        <v>10218</v>
      </c>
      <c r="E5594" t="s">
        <v>5756</v>
      </c>
      <c r="F5594" t="s">
        <v>21744</v>
      </c>
      <c r="G5594" t="s">
        <v>17333</v>
      </c>
      <c r="H5594" t="s">
        <v>5474</v>
      </c>
      <c r="I5594" t="s">
        <v>21745</v>
      </c>
      <c r="J5594" t="s">
        <v>5476</v>
      </c>
      <c r="K5594" t="s">
        <v>21746</v>
      </c>
      <c r="L5594" t="s">
        <v>5471</v>
      </c>
      <c r="M5594" t="s">
        <v>5471</v>
      </c>
    </row>
    <row r="5595" spans="1:13" x14ac:dyDescent="0.3">
      <c r="A5595" t="s">
        <v>3388</v>
      </c>
      <c r="B5595" t="s">
        <v>8573</v>
      </c>
      <c r="C5595" t="s">
        <v>5470</v>
      </c>
      <c r="D5595" t="s">
        <v>10218</v>
      </c>
      <c r="E5595" t="s">
        <v>5756</v>
      </c>
      <c r="F5595" t="s">
        <v>21747</v>
      </c>
      <c r="G5595" t="s">
        <v>11355</v>
      </c>
      <c r="H5595" t="s">
        <v>5474</v>
      </c>
      <c r="I5595" t="s">
        <v>21748</v>
      </c>
      <c r="J5595" t="s">
        <v>5476</v>
      </c>
      <c r="K5595" t="s">
        <v>21749</v>
      </c>
      <c r="L5595" t="s">
        <v>5471</v>
      </c>
      <c r="M5595" t="s">
        <v>5471</v>
      </c>
    </row>
    <row r="5596" spans="1:13" x14ac:dyDescent="0.3">
      <c r="A5596" t="s">
        <v>3388</v>
      </c>
      <c r="B5596" t="s">
        <v>8573</v>
      </c>
      <c r="C5596" t="s">
        <v>5470</v>
      </c>
      <c r="D5596" t="s">
        <v>10218</v>
      </c>
      <c r="E5596" t="s">
        <v>5756</v>
      </c>
      <c r="F5596" t="s">
        <v>21750</v>
      </c>
      <c r="G5596" t="s">
        <v>11355</v>
      </c>
      <c r="H5596" t="s">
        <v>5474</v>
      </c>
      <c r="I5596" t="s">
        <v>21751</v>
      </c>
      <c r="J5596" t="s">
        <v>5476</v>
      </c>
      <c r="K5596" t="s">
        <v>21752</v>
      </c>
      <c r="L5596" t="s">
        <v>5471</v>
      </c>
      <c r="M5596" t="s">
        <v>5471</v>
      </c>
    </row>
    <row r="5597" spans="1:13" x14ac:dyDescent="0.3">
      <c r="A5597" t="s">
        <v>3388</v>
      </c>
      <c r="B5597" t="s">
        <v>8573</v>
      </c>
      <c r="C5597" t="s">
        <v>5470</v>
      </c>
      <c r="D5597" t="s">
        <v>10218</v>
      </c>
      <c r="E5597" t="s">
        <v>5756</v>
      </c>
      <c r="F5597" t="s">
        <v>21753</v>
      </c>
      <c r="G5597" t="s">
        <v>11355</v>
      </c>
      <c r="H5597" t="s">
        <v>5474</v>
      </c>
      <c r="I5597" t="s">
        <v>21754</v>
      </c>
      <c r="J5597" t="s">
        <v>5476</v>
      </c>
      <c r="K5597" t="s">
        <v>21755</v>
      </c>
      <c r="L5597" t="s">
        <v>5471</v>
      </c>
      <c r="M5597" t="s">
        <v>5471</v>
      </c>
    </row>
    <row r="5598" spans="1:13" x14ac:dyDescent="0.3">
      <c r="A5598" t="s">
        <v>3388</v>
      </c>
      <c r="B5598" t="s">
        <v>5341</v>
      </c>
      <c r="C5598" t="s">
        <v>5470</v>
      </c>
      <c r="D5598" t="s">
        <v>10218</v>
      </c>
      <c r="E5598" t="s">
        <v>5617</v>
      </c>
      <c r="F5598" t="s">
        <v>21756</v>
      </c>
      <c r="G5598" t="s">
        <v>21757</v>
      </c>
      <c r="H5598" t="s">
        <v>5474</v>
      </c>
      <c r="I5598" t="s">
        <v>21758</v>
      </c>
      <c r="J5598" t="s">
        <v>5476</v>
      </c>
      <c r="K5598" t="s">
        <v>21759</v>
      </c>
      <c r="L5598" t="s">
        <v>5471</v>
      </c>
      <c r="M5598" t="s">
        <v>5471</v>
      </c>
    </row>
    <row r="5599" spans="1:13" x14ac:dyDescent="0.3">
      <c r="A5599" t="s">
        <v>3388</v>
      </c>
      <c r="B5599" t="s">
        <v>5341</v>
      </c>
      <c r="C5599" t="s">
        <v>5470</v>
      </c>
      <c r="D5599" t="s">
        <v>10218</v>
      </c>
      <c r="E5599" t="s">
        <v>5617</v>
      </c>
      <c r="F5599" t="s">
        <v>21760</v>
      </c>
      <c r="G5599" t="s">
        <v>21757</v>
      </c>
      <c r="H5599" t="s">
        <v>5474</v>
      </c>
      <c r="I5599" t="s">
        <v>21761</v>
      </c>
      <c r="J5599" t="s">
        <v>5476</v>
      </c>
      <c r="K5599" t="s">
        <v>21762</v>
      </c>
      <c r="L5599" t="s">
        <v>5471</v>
      </c>
      <c r="M5599" t="s">
        <v>5471</v>
      </c>
    </row>
    <row r="5600" spans="1:13" x14ac:dyDescent="0.3">
      <c r="A5600" t="s">
        <v>3388</v>
      </c>
      <c r="B5600" t="s">
        <v>5341</v>
      </c>
      <c r="C5600" t="s">
        <v>5470</v>
      </c>
      <c r="D5600" t="s">
        <v>10218</v>
      </c>
      <c r="E5600" t="s">
        <v>5617</v>
      </c>
      <c r="F5600" t="s">
        <v>21763</v>
      </c>
      <c r="G5600" t="s">
        <v>21757</v>
      </c>
      <c r="H5600" t="s">
        <v>5474</v>
      </c>
      <c r="I5600" t="s">
        <v>21764</v>
      </c>
      <c r="J5600" t="s">
        <v>5476</v>
      </c>
      <c r="K5600" t="s">
        <v>21765</v>
      </c>
      <c r="L5600" t="s">
        <v>5471</v>
      </c>
      <c r="M5600" t="s">
        <v>5471</v>
      </c>
    </row>
    <row r="5601" spans="1:13" x14ac:dyDescent="0.3">
      <c r="A5601" t="s">
        <v>3388</v>
      </c>
      <c r="B5601" t="s">
        <v>10417</v>
      </c>
      <c r="C5601" t="s">
        <v>5470</v>
      </c>
      <c r="D5601" t="s">
        <v>10218</v>
      </c>
      <c r="E5601" t="s">
        <v>5756</v>
      </c>
      <c r="F5601" t="s">
        <v>21766</v>
      </c>
      <c r="G5601" t="s">
        <v>21767</v>
      </c>
      <c r="H5601" t="s">
        <v>5474</v>
      </c>
      <c r="I5601" t="s">
        <v>21768</v>
      </c>
      <c r="J5601" t="s">
        <v>5476</v>
      </c>
      <c r="K5601" t="s">
        <v>21769</v>
      </c>
      <c r="L5601" t="s">
        <v>5471</v>
      </c>
      <c r="M5601" t="s">
        <v>5471</v>
      </c>
    </row>
    <row r="5602" spans="1:13" x14ac:dyDescent="0.3">
      <c r="A5602" t="s">
        <v>3388</v>
      </c>
      <c r="B5602" t="s">
        <v>10417</v>
      </c>
      <c r="C5602" t="s">
        <v>5470</v>
      </c>
      <c r="D5602" t="s">
        <v>10218</v>
      </c>
      <c r="E5602" t="s">
        <v>5756</v>
      </c>
      <c r="F5602" t="s">
        <v>21770</v>
      </c>
      <c r="G5602" t="s">
        <v>21767</v>
      </c>
      <c r="H5602" t="s">
        <v>5474</v>
      </c>
      <c r="I5602" t="s">
        <v>21771</v>
      </c>
      <c r="J5602" t="s">
        <v>5476</v>
      </c>
      <c r="K5602" t="s">
        <v>21772</v>
      </c>
      <c r="L5602" t="s">
        <v>5471</v>
      </c>
      <c r="M5602" t="s">
        <v>5471</v>
      </c>
    </row>
    <row r="5603" spans="1:13" x14ac:dyDescent="0.3">
      <c r="A5603" t="s">
        <v>3388</v>
      </c>
      <c r="B5603" t="s">
        <v>10417</v>
      </c>
      <c r="C5603" t="s">
        <v>5470</v>
      </c>
      <c r="D5603" t="s">
        <v>10218</v>
      </c>
      <c r="E5603" t="s">
        <v>5756</v>
      </c>
      <c r="F5603" t="s">
        <v>21773</v>
      </c>
      <c r="G5603" t="s">
        <v>21767</v>
      </c>
      <c r="H5603" t="s">
        <v>5474</v>
      </c>
      <c r="I5603" t="s">
        <v>21774</v>
      </c>
      <c r="J5603" t="s">
        <v>5476</v>
      </c>
      <c r="K5603" t="s">
        <v>21775</v>
      </c>
      <c r="L5603" t="s">
        <v>5471</v>
      </c>
      <c r="M5603" t="s">
        <v>5471</v>
      </c>
    </row>
    <row r="5604" spans="1:13" x14ac:dyDescent="0.3">
      <c r="A5604" t="s">
        <v>3388</v>
      </c>
      <c r="B5604" t="s">
        <v>10417</v>
      </c>
      <c r="C5604" t="s">
        <v>5470</v>
      </c>
      <c r="D5604" t="s">
        <v>10218</v>
      </c>
      <c r="E5604" t="s">
        <v>5756</v>
      </c>
      <c r="F5604" t="s">
        <v>21776</v>
      </c>
      <c r="G5604" t="s">
        <v>21777</v>
      </c>
      <c r="H5604" t="s">
        <v>5474</v>
      </c>
      <c r="I5604" t="s">
        <v>21778</v>
      </c>
      <c r="J5604" t="s">
        <v>5476</v>
      </c>
      <c r="K5604" t="s">
        <v>21779</v>
      </c>
      <c r="L5604" t="s">
        <v>5471</v>
      </c>
      <c r="M5604" t="s">
        <v>5471</v>
      </c>
    </row>
    <row r="5605" spans="1:13" x14ac:dyDescent="0.3">
      <c r="A5605" t="s">
        <v>3388</v>
      </c>
      <c r="B5605" t="s">
        <v>10417</v>
      </c>
      <c r="C5605" t="s">
        <v>5470</v>
      </c>
      <c r="D5605" t="s">
        <v>10218</v>
      </c>
      <c r="E5605" t="s">
        <v>5756</v>
      </c>
      <c r="F5605" t="s">
        <v>21780</v>
      </c>
      <c r="G5605" t="s">
        <v>21777</v>
      </c>
      <c r="H5605" t="s">
        <v>5474</v>
      </c>
      <c r="I5605" t="s">
        <v>21781</v>
      </c>
      <c r="J5605" t="s">
        <v>5476</v>
      </c>
      <c r="K5605" t="s">
        <v>21782</v>
      </c>
      <c r="L5605" t="s">
        <v>5471</v>
      </c>
      <c r="M5605" t="s">
        <v>5471</v>
      </c>
    </row>
    <row r="5606" spans="1:13" x14ac:dyDescent="0.3">
      <c r="A5606" t="s">
        <v>3388</v>
      </c>
      <c r="B5606" t="s">
        <v>10417</v>
      </c>
      <c r="C5606" t="s">
        <v>5470</v>
      </c>
      <c r="D5606" t="s">
        <v>10218</v>
      </c>
      <c r="E5606" t="s">
        <v>5756</v>
      </c>
      <c r="F5606" t="s">
        <v>21783</v>
      </c>
      <c r="G5606" t="s">
        <v>21777</v>
      </c>
      <c r="H5606" t="s">
        <v>5474</v>
      </c>
      <c r="I5606" t="s">
        <v>21784</v>
      </c>
      <c r="J5606" t="s">
        <v>5476</v>
      </c>
      <c r="K5606" t="s">
        <v>21785</v>
      </c>
      <c r="L5606" t="s">
        <v>5471</v>
      </c>
      <c r="M5606" t="s">
        <v>5471</v>
      </c>
    </row>
    <row r="5607" spans="1:13" x14ac:dyDescent="0.3">
      <c r="A5607" t="s">
        <v>3388</v>
      </c>
      <c r="B5607" t="s">
        <v>8573</v>
      </c>
      <c r="C5607" t="s">
        <v>5470</v>
      </c>
      <c r="D5607" t="s">
        <v>10218</v>
      </c>
      <c r="E5607" t="s">
        <v>5756</v>
      </c>
      <c r="F5607" t="s">
        <v>21786</v>
      </c>
      <c r="G5607" t="s">
        <v>18437</v>
      </c>
      <c r="H5607" t="s">
        <v>5474</v>
      </c>
      <c r="I5607" t="s">
        <v>21787</v>
      </c>
      <c r="J5607" t="s">
        <v>5476</v>
      </c>
      <c r="K5607" t="s">
        <v>21788</v>
      </c>
      <c r="L5607" t="s">
        <v>5471</v>
      </c>
      <c r="M5607" t="s">
        <v>5471</v>
      </c>
    </row>
    <row r="5608" spans="1:13" x14ac:dyDescent="0.3">
      <c r="A5608" t="s">
        <v>3388</v>
      </c>
      <c r="B5608" t="s">
        <v>11423</v>
      </c>
      <c r="C5608" t="s">
        <v>5470</v>
      </c>
      <c r="D5608" t="s">
        <v>10218</v>
      </c>
      <c r="E5608" t="s">
        <v>5532</v>
      </c>
      <c r="F5608" t="s">
        <v>21789</v>
      </c>
      <c r="G5608" t="s">
        <v>8317</v>
      </c>
      <c r="H5608" t="s">
        <v>5474</v>
      </c>
      <c r="I5608" t="s">
        <v>21790</v>
      </c>
      <c r="J5608" t="s">
        <v>5476</v>
      </c>
      <c r="K5608" t="s">
        <v>21791</v>
      </c>
      <c r="L5608" t="s">
        <v>5471</v>
      </c>
      <c r="M5608" t="s">
        <v>5471</v>
      </c>
    </row>
    <row r="5609" spans="1:13" x14ac:dyDescent="0.3">
      <c r="A5609" t="s">
        <v>3388</v>
      </c>
      <c r="B5609" t="s">
        <v>11423</v>
      </c>
      <c r="C5609" t="s">
        <v>5470</v>
      </c>
      <c r="D5609" t="s">
        <v>10218</v>
      </c>
      <c r="E5609" t="s">
        <v>5532</v>
      </c>
      <c r="F5609" t="s">
        <v>21792</v>
      </c>
      <c r="G5609" t="s">
        <v>8317</v>
      </c>
      <c r="H5609" t="s">
        <v>5474</v>
      </c>
      <c r="I5609" t="s">
        <v>21793</v>
      </c>
      <c r="J5609" t="s">
        <v>5476</v>
      </c>
      <c r="K5609" t="s">
        <v>21794</v>
      </c>
      <c r="L5609" t="s">
        <v>5471</v>
      </c>
      <c r="M5609" t="s">
        <v>5471</v>
      </c>
    </row>
    <row r="5610" spans="1:13" x14ac:dyDescent="0.3">
      <c r="A5610" t="s">
        <v>3388</v>
      </c>
      <c r="B5610" t="s">
        <v>7088</v>
      </c>
      <c r="C5610" t="s">
        <v>5470</v>
      </c>
      <c r="D5610" t="s">
        <v>4119</v>
      </c>
      <c r="E5610" t="s">
        <v>5532</v>
      </c>
      <c r="F5610" t="s">
        <v>21795</v>
      </c>
      <c r="G5610" t="s">
        <v>21796</v>
      </c>
      <c r="H5610" t="s">
        <v>5474</v>
      </c>
      <c r="I5610" t="s">
        <v>21797</v>
      </c>
      <c r="J5610" t="s">
        <v>5476</v>
      </c>
      <c r="K5610" t="s">
        <v>21798</v>
      </c>
      <c r="L5610" t="s">
        <v>5471</v>
      </c>
      <c r="M5610" t="s">
        <v>5471</v>
      </c>
    </row>
    <row r="5611" spans="1:13" x14ac:dyDescent="0.3">
      <c r="A5611" t="s">
        <v>3388</v>
      </c>
      <c r="B5611" t="s">
        <v>9921</v>
      </c>
      <c r="C5611" t="s">
        <v>5470</v>
      </c>
      <c r="D5611" t="s">
        <v>4119</v>
      </c>
      <c r="E5611" t="s">
        <v>5532</v>
      </c>
      <c r="F5611" t="s">
        <v>21799</v>
      </c>
      <c r="G5611" t="s">
        <v>17621</v>
      </c>
      <c r="H5611" t="s">
        <v>5474</v>
      </c>
      <c r="I5611" t="s">
        <v>21800</v>
      </c>
      <c r="J5611" t="s">
        <v>5476</v>
      </c>
      <c r="K5611" t="s">
        <v>21801</v>
      </c>
      <c r="L5611" t="s">
        <v>5471</v>
      </c>
      <c r="M5611" t="s">
        <v>5471</v>
      </c>
    </row>
    <row r="5612" spans="1:13" x14ac:dyDescent="0.3">
      <c r="A5612" t="s">
        <v>3388</v>
      </c>
      <c r="B5612" t="s">
        <v>9921</v>
      </c>
      <c r="C5612" t="s">
        <v>5470</v>
      </c>
      <c r="D5612" t="s">
        <v>4119</v>
      </c>
      <c r="E5612" t="s">
        <v>5532</v>
      </c>
      <c r="F5612" t="s">
        <v>21802</v>
      </c>
      <c r="G5612" t="s">
        <v>17809</v>
      </c>
      <c r="H5612" t="s">
        <v>5474</v>
      </c>
      <c r="I5612" t="s">
        <v>21803</v>
      </c>
      <c r="J5612" t="s">
        <v>5476</v>
      </c>
      <c r="K5612" t="s">
        <v>21804</v>
      </c>
      <c r="L5612" t="s">
        <v>5471</v>
      </c>
      <c r="M5612" t="s">
        <v>5471</v>
      </c>
    </row>
    <row r="5613" spans="1:13" x14ac:dyDescent="0.3">
      <c r="A5613" t="s">
        <v>3388</v>
      </c>
      <c r="B5613" t="s">
        <v>21595</v>
      </c>
      <c r="C5613" t="s">
        <v>5470</v>
      </c>
      <c r="D5613" t="s">
        <v>4119</v>
      </c>
      <c r="E5613" t="s">
        <v>5617</v>
      </c>
      <c r="F5613" t="s">
        <v>21805</v>
      </c>
      <c r="G5613" t="s">
        <v>21806</v>
      </c>
      <c r="H5613" t="s">
        <v>5474</v>
      </c>
      <c r="I5613" t="s">
        <v>21807</v>
      </c>
      <c r="J5613" t="s">
        <v>5476</v>
      </c>
      <c r="K5613" t="s">
        <v>21808</v>
      </c>
      <c r="L5613" t="s">
        <v>5471</v>
      </c>
      <c r="M5613" t="s">
        <v>5471</v>
      </c>
    </row>
    <row r="5614" spans="1:13" x14ac:dyDescent="0.3">
      <c r="A5614" t="s">
        <v>3388</v>
      </c>
      <c r="B5614" t="s">
        <v>21595</v>
      </c>
      <c r="C5614" t="s">
        <v>5470</v>
      </c>
      <c r="D5614" t="s">
        <v>4119</v>
      </c>
      <c r="E5614" t="s">
        <v>5617</v>
      </c>
      <c r="F5614" t="s">
        <v>21809</v>
      </c>
      <c r="G5614" t="s">
        <v>21810</v>
      </c>
      <c r="H5614" t="s">
        <v>5474</v>
      </c>
      <c r="I5614" t="s">
        <v>21811</v>
      </c>
      <c r="J5614" t="s">
        <v>5476</v>
      </c>
      <c r="K5614" t="s">
        <v>21812</v>
      </c>
      <c r="L5614" t="s">
        <v>5471</v>
      </c>
      <c r="M5614" t="s">
        <v>5471</v>
      </c>
    </row>
    <row r="5615" spans="1:13" x14ac:dyDescent="0.3">
      <c r="A5615" t="s">
        <v>3388</v>
      </c>
      <c r="B5615" t="s">
        <v>21595</v>
      </c>
      <c r="C5615" t="s">
        <v>5470</v>
      </c>
      <c r="D5615" t="s">
        <v>4119</v>
      </c>
      <c r="E5615" t="s">
        <v>5617</v>
      </c>
      <c r="F5615" t="s">
        <v>21813</v>
      </c>
      <c r="G5615" t="s">
        <v>21814</v>
      </c>
      <c r="H5615" t="s">
        <v>5474</v>
      </c>
      <c r="I5615" t="s">
        <v>21815</v>
      </c>
      <c r="J5615" t="s">
        <v>5476</v>
      </c>
      <c r="K5615" t="s">
        <v>21816</v>
      </c>
      <c r="L5615" t="s">
        <v>5471</v>
      </c>
      <c r="M5615" t="s">
        <v>5471</v>
      </c>
    </row>
    <row r="5616" spans="1:13" x14ac:dyDescent="0.3">
      <c r="A5616" t="s">
        <v>3388</v>
      </c>
      <c r="B5616" t="s">
        <v>21595</v>
      </c>
      <c r="C5616" t="s">
        <v>5470</v>
      </c>
      <c r="D5616" t="s">
        <v>4119</v>
      </c>
      <c r="E5616" t="s">
        <v>5532</v>
      </c>
      <c r="F5616" t="s">
        <v>21817</v>
      </c>
      <c r="G5616" t="s">
        <v>21818</v>
      </c>
      <c r="H5616" t="s">
        <v>5474</v>
      </c>
      <c r="I5616" t="s">
        <v>21819</v>
      </c>
      <c r="J5616" t="s">
        <v>5476</v>
      </c>
      <c r="K5616" t="s">
        <v>21820</v>
      </c>
      <c r="L5616" t="s">
        <v>5471</v>
      </c>
      <c r="M5616" t="s">
        <v>5471</v>
      </c>
    </row>
    <row r="5617" spans="1:13" x14ac:dyDescent="0.3">
      <c r="A5617" t="s">
        <v>3388</v>
      </c>
      <c r="B5617" t="s">
        <v>21595</v>
      </c>
      <c r="C5617" t="s">
        <v>5470</v>
      </c>
      <c r="D5617" t="s">
        <v>4119</v>
      </c>
      <c r="E5617" t="s">
        <v>5532</v>
      </c>
      <c r="F5617" t="s">
        <v>21821</v>
      </c>
      <c r="G5617" t="s">
        <v>21818</v>
      </c>
      <c r="H5617" t="s">
        <v>5474</v>
      </c>
      <c r="I5617" t="s">
        <v>21822</v>
      </c>
      <c r="J5617" t="s">
        <v>5476</v>
      </c>
      <c r="K5617" t="s">
        <v>21823</v>
      </c>
      <c r="L5617" t="s">
        <v>5471</v>
      </c>
      <c r="M5617" t="s">
        <v>5471</v>
      </c>
    </row>
    <row r="5618" spans="1:13" x14ac:dyDescent="0.3">
      <c r="A5618" t="s">
        <v>3388</v>
      </c>
      <c r="B5618" t="s">
        <v>21595</v>
      </c>
      <c r="C5618" t="s">
        <v>5470</v>
      </c>
      <c r="D5618" t="s">
        <v>4119</v>
      </c>
      <c r="E5618" t="s">
        <v>5532</v>
      </c>
      <c r="F5618" t="s">
        <v>21824</v>
      </c>
      <c r="G5618" t="s">
        <v>21825</v>
      </c>
      <c r="H5618" t="s">
        <v>5474</v>
      </c>
      <c r="I5618" t="s">
        <v>21826</v>
      </c>
      <c r="J5618" t="s">
        <v>5476</v>
      </c>
      <c r="K5618" t="s">
        <v>21827</v>
      </c>
      <c r="L5618" t="s">
        <v>5471</v>
      </c>
      <c r="M5618" t="s">
        <v>5471</v>
      </c>
    </row>
    <row r="5619" spans="1:13" x14ac:dyDescent="0.3">
      <c r="A5619" t="s">
        <v>3388</v>
      </c>
      <c r="B5619" t="s">
        <v>21595</v>
      </c>
      <c r="C5619" t="s">
        <v>5470</v>
      </c>
      <c r="D5619" t="s">
        <v>4119</v>
      </c>
      <c r="E5619" t="s">
        <v>5532</v>
      </c>
      <c r="F5619" t="s">
        <v>21828</v>
      </c>
      <c r="G5619" t="s">
        <v>21829</v>
      </c>
      <c r="H5619" t="s">
        <v>5474</v>
      </c>
      <c r="I5619" t="s">
        <v>21830</v>
      </c>
      <c r="J5619" t="s">
        <v>5476</v>
      </c>
      <c r="K5619" t="s">
        <v>21831</v>
      </c>
      <c r="L5619" t="s">
        <v>5471</v>
      </c>
      <c r="M5619" t="s">
        <v>5471</v>
      </c>
    </row>
    <row r="5620" spans="1:13" x14ac:dyDescent="0.3">
      <c r="A5620" t="s">
        <v>3388</v>
      </c>
      <c r="B5620" t="s">
        <v>21595</v>
      </c>
      <c r="C5620" t="s">
        <v>5470</v>
      </c>
      <c r="D5620" t="s">
        <v>4119</v>
      </c>
      <c r="E5620" t="s">
        <v>5532</v>
      </c>
      <c r="F5620" t="s">
        <v>21832</v>
      </c>
      <c r="G5620" t="s">
        <v>21829</v>
      </c>
      <c r="H5620" t="s">
        <v>5474</v>
      </c>
      <c r="I5620" t="s">
        <v>21833</v>
      </c>
      <c r="J5620" t="s">
        <v>5476</v>
      </c>
      <c r="K5620" t="s">
        <v>21834</v>
      </c>
      <c r="L5620" t="s">
        <v>5471</v>
      </c>
      <c r="M5620" t="s">
        <v>5471</v>
      </c>
    </row>
    <row r="5621" spans="1:13" x14ac:dyDescent="0.3">
      <c r="A5621" t="s">
        <v>3388</v>
      </c>
      <c r="B5621" t="s">
        <v>7109</v>
      </c>
      <c r="C5621" t="s">
        <v>5470</v>
      </c>
      <c r="D5621" t="s">
        <v>4119</v>
      </c>
      <c r="E5621" t="s">
        <v>5756</v>
      </c>
      <c r="F5621" t="s">
        <v>21835</v>
      </c>
      <c r="G5621" t="s">
        <v>21836</v>
      </c>
      <c r="H5621" t="s">
        <v>5474</v>
      </c>
      <c r="I5621" t="s">
        <v>21837</v>
      </c>
      <c r="J5621" t="s">
        <v>5476</v>
      </c>
      <c r="K5621" t="s">
        <v>21838</v>
      </c>
      <c r="L5621" t="s">
        <v>5471</v>
      </c>
      <c r="M5621" t="s">
        <v>5471</v>
      </c>
    </row>
    <row r="5622" spans="1:13" x14ac:dyDescent="0.3">
      <c r="A5622" t="s">
        <v>3388</v>
      </c>
      <c r="B5622" t="s">
        <v>7109</v>
      </c>
      <c r="C5622" t="s">
        <v>5470</v>
      </c>
      <c r="D5622" t="s">
        <v>4119</v>
      </c>
      <c r="E5622" t="s">
        <v>5756</v>
      </c>
      <c r="F5622" t="s">
        <v>21839</v>
      </c>
      <c r="G5622" t="s">
        <v>21840</v>
      </c>
      <c r="H5622" t="s">
        <v>5474</v>
      </c>
      <c r="I5622" t="s">
        <v>21841</v>
      </c>
      <c r="J5622" t="s">
        <v>5476</v>
      </c>
      <c r="K5622" t="s">
        <v>21842</v>
      </c>
      <c r="L5622" t="s">
        <v>5471</v>
      </c>
      <c r="M5622" t="s">
        <v>5471</v>
      </c>
    </row>
    <row r="5623" spans="1:13" x14ac:dyDescent="0.3">
      <c r="A5623" t="s">
        <v>3388</v>
      </c>
      <c r="B5623" t="s">
        <v>7109</v>
      </c>
      <c r="C5623" t="s">
        <v>5470</v>
      </c>
      <c r="D5623" t="s">
        <v>4119</v>
      </c>
      <c r="E5623" t="s">
        <v>5756</v>
      </c>
      <c r="F5623" t="s">
        <v>21843</v>
      </c>
      <c r="G5623" t="s">
        <v>21840</v>
      </c>
      <c r="H5623" t="s">
        <v>5474</v>
      </c>
      <c r="I5623" t="s">
        <v>21844</v>
      </c>
      <c r="J5623" t="s">
        <v>5476</v>
      </c>
      <c r="K5623" t="s">
        <v>21845</v>
      </c>
      <c r="L5623" t="s">
        <v>5471</v>
      </c>
      <c r="M5623" t="s">
        <v>5471</v>
      </c>
    </row>
    <row r="5624" spans="1:13" x14ac:dyDescent="0.3">
      <c r="A5624" t="s">
        <v>3388</v>
      </c>
      <c r="B5624" t="s">
        <v>7109</v>
      </c>
      <c r="C5624" t="s">
        <v>5470</v>
      </c>
      <c r="D5624" t="s">
        <v>4119</v>
      </c>
      <c r="E5624" t="s">
        <v>5756</v>
      </c>
      <c r="F5624" t="s">
        <v>21846</v>
      </c>
      <c r="G5624" t="s">
        <v>21840</v>
      </c>
      <c r="H5624" t="s">
        <v>5474</v>
      </c>
      <c r="I5624" t="s">
        <v>21847</v>
      </c>
      <c r="J5624" t="s">
        <v>5476</v>
      </c>
      <c r="K5624" t="s">
        <v>21848</v>
      </c>
      <c r="L5624" t="s">
        <v>5471</v>
      </c>
      <c r="M5624" t="s">
        <v>5471</v>
      </c>
    </row>
    <row r="5625" spans="1:13" x14ac:dyDescent="0.3">
      <c r="A5625" t="s">
        <v>3388</v>
      </c>
      <c r="B5625" t="s">
        <v>11094</v>
      </c>
      <c r="C5625" t="s">
        <v>5470</v>
      </c>
      <c r="D5625" t="s">
        <v>4119</v>
      </c>
      <c r="E5625" t="s">
        <v>5756</v>
      </c>
      <c r="F5625" t="s">
        <v>21849</v>
      </c>
      <c r="G5625" t="s">
        <v>21850</v>
      </c>
      <c r="H5625" t="s">
        <v>5474</v>
      </c>
      <c r="I5625" t="s">
        <v>21851</v>
      </c>
      <c r="J5625" t="s">
        <v>5476</v>
      </c>
      <c r="K5625" t="s">
        <v>21852</v>
      </c>
      <c r="L5625" t="s">
        <v>5471</v>
      </c>
      <c r="M5625" t="s">
        <v>5471</v>
      </c>
    </row>
    <row r="5626" spans="1:13" x14ac:dyDescent="0.3">
      <c r="A5626" t="s">
        <v>3388</v>
      </c>
      <c r="B5626" t="s">
        <v>21853</v>
      </c>
      <c r="C5626" t="s">
        <v>5470</v>
      </c>
      <c r="D5626" t="s">
        <v>4119</v>
      </c>
      <c r="E5626" t="s">
        <v>5532</v>
      </c>
      <c r="F5626" t="s">
        <v>21854</v>
      </c>
      <c r="G5626" t="s">
        <v>21855</v>
      </c>
      <c r="H5626" t="s">
        <v>5474</v>
      </c>
      <c r="I5626" t="s">
        <v>21856</v>
      </c>
      <c r="J5626" t="s">
        <v>5476</v>
      </c>
      <c r="K5626" t="s">
        <v>21857</v>
      </c>
      <c r="L5626" t="s">
        <v>5471</v>
      </c>
      <c r="M5626" t="s">
        <v>5471</v>
      </c>
    </row>
    <row r="5627" spans="1:13" x14ac:dyDescent="0.3">
      <c r="A5627" t="s">
        <v>3388</v>
      </c>
      <c r="B5627" t="s">
        <v>15942</v>
      </c>
      <c r="C5627" t="s">
        <v>5470</v>
      </c>
      <c r="D5627" t="s">
        <v>4119</v>
      </c>
      <c r="E5627" t="s">
        <v>5756</v>
      </c>
      <c r="F5627" t="s">
        <v>21858</v>
      </c>
      <c r="G5627" t="s">
        <v>21859</v>
      </c>
      <c r="H5627" t="s">
        <v>5474</v>
      </c>
      <c r="I5627" t="s">
        <v>21860</v>
      </c>
      <c r="J5627" t="s">
        <v>5476</v>
      </c>
      <c r="K5627" t="s">
        <v>21861</v>
      </c>
      <c r="L5627" t="s">
        <v>5471</v>
      </c>
      <c r="M5627" t="s">
        <v>5471</v>
      </c>
    </row>
    <row r="5628" spans="1:13" x14ac:dyDescent="0.3">
      <c r="A5628" t="s">
        <v>3388</v>
      </c>
      <c r="B5628" t="s">
        <v>21862</v>
      </c>
      <c r="C5628" t="s">
        <v>5470</v>
      </c>
      <c r="D5628" t="s">
        <v>4119</v>
      </c>
      <c r="E5628" t="s">
        <v>5532</v>
      </c>
      <c r="F5628" t="s">
        <v>21863</v>
      </c>
      <c r="G5628" t="s">
        <v>21864</v>
      </c>
      <c r="H5628" t="s">
        <v>5474</v>
      </c>
      <c r="I5628" t="s">
        <v>21865</v>
      </c>
      <c r="J5628" t="s">
        <v>5476</v>
      </c>
      <c r="K5628" t="s">
        <v>21866</v>
      </c>
      <c r="L5628" t="s">
        <v>5471</v>
      </c>
      <c r="M5628" t="s">
        <v>5471</v>
      </c>
    </row>
    <row r="5629" spans="1:13" x14ac:dyDescent="0.3">
      <c r="A5629" t="s">
        <v>3388</v>
      </c>
      <c r="B5629" t="s">
        <v>21862</v>
      </c>
      <c r="C5629" t="s">
        <v>5470</v>
      </c>
      <c r="D5629" t="s">
        <v>4119</v>
      </c>
      <c r="E5629" t="s">
        <v>5532</v>
      </c>
      <c r="F5629" t="s">
        <v>21867</v>
      </c>
      <c r="G5629" t="s">
        <v>21868</v>
      </c>
      <c r="H5629" t="s">
        <v>5474</v>
      </c>
      <c r="I5629" t="s">
        <v>21869</v>
      </c>
      <c r="J5629" t="s">
        <v>5476</v>
      </c>
      <c r="K5629" t="s">
        <v>21870</v>
      </c>
      <c r="L5629" t="s">
        <v>5471</v>
      </c>
      <c r="M5629" t="s">
        <v>5471</v>
      </c>
    </row>
    <row r="5630" spans="1:13" x14ac:dyDescent="0.3">
      <c r="A5630" t="s">
        <v>3388</v>
      </c>
      <c r="B5630" t="s">
        <v>21871</v>
      </c>
      <c r="C5630" t="s">
        <v>5470</v>
      </c>
      <c r="D5630" t="s">
        <v>4119</v>
      </c>
      <c r="E5630" t="s">
        <v>5756</v>
      </c>
      <c r="F5630" t="s">
        <v>21872</v>
      </c>
      <c r="G5630" t="s">
        <v>21873</v>
      </c>
      <c r="H5630" t="s">
        <v>5474</v>
      </c>
      <c r="I5630" t="s">
        <v>21874</v>
      </c>
      <c r="J5630" t="s">
        <v>5476</v>
      </c>
      <c r="K5630" t="s">
        <v>21875</v>
      </c>
      <c r="L5630" t="s">
        <v>5471</v>
      </c>
      <c r="M5630" t="s">
        <v>5471</v>
      </c>
    </row>
    <row r="5631" spans="1:13" x14ac:dyDescent="0.3">
      <c r="A5631" t="s">
        <v>3388</v>
      </c>
      <c r="B5631" t="s">
        <v>10852</v>
      </c>
      <c r="C5631" t="s">
        <v>5470</v>
      </c>
      <c r="D5631" t="s">
        <v>4119</v>
      </c>
      <c r="E5631" t="s">
        <v>5756</v>
      </c>
      <c r="F5631" t="s">
        <v>21876</v>
      </c>
      <c r="G5631" t="s">
        <v>17769</v>
      </c>
      <c r="H5631" t="s">
        <v>5474</v>
      </c>
      <c r="I5631" t="s">
        <v>21877</v>
      </c>
      <c r="J5631" t="s">
        <v>5476</v>
      </c>
      <c r="K5631" t="s">
        <v>21878</v>
      </c>
      <c r="L5631" t="s">
        <v>5471</v>
      </c>
      <c r="M5631" t="s">
        <v>5471</v>
      </c>
    </row>
    <row r="5632" spans="1:13" x14ac:dyDescent="0.3">
      <c r="A5632" t="s">
        <v>3388</v>
      </c>
      <c r="B5632" t="s">
        <v>10852</v>
      </c>
      <c r="C5632" t="s">
        <v>5470</v>
      </c>
      <c r="D5632" t="s">
        <v>4119</v>
      </c>
      <c r="E5632" t="s">
        <v>5756</v>
      </c>
      <c r="F5632" t="s">
        <v>21879</v>
      </c>
      <c r="G5632" t="s">
        <v>17769</v>
      </c>
      <c r="H5632" t="s">
        <v>5474</v>
      </c>
      <c r="I5632" t="s">
        <v>21880</v>
      </c>
      <c r="J5632" t="s">
        <v>5476</v>
      </c>
      <c r="K5632" t="s">
        <v>21881</v>
      </c>
      <c r="L5632" t="s">
        <v>5471</v>
      </c>
      <c r="M5632" t="s">
        <v>5471</v>
      </c>
    </row>
    <row r="5633" spans="1:13" x14ac:dyDescent="0.3">
      <c r="A5633" t="s">
        <v>3388</v>
      </c>
      <c r="B5633" t="s">
        <v>10852</v>
      </c>
      <c r="C5633" t="s">
        <v>5470</v>
      </c>
      <c r="D5633" t="s">
        <v>4119</v>
      </c>
      <c r="E5633" t="s">
        <v>5756</v>
      </c>
      <c r="F5633" t="s">
        <v>21882</v>
      </c>
      <c r="G5633" t="s">
        <v>17769</v>
      </c>
      <c r="H5633" t="s">
        <v>5474</v>
      </c>
      <c r="I5633" t="s">
        <v>21883</v>
      </c>
      <c r="J5633" t="s">
        <v>5476</v>
      </c>
      <c r="K5633" t="s">
        <v>21884</v>
      </c>
      <c r="L5633" t="s">
        <v>5471</v>
      </c>
      <c r="M5633" t="s">
        <v>5471</v>
      </c>
    </row>
    <row r="5634" spans="1:13" x14ac:dyDescent="0.3">
      <c r="A5634" t="s">
        <v>3388</v>
      </c>
      <c r="B5634" t="s">
        <v>10852</v>
      </c>
      <c r="C5634" t="s">
        <v>5470</v>
      </c>
      <c r="D5634" t="s">
        <v>4119</v>
      </c>
      <c r="E5634" t="s">
        <v>5756</v>
      </c>
      <c r="F5634" t="s">
        <v>21885</v>
      </c>
      <c r="G5634" t="s">
        <v>17974</v>
      </c>
      <c r="H5634" t="s">
        <v>5474</v>
      </c>
      <c r="I5634" t="s">
        <v>21886</v>
      </c>
      <c r="J5634" t="s">
        <v>5476</v>
      </c>
      <c r="K5634" t="s">
        <v>21887</v>
      </c>
      <c r="L5634" t="s">
        <v>5471</v>
      </c>
      <c r="M5634" t="s">
        <v>5471</v>
      </c>
    </row>
    <row r="5635" spans="1:13" x14ac:dyDescent="0.3">
      <c r="A5635" t="s">
        <v>3388</v>
      </c>
      <c r="B5635" t="s">
        <v>10852</v>
      </c>
      <c r="C5635" t="s">
        <v>5470</v>
      </c>
      <c r="D5635" t="s">
        <v>4119</v>
      </c>
      <c r="E5635" t="s">
        <v>5756</v>
      </c>
      <c r="F5635" t="s">
        <v>21888</v>
      </c>
      <c r="G5635" t="s">
        <v>17974</v>
      </c>
      <c r="H5635" t="s">
        <v>5474</v>
      </c>
      <c r="I5635" t="s">
        <v>21889</v>
      </c>
      <c r="J5635" t="s">
        <v>5476</v>
      </c>
      <c r="K5635" t="s">
        <v>21890</v>
      </c>
      <c r="L5635" t="s">
        <v>5471</v>
      </c>
      <c r="M5635" t="s">
        <v>5471</v>
      </c>
    </row>
    <row r="5636" spans="1:13" x14ac:dyDescent="0.3">
      <c r="A5636" t="s">
        <v>3388</v>
      </c>
      <c r="B5636" t="s">
        <v>10852</v>
      </c>
      <c r="C5636" t="s">
        <v>5470</v>
      </c>
      <c r="D5636" t="s">
        <v>4119</v>
      </c>
      <c r="E5636" t="s">
        <v>5756</v>
      </c>
      <c r="F5636" t="s">
        <v>21891</v>
      </c>
      <c r="G5636" t="s">
        <v>17974</v>
      </c>
      <c r="H5636" t="s">
        <v>5474</v>
      </c>
      <c r="I5636" t="s">
        <v>21892</v>
      </c>
      <c r="J5636" t="s">
        <v>5476</v>
      </c>
      <c r="K5636" t="s">
        <v>21893</v>
      </c>
      <c r="L5636" t="s">
        <v>5471</v>
      </c>
      <c r="M5636" t="s">
        <v>5471</v>
      </c>
    </row>
    <row r="5637" spans="1:13" x14ac:dyDescent="0.3">
      <c r="A5637" t="s">
        <v>3388</v>
      </c>
      <c r="B5637" t="s">
        <v>10852</v>
      </c>
      <c r="C5637" t="s">
        <v>5470</v>
      </c>
      <c r="D5637" t="s">
        <v>4119</v>
      </c>
      <c r="E5637" t="s">
        <v>5756</v>
      </c>
      <c r="F5637" t="s">
        <v>21894</v>
      </c>
      <c r="G5637" t="s">
        <v>21895</v>
      </c>
      <c r="H5637" t="s">
        <v>5474</v>
      </c>
      <c r="I5637" t="s">
        <v>21896</v>
      </c>
      <c r="J5637" t="s">
        <v>5476</v>
      </c>
      <c r="K5637" t="s">
        <v>21897</v>
      </c>
      <c r="L5637" t="s">
        <v>5471</v>
      </c>
      <c r="M5637" t="s">
        <v>5471</v>
      </c>
    </row>
    <row r="5638" spans="1:13" x14ac:dyDescent="0.3">
      <c r="A5638" t="s">
        <v>3388</v>
      </c>
      <c r="B5638" t="s">
        <v>17585</v>
      </c>
      <c r="C5638" t="s">
        <v>5470</v>
      </c>
      <c r="D5638" t="s">
        <v>4119</v>
      </c>
      <c r="E5638" t="s">
        <v>5532</v>
      </c>
      <c r="F5638" t="s">
        <v>21898</v>
      </c>
      <c r="G5638" t="s">
        <v>21899</v>
      </c>
      <c r="H5638" t="s">
        <v>5474</v>
      </c>
      <c r="I5638" t="s">
        <v>21900</v>
      </c>
      <c r="J5638" t="s">
        <v>5476</v>
      </c>
      <c r="K5638" t="s">
        <v>21901</v>
      </c>
      <c r="L5638" t="s">
        <v>5471</v>
      </c>
      <c r="M5638" t="s">
        <v>5471</v>
      </c>
    </row>
    <row r="5639" spans="1:13" x14ac:dyDescent="0.3">
      <c r="A5639" t="s">
        <v>3388</v>
      </c>
      <c r="B5639" t="s">
        <v>20040</v>
      </c>
      <c r="C5639" t="s">
        <v>5470</v>
      </c>
      <c r="D5639" t="s">
        <v>4119</v>
      </c>
      <c r="E5639" t="s">
        <v>5756</v>
      </c>
      <c r="F5639" t="s">
        <v>21902</v>
      </c>
      <c r="G5639" t="s">
        <v>21903</v>
      </c>
      <c r="H5639" t="s">
        <v>5474</v>
      </c>
      <c r="I5639" t="s">
        <v>21904</v>
      </c>
      <c r="J5639" t="s">
        <v>5476</v>
      </c>
      <c r="K5639" t="s">
        <v>21905</v>
      </c>
      <c r="L5639" t="s">
        <v>5471</v>
      </c>
      <c r="M5639" t="s">
        <v>5471</v>
      </c>
    </row>
    <row r="5640" spans="1:13" x14ac:dyDescent="0.3">
      <c r="A5640" t="s">
        <v>3388</v>
      </c>
      <c r="B5640" t="s">
        <v>6540</v>
      </c>
      <c r="C5640" t="s">
        <v>5470</v>
      </c>
      <c r="D5640" t="s">
        <v>4119</v>
      </c>
      <c r="E5640" t="s">
        <v>5756</v>
      </c>
      <c r="F5640" t="s">
        <v>21906</v>
      </c>
      <c r="G5640" t="s">
        <v>21907</v>
      </c>
      <c r="H5640" t="s">
        <v>5474</v>
      </c>
      <c r="I5640" t="s">
        <v>21908</v>
      </c>
      <c r="J5640" t="s">
        <v>5476</v>
      </c>
      <c r="K5640" t="s">
        <v>21909</v>
      </c>
      <c r="L5640" t="s">
        <v>5471</v>
      </c>
      <c r="M5640" t="s">
        <v>5471</v>
      </c>
    </row>
    <row r="5641" spans="1:13" x14ac:dyDescent="0.3">
      <c r="A5641" t="s">
        <v>3388</v>
      </c>
      <c r="B5641" t="s">
        <v>6540</v>
      </c>
      <c r="C5641" t="s">
        <v>5470</v>
      </c>
      <c r="D5641" t="s">
        <v>4119</v>
      </c>
      <c r="E5641" t="s">
        <v>5756</v>
      </c>
      <c r="F5641" t="s">
        <v>21910</v>
      </c>
      <c r="G5641" t="s">
        <v>21911</v>
      </c>
      <c r="H5641" t="s">
        <v>5474</v>
      </c>
      <c r="I5641" t="s">
        <v>21912</v>
      </c>
      <c r="J5641" t="s">
        <v>5476</v>
      </c>
      <c r="K5641" t="s">
        <v>21913</v>
      </c>
      <c r="L5641" t="s">
        <v>5471</v>
      </c>
      <c r="M5641" t="s">
        <v>5471</v>
      </c>
    </row>
    <row r="5642" spans="1:13" x14ac:dyDescent="0.3">
      <c r="A5642" t="s">
        <v>3388</v>
      </c>
      <c r="B5642" t="s">
        <v>6540</v>
      </c>
      <c r="C5642" t="s">
        <v>5470</v>
      </c>
      <c r="D5642" t="s">
        <v>4119</v>
      </c>
      <c r="E5642" t="s">
        <v>5532</v>
      </c>
      <c r="F5642" t="s">
        <v>21914</v>
      </c>
      <c r="G5642" t="s">
        <v>21915</v>
      </c>
      <c r="H5642" t="s">
        <v>5474</v>
      </c>
      <c r="I5642" t="s">
        <v>21916</v>
      </c>
      <c r="J5642" t="s">
        <v>5476</v>
      </c>
      <c r="K5642" t="s">
        <v>21917</v>
      </c>
      <c r="L5642" t="s">
        <v>5471</v>
      </c>
      <c r="M5642" t="s">
        <v>5471</v>
      </c>
    </row>
    <row r="5643" spans="1:13" x14ac:dyDescent="0.3">
      <c r="A5643" t="s">
        <v>3388</v>
      </c>
      <c r="B5643" t="s">
        <v>5284</v>
      </c>
      <c r="C5643" t="s">
        <v>5470</v>
      </c>
      <c r="D5643" t="s">
        <v>4119</v>
      </c>
      <c r="E5643" t="s">
        <v>5532</v>
      </c>
      <c r="F5643" t="s">
        <v>21918</v>
      </c>
      <c r="G5643" t="s">
        <v>17707</v>
      </c>
      <c r="H5643" t="s">
        <v>5474</v>
      </c>
      <c r="I5643" t="s">
        <v>21919</v>
      </c>
      <c r="J5643" t="s">
        <v>5476</v>
      </c>
      <c r="K5643" t="s">
        <v>21920</v>
      </c>
      <c r="L5643" t="s">
        <v>5471</v>
      </c>
      <c r="M5643" t="s">
        <v>5471</v>
      </c>
    </row>
    <row r="5644" spans="1:13" x14ac:dyDescent="0.3">
      <c r="A5644" t="s">
        <v>3388</v>
      </c>
      <c r="B5644" t="s">
        <v>15957</v>
      </c>
      <c r="C5644" t="s">
        <v>5470</v>
      </c>
      <c r="D5644" t="s">
        <v>4119</v>
      </c>
      <c r="E5644" t="s">
        <v>5532</v>
      </c>
      <c r="F5644" t="s">
        <v>21921</v>
      </c>
      <c r="G5644" t="s">
        <v>15959</v>
      </c>
      <c r="H5644" t="s">
        <v>5474</v>
      </c>
      <c r="I5644" t="s">
        <v>21922</v>
      </c>
      <c r="J5644" t="s">
        <v>5476</v>
      </c>
      <c r="K5644" t="s">
        <v>21923</v>
      </c>
      <c r="L5644" t="s">
        <v>5471</v>
      </c>
      <c r="M5644" t="s">
        <v>5471</v>
      </c>
    </row>
    <row r="5645" spans="1:13" x14ac:dyDescent="0.3">
      <c r="A5645" t="s">
        <v>3388</v>
      </c>
      <c r="B5645" t="s">
        <v>5678</v>
      </c>
      <c r="C5645" t="s">
        <v>5470</v>
      </c>
      <c r="D5645" t="s">
        <v>4119</v>
      </c>
      <c r="E5645" t="s">
        <v>5532</v>
      </c>
      <c r="F5645" t="s">
        <v>21924</v>
      </c>
      <c r="G5645" t="s">
        <v>21925</v>
      </c>
      <c r="H5645" t="s">
        <v>5474</v>
      </c>
      <c r="I5645" t="s">
        <v>21926</v>
      </c>
      <c r="J5645" t="s">
        <v>5476</v>
      </c>
      <c r="K5645" t="s">
        <v>21927</v>
      </c>
      <c r="L5645" t="s">
        <v>5471</v>
      </c>
      <c r="M5645" t="s">
        <v>5471</v>
      </c>
    </row>
    <row r="5646" spans="1:13" x14ac:dyDescent="0.3">
      <c r="A5646" t="s">
        <v>3388</v>
      </c>
      <c r="B5646" t="s">
        <v>21928</v>
      </c>
      <c r="C5646" t="s">
        <v>5470</v>
      </c>
      <c r="D5646" t="s">
        <v>4119</v>
      </c>
      <c r="E5646" t="s">
        <v>5532</v>
      </c>
      <c r="F5646" t="s">
        <v>21929</v>
      </c>
      <c r="G5646" t="s">
        <v>21930</v>
      </c>
      <c r="H5646" t="s">
        <v>5474</v>
      </c>
      <c r="I5646" t="s">
        <v>21931</v>
      </c>
      <c r="J5646" t="s">
        <v>5476</v>
      </c>
      <c r="K5646" t="s">
        <v>21932</v>
      </c>
      <c r="L5646" t="s">
        <v>5471</v>
      </c>
      <c r="M5646" t="s">
        <v>5471</v>
      </c>
    </row>
    <row r="5647" spans="1:13" x14ac:dyDescent="0.3">
      <c r="A5647" t="s">
        <v>3388</v>
      </c>
      <c r="B5647" t="s">
        <v>21928</v>
      </c>
      <c r="C5647" t="s">
        <v>5470</v>
      </c>
      <c r="D5647" t="s">
        <v>4119</v>
      </c>
      <c r="E5647" t="s">
        <v>5532</v>
      </c>
      <c r="F5647" t="s">
        <v>21933</v>
      </c>
      <c r="G5647" t="s">
        <v>21934</v>
      </c>
      <c r="H5647" t="s">
        <v>5474</v>
      </c>
      <c r="I5647" t="s">
        <v>21935</v>
      </c>
      <c r="J5647" t="s">
        <v>5476</v>
      </c>
      <c r="K5647" t="s">
        <v>21936</v>
      </c>
      <c r="L5647" t="s">
        <v>5471</v>
      </c>
      <c r="M5647" t="s">
        <v>5471</v>
      </c>
    </row>
    <row r="5648" spans="1:13" x14ac:dyDescent="0.3">
      <c r="A5648" t="s">
        <v>3388</v>
      </c>
      <c r="B5648" t="s">
        <v>6632</v>
      </c>
      <c r="C5648" t="s">
        <v>5470</v>
      </c>
      <c r="D5648" t="s">
        <v>4119</v>
      </c>
      <c r="E5648" t="s">
        <v>5532</v>
      </c>
      <c r="F5648" t="s">
        <v>21937</v>
      </c>
      <c r="G5648" t="s">
        <v>21938</v>
      </c>
      <c r="H5648" t="s">
        <v>5474</v>
      </c>
      <c r="I5648" t="s">
        <v>21939</v>
      </c>
      <c r="J5648" t="s">
        <v>5476</v>
      </c>
      <c r="K5648" t="s">
        <v>21940</v>
      </c>
      <c r="L5648" t="s">
        <v>5471</v>
      </c>
      <c r="M5648" t="s">
        <v>5471</v>
      </c>
    </row>
    <row r="5649" spans="1:13" x14ac:dyDescent="0.3">
      <c r="A5649" t="s">
        <v>3388</v>
      </c>
      <c r="B5649" t="s">
        <v>7088</v>
      </c>
      <c r="C5649" t="s">
        <v>5470</v>
      </c>
      <c r="D5649" t="s">
        <v>4119</v>
      </c>
      <c r="E5649" t="s">
        <v>5532</v>
      </c>
      <c r="F5649" t="s">
        <v>21941</v>
      </c>
      <c r="G5649" t="s">
        <v>21942</v>
      </c>
      <c r="H5649" t="s">
        <v>5474</v>
      </c>
      <c r="I5649" t="s">
        <v>21943</v>
      </c>
      <c r="J5649" t="s">
        <v>5476</v>
      </c>
      <c r="K5649" t="s">
        <v>21944</v>
      </c>
      <c r="L5649" t="s">
        <v>5471</v>
      </c>
      <c r="M5649" t="s">
        <v>5471</v>
      </c>
    </row>
    <row r="5650" spans="1:13" x14ac:dyDescent="0.3">
      <c r="A5650" t="s">
        <v>3388</v>
      </c>
      <c r="B5650" t="s">
        <v>7088</v>
      </c>
      <c r="C5650" t="s">
        <v>5470</v>
      </c>
      <c r="D5650" t="s">
        <v>4119</v>
      </c>
      <c r="E5650" t="s">
        <v>5532</v>
      </c>
      <c r="F5650" t="s">
        <v>21945</v>
      </c>
      <c r="G5650" t="s">
        <v>21942</v>
      </c>
      <c r="H5650" t="s">
        <v>5474</v>
      </c>
      <c r="I5650" t="s">
        <v>21946</v>
      </c>
      <c r="J5650" t="s">
        <v>5476</v>
      </c>
      <c r="K5650" t="s">
        <v>21947</v>
      </c>
      <c r="L5650" t="s">
        <v>5471</v>
      </c>
      <c r="M5650" t="s">
        <v>5471</v>
      </c>
    </row>
    <row r="5651" spans="1:13" x14ac:dyDescent="0.3">
      <c r="A5651" t="s">
        <v>3388</v>
      </c>
      <c r="B5651" t="s">
        <v>10865</v>
      </c>
      <c r="C5651" t="s">
        <v>5470</v>
      </c>
      <c r="D5651" t="s">
        <v>4119</v>
      </c>
      <c r="E5651" t="s">
        <v>5756</v>
      </c>
      <c r="F5651" t="s">
        <v>21948</v>
      </c>
      <c r="G5651" t="s">
        <v>21949</v>
      </c>
      <c r="H5651" t="s">
        <v>5474</v>
      </c>
      <c r="I5651" t="s">
        <v>21950</v>
      </c>
      <c r="J5651" t="s">
        <v>5476</v>
      </c>
      <c r="K5651" t="s">
        <v>21951</v>
      </c>
      <c r="L5651" t="s">
        <v>5471</v>
      </c>
      <c r="M5651" t="s">
        <v>5471</v>
      </c>
    </row>
    <row r="5652" spans="1:13" x14ac:dyDescent="0.3">
      <c r="A5652" t="s">
        <v>3388</v>
      </c>
      <c r="B5652" t="s">
        <v>10865</v>
      </c>
      <c r="C5652" t="s">
        <v>5470</v>
      </c>
      <c r="D5652" t="s">
        <v>4119</v>
      </c>
      <c r="E5652" t="s">
        <v>5756</v>
      </c>
      <c r="F5652" t="s">
        <v>21952</v>
      </c>
      <c r="G5652" t="s">
        <v>21949</v>
      </c>
      <c r="H5652" t="s">
        <v>5474</v>
      </c>
      <c r="I5652" t="s">
        <v>21953</v>
      </c>
      <c r="J5652" t="s">
        <v>5476</v>
      </c>
      <c r="K5652" t="s">
        <v>21954</v>
      </c>
      <c r="L5652" t="s">
        <v>5471</v>
      </c>
      <c r="M5652" t="s">
        <v>5471</v>
      </c>
    </row>
    <row r="5653" spans="1:13" x14ac:dyDescent="0.3">
      <c r="A5653" t="s">
        <v>3388</v>
      </c>
      <c r="B5653" t="s">
        <v>10865</v>
      </c>
      <c r="C5653" t="s">
        <v>5470</v>
      </c>
      <c r="D5653" t="s">
        <v>4119</v>
      </c>
      <c r="E5653" t="s">
        <v>5756</v>
      </c>
      <c r="F5653" t="s">
        <v>21955</v>
      </c>
      <c r="G5653" t="s">
        <v>21949</v>
      </c>
      <c r="H5653" t="s">
        <v>5474</v>
      </c>
      <c r="I5653" t="s">
        <v>21956</v>
      </c>
      <c r="J5653" t="s">
        <v>5476</v>
      </c>
      <c r="K5653" t="s">
        <v>21957</v>
      </c>
      <c r="L5653" t="s">
        <v>5471</v>
      </c>
      <c r="M5653" t="s">
        <v>5471</v>
      </c>
    </row>
    <row r="5654" spans="1:13" x14ac:dyDescent="0.3">
      <c r="A5654" t="s">
        <v>3388</v>
      </c>
      <c r="B5654" t="s">
        <v>15876</v>
      </c>
      <c r="C5654" t="s">
        <v>5470</v>
      </c>
      <c r="D5654" t="s">
        <v>4119</v>
      </c>
      <c r="E5654" t="s">
        <v>5532</v>
      </c>
      <c r="F5654" t="s">
        <v>21958</v>
      </c>
      <c r="G5654" t="s">
        <v>21959</v>
      </c>
      <c r="H5654" t="s">
        <v>5474</v>
      </c>
      <c r="I5654" t="s">
        <v>21960</v>
      </c>
      <c r="J5654" t="s">
        <v>5476</v>
      </c>
      <c r="K5654" t="s">
        <v>21961</v>
      </c>
      <c r="L5654" t="s">
        <v>5471</v>
      </c>
      <c r="M5654" t="s">
        <v>5471</v>
      </c>
    </row>
    <row r="5655" spans="1:13" x14ac:dyDescent="0.3">
      <c r="A5655" t="s">
        <v>3388</v>
      </c>
      <c r="B5655" t="s">
        <v>15859</v>
      </c>
      <c r="C5655" t="s">
        <v>5470</v>
      </c>
      <c r="D5655" t="s">
        <v>4119</v>
      </c>
      <c r="E5655" t="s">
        <v>5756</v>
      </c>
      <c r="F5655" t="s">
        <v>21962</v>
      </c>
      <c r="G5655" t="s">
        <v>21963</v>
      </c>
      <c r="H5655" t="s">
        <v>5474</v>
      </c>
      <c r="I5655" t="s">
        <v>21964</v>
      </c>
      <c r="J5655" t="s">
        <v>5476</v>
      </c>
      <c r="K5655" t="s">
        <v>21965</v>
      </c>
      <c r="L5655" t="s">
        <v>5471</v>
      </c>
      <c r="M5655" t="s">
        <v>5471</v>
      </c>
    </row>
    <row r="5656" spans="1:13" x14ac:dyDescent="0.3">
      <c r="A5656" t="s">
        <v>3388</v>
      </c>
      <c r="B5656" t="s">
        <v>15859</v>
      </c>
      <c r="C5656" t="s">
        <v>5470</v>
      </c>
      <c r="D5656" t="s">
        <v>4119</v>
      </c>
      <c r="E5656" t="s">
        <v>5756</v>
      </c>
      <c r="F5656" t="s">
        <v>21966</v>
      </c>
      <c r="G5656" t="s">
        <v>21967</v>
      </c>
      <c r="H5656" t="s">
        <v>5474</v>
      </c>
      <c r="I5656" t="s">
        <v>21968</v>
      </c>
      <c r="J5656" t="s">
        <v>5476</v>
      </c>
      <c r="K5656" t="s">
        <v>21969</v>
      </c>
      <c r="L5656" t="s">
        <v>5471</v>
      </c>
      <c r="M5656" t="s">
        <v>5471</v>
      </c>
    </row>
    <row r="5657" spans="1:13" x14ac:dyDescent="0.3">
      <c r="A5657" t="s">
        <v>3388</v>
      </c>
      <c r="B5657" t="s">
        <v>15859</v>
      </c>
      <c r="C5657" t="s">
        <v>5470</v>
      </c>
      <c r="D5657" t="s">
        <v>4119</v>
      </c>
      <c r="E5657" t="s">
        <v>5756</v>
      </c>
      <c r="F5657" t="s">
        <v>21970</v>
      </c>
      <c r="G5657" t="s">
        <v>21967</v>
      </c>
      <c r="H5657" t="s">
        <v>5474</v>
      </c>
      <c r="I5657" t="s">
        <v>21971</v>
      </c>
      <c r="J5657" t="s">
        <v>5476</v>
      </c>
      <c r="K5657" t="s">
        <v>21972</v>
      </c>
      <c r="L5657" t="s">
        <v>5471</v>
      </c>
      <c r="M5657" t="s">
        <v>5471</v>
      </c>
    </row>
    <row r="5658" spans="1:13" x14ac:dyDescent="0.3">
      <c r="A5658" t="s">
        <v>3388</v>
      </c>
      <c r="B5658" t="s">
        <v>15892</v>
      </c>
      <c r="C5658" t="s">
        <v>5470</v>
      </c>
      <c r="D5658" t="s">
        <v>4119</v>
      </c>
      <c r="E5658" t="s">
        <v>5532</v>
      </c>
      <c r="F5658" t="s">
        <v>21973</v>
      </c>
      <c r="G5658" t="s">
        <v>21974</v>
      </c>
      <c r="H5658" t="s">
        <v>5474</v>
      </c>
      <c r="I5658" t="s">
        <v>21975</v>
      </c>
      <c r="J5658" t="s">
        <v>5476</v>
      </c>
      <c r="K5658" t="s">
        <v>21976</v>
      </c>
      <c r="L5658" t="s">
        <v>5471</v>
      </c>
      <c r="M5658" t="s">
        <v>5471</v>
      </c>
    </row>
    <row r="5659" spans="1:13" x14ac:dyDescent="0.3">
      <c r="A5659" t="s">
        <v>3388</v>
      </c>
      <c r="B5659" t="s">
        <v>10961</v>
      </c>
      <c r="C5659" t="s">
        <v>5470</v>
      </c>
      <c r="D5659" t="s">
        <v>4119</v>
      </c>
      <c r="E5659" t="s">
        <v>5532</v>
      </c>
      <c r="F5659" t="s">
        <v>21977</v>
      </c>
      <c r="G5659" t="s">
        <v>11054</v>
      </c>
      <c r="H5659" t="s">
        <v>5474</v>
      </c>
      <c r="I5659" t="s">
        <v>21978</v>
      </c>
      <c r="J5659" t="s">
        <v>5476</v>
      </c>
      <c r="K5659" t="s">
        <v>21979</v>
      </c>
      <c r="L5659" t="s">
        <v>5471</v>
      </c>
      <c r="M5659" t="s">
        <v>5471</v>
      </c>
    </row>
    <row r="5660" spans="1:13" x14ac:dyDescent="0.3">
      <c r="A5660" t="s">
        <v>3388</v>
      </c>
      <c r="B5660" t="s">
        <v>10865</v>
      </c>
      <c r="C5660" t="s">
        <v>5470</v>
      </c>
      <c r="D5660" t="s">
        <v>4119</v>
      </c>
      <c r="E5660" t="s">
        <v>5756</v>
      </c>
      <c r="F5660" t="s">
        <v>21980</v>
      </c>
      <c r="G5660" t="s">
        <v>15782</v>
      </c>
      <c r="H5660" t="s">
        <v>5474</v>
      </c>
      <c r="I5660" t="s">
        <v>21981</v>
      </c>
      <c r="J5660" t="s">
        <v>5476</v>
      </c>
      <c r="K5660" t="s">
        <v>21982</v>
      </c>
      <c r="L5660" t="s">
        <v>5471</v>
      </c>
      <c r="M5660" t="s">
        <v>5471</v>
      </c>
    </row>
    <row r="5661" spans="1:13" x14ac:dyDescent="0.3">
      <c r="A5661" t="s">
        <v>3388</v>
      </c>
      <c r="B5661" t="s">
        <v>15876</v>
      </c>
      <c r="C5661" t="s">
        <v>5470</v>
      </c>
      <c r="D5661" t="s">
        <v>4119</v>
      </c>
      <c r="E5661" t="s">
        <v>5532</v>
      </c>
      <c r="F5661" t="s">
        <v>21983</v>
      </c>
      <c r="G5661" t="s">
        <v>21984</v>
      </c>
      <c r="H5661" t="s">
        <v>5474</v>
      </c>
      <c r="I5661" t="s">
        <v>21985</v>
      </c>
      <c r="J5661" t="s">
        <v>5476</v>
      </c>
      <c r="K5661" t="s">
        <v>21986</v>
      </c>
      <c r="L5661" t="s">
        <v>5471</v>
      </c>
      <c r="M5661" t="s">
        <v>5471</v>
      </c>
    </row>
    <row r="5662" spans="1:13" x14ac:dyDescent="0.3">
      <c r="A5662" t="s">
        <v>3388</v>
      </c>
      <c r="B5662" t="s">
        <v>15876</v>
      </c>
      <c r="C5662" t="s">
        <v>5470</v>
      </c>
      <c r="D5662" t="s">
        <v>4119</v>
      </c>
      <c r="E5662" t="s">
        <v>5532</v>
      </c>
      <c r="F5662" t="s">
        <v>21987</v>
      </c>
      <c r="G5662" t="s">
        <v>21988</v>
      </c>
      <c r="H5662" t="s">
        <v>5474</v>
      </c>
      <c r="I5662" t="s">
        <v>21989</v>
      </c>
      <c r="J5662" t="s">
        <v>5476</v>
      </c>
      <c r="K5662" t="s">
        <v>21990</v>
      </c>
      <c r="L5662" t="s">
        <v>5471</v>
      </c>
      <c r="M5662" t="s">
        <v>5471</v>
      </c>
    </row>
    <row r="5663" spans="1:13" x14ac:dyDescent="0.3">
      <c r="A5663" t="s">
        <v>3388</v>
      </c>
      <c r="B5663" t="s">
        <v>2749</v>
      </c>
      <c r="C5663" t="s">
        <v>5470</v>
      </c>
      <c r="D5663" t="s">
        <v>4119</v>
      </c>
      <c r="E5663" t="s">
        <v>5532</v>
      </c>
      <c r="F5663" t="s">
        <v>21991</v>
      </c>
      <c r="G5663" t="s">
        <v>10806</v>
      </c>
      <c r="H5663" t="s">
        <v>5474</v>
      </c>
      <c r="I5663" t="s">
        <v>21992</v>
      </c>
      <c r="J5663" t="s">
        <v>5476</v>
      </c>
      <c r="K5663" t="s">
        <v>21993</v>
      </c>
      <c r="L5663" t="s">
        <v>5471</v>
      </c>
      <c r="M5663" t="s">
        <v>5471</v>
      </c>
    </row>
    <row r="5664" spans="1:13" x14ac:dyDescent="0.3">
      <c r="A5664" t="s">
        <v>3388</v>
      </c>
      <c r="B5664" t="s">
        <v>6452</v>
      </c>
      <c r="C5664" t="s">
        <v>5470</v>
      </c>
      <c r="D5664" t="s">
        <v>4119</v>
      </c>
      <c r="E5664" t="s">
        <v>5756</v>
      </c>
      <c r="F5664" t="s">
        <v>21994</v>
      </c>
      <c r="G5664" t="s">
        <v>12154</v>
      </c>
      <c r="H5664" t="s">
        <v>5474</v>
      </c>
      <c r="I5664" t="s">
        <v>21995</v>
      </c>
      <c r="J5664" t="s">
        <v>5476</v>
      </c>
      <c r="K5664" t="s">
        <v>21996</v>
      </c>
      <c r="L5664" t="s">
        <v>5471</v>
      </c>
      <c r="M5664" t="s">
        <v>5471</v>
      </c>
    </row>
    <row r="5665" spans="1:13" x14ac:dyDescent="0.3">
      <c r="A5665" t="s">
        <v>3388</v>
      </c>
      <c r="B5665" t="s">
        <v>5316</v>
      </c>
      <c r="C5665" t="s">
        <v>5470</v>
      </c>
      <c r="D5665" t="s">
        <v>4119</v>
      </c>
      <c r="E5665" t="s">
        <v>5532</v>
      </c>
      <c r="F5665" t="s">
        <v>21997</v>
      </c>
      <c r="G5665" t="s">
        <v>21998</v>
      </c>
      <c r="H5665" t="s">
        <v>5474</v>
      </c>
      <c r="I5665" t="s">
        <v>21999</v>
      </c>
      <c r="J5665" t="s">
        <v>5476</v>
      </c>
      <c r="K5665" t="s">
        <v>22000</v>
      </c>
      <c r="L5665" t="s">
        <v>5471</v>
      </c>
      <c r="M5665" t="s">
        <v>5471</v>
      </c>
    </row>
    <row r="5666" spans="1:13" x14ac:dyDescent="0.3">
      <c r="A5666" t="s">
        <v>3388</v>
      </c>
      <c r="B5666" t="s">
        <v>2749</v>
      </c>
      <c r="C5666" t="s">
        <v>5470</v>
      </c>
      <c r="D5666" t="s">
        <v>4119</v>
      </c>
      <c r="E5666" t="s">
        <v>5532</v>
      </c>
      <c r="F5666" t="s">
        <v>22001</v>
      </c>
      <c r="G5666" t="s">
        <v>22002</v>
      </c>
      <c r="H5666" t="s">
        <v>5474</v>
      </c>
      <c r="I5666" t="s">
        <v>22003</v>
      </c>
      <c r="J5666" t="s">
        <v>5476</v>
      </c>
      <c r="K5666" t="s">
        <v>22004</v>
      </c>
      <c r="L5666" t="s">
        <v>5471</v>
      </c>
      <c r="M5666" t="s">
        <v>5471</v>
      </c>
    </row>
    <row r="5667" spans="1:13" x14ac:dyDescent="0.3">
      <c r="A5667" t="s">
        <v>3388</v>
      </c>
      <c r="B5667" t="s">
        <v>2749</v>
      </c>
      <c r="C5667" t="s">
        <v>5470</v>
      </c>
      <c r="D5667" t="s">
        <v>4119</v>
      </c>
      <c r="E5667" t="s">
        <v>5532</v>
      </c>
      <c r="F5667" t="s">
        <v>22005</v>
      </c>
      <c r="G5667" t="s">
        <v>22006</v>
      </c>
      <c r="H5667" t="s">
        <v>5474</v>
      </c>
      <c r="I5667" t="s">
        <v>22007</v>
      </c>
      <c r="J5667" t="s">
        <v>5476</v>
      </c>
      <c r="K5667" t="s">
        <v>22008</v>
      </c>
      <c r="L5667" t="s">
        <v>5471</v>
      </c>
      <c r="M5667" t="s">
        <v>5471</v>
      </c>
    </row>
    <row r="5668" spans="1:13" x14ac:dyDescent="0.3">
      <c r="A5668" t="s">
        <v>3388</v>
      </c>
      <c r="B5668" t="s">
        <v>5616</v>
      </c>
      <c r="C5668" t="s">
        <v>5470</v>
      </c>
      <c r="D5668" t="s">
        <v>4119</v>
      </c>
      <c r="E5668" t="s">
        <v>5532</v>
      </c>
      <c r="F5668" t="s">
        <v>22009</v>
      </c>
      <c r="G5668" t="s">
        <v>22010</v>
      </c>
      <c r="H5668" t="s">
        <v>5474</v>
      </c>
      <c r="I5668" t="s">
        <v>22011</v>
      </c>
      <c r="J5668" t="s">
        <v>5476</v>
      </c>
      <c r="K5668" t="s">
        <v>22012</v>
      </c>
      <c r="L5668" t="s">
        <v>5471</v>
      </c>
      <c r="M5668" t="s">
        <v>5471</v>
      </c>
    </row>
    <row r="5669" spans="1:13" x14ac:dyDescent="0.3">
      <c r="A5669" t="s">
        <v>3388</v>
      </c>
      <c r="B5669" t="s">
        <v>10865</v>
      </c>
      <c r="C5669" t="s">
        <v>5470</v>
      </c>
      <c r="D5669" t="s">
        <v>4119</v>
      </c>
      <c r="E5669" t="s">
        <v>5756</v>
      </c>
      <c r="F5669" t="s">
        <v>22013</v>
      </c>
      <c r="G5669" t="s">
        <v>15824</v>
      </c>
      <c r="H5669" t="s">
        <v>5474</v>
      </c>
      <c r="I5669" t="s">
        <v>22014</v>
      </c>
      <c r="J5669" t="s">
        <v>5476</v>
      </c>
      <c r="K5669" t="s">
        <v>22015</v>
      </c>
      <c r="L5669" t="s">
        <v>5471</v>
      </c>
      <c r="M5669" t="s">
        <v>5471</v>
      </c>
    </row>
    <row r="5670" spans="1:13" x14ac:dyDescent="0.3">
      <c r="A5670" t="s">
        <v>3388</v>
      </c>
      <c r="B5670" t="s">
        <v>10865</v>
      </c>
      <c r="C5670" t="s">
        <v>5470</v>
      </c>
      <c r="D5670" t="s">
        <v>4119</v>
      </c>
      <c r="E5670" t="s">
        <v>5756</v>
      </c>
      <c r="F5670" t="s">
        <v>22016</v>
      </c>
      <c r="G5670" t="s">
        <v>15824</v>
      </c>
      <c r="H5670" t="s">
        <v>5474</v>
      </c>
      <c r="I5670" t="s">
        <v>22017</v>
      </c>
      <c r="J5670" t="s">
        <v>5476</v>
      </c>
      <c r="K5670" t="s">
        <v>22018</v>
      </c>
      <c r="L5670" t="s">
        <v>5471</v>
      </c>
      <c r="M5670" t="s">
        <v>5471</v>
      </c>
    </row>
    <row r="5671" spans="1:13" x14ac:dyDescent="0.3">
      <c r="A5671" t="s">
        <v>3388</v>
      </c>
      <c r="B5671" t="s">
        <v>10865</v>
      </c>
      <c r="C5671" t="s">
        <v>5470</v>
      </c>
      <c r="D5671" t="s">
        <v>4119</v>
      </c>
      <c r="E5671" t="s">
        <v>5756</v>
      </c>
      <c r="F5671" t="s">
        <v>22019</v>
      </c>
      <c r="G5671" t="s">
        <v>15824</v>
      </c>
      <c r="H5671" t="s">
        <v>5474</v>
      </c>
      <c r="I5671" t="s">
        <v>22020</v>
      </c>
      <c r="J5671" t="s">
        <v>5476</v>
      </c>
      <c r="K5671" t="s">
        <v>22021</v>
      </c>
      <c r="L5671" t="s">
        <v>5471</v>
      </c>
      <c r="M5671" t="s">
        <v>5471</v>
      </c>
    </row>
    <row r="5672" spans="1:13" x14ac:dyDescent="0.3">
      <c r="A5672" t="s">
        <v>3388</v>
      </c>
      <c r="B5672" t="s">
        <v>10857</v>
      </c>
      <c r="C5672" t="s">
        <v>5470</v>
      </c>
      <c r="D5672" t="s">
        <v>4119</v>
      </c>
      <c r="E5672" t="s">
        <v>5756</v>
      </c>
      <c r="F5672" t="s">
        <v>22022</v>
      </c>
      <c r="G5672" t="s">
        <v>22023</v>
      </c>
      <c r="H5672" t="s">
        <v>5474</v>
      </c>
      <c r="I5672" t="s">
        <v>22024</v>
      </c>
      <c r="J5672" t="s">
        <v>5476</v>
      </c>
      <c r="K5672" t="s">
        <v>22025</v>
      </c>
      <c r="L5672" t="s">
        <v>5471</v>
      </c>
      <c r="M5672" t="s">
        <v>5471</v>
      </c>
    </row>
    <row r="5673" spans="1:13" x14ac:dyDescent="0.3">
      <c r="A5673" t="s">
        <v>3388</v>
      </c>
      <c r="B5673" t="s">
        <v>10857</v>
      </c>
      <c r="C5673" t="s">
        <v>5470</v>
      </c>
      <c r="D5673" t="s">
        <v>4119</v>
      </c>
      <c r="E5673" t="s">
        <v>5756</v>
      </c>
      <c r="F5673" t="s">
        <v>22026</v>
      </c>
      <c r="G5673" t="s">
        <v>22027</v>
      </c>
      <c r="H5673" t="s">
        <v>5474</v>
      </c>
      <c r="I5673" t="s">
        <v>22028</v>
      </c>
      <c r="J5673" t="s">
        <v>5476</v>
      </c>
      <c r="K5673" t="s">
        <v>22029</v>
      </c>
      <c r="L5673" t="s">
        <v>5471</v>
      </c>
      <c r="M5673" t="s">
        <v>5471</v>
      </c>
    </row>
    <row r="5674" spans="1:13" x14ac:dyDescent="0.3">
      <c r="A5674" t="s">
        <v>3388</v>
      </c>
      <c r="B5674" t="s">
        <v>10857</v>
      </c>
      <c r="C5674" t="s">
        <v>5470</v>
      </c>
      <c r="D5674" t="s">
        <v>4119</v>
      </c>
      <c r="E5674" t="s">
        <v>5756</v>
      </c>
      <c r="F5674" t="s">
        <v>22030</v>
      </c>
      <c r="G5674" t="s">
        <v>22027</v>
      </c>
      <c r="H5674" t="s">
        <v>5474</v>
      </c>
      <c r="I5674" t="s">
        <v>22031</v>
      </c>
      <c r="J5674" t="s">
        <v>5476</v>
      </c>
      <c r="K5674" t="s">
        <v>22032</v>
      </c>
      <c r="L5674" t="s">
        <v>5471</v>
      </c>
      <c r="M5674" t="s">
        <v>5471</v>
      </c>
    </row>
    <row r="5675" spans="1:13" x14ac:dyDescent="0.3">
      <c r="A5675" t="s">
        <v>3388</v>
      </c>
      <c r="B5675" t="s">
        <v>15822</v>
      </c>
      <c r="C5675" t="s">
        <v>5470</v>
      </c>
      <c r="D5675" t="s">
        <v>4119</v>
      </c>
      <c r="E5675" t="s">
        <v>5756</v>
      </c>
      <c r="F5675" t="s">
        <v>22033</v>
      </c>
      <c r="G5675" t="s">
        <v>8370</v>
      </c>
      <c r="H5675" t="s">
        <v>5474</v>
      </c>
      <c r="I5675" t="s">
        <v>22034</v>
      </c>
      <c r="J5675" t="s">
        <v>5476</v>
      </c>
      <c r="K5675" t="s">
        <v>22035</v>
      </c>
      <c r="L5675" t="s">
        <v>5471</v>
      </c>
      <c r="M5675" t="s">
        <v>5471</v>
      </c>
    </row>
    <row r="5676" spans="1:13" x14ac:dyDescent="0.3">
      <c r="A5676" t="s">
        <v>3388</v>
      </c>
      <c r="B5676" t="s">
        <v>15822</v>
      </c>
      <c r="C5676" t="s">
        <v>5470</v>
      </c>
      <c r="D5676" t="s">
        <v>4119</v>
      </c>
      <c r="E5676" t="s">
        <v>5756</v>
      </c>
      <c r="F5676" t="s">
        <v>22036</v>
      </c>
      <c r="G5676" t="s">
        <v>8370</v>
      </c>
      <c r="H5676" t="s">
        <v>5474</v>
      </c>
      <c r="I5676" t="s">
        <v>22037</v>
      </c>
      <c r="J5676" t="s">
        <v>5476</v>
      </c>
      <c r="K5676" t="s">
        <v>22038</v>
      </c>
      <c r="L5676" t="s">
        <v>5471</v>
      </c>
      <c r="M5676" t="s">
        <v>5471</v>
      </c>
    </row>
    <row r="5677" spans="1:13" x14ac:dyDescent="0.3">
      <c r="A5677" t="s">
        <v>3388</v>
      </c>
      <c r="B5677" t="s">
        <v>15822</v>
      </c>
      <c r="C5677" t="s">
        <v>5470</v>
      </c>
      <c r="D5677" t="s">
        <v>4119</v>
      </c>
      <c r="E5677" t="s">
        <v>5756</v>
      </c>
      <c r="F5677" t="s">
        <v>22039</v>
      </c>
      <c r="G5677" t="s">
        <v>8370</v>
      </c>
      <c r="H5677" t="s">
        <v>5474</v>
      </c>
      <c r="I5677" t="s">
        <v>22040</v>
      </c>
      <c r="J5677" t="s">
        <v>5476</v>
      </c>
      <c r="K5677" t="s">
        <v>22041</v>
      </c>
      <c r="L5677" t="s">
        <v>5471</v>
      </c>
      <c r="M5677" t="s">
        <v>5471</v>
      </c>
    </row>
    <row r="5678" spans="1:13" x14ac:dyDescent="0.3">
      <c r="A5678" t="s">
        <v>3388</v>
      </c>
      <c r="B5678" t="s">
        <v>15822</v>
      </c>
      <c r="C5678" t="s">
        <v>5470</v>
      </c>
      <c r="D5678" t="s">
        <v>4119</v>
      </c>
      <c r="E5678" t="s">
        <v>5756</v>
      </c>
      <c r="F5678" t="s">
        <v>22042</v>
      </c>
      <c r="G5678" t="s">
        <v>22043</v>
      </c>
      <c r="H5678" t="s">
        <v>5474</v>
      </c>
      <c r="I5678" t="s">
        <v>22044</v>
      </c>
      <c r="J5678" t="s">
        <v>5476</v>
      </c>
      <c r="K5678" t="s">
        <v>22045</v>
      </c>
      <c r="L5678" t="s">
        <v>5471</v>
      </c>
      <c r="M5678" t="s">
        <v>5471</v>
      </c>
    </row>
    <row r="5679" spans="1:13" x14ac:dyDescent="0.3">
      <c r="A5679" t="s">
        <v>3388</v>
      </c>
      <c r="B5679" t="s">
        <v>6128</v>
      </c>
      <c r="C5679" t="s">
        <v>5470</v>
      </c>
      <c r="D5679" t="s">
        <v>4119</v>
      </c>
      <c r="E5679" t="s">
        <v>5532</v>
      </c>
      <c r="F5679" t="s">
        <v>22046</v>
      </c>
      <c r="G5679" t="s">
        <v>22047</v>
      </c>
      <c r="H5679" t="s">
        <v>5474</v>
      </c>
      <c r="I5679" t="s">
        <v>22048</v>
      </c>
      <c r="J5679" t="s">
        <v>5476</v>
      </c>
      <c r="K5679" t="s">
        <v>22049</v>
      </c>
      <c r="L5679" t="s">
        <v>5471</v>
      </c>
      <c r="M5679" t="s">
        <v>5471</v>
      </c>
    </row>
    <row r="5680" spans="1:13" x14ac:dyDescent="0.3">
      <c r="A5680" t="s">
        <v>3388</v>
      </c>
      <c r="B5680" t="s">
        <v>6128</v>
      </c>
      <c r="C5680" t="s">
        <v>5470</v>
      </c>
      <c r="D5680" t="s">
        <v>4119</v>
      </c>
      <c r="E5680" t="s">
        <v>5532</v>
      </c>
      <c r="F5680" t="s">
        <v>22050</v>
      </c>
      <c r="G5680" t="s">
        <v>22051</v>
      </c>
      <c r="H5680" t="s">
        <v>5474</v>
      </c>
      <c r="I5680" t="s">
        <v>22052</v>
      </c>
      <c r="J5680" t="s">
        <v>5476</v>
      </c>
      <c r="K5680" t="s">
        <v>22053</v>
      </c>
      <c r="L5680" t="s">
        <v>5471</v>
      </c>
      <c r="M5680" t="s">
        <v>5471</v>
      </c>
    </row>
    <row r="5681" spans="1:13" x14ac:dyDescent="0.3">
      <c r="A5681" t="s">
        <v>3388</v>
      </c>
      <c r="B5681" t="s">
        <v>10865</v>
      </c>
      <c r="C5681" t="s">
        <v>5470</v>
      </c>
      <c r="D5681" t="s">
        <v>4119</v>
      </c>
      <c r="E5681" t="s">
        <v>5756</v>
      </c>
      <c r="F5681" t="s">
        <v>22054</v>
      </c>
      <c r="G5681" t="s">
        <v>22055</v>
      </c>
      <c r="H5681" t="s">
        <v>5474</v>
      </c>
      <c r="I5681" t="s">
        <v>22056</v>
      </c>
      <c r="J5681" t="s">
        <v>5476</v>
      </c>
      <c r="K5681" t="s">
        <v>22057</v>
      </c>
      <c r="L5681" t="s">
        <v>5471</v>
      </c>
      <c r="M5681" t="s">
        <v>5471</v>
      </c>
    </row>
    <row r="5682" spans="1:13" x14ac:dyDescent="0.3">
      <c r="A5682" t="s">
        <v>3388</v>
      </c>
      <c r="B5682" t="s">
        <v>10857</v>
      </c>
      <c r="C5682" t="s">
        <v>5470</v>
      </c>
      <c r="D5682" t="s">
        <v>4119</v>
      </c>
      <c r="E5682" t="s">
        <v>5756</v>
      </c>
      <c r="F5682" t="s">
        <v>22058</v>
      </c>
      <c r="G5682" t="s">
        <v>22027</v>
      </c>
      <c r="H5682" t="s">
        <v>5474</v>
      </c>
      <c r="I5682" t="s">
        <v>22059</v>
      </c>
      <c r="J5682" t="s">
        <v>5476</v>
      </c>
      <c r="K5682" t="s">
        <v>22060</v>
      </c>
      <c r="L5682" t="s">
        <v>5471</v>
      </c>
      <c r="M5682" t="s">
        <v>5471</v>
      </c>
    </row>
    <row r="5683" spans="1:13" x14ac:dyDescent="0.3">
      <c r="A5683" t="s">
        <v>3388</v>
      </c>
      <c r="B5683" t="s">
        <v>6128</v>
      </c>
      <c r="C5683" t="s">
        <v>5470</v>
      </c>
      <c r="D5683" t="s">
        <v>4119</v>
      </c>
      <c r="E5683" t="s">
        <v>5532</v>
      </c>
      <c r="F5683" t="s">
        <v>22061</v>
      </c>
      <c r="G5683" t="s">
        <v>19881</v>
      </c>
      <c r="H5683" t="s">
        <v>5474</v>
      </c>
      <c r="I5683" t="s">
        <v>22062</v>
      </c>
      <c r="J5683" t="s">
        <v>5476</v>
      </c>
      <c r="K5683" t="s">
        <v>22063</v>
      </c>
      <c r="L5683" t="s">
        <v>5471</v>
      </c>
      <c r="M5683" t="s">
        <v>5471</v>
      </c>
    </row>
    <row r="5684" spans="1:13" x14ac:dyDescent="0.3">
      <c r="A5684" t="s">
        <v>3388</v>
      </c>
      <c r="B5684" t="s">
        <v>22064</v>
      </c>
      <c r="C5684" t="s">
        <v>5470</v>
      </c>
      <c r="D5684" t="s">
        <v>4119</v>
      </c>
      <c r="E5684" t="s">
        <v>5532</v>
      </c>
      <c r="F5684" t="s">
        <v>22065</v>
      </c>
      <c r="G5684" t="s">
        <v>22066</v>
      </c>
      <c r="H5684" t="s">
        <v>5474</v>
      </c>
      <c r="I5684" t="s">
        <v>22067</v>
      </c>
      <c r="J5684" t="s">
        <v>5476</v>
      </c>
      <c r="K5684" t="s">
        <v>22068</v>
      </c>
      <c r="L5684" t="s">
        <v>5471</v>
      </c>
      <c r="M5684" t="s">
        <v>5471</v>
      </c>
    </row>
    <row r="5685" spans="1:13" x14ac:dyDescent="0.3">
      <c r="A5685" t="s">
        <v>3388</v>
      </c>
      <c r="B5685" t="s">
        <v>9921</v>
      </c>
      <c r="C5685" t="s">
        <v>5470</v>
      </c>
      <c r="D5685" t="s">
        <v>4119</v>
      </c>
      <c r="E5685" t="s">
        <v>5532</v>
      </c>
      <c r="F5685" t="s">
        <v>22069</v>
      </c>
      <c r="G5685" t="s">
        <v>17628</v>
      </c>
      <c r="H5685" t="s">
        <v>5474</v>
      </c>
      <c r="I5685" t="s">
        <v>22070</v>
      </c>
      <c r="J5685" t="s">
        <v>5476</v>
      </c>
      <c r="K5685" t="s">
        <v>22071</v>
      </c>
      <c r="L5685" t="s">
        <v>5471</v>
      </c>
      <c r="M5685" t="s">
        <v>5471</v>
      </c>
    </row>
    <row r="5686" spans="1:13" x14ac:dyDescent="0.3">
      <c r="A5686" t="s">
        <v>3388</v>
      </c>
      <c r="B5686" t="s">
        <v>22064</v>
      </c>
      <c r="C5686" t="s">
        <v>5470</v>
      </c>
      <c r="D5686" t="s">
        <v>4119</v>
      </c>
      <c r="E5686" t="s">
        <v>5617</v>
      </c>
      <c r="F5686" t="s">
        <v>22072</v>
      </c>
      <c r="G5686" t="s">
        <v>22073</v>
      </c>
      <c r="H5686" t="s">
        <v>5474</v>
      </c>
      <c r="I5686" t="s">
        <v>22074</v>
      </c>
      <c r="J5686" t="s">
        <v>5476</v>
      </c>
      <c r="K5686" t="s">
        <v>22075</v>
      </c>
      <c r="L5686" t="s">
        <v>5471</v>
      </c>
      <c r="M5686" t="s">
        <v>5471</v>
      </c>
    </row>
    <row r="5687" spans="1:13" x14ac:dyDescent="0.3">
      <c r="A5687" t="s">
        <v>3388</v>
      </c>
      <c r="B5687" t="s">
        <v>22076</v>
      </c>
      <c r="C5687" t="s">
        <v>5470</v>
      </c>
      <c r="D5687" t="s">
        <v>4119</v>
      </c>
      <c r="E5687" t="s">
        <v>5756</v>
      </c>
      <c r="F5687" t="s">
        <v>22077</v>
      </c>
      <c r="G5687" t="s">
        <v>22078</v>
      </c>
      <c r="H5687" t="s">
        <v>5474</v>
      </c>
      <c r="I5687" t="s">
        <v>22079</v>
      </c>
      <c r="J5687" t="s">
        <v>5476</v>
      </c>
      <c r="K5687" t="s">
        <v>22080</v>
      </c>
      <c r="L5687" t="s">
        <v>5471</v>
      </c>
      <c r="M5687" t="s">
        <v>5471</v>
      </c>
    </row>
    <row r="5688" spans="1:13" x14ac:dyDescent="0.3">
      <c r="A5688" t="s">
        <v>3388</v>
      </c>
      <c r="B5688" t="s">
        <v>22076</v>
      </c>
      <c r="C5688" t="s">
        <v>5470</v>
      </c>
      <c r="D5688" t="s">
        <v>4119</v>
      </c>
      <c r="E5688" t="s">
        <v>5756</v>
      </c>
      <c r="F5688" t="s">
        <v>22081</v>
      </c>
      <c r="G5688" t="s">
        <v>22078</v>
      </c>
      <c r="H5688" t="s">
        <v>5474</v>
      </c>
      <c r="I5688" t="s">
        <v>22082</v>
      </c>
      <c r="J5688" t="s">
        <v>5476</v>
      </c>
      <c r="K5688" t="s">
        <v>22083</v>
      </c>
      <c r="L5688" t="s">
        <v>5471</v>
      </c>
      <c r="M5688" t="s">
        <v>5471</v>
      </c>
    </row>
    <row r="5689" spans="1:13" x14ac:dyDescent="0.3">
      <c r="A5689" t="s">
        <v>3388</v>
      </c>
      <c r="B5689" t="s">
        <v>22076</v>
      </c>
      <c r="C5689" t="s">
        <v>5470</v>
      </c>
      <c r="D5689" t="s">
        <v>4119</v>
      </c>
      <c r="E5689" t="s">
        <v>5756</v>
      </c>
      <c r="F5689" t="s">
        <v>22084</v>
      </c>
      <c r="G5689" t="s">
        <v>22078</v>
      </c>
      <c r="H5689" t="s">
        <v>5474</v>
      </c>
      <c r="I5689" t="s">
        <v>22085</v>
      </c>
      <c r="J5689" t="s">
        <v>5476</v>
      </c>
      <c r="K5689" t="s">
        <v>22086</v>
      </c>
      <c r="L5689" t="s">
        <v>5471</v>
      </c>
      <c r="M5689" t="s">
        <v>5471</v>
      </c>
    </row>
    <row r="5690" spans="1:13" x14ac:dyDescent="0.3">
      <c r="A5690" t="s">
        <v>3388</v>
      </c>
      <c r="B5690" t="s">
        <v>22076</v>
      </c>
      <c r="C5690" t="s">
        <v>5470</v>
      </c>
      <c r="D5690" t="s">
        <v>4119</v>
      </c>
      <c r="E5690" t="s">
        <v>5756</v>
      </c>
      <c r="F5690" t="s">
        <v>22087</v>
      </c>
      <c r="G5690" t="s">
        <v>22078</v>
      </c>
      <c r="H5690" t="s">
        <v>5474</v>
      </c>
      <c r="I5690" t="s">
        <v>22088</v>
      </c>
      <c r="J5690" t="s">
        <v>5476</v>
      </c>
      <c r="K5690" t="s">
        <v>22089</v>
      </c>
      <c r="L5690" t="s">
        <v>5471</v>
      </c>
      <c r="M5690" t="s">
        <v>5471</v>
      </c>
    </row>
    <row r="5691" spans="1:13" x14ac:dyDescent="0.3">
      <c r="A5691" t="s">
        <v>3388</v>
      </c>
      <c r="B5691" t="s">
        <v>22076</v>
      </c>
      <c r="C5691" t="s">
        <v>5470</v>
      </c>
      <c r="D5691" t="s">
        <v>4119</v>
      </c>
      <c r="E5691" t="s">
        <v>5756</v>
      </c>
      <c r="F5691" t="s">
        <v>22090</v>
      </c>
      <c r="G5691" t="s">
        <v>22078</v>
      </c>
      <c r="H5691" t="s">
        <v>5474</v>
      </c>
      <c r="I5691" t="s">
        <v>22091</v>
      </c>
      <c r="J5691" t="s">
        <v>5476</v>
      </c>
      <c r="K5691" t="s">
        <v>22092</v>
      </c>
      <c r="L5691" t="s">
        <v>5471</v>
      </c>
      <c r="M5691" t="s">
        <v>5471</v>
      </c>
    </row>
    <row r="5692" spans="1:13" x14ac:dyDescent="0.3">
      <c r="A5692" t="s">
        <v>3388</v>
      </c>
      <c r="B5692" t="s">
        <v>5956</v>
      </c>
      <c r="C5692" t="s">
        <v>5470</v>
      </c>
      <c r="D5692" t="s">
        <v>4119</v>
      </c>
      <c r="E5692" t="s">
        <v>5532</v>
      </c>
      <c r="F5692" t="s">
        <v>22093</v>
      </c>
      <c r="G5692" t="s">
        <v>15675</v>
      </c>
      <c r="H5692" t="s">
        <v>5474</v>
      </c>
      <c r="I5692" t="s">
        <v>22094</v>
      </c>
      <c r="J5692" t="s">
        <v>5476</v>
      </c>
      <c r="K5692" t="s">
        <v>22095</v>
      </c>
      <c r="L5692" t="s">
        <v>5471</v>
      </c>
      <c r="M5692" t="s">
        <v>5471</v>
      </c>
    </row>
    <row r="5693" spans="1:13" x14ac:dyDescent="0.3">
      <c r="A5693" t="s">
        <v>3388</v>
      </c>
      <c r="B5693" t="s">
        <v>5956</v>
      </c>
      <c r="C5693" t="s">
        <v>5470</v>
      </c>
      <c r="D5693" t="s">
        <v>4119</v>
      </c>
      <c r="E5693" t="s">
        <v>5532</v>
      </c>
      <c r="F5693" t="s">
        <v>22096</v>
      </c>
      <c r="G5693" t="s">
        <v>10828</v>
      </c>
      <c r="H5693" t="s">
        <v>5474</v>
      </c>
      <c r="I5693" t="s">
        <v>22097</v>
      </c>
      <c r="J5693" t="s">
        <v>5476</v>
      </c>
      <c r="K5693" t="s">
        <v>22098</v>
      </c>
      <c r="L5693" t="s">
        <v>5471</v>
      </c>
      <c r="M5693" t="s">
        <v>5471</v>
      </c>
    </row>
    <row r="5694" spans="1:13" x14ac:dyDescent="0.3">
      <c r="A5694" t="s">
        <v>3388</v>
      </c>
      <c r="B5694" t="s">
        <v>8573</v>
      </c>
      <c r="C5694" t="s">
        <v>5470</v>
      </c>
      <c r="D5694" t="s">
        <v>4119</v>
      </c>
      <c r="E5694" t="s">
        <v>5756</v>
      </c>
      <c r="F5694" t="s">
        <v>22099</v>
      </c>
      <c r="G5694" t="s">
        <v>8015</v>
      </c>
      <c r="H5694" t="s">
        <v>5474</v>
      </c>
      <c r="I5694" t="s">
        <v>22100</v>
      </c>
      <c r="J5694" t="s">
        <v>5476</v>
      </c>
      <c r="K5694" t="s">
        <v>22101</v>
      </c>
      <c r="L5694" t="s">
        <v>5471</v>
      </c>
      <c r="M5694" t="s">
        <v>5471</v>
      </c>
    </row>
    <row r="5695" spans="1:13" x14ac:dyDescent="0.3">
      <c r="A5695" t="s">
        <v>3388</v>
      </c>
      <c r="B5695" t="s">
        <v>8573</v>
      </c>
      <c r="C5695" t="s">
        <v>5470</v>
      </c>
      <c r="D5695" t="s">
        <v>4119</v>
      </c>
      <c r="E5695" t="s">
        <v>5756</v>
      </c>
      <c r="F5695" t="s">
        <v>22102</v>
      </c>
      <c r="G5695" t="s">
        <v>8015</v>
      </c>
      <c r="H5695" t="s">
        <v>5474</v>
      </c>
      <c r="I5695" t="s">
        <v>22103</v>
      </c>
      <c r="J5695" t="s">
        <v>5476</v>
      </c>
      <c r="K5695" t="s">
        <v>22104</v>
      </c>
      <c r="L5695" t="s">
        <v>5471</v>
      </c>
      <c r="M5695" t="s">
        <v>5471</v>
      </c>
    </row>
    <row r="5696" spans="1:13" x14ac:dyDescent="0.3">
      <c r="A5696" t="s">
        <v>3388</v>
      </c>
      <c r="B5696" t="s">
        <v>19343</v>
      </c>
      <c r="C5696" t="s">
        <v>5470</v>
      </c>
      <c r="D5696" t="s">
        <v>4119</v>
      </c>
      <c r="E5696" t="s">
        <v>5532</v>
      </c>
      <c r="F5696" t="s">
        <v>22105</v>
      </c>
      <c r="G5696" t="s">
        <v>22106</v>
      </c>
      <c r="H5696" t="s">
        <v>5474</v>
      </c>
      <c r="I5696" t="s">
        <v>22107</v>
      </c>
      <c r="J5696" t="s">
        <v>5476</v>
      </c>
      <c r="K5696" t="s">
        <v>22108</v>
      </c>
      <c r="L5696" t="s">
        <v>5471</v>
      </c>
      <c r="M5696" t="s">
        <v>5471</v>
      </c>
    </row>
    <row r="5697" spans="1:13" x14ac:dyDescent="0.3">
      <c r="A5697" t="s">
        <v>3388</v>
      </c>
      <c r="B5697" t="s">
        <v>11104</v>
      </c>
      <c r="C5697" t="s">
        <v>5470</v>
      </c>
      <c r="D5697" t="s">
        <v>4119</v>
      </c>
      <c r="E5697" t="s">
        <v>5532</v>
      </c>
      <c r="F5697" t="s">
        <v>22109</v>
      </c>
      <c r="G5697" t="s">
        <v>22110</v>
      </c>
      <c r="H5697" t="s">
        <v>5474</v>
      </c>
      <c r="I5697" t="s">
        <v>22111</v>
      </c>
      <c r="J5697" t="s">
        <v>5476</v>
      </c>
      <c r="K5697" t="s">
        <v>22112</v>
      </c>
      <c r="L5697" t="s">
        <v>5471</v>
      </c>
      <c r="M5697" t="s">
        <v>5471</v>
      </c>
    </row>
    <row r="5698" spans="1:13" x14ac:dyDescent="0.3">
      <c r="A5698" t="s">
        <v>3388</v>
      </c>
      <c r="B5698" t="s">
        <v>5316</v>
      </c>
      <c r="C5698" t="s">
        <v>5470</v>
      </c>
      <c r="D5698" t="s">
        <v>4119</v>
      </c>
      <c r="E5698" t="s">
        <v>5532</v>
      </c>
      <c r="F5698" t="s">
        <v>22113</v>
      </c>
      <c r="G5698" t="s">
        <v>19877</v>
      </c>
      <c r="H5698" t="s">
        <v>5474</v>
      </c>
      <c r="I5698" t="s">
        <v>22114</v>
      </c>
      <c r="J5698" t="s">
        <v>5476</v>
      </c>
      <c r="K5698" t="s">
        <v>22115</v>
      </c>
      <c r="L5698" t="s">
        <v>5471</v>
      </c>
      <c r="M5698" t="s">
        <v>5471</v>
      </c>
    </row>
    <row r="5699" spans="1:13" x14ac:dyDescent="0.3">
      <c r="A5699" t="s">
        <v>3388</v>
      </c>
      <c r="B5699" t="s">
        <v>5316</v>
      </c>
      <c r="C5699" t="s">
        <v>5470</v>
      </c>
      <c r="D5699" t="s">
        <v>4119</v>
      </c>
      <c r="E5699" t="s">
        <v>5532</v>
      </c>
      <c r="F5699" t="s">
        <v>22116</v>
      </c>
      <c r="G5699" t="s">
        <v>22117</v>
      </c>
      <c r="H5699" t="s">
        <v>5474</v>
      </c>
      <c r="I5699" t="s">
        <v>22118</v>
      </c>
      <c r="J5699" t="s">
        <v>5476</v>
      </c>
      <c r="K5699" t="s">
        <v>22119</v>
      </c>
      <c r="L5699" t="s">
        <v>5471</v>
      </c>
      <c r="M5699" t="s">
        <v>5471</v>
      </c>
    </row>
    <row r="5700" spans="1:13" x14ac:dyDescent="0.3">
      <c r="A5700" t="s">
        <v>3388</v>
      </c>
      <c r="B5700" t="s">
        <v>5316</v>
      </c>
      <c r="C5700" t="s">
        <v>5470</v>
      </c>
      <c r="D5700" t="s">
        <v>4119</v>
      </c>
      <c r="E5700" t="s">
        <v>5532</v>
      </c>
      <c r="F5700" t="s">
        <v>22120</v>
      </c>
      <c r="G5700" t="s">
        <v>22121</v>
      </c>
      <c r="H5700" t="s">
        <v>5474</v>
      </c>
      <c r="I5700" t="s">
        <v>22122</v>
      </c>
      <c r="J5700" t="s">
        <v>5476</v>
      </c>
      <c r="K5700" t="s">
        <v>22123</v>
      </c>
      <c r="L5700" t="s">
        <v>5471</v>
      </c>
      <c r="M5700" t="s">
        <v>5471</v>
      </c>
    </row>
    <row r="5701" spans="1:13" x14ac:dyDescent="0.3">
      <c r="A5701" t="s">
        <v>3388</v>
      </c>
      <c r="B5701" t="s">
        <v>5316</v>
      </c>
      <c r="C5701" t="s">
        <v>5470</v>
      </c>
      <c r="D5701" t="s">
        <v>4119</v>
      </c>
      <c r="E5701" t="s">
        <v>5532</v>
      </c>
      <c r="F5701" t="s">
        <v>22124</v>
      </c>
      <c r="G5701" t="s">
        <v>21998</v>
      </c>
      <c r="H5701" t="s">
        <v>5474</v>
      </c>
      <c r="I5701" t="s">
        <v>22125</v>
      </c>
      <c r="J5701" t="s">
        <v>5476</v>
      </c>
      <c r="K5701" t="s">
        <v>22126</v>
      </c>
      <c r="L5701" t="s">
        <v>5471</v>
      </c>
      <c r="M5701" t="s">
        <v>5471</v>
      </c>
    </row>
    <row r="5702" spans="1:13" x14ac:dyDescent="0.3">
      <c r="A5702" t="s">
        <v>3388</v>
      </c>
      <c r="B5702" t="s">
        <v>8577</v>
      </c>
      <c r="C5702" t="s">
        <v>5470</v>
      </c>
      <c r="D5702" t="s">
        <v>4119</v>
      </c>
      <c r="E5702" t="s">
        <v>5532</v>
      </c>
      <c r="F5702" t="s">
        <v>22127</v>
      </c>
      <c r="G5702" t="s">
        <v>22128</v>
      </c>
      <c r="H5702" t="s">
        <v>5474</v>
      </c>
      <c r="I5702" t="s">
        <v>22129</v>
      </c>
      <c r="J5702" t="s">
        <v>5476</v>
      </c>
      <c r="K5702" t="s">
        <v>22130</v>
      </c>
      <c r="L5702" t="s">
        <v>5471</v>
      </c>
      <c r="M5702" t="s">
        <v>5471</v>
      </c>
    </row>
    <row r="5703" spans="1:13" x14ac:dyDescent="0.3">
      <c r="A5703" t="s">
        <v>3388</v>
      </c>
      <c r="B5703" t="s">
        <v>8577</v>
      </c>
      <c r="C5703" t="s">
        <v>5470</v>
      </c>
      <c r="D5703" t="s">
        <v>4119</v>
      </c>
      <c r="E5703" t="s">
        <v>5532</v>
      </c>
      <c r="F5703" t="s">
        <v>22131</v>
      </c>
      <c r="G5703" t="s">
        <v>22128</v>
      </c>
      <c r="H5703" t="s">
        <v>5474</v>
      </c>
      <c r="I5703" t="s">
        <v>22132</v>
      </c>
      <c r="J5703" t="s">
        <v>5476</v>
      </c>
      <c r="K5703" t="s">
        <v>22133</v>
      </c>
      <c r="L5703" t="s">
        <v>5471</v>
      </c>
      <c r="M5703" t="s">
        <v>5471</v>
      </c>
    </row>
    <row r="5704" spans="1:13" x14ac:dyDescent="0.3">
      <c r="A5704" t="s">
        <v>3388</v>
      </c>
      <c r="B5704" t="s">
        <v>7109</v>
      </c>
      <c r="C5704" t="s">
        <v>5470</v>
      </c>
      <c r="D5704" t="s">
        <v>4119</v>
      </c>
      <c r="E5704" t="s">
        <v>5756</v>
      </c>
      <c r="F5704" t="s">
        <v>22134</v>
      </c>
      <c r="G5704" t="s">
        <v>21836</v>
      </c>
      <c r="H5704" t="s">
        <v>5474</v>
      </c>
      <c r="I5704" t="s">
        <v>22135</v>
      </c>
      <c r="J5704" t="s">
        <v>5476</v>
      </c>
      <c r="K5704" t="s">
        <v>22136</v>
      </c>
      <c r="L5704" t="s">
        <v>5471</v>
      </c>
      <c r="M5704" t="s">
        <v>5471</v>
      </c>
    </row>
    <row r="5705" spans="1:13" x14ac:dyDescent="0.3">
      <c r="A5705" t="s">
        <v>3388</v>
      </c>
      <c r="B5705" t="s">
        <v>7109</v>
      </c>
      <c r="C5705" t="s">
        <v>5470</v>
      </c>
      <c r="D5705" t="s">
        <v>4119</v>
      </c>
      <c r="E5705" t="s">
        <v>5756</v>
      </c>
      <c r="F5705" t="s">
        <v>22137</v>
      </c>
      <c r="G5705" t="s">
        <v>21836</v>
      </c>
      <c r="H5705" t="s">
        <v>5474</v>
      </c>
      <c r="I5705" t="s">
        <v>22138</v>
      </c>
      <c r="J5705" t="s">
        <v>5476</v>
      </c>
      <c r="K5705" t="s">
        <v>22139</v>
      </c>
      <c r="L5705" t="s">
        <v>5471</v>
      </c>
      <c r="M5705" t="s">
        <v>5471</v>
      </c>
    </row>
    <row r="5706" spans="1:13" x14ac:dyDescent="0.3">
      <c r="A5706" t="s">
        <v>3388</v>
      </c>
      <c r="B5706" t="s">
        <v>11099</v>
      </c>
      <c r="C5706" t="s">
        <v>5470</v>
      </c>
      <c r="D5706" t="s">
        <v>4119</v>
      </c>
      <c r="E5706" t="s">
        <v>5532</v>
      </c>
      <c r="F5706" t="s">
        <v>22140</v>
      </c>
      <c r="G5706" t="s">
        <v>22141</v>
      </c>
      <c r="H5706" t="s">
        <v>5474</v>
      </c>
      <c r="I5706" t="s">
        <v>22142</v>
      </c>
      <c r="J5706" t="s">
        <v>5476</v>
      </c>
      <c r="K5706" t="s">
        <v>22143</v>
      </c>
      <c r="L5706" t="s">
        <v>5471</v>
      </c>
      <c r="M5706" t="s">
        <v>5471</v>
      </c>
    </row>
    <row r="5707" spans="1:13" x14ac:dyDescent="0.3">
      <c r="A5707" t="s">
        <v>3388</v>
      </c>
      <c r="B5707" t="s">
        <v>11094</v>
      </c>
      <c r="C5707" t="s">
        <v>5470</v>
      </c>
      <c r="D5707" t="s">
        <v>4119</v>
      </c>
      <c r="E5707" t="s">
        <v>5756</v>
      </c>
      <c r="F5707" t="s">
        <v>22144</v>
      </c>
      <c r="G5707" t="s">
        <v>22145</v>
      </c>
      <c r="H5707" t="s">
        <v>5474</v>
      </c>
      <c r="I5707" t="s">
        <v>22146</v>
      </c>
      <c r="J5707" t="s">
        <v>5476</v>
      </c>
      <c r="K5707" t="s">
        <v>22147</v>
      </c>
      <c r="L5707" t="s">
        <v>5471</v>
      </c>
      <c r="M5707" t="s">
        <v>5471</v>
      </c>
    </row>
    <row r="5708" spans="1:13" x14ac:dyDescent="0.3">
      <c r="A5708" t="s">
        <v>3388</v>
      </c>
      <c r="B5708" t="s">
        <v>11094</v>
      </c>
      <c r="C5708" t="s">
        <v>5470</v>
      </c>
      <c r="D5708" t="s">
        <v>4119</v>
      </c>
      <c r="E5708" t="s">
        <v>5756</v>
      </c>
      <c r="F5708" t="s">
        <v>22148</v>
      </c>
      <c r="G5708" t="s">
        <v>22149</v>
      </c>
      <c r="H5708" t="s">
        <v>5474</v>
      </c>
      <c r="I5708" t="s">
        <v>22150</v>
      </c>
      <c r="J5708" t="s">
        <v>5476</v>
      </c>
      <c r="K5708" t="s">
        <v>22151</v>
      </c>
      <c r="L5708" t="s">
        <v>5471</v>
      </c>
      <c r="M5708" t="s">
        <v>5471</v>
      </c>
    </row>
    <row r="5709" spans="1:13" x14ac:dyDescent="0.3">
      <c r="A5709" t="s">
        <v>3388</v>
      </c>
      <c r="B5709" t="s">
        <v>11094</v>
      </c>
      <c r="C5709" t="s">
        <v>5470</v>
      </c>
      <c r="D5709" t="s">
        <v>4119</v>
      </c>
      <c r="E5709" t="s">
        <v>5756</v>
      </c>
      <c r="F5709" t="s">
        <v>22152</v>
      </c>
      <c r="G5709" t="s">
        <v>22145</v>
      </c>
      <c r="H5709" t="s">
        <v>5474</v>
      </c>
      <c r="I5709" t="s">
        <v>22153</v>
      </c>
      <c r="J5709" t="s">
        <v>5476</v>
      </c>
      <c r="K5709" t="s">
        <v>22154</v>
      </c>
      <c r="L5709" t="s">
        <v>5471</v>
      </c>
      <c r="M5709" t="s">
        <v>5471</v>
      </c>
    </row>
    <row r="5710" spans="1:13" x14ac:dyDescent="0.3">
      <c r="A5710" t="s">
        <v>3388</v>
      </c>
      <c r="B5710" t="s">
        <v>19207</v>
      </c>
      <c r="C5710" t="s">
        <v>5470</v>
      </c>
      <c r="D5710" t="s">
        <v>4119</v>
      </c>
      <c r="E5710" t="s">
        <v>5532</v>
      </c>
      <c r="F5710" t="s">
        <v>22155</v>
      </c>
      <c r="G5710" t="s">
        <v>22156</v>
      </c>
      <c r="H5710" t="s">
        <v>5474</v>
      </c>
      <c r="I5710" t="s">
        <v>22157</v>
      </c>
      <c r="J5710" t="s">
        <v>5476</v>
      </c>
      <c r="K5710" t="s">
        <v>22158</v>
      </c>
      <c r="L5710" t="s">
        <v>5471</v>
      </c>
      <c r="M5710" t="s">
        <v>5471</v>
      </c>
    </row>
    <row r="5711" spans="1:13" x14ac:dyDescent="0.3">
      <c r="A5711" t="s">
        <v>3388</v>
      </c>
      <c r="B5711" t="s">
        <v>19207</v>
      </c>
      <c r="C5711" t="s">
        <v>5470</v>
      </c>
      <c r="D5711" t="s">
        <v>4119</v>
      </c>
      <c r="E5711" t="s">
        <v>5532</v>
      </c>
      <c r="F5711" t="s">
        <v>22159</v>
      </c>
      <c r="G5711" t="s">
        <v>22160</v>
      </c>
      <c r="H5711" t="s">
        <v>5474</v>
      </c>
      <c r="I5711" t="s">
        <v>22161</v>
      </c>
      <c r="J5711" t="s">
        <v>5476</v>
      </c>
      <c r="K5711" t="s">
        <v>22162</v>
      </c>
      <c r="L5711" t="s">
        <v>5471</v>
      </c>
      <c r="M5711" t="s">
        <v>5471</v>
      </c>
    </row>
    <row r="5712" spans="1:13" x14ac:dyDescent="0.3">
      <c r="A5712" t="s">
        <v>3388</v>
      </c>
      <c r="B5712" t="s">
        <v>21595</v>
      </c>
      <c r="C5712" t="s">
        <v>5470</v>
      </c>
      <c r="D5712" t="s">
        <v>4119</v>
      </c>
      <c r="E5712" t="s">
        <v>5532</v>
      </c>
      <c r="F5712" t="s">
        <v>22163</v>
      </c>
      <c r="G5712" t="s">
        <v>22164</v>
      </c>
      <c r="H5712" t="s">
        <v>5474</v>
      </c>
      <c r="I5712" t="s">
        <v>22165</v>
      </c>
      <c r="J5712" t="s">
        <v>5476</v>
      </c>
      <c r="K5712" t="s">
        <v>22166</v>
      </c>
      <c r="L5712" t="s">
        <v>5471</v>
      </c>
      <c r="M5712" t="s">
        <v>5471</v>
      </c>
    </row>
    <row r="5713" spans="1:13" x14ac:dyDescent="0.3">
      <c r="A5713" t="s">
        <v>3388</v>
      </c>
      <c r="B5713" t="s">
        <v>15961</v>
      </c>
      <c r="C5713" t="s">
        <v>5470</v>
      </c>
      <c r="D5713" t="s">
        <v>4119</v>
      </c>
      <c r="E5713" t="s">
        <v>5756</v>
      </c>
      <c r="F5713" t="s">
        <v>22167</v>
      </c>
      <c r="G5713" t="s">
        <v>8286</v>
      </c>
      <c r="H5713" t="s">
        <v>5474</v>
      </c>
      <c r="I5713" t="s">
        <v>22168</v>
      </c>
      <c r="J5713" t="s">
        <v>5476</v>
      </c>
      <c r="K5713" t="s">
        <v>22169</v>
      </c>
      <c r="L5713" t="s">
        <v>5471</v>
      </c>
      <c r="M5713" t="s">
        <v>5471</v>
      </c>
    </row>
    <row r="5714" spans="1:13" x14ac:dyDescent="0.3">
      <c r="A5714" t="s">
        <v>3388</v>
      </c>
      <c r="B5714" t="s">
        <v>5253</v>
      </c>
      <c r="C5714" t="s">
        <v>5470</v>
      </c>
      <c r="D5714" t="s">
        <v>4119</v>
      </c>
      <c r="E5714" t="s">
        <v>5617</v>
      </c>
      <c r="F5714" t="s">
        <v>22170</v>
      </c>
      <c r="G5714" t="s">
        <v>22171</v>
      </c>
      <c r="H5714" t="s">
        <v>5474</v>
      </c>
      <c r="I5714" t="s">
        <v>22172</v>
      </c>
      <c r="J5714" t="s">
        <v>5476</v>
      </c>
      <c r="K5714" t="s">
        <v>22173</v>
      </c>
      <c r="L5714" t="s">
        <v>5471</v>
      </c>
      <c r="M5714" t="s">
        <v>5471</v>
      </c>
    </row>
    <row r="5715" spans="1:13" x14ac:dyDescent="0.3">
      <c r="A5715" t="s">
        <v>3388</v>
      </c>
      <c r="B5715" t="s">
        <v>22174</v>
      </c>
      <c r="C5715" t="s">
        <v>5470</v>
      </c>
      <c r="D5715" t="s">
        <v>4119</v>
      </c>
      <c r="E5715" t="s">
        <v>5532</v>
      </c>
      <c r="F5715" t="s">
        <v>22175</v>
      </c>
      <c r="G5715" t="s">
        <v>22176</v>
      </c>
      <c r="H5715" t="s">
        <v>5474</v>
      </c>
      <c r="I5715" t="s">
        <v>22177</v>
      </c>
      <c r="J5715" t="s">
        <v>5476</v>
      </c>
      <c r="K5715" t="s">
        <v>22178</v>
      </c>
      <c r="L5715" t="s">
        <v>5471</v>
      </c>
      <c r="M5715" t="s">
        <v>5471</v>
      </c>
    </row>
    <row r="5716" spans="1:13" x14ac:dyDescent="0.3">
      <c r="A5716" t="s">
        <v>3388</v>
      </c>
      <c r="B5716" t="s">
        <v>7101</v>
      </c>
      <c r="C5716" t="s">
        <v>5470</v>
      </c>
      <c r="D5716" t="s">
        <v>4119</v>
      </c>
      <c r="E5716" t="s">
        <v>5532</v>
      </c>
      <c r="F5716" t="s">
        <v>22179</v>
      </c>
      <c r="G5716" t="s">
        <v>20406</v>
      </c>
      <c r="H5716" t="s">
        <v>5474</v>
      </c>
      <c r="I5716" t="s">
        <v>22180</v>
      </c>
      <c r="J5716" t="s">
        <v>5476</v>
      </c>
      <c r="K5716" t="s">
        <v>22181</v>
      </c>
      <c r="L5716" t="s">
        <v>5471</v>
      </c>
      <c r="M5716" t="s">
        <v>5471</v>
      </c>
    </row>
    <row r="5717" spans="1:13" x14ac:dyDescent="0.3">
      <c r="A5717" t="s">
        <v>3388</v>
      </c>
      <c r="B5717" t="s">
        <v>7101</v>
      </c>
      <c r="C5717" t="s">
        <v>5470</v>
      </c>
      <c r="D5717" t="s">
        <v>4119</v>
      </c>
      <c r="E5717" t="s">
        <v>5532</v>
      </c>
      <c r="F5717" t="s">
        <v>22182</v>
      </c>
      <c r="G5717" t="s">
        <v>20406</v>
      </c>
      <c r="H5717" t="s">
        <v>5474</v>
      </c>
      <c r="I5717" t="s">
        <v>22183</v>
      </c>
      <c r="J5717" t="s">
        <v>5476</v>
      </c>
      <c r="K5717" t="s">
        <v>22184</v>
      </c>
      <c r="L5717" t="s">
        <v>5471</v>
      </c>
      <c r="M5717" t="s">
        <v>5471</v>
      </c>
    </row>
    <row r="5718" spans="1:13" x14ac:dyDescent="0.3">
      <c r="A5718" t="s">
        <v>3388</v>
      </c>
      <c r="B5718" t="s">
        <v>7101</v>
      </c>
      <c r="C5718" t="s">
        <v>5470</v>
      </c>
      <c r="D5718" t="s">
        <v>4119</v>
      </c>
      <c r="E5718" t="s">
        <v>5532</v>
      </c>
      <c r="F5718" t="s">
        <v>22185</v>
      </c>
      <c r="G5718" t="s">
        <v>22186</v>
      </c>
      <c r="H5718" t="s">
        <v>5474</v>
      </c>
      <c r="I5718" t="s">
        <v>22187</v>
      </c>
      <c r="J5718" t="s">
        <v>5476</v>
      </c>
      <c r="K5718" t="s">
        <v>22188</v>
      </c>
      <c r="L5718" t="s">
        <v>5471</v>
      </c>
      <c r="M5718" t="s">
        <v>5471</v>
      </c>
    </row>
    <row r="5719" spans="1:13" x14ac:dyDescent="0.3">
      <c r="A5719" t="s">
        <v>3388</v>
      </c>
      <c r="B5719" t="s">
        <v>7101</v>
      </c>
      <c r="C5719" t="s">
        <v>5470</v>
      </c>
      <c r="D5719" t="s">
        <v>4119</v>
      </c>
      <c r="E5719" t="s">
        <v>5532</v>
      </c>
      <c r="F5719" t="s">
        <v>22189</v>
      </c>
      <c r="G5719" t="s">
        <v>22190</v>
      </c>
      <c r="H5719" t="s">
        <v>5474</v>
      </c>
      <c r="I5719" t="s">
        <v>22191</v>
      </c>
      <c r="J5719" t="s">
        <v>5476</v>
      </c>
      <c r="K5719" t="s">
        <v>22192</v>
      </c>
      <c r="L5719" t="s">
        <v>5471</v>
      </c>
      <c r="M5719" t="s">
        <v>5471</v>
      </c>
    </row>
    <row r="5720" spans="1:13" x14ac:dyDescent="0.3">
      <c r="A5720" t="s">
        <v>3388</v>
      </c>
      <c r="B5720" t="s">
        <v>7101</v>
      </c>
      <c r="C5720" t="s">
        <v>5470</v>
      </c>
      <c r="D5720" t="s">
        <v>4119</v>
      </c>
      <c r="E5720" t="s">
        <v>5756</v>
      </c>
      <c r="F5720" t="s">
        <v>22193</v>
      </c>
      <c r="G5720" t="s">
        <v>20355</v>
      </c>
      <c r="H5720" t="s">
        <v>5474</v>
      </c>
      <c r="I5720" t="s">
        <v>22194</v>
      </c>
      <c r="J5720" t="s">
        <v>5476</v>
      </c>
      <c r="K5720" t="s">
        <v>22195</v>
      </c>
      <c r="L5720" t="s">
        <v>5471</v>
      </c>
      <c r="M5720" t="s">
        <v>5471</v>
      </c>
    </row>
    <row r="5721" spans="1:13" x14ac:dyDescent="0.3">
      <c r="A5721" t="s">
        <v>3388</v>
      </c>
      <c r="B5721" t="s">
        <v>7101</v>
      </c>
      <c r="C5721" t="s">
        <v>5470</v>
      </c>
      <c r="D5721" t="s">
        <v>4119</v>
      </c>
      <c r="E5721" t="s">
        <v>5756</v>
      </c>
      <c r="F5721" t="s">
        <v>22196</v>
      </c>
      <c r="G5721" t="s">
        <v>20355</v>
      </c>
      <c r="H5721" t="s">
        <v>5474</v>
      </c>
      <c r="I5721" t="s">
        <v>22197</v>
      </c>
      <c r="J5721" t="s">
        <v>5476</v>
      </c>
      <c r="K5721" t="s">
        <v>22198</v>
      </c>
      <c r="L5721" t="s">
        <v>5471</v>
      </c>
      <c r="M5721" t="s">
        <v>5471</v>
      </c>
    </row>
    <row r="5722" spans="1:13" x14ac:dyDescent="0.3">
      <c r="A5722" t="s">
        <v>3388</v>
      </c>
      <c r="B5722" t="s">
        <v>7101</v>
      </c>
      <c r="C5722" t="s">
        <v>5470</v>
      </c>
      <c r="D5722" t="s">
        <v>4119</v>
      </c>
      <c r="E5722" t="s">
        <v>5756</v>
      </c>
      <c r="F5722" t="s">
        <v>22199</v>
      </c>
      <c r="G5722" t="s">
        <v>20355</v>
      </c>
      <c r="H5722" t="s">
        <v>5474</v>
      </c>
      <c r="I5722" t="s">
        <v>22200</v>
      </c>
      <c r="J5722" t="s">
        <v>5476</v>
      </c>
      <c r="K5722" t="s">
        <v>22201</v>
      </c>
      <c r="L5722" t="s">
        <v>5471</v>
      </c>
      <c r="M5722" t="s">
        <v>5471</v>
      </c>
    </row>
    <row r="5723" spans="1:13" x14ac:dyDescent="0.3">
      <c r="A5723" t="s">
        <v>3388</v>
      </c>
      <c r="B5723" t="s">
        <v>7101</v>
      </c>
      <c r="C5723" t="s">
        <v>5470</v>
      </c>
      <c r="D5723" t="s">
        <v>4119</v>
      </c>
      <c r="E5723" t="s">
        <v>5756</v>
      </c>
      <c r="F5723" t="s">
        <v>22202</v>
      </c>
      <c r="G5723" t="s">
        <v>22203</v>
      </c>
      <c r="H5723" t="s">
        <v>5474</v>
      </c>
      <c r="I5723" t="s">
        <v>22204</v>
      </c>
      <c r="J5723" t="s">
        <v>5476</v>
      </c>
      <c r="K5723" t="s">
        <v>22205</v>
      </c>
      <c r="L5723" t="s">
        <v>5471</v>
      </c>
      <c r="M5723" t="s">
        <v>5471</v>
      </c>
    </row>
    <row r="5724" spans="1:13" x14ac:dyDescent="0.3">
      <c r="A5724" t="s">
        <v>3388</v>
      </c>
      <c r="B5724" t="s">
        <v>7101</v>
      </c>
      <c r="C5724" t="s">
        <v>5470</v>
      </c>
      <c r="D5724" t="s">
        <v>4119</v>
      </c>
      <c r="E5724" t="s">
        <v>5756</v>
      </c>
      <c r="F5724" t="s">
        <v>22206</v>
      </c>
      <c r="G5724" t="s">
        <v>22203</v>
      </c>
      <c r="H5724" t="s">
        <v>5474</v>
      </c>
      <c r="I5724" t="s">
        <v>22207</v>
      </c>
      <c r="J5724" t="s">
        <v>5476</v>
      </c>
      <c r="K5724" t="s">
        <v>22208</v>
      </c>
      <c r="L5724" t="s">
        <v>5471</v>
      </c>
      <c r="M5724" t="s">
        <v>5471</v>
      </c>
    </row>
    <row r="5725" spans="1:13" x14ac:dyDescent="0.3">
      <c r="A5725" t="s">
        <v>3388</v>
      </c>
      <c r="B5725" t="s">
        <v>7101</v>
      </c>
      <c r="C5725" t="s">
        <v>5470</v>
      </c>
      <c r="D5725" t="s">
        <v>4119</v>
      </c>
      <c r="E5725" t="s">
        <v>5756</v>
      </c>
      <c r="F5725" t="s">
        <v>22209</v>
      </c>
      <c r="G5725" t="s">
        <v>22203</v>
      </c>
      <c r="H5725" t="s">
        <v>5474</v>
      </c>
      <c r="I5725" t="s">
        <v>22210</v>
      </c>
      <c r="J5725" t="s">
        <v>5476</v>
      </c>
      <c r="K5725" t="s">
        <v>22211</v>
      </c>
      <c r="L5725" t="s">
        <v>5471</v>
      </c>
      <c r="M5725" t="s">
        <v>5471</v>
      </c>
    </row>
    <row r="5726" spans="1:13" x14ac:dyDescent="0.3">
      <c r="A5726" t="s">
        <v>3388</v>
      </c>
      <c r="B5726" t="s">
        <v>7101</v>
      </c>
      <c r="C5726" t="s">
        <v>5470</v>
      </c>
      <c r="D5726" t="s">
        <v>4119</v>
      </c>
      <c r="E5726" t="s">
        <v>5756</v>
      </c>
      <c r="F5726" t="s">
        <v>22212</v>
      </c>
      <c r="G5726" t="s">
        <v>22203</v>
      </c>
      <c r="H5726" t="s">
        <v>5474</v>
      </c>
      <c r="I5726" t="s">
        <v>22213</v>
      </c>
      <c r="J5726" t="s">
        <v>5476</v>
      </c>
      <c r="K5726" t="s">
        <v>22214</v>
      </c>
      <c r="L5726" t="s">
        <v>5471</v>
      </c>
      <c r="M5726" t="s">
        <v>5471</v>
      </c>
    </row>
    <row r="5727" spans="1:13" x14ac:dyDescent="0.3">
      <c r="A5727" t="s">
        <v>3388</v>
      </c>
      <c r="B5727" t="s">
        <v>20072</v>
      </c>
      <c r="C5727" t="s">
        <v>5470</v>
      </c>
      <c r="D5727" t="s">
        <v>4119</v>
      </c>
      <c r="E5727" t="s">
        <v>5532</v>
      </c>
      <c r="F5727" t="s">
        <v>22215</v>
      </c>
      <c r="G5727" t="s">
        <v>22216</v>
      </c>
      <c r="H5727" t="s">
        <v>5474</v>
      </c>
      <c r="I5727" t="s">
        <v>22217</v>
      </c>
      <c r="J5727" t="s">
        <v>5476</v>
      </c>
      <c r="K5727" t="s">
        <v>22218</v>
      </c>
      <c r="L5727" t="s">
        <v>5471</v>
      </c>
      <c r="M5727" t="s">
        <v>5471</v>
      </c>
    </row>
    <row r="5728" spans="1:13" x14ac:dyDescent="0.3">
      <c r="A5728" t="s">
        <v>3388</v>
      </c>
      <c r="B5728" t="s">
        <v>20036</v>
      </c>
      <c r="C5728" t="s">
        <v>5470</v>
      </c>
      <c r="D5728" t="s">
        <v>4119</v>
      </c>
      <c r="E5728" t="s">
        <v>5532</v>
      </c>
      <c r="F5728" t="s">
        <v>22219</v>
      </c>
      <c r="G5728" t="s">
        <v>22220</v>
      </c>
      <c r="H5728" t="s">
        <v>5474</v>
      </c>
      <c r="I5728" t="s">
        <v>22221</v>
      </c>
      <c r="J5728" t="s">
        <v>5476</v>
      </c>
      <c r="K5728" t="s">
        <v>22222</v>
      </c>
      <c r="L5728" t="s">
        <v>5471</v>
      </c>
      <c r="M5728" t="s">
        <v>5471</v>
      </c>
    </row>
    <row r="5729" spans="1:13" x14ac:dyDescent="0.3">
      <c r="A5729" t="s">
        <v>3388</v>
      </c>
      <c r="B5729" t="s">
        <v>20036</v>
      </c>
      <c r="C5729" t="s">
        <v>5470</v>
      </c>
      <c r="D5729" t="s">
        <v>4119</v>
      </c>
      <c r="E5729" t="s">
        <v>5532</v>
      </c>
      <c r="F5729" t="s">
        <v>22223</v>
      </c>
      <c r="G5729" t="s">
        <v>22224</v>
      </c>
      <c r="H5729" t="s">
        <v>5474</v>
      </c>
      <c r="I5729" t="s">
        <v>22225</v>
      </c>
      <c r="J5729" t="s">
        <v>5476</v>
      </c>
      <c r="K5729" t="s">
        <v>22226</v>
      </c>
      <c r="L5729" t="s">
        <v>5471</v>
      </c>
      <c r="M5729" t="s">
        <v>5471</v>
      </c>
    </row>
    <row r="5730" spans="1:13" x14ac:dyDescent="0.3">
      <c r="A5730" t="s">
        <v>3388</v>
      </c>
      <c r="B5730" t="s">
        <v>15596</v>
      </c>
      <c r="C5730" t="s">
        <v>5470</v>
      </c>
      <c r="D5730" t="s">
        <v>4119</v>
      </c>
      <c r="E5730" t="s">
        <v>5532</v>
      </c>
      <c r="F5730" t="s">
        <v>22227</v>
      </c>
      <c r="G5730" t="s">
        <v>22228</v>
      </c>
      <c r="H5730" t="s">
        <v>5474</v>
      </c>
      <c r="I5730" t="s">
        <v>22229</v>
      </c>
      <c r="J5730" t="s">
        <v>5476</v>
      </c>
      <c r="K5730" t="s">
        <v>22230</v>
      </c>
      <c r="L5730" t="s">
        <v>5471</v>
      </c>
      <c r="M5730" t="s">
        <v>5471</v>
      </c>
    </row>
    <row r="5731" spans="1:13" x14ac:dyDescent="0.3">
      <c r="A5731" t="s">
        <v>3388</v>
      </c>
      <c r="B5731" t="s">
        <v>15596</v>
      </c>
      <c r="C5731" t="s">
        <v>5470</v>
      </c>
      <c r="D5731" t="s">
        <v>4119</v>
      </c>
      <c r="E5731" t="s">
        <v>5532</v>
      </c>
      <c r="F5731" t="s">
        <v>22231</v>
      </c>
      <c r="G5731" t="s">
        <v>22232</v>
      </c>
      <c r="H5731" t="s">
        <v>5474</v>
      </c>
      <c r="I5731" t="s">
        <v>22233</v>
      </c>
      <c r="J5731" t="s">
        <v>5476</v>
      </c>
      <c r="K5731" t="s">
        <v>22234</v>
      </c>
      <c r="L5731" t="s">
        <v>5471</v>
      </c>
      <c r="M5731" t="s">
        <v>5471</v>
      </c>
    </row>
    <row r="5732" spans="1:13" x14ac:dyDescent="0.3">
      <c r="A5732" t="s">
        <v>3388</v>
      </c>
      <c r="B5732" t="s">
        <v>15596</v>
      </c>
      <c r="C5732" t="s">
        <v>5470</v>
      </c>
      <c r="D5732" t="s">
        <v>4119</v>
      </c>
      <c r="E5732" t="s">
        <v>5532</v>
      </c>
      <c r="F5732" t="s">
        <v>22235</v>
      </c>
      <c r="G5732" t="s">
        <v>22232</v>
      </c>
      <c r="H5732" t="s">
        <v>5474</v>
      </c>
      <c r="I5732" t="s">
        <v>22236</v>
      </c>
      <c r="J5732" t="s">
        <v>5476</v>
      </c>
      <c r="K5732" t="s">
        <v>22237</v>
      </c>
      <c r="L5732" t="s">
        <v>5471</v>
      </c>
      <c r="M5732" t="s">
        <v>5471</v>
      </c>
    </row>
    <row r="5733" spans="1:13" x14ac:dyDescent="0.3">
      <c r="A5733" t="s">
        <v>3388</v>
      </c>
      <c r="B5733" t="s">
        <v>2749</v>
      </c>
      <c r="C5733" t="s">
        <v>5470</v>
      </c>
      <c r="D5733" t="s">
        <v>4119</v>
      </c>
      <c r="E5733" t="s">
        <v>5532</v>
      </c>
      <c r="F5733" t="s">
        <v>22238</v>
      </c>
      <c r="G5733" t="s">
        <v>17694</v>
      </c>
      <c r="H5733" t="s">
        <v>5474</v>
      </c>
      <c r="I5733" t="s">
        <v>22239</v>
      </c>
      <c r="J5733" t="s">
        <v>5476</v>
      </c>
      <c r="K5733" t="s">
        <v>22240</v>
      </c>
      <c r="L5733" t="s">
        <v>5471</v>
      </c>
      <c r="M5733" t="s">
        <v>5471</v>
      </c>
    </row>
    <row r="5734" spans="1:13" x14ac:dyDescent="0.3">
      <c r="A5734" t="s">
        <v>3388</v>
      </c>
      <c r="B5734" t="s">
        <v>5284</v>
      </c>
      <c r="C5734" t="s">
        <v>5470</v>
      </c>
      <c r="D5734" t="s">
        <v>4119</v>
      </c>
      <c r="E5734" t="s">
        <v>5532</v>
      </c>
      <c r="F5734" t="s">
        <v>22241</v>
      </c>
      <c r="G5734" t="s">
        <v>22242</v>
      </c>
      <c r="H5734" t="s">
        <v>5474</v>
      </c>
      <c r="I5734" t="s">
        <v>22243</v>
      </c>
      <c r="J5734" t="s">
        <v>5476</v>
      </c>
      <c r="K5734" t="s">
        <v>22244</v>
      </c>
      <c r="L5734" t="s">
        <v>5471</v>
      </c>
      <c r="M5734" t="s">
        <v>5471</v>
      </c>
    </row>
    <row r="5735" spans="1:13" x14ac:dyDescent="0.3">
      <c r="A5735" t="s">
        <v>3388</v>
      </c>
      <c r="B5735" t="s">
        <v>2749</v>
      </c>
      <c r="C5735" t="s">
        <v>5470</v>
      </c>
      <c r="D5735" t="s">
        <v>4119</v>
      </c>
      <c r="E5735" t="s">
        <v>5532</v>
      </c>
      <c r="F5735" t="s">
        <v>22245</v>
      </c>
      <c r="G5735" t="s">
        <v>22002</v>
      </c>
      <c r="H5735" t="s">
        <v>5474</v>
      </c>
      <c r="I5735" t="s">
        <v>22246</v>
      </c>
      <c r="J5735" t="s">
        <v>5476</v>
      </c>
      <c r="K5735" t="s">
        <v>22247</v>
      </c>
      <c r="L5735" t="s">
        <v>5471</v>
      </c>
      <c r="M5735" t="s">
        <v>5471</v>
      </c>
    </row>
    <row r="5736" spans="1:13" x14ac:dyDescent="0.3">
      <c r="A5736" t="s">
        <v>3388</v>
      </c>
      <c r="B5736" t="s">
        <v>2749</v>
      </c>
      <c r="C5736" t="s">
        <v>5470</v>
      </c>
      <c r="D5736" t="s">
        <v>4119</v>
      </c>
      <c r="E5736" t="s">
        <v>5532</v>
      </c>
      <c r="F5736" t="s">
        <v>22248</v>
      </c>
      <c r="G5736" t="s">
        <v>22006</v>
      </c>
      <c r="H5736" t="s">
        <v>5474</v>
      </c>
      <c r="I5736" t="s">
        <v>22249</v>
      </c>
      <c r="J5736" t="s">
        <v>5476</v>
      </c>
      <c r="K5736" t="s">
        <v>22250</v>
      </c>
      <c r="L5736" t="s">
        <v>5471</v>
      </c>
      <c r="M5736" t="s">
        <v>5471</v>
      </c>
    </row>
    <row r="5737" spans="1:13" x14ac:dyDescent="0.3">
      <c r="A5737" t="s">
        <v>3388</v>
      </c>
      <c r="B5737" t="s">
        <v>2749</v>
      </c>
      <c r="C5737" t="s">
        <v>5470</v>
      </c>
      <c r="D5737" t="s">
        <v>4119</v>
      </c>
      <c r="E5737" t="s">
        <v>5532</v>
      </c>
      <c r="F5737" t="s">
        <v>22251</v>
      </c>
      <c r="G5737" t="s">
        <v>22252</v>
      </c>
      <c r="H5737" t="s">
        <v>5474</v>
      </c>
      <c r="I5737" t="s">
        <v>22253</v>
      </c>
      <c r="J5737" t="s">
        <v>5476</v>
      </c>
      <c r="K5737" t="s">
        <v>22254</v>
      </c>
      <c r="L5737" t="s">
        <v>5471</v>
      </c>
      <c r="M5737" t="s">
        <v>5471</v>
      </c>
    </row>
    <row r="5738" spans="1:13" x14ac:dyDescent="0.3">
      <c r="A5738" t="s">
        <v>3388</v>
      </c>
      <c r="B5738" t="s">
        <v>5678</v>
      </c>
      <c r="C5738" t="s">
        <v>5470</v>
      </c>
      <c r="D5738" t="s">
        <v>4119</v>
      </c>
      <c r="E5738" t="s">
        <v>5532</v>
      </c>
      <c r="F5738" t="s">
        <v>22255</v>
      </c>
      <c r="G5738" t="s">
        <v>22256</v>
      </c>
      <c r="H5738" t="s">
        <v>5474</v>
      </c>
      <c r="I5738" t="s">
        <v>22257</v>
      </c>
      <c r="J5738" t="s">
        <v>5476</v>
      </c>
      <c r="K5738" t="s">
        <v>22258</v>
      </c>
      <c r="L5738" t="s">
        <v>5471</v>
      </c>
      <c r="M5738" t="s">
        <v>5471</v>
      </c>
    </row>
    <row r="5739" spans="1:13" x14ac:dyDescent="0.3">
      <c r="A5739" t="s">
        <v>3388</v>
      </c>
      <c r="B5739" t="s">
        <v>21928</v>
      </c>
      <c r="C5739" t="s">
        <v>5470</v>
      </c>
      <c r="D5739" t="s">
        <v>4119</v>
      </c>
      <c r="E5739" t="s">
        <v>5532</v>
      </c>
      <c r="F5739" t="s">
        <v>22259</v>
      </c>
      <c r="G5739" t="s">
        <v>21934</v>
      </c>
      <c r="H5739" t="s">
        <v>5474</v>
      </c>
      <c r="I5739" t="s">
        <v>22260</v>
      </c>
      <c r="J5739" t="s">
        <v>5476</v>
      </c>
      <c r="K5739" t="s">
        <v>22261</v>
      </c>
      <c r="L5739" t="s">
        <v>5471</v>
      </c>
      <c r="M5739" t="s">
        <v>5471</v>
      </c>
    </row>
    <row r="5740" spans="1:13" x14ac:dyDescent="0.3">
      <c r="A5740" t="s">
        <v>3388</v>
      </c>
      <c r="B5740" t="s">
        <v>21928</v>
      </c>
      <c r="C5740" t="s">
        <v>5470</v>
      </c>
      <c r="D5740" t="s">
        <v>4119</v>
      </c>
      <c r="E5740" t="s">
        <v>5532</v>
      </c>
      <c r="F5740" t="s">
        <v>22262</v>
      </c>
      <c r="G5740" t="s">
        <v>22263</v>
      </c>
      <c r="H5740" t="s">
        <v>5474</v>
      </c>
      <c r="I5740" t="s">
        <v>22264</v>
      </c>
      <c r="J5740" t="s">
        <v>5476</v>
      </c>
      <c r="K5740" t="s">
        <v>22265</v>
      </c>
      <c r="L5740" t="s">
        <v>5471</v>
      </c>
      <c r="M5740" t="s">
        <v>5471</v>
      </c>
    </row>
    <row r="5741" spans="1:13" x14ac:dyDescent="0.3">
      <c r="A5741" t="s">
        <v>3388</v>
      </c>
      <c r="B5741" t="s">
        <v>15957</v>
      </c>
      <c r="C5741" t="s">
        <v>5470</v>
      </c>
      <c r="D5741" t="s">
        <v>4119</v>
      </c>
      <c r="E5741" t="s">
        <v>5532</v>
      </c>
      <c r="F5741" t="s">
        <v>22266</v>
      </c>
      <c r="G5741" t="s">
        <v>22267</v>
      </c>
      <c r="H5741" t="s">
        <v>5474</v>
      </c>
      <c r="I5741" t="s">
        <v>22268</v>
      </c>
      <c r="J5741" t="s">
        <v>5476</v>
      </c>
      <c r="K5741" t="s">
        <v>22269</v>
      </c>
      <c r="L5741" t="s">
        <v>5471</v>
      </c>
      <c r="M5741" t="s">
        <v>5471</v>
      </c>
    </row>
    <row r="5742" spans="1:13" x14ac:dyDescent="0.3">
      <c r="A5742" t="s">
        <v>3388</v>
      </c>
      <c r="B5742" t="s">
        <v>15957</v>
      </c>
      <c r="C5742" t="s">
        <v>5470</v>
      </c>
      <c r="D5742" t="s">
        <v>4119</v>
      </c>
      <c r="E5742" t="s">
        <v>5532</v>
      </c>
      <c r="F5742" t="s">
        <v>22270</v>
      </c>
      <c r="G5742" t="s">
        <v>22271</v>
      </c>
      <c r="H5742" t="s">
        <v>5474</v>
      </c>
      <c r="I5742" t="s">
        <v>22272</v>
      </c>
      <c r="J5742" t="s">
        <v>5476</v>
      </c>
      <c r="K5742" t="s">
        <v>22273</v>
      </c>
      <c r="L5742" t="s">
        <v>5471</v>
      </c>
      <c r="M5742" t="s">
        <v>5471</v>
      </c>
    </row>
    <row r="5743" spans="1:13" x14ac:dyDescent="0.3">
      <c r="A5743" t="s">
        <v>3388</v>
      </c>
      <c r="B5743" t="s">
        <v>15957</v>
      </c>
      <c r="C5743" t="s">
        <v>5470</v>
      </c>
      <c r="D5743" t="s">
        <v>4119</v>
      </c>
      <c r="E5743" t="s">
        <v>5532</v>
      </c>
      <c r="F5743" t="s">
        <v>22274</v>
      </c>
      <c r="G5743" t="s">
        <v>15959</v>
      </c>
      <c r="H5743" t="s">
        <v>5474</v>
      </c>
      <c r="I5743" t="s">
        <v>22275</v>
      </c>
      <c r="J5743" t="s">
        <v>5476</v>
      </c>
      <c r="K5743" t="s">
        <v>22276</v>
      </c>
      <c r="L5743" t="s">
        <v>5471</v>
      </c>
      <c r="M5743" t="s">
        <v>5471</v>
      </c>
    </row>
    <row r="5744" spans="1:13" x14ac:dyDescent="0.3">
      <c r="A5744" t="s">
        <v>3388</v>
      </c>
      <c r="B5744" t="s">
        <v>6632</v>
      </c>
      <c r="C5744" t="s">
        <v>5470</v>
      </c>
      <c r="D5744" t="s">
        <v>4119</v>
      </c>
      <c r="E5744" t="s">
        <v>5532</v>
      </c>
      <c r="F5744" t="s">
        <v>22277</v>
      </c>
      <c r="G5744" t="s">
        <v>22278</v>
      </c>
      <c r="H5744" t="s">
        <v>5474</v>
      </c>
      <c r="I5744" t="s">
        <v>22279</v>
      </c>
      <c r="J5744" t="s">
        <v>5476</v>
      </c>
      <c r="K5744" t="s">
        <v>22280</v>
      </c>
      <c r="L5744" t="s">
        <v>5471</v>
      </c>
      <c r="M5744" t="s">
        <v>5471</v>
      </c>
    </row>
    <row r="5745" spans="1:13" x14ac:dyDescent="0.3">
      <c r="A5745" t="s">
        <v>3388</v>
      </c>
      <c r="B5745" t="s">
        <v>6632</v>
      </c>
      <c r="C5745" t="s">
        <v>5470</v>
      </c>
      <c r="D5745" t="s">
        <v>4119</v>
      </c>
      <c r="E5745" t="s">
        <v>5532</v>
      </c>
      <c r="F5745" t="s">
        <v>22281</v>
      </c>
      <c r="G5745" t="s">
        <v>22282</v>
      </c>
      <c r="H5745" t="s">
        <v>5474</v>
      </c>
      <c r="I5745" t="s">
        <v>22283</v>
      </c>
      <c r="J5745" t="s">
        <v>5476</v>
      </c>
      <c r="K5745" t="s">
        <v>22284</v>
      </c>
      <c r="L5745" t="s">
        <v>5471</v>
      </c>
      <c r="M5745" t="s">
        <v>5471</v>
      </c>
    </row>
    <row r="5746" spans="1:13" x14ac:dyDescent="0.3">
      <c r="A5746" t="s">
        <v>3388</v>
      </c>
      <c r="B5746" t="s">
        <v>21928</v>
      </c>
      <c r="C5746" t="s">
        <v>5470</v>
      </c>
      <c r="D5746" t="s">
        <v>4119</v>
      </c>
      <c r="E5746" t="s">
        <v>5532</v>
      </c>
      <c r="F5746" t="s">
        <v>22285</v>
      </c>
      <c r="G5746" t="s">
        <v>22286</v>
      </c>
      <c r="H5746" t="s">
        <v>5474</v>
      </c>
      <c r="I5746" t="s">
        <v>22287</v>
      </c>
      <c r="J5746" t="s">
        <v>5476</v>
      </c>
      <c r="K5746" t="s">
        <v>22288</v>
      </c>
      <c r="L5746" t="s">
        <v>5471</v>
      </c>
      <c r="M5746" t="s">
        <v>5471</v>
      </c>
    </row>
    <row r="5747" spans="1:13" x14ac:dyDescent="0.3">
      <c r="A5747" t="s">
        <v>3388</v>
      </c>
      <c r="B5747" t="s">
        <v>19207</v>
      </c>
      <c r="C5747" t="s">
        <v>5470</v>
      </c>
      <c r="D5747" t="s">
        <v>4119</v>
      </c>
      <c r="E5747" t="s">
        <v>5532</v>
      </c>
      <c r="F5747" t="s">
        <v>22289</v>
      </c>
      <c r="G5747" t="s">
        <v>22290</v>
      </c>
      <c r="H5747" t="s">
        <v>5474</v>
      </c>
      <c r="I5747" t="s">
        <v>22291</v>
      </c>
      <c r="J5747" t="s">
        <v>5476</v>
      </c>
      <c r="K5747" t="s">
        <v>22292</v>
      </c>
      <c r="L5747" t="s">
        <v>5471</v>
      </c>
      <c r="M5747" t="s">
        <v>5471</v>
      </c>
    </row>
    <row r="5748" spans="1:13" x14ac:dyDescent="0.3">
      <c r="A5748" t="s">
        <v>3388</v>
      </c>
      <c r="B5748" t="s">
        <v>18555</v>
      </c>
      <c r="C5748" t="s">
        <v>5470</v>
      </c>
      <c r="D5748" t="s">
        <v>9833</v>
      </c>
      <c r="E5748" t="s">
        <v>5756</v>
      </c>
      <c r="F5748" t="s">
        <v>22293</v>
      </c>
      <c r="G5748" t="s">
        <v>15840</v>
      </c>
      <c r="H5748" t="s">
        <v>5474</v>
      </c>
      <c r="I5748" t="s">
        <v>22294</v>
      </c>
      <c r="J5748" t="s">
        <v>5476</v>
      </c>
      <c r="K5748" t="s">
        <v>22295</v>
      </c>
      <c r="L5748" t="s">
        <v>5471</v>
      </c>
      <c r="M5748" t="s">
        <v>5471</v>
      </c>
    </row>
    <row r="5749" spans="1:13" x14ac:dyDescent="0.3">
      <c r="A5749" t="s">
        <v>3388</v>
      </c>
      <c r="B5749" t="s">
        <v>22296</v>
      </c>
      <c r="C5749" t="s">
        <v>5470</v>
      </c>
      <c r="D5749" t="s">
        <v>10218</v>
      </c>
      <c r="E5749" t="s">
        <v>5756</v>
      </c>
      <c r="F5749" t="s">
        <v>22297</v>
      </c>
      <c r="G5749" t="s">
        <v>22298</v>
      </c>
      <c r="H5749" t="s">
        <v>5474</v>
      </c>
      <c r="I5749" t="s">
        <v>22299</v>
      </c>
      <c r="J5749" t="s">
        <v>5476</v>
      </c>
      <c r="K5749" t="s">
        <v>5471</v>
      </c>
      <c r="L5749" t="s">
        <v>5471</v>
      </c>
      <c r="M5749" t="s">
        <v>5471</v>
      </c>
    </row>
    <row r="5750" spans="1:13" x14ac:dyDescent="0.3">
      <c r="A5750" t="s">
        <v>3388</v>
      </c>
      <c r="B5750" t="s">
        <v>22296</v>
      </c>
      <c r="C5750" t="s">
        <v>5470</v>
      </c>
      <c r="D5750" t="s">
        <v>10218</v>
      </c>
      <c r="E5750" t="s">
        <v>5756</v>
      </c>
      <c r="F5750" t="s">
        <v>22300</v>
      </c>
      <c r="G5750" t="s">
        <v>22298</v>
      </c>
      <c r="H5750" t="s">
        <v>5474</v>
      </c>
      <c r="I5750" t="s">
        <v>22301</v>
      </c>
      <c r="J5750" t="s">
        <v>5476</v>
      </c>
      <c r="K5750" t="s">
        <v>5471</v>
      </c>
      <c r="L5750" t="s">
        <v>5471</v>
      </c>
      <c r="M5750" t="s">
        <v>5471</v>
      </c>
    </row>
    <row r="5751" spans="1:13" x14ac:dyDescent="0.3">
      <c r="A5751" t="s">
        <v>3388</v>
      </c>
      <c r="B5751" t="s">
        <v>22296</v>
      </c>
      <c r="C5751" t="s">
        <v>5470</v>
      </c>
      <c r="D5751" t="s">
        <v>10218</v>
      </c>
      <c r="E5751" t="s">
        <v>5756</v>
      </c>
      <c r="F5751" t="s">
        <v>22302</v>
      </c>
      <c r="G5751" t="s">
        <v>22298</v>
      </c>
      <c r="H5751" t="s">
        <v>5474</v>
      </c>
      <c r="I5751" t="s">
        <v>22303</v>
      </c>
      <c r="J5751" t="s">
        <v>5476</v>
      </c>
      <c r="K5751" t="s">
        <v>5471</v>
      </c>
      <c r="L5751" t="s">
        <v>5471</v>
      </c>
      <c r="M5751" t="s">
        <v>5471</v>
      </c>
    </row>
    <row r="5752" spans="1:13" x14ac:dyDescent="0.3">
      <c r="A5752" t="s">
        <v>3388</v>
      </c>
      <c r="B5752" t="s">
        <v>22296</v>
      </c>
      <c r="C5752" t="s">
        <v>5470</v>
      </c>
      <c r="D5752" t="s">
        <v>10218</v>
      </c>
      <c r="E5752" t="s">
        <v>5756</v>
      </c>
      <c r="F5752" t="s">
        <v>22304</v>
      </c>
      <c r="G5752" t="s">
        <v>22298</v>
      </c>
      <c r="H5752" t="s">
        <v>5474</v>
      </c>
      <c r="I5752" t="s">
        <v>22305</v>
      </c>
      <c r="J5752" t="s">
        <v>5476</v>
      </c>
      <c r="K5752" t="s">
        <v>5471</v>
      </c>
      <c r="L5752" t="s">
        <v>5471</v>
      </c>
      <c r="M5752" t="s">
        <v>5471</v>
      </c>
    </row>
    <row r="5753" spans="1:13" x14ac:dyDescent="0.3">
      <c r="A5753" t="s">
        <v>3388</v>
      </c>
      <c r="B5753" t="s">
        <v>22296</v>
      </c>
      <c r="C5753" t="s">
        <v>5470</v>
      </c>
      <c r="D5753" t="s">
        <v>10218</v>
      </c>
      <c r="E5753" t="s">
        <v>5756</v>
      </c>
      <c r="F5753" t="s">
        <v>22306</v>
      </c>
      <c r="G5753" t="s">
        <v>22298</v>
      </c>
      <c r="H5753" t="s">
        <v>5474</v>
      </c>
      <c r="I5753" t="s">
        <v>22307</v>
      </c>
      <c r="J5753" t="s">
        <v>5476</v>
      </c>
      <c r="K5753" t="s">
        <v>5471</v>
      </c>
      <c r="L5753" t="s">
        <v>5471</v>
      </c>
      <c r="M5753" t="s">
        <v>5471</v>
      </c>
    </row>
    <row r="5754" spans="1:13" x14ac:dyDescent="0.3">
      <c r="A5754" t="s">
        <v>3388</v>
      </c>
      <c r="B5754" t="s">
        <v>22296</v>
      </c>
      <c r="C5754" t="s">
        <v>5470</v>
      </c>
      <c r="D5754" t="s">
        <v>10218</v>
      </c>
      <c r="E5754" t="s">
        <v>5756</v>
      </c>
      <c r="F5754" t="s">
        <v>22308</v>
      </c>
      <c r="G5754" t="s">
        <v>22298</v>
      </c>
      <c r="H5754" t="s">
        <v>5474</v>
      </c>
      <c r="I5754" t="s">
        <v>22309</v>
      </c>
      <c r="J5754" t="s">
        <v>5476</v>
      </c>
      <c r="K5754" t="s">
        <v>5471</v>
      </c>
      <c r="L5754" t="s">
        <v>5471</v>
      </c>
      <c r="M5754" t="s">
        <v>5471</v>
      </c>
    </row>
    <row r="5755" spans="1:13" x14ac:dyDescent="0.3">
      <c r="A5755" t="s">
        <v>3388</v>
      </c>
      <c r="B5755" t="s">
        <v>5616</v>
      </c>
      <c r="C5755" t="s">
        <v>5470</v>
      </c>
      <c r="D5755" t="s">
        <v>4119</v>
      </c>
      <c r="E5755" t="s">
        <v>5532</v>
      </c>
      <c r="F5755" t="s">
        <v>22310</v>
      </c>
      <c r="G5755" t="s">
        <v>22311</v>
      </c>
      <c r="H5755" t="s">
        <v>5474</v>
      </c>
      <c r="I5755" t="s">
        <v>22312</v>
      </c>
      <c r="J5755" t="s">
        <v>5484</v>
      </c>
      <c r="K5755" t="s">
        <v>22313</v>
      </c>
      <c r="L5755" t="s">
        <v>5471</v>
      </c>
      <c r="M5755" t="s">
        <v>5471</v>
      </c>
    </row>
    <row r="5756" spans="1:13" x14ac:dyDescent="0.3">
      <c r="A5756" t="s">
        <v>3388</v>
      </c>
      <c r="B5756" t="s">
        <v>5616</v>
      </c>
      <c r="C5756" t="s">
        <v>5470</v>
      </c>
      <c r="D5756" t="s">
        <v>4119</v>
      </c>
      <c r="E5756" t="s">
        <v>5532</v>
      </c>
      <c r="F5756" t="s">
        <v>22314</v>
      </c>
      <c r="G5756" t="s">
        <v>22315</v>
      </c>
      <c r="H5756" t="s">
        <v>5474</v>
      </c>
      <c r="I5756" t="s">
        <v>22316</v>
      </c>
      <c r="J5756" t="s">
        <v>5484</v>
      </c>
      <c r="K5756" t="s">
        <v>22317</v>
      </c>
      <c r="L5756" t="s">
        <v>5471</v>
      </c>
      <c r="M5756" t="s">
        <v>5471</v>
      </c>
    </row>
    <row r="5757" spans="1:13" x14ac:dyDescent="0.3">
      <c r="A5757" t="s">
        <v>3388</v>
      </c>
      <c r="B5757" t="s">
        <v>20010</v>
      </c>
      <c r="C5757" t="s">
        <v>5470</v>
      </c>
      <c r="D5757" t="s">
        <v>4119</v>
      </c>
      <c r="E5757" t="s">
        <v>5756</v>
      </c>
      <c r="F5757" t="s">
        <v>22318</v>
      </c>
      <c r="G5757" t="s">
        <v>22319</v>
      </c>
      <c r="H5757" t="s">
        <v>5474</v>
      </c>
      <c r="I5757" t="s">
        <v>22320</v>
      </c>
      <c r="J5757" t="s">
        <v>5476</v>
      </c>
      <c r="K5757" t="s">
        <v>22321</v>
      </c>
      <c r="L5757" t="s">
        <v>5471</v>
      </c>
      <c r="M5757" t="s">
        <v>5471</v>
      </c>
    </row>
    <row r="5758" spans="1:13" x14ac:dyDescent="0.3">
      <c r="A5758" t="s">
        <v>3388</v>
      </c>
      <c r="B5758" t="s">
        <v>5290</v>
      </c>
      <c r="C5758" t="s">
        <v>5470</v>
      </c>
      <c r="D5758" t="s">
        <v>4119</v>
      </c>
      <c r="E5758" t="s">
        <v>5756</v>
      </c>
      <c r="F5758" t="s">
        <v>22322</v>
      </c>
      <c r="G5758" t="s">
        <v>22323</v>
      </c>
      <c r="H5758" t="s">
        <v>5474</v>
      </c>
      <c r="I5758" t="s">
        <v>22324</v>
      </c>
      <c r="J5758" t="s">
        <v>5476</v>
      </c>
      <c r="K5758" t="s">
        <v>22325</v>
      </c>
      <c r="L5758" t="s">
        <v>5471</v>
      </c>
      <c r="M5758" t="s">
        <v>5471</v>
      </c>
    </row>
    <row r="5759" spans="1:13" x14ac:dyDescent="0.3">
      <c r="A5759" t="s">
        <v>3388</v>
      </c>
      <c r="B5759" t="s">
        <v>21595</v>
      </c>
      <c r="C5759" t="s">
        <v>5470</v>
      </c>
      <c r="D5759" t="s">
        <v>4119</v>
      </c>
      <c r="E5759" t="s">
        <v>5617</v>
      </c>
      <c r="F5759" t="s">
        <v>22326</v>
      </c>
      <c r="G5759" t="s">
        <v>21806</v>
      </c>
      <c r="H5759" t="s">
        <v>5474</v>
      </c>
      <c r="I5759" t="s">
        <v>22327</v>
      </c>
      <c r="J5759" t="s">
        <v>5476</v>
      </c>
      <c r="K5759" t="s">
        <v>22328</v>
      </c>
      <c r="L5759" t="s">
        <v>5471</v>
      </c>
      <c r="M5759" t="s">
        <v>5471</v>
      </c>
    </row>
    <row r="5760" spans="1:13" x14ac:dyDescent="0.3">
      <c r="A5760" t="s">
        <v>3388</v>
      </c>
      <c r="B5760" t="s">
        <v>21595</v>
      </c>
      <c r="C5760" t="s">
        <v>5470</v>
      </c>
      <c r="D5760" t="s">
        <v>4119</v>
      </c>
      <c r="E5760" t="s">
        <v>5617</v>
      </c>
      <c r="F5760" t="s">
        <v>22329</v>
      </c>
      <c r="G5760" t="s">
        <v>21810</v>
      </c>
      <c r="H5760" t="s">
        <v>5474</v>
      </c>
      <c r="I5760" t="s">
        <v>22330</v>
      </c>
      <c r="J5760" t="s">
        <v>5476</v>
      </c>
      <c r="K5760" t="s">
        <v>22331</v>
      </c>
      <c r="L5760" t="s">
        <v>5471</v>
      </c>
      <c r="M5760" t="s">
        <v>5471</v>
      </c>
    </row>
    <row r="5761" spans="1:13" x14ac:dyDescent="0.3">
      <c r="A5761" t="s">
        <v>3388</v>
      </c>
      <c r="B5761" t="s">
        <v>21595</v>
      </c>
      <c r="C5761" t="s">
        <v>5470</v>
      </c>
      <c r="D5761" t="s">
        <v>4119</v>
      </c>
      <c r="E5761" t="s">
        <v>5617</v>
      </c>
      <c r="F5761" t="s">
        <v>22332</v>
      </c>
      <c r="G5761" t="s">
        <v>21814</v>
      </c>
      <c r="H5761" t="s">
        <v>5474</v>
      </c>
      <c r="I5761" t="s">
        <v>22333</v>
      </c>
      <c r="J5761" t="s">
        <v>5476</v>
      </c>
      <c r="K5761" t="s">
        <v>22334</v>
      </c>
      <c r="L5761" t="s">
        <v>5471</v>
      </c>
      <c r="M5761" t="s">
        <v>5471</v>
      </c>
    </row>
    <row r="5762" spans="1:13" x14ac:dyDescent="0.3">
      <c r="A5762" t="s">
        <v>3388</v>
      </c>
      <c r="B5762" t="s">
        <v>21595</v>
      </c>
      <c r="C5762" t="s">
        <v>5470</v>
      </c>
      <c r="D5762" t="s">
        <v>4119</v>
      </c>
      <c r="E5762" t="s">
        <v>5617</v>
      </c>
      <c r="F5762" t="s">
        <v>22335</v>
      </c>
      <c r="G5762" t="s">
        <v>22336</v>
      </c>
      <c r="H5762" t="s">
        <v>5474</v>
      </c>
      <c r="I5762" t="s">
        <v>22337</v>
      </c>
      <c r="J5762" t="s">
        <v>5476</v>
      </c>
      <c r="K5762" t="s">
        <v>22338</v>
      </c>
      <c r="L5762" t="s">
        <v>5471</v>
      </c>
      <c r="M5762" t="s">
        <v>5471</v>
      </c>
    </row>
    <row r="5763" spans="1:13" x14ac:dyDescent="0.3">
      <c r="A5763" t="s">
        <v>3388</v>
      </c>
      <c r="B5763" t="s">
        <v>21595</v>
      </c>
      <c r="C5763" t="s">
        <v>5470</v>
      </c>
      <c r="D5763" t="s">
        <v>4119</v>
      </c>
      <c r="E5763" t="s">
        <v>5532</v>
      </c>
      <c r="F5763" t="s">
        <v>22339</v>
      </c>
      <c r="G5763" t="s">
        <v>21818</v>
      </c>
      <c r="H5763" t="s">
        <v>5474</v>
      </c>
      <c r="I5763" t="s">
        <v>22340</v>
      </c>
      <c r="J5763" t="s">
        <v>5476</v>
      </c>
      <c r="K5763" t="s">
        <v>22341</v>
      </c>
      <c r="L5763" t="s">
        <v>5471</v>
      </c>
      <c r="M5763" t="s">
        <v>5471</v>
      </c>
    </row>
    <row r="5764" spans="1:13" x14ac:dyDescent="0.3">
      <c r="A5764" t="s">
        <v>3388</v>
      </c>
      <c r="B5764" t="s">
        <v>21595</v>
      </c>
      <c r="C5764" t="s">
        <v>5470</v>
      </c>
      <c r="D5764" t="s">
        <v>4119</v>
      </c>
      <c r="E5764" t="s">
        <v>5532</v>
      </c>
      <c r="F5764" t="s">
        <v>22342</v>
      </c>
      <c r="G5764" t="s">
        <v>21825</v>
      </c>
      <c r="H5764" t="s">
        <v>5474</v>
      </c>
      <c r="I5764" t="s">
        <v>22343</v>
      </c>
      <c r="J5764" t="s">
        <v>5476</v>
      </c>
      <c r="K5764" t="s">
        <v>22344</v>
      </c>
      <c r="L5764" t="s">
        <v>5471</v>
      </c>
      <c r="M5764" t="s">
        <v>5471</v>
      </c>
    </row>
    <row r="5765" spans="1:13" x14ac:dyDescent="0.3">
      <c r="A5765" t="s">
        <v>3388</v>
      </c>
      <c r="B5765" t="s">
        <v>21595</v>
      </c>
      <c r="C5765" t="s">
        <v>5470</v>
      </c>
      <c r="D5765" t="s">
        <v>4119</v>
      </c>
      <c r="E5765" t="s">
        <v>5532</v>
      </c>
      <c r="F5765" t="s">
        <v>22345</v>
      </c>
      <c r="G5765" t="s">
        <v>21829</v>
      </c>
      <c r="H5765" t="s">
        <v>5474</v>
      </c>
      <c r="I5765" t="s">
        <v>22346</v>
      </c>
      <c r="J5765" t="s">
        <v>5476</v>
      </c>
      <c r="K5765" t="s">
        <v>22347</v>
      </c>
      <c r="L5765" t="s">
        <v>5471</v>
      </c>
      <c r="M5765" t="s">
        <v>5471</v>
      </c>
    </row>
    <row r="5766" spans="1:13" x14ac:dyDescent="0.3">
      <c r="A5766" t="s">
        <v>3388</v>
      </c>
      <c r="B5766" t="s">
        <v>15970</v>
      </c>
      <c r="C5766" t="s">
        <v>5470</v>
      </c>
      <c r="D5766" t="s">
        <v>4119</v>
      </c>
      <c r="E5766" t="s">
        <v>5532</v>
      </c>
      <c r="F5766" t="s">
        <v>22348</v>
      </c>
      <c r="G5766" t="s">
        <v>22349</v>
      </c>
      <c r="H5766" t="s">
        <v>5474</v>
      </c>
      <c r="I5766" t="s">
        <v>22350</v>
      </c>
      <c r="J5766" t="s">
        <v>5476</v>
      </c>
      <c r="K5766" t="s">
        <v>22351</v>
      </c>
      <c r="L5766" t="s">
        <v>5471</v>
      </c>
      <c r="M5766" t="s">
        <v>5471</v>
      </c>
    </row>
    <row r="5767" spans="1:13" x14ac:dyDescent="0.3">
      <c r="A5767" t="s">
        <v>3388</v>
      </c>
      <c r="B5767" t="s">
        <v>19343</v>
      </c>
      <c r="C5767" t="s">
        <v>5470</v>
      </c>
      <c r="D5767" t="s">
        <v>4119</v>
      </c>
      <c r="E5767" t="s">
        <v>5532</v>
      </c>
      <c r="F5767" t="s">
        <v>22352</v>
      </c>
      <c r="G5767" t="s">
        <v>22353</v>
      </c>
      <c r="H5767" t="s">
        <v>5474</v>
      </c>
      <c r="I5767" t="s">
        <v>22354</v>
      </c>
      <c r="J5767" t="s">
        <v>5476</v>
      </c>
      <c r="K5767" t="s">
        <v>22355</v>
      </c>
      <c r="L5767" t="s">
        <v>5471</v>
      </c>
      <c r="M5767" t="s">
        <v>5471</v>
      </c>
    </row>
    <row r="5768" spans="1:13" x14ac:dyDescent="0.3">
      <c r="A5768" t="s">
        <v>3388</v>
      </c>
      <c r="B5768" t="s">
        <v>5341</v>
      </c>
      <c r="C5768" t="s">
        <v>5470</v>
      </c>
      <c r="D5768" t="s">
        <v>4119</v>
      </c>
      <c r="E5768" t="s">
        <v>5532</v>
      </c>
      <c r="F5768" t="s">
        <v>22356</v>
      </c>
      <c r="G5768" t="s">
        <v>22357</v>
      </c>
      <c r="H5768" t="s">
        <v>5474</v>
      </c>
      <c r="I5768" t="s">
        <v>22358</v>
      </c>
      <c r="J5768" t="s">
        <v>5476</v>
      </c>
      <c r="K5768" t="s">
        <v>22359</v>
      </c>
      <c r="L5768" t="s">
        <v>5471</v>
      </c>
      <c r="M5768" t="s">
        <v>5471</v>
      </c>
    </row>
    <row r="5769" spans="1:13" x14ac:dyDescent="0.3">
      <c r="A5769" t="s">
        <v>3388</v>
      </c>
      <c r="B5769" t="s">
        <v>5531</v>
      </c>
      <c r="C5769" t="s">
        <v>5470</v>
      </c>
      <c r="D5769" t="s">
        <v>4119</v>
      </c>
      <c r="E5769" t="s">
        <v>5617</v>
      </c>
      <c r="F5769" t="s">
        <v>22360</v>
      </c>
      <c r="G5769" t="s">
        <v>22361</v>
      </c>
      <c r="H5769" t="s">
        <v>5474</v>
      </c>
      <c r="I5769" t="s">
        <v>22362</v>
      </c>
      <c r="J5769" t="s">
        <v>5476</v>
      </c>
      <c r="K5769" t="s">
        <v>22363</v>
      </c>
      <c r="L5769" t="s">
        <v>5471</v>
      </c>
      <c r="M5769" t="s">
        <v>5471</v>
      </c>
    </row>
    <row r="5770" spans="1:13" x14ac:dyDescent="0.3">
      <c r="A5770" t="s">
        <v>3388</v>
      </c>
      <c r="B5770" t="s">
        <v>5531</v>
      </c>
      <c r="C5770" t="s">
        <v>5470</v>
      </c>
      <c r="D5770" t="s">
        <v>4119</v>
      </c>
      <c r="E5770" t="s">
        <v>5617</v>
      </c>
      <c r="F5770" t="s">
        <v>22364</v>
      </c>
      <c r="G5770" t="s">
        <v>22361</v>
      </c>
      <c r="H5770" t="s">
        <v>5474</v>
      </c>
      <c r="I5770" t="s">
        <v>22365</v>
      </c>
      <c r="J5770" t="s">
        <v>5476</v>
      </c>
      <c r="K5770" t="s">
        <v>22366</v>
      </c>
      <c r="L5770" t="s">
        <v>5471</v>
      </c>
      <c r="M5770" t="s">
        <v>5471</v>
      </c>
    </row>
    <row r="5771" spans="1:13" x14ac:dyDescent="0.3">
      <c r="A5771" t="s">
        <v>3388</v>
      </c>
      <c r="B5771" t="s">
        <v>7109</v>
      </c>
      <c r="C5771" t="s">
        <v>5470</v>
      </c>
      <c r="D5771" t="s">
        <v>4119</v>
      </c>
      <c r="E5771" t="s">
        <v>5756</v>
      </c>
      <c r="F5771" t="s">
        <v>22367</v>
      </c>
      <c r="G5771" t="s">
        <v>22368</v>
      </c>
      <c r="H5771" t="s">
        <v>5474</v>
      </c>
      <c r="I5771" t="s">
        <v>22369</v>
      </c>
      <c r="J5771" t="s">
        <v>5476</v>
      </c>
      <c r="K5771" t="s">
        <v>22370</v>
      </c>
      <c r="L5771" t="s">
        <v>5471</v>
      </c>
      <c r="M5771" t="s">
        <v>5471</v>
      </c>
    </row>
    <row r="5772" spans="1:13" x14ac:dyDescent="0.3">
      <c r="A5772" t="s">
        <v>3388</v>
      </c>
      <c r="B5772" t="s">
        <v>7109</v>
      </c>
      <c r="C5772" t="s">
        <v>5470</v>
      </c>
      <c r="D5772" t="s">
        <v>4119</v>
      </c>
      <c r="E5772" t="s">
        <v>5756</v>
      </c>
      <c r="F5772" t="s">
        <v>22371</v>
      </c>
      <c r="G5772" t="s">
        <v>22372</v>
      </c>
      <c r="H5772" t="s">
        <v>5474</v>
      </c>
      <c r="I5772" t="s">
        <v>22373</v>
      </c>
      <c r="J5772" t="s">
        <v>5476</v>
      </c>
      <c r="K5772" t="s">
        <v>22374</v>
      </c>
      <c r="L5772" t="s">
        <v>5471</v>
      </c>
      <c r="M5772" t="s">
        <v>5471</v>
      </c>
    </row>
    <row r="5773" spans="1:13" x14ac:dyDescent="0.3">
      <c r="A5773" t="s">
        <v>3388</v>
      </c>
      <c r="B5773" t="s">
        <v>7109</v>
      </c>
      <c r="C5773" t="s">
        <v>5470</v>
      </c>
      <c r="D5773" t="s">
        <v>4119</v>
      </c>
      <c r="E5773" t="s">
        <v>5756</v>
      </c>
      <c r="F5773" t="s">
        <v>22375</v>
      </c>
      <c r="G5773" t="s">
        <v>21840</v>
      </c>
      <c r="H5773" t="s">
        <v>5474</v>
      </c>
      <c r="I5773" t="s">
        <v>22376</v>
      </c>
      <c r="J5773" t="s">
        <v>5476</v>
      </c>
      <c r="K5773" t="s">
        <v>22377</v>
      </c>
      <c r="L5773" t="s">
        <v>5471</v>
      </c>
      <c r="M5773" t="s">
        <v>5471</v>
      </c>
    </row>
    <row r="5774" spans="1:13" x14ac:dyDescent="0.3">
      <c r="A5774" t="s">
        <v>3388</v>
      </c>
      <c r="B5774" t="s">
        <v>5296</v>
      </c>
      <c r="C5774" t="s">
        <v>5470</v>
      </c>
      <c r="D5774" t="s">
        <v>4119</v>
      </c>
      <c r="E5774" t="s">
        <v>5532</v>
      </c>
      <c r="F5774" t="s">
        <v>22378</v>
      </c>
      <c r="G5774" t="s">
        <v>17789</v>
      </c>
      <c r="H5774" t="s">
        <v>5474</v>
      </c>
      <c r="I5774" t="s">
        <v>22379</v>
      </c>
      <c r="J5774" t="s">
        <v>5476</v>
      </c>
      <c r="K5774" t="s">
        <v>22380</v>
      </c>
      <c r="L5774" t="s">
        <v>5471</v>
      </c>
      <c r="M5774" t="s">
        <v>5471</v>
      </c>
    </row>
    <row r="5775" spans="1:13" x14ac:dyDescent="0.3">
      <c r="A5775" t="s">
        <v>3388</v>
      </c>
      <c r="B5775" t="s">
        <v>15953</v>
      </c>
      <c r="C5775" t="s">
        <v>5470</v>
      </c>
      <c r="D5775" t="s">
        <v>4119</v>
      </c>
      <c r="E5775" t="s">
        <v>5532</v>
      </c>
      <c r="F5775" t="s">
        <v>22381</v>
      </c>
      <c r="G5775" t="s">
        <v>22382</v>
      </c>
      <c r="H5775" t="s">
        <v>5474</v>
      </c>
      <c r="I5775" t="s">
        <v>22383</v>
      </c>
      <c r="J5775" t="s">
        <v>5476</v>
      </c>
      <c r="K5775" t="s">
        <v>22384</v>
      </c>
      <c r="L5775" t="s">
        <v>5471</v>
      </c>
      <c r="M5775" t="s">
        <v>5471</v>
      </c>
    </row>
    <row r="5776" spans="1:13" x14ac:dyDescent="0.3">
      <c r="A5776" t="s">
        <v>3388</v>
      </c>
      <c r="B5776" t="s">
        <v>21568</v>
      </c>
      <c r="C5776" t="s">
        <v>5470</v>
      </c>
      <c r="D5776" t="s">
        <v>4119</v>
      </c>
      <c r="E5776" t="s">
        <v>5532</v>
      </c>
      <c r="F5776" t="s">
        <v>22385</v>
      </c>
      <c r="G5776" t="s">
        <v>22386</v>
      </c>
      <c r="H5776" t="s">
        <v>5474</v>
      </c>
      <c r="I5776" t="s">
        <v>22387</v>
      </c>
      <c r="J5776" t="s">
        <v>5476</v>
      </c>
      <c r="K5776" t="s">
        <v>22388</v>
      </c>
      <c r="L5776" t="s">
        <v>5471</v>
      </c>
      <c r="M5776" t="s">
        <v>5471</v>
      </c>
    </row>
    <row r="5777" spans="1:13" x14ac:dyDescent="0.3">
      <c r="A5777" t="s">
        <v>3388</v>
      </c>
      <c r="B5777" t="s">
        <v>10852</v>
      </c>
      <c r="C5777" t="s">
        <v>5470</v>
      </c>
      <c r="D5777" t="s">
        <v>4119</v>
      </c>
      <c r="E5777" t="s">
        <v>5756</v>
      </c>
      <c r="F5777" t="s">
        <v>22389</v>
      </c>
      <c r="G5777" t="s">
        <v>17769</v>
      </c>
      <c r="H5777" t="s">
        <v>5474</v>
      </c>
      <c r="I5777" t="s">
        <v>22390</v>
      </c>
      <c r="J5777" t="s">
        <v>5476</v>
      </c>
      <c r="K5777" t="s">
        <v>22391</v>
      </c>
      <c r="L5777" t="s">
        <v>5471</v>
      </c>
      <c r="M5777" t="s">
        <v>5471</v>
      </c>
    </row>
    <row r="5778" spans="1:13" x14ac:dyDescent="0.3">
      <c r="A5778" t="s">
        <v>3388</v>
      </c>
      <c r="B5778" t="s">
        <v>10852</v>
      </c>
      <c r="C5778" t="s">
        <v>5470</v>
      </c>
      <c r="D5778" t="s">
        <v>4119</v>
      </c>
      <c r="E5778" t="s">
        <v>5756</v>
      </c>
      <c r="F5778" t="s">
        <v>22392</v>
      </c>
      <c r="G5778" t="s">
        <v>17769</v>
      </c>
      <c r="H5778" t="s">
        <v>5474</v>
      </c>
      <c r="I5778" t="s">
        <v>22393</v>
      </c>
      <c r="J5778" t="s">
        <v>5476</v>
      </c>
      <c r="K5778" t="s">
        <v>22394</v>
      </c>
      <c r="L5778" t="s">
        <v>5471</v>
      </c>
      <c r="M5778" t="s">
        <v>5471</v>
      </c>
    </row>
    <row r="5779" spans="1:13" x14ac:dyDescent="0.3">
      <c r="A5779" t="s">
        <v>3388</v>
      </c>
      <c r="B5779" t="s">
        <v>10852</v>
      </c>
      <c r="C5779" t="s">
        <v>5470</v>
      </c>
      <c r="D5779" t="s">
        <v>4119</v>
      </c>
      <c r="E5779" t="s">
        <v>5756</v>
      </c>
      <c r="F5779" t="s">
        <v>22395</v>
      </c>
      <c r="G5779" t="s">
        <v>17769</v>
      </c>
      <c r="H5779" t="s">
        <v>5474</v>
      </c>
      <c r="I5779" t="s">
        <v>22396</v>
      </c>
      <c r="J5779" t="s">
        <v>5476</v>
      </c>
      <c r="K5779" t="s">
        <v>22397</v>
      </c>
      <c r="L5779" t="s">
        <v>5471</v>
      </c>
      <c r="M5779" t="s">
        <v>5471</v>
      </c>
    </row>
    <row r="5780" spans="1:13" x14ac:dyDescent="0.3">
      <c r="A5780" t="s">
        <v>3388</v>
      </c>
      <c r="B5780" t="s">
        <v>10852</v>
      </c>
      <c r="C5780" t="s">
        <v>5470</v>
      </c>
      <c r="D5780" t="s">
        <v>4119</v>
      </c>
      <c r="E5780" t="s">
        <v>5756</v>
      </c>
      <c r="F5780" t="s">
        <v>22398</v>
      </c>
      <c r="G5780" t="s">
        <v>17974</v>
      </c>
      <c r="H5780" t="s">
        <v>5474</v>
      </c>
      <c r="I5780" t="s">
        <v>22399</v>
      </c>
      <c r="J5780" t="s">
        <v>5476</v>
      </c>
      <c r="K5780" t="s">
        <v>22400</v>
      </c>
      <c r="L5780" t="s">
        <v>5471</v>
      </c>
      <c r="M5780" t="s">
        <v>5471</v>
      </c>
    </row>
    <row r="5781" spans="1:13" x14ac:dyDescent="0.3">
      <c r="A5781" t="s">
        <v>3388</v>
      </c>
      <c r="B5781" t="s">
        <v>10852</v>
      </c>
      <c r="C5781" t="s">
        <v>5470</v>
      </c>
      <c r="D5781" t="s">
        <v>4119</v>
      </c>
      <c r="E5781" t="s">
        <v>5756</v>
      </c>
      <c r="F5781" t="s">
        <v>22401</v>
      </c>
      <c r="G5781" t="s">
        <v>17974</v>
      </c>
      <c r="H5781" t="s">
        <v>5474</v>
      </c>
      <c r="I5781" t="s">
        <v>22402</v>
      </c>
      <c r="J5781" t="s">
        <v>5476</v>
      </c>
      <c r="K5781" t="s">
        <v>22403</v>
      </c>
      <c r="L5781" t="s">
        <v>5471</v>
      </c>
      <c r="M5781" t="s">
        <v>5471</v>
      </c>
    </row>
    <row r="5782" spans="1:13" x14ac:dyDescent="0.3">
      <c r="A5782" t="s">
        <v>3388</v>
      </c>
      <c r="B5782" t="s">
        <v>10852</v>
      </c>
      <c r="C5782" t="s">
        <v>5470</v>
      </c>
      <c r="D5782" t="s">
        <v>4119</v>
      </c>
      <c r="E5782" t="s">
        <v>5756</v>
      </c>
      <c r="F5782" t="s">
        <v>22404</v>
      </c>
      <c r="G5782" t="s">
        <v>17974</v>
      </c>
      <c r="H5782" t="s">
        <v>5474</v>
      </c>
      <c r="I5782" t="s">
        <v>22405</v>
      </c>
      <c r="J5782" t="s">
        <v>5476</v>
      </c>
      <c r="K5782" t="s">
        <v>22406</v>
      </c>
      <c r="L5782" t="s">
        <v>5471</v>
      </c>
      <c r="M5782" t="s">
        <v>5471</v>
      </c>
    </row>
    <row r="5783" spans="1:13" x14ac:dyDescent="0.3">
      <c r="A5783" t="s">
        <v>3388</v>
      </c>
      <c r="B5783" t="s">
        <v>10852</v>
      </c>
      <c r="C5783" t="s">
        <v>5470</v>
      </c>
      <c r="D5783" t="s">
        <v>4119</v>
      </c>
      <c r="E5783" t="s">
        <v>5756</v>
      </c>
      <c r="F5783" t="s">
        <v>22407</v>
      </c>
      <c r="G5783" t="s">
        <v>21895</v>
      </c>
      <c r="H5783" t="s">
        <v>5474</v>
      </c>
      <c r="I5783" t="s">
        <v>22408</v>
      </c>
      <c r="J5783" t="s">
        <v>5476</v>
      </c>
      <c r="K5783" t="s">
        <v>22409</v>
      </c>
      <c r="L5783" t="s">
        <v>5471</v>
      </c>
      <c r="M5783" t="s">
        <v>5471</v>
      </c>
    </row>
    <row r="5784" spans="1:13" x14ac:dyDescent="0.3">
      <c r="A5784" t="s">
        <v>3388</v>
      </c>
      <c r="B5784" t="s">
        <v>6478</v>
      </c>
      <c r="C5784" t="s">
        <v>5470</v>
      </c>
      <c r="D5784" t="s">
        <v>4119</v>
      </c>
      <c r="E5784" t="s">
        <v>5532</v>
      </c>
      <c r="F5784" t="s">
        <v>22410</v>
      </c>
      <c r="G5784" t="s">
        <v>18342</v>
      </c>
      <c r="H5784" t="s">
        <v>5474</v>
      </c>
      <c r="I5784" t="s">
        <v>22411</v>
      </c>
      <c r="J5784" t="s">
        <v>5476</v>
      </c>
      <c r="K5784" t="s">
        <v>22412</v>
      </c>
      <c r="L5784" t="s">
        <v>5471</v>
      </c>
      <c r="M5784" t="s">
        <v>5471</v>
      </c>
    </row>
    <row r="5785" spans="1:13" x14ac:dyDescent="0.3">
      <c r="A5785" t="s">
        <v>3388</v>
      </c>
      <c r="B5785" t="s">
        <v>6478</v>
      </c>
      <c r="C5785" t="s">
        <v>5470</v>
      </c>
      <c r="D5785" t="s">
        <v>4119</v>
      </c>
      <c r="E5785" t="s">
        <v>5532</v>
      </c>
      <c r="F5785" t="s">
        <v>22413</v>
      </c>
      <c r="G5785" t="s">
        <v>20410</v>
      </c>
      <c r="H5785" t="s">
        <v>5474</v>
      </c>
      <c r="I5785" t="s">
        <v>22414</v>
      </c>
      <c r="J5785" t="s">
        <v>5476</v>
      </c>
      <c r="K5785" t="s">
        <v>22415</v>
      </c>
      <c r="L5785" t="s">
        <v>5471</v>
      </c>
      <c r="M5785" t="s">
        <v>5471</v>
      </c>
    </row>
    <row r="5786" spans="1:13" x14ac:dyDescent="0.3">
      <c r="A5786" t="s">
        <v>3388</v>
      </c>
      <c r="B5786" t="s">
        <v>6478</v>
      </c>
      <c r="C5786" t="s">
        <v>5470</v>
      </c>
      <c r="D5786" t="s">
        <v>4119</v>
      </c>
      <c r="E5786" t="s">
        <v>5532</v>
      </c>
      <c r="F5786" t="s">
        <v>22416</v>
      </c>
      <c r="G5786" t="s">
        <v>20249</v>
      </c>
      <c r="H5786" t="s">
        <v>5474</v>
      </c>
      <c r="I5786" t="s">
        <v>22417</v>
      </c>
      <c r="J5786" t="s">
        <v>5476</v>
      </c>
      <c r="K5786" t="s">
        <v>22418</v>
      </c>
      <c r="L5786" t="s">
        <v>5471</v>
      </c>
      <c r="M5786" t="s">
        <v>5471</v>
      </c>
    </row>
    <row r="5787" spans="1:13" x14ac:dyDescent="0.3">
      <c r="A5787" t="s">
        <v>3388</v>
      </c>
      <c r="B5787" t="s">
        <v>17585</v>
      </c>
      <c r="C5787" t="s">
        <v>5470</v>
      </c>
      <c r="D5787" t="s">
        <v>4119</v>
      </c>
      <c r="E5787" t="s">
        <v>5532</v>
      </c>
      <c r="F5787" t="s">
        <v>22419</v>
      </c>
      <c r="G5787" t="s">
        <v>21899</v>
      </c>
      <c r="H5787" t="s">
        <v>5474</v>
      </c>
      <c r="I5787" t="s">
        <v>22420</v>
      </c>
      <c r="J5787" t="s">
        <v>5476</v>
      </c>
      <c r="K5787" t="s">
        <v>22421</v>
      </c>
      <c r="L5787" t="s">
        <v>5471</v>
      </c>
      <c r="M5787" t="s">
        <v>5471</v>
      </c>
    </row>
    <row r="5788" spans="1:13" x14ac:dyDescent="0.3">
      <c r="A5788" t="s">
        <v>3388</v>
      </c>
      <c r="B5788" t="s">
        <v>11346</v>
      </c>
      <c r="C5788" t="s">
        <v>5470</v>
      </c>
      <c r="D5788" t="s">
        <v>4119</v>
      </c>
      <c r="E5788" t="s">
        <v>5532</v>
      </c>
      <c r="F5788" t="s">
        <v>22422</v>
      </c>
      <c r="G5788" t="s">
        <v>22423</v>
      </c>
      <c r="H5788" t="s">
        <v>5474</v>
      </c>
      <c r="I5788" t="s">
        <v>22424</v>
      </c>
      <c r="J5788" t="s">
        <v>5476</v>
      </c>
      <c r="K5788" t="s">
        <v>22425</v>
      </c>
      <c r="L5788" t="s">
        <v>5471</v>
      </c>
      <c r="M5788" t="s">
        <v>5471</v>
      </c>
    </row>
    <row r="5789" spans="1:13" x14ac:dyDescent="0.3">
      <c r="A5789" t="s">
        <v>3388</v>
      </c>
      <c r="B5789" t="s">
        <v>11346</v>
      </c>
      <c r="C5789" t="s">
        <v>5470</v>
      </c>
      <c r="D5789" t="s">
        <v>4119</v>
      </c>
      <c r="E5789" t="s">
        <v>5532</v>
      </c>
      <c r="F5789" t="s">
        <v>22426</v>
      </c>
      <c r="G5789" t="s">
        <v>22427</v>
      </c>
      <c r="H5789" t="s">
        <v>5474</v>
      </c>
      <c r="I5789" t="s">
        <v>22428</v>
      </c>
      <c r="J5789" t="s">
        <v>5476</v>
      </c>
      <c r="K5789" t="s">
        <v>22429</v>
      </c>
      <c r="L5789" t="s">
        <v>5471</v>
      </c>
      <c r="M5789" t="s">
        <v>5471</v>
      </c>
    </row>
    <row r="5790" spans="1:13" x14ac:dyDescent="0.3">
      <c r="A5790" t="s">
        <v>3388</v>
      </c>
      <c r="B5790" t="s">
        <v>11153</v>
      </c>
      <c r="C5790" t="s">
        <v>5470</v>
      </c>
      <c r="D5790" t="s">
        <v>4119</v>
      </c>
      <c r="E5790" t="s">
        <v>5532</v>
      </c>
      <c r="F5790" t="s">
        <v>22430</v>
      </c>
      <c r="G5790" t="s">
        <v>11162</v>
      </c>
      <c r="H5790" t="s">
        <v>5474</v>
      </c>
      <c r="I5790" t="s">
        <v>22431</v>
      </c>
      <c r="J5790" t="s">
        <v>5476</v>
      </c>
      <c r="K5790" t="s">
        <v>22432</v>
      </c>
      <c r="L5790" t="s">
        <v>5471</v>
      </c>
      <c r="M5790" t="s">
        <v>5471</v>
      </c>
    </row>
    <row r="5791" spans="1:13" x14ac:dyDescent="0.3">
      <c r="A5791" t="s">
        <v>3388</v>
      </c>
      <c r="B5791" t="s">
        <v>11153</v>
      </c>
      <c r="C5791" t="s">
        <v>5470</v>
      </c>
      <c r="D5791" t="s">
        <v>4119</v>
      </c>
      <c r="E5791" t="s">
        <v>5532</v>
      </c>
      <c r="F5791" t="s">
        <v>22433</v>
      </c>
      <c r="G5791" t="s">
        <v>22434</v>
      </c>
      <c r="H5791" t="s">
        <v>5474</v>
      </c>
      <c r="I5791" t="s">
        <v>22435</v>
      </c>
      <c r="J5791" t="s">
        <v>5476</v>
      </c>
      <c r="K5791" t="s">
        <v>22436</v>
      </c>
      <c r="L5791" t="s">
        <v>5471</v>
      </c>
      <c r="M5791" t="s">
        <v>5471</v>
      </c>
    </row>
    <row r="5792" spans="1:13" x14ac:dyDescent="0.3">
      <c r="A5792" t="s">
        <v>3388</v>
      </c>
      <c r="B5792" t="s">
        <v>11153</v>
      </c>
      <c r="C5792" t="s">
        <v>5470</v>
      </c>
      <c r="D5792" t="s">
        <v>4119</v>
      </c>
      <c r="E5792" t="s">
        <v>5532</v>
      </c>
      <c r="F5792" t="s">
        <v>22437</v>
      </c>
      <c r="G5792" t="s">
        <v>22438</v>
      </c>
      <c r="H5792" t="s">
        <v>5474</v>
      </c>
      <c r="I5792" t="s">
        <v>22439</v>
      </c>
      <c r="J5792" t="s">
        <v>5476</v>
      </c>
      <c r="K5792" t="s">
        <v>22440</v>
      </c>
      <c r="L5792" t="s">
        <v>5471</v>
      </c>
      <c r="M5792" t="s">
        <v>5471</v>
      </c>
    </row>
    <row r="5793" spans="1:13" x14ac:dyDescent="0.3">
      <c r="A5793" t="s">
        <v>3388</v>
      </c>
      <c r="B5793" t="s">
        <v>6540</v>
      </c>
      <c r="C5793" t="s">
        <v>5470</v>
      </c>
      <c r="D5793" t="s">
        <v>4119</v>
      </c>
      <c r="E5793" t="s">
        <v>5756</v>
      </c>
      <c r="F5793" t="s">
        <v>22441</v>
      </c>
      <c r="G5793" t="s">
        <v>21907</v>
      </c>
      <c r="H5793" t="s">
        <v>5474</v>
      </c>
      <c r="I5793" t="s">
        <v>22442</v>
      </c>
      <c r="J5793" t="s">
        <v>5476</v>
      </c>
      <c r="K5793" t="s">
        <v>22443</v>
      </c>
      <c r="L5793" t="s">
        <v>5471</v>
      </c>
      <c r="M5793" t="s">
        <v>5471</v>
      </c>
    </row>
    <row r="5794" spans="1:13" x14ac:dyDescent="0.3">
      <c r="A5794" t="s">
        <v>3388</v>
      </c>
      <c r="B5794" t="s">
        <v>6540</v>
      </c>
      <c r="C5794" t="s">
        <v>5470</v>
      </c>
      <c r="D5794" t="s">
        <v>4119</v>
      </c>
      <c r="E5794" t="s">
        <v>5756</v>
      </c>
      <c r="F5794" t="s">
        <v>22444</v>
      </c>
      <c r="G5794" t="s">
        <v>21907</v>
      </c>
      <c r="H5794" t="s">
        <v>5474</v>
      </c>
      <c r="I5794" t="s">
        <v>22445</v>
      </c>
      <c r="J5794" t="s">
        <v>5476</v>
      </c>
      <c r="K5794" t="s">
        <v>22446</v>
      </c>
      <c r="L5794" t="s">
        <v>5471</v>
      </c>
      <c r="M5794" t="s">
        <v>5471</v>
      </c>
    </row>
    <row r="5795" spans="1:13" x14ac:dyDescent="0.3">
      <c r="A5795" t="s">
        <v>3388</v>
      </c>
      <c r="B5795" t="s">
        <v>6540</v>
      </c>
      <c r="C5795" t="s">
        <v>5470</v>
      </c>
      <c r="D5795" t="s">
        <v>4119</v>
      </c>
      <c r="E5795" t="s">
        <v>5756</v>
      </c>
      <c r="F5795" t="s">
        <v>22447</v>
      </c>
      <c r="G5795" t="s">
        <v>21907</v>
      </c>
      <c r="H5795" t="s">
        <v>5474</v>
      </c>
      <c r="I5795" t="s">
        <v>22448</v>
      </c>
      <c r="J5795" t="s">
        <v>5476</v>
      </c>
      <c r="K5795" t="s">
        <v>22449</v>
      </c>
      <c r="L5795" t="s">
        <v>5471</v>
      </c>
      <c r="M5795" t="s">
        <v>5471</v>
      </c>
    </row>
    <row r="5796" spans="1:13" x14ac:dyDescent="0.3">
      <c r="A5796" t="s">
        <v>3388</v>
      </c>
      <c r="B5796" t="s">
        <v>6540</v>
      </c>
      <c r="C5796" t="s">
        <v>5470</v>
      </c>
      <c r="D5796" t="s">
        <v>4119</v>
      </c>
      <c r="E5796" t="s">
        <v>5756</v>
      </c>
      <c r="F5796" t="s">
        <v>22450</v>
      </c>
      <c r="G5796" t="s">
        <v>21911</v>
      </c>
      <c r="H5796" t="s">
        <v>5474</v>
      </c>
      <c r="I5796" t="s">
        <v>22451</v>
      </c>
      <c r="J5796" t="s">
        <v>5476</v>
      </c>
      <c r="K5796" t="s">
        <v>22452</v>
      </c>
      <c r="L5796" t="s">
        <v>5471</v>
      </c>
      <c r="M5796" t="s">
        <v>5471</v>
      </c>
    </row>
    <row r="5797" spans="1:13" x14ac:dyDescent="0.3">
      <c r="A5797" t="s">
        <v>3388</v>
      </c>
      <c r="B5797" t="s">
        <v>6540</v>
      </c>
      <c r="C5797" t="s">
        <v>5470</v>
      </c>
      <c r="D5797" t="s">
        <v>4119</v>
      </c>
      <c r="E5797" t="s">
        <v>5756</v>
      </c>
      <c r="F5797" t="s">
        <v>22453</v>
      </c>
      <c r="G5797" t="s">
        <v>22454</v>
      </c>
      <c r="H5797" t="s">
        <v>5474</v>
      </c>
      <c r="I5797" t="s">
        <v>22455</v>
      </c>
      <c r="J5797" t="s">
        <v>5476</v>
      </c>
      <c r="K5797" t="s">
        <v>22456</v>
      </c>
      <c r="L5797" t="s">
        <v>5471</v>
      </c>
      <c r="M5797" t="s">
        <v>5471</v>
      </c>
    </row>
    <row r="5798" spans="1:13" x14ac:dyDescent="0.3">
      <c r="A5798" t="s">
        <v>3388</v>
      </c>
      <c r="B5798" t="s">
        <v>6540</v>
      </c>
      <c r="C5798" t="s">
        <v>5470</v>
      </c>
      <c r="D5798" t="s">
        <v>4119</v>
      </c>
      <c r="E5798" t="s">
        <v>5756</v>
      </c>
      <c r="F5798" t="s">
        <v>22457</v>
      </c>
      <c r="G5798" t="s">
        <v>22454</v>
      </c>
      <c r="H5798" t="s">
        <v>5474</v>
      </c>
      <c r="I5798" t="s">
        <v>22458</v>
      </c>
      <c r="J5798" t="s">
        <v>5476</v>
      </c>
      <c r="K5798" t="s">
        <v>22459</v>
      </c>
      <c r="L5798" t="s">
        <v>5471</v>
      </c>
      <c r="M5798" t="s">
        <v>5471</v>
      </c>
    </row>
    <row r="5799" spans="1:13" x14ac:dyDescent="0.3">
      <c r="A5799" t="s">
        <v>3388</v>
      </c>
      <c r="B5799" t="s">
        <v>6540</v>
      </c>
      <c r="C5799" t="s">
        <v>5470</v>
      </c>
      <c r="D5799" t="s">
        <v>4119</v>
      </c>
      <c r="E5799" t="s">
        <v>5756</v>
      </c>
      <c r="F5799" t="s">
        <v>22460</v>
      </c>
      <c r="G5799" t="s">
        <v>22454</v>
      </c>
      <c r="H5799" t="s">
        <v>5474</v>
      </c>
      <c r="I5799" t="s">
        <v>22461</v>
      </c>
      <c r="J5799" t="s">
        <v>5476</v>
      </c>
      <c r="K5799" t="s">
        <v>22462</v>
      </c>
      <c r="L5799" t="s">
        <v>5471</v>
      </c>
      <c r="M5799" t="s">
        <v>5471</v>
      </c>
    </row>
    <row r="5800" spans="1:13" x14ac:dyDescent="0.3">
      <c r="A5800" t="s">
        <v>3388</v>
      </c>
      <c r="B5800" t="s">
        <v>6540</v>
      </c>
      <c r="C5800" t="s">
        <v>5470</v>
      </c>
      <c r="D5800" t="s">
        <v>4119</v>
      </c>
      <c r="E5800" t="s">
        <v>5756</v>
      </c>
      <c r="F5800" t="s">
        <v>22463</v>
      </c>
      <c r="G5800" t="s">
        <v>22464</v>
      </c>
      <c r="H5800" t="s">
        <v>5474</v>
      </c>
      <c r="I5800" t="s">
        <v>22465</v>
      </c>
      <c r="J5800" t="s">
        <v>5476</v>
      </c>
      <c r="K5800" t="s">
        <v>22466</v>
      </c>
      <c r="L5800" t="s">
        <v>5471</v>
      </c>
      <c r="M5800" t="s">
        <v>5471</v>
      </c>
    </row>
    <row r="5801" spans="1:13" x14ac:dyDescent="0.3">
      <c r="A5801" t="s">
        <v>3388</v>
      </c>
      <c r="B5801" t="s">
        <v>6540</v>
      </c>
      <c r="C5801" t="s">
        <v>5470</v>
      </c>
      <c r="D5801" t="s">
        <v>4119</v>
      </c>
      <c r="E5801" t="s">
        <v>5756</v>
      </c>
      <c r="F5801" t="s">
        <v>22467</v>
      </c>
      <c r="G5801" t="s">
        <v>22464</v>
      </c>
      <c r="H5801" t="s">
        <v>5474</v>
      </c>
      <c r="I5801" t="s">
        <v>22468</v>
      </c>
      <c r="J5801" t="s">
        <v>5476</v>
      </c>
      <c r="K5801" t="s">
        <v>22469</v>
      </c>
      <c r="L5801" t="s">
        <v>5471</v>
      </c>
      <c r="M5801" t="s">
        <v>5471</v>
      </c>
    </row>
    <row r="5802" spans="1:13" x14ac:dyDescent="0.3">
      <c r="A5802" t="s">
        <v>3388</v>
      </c>
      <c r="B5802" t="s">
        <v>6540</v>
      </c>
      <c r="C5802" t="s">
        <v>5470</v>
      </c>
      <c r="D5802" t="s">
        <v>4119</v>
      </c>
      <c r="E5802" t="s">
        <v>5756</v>
      </c>
      <c r="F5802" t="s">
        <v>22470</v>
      </c>
      <c r="G5802" t="s">
        <v>22471</v>
      </c>
      <c r="H5802" t="s">
        <v>5474</v>
      </c>
      <c r="I5802" t="s">
        <v>22472</v>
      </c>
      <c r="J5802" t="s">
        <v>5476</v>
      </c>
      <c r="K5802" t="s">
        <v>22473</v>
      </c>
      <c r="L5802" t="s">
        <v>5471</v>
      </c>
      <c r="M5802" t="s">
        <v>5471</v>
      </c>
    </row>
    <row r="5803" spans="1:13" x14ac:dyDescent="0.3">
      <c r="A5803" t="s">
        <v>3388</v>
      </c>
      <c r="B5803" t="s">
        <v>6540</v>
      </c>
      <c r="C5803" t="s">
        <v>5470</v>
      </c>
      <c r="D5803" t="s">
        <v>4119</v>
      </c>
      <c r="E5803" t="s">
        <v>5756</v>
      </c>
      <c r="F5803" t="s">
        <v>22474</v>
      </c>
      <c r="G5803" t="s">
        <v>22471</v>
      </c>
      <c r="H5803" t="s">
        <v>5474</v>
      </c>
      <c r="I5803" t="s">
        <v>22475</v>
      </c>
      <c r="J5803" t="s">
        <v>5476</v>
      </c>
      <c r="K5803" t="s">
        <v>22476</v>
      </c>
      <c r="L5803" t="s">
        <v>5471</v>
      </c>
      <c r="M5803" t="s">
        <v>5471</v>
      </c>
    </row>
    <row r="5804" spans="1:13" x14ac:dyDescent="0.3">
      <c r="A5804" t="s">
        <v>3388</v>
      </c>
      <c r="B5804" t="s">
        <v>6540</v>
      </c>
      <c r="C5804" t="s">
        <v>5470</v>
      </c>
      <c r="D5804" t="s">
        <v>4119</v>
      </c>
      <c r="E5804" t="s">
        <v>5756</v>
      </c>
      <c r="F5804" t="s">
        <v>22477</v>
      </c>
      <c r="G5804" t="s">
        <v>22471</v>
      </c>
      <c r="H5804" t="s">
        <v>5474</v>
      </c>
      <c r="I5804" t="s">
        <v>22478</v>
      </c>
      <c r="J5804" t="s">
        <v>5476</v>
      </c>
      <c r="K5804" t="s">
        <v>22479</v>
      </c>
      <c r="L5804" t="s">
        <v>5471</v>
      </c>
      <c r="M5804" t="s">
        <v>5471</v>
      </c>
    </row>
    <row r="5805" spans="1:13" x14ac:dyDescent="0.3">
      <c r="A5805" t="s">
        <v>3388</v>
      </c>
      <c r="B5805" t="s">
        <v>5272</v>
      </c>
      <c r="C5805" t="s">
        <v>5470</v>
      </c>
      <c r="D5805" t="s">
        <v>4119</v>
      </c>
      <c r="E5805" t="s">
        <v>5532</v>
      </c>
      <c r="F5805" t="s">
        <v>22480</v>
      </c>
      <c r="G5805" t="s">
        <v>11292</v>
      </c>
      <c r="H5805" t="s">
        <v>5474</v>
      </c>
      <c r="I5805" t="s">
        <v>22481</v>
      </c>
      <c r="J5805" t="s">
        <v>5476</v>
      </c>
      <c r="K5805" t="s">
        <v>22482</v>
      </c>
      <c r="L5805" t="s">
        <v>5471</v>
      </c>
      <c r="M5805" t="s">
        <v>5471</v>
      </c>
    </row>
    <row r="5806" spans="1:13" x14ac:dyDescent="0.3">
      <c r="A5806" t="s">
        <v>3388</v>
      </c>
      <c r="B5806" t="s">
        <v>5272</v>
      </c>
      <c r="C5806" t="s">
        <v>5470</v>
      </c>
      <c r="D5806" t="s">
        <v>4119</v>
      </c>
      <c r="E5806" t="s">
        <v>5532</v>
      </c>
      <c r="F5806" t="s">
        <v>22483</v>
      </c>
      <c r="G5806" t="s">
        <v>11302</v>
      </c>
      <c r="H5806" t="s">
        <v>5474</v>
      </c>
      <c r="I5806" t="s">
        <v>22484</v>
      </c>
      <c r="J5806" t="s">
        <v>5476</v>
      </c>
      <c r="K5806" t="s">
        <v>22485</v>
      </c>
      <c r="L5806" t="s">
        <v>5471</v>
      </c>
      <c r="M5806" t="s">
        <v>5471</v>
      </c>
    </row>
    <row r="5807" spans="1:13" x14ac:dyDescent="0.3">
      <c r="A5807" t="s">
        <v>3388</v>
      </c>
      <c r="B5807" t="s">
        <v>5272</v>
      </c>
      <c r="C5807" t="s">
        <v>5470</v>
      </c>
      <c r="D5807" t="s">
        <v>4119</v>
      </c>
      <c r="E5807" t="s">
        <v>5532</v>
      </c>
      <c r="F5807" t="s">
        <v>22486</v>
      </c>
      <c r="G5807" t="s">
        <v>20282</v>
      </c>
      <c r="H5807" t="s">
        <v>5474</v>
      </c>
      <c r="I5807" t="s">
        <v>22487</v>
      </c>
      <c r="J5807" t="s">
        <v>5476</v>
      </c>
      <c r="K5807" t="s">
        <v>22488</v>
      </c>
      <c r="L5807" t="s">
        <v>5471</v>
      </c>
      <c r="M5807" t="s">
        <v>5471</v>
      </c>
    </row>
    <row r="5808" spans="1:13" x14ac:dyDescent="0.3">
      <c r="A5808" t="s">
        <v>3388</v>
      </c>
      <c r="B5808" t="s">
        <v>5284</v>
      </c>
      <c r="C5808" t="s">
        <v>5470</v>
      </c>
      <c r="D5808" t="s">
        <v>4119</v>
      </c>
      <c r="E5808" t="s">
        <v>5532</v>
      </c>
      <c r="F5808" t="s">
        <v>22489</v>
      </c>
      <c r="G5808" t="s">
        <v>22490</v>
      </c>
      <c r="H5808" t="s">
        <v>5474</v>
      </c>
      <c r="I5808" t="s">
        <v>22491</v>
      </c>
      <c r="J5808" t="s">
        <v>5476</v>
      </c>
      <c r="K5808" t="s">
        <v>22492</v>
      </c>
      <c r="L5808" t="s">
        <v>5471</v>
      </c>
      <c r="M5808" t="s">
        <v>5471</v>
      </c>
    </row>
    <row r="5809" spans="1:13" x14ac:dyDescent="0.3">
      <c r="A5809" t="s">
        <v>3388</v>
      </c>
      <c r="B5809" t="s">
        <v>5290</v>
      </c>
      <c r="C5809" t="s">
        <v>5470</v>
      </c>
      <c r="D5809" t="s">
        <v>4119</v>
      </c>
      <c r="E5809" t="s">
        <v>5532</v>
      </c>
      <c r="F5809" t="s">
        <v>22493</v>
      </c>
      <c r="G5809" t="s">
        <v>22494</v>
      </c>
      <c r="H5809" t="s">
        <v>5474</v>
      </c>
      <c r="I5809" t="s">
        <v>22495</v>
      </c>
      <c r="J5809" t="s">
        <v>5476</v>
      </c>
      <c r="K5809" t="s">
        <v>22496</v>
      </c>
      <c r="L5809" t="s">
        <v>5471</v>
      </c>
      <c r="M5809" t="s">
        <v>5471</v>
      </c>
    </row>
    <row r="5810" spans="1:13" x14ac:dyDescent="0.3">
      <c r="A5810" t="s">
        <v>3388</v>
      </c>
      <c r="B5810" t="s">
        <v>5290</v>
      </c>
      <c r="C5810" t="s">
        <v>5470</v>
      </c>
      <c r="D5810" t="s">
        <v>4119</v>
      </c>
      <c r="E5810" t="s">
        <v>5532</v>
      </c>
      <c r="F5810" t="s">
        <v>22497</v>
      </c>
      <c r="G5810" t="s">
        <v>22498</v>
      </c>
      <c r="H5810" t="s">
        <v>5474</v>
      </c>
      <c r="I5810" t="s">
        <v>22499</v>
      </c>
      <c r="J5810" t="s">
        <v>5476</v>
      </c>
      <c r="K5810" t="s">
        <v>22500</v>
      </c>
      <c r="L5810" t="s">
        <v>5471</v>
      </c>
      <c r="M5810" t="s">
        <v>5471</v>
      </c>
    </row>
    <row r="5811" spans="1:13" x14ac:dyDescent="0.3">
      <c r="A5811" t="s">
        <v>3388</v>
      </c>
      <c r="B5811" t="s">
        <v>6632</v>
      </c>
      <c r="C5811" t="s">
        <v>5470</v>
      </c>
      <c r="D5811" t="s">
        <v>4119</v>
      </c>
      <c r="E5811" t="s">
        <v>5532</v>
      </c>
      <c r="F5811" t="s">
        <v>22501</v>
      </c>
      <c r="G5811" t="s">
        <v>22282</v>
      </c>
      <c r="H5811" t="s">
        <v>5474</v>
      </c>
      <c r="I5811" t="s">
        <v>22502</v>
      </c>
      <c r="J5811" t="s">
        <v>5476</v>
      </c>
      <c r="K5811" t="s">
        <v>22503</v>
      </c>
      <c r="L5811" t="s">
        <v>5471</v>
      </c>
      <c r="M5811" t="s">
        <v>5471</v>
      </c>
    </row>
    <row r="5812" spans="1:13" x14ac:dyDescent="0.3">
      <c r="A5812" t="s">
        <v>3388</v>
      </c>
      <c r="B5812" t="s">
        <v>5678</v>
      </c>
      <c r="C5812" t="s">
        <v>5470</v>
      </c>
      <c r="D5812" t="s">
        <v>4119</v>
      </c>
      <c r="E5812" t="s">
        <v>5532</v>
      </c>
      <c r="F5812" t="s">
        <v>22504</v>
      </c>
      <c r="G5812" t="s">
        <v>22256</v>
      </c>
      <c r="H5812" t="s">
        <v>5474</v>
      </c>
      <c r="I5812" t="s">
        <v>22505</v>
      </c>
      <c r="J5812" t="s">
        <v>5476</v>
      </c>
      <c r="K5812" t="s">
        <v>22506</v>
      </c>
      <c r="L5812" t="s">
        <v>5471</v>
      </c>
      <c r="M5812" t="s">
        <v>5471</v>
      </c>
    </row>
    <row r="5813" spans="1:13" x14ac:dyDescent="0.3">
      <c r="A5813" t="s">
        <v>3388</v>
      </c>
      <c r="B5813" t="s">
        <v>10961</v>
      </c>
      <c r="C5813" t="s">
        <v>5470</v>
      </c>
      <c r="D5813" t="s">
        <v>4119</v>
      </c>
      <c r="E5813" t="s">
        <v>5532</v>
      </c>
      <c r="F5813" t="s">
        <v>22507</v>
      </c>
      <c r="G5813" t="s">
        <v>10963</v>
      </c>
      <c r="H5813" t="s">
        <v>5474</v>
      </c>
      <c r="I5813" t="s">
        <v>22508</v>
      </c>
      <c r="J5813" t="s">
        <v>5476</v>
      </c>
      <c r="K5813" t="s">
        <v>22509</v>
      </c>
      <c r="L5813" t="s">
        <v>5471</v>
      </c>
      <c r="M5813" t="s">
        <v>5471</v>
      </c>
    </row>
    <row r="5814" spans="1:13" x14ac:dyDescent="0.3">
      <c r="A5814" t="s">
        <v>3388</v>
      </c>
      <c r="B5814" t="s">
        <v>22510</v>
      </c>
      <c r="C5814" t="s">
        <v>5470</v>
      </c>
      <c r="D5814" t="s">
        <v>4119</v>
      </c>
      <c r="E5814" t="s">
        <v>5756</v>
      </c>
      <c r="F5814" t="s">
        <v>22511</v>
      </c>
      <c r="G5814" t="s">
        <v>22512</v>
      </c>
      <c r="H5814" t="s">
        <v>5474</v>
      </c>
      <c r="I5814" t="s">
        <v>22513</v>
      </c>
      <c r="J5814" t="s">
        <v>5476</v>
      </c>
      <c r="K5814" t="s">
        <v>22514</v>
      </c>
      <c r="L5814" t="s">
        <v>5471</v>
      </c>
      <c r="M5814" t="s">
        <v>5471</v>
      </c>
    </row>
    <row r="5815" spans="1:13" x14ac:dyDescent="0.3">
      <c r="A5815" t="s">
        <v>3388</v>
      </c>
      <c r="B5815" t="s">
        <v>10417</v>
      </c>
      <c r="C5815" t="s">
        <v>5470</v>
      </c>
      <c r="D5815" t="s">
        <v>4119</v>
      </c>
      <c r="E5815" t="s">
        <v>5756</v>
      </c>
      <c r="F5815" t="s">
        <v>22515</v>
      </c>
      <c r="G5815" t="s">
        <v>22516</v>
      </c>
      <c r="H5815" t="s">
        <v>5474</v>
      </c>
      <c r="I5815" t="s">
        <v>22517</v>
      </c>
      <c r="J5815" t="s">
        <v>5476</v>
      </c>
      <c r="K5815" t="s">
        <v>22518</v>
      </c>
      <c r="L5815" t="s">
        <v>5471</v>
      </c>
      <c r="M5815" t="s">
        <v>5471</v>
      </c>
    </row>
    <row r="5816" spans="1:13" x14ac:dyDescent="0.3">
      <c r="A5816" t="s">
        <v>3388</v>
      </c>
      <c r="B5816" t="s">
        <v>10417</v>
      </c>
      <c r="C5816" t="s">
        <v>5470</v>
      </c>
      <c r="D5816" t="s">
        <v>4119</v>
      </c>
      <c r="E5816" t="s">
        <v>5756</v>
      </c>
      <c r="F5816" t="s">
        <v>22519</v>
      </c>
      <c r="G5816" t="s">
        <v>22516</v>
      </c>
      <c r="H5816" t="s">
        <v>5474</v>
      </c>
      <c r="I5816" t="s">
        <v>22520</v>
      </c>
      <c r="J5816" t="s">
        <v>5476</v>
      </c>
      <c r="K5816" t="s">
        <v>22521</v>
      </c>
      <c r="L5816" t="s">
        <v>5471</v>
      </c>
      <c r="M5816" t="s">
        <v>5471</v>
      </c>
    </row>
    <row r="5817" spans="1:13" x14ac:dyDescent="0.3">
      <c r="A5817" t="s">
        <v>3388</v>
      </c>
      <c r="B5817" t="s">
        <v>10417</v>
      </c>
      <c r="C5817" t="s">
        <v>5470</v>
      </c>
      <c r="D5817" t="s">
        <v>4119</v>
      </c>
      <c r="E5817" t="s">
        <v>5756</v>
      </c>
      <c r="F5817" t="s">
        <v>22522</v>
      </c>
      <c r="G5817" t="s">
        <v>22516</v>
      </c>
      <c r="H5817" t="s">
        <v>5474</v>
      </c>
      <c r="I5817" t="s">
        <v>22523</v>
      </c>
      <c r="J5817" t="s">
        <v>5476</v>
      </c>
      <c r="K5817" t="s">
        <v>22524</v>
      </c>
      <c r="L5817" t="s">
        <v>5471</v>
      </c>
      <c r="M5817" t="s">
        <v>5471</v>
      </c>
    </row>
    <row r="5818" spans="1:13" x14ac:dyDescent="0.3">
      <c r="A5818" t="s">
        <v>3388</v>
      </c>
      <c r="B5818" t="s">
        <v>10417</v>
      </c>
      <c r="C5818" t="s">
        <v>5470</v>
      </c>
      <c r="D5818" t="s">
        <v>4119</v>
      </c>
      <c r="E5818" t="s">
        <v>5756</v>
      </c>
      <c r="F5818" t="s">
        <v>22525</v>
      </c>
      <c r="G5818" t="s">
        <v>22516</v>
      </c>
      <c r="H5818" t="s">
        <v>5474</v>
      </c>
      <c r="I5818" t="s">
        <v>22526</v>
      </c>
      <c r="J5818" t="s">
        <v>5476</v>
      </c>
      <c r="K5818" t="s">
        <v>22527</v>
      </c>
      <c r="L5818" t="s">
        <v>5471</v>
      </c>
      <c r="M5818" t="s">
        <v>5471</v>
      </c>
    </row>
    <row r="5819" spans="1:13" x14ac:dyDescent="0.3">
      <c r="A5819" t="s">
        <v>3388</v>
      </c>
      <c r="B5819" t="s">
        <v>10417</v>
      </c>
      <c r="C5819" t="s">
        <v>5470</v>
      </c>
      <c r="D5819" t="s">
        <v>4119</v>
      </c>
      <c r="E5819" t="s">
        <v>5756</v>
      </c>
      <c r="F5819" t="s">
        <v>22528</v>
      </c>
      <c r="G5819" t="s">
        <v>22516</v>
      </c>
      <c r="H5819" t="s">
        <v>5474</v>
      </c>
      <c r="I5819" t="s">
        <v>22529</v>
      </c>
      <c r="J5819" t="s">
        <v>5476</v>
      </c>
      <c r="K5819" t="s">
        <v>22530</v>
      </c>
      <c r="L5819" t="s">
        <v>5471</v>
      </c>
      <c r="M5819" t="s">
        <v>5471</v>
      </c>
    </row>
    <row r="5820" spans="1:13" x14ac:dyDescent="0.3">
      <c r="A5820" t="s">
        <v>3388</v>
      </c>
      <c r="B5820" t="s">
        <v>10417</v>
      </c>
      <c r="C5820" t="s">
        <v>5470</v>
      </c>
      <c r="D5820" t="s">
        <v>4119</v>
      </c>
      <c r="E5820" t="s">
        <v>5756</v>
      </c>
      <c r="F5820" t="s">
        <v>22531</v>
      </c>
      <c r="G5820" t="s">
        <v>22516</v>
      </c>
      <c r="H5820" t="s">
        <v>5474</v>
      </c>
      <c r="I5820" t="s">
        <v>22532</v>
      </c>
      <c r="J5820" t="s">
        <v>5476</v>
      </c>
      <c r="K5820" t="s">
        <v>22533</v>
      </c>
      <c r="L5820" t="s">
        <v>5471</v>
      </c>
      <c r="M5820" t="s">
        <v>5471</v>
      </c>
    </row>
    <row r="5821" spans="1:13" x14ac:dyDescent="0.3">
      <c r="A5821" t="s">
        <v>3388</v>
      </c>
      <c r="B5821" t="s">
        <v>10417</v>
      </c>
      <c r="C5821" t="s">
        <v>5470</v>
      </c>
      <c r="D5821" t="s">
        <v>4119</v>
      </c>
      <c r="E5821" t="s">
        <v>5756</v>
      </c>
      <c r="F5821" t="s">
        <v>22534</v>
      </c>
      <c r="G5821" t="s">
        <v>22516</v>
      </c>
      <c r="H5821" t="s">
        <v>5474</v>
      </c>
      <c r="I5821" t="s">
        <v>22535</v>
      </c>
      <c r="J5821" t="s">
        <v>5476</v>
      </c>
      <c r="K5821" t="s">
        <v>22536</v>
      </c>
      <c r="L5821" t="s">
        <v>5471</v>
      </c>
      <c r="M5821" t="s">
        <v>5471</v>
      </c>
    </row>
    <row r="5822" spans="1:13" x14ac:dyDescent="0.3">
      <c r="A5822" t="s">
        <v>3388</v>
      </c>
      <c r="B5822" t="s">
        <v>6540</v>
      </c>
      <c r="C5822" t="s">
        <v>5470</v>
      </c>
      <c r="D5822" t="s">
        <v>4119</v>
      </c>
      <c r="E5822" t="s">
        <v>5480</v>
      </c>
      <c r="F5822" t="s">
        <v>22537</v>
      </c>
      <c r="G5822" t="s">
        <v>19965</v>
      </c>
      <c r="H5822" t="s">
        <v>5474</v>
      </c>
      <c r="I5822" t="s">
        <v>22538</v>
      </c>
      <c r="J5822" t="s">
        <v>5476</v>
      </c>
      <c r="K5822" t="s">
        <v>22539</v>
      </c>
      <c r="L5822" t="s">
        <v>5471</v>
      </c>
      <c r="M5822" t="s">
        <v>5471</v>
      </c>
    </row>
    <row r="5823" spans="1:13" x14ac:dyDescent="0.3">
      <c r="A5823" t="s">
        <v>3388</v>
      </c>
      <c r="B5823" t="s">
        <v>6540</v>
      </c>
      <c r="C5823" t="s">
        <v>5470</v>
      </c>
      <c r="D5823" t="s">
        <v>4119</v>
      </c>
      <c r="E5823" t="s">
        <v>5480</v>
      </c>
      <c r="F5823" t="s">
        <v>22540</v>
      </c>
      <c r="G5823" t="s">
        <v>19965</v>
      </c>
      <c r="H5823" t="s">
        <v>5474</v>
      </c>
      <c r="I5823" t="s">
        <v>22541</v>
      </c>
      <c r="J5823" t="s">
        <v>5476</v>
      </c>
      <c r="K5823" t="s">
        <v>22542</v>
      </c>
      <c r="L5823" t="s">
        <v>5471</v>
      </c>
      <c r="M5823" t="s">
        <v>5471</v>
      </c>
    </row>
    <row r="5824" spans="1:13" x14ac:dyDescent="0.3">
      <c r="A5824" t="s">
        <v>3388</v>
      </c>
      <c r="B5824" t="s">
        <v>5296</v>
      </c>
      <c r="C5824" t="s">
        <v>5470</v>
      </c>
      <c r="D5824" t="s">
        <v>4119</v>
      </c>
      <c r="E5824" t="s">
        <v>5480</v>
      </c>
      <c r="F5824" t="s">
        <v>22543</v>
      </c>
      <c r="G5824" t="s">
        <v>22544</v>
      </c>
      <c r="H5824" t="s">
        <v>5474</v>
      </c>
      <c r="I5824" t="s">
        <v>22545</v>
      </c>
      <c r="J5824" t="s">
        <v>5476</v>
      </c>
      <c r="K5824" t="s">
        <v>22546</v>
      </c>
      <c r="L5824" t="s">
        <v>5471</v>
      </c>
      <c r="M5824" t="s">
        <v>5471</v>
      </c>
    </row>
    <row r="5825" spans="1:13" x14ac:dyDescent="0.3">
      <c r="A5825" t="s">
        <v>3388</v>
      </c>
      <c r="B5825" t="s">
        <v>7109</v>
      </c>
      <c r="C5825" t="s">
        <v>5470</v>
      </c>
      <c r="D5825" t="s">
        <v>4119</v>
      </c>
      <c r="E5825" t="s">
        <v>5480</v>
      </c>
      <c r="F5825" t="s">
        <v>22547</v>
      </c>
      <c r="G5825" t="s">
        <v>10952</v>
      </c>
      <c r="H5825" t="s">
        <v>5474</v>
      </c>
      <c r="I5825" t="s">
        <v>22548</v>
      </c>
      <c r="J5825" t="s">
        <v>5476</v>
      </c>
      <c r="K5825" t="s">
        <v>22549</v>
      </c>
      <c r="L5825" t="s">
        <v>5471</v>
      </c>
      <c r="M5825" t="s">
        <v>5471</v>
      </c>
    </row>
    <row r="5826" spans="1:13" x14ac:dyDescent="0.3">
      <c r="A5826" t="s">
        <v>3388</v>
      </c>
      <c r="B5826" t="s">
        <v>7109</v>
      </c>
      <c r="C5826" t="s">
        <v>5470</v>
      </c>
      <c r="D5826" t="s">
        <v>4119</v>
      </c>
      <c r="E5826" t="s">
        <v>5480</v>
      </c>
      <c r="F5826" t="s">
        <v>22550</v>
      </c>
      <c r="G5826" t="s">
        <v>10952</v>
      </c>
      <c r="H5826" t="s">
        <v>5474</v>
      </c>
      <c r="I5826" t="s">
        <v>22551</v>
      </c>
      <c r="J5826" t="s">
        <v>5476</v>
      </c>
      <c r="K5826" t="s">
        <v>22552</v>
      </c>
      <c r="L5826" t="s">
        <v>5471</v>
      </c>
      <c r="M5826" t="s">
        <v>5471</v>
      </c>
    </row>
    <row r="5827" spans="1:13" x14ac:dyDescent="0.3">
      <c r="A5827" t="s">
        <v>3388</v>
      </c>
      <c r="B5827" t="s">
        <v>7109</v>
      </c>
      <c r="C5827" t="s">
        <v>5470</v>
      </c>
      <c r="D5827" t="s">
        <v>4119</v>
      </c>
      <c r="E5827" t="s">
        <v>5480</v>
      </c>
      <c r="F5827" t="s">
        <v>22553</v>
      </c>
      <c r="G5827" t="s">
        <v>10952</v>
      </c>
      <c r="H5827" t="s">
        <v>5474</v>
      </c>
      <c r="I5827" t="s">
        <v>22554</v>
      </c>
      <c r="J5827" t="s">
        <v>5476</v>
      </c>
      <c r="K5827" t="s">
        <v>22555</v>
      </c>
      <c r="L5827" t="s">
        <v>5471</v>
      </c>
      <c r="M5827" t="s">
        <v>5471</v>
      </c>
    </row>
    <row r="5828" spans="1:13" x14ac:dyDescent="0.3">
      <c r="A5828" t="s">
        <v>3388</v>
      </c>
      <c r="B5828" t="s">
        <v>7109</v>
      </c>
      <c r="C5828" t="s">
        <v>5470</v>
      </c>
      <c r="D5828" t="s">
        <v>4119</v>
      </c>
      <c r="E5828" t="s">
        <v>5480</v>
      </c>
      <c r="F5828" t="s">
        <v>22556</v>
      </c>
      <c r="G5828" t="s">
        <v>10952</v>
      </c>
      <c r="H5828" t="s">
        <v>5474</v>
      </c>
      <c r="I5828" t="s">
        <v>22557</v>
      </c>
      <c r="J5828" t="s">
        <v>5476</v>
      </c>
      <c r="K5828" t="s">
        <v>22558</v>
      </c>
      <c r="L5828" t="s">
        <v>5471</v>
      </c>
      <c r="M5828" t="s">
        <v>5471</v>
      </c>
    </row>
    <row r="5829" spans="1:13" x14ac:dyDescent="0.3">
      <c r="A5829" t="s">
        <v>3388</v>
      </c>
      <c r="B5829" t="s">
        <v>7109</v>
      </c>
      <c r="C5829" t="s">
        <v>5470</v>
      </c>
      <c r="D5829" t="s">
        <v>4119</v>
      </c>
      <c r="E5829" t="s">
        <v>5480</v>
      </c>
      <c r="F5829" t="s">
        <v>22559</v>
      </c>
      <c r="G5829" t="s">
        <v>10952</v>
      </c>
      <c r="H5829" t="s">
        <v>5474</v>
      </c>
      <c r="I5829" t="s">
        <v>22560</v>
      </c>
      <c r="J5829" t="s">
        <v>5476</v>
      </c>
      <c r="K5829" t="s">
        <v>22561</v>
      </c>
      <c r="L5829" t="s">
        <v>5471</v>
      </c>
      <c r="M5829" t="s">
        <v>5471</v>
      </c>
    </row>
    <row r="5830" spans="1:13" x14ac:dyDescent="0.3">
      <c r="A5830" t="s">
        <v>3388</v>
      </c>
      <c r="B5830" t="s">
        <v>7109</v>
      </c>
      <c r="C5830" t="s">
        <v>5470</v>
      </c>
      <c r="D5830" t="s">
        <v>4119</v>
      </c>
      <c r="E5830" t="s">
        <v>5480</v>
      </c>
      <c r="F5830" t="s">
        <v>22562</v>
      </c>
      <c r="G5830" t="s">
        <v>10952</v>
      </c>
      <c r="H5830" t="s">
        <v>5474</v>
      </c>
      <c r="I5830" t="s">
        <v>22563</v>
      </c>
      <c r="J5830" t="s">
        <v>5476</v>
      </c>
      <c r="K5830" t="s">
        <v>22564</v>
      </c>
      <c r="L5830" t="s">
        <v>5471</v>
      </c>
      <c r="M5830" t="s">
        <v>5471</v>
      </c>
    </row>
    <row r="5831" spans="1:13" x14ac:dyDescent="0.3">
      <c r="A5831" t="s">
        <v>3388</v>
      </c>
      <c r="B5831" t="s">
        <v>7109</v>
      </c>
      <c r="C5831" t="s">
        <v>5470</v>
      </c>
      <c r="D5831" t="s">
        <v>4119</v>
      </c>
      <c r="E5831" t="s">
        <v>5480</v>
      </c>
      <c r="F5831" t="s">
        <v>22565</v>
      </c>
      <c r="G5831" t="s">
        <v>10952</v>
      </c>
      <c r="H5831" t="s">
        <v>5474</v>
      </c>
      <c r="I5831" t="s">
        <v>22566</v>
      </c>
      <c r="J5831" t="s">
        <v>5476</v>
      </c>
      <c r="K5831" t="s">
        <v>22567</v>
      </c>
      <c r="L5831" t="s">
        <v>5471</v>
      </c>
      <c r="M5831" t="s">
        <v>5471</v>
      </c>
    </row>
    <row r="5832" spans="1:13" x14ac:dyDescent="0.3">
      <c r="A5832" t="s">
        <v>3388</v>
      </c>
      <c r="B5832" t="s">
        <v>7109</v>
      </c>
      <c r="C5832" t="s">
        <v>5470</v>
      </c>
      <c r="D5832" t="s">
        <v>4119</v>
      </c>
      <c r="E5832" t="s">
        <v>5480</v>
      </c>
      <c r="F5832" t="s">
        <v>22568</v>
      </c>
      <c r="G5832" t="s">
        <v>10952</v>
      </c>
      <c r="H5832" t="s">
        <v>5474</v>
      </c>
      <c r="I5832" t="s">
        <v>22569</v>
      </c>
      <c r="J5832" t="s">
        <v>5476</v>
      </c>
      <c r="K5832" t="s">
        <v>22570</v>
      </c>
      <c r="L5832" t="s">
        <v>5471</v>
      </c>
      <c r="M5832" t="s">
        <v>5471</v>
      </c>
    </row>
    <row r="5833" spans="1:13" x14ac:dyDescent="0.3">
      <c r="A5833" t="s">
        <v>3388</v>
      </c>
      <c r="B5833" t="s">
        <v>7109</v>
      </c>
      <c r="C5833" t="s">
        <v>5470</v>
      </c>
      <c r="D5833" t="s">
        <v>4119</v>
      </c>
      <c r="E5833" t="s">
        <v>5480</v>
      </c>
      <c r="F5833" t="s">
        <v>22571</v>
      </c>
      <c r="G5833" t="s">
        <v>10952</v>
      </c>
      <c r="H5833" t="s">
        <v>5474</v>
      </c>
      <c r="I5833" t="s">
        <v>22572</v>
      </c>
      <c r="J5833" t="s">
        <v>5476</v>
      </c>
      <c r="K5833" t="s">
        <v>22573</v>
      </c>
      <c r="L5833" t="s">
        <v>5471</v>
      </c>
      <c r="M5833" t="s">
        <v>5471</v>
      </c>
    </row>
    <row r="5834" spans="1:13" x14ac:dyDescent="0.3">
      <c r="A5834" t="s">
        <v>3388</v>
      </c>
      <c r="B5834" t="s">
        <v>7109</v>
      </c>
      <c r="C5834" t="s">
        <v>5470</v>
      </c>
      <c r="D5834" t="s">
        <v>4119</v>
      </c>
      <c r="E5834" t="s">
        <v>5480</v>
      </c>
      <c r="F5834" t="s">
        <v>22574</v>
      </c>
      <c r="G5834" t="s">
        <v>10952</v>
      </c>
      <c r="H5834" t="s">
        <v>5474</v>
      </c>
      <c r="I5834" t="s">
        <v>22575</v>
      </c>
      <c r="J5834" t="s">
        <v>5476</v>
      </c>
      <c r="K5834" t="s">
        <v>22576</v>
      </c>
      <c r="L5834" t="s">
        <v>5471</v>
      </c>
      <c r="M5834" t="s">
        <v>5471</v>
      </c>
    </row>
    <row r="5835" spans="1:13" x14ac:dyDescent="0.3">
      <c r="A5835" t="s">
        <v>3388</v>
      </c>
      <c r="B5835" t="s">
        <v>7109</v>
      </c>
      <c r="C5835" t="s">
        <v>5470</v>
      </c>
      <c r="D5835" t="s">
        <v>4119</v>
      </c>
      <c r="E5835" t="s">
        <v>5480</v>
      </c>
      <c r="F5835" t="s">
        <v>22577</v>
      </c>
      <c r="G5835" t="s">
        <v>10952</v>
      </c>
      <c r="H5835" t="s">
        <v>5474</v>
      </c>
      <c r="I5835" t="s">
        <v>22578</v>
      </c>
      <c r="J5835" t="s">
        <v>5476</v>
      </c>
      <c r="K5835" t="s">
        <v>22579</v>
      </c>
      <c r="L5835" t="s">
        <v>5471</v>
      </c>
      <c r="M5835" t="s">
        <v>5471</v>
      </c>
    </row>
    <row r="5836" spans="1:13" x14ac:dyDescent="0.3">
      <c r="A5836" t="s">
        <v>3388</v>
      </c>
      <c r="B5836" t="s">
        <v>7109</v>
      </c>
      <c r="C5836" t="s">
        <v>5470</v>
      </c>
      <c r="D5836" t="s">
        <v>4119</v>
      </c>
      <c r="E5836" t="s">
        <v>5480</v>
      </c>
      <c r="F5836" t="s">
        <v>22580</v>
      </c>
      <c r="G5836" t="s">
        <v>10952</v>
      </c>
      <c r="H5836" t="s">
        <v>5474</v>
      </c>
      <c r="I5836" t="s">
        <v>22581</v>
      </c>
      <c r="J5836" t="s">
        <v>5476</v>
      </c>
      <c r="K5836" t="s">
        <v>22582</v>
      </c>
      <c r="L5836" t="s">
        <v>5471</v>
      </c>
      <c r="M5836" t="s">
        <v>5471</v>
      </c>
    </row>
    <row r="5837" spans="1:13" x14ac:dyDescent="0.3">
      <c r="A5837" t="s">
        <v>3388</v>
      </c>
      <c r="B5837" t="s">
        <v>7109</v>
      </c>
      <c r="C5837" t="s">
        <v>5470</v>
      </c>
      <c r="D5837" t="s">
        <v>4119</v>
      </c>
      <c r="E5837" t="s">
        <v>5480</v>
      </c>
      <c r="F5837" t="s">
        <v>22583</v>
      </c>
      <c r="G5837" t="s">
        <v>10952</v>
      </c>
      <c r="H5837" t="s">
        <v>5474</v>
      </c>
      <c r="I5837" t="s">
        <v>22584</v>
      </c>
      <c r="J5837" t="s">
        <v>5476</v>
      </c>
      <c r="K5837" t="s">
        <v>22585</v>
      </c>
      <c r="L5837" t="s">
        <v>5471</v>
      </c>
      <c r="M5837" t="s">
        <v>5471</v>
      </c>
    </row>
    <row r="5838" spans="1:13" x14ac:dyDescent="0.3">
      <c r="A5838" t="s">
        <v>3388</v>
      </c>
      <c r="B5838" t="s">
        <v>7109</v>
      </c>
      <c r="C5838" t="s">
        <v>5470</v>
      </c>
      <c r="D5838" t="s">
        <v>4119</v>
      </c>
      <c r="E5838" t="s">
        <v>5480</v>
      </c>
      <c r="F5838" t="s">
        <v>22586</v>
      </c>
      <c r="G5838" t="s">
        <v>10952</v>
      </c>
      <c r="H5838" t="s">
        <v>5474</v>
      </c>
      <c r="I5838" t="s">
        <v>22587</v>
      </c>
      <c r="J5838" t="s">
        <v>5476</v>
      </c>
      <c r="K5838" t="s">
        <v>22588</v>
      </c>
      <c r="L5838" t="s">
        <v>5471</v>
      </c>
      <c r="M5838" t="s">
        <v>5471</v>
      </c>
    </row>
    <row r="5839" spans="1:13" x14ac:dyDescent="0.3">
      <c r="A5839" t="s">
        <v>3388</v>
      </c>
      <c r="B5839" t="s">
        <v>7109</v>
      </c>
      <c r="C5839" t="s">
        <v>5470</v>
      </c>
      <c r="D5839" t="s">
        <v>4119</v>
      </c>
      <c r="E5839" t="s">
        <v>5480</v>
      </c>
      <c r="F5839" t="s">
        <v>22589</v>
      </c>
      <c r="G5839" t="s">
        <v>10952</v>
      </c>
      <c r="H5839" t="s">
        <v>5474</v>
      </c>
      <c r="I5839" t="s">
        <v>22590</v>
      </c>
      <c r="J5839" t="s">
        <v>5476</v>
      </c>
      <c r="K5839" t="s">
        <v>22591</v>
      </c>
      <c r="L5839" t="s">
        <v>5471</v>
      </c>
      <c r="M5839" t="s">
        <v>5471</v>
      </c>
    </row>
    <row r="5840" spans="1:13" x14ac:dyDescent="0.3">
      <c r="A5840" t="s">
        <v>3388</v>
      </c>
      <c r="B5840" t="s">
        <v>7109</v>
      </c>
      <c r="C5840" t="s">
        <v>5470</v>
      </c>
      <c r="D5840" t="s">
        <v>4119</v>
      </c>
      <c r="E5840" t="s">
        <v>5480</v>
      </c>
      <c r="F5840" t="s">
        <v>22592</v>
      </c>
      <c r="G5840" t="s">
        <v>10952</v>
      </c>
      <c r="H5840" t="s">
        <v>5474</v>
      </c>
      <c r="I5840" t="s">
        <v>22593</v>
      </c>
      <c r="J5840" t="s">
        <v>5476</v>
      </c>
      <c r="K5840" t="s">
        <v>22594</v>
      </c>
      <c r="L5840" t="s">
        <v>5471</v>
      </c>
      <c r="M5840" t="s">
        <v>5471</v>
      </c>
    </row>
    <row r="5841" spans="1:13" x14ac:dyDescent="0.3">
      <c r="A5841" t="s">
        <v>3388</v>
      </c>
      <c r="B5841" t="s">
        <v>7109</v>
      </c>
      <c r="C5841" t="s">
        <v>5470</v>
      </c>
      <c r="D5841" t="s">
        <v>4119</v>
      </c>
      <c r="E5841" t="s">
        <v>5480</v>
      </c>
      <c r="F5841" t="s">
        <v>22595</v>
      </c>
      <c r="G5841" t="s">
        <v>10952</v>
      </c>
      <c r="H5841" t="s">
        <v>5474</v>
      </c>
      <c r="I5841" t="s">
        <v>22596</v>
      </c>
      <c r="J5841" t="s">
        <v>5476</v>
      </c>
      <c r="K5841" t="s">
        <v>22597</v>
      </c>
      <c r="L5841" t="s">
        <v>5471</v>
      </c>
      <c r="M5841" t="s">
        <v>5471</v>
      </c>
    </row>
    <row r="5842" spans="1:13" x14ac:dyDescent="0.3">
      <c r="A5842" t="s">
        <v>3388</v>
      </c>
      <c r="B5842" t="s">
        <v>7109</v>
      </c>
      <c r="C5842" t="s">
        <v>5470</v>
      </c>
      <c r="D5842" t="s">
        <v>4119</v>
      </c>
      <c r="E5842" t="s">
        <v>5480</v>
      </c>
      <c r="F5842" t="s">
        <v>22598</v>
      </c>
      <c r="G5842" t="s">
        <v>10952</v>
      </c>
      <c r="H5842" t="s">
        <v>5474</v>
      </c>
      <c r="I5842" t="s">
        <v>22599</v>
      </c>
      <c r="J5842" t="s">
        <v>5476</v>
      </c>
      <c r="K5842" t="s">
        <v>22600</v>
      </c>
      <c r="L5842" t="s">
        <v>5471</v>
      </c>
      <c r="M5842" t="s">
        <v>5471</v>
      </c>
    </row>
    <row r="5843" spans="1:13" x14ac:dyDescent="0.3">
      <c r="A5843" t="s">
        <v>3388</v>
      </c>
      <c r="B5843" t="s">
        <v>7109</v>
      </c>
      <c r="C5843" t="s">
        <v>5470</v>
      </c>
      <c r="D5843" t="s">
        <v>4119</v>
      </c>
      <c r="E5843" t="s">
        <v>5480</v>
      </c>
      <c r="F5843" t="s">
        <v>22601</v>
      </c>
      <c r="G5843" t="s">
        <v>10952</v>
      </c>
      <c r="H5843" t="s">
        <v>5474</v>
      </c>
      <c r="I5843" t="s">
        <v>22602</v>
      </c>
      <c r="J5843" t="s">
        <v>5476</v>
      </c>
      <c r="K5843" t="s">
        <v>22603</v>
      </c>
      <c r="L5843" t="s">
        <v>5471</v>
      </c>
      <c r="M5843" t="s">
        <v>5471</v>
      </c>
    </row>
    <row r="5844" spans="1:13" x14ac:dyDescent="0.3">
      <c r="A5844" t="s">
        <v>3388</v>
      </c>
      <c r="B5844" t="s">
        <v>7109</v>
      </c>
      <c r="C5844" t="s">
        <v>5470</v>
      </c>
      <c r="D5844" t="s">
        <v>4119</v>
      </c>
      <c r="E5844" t="s">
        <v>5480</v>
      </c>
      <c r="F5844" t="s">
        <v>22604</v>
      </c>
      <c r="G5844" t="s">
        <v>10952</v>
      </c>
      <c r="H5844" t="s">
        <v>5474</v>
      </c>
      <c r="I5844" t="s">
        <v>22605</v>
      </c>
      <c r="J5844" t="s">
        <v>5476</v>
      </c>
      <c r="K5844" t="s">
        <v>22606</v>
      </c>
      <c r="L5844" t="s">
        <v>5471</v>
      </c>
      <c r="M5844" t="s">
        <v>5471</v>
      </c>
    </row>
    <row r="5845" spans="1:13" x14ac:dyDescent="0.3">
      <c r="A5845" t="s">
        <v>3388</v>
      </c>
      <c r="B5845" t="s">
        <v>7109</v>
      </c>
      <c r="C5845" t="s">
        <v>5470</v>
      </c>
      <c r="D5845" t="s">
        <v>4119</v>
      </c>
      <c r="E5845" t="s">
        <v>5480</v>
      </c>
      <c r="F5845" t="s">
        <v>22607</v>
      </c>
      <c r="G5845" t="s">
        <v>10952</v>
      </c>
      <c r="H5845" t="s">
        <v>5474</v>
      </c>
      <c r="I5845" t="s">
        <v>22608</v>
      </c>
      <c r="J5845" t="s">
        <v>5476</v>
      </c>
      <c r="K5845" t="s">
        <v>22609</v>
      </c>
      <c r="L5845" t="s">
        <v>5471</v>
      </c>
      <c r="M5845" t="s">
        <v>5471</v>
      </c>
    </row>
    <row r="5846" spans="1:13" x14ac:dyDescent="0.3">
      <c r="A5846" t="s">
        <v>3388</v>
      </c>
      <c r="B5846" t="s">
        <v>7109</v>
      </c>
      <c r="C5846" t="s">
        <v>5470</v>
      </c>
      <c r="D5846" t="s">
        <v>4119</v>
      </c>
      <c r="E5846" t="s">
        <v>5480</v>
      </c>
      <c r="F5846" t="s">
        <v>22610</v>
      </c>
      <c r="G5846" t="s">
        <v>10952</v>
      </c>
      <c r="H5846" t="s">
        <v>5474</v>
      </c>
      <c r="I5846" t="s">
        <v>22611</v>
      </c>
      <c r="J5846" t="s">
        <v>5476</v>
      </c>
      <c r="K5846" t="s">
        <v>22612</v>
      </c>
      <c r="L5846" t="s">
        <v>5471</v>
      </c>
      <c r="M5846" t="s">
        <v>5471</v>
      </c>
    </row>
    <row r="5847" spans="1:13" x14ac:dyDescent="0.3">
      <c r="A5847" t="s">
        <v>3388</v>
      </c>
      <c r="B5847" t="s">
        <v>7109</v>
      </c>
      <c r="C5847" t="s">
        <v>5470</v>
      </c>
      <c r="D5847" t="s">
        <v>4119</v>
      </c>
      <c r="E5847" t="s">
        <v>5480</v>
      </c>
      <c r="F5847" t="s">
        <v>22613</v>
      </c>
      <c r="G5847" t="s">
        <v>10952</v>
      </c>
      <c r="H5847" t="s">
        <v>5474</v>
      </c>
      <c r="I5847" t="s">
        <v>22614</v>
      </c>
      <c r="J5847" t="s">
        <v>5476</v>
      </c>
      <c r="K5847" t="s">
        <v>22615</v>
      </c>
      <c r="L5847" t="s">
        <v>5471</v>
      </c>
      <c r="M5847" t="s">
        <v>5471</v>
      </c>
    </row>
    <row r="5848" spans="1:13" x14ac:dyDescent="0.3">
      <c r="A5848" t="s">
        <v>3388</v>
      </c>
      <c r="B5848" t="s">
        <v>7109</v>
      </c>
      <c r="C5848" t="s">
        <v>5470</v>
      </c>
      <c r="D5848" t="s">
        <v>4119</v>
      </c>
      <c r="E5848" t="s">
        <v>5480</v>
      </c>
      <c r="F5848" t="s">
        <v>22616</v>
      </c>
      <c r="G5848" t="s">
        <v>10952</v>
      </c>
      <c r="H5848" t="s">
        <v>5474</v>
      </c>
      <c r="I5848" t="s">
        <v>22617</v>
      </c>
      <c r="J5848" t="s">
        <v>5476</v>
      </c>
      <c r="K5848" t="s">
        <v>22618</v>
      </c>
      <c r="L5848" t="s">
        <v>5471</v>
      </c>
      <c r="M5848" t="s">
        <v>5471</v>
      </c>
    </row>
    <row r="5849" spans="1:13" x14ac:dyDescent="0.3">
      <c r="A5849" t="s">
        <v>3388</v>
      </c>
      <c r="B5849" t="s">
        <v>7109</v>
      </c>
      <c r="C5849" t="s">
        <v>5470</v>
      </c>
      <c r="D5849" t="s">
        <v>4119</v>
      </c>
      <c r="E5849" t="s">
        <v>5480</v>
      </c>
      <c r="F5849" t="s">
        <v>22619</v>
      </c>
      <c r="G5849" t="s">
        <v>10952</v>
      </c>
      <c r="H5849" t="s">
        <v>5474</v>
      </c>
      <c r="I5849" t="s">
        <v>22620</v>
      </c>
      <c r="J5849" t="s">
        <v>5476</v>
      </c>
      <c r="K5849" t="s">
        <v>22621</v>
      </c>
      <c r="L5849" t="s">
        <v>5471</v>
      </c>
      <c r="M5849" t="s">
        <v>5471</v>
      </c>
    </row>
    <row r="5850" spans="1:13" x14ac:dyDescent="0.3">
      <c r="A5850" t="s">
        <v>3388</v>
      </c>
      <c r="B5850" t="s">
        <v>7109</v>
      </c>
      <c r="C5850" t="s">
        <v>5470</v>
      </c>
      <c r="D5850" t="s">
        <v>4119</v>
      </c>
      <c r="E5850" t="s">
        <v>5480</v>
      </c>
      <c r="F5850" t="s">
        <v>22622</v>
      </c>
      <c r="G5850" t="s">
        <v>10952</v>
      </c>
      <c r="H5850" t="s">
        <v>5474</v>
      </c>
      <c r="I5850" t="s">
        <v>22623</v>
      </c>
      <c r="J5850" t="s">
        <v>5476</v>
      </c>
      <c r="K5850" t="s">
        <v>22624</v>
      </c>
      <c r="L5850" t="s">
        <v>5471</v>
      </c>
      <c r="M5850" t="s">
        <v>5471</v>
      </c>
    </row>
    <row r="5851" spans="1:13" x14ac:dyDescent="0.3">
      <c r="A5851" t="s">
        <v>3388</v>
      </c>
      <c r="B5851" t="s">
        <v>7109</v>
      </c>
      <c r="C5851" t="s">
        <v>5470</v>
      </c>
      <c r="D5851" t="s">
        <v>4119</v>
      </c>
      <c r="E5851" t="s">
        <v>5480</v>
      </c>
      <c r="F5851" t="s">
        <v>22625</v>
      </c>
      <c r="G5851" t="s">
        <v>10952</v>
      </c>
      <c r="H5851" t="s">
        <v>5474</v>
      </c>
      <c r="I5851" t="s">
        <v>22626</v>
      </c>
      <c r="J5851" t="s">
        <v>5476</v>
      </c>
      <c r="K5851" t="s">
        <v>22627</v>
      </c>
      <c r="L5851" t="s">
        <v>5471</v>
      </c>
      <c r="M5851" t="s">
        <v>5471</v>
      </c>
    </row>
    <row r="5852" spans="1:13" x14ac:dyDescent="0.3">
      <c r="A5852" t="s">
        <v>3388</v>
      </c>
      <c r="B5852" t="s">
        <v>7109</v>
      </c>
      <c r="C5852" t="s">
        <v>5470</v>
      </c>
      <c r="D5852" t="s">
        <v>4119</v>
      </c>
      <c r="E5852" t="s">
        <v>5480</v>
      </c>
      <c r="F5852" t="s">
        <v>22628</v>
      </c>
      <c r="G5852" t="s">
        <v>10952</v>
      </c>
      <c r="H5852" t="s">
        <v>5474</v>
      </c>
      <c r="I5852" t="s">
        <v>22629</v>
      </c>
      <c r="J5852" t="s">
        <v>5476</v>
      </c>
      <c r="K5852" t="s">
        <v>22630</v>
      </c>
      <c r="L5852" t="s">
        <v>5471</v>
      </c>
      <c r="M5852" t="s">
        <v>5471</v>
      </c>
    </row>
    <row r="5853" spans="1:13" x14ac:dyDescent="0.3">
      <c r="A5853" t="s">
        <v>3388</v>
      </c>
      <c r="B5853" t="s">
        <v>22064</v>
      </c>
      <c r="C5853" t="s">
        <v>5470</v>
      </c>
      <c r="D5853" t="s">
        <v>4119</v>
      </c>
      <c r="E5853" t="s">
        <v>5532</v>
      </c>
      <c r="F5853" t="s">
        <v>22631</v>
      </c>
      <c r="G5853" t="s">
        <v>22632</v>
      </c>
      <c r="H5853" t="s">
        <v>5474</v>
      </c>
      <c r="I5853" t="s">
        <v>22633</v>
      </c>
      <c r="J5853" t="s">
        <v>5476</v>
      </c>
      <c r="K5853" t="s">
        <v>22634</v>
      </c>
      <c r="L5853" t="s">
        <v>5471</v>
      </c>
      <c r="M5853" t="s">
        <v>5471</v>
      </c>
    </row>
    <row r="5854" spans="1:13" x14ac:dyDescent="0.3">
      <c r="A5854" t="s">
        <v>3388</v>
      </c>
      <c r="B5854" t="s">
        <v>5956</v>
      </c>
      <c r="C5854" t="s">
        <v>5470</v>
      </c>
      <c r="D5854" t="s">
        <v>4119</v>
      </c>
      <c r="E5854" t="s">
        <v>5532</v>
      </c>
      <c r="F5854" t="s">
        <v>22635</v>
      </c>
      <c r="G5854" t="s">
        <v>10832</v>
      </c>
      <c r="H5854" t="s">
        <v>5474</v>
      </c>
      <c r="I5854" t="s">
        <v>22636</v>
      </c>
      <c r="J5854" t="s">
        <v>5476</v>
      </c>
      <c r="K5854" t="s">
        <v>22637</v>
      </c>
      <c r="L5854" t="s">
        <v>5471</v>
      </c>
      <c r="M5854" t="s">
        <v>5471</v>
      </c>
    </row>
    <row r="5855" spans="1:13" x14ac:dyDescent="0.3">
      <c r="A5855" t="s">
        <v>3388</v>
      </c>
      <c r="B5855" t="s">
        <v>8577</v>
      </c>
      <c r="C5855" t="s">
        <v>5470</v>
      </c>
      <c r="D5855" t="s">
        <v>4119</v>
      </c>
      <c r="E5855" t="s">
        <v>5532</v>
      </c>
      <c r="F5855" t="s">
        <v>22638</v>
      </c>
      <c r="G5855" t="s">
        <v>11553</v>
      </c>
      <c r="H5855" t="s">
        <v>5474</v>
      </c>
      <c r="I5855" t="s">
        <v>22639</v>
      </c>
      <c r="J5855" t="s">
        <v>5476</v>
      </c>
      <c r="K5855" t="s">
        <v>22640</v>
      </c>
      <c r="L5855" t="s">
        <v>5471</v>
      </c>
      <c r="M5855" t="s">
        <v>5471</v>
      </c>
    </row>
    <row r="5856" spans="1:13" x14ac:dyDescent="0.3">
      <c r="A5856" t="s">
        <v>3388</v>
      </c>
      <c r="B5856" t="s">
        <v>8577</v>
      </c>
      <c r="C5856" t="s">
        <v>5470</v>
      </c>
      <c r="D5856" t="s">
        <v>4119</v>
      </c>
      <c r="E5856" t="s">
        <v>5532</v>
      </c>
      <c r="F5856" t="s">
        <v>22641</v>
      </c>
      <c r="G5856" t="s">
        <v>22128</v>
      </c>
      <c r="H5856" t="s">
        <v>5474</v>
      </c>
      <c r="I5856" t="s">
        <v>22642</v>
      </c>
      <c r="J5856" t="s">
        <v>5476</v>
      </c>
      <c r="K5856" t="s">
        <v>22643</v>
      </c>
      <c r="L5856" t="s">
        <v>5471</v>
      </c>
      <c r="M5856" t="s">
        <v>5471</v>
      </c>
    </row>
    <row r="5857" spans="1:13" x14ac:dyDescent="0.3">
      <c r="A5857" t="s">
        <v>3388</v>
      </c>
      <c r="B5857" t="s">
        <v>7109</v>
      </c>
      <c r="C5857" t="s">
        <v>5470</v>
      </c>
      <c r="D5857" t="s">
        <v>4119</v>
      </c>
      <c r="E5857" t="s">
        <v>5756</v>
      </c>
      <c r="F5857" t="s">
        <v>22644</v>
      </c>
      <c r="G5857" t="s">
        <v>22368</v>
      </c>
      <c r="H5857" t="s">
        <v>5474</v>
      </c>
      <c r="I5857" t="s">
        <v>22645</v>
      </c>
      <c r="J5857" t="s">
        <v>5476</v>
      </c>
      <c r="K5857" t="s">
        <v>22646</v>
      </c>
      <c r="L5857" t="s">
        <v>5471</v>
      </c>
      <c r="M5857" t="s">
        <v>5471</v>
      </c>
    </row>
    <row r="5858" spans="1:13" x14ac:dyDescent="0.3">
      <c r="A5858" t="s">
        <v>3388</v>
      </c>
      <c r="B5858" t="s">
        <v>7109</v>
      </c>
      <c r="C5858" t="s">
        <v>5470</v>
      </c>
      <c r="D5858" t="s">
        <v>4119</v>
      </c>
      <c r="E5858" t="s">
        <v>5756</v>
      </c>
      <c r="F5858" t="s">
        <v>22647</v>
      </c>
      <c r="G5858" t="s">
        <v>22368</v>
      </c>
      <c r="H5858" t="s">
        <v>5474</v>
      </c>
      <c r="I5858" t="s">
        <v>22648</v>
      </c>
      <c r="J5858" t="s">
        <v>5476</v>
      </c>
      <c r="K5858" t="s">
        <v>22649</v>
      </c>
      <c r="L5858" t="s">
        <v>5471</v>
      </c>
      <c r="M5858" t="s">
        <v>5471</v>
      </c>
    </row>
    <row r="5859" spans="1:13" x14ac:dyDescent="0.3">
      <c r="A5859" t="s">
        <v>3388</v>
      </c>
      <c r="B5859" t="s">
        <v>7109</v>
      </c>
      <c r="C5859" t="s">
        <v>5470</v>
      </c>
      <c r="D5859" t="s">
        <v>4119</v>
      </c>
      <c r="E5859" t="s">
        <v>5756</v>
      </c>
      <c r="F5859" t="s">
        <v>22650</v>
      </c>
      <c r="G5859" t="s">
        <v>22372</v>
      </c>
      <c r="H5859" t="s">
        <v>5474</v>
      </c>
      <c r="I5859" t="s">
        <v>22651</v>
      </c>
      <c r="J5859" t="s">
        <v>5476</v>
      </c>
      <c r="K5859" t="s">
        <v>22652</v>
      </c>
      <c r="L5859" t="s">
        <v>5471</v>
      </c>
      <c r="M5859" t="s">
        <v>5471</v>
      </c>
    </row>
    <row r="5860" spans="1:13" x14ac:dyDescent="0.3">
      <c r="A5860" t="s">
        <v>3388</v>
      </c>
      <c r="B5860" t="s">
        <v>7109</v>
      </c>
      <c r="C5860" t="s">
        <v>5470</v>
      </c>
      <c r="D5860" t="s">
        <v>4119</v>
      </c>
      <c r="E5860" t="s">
        <v>5756</v>
      </c>
      <c r="F5860" t="s">
        <v>22653</v>
      </c>
      <c r="G5860" t="s">
        <v>22372</v>
      </c>
      <c r="H5860" t="s">
        <v>5474</v>
      </c>
      <c r="I5860" t="s">
        <v>22654</v>
      </c>
      <c r="J5860" t="s">
        <v>5476</v>
      </c>
      <c r="K5860" t="s">
        <v>22655</v>
      </c>
      <c r="L5860" t="s">
        <v>5471</v>
      </c>
      <c r="M5860" t="s">
        <v>5471</v>
      </c>
    </row>
    <row r="5861" spans="1:13" x14ac:dyDescent="0.3">
      <c r="A5861" t="s">
        <v>3388</v>
      </c>
      <c r="B5861" t="s">
        <v>7109</v>
      </c>
      <c r="C5861" t="s">
        <v>5470</v>
      </c>
      <c r="D5861" t="s">
        <v>4119</v>
      </c>
      <c r="E5861" t="s">
        <v>5756</v>
      </c>
      <c r="F5861" t="s">
        <v>22656</v>
      </c>
      <c r="G5861" t="s">
        <v>21840</v>
      </c>
      <c r="H5861" t="s">
        <v>5474</v>
      </c>
      <c r="I5861" t="s">
        <v>22657</v>
      </c>
      <c r="J5861" t="s">
        <v>5476</v>
      </c>
      <c r="K5861" t="s">
        <v>22658</v>
      </c>
      <c r="L5861" t="s">
        <v>5471</v>
      </c>
      <c r="M5861" t="s">
        <v>5471</v>
      </c>
    </row>
    <row r="5862" spans="1:13" x14ac:dyDescent="0.3">
      <c r="A5862" t="s">
        <v>3388</v>
      </c>
      <c r="B5862" t="s">
        <v>6632</v>
      </c>
      <c r="C5862" t="s">
        <v>5470</v>
      </c>
      <c r="D5862" t="s">
        <v>4119</v>
      </c>
      <c r="E5862" t="s">
        <v>5532</v>
      </c>
      <c r="F5862" t="s">
        <v>22659</v>
      </c>
      <c r="G5862" t="s">
        <v>21938</v>
      </c>
      <c r="H5862" t="s">
        <v>5474</v>
      </c>
      <c r="I5862" t="s">
        <v>22660</v>
      </c>
      <c r="J5862" t="s">
        <v>5476</v>
      </c>
      <c r="K5862" t="s">
        <v>22661</v>
      </c>
      <c r="L5862" t="s">
        <v>5471</v>
      </c>
      <c r="M5862" t="s">
        <v>5471</v>
      </c>
    </row>
    <row r="5863" spans="1:13" x14ac:dyDescent="0.3">
      <c r="A5863" t="s">
        <v>3388</v>
      </c>
      <c r="B5863" t="s">
        <v>7109</v>
      </c>
      <c r="C5863" t="s">
        <v>5470</v>
      </c>
      <c r="D5863" t="s">
        <v>4119</v>
      </c>
      <c r="E5863" t="s">
        <v>5480</v>
      </c>
      <c r="F5863" t="s">
        <v>22662</v>
      </c>
      <c r="G5863" t="s">
        <v>10952</v>
      </c>
      <c r="H5863" t="s">
        <v>5474</v>
      </c>
      <c r="I5863" t="s">
        <v>22663</v>
      </c>
      <c r="J5863" t="s">
        <v>5476</v>
      </c>
      <c r="K5863" t="s">
        <v>22664</v>
      </c>
      <c r="L5863" t="s">
        <v>5471</v>
      </c>
      <c r="M5863" t="s">
        <v>5471</v>
      </c>
    </row>
    <row r="5864" spans="1:13" x14ac:dyDescent="0.3">
      <c r="A5864" t="s">
        <v>3388</v>
      </c>
      <c r="B5864" t="s">
        <v>7109</v>
      </c>
      <c r="C5864" t="s">
        <v>5470</v>
      </c>
      <c r="D5864" t="s">
        <v>4119</v>
      </c>
      <c r="E5864" t="s">
        <v>5480</v>
      </c>
      <c r="F5864" t="s">
        <v>22665</v>
      </c>
      <c r="G5864" t="s">
        <v>10952</v>
      </c>
      <c r="H5864" t="s">
        <v>5474</v>
      </c>
      <c r="I5864" t="s">
        <v>22666</v>
      </c>
      <c r="J5864" t="s">
        <v>5476</v>
      </c>
      <c r="K5864" t="s">
        <v>22667</v>
      </c>
      <c r="L5864" t="s">
        <v>5471</v>
      </c>
      <c r="M5864" t="s">
        <v>5471</v>
      </c>
    </row>
    <row r="5865" spans="1:13" x14ac:dyDescent="0.3">
      <c r="A5865" t="s">
        <v>3388</v>
      </c>
      <c r="B5865" t="s">
        <v>7109</v>
      </c>
      <c r="C5865" t="s">
        <v>5470</v>
      </c>
      <c r="D5865" t="s">
        <v>4119</v>
      </c>
      <c r="E5865" t="s">
        <v>5480</v>
      </c>
      <c r="F5865" t="s">
        <v>22668</v>
      </c>
      <c r="G5865" t="s">
        <v>10952</v>
      </c>
      <c r="H5865" t="s">
        <v>5474</v>
      </c>
      <c r="I5865" t="s">
        <v>22669</v>
      </c>
      <c r="J5865" t="s">
        <v>5476</v>
      </c>
      <c r="K5865" t="s">
        <v>22670</v>
      </c>
      <c r="L5865" t="s">
        <v>5471</v>
      </c>
      <c r="M5865" t="s">
        <v>5471</v>
      </c>
    </row>
    <row r="5866" spans="1:13" x14ac:dyDescent="0.3">
      <c r="A5866" t="s">
        <v>3383</v>
      </c>
      <c r="B5866" t="s">
        <v>6051</v>
      </c>
      <c r="C5866" t="s">
        <v>5470</v>
      </c>
      <c r="D5866" t="s">
        <v>4119</v>
      </c>
      <c r="E5866" t="s">
        <v>5756</v>
      </c>
      <c r="F5866" t="s">
        <v>22671</v>
      </c>
      <c r="G5866" t="s">
        <v>6204</v>
      </c>
      <c r="H5866" t="s">
        <v>5474</v>
      </c>
      <c r="I5866" t="s">
        <v>22672</v>
      </c>
      <c r="J5866" t="s">
        <v>5476</v>
      </c>
      <c r="K5866" t="s">
        <v>22673</v>
      </c>
      <c r="L5866" t="s">
        <v>5471</v>
      </c>
      <c r="M5866" t="s">
        <v>5471</v>
      </c>
    </row>
    <row r="5867" spans="1:13" x14ac:dyDescent="0.3">
      <c r="A5867" t="s">
        <v>3380</v>
      </c>
      <c r="B5867" t="s">
        <v>22674</v>
      </c>
      <c r="C5867" t="s">
        <v>6342</v>
      </c>
      <c r="D5867" t="s">
        <v>4119</v>
      </c>
      <c r="E5867" t="s">
        <v>5532</v>
      </c>
      <c r="F5867" t="s">
        <v>22675</v>
      </c>
      <c r="G5867" t="s">
        <v>22674</v>
      </c>
      <c r="H5867" t="s">
        <v>5474</v>
      </c>
      <c r="I5867" t="s">
        <v>22676</v>
      </c>
      <c r="J5867" t="s">
        <v>5476</v>
      </c>
      <c r="K5867" t="s">
        <v>21430</v>
      </c>
      <c r="L5867" t="s">
        <v>5471</v>
      </c>
      <c r="M5867" t="s">
        <v>5471</v>
      </c>
    </row>
    <row r="5868" spans="1:13" x14ac:dyDescent="0.3">
      <c r="A5868" t="s">
        <v>3380</v>
      </c>
      <c r="B5868" t="s">
        <v>22674</v>
      </c>
      <c r="C5868" t="s">
        <v>6342</v>
      </c>
      <c r="D5868" t="s">
        <v>4119</v>
      </c>
      <c r="E5868" t="s">
        <v>5532</v>
      </c>
      <c r="F5868" t="s">
        <v>22677</v>
      </c>
      <c r="G5868" t="s">
        <v>22674</v>
      </c>
      <c r="H5868" t="s">
        <v>5474</v>
      </c>
      <c r="I5868" t="s">
        <v>22678</v>
      </c>
      <c r="J5868" t="s">
        <v>5476</v>
      </c>
      <c r="K5868" t="s">
        <v>21433</v>
      </c>
      <c r="L5868" t="s">
        <v>5471</v>
      </c>
      <c r="M5868" t="s">
        <v>5471</v>
      </c>
    </row>
    <row r="5869" spans="1:13" x14ac:dyDescent="0.3">
      <c r="A5869" t="s">
        <v>3380</v>
      </c>
      <c r="B5869" t="s">
        <v>22679</v>
      </c>
      <c r="C5869" t="s">
        <v>6342</v>
      </c>
      <c r="D5869" t="s">
        <v>4119</v>
      </c>
      <c r="E5869" t="s">
        <v>5532</v>
      </c>
      <c r="F5869" t="s">
        <v>22680</v>
      </c>
      <c r="G5869" t="s">
        <v>22679</v>
      </c>
      <c r="H5869" t="s">
        <v>5474</v>
      </c>
      <c r="I5869" t="s">
        <v>22681</v>
      </c>
      <c r="J5869" t="s">
        <v>5476</v>
      </c>
      <c r="K5869" t="s">
        <v>21430</v>
      </c>
      <c r="L5869" t="s">
        <v>5471</v>
      </c>
      <c r="M5869" t="s">
        <v>5471</v>
      </c>
    </row>
    <row r="5870" spans="1:13" x14ac:dyDescent="0.3">
      <c r="A5870" t="s">
        <v>3380</v>
      </c>
      <c r="B5870" t="s">
        <v>22679</v>
      </c>
      <c r="C5870" t="s">
        <v>6342</v>
      </c>
      <c r="D5870" t="s">
        <v>4119</v>
      </c>
      <c r="E5870" t="s">
        <v>5532</v>
      </c>
      <c r="F5870" t="s">
        <v>22682</v>
      </c>
      <c r="G5870" t="s">
        <v>22679</v>
      </c>
      <c r="H5870" t="s">
        <v>5474</v>
      </c>
      <c r="I5870" t="s">
        <v>22683</v>
      </c>
      <c r="J5870" t="s">
        <v>5476</v>
      </c>
      <c r="K5870" t="s">
        <v>21433</v>
      </c>
      <c r="L5870" t="s">
        <v>5471</v>
      </c>
      <c r="M5870" t="s">
        <v>5471</v>
      </c>
    </row>
    <row r="5871" spans="1:13" x14ac:dyDescent="0.3">
      <c r="A5871" t="s">
        <v>3383</v>
      </c>
      <c r="B5871" t="s">
        <v>22684</v>
      </c>
      <c r="C5871" t="s">
        <v>5487</v>
      </c>
      <c r="D5871" t="s">
        <v>4119</v>
      </c>
      <c r="E5871" t="s">
        <v>5532</v>
      </c>
      <c r="F5871" t="s">
        <v>22685</v>
      </c>
      <c r="G5871" t="s">
        <v>22686</v>
      </c>
      <c r="H5871" t="s">
        <v>5474</v>
      </c>
      <c r="I5871" t="s">
        <v>22687</v>
      </c>
      <c r="J5871" t="s">
        <v>5484</v>
      </c>
      <c r="K5871" t="s">
        <v>22688</v>
      </c>
      <c r="L5871" t="s">
        <v>5471</v>
      </c>
      <c r="M5871" t="s">
        <v>5471</v>
      </c>
    </row>
    <row r="5872" spans="1:13" x14ac:dyDescent="0.3">
      <c r="A5872" t="s">
        <v>3380</v>
      </c>
      <c r="B5872" t="s">
        <v>22689</v>
      </c>
      <c r="C5872" t="s">
        <v>6342</v>
      </c>
      <c r="D5872" t="s">
        <v>4119</v>
      </c>
      <c r="E5872" t="s">
        <v>5532</v>
      </c>
      <c r="F5872" t="s">
        <v>22690</v>
      </c>
      <c r="G5872" t="s">
        <v>22689</v>
      </c>
      <c r="H5872" t="s">
        <v>5474</v>
      </c>
      <c r="I5872" t="s">
        <v>22691</v>
      </c>
      <c r="J5872" t="s">
        <v>5476</v>
      </c>
      <c r="K5872" t="s">
        <v>21430</v>
      </c>
      <c r="L5872" t="s">
        <v>5471</v>
      </c>
      <c r="M5872" t="s">
        <v>5471</v>
      </c>
    </row>
    <row r="5873" spans="1:13" x14ac:dyDescent="0.3">
      <c r="A5873" t="s">
        <v>3383</v>
      </c>
      <c r="B5873" t="s">
        <v>5586</v>
      </c>
      <c r="C5873" t="s">
        <v>5487</v>
      </c>
      <c r="D5873" t="s">
        <v>4119</v>
      </c>
      <c r="E5873" t="s">
        <v>5532</v>
      </c>
      <c r="F5873" t="s">
        <v>22685</v>
      </c>
      <c r="G5873" t="s">
        <v>7661</v>
      </c>
      <c r="H5873" t="s">
        <v>5474</v>
      </c>
      <c r="I5873" t="s">
        <v>22692</v>
      </c>
      <c r="J5873" t="s">
        <v>5484</v>
      </c>
      <c r="K5873" t="s">
        <v>22693</v>
      </c>
      <c r="L5873" t="s">
        <v>5471</v>
      </c>
      <c r="M5873" t="s">
        <v>5471</v>
      </c>
    </row>
    <row r="5874" spans="1:13" x14ac:dyDescent="0.3">
      <c r="A5874" t="s">
        <v>3380</v>
      </c>
      <c r="B5874" t="s">
        <v>22689</v>
      </c>
      <c r="C5874" t="s">
        <v>6342</v>
      </c>
      <c r="D5874" t="s">
        <v>4119</v>
      </c>
      <c r="E5874" t="s">
        <v>5532</v>
      </c>
      <c r="F5874" t="s">
        <v>22694</v>
      </c>
      <c r="G5874" t="s">
        <v>22689</v>
      </c>
      <c r="H5874" t="s">
        <v>5474</v>
      </c>
      <c r="I5874" t="s">
        <v>22695</v>
      </c>
      <c r="J5874" t="s">
        <v>5476</v>
      </c>
      <c r="K5874" t="s">
        <v>21433</v>
      </c>
      <c r="L5874" t="s">
        <v>5471</v>
      </c>
      <c r="M5874" t="s">
        <v>5471</v>
      </c>
    </row>
    <row r="5875" spans="1:13" x14ac:dyDescent="0.3">
      <c r="A5875" t="s">
        <v>3383</v>
      </c>
      <c r="B5875" t="s">
        <v>8062</v>
      </c>
      <c r="C5875" t="s">
        <v>5487</v>
      </c>
      <c r="D5875" t="s">
        <v>4119</v>
      </c>
      <c r="E5875" t="s">
        <v>5532</v>
      </c>
      <c r="F5875" t="s">
        <v>22696</v>
      </c>
      <c r="G5875" t="s">
        <v>22697</v>
      </c>
      <c r="H5875" t="s">
        <v>5474</v>
      </c>
      <c r="I5875" t="s">
        <v>22698</v>
      </c>
      <c r="J5875" t="s">
        <v>5484</v>
      </c>
      <c r="K5875" t="s">
        <v>22699</v>
      </c>
      <c r="L5875" t="s">
        <v>5471</v>
      </c>
      <c r="M5875" t="s">
        <v>5471</v>
      </c>
    </row>
    <row r="5876" spans="1:13" x14ac:dyDescent="0.3">
      <c r="A5876" t="s">
        <v>3380</v>
      </c>
      <c r="B5876" t="s">
        <v>22700</v>
      </c>
      <c r="C5876" t="s">
        <v>6342</v>
      </c>
      <c r="D5876" t="s">
        <v>4119</v>
      </c>
      <c r="E5876" t="s">
        <v>5532</v>
      </c>
      <c r="F5876" t="s">
        <v>22701</v>
      </c>
      <c r="G5876" t="s">
        <v>22700</v>
      </c>
      <c r="H5876" t="s">
        <v>5474</v>
      </c>
      <c r="I5876" t="s">
        <v>22702</v>
      </c>
      <c r="J5876" t="s">
        <v>5476</v>
      </c>
      <c r="K5876" t="s">
        <v>21430</v>
      </c>
      <c r="L5876" t="s">
        <v>5471</v>
      </c>
      <c r="M5876" t="s">
        <v>5471</v>
      </c>
    </row>
    <row r="5877" spans="1:13" x14ac:dyDescent="0.3">
      <c r="A5877" t="s">
        <v>3380</v>
      </c>
      <c r="B5877" t="s">
        <v>22700</v>
      </c>
      <c r="C5877" t="s">
        <v>6342</v>
      </c>
      <c r="D5877" t="s">
        <v>4119</v>
      </c>
      <c r="E5877" t="s">
        <v>5532</v>
      </c>
      <c r="F5877" t="s">
        <v>22703</v>
      </c>
      <c r="G5877" t="s">
        <v>22700</v>
      </c>
      <c r="H5877" t="s">
        <v>5474</v>
      </c>
      <c r="I5877" t="s">
        <v>22704</v>
      </c>
      <c r="J5877" t="s">
        <v>5476</v>
      </c>
      <c r="K5877" t="s">
        <v>21433</v>
      </c>
      <c r="L5877" t="s">
        <v>5471</v>
      </c>
      <c r="M5877" t="s">
        <v>5471</v>
      </c>
    </row>
    <row r="5878" spans="1:13" x14ac:dyDescent="0.3">
      <c r="A5878" t="s">
        <v>3383</v>
      </c>
      <c r="B5878" t="s">
        <v>5304</v>
      </c>
      <c r="C5878" t="s">
        <v>5487</v>
      </c>
      <c r="D5878" t="s">
        <v>4052</v>
      </c>
      <c r="E5878" t="s">
        <v>5532</v>
      </c>
      <c r="F5878" t="s">
        <v>22705</v>
      </c>
      <c r="G5878" t="s">
        <v>11406</v>
      </c>
      <c r="H5878" t="s">
        <v>5474</v>
      </c>
      <c r="I5878" t="s">
        <v>22706</v>
      </c>
      <c r="J5878" t="s">
        <v>5484</v>
      </c>
      <c r="K5878" t="s">
        <v>22707</v>
      </c>
      <c r="L5878" t="s">
        <v>5471</v>
      </c>
      <c r="M5878" t="s">
        <v>5471</v>
      </c>
    </row>
    <row r="5879" spans="1:13" x14ac:dyDescent="0.3">
      <c r="A5879" t="s">
        <v>3383</v>
      </c>
      <c r="B5879" t="s">
        <v>5304</v>
      </c>
      <c r="C5879" t="s">
        <v>5487</v>
      </c>
      <c r="D5879" t="s">
        <v>4052</v>
      </c>
      <c r="E5879" t="s">
        <v>5532</v>
      </c>
      <c r="F5879" t="s">
        <v>22708</v>
      </c>
      <c r="G5879" t="s">
        <v>22709</v>
      </c>
      <c r="H5879" t="s">
        <v>5474</v>
      </c>
      <c r="I5879" t="s">
        <v>22710</v>
      </c>
      <c r="J5879" t="s">
        <v>5484</v>
      </c>
      <c r="K5879" t="s">
        <v>22711</v>
      </c>
      <c r="L5879" t="s">
        <v>5471</v>
      </c>
      <c r="M5879" t="s">
        <v>5471</v>
      </c>
    </row>
    <row r="5880" spans="1:13" x14ac:dyDescent="0.3">
      <c r="A5880" t="s">
        <v>3380</v>
      </c>
      <c r="B5880" t="s">
        <v>22712</v>
      </c>
      <c r="C5880" t="s">
        <v>6342</v>
      </c>
      <c r="D5880" t="s">
        <v>4119</v>
      </c>
      <c r="E5880" t="s">
        <v>5532</v>
      </c>
      <c r="F5880" t="s">
        <v>22713</v>
      </c>
      <c r="G5880" t="s">
        <v>22712</v>
      </c>
      <c r="H5880" t="s">
        <v>5474</v>
      </c>
      <c r="I5880" t="s">
        <v>22714</v>
      </c>
      <c r="J5880" t="s">
        <v>5476</v>
      </c>
      <c r="K5880" t="s">
        <v>19267</v>
      </c>
      <c r="L5880" t="s">
        <v>5471</v>
      </c>
      <c r="M5880" t="s">
        <v>5471</v>
      </c>
    </row>
    <row r="5881" spans="1:13" x14ac:dyDescent="0.3">
      <c r="A5881" t="s">
        <v>3380</v>
      </c>
      <c r="B5881" t="s">
        <v>22712</v>
      </c>
      <c r="C5881" t="s">
        <v>6342</v>
      </c>
      <c r="D5881" t="s">
        <v>4119</v>
      </c>
      <c r="E5881" t="s">
        <v>5532</v>
      </c>
      <c r="F5881" t="s">
        <v>22715</v>
      </c>
      <c r="G5881" t="s">
        <v>22712</v>
      </c>
      <c r="H5881" t="s">
        <v>5474</v>
      </c>
      <c r="I5881" t="s">
        <v>22716</v>
      </c>
      <c r="J5881" t="s">
        <v>5476</v>
      </c>
      <c r="K5881" t="s">
        <v>21433</v>
      </c>
      <c r="L5881" t="s">
        <v>5471</v>
      </c>
      <c r="M5881" t="s">
        <v>5471</v>
      </c>
    </row>
    <row r="5882" spans="1:13" x14ac:dyDescent="0.3">
      <c r="A5882" t="s">
        <v>3380</v>
      </c>
      <c r="B5882" t="s">
        <v>5247</v>
      </c>
      <c r="C5882" t="s">
        <v>6342</v>
      </c>
      <c r="D5882" t="s">
        <v>4119</v>
      </c>
      <c r="E5882" t="s">
        <v>9935</v>
      </c>
      <c r="F5882" t="s">
        <v>22717</v>
      </c>
      <c r="G5882" t="s">
        <v>16147</v>
      </c>
      <c r="H5882" t="s">
        <v>5474</v>
      </c>
      <c r="I5882" t="s">
        <v>22718</v>
      </c>
      <c r="J5882" t="s">
        <v>5476</v>
      </c>
      <c r="K5882" t="s">
        <v>11039</v>
      </c>
      <c r="L5882" t="s">
        <v>5471</v>
      </c>
      <c r="M5882" t="s">
        <v>5471</v>
      </c>
    </row>
    <row r="5883" spans="1:13" x14ac:dyDescent="0.3">
      <c r="A5883" t="s">
        <v>3388</v>
      </c>
      <c r="B5883" t="s">
        <v>18592</v>
      </c>
      <c r="C5883" t="s">
        <v>5470</v>
      </c>
      <c r="D5883" t="s">
        <v>9833</v>
      </c>
      <c r="E5883" t="s">
        <v>5756</v>
      </c>
      <c r="F5883" t="s">
        <v>22719</v>
      </c>
      <c r="G5883" t="s">
        <v>18594</v>
      </c>
      <c r="H5883" t="s">
        <v>5474</v>
      </c>
      <c r="I5883" t="s">
        <v>22720</v>
      </c>
      <c r="J5883" t="s">
        <v>5476</v>
      </c>
      <c r="K5883" t="s">
        <v>22721</v>
      </c>
      <c r="L5883" t="s">
        <v>5471</v>
      </c>
      <c r="M5883" t="s">
        <v>5471</v>
      </c>
    </row>
    <row r="5884" spans="1:13" x14ac:dyDescent="0.3">
      <c r="A5884" t="s">
        <v>3380</v>
      </c>
      <c r="B5884" t="s">
        <v>5247</v>
      </c>
      <c r="C5884" t="s">
        <v>6342</v>
      </c>
      <c r="D5884" t="s">
        <v>4119</v>
      </c>
      <c r="E5884" t="s">
        <v>9935</v>
      </c>
      <c r="F5884" t="s">
        <v>22722</v>
      </c>
      <c r="G5884" t="s">
        <v>16147</v>
      </c>
      <c r="H5884" t="s">
        <v>5474</v>
      </c>
      <c r="I5884" t="s">
        <v>22723</v>
      </c>
      <c r="J5884" t="s">
        <v>5476</v>
      </c>
      <c r="K5884" t="s">
        <v>22724</v>
      </c>
      <c r="L5884" t="s">
        <v>5471</v>
      </c>
      <c r="M5884" t="s">
        <v>5471</v>
      </c>
    </row>
    <row r="5885" spans="1:13" x14ac:dyDescent="0.3">
      <c r="A5885" t="s">
        <v>3380</v>
      </c>
      <c r="B5885" t="s">
        <v>5247</v>
      </c>
      <c r="C5885" t="s">
        <v>6342</v>
      </c>
      <c r="D5885" t="s">
        <v>4119</v>
      </c>
      <c r="E5885" t="s">
        <v>9935</v>
      </c>
      <c r="F5885" t="s">
        <v>22725</v>
      </c>
      <c r="G5885" t="s">
        <v>16124</v>
      </c>
      <c r="H5885" t="s">
        <v>5474</v>
      </c>
      <c r="I5885" t="s">
        <v>22726</v>
      </c>
      <c r="J5885" t="s">
        <v>5476</v>
      </c>
      <c r="K5885" t="s">
        <v>10837</v>
      </c>
      <c r="L5885" t="s">
        <v>5471</v>
      </c>
      <c r="M5885" t="s">
        <v>5471</v>
      </c>
    </row>
    <row r="5886" spans="1:13" x14ac:dyDescent="0.3">
      <c r="A5886" t="s">
        <v>3380</v>
      </c>
      <c r="B5886" t="s">
        <v>5247</v>
      </c>
      <c r="C5886" t="s">
        <v>6342</v>
      </c>
      <c r="D5886" t="s">
        <v>4119</v>
      </c>
      <c r="E5886" t="s">
        <v>9935</v>
      </c>
      <c r="F5886" t="s">
        <v>22727</v>
      </c>
      <c r="G5886" t="s">
        <v>11666</v>
      </c>
      <c r="H5886" t="s">
        <v>5474</v>
      </c>
      <c r="I5886" t="s">
        <v>22728</v>
      </c>
      <c r="J5886" t="s">
        <v>5476</v>
      </c>
      <c r="K5886" t="s">
        <v>22729</v>
      </c>
      <c r="L5886" t="s">
        <v>5471</v>
      </c>
      <c r="M5886" t="s">
        <v>5471</v>
      </c>
    </row>
    <row r="5887" spans="1:13" x14ac:dyDescent="0.3">
      <c r="A5887" t="s">
        <v>3380</v>
      </c>
      <c r="B5887" t="s">
        <v>16102</v>
      </c>
      <c r="C5887" t="s">
        <v>6342</v>
      </c>
      <c r="D5887" t="s">
        <v>4056</v>
      </c>
      <c r="E5887" t="s">
        <v>5532</v>
      </c>
      <c r="F5887" t="s">
        <v>22730</v>
      </c>
      <c r="G5887" t="s">
        <v>22731</v>
      </c>
      <c r="H5887" t="s">
        <v>5474</v>
      </c>
      <c r="I5887" t="s">
        <v>22732</v>
      </c>
      <c r="J5887" t="s">
        <v>5476</v>
      </c>
      <c r="K5887" t="s">
        <v>16292</v>
      </c>
      <c r="L5887" t="s">
        <v>5471</v>
      </c>
      <c r="M5887" t="s">
        <v>5471</v>
      </c>
    </row>
    <row r="5888" spans="1:13" x14ac:dyDescent="0.3">
      <c r="A5888" t="s">
        <v>3380</v>
      </c>
      <c r="B5888" t="s">
        <v>5306</v>
      </c>
      <c r="C5888" t="s">
        <v>6342</v>
      </c>
      <c r="D5888" t="s">
        <v>4119</v>
      </c>
      <c r="E5888" t="s">
        <v>9935</v>
      </c>
      <c r="F5888" t="s">
        <v>22733</v>
      </c>
      <c r="G5888" t="s">
        <v>17225</v>
      </c>
      <c r="H5888" t="s">
        <v>5474</v>
      </c>
      <c r="I5888" t="s">
        <v>22734</v>
      </c>
      <c r="J5888" t="s">
        <v>5476</v>
      </c>
      <c r="K5888" t="s">
        <v>22735</v>
      </c>
      <c r="L5888" t="s">
        <v>5471</v>
      </c>
      <c r="M5888" t="s">
        <v>5471</v>
      </c>
    </row>
    <row r="5889" spans="1:13" x14ac:dyDescent="0.3">
      <c r="A5889" t="s">
        <v>3380</v>
      </c>
      <c r="B5889" t="s">
        <v>16102</v>
      </c>
      <c r="C5889" t="s">
        <v>6342</v>
      </c>
      <c r="D5889" t="s">
        <v>4056</v>
      </c>
      <c r="E5889" t="s">
        <v>5532</v>
      </c>
      <c r="F5889" t="s">
        <v>22736</v>
      </c>
      <c r="G5889" t="s">
        <v>16104</v>
      </c>
      <c r="H5889" t="s">
        <v>5474</v>
      </c>
      <c r="I5889" t="s">
        <v>22737</v>
      </c>
      <c r="J5889" t="s">
        <v>5476</v>
      </c>
      <c r="K5889" t="s">
        <v>22738</v>
      </c>
      <c r="L5889" t="s">
        <v>5471</v>
      </c>
      <c r="M5889" t="s">
        <v>5471</v>
      </c>
    </row>
    <row r="5890" spans="1:13" x14ac:dyDescent="0.3">
      <c r="A5890" t="s">
        <v>3380</v>
      </c>
      <c r="B5890" t="s">
        <v>5247</v>
      </c>
      <c r="C5890" t="s">
        <v>6342</v>
      </c>
      <c r="D5890" t="s">
        <v>4119</v>
      </c>
      <c r="E5890" t="s">
        <v>9935</v>
      </c>
      <c r="F5890" t="s">
        <v>22739</v>
      </c>
      <c r="G5890" t="s">
        <v>16042</v>
      </c>
      <c r="H5890" t="s">
        <v>5474</v>
      </c>
      <c r="I5890" t="s">
        <v>22740</v>
      </c>
      <c r="J5890" t="s">
        <v>5476</v>
      </c>
      <c r="K5890" t="s">
        <v>22741</v>
      </c>
      <c r="L5890" t="s">
        <v>5471</v>
      </c>
      <c r="M5890" t="s">
        <v>5471</v>
      </c>
    </row>
    <row r="5891" spans="1:13" x14ac:dyDescent="0.3">
      <c r="A5891" t="s">
        <v>3380</v>
      </c>
      <c r="B5891" t="s">
        <v>5247</v>
      </c>
      <c r="C5891" t="s">
        <v>6342</v>
      </c>
      <c r="D5891" t="s">
        <v>4119</v>
      </c>
      <c r="E5891" t="s">
        <v>9935</v>
      </c>
      <c r="F5891" t="s">
        <v>22742</v>
      </c>
      <c r="G5891" t="s">
        <v>16140</v>
      </c>
      <c r="H5891" t="s">
        <v>5474</v>
      </c>
      <c r="I5891" t="s">
        <v>22743</v>
      </c>
      <c r="J5891" t="s">
        <v>5476</v>
      </c>
      <c r="K5891" t="s">
        <v>22744</v>
      </c>
      <c r="L5891" t="s">
        <v>5471</v>
      </c>
      <c r="M5891" t="s">
        <v>5471</v>
      </c>
    </row>
    <row r="5892" spans="1:13" x14ac:dyDescent="0.3">
      <c r="A5892" t="s">
        <v>3380</v>
      </c>
      <c r="B5892" t="s">
        <v>5247</v>
      </c>
      <c r="C5892" t="s">
        <v>6342</v>
      </c>
      <c r="D5892" t="s">
        <v>4119</v>
      </c>
      <c r="E5892" t="s">
        <v>9935</v>
      </c>
      <c r="F5892" t="s">
        <v>22745</v>
      </c>
      <c r="G5892" t="s">
        <v>16140</v>
      </c>
      <c r="H5892" t="s">
        <v>5474</v>
      </c>
      <c r="I5892" t="s">
        <v>22746</v>
      </c>
      <c r="J5892" t="s">
        <v>5476</v>
      </c>
      <c r="K5892" t="s">
        <v>10820</v>
      </c>
      <c r="L5892" t="s">
        <v>5471</v>
      </c>
      <c r="M5892" t="s">
        <v>5471</v>
      </c>
    </row>
    <row r="5893" spans="1:13" x14ac:dyDescent="0.3">
      <c r="A5893" t="s">
        <v>3380</v>
      </c>
      <c r="B5893" t="s">
        <v>5247</v>
      </c>
      <c r="C5893" t="s">
        <v>6342</v>
      </c>
      <c r="D5893" t="s">
        <v>4119</v>
      </c>
      <c r="E5893" t="s">
        <v>9935</v>
      </c>
      <c r="F5893" t="s">
        <v>22747</v>
      </c>
      <c r="G5893" t="s">
        <v>16058</v>
      </c>
      <c r="H5893" t="s">
        <v>5474</v>
      </c>
      <c r="I5893" t="s">
        <v>22748</v>
      </c>
      <c r="J5893" t="s">
        <v>5476</v>
      </c>
      <c r="K5893" t="s">
        <v>22749</v>
      </c>
      <c r="L5893" t="s">
        <v>5471</v>
      </c>
      <c r="M5893" t="s">
        <v>5471</v>
      </c>
    </row>
    <row r="5894" spans="1:13" x14ac:dyDescent="0.3">
      <c r="A5894" t="s">
        <v>3380</v>
      </c>
      <c r="B5894" t="s">
        <v>5247</v>
      </c>
      <c r="C5894" t="s">
        <v>6342</v>
      </c>
      <c r="D5894" t="s">
        <v>4119</v>
      </c>
      <c r="E5894" t="s">
        <v>9935</v>
      </c>
      <c r="F5894" t="s">
        <v>22750</v>
      </c>
      <c r="G5894" t="s">
        <v>16058</v>
      </c>
      <c r="H5894" t="s">
        <v>5474</v>
      </c>
      <c r="I5894" t="s">
        <v>22751</v>
      </c>
      <c r="J5894" t="s">
        <v>5476</v>
      </c>
      <c r="K5894" t="s">
        <v>22752</v>
      </c>
      <c r="L5894" t="s">
        <v>5471</v>
      </c>
      <c r="M5894" t="s">
        <v>5471</v>
      </c>
    </row>
    <row r="5895" spans="1:13" x14ac:dyDescent="0.3">
      <c r="A5895" t="s">
        <v>3380</v>
      </c>
      <c r="B5895" t="s">
        <v>16102</v>
      </c>
      <c r="C5895" t="s">
        <v>6342</v>
      </c>
      <c r="D5895" t="s">
        <v>4056</v>
      </c>
      <c r="E5895" t="s">
        <v>5532</v>
      </c>
      <c r="F5895" t="s">
        <v>22753</v>
      </c>
      <c r="G5895" t="s">
        <v>22754</v>
      </c>
      <c r="H5895" t="s">
        <v>5474</v>
      </c>
      <c r="I5895" t="s">
        <v>22755</v>
      </c>
      <c r="J5895" t="s">
        <v>5476</v>
      </c>
      <c r="K5895" t="s">
        <v>9681</v>
      </c>
      <c r="L5895" t="s">
        <v>5471</v>
      </c>
      <c r="M5895" t="s">
        <v>5471</v>
      </c>
    </row>
    <row r="5896" spans="1:13" x14ac:dyDescent="0.3">
      <c r="A5896" t="s">
        <v>3380</v>
      </c>
      <c r="B5896" t="s">
        <v>5247</v>
      </c>
      <c r="C5896" t="s">
        <v>6342</v>
      </c>
      <c r="D5896" t="s">
        <v>4119</v>
      </c>
      <c r="E5896" t="s">
        <v>9935</v>
      </c>
      <c r="F5896" t="s">
        <v>22756</v>
      </c>
      <c r="G5896" t="s">
        <v>16074</v>
      </c>
      <c r="H5896" t="s">
        <v>5474</v>
      </c>
      <c r="I5896" t="s">
        <v>22757</v>
      </c>
      <c r="J5896" t="s">
        <v>5476</v>
      </c>
      <c r="K5896" t="s">
        <v>22758</v>
      </c>
      <c r="L5896" t="s">
        <v>5471</v>
      </c>
      <c r="M5896" t="s">
        <v>5471</v>
      </c>
    </row>
    <row r="5897" spans="1:13" x14ac:dyDescent="0.3">
      <c r="A5897" t="s">
        <v>3380</v>
      </c>
      <c r="B5897" t="s">
        <v>5247</v>
      </c>
      <c r="C5897" t="s">
        <v>6342</v>
      </c>
      <c r="D5897" t="s">
        <v>4119</v>
      </c>
      <c r="E5897" t="s">
        <v>9935</v>
      </c>
      <c r="F5897" t="s">
        <v>22759</v>
      </c>
      <c r="G5897" t="s">
        <v>16074</v>
      </c>
      <c r="H5897" t="s">
        <v>5474</v>
      </c>
      <c r="I5897" t="s">
        <v>22760</v>
      </c>
      <c r="J5897" t="s">
        <v>5476</v>
      </c>
      <c r="K5897" t="s">
        <v>22761</v>
      </c>
      <c r="L5897" t="s">
        <v>5471</v>
      </c>
      <c r="M5897" t="s">
        <v>5471</v>
      </c>
    </row>
    <row r="5898" spans="1:13" x14ac:dyDescent="0.3">
      <c r="A5898" t="s">
        <v>3380</v>
      </c>
      <c r="B5898" t="s">
        <v>16102</v>
      </c>
      <c r="C5898" t="s">
        <v>6342</v>
      </c>
      <c r="D5898" t="s">
        <v>4056</v>
      </c>
      <c r="E5898" t="s">
        <v>5532</v>
      </c>
      <c r="F5898" t="s">
        <v>22762</v>
      </c>
      <c r="G5898" t="s">
        <v>22763</v>
      </c>
      <c r="H5898" t="s">
        <v>5474</v>
      </c>
      <c r="I5898" t="s">
        <v>22764</v>
      </c>
      <c r="J5898" t="s">
        <v>5476</v>
      </c>
      <c r="K5898" t="s">
        <v>17136</v>
      </c>
      <c r="L5898" t="s">
        <v>5471</v>
      </c>
      <c r="M5898" t="s">
        <v>5471</v>
      </c>
    </row>
    <row r="5899" spans="1:13" x14ac:dyDescent="0.3">
      <c r="A5899" t="s">
        <v>3380</v>
      </c>
      <c r="B5899" t="s">
        <v>16102</v>
      </c>
      <c r="C5899" t="s">
        <v>6342</v>
      </c>
      <c r="D5899" t="s">
        <v>4056</v>
      </c>
      <c r="E5899" t="s">
        <v>5532</v>
      </c>
      <c r="F5899" t="s">
        <v>22765</v>
      </c>
      <c r="G5899" t="s">
        <v>22766</v>
      </c>
      <c r="H5899" t="s">
        <v>5474</v>
      </c>
      <c r="I5899" t="s">
        <v>22767</v>
      </c>
      <c r="J5899" t="s">
        <v>5476</v>
      </c>
      <c r="K5899" t="s">
        <v>16363</v>
      </c>
      <c r="L5899" t="s">
        <v>5471</v>
      </c>
      <c r="M5899" t="s">
        <v>5471</v>
      </c>
    </row>
    <row r="5900" spans="1:13" x14ac:dyDescent="0.3">
      <c r="A5900" t="s">
        <v>3380</v>
      </c>
      <c r="B5900" t="s">
        <v>5247</v>
      </c>
      <c r="C5900" t="s">
        <v>6342</v>
      </c>
      <c r="D5900" t="s">
        <v>4119</v>
      </c>
      <c r="E5900" t="s">
        <v>9935</v>
      </c>
      <c r="F5900" t="s">
        <v>22768</v>
      </c>
      <c r="G5900" t="s">
        <v>16029</v>
      </c>
      <c r="H5900" t="s">
        <v>5474</v>
      </c>
      <c r="I5900" t="s">
        <v>22769</v>
      </c>
      <c r="J5900" t="s">
        <v>5476</v>
      </c>
      <c r="K5900" t="s">
        <v>22770</v>
      </c>
      <c r="L5900" t="s">
        <v>5471</v>
      </c>
      <c r="M5900" t="s">
        <v>5471</v>
      </c>
    </row>
    <row r="5901" spans="1:13" x14ac:dyDescent="0.3">
      <c r="A5901" t="s">
        <v>3380</v>
      </c>
      <c r="B5901" t="s">
        <v>5247</v>
      </c>
      <c r="C5901" t="s">
        <v>6342</v>
      </c>
      <c r="D5901" t="s">
        <v>4119</v>
      </c>
      <c r="E5901" t="s">
        <v>9935</v>
      </c>
      <c r="F5901" t="s">
        <v>22771</v>
      </c>
      <c r="G5901" t="s">
        <v>16147</v>
      </c>
      <c r="H5901" t="s">
        <v>5474</v>
      </c>
      <c r="I5901" t="s">
        <v>22772</v>
      </c>
      <c r="J5901" t="s">
        <v>5476</v>
      </c>
      <c r="K5901" t="s">
        <v>10591</v>
      </c>
      <c r="L5901" t="s">
        <v>5471</v>
      </c>
      <c r="M5901" t="s">
        <v>5471</v>
      </c>
    </row>
    <row r="5902" spans="1:13" x14ac:dyDescent="0.3">
      <c r="A5902" t="s">
        <v>3380</v>
      </c>
      <c r="B5902" t="s">
        <v>5247</v>
      </c>
      <c r="C5902" t="s">
        <v>6342</v>
      </c>
      <c r="D5902" t="s">
        <v>4119</v>
      </c>
      <c r="E5902" t="s">
        <v>9935</v>
      </c>
      <c r="F5902" t="s">
        <v>22773</v>
      </c>
      <c r="G5902" t="s">
        <v>16147</v>
      </c>
      <c r="H5902" t="s">
        <v>5474</v>
      </c>
      <c r="I5902" t="s">
        <v>22774</v>
      </c>
      <c r="J5902" t="s">
        <v>5476</v>
      </c>
      <c r="K5902" t="s">
        <v>10600</v>
      </c>
      <c r="L5902" t="s">
        <v>5471</v>
      </c>
      <c r="M5902" t="s">
        <v>5471</v>
      </c>
    </row>
    <row r="5903" spans="1:13" x14ac:dyDescent="0.3">
      <c r="A5903" t="s">
        <v>3380</v>
      </c>
      <c r="B5903" t="s">
        <v>5247</v>
      </c>
      <c r="C5903" t="s">
        <v>6342</v>
      </c>
      <c r="D5903" t="s">
        <v>4119</v>
      </c>
      <c r="E5903" t="s">
        <v>9935</v>
      </c>
      <c r="F5903" t="s">
        <v>22775</v>
      </c>
      <c r="G5903" t="s">
        <v>16147</v>
      </c>
      <c r="H5903" t="s">
        <v>5474</v>
      </c>
      <c r="I5903" t="s">
        <v>22776</v>
      </c>
      <c r="J5903" t="s">
        <v>5476</v>
      </c>
      <c r="K5903" t="s">
        <v>10811</v>
      </c>
      <c r="L5903" t="s">
        <v>5471</v>
      </c>
      <c r="M5903" t="s">
        <v>5471</v>
      </c>
    </row>
    <row r="5904" spans="1:13" x14ac:dyDescent="0.3">
      <c r="A5904" t="s">
        <v>3380</v>
      </c>
      <c r="B5904" t="s">
        <v>5247</v>
      </c>
      <c r="C5904" t="s">
        <v>6342</v>
      </c>
      <c r="D5904" t="s">
        <v>4119</v>
      </c>
      <c r="E5904" t="s">
        <v>9935</v>
      </c>
      <c r="F5904" t="s">
        <v>22777</v>
      </c>
      <c r="G5904" t="s">
        <v>16147</v>
      </c>
      <c r="H5904" t="s">
        <v>5474</v>
      </c>
      <c r="I5904" t="s">
        <v>22778</v>
      </c>
      <c r="J5904" t="s">
        <v>5476</v>
      </c>
      <c r="K5904" t="s">
        <v>10848</v>
      </c>
      <c r="L5904" t="s">
        <v>5471</v>
      </c>
      <c r="M5904" t="s">
        <v>5471</v>
      </c>
    </row>
    <row r="5905" spans="1:13" x14ac:dyDescent="0.3">
      <c r="A5905" t="s">
        <v>3380</v>
      </c>
      <c r="B5905" t="s">
        <v>5247</v>
      </c>
      <c r="C5905" t="s">
        <v>6342</v>
      </c>
      <c r="D5905" t="s">
        <v>4119</v>
      </c>
      <c r="E5905" t="s">
        <v>9935</v>
      </c>
      <c r="F5905" t="s">
        <v>22779</v>
      </c>
      <c r="G5905" t="s">
        <v>16147</v>
      </c>
      <c r="H5905" t="s">
        <v>5474</v>
      </c>
      <c r="I5905" t="s">
        <v>22780</v>
      </c>
      <c r="J5905" t="s">
        <v>5476</v>
      </c>
      <c r="K5905" t="s">
        <v>22781</v>
      </c>
      <c r="L5905" t="s">
        <v>5471</v>
      </c>
      <c r="M5905" t="s">
        <v>5471</v>
      </c>
    </row>
    <row r="5906" spans="1:13" x14ac:dyDescent="0.3">
      <c r="A5906" t="s">
        <v>3380</v>
      </c>
      <c r="B5906" t="s">
        <v>5247</v>
      </c>
      <c r="C5906" t="s">
        <v>6342</v>
      </c>
      <c r="D5906" t="s">
        <v>4119</v>
      </c>
      <c r="E5906" t="s">
        <v>9935</v>
      </c>
      <c r="F5906" t="s">
        <v>22782</v>
      </c>
      <c r="G5906" t="s">
        <v>16147</v>
      </c>
      <c r="H5906" t="s">
        <v>5474</v>
      </c>
      <c r="I5906" t="s">
        <v>22783</v>
      </c>
      <c r="J5906" t="s">
        <v>5476</v>
      </c>
      <c r="K5906" t="s">
        <v>10920</v>
      </c>
      <c r="L5906" t="s">
        <v>5471</v>
      </c>
      <c r="M5906" t="s">
        <v>5471</v>
      </c>
    </row>
    <row r="5907" spans="1:13" x14ac:dyDescent="0.3">
      <c r="A5907" t="s">
        <v>3380</v>
      </c>
      <c r="B5907" t="s">
        <v>5247</v>
      </c>
      <c r="C5907" t="s">
        <v>6342</v>
      </c>
      <c r="D5907" t="s">
        <v>4119</v>
      </c>
      <c r="E5907" t="s">
        <v>9935</v>
      </c>
      <c r="F5907" t="s">
        <v>22784</v>
      </c>
      <c r="G5907" t="s">
        <v>16147</v>
      </c>
      <c r="H5907" t="s">
        <v>5474</v>
      </c>
      <c r="I5907" t="s">
        <v>22785</v>
      </c>
      <c r="J5907" t="s">
        <v>5476</v>
      </c>
      <c r="K5907" t="s">
        <v>22786</v>
      </c>
      <c r="L5907" t="s">
        <v>5471</v>
      </c>
      <c r="M5907" t="s">
        <v>5471</v>
      </c>
    </row>
    <row r="5908" spans="1:13" x14ac:dyDescent="0.3">
      <c r="A5908" t="s">
        <v>3380</v>
      </c>
      <c r="B5908" t="s">
        <v>5247</v>
      </c>
      <c r="C5908" t="s">
        <v>6342</v>
      </c>
      <c r="D5908" t="s">
        <v>4119</v>
      </c>
      <c r="E5908" t="s">
        <v>9935</v>
      </c>
      <c r="F5908" t="s">
        <v>22787</v>
      </c>
      <c r="G5908" t="s">
        <v>16147</v>
      </c>
      <c r="H5908" t="s">
        <v>5474</v>
      </c>
      <c r="I5908" t="s">
        <v>22788</v>
      </c>
      <c r="J5908" t="s">
        <v>5476</v>
      </c>
      <c r="K5908" t="s">
        <v>22789</v>
      </c>
      <c r="L5908" t="s">
        <v>5471</v>
      </c>
      <c r="M5908" t="s">
        <v>5471</v>
      </c>
    </row>
    <row r="5909" spans="1:13" x14ac:dyDescent="0.3">
      <c r="A5909" t="s">
        <v>3380</v>
      </c>
      <c r="B5909" t="s">
        <v>5247</v>
      </c>
      <c r="C5909" t="s">
        <v>6342</v>
      </c>
      <c r="D5909" t="s">
        <v>4119</v>
      </c>
      <c r="E5909" t="s">
        <v>5532</v>
      </c>
      <c r="F5909" t="s">
        <v>22790</v>
      </c>
      <c r="G5909" t="s">
        <v>16345</v>
      </c>
      <c r="H5909" t="s">
        <v>5474</v>
      </c>
      <c r="I5909" t="s">
        <v>22791</v>
      </c>
      <c r="J5909" t="s">
        <v>5476</v>
      </c>
      <c r="K5909" t="s">
        <v>22792</v>
      </c>
      <c r="L5909" t="s">
        <v>5471</v>
      </c>
      <c r="M5909" t="s">
        <v>5471</v>
      </c>
    </row>
    <row r="5910" spans="1:13" x14ac:dyDescent="0.3">
      <c r="A5910" t="s">
        <v>3380</v>
      </c>
      <c r="B5910" t="s">
        <v>5247</v>
      </c>
      <c r="C5910" t="s">
        <v>6342</v>
      </c>
      <c r="D5910" t="s">
        <v>4119</v>
      </c>
      <c r="E5910" t="s">
        <v>9935</v>
      </c>
      <c r="F5910" t="s">
        <v>22793</v>
      </c>
      <c r="G5910" t="s">
        <v>16222</v>
      </c>
      <c r="H5910" t="s">
        <v>5474</v>
      </c>
      <c r="I5910" t="s">
        <v>22794</v>
      </c>
      <c r="J5910" t="s">
        <v>5476</v>
      </c>
      <c r="K5910" t="s">
        <v>22795</v>
      </c>
      <c r="L5910" t="s">
        <v>5471</v>
      </c>
      <c r="M5910" t="s">
        <v>5471</v>
      </c>
    </row>
    <row r="5911" spans="1:13" x14ac:dyDescent="0.3">
      <c r="A5911" t="s">
        <v>3380</v>
      </c>
      <c r="B5911" t="s">
        <v>16094</v>
      </c>
      <c r="C5911" t="s">
        <v>6342</v>
      </c>
      <c r="D5911" t="s">
        <v>4058</v>
      </c>
      <c r="E5911" t="s">
        <v>5843</v>
      </c>
      <c r="F5911" t="s">
        <v>22796</v>
      </c>
      <c r="G5911" t="s">
        <v>16698</v>
      </c>
      <c r="H5911" t="s">
        <v>5474</v>
      </c>
      <c r="I5911" t="s">
        <v>22797</v>
      </c>
      <c r="J5911" t="s">
        <v>5476</v>
      </c>
      <c r="K5911" t="s">
        <v>16851</v>
      </c>
      <c r="L5911" t="s">
        <v>5471</v>
      </c>
      <c r="M5911" t="s">
        <v>5471</v>
      </c>
    </row>
    <row r="5912" spans="1:13" x14ac:dyDescent="0.3">
      <c r="A5912" t="s">
        <v>3388</v>
      </c>
      <c r="B5912" t="s">
        <v>6540</v>
      </c>
      <c r="C5912" t="s">
        <v>5470</v>
      </c>
      <c r="D5912" t="s">
        <v>4058</v>
      </c>
      <c r="E5912" t="s">
        <v>5532</v>
      </c>
      <c r="F5912" t="s">
        <v>22798</v>
      </c>
      <c r="G5912" t="s">
        <v>22799</v>
      </c>
      <c r="H5912" t="s">
        <v>5474</v>
      </c>
      <c r="I5912" t="s">
        <v>22800</v>
      </c>
      <c r="J5912" t="s">
        <v>5476</v>
      </c>
      <c r="K5912" t="s">
        <v>22801</v>
      </c>
      <c r="L5912" t="s">
        <v>5471</v>
      </c>
      <c r="M5912" t="s">
        <v>5471</v>
      </c>
    </row>
    <row r="5913" spans="1:13" x14ac:dyDescent="0.3">
      <c r="A5913" t="s">
        <v>3388</v>
      </c>
      <c r="B5913" t="s">
        <v>6540</v>
      </c>
      <c r="C5913" t="s">
        <v>5470</v>
      </c>
      <c r="D5913" t="s">
        <v>4058</v>
      </c>
      <c r="E5913" t="s">
        <v>5532</v>
      </c>
      <c r="F5913" t="s">
        <v>22802</v>
      </c>
      <c r="G5913" t="s">
        <v>22799</v>
      </c>
      <c r="H5913" t="s">
        <v>5474</v>
      </c>
      <c r="I5913" t="s">
        <v>22803</v>
      </c>
      <c r="J5913" t="s">
        <v>5476</v>
      </c>
      <c r="K5913" t="s">
        <v>22804</v>
      </c>
      <c r="L5913" t="s">
        <v>5471</v>
      </c>
      <c r="M5913" t="s">
        <v>5471</v>
      </c>
    </row>
    <row r="5914" spans="1:13" x14ac:dyDescent="0.3">
      <c r="A5914" t="s">
        <v>3388</v>
      </c>
      <c r="B5914" t="s">
        <v>6540</v>
      </c>
      <c r="C5914" t="s">
        <v>5470</v>
      </c>
      <c r="D5914" t="s">
        <v>4058</v>
      </c>
      <c r="E5914" t="s">
        <v>5532</v>
      </c>
      <c r="F5914" t="s">
        <v>22805</v>
      </c>
      <c r="G5914" t="s">
        <v>22799</v>
      </c>
      <c r="H5914" t="s">
        <v>5474</v>
      </c>
      <c r="I5914" t="s">
        <v>22806</v>
      </c>
      <c r="J5914" t="s">
        <v>5476</v>
      </c>
      <c r="K5914" t="s">
        <v>22807</v>
      </c>
      <c r="L5914" t="s">
        <v>5471</v>
      </c>
      <c r="M5914" t="s">
        <v>5471</v>
      </c>
    </row>
    <row r="5915" spans="1:13" x14ac:dyDescent="0.3">
      <c r="A5915" t="s">
        <v>3388</v>
      </c>
      <c r="B5915" t="s">
        <v>6540</v>
      </c>
      <c r="C5915" t="s">
        <v>5470</v>
      </c>
      <c r="D5915" t="s">
        <v>4058</v>
      </c>
      <c r="E5915" t="s">
        <v>5532</v>
      </c>
      <c r="F5915" t="s">
        <v>22808</v>
      </c>
      <c r="G5915" t="s">
        <v>22799</v>
      </c>
      <c r="H5915" t="s">
        <v>5474</v>
      </c>
      <c r="I5915" t="s">
        <v>22809</v>
      </c>
      <c r="J5915" t="s">
        <v>5476</v>
      </c>
      <c r="K5915" t="s">
        <v>22810</v>
      </c>
      <c r="L5915" t="s">
        <v>5471</v>
      </c>
      <c r="M5915" t="s">
        <v>5471</v>
      </c>
    </row>
    <row r="5916" spans="1:13" x14ac:dyDescent="0.3">
      <c r="A5916" t="s">
        <v>3388</v>
      </c>
      <c r="B5916" t="s">
        <v>6540</v>
      </c>
      <c r="C5916" t="s">
        <v>5470</v>
      </c>
      <c r="D5916" t="s">
        <v>4058</v>
      </c>
      <c r="E5916" t="s">
        <v>5532</v>
      </c>
      <c r="F5916" t="s">
        <v>22811</v>
      </c>
      <c r="G5916" t="s">
        <v>22799</v>
      </c>
      <c r="H5916" t="s">
        <v>5474</v>
      </c>
      <c r="I5916" t="s">
        <v>22812</v>
      </c>
      <c r="J5916" t="s">
        <v>5476</v>
      </c>
      <c r="K5916" t="s">
        <v>22813</v>
      </c>
      <c r="L5916" t="s">
        <v>5471</v>
      </c>
      <c r="M5916" t="s">
        <v>5471</v>
      </c>
    </row>
    <row r="5917" spans="1:13" x14ac:dyDescent="0.3">
      <c r="A5917" t="s">
        <v>3388</v>
      </c>
      <c r="B5917" t="s">
        <v>6540</v>
      </c>
      <c r="C5917" t="s">
        <v>5470</v>
      </c>
      <c r="D5917" t="s">
        <v>4058</v>
      </c>
      <c r="E5917" t="s">
        <v>5532</v>
      </c>
      <c r="F5917" t="s">
        <v>22814</v>
      </c>
      <c r="G5917" t="s">
        <v>9695</v>
      </c>
      <c r="H5917" t="s">
        <v>5474</v>
      </c>
      <c r="I5917" t="s">
        <v>22815</v>
      </c>
      <c r="J5917" t="s">
        <v>5476</v>
      </c>
      <c r="K5917" t="s">
        <v>22816</v>
      </c>
      <c r="L5917" t="s">
        <v>5471</v>
      </c>
      <c r="M5917" t="s">
        <v>5471</v>
      </c>
    </row>
    <row r="5918" spans="1:13" x14ac:dyDescent="0.3">
      <c r="A5918" t="s">
        <v>3388</v>
      </c>
      <c r="B5918" t="s">
        <v>6540</v>
      </c>
      <c r="C5918" t="s">
        <v>5470</v>
      </c>
      <c r="D5918" t="s">
        <v>4058</v>
      </c>
      <c r="E5918" t="s">
        <v>5532</v>
      </c>
      <c r="F5918" t="s">
        <v>22817</v>
      </c>
      <c r="G5918" t="s">
        <v>9695</v>
      </c>
      <c r="H5918" t="s">
        <v>5474</v>
      </c>
      <c r="I5918" t="s">
        <v>22818</v>
      </c>
      <c r="J5918" t="s">
        <v>5476</v>
      </c>
      <c r="K5918" t="s">
        <v>22819</v>
      </c>
      <c r="L5918" t="s">
        <v>5471</v>
      </c>
      <c r="M5918" t="s">
        <v>5471</v>
      </c>
    </row>
    <row r="5919" spans="1:13" x14ac:dyDescent="0.3">
      <c r="A5919" t="s">
        <v>3388</v>
      </c>
      <c r="B5919" t="s">
        <v>6540</v>
      </c>
      <c r="C5919" t="s">
        <v>5470</v>
      </c>
      <c r="D5919" t="s">
        <v>4058</v>
      </c>
      <c r="E5919" t="s">
        <v>5532</v>
      </c>
      <c r="F5919" t="s">
        <v>22820</v>
      </c>
      <c r="G5919" t="s">
        <v>18056</v>
      </c>
      <c r="H5919" t="s">
        <v>5474</v>
      </c>
      <c r="I5919" t="s">
        <v>22821</v>
      </c>
      <c r="J5919" t="s">
        <v>5476</v>
      </c>
      <c r="K5919" t="s">
        <v>22822</v>
      </c>
      <c r="L5919" t="s">
        <v>5471</v>
      </c>
      <c r="M5919" t="s">
        <v>5471</v>
      </c>
    </row>
    <row r="5920" spans="1:13" x14ac:dyDescent="0.3">
      <c r="A5920" t="s">
        <v>3388</v>
      </c>
      <c r="B5920" t="s">
        <v>6540</v>
      </c>
      <c r="C5920" t="s">
        <v>5470</v>
      </c>
      <c r="D5920" t="s">
        <v>4058</v>
      </c>
      <c r="E5920" t="s">
        <v>5532</v>
      </c>
      <c r="F5920" t="s">
        <v>22823</v>
      </c>
      <c r="G5920" t="s">
        <v>18056</v>
      </c>
      <c r="H5920" t="s">
        <v>5474</v>
      </c>
      <c r="I5920" t="s">
        <v>22824</v>
      </c>
      <c r="J5920" t="s">
        <v>5476</v>
      </c>
      <c r="K5920" t="s">
        <v>22825</v>
      </c>
      <c r="L5920" t="s">
        <v>5471</v>
      </c>
      <c r="M5920" t="s">
        <v>5471</v>
      </c>
    </row>
    <row r="5921" spans="1:13" x14ac:dyDescent="0.3">
      <c r="A5921" t="s">
        <v>3388</v>
      </c>
      <c r="B5921" t="s">
        <v>6540</v>
      </c>
      <c r="C5921" t="s">
        <v>5470</v>
      </c>
      <c r="D5921" t="s">
        <v>4058</v>
      </c>
      <c r="E5921" t="s">
        <v>5532</v>
      </c>
      <c r="F5921" t="s">
        <v>22826</v>
      </c>
      <c r="G5921" t="s">
        <v>18056</v>
      </c>
      <c r="H5921" t="s">
        <v>5474</v>
      </c>
      <c r="I5921" t="s">
        <v>22827</v>
      </c>
      <c r="J5921" t="s">
        <v>5476</v>
      </c>
      <c r="K5921" t="s">
        <v>22828</v>
      </c>
      <c r="L5921" t="s">
        <v>5471</v>
      </c>
      <c r="M5921" t="s">
        <v>5471</v>
      </c>
    </row>
    <row r="5922" spans="1:13" x14ac:dyDescent="0.3">
      <c r="A5922" t="s">
        <v>3388</v>
      </c>
      <c r="B5922" t="s">
        <v>6540</v>
      </c>
      <c r="C5922" t="s">
        <v>5470</v>
      </c>
      <c r="D5922" t="s">
        <v>4058</v>
      </c>
      <c r="E5922" t="s">
        <v>5532</v>
      </c>
      <c r="F5922" t="s">
        <v>22829</v>
      </c>
      <c r="G5922" t="s">
        <v>18056</v>
      </c>
      <c r="H5922" t="s">
        <v>5474</v>
      </c>
      <c r="I5922" t="s">
        <v>22830</v>
      </c>
      <c r="J5922" t="s">
        <v>5476</v>
      </c>
      <c r="K5922" t="s">
        <v>22831</v>
      </c>
      <c r="L5922" t="s">
        <v>5471</v>
      </c>
      <c r="M5922" t="s">
        <v>5471</v>
      </c>
    </row>
    <row r="5923" spans="1:13" x14ac:dyDescent="0.3">
      <c r="A5923" t="s">
        <v>3388</v>
      </c>
      <c r="B5923" t="s">
        <v>6540</v>
      </c>
      <c r="C5923" t="s">
        <v>5470</v>
      </c>
      <c r="D5923" t="s">
        <v>4058</v>
      </c>
      <c r="E5923" t="s">
        <v>5532</v>
      </c>
      <c r="F5923" t="s">
        <v>22832</v>
      </c>
      <c r="G5923" t="s">
        <v>18056</v>
      </c>
      <c r="H5923" t="s">
        <v>5474</v>
      </c>
      <c r="I5923" t="s">
        <v>22833</v>
      </c>
      <c r="J5923" t="s">
        <v>5476</v>
      </c>
      <c r="K5923" t="s">
        <v>22834</v>
      </c>
      <c r="L5923" t="s">
        <v>5471</v>
      </c>
      <c r="M5923" t="s">
        <v>5471</v>
      </c>
    </row>
    <row r="5924" spans="1:13" x14ac:dyDescent="0.3">
      <c r="A5924" t="s">
        <v>3388</v>
      </c>
      <c r="B5924" t="s">
        <v>6540</v>
      </c>
      <c r="C5924" t="s">
        <v>5470</v>
      </c>
      <c r="D5924" t="s">
        <v>4058</v>
      </c>
      <c r="E5924" t="s">
        <v>5532</v>
      </c>
      <c r="F5924" t="s">
        <v>22835</v>
      </c>
      <c r="G5924" t="s">
        <v>22836</v>
      </c>
      <c r="H5924" t="s">
        <v>5474</v>
      </c>
      <c r="I5924" t="s">
        <v>22837</v>
      </c>
      <c r="J5924" t="s">
        <v>5476</v>
      </c>
      <c r="K5924" t="s">
        <v>22838</v>
      </c>
      <c r="L5924" t="s">
        <v>5471</v>
      </c>
      <c r="M5924" t="s">
        <v>5471</v>
      </c>
    </row>
    <row r="5925" spans="1:13" x14ac:dyDescent="0.3">
      <c r="A5925" t="s">
        <v>3388</v>
      </c>
      <c r="B5925" t="s">
        <v>6540</v>
      </c>
      <c r="C5925" t="s">
        <v>5470</v>
      </c>
      <c r="D5925" t="s">
        <v>4058</v>
      </c>
      <c r="E5925" t="s">
        <v>5532</v>
      </c>
      <c r="F5925" t="s">
        <v>22839</v>
      </c>
      <c r="G5925" t="s">
        <v>22836</v>
      </c>
      <c r="H5925" t="s">
        <v>5474</v>
      </c>
      <c r="I5925" t="s">
        <v>22840</v>
      </c>
      <c r="J5925" t="s">
        <v>5476</v>
      </c>
      <c r="K5925" t="s">
        <v>22841</v>
      </c>
      <c r="L5925" t="s">
        <v>5471</v>
      </c>
      <c r="M5925" t="s">
        <v>5471</v>
      </c>
    </row>
    <row r="5926" spans="1:13" x14ac:dyDescent="0.3">
      <c r="A5926" t="s">
        <v>3388</v>
      </c>
      <c r="B5926" t="s">
        <v>6540</v>
      </c>
      <c r="C5926" t="s">
        <v>5470</v>
      </c>
      <c r="D5926" t="s">
        <v>4058</v>
      </c>
      <c r="E5926" t="s">
        <v>5532</v>
      </c>
      <c r="F5926" t="s">
        <v>22842</v>
      </c>
      <c r="G5926" t="s">
        <v>22836</v>
      </c>
      <c r="H5926" t="s">
        <v>5474</v>
      </c>
      <c r="I5926" t="s">
        <v>22843</v>
      </c>
      <c r="J5926" t="s">
        <v>5476</v>
      </c>
      <c r="K5926" t="s">
        <v>22844</v>
      </c>
      <c r="L5926" t="s">
        <v>5471</v>
      </c>
      <c r="M5926" t="s">
        <v>5471</v>
      </c>
    </row>
    <row r="5927" spans="1:13" x14ac:dyDescent="0.3">
      <c r="A5927" t="s">
        <v>3388</v>
      </c>
      <c r="B5927" t="s">
        <v>6540</v>
      </c>
      <c r="C5927" t="s">
        <v>5470</v>
      </c>
      <c r="D5927" t="s">
        <v>4058</v>
      </c>
      <c r="E5927" t="s">
        <v>5532</v>
      </c>
      <c r="F5927" t="s">
        <v>22845</v>
      </c>
      <c r="G5927" t="s">
        <v>22836</v>
      </c>
      <c r="H5927" t="s">
        <v>5474</v>
      </c>
      <c r="I5927" t="s">
        <v>22846</v>
      </c>
      <c r="J5927" t="s">
        <v>5476</v>
      </c>
      <c r="K5927" t="s">
        <v>22847</v>
      </c>
      <c r="L5927" t="s">
        <v>5471</v>
      </c>
      <c r="M5927" t="s">
        <v>5471</v>
      </c>
    </row>
    <row r="5928" spans="1:13" x14ac:dyDescent="0.3">
      <c r="A5928" t="s">
        <v>3388</v>
      </c>
      <c r="B5928" t="s">
        <v>6540</v>
      </c>
      <c r="C5928" t="s">
        <v>5470</v>
      </c>
      <c r="D5928" t="s">
        <v>4058</v>
      </c>
      <c r="E5928" t="s">
        <v>5532</v>
      </c>
      <c r="F5928" t="s">
        <v>22848</v>
      </c>
      <c r="G5928" t="s">
        <v>22836</v>
      </c>
      <c r="H5928" t="s">
        <v>5474</v>
      </c>
      <c r="I5928" t="s">
        <v>22849</v>
      </c>
      <c r="J5928" t="s">
        <v>5476</v>
      </c>
      <c r="K5928" t="s">
        <v>22850</v>
      </c>
      <c r="L5928" t="s">
        <v>5471</v>
      </c>
      <c r="M5928" t="s">
        <v>5471</v>
      </c>
    </row>
    <row r="5929" spans="1:13" x14ac:dyDescent="0.3">
      <c r="A5929" t="s">
        <v>3388</v>
      </c>
      <c r="B5929" t="s">
        <v>6540</v>
      </c>
      <c r="C5929" t="s">
        <v>5470</v>
      </c>
      <c r="D5929" t="s">
        <v>4058</v>
      </c>
      <c r="E5929" t="s">
        <v>5532</v>
      </c>
      <c r="F5929" t="s">
        <v>22851</v>
      </c>
      <c r="G5929" t="s">
        <v>21907</v>
      </c>
      <c r="H5929" t="s">
        <v>5474</v>
      </c>
      <c r="I5929" t="s">
        <v>22852</v>
      </c>
      <c r="J5929" t="s">
        <v>5476</v>
      </c>
      <c r="K5929" t="s">
        <v>22853</v>
      </c>
      <c r="L5929" t="s">
        <v>5471</v>
      </c>
      <c r="M5929" t="s">
        <v>5471</v>
      </c>
    </row>
    <row r="5930" spans="1:13" x14ac:dyDescent="0.3">
      <c r="A5930" t="s">
        <v>3388</v>
      </c>
      <c r="B5930" t="s">
        <v>6540</v>
      </c>
      <c r="C5930" t="s">
        <v>5470</v>
      </c>
      <c r="D5930" t="s">
        <v>4058</v>
      </c>
      <c r="E5930" t="s">
        <v>5532</v>
      </c>
      <c r="F5930" t="s">
        <v>22854</v>
      </c>
      <c r="G5930" t="s">
        <v>21907</v>
      </c>
      <c r="H5930" t="s">
        <v>5474</v>
      </c>
      <c r="I5930" t="s">
        <v>22855</v>
      </c>
      <c r="J5930" t="s">
        <v>5476</v>
      </c>
      <c r="K5930" t="s">
        <v>22856</v>
      </c>
      <c r="L5930" t="s">
        <v>5471</v>
      </c>
      <c r="M5930" t="s">
        <v>5471</v>
      </c>
    </row>
    <row r="5931" spans="1:13" x14ac:dyDescent="0.3">
      <c r="A5931" t="s">
        <v>3388</v>
      </c>
      <c r="B5931" t="s">
        <v>6540</v>
      </c>
      <c r="C5931" t="s">
        <v>5470</v>
      </c>
      <c r="D5931" t="s">
        <v>4058</v>
      </c>
      <c r="E5931" t="s">
        <v>5532</v>
      </c>
      <c r="F5931" t="s">
        <v>22857</v>
      </c>
      <c r="G5931" t="s">
        <v>21907</v>
      </c>
      <c r="H5931" t="s">
        <v>5474</v>
      </c>
      <c r="I5931" t="s">
        <v>22858</v>
      </c>
      <c r="J5931" t="s">
        <v>5476</v>
      </c>
      <c r="K5931" t="s">
        <v>22859</v>
      </c>
      <c r="L5931" t="s">
        <v>5471</v>
      </c>
      <c r="M5931" t="s">
        <v>5471</v>
      </c>
    </row>
    <row r="5932" spans="1:13" x14ac:dyDescent="0.3">
      <c r="A5932" t="s">
        <v>3388</v>
      </c>
      <c r="B5932" t="s">
        <v>6540</v>
      </c>
      <c r="C5932" t="s">
        <v>5470</v>
      </c>
      <c r="D5932" t="s">
        <v>4058</v>
      </c>
      <c r="E5932" t="s">
        <v>5532</v>
      </c>
      <c r="F5932" t="s">
        <v>22860</v>
      </c>
      <c r="G5932" t="s">
        <v>21907</v>
      </c>
      <c r="H5932" t="s">
        <v>5474</v>
      </c>
      <c r="I5932" t="s">
        <v>22861</v>
      </c>
      <c r="J5932" t="s">
        <v>5476</v>
      </c>
      <c r="K5932" t="s">
        <v>22862</v>
      </c>
      <c r="L5932" t="s">
        <v>5471</v>
      </c>
      <c r="M5932" t="s">
        <v>5471</v>
      </c>
    </row>
    <row r="5933" spans="1:13" x14ac:dyDescent="0.3">
      <c r="A5933" t="s">
        <v>3388</v>
      </c>
      <c r="B5933" t="s">
        <v>6540</v>
      </c>
      <c r="C5933" t="s">
        <v>5470</v>
      </c>
      <c r="D5933" t="s">
        <v>4058</v>
      </c>
      <c r="E5933" t="s">
        <v>5532</v>
      </c>
      <c r="F5933" t="s">
        <v>22863</v>
      </c>
      <c r="G5933" t="s">
        <v>21907</v>
      </c>
      <c r="H5933" t="s">
        <v>5474</v>
      </c>
      <c r="I5933" t="s">
        <v>22864</v>
      </c>
      <c r="J5933" t="s">
        <v>5476</v>
      </c>
      <c r="K5933" t="s">
        <v>22865</v>
      </c>
      <c r="L5933" t="s">
        <v>5471</v>
      </c>
      <c r="M5933" t="s">
        <v>5471</v>
      </c>
    </row>
    <row r="5934" spans="1:13" x14ac:dyDescent="0.3">
      <c r="A5934" t="s">
        <v>3388</v>
      </c>
      <c r="B5934" t="s">
        <v>6540</v>
      </c>
      <c r="C5934" t="s">
        <v>5470</v>
      </c>
      <c r="D5934" t="s">
        <v>4058</v>
      </c>
      <c r="E5934" t="s">
        <v>5532</v>
      </c>
      <c r="F5934" t="s">
        <v>22866</v>
      </c>
      <c r="G5934" t="s">
        <v>21907</v>
      </c>
      <c r="H5934" t="s">
        <v>5474</v>
      </c>
      <c r="I5934" t="s">
        <v>22867</v>
      </c>
      <c r="J5934" t="s">
        <v>5476</v>
      </c>
      <c r="K5934" t="s">
        <v>22868</v>
      </c>
      <c r="L5934" t="s">
        <v>5471</v>
      </c>
      <c r="M5934" t="s">
        <v>5471</v>
      </c>
    </row>
    <row r="5935" spans="1:13" x14ac:dyDescent="0.3">
      <c r="A5935" t="s">
        <v>3388</v>
      </c>
      <c r="B5935" t="s">
        <v>6540</v>
      </c>
      <c r="C5935" t="s">
        <v>5470</v>
      </c>
      <c r="D5935" t="s">
        <v>4058</v>
      </c>
      <c r="E5935" t="s">
        <v>5532</v>
      </c>
      <c r="F5935" t="s">
        <v>22869</v>
      </c>
      <c r="G5935" t="s">
        <v>22454</v>
      </c>
      <c r="H5935" t="s">
        <v>5474</v>
      </c>
      <c r="I5935" t="s">
        <v>22870</v>
      </c>
      <c r="J5935" t="s">
        <v>5476</v>
      </c>
      <c r="K5935" t="s">
        <v>22871</v>
      </c>
      <c r="L5935" t="s">
        <v>5471</v>
      </c>
      <c r="M5935" t="s">
        <v>5471</v>
      </c>
    </row>
    <row r="5936" spans="1:13" x14ac:dyDescent="0.3">
      <c r="A5936" t="s">
        <v>3388</v>
      </c>
      <c r="B5936" t="s">
        <v>6540</v>
      </c>
      <c r="C5936" t="s">
        <v>5470</v>
      </c>
      <c r="D5936" t="s">
        <v>4058</v>
      </c>
      <c r="E5936" t="s">
        <v>5532</v>
      </c>
      <c r="F5936" t="s">
        <v>22872</v>
      </c>
      <c r="G5936" t="s">
        <v>22454</v>
      </c>
      <c r="H5936" t="s">
        <v>5474</v>
      </c>
      <c r="I5936" t="s">
        <v>22873</v>
      </c>
      <c r="J5936" t="s">
        <v>5476</v>
      </c>
      <c r="K5936" t="s">
        <v>22874</v>
      </c>
      <c r="L5936" t="s">
        <v>5471</v>
      </c>
      <c r="M5936" t="s">
        <v>5471</v>
      </c>
    </row>
    <row r="5937" spans="1:13" x14ac:dyDescent="0.3">
      <c r="A5937" t="s">
        <v>3388</v>
      </c>
      <c r="B5937" t="s">
        <v>6540</v>
      </c>
      <c r="C5937" t="s">
        <v>5470</v>
      </c>
      <c r="D5937" t="s">
        <v>4058</v>
      </c>
      <c r="E5937" t="s">
        <v>5532</v>
      </c>
      <c r="F5937" t="s">
        <v>22875</v>
      </c>
      <c r="G5937" t="s">
        <v>22454</v>
      </c>
      <c r="H5937" t="s">
        <v>5474</v>
      </c>
      <c r="I5937" t="s">
        <v>22876</v>
      </c>
      <c r="J5937" t="s">
        <v>5476</v>
      </c>
      <c r="K5937" t="s">
        <v>22877</v>
      </c>
      <c r="L5937" t="s">
        <v>5471</v>
      </c>
      <c r="M5937" t="s">
        <v>5471</v>
      </c>
    </row>
    <row r="5938" spans="1:13" x14ac:dyDescent="0.3">
      <c r="A5938" t="s">
        <v>3388</v>
      </c>
      <c r="B5938" t="s">
        <v>6540</v>
      </c>
      <c r="C5938" t="s">
        <v>5470</v>
      </c>
      <c r="D5938" t="s">
        <v>4058</v>
      </c>
      <c r="E5938" t="s">
        <v>5532</v>
      </c>
      <c r="F5938" t="s">
        <v>22878</v>
      </c>
      <c r="G5938" t="s">
        <v>22454</v>
      </c>
      <c r="H5938" t="s">
        <v>5474</v>
      </c>
      <c r="I5938" t="s">
        <v>22879</v>
      </c>
      <c r="J5938" t="s">
        <v>5476</v>
      </c>
      <c r="K5938" t="s">
        <v>22880</v>
      </c>
      <c r="L5938" t="s">
        <v>5471</v>
      </c>
      <c r="M5938" t="s">
        <v>5471</v>
      </c>
    </row>
    <row r="5939" spans="1:13" x14ac:dyDescent="0.3">
      <c r="A5939" t="s">
        <v>3388</v>
      </c>
      <c r="B5939" t="s">
        <v>6540</v>
      </c>
      <c r="C5939" t="s">
        <v>5470</v>
      </c>
      <c r="D5939" t="s">
        <v>4058</v>
      </c>
      <c r="E5939" t="s">
        <v>5532</v>
      </c>
      <c r="F5939" t="s">
        <v>22881</v>
      </c>
      <c r="G5939" t="s">
        <v>22454</v>
      </c>
      <c r="H5939" t="s">
        <v>5474</v>
      </c>
      <c r="I5939" t="s">
        <v>22882</v>
      </c>
      <c r="J5939" t="s">
        <v>5476</v>
      </c>
      <c r="K5939" t="s">
        <v>22883</v>
      </c>
      <c r="L5939" t="s">
        <v>5471</v>
      </c>
      <c r="M5939" t="s">
        <v>5471</v>
      </c>
    </row>
    <row r="5940" spans="1:13" x14ac:dyDescent="0.3">
      <c r="A5940" t="s">
        <v>3388</v>
      </c>
      <c r="B5940" t="s">
        <v>6540</v>
      </c>
      <c r="C5940" t="s">
        <v>5470</v>
      </c>
      <c r="D5940" t="s">
        <v>4058</v>
      </c>
      <c r="E5940" t="s">
        <v>5532</v>
      </c>
      <c r="F5940" t="s">
        <v>22884</v>
      </c>
      <c r="G5940" t="s">
        <v>22454</v>
      </c>
      <c r="H5940" t="s">
        <v>5474</v>
      </c>
      <c r="I5940" t="s">
        <v>22885</v>
      </c>
      <c r="J5940" t="s">
        <v>5476</v>
      </c>
      <c r="K5940" t="s">
        <v>22886</v>
      </c>
      <c r="L5940" t="s">
        <v>5471</v>
      </c>
      <c r="M5940" t="s">
        <v>5471</v>
      </c>
    </row>
    <row r="5941" spans="1:13" x14ac:dyDescent="0.3">
      <c r="A5941" t="s">
        <v>3388</v>
      </c>
      <c r="B5941" t="s">
        <v>6540</v>
      </c>
      <c r="C5941" t="s">
        <v>5470</v>
      </c>
      <c r="D5941" t="s">
        <v>4058</v>
      </c>
      <c r="E5941" t="s">
        <v>5532</v>
      </c>
      <c r="F5941" t="s">
        <v>22887</v>
      </c>
      <c r="G5941" t="s">
        <v>22464</v>
      </c>
      <c r="H5941" t="s">
        <v>5474</v>
      </c>
      <c r="I5941" t="s">
        <v>22888</v>
      </c>
      <c r="J5941" t="s">
        <v>5476</v>
      </c>
      <c r="K5941" t="s">
        <v>22889</v>
      </c>
      <c r="L5941" t="s">
        <v>5471</v>
      </c>
      <c r="M5941" t="s">
        <v>5471</v>
      </c>
    </row>
    <row r="5942" spans="1:13" x14ac:dyDescent="0.3">
      <c r="A5942" t="s">
        <v>3388</v>
      </c>
      <c r="B5942" t="s">
        <v>6540</v>
      </c>
      <c r="C5942" t="s">
        <v>5470</v>
      </c>
      <c r="D5942" t="s">
        <v>4058</v>
      </c>
      <c r="E5942" t="s">
        <v>5532</v>
      </c>
      <c r="F5942" t="s">
        <v>22890</v>
      </c>
      <c r="G5942" t="s">
        <v>22464</v>
      </c>
      <c r="H5942" t="s">
        <v>5474</v>
      </c>
      <c r="I5942" t="s">
        <v>22891</v>
      </c>
      <c r="J5942" t="s">
        <v>5476</v>
      </c>
      <c r="K5942" t="s">
        <v>22892</v>
      </c>
      <c r="L5942" t="s">
        <v>5471</v>
      </c>
      <c r="M5942" t="s">
        <v>5471</v>
      </c>
    </row>
    <row r="5943" spans="1:13" x14ac:dyDescent="0.3">
      <c r="A5943" t="s">
        <v>3388</v>
      </c>
      <c r="B5943" t="s">
        <v>6540</v>
      </c>
      <c r="C5943" t="s">
        <v>5470</v>
      </c>
      <c r="D5943" t="s">
        <v>4058</v>
      </c>
      <c r="E5943" t="s">
        <v>5532</v>
      </c>
      <c r="F5943" t="s">
        <v>22893</v>
      </c>
      <c r="G5943" t="s">
        <v>22464</v>
      </c>
      <c r="H5943" t="s">
        <v>5474</v>
      </c>
      <c r="I5943" t="s">
        <v>22894</v>
      </c>
      <c r="J5943" t="s">
        <v>5476</v>
      </c>
      <c r="K5943" t="s">
        <v>22895</v>
      </c>
      <c r="L5943" t="s">
        <v>5471</v>
      </c>
      <c r="M5943" t="s">
        <v>5471</v>
      </c>
    </row>
    <row r="5944" spans="1:13" x14ac:dyDescent="0.3">
      <c r="A5944" t="s">
        <v>3388</v>
      </c>
      <c r="B5944" t="s">
        <v>6540</v>
      </c>
      <c r="C5944" t="s">
        <v>5470</v>
      </c>
      <c r="D5944" t="s">
        <v>4058</v>
      </c>
      <c r="E5944" t="s">
        <v>5532</v>
      </c>
      <c r="F5944" t="s">
        <v>22896</v>
      </c>
      <c r="G5944" t="s">
        <v>22464</v>
      </c>
      <c r="H5944" t="s">
        <v>5474</v>
      </c>
      <c r="I5944" t="s">
        <v>22897</v>
      </c>
      <c r="J5944" t="s">
        <v>5476</v>
      </c>
      <c r="K5944" t="s">
        <v>22898</v>
      </c>
      <c r="L5944" t="s">
        <v>5471</v>
      </c>
      <c r="M5944" t="s">
        <v>5471</v>
      </c>
    </row>
    <row r="5945" spans="1:13" x14ac:dyDescent="0.3">
      <c r="A5945" t="s">
        <v>3388</v>
      </c>
      <c r="B5945" t="s">
        <v>6540</v>
      </c>
      <c r="C5945" t="s">
        <v>5470</v>
      </c>
      <c r="D5945" t="s">
        <v>4058</v>
      </c>
      <c r="E5945" t="s">
        <v>5532</v>
      </c>
      <c r="F5945" t="s">
        <v>22899</v>
      </c>
      <c r="G5945" t="s">
        <v>22464</v>
      </c>
      <c r="H5945" t="s">
        <v>5474</v>
      </c>
      <c r="I5945" t="s">
        <v>22900</v>
      </c>
      <c r="J5945" t="s">
        <v>5476</v>
      </c>
      <c r="K5945" t="s">
        <v>22901</v>
      </c>
      <c r="L5945" t="s">
        <v>5471</v>
      </c>
      <c r="M5945" t="s">
        <v>5471</v>
      </c>
    </row>
    <row r="5946" spans="1:13" x14ac:dyDescent="0.3">
      <c r="A5946" t="s">
        <v>3388</v>
      </c>
      <c r="B5946" t="s">
        <v>6540</v>
      </c>
      <c r="C5946" t="s">
        <v>5470</v>
      </c>
      <c r="D5946" t="s">
        <v>4058</v>
      </c>
      <c r="E5946" t="s">
        <v>5532</v>
      </c>
      <c r="F5946" t="s">
        <v>22902</v>
      </c>
      <c r="G5946" t="s">
        <v>22903</v>
      </c>
      <c r="H5946" t="s">
        <v>5474</v>
      </c>
      <c r="I5946" t="s">
        <v>22904</v>
      </c>
      <c r="J5946" t="s">
        <v>5476</v>
      </c>
      <c r="K5946" t="s">
        <v>22905</v>
      </c>
      <c r="L5946" t="s">
        <v>5471</v>
      </c>
      <c r="M5946" t="s">
        <v>5471</v>
      </c>
    </row>
    <row r="5947" spans="1:13" x14ac:dyDescent="0.3">
      <c r="A5947" t="s">
        <v>3388</v>
      </c>
      <c r="B5947" t="s">
        <v>6540</v>
      </c>
      <c r="C5947" t="s">
        <v>5470</v>
      </c>
      <c r="D5947" t="s">
        <v>4058</v>
      </c>
      <c r="E5947" t="s">
        <v>5532</v>
      </c>
      <c r="F5947" t="s">
        <v>22906</v>
      </c>
      <c r="G5947" t="s">
        <v>22903</v>
      </c>
      <c r="H5947" t="s">
        <v>5474</v>
      </c>
      <c r="I5947" t="s">
        <v>22907</v>
      </c>
      <c r="J5947" t="s">
        <v>5476</v>
      </c>
      <c r="K5947" t="s">
        <v>22908</v>
      </c>
      <c r="L5947" t="s">
        <v>5471</v>
      </c>
      <c r="M5947" t="s">
        <v>5471</v>
      </c>
    </row>
    <row r="5948" spans="1:13" x14ac:dyDescent="0.3">
      <c r="A5948" t="s">
        <v>3388</v>
      </c>
      <c r="B5948" t="s">
        <v>6540</v>
      </c>
      <c r="C5948" t="s">
        <v>5470</v>
      </c>
      <c r="D5948" t="s">
        <v>4058</v>
      </c>
      <c r="E5948" t="s">
        <v>5532</v>
      </c>
      <c r="F5948" t="s">
        <v>22909</v>
      </c>
      <c r="G5948" t="s">
        <v>22903</v>
      </c>
      <c r="H5948" t="s">
        <v>5474</v>
      </c>
      <c r="I5948" t="s">
        <v>22910</v>
      </c>
      <c r="J5948" t="s">
        <v>5476</v>
      </c>
      <c r="K5948" t="s">
        <v>22911</v>
      </c>
      <c r="L5948" t="s">
        <v>5471</v>
      </c>
      <c r="M5948" t="s">
        <v>5471</v>
      </c>
    </row>
    <row r="5949" spans="1:13" x14ac:dyDescent="0.3">
      <c r="A5949" t="s">
        <v>3388</v>
      </c>
      <c r="B5949" t="s">
        <v>6540</v>
      </c>
      <c r="C5949" t="s">
        <v>5470</v>
      </c>
      <c r="D5949" t="s">
        <v>4058</v>
      </c>
      <c r="E5949" t="s">
        <v>5532</v>
      </c>
      <c r="F5949" t="s">
        <v>22912</v>
      </c>
      <c r="G5949" t="s">
        <v>22903</v>
      </c>
      <c r="H5949" t="s">
        <v>5474</v>
      </c>
      <c r="I5949" t="s">
        <v>22913</v>
      </c>
      <c r="J5949" t="s">
        <v>5476</v>
      </c>
      <c r="K5949" t="s">
        <v>22914</v>
      </c>
      <c r="L5949" t="s">
        <v>5471</v>
      </c>
      <c r="M5949" t="s">
        <v>5471</v>
      </c>
    </row>
    <row r="5950" spans="1:13" x14ac:dyDescent="0.3">
      <c r="A5950" t="s">
        <v>3388</v>
      </c>
      <c r="B5950" t="s">
        <v>6540</v>
      </c>
      <c r="C5950" t="s">
        <v>5470</v>
      </c>
      <c r="D5950" t="s">
        <v>4058</v>
      </c>
      <c r="E5950" t="s">
        <v>5532</v>
      </c>
      <c r="F5950" t="s">
        <v>22915</v>
      </c>
      <c r="G5950" t="s">
        <v>22903</v>
      </c>
      <c r="H5950" t="s">
        <v>5474</v>
      </c>
      <c r="I5950" t="s">
        <v>22916</v>
      </c>
      <c r="J5950" t="s">
        <v>5476</v>
      </c>
      <c r="K5950" t="s">
        <v>22917</v>
      </c>
      <c r="L5950" t="s">
        <v>5471</v>
      </c>
      <c r="M5950" t="s">
        <v>5471</v>
      </c>
    </row>
    <row r="5951" spans="1:13" x14ac:dyDescent="0.3">
      <c r="A5951" t="s">
        <v>3388</v>
      </c>
      <c r="B5951" t="s">
        <v>6632</v>
      </c>
      <c r="C5951" t="s">
        <v>5470</v>
      </c>
      <c r="D5951" t="s">
        <v>4058</v>
      </c>
      <c r="E5951" t="s">
        <v>5532</v>
      </c>
      <c r="F5951" t="s">
        <v>22918</v>
      </c>
      <c r="G5951" t="s">
        <v>20172</v>
      </c>
      <c r="H5951" t="s">
        <v>5474</v>
      </c>
      <c r="I5951" t="s">
        <v>22919</v>
      </c>
      <c r="J5951" t="s">
        <v>5476</v>
      </c>
      <c r="K5951" t="s">
        <v>22920</v>
      </c>
      <c r="L5951" t="s">
        <v>5471</v>
      </c>
      <c r="M5951" t="s">
        <v>5471</v>
      </c>
    </row>
    <row r="5952" spans="1:13" x14ac:dyDescent="0.3">
      <c r="A5952" t="s">
        <v>3388</v>
      </c>
      <c r="B5952" t="s">
        <v>6632</v>
      </c>
      <c r="C5952" t="s">
        <v>5470</v>
      </c>
      <c r="D5952" t="s">
        <v>4058</v>
      </c>
      <c r="E5952" t="s">
        <v>5617</v>
      </c>
      <c r="F5952" t="s">
        <v>22921</v>
      </c>
      <c r="G5952" t="s">
        <v>22922</v>
      </c>
      <c r="H5952" t="s">
        <v>5474</v>
      </c>
      <c r="I5952" t="s">
        <v>22923</v>
      </c>
      <c r="J5952" t="s">
        <v>5476</v>
      </c>
      <c r="K5952" t="s">
        <v>22924</v>
      </c>
      <c r="L5952" t="s">
        <v>5471</v>
      </c>
      <c r="M5952" t="s">
        <v>5471</v>
      </c>
    </row>
    <row r="5953" spans="1:13" x14ac:dyDescent="0.3">
      <c r="A5953" t="s">
        <v>3388</v>
      </c>
      <c r="B5953" t="s">
        <v>6632</v>
      </c>
      <c r="C5953" t="s">
        <v>5470</v>
      </c>
      <c r="D5953" t="s">
        <v>4058</v>
      </c>
      <c r="E5953" t="s">
        <v>5617</v>
      </c>
      <c r="F5953" t="s">
        <v>22925</v>
      </c>
      <c r="G5953" t="s">
        <v>22922</v>
      </c>
      <c r="H5953" t="s">
        <v>5474</v>
      </c>
      <c r="I5953" t="s">
        <v>22926</v>
      </c>
      <c r="J5953" t="s">
        <v>5476</v>
      </c>
      <c r="K5953" t="s">
        <v>22927</v>
      </c>
      <c r="L5953" t="s">
        <v>5471</v>
      </c>
      <c r="M5953" t="s">
        <v>5471</v>
      </c>
    </row>
    <row r="5954" spans="1:13" x14ac:dyDescent="0.3">
      <c r="A5954" t="s">
        <v>3388</v>
      </c>
      <c r="B5954" t="s">
        <v>6632</v>
      </c>
      <c r="C5954" t="s">
        <v>5470</v>
      </c>
      <c r="D5954" t="s">
        <v>4058</v>
      </c>
      <c r="E5954" t="s">
        <v>5617</v>
      </c>
      <c r="F5954" t="s">
        <v>22928</v>
      </c>
      <c r="G5954" t="s">
        <v>22922</v>
      </c>
      <c r="H5954" t="s">
        <v>5474</v>
      </c>
      <c r="I5954" t="s">
        <v>22929</v>
      </c>
      <c r="J5954" t="s">
        <v>5476</v>
      </c>
      <c r="K5954" t="s">
        <v>22930</v>
      </c>
      <c r="L5954" t="s">
        <v>5471</v>
      </c>
      <c r="M5954" t="s">
        <v>5471</v>
      </c>
    </row>
    <row r="5955" spans="1:13" x14ac:dyDescent="0.3">
      <c r="A5955" t="s">
        <v>3388</v>
      </c>
      <c r="B5955" t="s">
        <v>6632</v>
      </c>
      <c r="C5955" t="s">
        <v>5470</v>
      </c>
      <c r="D5955" t="s">
        <v>4058</v>
      </c>
      <c r="E5955" t="s">
        <v>5617</v>
      </c>
      <c r="F5955" t="s">
        <v>22931</v>
      </c>
      <c r="G5955" t="s">
        <v>22932</v>
      </c>
      <c r="H5955" t="s">
        <v>5474</v>
      </c>
      <c r="I5955" t="s">
        <v>22933</v>
      </c>
      <c r="J5955" t="s">
        <v>5476</v>
      </c>
      <c r="K5955" t="s">
        <v>22934</v>
      </c>
      <c r="L5955" t="s">
        <v>5471</v>
      </c>
      <c r="M5955" t="s">
        <v>5471</v>
      </c>
    </row>
    <row r="5956" spans="1:13" x14ac:dyDescent="0.3">
      <c r="A5956" t="s">
        <v>3388</v>
      </c>
      <c r="B5956" t="s">
        <v>6632</v>
      </c>
      <c r="C5956" t="s">
        <v>5470</v>
      </c>
      <c r="D5956" t="s">
        <v>4058</v>
      </c>
      <c r="E5956" t="s">
        <v>5617</v>
      </c>
      <c r="F5956" t="s">
        <v>22935</v>
      </c>
      <c r="G5956" t="s">
        <v>22932</v>
      </c>
      <c r="H5956" t="s">
        <v>5474</v>
      </c>
      <c r="I5956" t="s">
        <v>22936</v>
      </c>
      <c r="J5956" t="s">
        <v>5476</v>
      </c>
      <c r="K5956" t="s">
        <v>22937</v>
      </c>
      <c r="L5956" t="s">
        <v>5471</v>
      </c>
      <c r="M5956" t="s">
        <v>5471</v>
      </c>
    </row>
    <row r="5957" spans="1:13" x14ac:dyDescent="0.3">
      <c r="A5957" t="s">
        <v>3388</v>
      </c>
      <c r="B5957" t="s">
        <v>6632</v>
      </c>
      <c r="C5957" t="s">
        <v>5470</v>
      </c>
      <c r="D5957" t="s">
        <v>4058</v>
      </c>
      <c r="E5957" t="s">
        <v>5617</v>
      </c>
      <c r="F5957" t="s">
        <v>22938</v>
      </c>
      <c r="G5957" t="s">
        <v>22932</v>
      </c>
      <c r="H5957" t="s">
        <v>5474</v>
      </c>
      <c r="I5957" t="s">
        <v>22939</v>
      </c>
      <c r="J5957" t="s">
        <v>5476</v>
      </c>
      <c r="K5957" t="s">
        <v>22940</v>
      </c>
      <c r="L5957" t="s">
        <v>5471</v>
      </c>
      <c r="M5957" t="s">
        <v>5471</v>
      </c>
    </row>
    <row r="5958" spans="1:13" x14ac:dyDescent="0.3">
      <c r="A5958" t="s">
        <v>3388</v>
      </c>
      <c r="B5958" t="s">
        <v>6632</v>
      </c>
      <c r="C5958" t="s">
        <v>5470</v>
      </c>
      <c r="D5958" t="s">
        <v>4058</v>
      </c>
      <c r="E5958" t="s">
        <v>5617</v>
      </c>
      <c r="F5958" t="s">
        <v>22941</v>
      </c>
      <c r="G5958" t="s">
        <v>22942</v>
      </c>
      <c r="H5958" t="s">
        <v>5474</v>
      </c>
      <c r="I5958" t="s">
        <v>22943</v>
      </c>
      <c r="J5958" t="s">
        <v>5476</v>
      </c>
      <c r="K5958" t="s">
        <v>22944</v>
      </c>
      <c r="L5958" t="s">
        <v>5471</v>
      </c>
      <c r="M5958" t="s">
        <v>5471</v>
      </c>
    </row>
    <row r="5959" spans="1:13" x14ac:dyDescent="0.3">
      <c r="A5959" t="s">
        <v>3388</v>
      </c>
      <c r="B5959" t="s">
        <v>6632</v>
      </c>
      <c r="C5959" t="s">
        <v>5470</v>
      </c>
      <c r="D5959" t="s">
        <v>4058</v>
      </c>
      <c r="E5959" t="s">
        <v>5617</v>
      </c>
      <c r="F5959" t="s">
        <v>22945</v>
      </c>
      <c r="G5959" t="s">
        <v>22942</v>
      </c>
      <c r="H5959" t="s">
        <v>5474</v>
      </c>
      <c r="I5959" t="s">
        <v>22946</v>
      </c>
      <c r="J5959" t="s">
        <v>5476</v>
      </c>
      <c r="K5959" t="s">
        <v>22947</v>
      </c>
      <c r="L5959" t="s">
        <v>5471</v>
      </c>
      <c r="M5959" t="s">
        <v>5471</v>
      </c>
    </row>
    <row r="5960" spans="1:13" x14ac:dyDescent="0.3">
      <c r="A5960" t="s">
        <v>3388</v>
      </c>
      <c r="B5960" t="s">
        <v>6632</v>
      </c>
      <c r="C5960" t="s">
        <v>5470</v>
      </c>
      <c r="D5960" t="s">
        <v>4058</v>
      </c>
      <c r="E5960" t="s">
        <v>5617</v>
      </c>
      <c r="F5960" t="s">
        <v>22948</v>
      </c>
      <c r="G5960" t="s">
        <v>22949</v>
      </c>
      <c r="H5960" t="s">
        <v>5474</v>
      </c>
      <c r="I5960" t="s">
        <v>22950</v>
      </c>
      <c r="J5960" t="s">
        <v>5476</v>
      </c>
      <c r="K5960" t="s">
        <v>22951</v>
      </c>
      <c r="L5960" t="s">
        <v>5471</v>
      </c>
      <c r="M5960" t="s">
        <v>5471</v>
      </c>
    </row>
    <row r="5961" spans="1:13" x14ac:dyDescent="0.3">
      <c r="A5961" t="s">
        <v>3388</v>
      </c>
      <c r="B5961" t="s">
        <v>6632</v>
      </c>
      <c r="C5961" t="s">
        <v>5470</v>
      </c>
      <c r="D5961" t="s">
        <v>4058</v>
      </c>
      <c r="E5961" t="s">
        <v>5617</v>
      </c>
      <c r="F5961" t="s">
        <v>22952</v>
      </c>
      <c r="G5961" t="s">
        <v>22949</v>
      </c>
      <c r="H5961" t="s">
        <v>5474</v>
      </c>
      <c r="I5961" t="s">
        <v>22953</v>
      </c>
      <c r="J5961" t="s">
        <v>5476</v>
      </c>
      <c r="K5961" t="s">
        <v>22954</v>
      </c>
      <c r="L5961" t="s">
        <v>5471</v>
      </c>
      <c r="M5961" t="s">
        <v>5471</v>
      </c>
    </row>
    <row r="5962" spans="1:13" x14ac:dyDescent="0.3">
      <c r="A5962" t="s">
        <v>3388</v>
      </c>
      <c r="B5962" t="s">
        <v>6632</v>
      </c>
      <c r="C5962" t="s">
        <v>5470</v>
      </c>
      <c r="D5962" t="s">
        <v>4058</v>
      </c>
      <c r="E5962" t="s">
        <v>5617</v>
      </c>
      <c r="F5962" t="s">
        <v>22955</v>
      </c>
      <c r="G5962" t="s">
        <v>22956</v>
      </c>
      <c r="H5962" t="s">
        <v>5474</v>
      </c>
      <c r="I5962" t="s">
        <v>22957</v>
      </c>
      <c r="J5962" t="s">
        <v>5476</v>
      </c>
      <c r="K5962" t="s">
        <v>22958</v>
      </c>
      <c r="L5962" t="s">
        <v>5471</v>
      </c>
      <c r="M5962" t="s">
        <v>5471</v>
      </c>
    </row>
    <row r="5963" spans="1:13" x14ac:dyDescent="0.3">
      <c r="A5963" t="s">
        <v>3388</v>
      </c>
      <c r="B5963" t="s">
        <v>6632</v>
      </c>
      <c r="C5963" t="s">
        <v>5470</v>
      </c>
      <c r="D5963" t="s">
        <v>4058</v>
      </c>
      <c r="E5963" t="s">
        <v>5617</v>
      </c>
      <c r="F5963" t="s">
        <v>22959</v>
      </c>
      <c r="G5963" t="s">
        <v>22956</v>
      </c>
      <c r="H5963" t="s">
        <v>5474</v>
      </c>
      <c r="I5963" t="s">
        <v>22960</v>
      </c>
      <c r="J5963" t="s">
        <v>5476</v>
      </c>
      <c r="K5963" t="s">
        <v>22961</v>
      </c>
      <c r="L5963" t="s">
        <v>5471</v>
      </c>
      <c r="M5963" t="s">
        <v>5471</v>
      </c>
    </row>
    <row r="5964" spans="1:13" x14ac:dyDescent="0.3">
      <c r="A5964" t="s">
        <v>3388</v>
      </c>
      <c r="B5964" t="s">
        <v>6632</v>
      </c>
      <c r="C5964" t="s">
        <v>5470</v>
      </c>
      <c r="D5964" t="s">
        <v>4058</v>
      </c>
      <c r="E5964" t="s">
        <v>5617</v>
      </c>
      <c r="F5964" t="s">
        <v>22962</v>
      </c>
      <c r="G5964" t="s">
        <v>22963</v>
      </c>
      <c r="H5964" t="s">
        <v>5474</v>
      </c>
      <c r="I5964" t="s">
        <v>22964</v>
      </c>
      <c r="J5964" t="s">
        <v>5476</v>
      </c>
      <c r="K5964" t="s">
        <v>22965</v>
      </c>
      <c r="L5964" t="s">
        <v>5471</v>
      </c>
      <c r="M5964" t="s">
        <v>5471</v>
      </c>
    </row>
    <row r="5965" spans="1:13" x14ac:dyDescent="0.3">
      <c r="A5965" t="s">
        <v>3388</v>
      </c>
      <c r="B5965" t="s">
        <v>6632</v>
      </c>
      <c r="C5965" t="s">
        <v>5470</v>
      </c>
      <c r="D5965" t="s">
        <v>4058</v>
      </c>
      <c r="E5965" t="s">
        <v>5617</v>
      </c>
      <c r="F5965" t="s">
        <v>22966</v>
      </c>
      <c r="G5965" t="s">
        <v>22963</v>
      </c>
      <c r="H5965" t="s">
        <v>5474</v>
      </c>
      <c r="I5965" t="s">
        <v>22967</v>
      </c>
      <c r="J5965" t="s">
        <v>5476</v>
      </c>
      <c r="K5965" t="s">
        <v>22968</v>
      </c>
      <c r="L5965" t="s">
        <v>5471</v>
      </c>
      <c r="M5965" t="s">
        <v>5471</v>
      </c>
    </row>
    <row r="5966" spans="1:13" x14ac:dyDescent="0.3">
      <c r="A5966" t="s">
        <v>3388</v>
      </c>
      <c r="B5966" t="s">
        <v>6632</v>
      </c>
      <c r="C5966" t="s">
        <v>5470</v>
      </c>
      <c r="D5966" t="s">
        <v>4058</v>
      </c>
      <c r="E5966" t="s">
        <v>5617</v>
      </c>
      <c r="F5966" t="s">
        <v>22969</v>
      </c>
      <c r="G5966" t="s">
        <v>22963</v>
      </c>
      <c r="H5966" t="s">
        <v>5474</v>
      </c>
      <c r="I5966" t="s">
        <v>22970</v>
      </c>
      <c r="J5966" t="s">
        <v>5476</v>
      </c>
      <c r="K5966" t="s">
        <v>22971</v>
      </c>
      <c r="L5966" t="s">
        <v>5471</v>
      </c>
      <c r="M5966" t="s">
        <v>5471</v>
      </c>
    </row>
    <row r="5967" spans="1:13" x14ac:dyDescent="0.3">
      <c r="A5967" t="s">
        <v>3388</v>
      </c>
      <c r="B5967" t="s">
        <v>6632</v>
      </c>
      <c r="C5967" t="s">
        <v>5470</v>
      </c>
      <c r="D5967" t="s">
        <v>4058</v>
      </c>
      <c r="E5967" t="s">
        <v>5617</v>
      </c>
      <c r="F5967" t="s">
        <v>22972</v>
      </c>
      <c r="G5967" t="s">
        <v>22973</v>
      </c>
      <c r="H5967" t="s">
        <v>5474</v>
      </c>
      <c r="I5967" t="s">
        <v>22974</v>
      </c>
      <c r="J5967" t="s">
        <v>5476</v>
      </c>
      <c r="K5967" t="s">
        <v>22975</v>
      </c>
      <c r="L5967" t="s">
        <v>5471</v>
      </c>
      <c r="M5967" t="s">
        <v>5471</v>
      </c>
    </row>
    <row r="5968" spans="1:13" x14ac:dyDescent="0.3">
      <c r="A5968" t="s">
        <v>3388</v>
      </c>
      <c r="B5968" t="s">
        <v>6632</v>
      </c>
      <c r="C5968" t="s">
        <v>5470</v>
      </c>
      <c r="D5968" t="s">
        <v>4058</v>
      </c>
      <c r="E5968" t="s">
        <v>5617</v>
      </c>
      <c r="F5968" t="s">
        <v>22976</v>
      </c>
      <c r="G5968" t="s">
        <v>22973</v>
      </c>
      <c r="H5968" t="s">
        <v>5474</v>
      </c>
      <c r="I5968" t="s">
        <v>22977</v>
      </c>
      <c r="J5968" t="s">
        <v>5476</v>
      </c>
      <c r="K5968" t="s">
        <v>22978</v>
      </c>
      <c r="L5968" t="s">
        <v>5471</v>
      </c>
      <c r="M5968" t="s">
        <v>5471</v>
      </c>
    </row>
    <row r="5969" spans="1:13" x14ac:dyDescent="0.3">
      <c r="A5969" t="s">
        <v>3388</v>
      </c>
      <c r="B5969" t="s">
        <v>6632</v>
      </c>
      <c r="C5969" t="s">
        <v>5470</v>
      </c>
      <c r="D5969" t="s">
        <v>4058</v>
      </c>
      <c r="E5969" t="s">
        <v>5617</v>
      </c>
      <c r="F5969" t="s">
        <v>22979</v>
      </c>
      <c r="G5969" t="s">
        <v>22973</v>
      </c>
      <c r="H5969" t="s">
        <v>5474</v>
      </c>
      <c r="I5969" t="s">
        <v>22980</v>
      </c>
      <c r="J5969" t="s">
        <v>5476</v>
      </c>
      <c r="K5969" t="s">
        <v>22981</v>
      </c>
      <c r="L5969" t="s">
        <v>5471</v>
      </c>
      <c r="M5969" t="s">
        <v>5471</v>
      </c>
    </row>
    <row r="5970" spans="1:13" x14ac:dyDescent="0.3">
      <c r="A5970" t="s">
        <v>3388</v>
      </c>
      <c r="B5970" t="s">
        <v>6632</v>
      </c>
      <c r="C5970" t="s">
        <v>5470</v>
      </c>
      <c r="D5970" t="s">
        <v>4058</v>
      </c>
      <c r="E5970" t="s">
        <v>5617</v>
      </c>
      <c r="F5970" t="s">
        <v>22982</v>
      </c>
      <c r="G5970" t="s">
        <v>22983</v>
      </c>
      <c r="H5970" t="s">
        <v>5474</v>
      </c>
      <c r="I5970" t="s">
        <v>22984</v>
      </c>
      <c r="J5970" t="s">
        <v>5476</v>
      </c>
      <c r="K5970" t="s">
        <v>22985</v>
      </c>
      <c r="L5970" t="s">
        <v>5471</v>
      </c>
      <c r="M5970" t="s">
        <v>5471</v>
      </c>
    </row>
    <row r="5971" spans="1:13" x14ac:dyDescent="0.3">
      <c r="A5971" t="s">
        <v>3388</v>
      </c>
      <c r="B5971" t="s">
        <v>6632</v>
      </c>
      <c r="C5971" t="s">
        <v>5470</v>
      </c>
      <c r="D5971" t="s">
        <v>4058</v>
      </c>
      <c r="E5971" t="s">
        <v>5617</v>
      </c>
      <c r="F5971" t="s">
        <v>22986</v>
      </c>
      <c r="G5971" t="s">
        <v>22983</v>
      </c>
      <c r="H5971" t="s">
        <v>5474</v>
      </c>
      <c r="I5971" t="s">
        <v>22987</v>
      </c>
      <c r="J5971" t="s">
        <v>5476</v>
      </c>
      <c r="K5971" t="s">
        <v>22988</v>
      </c>
      <c r="L5971" t="s">
        <v>5471</v>
      </c>
      <c r="M5971" t="s">
        <v>5471</v>
      </c>
    </row>
    <row r="5972" spans="1:13" x14ac:dyDescent="0.3">
      <c r="A5972" t="s">
        <v>3388</v>
      </c>
      <c r="B5972" t="s">
        <v>6632</v>
      </c>
      <c r="C5972" t="s">
        <v>5470</v>
      </c>
      <c r="D5972" t="s">
        <v>4058</v>
      </c>
      <c r="E5972" t="s">
        <v>5617</v>
      </c>
      <c r="F5972" t="s">
        <v>22989</v>
      </c>
      <c r="G5972" t="s">
        <v>22983</v>
      </c>
      <c r="H5972" t="s">
        <v>5474</v>
      </c>
      <c r="I5972" t="s">
        <v>22990</v>
      </c>
      <c r="J5972" t="s">
        <v>5476</v>
      </c>
      <c r="K5972" t="s">
        <v>22991</v>
      </c>
      <c r="L5972" t="s">
        <v>5471</v>
      </c>
      <c r="M5972" t="s">
        <v>5471</v>
      </c>
    </row>
    <row r="5973" spans="1:13" x14ac:dyDescent="0.3">
      <c r="A5973" t="s">
        <v>3388</v>
      </c>
      <c r="B5973" t="s">
        <v>6632</v>
      </c>
      <c r="C5973" t="s">
        <v>5470</v>
      </c>
      <c r="D5973" t="s">
        <v>4058</v>
      </c>
      <c r="E5973" t="s">
        <v>5617</v>
      </c>
      <c r="F5973" t="s">
        <v>22992</v>
      </c>
      <c r="G5973" t="s">
        <v>22993</v>
      </c>
      <c r="H5973" t="s">
        <v>5474</v>
      </c>
      <c r="I5973" t="s">
        <v>22994</v>
      </c>
      <c r="J5973" t="s">
        <v>5476</v>
      </c>
      <c r="K5973" t="s">
        <v>22995</v>
      </c>
      <c r="L5973" t="s">
        <v>5471</v>
      </c>
      <c r="M5973" t="s">
        <v>5471</v>
      </c>
    </row>
    <row r="5974" spans="1:13" x14ac:dyDescent="0.3">
      <c r="A5974" t="s">
        <v>3388</v>
      </c>
      <c r="B5974" t="s">
        <v>6632</v>
      </c>
      <c r="C5974" t="s">
        <v>5470</v>
      </c>
      <c r="D5974" t="s">
        <v>4058</v>
      </c>
      <c r="E5974" t="s">
        <v>5617</v>
      </c>
      <c r="F5974" t="s">
        <v>22996</v>
      </c>
      <c r="G5974" t="s">
        <v>22997</v>
      </c>
      <c r="H5974" t="s">
        <v>5474</v>
      </c>
      <c r="I5974" t="s">
        <v>22998</v>
      </c>
      <c r="J5974" t="s">
        <v>5476</v>
      </c>
      <c r="K5974" t="s">
        <v>22999</v>
      </c>
      <c r="L5974" t="s">
        <v>5471</v>
      </c>
      <c r="M5974" t="s">
        <v>5471</v>
      </c>
    </row>
    <row r="5975" spans="1:13" x14ac:dyDescent="0.3">
      <c r="A5975" t="s">
        <v>3388</v>
      </c>
      <c r="B5975" t="s">
        <v>6632</v>
      </c>
      <c r="C5975" t="s">
        <v>5470</v>
      </c>
      <c r="D5975" t="s">
        <v>4058</v>
      </c>
      <c r="E5975" t="s">
        <v>5617</v>
      </c>
      <c r="F5975" t="s">
        <v>23000</v>
      </c>
      <c r="G5975" t="s">
        <v>23001</v>
      </c>
      <c r="H5975" t="s">
        <v>5474</v>
      </c>
      <c r="I5975" t="s">
        <v>23002</v>
      </c>
      <c r="J5975" t="s">
        <v>5476</v>
      </c>
      <c r="K5975" t="s">
        <v>23003</v>
      </c>
      <c r="L5975" t="s">
        <v>5471</v>
      </c>
      <c r="M5975" t="s">
        <v>5471</v>
      </c>
    </row>
    <row r="5976" spans="1:13" x14ac:dyDescent="0.3">
      <c r="A5976" t="s">
        <v>3388</v>
      </c>
      <c r="B5976" t="s">
        <v>6632</v>
      </c>
      <c r="C5976" t="s">
        <v>5470</v>
      </c>
      <c r="D5976" t="s">
        <v>4058</v>
      </c>
      <c r="E5976" t="s">
        <v>5617</v>
      </c>
      <c r="F5976" t="s">
        <v>23004</v>
      </c>
      <c r="G5976" t="s">
        <v>23001</v>
      </c>
      <c r="H5976" t="s">
        <v>5474</v>
      </c>
      <c r="I5976" t="s">
        <v>23005</v>
      </c>
      <c r="J5976" t="s">
        <v>5476</v>
      </c>
      <c r="K5976" t="s">
        <v>23006</v>
      </c>
      <c r="L5976" t="s">
        <v>5471</v>
      </c>
      <c r="M5976" t="s">
        <v>5471</v>
      </c>
    </row>
    <row r="5977" spans="1:13" x14ac:dyDescent="0.3">
      <c r="A5977" t="s">
        <v>3388</v>
      </c>
      <c r="B5977" t="s">
        <v>6632</v>
      </c>
      <c r="C5977" t="s">
        <v>5470</v>
      </c>
      <c r="D5977" t="s">
        <v>4058</v>
      </c>
      <c r="E5977" t="s">
        <v>5617</v>
      </c>
      <c r="F5977" t="s">
        <v>23007</v>
      </c>
      <c r="G5977" t="s">
        <v>22282</v>
      </c>
      <c r="H5977" t="s">
        <v>5474</v>
      </c>
      <c r="I5977" t="s">
        <v>23008</v>
      </c>
      <c r="J5977" t="s">
        <v>5476</v>
      </c>
      <c r="K5977" t="s">
        <v>23009</v>
      </c>
      <c r="L5977" t="s">
        <v>5471</v>
      </c>
      <c r="M5977" t="s">
        <v>5471</v>
      </c>
    </row>
    <row r="5978" spans="1:13" x14ac:dyDescent="0.3">
      <c r="A5978" t="s">
        <v>3388</v>
      </c>
      <c r="B5978" t="s">
        <v>6632</v>
      </c>
      <c r="C5978" t="s">
        <v>5470</v>
      </c>
      <c r="D5978" t="s">
        <v>4058</v>
      </c>
      <c r="E5978" t="s">
        <v>5617</v>
      </c>
      <c r="F5978" t="s">
        <v>23010</v>
      </c>
      <c r="G5978" t="s">
        <v>22282</v>
      </c>
      <c r="H5978" t="s">
        <v>5474</v>
      </c>
      <c r="I5978" t="s">
        <v>23011</v>
      </c>
      <c r="J5978" t="s">
        <v>5476</v>
      </c>
      <c r="K5978" t="s">
        <v>23012</v>
      </c>
      <c r="L5978" t="s">
        <v>5471</v>
      </c>
      <c r="M5978" t="s">
        <v>5471</v>
      </c>
    </row>
    <row r="5979" spans="1:13" x14ac:dyDescent="0.3">
      <c r="A5979" t="s">
        <v>3388</v>
      </c>
      <c r="B5979" t="s">
        <v>6632</v>
      </c>
      <c r="C5979" t="s">
        <v>5470</v>
      </c>
      <c r="D5979" t="s">
        <v>4058</v>
      </c>
      <c r="E5979" t="s">
        <v>5617</v>
      </c>
      <c r="F5979" t="s">
        <v>23013</v>
      </c>
      <c r="G5979" t="s">
        <v>22282</v>
      </c>
      <c r="H5979" t="s">
        <v>5474</v>
      </c>
      <c r="I5979" t="s">
        <v>23014</v>
      </c>
      <c r="J5979" t="s">
        <v>5476</v>
      </c>
      <c r="K5979" t="s">
        <v>23015</v>
      </c>
      <c r="L5979" t="s">
        <v>5471</v>
      </c>
      <c r="M5979" t="s">
        <v>5471</v>
      </c>
    </row>
    <row r="5980" spans="1:13" x14ac:dyDescent="0.3">
      <c r="A5980" t="s">
        <v>3388</v>
      </c>
      <c r="B5980" t="s">
        <v>6632</v>
      </c>
      <c r="C5980" t="s">
        <v>5470</v>
      </c>
      <c r="D5980" t="s">
        <v>4058</v>
      </c>
      <c r="E5980" t="s">
        <v>5617</v>
      </c>
      <c r="F5980" t="s">
        <v>23016</v>
      </c>
      <c r="G5980" t="s">
        <v>20172</v>
      </c>
      <c r="H5980" t="s">
        <v>5474</v>
      </c>
      <c r="I5980" t="s">
        <v>23017</v>
      </c>
      <c r="J5980" t="s">
        <v>5476</v>
      </c>
      <c r="K5980" t="s">
        <v>23018</v>
      </c>
      <c r="L5980" t="s">
        <v>5471</v>
      </c>
      <c r="M5980" t="s">
        <v>5471</v>
      </c>
    </row>
    <row r="5981" spans="1:13" x14ac:dyDescent="0.3">
      <c r="A5981" t="s">
        <v>3388</v>
      </c>
      <c r="B5981" t="s">
        <v>6632</v>
      </c>
      <c r="C5981" t="s">
        <v>5470</v>
      </c>
      <c r="D5981" t="s">
        <v>4058</v>
      </c>
      <c r="E5981" t="s">
        <v>5617</v>
      </c>
      <c r="F5981" t="s">
        <v>23019</v>
      </c>
      <c r="G5981" t="s">
        <v>20172</v>
      </c>
      <c r="H5981" t="s">
        <v>5474</v>
      </c>
      <c r="I5981" t="s">
        <v>23020</v>
      </c>
      <c r="J5981" t="s">
        <v>5476</v>
      </c>
      <c r="K5981" t="s">
        <v>23021</v>
      </c>
      <c r="L5981" t="s">
        <v>5471</v>
      </c>
      <c r="M5981" t="s">
        <v>5471</v>
      </c>
    </row>
    <row r="5982" spans="1:13" x14ac:dyDescent="0.3">
      <c r="A5982" t="s">
        <v>3388</v>
      </c>
      <c r="B5982" t="s">
        <v>6632</v>
      </c>
      <c r="C5982" t="s">
        <v>5470</v>
      </c>
      <c r="D5982" t="s">
        <v>4058</v>
      </c>
      <c r="E5982" t="s">
        <v>5617</v>
      </c>
      <c r="F5982" t="s">
        <v>23022</v>
      </c>
      <c r="G5982" t="s">
        <v>20172</v>
      </c>
      <c r="H5982" t="s">
        <v>5474</v>
      </c>
      <c r="I5982" t="s">
        <v>23023</v>
      </c>
      <c r="J5982" t="s">
        <v>5476</v>
      </c>
      <c r="K5982" t="s">
        <v>23024</v>
      </c>
      <c r="L5982" t="s">
        <v>5471</v>
      </c>
      <c r="M5982" t="s">
        <v>5471</v>
      </c>
    </row>
    <row r="5983" spans="1:13" x14ac:dyDescent="0.3">
      <c r="A5983" t="s">
        <v>3388</v>
      </c>
      <c r="B5983" t="s">
        <v>5272</v>
      </c>
      <c r="C5983" t="s">
        <v>5470</v>
      </c>
      <c r="D5983" t="s">
        <v>4058</v>
      </c>
      <c r="E5983" t="s">
        <v>5617</v>
      </c>
      <c r="F5983" t="s">
        <v>23025</v>
      </c>
      <c r="G5983" t="s">
        <v>21244</v>
      </c>
      <c r="H5983" t="s">
        <v>5474</v>
      </c>
      <c r="I5983" t="s">
        <v>23026</v>
      </c>
      <c r="J5983" t="s">
        <v>5476</v>
      </c>
      <c r="K5983" t="s">
        <v>23027</v>
      </c>
      <c r="L5983" t="s">
        <v>5471</v>
      </c>
      <c r="M5983" t="s">
        <v>5471</v>
      </c>
    </row>
    <row r="5984" spans="1:13" x14ac:dyDescent="0.3">
      <c r="A5984" t="s">
        <v>3388</v>
      </c>
      <c r="B5984" t="s">
        <v>5272</v>
      </c>
      <c r="C5984" t="s">
        <v>5470</v>
      </c>
      <c r="D5984" t="s">
        <v>4058</v>
      </c>
      <c r="E5984" t="s">
        <v>5617</v>
      </c>
      <c r="F5984" t="s">
        <v>23028</v>
      </c>
      <c r="G5984" t="s">
        <v>21248</v>
      </c>
      <c r="H5984" t="s">
        <v>5474</v>
      </c>
      <c r="I5984" t="s">
        <v>23029</v>
      </c>
      <c r="J5984" t="s">
        <v>5476</v>
      </c>
      <c r="K5984" t="s">
        <v>23030</v>
      </c>
      <c r="L5984" t="s">
        <v>5471</v>
      </c>
      <c r="M5984" t="s">
        <v>5471</v>
      </c>
    </row>
    <row r="5985" spans="1:13" x14ac:dyDescent="0.3">
      <c r="A5985" t="s">
        <v>3388</v>
      </c>
      <c r="B5985" t="s">
        <v>5272</v>
      </c>
      <c r="C5985" t="s">
        <v>5470</v>
      </c>
      <c r="D5985" t="s">
        <v>4058</v>
      </c>
      <c r="E5985" t="s">
        <v>5617</v>
      </c>
      <c r="F5985" t="s">
        <v>23031</v>
      </c>
      <c r="G5985" t="s">
        <v>21252</v>
      </c>
      <c r="H5985" t="s">
        <v>5474</v>
      </c>
      <c r="I5985" t="s">
        <v>23032</v>
      </c>
      <c r="J5985" t="s">
        <v>5476</v>
      </c>
      <c r="K5985" t="s">
        <v>23033</v>
      </c>
      <c r="L5985" t="s">
        <v>5471</v>
      </c>
      <c r="M5985" t="s">
        <v>5471</v>
      </c>
    </row>
    <row r="5986" spans="1:13" x14ac:dyDescent="0.3">
      <c r="A5986" t="s">
        <v>3388</v>
      </c>
      <c r="B5986" t="s">
        <v>5272</v>
      </c>
      <c r="C5986" t="s">
        <v>5470</v>
      </c>
      <c r="D5986" t="s">
        <v>4058</v>
      </c>
      <c r="E5986" t="s">
        <v>5617</v>
      </c>
      <c r="F5986" t="s">
        <v>23034</v>
      </c>
      <c r="G5986" t="s">
        <v>21252</v>
      </c>
      <c r="H5986" t="s">
        <v>5474</v>
      </c>
      <c r="I5986" t="s">
        <v>23035</v>
      </c>
      <c r="J5986" t="s">
        <v>5476</v>
      </c>
      <c r="K5986" t="s">
        <v>23036</v>
      </c>
      <c r="L5986" t="s">
        <v>5471</v>
      </c>
      <c r="M5986" t="s">
        <v>5471</v>
      </c>
    </row>
    <row r="5987" spans="1:13" x14ac:dyDescent="0.3">
      <c r="A5987" t="s">
        <v>3388</v>
      </c>
      <c r="B5987" t="s">
        <v>5272</v>
      </c>
      <c r="C5987" t="s">
        <v>5470</v>
      </c>
      <c r="D5987" t="s">
        <v>4058</v>
      </c>
      <c r="E5987" t="s">
        <v>5617</v>
      </c>
      <c r="F5987" t="s">
        <v>23037</v>
      </c>
      <c r="G5987" t="s">
        <v>21256</v>
      </c>
      <c r="H5987" t="s">
        <v>5474</v>
      </c>
      <c r="I5987" t="s">
        <v>23038</v>
      </c>
      <c r="J5987" t="s">
        <v>5476</v>
      </c>
      <c r="K5987" t="s">
        <v>23039</v>
      </c>
      <c r="L5987" t="s">
        <v>5471</v>
      </c>
      <c r="M5987" t="s">
        <v>5471</v>
      </c>
    </row>
    <row r="5988" spans="1:13" x14ac:dyDescent="0.3">
      <c r="A5988" t="s">
        <v>3388</v>
      </c>
      <c r="B5988" t="s">
        <v>5272</v>
      </c>
      <c r="C5988" t="s">
        <v>5470</v>
      </c>
      <c r="D5988" t="s">
        <v>4058</v>
      </c>
      <c r="E5988" t="s">
        <v>5617</v>
      </c>
      <c r="F5988" t="s">
        <v>23040</v>
      </c>
      <c r="G5988" t="s">
        <v>21256</v>
      </c>
      <c r="H5988" t="s">
        <v>5474</v>
      </c>
      <c r="I5988" t="s">
        <v>23041</v>
      </c>
      <c r="J5988" t="s">
        <v>5476</v>
      </c>
      <c r="K5988" t="s">
        <v>23042</v>
      </c>
      <c r="L5988" t="s">
        <v>5471</v>
      </c>
      <c r="M5988" t="s">
        <v>5471</v>
      </c>
    </row>
    <row r="5989" spans="1:13" x14ac:dyDescent="0.3">
      <c r="A5989" t="s">
        <v>3388</v>
      </c>
      <c r="B5989" t="s">
        <v>5272</v>
      </c>
      <c r="C5989" t="s">
        <v>5470</v>
      </c>
      <c r="D5989" t="s">
        <v>4058</v>
      </c>
      <c r="E5989" t="s">
        <v>5617</v>
      </c>
      <c r="F5989" t="s">
        <v>23043</v>
      </c>
      <c r="G5989" t="s">
        <v>21264</v>
      </c>
      <c r="H5989" t="s">
        <v>5474</v>
      </c>
      <c r="I5989" t="s">
        <v>23044</v>
      </c>
      <c r="J5989" t="s">
        <v>5476</v>
      </c>
      <c r="K5989" t="s">
        <v>23045</v>
      </c>
      <c r="L5989" t="s">
        <v>5471</v>
      </c>
      <c r="M5989" t="s">
        <v>5471</v>
      </c>
    </row>
    <row r="5990" spans="1:13" x14ac:dyDescent="0.3">
      <c r="A5990" t="s">
        <v>3388</v>
      </c>
      <c r="B5990" t="s">
        <v>5272</v>
      </c>
      <c r="C5990" t="s">
        <v>5470</v>
      </c>
      <c r="D5990" t="s">
        <v>4058</v>
      </c>
      <c r="E5990" t="s">
        <v>5617</v>
      </c>
      <c r="F5990" t="s">
        <v>23046</v>
      </c>
      <c r="G5990" t="s">
        <v>21264</v>
      </c>
      <c r="H5990" t="s">
        <v>5474</v>
      </c>
      <c r="I5990" t="s">
        <v>23047</v>
      </c>
      <c r="J5990" t="s">
        <v>5476</v>
      </c>
      <c r="K5990" t="s">
        <v>23048</v>
      </c>
      <c r="L5990" t="s">
        <v>5471</v>
      </c>
      <c r="M5990" t="s">
        <v>5471</v>
      </c>
    </row>
    <row r="5991" spans="1:13" x14ac:dyDescent="0.3">
      <c r="A5991" t="s">
        <v>3388</v>
      </c>
      <c r="B5991" t="s">
        <v>5272</v>
      </c>
      <c r="C5991" t="s">
        <v>5470</v>
      </c>
      <c r="D5991" t="s">
        <v>4058</v>
      </c>
      <c r="E5991" t="s">
        <v>5617</v>
      </c>
      <c r="F5991" t="s">
        <v>23049</v>
      </c>
      <c r="G5991" t="s">
        <v>21268</v>
      </c>
      <c r="H5991" t="s">
        <v>5474</v>
      </c>
      <c r="I5991" t="s">
        <v>23050</v>
      </c>
      <c r="J5991" t="s">
        <v>5476</v>
      </c>
      <c r="K5991" t="s">
        <v>23051</v>
      </c>
      <c r="L5991" t="s">
        <v>5471</v>
      </c>
      <c r="M5991" t="s">
        <v>5471</v>
      </c>
    </row>
    <row r="5992" spans="1:13" x14ac:dyDescent="0.3">
      <c r="A5992" t="s">
        <v>3388</v>
      </c>
      <c r="B5992" t="s">
        <v>5272</v>
      </c>
      <c r="C5992" t="s">
        <v>5470</v>
      </c>
      <c r="D5992" t="s">
        <v>4058</v>
      </c>
      <c r="E5992" t="s">
        <v>5617</v>
      </c>
      <c r="F5992" t="s">
        <v>23052</v>
      </c>
      <c r="G5992" t="s">
        <v>21268</v>
      </c>
      <c r="H5992" t="s">
        <v>5474</v>
      </c>
      <c r="I5992" t="s">
        <v>23053</v>
      </c>
      <c r="J5992" t="s">
        <v>5476</v>
      </c>
      <c r="K5992" t="s">
        <v>23054</v>
      </c>
      <c r="L5992" t="s">
        <v>5471</v>
      </c>
      <c r="M5992" t="s">
        <v>5471</v>
      </c>
    </row>
    <row r="5993" spans="1:13" x14ac:dyDescent="0.3">
      <c r="A5993" t="s">
        <v>3388</v>
      </c>
      <c r="B5993" t="s">
        <v>5272</v>
      </c>
      <c r="C5993" t="s">
        <v>5470</v>
      </c>
      <c r="D5993" t="s">
        <v>4058</v>
      </c>
      <c r="E5993" t="s">
        <v>5617</v>
      </c>
      <c r="F5993" t="s">
        <v>23055</v>
      </c>
      <c r="G5993" t="s">
        <v>21272</v>
      </c>
      <c r="H5993" t="s">
        <v>5474</v>
      </c>
      <c r="I5993" t="s">
        <v>23056</v>
      </c>
      <c r="J5993" t="s">
        <v>5476</v>
      </c>
      <c r="K5993" t="s">
        <v>23057</v>
      </c>
      <c r="L5993" t="s">
        <v>5471</v>
      </c>
      <c r="M5993" t="s">
        <v>5471</v>
      </c>
    </row>
    <row r="5994" spans="1:13" x14ac:dyDescent="0.3">
      <c r="A5994" t="s">
        <v>3388</v>
      </c>
      <c r="B5994" t="s">
        <v>5272</v>
      </c>
      <c r="C5994" t="s">
        <v>5470</v>
      </c>
      <c r="D5994" t="s">
        <v>4058</v>
      </c>
      <c r="E5994" t="s">
        <v>5617</v>
      </c>
      <c r="F5994" t="s">
        <v>23058</v>
      </c>
      <c r="G5994" t="s">
        <v>21272</v>
      </c>
      <c r="H5994" t="s">
        <v>5474</v>
      </c>
      <c r="I5994" t="s">
        <v>23059</v>
      </c>
      <c r="J5994" t="s">
        <v>5476</v>
      </c>
      <c r="K5994" t="s">
        <v>23060</v>
      </c>
      <c r="L5994" t="s">
        <v>5471</v>
      </c>
      <c r="M5994" t="s">
        <v>5471</v>
      </c>
    </row>
    <row r="5995" spans="1:13" x14ac:dyDescent="0.3">
      <c r="A5995" t="s">
        <v>3388</v>
      </c>
      <c r="B5995" t="s">
        <v>5272</v>
      </c>
      <c r="C5995" t="s">
        <v>5470</v>
      </c>
      <c r="D5995" t="s">
        <v>4058</v>
      </c>
      <c r="E5995" t="s">
        <v>5617</v>
      </c>
      <c r="F5995" t="s">
        <v>23061</v>
      </c>
      <c r="G5995" t="s">
        <v>21276</v>
      </c>
      <c r="H5995" t="s">
        <v>5474</v>
      </c>
      <c r="I5995" t="s">
        <v>23062</v>
      </c>
      <c r="J5995" t="s">
        <v>5476</v>
      </c>
      <c r="K5995" t="s">
        <v>23063</v>
      </c>
      <c r="L5995" t="s">
        <v>5471</v>
      </c>
      <c r="M5995" t="s">
        <v>5471</v>
      </c>
    </row>
    <row r="5996" spans="1:13" x14ac:dyDescent="0.3">
      <c r="A5996" t="s">
        <v>3388</v>
      </c>
      <c r="B5996" t="s">
        <v>5272</v>
      </c>
      <c r="C5996" t="s">
        <v>5470</v>
      </c>
      <c r="D5996" t="s">
        <v>4058</v>
      </c>
      <c r="E5996" t="s">
        <v>5617</v>
      </c>
      <c r="F5996" t="s">
        <v>23064</v>
      </c>
      <c r="G5996" t="s">
        <v>21276</v>
      </c>
      <c r="H5996" t="s">
        <v>5474</v>
      </c>
      <c r="I5996" t="s">
        <v>23065</v>
      </c>
      <c r="J5996" t="s">
        <v>5476</v>
      </c>
      <c r="K5996" t="s">
        <v>23066</v>
      </c>
      <c r="L5996" t="s">
        <v>5471</v>
      </c>
      <c r="M5996" t="s">
        <v>5471</v>
      </c>
    </row>
    <row r="5997" spans="1:13" x14ac:dyDescent="0.3">
      <c r="A5997" t="s">
        <v>3388</v>
      </c>
      <c r="B5997" t="s">
        <v>5272</v>
      </c>
      <c r="C5997" t="s">
        <v>5470</v>
      </c>
      <c r="D5997" t="s">
        <v>4058</v>
      </c>
      <c r="E5997" t="s">
        <v>5617</v>
      </c>
      <c r="F5997" t="s">
        <v>23067</v>
      </c>
      <c r="G5997" t="s">
        <v>21280</v>
      </c>
      <c r="H5997" t="s">
        <v>5474</v>
      </c>
      <c r="I5997" t="s">
        <v>23068</v>
      </c>
      <c r="J5997" t="s">
        <v>5476</v>
      </c>
      <c r="K5997" t="s">
        <v>23069</v>
      </c>
      <c r="L5997" t="s">
        <v>5471</v>
      </c>
      <c r="M5997" t="s">
        <v>5471</v>
      </c>
    </row>
    <row r="5998" spans="1:13" x14ac:dyDescent="0.3">
      <c r="A5998" t="s">
        <v>3388</v>
      </c>
      <c r="B5998" t="s">
        <v>5272</v>
      </c>
      <c r="C5998" t="s">
        <v>5470</v>
      </c>
      <c r="D5998" t="s">
        <v>4058</v>
      </c>
      <c r="E5998" t="s">
        <v>5617</v>
      </c>
      <c r="F5998" t="s">
        <v>23070</v>
      </c>
      <c r="G5998" t="s">
        <v>21280</v>
      </c>
      <c r="H5998" t="s">
        <v>5474</v>
      </c>
      <c r="I5998" t="s">
        <v>23071</v>
      </c>
      <c r="J5998" t="s">
        <v>5476</v>
      </c>
      <c r="K5998" t="s">
        <v>23072</v>
      </c>
      <c r="L5998" t="s">
        <v>5471</v>
      </c>
      <c r="M5998" t="s">
        <v>5471</v>
      </c>
    </row>
    <row r="5999" spans="1:13" x14ac:dyDescent="0.3">
      <c r="A5999" t="s">
        <v>3388</v>
      </c>
      <c r="B5999" t="s">
        <v>5678</v>
      </c>
      <c r="C5999" t="s">
        <v>5470</v>
      </c>
      <c r="D5999" t="s">
        <v>4058</v>
      </c>
      <c r="E5999" t="s">
        <v>5532</v>
      </c>
      <c r="F5999" t="s">
        <v>23073</v>
      </c>
      <c r="G5999" t="s">
        <v>18042</v>
      </c>
      <c r="H5999" t="s">
        <v>5474</v>
      </c>
      <c r="I5999" t="s">
        <v>23074</v>
      </c>
      <c r="J5999" t="s">
        <v>5476</v>
      </c>
      <c r="K5999" t="s">
        <v>23075</v>
      </c>
      <c r="L5999" t="s">
        <v>5471</v>
      </c>
      <c r="M5999" t="s">
        <v>5471</v>
      </c>
    </row>
    <row r="6000" spans="1:13" x14ac:dyDescent="0.3">
      <c r="A6000" t="s">
        <v>3388</v>
      </c>
      <c r="B6000" t="s">
        <v>5678</v>
      </c>
      <c r="C6000" t="s">
        <v>5470</v>
      </c>
      <c r="D6000" t="s">
        <v>4058</v>
      </c>
      <c r="E6000" t="s">
        <v>5532</v>
      </c>
      <c r="F6000" t="s">
        <v>23076</v>
      </c>
      <c r="G6000" t="s">
        <v>18042</v>
      </c>
      <c r="H6000" t="s">
        <v>5474</v>
      </c>
      <c r="I6000" t="s">
        <v>23077</v>
      </c>
      <c r="J6000" t="s">
        <v>5476</v>
      </c>
      <c r="K6000" t="s">
        <v>23078</v>
      </c>
      <c r="L6000" t="s">
        <v>5471</v>
      </c>
      <c r="M6000" t="s">
        <v>5471</v>
      </c>
    </row>
    <row r="6001" spans="1:13" x14ac:dyDescent="0.3">
      <c r="A6001" t="s">
        <v>3388</v>
      </c>
      <c r="B6001" t="s">
        <v>5678</v>
      </c>
      <c r="C6001" t="s">
        <v>5470</v>
      </c>
      <c r="D6001" t="s">
        <v>4058</v>
      </c>
      <c r="E6001" t="s">
        <v>5532</v>
      </c>
      <c r="F6001" t="s">
        <v>23079</v>
      </c>
      <c r="G6001" t="s">
        <v>18042</v>
      </c>
      <c r="H6001" t="s">
        <v>5474</v>
      </c>
      <c r="I6001" t="s">
        <v>23080</v>
      </c>
      <c r="J6001" t="s">
        <v>5476</v>
      </c>
      <c r="K6001" t="s">
        <v>23081</v>
      </c>
      <c r="L6001" t="s">
        <v>5471</v>
      </c>
      <c r="M6001" t="s">
        <v>5471</v>
      </c>
    </row>
    <row r="6002" spans="1:13" x14ac:dyDescent="0.3">
      <c r="A6002" t="s">
        <v>3388</v>
      </c>
      <c r="B6002" t="s">
        <v>5678</v>
      </c>
      <c r="C6002" t="s">
        <v>5470</v>
      </c>
      <c r="D6002" t="s">
        <v>4058</v>
      </c>
      <c r="E6002" t="s">
        <v>5532</v>
      </c>
      <c r="F6002" t="s">
        <v>23082</v>
      </c>
      <c r="G6002" t="s">
        <v>18056</v>
      </c>
      <c r="H6002" t="s">
        <v>5474</v>
      </c>
      <c r="I6002" t="s">
        <v>23083</v>
      </c>
      <c r="J6002" t="s">
        <v>5476</v>
      </c>
      <c r="K6002" t="s">
        <v>23084</v>
      </c>
      <c r="L6002" t="s">
        <v>5471</v>
      </c>
      <c r="M6002" t="s">
        <v>5471</v>
      </c>
    </row>
    <row r="6003" spans="1:13" x14ac:dyDescent="0.3">
      <c r="A6003" t="s">
        <v>3388</v>
      </c>
      <c r="B6003" t="s">
        <v>5678</v>
      </c>
      <c r="C6003" t="s">
        <v>5470</v>
      </c>
      <c r="D6003" t="s">
        <v>4058</v>
      </c>
      <c r="E6003" t="s">
        <v>5532</v>
      </c>
      <c r="F6003" t="s">
        <v>23085</v>
      </c>
      <c r="G6003" t="s">
        <v>18056</v>
      </c>
      <c r="H6003" t="s">
        <v>5474</v>
      </c>
      <c r="I6003" t="s">
        <v>23086</v>
      </c>
      <c r="J6003" t="s">
        <v>5476</v>
      </c>
      <c r="K6003" t="s">
        <v>23087</v>
      </c>
      <c r="L6003" t="s">
        <v>5471</v>
      </c>
      <c r="M6003" t="s">
        <v>5471</v>
      </c>
    </row>
    <row r="6004" spans="1:13" x14ac:dyDescent="0.3">
      <c r="A6004" t="s">
        <v>3388</v>
      </c>
      <c r="B6004" t="s">
        <v>5678</v>
      </c>
      <c r="C6004" t="s">
        <v>5470</v>
      </c>
      <c r="D6004" t="s">
        <v>4058</v>
      </c>
      <c r="E6004" t="s">
        <v>5532</v>
      </c>
      <c r="F6004" t="s">
        <v>23088</v>
      </c>
      <c r="G6004" t="s">
        <v>18056</v>
      </c>
      <c r="H6004" t="s">
        <v>5474</v>
      </c>
      <c r="I6004" t="s">
        <v>23089</v>
      </c>
      <c r="J6004" t="s">
        <v>5476</v>
      </c>
      <c r="K6004" t="s">
        <v>23090</v>
      </c>
      <c r="L6004" t="s">
        <v>5471</v>
      </c>
      <c r="M6004" t="s">
        <v>5471</v>
      </c>
    </row>
    <row r="6005" spans="1:13" x14ac:dyDescent="0.3">
      <c r="A6005" t="s">
        <v>3388</v>
      </c>
      <c r="B6005" t="s">
        <v>5316</v>
      </c>
      <c r="C6005" t="s">
        <v>5470</v>
      </c>
      <c r="D6005" t="s">
        <v>4058</v>
      </c>
      <c r="E6005" t="s">
        <v>5532</v>
      </c>
      <c r="F6005" t="s">
        <v>23091</v>
      </c>
      <c r="G6005" t="s">
        <v>23092</v>
      </c>
      <c r="H6005" t="s">
        <v>5474</v>
      </c>
      <c r="I6005" t="s">
        <v>23093</v>
      </c>
      <c r="J6005" t="s">
        <v>5476</v>
      </c>
      <c r="K6005" t="s">
        <v>23094</v>
      </c>
      <c r="L6005" t="s">
        <v>5471</v>
      </c>
      <c r="M6005" t="s">
        <v>5471</v>
      </c>
    </row>
    <row r="6006" spans="1:13" x14ac:dyDescent="0.3">
      <c r="A6006" t="s">
        <v>3388</v>
      </c>
      <c r="B6006" t="s">
        <v>5316</v>
      </c>
      <c r="C6006" t="s">
        <v>5470</v>
      </c>
      <c r="D6006" t="s">
        <v>4058</v>
      </c>
      <c r="E6006" t="s">
        <v>5532</v>
      </c>
      <c r="F6006" t="s">
        <v>23095</v>
      </c>
      <c r="G6006" t="s">
        <v>23092</v>
      </c>
      <c r="H6006" t="s">
        <v>5474</v>
      </c>
      <c r="I6006" t="s">
        <v>23096</v>
      </c>
      <c r="J6006" t="s">
        <v>5476</v>
      </c>
      <c r="K6006" t="s">
        <v>23097</v>
      </c>
      <c r="L6006" t="s">
        <v>5471</v>
      </c>
      <c r="M6006" t="s">
        <v>5471</v>
      </c>
    </row>
    <row r="6007" spans="1:13" x14ac:dyDescent="0.3">
      <c r="A6007" t="s">
        <v>3388</v>
      </c>
      <c r="B6007" t="s">
        <v>5316</v>
      </c>
      <c r="C6007" t="s">
        <v>5470</v>
      </c>
      <c r="D6007" t="s">
        <v>4058</v>
      </c>
      <c r="E6007" t="s">
        <v>5532</v>
      </c>
      <c r="F6007" t="s">
        <v>23098</v>
      </c>
      <c r="G6007" t="s">
        <v>23092</v>
      </c>
      <c r="H6007" t="s">
        <v>5474</v>
      </c>
      <c r="I6007" t="s">
        <v>23099</v>
      </c>
      <c r="J6007" t="s">
        <v>5476</v>
      </c>
      <c r="K6007" t="s">
        <v>23100</v>
      </c>
      <c r="L6007" t="s">
        <v>5471</v>
      </c>
      <c r="M6007" t="s">
        <v>5471</v>
      </c>
    </row>
    <row r="6008" spans="1:13" x14ac:dyDescent="0.3">
      <c r="A6008" t="s">
        <v>3388</v>
      </c>
      <c r="B6008" t="s">
        <v>5316</v>
      </c>
      <c r="C6008" t="s">
        <v>5470</v>
      </c>
      <c r="D6008" t="s">
        <v>4058</v>
      </c>
      <c r="E6008" t="s">
        <v>5532</v>
      </c>
      <c r="F6008" t="s">
        <v>23101</v>
      </c>
      <c r="G6008" t="s">
        <v>11117</v>
      </c>
      <c r="H6008" t="s">
        <v>5474</v>
      </c>
      <c r="I6008" t="s">
        <v>23102</v>
      </c>
      <c r="J6008" t="s">
        <v>5476</v>
      </c>
      <c r="K6008" t="s">
        <v>23103</v>
      </c>
      <c r="L6008" t="s">
        <v>5471</v>
      </c>
      <c r="M6008" t="s">
        <v>5471</v>
      </c>
    </row>
    <row r="6009" spans="1:13" x14ac:dyDescent="0.3">
      <c r="A6009" t="s">
        <v>3388</v>
      </c>
      <c r="B6009" t="s">
        <v>5316</v>
      </c>
      <c r="C6009" t="s">
        <v>5470</v>
      </c>
      <c r="D6009" t="s">
        <v>4058</v>
      </c>
      <c r="E6009" t="s">
        <v>5532</v>
      </c>
      <c r="F6009" t="s">
        <v>23104</v>
      </c>
      <c r="G6009" t="s">
        <v>23105</v>
      </c>
      <c r="H6009" t="s">
        <v>5474</v>
      </c>
      <c r="I6009" t="s">
        <v>23106</v>
      </c>
      <c r="J6009" t="s">
        <v>5476</v>
      </c>
      <c r="K6009" t="s">
        <v>23107</v>
      </c>
      <c r="L6009" t="s">
        <v>5471</v>
      </c>
      <c r="M6009" t="s">
        <v>5471</v>
      </c>
    </row>
    <row r="6010" spans="1:13" x14ac:dyDescent="0.3">
      <c r="A6010" t="s">
        <v>3388</v>
      </c>
      <c r="B6010" t="s">
        <v>5316</v>
      </c>
      <c r="C6010" t="s">
        <v>5470</v>
      </c>
      <c r="D6010" t="s">
        <v>4058</v>
      </c>
      <c r="E6010" t="s">
        <v>5532</v>
      </c>
      <c r="F6010" t="s">
        <v>23108</v>
      </c>
      <c r="G6010" t="s">
        <v>23105</v>
      </c>
      <c r="H6010" t="s">
        <v>5474</v>
      </c>
      <c r="I6010" t="s">
        <v>23109</v>
      </c>
      <c r="J6010" t="s">
        <v>5476</v>
      </c>
      <c r="K6010" t="s">
        <v>23110</v>
      </c>
      <c r="L6010" t="s">
        <v>5471</v>
      </c>
      <c r="M6010" t="s">
        <v>5471</v>
      </c>
    </row>
    <row r="6011" spans="1:13" x14ac:dyDescent="0.3">
      <c r="A6011" t="s">
        <v>3388</v>
      </c>
      <c r="B6011" t="s">
        <v>5316</v>
      </c>
      <c r="C6011" t="s">
        <v>5470</v>
      </c>
      <c r="D6011" t="s">
        <v>4058</v>
      </c>
      <c r="E6011" t="s">
        <v>5532</v>
      </c>
      <c r="F6011" t="s">
        <v>23111</v>
      </c>
      <c r="G6011" t="s">
        <v>23105</v>
      </c>
      <c r="H6011" t="s">
        <v>5474</v>
      </c>
      <c r="I6011" t="s">
        <v>23112</v>
      </c>
      <c r="J6011" t="s">
        <v>5476</v>
      </c>
      <c r="K6011" t="s">
        <v>23113</v>
      </c>
      <c r="L6011" t="s">
        <v>5471</v>
      </c>
      <c r="M6011" t="s">
        <v>5471</v>
      </c>
    </row>
    <row r="6012" spans="1:13" x14ac:dyDescent="0.3">
      <c r="A6012" t="s">
        <v>3388</v>
      </c>
      <c r="B6012" t="s">
        <v>5316</v>
      </c>
      <c r="C6012" t="s">
        <v>5470</v>
      </c>
      <c r="D6012" t="s">
        <v>4058</v>
      </c>
      <c r="E6012" t="s">
        <v>5532</v>
      </c>
      <c r="F6012" t="s">
        <v>23114</v>
      </c>
      <c r="G6012" t="s">
        <v>23115</v>
      </c>
      <c r="H6012" t="s">
        <v>5474</v>
      </c>
      <c r="I6012" t="s">
        <v>23116</v>
      </c>
      <c r="J6012" t="s">
        <v>5476</v>
      </c>
      <c r="K6012" t="s">
        <v>23117</v>
      </c>
      <c r="L6012" t="s">
        <v>5471</v>
      </c>
      <c r="M6012" t="s">
        <v>5471</v>
      </c>
    </row>
    <row r="6013" spans="1:13" x14ac:dyDescent="0.3">
      <c r="A6013" t="s">
        <v>3388</v>
      </c>
      <c r="B6013" t="s">
        <v>5316</v>
      </c>
      <c r="C6013" t="s">
        <v>5470</v>
      </c>
      <c r="D6013" t="s">
        <v>4058</v>
      </c>
      <c r="E6013" t="s">
        <v>5532</v>
      </c>
      <c r="F6013" t="s">
        <v>23118</v>
      </c>
      <c r="G6013" t="s">
        <v>23115</v>
      </c>
      <c r="H6013" t="s">
        <v>5474</v>
      </c>
      <c r="I6013" t="s">
        <v>23119</v>
      </c>
      <c r="J6013" t="s">
        <v>5476</v>
      </c>
      <c r="K6013" t="s">
        <v>23120</v>
      </c>
      <c r="L6013" t="s">
        <v>5471</v>
      </c>
      <c r="M6013" t="s">
        <v>5471</v>
      </c>
    </row>
    <row r="6014" spans="1:13" x14ac:dyDescent="0.3">
      <c r="A6014" t="s">
        <v>3388</v>
      </c>
      <c r="B6014" t="s">
        <v>5316</v>
      </c>
      <c r="C6014" t="s">
        <v>5470</v>
      </c>
      <c r="D6014" t="s">
        <v>4058</v>
      </c>
      <c r="E6014" t="s">
        <v>5532</v>
      </c>
      <c r="F6014" t="s">
        <v>23121</v>
      </c>
      <c r="G6014" t="s">
        <v>19877</v>
      </c>
      <c r="H6014" t="s">
        <v>5474</v>
      </c>
      <c r="I6014" t="s">
        <v>23122</v>
      </c>
      <c r="J6014" t="s">
        <v>5476</v>
      </c>
      <c r="K6014" t="s">
        <v>23123</v>
      </c>
      <c r="L6014" t="s">
        <v>5471</v>
      </c>
      <c r="M6014" t="s">
        <v>5471</v>
      </c>
    </row>
    <row r="6015" spans="1:13" x14ac:dyDescent="0.3">
      <c r="A6015" t="s">
        <v>3388</v>
      </c>
      <c r="B6015" t="s">
        <v>5316</v>
      </c>
      <c r="C6015" t="s">
        <v>5470</v>
      </c>
      <c r="D6015" t="s">
        <v>4058</v>
      </c>
      <c r="E6015" t="s">
        <v>5532</v>
      </c>
      <c r="F6015" t="s">
        <v>23124</v>
      </c>
      <c r="G6015" t="s">
        <v>19877</v>
      </c>
      <c r="H6015" t="s">
        <v>5474</v>
      </c>
      <c r="I6015" t="s">
        <v>23125</v>
      </c>
      <c r="J6015" t="s">
        <v>5476</v>
      </c>
      <c r="K6015" t="s">
        <v>23126</v>
      </c>
      <c r="L6015" t="s">
        <v>5471</v>
      </c>
      <c r="M6015" t="s">
        <v>5471</v>
      </c>
    </row>
    <row r="6016" spans="1:13" x14ac:dyDescent="0.3">
      <c r="A6016" t="s">
        <v>3388</v>
      </c>
      <c r="B6016" t="s">
        <v>5316</v>
      </c>
      <c r="C6016" t="s">
        <v>5470</v>
      </c>
      <c r="D6016" t="s">
        <v>4058</v>
      </c>
      <c r="E6016" t="s">
        <v>5532</v>
      </c>
      <c r="F6016" t="s">
        <v>23127</v>
      </c>
      <c r="G6016" t="s">
        <v>19877</v>
      </c>
      <c r="H6016" t="s">
        <v>5474</v>
      </c>
      <c r="I6016" t="s">
        <v>23128</v>
      </c>
      <c r="J6016" t="s">
        <v>5476</v>
      </c>
      <c r="K6016" t="s">
        <v>23129</v>
      </c>
      <c r="L6016" t="s">
        <v>5471</v>
      </c>
      <c r="M6016" t="s">
        <v>5471</v>
      </c>
    </row>
    <row r="6017" spans="1:13" x14ac:dyDescent="0.3">
      <c r="A6017" t="s">
        <v>3388</v>
      </c>
      <c r="B6017" t="s">
        <v>5316</v>
      </c>
      <c r="C6017" t="s">
        <v>5470</v>
      </c>
      <c r="D6017" t="s">
        <v>4058</v>
      </c>
      <c r="E6017" t="s">
        <v>5532</v>
      </c>
      <c r="F6017" t="s">
        <v>23130</v>
      </c>
      <c r="G6017" t="s">
        <v>22117</v>
      </c>
      <c r="H6017" t="s">
        <v>5474</v>
      </c>
      <c r="I6017" t="s">
        <v>23131</v>
      </c>
      <c r="J6017" t="s">
        <v>5476</v>
      </c>
      <c r="K6017" t="s">
        <v>23132</v>
      </c>
      <c r="L6017" t="s">
        <v>5471</v>
      </c>
      <c r="M6017" t="s">
        <v>5471</v>
      </c>
    </row>
    <row r="6018" spans="1:13" x14ac:dyDescent="0.3">
      <c r="A6018" t="s">
        <v>3388</v>
      </c>
      <c r="B6018" t="s">
        <v>5316</v>
      </c>
      <c r="C6018" t="s">
        <v>5470</v>
      </c>
      <c r="D6018" t="s">
        <v>4058</v>
      </c>
      <c r="E6018" t="s">
        <v>5532</v>
      </c>
      <c r="F6018" t="s">
        <v>23133</v>
      </c>
      <c r="G6018" t="s">
        <v>22117</v>
      </c>
      <c r="H6018" t="s">
        <v>5474</v>
      </c>
      <c r="I6018" t="s">
        <v>23134</v>
      </c>
      <c r="J6018" t="s">
        <v>5476</v>
      </c>
      <c r="K6018" t="s">
        <v>23135</v>
      </c>
      <c r="L6018" t="s">
        <v>5471</v>
      </c>
      <c r="M6018" t="s">
        <v>5471</v>
      </c>
    </row>
    <row r="6019" spans="1:13" x14ac:dyDescent="0.3">
      <c r="A6019" t="s">
        <v>3388</v>
      </c>
      <c r="B6019" t="s">
        <v>5316</v>
      </c>
      <c r="C6019" t="s">
        <v>5470</v>
      </c>
      <c r="D6019" t="s">
        <v>4058</v>
      </c>
      <c r="E6019" t="s">
        <v>5532</v>
      </c>
      <c r="F6019" t="s">
        <v>23136</v>
      </c>
      <c r="G6019" t="s">
        <v>22121</v>
      </c>
      <c r="H6019" t="s">
        <v>5474</v>
      </c>
      <c r="I6019" t="s">
        <v>23137</v>
      </c>
      <c r="J6019" t="s">
        <v>5476</v>
      </c>
      <c r="K6019" t="s">
        <v>23138</v>
      </c>
      <c r="L6019" t="s">
        <v>5471</v>
      </c>
      <c r="M6019" t="s">
        <v>5471</v>
      </c>
    </row>
    <row r="6020" spans="1:13" x14ac:dyDescent="0.3">
      <c r="A6020" t="s">
        <v>3388</v>
      </c>
      <c r="B6020" t="s">
        <v>5316</v>
      </c>
      <c r="C6020" t="s">
        <v>5470</v>
      </c>
      <c r="D6020" t="s">
        <v>4058</v>
      </c>
      <c r="E6020" t="s">
        <v>5532</v>
      </c>
      <c r="F6020" t="s">
        <v>23139</v>
      </c>
      <c r="G6020" t="s">
        <v>22121</v>
      </c>
      <c r="H6020" t="s">
        <v>5474</v>
      </c>
      <c r="I6020" t="s">
        <v>23140</v>
      </c>
      <c r="J6020" t="s">
        <v>5476</v>
      </c>
      <c r="K6020" t="s">
        <v>23141</v>
      </c>
      <c r="L6020" t="s">
        <v>5471</v>
      </c>
      <c r="M6020" t="s">
        <v>5471</v>
      </c>
    </row>
    <row r="6021" spans="1:13" x14ac:dyDescent="0.3">
      <c r="A6021" t="s">
        <v>3388</v>
      </c>
      <c r="B6021" t="s">
        <v>5316</v>
      </c>
      <c r="C6021" t="s">
        <v>5470</v>
      </c>
      <c r="D6021" t="s">
        <v>4058</v>
      </c>
      <c r="E6021" t="s">
        <v>5532</v>
      </c>
      <c r="F6021" t="s">
        <v>23142</v>
      </c>
      <c r="G6021" t="s">
        <v>22121</v>
      </c>
      <c r="H6021" t="s">
        <v>5474</v>
      </c>
      <c r="I6021" t="s">
        <v>23143</v>
      </c>
      <c r="J6021" t="s">
        <v>5476</v>
      </c>
      <c r="K6021" t="s">
        <v>23144</v>
      </c>
      <c r="L6021" t="s">
        <v>5471</v>
      </c>
      <c r="M6021" t="s">
        <v>5471</v>
      </c>
    </row>
    <row r="6022" spans="1:13" x14ac:dyDescent="0.3">
      <c r="A6022" t="s">
        <v>3388</v>
      </c>
      <c r="B6022" t="s">
        <v>7109</v>
      </c>
      <c r="C6022" t="s">
        <v>5470</v>
      </c>
      <c r="D6022" t="s">
        <v>4058</v>
      </c>
      <c r="E6022" t="s">
        <v>5480</v>
      </c>
      <c r="F6022" t="s">
        <v>23145</v>
      </c>
      <c r="G6022" t="s">
        <v>10952</v>
      </c>
      <c r="H6022" t="s">
        <v>5474</v>
      </c>
      <c r="I6022" t="s">
        <v>23146</v>
      </c>
      <c r="J6022" t="s">
        <v>5476</v>
      </c>
      <c r="K6022" t="s">
        <v>23147</v>
      </c>
      <c r="L6022" t="s">
        <v>5471</v>
      </c>
      <c r="M6022" t="s">
        <v>5471</v>
      </c>
    </row>
    <row r="6023" spans="1:13" x14ac:dyDescent="0.3">
      <c r="A6023" t="s">
        <v>3388</v>
      </c>
      <c r="B6023" t="s">
        <v>7109</v>
      </c>
      <c r="C6023" t="s">
        <v>5470</v>
      </c>
      <c r="D6023" t="s">
        <v>4058</v>
      </c>
      <c r="E6023" t="s">
        <v>5480</v>
      </c>
      <c r="F6023" t="s">
        <v>23148</v>
      </c>
      <c r="G6023" t="s">
        <v>10952</v>
      </c>
      <c r="H6023" t="s">
        <v>5474</v>
      </c>
      <c r="I6023" t="s">
        <v>23149</v>
      </c>
      <c r="J6023" t="s">
        <v>5476</v>
      </c>
      <c r="K6023" t="s">
        <v>23150</v>
      </c>
      <c r="L6023" t="s">
        <v>5471</v>
      </c>
      <c r="M6023" t="s">
        <v>5471</v>
      </c>
    </row>
    <row r="6024" spans="1:13" x14ac:dyDescent="0.3">
      <c r="A6024" t="s">
        <v>3388</v>
      </c>
      <c r="B6024" t="s">
        <v>7109</v>
      </c>
      <c r="C6024" t="s">
        <v>5470</v>
      </c>
      <c r="D6024" t="s">
        <v>4058</v>
      </c>
      <c r="E6024" t="s">
        <v>5480</v>
      </c>
      <c r="F6024" t="s">
        <v>23151</v>
      </c>
      <c r="G6024" t="s">
        <v>10952</v>
      </c>
      <c r="H6024" t="s">
        <v>5474</v>
      </c>
      <c r="I6024" t="s">
        <v>23152</v>
      </c>
      <c r="J6024" t="s">
        <v>5476</v>
      </c>
      <c r="K6024" t="s">
        <v>23153</v>
      </c>
      <c r="L6024" t="s">
        <v>5471</v>
      </c>
      <c r="M6024" t="s">
        <v>5471</v>
      </c>
    </row>
    <row r="6025" spans="1:13" x14ac:dyDescent="0.3">
      <c r="A6025" t="s">
        <v>3388</v>
      </c>
      <c r="B6025" t="s">
        <v>7109</v>
      </c>
      <c r="C6025" t="s">
        <v>5470</v>
      </c>
      <c r="D6025" t="s">
        <v>4058</v>
      </c>
      <c r="E6025" t="s">
        <v>5532</v>
      </c>
      <c r="F6025" t="s">
        <v>23154</v>
      </c>
      <c r="G6025" t="s">
        <v>23092</v>
      </c>
      <c r="H6025" t="s">
        <v>5474</v>
      </c>
      <c r="I6025" t="s">
        <v>23155</v>
      </c>
      <c r="J6025" t="s">
        <v>5476</v>
      </c>
      <c r="K6025" t="s">
        <v>23156</v>
      </c>
      <c r="L6025" t="s">
        <v>5471</v>
      </c>
      <c r="M6025" t="s">
        <v>5471</v>
      </c>
    </row>
    <row r="6026" spans="1:13" x14ac:dyDescent="0.3">
      <c r="A6026" t="s">
        <v>3388</v>
      </c>
      <c r="B6026" t="s">
        <v>7109</v>
      </c>
      <c r="C6026" t="s">
        <v>5470</v>
      </c>
      <c r="D6026" t="s">
        <v>4058</v>
      </c>
      <c r="E6026" t="s">
        <v>5532</v>
      </c>
      <c r="F6026" t="s">
        <v>23157</v>
      </c>
      <c r="G6026" t="s">
        <v>23092</v>
      </c>
      <c r="H6026" t="s">
        <v>5474</v>
      </c>
      <c r="I6026" t="s">
        <v>23158</v>
      </c>
      <c r="J6026" t="s">
        <v>5476</v>
      </c>
      <c r="K6026" t="s">
        <v>23159</v>
      </c>
      <c r="L6026" t="s">
        <v>5471</v>
      </c>
      <c r="M6026" t="s">
        <v>5471</v>
      </c>
    </row>
    <row r="6027" spans="1:13" x14ac:dyDescent="0.3">
      <c r="A6027" t="s">
        <v>3388</v>
      </c>
      <c r="B6027" t="s">
        <v>7109</v>
      </c>
      <c r="C6027" t="s">
        <v>5470</v>
      </c>
      <c r="D6027" t="s">
        <v>4058</v>
      </c>
      <c r="E6027" t="s">
        <v>5532</v>
      </c>
      <c r="F6027" t="s">
        <v>23160</v>
      </c>
      <c r="G6027" t="s">
        <v>23092</v>
      </c>
      <c r="H6027" t="s">
        <v>5474</v>
      </c>
      <c r="I6027" t="s">
        <v>23161</v>
      </c>
      <c r="J6027" t="s">
        <v>5476</v>
      </c>
      <c r="K6027" t="s">
        <v>23162</v>
      </c>
      <c r="L6027" t="s">
        <v>5471</v>
      </c>
      <c r="M6027" t="s">
        <v>5471</v>
      </c>
    </row>
    <row r="6028" spans="1:13" x14ac:dyDescent="0.3">
      <c r="A6028" t="s">
        <v>3388</v>
      </c>
      <c r="B6028" t="s">
        <v>7109</v>
      </c>
      <c r="C6028" t="s">
        <v>5470</v>
      </c>
      <c r="D6028" t="s">
        <v>4058</v>
      </c>
      <c r="E6028" t="s">
        <v>5532</v>
      </c>
      <c r="F6028" t="s">
        <v>23163</v>
      </c>
      <c r="G6028" t="s">
        <v>23092</v>
      </c>
      <c r="H6028" t="s">
        <v>5474</v>
      </c>
      <c r="I6028" t="s">
        <v>23164</v>
      </c>
      <c r="J6028" t="s">
        <v>5476</v>
      </c>
      <c r="K6028" t="s">
        <v>23165</v>
      </c>
      <c r="L6028" t="s">
        <v>5471</v>
      </c>
      <c r="M6028" t="s">
        <v>5471</v>
      </c>
    </row>
    <row r="6029" spans="1:13" x14ac:dyDescent="0.3">
      <c r="A6029" t="s">
        <v>3388</v>
      </c>
      <c r="B6029" t="s">
        <v>7109</v>
      </c>
      <c r="C6029" t="s">
        <v>5470</v>
      </c>
      <c r="D6029" t="s">
        <v>4058</v>
      </c>
      <c r="E6029" t="s">
        <v>5532</v>
      </c>
      <c r="F6029" t="s">
        <v>23166</v>
      </c>
      <c r="G6029" t="s">
        <v>23092</v>
      </c>
      <c r="H6029" t="s">
        <v>5474</v>
      </c>
      <c r="I6029" t="s">
        <v>23167</v>
      </c>
      <c r="J6029" t="s">
        <v>5476</v>
      </c>
      <c r="K6029" t="s">
        <v>23168</v>
      </c>
      <c r="L6029" t="s">
        <v>5471</v>
      </c>
      <c r="M6029" t="s">
        <v>5471</v>
      </c>
    </row>
    <row r="6030" spans="1:13" x14ac:dyDescent="0.3">
      <c r="A6030" t="s">
        <v>3388</v>
      </c>
      <c r="B6030" t="s">
        <v>7109</v>
      </c>
      <c r="C6030" t="s">
        <v>5470</v>
      </c>
      <c r="D6030" t="s">
        <v>4058</v>
      </c>
      <c r="E6030" t="s">
        <v>5532</v>
      </c>
      <c r="F6030" t="s">
        <v>23169</v>
      </c>
      <c r="G6030" t="s">
        <v>23170</v>
      </c>
      <c r="H6030" t="s">
        <v>5474</v>
      </c>
      <c r="I6030" t="s">
        <v>23171</v>
      </c>
      <c r="J6030" t="s">
        <v>5476</v>
      </c>
      <c r="K6030" t="s">
        <v>23172</v>
      </c>
      <c r="L6030" t="s">
        <v>5471</v>
      </c>
      <c r="M6030" t="s">
        <v>5471</v>
      </c>
    </row>
    <row r="6031" spans="1:13" x14ac:dyDescent="0.3">
      <c r="A6031" t="s">
        <v>3388</v>
      </c>
      <c r="B6031" t="s">
        <v>7109</v>
      </c>
      <c r="C6031" t="s">
        <v>5470</v>
      </c>
      <c r="D6031" t="s">
        <v>4058</v>
      </c>
      <c r="E6031" t="s">
        <v>5532</v>
      </c>
      <c r="F6031" t="s">
        <v>23173</v>
      </c>
      <c r="G6031" t="s">
        <v>23170</v>
      </c>
      <c r="H6031" t="s">
        <v>5474</v>
      </c>
      <c r="I6031" t="s">
        <v>23174</v>
      </c>
      <c r="J6031" t="s">
        <v>5476</v>
      </c>
      <c r="K6031" t="s">
        <v>23175</v>
      </c>
      <c r="L6031" t="s">
        <v>5471</v>
      </c>
      <c r="M6031" t="s">
        <v>5471</v>
      </c>
    </row>
    <row r="6032" spans="1:13" x14ac:dyDescent="0.3">
      <c r="A6032" t="s">
        <v>3388</v>
      </c>
      <c r="B6032" t="s">
        <v>7109</v>
      </c>
      <c r="C6032" t="s">
        <v>5470</v>
      </c>
      <c r="D6032" t="s">
        <v>4058</v>
      </c>
      <c r="E6032" t="s">
        <v>5532</v>
      </c>
      <c r="F6032" t="s">
        <v>23176</v>
      </c>
      <c r="G6032" t="s">
        <v>23170</v>
      </c>
      <c r="H6032" t="s">
        <v>5474</v>
      </c>
      <c r="I6032" t="s">
        <v>23177</v>
      </c>
      <c r="J6032" t="s">
        <v>5476</v>
      </c>
      <c r="K6032" t="s">
        <v>23178</v>
      </c>
      <c r="L6032" t="s">
        <v>5471</v>
      </c>
      <c r="M6032" t="s">
        <v>5471</v>
      </c>
    </row>
    <row r="6033" spans="1:13" x14ac:dyDescent="0.3">
      <c r="A6033" t="s">
        <v>3388</v>
      </c>
      <c r="B6033" t="s">
        <v>7109</v>
      </c>
      <c r="C6033" t="s">
        <v>5470</v>
      </c>
      <c r="D6033" t="s">
        <v>4058</v>
      </c>
      <c r="E6033" t="s">
        <v>5532</v>
      </c>
      <c r="F6033" t="s">
        <v>23179</v>
      </c>
      <c r="G6033" t="s">
        <v>23170</v>
      </c>
      <c r="H6033" t="s">
        <v>5474</v>
      </c>
      <c r="I6033" t="s">
        <v>23180</v>
      </c>
      <c r="J6033" t="s">
        <v>5476</v>
      </c>
      <c r="K6033" t="s">
        <v>23181</v>
      </c>
      <c r="L6033" t="s">
        <v>5471</v>
      </c>
      <c r="M6033" t="s">
        <v>5471</v>
      </c>
    </row>
    <row r="6034" spans="1:13" x14ac:dyDescent="0.3">
      <c r="A6034" t="s">
        <v>3388</v>
      </c>
      <c r="B6034" t="s">
        <v>7109</v>
      </c>
      <c r="C6034" t="s">
        <v>5470</v>
      </c>
      <c r="D6034" t="s">
        <v>4058</v>
      </c>
      <c r="E6034" t="s">
        <v>5532</v>
      </c>
      <c r="F6034" t="s">
        <v>23182</v>
      </c>
      <c r="G6034" t="s">
        <v>23170</v>
      </c>
      <c r="H6034" t="s">
        <v>5474</v>
      </c>
      <c r="I6034" t="s">
        <v>23183</v>
      </c>
      <c r="J6034" t="s">
        <v>5476</v>
      </c>
      <c r="K6034" t="s">
        <v>23184</v>
      </c>
      <c r="L6034" t="s">
        <v>5471</v>
      </c>
      <c r="M6034" t="s">
        <v>5471</v>
      </c>
    </row>
    <row r="6035" spans="1:13" x14ac:dyDescent="0.3">
      <c r="A6035" t="s">
        <v>3388</v>
      </c>
      <c r="B6035" t="s">
        <v>7109</v>
      </c>
      <c r="C6035" t="s">
        <v>5470</v>
      </c>
      <c r="D6035" t="s">
        <v>4058</v>
      </c>
      <c r="E6035" t="s">
        <v>5532</v>
      </c>
      <c r="F6035" t="s">
        <v>23185</v>
      </c>
      <c r="G6035" t="s">
        <v>23186</v>
      </c>
      <c r="H6035" t="s">
        <v>5474</v>
      </c>
      <c r="I6035" t="s">
        <v>23187</v>
      </c>
      <c r="J6035" t="s">
        <v>5476</v>
      </c>
      <c r="K6035" t="s">
        <v>23188</v>
      </c>
      <c r="L6035" t="s">
        <v>5471</v>
      </c>
      <c r="M6035" t="s">
        <v>5471</v>
      </c>
    </row>
    <row r="6036" spans="1:13" x14ac:dyDescent="0.3">
      <c r="A6036" t="s">
        <v>3388</v>
      </c>
      <c r="B6036" t="s">
        <v>7109</v>
      </c>
      <c r="C6036" t="s">
        <v>5470</v>
      </c>
      <c r="D6036" t="s">
        <v>4058</v>
      </c>
      <c r="E6036" t="s">
        <v>5532</v>
      </c>
      <c r="F6036" t="s">
        <v>23189</v>
      </c>
      <c r="G6036" t="s">
        <v>23186</v>
      </c>
      <c r="H6036" t="s">
        <v>5474</v>
      </c>
      <c r="I6036" t="s">
        <v>23190</v>
      </c>
      <c r="J6036" t="s">
        <v>5476</v>
      </c>
      <c r="K6036" t="s">
        <v>23191</v>
      </c>
      <c r="L6036" t="s">
        <v>5471</v>
      </c>
      <c r="M6036" t="s">
        <v>5471</v>
      </c>
    </row>
    <row r="6037" spans="1:13" x14ac:dyDescent="0.3">
      <c r="A6037" t="s">
        <v>3388</v>
      </c>
      <c r="B6037" t="s">
        <v>7109</v>
      </c>
      <c r="C6037" t="s">
        <v>5470</v>
      </c>
      <c r="D6037" t="s">
        <v>4058</v>
      </c>
      <c r="E6037" t="s">
        <v>5532</v>
      </c>
      <c r="F6037" t="s">
        <v>23192</v>
      </c>
      <c r="G6037" t="s">
        <v>23186</v>
      </c>
      <c r="H6037" t="s">
        <v>5474</v>
      </c>
      <c r="I6037" t="s">
        <v>23193</v>
      </c>
      <c r="J6037" t="s">
        <v>5476</v>
      </c>
      <c r="K6037" t="s">
        <v>23194</v>
      </c>
      <c r="L6037" t="s">
        <v>5471</v>
      </c>
      <c r="M6037" t="s">
        <v>5471</v>
      </c>
    </row>
    <row r="6038" spans="1:13" x14ac:dyDescent="0.3">
      <c r="A6038" t="s">
        <v>3388</v>
      </c>
      <c r="B6038" t="s">
        <v>7109</v>
      </c>
      <c r="C6038" t="s">
        <v>5470</v>
      </c>
      <c r="D6038" t="s">
        <v>4058</v>
      </c>
      <c r="E6038" t="s">
        <v>5532</v>
      </c>
      <c r="F6038" t="s">
        <v>23195</v>
      </c>
      <c r="G6038" t="s">
        <v>23186</v>
      </c>
      <c r="H6038" t="s">
        <v>5474</v>
      </c>
      <c r="I6038" t="s">
        <v>23196</v>
      </c>
      <c r="J6038" t="s">
        <v>5476</v>
      </c>
      <c r="K6038" t="s">
        <v>23197</v>
      </c>
      <c r="L6038" t="s">
        <v>5471</v>
      </c>
      <c r="M6038" t="s">
        <v>5471</v>
      </c>
    </row>
    <row r="6039" spans="1:13" x14ac:dyDescent="0.3">
      <c r="A6039" t="s">
        <v>3388</v>
      </c>
      <c r="B6039" t="s">
        <v>7109</v>
      </c>
      <c r="C6039" t="s">
        <v>5470</v>
      </c>
      <c r="D6039" t="s">
        <v>4058</v>
      </c>
      <c r="E6039" t="s">
        <v>5532</v>
      </c>
      <c r="F6039" t="s">
        <v>23198</v>
      </c>
      <c r="G6039" t="s">
        <v>23186</v>
      </c>
      <c r="H6039" t="s">
        <v>5474</v>
      </c>
      <c r="I6039" t="s">
        <v>23199</v>
      </c>
      <c r="J6039" t="s">
        <v>5476</v>
      </c>
      <c r="K6039" t="s">
        <v>23200</v>
      </c>
      <c r="L6039" t="s">
        <v>5471</v>
      </c>
      <c r="M6039" t="s">
        <v>5471</v>
      </c>
    </row>
    <row r="6040" spans="1:13" x14ac:dyDescent="0.3">
      <c r="A6040" t="s">
        <v>3388</v>
      </c>
      <c r="B6040" t="s">
        <v>7109</v>
      </c>
      <c r="C6040" t="s">
        <v>5470</v>
      </c>
      <c r="D6040" t="s">
        <v>4058</v>
      </c>
      <c r="E6040" t="s">
        <v>5532</v>
      </c>
      <c r="F6040" t="s">
        <v>23201</v>
      </c>
      <c r="G6040" t="s">
        <v>23202</v>
      </c>
      <c r="H6040" t="s">
        <v>5474</v>
      </c>
      <c r="I6040" t="s">
        <v>23203</v>
      </c>
      <c r="J6040" t="s">
        <v>5476</v>
      </c>
      <c r="K6040" t="s">
        <v>23204</v>
      </c>
      <c r="L6040" t="s">
        <v>5471</v>
      </c>
      <c r="M6040" t="s">
        <v>5471</v>
      </c>
    </row>
    <row r="6041" spans="1:13" x14ac:dyDescent="0.3">
      <c r="A6041" t="s">
        <v>3388</v>
      </c>
      <c r="B6041" t="s">
        <v>7109</v>
      </c>
      <c r="C6041" t="s">
        <v>5470</v>
      </c>
      <c r="D6041" t="s">
        <v>4058</v>
      </c>
      <c r="E6041" t="s">
        <v>5532</v>
      </c>
      <c r="F6041" t="s">
        <v>23205</v>
      </c>
      <c r="G6041" t="s">
        <v>23202</v>
      </c>
      <c r="H6041" t="s">
        <v>5474</v>
      </c>
      <c r="I6041" t="s">
        <v>23206</v>
      </c>
      <c r="J6041" t="s">
        <v>5476</v>
      </c>
      <c r="K6041" t="s">
        <v>23207</v>
      </c>
      <c r="L6041" t="s">
        <v>5471</v>
      </c>
      <c r="M6041" t="s">
        <v>5471</v>
      </c>
    </row>
    <row r="6042" spans="1:13" x14ac:dyDescent="0.3">
      <c r="A6042" t="s">
        <v>3388</v>
      </c>
      <c r="B6042" t="s">
        <v>7109</v>
      </c>
      <c r="C6042" t="s">
        <v>5470</v>
      </c>
      <c r="D6042" t="s">
        <v>4058</v>
      </c>
      <c r="E6042" t="s">
        <v>5532</v>
      </c>
      <c r="F6042" t="s">
        <v>23208</v>
      </c>
      <c r="G6042" t="s">
        <v>23202</v>
      </c>
      <c r="H6042" t="s">
        <v>5474</v>
      </c>
      <c r="I6042" t="s">
        <v>23209</v>
      </c>
      <c r="J6042" t="s">
        <v>5476</v>
      </c>
      <c r="K6042" t="s">
        <v>23210</v>
      </c>
      <c r="L6042" t="s">
        <v>5471</v>
      </c>
      <c r="M6042" t="s">
        <v>5471</v>
      </c>
    </row>
    <row r="6043" spans="1:13" x14ac:dyDescent="0.3">
      <c r="A6043" t="s">
        <v>3388</v>
      </c>
      <c r="B6043" t="s">
        <v>7109</v>
      </c>
      <c r="C6043" t="s">
        <v>5470</v>
      </c>
      <c r="D6043" t="s">
        <v>4058</v>
      </c>
      <c r="E6043" t="s">
        <v>5532</v>
      </c>
      <c r="F6043" t="s">
        <v>23211</v>
      </c>
      <c r="G6043" t="s">
        <v>23202</v>
      </c>
      <c r="H6043" t="s">
        <v>5474</v>
      </c>
      <c r="I6043" t="s">
        <v>23212</v>
      </c>
      <c r="J6043" t="s">
        <v>5476</v>
      </c>
      <c r="K6043" t="s">
        <v>23213</v>
      </c>
      <c r="L6043" t="s">
        <v>5471</v>
      </c>
      <c r="M6043" t="s">
        <v>5471</v>
      </c>
    </row>
    <row r="6044" spans="1:13" x14ac:dyDescent="0.3">
      <c r="A6044" t="s">
        <v>3388</v>
      </c>
      <c r="B6044" t="s">
        <v>7109</v>
      </c>
      <c r="C6044" t="s">
        <v>5470</v>
      </c>
      <c r="D6044" t="s">
        <v>4058</v>
      </c>
      <c r="E6044" t="s">
        <v>5532</v>
      </c>
      <c r="F6044" t="s">
        <v>23214</v>
      </c>
      <c r="G6044" t="s">
        <v>23202</v>
      </c>
      <c r="H6044" t="s">
        <v>5474</v>
      </c>
      <c r="I6044" t="s">
        <v>23215</v>
      </c>
      <c r="J6044" t="s">
        <v>5476</v>
      </c>
      <c r="K6044" t="s">
        <v>23216</v>
      </c>
      <c r="L6044" t="s">
        <v>5471</v>
      </c>
      <c r="M6044" t="s">
        <v>5471</v>
      </c>
    </row>
    <row r="6045" spans="1:13" x14ac:dyDescent="0.3">
      <c r="A6045" t="s">
        <v>3388</v>
      </c>
      <c r="B6045" t="s">
        <v>7109</v>
      </c>
      <c r="C6045" t="s">
        <v>5470</v>
      </c>
      <c r="D6045" t="s">
        <v>4058</v>
      </c>
      <c r="E6045" t="s">
        <v>5532</v>
      </c>
      <c r="F6045" t="s">
        <v>23217</v>
      </c>
      <c r="G6045" t="s">
        <v>23218</v>
      </c>
      <c r="H6045" t="s">
        <v>5474</v>
      </c>
      <c r="I6045" t="s">
        <v>23219</v>
      </c>
      <c r="J6045" t="s">
        <v>5476</v>
      </c>
      <c r="K6045" t="s">
        <v>23220</v>
      </c>
      <c r="L6045" t="s">
        <v>5471</v>
      </c>
      <c r="M6045" t="s">
        <v>5471</v>
      </c>
    </row>
    <row r="6046" spans="1:13" x14ac:dyDescent="0.3">
      <c r="A6046" t="s">
        <v>3388</v>
      </c>
      <c r="B6046" t="s">
        <v>7109</v>
      </c>
      <c r="C6046" t="s">
        <v>5470</v>
      </c>
      <c r="D6046" t="s">
        <v>4058</v>
      </c>
      <c r="E6046" t="s">
        <v>5532</v>
      </c>
      <c r="F6046" t="s">
        <v>23221</v>
      </c>
      <c r="G6046" t="s">
        <v>23218</v>
      </c>
      <c r="H6046" t="s">
        <v>5474</v>
      </c>
      <c r="I6046" t="s">
        <v>23222</v>
      </c>
      <c r="J6046" t="s">
        <v>5476</v>
      </c>
      <c r="K6046" t="s">
        <v>23223</v>
      </c>
      <c r="L6046" t="s">
        <v>5471</v>
      </c>
      <c r="M6046" t="s">
        <v>5471</v>
      </c>
    </row>
    <row r="6047" spans="1:13" x14ac:dyDescent="0.3">
      <c r="A6047" t="s">
        <v>3388</v>
      </c>
      <c r="B6047" t="s">
        <v>7109</v>
      </c>
      <c r="C6047" t="s">
        <v>5470</v>
      </c>
      <c r="D6047" t="s">
        <v>4058</v>
      </c>
      <c r="E6047" t="s">
        <v>5532</v>
      </c>
      <c r="F6047" t="s">
        <v>23224</v>
      </c>
      <c r="G6047" t="s">
        <v>23218</v>
      </c>
      <c r="H6047" t="s">
        <v>5474</v>
      </c>
      <c r="I6047" t="s">
        <v>23225</v>
      </c>
      <c r="J6047" t="s">
        <v>5476</v>
      </c>
      <c r="K6047" t="s">
        <v>23226</v>
      </c>
      <c r="L6047" t="s">
        <v>5471</v>
      </c>
      <c r="M6047" t="s">
        <v>5471</v>
      </c>
    </row>
    <row r="6048" spans="1:13" x14ac:dyDescent="0.3">
      <c r="A6048" t="s">
        <v>3388</v>
      </c>
      <c r="B6048" t="s">
        <v>7109</v>
      </c>
      <c r="C6048" t="s">
        <v>5470</v>
      </c>
      <c r="D6048" t="s">
        <v>4058</v>
      </c>
      <c r="E6048" t="s">
        <v>5532</v>
      </c>
      <c r="F6048" t="s">
        <v>23227</v>
      </c>
      <c r="G6048" t="s">
        <v>23218</v>
      </c>
      <c r="H6048" t="s">
        <v>5474</v>
      </c>
      <c r="I6048" t="s">
        <v>23228</v>
      </c>
      <c r="J6048" t="s">
        <v>5476</v>
      </c>
      <c r="K6048" t="s">
        <v>23229</v>
      </c>
      <c r="L6048" t="s">
        <v>5471</v>
      </c>
      <c r="M6048" t="s">
        <v>5471</v>
      </c>
    </row>
    <row r="6049" spans="1:13" x14ac:dyDescent="0.3">
      <c r="A6049" t="s">
        <v>3388</v>
      </c>
      <c r="B6049" t="s">
        <v>7109</v>
      </c>
      <c r="C6049" t="s">
        <v>5470</v>
      </c>
      <c r="D6049" t="s">
        <v>4058</v>
      </c>
      <c r="E6049" t="s">
        <v>5532</v>
      </c>
      <c r="F6049" t="s">
        <v>23230</v>
      </c>
      <c r="G6049" t="s">
        <v>23218</v>
      </c>
      <c r="H6049" t="s">
        <v>5474</v>
      </c>
      <c r="I6049" t="s">
        <v>23231</v>
      </c>
      <c r="J6049" t="s">
        <v>5476</v>
      </c>
      <c r="K6049" t="s">
        <v>23232</v>
      </c>
      <c r="L6049" t="s">
        <v>5471</v>
      </c>
      <c r="M6049" t="s">
        <v>5471</v>
      </c>
    </row>
    <row r="6050" spans="1:13" x14ac:dyDescent="0.3">
      <c r="A6050" t="s">
        <v>3388</v>
      </c>
      <c r="B6050" t="s">
        <v>7109</v>
      </c>
      <c r="C6050" t="s">
        <v>5470</v>
      </c>
      <c r="D6050" t="s">
        <v>4058</v>
      </c>
      <c r="E6050" t="s">
        <v>5532</v>
      </c>
      <c r="F6050" t="s">
        <v>23233</v>
      </c>
      <c r="G6050" t="s">
        <v>19195</v>
      </c>
      <c r="H6050" t="s">
        <v>5474</v>
      </c>
      <c r="I6050" t="s">
        <v>23234</v>
      </c>
      <c r="J6050" t="s">
        <v>5476</v>
      </c>
      <c r="K6050" t="s">
        <v>23235</v>
      </c>
      <c r="L6050" t="s">
        <v>5471</v>
      </c>
      <c r="M6050" t="s">
        <v>5471</v>
      </c>
    </row>
    <row r="6051" spans="1:13" x14ac:dyDescent="0.3">
      <c r="A6051" t="s">
        <v>3388</v>
      </c>
      <c r="B6051" t="s">
        <v>7109</v>
      </c>
      <c r="C6051" t="s">
        <v>5470</v>
      </c>
      <c r="D6051" t="s">
        <v>4058</v>
      </c>
      <c r="E6051" t="s">
        <v>5532</v>
      </c>
      <c r="F6051" t="s">
        <v>23236</v>
      </c>
      <c r="G6051" t="s">
        <v>23237</v>
      </c>
      <c r="H6051" t="s">
        <v>5474</v>
      </c>
      <c r="I6051" t="s">
        <v>23238</v>
      </c>
      <c r="J6051" t="s">
        <v>5476</v>
      </c>
      <c r="K6051" t="s">
        <v>23239</v>
      </c>
      <c r="L6051" t="s">
        <v>5471</v>
      </c>
      <c r="M6051" t="s">
        <v>5471</v>
      </c>
    </row>
    <row r="6052" spans="1:13" x14ac:dyDescent="0.3">
      <c r="A6052" t="s">
        <v>3388</v>
      </c>
      <c r="B6052" t="s">
        <v>7109</v>
      </c>
      <c r="C6052" t="s">
        <v>5470</v>
      </c>
      <c r="D6052" t="s">
        <v>4058</v>
      </c>
      <c r="E6052" t="s">
        <v>5532</v>
      </c>
      <c r="F6052" t="s">
        <v>23240</v>
      </c>
      <c r="G6052" t="s">
        <v>23237</v>
      </c>
      <c r="H6052" t="s">
        <v>5474</v>
      </c>
      <c r="I6052" t="s">
        <v>23241</v>
      </c>
      <c r="J6052" t="s">
        <v>5476</v>
      </c>
      <c r="K6052" t="s">
        <v>23242</v>
      </c>
      <c r="L6052" t="s">
        <v>5471</v>
      </c>
      <c r="M6052" t="s">
        <v>5471</v>
      </c>
    </row>
    <row r="6053" spans="1:13" x14ac:dyDescent="0.3">
      <c r="A6053" t="s">
        <v>3388</v>
      </c>
      <c r="B6053" t="s">
        <v>7109</v>
      </c>
      <c r="C6053" t="s">
        <v>5470</v>
      </c>
      <c r="D6053" t="s">
        <v>4058</v>
      </c>
      <c r="E6053" t="s">
        <v>5532</v>
      </c>
      <c r="F6053" t="s">
        <v>23243</v>
      </c>
      <c r="G6053" t="s">
        <v>23237</v>
      </c>
      <c r="H6053" t="s">
        <v>5474</v>
      </c>
      <c r="I6053" t="s">
        <v>23244</v>
      </c>
      <c r="J6053" t="s">
        <v>5476</v>
      </c>
      <c r="K6053" t="s">
        <v>23245</v>
      </c>
      <c r="L6053" t="s">
        <v>5471</v>
      </c>
      <c r="M6053" t="s">
        <v>5471</v>
      </c>
    </row>
    <row r="6054" spans="1:13" x14ac:dyDescent="0.3">
      <c r="A6054" t="s">
        <v>3388</v>
      </c>
      <c r="B6054" t="s">
        <v>7109</v>
      </c>
      <c r="C6054" t="s">
        <v>5470</v>
      </c>
      <c r="D6054" t="s">
        <v>4058</v>
      </c>
      <c r="E6054" t="s">
        <v>5532</v>
      </c>
      <c r="F6054" t="s">
        <v>23246</v>
      </c>
      <c r="G6054" t="s">
        <v>23237</v>
      </c>
      <c r="H6054" t="s">
        <v>5474</v>
      </c>
      <c r="I6054" t="s">
        <v>23247</v>
      </c>
      <c r="J6054" t="s">
        <v>5476</v>
      </c>
      <c r="K6054" t="s">
        <v>23248</v>
      </c>
      <c r="L6054" t="s">
        <v>5471</v>
      </c>
      <c r="M6054" t="s">
        <v>5471</v>
      </c>
    </row>
    <row r="6055" spans="1:13" x14ac:dyDescent="0.3">
      <c r="A6055" t="s">
        <v>3388</v>
      </c>
      <c r="B6055" t="s">
        <v>7109</v>
      </c>
      <c r="C6055" t="s">
        <v>5470</v>
      </c>
      <c r="D6055" t="s">
        <v>4058</v>
      </c>
      <c r="E6055" t="s">
        <v>5532</v>
      </c>
      <c r="F6055" t="s">
        <v>23249</v>
      </c>
      <c r="G6055" t="s">
        <v>23237</v>
      </c>
      <c r="H6055" t="s">
        <v>5474</v>
      </c>
      <c r="I6055" t="s">
        <v>23250</v>
      </c>
      <c r="J6055" t="s">
        <v>5476</v>
      </c>
      <c r="K6055" t="s">
        <v>23251</v>
      </c>
      <c r="L6055" t="s">
        <v>5471</v>
      </c>
      <c r="M6055" t="s">
        <v>5471</v>
      </c>
    </row>
    <row r="6056" spans="1:13" x14ac:dyDescent="0.3">
      <c r="A6056" t="s">
        <v>3388</v>
      </c>
      <c r="B6056" t="s">
        <v>7109</v>
      </c>
      <c r="C6056" t="s">
        <v>5470</v>
      </c>
      <c r="D6056" t="s">
        <v>4058</v>
      </c>
      <c r="E6056" t="s">
        <v>5532</v>
      </c>
      <c r="F6056" t="s">
        <v>23252</v>
      </c>
      <c r="G6056" t="s">
        <v>10503</v>
      </c>
      <c r="H6056" t="s">
        <v>5474</v>
      </c>
      <c r="I6056" t="s">
        <v>23253</v>
      </c>
      <c r="J6056" t="s">
        <v>5476</v>
      </c>
      <c r="K6056" t="s">
        <v>23254</v>
      </c>
      <c r="L6056" t="s">
        <v>5471</v>
      </c>
      <c r="M6056" t="s">
        <v>5471</v>
      </c>
    </row>
    <row r="6057" spans="1:13" x14ac:dyDescent="0.3">
      <c r="A6057" t="s">
        <v>3388</v>
      </c>
      <c r="B6057" t="s">
        <v>7109</v>
      </c>
      <c r="C6057" t="s">
        <v>5470</v>
      </c>
      <c r="D6057" t="s">
        <v>4058</v>
      </c>
      <c r="E6057" t="s">
        <v>5532</v>
      </c>
      <c r="F6057" t="s">
        <v>23255</v>
      </c>
      <c r="G6057" t="s">
        <v>10503</v>
      </c>
      <c r="H6057" t="s">
        <v>5474</v>
      </c>
      <c r="I6057" t="s">
        <v>23256</v>
      </c>
      <c r="J6057" t="s">
        <v>5476</v>
      </c>
      <c r="K6057" t="s">
        <v>23257</v>
      </c>
      <c r="L6057" t="s">
        <v>5471</v>
      </c>
      <c r="M6057" t="s">
        <v>5471</v>
      </c>
    </row>
    <row r="6058" spans="1:13" x14ac:dyDescent="0.3">
      <c r="A6058" t="s">
        <v>3388</v>
      </c>
      <c r="B6058" t="s">
        <v>7109</v>
      </c>
      <c r="C6058" t="s">
        <v>5470</v>
      </c>
      <c r="D6058" t="s">
        <v>4058</v>
      </c>
      <c r="E6058" t="s">
        <v>5532</v>
      </c>
      <c r="F6058" t="s">
        <v>23258</v>
      </c>
      <c r="G6058" t="s">
        <v>10503</v>
      </c>
      <c r="H6058" t="s">
        <v>5474</v>
      </c>
      <c r="I6058" t="s">
        <v>23259</v>
      </c>
      <c r="J6058" t="s">
        <v>5476</v>
      </c>
      <c r="K6058" t="s">
        <v>23260</v>
      </c>
      <c r="L6058" t="s">
        <v>5471</v>
      </c>
      <c r="M6058" t="s">
        <v>5471</v>
      </c>
    </row>
    <row r="6059" spans="1:13" x14ac:dyDescent="0.3">
      <c r="A6059" t="s">
        <v>3388</v>
      </c>
      <c r="B6059" t="s">
        <v>7109</v>
      </c>
      <c r="C6059" t="s">
        <v>5470</v>
      </c>
      <c r="D6059" t="s">
        <v>4058</v>
      </c>
      <c r="E6059" t="s">
        <v>5532</v>
      </c>
      <c r="F6059" t="s">
        <v>23261</v>
      </c>
      <c r="G6059" t="s">
        <v>10503</v>
      </c>
      <c r="H6059" t="s">
        <v>5474</v>
      </c>
      <c r="I6059" t="s">
        <v>23262</v>
      </c>
      <c r="J6059" t="s">
        <v>5476</v>
      </c>
      <c r="K6059" t="s">
        <v>23263</v>
      </c>
      <c r="L6059" t="s">
        <v>5471</v>
      </c>
      <c r="M6059" t="s">
        <v>5471</v>
      </c>
    </row>
    <row r="6060" spans="1:13" x14ac:dyDescent="0.3">
      <c r="A6060" t="s">
        <v>3388</v>
      </c>
      <c r="B6060" t="s">
        <v>7109</v>
      </c>
      <c r="C6060" t="s">
        <v>5470</v>
      </c>
      <c r="D6060" t="s">
        <v>4058</v>
      </c>
      <c r="E6060" t="s">
        <v>5532</v>
      </c>
      <c r="F6060" t="s">
        <v>23264</v>
      </c>
      <c r="G6060" t="s">
        <v>10503</v>
      </c>
      <c r="H6060" t="s">
        <v>5474</v>
      </c>
      <c r="I6060" t="s">
        <v>23265</v>
      </c>
      <c r="J6060" t="s">
        <v>5476</v>
      </c>
      <c r="K6060" t="s">
        <v>23266</v>
      </c>
      <c r="L6060" t="s">
        <v>5471</v>
      </c>
      <c r="M6060" t="s">
        <v>5471</v>
      </c>
    </row>
    <row r="6061" spans="1:13" x14ac:dyDescent="0.3">
      <c r="A6061" t="s">
        <v>3388</v>
      </c>
      <c r="B6061" t="s">
        <v>7109</v>
      </c>
      <c r="C6061" t="s">
        <v>5470</v>
      </c>
      <c r="D6061" t="s">
        <v>4058</v>
      </c>
      <c r="E6061" t="s">
        <v>5532</v>
      </c>
      <c r="F6061" t="s">
        <v>23267</v>
      </c>
      <c r="G6061" t="s">
        <v>18601</v>
      </c>
      <c r="H6061" t="s">
        <v>5474</v>
      </c>
      <c r="I6061" t="s">
        <v>23268</v>
      </c>
      <c r="J6061" t="s">
        <v>5476</v>
      </c>
      <c r="K6061" t="s">
        <v>23269</v>
      </c>
      <c r="L6061" t="s">
        <v>5471</v>
      </c>
      <c r="M6061" t="s">
        <v>5471</v>
      </c>
    </row>
    <row r="6062" spans="1:13" x14ac:dyDescent="0.3">
      <c r="A6062" t="s">
        <v>3388</v>
      </c>
      <c r="B6062" t="s">
        <v>7109</v>
      </c>
      <c r="C6062" t="s">
        <v>5470</v>
      </c>
      <c r="D6062" t="s">
        <v>4058</v>
      </c>
      <c r="E6062" t="s">
        <v>5532</v>
      </c>
      <c r="F6062" t="s">
        <v>23270</v>
      </c>
      <c r="G6062" t="s">
        <v>18601</v>
      </c>
      <c r="H6062" t="s">
        <v>5474</v>
      </c>
      <c r="I6062" t="s">
        <v>23271</v>
      </c>
      <c r="J6062" t="s">
        <v>5476</v>
      </c>
      <c r="K6062" t="s">
        <v>23272</v>
      </c>
      <c r="L6062" t="s">
        <v>5471</v>
      </c>
      <c r="M6062" t="s">
        <v>5471</v>
      </c>
    </row>
    <row r="6063" spans="1:13" x14ac:dyDescent="0.3">
      <c r="A6063" t="s">
        <v>3388</v>
      </c>
      <c r="B6063" t="s">
        <v>7109</v>
      </c>
      <c r="C6063" t="s">
        <v>5470</v>
      </c>
      <c r="D6063" t="s">
        <v>4058</v>
      </c>
      <c r="E6063" t="s">
        <v>5532</v>
      </c>
      <c r="F6063" t="s">
        <v>23273</v>
      </c>
      <c r="G6063" t="s">
        <v>18601</v>
      </c>
      <c r="H6063" t="s">
        <v>5474</v>
      </c>
      <c r="I6063" t="s">
        <v>23274</v>
      </c>
      <c r="J6063" t="s">
        <v>5476</v>
      </c>
      <c r="K6063" t="s">
        <v>23275</v>
      </c>
      <c r="L6063" t="s">
        <v>5471</v>
      </c>
      <c r="M6063" t="s">
        <v>5471</v>
      </c>
    </row>
    <row r="6064" spans="1:13" x14ac:dyDescent="0.3">
      <c r="A6064" t="s">
        <v>3388</v>
      </c>
      <c r="B6064" t="s">
        <v>7109</v>
      </c>
      <c r="C6064" t="s">
        <v>5470</v>
      </c>
      <c r="D6064" t="s">
        <v>4058</v>
      </c>
      <c r="E6064" t="s">
        <v>5532</v>
      </c>
      <c r="F6064" t="s">
        <v>23276</v>
      </c>
      <c r="G6064" t="s">
        <v>18601</v>
      </c>
      <c r="H6064" t="s">
        <v>5474</v>
      </c>
      <c r="I6064" t="s">
        <v>23277</v>
      </c>
      <c r="J6064" t="s">
        <v>5476</v>
      </c>
      <c r="K6064" t="s">
        <v>23278</v>
      </c>
      <c r="L6064" t="s">
        <v>5471</v>
      </c>
      <c r="M6064" t="s">
        <v>5471</v>
      </c>
    </row>
    <row r="6065" spans="1:13" x14ac:dyDescent="0.3">
      <c r="A6065" t="s">
        <v>3388</v>
      </c>
      <c r="B6065" t="s">
        <v>7109</v>
      </c>
      <c r="C6065" t="s">
        <v>5470</v>
      </c>
      <c r="D6065" t="s">
        <v>4058</v>
      </c>
      <c r="E6065" t="s">
        <v>5532</v>
      </c>
      <c r="F6065" t="s">
        <v>23279</v>
      </c>
      <c r="G6065" t="s">
        <v>10175</v>
      </c>
      <c r="H6065" t="s">
        <v>5474</v>
      </c>
      <c r="I6065" t="s">
        <v>23280</v>
      </c>
      <c r="J6065" t="s">
        <v>5476</v>
      </c>
      <c r="K6065" t="s">
        <v>23281</v>
      </c>
      <c r="L6065" t="s">
        <v>5471</v>
      </c>
      <c r="M6065" t="s">
        <v>5471</v>
      </c>
    </row>
    <row r="6066" spans="1:13" x14ac:dyDescent="0.3">
      <c r="A6066" t="s">
        <v>3388</v>
      </c>
      <c r="B6066" t="s">
        <v>7109</v>
      </c>
      <c r="C6066" t="s">
        <v>5470</v>
      </c>
      <c r="D6066" t="s">
        <v>4058</v>
      </c>
      <c r="E6066" t="s">
        <v>5532</v>
      </c>
      <c r="F6066" t="s">
        <v>23282</v>
      </c>
      <c r="G6066" t="s">
        <v>10175</v>
      </c>
      <c r="H6066" t="s">
        <v>5474</v>
      </c>
      <c r="I6066" t="s">
        <v>23283</v>
      </c>
      <c r="J6066" t="s">
        <v>5476</v>
      </c>
      <c r="K6066" t="s">
        <v>23284</v>
      </c>
      <c r="L6066" t="s">
        <v>5471</v>
      </c>
      <c r="M6066" t="s">
        <v>5471</v>
      </c>
    </row>
    <row r="6067" spans="1:13" x14ac:dyDescent="0.3">
      <c r="A6067" t="s">
        <v>3388</v>
      </c>
      <c r="B6067" t="s">
        <v>7109</v>
      </c>
      <c r="C6067" t="s">
        <v>5470</v>
      </c>
      <c r="D6067" t="s">
        <v>4058</v>
      </c>
      <c r="E6067" t="s">
        <v>5532</v>
      </c>
      <c r="F6067" t="s">
        <v>23285</v>
      </c>
      <c r="G6067" t="s">
        <v>10175</v>
      </c>
      <c r="H6067" t="s">
        <v>5474</v>
      </c>
      <c r="I6067" t="s">
        <v>23286</v>
      </c>
      <c r="J6067" t="s">
        <v>5476</v>
      </c>
      <c r="K6067" t="s">
        <v>23287</v>
      </c>
      <c r="L6067" t="s">
        <v>5471</v>
      </c>
      <c r="M6067" t="s">
        <v>5471</v>
      </c>
    </row>
    <row r="6068" spans="1:13" x14ac:dyDescent="0.3">
      <c r="A6068" t="s">
        <v>3388</v>
      </c>
      <c r="B6068" t="s">
        <v>7109</v>
      </c>
      <c r="C6068" t="s">
        <v>5470</v>
      </c>
      <c r="D6068" t="s">
        <v>4058</v>
      </c>
      <c r="E6068" t="s">
        <v>5532</v>
      </c>
      <c r="F6068" t="s">
        <v>23288</v>
      </c>
      <c r="G6068" t="s">
        <v>10175</v>
      </c>
      <c r="H6068" t="s">
        <v>5474</v>
      </c>
      <c r="I6068" t="s">
        <v>23289</v>
      </c>
      <c r="J6068" t="s">
        <v>5476</v>
      </c>
      <c r="K6068" t="s">
        <v>23290</v>
      </c>
      <c r="L6068" t="s">
        <v>5471</v>
      </c>
      <c r="M6068" t="s">
        <v>5471</v>
      </c>
    </row>
    <row r="6069" spans="1:13" x14ac:dyDescent="0.3">
      <c r="A6069" t="s">
        <v>3388</v>
      </c>
      <c r="B6069" t="s">
        <v>7109</v>
      </c>
      <c r="C6069" t="s">
        <v>5470</v>
      </c>
      <c r="D6069" t="s">
        <v>4058</v>
      </c>
      <c r="E6069" t="s">
        <v>5532</v>
      </c>
      <c r="F6069" t="s">
        <v>23291</v>
      </c>
      <c r="G6069" t="s">
        <v>10175</v>
      </c>
      <c r="H6069" t="s">
        <v>5474</v>
      </c>
      <c r="I6069" t="s">
        <v>23292</v>
      </c>
      <c r="J6069" t="s">
        <v>5476</v>
      </c>
      <c r="K6069" t="s">
        <v>23293</v>
      </c>
      <c r="L6069" t="s">
        <v>5471</v>
      </c>
      <c r="M6069" t="s">
        <v>5471</v>
      </c>
    </row>
    <row r="6070" spans="1:13" x14ac:dyDescent="0.3">
      <c r="A6070" t="s">
        <v>3388</v>
      </c>
      <c r="B6070" t="s">
        <v>7109</v>
      </c>
      <c r="C6070" t="s">
        <v>5470</v>
      </c>
      <c r="D6070" t="s">
        <v>4058</v>
      </c>
      <c r="E6070" t="s">
        <v>5532</v>
      </c>
      <c r="F6070" t="s">
        <v>23294</v>
      </c>
      <c r="G6070" t="s">
        <v>22368</v>
      </c>
      <c r="H6070" t="s">
        <v>5474</v>
      </c>
      <c r="I6070" t="s">
        <v>23295</v>
      </c>
      <c r="J6070" t="s">
        <v>5476</v>
      </c>
      <c r="K6070" t="s">
        <v>23296</v>
      </c>
      <c r="L6070" t="s">
        <v>5471</v>
      </c>
      <c r="M6070" t="s">
        <v>5471</v>
      </c>
    </row>
    <row r="6071" spans="1:13" x14ac:dyDescent="0.3">
      <c r="A6071" t="s">
        <v>3388</v>
      </c>
      <c r="B6071" t="s">
        <v>7109</v>
      </c>
      <c r="C6071" t="s">
        <v>5470</v>
      </c>
      <c r="D6071" t="s">
        <v>4058</v>
      </c>
      <c r="E6071" t="s">
        <v>5532</v>
      </c>
      <c r="F6071" t="s">
        <v>23297</v>
      </c>
      <c r="G6071" t="s">
        <v>22368</v>
      </c>
      <c r="H6071" t="s">
        <v>5474</v>
      </c>
      <c r="I6071" t="s">
        <v>23298</v>
      </c>
      <c r="J6071" t="s">
        <v>5476</v>
      </c>
      <c r="K6071" t="s">
        <v>23299</v>
      </c>
      <c r="L6071" t="s">
        <v>5471</v>
      </c>
      <c r="M6071" t="s">
        <v>5471</v>
      </c>
    </row>
    <row r="6072" spans="1:13" x14ac:dyDescent="0.3">
      <c r="A6072" t="s">
        <v>3388</v>
      </c>
      <c r="B6072" t="s">
        <v>7109</v>
      </c>
      <c r="C6072" t="s">
        <v>5470</v>
      </c>
      <c r="D6072" t="s">
        <v>4058</v>
      </c>
      <c r="E6072" t="s">
        <v>5532</v>
      </c>
      <c r="F6072" t="s">
        <v>23300</v>
      </c>
      <c r="G6072" t="s">
        <v>22368</v>
      </c>
      <c r="H6072" t="s">
        <v>5474</v>
      </c>
      <c r="I6072" t="s">
        <v>23301</v>
      </c>
      <c r="J6072" t="s">
        <v>5476</v>
      </c>
      <c r="K6072" t="s">
        <v>23302</v>
      </c>
      <c r="L6072" t="s">
        <v>5471</v>
      </c>
      <c r="M6072" t="s">
        <v>5471</v>
      </c>
    </row>
    <row r="6073" spans="1:13" x14ac:dyDescent="0.3">
      <c r="A6073" t="s">
        <v>3388</v>
      </c>
      <c r="B6073" t="s">
        <v>7109</v>
      </c>
      <c r="C6073" t="s">
        <v>5470</v>
      </c>
      <c r="D6073" t="s">
        <v>4058</v>
      </c>
      <c r="E6073" t="s">
        <v>5532</v>
      </c>
      <c r="F6073" t="s">
        <v>23303</v>
      </c>
      <c r="G6073" t="s">
        <v>22372</v>
      </c>
      <c r="H6073" t="s">
        <v>5474</v>
      </c>
      <c r="I6073" t="s">
        <v>23304</v>
      </c>
      <c r="J6073" t="s">
        <v>5476</v>
      </c>
      <c r="K6073" t="s">
        <v>23305</v>
      </c>
      <c r="L6073" t="s">
        <v>5471</v>
      </c>
      <c r="M6073" t="s">
        <v>5471</v>
      </c>
    </row>
    <row r="6074" spans="1:13" x14ac:dyDescent="0.3">
      <c r="A6074" t="s">
        <v>3388</v>
      </c>
      <c r="B6074" t="s">
        <v>7109</v>
      </c>
      <c r="C6074" t="s">
        <v>5470</v>
      </c>
      <c r="D6074" t="s">
        <v>4058</v>
      </c>
      <c r="E6074" t="s">
        <v>5532</v>
      </c>
      <c r="F6074" t="s">
        <v>23306</v>
      </c>
      <c r="G6074" t="s">
        <v>22372</v>
      </c>
      <c r="H6074" t="s">
        <v>5474</v>
      </c>
      <c r="I6074" t="s">
        <v>23307</v>
      </c>
      <c r="J6074" t="s">
        <v>5476</v>
      </c>
      <c r="K6074" t="s">
        <v>23308</v>
      </c>
      <c r="L6074" t="s">
        <v>5471</v>
      </c>
      <c r="M6074" t="s">
        <v>5471</v>
      </c>
    </row>
    <row r="6075" spans="1:13" x14ac:dyDescent="0.3">
      <c r="A6075" t="s">
        <v>3388</v>
      </c>
      <c r="B6075" t="s">
        <v>7109</v>
      </c>
      <c r="C6075" t="s">
        <v>5470</v>
      </c>
      <c r="D6075" t="s">
        <v>4058</v>
      </c>
      <c r="E6075" t="s">
        <v>5532</v>
      </c>
      <c r="F6075" t="s">
        <v>23309</v>
      </c>
      <c r="G6075" t="s">
        <v>22372</v>
      </c>
      <c r="H6075" t="s">
        <v>5474</v>
      </c>
      <c r="I6075" t="s">
        <v>23310</v>
      </c>
      <c r="J6075" t="s">
        <v>5476</v>
      </c>
      <c r="K6075" t="s">
        <v>23311</v>
      </c>
      <c r="L6075" t="s">
        <v>5471</v>
      </c>
      <c r="M6075" t="s">
        <v>5471</v>
      </c>
    </row>
    <row r="6076" spans="1:13" x14ac:dyDescent="0.3">
      <c r="A6076" t="s">
        <v>3388</v>
      </c>
      <c r="B6076" t="s">
        <v>7109</v>
      </c>
      <c r="C6076" t="s">
        <v>5470</v>
      </c>
      <c r="D6076" t="s">
        <v>4058</v>
      </c>
      <c r="E6076" t="s">
        <v>5532</v>
      </c>
      <c r="F6076" t="s">
        <v>23312</v>
      </c>
      <c r="G6076" t="s">
        <v>22372</v>
      </c>
      <c r="H6076" t="s">
        <v>5474</v>
      </c>
      <c r="I6076" t="s">
        <v>23313</v>
      </c>
      <c r="J6076" t="s">
        <v>5476</v>
      </c>
      <c r="K6076" t="s">
        <v>23314</v>
      </c>
      <c r="L6076" t="s">
        <v>5471</v>
      </c>
      <c r="M6076" t="s">
        <v>5471</v>
      </c>
    </row>
    <row r="6077" spans="1:13" x14ac:dyDescent="0.3">
      <c r="A6077" t="s">
        <v>3388</v>
      </c>
      <c r="B6077" t="s">
        <v>7109</v>
      </c>
      <c r="C6077" t="s">
        <v>5470</v>
      </c>
      <c r="D6077" t="s">
        <v>4058</v>
      </c>
      <c r="E6077" t="s">
        <v>5532</v>
      </c>
      <c r="F6077" t="s">
        <v>23315</v>
      </c>
      <c r="G6077" t="s">
        <v>22372</v>
      </c>
      <c r="H6077" t="s">
        <v>5474</v>
      </c>
      <c r="I6077" t="s">
        <v>23316</v>
      </c>
      <c r="J6077" t="s">
        <v>5476</v>
      </c>
      <c r="K6077" t="s">
        <v>23317</v>
      </c>
      <c r="L6077" t="s">
        <v>5471</v>
      </c>
      <c r="M6077" t="s">
        <v>5471</v>
      </c>
    </row>
    <row r="6078" spans="1:13" x14ac:dyDescent="0.3">
      <c r="A6078" t="s">
        <v>3388</v>
      </c>
      <c r="B6078" t="s">
        <v>7109</v>
      </c>
      <c r="C6078" t="s">
        <v>5470</v>
      </c>
      <c r="D6078" t="s">
        <v>4058</v>
      </c>
      <c r="E6078" t="s">
        <v>5532</v>
      </c>
      <c r="F6078" t="s">
        <v>23318</v>
      </c>
      <c r="G6078" t="s">
        <v>22372</v>
      </c>
      <c r="H6078" t="s">
        <v>5474</v>
      </c>
      <c r="I6078" t="s">
        <v>23319</v>
      </c>
      <c r="J6078" t="s">
        <v>5476</v>
      </c>
      <c r="K6078" t="s">
        <v>23320</v>
      </c>
      <c r="L6078" t="s">
        <v>5471</v>
      </c>
      <c r="M6078" t="s">
        <v>5471</v>
      </c>
    </row>
    <row r="6079" spans="1:13" x14ac:dyDescent="0.3">
      <c r="A6079" t="s">
        <v>3388</v>
      </c>
      <c r="B6079" t="s">
        <v>7109</v>
      </c>
      <c r="C6079" t="s">
        <v>5470</v>
      </c>
      <c r="D6079" t="s">
        <v>4058</v>
      </c>
      <c r="E6079" t="s">
        <v>5532</v>
      </c>
      <c r="F6079" t="s">
        <v>23321</v>
      </c>
      <c r="G6079" t="s">
        <v>21840</v>
      </c>
      <c r="H6079" t="s">
        <v>5474</v>
      </c>
      <c r="I6079" t="s">
        <v>23322</v>
      </c>
      <c r="J6079" t="s">
        <v>5476</v>
      </c>
      <c r="K6079" t="s">
        <v>23323</v>
      </c>
      <c r="L6079" t="s">
        <v>5471</v>
      </c>
      <c r="M6079" t="s">
        <v>5471</v>
      </c>
    </row>
    <row r="6080" spans="1:13" x14ac:dyDescent="0.3">
      <c r="A6080" t="s">
        <v>3388</v>
      </c>
      <c r="B6080" t="s">
        <v>7109</v>
      </c>
      <c r="C6080" t="s">
        <v>5470</v>
      </c>
      <c r="D6080" t="s">
        <v>4058</v>
      </c>
      <c r="E6080" t="s">
        <v>5532</v>
      </c>
      <c r="F6080" t="s">
        <v>23324</v>
      </c>
      <c r="G6080" t="s">
        <v>21840</v>
      </c>
      <c r="H6080" t="s">
        <v>5474</v>
      </c>
      <c r="I6080" t="s">
        <v>23325</v>
      </c>
      <c r="J6080" t="s">
        <v>5476</v>
      </c>
      <c r="K6080" t="s">
        <v>23326</v>
      </c>
      <c r="L6080" t="s">
        <v>5471</v>
      </c>
      <c r="M6080" t="s">
        <v>5471</v>
      </c>
    </row>
    <row r="6081" spans="1:13" x14ac:dyDescent="0.3">
      <c r="A6081" t="s">
        <v>3388</v>
      </c>
      <c r="B6081" t="s">
        <v>7109</v>
      </c>
      <c r="C6081" t="s">
        <v>5470</v>
      </c>
      <c r="D6081" t="s">
        <v>4058</v>
      </c>
      <c r="E6081" t="s">
        <v>5532</v>
      </c>
      <c r="F6081" t="s">
        <v>23327</v>
      </c>
      <c r="G6081" t="s">
        <v>21840</v>
      </c>
      <c r="H6081" t="s">
        <v>5474</v>
      </c>
      <c r="I6081" t="s">
        <v>23328</v>
      </c>
      <c r="J6081" t="s">
        <v>5476</v>
      </c>
      <c r="K6081" t="s">
        <v>23329</v>
      </c>
      <c r="L6081" t="s">
        <v>5471</v>
      </c>
      <c r="M6081" t="s">
        <v>5471</v>
      </c>
    </row>
    <row r="6082" spans="1:13" x14ac:dyDescent="0.3">
      <c r="A6082" t="s">
        <v>3388</v>
      </c>
      <c r="B6082" t="s">
        <v>7109</v>
      </c>
      <c r="C6082" t="s">
        <v>5470</v>
      </c>
      <c r="D6082" t="s">
        <v>4058</v>
      </c>
      <c r="E6082" t="s">
        <v>5532</v>
      </c>
      <c r="F6082" t="s">
        <v>23330</v>
      </c>
      <c r="G6082" t="s">
        <v>18572</v>
      </c>
      <c r="H6082" t="s">
        <v>5474</v>
      </c>
      <c r="I6082" t="s">
        <v>23331</v>
      </c>
      <c r="J6082" t="s">
        <v>5476</v>
      </c>
      <c r="K6082" t="s">
        <v>23332</v>
      </c>
      <c r="L6082" t="s">
        <v>5471</v>
      </c>
      <c r="M6082" t="s">
        <v>5471</v>
      </c>
    </row>
    <row r="6083" spans="1:13" x14ac:dyDescent="0.3">
      <c r="A6083" t="s">
        <v>3388</v>
      </c>
      <c r="B6083" t="s">
        <v>7109</v>
      </c>
      <c r="C6083" t="s">
        <v>5470</v>
      </c>
      <c r="D6083" t="s">
        <v>4058</v>
      </c>
      <c r="E6083" t="s">
        <v>5532</v>
      </c>
      <c r="F6083" t="s">
        <v>23333</v>
      </c>
      <c r="G6083" t="s">
        <v>18572</v>
      </c>
      <c r="H6083" t="s">
        <v>5474</v>
      </c>
      <c r="I6083" t="s">
        <v>23334</v>
      </c>
      <c r="J6083" t="s">
        <v>5476</v>
      </c>
      <c r="K6083" t="s">
        <v>23335</v>
      </c>
      <c r="L6083" t="s">
        <v>5471</v>
      </c>
      <c r="M6083" t="s">
        <v>5471</v>
      </c>
    </row>
    <row r="6084" spans="1:13" x14ac:dyDescent="0.3">
      <c r="A6084" t="s">
        <v>3388</v>
      </c>
      <c r="B6084" t="s">
        <v>7109</v>
      </c>
      <c r="C6084" t="s">
        <v>5470</v>
      </c>
      <c r="D6084" t="s">
        <v>4058</v>
      </c>
      <c r="E6084" t="s">
        <v>5532</v>
      </c>
      <c r="F6084" t="s">
        <v>23336</v>
      </c>
      <c r="G6084" t="s">
        <v>18572</v>
      </c>
      <c r="H6084" t="s">
        <v>5474</v>
      </c>
      <c r="I6084" t="s">
        <v>23337</v>
      </c>
      <c r="J6084" t="s">
        <v>5476</v>
      </c>
      <c r="K6084" t="s">
        <v>23338</v>
      </c>
      <c r="L6084" t="s">
        <v>5471</v>
      </c>
      <c r="M6084" t="s">
        <v>5471</v>
      </c>
    </row>
    <row r="6085" spans="1:13" x14ac:dyDescent="0.3">
      <c r="A6085" t="s">
        <v>3388</v>
      </c>
      <c r="B6085" t="s">
        <v>7109</v>
      </c>
      <c r="C6085" t="s">
        <v>5470</v>
      </c>
      <c r="D6085" t="s">
        <v>4058</v>
      </c>
      <c r="E6085" t="s">
        <v>5532</v>
      </c>
      <c r="F6085" t="s">
        <v>23339</v>
      </c>
      <c r="G6085" t="s">
        <v>18572</v>
      </c>
      <c r="H6085" t="s">
        <v>5474</v>
      </c>
      <c r="I6085" t="s">
        <v>23340</v>
      </c>
      <c r="J6085" t="s">
        <v>5476</v>
      </c>
      <c r="K6085" t="s">
        <v>23341</v>
      </c>
      <c r="L6085" t="s">
        <v>5471</v>
      </c>
      <c r="M6085" t="s">
        <v>5471</v>
      </c>
    </row>
    <row r="6086" spans="1:13" x14ac:dyDescent="0.3">
      <c r="A6086" t="s">
        <v>3388</v>
      </c>
      <c r="B6086" t="s">
        <v>7109</v>
      </c>
      <c r="C6086" t="s">
        <v>5470</v>
      </c>
      <c r="D6086" t="s">
        <v>4058</v>
      </c>
      <c r="E6086" t="s">
        <v>5532</v>
      </c>
      <c r="F6086" t="s">
        <v>23342</v>
      </c>
      <c r="G6086" t="s">
        <v>18572</v>
      </c>
      <c r="H6086" t="s">
        <v>5474</v>
      </c>
      <c r="I6086" t="s">
        <v>23343</v>
      </c>
      <c r="J6086" t="s">
        <v>5476</v>
      </c>
      <c r="K6086" t="s">
        <v>23344</v>
      </c>
      <c r="L6086" t="s">
        <v>5471</v>
      </c>
      <c r="M6086" t="s">
        <v>5471</v>
      </c>
    </row>
    <row r="6087" spans="1:13" x14ac:dyDescent="0.3">
      <c r="A6087" t="s">
        <v>3388</v>
      </c>
      <c r="B6087" t="s">
        <v>7109</v>
      </c>
      <c r="C6087" t="s">
        <v>5470</v>
      </c>
      <c r="D6087" t="s">
        <v>4058</v>
      </c>
      <c r="E6087" t="s">
        <v>5532</v>
      </c>
      <c r="F6087" t="s">
        <v>23345</v>
      </c>
      <c r="G6087" t="s">
        <v>18582</v>
      </c>
      <c r="H6087" t="s">
        <v>5474</v>
      </c>
      <c r="I6087" t="s">
        <v>23346</v>
      </c>
      <c r="J6087" t="s">
        <v>5476</v>
      </c>
      <c r="K6087" t="s">
        <v>23347</v>
      </c>
      <c r="L6087" t="s">
        <v>5471</v>
      </c>
      <c r="M6087" t="s">
        <v>5471</v>
      </c>
    </row>
    <row r="6088" spans="1:13" x14ac:dyDescent="0.3">
      <c r="A6088" t="s">
        <v>3388</v>
      </c>
      <c r="B6088" t="s">
        <v>7109</v>
      </c>
      <c r="C6088" t="s">
        <v>5470</v>
      </c>
      <c r="D6088" t="s">
        <v>4058</v>
      </c>
      <c r="E6088" t="s">
        <v>5532</v>
      </c>
      <c r="F6088" t="s">
        <v>23348</v>
      </c>
      <c r="G6088" t="s">
        <v>18582</v>
      </c>
      <c r="H6088" t="s">
        <v>5474</v>
      </c>
      <c r="I6088" t="s">
        <v>23349</v>
      </c>
      <c r="J6088" t="s">
        <v>5476</v>
      </c>
      <c r="K6088" t="s">
        <v>23350</v>
      </c>
      <c r="L6088" t="s">
        <v>5471</v>
      </c>
      <c r="M6088" t="s">
        <v>5471</v>
      </c>
    </row>
    <row r="6089" spans="1:13" x14ac:dyDescent="0.3">
      <c r="A6089" t="s">
        <v>3388</v>
      </c>
      <c r="B6089" t="s">
        <v>7109</v>
      </c>
      <c r="C6089" t="s">
        <v>5470</v>
      </c>
      <c r="D6089" t="s">
        <v>4058</v>
      </c>
      <c r="E6089" t="s">
        <v>5532</v>
      </c>
      <c r="F6089" t="s">
        <v>23351</v>
      </c>
      <c r="G6089" t="s">
        <v>18582</v>
      </c>
      <c r="H6089" t="s">
        <v>5474</v>
      </c>
      <c r="I6089" t="s">
        <v>23352</v>
      </c>
      <c r="J6089" t="s">
        <v>5476</v>
      </c>
      <c r="K6089" t="s">
        <v>23353</v>
      </c>
      <c r="L6089" t="s">
        <v>5471</v>
      </c>
      <c r="M6089" t="s">
        <v>5471</v>
      </c>
    </row>
    <row r="6090" spans="1:13" x14ac:dyDescent="0.3">
      <c r="A6090" t="s">
        <v>3388</v>
      </c>
      <c r="B6090" t="s">
        <v>15942</v>
      </c>
      <c r="C6090" t="s">
        <v>5470</v>
      </c>
      <c r="D6090" t="s">
        <v>4058</v>
      </c>
      <c r="E6090" t="s">
        <v>5756</v>
      </c>
      <c r="F6090" t="s">
        <v>23354</v>
      </c>
      <c r="G6090" t="s">
        <v>15968</v>
      </c>
      <c r="H6090" t="s">
        <v>5474</v>
      </c>
      <c r="I6090" t="s">
        <v>23355</v>
      </c>
      <c r="J6090" t="s">
        <v>5476</v>
      </c>
      <c r="K6090" t="s">
        <v>23356</v>
      </c>
      <c r="L6090" t="s">
        <v>5471</v>
      </c>
      <c r="M6090" t="s">
        <v>5471</v>
      </c>
    </row>
    <row r="6091" spans="1:13" x14ac:dyDescent="0.3">
      <c r="A6091" t="s">
        <v>3388</v>
      </c>
      <c r="B6091" t="s">
        <v>15942</v>
      </c>
      <c r="C6091" t="s">
        <v>5470</v>
      </c>
      <c r="D6091" t="s">
        <v>4058</v>
      </c>
      <c r="E6091" t="s">
        <v>5617</v>
      </c>
      <c r="F6091" t="s">
        <v>23357</v>
      </c>
      <c r="G6091" t="s">
        <v>15968</v>
      </c>
      <c r="H6091" t="s">
        <v>5474</v>
      </c>
      <c r="I6091" t="s">
        <v>23358</v>
      </c>
      <c r="J6091" t="s">
        <v>5476</v>
      </c>
      <c r="K6091" t="s">
        <v>23359</v>
      </c>
      <c r="L6091" t="s">
        <v>5471</v>
      </c>
      <c r="M6091" t="s">
        <v>5471</v>
      </c>
    </row>
    <row r="6092" spans="1:13" x14ac:dyDescent="0.3">
      <c r="A6092" t="s">
        <v>3388</v>
      </c>
      <c r="B6092" t="s">
        <v>7109</v>
      </c>
      <c r="C6092" t="s">
        <v>5470</v>
      </c>
      <c r="D6092" t="s">
        <v>4058</v>
      </c>
      <c r="E6092" t="s">
        <v>5480</v>
      </c>
      <c r="F6092" t="s">
        <v>23360</v>
      </c>
      <c r="G6092" t="s">
        <v>10952</v>
      </c>
      <c r="H6092" t="s">
        <v>5474</v>
      </c>
      <c r="I6092" t="s">
        <v>23361</v>
      </c>
      <c r="J6092" t="s">
        <v>5476</v>
      </c>
      <c r="K6092" t="s">
        <v>23362</v>
      </c>
      <c r="L6092" t="s">
        <v>5471</v>
      </c>
      <c r="M6092" t="s">
        <v>5471</v>
      </c>
    </row>
    <row r="6093" spans="1:13" x14ac:dyDescent="0.3">
      <c r="A6093" t="s">
        <v>3388</v>
      </c>
      <c r="B6093" t="s">
        <v>6540</v>
      </c>
      <c r="C6093" t="s">
        <v>5470</v>
      </c>
      <c r="D6093" t="s">
        <v>4058</v>
      </c>
      <c r="E6093" t="s">
        <v>5532</v>
      </c>
      <c r="F6093" t="s">
        <v>23363</v>
      </c>
      <c r="G6093" t="s">
        <v>21915</v>
      </c>
      <c r="H6093" t="s">
        <v>5474</v>
      </c>
      <c r="I6093" t="s">
        <v>23364</v>
      </c>
      <c r="J6093" t="s">
        <v>5476</v>
      </c>
      <c r="K6093" t="s">
        <v>23365</v>
      </c>
      <c r="L6093" t="s">
        <v>5471</v>
      </c>
      <c r="M6093" t="s">
        <v>5471</v>
      </c>
    </row>
    <row r="6094" spans="1:13" x14ac:dyDescent="0.3">
      <c r="A6094" t="s">
        <v>3388</v>
      </c>
      <c r="B6094" t="s">
        <v>6540</v>
      </c>
      <c r="C6094" t="s">
        <v>5470</v>
      </c>
      <c r="D6094" t="s">
        <v>4058</v>
      </c>
      <c r="E6094" t="s">
        <v>5532</v>
      </c>
      <c r="F6094" t="s">
        <v>23366</v>
      </c>
      <c r="G6094" t="s">
        <v>21915</v>
      </c>
      <c r="H6094" t="s">
        <v>5474</v>
      </c>
      <c r="I6094" t="s">
        <v>23367</v>
      </c>
      <c r="J6094" t="s">
        <v>5476</v>
      </c>
      <c r="K6094" t="s">
        <v>23368</v>
      </c>
      <c r="L6094" t="s">
        <v>5471</v>
      </c>
      <c r="M6094" t="s">
        <v>5471</v>
      </c>
    </row>
    <row r="6095" spans="1:13" x14ac:dyDescent="0.3">
      <c r="A6095" t="s">
        <v>3388</v>
      </c>
      <c r="B6095" t="s">
        <v>6540</v>
      </c>
      <c r="C6095" t="s">
        <v>5470</v>
      </c>
      <c r="D6095" t="s">
        <v>4058</v>
      </c>
      <c r="E6095" t="s">
        <v>5532</v>
      </c>
      <c r="F6095" t="s">
        <v>23369</v>
      </c>
      <c r="G6095" t="s">
        <v>21915</v>
      </c>
      <c r="H6095" t="s">
        <v>5474</v>
      </c>
      <c r="I6095" t="s">
        <v>23370</v>
      </c>
      <c r="J6095" t="s">
        <v>5476</v>
      </c>
      <c r="K6095" t="s">
        <v>23371</v>
      </c>
      <c r="L6095" t="s">
        <v>5471</v>
      </c>
      <c r="M6095" t="s">
        <v>5471</v>
      </c>
    </row>
    <row r="6096" spans="1:13" x14ac:dyDescent="0.3">
      <c r="A6096" t="s">
        <v>3388</v>
      </c>
      <c r="B6096" t="s">
        <v>6540</v>
      </c>
      <c r="C6096" t="s">
        <v>5470</v>
      </c>
      <c r="D6096" t="s">
        <v>4058</v>
      </c>
      <c r="E6096" t="s">
        <v>5532</v>
      </c>
      <c r="F6096" t="s">
        <v>23372</v>
      </c>
      <c r="G6096" t="s">
        <v>21915</v>
      </c>
      <c r="H6096" t="s">
        <v>5474</v>
      </c>
      <c r="I6096" t="s">
        <v>23373</v>
      </c>
      <c r="J6096" t="s">
        <v>5476</v>
      </c>
      <c r="K6096" t="s">
        <v>23374</v>
      </c>
      <c r="L6096" t="s">
        <v>5471</v>
      </c>
      <c r="M6096" t="s">
        <v>5471</v>
      </c>
    </row>
    <row r="6097" spans="1:13" x14ac:dyDescent="0.3">
      <c r="A6097" t="s">
        <v>3388</v>
      </c>
      <c r="B6097" t="s">
        <v>6540</v>
      </c>
      <c r="C6097" t="s">
        <v>5470</v>
      </c>
      <c r="D6097" t="s">
        <v>4058</v>
      </c>
      <c r="E6097" t="s">
        <v>5532</v>
      </c>
      <c r="F6097" t="s">
        <v>23375</v>
      </c>
      <c r="G6097" t="s">
        <v>21915</v>
      </c>
      <c r="H6097" t="s">
        <v>5474</v>
      </c>
      <c r="I6097" t="s">
        <v>23376</v>
      </c>
      <c r="J6097" t="s">
        <v>5476</v>
      </c>
      <c r="K6097" t="s">
        <v>23377</v>
      </c>
      <c r="L6097" t="s">
        <v>5471</v>
      </c>
      <c r="M6097" t="s">
        <v>5471</v>
      </c>
    </row>
    <row r="6098" spans="1:13" x14ac:dyDescent="0.3">
      <c r="A6098" t="s">
        <v>3388</v>
      </c>
      <c r="B6098" t="s">
        <v>6540</v>
      </c>
      <c r="C6098" t="s">
        <v>5470</v>
      </c>
      <c r="D6098" t="s">
        <v>4058</v>
      </c>
      <c r="E6098" t="s">
        <v>5532</v>
      </c>
      <c r="F6098" t="s">
        <v>23378</v>
      </c>
      <c r="G6098" t="s">
        <v>23379</v>
      </c>
      <c r="H6098" t="s">
        <v>5474</v>
      </c>
      <c r="I6098" t="s">
        <v>23380</v>
      </c>
      <c r="J6098" t="s">
        <v>5476</v>
      </c>
      <c r="K6098" t="s">
        <v>23381</v>
      </c>
      <c r="L6098" t="s">
        <v>5471</v>
      </c>
      <c r="M6098" t="s">
        <v>5471</v>
      </c>
    </row>
    <row r="6099" spans="1:13" x14ac:dyDescent="0.3">
      <c r="A6099" t="s">
        <v>3388</v>
      </c>
      <c r="B6099" t="s">
        <v>6540</v>
      </c>
      <c r="C6099" t="s">
        <v>5470</v>
      </c>
      <c r="D6099" t="s">
        <v>4058</v>
      </c>
      <c r="E6099" t="s">
        <v>5532</v>
      </c>
      <c r="F6099" t="s">
        <v>23382</v>
      </c>
      <c r="G6099" t="s">
        <v>23379</v>
      </c>
      <c r="H6099" t="s">
        <v>5474</v>
      </c>
      <c r="I6099" t="s">
        <v>23383</v>
      </c>
      <c r="J6099" t="s">
        <v>5476</v>
      </c>
      <c r="K6099" t="s">
        <v>23384</v>
      </c>
      <c r="L6099" t="s">
        <v>5471</v>
      </c>
      <c r="M6099" t="s">
        <v>5471</v>
      </c>
    </row>
    <row r="6100" spans="1:13" x14ac:dyDescent="0.3">
      <c r="A6100" t="s">
        <v>3388</v>
      </c>
      <c r="B6100" t="s">
        <v>6540</v>
      </c>
      <c r="C6100" t="s">
        <v>5470</v>
      </c>
      <c r="D6100" t="s">
        <v>4058</v>
      </c>
      <c r="E6100" t="s">
        <v>5532</v>
      </c>
      <c r="F6100" t="s">
        <v>23385</v>
      </c>
      <c r="G6100" t="s">
        <v>23379</v>
      </c>
      <c r="H6100" t="s">
        <v>5474</v>
      </c>
      <c r="I6100" t="s">
        <v>23386</v>
      </c>
      <c r="J6100" t="s">
        <v>5476</v>
      </c>
      <c r="K6100" t="s">
        <v>23387</v>
      </c>
      <c r="L6100" t="s">
        <v>5471</v>
      </c>
      <c r="M6100" t="s">
        <v>5471</v>
      </c>
    </row>
    <row r="6101" spans="1:13" x14ac:dyDescent="0.3">
      <c r="A6101" t="s">
        <v>3388</v>
      </c>
      <c r="B6101" t="s">
        <v>6540</v>
      </c>
      <c r="C6101" t="s">
        <v>5470</v>
      </c>
      <c r="D6101" t="s">
        <v>4058</v>
      </c>
      <c r="E6101" t="s">
        <v>5532</v>
      </c>
      <c r="F6101" t="s">
        <v>23388</v>
      </c>
      <c r="G6101" t="s">
        <v>23379</v>
      </c>
      <c r="H6101" t="s">
        <v>5474</v>
      </c>
      <c r="I6101" t="s">
        <v>23389</v>
      </c>
      <c r="J6101" t="s">
        <v>5476</v>
      </c>
      <c r="K6101" t="s">
        <v>23390</v>
      </c>
      <c r="L6101" t="s">
        <v>5471</v>
      </c>
      <c r="M6101" t="s">
        <v>5471</v>
      </c>
    </row>
    <row r="6102" spans="1:13" x14ac:dyDescent="0.3">
      <c r="A6102" t="s">
        <v>3388</v>
      </c>
      <c r="B6102" t="s">
        <v>6540</v>
      </c>
      <c r="C6102" t="s">
        <v>5470</v>
      </c>
      <c r="D6102" t="s">
        <v>4058</v>
      </c>
      <c r="E6102" t="s">
        <v>5532</v>
      </c>
      <c r="F6102" t="s">
        <v>23391</v>
      </c>
      <c r="G6102" t="s">
        <v>23379</v>
      </c>
      <c r="H6102" t="s">
        <v>5474</v>
      </c>
      <c r="I6102" t="s">
        <v>23392</v>
      </c>
      <c r="J6102" t="s">
        <v>5476</v>
      </c>
      <c r="K6102" t="s">
        <v>23393</v>
      </c>
      <c r="L6102" t="s">
        <v>5471</v>
      </c>
      <c r="M6102" t="s">
        <v>5471</v>
      </c>
    </row>
    <row r="6103" spans="1:13" x14ac:dyDescent="0.3">
      <c r="A6103" t="s">
        <v>3388</v>
      </c>
      <c r="B6103" t="s">
        <v>5531</v>
      </c>
      <c r="C6103" t="s">
        <v>5470</v>
      </c>
      <c r="D6103" t="s">
        <v>4056</v>
      </c>
      <c r="E6103" t="s">
        <v>5617</v>
      </c>
      <c r="F6103" t="s">
        <v>23394</v>
      </c>
      <c r="G6103" t="s">
        <v>21147</v>
      </c>
      <c r="H6103" t="s">
        <v>5474</v>
      </c>
      <c r="I6103" t="s">
        <v>23395</v>
      </c>
      <c r="J6103" t="s">
        <v>5476</v>
      </c>
      <c r="K6103" t="s">
        <v>23396</v>
      </c>
      <c r="L6103" t="s">
        <v>5471</v>
      </c>
      <c r="M6103" t="s">
        <v>5471</v>
      </c>
    </row>
    <row r="6104" spans="1:13" x14ac:dyDescent="0.3">
      <c r="A6104" t="s">
        <v>3388</v>
      </c>
      <c r="B6104" t="s">
        <v>5531</v>
      </c>
      <c r="C6104" t="s">
        <v>5470</v>
      </c>
      <c r="D6104" t="s">
        <v>4056</v>
      </c>
      <c r="E6104" t="s">
        <v>5617</v>
      </c>
      <c r="F6104" t="s">
        <v>23397</v>
      </c>
      <c r="G6104" t="s">
        <v>21147</v>
      </c>
      <c r="H6104" t="s">
        <v>5474</v>
      </c>
      <c r="I6104" t="s">
        <v>23398</v>
      </c>
      <c r="J6104" t="s">
        <v>5476</v>
      </c>
      <c r="K6104" t="s">
        <v>23399</v>
      </c>
      <c r="L6104" t="s">
        <v>5471</v>
      </c>
      <c r="M6104" t="s">
        <v>5471</v>
      </c>
    </row>
    <row r="6105" spans="1:13" x14ac:dyDescent="0.3">
      <c r="A6105" t="s">
        <v>3388</v>
      </c>
      <c r="B6105" t="s">
        <v>5616</v>
      </c>
      <c r="C6105" t="s">
        <v>5470</v>
      </c>
      <c r="D6105" t="s">
        <v>4056</v>
      </c>
      <c r="E6105" t="s">
        <v>5617</v>
      </c>
      <c r="F6105" t="s">
        <v>23400</v>
      </c>
      <c r="G6105" t="s">
        <v>23401</v>
      </c>
      <c r="H6105" t="s">
        <v>5474</v>
      </c>
      <c r="I6105" t="s">
        <v>23402</v>
      </c>
      <c r="J6105" t="s">
        <v>5476</v>
      </c>
      <c r="K6105" t="s">
        <v>23403</v>
      </c>
      <c r="L6105" t="s">
        <v>5471</v>
      </c>
      <c r="M6105" t="s">
        <v>5471</v>
      </c>
    </row>
    <row r="6106" spans="1:13" x14ac:dyDescent="0.3">
      <c r="A6106" t="s">
        <v>3388</v>
      </c>
      <c r="B6106" t="s">
        <v>5616</v>
      </c>
      <c r="C6106" t="s">
        <v>5470</v>
      </c>
      <c r="D6106" t="s">
        <v>4056</v>
      </c>
      <c r="E6106" t="s">
        <v>5617</v>
      </c>
      <c r="F6106" t="s">
        <v>23404</v>
      </c>
      <c r="G6106" t="s">
        <v>23401</v>
      </c>
      <c r="H6106" t="s">
        <v>5474</v>
      </c>
      <c r="I6106" t="s">
        <v>23405</v>
      </c>
      <c r="J6106" t="s">
        <v>5476</v>
      </c>
      <c r="K6106" t="s">
        <v>23406</v>
      </c>
      <c r="L6106" t="s">
        <v>5471</v>
      </c>
      <c r="M6106" t="s">
        <v>5471</v>
      </c>
    </row>
    <row r="6107" spans="1:13" x14ac:dyDescent="0.3">
      <c r="A6107" t="s">
        <v>3388</v>
      </c>
      <c r="B6107" t="s">
        <v>6128</v>
      </c>
      <c r="C6107" t="s">
        <v>5470</v>
      </c>
      <c r="D6107" t="s">
        <v>4056</v>
      </c>
      <c r="E6107" t="s">
        <v>5617</v>
      </c>
      <c r="F6107" t="s">
        <v>23407</v>
      </c>
      <c r="G6107" t="s">
        <v>23408</v>
      </c>
      <c r="H6107" t="s">
        <v>5474</v>
      </c>
      <c r="I6107" t="s">
        <v>23409</v>
      </c>
      <c r="J6107" t="s">
        <v>5476</v>
      </c>
      <c r="K6107" t="s">
        <v>23410</v>
      </c>
      <c r="L6107" t="s">
        <v>5471</v>
      </c>
      <c r="M6107" t="s">
        <v>5471</v>
      </c>
    </row>
    <row r="6108" spans="1:13" x14ac:dyDescent="0.3">
      <c r="A6108" t="s">
        <v>3388</v>
      </c>
      <c r="B6108" t="s">
        <v>6128</v>
      </c>
      <c r="C6108" t="s">
        <v>5470</v>
      </c>
      <c r="D6108" t="s">
        <v>4056</v>
      </c>
      <c r="E6108" t="s">
        <v>5617</v>
      </c>
      <c r="F6108" t="s">
        <v>23411</v>
      </c>
      <c r="G6108" t="s">
        <v>23408</v>
      </c>
      <c r="H6108" t="s">
        <v>5474</v>
      </c>
      <c r="I6108" t="s">
        <v>23412</v>
      </c>
      <c r="J6108" t="s">
        <v>5476</v>
      </c>
      <c r="K6108" t="s">
        <v>23413</v>
      </c>
      <c r="L6108" t="s">
        <v>5471</v>
      </c>
      <c r="M6108" t="s">
        <v>5471</v>
      </c>
    </row>
    <row r="6109" spans="1:13" x14ac:dyDescent="0.3">
      <c r="A6109" t="s">
        <v>3388</v>
      </c>
      <c r="B6109" t="s">
        <v>8656</v>
      </c>
      <c r="C6109" t="s">
        <v>5470</v>
      </c>
      <c r="D6109" t="s">
        <v>4056</v>
      </c>
      <c r="E6109" t="s">
        <v>5617</v>
      </c>
      <c r="F6109" t="s">
        <v>23414</v>
      </c>
      <c r="G6109" t="s">
        <v>23415</v>
      </c>
      <c r="H6109" t="s">
        <v>5474</v>
      </c>
      <c r="I6109" t="s">
        <v>23416</v>
      </c>
      <c r="J6109" t="s">
        <v>5476</v>
      </c>
      <c r="K6109" t="s">
        <v>23417</v>
      </c>
      <c r="L6109" t="s">
        <v>5471</v>
      </c>
      <c r="M6109" t="s">
        <v>5471</v>
      </c>
    </row>
    <row r="6110" spans="1:13" x14ac:dyDescent="0.3">
      <c r="A6110" t="s">
        <v>3388</v>
      </c>
      <c r="B6110" t="s">
        <v>8656</v>
      </c>
      <c r="C6110" t="s">
        <v>5470</v>
      </c>
      <c r="D6110" t="s">
        <v>4056</v>
      </c>
      <c r="E6110" t="s">
        <v>5617</v>
      </c>
      <c r="F6110" t="s">
        <v>23418</v>
      </c>
      <c r="G6110" t="s">
        <v>21707</v>
      </c>
      <c r="H6110" t="s">
        <v>5474</v>
      </c>
      <c r="I6110" t="s">
        <v>23419</v>
      </c>
      <c r="J6110" t="s">
        <v>5476</v>
      </c>
      <c r="K6110" t="s">
        <v>23420</v>
      </c>
      <c r="L6110" t="s">
        <v>5471</v>
      </c>
      <c r="M6110" t="s">
        <v>5471</v>
      </c>
    </row>
    <row r="6111" spans="1:13" x14ac:dyDescent="0.3">
      <c r="A6111" t="s">
        <v>3388</v>
      </c>
      <c r="B6111" t="s">
        <v>8656</v>
      </c>
      <c r="C6111" t="s">
        <v>5470</v>
      </c>
      <c r="D6111" t="s">
        <v>4056</v>
      </c>
      <c r="E6111" t="s">
        <v>5617</v>
      </c>
      <c r="F6111" t="s">
        <v>23421</v>
      </c>
      <c r="G6111" t="s">
        <v>21707</v>
      </c>
      <c r="H6111" t="s">
        <v>5474</v>
      </c>
      <c r="I6111" t="s">
        <v>23422</v>
      </c>
      <c r="J6111" t="s">
        <v>5476</v>
      </c>
      <c r="K6111" t="s">
        <v>23423</v>
      </c>
      <c r="L6111" t="s">
        <v>5471</v>
      </c>
      <c r="M6111" t="s">
        <v>5471</v>
      </c>
    </row>
    <row r="6112" spans="1:13" x14ac:dyDescent="0.3">
      <c r="A6112" t="s">
        <v>3388</v>
      </c>
      <c r="B6112" t="s">
        <v>8656</v>
      </c>
      <c r="C6112" t="s">
        <v>5470</v>
      </c>
      <c r="D6112" t="s">
        <v>4056</v>
      </c>
      <c r="E6112" t="s">
        <v>5617</v>
      </c>
      <c r="F6112" t="s">
        <v>23424</v>
      </c>
      <c r="G6112" t="s">
        <v>21707</v>
      </c>
      <c r="H6112" t="s">
        <v>5474</v>
      </c>
      <c r="I6112" t="s">
        <v>23425</v>
      </c>
      <c r="J6112" t="s">
        <v>5476</v>
      </c>
      <c r="K6112" t="s">
        <v>23426</v>
      </c>
      <c r="L6112" t="s">
        <v>5471</v>
      </c>
      <c r="M6112" t="s">
        <v>5471</v>
      </c>
    </row>
    <row r="6113" spans="1:13" x14ac:dyDescent="0.3">
      <c r="A6113" t="s">
        <v>3388</v>
      </c>
      <c r="B6113" t="s">
        <v>7088</v>
      </c>
      <c r="C6113" t="s">
        <v>5470</v>
      </c>
      <c r="D6113" t="s">
        <v>4056</v>
      </c>
      <c r="E6113" t="s">
        <v>5617</v>
      </c>
      <c r="F6113" t="s">
        <v>23427</v>
      </c>
      <c r="G6113" t="s">
        <v>23428</v>
      </c>
      <c r="H6113" t="s">
        <v>5474</v>
      </c>
      <c r="I6113" t="s">
        <v>23429</v>
      </c>
      <c r="J6113" t="s">
        <v>5476</v>
      </c>
      <c r="K6113" t="s">
        <v>23430</v>
      </c>
      <c r="L6113" t="s">
        <v>5471</v>
      </c>
      <c r="M6113" t="s">
        <v>5471</v>
      </c>
    </row>
    <row r="6114" spans="1:13" x14ac:dyDescent="0.3">
      <c r="A6114" t="s">
        <v>3388</v>
      </c>
      <c r="B6114" t="s">
        <v>7088</v>
      </c>
      <c r="C6114" t="s">
        <v>5470</v>
      </c>
      <c r="D6114" t="s">
        <v>4056</v>
      </c>
      <c r="E6114" t="s">
        <v>5617</v>
      </c>
      <c r="F6114" t="s">
        <v>23431</v>
      </c>
      <c r="G6114" t="s">
        <v>23432</v>
      </c>
      <c r="H6114" t="s">
        <v>5474</v>
      </c>
      <c r="I6114" t="s">
        <v>23433</v>
      </c>
      <c r="J6114" t="s">
        <v>5476</v>
      </c>
      <c r="K6114" t="s">
        <v>23434</v>
      </c>
      <c r="L6114" t="s">
        <v>5471</v>
      </c>
      <c r="M6114" t="s">
        <v>5471</v>
      </c>
    </row>
    <row r="6115" spans="1:13" x14ac:dyDescent="0.3">
      <c r="A6115" t="s">
        <v>3388</v>
      </c>
      <c r="B6115" t="s">
        <v>7088</v>
      </c>
      <c r="C6115" t="s">
        <v>5470</v>
      </c>
      <c r="D6115" t="s">
        <v>4056</v>
      </c>
      <c r="E6115" t="s">
        <v>5617</v>
      </c>
      <c r="F6115" t="s">
        <v>23435</v>
      </c>
      <c r="G6115" t="s">
        <v>23432</v>
      </c>
      <c r="H6115" t="s">
        <v>5474</v>
      </c>
      <c r="I6115" t="s">
        <v>23436</v>
      </c>
      <c r="J6115" t="s">
        <v>5476</v>
      </c>
      <c r="K6115" t="s">
        <v>23437</v>
      </c>
      <c r="L6115" t="s">
        <v>5471</v>
      </c>
      <c r="M6115" t="s">
        <v>5471</v>
      </c>
    </row>
    <row r="6116" spans="1:13" x14ac:dyDescent="0.3">
      <c r="A6116" t="s">
        <v>3388</v>
      </c>
      <c r="B6116" t="s">
        <v>17321</v>
      </c>
      <c r="C6116" t="s">
        <v>5470</v>
      </c>
      <c r="D6116" t="s">
        <v>4056</v>
      </c>
      <c r="E6116" t="s">
        <v>5617</v>
      </c>
      <c r="F6116" t="s">
        <v>23438</v>
      </c>
      <c r="G6116" t="s">
        <v>23439</v>
      </c>
      <c r="H6116" t="s">
        <v>5474</v>
      </c>
      <c r="I6116" t="s">
        <v>23440</v>
      </c>
      <c r="J6116" t="s">
        <v>5476</v>
      </c>
      <c r="K6116" t="s">
        <v>23441</v>
      </c>
      <c r="L6116" t="s">
        <v>5471</v>
      </c>
      <c r="M6116" t="s">
        <v>5471</v>
      </c>
    </row>
    <row r="6117" spans="1:13" x14ac:dyDescent="0.3">
      <c r="A6117" t="s">
        <v>3388</v>
      </c>
      <c r="B6117" t="s">
        <v>5296</v>
      </c>
      <c r="C6117" t="s">
        <v>5470</v>
      </c>
      <c r="D6117" t="s">
        <v>4056</v>
      </c>
      <c r="E6117" t="s">
        <v>5617</v>
      </c>
      <c r="F6117" t="s">
        <v>23442</v>
      </c>
      <c r="G6117" t="s">
        <v>23443</v>
      </c>
      <c r="H6117" t="s">
        <v>5474</v>
      </c>
      <c r="I6117" t="s">
        <v>23444</v>
      </c>
      <c r="J6117" t="s">
        <v>5476</v>
      </c>
      <c r="K6117" t="s">
        <v>23445</v>
      </c>
      <c r="L6117" t="s">
        <v>5471</v>
      </c>
      <c r="M6117" t="s">
        <v>5471</v>
      </c>
    </row>
    <row r="6118" spans="1:13" x14ac:dyDescent="0.3">
      <c r="A6118" t="s">
        <v>3388</v>
      </c>
      <c r="B6118" t="s">
        <v>5296</v>
      </c>
      <c r="C6118" t="s">
        <v>5470</v>
      </c>
      <c r="D6118" t="s">
        <v>4056</v>
      </c>
      <c r="E6118" t="s">
        <v>5617</v>
      </c>
      <c r="F6118" t="s">
        <v>23446</v>
      </c>
      <c r="G6118" t="s">
        <v>23443</v>
      </c>
      <c r="H6118" t="s">
        <v>5474</v>
      </c>
      <c r="I6118" t="s">
        <v>23447</v>
      </c>
      <c r="J6118" t="s">
        <v>5476</v>
      </c>
      <c r="K6118" t="s">
        <v>23448</v>
      </c>
      <c r="L6118" t="s">
        <v>5471</v>
      </c>
      <c r="M6118" t="s">
        <v>5471</v>
      </c>
    </row>
    <row r="6119" spans="1:13" x14ac:dyDescent="0.3">
      <c r="A6119" t="s">
        <v>3388</v>
      </c>
      <c r="B6119" t="s">
        <v>5296</v>
      </c>
      <c r="C6119" t="s">
        <v>5470</v>
      </c>
      <c r="D6119" t="s">
        <v>4056</v>
      </c>
      <c r="E6119" t="s">
        <v>5617</v>
      </c>
      <c r="F6119" t="s">
        <v>23449</v>
      </c>
      <c r="G6119" t="s">
        <v>23443</v>
      </c>
      <c r="H6119" t="s">
        <v>5474</v>
      </c>
      <c r="I6119" t="s">
        <v>23450</v>
      </c>
      <c r="J6119" t="s">
        <v>5476</v>
      </c>
      <c r="K6119" t="s">
        <v>23451</v>
      </c>
      <c r="L6119" t="s">
        <v>5471</v>
      </c>
      <c r="M6119" t="s">
        <v>5471</v>
      </c>
    </row>
    <row r="6120" spans="1:13" x14ac:dyDescent="0.3">
      <c r="A6120" t="s">
        <v>3380</v>
      </c>
      <c r="B6120" t="s">
        <v>10137</v>
      </c>
      <c r="C6120" t="s">
        <v>6342</v>
      </c>
      <c r="D6120" t="s">
        <v>4119</v>
      </c>
      <c r="E6120" t="s">
        <v>9935</v>
      </c>
      <c r="F6120" t="s">
        <v>23452</v>
      </c>
      <c r="G6120" t="s">
        <v>10145</v>
      </c>
      <c r="H6120" t="s">
        <v>5474</v>
      </c>
      <c r="I6120" t="s">
        <v>23453</v>
      </c>
      <c r="J6120" t="s">
        <v>5476</v>
      </c>
      <c r="K6120" t="s">
        <v>11039</v>
      </c>
      <c r="L6120" t="s">
        <v>5471</v>
      </c>
      <c r="M6120" t="s">
        <v>5471</v>
      </c>
    </row>
    <row r="6121" spans="1:13" x14ac:dyDescent="0.3">
      <c r="A6121" t="s">
        <v>3380</v>
      </c>
      <c r="B6121" t="s">
        <v>10137</v>
      </c>
      <c r="C6121" t="s">
        <v>6342</v>
      </c>
      <c r="D6121" t="s">
        <v>4119</v>
      </c>
      <c r="E6121" t="s">
        <v>5532</v>
      </c>
      <c r="F6121" t="s">
        <v>23454</v>
      </c>
      <c r="G6121" t="s">
        <v>10145</v>
      </c>
      <c r="H6121" t="s">
        <v>5474</v>
      </c>
      <c r="I6121" t="s">
        <v>23455</v>
      </c>
      <c r="J6121" t="s">
        <v>5476</v>
      </c>
      <c r="K6121" t="s">
        <v>20388</v>
      </c>
      <c r="L6121" t="s">
        <v>5471</v>
      </c>
      <c r="M6121" t="s">
        <v>5471</v>
      </c>
    </row>
    <row r="6122" spans="1:13" x14ac:dyDescent="0.3">
      <c r="A6122" t="s">
        <v>3380</v>
      </c>
      <c r="B6122" t="s">
        <v>10137</v>
      </c>
      <c r="C6122" t="s">
        <v>6342</v>
      </c>
      <c r="D6122" t="s">
        <v>4119</v>
      </c>
      <c r="E6122" t="s">
        <v>9935</v>
      </c>
      <c r="F6122" t="s">
        <v>23456</v>
      </c>
      <c r="G6122" t="s">
        <v>16042</v>
      </c>
      <c r="H6122" t="s">
        <v>5474</v>
      </c>
      <c r="I6122" t="s">
        <v>23457</v>
      </c>
      <c r="J6122" t="s">
        <v>5476</v>
      </c>
      <c r="K6122" t="s">
        <v>23458</v>
      </c>
      <c r="L6122" t="s">
        <v>5471</v>
      </c>
      <c r="M6122" t="s">
        <v>5471</v>
      </c>
    </row>
    <row r="6123" spans="1:13" x14ac:dyDescent="0.3">
      <c r="A6123" t="s">
        <v>3388</v>
      </c>
      <c r="B6123" t="s">
        <v>5310</v>
      </c>
      <c r="C6123" t="s">
        <v>5470</v>
      </c>
      <c r="D6123" t="s">
        <v>4056</v>
      </c>
      <c r="E6123" t="s">
        <v>5617</v>
      </c>
      <c r="F6123" t="s">
        <v>23459</v>
      </c>
      <c r="G6123" t="s">
        <v>23460</v>
      </c>
      <c r="H6123" t="s">
        <v>5474</v>
      </c>
      <c r="I6123" t="s">
        <v>23461</v>
      </c>
      <c r="J6123" t="s">
        <v>5476</v>
      </c>
      <c r="K6123" t="s">
        <v>23462</v>
      </c>
      <c r="L6123" t="s">
        <v>5471</v>
      </c>
      <c r="M6123" t="s">
        <v>5471</v>
      </c>
    </row>
    <row r="6124" spans="1:13" x14ac:dyDescent="0.3">
      <c r="A6124" t="s">
        <v>3388</v>
      </c>
      <c r="B6124" t="s">
        <v>5310</v>
      </c>
      <c r="C6124" t="s">
        <v>5470</v>
      </c>
      <c r="D6124" t="s">
        <v>4056</v>
      </c>
      <c r="E6124" t="s">
        <v>5617</v>
      </c>
      <c r="F6124" t="s">
        <v>23463</v>
      </c>
      <c r="G6124" t="s">
        <v>23460</v>
      </c>
      <c r="H6124" t="s">
        <v>5474</v>
      </c>
      <c r="I6124" t="s">
        <v>23464</v>
      </c>
      <c r="J6124" t="s">
        <v>5476</v>
      </c>
      <c r="K6124" t="s">
        <v>23465</v>
      </c>
      <c r="L6124" t="s">
        <v>5471</v>
      </c>
      <c r="M6124" t="s">
        <v>5471</v>
      </c>
    </row>
    <row r="6125" spans="1:13" x14ac:dyDescent="0.3">
      <c r="A6125" t="s">
        <v>3380</v>
      </c>
      <c r="B6125" t="s">
        <v>10137</v>
      </c>
      <c r="C6125" t="s">
        <v>6342</v>
      </c>
      <c r="D6125" t="s">
        <v>4119</v>
      </c>
      <c r="E6125" t="s">
        <v>9935</v>
      </c>
      <c r="F6125" t="s">
        <v>23466</v>
      </c>
      <c r="G6125" t="s">
        <v>11662</v>
      </c>
      <c r="H6125" t="s">
        <v>5474</v>
      </c>
      <c r="I6125" t="s">
        <v>23467</v>
      </c>
      <c r="J6125" t="s">
        <v>5476</v>
      </c>
      <c r="K6125" t="s">
        <v>22729</v>
      </c>
      <c r="L6125" t="s">
        <v>5471</v>
      </c>
      <c r="M6125" t="s">
        <v>5471</v>
      </c>
    </row>
    <row r="6126" spans="1:13" x14ac:dyDescent="0.3">
      <c r="A6126" t="s">
        <v>3388</v>
      </c>
      <c r="B6126" t="s">
        <v>5310</v>
      </c>
      <c r="C6126" t="s">
        <v>5470</v>
      </c>
      <c r="D6126" t="s">
        <v>4056</v>
      </c>
      <c r="E6126" t="s">
        <v>5617</v>
      </c>
      <c r="F6126" t="s">
        <v>23468</v>
      </c>
      <c r="G6126" t="s">
        <v>23460</v>
      </c>
      <c r="H6126" t="s">
        <v>5474</v>
      </c>
      <c r="I6126" t="s">
        <v>23469</v>
      </c>
      <c r="J6126" t="s">
        <v>5476</v>
      </c>
      <c r="K6126" t="s">
        <v>23470</v>
      </c>
      <c r="L6126" t="s">
        <v>5471</v>
      </c>
      <c r="M6126" t="s">
        <v>5471</v>
      </c>
    </row>
    <row r="6127" spans="1:13" x14ac:dyDescent="0.3">
      <c r="A6127" t="s">
        <v>3388</v>
      </c>
      <c r="B6127" t="s">
        <v>5310</v>
      </c>
      <c r="C6127" t="s">
        <v>5470</v>
      </c>
      <c r="D6127" t="s">
        <v>4056</v>
      </c>
      <c r="E6127" t="s">
        <v>5617</v>
      </c>
      <c r="F6127" t="s">
        <v>23471</v>
      </c>
      <c r="G6127" t="s">
        <v>23472</v>
      </c>
      <c r="H6127" t="s">
        <v>5474</v>
      </c>
      <c r="I6127" t="s">
        <v>23473</v>
      </c>
      <c r="J6127" t="s">
        <v>5476</v>
      </c>
      <c r="K6127" t="s">
        <v>23474</v>
      </c>
      <c r="L6127" t="s">
        <v>5471</v>
      </c>
      <c r="M6127" t="s">
        <v>5471</v>
      </c>
    </row>
    <row r="6128" spans="1:13" x14ac:dyDescent="0.3">
      <c r="A6128" t="s">
        <v>3380</v>
      </c>
      <c r="B6128" t="s">
        <v>10137</v>
      </c>
      <c r="C6128" t="s">
        <v>6342</v>
      </c>
      <c r="D6128" t="s">
        <v>4119</v>
      </c>
      <c r="E6128" t="s">
        <v>9935</v>
      </c>
      <c r="F6128" t="s">
        <v>23475</v>
      </c>
      <c r="G6128" t="s">
        <v>23476</v>
      </c>
      <c r="H6128" t="s">
        <v>5474</v>
      </c>
      <c r="I6128" t="s">
        <v>23477</v>
      </c>
      <c r="J6128" t="s">
        <v>5476</v>
      </c>
      <c r="K6128" t="s">
        <v>16388</v>
      </c>
      <c r="L6128" t="s">
        <v>5471</v>
      </c>
      <c r="M6128" t="s">
        <v>5471</v>
      </c>
    </row>
    <row r="6129" spans="1:13" x14ac:dyDescent="0.3">
      <c r="A6129" t="s">
        <v>3383</v>
      </c>
      <c r="B6129" t="s">
        <v>6122</v>
      </c>
      <c r="C6129" t="s">
        <v>5470</v>
      </c>
      <c r="D6129" t="s">
        <v>4119</v>
      </c>
      <c r="E6129" t="s">
        <v>5756</v>
      </c>
      <c r="F6129" t="s">
        <v>23478</v>
      </c>
      <c r="G6129" t="s">
        <v>6123</v>
      </c>
      <c r="H6129" t="s">
        <v>5474</v>
      </c>
      <c r="I6129" t="s">
        <v>23479</v>
      </c>
      <c r="J6129" t="s">
        <v>5476</v>
      </c>
      <c r="K6129" t="s">
        <v>23480</v>
      </c>
      <c r="L6129" t="s">
        <v>5471</v>
      </c>
      <c r="M6129" t="s">
        <v>5471</v>
      </c>
    </row>
    <row r="6130" spans="1:13" x14ac:dyDescent="0.3">
      <c r="A6130" t="s">
        <v>3380</v>
      </c>
      <c r="B6130" t="s">
        <v>10137</v>
      </c>
      <c r="C6130" t="s">
        <v>6342</v>
      </c>
      <c r="D6130" t="s">
        <v>4119</v>
      </c>
      <c r="E6130" t="s">
        <v>9935</v>
      </c>
      <c r="F6130" t="s">
        <v>23481</v>
      </c>
      <c r="G6130" t="s">
        <v>15612</v>
      </c>
      <c r="H6130" t="s">
        <v>5474</v>
      </c>
      <c r="I6130" t="s">
        <v>23482</v>
      </c>
      <c r="J6130" t="s">
        <v>5476</v>
      </c>
      <c r="K6130" t="s">
        <v>23483</v>
      </c>
      <c r="L6130" t="s">
        <v>5471</v>
      </c>
      <c r="M6130" t="s">
        <v>5471</v>
      </c>
    </row>
    <row r="6131" spans="1:13" x14ac:dyDescent="0.3">
      <c r="A6131" t="s">
        <v>3380</v>
      </c>
      <c r="B6131" t="s">
        <v>10137</v>
      </c>
      <c r="C6131" t="s">
        <v>6342</v>
      </c>
      <c r="D6131" t="s">
        <v>4119</v>
      </c>
      <c r="E6131" t="s">
        <v>9935</v>
      </c>
      <c r="F6131" t="s">
        <v>23484</v>
      </c>
      <c r="G6131" t="s">
        <v>15612</v>
      </c>
      <c r="H6131" t="s">
        <v>5474</v>
      </c>
      <c r="I6131" t="s">
        <v>23485</v>
      </c>
      <c r="J6131" t="s">
        <v>5476</v>
      </c>
      <c r="K6131" t="s">
        <v>23486</v>
      </c>
      <c r="L6131" t="s">
        <v>5471</v>
      </c>
      <c r="M6131" t="s">
        <v>5471</v>
      </c>
    </row>
    <row r="6132" spans="1:13" x14ac:dyDescent="0.3">
      <c r="A6132" t="s">
        <v>3380</v>
      </c>
      <c r="B6132" t="s">
        <v>10137</v>
      </c>
      <c r="C6132" t="s">
        <v>6342</v>
      </c>
      <c r="D6132" t="s">
        <v>4119</v>
      </c>
      <c r="E6132" t="s">
        <v>9935</v>
      </c>
      <c r="F6132" t="s">
        <v>23487</v>
      </c>
      <c r="G6132" t="s">
        <v>16574</v>
      </c>
      <c r="H6132" t="s">
        <v>5474</v>
      </c>
      <c r="I6132" t="s">
        <v>23488</v>
      </c>
      <c r="J6132" t="s">
        <v>5476</v>
      </c>
      <c r="K6132" t="s">
        <v>23489</v>
      </c>
      <c r="L6132" t="s">
        <v>5471</v>
      </c>
      <c r="M6132" t="s">
        <v>5471</v>
      </c>
    </row>
    <row r="6133" spans="1:13" x14ac:dyDescent="0.3">
      <c r="A6133" t="s">
        <v>3380</v>
      </c>
      <c r="B6133" t="s">
        <v>10137</v>
      </c>
      <c r="C6133" t="s">
        <v>6342</v>
      </c>
      <c r="D6133" t="s">
        <v>4119</v>
      </c>
      <c r="E6133" t="s">
        <v>9935</v>
      </c>
      <c r="F6133" t="s">
        <v>23490</v>
      </c>
      <c r="G6133" t="s">
        <v>16574</v>
      </c>
      <c r="H6133" t="s">
        <v>5474</v>
      </c>
      <c r="I6133" t="s">
        <v>23491</v>
      </c>
      <c r="J6133" t="s">
        <v>5476</v>
      </c>
      <c r="K6133" t="s">
        <v>23492</v>
      </c>
      <c r="L6133" t="s">
        <v>5471</v>
      </c>
      <c r="M6133" t="s">
        <v>5471</v>
      </c>
    </row>
    <row r="6134" spans="1:13" x14ac:dyDescent="0.3">
      <c r="A6134" t="s">
        <v>3380</v>
      </c>
      <c r="B6134" t="s">
        <v>10137</v>
      </c>
      <c r="C6134" t="s">
        <v>6342</v>
      </c>
      <c r="D6134" t="s">
        <v>4119</v>
      </c>
      <c r="E6134" t="s">
        <v>9935</v>
      </c>
      <c r="F6134" t="s">
        <v>23493</v>
      </c>
      <c r="G6134" t="s">
        <v>16580</v>
      </c>
      <c r="H6134" t="s">
        <v>5474</v>
      </c>
      <c r="I6134" t="s">
        <v>23494</v>
      </c>
      <c r="J6134" t="s">
        <v>5476</v>
      </c>
      <c r="K6134" t="s">
        <v>23495</v>
      </c>
      <c r="L6134" t="s">
        <v>5471</v>
      </c>
      <c r="M6134" t="s">
        <v>5471</v>
      </c>
    </row>
    <row r="6135" spans="1:13" x14ac:dyDescent="0.3">
      <c r="A6135" t="s">
        <v>3380</v>
      </c>
      <c r="B6135" t="s">
        <v>10137</v>
      </c>
      <c r="C6135" t="s">
        <v>6342</v>
      </c>
      <c r="D6135" t="s">
        <v>4119</v>
      </c>
      <c r="E6135" t="s">
        <v>9935</v>
      </c>
      <c r="F6135" t="s">
        <v>23496</v>
      </c>
      <c r="G6135" t="s">
        <v>16580</v>
      </c>
      <c r="H6135" t="s">
        <v>5474</v>
      </c>
      <c r="I6135" t="s">
        <v>23497</v>
      </c>
      <c r="J6135" t="s">
        <v>5476</v>
      </c>
      <c r="K6135" t="s">
        <v>23498</v>
      </c>
      <c r="L6135" t="s">
        <v>5471</v>
      </c>
      <c r="M6135" t="s">
        <v>5471</v>
      </c>
    </row>
    <row r="6136" spans="1:13" x14ac:dyDescent="0.3">
      <c r="A6136" t="s">
        <v>3380</v>
      </c>
      <c r="B6136" t="s">
        <v>10137</v>
      </c>
      <c r="C6136" t="s">
        <v>6342</v>
      </c>
      <c r="D6136" t="s">
        <v>4119</v>
      </c>
      <c r="E6136" t="s">
        <v>9935</v>
      </c>
      <c r="F6136" t="s">
        <v>23499</v>
      </c>
      <c r="G6136" t="s">
        <v>16601</v>
      </c>
      <c r="H6136" t="s">
        <v>5474</v>
      </c>
      <c r="I6136" t="s">
        <v>23500</v>
      </c>
      <c r="J6136" t="s">
        <v>5476</v>
      </c>
      <c r="K6136" t="s">
        <v>23501</v>
      </c>
      <c r="L6136" t="s">
        <v>5471</v>
      </c>
      <c r="M6136" t="s">
        <v>5471</v>
      </c>
    </row>
    <row r="6137" spans="1:13" x14ac:dyDescent="0.3">
      <c r="A6137" t="s">
        <v>3380</v>
      </c>
      <c r="B6137" t="s">
        <v>10137</v>
      </c>
      <c r="C6137" t="s">
        <v>6342</v>
      </c>
      <c r="D6137" t="s">
        <v>4119</v>
      </c>
      <c r="E6137" t="s">
        <v>9935</v>
      </c>
      <c r="F6137" t="s">
        <v>23502</v>
      </c>
      <c r="G6137" t="s">
        <v>16601</v>
      </c>
      <c r="H6137" t="s">
        <v>5474</v>
      </c>
      <c r="I6137" t="s">
        <v>23503</v>
      </c>
      <c r="J6137" t="s">
        <v>5476</v>
      </c>
      <c r="K6137" t="s">
        <v>22795</v>
      </c>
      <c r="L6137" t="s">
        <v>5471</v>
      </c>
      <c r="M6137" t="s">
        <v>5471</v>
      </c>
    </row>
    <row r="6138" spans="1:13" x14ac:dyDescent="0.3">
      <c r="A6138" t="s">
        <v>3380</v>
      </c>
      <c r="B6138" t="s">
        <v>5306</v>
      </c>
      <c r="C6138" t="s">
        <v>6342</v>
      </c>
      <c r="D6138" t="s">
        <v>4119</v>
      </c>
      <c r="E6138" t="s">
        <v>9935</v>
      </c>
      <c r="F6138" t="s">
        <v>23504</v>
      </c>
      <c r="G6138" t="s">
        <v>17225</v>
      </c>
      <c r="H6138" t="s">
        <v>5474</v>
      </c>
      <c r="I6138" t="s">
        <v>23505</v>
      </c>
      <c r="J6138" t="s">
        <v>5476</v>
      </c>
      <c r="K6138" t="s">
        <v>23506</v>
      </c>
      <c r="L6138" t="s">
        <v>5471</v>
      </c>
      <c r="M6138" t="s">
        <v>5471</v>
      </c>
    </row>
    <row r="6139" spans="1:13" x14ac:dyDescent="0.3">
      <c r="A6139" t="s">
        <v>3380</v>
      </c>
      <c r="B6139" t="s">
        <v>10137</v>
      </c>
      <c r="C6139" t="s">
        <v>6342</v>
      </c>
      <c r="D6139" t="s">
        <v>4119</v>
      </c>
      <c r="E6139" t="s">
        <v>9935</v>
      </c>
      <c r="F6139" t="s">
        <v>23507</v>
      </c>
      <c r="G6139" t="s">
        <v>10145</v>
      </c>
      <c r="H6139" t="s">
        <v>5474</v>
      </c>
      <c r="I6139" t="s">
        <v>23508</v>
      </c>
      <c r="J6139" t="s">
        <v>5476</v>
      </c>
      <c r="K6139" t="s">
        <v>10804</v>
      </c>
      <c r="L6139" t="s">
        <v>5471</v>
      </c>
      <c r="M6139" t="s">
        <v>5471</v>
      </c>
    </row>
    <row r="6140" spans="1:13" x14ac:dyDescent="0.3">
      <c r="A6140" t="s">
        <v>3380</v>
      </c>
      <c r="B6140" t="s">
        <v>10137</v>
      </c>
      <c r="C6140" t="s">
        <v>6342</v>
      </c>
      <c r="D6140" t="s">
        <v>4119</v>
      </c>
      <c r="E6140" t="s">
        <v>9935</v>
      </c>
      <c r="F6140" t="s">
        <v>23509</v>
      </c>
      <c r="G6140" t="s">
        <v>10145</v>
      </c>
      <c r="H6140" t="s">
        <v>5474</v>
      </c>
      <c r="I6140" t="s">
        <v>23510</v>
      </c>
      <c r="J6140" t="s">
        <v>5476</v>
      </c>
      <c r="K6140" t="s">
        <v>10600</v>
      </c>
      <c r="L6140" t="s">
        <v>5471</v>
      </c>
      <c r="M6140" t="s">
        <v>5471</v>
      </c>
    </row>
    <row r="6141" spans="1:13" x14ac:dyDescent="0.3">
      <c r="A6141" t="s">
        <v>3380</v>
      </c>
      <c r="B6141" t="s">
        <v>10137</v>
      </c>
      <c r="C6141" t="s">
        <v>6342</v>
      </c>
      <c r="D6141" t="s">
        <v>4119</v>
      </c>
      <c r="E6141" t="s">
        <v>9935</v>
      </c>
      <c r="F6141" t="s">
        <v>23511</v>
      </c>
      <c r="G6141" t="s">
        <v>10145</v>
      </c>
      <c r="H6141" t="s">
        <v>5474</v>
      </c>
      <c r="I6141" t="s">
        <v>23512</v>
      </c>
      <c r="J6141" t="s">
        <v>5476</v>
      </c>
      <c r="K6141" t="s">
        <v>10558</v>
      </c>
      <c r="L6141" t="s">
        <v>5471</v>
      </c>
      <c r="M6141" t="s">
        <v>5471</v>
      </c>
    </row>
    <row r="6142" spans="1:13" x14ac:dyDescent="0.3">
      <c r="A6142" t="s">
        <v>3380</v>
      </c>
      <c r="B6142" t="s">
        <v>10137</v>
      </c>
      <c r="C6142" t="s">
        <v>6342</v>
      </c>
      <c r="D6142" t="s">
        <v>4119</v>
      </c>
      <c r="E6142" t="s">
        <v>9935</v>
      </c>
      <c r="F6142" t="s">
        <v>23513</v>
      </c>
      <c r="G6142" t="s">
        <v>10145</v>
      </c>
      <c r="H6142" t="s">
        <v>5474</v>
      </c>
      <c r="I6142" t="s">
        <v>23514</v>
      </c>
      <c r="J6142" t="s">
        <v>5476</v>
      </c>
      <c r="K6142" t="s">
        <v>10603</v>
      </c>
      <c r="L6142" t="s">
        <v>5471</v>
      </c>
      <c r="M6142" t="s">
        <v>5471</v>
      </c>
    </row>
    <row r="6143" spans="1:13" x14ac:dyDescent="0.3">
      <c r="A6143" t="s">
        <v>3380</v>
      </c>
      <c r="B6143" t="s">
        <v>10137</v>
      </c>
      <c r="C6143" t="s">
        <v>6342</v>
      </c>
      <c r="D6143" t="s">
        <v>4119</v>
      </c>
      <c r="E6143" t="s">
        <v>9935</v>
      </c>
      <c r="F6143" t="s">
        <v>23515</v>
      </c>
      <c r="G6143" t="s">
        <v>10145</v>
      </c>
      <c r="H6143" t="s">
        <v>5474</v>
      </c>
      <c r="I6143" t="s">
        <v>23516</v>
      </c>
      <c r="J6143" t="s">
        <v>5476</v>
      </c>
      <c r="K6143" t="s">
        <v>10811</v>
      </c>
      <c r="L6143" t="s">
        <v>5471</v>
      </c>
      <c r="M6143" t="s">
        <v>5471</v>
      </c>
    </row>
    <row r="6144" spans="1:13" x14ac:dyDescent="0.3">
      <c r="A6144" t="s">
        <v>3380</v>
      </c>
      <c r="B6144" t="s">
        <v>10137</v>
      </c>
      <c r="C6144" t="s">
        <v>6342</v>
      </c>
      <c r="D6144" t="s">
        <v>4119</v>
      </c>
      <c r="E6144" t="s">
        <v>9935</v>
      </c>
      <c r="F6144" t="s">
        <v>23517</v>
      </c>
      <c r="G6144" t="s">
        <v>10145</v>
      </c>
      <c r="H6144" t="s">
        <v>5474</v>
      </c>
      <c r="I6144" t="s">
        <v>23518</v>
      </c>
      <c r="J6144" t="s">
        <v>5476</v>
      </c>
      <c r="K6144" t="s">
        <v>10848</v>
      </c>
      <c r="L6144" t="s">
        <v>5471</v>
      </c>
      <c r="M6144" t="s">
        <v>5471</v>
      </c>
    </row>
    <row r="6145" spans="1:13" x14ac:dyDescent="0.3">
      <c r="A6145" t="s">
        <v>3388</v>
      </c>
      <c r="B6145" t="s">
        <v>7088</v>
      </c>
      <c r="C6145" t="s">
        <v>5470</v>
      </c>
      <c r="D6145" t="s">
        <v>4056</v>
      </c>
      <c r="E6145" t="s">
        <v>5617</v>
      </c>
      <c r="F6145" t="s">
        <v>23519</v>
      </c>
      <c r="G6145" t="s">
        <v>23428</v>
      </c>
      <c r="H6145" t="s">
        <v>5474</v>
      </c>
      <c r="I6145" t="s">
        <v>23520</v>
      </c>
      <c r="J6145" t="s">
        <v>5476</v>
      </c>
      <c r="K6145" t="s">
        <v>23521</v>
      </c>
      <c r="L6145" t="s">
        <v>5471</v>
      </c>
      <c r="M6145" t="s">
        <v>5471</v>
      </c>
    </row>
    <row r="6146" spans="1:13" x14ac:dyDescent="0.3">
      <c r="A6146" t="s">
        <v>3380</v>
      </c>
      <c r="B6146" t="s">
        <v>10137</v>
      </c>
      <c r="C6146" t="s">
        <v>6342</v>
      </c>
      <c r="D6146" t="s">
        <v>4119</v>
      </c>
      <c r="E6146" t="s">
        <v>5532</v>
      </c>
      <c r="F6146" t="s">
        <v>23522</v>
      </c>
      <c r="G6146" t="s">
        <v>10149</v>
      </c>
      <c r="H6146" t="s">
        <v>5474</v>
      </c>
      <c r="I6146" t="s">
        <v>23523</v>
      </c>
      <c r="J6146" t="s">
        <v>5476</v>
      </c>
      <c r="K6146" t="s">
        <v>23524</v>
      </c>
      <c r="L6146" t="s">
        <v>5471</v>
      </c>
      <c r="M6146" t="s">
        <v>5471</v>
      </c>
    </row>
    <row r="6147" spans="1:13" x14ac:dyDescent="0.3">
      <c r="A6147" t="s">
        <v>3380</v>
      </c>
      <c r="B6147" t="s">
        <v>10137</v>
      </c>
      <c r="C6147" t="s">
        <v>6342</v>
      </c>
      <c r="D6147" t="s">
        <v>4119</v>
      </c>
      <c r="E6147" t="s">
        <v>5532</v>
      </c>
      <c r="F6147" t="s">
        <v>23525</v>
      </c>
      <c r="G6147" t="s">
        <v>10149</v>
      </c>
      <c r="H6147" t="s">
        <v>5474</v>
      </c>
      <c r="I6147" t="s">
        <v>23526</v>
      </c>
      <c r="J6147" t="s">
        <v>5476</v>
      </c>
      <c r="K6147" t="s">
        <v>23527</v>
      </c>
      <c r="L6147" t="s">
        <v>5471</v>
      </c>
      <c r="M6147" t="s">
        <v>5471</v>
      </c>
    </row>
    <row r="6148" spans="1:13" x14ac:dyDescent="0.3">
      <c r="A6148" t="s">
        <v>3380</v>
      </c>
      <c r="B6148" t="s">
        <v>10137</v>
      </c>
      <c r="C6148" t="s">
        <v>6342</v>
      </c>
      <c r="D6148" t="s">
        <v>4119</v>
      </c>
      <c r="E6148" t="s">
        <v>5532</v>
      </c>
      <c r="F6148" t="s">
        <v>23528</v>
      </c>
      <c r="G6148" t="s">
        <v>10142</v>
      </c>
      <c r="H6148" t="s">
        <v>5474</v>
      </c>
      <c r="I6148" t="s">
        <v>23529</v>
      </c>
      <c r="J6148" t="s">
        <v>5476</v>
      </c>
      <c r="K6148" t="s">
        <v>23530</v>
      </c>
      <c r="L6148" t="s">
        <v>5471</v>
      </c>
      <c r="M6148" t="s">
        <v>5471</v>
      </c>
    </row>
    <row r="6149" spans="1:13" x14ac:dyDescent="0.3">
      <c r="A6149" t="s">
        <v>3380</v>
      </c>
      <c r="B6149" t="s">
        <v>10137</v>
      </c>
      <c r="C6149" t="s">
        <v>6342</v>
      </c>
      <c r="D6149" t="s">
        <v>4119</v>
      </c>
      <c r="E6149" t="s">
        <v>5532</v>
      </c>
      <c r="F6149" t="s">
        <v>23531</v>
      </c>
      <c r="G6149" t="s">
        <v>10139</v>
      </c>
      <c r="H6149" t="s">
        <v>5474</v>
      </c>
      <c r="I6149" t="s">
        <v>23532</v>
      </c>
      <c r="J6149" t="s">
        <v>5476</v>
      </c>
      <c r="K6149" t="s">
        <v>23533</v>
      </c>
      <c r="L6149" t="s">
        <v>5471</v>
      </c>
      <c r="M6149" t="s">
        <v>5471</v>
      </c>
    </row>
    <row r="6150" spans="1:13" x14ac:dyDescent="0.3">
      <c r="A6150" t="s">
        <v>3380</v>
      </c>
      <c r="B6150" t="s">
        <v>10137</v>
      </c>
      <c r="C6150" t="s">
        <v>6342</v>
      </c>
      <c r="D6150" t="s">
        <v>4119</v>
      </c>
      <c r="E6150" t="s">
        <v>5532</v>
      </c>
      <c r="F6150" t="s">
        <v>23534</v>
      </c>
      <c r="G6150" t="s">
        <v>10139</v>
      </c>
      <c r="H6150" t="s">
        <v>5474</v>
      </c>
      <c r="I6150" t="s">
        <v>23535</v>
      </c>
      <c r="J6150" t="s">
        <v>5476</v>
      </c>
      <c r="K6150" t="s">
        <v>23536</v>
      </c>
      <c r="L6150" t="s">
        <v>5471</v>
      </c>
      <c r="M6150" t="s">
        <v>5471</v>
      </c>
    </row>
    <row r="6151" spans="1:13" x14ac:dyDescent="0.3">
      <c r="A6151" t="s">
        <v>3380</v>
      </c>
      <c r="B6151" t="s">
        <v>10137</v>
      </c>
      <c r="C6151" t="s">
        <v>6342</v>
      </c>
      <c r="D6151" t="s">
        <v>4119</v>
      </c>
      <c r="E6151" t="s">
        <v>5532</v>
      </c>
      <c r="F6151" t="s">
        <v>23537</v>
      </c>
      <c r="G6151" t="s">
        <v>10145</v>
      </c>
      <c r="H6151" t="s">
        <v>5474</v>
      </c>
      <c r="I6151" t="s">
        <v>23538</v>
      </c>
      <c r="J6151" t="s">
        <v>5476</v>
      </c>
      <c r="K6151" t="s">
        <v>23539</v>
      </c>
      <c r="L6151" t="s">
        <v>5471</v>
      </c>
      <c r="M6151" t="s">
        <v>5471</v>
      </c>
    </row>
    <row r="6152" spans="1:13" x14ac:dyDescent="0.3">
      <c r="A6152" t="s">
        <v>3380</v>
      </c>
      <c r="B6152" t="s">
        <v>10137</v>
      </c>
      <c r="C6152" t="s">
        <v>6342</v>
      </c>
      <c r="D6152" t="s">
        <v>4119</v>
      </c>
      <c r="E6152" t="s">
        <v>5532</v>
      </c>
      <c r="F6152" t="s">
        <v>23540</v>
      </c>
      <c r="G6152" t="s">
        <v>10145</v>
      </c>
      <c r="H6152" t="s">
        <v>5474</v>
      </c>
      <c r="I6152" t="s">
        <v>23541</v>
      </c>
      <c r="J6152" t="s">
        <v>5476</v>
      </c>
      <c r="K6152" t="s">
        <v>23542</v>
      </c>
      <c r="L6152" t="s">
        <v>5471</v>
      </c>
      <c r="M6152" t="s">
        <v>5471</v>
      </c>
    </row>
    <row r="6153" spans="1:13" x14ac:dyDescent="0.3">
      <c r="A6153" t="s">
        <v>3380</v>
      </c>
      <c r="B6153" t="s">
        <v>10137</v>
      </c>
      <c r="C6153" t="s">
        <v>6342</v>
      </c>
      <c r="D6153" t="s">
        <v>4119</v>
      </c>
      <c r="E6153" t="s">
        <v>9935</v>
      </c>
      <c r="F6153" t="s">
        <v>23543</v>
      </c>
      <c r="G6153" t="s">
        <v>10145</v>
      </c>
      <c r="H6153" t="s">
        <v>5474</v>
      </c>
      <c r="I6153" t="s">
        <v>23544</v>
      </c>
      <c r="J6153" t="s">
        <v>5476</v>
      </c>
      <c r="K6153" t="s">
        <v>22724</v>
      </c>
      <c r="L6153" t="s">
        <v>5471</v>
      </c>
      <c r="M6153" t="s">
        <v>5471</v>
      </c>
    </row>
    <row r="6154" spans="1:13" x14ac:dyDescent="0.3">
      <c r="A6154" t="s">
        <v>3380</v>
      </c>
      <c r="B6154" t="s">
        <v>5261</v>
      </c>
      <c r="C6154" t="s">
        <v>6342</v>
      </c>
      <c r="D6154" t="s">
        <v>4119</v>
      </c>
      <c r="E6154" t="s">
        <v>9935</v>
      </c>
      <c r="F6154" t="s">
        <v>23545</v>
      </c>
      <c r="G6154" t="s">
        <v>16694</v>
      </c>
      <c r="H6154" t="s">
        <v>5474</v>
      </c>
      <c r="I6154" t="s">
        <v>23546</v>
      </c>
      <c r="J6154" t="s">
        <v>5476</v>
      </c>
      <c r="K6154" t="s">
        <v>11039</v>
      </c>
      <c r="L6154" t="s">
        <v>5471</v>
      </c>
      <c r="M6154" t="s">
        <v>5471</v>
      </c>
    </row>
    <row r="6155" spans="1:13" x14ac:dyDescent="0.3">
      <c r="A6155" t="s">
        <v>3380</v>
      </c>
      <c r="B6155" t="s">
        <v>5261</v>
      </c>
      <c r="C6155" t="s">
        <v>6342</v>
      </c>
      <c r="D6155" t="s">
        <v>4119</v>
      </c>
      <c r="E6155" t="s">
        <v>5532</v>
      </c>
      <c r="F6155" t="s">
        <v>23547</v>
      </c>
      <c r="G6155" t="s">
        <v>16694</v>
      </c>
      <c r="H6155" t="s">
        <v>5474</v>
      </c>
      <c r="I6155" t="s">
        <v>23548</v>
      </c>
      <c r="J6155" t="s">
        <v>5476</v>
      </c>
      <c r="K6155" t="s">
        <v>20388</v>
      </c>
      <c r="L6155" t="s">
        <v>5471</v>
      </c>
      <c r="M6155" t="s">
        <v>5471</v>
      </c>
    </row>
    <row r="6156" spans="1:13" x14ac:dyDescent="0.3">
      <c r="A6156" t="s">
        <v>3380</v>
      </c>
      <c r="B6156" t="s">
        <v>5261</v>
      </c>
      <c r="C6156" t="s">
        <v>6342</v>
      </c>
      <c r="D6156" t="s">
        <v>4119</v>
      </c>
      <c r="E6156" t="s">
        <v>5843</v>
      </c>
      <c r="F6156" t="s">
        <v>23549</v>
      </c>
      <c r="G6156" t="s">
        <v>16694</v>
      </c>
      <c r="H6156" t="s">
        <v>5474</v>
      </c>
      <c r="I6156" t="s">
        <v>23550</v>
      </c>
      <c r="J6156" t="s">
        <v>5476</v>
      </c>
      <c r="K6156" t="s">
        <v>23551</v>
      </c>
      <c r="L6156" t="s">
        <v>5471</v>
      </c>
      <c r="M6156" t="s">
        <v>5471</v>
      </c>
    </row>
    <row r="6157" spans="1:13" x14ac:dyDescent="0.3">
      <c r="A6157" t="s">
        <v>3380</v>
      </c>
      <c r="B6157" t="s">
        <v>5261</v>
      </c>
      <c r="C6157" t="s">
        <v>6342</v>
      </c>
      <c r="D6157" t="s">
        <v>4119</v>
      </c>
      <c r="E6157" t="s">
        <v>9935</v>
      </c>
      <c r="F6157" t="s">
        <v>23552</v>
      </c>
      <c r="G6157" t="s">
        <v>23476</v>
      </c>
      <c r="H6157" t="s">
        <v>5474</v>
      </c>
      <c r="I6157" t="s">
        <v>23553</v>
      </c>
      <c r="J6157" t="s">
        <v>5476</v>
      </c>
      <c r="K6157" t="s">
        <v>22741</v>
      </c>
      <c r="L6157" t="s">
        <v>5471</v>
      </c>
      <c r="M6157" t="s">
        <v>5471</v>
      </c>
    </row>
    <row r="6158" spans="1:13" x14ac:dyDescent="0.3">
      <c r="A6158" t="s">
        <v>3380</v>
      </c>
      <c r="B6158" t="s">
        <v>5261</v>
      </c>
      <c r="C6158" t="s">
        <v>6342</v>
      </c>
      <c r="D6158" t="s">
        <v>4119</v>
      </c>
      <c r="E6158" t="s">
        <v>9935</v>
      </c>
      <c r="F6158" t="s">
        <v>23554</v>
      </c>
      <c r="G6158" t="s">
        <v>23555</v>
      </c>
      <c r="H6158" t="s">
        <v>5474</v>
      </c>
      <c r="I6158" t="s">
        <v>23556</v>
      </c>
      <c r="J6158" t="s">
        <v>5476</v>
      </c>
      <c r="K6158" t="s">
        <v>23483</v>
      </c>
      <c r="L6158" t="s">
        <v>5471</v>
      </c>
      <c r="M6158" t="s">
        <v>5471</v>
      </c>
    </row>
    <row r="6159" spans="1:13" x14ac:dyDescent="0.3">
      <c r="A6159" t="s">
        <v>3380</v>
      </c>
      <c r="B6159" t="s">
        <v>5261</v>
      </c>
      <c r="C6159" t="s">
        <v>6342</v>
      </c>
      <c r="D6159" t="s">
        <v>4119</v>
      </c>
      <c r="E6159" t="s">
        <v>9935</v>
      </c>
      <c r="F6159" t="s">
        <v>23557</v>
      </c>
      <c r="G6159" t="s">
        <v>23555</v>
      </c>
      <c r="H6159" t="s">
        <v>5474</v>
      </c>
      <c r="I6159" t="s">
        <v>23558</v>
      </c>
      <c r="J6159" t="s">
        <v>5476</v>
      </c>
      <c r="K6159" t="s">
        <v>23486</v>
      </c>
      <c r="L6159" t="s">
        <v>5471</v>
      </c>
      <c r="M6159" t="s">
        <v>5471</v>
      </c>
    </row>
    <row r="6160" spans="1:13" x14ac:dyDescent="0.3">
      <c r="A6160" t="s">
        <v>3380</v>
      </c>
      <c r="B6160" t="s">
        <v>5261</v>
      </c>
      <c r="C6160" t="s">
        <v>6342</v>
      </c>
      <c r="D6160" t="s">
        <v>4119</v>
      </c>
      <c r="E6160" t="s">
        <v>9935</v>
      </c>
      <c r="F6160" t="s">
        <v>23559</v>
      </c>
      <c r="G6160" t="s">
        <v>16661</v>
      </c>
      <c r="H6160" t="s">
        <v>5474</v>
      </c>
      <c r="I6160" t="s">
        <v>23560</v>
      </c>
      <c r="J6160" t="s">
        <v>5476</v>
      </c>
      <c r="K6160" t="s">
        <v>23561</v>
      </c>
      <c r="L6160" t="s">
        <v>5471</v>
      </c>
      <c r="M6160" t="s">
        <v>5471</v>
      </c>
    </row>
    <row r="6161" spans="1:13" x14ac:dyDescent="0.3">
      <c r="A6161" t="s">
        <v>3380</v>
      </c>
      <c r="B6161" t="s">
        <v>5261</v>
      </c>
      <c r="C6161" t="s">
        <v>6342</v>
      </c>
      <c r="D6161" t="s">
        <v>4119</v>
      </c>
      <c r="E6161" t="s">
        <v>9935</v>
      </c>
      <c r="F6161" t="s">
        <v>23562</v>
      </c>
      <c r="G6161" t="s">
        <v>16661</v>
      </c>
      <c r="H6161" t="s">
        <v>5474</v>
      </c>
      <c r="I6161" t="s">
        <v>23563</v>
      </c>
      <c r="J6161" t="s">
        <v>5476</v>
      </c>
      <c r="K6161" t="s">
        <v>23564</v>
      </c>
      <c r="L6161" t="s">
        <v>5471</v>
      </c>
      <c r="M6161" t="s">
        <v>5471</v>
      </c>
    </row>
    <row r="6162" spans="1:13" x14ac:dyDescent="0.3">
      <c r="A6162" t="s">
        <v>3380</v>
      </c>
      <c r="B6162" t="s">
        <v>5261</v>
      </c>
      <c r="C6162" t="s">
        <v>6342</v>
      </c>
      <c r="D6162" t="s">
        <v>4119</v>
      </c>
      <c r="E6162" t="s">
        <v>9935</v>
      </c>
      <c r="F6162" t="s">
        <v>23565</v>
      </c>
      <c r="G6162" t="s">
        <v>15615</v>
      </c>
      <c r="H6162" t="s">
        <v>5474</v>
      </c>
      <c r="I6162" t="s">
        <v>23566</v>
      </c>
      <c r="J6162" t="s">
        <v>5476</v>
      </c>
      <c r="K6162" t="s">
        <v>23567</v>
      </c>
      <c r="L6162" t="s">
        <v>5471</v>
      </c>
      <c r="M6162" t="s">
        <v>5471</v>
      </c>
    </row>
    <row r="6163" spans="1:13" x14ac:dyDescent="0.3">
      <c r="A6163" t="s">
        <v>3380</v>
      </c>
      <c r="B6163" t="s">
        <v>5261</v>
      </c>
      <c r="C6163" t="s">
        <v>6342</v>
      </c>
      <c r="D6163" t="s">
        <v>4119</v>
      </c>
      <c r="E6163" t="s">
        <v>9935</v>
      </c>
      <c r="F6163" t="s">
        <v>23568</v>
      </c>
      <c r="G6163" t="s">
        <v>15615</v>
      </c>
      <c r="H6163" t="s">
        <v>5474</v>
      </c>
      <c r="I6163" t="s">
        <v>23569</v>
      </c>
      <c r="J6163" t="s">
        <v>5476</v>
      </c>
      <c r="K6163" t="s">
        <v>23570</v>
      </c>
      <c r="L6163" t="s">
        <v>5471</v>
      </c>
      <c r="M6163" t="s">
        <v>5471</v>
      </c>
    </row>
    <row r="6164" spans="1:13" x14ac:dyDescent="0.3">
      <c r="A6164" t="s">
        <v>3380</v>
      </c>
      <c r="B6164" t="s">
        <v>5261</v>
      </c>
      <c r="C6164" t="s">
        <v>6342</v>
      </c>
      <c r="D6164" t="s">
        <v>4119</v>
      </c>
      <c r="E6164" t="s">
        <v>9935</v>
      </c>
      <c r="F6164" t="s">
        <v>23571</v>
      </c>
      <c r="G6164" t="s">
        <v>16694</v>
      </c>
      <c r="H6164" t="s">
        <v>5474</v>
      </c>
      <c r="I6164" t="s">
        <v>23572</v>
      </c>
      <c r="J6164" t="s">
        <v>5476</v>
      </c>
      <c r="K6164" t="s">
        <v>10600</v>
      </c>
      <c r="L6164" t="s">
        <v>5471</v>
      </c>
      <c r="M6164" t="s">
        <v>5471</v>
      </c>
    </row>
    <row r="6165" spans="1:13" x14ac:dyDescent="0.3">
      <c r="A6165" t="s">
        <v>3380</v>
      </c>
      <c r="B6165" t="s">
        <v>5261</v>
      </c>
      <c r="C6165" t="s">
        <v>6342</v>
      </c>
      <c r="D6165" t="s">
        <v>4119</v>
      </c>
      <c r="E6165" t="s">
        <v>9935</v>
      </c>
      <c r="F6165" t="s">
        <v>23573</v>
      </c>
      <c r="G6165" t="s">
        <v>16694</v>
      </c>
      <c r="H6165" t="s">
        <v>5474</v>
      </c>
      <c r="I6165" t="s">
        <v>23574</v>
      </c>
      <c r="J6165" t="s">
        <v>5476</v>
      </c>
      <c r="K6165" t="s">
        <v>10811</v>
      </c>
      <c r="L6165" t="s">
        <v>5471</v>
      </c>
      <c r="M6165" t="s">
        <v>5471</v>
      </c>
    </row>
    <row r="6166" spans="1:13" x14ac:dyDescent="0.3">
      <c r="A6166" t="s">
        <v>3380</v>
      </c>
      <c r="B6166" t="s">
        <v>5261</v>
      </c>
      <c r="C6166" t="s">
        <v>6342</v>
      </c>
      <c r="D6166" t="s">
        <v>4119</v>
      </c>
      <c r="E6166" t="s">
        <v>9935</v>
      </c>
      <c r="F6166" t="s">
        <v>23575</v>
      </c>
      <c r="G6166" t="s">
        <v>16694</v>
      </c>
      <c r="H6166" t="s">
        <v>5474</v>
      </c>
      <c r="I6166" t="s">
        <v>23576</v>
      </c>
      <c r="J6166" t="s">
        <v>5476</v>
      </c>
      <c r="K6166" t="s">
        <v>10848</v>
      </c>
      <c r="L6166" t="s">
        <v>5471</v>
      </c>
      <c r="M6166" t="s">
        <v>5471</v>
      </c>
    </row>
    <row r="6167" spans="1:13" x14ac:dyDescent="0.3">
      <c r="A6167" t="s">
        <v>3380</v>
      </c>
      <c r="B6167" t="s">
        <v>10105</v>
      </c>
      <c r="C6167" t="s">
        <v>6342</v>
      </c>
      <c r="D6167" t="s">
        <v>4056</v>
      </c>
      <c r="E6167" t="s">
        <v>5532</v>
      </c>
      <c r="F6167" t="s">
        <v>23577</v>
      </c>
      <c r="G6167" t="s">
        <v>17020</v>
      </c>
      <c r="H6167" t="s">
        <v>5474</v>
      </c>
      <c r="I6167" t="s">
        <v>23578</v>
      </c>
      <c r="J6167" t="s">
        <v>5476</v>
      </c>
      <c r="K6167" t="s">
        <v>9685</v>
      </c>
      <c r="L6167" t="s">
        <v>5471</v>
      </c>
      <c r="M6167" t="s">
        <v>5471</v>
      </c>
    </row>
    <row r="6168" spans="1:13" x14ac:dyDescent="0.3">
      <c r="A6168" t="s">
        <v>3383</v>
      </c>
      <c r="B6168" t="s">
        <v>5332</v>
      </c>
      <c r="C6168" t="s">
        <v>5470</v>
      </c>
      <c r="D6168" t="s">
        <v>4119</v>
      </c>
      <c r="E6168" t="s">
        <v>5532</v>
      </c>
      <c r="F6168" t="s">
        <v>23579</v>
      </c>
      <c r="G6168" t="s">
        <v>6589</v>
      </c>
      <c r="H6168" t="s">
        <v>5474</v>
      </c>
      <c r="I6168" t="s">
        <v>23580</v>
      </c>
      <c r="J6168" t="s">
        <v>5484</v>
      </c>
      <c r="K6168" t="s">
        <v>23581</v>
      </c>
      <c r="L6168" t="s">
        <v>5471</v>
      </c>
      <c r="M6168" t="s">
        <v>5471</v>
      </c>
    </row>
    <row r="6169" spans="1:13" x14ac:dyDescent="0.3">
      <c r="A6169" t="s">
        <v>3383</v>
      </c>
      <c r="B6169" t="s">
        <v>5332</v>
      </c>
      <c r="C6169" t="s">
        <v>5470</v>
      </c>
      <c r="D6169" t="s">
        <v>4119</v>
      </c>
      <c r="E6169" t="s">
        <v>5532</v>
      </c>
      <c r="F6169" t="s">
        <v>23582</v>
      </c>
      <c r="G6169" t="s">
        <v>6586</v>
      </c>
      <c r="H6169" t="s">
        <v>5474</v>
      </c>
      <c r="I6169" t="s">
        <v>23583</v>
      </c>
      <c r="J6169" t="s">
        <v>5484</v>
      </c>
      <c r="K6169" t="s">
        <v>23581</v>
      </c>
      <c r="L6169" t="s">
        <v>5471</v>
      </c>
      <c r="M6169" t="s">
        <v>5471</v>
      </c>
    </row>
    <row r="6170" spans="1:13" x14ac:dyDescent="0.3">
      <c r="A6170" t="s">
        <v>3380</v>
      </c>
      <c r="B6170" t="s">
        <v>11677</v>
      </c>
      <c r="C6170" t="s">
        <v>6342</v>
      </c>
      <c r="D6170" t="s">
        <v>4056</v>
      </c>
      <c r="E6170" t="s">
        <v>5532</v>
      </c>
      <c r="F6170" t="s">
        <v>23584</v>
      </c>
      <c r="G6170" t="s">
        <v>21412</v>
      </c>
      <c r="H6170" t="s">
        <v>5474</v>
      </c>
      <c r="I6170" t="s">
        <v>23585</v>
      </c>
      <c r="J6170" t="s">
        <v>5476</v>
      </c>
      <c r="K6170" t="s">
        <v>23586</v>
      </c>
      <c r="L6170" t="s">
        <v>5471</v>
      </c>
      <c r="M6170" t="s">
        <v>5471</v>
      </c>
    </row>
    <row r="6171" spans="1:13" x14ac:dyDescent="0.3">
      <c r="A6171" t="s">
        <v>3383</v>
      </c>
      <c r="B6171" t="s">
        <v>5332</v>
      </c>
      <c r="C6171" t="s">
        <v>5470</v>
      </c>
      <c r="D6171" t="s">
        <v>4119</v>
      </c>
      <c r="E6171" t="s">
        <v>5532</v>
      </c>
      <c r="F6171" t="s">
        <v>23587</v>
      </c>
      <c r="G6171" t="s">
        <v>11619</v>
      </c>
      <c r="H6171" t="s">
        <v>5474</v>
      </c>
      <c r="I6171" t="s">
        <v>23588</v>
      </c>
      <c r="J6171" t="s">
        <v>5476</v>
      </c>
      <c r="K6171" t="s">
        <v>23589</v>
      </c>
      <c r="L6171" t="s">
        <v>5471</v>
      </c>
      <c r="M6171" t="s">
        <v>5471</v>
      </c>
    </row>
    <row r="6172" spans="1:13" x14ac:dyDescent="0.3">
      <c r="A6172" t="s">
        <v>3380</v>
      </c>
      <c r="B6172" t="s">
        <v>11677</v>
      </c>
      <c r="C6172" t="s">
        <v>6342</v>
      </c>
      <c r="D6172" t="s">
        <v>4056</v>
      </c>
      <c r="E6172" t="s">
        <v>5532</v>
      </c>
      <c r="F6172" t="s">
        <v>23590</v>
      </c>
      <c r="G6172" t="s">
        <v>22763</v>
      </c>
      <c r="H6172" t="s">
        <v>5474</v>
      </c>
      <c r="I6172" t="s">
        <v>23591</v>
      </c>
      <c r="J6172" t="s">
        <v>5476</v>
      </c>
      <c r="K6172" t="s">
        <v>23592</v>
      </c>
      <c r="L6172" t="s">
        <v>5471</v>
      </c>
      <c r="M6172" t="s">
        <v>5471</v>
      </c>
    </row>
    <row r="6173" spans="1:13" x14ac:dyDescent="0.3">
      <c r="A6173" t="s">
        <v>3383</v>
      </c>
      <c r="B6173" t="s">
        <v>5332</v>
      </c>
      <c r="C6173" t="s">
        <v>5470</v>
      </c>
      <c r="D6173" t="s">
        <v>4119</v>
      </c>
      <c r="E6173" t="s">
        <v>5532</v>
      </c>
      <c r="F6173" t="s">
        <v>23593</v>
      </c>
      <c r="G6173" t="s">
        <v>11627</v>
      </c>
      <c r="H6173" t="s">
        <v>5474</v>
      </c>
      <c r="I6173" t="s">
        <v>23594</v>
      </c>
      <c r="J6173" t="s">
        <v>5476</v>
      </c>
      <c r="K6173" t="s">
        <v>23589</v>
      </c>
      <c r="L6173" t="s">
        <v>5471</v>
      </c>
      <c r="M6173" t="s">
        <v>5471</v>
      </c>
    </row>
    <row r="6174" spans="1:13" x14ac:dyDescent="0.3">
      <c r="A6174" t="s">
        <v>3380</v>
      </c>
      <c r="B6174" t="s">
        <v>11677</v>
      </c>
      <c r="C6174" t="s">
        <v>6342</v>
      </c>
      <c r="D6174" t="s">
        <v>4056</v>
      </c>
      <c r="E6174" t="s">
        <v>5532</v>
      </c>
      <c r="F6174" t="s">
        <v>23595</v>
      </c>
      <c r="G6174" t="s">
        <v>22766</v>
      </c>
      <c r="H6174" t="s">
        <v>5474</v>
      </c>
      <c r="I6174" t="s">
        <v>23596</v>
      </c>
      <c r="J6174" t="s">
        <v>5476</v>
      </c>
      <c r="K6174" t="s">
        <v>9685</v>
      </c>
      <c r="L6174" t="s">
        <v>5471</v>
      </c>
      <c r="M6174" t="s">
        <v>5471</v>
      </c>
    </row>
    <row r="6175" spans="1:13" x14ac:dyDescent="0.3">
      <c r="A6175" t="s">
        <v>3383</v>
      </c>
      <c r="B6175" t="s">
        <v>5330</v>
      </c>
      <c r="C6175" t="s">
        <v>5470</v>
      </c>
      <c r="D6175" t="s">
        <v>4119</v>
      </c>
      <c r="E6175" t="s">
        <v>5532</v>
      </c>
      <c r="F6175" t="s">
        <v>23597</v>
      </c>
      <c r="G6175" t="s">
        <v>6592</v>
      </c>
      <c r="H6175" t="s">
        <v>5474</v>
      </c>
      <c r="I6175" t="s">
        <v>23598</v>
      </c>
      <c r="J6175" t="s">
        <v>5484</v>
      </c>
      <c r="K6175" t="s">
        <v>23599</v>
      </c>
      <c r="L6175" t="s">
        <v>5471</v>
      </c>
      <c r="M6175" t="s">
        <v>5471</v>
      </c>
    </row>
    <row r="6176" spans="1:13" x14ac:dyDescent="0.3">
      <c r="A6176" t="s">
        <v>3380</v>
      </c>
      <c r="B6176" t="s">
        <v>11677</v>
      </c>
      <c r="C6176" t="s">
        <v>6342</v>
      </c>
      <c r="D6176" t="s">
        <v>4056</v>
      </c>
      <c r="E6176" t="s">
        <v>5532</v>
      </c>
      <c r="F6176" t="s">
        <v>23600</v>
      </c>
      <c r="G6176" t="s">
        <v>23601</v>
      </c>
      <c r="H6176" t="s">
        <v>5474</v>
      </c>
      <c r="I6176" t="s">
        <v>23602</v>
      </c>
      <c r="J6176" t="s">
        <v>5476</v>
      </c>
      <c r="K6176" t="s">
        <v>23603</v>
      </c>
      <c r="L6176" t="s">
        <v>5471</v>
      </c>
      <c r="M6176" t="s">
        <v>5471</v>
      </c>
    </row>
    <row r="6177" spans="1:13" x14ac:dyDescent="0.3">
      <c r="A6177" t="s">
        <v>3380</v>
      </c>
      <c r="B6177" t="s">
        <v>11677</v>
      </c>
      <c r="C6177" t="s">
        <v>6342</v>
      </c>
      <c r="D6177" t="s">
        <v>4056</v>
      </c>
      <c r="E6177" t="s">
        <v>5532</v>
      </c>
      <c r="F6177" t="s">
        <v>23604</v>
      </c>
      <c r="G6177" t="s">
        <v>23605</v>
      </c>
      <c r="H6177" t="s">
        <v>5474</v>
      </c>
      <c r="I6177" t="s">
        <v>23606</v>
      </c>
      <c r="J6177" t="s">
        <v>5476</v>
      </c>
      <c r="K6177" t="s">
        <v>16328</v>
      </c>
      <c r="L6177" t="s">
        <v>5471</v>
      </c>
      <c r="M6177" t="s">
        <v>5471</v>
      </c>
    </row>
    <row r="6178" spans="1:13" x14ac:dyDescent="0.3">
      <c r="A6178" t="s">
        <v>3380</v>
      </c>
      <c r="B6178" t="s">
        <v>11677</v>
      </c>
      <c r="C6178" t="s">
        <v>6342</v>
      </c>
      <c r="D6178" t="s">
        <v>4056</v>
      </c>
      <c r="E6178" t="s">
        <v>5532</v>
      </c>
      <c r="F6178" t="s">
        <v>23607</v>
      </c>
      <c r="G6178" t="s">
        <v>23608</v>
      </c>
      <c r="H6178" t="s">
        <v>5474</v>
      </c>
      <c r="I6178" t="s">
        <v>23609</v>
      </c>
      <c r="J6178" t="s">
        <v>5476</v>
      </c>
      <c r="K6178" t="s">
        <v>17136</v>
      </c>
      <c r="L6178" t="s">
        <v>5471</v>
      </c>
      <c r="M6178" t="s">
        <v>5471</v>
      </c>
    </row>
    <row r="6179" spans="1:13" x14ac:dyDescent="0.3">
      <c r="A6179" t="s">
        <v>3383</v>
      </c>
      <c r="B6179" t="s">
        <v>7444</v>
      </c>
      <c r="C6179" t="s">
        <v>5470</v>
      </c>
      <c r="D6179" t="s">
        <v>4119</v>
      </c>
      <c r="E6179" t="s">
        <v>5532</v>
      </c>
      <c r="F6179" t="s">
        <v>23610</v>
      </c>
      <c r="G6179" t="s">
        <v>6586</v>
      </c>
      <c r="H6179" t="s">
        <v>5474</v>
      </c>
      <c r="I6179" t="s">
        <v>23611</v>
      </c>
      <c r="J6179" t="s">
        <v>5484</v>
      </c>
      <c r="K6179" t="s">
        <v>23612</v>
      </c>
      <c r="L6179" t="s">
        <v>5471</v>
      </c>
      <c r="M6179" t="s">
        <v>5471</v>
      </c>
    </row>
    <row r="6180" spans="1:13" x14ac:dyDescent="0.3">
      <c r="A6180" t="s">
        <v>3380</v>
      </c>
      <c r="B6180" t="s">
        <v>11677</v>
      </c>
      <c r="C6180" t="s">
        <v>6342</v>
      </c>
      <c r="D6180" t="s">
        <v>4056</v>
      </c>
      <c r="E6180" t="s">
        <v>5532</v>
      </c>
      <c r="F6180" t="s">
        <v>23613</v>
      </c>
      <c r="G6180" t="s">
        <v>23614</v>
      </c>
      <c r="H6180" t="s">
        <v>5474</v>
      </c>
      <c r="I6180" t="s">
        <v>23615</v>
      </c>
      <c r="J6180" t="s">
        <v>5476</v>
      </c>
      <c r="K6180" t="s">
        <v>16292</v>
      </c>
      <c r="L6180" t="s">
        <v>5471</v>
      </c>
      <c r="M6180" t="s">
        <v>5471</v>
      </c>
    </row>
    <row r="6181" spans="1:13" x14ac:dyDescent="0.3">
      <c r="A6181" t="s">
        <v>3383</v>
      </c>
      <c r="B6181" t="s">
        <v>5805</v>
      </c>
      <c r="C6181" t="s">
        <v>5470</v>
      </c>
      <c r="D6181" t="s">
        <v>4119</v>
      </c>
      <c r="E6181" t="s">
        <v>5532</v>
      </c>
      <c r="F6181" t="s">
        <v>23616</v>
      </c>
      <c r="G6181" t="s">
        <v>23617</v>
      </c>
      <c r="H6181" t="s">
        <v>5474</v>
      </c>
      <c r="I6181" t="s">
        <v>23618</v>
      </c>
      <c r="J6181" t="s">
        <v>5484</v>
      </c>
      <c r="K6181" t="s">
        <v>23619</v>
      </c>
      <c r="L6181" t="s">
        <v>5471</v>
      </c>
      <c r="M6181" t="s">
        <v>5471</v>
      </c>
    </row>
    <row r="6182" spans="1:13" x14ac:dyDescent="0.3">
      <c r="A6182" t="s">
        <v>3380</v>
      </c>
      <c r="B6182" t="s">
        <v>11677</v>
      </c>
      <c r="C6182" t="s">
        <v>6342</v>
      </c>
      <c r="D6182" t="s">
        <v>4056</v>
      </c>
      <c r="E6182" t="s">
        <v>5532</v>
      </c>
      <c r="F6182" t="s">
        <v>23620</v>
      </c>
      <c r="G6182" t="s">
        <v>23621</v>
      </c>
      <c r="H6182" t="s">
        <v>5474</v>
      </c>
      <c r="I6182" t="s">
        <v>23622</v>
      </c>
      <c r="J6182" t="s">
        <v>5476</v>
      </c>
      <c r="K6182" t="s">
        <v>16363</v>
      </c>
      <c r="L6182" t="s">
        <v>5471</v>
      </c>
      <c r="M6182" t="s">
        <v>5471</v>
      </c>
    </row>
    <row r="6183" spans="1:13" x14ac:dyDescent="0.3">
      <c r="A6183" t="s">
        <v>3383</v>
      </c>
      <c r="B6183" t="s">
        <v>5952</v>
      </c>
      <c r="C6183" t="s">
        <v>5470</v>
      </c>
      <c r="D6183" t="s">
        <v>4119</v>
      </c>
      <c r="E6183" t="s">
        <v>5532</v>
      </c>
      <c r="F6183" t="s">
        <v>23623</v>
      </c>
      <c r="G6183" t="s">
        <v>23617</v>
      </c>
      <c r="H6183" t="s">
        <v>5474</v>
      </c>
      <c r="I6183" t="s">
        <v>23624</v>
      </c>
      <c r="J6183" t="s">
        <v>5484</v>
      </c>
      <c r="K6183" t="s">
        <v>23625</v>
      </c>
      <c r="L6183" t="s">
        <v>5471</v>
      </c>
      <c r="M6183" t="s">
        <v>5471</v>
      </c>
    </row>
    <row r="6184" spans="1:13" x14ac:dyDescent="0.3">
      <c r="A6184" t="s">
        <v>3383</v>
      </c>
      <c r="B6184" t="s">
        <v>5952</v>
      </c>
      <c r="C6184" t="s">
        <v>5470</v>
      </c>
      <c r="D6184" t="s">
        <v>4119</v>
      </c>
      <c r="E6184" t="s">
        <v>5532</v>
      </c>
      <c r="F6184" t="s">
        <v>23626</v>
      </c>
      <c r="G6184" t="s">
        <v>23627</v>
      </c>
      <c r="H6184" t="s">
        <v>5474</v>
      </c>
      <c r="I6184" t="s">
        <v>23628</v>
      </c>
      <c r="J6184" t="s">
        <v>5484</v>
      </c>
      <c r="K6184" t="s">
        <v>23629</v>
      </c>
      <c r="L6184" t="s">
        <v>5471</v>
      </c>
      <c r="M6184" t="s">
        <v>5471</v>
      </c>
    </row>
    <row r="6185" spans="1:13" x14ac:dyDescent="0.3">
      <c r="A6185" t="s">
        <v>3380</v>
      </c>
      <c r="B6185" t="s">
        <v>16940</v>
      </c>
      <c r="C6185" t="s">
        <v>6342</v>
      </c>
      <c r="D6185" t="s">
        <v>4056</v>
      </c>
      <c r="E6185" t="s">
        <v>5532</v>
      </c>
      <c r="F6185" t="s">
        <v>23630</v>
      </c>
      <c r="G6185" t="s">
        <v>17020</v>
      </c>
      <c r="H6185" t="s">
        <v>5474</v>
      </c>
      <c r="I6185" t="s">
        <v>23631</v>
      </c>
      <c r="J6185" t="s">
        <v>5476</v>
      </c>
      <c r="K6185" t="s">
        <v>22738</v>
      </c>
      <c r="L6185" t="s">
        <v>5471</v>
      </c>
      <c r="M6185" t="s">
        <v>5471</v>
      </c>
    </row>
    <row r="6186" spans="1:13" x14ac:dyDescent="0.3">
      <c r="A6186" t="s">
        <v>3383</v>
      </c>
      <c r="B6186" t="s">
        <v>5952</v>
      </c>
      <c r="C6186" t="s">
        <v>5470</v>
      </c>
      <c r="D6186" t="s">
        <v>4119</v>
      </c>
      <c r="E6186" t="s">
        <v>5532</v>
      </c>
      <c r="F6186" t="s">
        <v>23632</v>
      </c>
      <c r="G6186" t="s">
        <v>23633</v>
      </c>
      <c r="H6186" t="s">
        <v>5474</v>
      </c>
      <c r="I6186" t="s">
        <v>23634</v>
      </c>
      <c r="J6186" t="s">
        <v>5484</v>
      </c>
      <c r="K6186" t="s">
        <v>23625</v>
      </c>
      <c r="L6186" t="s">
        <v>5471</v>
      </c>
      <c r="M6186" t="s">
        <v>5471</v>
      </c>
    </row>
    <row r="6187" spans="1:13" x14ac:dyDescent="0.3">
      <c r="A6187" t="s">
        <v>3383</v>
      </c>
      <c r="B6187" t="s">
        <v>5952</v>
      </c>
      <c r="C6187" t="s">
        <v>5470</v>
      </c>
      <c r="D6187" t="s">
        <v>4119</v>
      </c>
      <c r="E6187" t="s">
        <v>5532</v>
      </c>
      <c r="F6187" t="s">
        <v>23635</v>
      </c>
      <c r="G6187" t="s">
        <v>7528</v>
      </c>
      <c r="H6187" t="s">
        <v>5474</v>
      </c>
      <c r="I6187" t="s">
        <v>23636</v>
      </c>
      <c r="J6187" t="s">
        <v>5484</v>
      </c>
      <c r="K6187" t="s">
        <v>23625</v>
      </c>
      <c r="L6187" t="s">
        <v>5471</v>
      </c>
      <c r="M6187" t="s">
        <v>5471</v>
      </c>
    </row>
    <row r="6188" spans="1:13" x14ac:dyDescent="0.3">
      <c r="A6188" t="s">
        <v>3380</v>
      </c>
      <c r="B6188" t="s">
        <v>16940</v>
      </c>
      <c r="C6188" t="s">
        <v>6342</v>
      </c>
      <c r="D6188" t="s">
        <v>4056</v>
      </c>
      <c r="E6188" t="s">
        <v>5532</v>
      </c>
      <c r="F6188" t="s">
        <v>23637</v>
      </c>
      <c r="G6188" t="s">
        <v>23638</v>
      </c>
      <c r="H6188" t="s">
        <v>5474</v>
      </c>
      <c r="I6188" t="s">
        <v>23639</v>
      </c>
      <c r="J6188" t="s">
        <v>5476</v>
      </c>
      <c r="K6188" t="s">
        <v>16363</v>
      </c>
      <c r="L6188" t="s">
        <v>5471</v>
      </c>
      <c r="M6188" t="s">
        <v>5471</v>
      </c>
    </row>
    <row r="6189" spans="1:13" x14ac:dyDescent="0.3">
      <c r="A6189" t="s">
        <v>3388</v>
      </c>
      <c r="B6189" t="s">
        <v>23640</v>
      </c>
      <c r="C6189" t="s">
        <v>5470</v>
      </c>
      <c r="D6189" t="s">
        <v>10210</v>
      </c>
      <c r="E6189" t="s">
        <v>5532</v>
      </c>
      <c r="F6189" t="s">
        <v>23641</v>
      </c>
      <c r="G6189" t="s">
        <v>23642</v>
      </c>
      <c r="H6189" t="s">
        <v>5474</v>
      </c>
      <c r="I6189" t="s">
        <v>23643</v>
      </c>
      <c r="J6189" t="s">
        <v>5476</v>
      </c>
      <c r="K6189" t="s">
        <v>23644</v>
      </c>
      <c r="L6189" t="s">
        <v>5471</v>
      </c>
      <c r="M6189" t="s">
        <v>5471</v>
      </c>
    </row>
    <row r="6190" spans="1:13" x14ac:dyDescent="0.3">
      <c r="A6190" t="s">
        <v>3388</v>
      </c>
      <c r="B6190" t="s">
        <v>6128</v>
      </c>
      <c r="C6190" t="s">
        <v>5470</v>
      </c>
      <c r="D6190" t="s">
        <v>4052</v>
      </c>
      <c r="E6190" t="s">
        <v>5532</v>
      </c>
      <c r="F6190" t="s">
        <v>23645</v>
      </c>
      <c r="G6190" t="s">
        <v>23646</v>
      </c>
      <c r="H6190" t="s">
        <v>5474</v>
      </c>
      <c r="I6190" t="s">
        <v>23647</v>
      </c>
      <c r="J6190" t="s">
        <v>5476</v>
      </c>
      <c r="K6190" t="s">
        <v>23648</v>
      </c>
      <c r="L6190" t="s">
        <v>5471</v>
      </c>
      <c r="M6190" t="s">
        <v>5471</v>
      </c>
    </row>
    <row r="6191" spans="1:13" x14ac:dyDescent="0.3">
      <c r="A6191" t="s">
        <v>3388</v>
      </c>
      <c r="B6191" t="s">
        <v>6128</v>
      </c>
      <c r="C6191" t="s">
        <v>5470</v>
      </c>
      <c r="D6191" t="s">
        <v>4052</v>
      </c>
      <c r="E6191" t="s">
        <v>5532</v>
      </c>
      <c r="F6191" t="s">
        <v>23649</v>
      </c>
      <c r="G6191" t="s">
        <v>22047</v>
      </c>
      <c r="H6191" t="s">
        <v>5474</v>
      </c>
      <c r="I6191" t="s">
        <v>23650</v>
      </c>
      <c r="J6191" t="s">
        <v>5476</v>
      </c>
      <c r="K6191" t="s">
        <v>23651</v>
      </c>
      <c r="L6191" t="s">
        <v>5471</v>
      </c>
      <c r="M6191" t="s">
        <v>5471</v>
      </c>
    </row>
    <row r="6192" spans="1:13" x14ac:dyDescent="0.3">
      <c r="A6192" t="s">
        <v>3388</v>
      </c>
      <c r="B6192" t="s">
        <v>6540</v>
      </c>
      <c r="C6192" t="s">
        <v>5470</v>
      </c>
      <c r="D6192" t="s">
        <v>4052</v>
      </c>
      <c r="E6192" t="s">
        <v>5532</v>
      </c>
      <c r="F6192" t="s">
        <v>23652</v>
      </c>
      <c r="G6192" t="s">
        <v>22903</v>
      </c>
      <c r="H6192" t="s">
        <v>5474</v>
      </c>
      <c r="I6192" t="s">
        <v>23653</v>
      </c>
      <c r="J6192" t="s">
        <v>5476</v>
      </c>
      <c r="K6192" t="s">
        <v>23654</v>
      </c>
      <c r="L6192" t="s">
        <v>5471</v>
      </c>
      <c r="M6192" t="s">
        <v>5471</v>
      </c>
    </row>
    <row r="6193" spans="1:13" x14ac:dyDescent="0.3">
      <c r="A6193" t="s">
        <v>3388</v>
      </c>
      <c r="B6193" t="s">
        <v>10852</v>
      </c>
      <c r="C6193" t="s">
        <v>5470</v>
      </c>
      <c r="D6193" t="s">
        <v>4052</v>
      </c>
      <c r="E6193" t="s">
        <v>5756</v>
      </c>
      <c r="F6193" t="s">
        <v>23655</v>
      </c>
      <c r="G6193" t="s">
        <v>10854</v>
      </c>
      <c r="H6193" t="s">
        <v>5474</v>
      </c>
      <c r="I6193" t="s">
        <v>23656</v>
      </c>
      <c r="J6193" t="s">
        <v>5476</v>
      </c>
      <c r="K6193" t="s">
        <v>23657</v>
      </c>
      <c r="L6193" t="s">
        <v>5471</v>
      </c>
      <c r="M6193" t="s">
        <v>5471</v>
      </c>
    </row>
    <row r="6194" spans="1:13" x14ac:dyDescent="0.3">
      <c r="A6194" t="s">
        <v>3388</v>
      </c>
      <c r="B6194" t="s">
        <v>10852</v>
      </c>
      <c r="C6194" t="s">
        <v>5470</v>
      </c>
      <c r="D6194" t="s">
        <v>4052</v>
      </c>
      <c r="E6194" t="s">
        <v>5756</v>
      </c>
      <c r="F6194" t="s">
        <v>23658</v>
      </c>
      <c r="G6194" t="s">
        <v>10854</v>
      </c>
      <c r="H6194" t="s">
        <v>5474</v>
      </c>
      <c r="I6194" t="s">
        <v>23659</v>
      </c>
      <c r="J6194" t="s">
        <v>5476</v>
      </c>
      <c r="K6194" t="s">
        <v>23660</v>
      </c>
      <c r="L6194" t="s">
        <v>5471</v>
      </c>
      <c r="M6194" t="s">
        <v>5471</v>
      </c>
    </row>
    <row r="6195" spans="1:13" x14ac:dyDescent="0.3">
      <c r="A6195" t="s">
        <v>3388</v>
      </c>
      <c r="B6195" t="s">
        <v>7109</v>
      </c>
      <c r="C6195" t="s">
        <v>5470</v>
      </c>
      <c r="D6195" t="s">
        <v>4052</v>
      </c>
      <c r="E6195" t="s">
        <v>5480</v>
      </c>
      <c r="F6195" t="s">
        <v>23661</v>
      </c>
      <c r="G6195" t="s">
        <v>10952</v>
      </c>
      <c r="H6195" t="s">
        <v>5474</v>
      </c>
      <c r="I6195" t="s">
        <v>23662</v>
      </c>
      <c r="J6195" t="s">
        <v>5476</v>
      </c>
      <c r="K6195" t="s">
        <v>23663</v>
      </c>
      <c r="L6195" t="s">
        <v>5471</v>
      </c>
      <c r="M6195" t="s">
        <v>5471</v>
      </c>
    </row>
    <row r="6196" spans="1:13" x14ac:dyDescent="0.3">
      <c r="A6196" t="s">
        <v>3388</v>
      </c>
      <c r="B6196" t="s">
        <v>7109</v>
      </c>
      <c r="C6196" t="s">
        <v>5470</v>
      </c>
      <c r="D6196" t="s">
        <v>4052</v>
      </c>
      <c r="E6196" t="s">
        <v>5480</v>
      </c>
      <c r="F6196" t="s">
        <v>23664</v>
      </c>
      <c r="G6196" t="s">
        <v>10952</v>
      </c>
      <c r="H6196" t="s">
        <v>5474</v>
      </c>
      <c r="I6196" t="s">
        <v>23665</v>
      </c>
      <c r="J6196" t="s">
        <v>5476</v>
      </c>
      <c r="K6196" t="s">
        <v>23666</v>
      </c>
      <c r="L6196" t="s">
        <v>5471</v>
      </c>
      <c r="M6196" t="s">
        <v>5471</v>
      </c>
    </row>
    <row r="6197" spans="1:13" x14ac:dyDescent="0.3">
      <c r="A6197" t="s">
        <v>3388</v>
      </c>
      <c r="B6197" t="s">
        <v>7109</v>
      </c>
      <c r="C6197" t="s">
        <v>5470</v>
      </c>
      <c r="D6197" t="s">
        <v>4052</v>
      </c>
      <c r="E6197" t="s">
        <v>5480</v>
      </c>
      <c r="F6197" t="s">
        <v>23667</v>
      </c>
      <c r="G6197" t="s">
        <v>10952</v>
      </c>
      <c r="H6197" t="s">
        <v>5474</v>
      </c>
      <c r="I6197" t="s">
        <v>23668</v>
      </c>
      <c r="J6197" t="s">
        <v>5476</v>
      </c>
      <c r="K6197" t="s">
        <v>23669</v>
      </c>
      <c r="L6197" t="s">
        <v>5471</v>
      </c>
      <c r="M6197" t="s">
        <v>5471</v>
      </c>
    </row>
    <row r="6198" spans="1:13" x14ac:dyDescent="0.3">
      <c r="A6198" t="s">
        <v>3388</v>
      </c>
      <c r="B6198" t="s">
        <v>7109</v>
      </c>
      <c r="C6198" t="s">
        <v>5470</v>
      </c>
      <c r="D6198" t="s">
        <v>4052</v>
      </c>
      <c r="E6198" t="s">
        <v>5480</v>
      </c>
      <c r="F6198" t="s">
        <v>23670</v>
      </c>
      <c r="G6198" t="s">
        <v>10952</v>
      </c>
      <c r="H6198" t="s">
        <v>5474</v>
      </c>
      <c r="I6198" t="s">
        <v>23671</v>
      </c>
      <c r="J6198" t="s">
        <v>5476</v>
      </c>
      <c r="K6198" t="s">
        <v>23672</v>
      </c>
      <c r="L6198" t="s">
        <v>5471</v>
      </c>
      <c r="M6198" t="s">
        <v>5471</v>
      </c>
    </row>
    <row r="6199" spans="1:13" x14ac:dyDescent="0.3">
      <c r="A6199" t="s">
        <v>3388</v>
      </c>
      <c r="B6199" t="s">
        <v>7109</v>
      </c>
      <c r="C6199" t="s">
        <v>5470</v>
      </c>
      <c r="D6199" t="s">
        <v>4052</v>
      </c>
      <c r="E6199" t="s">
        <v>5480</v>
      </c>
      <c r="F6199" t="s">
        <v>23673</v>
      </c>
      <c r="G6199" t="s">
        <v>10952</v>
      </c>
      <c r="H6199" t="s">
        <v>5474</v>
      </c>
      <c r="I6199" t="s">
        <v>23674</v>
      </c>
      <c r="J6199" t="s">
        <v>5476</v>
      </c>
      <c r="K6199" t="s">
        <v>23675</v>
      </c>
      <c r="L6199" t="s">
        <v>5471</v>
      </c>
      <c r="M6199" t="s">
        <v>5471</v>
      </c>
    </row>
    <row r="6200" spans="1:13" x14ac:dyDescent="0.3">
      <c r="A6200" t="s">
        <v>3388</v>
      </c>
      <c r="B6200" t="s">
        <v>7109</v>
      </c>
      <c r="C6200" t="s">
        <v>5470</v>
      </c>
      <c r="D6200" t="s">
        <v>4052</v>
      </c>
      <c r="E6200" t="s">
        <v>5480</v>
      </c>
      <c r="F6200" t="s">
        <v>23676</v>
      </c>
      <c r="G6200" t="s">
        <v>10952</v>
      </c>
      <c r="H6200" t="s">
        <v>5474</v>
      </c>
      <c r="I6200" t="s">
        <v>23677</v>
      </c>
      <c r="J6200" t="s">
        <v>5476</v>
      </c>
      <c r="K6200" t="s">
        <v>23678</v>
      </c>
      <c r="L6200" t="s">
        <v>5471</v>
      </c>
      <c r="M6200" t="s">
        <v>5471</v>
      </c>
    </row>
    <row r="6201" spans="1:13" x14ac:dyDescent="0.3">
      <c r="A6201" t="s">
        <v>3388</v>
      </c>
      <c r="B6201" t="s">
        <v>7109</v>
      </c>
      <c r="C6201" t="s">
        <v>5470</v>
      </c>
      <c r="D6201" t="s">
        <v>4052</v>
      </c>
      <c r="E6201" t="s">
        <v>5480</v>
      </c>
      <c r="F6201" t="s">
        <v>23679</v>
      </c>
      <c r="G6201" t="s">
        <v>10952</v>
      </c>
      <c r="H6201" t="s">
        <v>5474</v>
      </c>
      <c r="I6201" t="s">
        <v>23680</v>
      </c>
      <c r="J6201" t="s">
        <v>5476</v>
      </c>
      <c r="K6201" t="s">
        <v>23681</v>
      </c>
      <c r="L6201" t="s">
        <v>5471</v>
      </c>
      <c r="M6201" t="s">
        <v>5471</v>
      </c>
    </row>
    <row r="6202" spans="1:13" x14ac:dyDescent="0.3">
      <c r="A6202" t="s">
        <v>3388</v>
      </c>
      <c r="B6202" t="s">
        <v>7109</v>
      </c>
      <c r="C6202" t="s">
        <v>5470</v>
      </c>
      <c r="D6202" t="s">
        <v>4052</v>
      </c>
      <c r="E6202" t="s">
        <v>5480</v>
      </c>
      <c r="F6202" t="s">
        <v>23682</v>
      </c>
      <c r="G6202" t="s">
        <v>10952</v>
      </c>
      <c r="H6202" t="s">
        <v>5474</v>
      </c>
      <c r="I6202" t="s">
        <v>23683</v>
      </c>
      <c r="J6202" t="s">
        <v>5476</v>
      </c>
      <c r="K6202" t="s">
        <v>23684</v>
      </c>
      <c r="L6202" t="s">
        <v>5471</v>
      </c>
      <c r="M6202" t="s">
        <v>5471</v>
      </c>
    </row>
    <row r="6203" spans="1:13" x14ac:dyDescent="0.3">
      <c r="A6203" t="s">
        <v>3388</v>
      </c>
      <c r="B6203" t="s">
        <v>7109</v>
      </c>
      <c r="C6203" t="s">
        <v>5470</v>
      </c>
      <c r="D6203" t="s">
        <v>4052</v>
      </c>
      <c r="E6203" t="s">
        <v>5532</v>
      </c>
      <c r="F6203" t="s">
        <v>23685</v>
      </c>
      <c r="G6203" t="s">
        <v>10952</v>
      </c>
      <c r="H6203" t="s">
        <v>5474</v>
      </c>
      <c r="I6203" t="s">
        <v>23686</v>
      </c>
      <c r="J6203" t="s">
        <v>5476</v>
      </c>
      <c r="K6203" t="s">
        <v>23687</v>
      </c>
      <c r="L6203" t="s">
        <v>5471</v>
      </c>
      <c r="M6203" t="s">
        <v>5471</v>
      </c>
    </row>
    <row r="6204" spans="1:13" x14ac:dyDescent="0.3">
      <c r="A6204" t="s">
        <v>3388</v>
      </c>
      <c r="B6204" t="s">
        <v>7109</v>
      </c>
      <c r="C6204" t="s">
        <v>5470</v>
      </c>
      <c r="D6204" t="s">
        <v>4052</v>
      </c>
      <c r="E6204" t="s">
        <v>5756</v>
      </c>
      <c r="F6204" t="s">
        <v>23688</v>
      </c>
      <c r="G6204" t="s">
        <v>10663</v>
      </c>
      <c r="H6204" t="s">
        <v>5474</v>
      </c>
      <c r="I6204" t="s">
        <v>23689</v>
      </c>
      <c r="J6204" t="s">
        <v>5476</v>
      </c>
      <c r="K6204" t="s">
        <v>23690</v>
      </c>
      <c r="L6204" t="s">
        <v>5471</v>
      </c>
      <c r="M6204" t="s">
        <v>5471</v>
      </c>
    </row>
    <row r="6205" spans="1:13" x14ac:dyDescent="0.3">
      <c r="A6205" t="s">
        <v>3388</v>
      </c>
      <c r="B6205" t="s">
        <v>7109</v>
      </c>
      <c r="C6205" t="s">
        <v>5470</v>
      </c>
      <c r="D6205" t="s">
        <v>4052</v>
      </c>
      <c r="E6205" t="s">
        <v>5480</v>
      </c>
      <c r="F6205" t="s">
        <v>23691</v>
      </c>
      <c r="G6205" t="s">
        <v>10952</v>
      </c>
      <c r="H6205" t="s">
        <v>5474</v>
      </c>
      <c r="I6205" t="s">
        <v>23692</v>
      </c>
      <c r="J6205" t="s">
        <v>5476</v>
      </c>
      <c r="K6205" t="s">
        <v>23693</v>
      </c>
      <c r="L6205" t="s">
        <v>5471</v>
      </c>
      <c r="M6205" t="s">
        <v>5471</v>
      </c>
    </row>
    <row r="6206" spans="1:13" x14ac:dyDescent="0.3">
      <c r="A6206" t="s">
        <v>3388</v>
      </c>
      <c r="B6206" t="s">
        <v>7109</v>
      </c>
      <c r="C6206" t="s">
        <v>5470</v>
      </c>
      <c r="D6206" t="s">
        <v>4052</v>
      </c>
      <c r="E6206" t="s">
        <v>5756</v>
      </c>
      <c r="F6206" t="s">
        <v>23694</v>
      </c>
      <c r="G6206" t="s">
        <v>10663</v>
      </c>
      <c r="H6206" t="s">
        <v>5474</v>
      </c>
      <c r="I6206" t="s">
        <v>23695</v>
      </c>
      <c r="J6206" t="s">
        <v>5476</v>
      </c>
      <c r="K6206" t="s">
        <v>23696</v>
      </c>
      <c r="L6206" t="s">
        <v>5471</v>
      </c>
      <c r="M6206" t="s">
        <v>5471</v>
      </c>
    </row>
    <row r="6207" spans="1:13" x14ac:dyDescent="0.3">
      <c r="A6207" t="s">
        <v>3388</v>
      </c>
      <c r="B6207" t="s">
        <v>7109</v>
      </c>
      <c r="C6207" t="s">
        <v>5470</v>
      </c>
      <c r="D6207" t="s">
        <v>4052</v>
      </c>
      <c r="E6207" t="s">
        <v>5756</v>
      </c>
      <c r="F6207" t="s">
        <v>23697</v>
      </c>
      <c r="G6207" t="s">
        <v>10663</v>
      </c>
      <c r="H6207" t="s">
        <v>5474</v>
      </c>
      <c r="I6207" t="s">
        <v>23698</v>
      </c>
      <c r="J6207" t="s">
        <v>5476</v>
      </c>
      <c r="K6207" t="s">
        <v>23699</v>
      </c>
      <c r="L6207" t="s">
        <v>5471</v>
      </c>
      <c r="M6207" t="s">
        <v>5471</v>
      </c>
    </row>
    <row r="6208" spans="1:13" x14ac:dyDescent="0.3">
      <c r="A6208" t="s">
        <v>3388</v>
      </c>
      <c r="B6208" t="s">
        <v>7109</v>
      </c>
      <c r="C6208" t="s">
        <v>5470</v>
      </c>
      <c r="D6208" t="s">
        <v>4052</v>
      </c>
      <c r="E6208" t="s">
        <v>5756</v>
      </c>
      <c r="F6208" t="s">
        <v>23700</v>
      </c>
      <c r="G6208" t="s">
        <v>10663</v>
      </c>
      <c r="H6208" t="s">
        <v>5474</v>
      </c>
      <c r="I6208" t="s">
        <v>23701</v>
      </c>
      <c r="J6208" t="s">
        <v>5476</v>
      </c>
      <c r="K6208" t="s">
        <v>23702</v>
      </c>
      <c r="L6208" t="s">
        <v>5471</v>
      </c>
      <c r="M6208" t="s">
        <v>5471</v>
      </c>
    </row>
    <row r="6209" spans="1:13" x14ac:dyDescent="0.3">
      <c r="A6209" t="s">
        <v>3388</v>
      </c>
      <c r="B6209" t="s">
        <v>7109</v>
      </c>
      <c r="C6209" t="s">
        <v>5470</v>
      </c>
      <c r="D6209" t="s">
        <v>4052</v>
      </c>
      <c r="E6209" t="s">
        <v>5756</v>
      </c>
      <c r="F6209" t="s">
        <v>23703</v>
      </c>
      <c r="G6209" t="s">
        <v>10663</v>
      </c>
      <c r="H6209" t="s">
        <v>5474</v>
      </c>
      <c r="I6209" t="s">
        <v>23704</v>
      </c>
      <c r="J6209" t="s">
        <v>5476</v>
      </c>
      <c r="K6209" t="s">
        <v>23705</v>
      </c>
      <c r="L6209" t="s">
        <v>5471</v>
      </c>
      <c r="M6209" t="s">
        <v>5471</v>
      </c>
    </row>
    <row r="6210" spans="1:13" x14ac:dyDescent="0.3">
      <c r="A6210" t="s">
        <v>3388</v>
      </c>
      <c r="B6210" t="s">
        <v>6540</v>
      </c>
      <c r="C6210" t="s">
        <v>5470</v>
      </c>
      <c r="D6210" t="s">
        <v>4052</v>
      </c>
      <c r="E6210" t="s">
        <v>5480</v>
      </c>
      <c r="F6210" t="s">
        <v>23706</v>
      </c>
      <c r="G6210" t="s">
        <v>9695</v>
      </c>
      <c r="H6210" t="s">
        <v>5474</v>
      </c>
      <c r="I6210" t="s">
        <v>23707</v>
      </c>
      <c r="J6210" t="s">
        <v>5476</v>
      </c>
      <c r="K6210" t="s">
        <v>23708</v>
      </c>
      <c r="L6210" t="s">
        <v>5471</v>
      </c>
      <c r="M6210" t="s">
        <v>5471</v>
      </c>
    </row>
    <row r="6211" spans="1:13" x14ac:dyDescent="0.3">
      <c r="A6211" t="s">
        <v>3388</v>
      </c>
      <c r="B6211" t="s">
        <v>15580</v>
      </c>
      <c r="C6211" t="s">
        <v>5470</v>
      </c>
      <c r="D6211" t="s">
        <v>4052</v>
      </c>
      <c r="E6211" t="s">
        <v>5756</v>
      </c>
      <c r="F6211" t="s">
        <v>23709</v>
      </c>
      <c r="G6211" t="s">
        <v>17591</v>
      </c>
      <c r="H6211" t="s">
        <v>5474</v>
      </c>
      <c r="I6211" t="s">
        <v>23710</v>
      </c>
      <c r="J6211" t="s">
        <v>5476</v>
      </c>
      <c r="K6211" t="s">
        <v>23711</v>
      </c>
      <c r="L6211" t="s">
        <v>5471</v>
      </c>
      <c r="M6211" t="s">
        <v>5471</v>
      </c>
    </row>
    <row r="6212" spans="1:13" x14ac:dyDescent="0.3">
      <c r="A6212" t="s">
        <v>3388</v>
      </c>
      <c r="B6212" t="s">
        <v>15580</v>
      </c>
      <c r="C6212" t="s">
        <v>5470</v>
      </c>
      <c r="D6212" t="s">
        <v>4052</v>
      </c>
      <c r="E6212" t="s">
        <v>5756</v>
      </c>
      <c r="F6212" t="s">
        <v>23712</v>
      </c>
      <c r="G6212" t="s">
        <v>17591</v>
      </c>
      <c r="H6212" t="s">
        <v>5474</v>
      </c>
      <c r="I6212" t="s">
        <v>23713</v>
      </c>
      <c r="J6212" t="s">
        <v>5476</v>
      </c>
      <c r="K6212" t="s">
        <v>23714</v>
      </c>
      <c r="L6212" t="s">
        <v>5471</v>
      </c>
      <c r="M6212" t="s">
        <v>5471</v>
      </c>
    </row>
    <row r="6213" spans="1:13" x14ac:dyDescent="0.3">
      <c r="A6213" t="s">
        <v>3388</v>
      </c>
      <c r="B6213" t="s">
        <v>7109</v>
      </c>
      <c r="C6213" t="s">
        <v>5470</v>
      </c>
      <c r="D6213" t="s">
        <v>4052</v>
      </c>
      <c r="E6213" t="s">
        <v>5756</v>
      </c>
      <c r="F6213" t="s">
        <v>23715</v>
      </c>
      <c r="G6213" t="s">
        <v>19195</v>
      </c>
      <c r="H6213" t="s">
        <v>5474</v>
      </c>
      <c r="I6213" t="s">
        <v>23716</v>
      </c>
      <c r="J6213" t="s">
        <v>5476</v>
      </c>
      <c r="K6213" t="s">
        <v>23717</v>
      </c>
      <c r="L6213" t="s">
        <v>5471</v>
      </c>
      <c r="M6213" t="s">
        <v>5471</v>
      </c>
    </row>
    <row r="6214" spans="1:13" x14ac:dyDescent="0.3">
      <c r="A6214" t="s">
        <v>3388</v>
      </c>
      <c r="B6214" t="s">
        <v>7109</v>
      </c>
      <c r="C6214" t="s">
        <v>5470</v>
      </c>
      <c r="D6214" t="s">
        <v>4052</v>
      </c>
      <c r="E6214" t="s">
        <v>5756</v>
      </c>
      <c r="F6214" t="s">
        <v>23718</v>
      </c>
      <c r="G6214" t="s">
        <v>19195</v>
      </c>
      <c r="H6214" t="s">
        <v>5474</v>
      </c>
      <c r="I6214" t="s">
        <v>23719</v>
      </c>
      <c r="J6214" t="s">
        <v>5476</v>
      </c>
      <c r="K6214" t="s">
        <v>23720</v>
      </c>
      <c r="L6214" t="s">
        <v>5471</v>
      </c>
      <c r="M6214" t="s">
        <v>5471</v>
      </c>
    </row>
    <row r="6215" spans="1:13" x14ac:dyDescent="0.3">
      <c r="A6215" t="s">
        <v>3388</v>
      </c>
      <c r="B6215" t="s">
        <v>23721</v>
      </c>
      <c r="C6215" t="s">
        <v>5470</v>
      </c>
      <c r="D6215" t="s">
        <v>9833</v>
      </c>
      <c r="E6215" t="s">
        <v>5756</v>
      </c>
      <c r="F6215" t="s">
        <v>23722</v>
      </c>
      <c r="G6215" t="s">
        <v>23723</v>
      </c>
      <c r="H6215" t="s">
        <v>5474</v>
      </c>
      <c r="I6215" t="s">
        <v>23724</v>
      </c>
      <c r="J6215" t="s">
        <v>5476</v>
      </c>
      <c r="K6215" t="s">
        <v>23725</v>
      </c>
      <c r="L6215" t="s">
        <v>5471</v>
      </c>
      <c r="M6215" t="s">
        <v>5471</v>
      </c>
    </row>
    <row r="6216" spans="1:13" x14ac:dyDescent="0.3">
      <c r="A6216" t="s">
        <v>3388</v>
      </c>
      <c r="B6216" t="s">
        <v>10501</v>
      </c>
      <c r="C6216" t="s">
        <v>5470</v>
      </c>
      <c r="D6216" t="s">
        <v>10210</v>
      </c>
      <c r="E6216" t="s">
        <v>5532</v>
      </c>
      <c r="F6216" t="s">
        <v>23726</v>
      </c>
      <c r="G6216" t="s">
        <v>10503</v>
      </c>
      <c r="H6216" t="s">
        <v>5474</v>
      </c>
      <c r="I6216" t="s">
        <v>23727</v>
      </c>
      <c r="J6216" t="s">
        <v>5484</v>
      </c>
      <c r="K6216" t="s">
        <v>23728</v>
      </c>
      <c r="L6216" t="s">
        <v>5471</v>
      </c>
      <c r="M6216" t="s">
        <v>5471</v>
      </c>
    </row>
    <row r="6217" spans="1:13" x14ac:dyDescent="0.3">
      <c r="A6217" t="s">
        <v>3388</v>
      </c>
      <c r="B6217" t="s">
        <v>18813</v>
      </c>
      <c r="C6217" t="s">
        <v>5470</v>
      </c>
      <c r="D6217" t="s">
        <v>10210</v>
      </c>
      <c r="E6217" t="s">
        <v>5532</v>
      </c>
      <c r="F6217" t="s">
        <v>23729</v>
      </c>
      <c r="G6217" t="s">
        <v>18815</v>
      </c>
      <c r="H6217" t="s">
        <v>5474</v>
      </c>
      <c r="I6217" t="s">
        <v>23730</v>
      </c>
      <c r="J6217" t="s">
        <v>5476</v>
      </c>
      <c r="K6217" t="s">
        <v>23731</v>
      </c>
      <c r="L6217" t="s">
        <v>5471</v>
      </c>
      <c r="M6217" t="s">
        <v>5471</v>
      </c>
    </row>
    <row r="6218" spans="1:13" x14ac:dyDescent="0.3">
      <c r="A6218" t="s">
        <v>3388</v>
      </c>
      <c r="B6218" t="s">
        <v>10501</v>
      </c>
      <c r="C6218" t="s">
        <v>5470</v>
      </c>
      <c r="D6218" t="s">
        <v>10210</v>
      </c>
      <c r="E6218" t="s">
        <v>5532</v>
      </c>
      <c r="F6218" t="s">
        <v>23732</v>
      </c>
      <c r="G6218" t="s">
        <v>10503</v>
      </c>
      <c r="H6218" t="s">
        <v>5474</v>
      </c>
      <c r="I6218" t="s">
        <v>23733</v>
      </c>
      <c r="J6218" t="s">
        <v>5484</v>
      </c>
      <c r="K6218" t="s">
        <v>23734</v>
      </c>
      <c r="L6218" t="s">
        <v>5471</v>
      </c>
      <c r="M6218" t="s">
        <v>5471</v>
      </c>
    </row>
    <row r="6219" spans="1:13" x14ac:dyDescent="0.3">
      <c r="A6219" t="s">
        <v>3388</v>
      </c>
      <c r="B6219" t="s">
        <v>23735</v>
      </c>
      <c r="C6219" t="s">
        <v>5470</v>
      </c>
      <c r="D6219" t="s">
        <v>10210</v>
      </c>
      <c r="E6219" t="s">
        <v>5532</v>
      </c>
      <c r="F6219" t="s">
        <v>23736</v>
      </c>
      <c r="G6219" t="s">
        <v>23737</v>
      </c>
      <c r="H6219" t="s">
        <v>5474</v>
      </c>
      <c r="I6219" t="s">
        <v>23738</v>
      </c>
      <c r="J6219" t="s">
        <v>5476</v>
      </c>
      <c r="K6219" t="s">
        <v>23739</v>
      </c>
      <c r="L6219" t="s">
        <v>5471</v>
      </c>
      <c r="M6219" t="s">
        <v>5471</v>
      </c>
    </row>
    <row r="6220" spans="1:13" x14ac:dyDescent="0.3">
      <c r="A6220" t="s">
        <v>3388</v>
      </c>
      <c r="B6220" t="s">
        <v>23740</v>
      </c>
      <c r="C6220" t="s">
        <v>5470</v>
      </c>
      <c r="D6220" t="s">
        <v>10210</v>
      </c>
      <c r="E6220" t="s">
        <v>5532</v>
      </c>
      <c r="F6220" t="s">
        <v>23741</v>
      </c>
      <c r="G6220" t="s">
        <v>23742</v>
      </c>
      <c r="H6220" t="s">
        <v>5474</v>
      </c>
      <c r="I6220" t="s">
        <v>23743</v>
      </c>
      <c r="J6220" t="s">
        <v>5476</v>
      </c>
      <c r="K6220" t="s">
        <v>23744</v>
      </c>
      <c r="L6220" t="s">
        <v>5471</v>
      </c>
      <c r="M6220" t="s">
        <v>5471</v>
      </c>
    </row>
    <row r="6221" spans="1:13" x14ac:dyDescent="0.3">
      <c r="A6221" t="s">
        <v>3388</v>
      </c>
      <c r="B6221" t="s">
        <v>23745</v>
      </c>
      <c r="C6221" t="s">
        <v>5470</v>
      </c>
      <c r="D6221" t="s">
        <v>10210</v>
      </c>
      <c r="E6221" t="s">
        <v>5532</v>
      </c>
      <c r="F6221" t="s">
        <v>23746</v>
      </c>
      <c r="G6221" t="s">
        <v>23747</v>
      </c>
      <c r="H6221" t="s">
        <v>5474</v>
      </c>
      <c r="I6221" t="s">
        <v>23748</v>
      </c>
      <c r="J6221" t="s">
        <v>5476</v>
      </c>
      <c r="K6221" t="s">
        <v>23749</v>
      </c>
      <c r="L6221" t="s">
        <v>5471</v>
      </c>
      <c r="M6221" t="s">
        <v>5471</v>
      </c>
    </row>
    <row r="6222" spans="1:13" x14ac:dyDescent="0.3">
      <c r="A6222" t="s">
        <v>3388</v>
      </c>
      <c r="B6222" t="s">
        <v>23721</v>
      </c>
      <c r="C6222" t="s">
        <v>5470</v>
      </c>
      <c r="D6222" t="s">
        <v>10210</v>
      </c>
      <c r="E6222" t="s">
        <v>5756</v>
      </c>
      <c r="F6222" t="s">
        <v>23750</v>
      </c>
      <c r="G6222" t="s">
        <v>23723</v>
      </c>
      <c r="H6222" t="s">
        <v>5474</v>
      </c>
      <c r="I6222" t="s">
        <v>23751</v>
      </c>
      <c r="J6222" t="s">
        <v>5476</v>
      </c>
      <c r="K6222" t="s">
        <v>23752</v>
      </c>
      <c r="L6222" t="s">
        <v>5471</v>
      </c>
      <c r="M6222" t="s">
        <v>5471</v>
      </c>
    </row>
    <row r="6223" spans="1:13" x14ac:dyDescent="0.3">
      <c r="A6223" t="s">
        <v>3388</v>
      </c>
      <c r="B6223" t="s">
        <v>18448</v>
      </c>
      <c r="C6223" t="s">
        <v>5470</v>
      </c>
      <c r="D6223" t="s">
        <v>10210</v>
      </c>
      <c r="E6223" t="s">
        <v>5532</v>
      </c>
      <c r="F6223" t="s">
        <v>23753</v>
      </c>
      <c r="G6223" t="s">
        <v>18450</v>
      </c>
      <c r="H6223" t="s">
        <v>5474</v>
      </c>
      <c r="I6223" t="s">
        <v>23754</v>
      </c>
      <c r="J6223" t="s">
        <v>5476</v>
      </c>
      <c r="K6223" t="s">
        <v>23755</v>
      </c>
      <c r="L6223" t="s">
        <v>5471</v>
      </c>
      <c r="M6223" t="s">
        <v>5471</v>
      </c>
    </row>
    <row r="6224" spans="1:13" x14ac:dyDescent="0.3">
      <c r="A6224" t="s">
        <v>3388</v>
      </c>
      <c r="B6224" t="s">
        <v>18448</v>
      </c>
      <c r="C6224" t="s">
        <v>5470</v>
      </c>
      <c r="D6224" t="s">
        <v>10210</v>
      </c>
      <c r="E6224" t="s">
        <v>5532</v>
      </c>
      <c r="F6224" t="s">
        <v>23756</v>
      </c>
      <c r="G6224" t="s">
        <v>18495</v>
      </c>
      <c r="H6224" t="s">
        <v>5474</v>
      </c>
      <c r="I6224" t="s">
        <v>23757</v>
      </c>
      <c r="J6224" t="s">
        <v>5476</v>
      </c>
      <c r="K6224" t="s">
        <v>23758</v>
      </c>
      <c r="L6224" t="s">
        <v>5471</v>
      </c>
      <c r="M6224" t="s">
        <v>5471</v>
      </c>
    </row>
    <row r="6225" spans="1:13" x14ac:dyDescent="0.3">
      <c r="A6225" t="s">
        <v>3388</v>
      </c>
      <c r="B6225" t="s">
        <v>18550</v>
      </c>
      <c r="C6225" t="s">
        <v>5470</v>
      </c>
      <c r="D6225" t="s">
        <v>10210</v>
      </c>
      <c r="E6225" t="s">
        <v>5532</v>
      </c>
      <c r="F6225" t="s">
        <v>23759</v>
      </c>
      <c r="G6225" t="s">
        <v>18565</v>
      </c>
      <c r="H6225" t="s">
        <v>5474</v>
      </c>
      <c r="I6225" t="s">
        <v>23760</v>
      </c>
      <c r="J6225" t="s">
        <v>5476</v>
      </c>
      <c r="K6225" t="s">
        <v>23761</v>
      </c>
      <c r="L6225" t="s">
        <v>5471</v>
      </c>
      <c r="M6225" t="s">
        <v>5471</v>
      </c>
    </row>
    <row r="6226" spans="1:13" x14ac:dyDescent="0.3">
      <c r="A6226" t="s">
        <v>3388</v>
      </c>
      <c r="B6226" t="s">
        <v>23762</v>
      </c>
      <c r="C6226" t="s">
        <v>5470</v>
      </c>
      <c r="D6226" t="s">
        <v>10210</v>
      </c>
      <c r="E6226" t="s">
        <v>5532</v>
      </c>
      <c r="F6226" t="s">
        <v>23763</v>
      </c>
      <c r="G6226" t="s">
        <v>23764</v>
      </c>
      <c r="H6226" t="s">
        <v>5474</v>
      </c>
      <c r="I6226" t="s">
        <v>23765</v>
      </c>
      <c r="J6226" t="s">
        <v>5476</v>
      </c>
      <c r="K6226" t="s">
        <v>23766</v>
      </c>
      <c r="L6226" t="s">
        <v>5471</v>
      </c>
      <c r="M6226" t="s">
        <v>5471</v>
      </c>
    </row>
    <row r="6227" spans="1:13" x14ac:dyDescent="0.3">
      <c r="A6227" t="s">
        <v>3388</v>
      </c>
      <c r="B6227" t="s">
        <v>18660</v>
      </c>
      <c r="C6227" t="s">
        <v>5470</v>
      </c>
      <c r="D6227" t="s">
        <v>10210</v>
      </c>
      <c r="E6227" t="s">
        <v>5756</v>
      </c>
      <c r="F6227" t="s">
        <v>23767</v>
      </c>
      <c r="G6227" t="s">
        <v>18662</v>
      </c>
      <c r="H6227" t="s">
        <v>5474</v>
      </c>
      <c r="I6227" t="s">
        <v>23768</v>
      </c>
      <c r="J6227" t="s">
        <v>5476</v>
      </c>
      <c r="K6227" t="s">
        <v>23769</v>
      </c>
      <c r="L6227" t="s">
        <v>5471</v>
      </c>
      <c r="M6227" t="s">
        <v>5471</v>
      </c>
    </row>
    <row r="6228" spans="1:13" x14ac:dyDescent="0.3">
      <c r="A6228" t="s">
        <v>3388</v>
      </c>
      <c r="B6228" t="s">
        <v>18683</v>
      </c>
      <c r="C6228" t="s">
        <v>5470</v>
      </c>
      <c r="D6228" t="s">
        <v>10210</v>
      </c>
      <c r="E6228" t="s">
        <v>5756</v>
      </c>
      <c r="F6228" t="s">
        <v>23770</v>
      </c>
      <c r="G6228" t="s">
        <v>18685</v>
      </c>
      <c r="H6228" t="s">
        <v>5474</v>
      </c>
      <c r="I6228" t="s">
        <v>23771</v>
      </c>
      <c r="J6228" t="s">
        <v>5476</v>
      </c>
      <c r="K6228" t="s">
        <v>23772</v>
      </c>
      <c r="L6228" t="s">
        <v>5471</v>
      </c>
      <c r="M6228" t="s">
        <v>5471</v>
      </c>
    </row>
    <row r="6229" spans="1:13" x14ac:dyDescent="0.3">
      <c r="A6229" t="s">
        <v>3388</v>
      </c>
      <c r="B6229" t="s">
        <v>18470</v>
      </c>
      <c r="C6229" t="s">
        <v>5470</v>
      </c>
      <c r="D6229" t="s">
        <v>10210</v>
      </c>
      <c r="E6229" t="s">
        <v>5532</v>
      </c>
      <c r="F6229" t="s">
        <v>23773</v>
      </c>
      <c r="G6229" t="s">
        <v>18472</v>
      </c>
      <c r="H6229" t="s">
        <v>5474</v>
      </c>
      <c r="I6229" t="s">
        <v>23774</v>
      </c>
      <c r="J6229" t="s">
        <v>5476</v>
      </c>
      <c r="K6229" t="s">
        <v>23775</v>
      </c>
      <c r="L6229" t="s">
        <v>5471</v>
      </c>
      <c r="M6229" t="s">
        <v>5471</v>
      </c>
    </row>
    <row r="6230" spans="1:13" x14ac:dyDescent="0.3">
      <c r="A6230" t="s">
        <v>3388</v>
      </c>
      <c r="B6230" t="s">
        <v>18448</v>
      </c>
      <c r="C6230" t="s">
        <v>5470</v>
      </c>
      <c r="D6230" t="s">
        <v>10210</v>
      </c>
      <c r="E6230" t="s">
        <v>5532</v>
      </c>
      <c r="F6230" t="s">
        <v>23776</v>
      </c>
      <c r="G6230" t="s">
        <v>18450</v>
      </c>
      <c r="H6230" t="s">
        <v>5474</v>
      </c>
      <c r="I6230" t="s">
        <v>23777</v>
      </c>
      <c r="J6230" t="s">
        <v>5476</v>
      </c>
      <c r="K6230" t="s">
        <v>23778</v>
      </c>
      <c r="L6230" t="s">
        <v>5471</v>
      </c>
      <c r="M6230" t="s">
        <v>5471</v>
      </c>
    </row>
    <row r="6231" spans="1:13" x14ac:dyDescent="0.3">
      <c r="A6231" t="s">
        <v>3388</v>
      </c>
      <c r="B6231" t="s">
        <v>18448</v>
      </c>
      <c r="C6231" t="s">
        <v>5470</v>
      </c>
      <c r="D6231" t="s">
        <v>10210</v>
      </c>
      <c r="E6231" t="s">
        <v>5532</v>
      </c>
      <c r="F6231" t="s">
        <v>23779</v>
      </c>
      <c r="G6231" t="s">
        <v>18495</v>
      </c>
      <c r="H6231" t="s">
        <v>5474</v>
      </c>
      <c r="I6231" t="s">
        <v>23780</v>
      </c>
      <c r="J6231" t="s">
        <v>5476</v>
      </c>
      <c r="K6231" t="s">
        <v>23781</v>
      </c>
      <c r="L6231" t="s">
        <v>5471</v>
      </c>
      <c r="M6231" t="s">
        <v>5471</v>
      </c>
    </row>
    <row r="6232" spans="1:13" x14ac:dyDescent="0.3">
      <c r="A6232" t="s">
        <v>3388</v>
      </c>
      <c r="B6232" t="s">
        <v>10438</v>
      </c>
      <c r="C6232" t="s">
        <v>5470</v>
      </c>
      <c r="D6232" t="s">
        <v>10210</v>
      </c>
      <c r="E6232" t="s">
        <v>5756</v>
      </c>
      <c r="F6232" t="s">
        <v>23782</v>
      </c>
      <c r="G6232" t="s">
        <v>8015</v>
      </c>
      <c r="H6232" t="s">
        <v>5474</v>
      </c>
      <c r="I6232" t="s">
        <v>23783</v>
      </c>
      <c r="J6232" t="s">
        <v>5476</v>
      </c>
      <c r="K6232" t="s">
        <v>23784</v>
      </c>
      <c r="L6232" t="s">
        <v>5471</v>
      </c>
      <c r="M6232" t="s">
        <v>5471</v>
      </c>
    </row>
    <row r="6233" spans="1:13" x14ac:dyDescent="0.3">
      <c r="A6233" t="s">
        <v>3388</v>
      </c>
      <c r="B6233" t="s">
        <v>18660</v>
      </c>
      <c r="C6233" t="s">
        <v>5470</v>
      </c>
      <c r="D6233" t="s">
        <v>10210</v>
      </c>
      <c r="E6233" t="s">
        <v>5756</v>
      </c>
      <c r="F6233" t="s">
        <v>23785</v>
      </c>
      <c r="G6233" t="s">
        <v>18662</v>
      </c>
      <c r="H6233" t="s">
        <v>5474</v>
      </c>
      <c r="I6233" t="s">
        <v>23786</v>
      </c>
      <c r="J6233" t="s">
        <v>5476</v>
      </c>
      <c r="K6233" t="s">
        <v>23787</v>
      </c>
      <c r="L6233" t="s">
        <v>5471</v>
      </c>
      <c r="M6233" t="s">
        <v>5471</v>
      </c>
    </row>
    <row r="6234" spans="1:13" x14ac:dyDescent="0.3">
      <c r="A6234" t="s">
        <v>3388</v>
      </c>
      <c r="B6234" t="s">
        <v>18683</v>
      </c>
      <c r="C6234" t="s">
        <v>5470</v>
      </c>
      <c r="D6234" t="s">
        <v>10210</v>
      </c>
      <c r="E6234" t="s">
        <v>5756</v>
      </c>
      <c r="F6234" t="s">
        <v>23788</v>
      </c>
      <c r="G6234" t="s">
        <v>18685</v>
      </c>
      <c r="H6234" t="s">
        <v>5474</v>
      </c>
      <c r="I6234" t="s">
        <v>23789</v>
      </c>
      <c r="J6234" t="s">
        <v>5476</v>
      </c>
      <c r="K6234" t="s">
        <v>23790</v>
      </c>
      <c r="L6234" t="s">
        <v>5471</v>
      </c>
      <c r="M6234" t="s">
        <v>5471</v>
      </c>
    </row>
    <row r="6235" spans="1:13" x14ac:dyDescent="0.3">
      <c r="A6235" t="s">
        <v>3388</v>
      </c>
      <c r="B6235" t="s">
        <v>23791</v>
      </c>
      <c r="C6235" t="s">
        <v>5470</v>
      </c>
      <c r="D6235" t="s">
        <v>10210</v>
      </c>
      <c r="E6235" t="s">
        <v>5532</v>
      </c>
      <c r="F6235" t="s">
        <v>23792</v>
      </c>
      <c r="G6235" t="s">
        <v>23793</v>
      </c>
      <c r="H6235" t="s">
        <v>5474</v>
      </c>
      <c r="I6235" t="s">
        <v>23794</v>
      </c>
      <c r="J6235" t="s">
        <v>5476</v>
      </c>
      <c r="K6235" t="s">
        <v>23795</v>
      </c>
      <c r="L6235" t="s">
        <v>5471</v>
      </c>
      <c r="M6235" t="s">
        <v>5471</v>
      </c>
    </row>
    <row r="6236" spans="1:13" x14ac:dyDescent="0.3">
      <c r="A6236" t="s">
        <v>3388</v>
      </c>
      <c r="B6236" t="s">
        <v>18531</v>
      </c>
      <c r="C6236" t="s">
        <v>5470</v>
      </c>
      <c r="D6236" t="s">
        <v>10210</v>
      </c>
      <c r="E6236" t="s">
        <v>5532</v>
      </c>
      <c r="F6236" t="s">
        <v>23796</v>
      </c>
      <c r="G6236" t="s">
        <v>18533</v>
      </c>
      <c r="H6236" t="s">
        <v>5474</v>
      </c>
      <c r="I6236" t="s">
        <v>23797</v>
      </c>
      <c r="J6236" t="s">
        <v>5476</v>
      </c>
      <c r="K6236" t="s">
        <v>23798</v>
      </c>
      <c r="L6236" t="s">
        <v>5471</v>
      </c>
      <c r="M6236" t="s">
        <v>5471</v>
      </c>
    </row>
    <row r="6237" spans="1:13" x14ac:dyDescent="0.3">
      <c r="A6237" t="s">
        <v>3388</v>
      </c>
      <c r="B6237" t="s">
        <v>18531</v>
      </c>
      <c r="C6237" t="s">
        <v>5470</v>
      </c>
      <c r="D6237" t="s">
        <v>10210</v>
      </c>
      <c r="E6237" t="s">
        <v>5532</v>
      </c>
      <c r="F6237" t="s">
        <v>23799</v>
      </c>
      <c r="G6237" t="s">
        <v>18540</v>
      </c>
      <c r="H6237" t="s">
        <v>5474</v>
      </c>
      <c r="I6237" t="s">
        <v>23800</v>
      </c>
      <c r="J6237" t="s">
        <v>5476</v>
      </c>
      <c r="K6237" t="s">
        <v>23801</v>
      </c>
      <c r="L6237" t="s">
        <v>5471</v>
      </c>
      <c r="M6237" t="s">
        <v>5471</v>
      </c>
    </row>
    <row r="6238" spans="1:13" x14ac:dyDescent="0.3">
      <c r="A6238" t="s">
        <v>3388</v>
      </c>
      <c r="B6238" t="s">
        <v>18531</v>
      </c>
      <c r="C6238" t="s">
        <v>5470</v>
      </c>
      <c r="D6238" t="s">
        <v>10210</v>
      </c>
      <c r="E6238" t="s">
        <v>5532</v>
      </c>
      <c r="F6238" t="s">
        <v>23802</v>
      </c>
      <c r="G6238" t="s">
        <v>18547</v>
      </c>
      <c r="H6238" t="s">
        <v>5474</v>
      </c>
      <c r="I6238" t="s">
        <v>23803</v>
      </c>
      <c r="J6238" t="s">
        <v>5476</v>
      </c>
      <c r="K6238" t="s">
        <v>23804</v>
      </c>
      <c r="L6238" t="s">
        <v>5471</v>
      </c>
      <c r="M6238" t="s">
        <v>5471</v>
      </c>
    </row>
    <row r="6239" spans="1:13" x14ac:dyDescent="0.3">
      <c r="A6239" t="s">
        <v>3388</v>
      </c>
      <c r="B6239" t="s">
        <v>23805</v>
      </c>
      <c r="C6239" t="s">
        <v>5470</v>
      </c>
      <c r="D6239" t="s">
        <v>10210</v>
      </c>
      <c r="E6239" t="s">
        <v>5532</v>
      </c>
      <c r="F6239" t="s">
        <v>23806</v>
      </c>
      <c r="G6239" t="s">
        <v>23807</v>
      </c>
      <c r="H6239" t="s">
        <v>5474</v>
      </c>
      <c r="I6239" t="s">
        <v>23808</v>
      </c>
      <c r="J6239" t="s">
        <v>5476</v>
      </c>
      <c r="K6239" t="s">
        <v>23809</v>
      </c>
      <c r="L6239" t="s">
        <v>5471</v>
      </c>
      <c r="M6239" t="s">
        <v>5471</v>
      </c>
    </row>
    <row r="6240" spans="1:13" x14ac:dyDescent="0.3">
      <c r="A6240" t="s">
        <v>3388</v>
      </c>
      <c r="B6240" t="s">
        <v>18435</v>
      </c>
      <c r="C6240" t="s">
        <v>5470</v>
      </c>
      <c r="D6240" t="s">
        <v>10210</v>
      </c>
      <c r="E6240" t="s">
        <v>5756</v>
      </c>
      <c r="F6240" t="s">
        <v>23810</v>
      </c>
      <c r="G6240" t="s">
        <v>18437</v>
      </c>
      <c r="H6240" t="s">
        <v>5474</v>
      </c>
      <c r="I6240" t="s">
        <v>23811</v>
      </c>
      <c r="J6240" t="s">
        <v>5476</v>
      </c>
      <c r="K6240" t="s">
        <v>23812</v>
      </c>
      <c r="L6240" t="s">
        <v>5471</v>
      </c>
      <c r="M6240" t="s">
        <v>5471</v>
      </c>
    </row>
    <row r="6241" spans="1:13" x14ac:dyDescent="0.3">
      <c r="A6241" t="s">
        <v>3388</v>
      </c>
      <c r="B6241" t="s">
        <v>23813</v>
      </c>
      <c r="C6241" t="s">
        <v>5470</v>
      </c>
      <c r="D6241" t="s">
        <v>10210</v>
      </c>
      <c r="E6241" t="s">
        <v>5532</v>
      </c>
      <c r="F6241" t="s">
        <v>23814</v>
      </c>
      <c r="G6241" t="s">
        <v>23815</v>
      </c>
      <c r="H6241" t="s">
        <v>5474</v>
      </c>
      <c r="I6241" t="s">
        <v>23816</v>
      </c>
      <c r="J6241" t="s">
        <v>5476</v>
      </c>
      <c r="K6241" t="s">
        <v>23817</v>
      </c>
      <c r="L6241" t="s">
        <v>5471</v>
      </c>
      <c r="M6241" t="s">
        <v>5471</v>
      </c>
    </row>
    <row r="6242" spans="1:13" x14ac:dyDescent="0.3">
      <c r="A6242" t="s">
        <v>3388</v>
      </c>
      <c r="B6242" t="s">
        <v>23818</v>
      </c>
      <c r="C6242" t="s">
        <v>5470</v>
      </c>
      <c r="D6242" t="s">
        <v>10210</v>
      </c>
      <c r="E6242" t="s">
        <v>5532</v>
      </c>
      <c r="F6242" t="s">
        <v>23819</v>
      </c>
      <c r="G6242" t="s">
        <v>23202</v>
      </c>
      <c r="H6242" t="s">
        <v>5474</v>
      </c>
      <c r="I6242" t="s">
        <v>23820</v>
      </c>
      <c r="J6242" t="s">
        <v>5476</v>
      </c>
      <c r="K6242" t="s">
        <v>23821</v>
      </c>
      <c r="L6242" t="s">
        <v>5471</v>
      </c>
      <c r="M6242" t="s">
        <v>5471</v>
      </c>
    </row>
    <row r="6243" spans="1:13" x14ac:dyDescent="0.3">
      <c r="A6243" t="s">
        <v>3388</v>
      </c>
      <c r="B6243" t="s">
        <v>23822</v>
      </c>
      <c r="C6243" t="s">
        <v>5470</v>
      </c>
      <c r="D6243" t="s">
        <v>10210</v>
      </c>
      <c r="E6243" t="s">
        <v>5532</v>
      </c>
      <c r="F6243" t="s">
        <v>23823</v>
      </c>
      <c r="G6243" t="s">
        <v>23237</v>
      </c>
      <c r="H6243" t="s">
        <v>5474</v>
      </c>
      <c r="I6243" t="s">
        <v>23824</v>
      </c>
      <c r="J6243" t="s">
        <v>5476</v>
      </c>
      <c r="K6243" t="s">
        <v>23825</v>
      </c>
      <c r="L6243" t="s">
        <v>5471</v>
      </c>
      <c r="M6243" t="s">
        <v>5471</v>
      </c>
    </row>
    <row r="6244" spans="1:13" x14ac:dyDescent="0.3">
      <c r="A6244" t="s">
        <v>3388</v>
      </c>
      <c r="B6244" t="s">
        <v>18559</v>
      </c>
      <c r="C6244" t="s">
        <v>5470</v>
      </c>
      <c r="D6244" t="s">
        <v>10210</v>
      </c>
      <c r="E6244" t="s">
        <v>5532</v>
      </c>
      <c r="F6244" t="s">
        <v>23826</v>
      </c>
      <c r="G6244" t="s">
        <v>18561</v>
      </c>
      <c r="H6244" t="s">
        <v>5474</v>
      </c>
      <c r="I6244" t="s">
        <v>23827</v>
      </c>
      <c r="J6244" t="s">
        <v>5476</v>
      </c>
      <c r="K6244" t="s">
        <v>23828</v>
      </c>
      <c r="L6244" t="s">
        <v>5471</v>
      </c>
      <c r="M6244" t="s">
        <v>5471</v>
      </c>
    </row>
    <row r="6245" spans="1:13" x14ac:dyDescent="0.3">
      <c r="A6245" t="s">
        <v>3388</v>
      </c>
      <c r="B6245" t="s">
        <v>18559</v>
      </c>
      <c r="C6245" t="s">
        <v>5470</v>
      </c>
      <c r="D6245" t="s">
        <v>10210</v>
      </c>
      <c r="E6245" t="s">
        <v>5532</v>
      </c>
      <c r="F6245" t="s">
        <v>23829</v>
      </c>
      <c r="G6245" t="s">
        <v>18582</v>
      </c>
      <c r="H6245" t="s">
        <v>5474</v>
      </c>
      <c r="I6245" t="s">
        <v>23830</v>
      </c>
      <c r="J6245" t="s">
        <v>5476</v>
      </c>
      <c r="K6245" t="s">
        <v>23831</v>
      </c>
      <c r="L6245" t="s">
        <v>5471</v>
      </c>
      <c r="M6245" t="s">
        <v>5471</v>
      </c>
    </row>
    <row r="6246" spans="1:13" x14ac:dyDescent="0.3">
      <c r="A6246" t="s">
        <v>3388</v>
      </c>
      <c r="B6246" t="s">
        <v>23832</v>
      </c>
      <c r="C6246" t="s">
        <v>5470</v>
      </c>
      <c r="D6246" t="s">
        <v>10210</v>
      </c>
      <c r="E6246" t="s">
        <v>5532</v>
      </c>
      <c r="F6246" t="s">
        <v>23833</v>
      </c>
      <c r="G6246" t="s">
        <v>23834</v>
      </c>
      <c r="H6246" t="s">
        <v>5474</v>
      </c>
      <c r="I6246" t="s">
        <v>23835</v>
      </c>
      <c r="J6246" t="s">
        <v>5476</v>
      </c>
      <c r="K6246" t="s">
        <v>23836</v>
      </c>
      <c r="L6246" t="s">
        <v>5471</v>
      </c>
      <c r="M6246" t="s">
        <v>5471</v>
      </c>
    </row>
    <row r="6247" spans="1:13" x14ac:dyDescent="0.3">
      <c r="A6247" t="s">
        <v>3388</v>
      </c>
      <c r="B6247" t="s">
        <v>23837</v>
      </c>
      <c r="C6247" t="s">
        <v>5470</v>
      </c>
      <c r="D6247" t="s">
        <v>10210</v>
      </c>
      <c r="E6247" t="s">
        <v>5532</v>
      </c>
      <c r="F6247" t="s">
        <v>23838</v>
      </c>
      <c r="G6247" t="s">
        <v>20204</v>
      </c>
      <c r="H6247" t="s">
        <v>5474</v>
      </c>
      <c r="I6247" t="s">
        <v>23839</v>
      </c>
      <c r="J6247" t="s">
        <v>5476</v>
      </c>
      <c r="K6247" t="s">
        <v>23840</v>
      </c>
      <c r="L6247" t="s">
        <v>5471</v>
      </c>
      <c r="M6247" t="s">
        <v>5471</v>
      </c>
    </row>
    <row r="6248" spans="1:13" x14ac:dyDescent="0.3">
      <c r="A6248" t="s">
        <v>3388</v>
      </c>
      <c r="B6248" t="s">
        <v>10486</v>
      </c>
      <c r="C6248" t="s">
        <v>5470</v>
      </c>
      <c r="D6248" t="s">
        <v>10210</v>
      </c>
      <c r="E6248" t="s">
        <v>5756</v>
      </c>
      <c r="F6248" t="s">
        <v>23841</v>
      </c>
      <c r="G6248" t="s">
        <v>10488</v>
      </c>
      <c r="H6248" t="s">
        <v>5474</v>
      </c>
      <c r="I6248" t="s">
        <v>23842</v>
      </c>
      <c r="J6248" t="s">
        <v>5476</v>
      </c>
      <c r="K6248" t="s">
        <v>23843</v>
      </c>
      <c r="L6248" t="s">
        <v>5471</v>
      </c>
      <c r="M6248" t="s">
        <v>5471</v>
      </c>
    </row>
    <row r="6249" spans="1:13" x14ac:dyDescent="0.3">
      <c r="A6249" t="s">
        <v>3388</v>
      </c>
      <c r="B6249" t="s">
        <v>23844</v>
      </c>
      <c r="C6249" t="s">
        <v>5470</v>
      </c>
      <c r="D6249" t="s">
        <v>10210</v>
      </c>
      <c r="E6249" t="s">
        <v>5532</v>
      </c>
      <c r="F6249" t="s">
        <v>23845</v>
      </c>
      <c r="G6249" t="s">
        <v>23092</v>
      </c>
      <c r="H6249" t="s">
        <v>5474</v>
      </c>
      <c r="I6249" t="s">
        <v>23846</v>
      </c>
      <c r="J6249" t="s">
        <v>5476</v>
      </c>
      <c r="K6249" t="s">
        <v>23847</v>
      </c>
      <c r="L6249" t="s">
        <v>5471</v>
      </c>
      <c r="M6249" t="s">
        <v>5471</v>
      </c>
    </row>
    <row r="6250" spans="1:13" x14ac:dyDescent="0.3">
      <c r="A6250" t="s">
        <v>3388</v>
      </c>
      <c r="B6250" t="s">
        <v>10501</v>
      </c>
      <c r="C6250" t="s">
        <v>5470</v>
      </c>
      <c r="D6250" t="s">
        <v>10210</v>
      </c>
      <c r="E6250" t="s">
        <v>5532</v>
      </c>
      <c r="F6250" t="s">
        <v>23848</v>
      </c>
      <c r="G6250" t="s">
        <v>10503</v>
      </c>
      <c r="H6250" t="s">
        <v>5474</v>
      </c>
      <c r="I6250" t="s">
        <v>23849</v>
      </c>
      <c r="J6250" t="s">
        <v>5476</v>
      </c>
      <c r="K6250" t="s">
        <v>23850</v>
      </c>
      <c r="L6250" t="s">
        <v>5471</v>
      </c>
      <c r="M6250" t="s">
        <v>5471</v>
      </c>
    </row>
    <row r="6251" spans="1:13" x14ac:dyDescent="0.3">
      <c r="A6251" t="s">
        <v>3388</v>
      </c>
      <c r="B6251" t="s">
        <v>23851</v>
      </c>
      <c r="C6251" t="s">
        <v>5470</v>
      </c>
      <c r="D6251" t="s">
        <v>10210</v>
      </c>
      <c r="E6251" t="s">
        <v>5756</v>
      </c>
      <c r="F6251" t="s">
        <v>23852</v>
      </c>
      <c r="G6251" t="s">
        <v>12154</v>
      </c>
      <c r="H6251" t="s">
        <v>5474</v>
      </c>
      <c r="I6251" t="s">
        <v>23853</v>
      </c>
      <c r="J6251" t="s">
        <v>5476</v>
      </c>
      <c r="K6251" t="s">
        <v>23854</v>
      </c>
      <c r="L6251" t="s">
        <v>5471</v>
      </c>
      <c r="M6251" t="s">
        <v>5471</v>
      </c>
    </row>
    <row r="6252" spans="1:13" x14ac:dyDescent="0.3">
      <c r="A6252" t="s">
        <v>3388</v>
      </c>
      <c r="B6252" t="s">
        <v>20422</v>
      </c>
      <c r="C6252" t="s">
        <v>5470</v>
      </c>
      <c r="D6252" t="s">
        <v>10210</v>
      </c>
      <c r="E6252" t="s">
        <v>5532</v>
      </c>
      <c r="F6252" t="s">
        <v>23855</v>
      </c>
      <c r="G6252" t="s">
        <v>20424</v>
      </c>
      <c r="H6252" t="s">
        <v>5474</v>
      </c>
      <c r="I6252" t="s">
        <v>23856</v>
      </c>
      <c r="J6252" t="s">
        <v>5476</v>
      </c>
      <c r="K6252" t="s">
        <v>23857</v>
      </c>
      <c r="L6252" t="s">
        <v>5471</v>
      </c>
      <c r="M6252" t="s">
        <v>5471</v>
      </c>
    </row>
    <row r="6253" spans="1:13" x14ac:dyDescent="0.3">
      <c r="A6253" t="s">
        <v>3388</v>
      </c>
      <c r="B6253" t="s">
        <v>20422</v>
      </c>
      <c r="C6253" t="s">
        <v>5470</v>
      </c>
      <c r="D6253" t="s">
        <v>10210</v>
      </c>
      <c r="E6253" t="s">
        <v>5532</v>
      </c>
      <c r="F6253" t="s">
        <v>23858</v>
      </c>
      <c r="G6253" t="s">
        <v>23859</v>
      </c>
      <c r="H6253" t="s">
        <v>5474</v>
      </c>
      <c r="I6253" t="s">
        <v>23860</v>
      </c>
      <c r="J6253" t="s">
        <v>5476</v>
      </c>
      <c r="K6253" t="s">
        <v>23861</v>
      </c>
      <c r="L6253" t="s">
        <v>5471</v>
      </c>
      <c r="M6253" t="s">
        <v>5471</v>
      </c>
    </row>
    <row r="6254" spans="1:13" x14ac:dyDescent="0.3">
      <c r="A6254" t="s">
        <v>3388</v>
      </c>
      <c r="B6254" t="s">
        <v>23862</v>
      </c>
      <c r="C6254" t="s">
        <v>5470</v>
      </c>
      <c r="D6254" t="s">
        <v>10210</v>
      </c>
      <c r="E6254" t="s">
        <v>5843</v>
      </c>
      <c r="F6254" t="s">
        <v>23863</v>
      </c>
      <c r="G6254" t="s">
        <v>23864</v>
      </c>
      <c r="H6254" t="s">
        <v>5474</v>
      </c>
      <c r="I6254" t="s">
        <v>23865</v>
      </c>
      <c r="J6254" t="s">
        <v>5476</v>
      </c>
      <c r="K6254" t="s">
        <v>23866</v>
      </c>
      <c r="L6254" t="s">
        <v>5471</v>
      </c>
      <c r="M6254" t="s">
        <v>5471</v>
      </c>
    </row>
    <row r="6255" spans="1:13" x14ac:dyDescent="0.3">
      <c r="A6255" t="s">
        <v>3388</v>
      </c>
      <c r="B6255" t="s">
        <v>23867</v>
      </c>
      <c r="C6255" t="s">
        <v>5470</v>
      </c>
      <c r="D6255" t="s">
        <v>10210</v>
      </c>
      <c r="E6255" t="s">
        <v>5617</v>
      </c>
      <c r="F6255" t="s">
        <v>23868</v>
      </c>
      <c r="G6255" t="s">
        <v>23869</v>
      </c>
      <c r="H6255" t="s">
        <v>5474</v>
      </c>
      <c r="I6255" t="s">
        <v>23870</v>
      </c>
      <c r="J6255" t="s">
        <v>5476</v>
      </c>
      <c r="K6255" t="s">
        <v>23871</v>
      </c>
      <c r="L6255" t="s">
        <v>5471</v>
      </c>
      <c r="M6255" t="s">
        <v>5471</v>
      </c>
    </row>
    <row r="6256" spans="1:13" x14ac:dyDescent="0.3">
      <c r="A6256" t="s">
        <v>3388</v>
      </c>
      <c r="B6256" t="s">
        <v>23872</v>
      </c>
      <c r="C6256" t="s">
        <v>5470</v>
      </c>
      <c r="D6256" t="s">
        <v>10210</v>
      </c>
      <c r="E6256" t="s">
        <v>5617</v>
      </c>
      <c r="F6256" t="s">
        <v>23873</v>
      </c>
      <c r="G6256" t="s">
        <v>23874</v>
      </c>
      <c r="H6256" t="s">
        <v>5474</v>
      </c>
      <c r="I6256" t="s">
        <v>23875</v>
      </c>
      <c r="J6256" t="s">
        <v>5476</v>
      </c>
      <c r="K6256" t="s">
        <v>23876</v>
      </c>
      <c r="L6256" t="s">
        <v>5471</v>
      </c>
      <c r="M6256" t="s">
        <v>5471</v>
      </c>
    </row>
    <row r="6257" spans="1:13" x14ac:dyDescent="0.3">
      <c r="A6257" t="s">
        <v>3388</v>
      </c>
      <c r="B6257" t="s">
        <v>18484</v>
      </c>
      <c r="C6257" t="s">
        <v>5470</v>
      </c>
      <c r="D6257" t="s">
        <v>10210</v>
      </c>
      <c r="E6257" t="s">
        <v>5756</v>
      </c>
      <c r="F6257" t="s">
        <v>23877</v>
      </c>
      <c r="G6257" t="s">
        <v>18486</v>
      </c>
      <c r="H6257" t="s">
        <v>5474</v>
      </c>
      <c r="I6257" t="s">
        <v>23878</v>
      </c>
      <c r="J6257" t="s">
        <v>5476</v>
      </c>
      <c r="K6257" t="s">
        <v>23879</v>
      </c>
      <c r="L6257" t="s">
        <v>5471</v>
      </c>
      <c r="M6257" t="s">
        <v>5471</v>
      </c>
    </row>
    <row r="6258" spans="1:13" x14ac:dyDescent="0.3">
      <c r="A6258" t="s">
        <v>3388</v>
      </c>
      <c r="B6258" t="s">
        <v>10442</v>
      </c>
      <c r="C6258" t="s">
        <v>5470</v>
      </c>
      <c r="D6258" t="s">
        <v>10210</v>
      </c>
      <c r="E6258" t="s">
        <v>5756</v>
      </c>
      <c r="F6258" t="s">
        <v>23880</v>
      </c>
      <c r="G6258" t="s">
        <v>10444</v>
      </c>
      <c r="H6258" t="s">
        <v>5474</v>
      </c>
      <c r="I6258" t="s">
        <v>23881</v>
      </c>
      <c r="J6258" t="s">
        <v>5476</v>
      </c>
      <c r="K6258" t="s">
        <v>23882</v>
      </c>
      <c r="L6258" t="s">
        <v>5471</v>
      </c>
      <c r="M6258" t="s">
        <v>5471</v>
      </c>
    </row>
    <row r="6259" spans="1:13" x14ac:dyDescent="0.3">
      <c r="A6259" t="s">
        <v>3388</v>
      </c>
      <c r="B6259" t="s">
        <v>18879</v>
      </c>
      <c r="C6259" t="s">
        <v>5470</v>
      </c>
      <c r="D6259" t="s">
        <v>10210</v>
      </c>
      <c r="E6259" t="s">
        <v>5756</v>
      </c>
      <c r="F6259" t="s">
        <v>23883</v>
      </c>
      <c r="G6259" t="s">
        <v>5473</v>
      </c>
      <c r="H6259" t="s">
        <v>5474</v>
      </c>
      <c r="I6259" t="s">
        <v>23884</v>
      </c>
      <c r="J6259" t="s">
        <v>5476</v>
      </c>
      <c r="K6259" t="s">
        <v>23885</v>
      </c>
      <c r="L6259" t="s">
        <v>5471</v>
      </c>
      <c r="M6259" t="s">
        <v>5471</v>
      </c>
    </row>
    <row r="6260" spans="1:13" x14ac:dyDescent="0.3">
      <c r="A6260" t="s">
        <v>3388</v>
      </c>
      <c r="B6260" t="s">
        <v>10469</v>
      </c>
      <c r="C6260" t="s">
        <v>5470</v>
      </c>
      <c r="D6260" t="s">
        <v>10210</v>
      </c>
      <c r="E6260" t="s">
        <v>5532</v>
      </c>
      <c r="F6260" t="s">
        <v>23886</v>
      </c>
      <c r="G6260" t="s">
        <v>10471</v>
      </c>
      <c r="H6260" t="s">
        <v>5474</v>
      </c>
      <c r="I6260" t="s">
        <v>23887</v>
      </c>
      <c r="J6260" t="s">
        <v>5476</v>
      </c>
      <c r="K6260" t="s">
        <v>23888</v>
      </c>
      <c r="L6260" t="s">
        <v>5471</v>
      </c>
      <c r="M6260" t="s">
        <v>5471</v>
      </c>
    </row>
    <row r="6261" spans="1:13" x14ac:dyDescent="0.3">
      <c r="A6261" t="s">
        <v>3388</v>
      </c>
      <c r="B6261" t="s">
        <v>23889</v>
      </c>
      <c r="C6261" t="s">
        <v>5470</v>
      </c>
      <c r="D6261" t="s">
        <v>10210</v>
      </c>
      <c r="E6261" t="s">
        <v>5532</v>
      </c>
      <c r="F6261" t="s">
        <v>23890</v>
      </c>
      <c r="G6261" t="s">
        <v>23891</v>
      </c>
      <c r="H6261" t="s">
        <v>5474</v>
      </c>
      <c r="I6261" t="s">
        <v>23892</v>
      </c>
      <c r="J6261" t="s">
        <v>5476</v>
      </c>
      <c r="K6261" t="s">
        <v>23893</v>
      </c>
      <c r="L6261" t="s">
        <v>5471</v>
      </c>
      <c r="M6261" t="s">
        <v>5471</v>
      </c>
    </row>
    <row r="6262" spans="1:13" x14ac:dyDescent="0.3">
      <c r="A6262" t="s">
        <v>3388</v>
      </c>
      <c r="B6262" t="s">
        <v>23894</v>
      </c>
      <c r="C6262" t="s">
        <v>5470</v>
      </c>
      <c r="D6262" t="s">
        <v>10210</v>
      </c>
      <c r="E6262" t="s">
        <v>5532</v>
      </c>
      <c r="F6262" t="s">
        <v>23895</v>
      </c>
      <c r="G6262" t="s">
        <v>23896</v>
      </c>
      <c r="H6262" t="s">
        <v>5474</v>
      </c>
      <c r="I6262" t="s">
        <v>23897</v>
      </c>
      <c r="J6262" t="s">
        <v>5476</v>
      </c>
      <c r="K6262" t="s">
        <v>23898</v>
      </c>
      <c r="L6262" t="s">
        <v>5471</v>
      </c>
      <c r="M6262" t="s">
        <v>5471</v>
      </c>
    </row>
    <row r="6263" spans="1:13" x14ac:dyDescent="0.3">
      <c r="A6263" t="s">
        <v>3388</v>
      </c>
      <c r="B6263" t="s">
        <v>23899</v>
      </c>
      <c r="C6263" t="s">
        <v>5470</v>
      </c>
      <c r="D6263" t="s">
        <v>10210</v>
      </c>
      <c r="E6263" t="s">
        <v>5532</v>
      </c>
      <c r="F6263" t="s">
        <v>23900</v>
      </c>
      <c r="G6263" t="s">
        <v>23901</v>
      </c>
      <c r="H6263" t="s">
        <v>5474</v>
      </c>
      <c r="I6263" t="s">
        <v>23902</v>
      </c>
      <c r="J6263" t="s">
        <v>5476</v>
      </c>
      <c r="K6263" t="s">
        <v>23903</v>
      </c>
      <c r="L6263" t="s">
        <v>5471</v>
      </c>
      <c r="M6263" t="s">
        <v>5471</v>
      </c>
    </row>
    <row r="6264" spans="1:13" x14ac:dyDescent="0.3">
      <c r="A6264" t="s">
        <v>3388</v>
      </c>
      <c r="B6264" t="s">
        <v>23899</v>
      </c>
      <c r="C6264" t="s">
        <v>5470</v>
      </c>
      <c r="D6264" t="s">
        <v>10210</v>
      </c>
      <c r="E6264" t="s">
        <v>5532</v>
      </c>
      <c r="F6264" t="s">
        <v>23904</v>
      </c>
      <c r="G6264" t="s">
        <v>23905</v>
      </c>
      <c r="H6264" t="s">
        <v>5474</v>
      </c>
      <c r="I6264" t="s">
        <v>23906</v>
      </c>
      <c r="J6264" t="s">
        <v>5476</v>
      </c>
      <c r="K6264" t="s">
        <v>23907</v>
      </c>
      <c r="L6264" t="s">
        <v>5471</v>
      </c>
      <c r="M6264" t="s">
        <v>5471</v>
      </c>
    </row>
    <row r="6265" spans="1:13" x14ac:dyDescent="0.3">
      <c r="A6265" t="s">
        <v>3388</v>
      </c>
      <c r="B6265" t="s">
        <v>10464</v>
      </c>
      <c r="C6265" t="s">
        <v>5470</v>
      </c>
      <c r="D6265" t="s">
        <v>10210</v>
      </c>
      <c r="E6265" t="s">
        <v>5532</v>
      </c>
      <c r="F6265" t="s">
        <v>23908</v>
      </c>
      <c r="G6265" t="s">
        <v>10466</v>
      </c>
      <c r="H6265" t="s">
        <v>5474</v>
      </c>
      <c r="I6265" t="s">
        <v>23909</v>
      </c>
      <c r="J6265" t="s">
        <v>5476</v>
      </c>
      <c r="K6265" t="s">
        <v>23910</v>
      </c>
      <c r="L6265" t="s">
        <v>5471</v>
      </c>
      <c r="M6265" t="s">
        <v>5471</v>
      </c>
    </row>
    <row r="6266" spans="1:13" x14ac:dyDescent="0.3">
      <c r="A6266" t="s">
        <v>3388</v>
      </c>
      <c r="B6266" t="s">
        <v>18832</v>
      </c>
      <c r="C6266" t="s">
        <v>5470</v>
      </c>
      <c r="D6266" t="s">
        <v>10210</v>
      </c>
      <c r="E6266" t="s">
        <v>5532</v>
      </c>
      <c r="F6266" t="s">
        <v>23911</v>
      </c>
      <c r="G6266" t="s">
        <v>18834</v>
      </c>
      <c r="H6266" t="s">
        <v>5474</v>
      </c>
      <c r="I6266" t="s">
        <v>23912</v>
      </c>
      <c r="J6266" t="s">
        <v>5476</v>
      </c>
      <c r="K6266" t="s">
        <v>23913</v>
      </c>
      <c r="L6266" t="s">
        <v>5471</v>
      </c>
      <c r="M6266" t="s">
        <v>5471</v>
      </c>
    </row>
    <row r="6267" spans="1:13" x14ac:dyDescent="0.3">
      <c r="A6267" t="s">
        <v>3388</v>
      </c>
      <c r="B6267" t="s">
        <v>23914</v>
      </c>
      <c r="C6267" t="s">
        <v>5470</v>
      </c>
      <c r="D6267" t="s">
        <v>10210</v>
      </c>
      <c r="E6267" t="s">
        <v>5532</v>
      </c>
      <c r="F6267" t="s">
        <v>23915</v>
      </c>
      <c r="G6267" t="s">
        <v>23916</v>
      </c>
      <c r="H6267" t="s">
        <v>5474</v>
      </c>
      <c r="I6267" t="s">
        <v>23917</v>
      </c>
      <c r="J6267" t="s">
        <v>5476</v>
      </c>
      <c r="K6267" t="s">
        <v>23918</v>
      </c>
      <c r="L6267" t="s">
        <v>5471</v>
      </c>
      <c r="M6267" t="s">
        <v>5471</v>
      </c>
    </row>
    <row r="6268" spans="1:13" x14ac:dyDescent="0.3">
      <c r="A6268" t="s">
        <v>3388</v>
      </c>
      <c r="B6268" t="s">
        <v>10457</v>
      </c>
      <c r="C6268" t="s">
        <v>5470</v>
      </c>
      <c r="D6268" t="s">
        <v>10210</v>
      </c>
      <c r="E6268" t="s">
        <v>5756</v>
      </c>
      <c r="F6268" t="s">
        <v>23919</v>
      </c>
      <c r="G6268" t="s">
        <v>10459</v>
      </c>
      <c r="H6268" t="s">
        <v>5474</v>
      </c>
      <c r="I6268" t="s">
        <v>23920</v>
      </c>
      <c r="J6268" t="s">
        <v>5476</v>
      </c>
      <c r="K6268" t="s">
        <v>23921</v>
      </c>
      <c r="L6268" t="s">
        <v>5471</v>
      </c>
      <c r="M6268" t="s">
        <v>5471</v>
      </c>
    </row>
    <row r="6269" spans="1:13" x14ac:dyDescent="0.3">
      <c r="A6269" t="s">
        <v>3388</v>
      </c>
      <c r="B6269" t="s">
        <v>23922</v>
      </c>
      <c r="C6269" t="s">
        <v>5470</v>
      </c>
      <c r="D6269" t="s">
        <v>10210</v>
      </c>
      <c r="E6269" t="s">
        <v>5756</v>
      </c>
      <c r="F6269" t="s">
        <v>23923</v>
      </c>
      <c r="G6269" t="s">
        <v>16920</v>
      </c>
      <c r="H6269" t="s">
        <v>5474</v>
      </c>
      <c r="I6269" t="s">
        <v>23924</v>
      </c>
      <c r="J6269" t="s">
        <v>5476</v>
      </c>
      <c r="K6269" t="s">
        <v>23925</v>
      </c>
      <c r="L6269" t="s">
        <v>5471</v>
      </c>
      <c r="M6269" t="s">
        <v>5471</v>
      </c>
    </row>
    <row r="6270" spans="1:13" x14ac:dyDescent="0.3">
      <c r="A6270" t="s">
        <v>3388</v>
      </c>
      <c r="B6270" t="s">
        <v>23926</v>
      </c>
      <c r="C6270" t="s">
        <v>5470</v>
      </c>
      <c r="D6270" t="s">
        <v>10210</v>
      </c>
      <c r="E6270" t="s">
        <v>5756</v>
      </c>
      <c r="F6270" t="s">
        <v>23927</v>
      </c>
      <c r="G6270" t="s">
        <v>23928</v>
      </c>
      <c r="H6270" t="s">
        <v>5474</v>
      </c>
      <c r="I6270" t="s">
        <v>23929</v>
      </c>
      <c r="J6270" t="s">
        <v>5476</v>
      </c>
      <c r="K6270" t="s">
        <v>23930</v>
      </c>
      <c r="L6270" t="s">
        <v>5471</v>
      </c>
      <c r="M6270" t="s">
        <v>5471</v>
      </c>
    </row>
    <row r="6271" spans="1:13" x14ac:dyDescent="0.3">
      <c r="A6271" t="s">
        <v>3388</v>
      </c>
      <c r="B6271" t="s">
        <v>23931</v>
      </c>
      <c r="C6271" t="s">
        <v>5470</v>
      </c>
      <c r="D6271" t="s">
        <v>10210</v>
      </c>
      <c r="E6271" t="s">
        <v>5756</v>
      </c>
      <c r="F6271" t="s">
        <v>23932</v>
      </c>
      <c r="G6271" t="s">
        <v>16923</v>
      </c>
      <c r="H6271" t="s">
        <v>5474</v>
      </c>
      <c r="I6271" t="s">
        <v>23933</v>
      </c>
      <c r="J6271" t="s">
        <v>5476</v>
      </c>
      <c r="K6271" t="s">
        <v>23934</v>
      </c>
      <c r="L6271" t="s">
        <v>5471</v>
      </c>
      <c r="M6271" t="s">
        <v>5471</v>
      </c>
    </row>
    <row r="6272" spans="1:13" x14ac:dyDescent="0.3">
      <c r="A6272" t="s">
        <v>3388</v>
      </c>
      <c r="B6272" t="s">
        <v>23935</v>
      </c>
      <c r="C6272" t="s">
        <v>5470</v>
      </c>
      <c r="D6272" t="s">
        <v>10210</v>
      </c>
      <c r="E6272" t="s">
        <v>5532</v>
      </c>
      <c r="F6272" t="s">
        <v>23936</v>
      </c>
      <c r="G6272" t="s">
        <v>23937</v>
      </c>
      <c r="H6272" t="s">
        <v>5474</v>
      </c>
      <c r="I6272" t="s">
        <v>23938</v>
      </c>
      <c r="J6272" t="s">
        <v>5476</v>
      </c>
      <c r="K6272" t="s">
        <v>23939</v>
      </c>
      <c r="L6272" t="s">
        <v>5471</v>
      </c>
      <c r="M6272" t="s">
        <v>5471</v>
      </c>
    </row>
    <row r="6273" spans="1:13" x14ac:dyDescent="0.3">
      <c r="A6273" t="s">
        <v>3388</v>
      </c>
      <c r="B6273" t="s">
        <v>18000</v>
      </c>
      <c r="C6273" t="s">
        <v>5470</v>
      </c>
      <c r="D6273" t="s">
        <v>10210</v>
      </c>
      <c r="E6273" t="s">
        <v>5532</v>
      </c>
      <c r="F6273" t="s">
        <v>23940</v>
      </c>
      <c r="G6273" t="s">
        <v>18002</v>
      </c>
      <c r="H6273" t="s">
        <v>5474</v>
      </c>
      <c r="I6273" t="s">
        <v>23941</v>
      </c>
      <c r="J6273" t="s">
        <v>5476</v>
      </c>
      <c r="K6273" t="s">
        <v>23942</v>
      </c>
      <c r="L6273" t="s">
        <v>5471</v>
      </c>
      <c r="M6273" t="s">
        <v>5471</v>
      </c>
    </row>
    <row r="6274" spans="1:13" x14ac:dyDescent="0.3">
      <c r="A6274" t="s">
        <v>3388</v>
      </c>
      <c r="B6274" t="s">
        <v>18054</v>
      </c>
      <c r="C6274" t="s">
        <v>5470</v>
      </c>
      <c r="D6274" t="s">
        <v>10210</v>
      </c>
      <c r="E6274" t="s">
        <v>5532</v>
      </c>
      <c r="F6274" t="s">
        <v>23943</v>
      </c>
      <c r="G6274" t="s">
        <v>18056</v>
      </c>
      <c r="H6274" t="s">
        <v>5474</v>
      </c>
      <c r="I6274" t="s">
        <v>23944</v>
      </c>
      <c r="J6274" t="s">
        <v>5476</v>
      </c>
      <c r="K6274" t="s">
        <v>23945</v>
      </c>
      <c r="L6274" t="s">
        <v>5471</v>
      </c>
      <c r="M6274" t="s">
        <v>5471</v>
      </c>
    </row>
    <row r="6275" spans="1:13" x14ac:dyDescent="0.3">
      <c r="A6275" t="s">
        <v>3388</v>
      </c>
      <c r="B6275" t="s">
        <v>23946</v>
      </c>
      <c r="C6275" t="s">
        <v>5470</v>
      </c>
      <c r="D6275" t="s">
        <v>10210</v>
      </c>
      <c r="E6275" t="s">
        <v>5532</v>
      </c>
      <c r="F6275" t="s">
        <v>23947</v>
      </c>
      <c r="G6275" t="s">
        <v>23948</v>
      </c>
      <c r="H6275" t="s">
        <v>5474</v>
      </c>
      <c r="I6275" t="s">
        <v>23949</v>
      </c>
      <c r="J6275" t="s">
        <v>5476</v>
      </c>
      <c r="K6275" t="s">
        <v>23950</v>
      </c>
      <c r="L6275" t="s">
        <v>5471</v>
      </c>
      <c r="M6275" t="s">
        <v>5471</v>
      </c>
    </row>
    <row r="6276" spans="1:13" x14ac:dyDescent="0.3">
      <c r="A6276" t="s">
        <v>3388</v>
      </c>
      <c r="B6276" t="s">
        <v>20427</v>
      </c>
      <c r="C6276" t="s">
        <v>5470</v>
      </c>
      <c r="D6276" t="s">
        <v>10210</v>
      </c>
      <c r="E6276" t="s">
        <v>5532</v>
      </c>
      <c r="F6276" t="s">
        <v>23951</v>
      </c>
      <c r="G6276" t="s">
        <v>20429</v>
      </c>
      <c r="H6276" t="s">
        <v>5474</v>
      </c>
      <c r="I6276" t="s">
        <v>23952</v>
      </c>
      <c r="J6276" t="s">
        <v>5476</v>
      </c>
      <c r="K6276" t="s">
        <v>23953</v>
      </c>
      <c r="L6276" t="s">
        <v>5471</v>
      </c>
      <c r="M6276" t="s">
        <v>5471</v>
      </c>
    </row>
    <row r="6277" spans="1:13" x14ac:dyDescent="0.3">
      <c r="A6277" t="s">
        <v>3388</v>
      </c>
      <c r="B6277" t="s">
        <v>18040</v>
      </c>
      <c r="C6277" t="s">
        <v>5470</v>
      </c>
      <c r="D6277" t="s">
        <v>10210</v>
      </c>
      <c r="E6277" t="s">
        <v>5532</v>
      </c>
      <c r="F6277" t="s">
        <v>23954</v>
      </c>
      <c r="G6277" t="s">
        <v>18042</v>
      </c>
      <c r="H6277" t="s">
        <v>5474</v>
      </c>
      <c r="I6277" t="s">
        <v>23955</v>
      </c>
      <c r="J6277" t="s">
        <v>5476</v>
      </c>
      <c r="K6277" t="s">
        <v>23956</v>
      </c>
      <c r="L6277" t="s">
        <v>5471</v>
      </c>
      <c r="M6277" t="s">
        <v>5471</v>
      </c>
    </row>
    <row r="6278" spans="1:13" x14ac:dyDescent="0.3">
      <c r="A6278" t="s">
        <v>3388</v>
      </c>
      <c r="B6278" t="s">
        <v>20437</v>
      </c>
      <c r="C6278" t="s">
        <v>5470</v>
      </c>
      <c r="D6278" t="s">
        <v>10210</v>
      </c>
      <c r="E6278" t="s">
        <v>5532</v>
      </c>
      <c r="F6278" t="s">
        <v>23957</v>
      </c>
      <c r="G6278" t="s">
        <v>20194</v>
      </c>
      <c r="H6278" t="s">
        <v>5474</v>
      </c>
      <c r="I6278" t="s">
        <v>23958</v>
      </c>
      <c r="J6278" t="s">
        <v>5476</v>
      </c>
      <c r="K6278" t="s">
        <v>23959</v>
      </c>
      <c r="L6278" t="s">
        <v>5471</v>
      </c>
      <c r="M6278" t="s">
        <v>5471</v>
      </c>
    </row>
    <row r="6279" spans="1:13" x14ac:dyDescent="0.3">
      <c r="A6279" t="s">
        <v>3388</v>
      </c>
      <c r="B6279" t="s">
        <v>23960</v>
      </c>
      <c r="C6279" t="s">
        <v>5470</v>
      </c>
      <c r="D6279" t="s">
        <v>10210</v>
      </c>
      <c r="E6279" t="s">
        <v>5532</v>
      </c>
      <c r="F6279" t="s">
        <v>23961</v>
      </c>
      <c r="G6279" t="s">
        <v>17323</v>
      </c>
      <c r="H6279" t="s">
        <v>5474</v>
      </c>
      <c r="I6279" t="s">
        <v>23962</v>
      </c>
      <c r="J6279" t="s">
        <v>5476</v>
      </c>
      <c r="K6279" t="s">
        <v>23963</v>
      </c>
      <c r="L6279" t="s">
        <v>5471</v>
      </c>
      <c r="M6279" t="s">
        <v>5471</v>
      </c>
    </row>
    <row r="6280" spans="1:13" x14ac:dyDescent="0.3">
      <c r="A6280" t="s">
        <v>3388</v>
      </c>
      <c r="B6280" t="s">
        <v>23964</v>
      </c>
      <c r="C6280" t="s">
        <v>5470</v>
      </c>
      <c r="D6280" t="s">
        <v>10210</v>
      </c>
      <c r="E6280" t="s">
        <v>5532</v>
      </c>
      <c r="F6280" t="s">
        <v>23965</v>
      </c>
      <c r="G6280" t="s">
        <v>23966</v>
      </c>
      <c r="H6280" t="s">
        <v>5474</v>
      </c>
      <c r="I6280" t="s">
        <v>23967</v>
      </c>
      <c r="J6280" t="s">
        <v>5476</v>
      </c>
      <c r="K6280" t="s">
        <v>23968</v>
      </c>
      <c r="L6280" t="s">
        <v>5471</v>
      </c>
      <c r="M6280" t="s">
        <v>5471</v>
      </c>
    </row>
    <row r="6281" spans="1:13" x14ac:dyDescent="0.3">
      <c r="A6281" t="s">
        <v>3388</v>
      </c>
      <c r="B6281" t="s">
        <v>23969</v>
      </c>
      <c r="C6281" t="s">
        <v>5470</v>
      </c>
      <c r="D6281" t="s">
        <v>10210</v>
      </c>
      <c r="E6281" t="s">
        <v>5532</v>
      </c>
      <c r="F6281" t="s">
        <v>23970</v>
      </c>
      <c r="G6281" t="s">
        <v>23971</v>
      </c>
      <c r="H6281" t="s">
        <v>5474</v>
      </c>
      <c r="I6281" t="s">
        <v>23972</v>
      </c>
      <c r="J6281" t="s">
        <v>5476</v>
      </c>
      <c r="K6281" t="s">
        <v>23973</v>
      </c>
      <c r="L6281" t="s">
        <v>5471</v>
      </c>
      <c r="M6281" t="s">
        <v>5471</v>
      </c>
    </row>
    <row r="6282" spans="1:13" x14ac:dyDescent="0.3">
      <c r="A6282" t="s">
        <v>3388</v>
      </c>
      <c r="B6282" t="s">
        <v>23640</v>
      </c>
      <c r="C6282" t="s">
        <v>5470</v>
      </c>
      <c r="D6282" t="s">
        <v>10210</v>
      </c>
      <c r="E6282" t="s">
        <v>5532</v>
      </c>
      <c r="F6282" t="s">
        <v>23974</v>
      </c>
      <c r="G6282" t="s">
        <v>23642</v>
      </c>
      <c r="H6282" t="s">
        <v>5474</v>
      </c>
      <c r="I6282" t="s">
        <v>23975</v>
      </c>
      <c r="J6282" t="s">
        <v>5476</v>
      </c>
      <c r="K6282" t="s">
        <v>23976</v>
      </c>
      <c r="L6282" t="s">
        <v>5471</v>
      </c>
      <c r="M6282" t="s">
        <v>5471</v>
      </c>
    </row>
    <row r="6283" spans="1:13" x14ac:dyDescent="0.3">
      <c r="A6283" t="s">
        <v>3388</v>
      </c>
      <c r="B6283" t="s">
        <v>23977</v>
      </c>
      <c r="C6283" t="s">
        <v>5470</v>
      </c>
      <c r="D6283" t="s">
        <v>10210</v>
      </c>
      <c r="E6283" t="s">
        <v>5756</v>
      </c>
      <c r="F6283" t="s">
        <v>23978</v>
      </c>
      <c r="G6283" t="s">
        <v>22319</v>
      </c>
      <c r="H6283" t="s">
        <v>5474</v>
      </c>
      <c r="I6283" t="s">
        <v>23979</v>
      </c>
      <c r="J6283" t="s">
        <v>5476</v>
      </c>
      <c r="K6283" t="s">
        <v>23980</v>
      </c>
      <c r="L6283" t="s">
        <v>5471</v>
      </c>
      <c r="M6283" t="s">
        <v>5471</v>
      </c>
    </row>
    <row r="6284" spans="1:13" x14ac:dyDescent="0.3">
      <c r="A6284" t="s">
        <v>3388</v>
      </c>
      <c r="B6284" t="s">
        <v>18470</v>
      </c>
      <c r="C6284" t="s">
        <v>5470</v>
      </c>
      <c r="D6284" t="s">
        <v>10210</v>
      </c>
      <c r="E6284" t="s">
        <v>5532</v>
      </c>
      <c r="F6284" t="s">
        <v>23981</v>
      </c>
      <c r="G6284" t="s">
        <v>18472</v>
      </c>
      <c r="H6284" t="s">
        <v>5474</v>
      </c>
      <c r="I6284" t="s">
        <v>23982</v>
      </c>
      <c r="J6284" t="s">
        <v>5476</v>
      </c>
      <c r="K6284" t="s">
        <v>23983</v>
      </c>
      <c r="L6284" t="s">
        <v>5471</v>
      </c>
      <c r="M6284" t="s">
        <v>5471</v>
      </c>
    </row>
    <row r="6285" spans="1:13" x14ac:dyDescent="0.3">
      <c r="A6285" t="s">
        <v>3388</v>
      </c>
      <c r="B6285" t="s">
        <v>5299</v>
      </c>
      <c r="C6285" t="s">
        <v>5470</v>
      </c>
      <c r="D6285" t="s">
        <v>10210</v>
      </c>
      <c r="E6285" t="s">
        <v>5532</v>
      </c>
      <c r="F6285" t="s">
        <v>23984</v>
      </c>
      <c r="G6285" t="s">
        <v>21561</v>
      </c>
      <c r="H6285" t="s">
        <v>5474</v>
      </c>
      <c r="I6285" t="s">
        <v>23985</v>
      </c>
      <c r="J6285" t="s">
        <v>5476</v>
      </c>
      <c r="K6285" t="s">
        <v>23986</v>
      </c>
      <c r="L6285" t="s">
        <v>5471</v>
      </c>
      <c r="M6285" t="s">
        <v>5471</v>
      </c>
    </row>
    <row r="6286" spans="1:13" x14ac:dyDescent="0.3">
      <c r="A6286" t="s">
        <v>3388</v>
      </c>
      <c r="B6286" t="s">
        <v>5299</v>
      </c>
      <c r="C6286" t="s">
        <v>5470</v>
      </c>
      <c r="D6286" t="s">
        <v>10210</v>
      </c>
      <c r="E6286" t="s">
        <v>5532</v>
      </c>
      <c r="F6286" t="s">
        <v>23987</v>
      </c>
      <c r="G6286" t="s">
        <v>21561</v>
      </c>
      <c r="H6286" t="s">
        <v>5474</v>
      </c>
      <c r="I6286" t="s">
        <v>23988</v>
      </c>
      <c r="J6286" t="s">
        <v>5476</v>
      </c>
      <c r="K6286" t="s">
        <v>23989</v>
      </c>
      <c r="L6286" t="s">
        <v>5471</v>
      </c>
      <c r="M6286" t="s">
        <v>5471</v>
      </c>
    </row>
    <row r="6287" spans="1:13" x14ac:dyDescent="0.3">
      <c r="A6287" t="s">
        <v>3388</v>
      </c>
      <c r="B6287" t="s">
        <v>10438</v>
      </c>
      <c r="C6287" t="s">
        <v>5470</v>
      </c>
      <c r="D6287" t="s">
        <v>4119</v>
      </c>
      <c r="E6287" t="s">
        <v>5756</v>
      </c>
      <c r="F6287" t="s">
        <v>23990</v>
      </c>
      <c r="G6287" t="s">
        <v>8015</v>
      </c>
      <c r="H6287" t="s">
        <v>5474</v>
      </c>
      <c r="I6287" t="s">
        <v>23991</v>
      </c>
      <c r="J6287" t="s">
        <v>5476</v>
      </c>
      <c r="K6287" t="s">
        <v>23992</v>
      </c>
      <c r="L6287" t="s">
        <v>5471</v>
      </c>
      <c r="M6287" t="s">
        <v>5471</v>
      </c>
    </row>
    <row r="6288" spans="1:13" x14ac:dyDescent="0.3">
      <c r="A6288" t="s">
        <v>3388</v>
      </c>
      <c r="B6288" t="s">
        <v>10438</v>
      </c>
      <c r="C6288" t="s">
        <v>5470</v>
      </c>
      <c r="D6288" t="s">
        <v>4119</v>
      </c>
      <c r="E6288" t="s">
        <v>5756</v>
      </c>
      <c r="F6288" t="s">
        <v>23993</v>
      </c>
      <c r="G6288" t="s">
        <v>8015</v>
      </c>
      <c r="H6288" t="s">
        <v>5474</v>
      </c>
      <c r="I6288" t="s">
        <v>23994</v>
      </c>
      <c r="J6288" t="s">
        <v>5476</v>
      </c>
      <c r="K6288" t="s">
        <v>23995</v>
      </c>
      <c r="L6288" t="s">
        <v>5471</v>
      </c>
      <c r="M6288" t="s">
        <v>5471</v>
      </c>
    </row>
    <row r="6289" spans="1:13" x14ac:dyDescent="0.3">
      <c r="A6289" t="s">
        <v>3388</v>
      </c>
      <c r="B6289" t="s">
        <v>10438</v>
      </c>
      <c r="C6289" t="s">
        <v>5470</v>
      </c>
      <c r="D6289" t="s">
        <v>4119</v>
      </c>
      <c r="E6289" t="s">
        <v>5756</v>
      </c>
      <c r="F6289" t="s">
        <v>23996</v>
      </c>
      <c r="G6289" t="s">
        <v>8015</v>
      </c>
      <c r="H6289" t="s">
        <v>5474</v>
      </c>
      <c r="I6289" t="s">
        <v>23997</v>
      </c>
      <c r="J6289" t="s">
        <v>5476</v>
      </c>
      <c r="K6289" t="s">
        <v>23998</v>
      </c>
      <c r="L6289" t="s">
        <v>5471</v>
      </c>
      <c r="M6289" t="s">
        <v>5471</v>
      </c>
    </row>
    <row r="6290" spans="1:13" x14ac:dyDescent="0.3">
      <c r="A6290" t="s">
        <v>3388</v>
      </c>
      <c r="B6290" t="s">
        <v>23999</v>
      </c>
      <c r="C6290" t="s">
        <v>5470</v>
      </c>
      <c r="D6290" t="s">
        <v>4119</v>
      </c>
      <c r="E6290" t="s">
        <v>5756</v>
      </c>
      <c r="F6290" t="s">
        <v>24000</v>
      </c>
      <c r="G6290" t="s">
        <v>17601</v>
      </c>
      <c r="H6290" t="s">
        <v>5474</v>
      </c>
      <c r="I6290" t="s">
        <v>24001</v>
      </c>
      <c r="J6290" t="s">
        <v>5476</v>
      </c>
      <c r="K6290" t="s">
        <v>24002</v>
      </c>
      <c r="L6290" t="s">
        <v>5471</v>
      </c>
      <c r="M6290" t="s">
        <v>5471</v>
      </c>
    </row>
    <row r="6291" spans="1:13" x14ac:dyDescent="0.3">
      <c r="A6291" t="s">
        <v>3388</v>
      </c>
      <c r="B6291" t="s">
        <v>18683</v>
      </c>
      <c r="C6291" t="s">
        <v>5470</v>
      </c>
      <c r="D6291" t="s">
        <v>4119</v>
      </c>
      <c r="E6291" t="s">
        <v>5756</v>
      </c>
      <c r="F6291" t="s">
        <v>24003</v>
      </c>
      <c r="G6291" t="s">
        <v>18685</v>
      </c>
      <c r="H6291" t="s">
        <v>5474</v>
      </c>
      <c r="I6291" t="s">
        <v>24004</v>
      </c>
      <c r="J6291" t="s">
        <v>5476</v>
      </c>
      <c r="K6291" t="s">
        <v>24005</v>
      </c>
      <c r="L6291" t="s">
        <v>5471</v>
      </c>
      <c r="M6291" t="s">
        <v>5471</v>
      </c>
    </row>
    <row r="6292" spans="1:13" x14ac:dyDescent="0.3">
      <c r="A6292" t="s">
        <v>3388</v>
      </c>
      <c r="B6292" t="s">
        <v>18683</v>
      </c>
      <c r="C6292" t="s">
        <v>5470</v>
      </c>
      <c r="D6292" t="s">
        <v>4119</v>
      </c>
      <c r="E6292" t="s">
        <v>5756</v>
      </c>
      <c r="F6292" t="s">
        <v>24006</v>
      </c>
      <c r="G6292" t="s">
        <v>18685</v>
      </c>
      <c r="H6292" t="s">
        <v>5474</v>
      </c>
      <c r="I6292" t="s">
        <v>24007</v>
      </c>
      <c r="J6292" t="s">
        <v>5476</v>
      </c>
      <c r="K6292" t="s">
        <v>24008</v>
      </c>
      <c r="L6292" t="s">
        <v>5471</v>
      </c>
      <c r="M6292" t="s">
        <v>5471</v>
      </c>
    </row>
    <row r="6293" spans="1:13" x14ac:dyDescent="0.3">
      <c r="A6293" t="s">
        <v>3388</v>
      </c>
      <c r="B6293" t="s">
        <v>18660</v>
      </c>
      <c r="C6293" t="s">
        <v>5470</v>
      </c>
      <c r="D6293" t="s">
        <v>4119</v>
      </c>
      <c r="E6293" t="s">
        <v>5756</v>
      </c>
      <c r="F6293" t="s">
        <v>24009</v>
      </c>
      <c r="G6293" t="s">
        <v>18662</v>
      </c>
      <c r="H6293" t="s">
        <v>5474</v>
      </c>
      <c r="I6293" t="s">
        <v>24010</v>
      </c>
      <c r="J6293" t="s">
        <v>5476</v>
      </c>
      <c r="K6293" t="s">
        <v>24011</v>
      </c>
      <c r="L6293" t="s">
        <v>5471</v>
      </c>
      <c r="M6293" t="s">
        <v>5471</v>
      </c>
    </row>
    <row r="6294" spans="1:13" x14ac:dyDescent="0.3">
      <c r="A6294" t="s">
        <v>3388</v>
      </c>
      <c r="B6294" t="s">
        <v>18660</v>
      </c>
      <c r="C6294" t="s">
        <v>5470</v>
      </c>
      <c r="D6294" t="s">
        <v>4119</v>
      </c>
      <c r="E6294" t="s">
        <v>5756</v>
      </c>
      <c r="F6294" t="s">
        <v>24012</v>
      </c>
      <c r="G6294" t="s">
        <v>18662</v>
      </c>
      <c r="H6294" t="s">
        <v>5474</v>
      </c>
      <c r="I6294" t="s">
        <v>24013</v>
      </c>
      <c r="J6294" t="s">
        <v>5476</v>
      </c>
      <c r="K6294" t="s">
        <v>24014</v>
      </c>
      <c r="L6294" t="s">
        <v>5471</v>
      </c>
      <c r="M6294" t="s">
        <v>5471</v>
      </c>
    </row>
    <row r="6295" spans="1:13" x14ac:dyDescent="0.3">
      <c r="A6295" t="s">
        <v>3388</v>
      </c>
      <c r="B6295" t="s">
        <v>24015</v>
      </c>
      <c r="C6295" t="s">
        <v>5470</v>
      </c>
      <c r="D6295" t="s">
        <v>4119</v>
      </c>
      <c r="E6295" t="s">
        <v>5532</v>
      </c>
      <c r="F6295" t="s">
        <v>24016</v>
      </c>
      <c r="G6295" t="s">
        <v>24017</v>
      </c>
      <c r="H6295" t="s">
        <v>5474</v>
      </c>
      <c r="I6295" t="s">
        <v>24018</v>
      </c>
      <c r="J6295" t="s">
        <v>5476</v>
      </c>
      <c r="K6295" t="s">
        <v>24019</v>
      </c>
      <c r="L6295" t="s">
        <v>5471</v>
      </c>
      <c r="M6295" t="s">
        <v>5471</v>
      </c>
    </row>
    <row r="6296" spans="1:13" x14ac:dyDescent="0.3">
      <c r="A6296" t="s">
        <v>3388</v>
      </c>
      <c r="B6296" t="s">
        <v>24015</v>
      </c>
      <c r="C6296" t="s">
        <v>5470</v>
      </c>
      <c r="D6296" t="s">
        <v>4119</v>
      </c>
      <c r="E6296" t="s">
        <v>5532</v>
      </c>
      <c r="F6296" t="s">
        <v>24020</v>
      </c>
      <c r="G6296" t="s">
        <v>24021</v>
      </c>
      <c r="H6296" t="s">
        <v>5474</v>
      </c>
      <c r="I6296" t="s">
        <v>24022</v>
      </c>
      <c r="J6296" t="s">
        <v>5476</v>
      </c>
      <c r="K6296" t="s">
        <v>24023</v>
      </c>
      <c r="L6296" t="s">
        <v>5471</v>
      </c>
      <c r="M6296" t="s">
        <v>5471</v>
      </c>
    </row>
    <row r="6297" spans="1:13" x14ac:dyDescent="0.3">
      <c r="A6297" t="s">
        <v>3388</v>
      </c>
      <c r="B6297" t="s">
        <v>10518</v>
      </c>
      <c r="C6297" t="s">
        <v>5470</v>
      </c>
      <c r="D6297" t="s">
        <v>4119</v>
      </c>
      <c r="E6297" t="s">
        <v>5843</v>
      </c>
      <c r="F6297" t="s">
        <v>24024</v>
      </c>
      <c r="G6297" t="s">
        <v>10520</v>
      </c>
      <c r="H6297" t="s">
        <v>5474</v>
      </c>
      <c r="I6297" t="s">
        <v>24025</v>
      </c>
      <c r="J6297" t="s">
        <v>5476</v>
      </c>
      <c r="K6297" t="s">
        <v>24026</v>
      </c>
      <c r="L6297" t="s">
        <v>5471</v>
      </c>
      <c r="M6297" t="s">
        <v>5471</v>
      </c>
    </row>
    <row r="6298" spans="1:13" x14ac:dyDescent="0.3">
      <c r="A6298" t="s">
        <v>3388</v>
      </c>
      <c r="B6298" t="s">
        <v>10513</v>
      </c>
      <c r="C6298" t="s">
        <v>5470</v>
      </c>
      <c r="D6298" t="s">
        <v>4119</v>
      </c>
      <c r="E6298" t="s">
        <v>5843</v>
      </c>
      <c r="F6298" t="s">
        <v>24027</v>
      </c>
      <c r="G6298" t="s">
        <v>10515</v>
      </c>
      <c r="H6298" t="s">
        <v>5474</v>
      </c>
      <c r="I6298" t="s">
        <v>24028</v>
      </c>
      <c r="J6298" t="s">
        <v>5476</v>
      </c>
      <c r="K6298" t="s">
        <v>24029</v>
      </c>
      <c r="L6298" t="s">
        <v>5471</v>
      </c>
      <c r="M6298" t="s">
        <v>5471</v>
      </c>
    </row>
    <row r="6299" spans="1:13" x14ac:dyDescent="0.3">
      <c r="A6299" t="s">
        <v>3388</v>
      </c>
      <c r="B6299" t="s">
        <v>10513</v>
      </c>
      <c r="C6299" t="s">
        <v>5470</v>
      </c>
      <c r="D6299" t="s">
        <v>4119</v>
      </c>
      <c r="E6299" t="s">
        <v>5843</v>
      </c>
      <c r="F6299" t="s">
        <v>24030</v>
      </c>
      <c r="G6299" t="s">
        <v>10515</v>
      </c>
      <c r="H6299" t="s">
        <v>5474</v>
      </c>
      <c r="I6299" t="s">
        <v>24031</v>
      </c>
      <c r="J6299" t="s">
        <v>5476</v>
      </c>
      <c r="K6299" t="s">
        <v>24032</v>
      </c>
      <c r="L6299" t="s">
        <v>5471</v>
      </c>
      <c r="M6299" t="s">
        <v>5471</v>
      </c>
    </row>
    <row r="6300" spans="1:13" x14ac:dyDescent="0.3">
      <c r="A6300" t="s">
        <v>3388</v>
      </c>
      <c r="B6300" t="s">
        <v>10528</v>
      </c>
      <c r="C6300" t="s">
        <v>5470</v>
      </c>
      <c r="D6300" t="s">
        <v>4119</v>
      </c>
      <c r="E6300" t="s">
        <v>5843</v>
      </c>
      <c r="F6300" t="s">
        <v>24033</v>
      </c>
      <c r="G6300" t="s">
        <v>7885</v>
      </c>
      <c r="H6300" t="s">
        <v>5474</v>
      </c>
      <c r="I6300" t="s">
        <v>24034</v>
      </c>
      <c r="J6300" t="s">
        <v>5476</v>
      </c>
      <c r="K6300" t="s">
        <v>24035</v>
      </c>
      <c r="L6300" t="s">
        <v>5471</v>
      </c>
      <c r="M6300" t="s">
        <v>5471</v>
      </c>
    </row>
    <row r="6301" spans="1:13" x14ac:dyDescent="0.3">
      <c r="A6301" t="s">
        <v>3388</v>
      </c>
      <c r="B6301" t="s">
        <v>24036</v>
      </c>
      <c r="C6301" t="s">
        <v>5470</v>
      </c>
      <c r="D6301" t="s">
        <v>4119</v>
      </c>
      <c r="E6301" t="s">
        <v>5532</v>
      </c>
      <c r="F6301" t="s">
        <v>24037</v>
      </c>
      <c r="G6301" t="s">
        <v>24038</v>
      </c>
      <c r="H6301" t="s">
        <v>5474</v>
      </c>
      <c r="I6301" t="s">
        <v>24039</v>
      </c>
      <c r="J6301" t="s">
        <v>5476</v>
      </c>
      <c r="K6301" t="s">
        <v>24040</v>
      </c>
      <c r="L6301" t="s">
        <v>5471</v>
      </c>
      <c r="M6301" t="s">
        <v>5471</v>
      </c>
    </row>
    <row r="6302" spans="1:13" x14ac:dyDescent="0.3">
      <c r="A6302" t="s">
        <v>3388</v>
      </c>
      <c r="B6302" t="s">
        <v>18668</v>
      </c>
      <c r="C6302" t="s">
        <v>5470</v>
      </c>
      <c r="D6302" t="s">
        <v>4119</v>
      </c>
      <c r="E6302" t="s">
        <v>5756</v>
      </c>
      <c r="F6302" t="s">
        <v>24041</v>
      </c>
      <c r="G6302" t="s">
        <v>18670</v>
      </c>
      <c r="H6302" t="s">
        <v>5474</v>
      </c>
      <c r="I6302" t="s">
        <v>24042</v>
      </c>
      <c r="J6302" t="s">
        <v>5476</v>
      </c>
      <c r="K6302" t="s">
        <v>24043</v>
      </c>
      <c r="L6302" t="s">
        <v>5471</v>
      </c>
      <c r="M6302" t="s">
        <v>5471</v>
      </c>
    </row>
    <row r="6303" spans="1:13" x14ac:dyDescent="0.3">
      <c r="A6303" t="s">
        <v>3388</v>
      </c>
      <c r="B6303" t="s">
        <v>18668</v>
      </c>
      <c r="C6303" t="s">
        <v>5470</v>
      </c>
      <c r="D6303" t="s">
        <v>4119</v>
      </c>
      <c r="E6303" t="s">
        <v>5756</v>
      </c>
      <c r="F6303" t="s">
        <v>24044</v>
      </c>
      <c r="G6303" t="s">
        <v>18670</v>
      </c>
      <c r="H6303" t="s">
        <v>5474</v>
      </c>
      <c r="I6303" t="s">
        <v>24045</v>
      </c>
      <c r="J6303" t="s">
        <v>5476</v>
      </c>
      <c r="K6303" t="s">
        <v>24046</v>
      </c>
      <c r="L6303" t="s">
        <v>5471</v>
      </c>
      <c r="M6303" t="s">
        <v>5471</v>
      </c>
    </row>
    <row r="6304" spans="1:13" x14ac:dyDescent="0.3">
      <c r="A6304" t="s">
        <v>3388</v>
      </c>
      <c r="B6304" t="s">
        <v>10447</v>
      </c>
      <c r="C6304" t="s">
        <v>5470</v>
      </c>
      <c r="D6304" t="s">
        <v>4119</v>
      </c>
      <c r="E6304" t="s">
        <v>5756</v>
      </c>
      <c r="F6304" t="s">
        <v>24047</v>
      </c>
      <c r="G6304" t="s">
        <v>10449</v>
      </c>
      <c r="H6304" t="s">
        <v>5474</v>
      </c>
      <c r="I6304" t="s">
        <v>24048</v>
      </c>
      <c r="J6304" t="s">
        <v>5476</v>
      </c>
      <c r="K6304" t="s">
        <v>24049</v>
      </c>
      <c r="L6304" t="s">
        <v>5471</v>
      </c>
      <c r="M6304" t="s">
        <v>5471</v>
      </c>
    </row>
    <row r="6305" spans="1:13" x14ac:dyDescent="0.3">
      <c r="A6305" t="s">
        <v>3388</v>
      </c>
      <c r="B6305" t="s">
        <v>24050</v>
      </c>
      <c r="C6305" t="s">
        <v>5470</v>
      </c>
      <c r="D6305" t="s">
        <v>4119</v>
      </c>
      <c r="E6305" t="s">
        <v>5843</v>
      </c>
      <c r="F6305" t="s">
        <v>24051</v>
      </c>
      <c r="G6305" t="s">
        <v>24052</v>
      </c>
      <c r="H6305" t="s">
        <v>5474</v>
      </c>
      <c r="I6305" t="s">
        <v>24053</v>
      </c>
      <c r="J6305" t="s">
        <v>5476</v>
      </c>
      <c r="K6305" t="s">
        <v>24054</v>
      </c>
      <c r="L6305" t="s">
        <v>5471</v>
      </c>
      <c r="M6305" t="s">
        <v>5471</v>
      </c>
    </row>
    <row r="6306" spans="1:13" x14ac:dyDescent="0.3">
      <c r="A6306" t="s">
        <v>3388</v>
      </c>
      <c r="B6306" t="s">
        <v>24050</v>
      </c>
      <c r="C6306" t="s">
        <v>5470</v>
      </c>
      <c r="D6306" t="s">
        <v>4119</v>
      </c>
      <c r="E6306" t="s">
        <v>5843</v>
      </c>
      <c r="F6306" t="s">
        <v>24055</v>
      </c>
      <c r="G6306" t="s">
        <v>24052</v>
      </c>
      <c r="H6306" t="s">
        <v>5474</v>
      </c>
      <c r="I6306" t="s">
        <v>24056</v>
      </c>
      <c r="J6306" t="s">
        <v>5476</v>
      </c>
      <c r="K6306" t="s">
        <v>24057</v>
      </c>
      <c r="L6306" t="s">
        <v>5471</v>
      </c>
      <c r="M6306" t="s">
        <v>5471</v>
      </c>
    </row>
    <row r="6307" spans="1:13" x14ac:dyDescent="0.3">
      <c r="A6307" t="s">
        <v>3388</v>
      </c>
      <c r="B6307" t="s">
        <v>24050</v>
      </c>
      <c r="C6307" t="s">
        <v>5470</v>
      </c>
      <c r="D6307" t="s">
        <v>4119</v>
      </c>
      <c r="E6307" t="s">
        <v>5843</v>
      </c>
      <c r="F6307" t="s">
        <v>24058</v>
      </c>
      <c r="G6307" t="s">
        <v>24052</v>
      </c>
      <c r="H6307" t="s">
        <v>5474</v>
      </c>
      <c r="I6307" t="s">
        <v>24059</v>
      </c>
      <c r="J6307" t="s">
        <v>5476</v>
      </c>
      <c r="K6307" t="s">
        <v>24060</v>
      </c>
      <c r="L6307" t="s">
        <v>5471</v>
      </c>
      <c r="M6307" t="s">
        <v>5471</v>
      </c>
    </row>
    <row r="6308" spans="1:13" x14ac:dyDescent="0.3">
      <c r="A6308" t="s">
        <v>3388</v>
      </c>
      <c r="B6308" t="s">
        <v>24050</v>
      </c>
      <c r="C6308" t="s">
        <v>5470</v>
      </c>
      <c r="D6308" t="s">
        <v>4119</v>
      </c>
      <c r="E6308" t="s">
        <v>5843</v>
      </c>
      <c r="F6308" t="s">
        <v>24061</v>
      </c>
      <c r="G6308" t="s">
        <v>24052</v>
      </c>
      <c r="H6308" t="s">
        <v>5474</v>
      </c>
      <c r="I6308" t="s">
        <v>24062</v>
      </c>
      <c r="J6308" t="s">
        <v>5476</v>
      </c>
      <c r="K6308" t="s">
        <v>24063</v>
      </c>
      <c r="L6308" t="s">
        <v>5471</v>
      </c>
      <c r="M6308" t="s">
        <v>5471</v>
      </c>
    </row>
    <row r="6309" spans="1:13" x14ac:dyDescent="0.3">
      <c r="A6309" t="s">
        <v>3388</v>
      </c>
      <c r="B6309" t="s">
        <v>24050</v>
      </c>
      <c r="C6309" t="s">
        <v>5470</v>
      </c>
      <c r="D6309" t="s">
        <v>4119</v>
      </c>
      <c r="E6309" t="s">
        <v>5843</v>
      </c>
      <c r="F6309" t="s">
        <v>24064</v>
      </c>
      <c r="G6309" t="s">
        <v>24052</v>
      </c>
      <c r="H6309" t="s">
        <v>5474</v>
      </c>
      <c r="I6309" t="s">
        <v>24065</v>
      </c>
      <c r="J6309" t="s">
        <v>5476</v>
      </c>
      <c r="K6309" t="s">
        <v>24066</v>
      </c>
      <c r="L6309" t="s">
        <v>5471</v>
      </c>
      <c r="M6309" t="s">
        <v>5471</v>
      </c>
    </row>
    <row r="6310" spans="1:13" x14ac:dyDescent="0.3">
      <c r="A6310" t="s">
        <v>3388</v>
      </c>
      <c r="B6310" t="s">
        <v>24050</v>
      </c>
      <c r="C6310" t="s">
        <v>5470</v>
      </c>
      <c r="D6310" t="s">
        <v>4119</v>
      </c>
      <c r="E6310" t="s">
        <v>5843</v>
      </c>
      <c r="F6310" t="s">
        <v>24067</v>
      </c>
      <c r="G6310" t="s">
        <v>24052</v>
      </c>
      <c r="H6310" t="s">
        <v>5474</v>
      </c>
      <c r="I6310" t="s">
        <v>24068</v>
      </c>
      <c r="J6310" t="s">
        <v>5476</v>
      </c>
      <c r="K6310" t="s">
        <v>24069</v>
      </c>
      <c r="L6310" t="s">
        <v>5471</v>
      </c>
      <c r="M6310" t="s">
        <v>5471</v>
      </c>
    </row>
    <row r="6311" spans="1:13" x14ac:dyDescent="0.3">
      <c r="A6311" t="s">
        <v>3388</v>
      </c>
      <c r="B6311" t="s">
        <v>24050</v>
      </c>
      <c r="C6311" t="s">
        <v>5470</v>
      </c>
      <c r="D6311" t="s">
        <v>4119</v>
      </c>
      <c r="E6311" t="s">
        <v>5843</v>
      </c>
      <c r="F6311" t="s">
        <v>24070</v>
      </c>
      <c r="G6311" t="s">
        <v>24052</v>
      </c>
      <c r="H6311" t="s">
        <v>5474</v>
      </c>
      <c r="I6311" t="s">
        <v>24071</v>
      </c>
      <c r="J6311" t="s">
        <v>5476</v>
      </c>
      <c r="K6311" t="s">
        <v>24072</v>
      </c>
      <c r="L6311" t="s">
        <v>5471</v>
      </c>
      <c r="M6311" t="s">
        <v>5471</v>
      </c>
    </row>
    <row r="6312" spans="1:13" x14ac:dyDescent="0.3">
      <c r="A6312" t="s">
        <v>3388</v>
      </c>
      <c r="B6312" t="s">
        <v>24050</v>
      </c>
      <c r="C6312" t="s">
        <v>5470</v>
      </c>
      <c r="D6312" t="s">
        <v>4119</v>
      </c>
      <c r="E6312" t="s">
        <v>5843</v>
      </c>
      <c r="F6312" t="s">
        <v>24073</v>
      </c>
      <c r="G6312" t="s">
        <v>24052</v>
      </c>
      <c r="H6312" t="s">
        <v>5474</v>
      </c>
      <c r="I6312" t="s">
        <v>24074</v>
      </c>
      <c r="J6312" t="s">
        <v>5476</v>
      </c>
      <c r="K6312" t="s">
        <v>24075</v>
      </c>
      <c r="L6312" t="s">
        <v>5471</v>
      </c>
      <c r="M6312" t="s">
        <v>5471</v>
      </c>
    </row>
    <row r="6313" spans="1:13" x14ac:dyDescent="0.3">
      <c r="A6313" t="s">
        <v>3388</v>
      </c>
      <c r="B6313" t="s">
        <v>24050</v>
      </c>
      <c r="C6313" t="s">
        <v>5470</v>
      </c>
      <c r="D6313" t="s">
        <v>4119</v>
      </c>
      <c r="E6313" t="s">
        <v>5843</v>
      </c>
      <c r="F6313" t="s">
        <v>24076</v>
      </c>
      <c r="G6313" t="s">
        <v>24052</v>
      </c>
      <c r="H6313" t="s">
        <v>5474</v>
      </c>
      <c r="I6313" t="s">
        <v>24077</v>
      </c>
      <c r="J6313" t="s">
        <v>5476</v>
      </c>
      <c r="K6313" t="s">
        <v>24078</v>
      </c>
      <c r="L6313" t="s">
        <v>5471</v>
      </c>
      <c r="M6313" t="s">
        <v>5471</v>
      </c>
    </row>
    <row r="6314" spans="1:13" x14ac:dyDescent="0.3">
      <c r="A6314" t="s">
        <v>3388</v>
      </c>
      <c r="B6314" t="s">
        <v>24050</v>
      </c>
      <c r="C6314" t="s">
        <v>5470</v>
      </c>
      <c r="D6314" t="s">
        <v>4119</v>
      </c>
      <c r="E6314" t="s">
        <v>5843</v>
      </c>
      <c r="F6314" t="s">
        <v>24079</v>
      </c>
      <c r="G6314" t="s">
        <v>24052</v>
      </c>
      <c r="H6314" t="s">
        <v>5474</v>
      </c>
      <c r="I6314" t="s">
        <v>24080</v>
      </c>
      <c r="J6314" t="s">
        <v>5476</v>
      </c>
      <c r="K6314" t="s">
        <v>24081</v>
      </c>
      <c r="L6314" t="s">
        <v>5471</v>
      </c>
      <c r="M6314" t="s">
        <v>5471</v>
      </c>
    </row>
    <row r="6315" spans="1:13" x14ac:dyDescent="0.3">
      <c r="A6315" t="s">
        <v>3388</v>
      </c>
      <c r="B6315" t="s">
        <v>24050</v>
      </c>
      <c r="C6315" t="s">
        <v>5470</v>
      </c>
      <c r="D6315" t="s">
        <v>4119</v>
      </c>
      <c r="E6315" t="s">
        <v>5843</v>
      </c>
      <c r="F6315" t="s">
        <v>24082</v>
      </c>
      <c r="G6315" t="s">
        <v>24052</v>
      </c>
      <c r="H6315" t="s">
        <v>5474</v>
      </c>
      <c r="I6315" t="s">
        <v>24083</v>
      </c>
      <c r="J6315" t="s">
        <v>5476</v>
      </c>
      <c r="K6315" t="s">
        <v>24084</v>
      </c>
      <c r="L6315" t="s">
        <v>5471</v>
      </c>
      <c r="M6315" t="s">
        <v>5471</v>
      </c>
    </row>
    <row r="6316" spans="1:13" x14ac:dyDescent="0.3">
      <c r="A6316" t="s">
        <v>3388</v>
      </c>
      <c r="B6316" t="s">
        <v>24050</v>
      </c>
      <c r="C6316" t="s">
        <v>5470</v>
      </c>
      <c r="D6316" t="s">
        <v>4119</v>
      </c>
      <c r="E6316" t="s">
        <v>5843</v>
      </c>
      <c r="F6316" t="s">
        <v>24085</v>
      </c>
      <c r="G6316" t="s">
        <v>24052</v>
      </c>
      <c r="H6316" t="s">
        <v>5474</v>
      </c>
      <c r="I6316" t="s">
        <v>24086</v>
      </c>
      <c r="J6316" t="s">
        <v>5476</v>
      </c>
      <c r="K6316" t="s">
        <v>24087</v>
      </c>
      <c r="L6316" t="s">
        <v>5471</v>
      </c>
      <c r="M6316" t="s">
        <v>5471</v>
      </c>
    </row>
    <row r="6317" spans="1:13" x14ac:dyDescent="0.3">
      <c r="A6317" t="s">
        <v>3388</v>
      </c>
      <c r="B6317" t="s">
        <v>24050</v>
      </c>
      <c r="C6317" t="s">
        <v>5470</v>
      </c>
      <c r="D6317" t="s">
        <v>4119</v>
      </c>
      <c r="E6317" t="s">
        <v>5843</v>
      </c>
      <c r="F6317" t="s">
        <v>24088</v>
      </c>
      <c r="G6317" t="s">
        <v>24052</v>
      </c>
      <c r="H6317" t="s">
        <v>5474</v>
      </c>
      <c r="I6317" t="s">
        <v>24089</v>
      </c>
      <c r="J6317" t="s">
        <v>5476</v>
      </c>
      <c r="K6317" t="s">
        <v>24090</v>
      </c>
      <c r="L6317" t="s">
        <v>5471</v>
      </c>
      <c r="M6317" t="s">
        <v>5471</v>
      </c>
    </row>
    <row r="6318" spans="1:13" x14ac:dyDescent="0.3">
      <c r="A6318" t="s">
        <v>3388</v>
      </c>
      <c r="B6318" t="s">
        <v>10528</v>
      </c>
      <c r="C6318" t="s">
        <v>5470</v>
      </c>
      <c r="D6318" t="s">
        <v>4119</v>
      </c>
      <c r="E6318" t="s">
        <v>5843</v>
      </c>
      <c r="F6318" t="s">
        <v>24091</v>
      </c>
      <c r="G6318" t="s">
        <v>7885</v>
      </c>
      <c r="H6318" t="s">
        <v>5474</v>
      </c>
      <c r="I6318" t="s">
        <v>24092</v>
      </c>
      <c r="J6318" t="s">
        <v>5476</v>
      </c>
      <c r="K6318" t="s">
        <v>24093</v>
      </c>
      <c r="L6318" t="s">
        <v>5471</v>
      </c>
      <c r="M6318" t="s">
        <v>5471</v>
      </c>
    </row>
    <row r="6319" spans="1:13" x14ac:dyDescent="0.3">
      <c r="A6319" t="s">
        <v>3388</v>
      </c>
      <c r="B6319" t="s">
        <v>10528</v>
      </c>
      <c r="C6319" t="s">
        <v>5470</v>
      </c>
      <c r="D6319" t="s">
        <v>4119</v>
      </c>
      <c r="E6319" t="s">
        <v>5843</v>
      </c>
      <c r="F6319" t="s">
        <v>24094</v>
      </c>
      <c r="G6319" t="s">
        <v>7885</v>
      </c>
      <c r="H6319" t="s">
        <v>5474</v>
      </c>
      <c r="I6319" t="s">
        <v>24095</v>
      </c>
      <c r="J6319" t="s">
        <v>5476</v>
      </c>
      <c r="K6319" t="s">
        <v>24096</v>
      </c>
      <c r="L6319" t="s">
        <v>5471</v>
      </c>
      <c r="M6319" t="s">
        <v>5471</v>
      </c>
    </row>
    <row r="6320" spans="1:13" x14ac:dyDescent="0.3">
      <c r="A6320" t="s">
        <v>3388</v>
      </c>
      <c r="B6320" t="s">
        <v>10528</v>
      </c>
      <c r="C6320" t="s">
        <v>5470</v>
      </c>
      <c r="D6320" t="s">
        <v>4119</v>
      </c>
      <c r="E6320" t="s">
        <v>5843</v>
      </c>
      <c r="F6320" t="s">
        <v>24097</v>
      </c>
      <c r="G6320" t="s">
        <v>7885</v>
      </c>
      <c r="H6320" t="s">
        <v>5474</v>
      </c>
      <c r="I6320" t="s">
        <v>24098</v>
      </c>
      <c r="J6320" t="s">
        <v>5476</v>
      </c>
      <c r="K6320" t="s">
        <v>24099</v>
      </c>
      <c r="L6320" t="s">
        <v>5471</v>
      </c>
      <c r="M6320" t="s">
        <v>5471</v>
      </c>
    </row>
    <row r="6321" spans="1:13" x14ac:dyDescent="0.3">
      <c r="A6321" t="s">
        <v>3388</v>
      </c>
      <c r="B6321" t="s">
        <v>10528</v>
      </c>
      <c r="C6321" t="s">
        <v>5470</v>
      </c>
      <c r="D6321" t="s">
        <v>4119</v>
      </c>
      <c r="E6321" t="s">
        <v>5843</v>
      </c>
      <c r="F6321" t="s">
        <v>24100</v>
      </c>
      <c r="G6321" t="s">
        <v>7885</v>
      </c>
      <c r="H6321" t="s">
        <v>5474</v>
      </c>
      <c r="I6321" t="s">
        <v>24101</v>
      </c>
      <c r="J6321" t="s">
        <v>5476</v>
      </c>
      <c r="K6321" t="s">
        <v>24102</v>
      </c>
      <c r="L6321" t="s">
        <v>5471</v>
      </c>
      <c r="M6321" t="s">
        <v>5471</v>
      </c>
    </row>
    <row r="6322" spans="1:13" x14ac:dyDescent="0.3">
      <c r="A6322" t="s">
        <v>3388</v>
      </c>
      <c r="B6322" t="s">
        <v>10528</v>
      </c>
      <c r="C6322" t="s">
        <v>5470</v>
      </c>
      <c r="D6322" t="s">
        <v>4119</v>
      </c>
      <c r="E6322" t="s">
        <v>5843</v>
      </c>
      <c r="F6322" t="s">
        <v>24103</v>
      </c>
      <c r="G6322" t="s">
        <v>7885</v>
      </c>
      <c r="H6322" t="s">
        <v>5474</v>
      </c>
      <c r="I6322" t="s">
        <v>24104</v>
      </c>
      <c r="J6322" t="s">
        <v>5476</v>
      </c>
      <c r="K6322" t="s">
        <v>24105</v>
      </c>
      <c r="L6322" t="s">
        <v>5471</v>
      </c>
      <c r="M6322" t="s">
        <v>5471</v>
      </c>
    </row>
    <row r="6323" spans="1:13" x14ac:dyDescent="0.3">
      <c r="A6323" t="s">
        <v>3388</v>
      </c>
      <c r="B6323" t="s">
        <v>10528</v>
      </c>
      <c r="C6323" t="s">
        <v>5470</v>
      </c>
      <c r="D6323" t="s">
        <v>4119</v>
      </c>
      <c r="E6323" t="s">
        <v>5843</v>
      </c>
      <c r="F6323" t="s">
        <v>24106</v>
      </c>
      <c r="G6323" t="s">
        <v>7885</v>
      </c>
      <c r="H6323" t="s">
        <v>5474</v>
      </c>
      <c r="I6323" t="s">
        <v>24107</v>
      </c>
      <c r="J6323" t="s">
        <v>5476</v>
      </c>
      <c r="K6323" t="s">
        <v>24108</v>
      </c>
      <c r="L6323" t="s">
        <v>5471</v>
      </c>
      <c r="M6323" t="s">
        <v>5471</v>
      </c>
    </row>
    <row r="6324" spans="1:13" x14ac:dyDescent="0.3">
      <c r="A6324" t="s">
        <v>3388</v>
      </c>
      <c r="B6324" t="s">
        <v>10528</v>
      </c>
      <c r="C6324" t="s">
        <v>5470</v>
      </c>
      <c r="D6324" t="s">
        <v>4119</v>
      </c>
      <c r="E6324" t="s">
        <v>5843</v>
      </c>
      <c r="F6324" t="s">
        <v>24109</v>
      </c>
      <c r="G6324" t="s">
        <v>7885</v>
      </c>
      <c r="H6324" t="s">
        <v>5474</v>
      </c>
      <c r="I6324" t="s">
        <v>24110</v>
      </c>
      <c r="J6324" t="s">
        <v>5476</v>
      </c>
      <c r="K6324" t="s">
        <v>24111</v>
      </c>
      <c r="L6324" t="s">
        <v>5471</v>
      </c>
      <c r="M6324" t="s">
        <v>5471</v>
      </c>
    </row>
    <row r="6325" spans="1:13" x14ac:dyDescent="0.3">
      <c r="A6325" t="s">
        <v>3388</v>
      </c>
      <c r="B6325" t="s">
        <v>24112</v>
      </c>
      <c r="C6325" t="s">
        <v>5470</v>
      </c>
      <c r="D6325" t="s">
        <v>4119</v>
      </c>
      <c r="E6325" t="s">
        <v>5532</v>
      </c>
      <c r="F6325" t="s">
        <v>24113</v>
      </c>
      <c r="G6325" t="s">
        <v>24114</v>
      </c>
      <c r="H6325" t="s">
        <v>5474</v>
      </c>
      <c r="I6325" t="s">
        <v>24115</v>
      </c>
      <c r="J6325" t="s">
        <v>5476</v>
      </c>
      <c r="K6325" t="s">
        <v>24116</v>
      </c>
      <c r="L6325" t="s">
        <v>5471</v>
      </c>
      <c r="M6325" t="s">
        <v>5471</v>
      </c>
    </row>
    <row r="6326" spans="1:13" x14ac:dyDescent="0.3">
      <c r="A6326" t="s">
        <v>3388</v>
      </c>
      <c r="B6326" t="s">
        <v>18904</v>
      </c>
      <c r="C6326" t="s">
        <v>5470</v>
      </c>
      <c r="D6326" t="s">
        <v>4119</v>
      </c>
      <c r="E6326" t="s">
        <v>5843</v>
      </c>
      <c r="F6326" t="s">
        <v>24117</v>
      </c>
      <c r="G6326" t="s">
        <v>18906</v>
      </c>
      <c r="H6326" t="s">
        <v>5474</v>
      </c>
      <c r="I6326" t="s">
        <v>24118</v>
      </c>
      <c r="J6326" t="s">
        <v>5476</v>
      </c>
      <c r="K6326" t="s">
        <v>24119</v>
      </c>
      <c r="L6326" t="s">
        <v>5471</v>
      </c>
      <c r="M6326" t="s">
        <v>5471</v>
      </c>
    </row>
    <row r="6327" spans="1:13" x14ac:dyDescent="0.3">
      <c r="A6327" t="s">
        <v>3388</v>
      </c>
      <c r="B6327" t="s">
        <v>18904</v>
      </c>
      <c r="C6327" t="s">
        <v>5470</v>
      </c>
      <c r="D6327" t="s">
        <v>4119</v>
      </c>
      <c r="E6327" t="s">
        <v>5843</v>
      </c>
      <c r="F6327" t="s">
        <v>24120</v>
      </c>
      <c r="G6327" t="s">
        <v>18906</v>
      </c>
      <c r="H6327" t="s">
        <v>5474</v>
      </c>
      <c r="I6327" t="s">
        <v>24121</v>
      </c>
      <c r="J6327" t="s">
        <v>5476</v>
      </c>
      <c r="K6327" t="s">
        <v>24122</v>
      </c>
      <c r="L6327" t="s">
        <v>5471</v>
      </c>
      <c r="M6327" t="s">
        <v>5471</v>
      </c>
    </row>
    <row r="6328" spans="1:13" x14ac:dyDescent="0.3">
      <c r="A6328" t="s">
        <v>3388</v>
      </c>
      <c r="B6328" t="s">
        <v>18904</v>
      </c>
      <c r="C6328" t="s">
        <v>5470</v>
      </c>
      <c r="D6328" t="s">
        <v>4119</v>
      </c>
      <c r="E6328" t="s">
        <v>5843</v>
      </c>
      <c r="F6328" t="s">
        <v>24123</v>
      </c>
      <c r="G6328" t="s">
        <v>18906</v>
      </c>
      <c r="H6328" t="s">
        <v>5474</v>
      </c>
      <c r="I6328" t="s">
        <v>24124</v>
      </c>
      <c r="J6328" t="s">
        <v>5476</v>
      </c>
      <c r="K6328" t="s">
        <v>24125</v>
      </c>
      <c r="L6328" t="s">
        <v>5471</v>
      </c>
      <c r="M6328" t="s">
        <v>5471</v>
      </c>
    </row>
    <row r="6329" spans="1:13" x14ac:dyDescent="0.3">
      <c r="A6329" t="s">
        <v>3388</v>
      </c>
      <c r="B6329" t="s">
        <v>18904</v>
      </c>
      <c r="C6329" t="s">
        <v>5470</v>
      </c>
      <c r="D6329" t="s">
        <v>4119</v>
      </c>
      <c r="E6329" t="s">
        <v>5843</v>
      </c>
      <c r="F6329" t="s">
        <v>24126</v>
      </c>
      <c r="G6329" t="s">
        <v>18906</v>
      </c>
      <c r="H6329" t="s">
        <v>5474</v>
      </c>
      <c r="I6329" t="s">
        <v>24127</v>
      </c>
      <c r="J6329" t="s">
        <v>5476</v>
      </c>
      <c r="K6329" t="s">
        <v>24128</v>
      </c>
      <c r="L6329" t="s">
        <v>5471</v>
      </c>
      <c r="M6329" t="s">
        <v>5471</v>
      </c>
    </row>
    <row r="6330" spans="1:13" x14ac:dyDescent="0.3">
      <c r="A6330" t="s">
        <v>3388</v>
      </c>
      <c r="B6330" t="s">
        <v>18904</v>
      </c>
      <c r="C6330" t="s">
        <v>5470</v>
      </c>
      <c r="D6330" t="s">
        <v>4119</v>
      </c>
      <c r="E6330" t="s">
        <v>5843</v>
      </c>
      <c r="F6330" t="s">
        <v>24129</v>
      </c>
      <c r="G6330" t="s">
        <v>18906</v>
      </c>
      <c r="H6330" t="s">
        <v>5474</v>
      </c>
      <c r="I6330" t="s">
        <v>24130</v>
      </c>
      <c r="J6330" t="s">
        <v>5476</v>
      </c>
      <c r="K6330" t="s">
        <v>24131</v>
      </c>
      <c r="L6330" t="s">
        <v>5471</v>
      </c>
      <c r="M6330" t="s">
        <v>5471</v>
      </c>
    </row>
    <row r="6331" spans="1:13" x14ac:dyDescent="0.3">
      <c r="A6331" t="s">
        <v>3388</v>
      </c>
      <c r="B6331" t="s">
        <v>18904</v>
      </c>
      <c r="C6331" t="s">
        <v>5470</v>
      </c>
      <c r="D6331" t="s">
        <v>4119</v>
      </c>
      <c r="E6331" t="s">
        <v>5843</v>
      </c>
      <c r="F6331" t="s">
        <v>24132</v>
      </c>
      <c r="G6331" t="s">
        <v>18906</v>
      </c>
      <c r="H6331" t="s">
        <v>5474</v>
      </c>
      <c r="I6331" t="s">
        <v>24133</v>
      </c>
      <c r="J6331" t="s">
        <v>5476</v>
      </c>
      <c r="K6331" t="s">
        <v>24134</v>
      </c>
      <c r="L6331" t="s">
        <v>5471</v>
      </c>
      <c r="M6331" t="s">
        <v>5471</v>
      </c>
    </row>
    <row r="6332" spans="1:13" x14ac:dyDescent="0.3">
      <c r="A6332" t="s">
        <v>3388</v>
      </c>
      <c r="B6332" t="s">
        <v>18904</v>
      </c>
      <c r="C6332" t="s">
        <v>5470</v>
      </c>
      <c r="D6332" t="s">
        <v>4119</v>
      </c>
      <c r="E6332" t="s">
        <v>5843</v>
      </c>
      <c r="F6332" t="s">
        <v>24135</v>
      </c>
      <c r="G6332" t="s">
        <v>18906</v>
      </c>
      <c r="H6332" t="s">
        <v>5474</v>
      </c>
      <c r="I6332" t="s">
        <v>24136</v>
      </c>
      <c r="J6332" t="s">
        <v>5476</v>
      </c>
      <c r="K6332" t="s">
        <v>24137</v>
      </c>
      <c r="L6332" t="s">
        <v>5471</v>
      </c>
      <c r="M6332" t="s">
        <v>5471</v>
      </c>
    </row>
    <row r="6333" spans="1:13" x14ac:dyDescent="0.3">
      <c r="A6333" t="s">
        <v>3388</v>
      </c>
      <c r="B6333" t="s">
        <v>18904</v>
      </c>
      <c r="C6333" t="s">
        <v>5470</v>
      </c>
      <c r="D6333" t="s">
        <v>4119</v>
      </c>
      <c r="E6333" t="s">
        <v>5843</v>
      </c>
      <c r="F6333" t="s">
        <v>24138</v>
      </c>
      <c r="G6333" t="s">
        <v>18906</v>
      </c>
      <c r="H6333" t="s">
        <v>5474</v>
      </c>
      <c r="I6333" t="s">
        <v>24139</v>
      </c>
      <c r="J6333" t="s">
        <v>5476</v>
      </c>
      <c r="K6333" t="s">
        <v>24140</v>
      </c>
      <c r="L6333" t="s">
        <v>5471</v>
      </c>
      <c r="M6333" t="s">
        <v>5471</v>
      </c>
    </row>
    <row r="6334" spans="1:13" x14ac:dyDescent="0.3">
      <c r="A6334" t="s">
        <v>3388</v>
      </c>
      <c r="B6334" t="s">
        <v>18904</v>
      </c>
      <c r="C6334" t="s">
        <v>5470</v>
      </c>
      <c r="D6334" t="s">
        <v>4119</v>
      </c>
      <c r="E6334" t="s">
        <v>5843</v>
      </c>
      <c r="F6334" t="s">
        <v>24141</v>
      </c>
      <c r="G6334" t="s">
        <v>18906</v>
      </c>
      <c r="H6334" t="s">
        <v>5474</v>
      </c>
      <c r="I6334" t="s">
        <v>24142</v>
      </c>
      <c r="J6334" t="s">
        <v>5476</v>
      </c>
      <c r="K6334" t="s">
        <v>24143</v>
      </c>
      <c r="L6334" t="s">
        <v>5471</v>
      </c>
      <c r="M6334" t="s">
        <v>5471</v>
      </c>
    </row>
    <row r="6335" spans="1:13" x14ac:dyDescent="0.3">
      <c r="A6335" t="s">
        <v>3388</v>
      </c>
      <c r="B6335" t="s">
        <v>18904</v>
      </c>
      <c r="C6335" t="s">
        <v>5470</v>
      </c>
      <c r="D6335" t="s">
        <v>4119</v>
      </c>
      <c r="E6335" t="s">
        <v>5843</v>
      </c>
      <c r="F6335" t="s">
        <v>24144</v>
      </c>
      <c r="G6335" t="s">
        <v>18906</v>
      </c>
      <c r="H6335" t="s">
        <v>5474</v>
      </c>
      <c r="I6335" t="s">
        <v>24145</v>
      </c>
      <c r="J6335" t="s">
        <v>5476</v>
      </c>
      <c r="K6335" t="s">
        <v>24146</v>
      </c>
      <c r="L6335" t="s">
        <v>5471</v>
      </c>
      <c r="M6335" t="s">
        <v>5471</v>
      </c>
    </row>
    <row r="6336" spans="1:13" x14ac:dyDescent="0.3">
      <c r="A6336" t="s">
        <v>3388</v>
      </c>
      <c r="B6336" t="s">
        <v>23999</v>
      </c>
      <c r="C6336" t="s">
        <v>5470</v>
      </c>
      <c r="D6336" t="s">
        <v>4119</v>
      </c>
      <c r="E6336" t="s">
        <v>5756</v>
      </c>
      <c r="F6336" t="s">
        <v>24147</v>
      </c>
      <c r="G6336" t="s">
        <v>17601</v>
      </c>
      <c r="H6336" t="s">
        <v>5474</v>
      </c>
      <c r="I6336" t="s">
        <v>24148</v>
      </c>
      <c r="J6336" t="s">
        <v>5476</v>
      </c>
      <c r="K6336" t="s">
        <v>24149</v>
      </c>
      <c r="L6336" t="s">
        <v>5471</v>
      </c>
      <c r="M6336" t="s">
        <v>5471</v>
      </c>
    </row>
    <row r="6337" spans="1:13" x14ac:dyDescent="0.3">
      <c r="A6337" t="s">
        <v>3388</v>
      </c>
      <c r="B6337" t="s">
        <v>10438</v>
      </c>
      <c r="C6337" t="s">
        <v>5470</v>
      </c>
      <c r="D6337" t="s">
        <v>4119</v>
      </c>
      <c r="E6337" t="s">
        <v>5756</v>
      </c>
      <c r="F6337" t="s">
        <v>24150</v>
      </c>
      <c r="G6337" t="s">
        <v>8015</v>
      </c>
      <c r="H6337" t="s">
        <v>5474</v>
      </c>
      <c r="I6337" t="s">
        <v>24151</v>
      </c>
      <c r="J6337" t="s">
        <v>5476</v>
      </c>
      <c r="K6337" t="s">
        <v>24152</v>
      </c>
      <c r="L6337" t="s">
        <v>5471</v>
      </c>
      <c r="M6337" t="s">
        <v>5471</v>
      </c>
    </row>
    <row r="6338" spans="1:13" x14ac:dyDescent="0.3">
      <c r="A6338" t="s">
        <v>3388</v>
      </c>
      <c r="B6338" t="s">
        <v>18660</v>
      </c>
      <c r="C6338" t="s">
        <v>5470</v>
      </c>
      <c r="D6338" t="s">
        <v>4119</v>
      </c>
      <c r="E6338" t="s">
        <v>5756</v>
      </c>
      <c r="F6338" t="s">
        <v>24153</v>
      </c>
      <c r="G6338" t="s">
        <v>18662</v>
      </c>
      <c r="H6338" t="s">
        <v>5474</v>
      </c>
      <c r="I6338" t="s">
        <v>24154</v>
      </c>
      <c r="J6338" t="s">
        <v>5476</v>
      </c>
      <c r="K6338" t="s">
        <v>24155</v>
      </c>
      <c r="L6338" t="s">
        <v>5471</v>
      </c>
      <c r="M6338" t="s">
        <v>5471</v>
      </c>
    </row>
    <row r="6339" spans="1:13" x14ac:dyDescent="0.3">
      <c r="A6339" t="s">
        <v>3388</v>
      </c>
      <c r="B6339" t="s">
        <v>24156</v>
      </c>
      <c r="C6339" t="s">
        <v>5470</v>
      </c>
      <c r="D6339" t="s">
        <v>4119</v>
      </c>
      <c r="E6339" t="s">
        <v>5532</v>
      </c>
      <c r="F6339" t="s">
        <v>24157</v>
      </c>
      <c r="G6339" t="s">
        <v>24158</v>
      </c>
      <c r="H6339" t="s">
        <v>5474</v>
      </c>
      <c r="I6339" t="s">
        <v>24159</v>
      </c>
      <c r="J6339" t="s">
        <v>5476</v>
      </c>
      <c r="K6339" t="s">
        <v>24160</v>
      </c>
      <c r="L6339" t="s">
        <v>5471</v>
      </c>
      <c r="M6339" t="s">
        <v>5471</v>
      </c>
    </row>
    <row r="6340" spans="1:13" x14ac:dyDescent="0.3">
      <c r="A6340" t="s">
        <v>3388</v>
      </c>
      <c r="B6340" t="s">
        <v>24156</v>
      </c>
      <c r="C6340" t="s">
        <v>5470</v>
      </c>
      <c r="D6340" t="s">
        <v>4119</v>
      </c>
      <c r="E6340" t="s">
        <v>5532</v>
      </c>
      <c r="F6340" t="s">
        <v>24161</v>
      </c>
      <c r="G6340" t="s">
        <v>24158</v>
      </c>
      <c r="H6340" t="s">
        <v>5474</v>
      </c>
      <c r="I6340" t="s">
        <v>24162</v>
      </c>
      <c r="J6340" t="s">
        <v>5476</v>
      </c>
      <c r="K6340" t="s">
        <v>24163</v>
      </c>
      <c r="L6340" t="s">
        <v>5471</v>
      </c>
      <c r="M6340" t="s">
        <v>5471</v>
      </c>
    </row>
    <row r="6341" spans="1:13" x14ac:dyDescent="0.3">
      <c r="A6341" t="s">
        <v>3388</v>
      </c>
      <c r="B6341" t="s">
        <v>24156</v>
      </c>
      <c r="C6341" t="s">
        <v>5470</v>
      </c>
      <c r="D6341" t="s">
        <v>4119</v>
      </c>
      <c r="E6341" t="s">
        <v>5532</v>
      </c>
      <c r="F6341" t="s">
        <v>24164</v>
      </c>
      <c r="G6341" t="s">
        <v>24158</v>
      </c>
      <c r="H6341" t="s">
        <v>5474</v>
      </c>
      <c r="I6341" t="s">
        <v>24165</v>
      </c>
      <c r="J6341" t="s">
        <v>5476</v>
      </c>
      <c r="K6341" t="s">
        <v>24166</v>
      </c>
      <c r="L6341" t="s">
        <v>5471</v>
      </c>
      <c r="M6341" t="s">
        <v>5471</v>
      </c>
    </row>
    <row r="6342" spans="1:13" x14ac:dyDescent="0.3">
      <c r="A6342" t="s">
        <v>3388</v>
      </c>
      <c r="B6342" t="s">
        <v>24167</v>
      </c>
      <c r="C6342" t="s">
        <v>5470</v>
      </c>
      <c r="D6342" t="s">
        <v>4119</v>
      </c>
      <c r="E6342" t="s">
        <v>5756</v>
      </c>
      <c r="F6342" t="s">
        <v>24168</v>
      </c>
      <c r="G6342" t="s">
        <v>24169</v>
      </c>
      <c r="H6342" t="s">
        <v>5474</v>
      </c>
      <c r="I6342" t="s">
        <v>24170</v>
      </c>
      <c r="J6342" t="s">
        <v>5476</v>
      </c>
      <c r="K6342" t="s">
        <v>24171</v>
      </c>
      <c r="L6342" t="s">
        <v>5471</v>
      </c>
      <c r="M6342" t="s">
        <v>5471</v>
      </c>
    </row>
    <row r="6343" spans="1:13" x14ac:dyDescent="0.3">
      <c r="A6343" t="s">
        <v>3388</v>
      </c>
      <c r="B6343" t="s">
        <v>18879</v>
      </c>
      <c r="C6343" t="s">
        <v>5470</v>
      </c>
      <c r="D6343" t="s">
        <v>4119</v>
      </c>
      <c r="E6343" t="s">
        <v>5756</v>
      </c>
      <c r="F6343" t="s">
        <v>24172</v>
      </c>
      <c r="G6343" t="s">
        <v>5473</v>
      </c>
      <c r="H6343" t="s">
        <v>5474</v>
      </c>
      <c r="I6343" t="s">
        <v>24173</v>
      </c>
      <c r="J6343" t="s">
        <v>5476</v>
      </c>
      <c r="K6343" t="s">
        <v>24174</v>
      </c>
      <c r="L6343" t="s">
        <v>5471</v>
      </c>
      <c r="M6343" t="s">
        <v>5471</v>
      </c>
    </row>
    <row r="6344" spans="1:13" x14ac:dyDescent="0.3">
      <c r="A6344" t="s">
        <v>3388</v>
      </c>
      <c r="B6344" t="s">
        <v>18879</v>
      </c>
      <c r="C6344" t="s">
        <v>5470</v>
      </c>
      <c r="D6344" t="s">
        <v>4119</v>
      </c>
      <c r="E6344" t="s">
        <v>5756</v>
      </c>
      <c r="F6344" t="s">
        <v>24175</v>
      </c>
      <c r="G6344" t="s">
        <v>5473</v>
      </c>
      <c r="H6344" t="s">
        <v>5474</v>
      </c>
      <c r="I6344" t="s">
        <v>24176</v>
      </c>
      <c r="J6344" t="s">
        <v>5476</v>
      </c>
      <c r="K6344" t="s">
        <v>24177</v>
      </c>
      <c r="L6344" t="s">
        <v>5471</v>
      </c>
      <c r="M6344" t="s">
        <v>5471</v>
      </c>
    </row>
    <row r="6345" spans="1:13" x14ac:dyDescent="0.3">
      <c r="A6345" t="s">
        <v>3388</v>
      </c>
      <c r="B6345" t="s">
        <v>18879</v>
      </c>
      <c r="C6345" t="s">
        <v>5470</v>
      </c>
      <c r="D6345" t="s">
        <v>4119</v>
      </c>
      <c r="E6345" t="s">
        <v>5756</v>
      </c>
      <c r="F6345" t="s">
        <v>24178</v>
      </c>
      <c r="G6345" t="s">
        <v>5473</v>
      </c>
      <c r="H6345" t="s">
        <v>5474</v>
      </c>
      <c r="I6345" t="s">
        <v>24179</v>
      </c>
      <c r="J6345" t="s">
        <v>5476</v>
      </c>
      <c r="K6345" t="s">
        <v>24180</v>
      </c>
      <c r="L6345" t="s">
        <v>5471</v>
      </c>
      <c r="M6345" t="s">
        <v>5471</v>
      </c>
    </row>
    <row r="6346" spans="1:13" x14ac:dyDescent="0.3">
      <c r="A6346" t="s">
        <v>3388</v>
      </c>
      <c r="B6346" t="s">
        <v>18879</v>
      </c>
      <c r="C6346" t="s">
        <v>5470</v>
      </c>
      <c r="D6346" t="s">
        <v>4119</v>
      </c>
      <c r="E6346" t="s">
        <v>5756</v>
      </c>
      <c r="F6346" t="s">
        <v>24181</v>
      </c>
      <c r="G6346" t="s">
        <v>5473</v>
      </c>
      <c r="H6346" t="s">
        <v>5474</v>
      </c>
      <c r="I6346" t="s">
        <v>24182</v>
      </c>
      <c r="J6346" t="s">
        <v>5476</v>
      </c>
      <c r="K6346" t="s">
        <v>24183</v>
      </c>
      <c r="L6346" t="s">
        <v>5471</v>
      </c>
      <c r="M6346" t="s">
        <v>5471</v>
      </c>
    </row>
    <row r="6347" spans="1:13" x14ac:dyDescent="0.3">
      <c r="A6347" t="s">
        <v>3388</v>
      </c>
      <c r="B6347" t="s">
        <v>18879</v>
      </c>
      <c r="C6347" t="s">
        <v>5470</v>
      </c>
      <c r="D6347" t="s">
        <v>4119</v>
      </c>
      <c r="E6347" t="s">
        <v>5756</v>
      </c>
      <c r="F6347" t="s">
        <v>24184</v>
      </c>
      <c r="G6347" t="s">
        <v>5473</v>
      </c>
      <c r="H6347" t="s">
        <v>5474</v>
      </c>
      <c r="I6347" t="s">
        <v>24185</v>
      </c>
      <c r="J6347" t="s">
        <v>5476</v>
      </c>
      <c r="K6347" t="s">
        <v>24186</v>
      </c>
      <c r="L6347" t="s">
        <v>5471</v>
      </c>
      <c r="M6347" t="s">
        <v>5471</v>
      </c>
    </row>
    <row r="6348" spans="1:13" x14ac:dyDescent="0.3">
      <c r="A6348" t="s">
        <v>3388</v>
      </c>
      <c r="B6348" t="s">
        <v>18879</v>
      </c>
      <c r="C6348" t="s">
        <v>5470</v>
      </c>
      <c r="D6348" t="s">
        <v>4119</v>
      </c>
      <c r="E6348" t="s">
        <v>5756</v>
      </c>
      <c r="F6348" t="s">
        <v>24187</v>
      </c>
      <c r="G6348" t="s">
        <v>5473</v>
      </c>
      <c r="H6348" t="s">
        <v>5474</v>
      </c>
      <c r="I6348" t="s">
        <v>24188</v>
      </c>
      <c r="J6348" t="s">
        <v>5476</v>
      </c>
      <c r="K6348" t="s">
        <v>24189</v>
      </c>
      <c r="L6348" t="s">
        <v>5471</v>
      </c>
      <c r="M6348" t="s">
        <v>5471</v>
      </c>
    </row>
    <row r="6349" spans="1:13" x14ac:dyDescent="0.3">
      <c r="A6349" t="s">
        <v>3388</v>
      </c>
      <c r="B6349" t="s">
        <v>18879</v>
      </c>
      <c r="C6349" t="s">
        <v>5470</v>
      </c>
      <c r="D6349" t="s">
        <v>4119</v>
      </c>
      <c r="E6349" t="s">
        <v>5756</v>
      </c>
      <c r="F6349" t="s">
        <v>24190</v>
      </c>
      <c r="G6349" t="s">
        <v>5473</v>
      </c>
      <c r="H6349" t="s">
        <v>5474</v>
      </c>
      <c r="I6349" t="s">
        <v>24191</v>
      </c>
      <c r="J6349" t="s">
        <v>5476</v>
      </c>
      <c r="K6349" t="s">
        <v>24192</v>
      </c>
      <c r="L6349" t="s">
        <v>5471</v>
      </c>
      <c r="M6349" t="s">
        <v>5471</v>
      </c>
    </row>
    <row r="6350" spans="1:13" x14ac:dyDescent="0.3">
      <c r="A6350" t="s">
        <v>3388</v>
      </c>
      <c r="B6350" t="s">
        <v>18879</v>
      </c>
      <c r="C6350" t="s">
        <v>5470</v>
      </c>
      <c r="D6350" t="s">
        <v>4119</v>
      </c>
      <c r="E6350" t="s">
        <v>5756</v>
      </c>
      <c r="F6350" t="s">
        <v>24193</v>
      </c>
      <c r="G6350" t="s">
        <v>5473</v>
      </c>
      <c r="H6350" t="s">
        <v>5474</v>
      </c>
      <c r="I6350" t="s">
        <v>24194</v>
      </c>
      <c r="J6350" t="s">
        <v>5476</v>
      </c>
      <c r="K6350" t="s">
        <v>24195</v>
      </c>
      <c r="L6350" t="s">
        <v>5471</v>
      </c>
      <c r="M6350" t="s">
        <v>5471</v>
      </c>
    </row>
    <row r="6351" spans="1:13" x14ac:dyDescent="0.3">
      <c r="A6351" t="s">
        <v>3388</v>
      </c>
      <c r="B6351" t="s">
        <v>18879</v>
      </c>
      <c r="C6351" t="s">
        <v>5470</v>
      </c>
      <c r="D6351" t="s">
        <v>4119</v>
      </c>
      <c r="E6351" t="s">
        <v>5756</v>
      </c>
      <c r="F6351" t="s">
        <v>24196</v>
      </c>
      <c r="G6351" t="s">
        <v>5473</v>
      </c>
      <c r="H6351" t="s">
        <v>5474</v>
      </c>
      <c r="I6351" t="s">
        <v>24197</v>
      </c>
      <c r="J6351" t="s">
        <v>5476</v>
      </c>
      <c r="K6351" t="s">
        <v>24198</v>
      </c>
      <c r="L6351" t="s">
        <v>5471</v>
      </c>
      <c r="M6351" t="s">
        <v>5471</v>
      </c>
    </row>
    <row r="6352" spans="1:13" x14ac:dyDescent="0.3">
      <c r="A6352" t="s">
        <v>3388</v>
      </c>
      <c r="B6352" t="s">
        <v>10438</v>
      </c>
      <c r="C6352" t="s">
        <v>5470</v>
      </c>
      <c r="D6352" t="s">
        <v>4119</v>
      </c>
      <c r="E6352" t="s">
        <v>5756</v>
      </c>
      <c r="F6352" t="s">
        <v>24199</v>
      </c>
      <c r="G6352" t="s">
        <v>8015</v>
      </c>
      <c r="H6352" t="s">
        <v>5474</v>
      </c>
      <c r="I6352" t="s">
        <v>24200</v>
      </c>
      <c r="J6352" t="s">
        <v>5476</v>
      </c>
      <c r="K6352" t="s">
        <v>24201</v>
      </c>
      <c r="L6352" t="s">
        <v>5471</v>
      </c>
      <c r="M6352" t="s">
        <v>5471</v>
      </c>
    </row>
    <row r="6353" spans="1:13" x14ac:dyDescent="0.3">
      <c r="A6353" t="s">
        <v>3388</v>
      </c>
      <c r="B6353" t="s">
        <v>10438</v>
      </c>
      <c r="C6353" t="s">
        <v>5470</v>
      </c>
      <c r="D6353" t="s">
        <v>4119</v>
      </c>
      <c r="E6353" t="s">
        <v>5756</v>
      </c>
      <c r="F6353" t="s">
        <v>24202</v>
      </c>
      <c r="G6353" t="s">
        <v>8015</v>
      </c>
      <c r="H6353" t="s">
        <v>5474</v>
      </c>
      <c r="I6353" t="s">
        <v>24203</v>
      </c>
      <c r="J6353" t="s">
        <v>5476</v>
      </c>
      <c r="K6353" t="s">
        <v>24204</v>
      </c>
      <c r="L6353" t="s">
        <v>5471</v>
      </c>
      <c r="M6353" t="s">
        <v>5471</v>
      </c>
    </row>
    <row r="6354" spans="1:13" x14ac:dyDescent="0.3">
      <c r="A6354" t="s">
        <v>3388</v>
      </c>
      <c r="B6354" t="s">
        <v>10438</v>
      </c>
      <c r="C6354" t="s">
        <v>5470</v>
      </c>
      <c r="D6354" t="s">
        <v>4119</v>
      </c>
      <c r="E6354" t="s">
        <v>5756</v>
      </c>
      <c r="F6354" t="s">
        <v>24205</v>
      </c>
      <c r="G6354" t="s">
        <v>8015</v>
      </c>
      <c r="H6354" t="s">
        <v>5474</v>
      </c>
      <c r="I6354" t="s">
        <v>24206</v>
      </c>
      <c r="J6354" t="s">
        <v>5476</v>
      </c>
      <c r="K6354" t="s">
        <v>24207</v>
      </c>
      <c r="L6354" t="s">
        <v>5471</v>
      </c>
      <c r="M6354" t="s">
        <v>5471</v>
      </c>
    </row>
    <row r="6355" spans="1:13" x14ac:dyDescent="0.3">
      <c r="A6355" t="s">
        <v>3388</v>
      </c>
      <c r="B6355" t="s">
        <v>10438</v>
      </c>
      <c r="C6355" t="s">
        <v>5470</v>
      </c>
      <c r="D6355" t="s">
        <v>4119</v>
      </c>
      <c r="E6355" t="s">
        <v>5756</v>
      </c>
      <c r="F6355" t="s">
        <v>24208</v>
      </c>
      <c r="G6355" t="s">
        <v>8015</v>
      </c>
      <c r="H6355" t="s">
        <v>5474</v>
      </c>
      <c r="I6355" t="s">
        <v>24209</v>
      </c>
      <c r="J6355" t="s">
        <v>5476</v>
      </c>
      <c r="K6355" t="s">
        <v>24210</v>
      </c>
      <c r="L6355" t="s">
        <v>5471</v>
      </c>
      <c r="M6355" t="s">
        <v>5471</v>
      </c>
    </row>
    <row r="6356" spans="1:13" x14ac:dyDescent="0.3">
      <c r="A6356" t="s">
        <v>3388</v>
      </c>
      <c r="B6356" t="s">
        <v>23899</v>
      </c>
      <c r="C6356" t="s">
        <v>5470</v>
      </c>
      <c r="D6356" t="s">
        <v>4119</v>
      </c>
      <c r="E6356" t="s">
        <v>5532</v>
      </c>
      <c r="F6356" t="s">
        <v>24211</v>
      </c>
      <c r="G6356" t="s">
        <v>23905</v>
      </c>
      <c r="H6356" t="s">
        <v>5474</v>
      </c>
      <c r="I6356" t="s">
        <v>24212</v>
      </c>
      <c r="J6356" t="s">
        <v>5476</v>
      </c>
      <c r="K6356" t="s">
        <v>24213</v>
      </c>
      <c r="L6356" t="s">
        <v>5471</v>
      </c>
      <c r="M6356" t="s">
        <v>5471</v>
      </c>
    </row>
    <row r="6357" spans="1:13" x14ac:dyDescent="0.3">
      <c r="A6357" t="s">
        <v>3388</v>
      </c>
      <c r="B6357" t="s">
        <v>23899</v>
      </c>
      <c r="C6357" t="s">
        <v>5470</v>
      </c>
      <c r="D6357" t="s">
        <v>4119</v>
      </c>
      <c r="E6357" t="s">
        <v>5532</v>
      </c>
      <c r="F6357" t="s">
        <v>24214</v>
      </c>
      <c r="G6357" t="s">
        <v>23905</v>
      </c>
      <c r="H6357" t="s">
        <v>5474</v>
      </c>
      <c r="I6357" t="s">
        <v>24215</v>
      </c>
      <c r="J6357" t="s">
        <v>5476</v>
      </c>
      <c r="K6357" t="s">
        <v>24216</v>
      </c>
      <c r="L6357" t="s">
        <v>5471</v>
      </c>
      <c r="M6357" t="s">
        <v>5471</v>
      </c>
    </row>
    <row r="6358" spans="1:13" x14ac:dyDescent="0.3">
      <c r="A6358" t="s">
        <v>3388</v>
      </c>
      <c r="B6358" t="s">
        <v>23899</v>
      </c>
      <c r="C6358" t="s">
        <v>5470</v>
      </c>
      <c r="D6358" t="s">
        <v>4119</v>
      </c>
      <c r="E6358" t="s">
        <v>5532</v>
      </c>
      <c r="F6358" t="s">
        <v>24217</v>
      </c>
      <c r="G6358" t="s">
        <v>23905</v>
      </c>
      <c r="H6358" t="s">
        <v>5474</v>
      </c>
      <c r="I6358" t="s">
        <v>24218</v>
      </c>
      <c r="J6358" t="s">
        <v>5476</v>
      </c>
      <c r="K6358" t="s">
        <v>24219</v>
      </c>
      <c r="L6358" t="s">
        <v>5471</v>
      </c>
      <c r="M6358" t="s">
        <v>5471</v>
      </c>
    </row>
    <row r="6359" spans="1:13" x14ac:dyDescent="0.3">
      <c r="A6359" t="s">
        <v>3388</v>
      </c>
      <c r="B6359" t="s">
        <v>23899</v>
      </c>
      <c r="C6359" t="s">
        <v>5470</v>
      </c>
      <c r="D6359" t="s">
        <v>4119</v>
      </c>
      <c r="E6359" t="s">
        <v>5532</v>
      </c>
      <c r="F6359" t="s">
        <v>24220</v>
      </c>
      <c r="G6359" t="s">
        <v>23905</v>
      </c>
      <c r="H6359" t="s">
        <v>5474</v>
      </c>
      <c r="I6359" t="s">
        <v>24221</v>
      </c>
      <c r="J6359" t="s">
        <v>5476</v>
      </c>
      <c r="K6359" t="s">
        <v>24222</v>
      </c>
      <c r="L6359" t="s">
        <v>5471</v>
      </c>
      <c r="M6359" t="s">
        <v>5471</v>
      </c>
    </row>
    <row r="6360" spans="1:13" x14ac:dyDescent="0.3">
      <c r="A6360" t="s">
        <v>3388</v>
      </c>
      <c r="B6360" t="s">
        <v>23899</v>
      </c>
      <c r="C6360" t="s">
        <v>5470</v>
      </c>
      <c r="D6360" t="s">
        <v>4119</v>
      </c>
      <c r="E6360" t="s">
        <v>5532</v>
      </c>
      <c r="F6360" t="s">
        <v>24223</v>
      </c>
      <c r="G6360" t="s">
        <v>23905</v>
      </c>
      <c r="H6360" t="s">
        <v>5474</v>
      </c>
      <c r="I6360" t="s">
        <v>24224</v>
      </c>
      <c r="J6360" t="s">
        <v>5476</v>
      </c>
      <c r="K6360" t="s">
        <v>24225</v>
      </c>
      <c r="L6360" t="s">
        <v>5471</v>
      </c>
      <c r="M6360" t="s">
        <v>5471</v>
      </c>
    </row>
    <row r="6361" spans="1:13" x14ac:dyDescent="0.3">
      <c r="A6361" t="s">
        <v>3388</v>
      </c>
      <c r="B6361" t="s">
        <v>23899</v>
      </c>
      <c r="C6361" t="s">
        <v>5470</v>
      </c>
      <c r="D6361" t="s">
        <v>4119</v>
      </c>
      <c r="E6361" t="s">
        <v>5532</v>
      </c>
      <c r="F6361" t="s">
        <v>24226</v>
      </c>
      <c r="G6361" t="s">
        <v>23905</v>
      </c>
      <c r="H6361" t="s">
        <v>5474</v>
      </c>
      <c r="I6361" t="s">
        <v>24227</v>
      </c>
      <c r="J6361" t="s">
        <v>5476</v>
      </c>
      <c r="K6361" t="s">
        <v>24228</v>
      </c>
      <c r="L6361" t="s">
        <v>5471</v>
      </c>
      <c r="M6361" t="s">
        <v>5471</v>
      </c>
    </row>
    <row r="6362" spans="1:13" x14ac:dyDescent="0.3">
      <c r="A6362" t="s">
        <v>3388</v>
      </c>
      <c r="B6362" t="s">
        <v>23899</v>
      </c>
      <c r="C6362" t="s">
        <v>5470</v>
      </c>
      <c r="D6362" t="s">
        <v>4119</v>
      </c>
      <c r="E6362" t="s">
        <v>5532</v>
      </c>
      <c r="F6362" t="s">
        <v>24229</v>
      </c>
      <c r="G6362" t="s">
        <v>23905</v>
      </c>
      <c r="H6362" t="s">
        <v>5474</v>
      </c>
      <c r="I6362" t="s">
        <v>24230</v>
      </c>
      <c r="J6362" t="s">
        <v>5476</v>
      </c>
      <c r="K6362" t="s">
        <v>24231</v>
      </c>
      <c r="L6362" t="s">
        <v>5471</v>
      </c>
      <c r="M6362" t="s">
        <v>5471</v>
      </c>
    </row>
    <row r="6363" spans="1:13" x14ac:dyDescent="0.3">
      <c r="A6363" t="s">
        <v>3388</v>
      </c>
      <c r="B6363" t="s">
        <v>23899</v>
      </c>
      <c r="C6363" t="s">
        <v>5470</v>
      </c>
      <c r="D6363" t="s">
        <v>4119</v>
      </c>
      <c r="E6363" t="s">
        <v>5532</v>
      </c>
      <c r="F6363" t="s">
        <v>24232</v>
      </c>
      <c r="G6363" t="s">
        <v>23905</v>
      </c>
      <c r="H6363" t="s">
        <v>5474</v>
      </c>
      <c r="I6363" t="s">
        <v>24233</v>
      </c>
      <c r="J6363" t="s">
        <v>5476</v>
      </c>
      <c r="K6363" t="s">
        <v>24234</v>
      </c>
      <c r="L6363" t="s">
        <v>5471</v>
      </c>
      <c r="M6363" t="s">
        <v>5471</v>
      </c>
    </row>
    <row r="6364" spans="1:13" x14ac:dyDescent="0.3">
      <c r="A6364" t="s">
        <v>3388</v>
      </c>
      <c r="B6364" t="s">
        <v>23899</v>
      </c>
      <c r="C6364" t="s">
        <v>5470</v>
      </c>
      <c r="D6364" t="s">
        <v>4119</v>
      </c>
      <c r="E6364" t="s">
        <v>5532</v>
      </c>
      <c r="F6364" t="s">
        <v>24235</v>
      </c>
      <c r="G6364" t="s">
        <v>23905</v>
      </c>
      <c r="H6364" t="s">
        <v>5474</v>
      </c>
      <c r="I6364" t="s">
        <v>24236</v>
      </c>
      <c r="J6364" t="s">
        <v>5476</v>
      </c>
      <c r="K6364" t="s">
        <v>24237</v>
      </c>
      <c r="L6364" t="s">
        <v>5471</v>
      </c>
      <c r="M6364" t="s">
        <v>5471</v>
      </c>
    </row>
    <row r="6365" spans="1:13" x14ac:dyDescent="0.3">
      <c r="A6365" t="s">
        <v>3388</v>
      </c>
      <c r="B6365" t="s">
        <v>23899</v>
      </c>
      <c r="C6365" t="s">
        <v>5470</v>
      </c>
      <c r="D6365" t="s">
        <v>4119</v>
      </c>
      <c r="E6365" t="s">
        <v>5532</v>
      </c>
      <c r="F6365" t="s">
        <v>24238</v>
      </c>
      <c r="G6365" t="s">
        <v>23905</v>
      </c>
      <c r="H6365" t="s">
        <v>5474</v>
      </c>
      <c r="I6365" t="s">
        <v>24239</v>
      </c>
      <c r="J6365" t="s">
        <v>5476</v>
      </c>
      <c r="K6365" t="s">
        <v>24240</v>
      </c>
      <c r="L6365" t="s">
        <v>5471</v>
      </c>
      <c r="M6365" t="s">
        <v>5471</v>
      </c>
    </row>
    <row r="6366" spans="1:13" x14ac:dyDescent="0.3">
      <c r="A6366" t="s">
        <v>3388</v>
      </c>
      <c r="B6366" t="s">
        <v>23899</v>
      </c>
      <c r="C6366" t="s">
        <v>5470</v>
      </c>
      <c r="D6366" t="s">
        <v>4119</v>
      </c>
      <c r="E6366" t="s">
        <v>5532</v>
      </c>
      <c r="F6366" t="s">
        <v>24241</v>
      </c>
      <c r="G6366" t="s">
        <v>23905</v>
      </c>
      <c r="H6366" t="s">
        <v>5474</v>
      </c>
      <c r="I6366" t="s">
        <v>24242</v>
      </c>
      <c r="J6366" t="s">
        <v>5476</v>
      </c>
      <c r="K6366" t="s">
        <v>24243</v>
      </c>
      <c r="L6366" t="s">
        <v>5471</v>
      </c>
      <c r="M6366" t="s">
        <v>5471</v>
      </c>
    </row>
    <row r="6367" spans="1:13" x14ac:dyDescent="0.3">
      <c r="A6367" t="s">
        <v>3388</v>
      </c>
      <c r="B6367" t="s">
        <v>23899</v>
      </c>
      <c r="C6367" t="s">
        <v>5470</v>
      </c>
      <c r="D6367" t="s">
        <v>4119</v>
      </c>
      <c r="E6367" t="s">
        <v>5532</v>
      </c>
      <c r="F6367" t="s">
        <v>24244</v>
      </c>
      <c r="G6367" t="s">
        <v>23905</v>
      </c>
      <c r="H6367" t="s">
        <v>5474</v>
      </c>
      <c r="I6367" t="s">
        <v>24245</v>
      </c>
      <c r="J6367" t="s">
        <v>5476</v>
      </c>
      <c r="K6367" t="s">
        <v>24246</v>
      </c>
      <c r="L6367" t="s">
        <v>5471</v>
      </c>
      <c r="M6367" t="s">
        <v>5471</v>
      </c>
    </row>
    <row r="6368" spans="1:13" x14ac:dyDescent="0.3">
      <c r="A6368" t="s">
        <v>3388</v>
      </c>
      <c r="B6368" t="s">
        <v>23899</v>
      </c>
      <c r="C6368" t="s">
        <v>5470</v>
      </c>
      <c r="D6368" t="s">
        <v>4119</v>
      </c>
      <c r="E6368" t="s">
        <v>5532</v>
      </c>
      <c r="F6368" t="s">
        <v>24247</v>
      </c>
      <c r="G6368" t="s">
        <v>23905</v>
      </c>
      <c r="H6368" t="s">
        <v>5474</v>
      </c>
      <c r="I6368" t="s">
        <v>24248</v>
      </c>
      <c r="J6368" t="s">
        <v>5476</v>
      </c>
      <c r="K6368" t="s">
        <v>24249</v>
      </c>
      <c r="L6368" t="s">
        <v>5471</v>
      </c>
      <c r="M6368" t="s">
        <v>5471</v>
      </c>
    </row>
    <row r="6369" spans="1:13" x14ac:dyDescent="0.3">
      <c r="A6369" t="s">
        <v>3388</v>
      </c>
      <c r="B6369" t="s">
        <v>23899</v>
      </c>
      <c r="C6369" t="s">
        <v>5470</v>
      </c>
      <c r="D6369" t="s">
        <v>4119</v>
      </c>
      <c r="E6369" t="s">
        <v>5532</v>
      </c>
      <c r="F6369" t="s">
        <v>24250</v>
      </c>
      <c r="G6369" t="s">
        <v>23905</v>
      </c>
      <c r="H6369" t="s">
        <v>5474</v>
      </c>
      <c r="I6369" t="s">
        <v>24251</v>
      </c>
      <c r="J6369" t="s">
        <v>5476</v>
      </c>
      <c r="K6369" t="s">
        <v>24252</v>
      </c>
      <c r="L6369" t="s">
        <v>5471</v>
      </c>
      <c r="M6369" t="s">
        <v>5471</v>
      </c>
    </row>
    <row r="6370" spans="1:13" x14ac:dyDescent="0.3">
      <c r="A6370" t="s">
        <v>3388</v>
      </c>
      <c r="B6370" t="s">
        <v>24253</v>
      </c>
      <c r="C6370" t="s">
        <v>5470</v>
      </c>
      <c r="D6370" t="s">
        <v>4119</v>
      </c>
      <c r="E6370" t="s">
        <v>5532</v>
      </c>
      <c r="F6370" t="s">
        <v>24254</v>
      </c>
      <c r="G6370" t="s">
        <v>24255</v>
      </c>
      <c r="H6370" t="s">
        <v>5474</v>
      </c>
      <c r="I6370" t="s">
        <v>24256</v>
      </c>
      <c r="J6370" t="s">
        <v>5476</v>
      </c>
      <c r="K6370" t="s">
        <v>24257</v>
      </c>
      <c r="L6370" t="s">
        <v>5471</v>
      </c>
      <c r="M6370" t="s">
        <v>5471</v>
      </c>
    </row>
    <row r="6371" spans="1:13" x14ac:dyDescent="0.3">
      <c r="A6371" t="s">
        <v>3388</v>
      </c>
      <c r="B6371" t="s">
        <v>24253</v>
      </c>
      <c r="C6371" t="s">
        <v>5470</v>
      </c>
      <c r="D6371" t="s">
        <v>4119</v>
      </c>
      <c r="E6371" t="s">
        <v>5532</v>
      </c>
      <c r="F6371" t="s">
        <v>24258</v>
      </c>
      <c r="G6371" t="s">
        <v>24259</v>
      </c>
      <c r="H6371" t="s">
        <v>5474</v>
      </c>
      <c r="I6371" t="s">
        <v>24260</v>
      </c>
      <c r="J6371" t="s">
        <v>5476</v>
      </c>
      <c r="K6371" t="s">
        <v>24261</v>
      </c>
      <c r="L6371" t="s">
        <v>5471</v>
      </c>
      <c r="M6371" t="s">
        <v>5471</v>
      </c>
    </row>
    <row r="6372" spans="1:13" x14ac:dyDescent="0.3">
      <c r="A6372" t="s">
        <v>3388</v>
      </c>
      <c r="B6372" t="s">
        <v>24262</v>
      </c>
      <c r="C6372" t="s">
        <v>5470</v>
      </c>
      <c r="D6372" t="s">
        <v>4119</v>
      </c>
      <c r="E6372" t="s">
        <v>5532</v>
      </c>
      <c r="F6372" t="s">
        <v>24263</v>
      </c>
      <c r="G6372" t="s">
        <v>24264</v>
      </c>
      <c r="H6372" t="s">
        <v>5474</v>
      </c>
      <c r="I6372" t="s">
        <v>24265</v>
      </c>
      <c r="J6372" t="s">
        <v>5476</v>
      </c>
      <c r="K6372" t="s">
        <v>24266</v>
      </c>
      <c r="L6372" t="s">
        <v>5471</v>
      </c>
      <c r="M6372" t="s">
        <v>5471</v>
      </c>
    </row>
    <row r="6373" spans="1:13" x14ac:dyDescent="0.3">
      <c r="A6373" t="s">
        <v>3388</v>
      </c>
      <c r="B6373" t="s">
        <v>24262</v>
      </c>
      <c r="C6373" t="s">
        <v>5470</v>
      </c>
      <c r="D6373" t="s">
        <v>4119</v>
      </c>
      <c r="E6373" t="s">
        <v>5532</v>
      </c>
      <c r="F6373" t="s">
        <v>24267</v>
      </c>
      <c r="G6373" t="s">
        <v>24264</v>
      </c>
      <c r="H6373" t="s">
        <v>5474</v>
      </c>
      <c r="I6373" t="s">
        <v>24268</v>
      </c>
      <c r="J6373" t="s">
        <v>5476</v>
      </c>
      <c r="K6373" t="s">
        <v>24269</v>
      </c>
      <c r="L6373" t="s">
        <v>5471</v>
      </c>
      <c r="M6373" t="s">
        <v>5471</v>
      </c>
    </row>
    <row r="6374" spans="1:13" x14ac:dyDescent="0.3">
      <c r="A6374" t="s">
        <v>3388</v>
      </c>
      <c r="B6374" t="s">
        <v>24262</v>
      </c>
      <c r="C6374" t="s">
        <v>5470</v>
      </c>
      <c r="D6374" t="s">
        <v>4119</v>
      </c>
      <c r="E6374" t="s">
        <v>5532</v>
      </c>
      <c r="F6374" t="s">
        <v>24270</v>
      </c>
      <c r="G6374" t="s">
        <v>24264</v>
      </c>
      <c r="H6374" t="s">
        <v>5474</v>
      </c>
      <c r="I6374" t="s">
        <v>24271</v>
      </c>
      <c r="J6374" t="s">
        <v>5476</v>
      </c>
      <c r="K6374" t="s">
        <v>24272</v>
      </c>
      <c r="L6374" t="s">
        <v>5471</v>
      </c>
      <c r="M6374" t="s">
        <v>5471</v>
      </c>
    </row>
    <row r="6375" spans="1:13" x14ac:dyDescent="0.3">
      <c r="A6375" t="s">
        <v>3388</v>
      </c>
      <c r="B6375" t="s">
        <v>24262</v>
      </c>
      <c r="C6375" t="s">
        <v>5470</v>
      </c>
      <c r="D6375" t="s">
        <v>4119</v>
      </c>
      <c r="E6375" t="s">
        <v>5532</v>
      </c>
      <c r="F6375" t="s">
        <v>24273</v>
      </c>
      <c r="G6375" t="s">
        <v>24264</v>
      </c>
      <c r="H6375" t="s">
        <v>5474</v>
      </c>
      <c r="I6375" t="s">
        <v>24274</v>
      </c>
      <c r="J6375" t="s">
        <v>5476</v>
      </c>
      <c r="K6375" t="s">
        <v>24275</v>
      </c>
      <c r="L6375" t="s">
        <v>5471</v>
      </c>
      <c r="M6375" t="s">
        <v>5471</v>
      </c>
    </row>
    <row r="6376" spans="1:13" x14ac:dyDescent="0.3">
      <c r="A6376" t="s">
        <v>3388</v>
      </c>
      <c r="B6376" t="s">
        <v>24262</v>
      </c>
      <c r="C6376" t="s">
        <v>5470</v>
      </c>
      <c r="D6376" t="s">
        <v>4119</v>
      </c>
      <c r="E6376" t="s">
        <v>5532</v>
      </c>
      <c r="F6376" t="s">
        <v>24276</v>
      </c>
      <c r="G6376" t="s">
        <v>24264</v>
      </c>
      <c r="H6376" t="s">
        <v>5474</v>
      </c>
      <c r="I6376" t="s">
        <v>24277</v>
      </c>
      <c r="J6376" t="s">
        <v>5476</v>
      </c>
      <c r="K6376" t="s">
        <v>24278</v>
      </c>
      <c r="L6376" t="s">
        <v>5471</v>
      </c>
      <c r="M6376" t="s">
        <v>5471</v>
      </c>
    </row>
    <row r="6377" spans="1:13" x14ac:dyDescent="0.3">
      <c r="A6377" t="s">
        <v>3388</v>
      </c>
      <c r="B6377" t="s">
        <v>24262</v>
      </c>
      <c r="C6377" t="s">
        <v>5470</v>
      </c>
      <c r="D6377" t="s">
        <v>4119</v>
      </c>
      <c r="E6377" t="s">
        <v>5532</v>
      </c>
      <c r="F6377" t="s">
        <v>24279</v>
      </c>
      <c r="G6377" t="s">
        <v>24264</v>
      </c>
      <c r="H6377" t="s">
        <v>5474</v>
      </c>
      <c r="I6377" t="s">
        <v>24280</v>
      </c>
      <c r="J6377" t="s">
        <v>5476</v>
      </c>
      <c r="K6377" t="s">
        <v>24281</v>
      </c>
      <c r="L6377" t="s">
        <v>5471</v>
      </c>
      <c r="M6377" t="s">
        <v>5471</v>
      </c>
    </row>
    <row r="6378" spans="1:13" x14ac:dyDescent="0.3">
      <c r="A6378" t="s">
        <v>3388</v>
      </c>
      <c r="B6378" t="s">
        <v>24282</v>
      </c>
      <c r="C6378" t="s">
        <v>5470</v>
      </c>
      <c r="D6378" t="s">
        <v>4119</v>
      </c>
      <c r="E6378" t="s">
        <v>5532</v>
      </c>
      <c r="F6378" t="s">
        <v>24283</v>
      </c>
      <c r="G6378" t="s">
        <v>24284</v>
      </c>
      <c r="H6378" t="s">
        <v>5474</v>
      </c>
      <c r="I6378" t="s">
        <v>24285</v>
      </c>
      <c r="J6378" t="s">
        <v>5476</v>
      </c>
      <c r="K6378" t="s">
        <v>24286</v>
      </c>
      <c r="L6378" t="s">
        <v>5471</v>
      </c>
      <c r="M6378" t="s">
        <v>5471</v>
      </c>
    </row>
    <row r="6379" spans="1:13" x14ac:dyDescent="0.3">
      <c r="A6379" t="s">
        <v>3388</v>
      </c>
      <c r="B6379" t="s">
        <v>24282</v>
      </c>
      <c r="C6379" t="s">
        <v>5470</v>
      </c>
      <c r="D6379" t="s">
        <v>4119</v>
      </c>
      <c r="E6379" t="s">
        <v>5532</v>
      </c>
      <c r="F6379" t="s">
        <v>24287</v>
      </c>
      <c r="G6379" t="s">
        <v>24284</v>
      </c>
      <c r="H6379" t="s">
        <v>5474</v>
      </c>
      <c r="I6379" t="s">
        <v>24288</v>
      </c>
      <c r="J6379" t="s">
        <v>5476</v>
      </c>
      <c r="K6379" t="s">
        <v>24289</v>
      </c>
      <c r="L6379" t="s">
        <v>5471</v>
      </c>
      <c r="M6379" t="s">
        <v>5471</v>
      </c>
    </row>
    <row r="6380" spans="1:13" x14ac:dyDescent="0.3">
      <c r="A6380" t="s">
        <v>3388</v>
      </c>
      <c r="B6380" t="s">
        <v>24282</v>
      </c>
      <c r="C6380" t="s">
        <v>5470</v>
      </c>
      <c r="D6380" t="s">
        <v>4119</v>
      </c>
      <c r="E6380" t="s">
        <v>5532</v>
      </c>
      <c r="F6380" t="s">
        <v>24290</v>
      </c>
      <c r="G6380" t="s">
        <v>24284</v>
      </c>
      <c r="H6380" t="s">
        <v>5474</v>
      </c>
      <c r="I6380" t="s">
        <v>24291</v>
      </c>
      <c r="J6380" t="s">
        <v>5476</v>
      </c>
      <c r="K6380" t="s">
        <v>24292</v>
      </c>
      <c r="L6380" t="s">
        <v>5471</v>
      </c>
      <c r="M6380" t="s">
        <v>5471</v>
      </c>
    </row>
    <row r="6381" spans="1:13" x14ac:dyDescent="0.3">
      <c r="A6381" t="s">
        <v>3388</v>
      </c>
      <c r="B6381" t="s">
        <v>24293</v>
      </c>
      <c r="C6381" t="s">
        <v>5470</v>
      </c>
      <c r="D6381" t="s">
        <v>4119</v>
      </c>
      <c r="E6381" t="s">
        <v>5532</v>
      </c>
      <c r="F6381" t="s">
        <v>24294</v>
      </c>
      <c r="G6381" t="s">
        <v>24295</v>
      </c>
      <c r="H6381" t="s">
        <v>5474</v>
      </c>
      <c r="I6381" t="s">
        <v>24296</v>
      </c>
      <c r="J6381" t="s">
        <v>5476</v>
      </c>
      <c r="K6381" t="s">
        <v>24297</v>
      </c>
      <c r="L6381" t="s">
        <v>5471</v>
      </c>
      <c r="M6381" t="s">
        <v>5471</v>
      </c>
    </row>
    <row r="6382" spans="1:13" x14ac:dyDescent="0.3">
      <c r="A6382" t="s">
        <v>3388</v>
      </c>
      <c r="B6382" t="s">
        <v>24293</v>
      </c>
      <c r="C6382" t="s">
        <v>5470</v>
      </c>
      <c r="D6382" t="s">
        <v>4119</v>
      </c>
      <c r="E6382" t="s">
        <v>5532</v>
      </c>
      <c r="F6382" t="s">
        <v>24298</v>
      </c>
      <c r="G6382" t="s">
        <v>24295</v>
      </c>
      <c r="H6382" t="s">
        <v>5474</v>
      </c>
      <c r="I6382" t="s">
        <v>24299</v>
      </c>
      <c r="J6382" t="s">
        <v>5476</v>
      </c>
      <c r="K6382" t="s">
        <v>24300</v>
      </c>
      <c r="L6382" t="s">
        <v>5471</v>
      </c>
      <c r="M6382" t="s">
        <v>5471</v>
      </c>
    </row>
    <row r="6383" spans="1:13" x14ac:dyDescent="0.3">
      <c r="A6383" t="s">
        <v>3388</v>
      </c>
      <c r="B6383" t="s">
        <v>24293</v>
      </c>
      <c r="C6383" t="s">
        <v>5470</v>
      </c>
      <c r="D6383" t="s">
        <v>4119</v>
      </c>
      <c r="E6383" t="s">
        <v>5532</v>
      </c>
      <c r="F6383" t="s">
        <v>24301</v>
      </c>
      <c r="G6383" t="s">
        <v>24295</v>
      </c>
      <c r="H6383" t="s">
        <v>5474</v>
      </c>
      <c r="I6383" t="s">
        <v>24302</v>
      </c>
      <c r="J6383" t="s">
        <v>5476</v>
      </c>
      <c r="K6383" t="s">
        <v>24303</v>
      </c>
      <c r="L6383" t="s">
        <v>5471</v>
      </c>
      <c r="M6383" t="s">
        <v>5471</v>
      </c>
    </row>
    <row r="6384" spans="1:13" x14ac:dyDescent="0.3">
      <c r="A6384" t="s">
        <v>3388</v>
      </c>
      <c r="B6384" t="s">
        <v>24293</v>
      </c>
      <c r="C6384" t="s">
        <v>5470</v>
      </c>
      <c r="D6384" t="s">
        <v>4119</v>
      </c>
      <c r="E6384" t="s">
        <v>5532</v>
      </c>
      <c r="F6384" t="s">
        <v>24304</v>
      </c>
      <c r="G6384" t="s">
        <v>24295</v>
      </c>
      <c r="H6384" t="s">
        <v>5474</v>
      </c>
      <c r="I6384" t="s">
        <v>24305</v>
      </c>
      <c r="J6384" t="s">
        <v>5476</v>
      </c>
      <c r="K6384" t="s">
        <v>24306</v>
      </c>
      <c r="L6384" t="s">
        <v>5471</v>
      </c>
      <c r="M6384" t="s">
        <v>5471</v>
      </c>
    </row>
    <row r="6385" spans="1:13" x14ac:dyDescent="0.3">
      <c r="A6385" t="s">
        <v>3388</v>
      </c>
      <c r="B6385" t="s">
        <v>24307</v>
      </c>
      <c r="C6385" t="s">
        <v>5470</v>
      </c>
      <c r="D6385" t="s">
        <v>4119</v>
      </c>
      <c r="E6385" t="s">
        <v>5532</v>
      </c>
      <c r="F6385" t="s">
        <v>24308</v>
      </c>
      <c r="G6385" t="s">
        <v>24309</v>
      </c>
      <c r="H6385" t="s">
        <v>5474</v>
      </c>
      <c r="I6385" t="s">
        <v>24310</v>
      </c>
      <c r="J6385" t="s">
        <v>5476</v>
      </c>
      <c r="K6385" t="s">
        <v>24311</v>
      </c>
      <c r="L6385" t="s">
        <v>5471</v>
      </c>
      <c r="M6385" t="s">
        <v>5471</v>
      </c>
    </row>
    <row r="6386" spans="1:13" x14ac:dyDescent="0.3">
      <c r="A6386" t="s">
        <v>3388</v>
      </c>
      <c r="B6386" t="s">
        <v>24307</v>
      </c>
      <c r="C6386" t="s">
        <v>5470</v>
      </c>
      <c r="D6386" t="s">
        <v>4119</v>
      </c>
      <c r="E6386" t="s">
        <v>5532</v>
      </c>
      <c r="F6386" t="s">
        <v>24312</v>
      </c>
      <c r="G6386" t="s">
        <v>24309</v>
      </c>
      <c r="H6386" t="s">
        <v>5474</v>
      </c>
      <c r="I6386" t="s">
        <v>24313</v>
      </c>
      <c r="J6386" t="s">
        <v>5476</v>
      </c>
      <c r="K6386" t="s">
        <v>24314</v>
      </c>
      <c r="L6386" t="s">
        <v>5471</v>
      </c>
      <c r="M6386" t="s">
        <v>5471</v>
      </c>
    </row>
    <row r="6387" spans="1:13" x14ac:dyDescent="0.3">
      <c r="A6387" t="s">
        <v>3388</v>
      </c>
      <c r="B6387" t="s">
        <v>24307</v>
      </c>
      <c r="C6387" t="s">
        <v>5470</v>
      </c>
      <c r="D6387" t="s">
        <v>4119</v>
      </c>
      <c r="E6387" t="s">
        <v>5532</v>
      </c>
      <c r="F6387" t="s">
        <v>24315</v>
      </c>
      <c r="G6387" t="s">
        <v>24309</v>
      </c>
      <c r="H6387" t="s">
        <v>5474</v>
      </c>
      <c r="I6387" t="s">
        <v>24316</v>
      </c>
      <c r="J6387" t="s">
        <v>5476</v>
      </c>
      <c r="K6387" t="s">
        <v>24317</v>
      </c>
      <c r="L6387" t="s">
        <v>5471</v>
      </c>
      <c r="M6387" t="s">
        <v>5471</v>
      </c>
    </row>
    <row r="6388" spans="1:13" x14ac:dyDescent="0.3">
      <c r="A6388" t="s">
        <v>3388</v>
      </c>
      <c r="B6388" t="s">
        <v>18813</v>
      </c>
      <c r="C6388" t="s">
        <v>5470</v>
      </c>
      <c r="D6388" t="s">
        <v>4119</v>
      </c>
      <c r="E6388" t="s">
        <v>5532</v>
      </c>
      <c r="F6388" t="s">
        <v>24318</v>
      </c>
      <c r="G6388" t="s">
        <v>18815</v>
      </c>
      <c r="H6388" t="s">
        <v>5474</v>
      </c>
      <c r="I6388" t="s">
        <v>24319</v>
      </c>
      <c r="J6388" t="s">
        <v>5476</v>
      </c>
      <c r="K6388" t="s">
        <v>24320</v>
      </c>
      <c r="L6388" t="s">
        <v>5471</v>
      </c>
      <c r="M6388" t="s">
        <v>5471</v>
      </c>
    </row>
    <row r="6389" spans="1:13" x14ac:dyDescent="0.3">
      <c r="A6389" t="s">
        <v>3388</v>
      </c>
      <c r="B6389" t="s">
        <v>23735</v>
      </c>
      <c r="C6389" t="s">
        <v>5470</v>
      </c>
      <c r="D6389" t="s">
        <v>4119</v>
      </c>
      <c r="E6389" t="s">
        <v>5532</v>
      </c>
      <c r="F6389" t="s">
        <v>24321</v>
      </c>
      <c r="G6389" t="s">
        <v>23737</v>
      </c>
      <c r="H6389" t="s">
        <v>5474</v>
      </c>
      <c r="I6389" t="s">
        <v>24322</v>
      </c>
      <c r="J6389" t="s">
        <v>5476</v>
      </c>
      <c r="K6389" t="s">
        <v>24323</v>
      </c>
      <c r="L6389" t="s">
        <v>5471</v>
      </c>
      <c r="M6389" t="s">
        <v>5471</v>
      </c>
    </row>
    <row r="6390" spans="1:13" x14ac:dyDescent="0.3">
      <c r="A6390" t="s">
        <v>3388</v>
      </c>
      <c r="B6390" t="s">
        <v>23640</v>
      </c>
      <c r="C6390" t="s">
        <v>5470</v>
      </c>
      <c r="D6390" t="s">
        <v>4119</v>
      </c>
      <c r="E6390" t="s">
        <v>5532</v>
      </c>
      <c r="F6390" t="s">
        <v>24324</v>
      </c>
      <c r="G6390" t="s">
        <v>23642</v>
      </c>
      <c r="H6390" t="s">
        <v>5474</v>
      </c>
      <c r="I6390" t="s">
        <v>24325</v>
      </c>
      <c r="J6390" t="s">
        <v>5476</v>
      </c>
      <c r="K6390" t="s">
        <v>24326</v>
      </c>
      <c r="L6390" t="s">
        <v>5471</v>
      </c>
      <c r="M6390" t="s">
        <v>5471</v>
      </c>
    </row>
    <row r="6391" spans="1:13" x14ac:dyDescent="0.3">
      <c r="A6391" t="s">
        <v>3388</v>
      </c>
      <c r="B6391" t="s">
        <v>18470</v>
      </c>
      <c r="C6391" t="s">
        <v>5470</v>
      </c>
      <c r="D6391" t="s">
        <v>4119</v>
      </c>
      <c r="E6391" t="s">
        <v>5532</v>
      </c>
      <c r="F6391" t="s">
        <v>24327</v>
      </c>
      <c r="G6391" t="s">
        <v>18472</v>
      </c>
      <c r="H6391" t="s">
        <v>5474</v>
      </c>
      <c r="I6391" t="s">
        <v>24328</v>
      </c>
      <c r="J6391" t="s">
        <v>5476</v>
      </c>
      <c r="K6391" t="s">
        <v>24329</v>
      </c>
      <c r="L6391" t="s">
        <v>5471</v>
      </c>
      <c r="M6391" t="s">
        <v>5471</v>
      </c>
    </row>
    <row r="6392" spans="1:13" x14ac:dyDescent="0.3">
      <c r="A6392" t="s">
        <v>3388</v>
      </c>
      <c r="B6392" t="s">
        <v>24330</v>
      </c>
      <c r="C6392" t="s">
        <v>5470</v>
      </c>
      <c r="D6392" t="s">
        <v>4119</v>
      </c>
      <c r="E6392" t="s">
        <v>5532</v>
      </c>
      <c r="F6392" t="s">
        <v>24331</v>
      </c>
      <c r="G6392" t="s">
        <v>24332</v>
      </c>
      <c r="H6392" t="s">
        <v>5474</v>
      </c>
      <c r="I6392" t="s">
        <v>24333</v>
      </c>
      <c r="J6392" t="s">
        <v>5476</v>
      </c>
      <c r="K6392" t="s">
        <v>24334</v>
      </c>
      <c r="L6392" t="s">
        <v>5471</v>
      </c>
      <c r="M6392" t="s">
        <v>5471</v>
      </c>
    </row>
    <row r="6393" spans="1:13" x14ac:dyDescent="0.3">
      <c r="A6393" t="s">
        <v>3388</v>
      </c>
      <c r="B6393" t="s">
        <v>24335</v>
      </c>
      <c r="C6393" t="s">
        <v>5470</v>
      </c>
      <c r="D6393" t="s">
        <v>4119</v>
      </c>
      <c r="E6393" t="s">
        <v>5532</v>
      </c>
      <c r="F6393" t="s">
        <v>24336</v>
      </c>
      <c r="G6393" t="s">
        <v>24337</v>
      </c>
      <c r="H6393" t="s">
        <v>5474</v>
      </c>
      <c r="I6393" t="s">
        <v>24338</v>
      </c>
      <c r="J6393" t="s">
        <v>5476</v>
      </c>
      <c r="K6393" t="s">
        <v>24339</v>
      </c>
      <c r="L6393" t="s">
        <v>5471</v>
      </c>
      <c r="M6393" t="s">
        <v>5471</v>
      </c>
    </row>
    <row r="6394" spans="1:13" x14ac:dyDescent="0.3">
      <c r="A6394" t="s">
        <v>3388</v>
      </c>
      <c r="B6394" t="s">
        <v>18017</v>
      </c>
      <c r="C6394" t="s">
        <v>5470</v>
      </c>
      <c r="D6394" t="s">
        <v>4119</v>
      </c>
      <c r="E6394" t="s">
        <v>5532</v>
      </c>
      <c r="F6394" t="s">
        <v>24340</v>
      </c>
      <c r="G6394" t="s">
        <v>18019</v>
      </c>
      <c r="H6394" t="s">
        <v>5474</v>
      </c>
      <c r="I6394" t="s">
        <v>24341</v>
      </c>
      <c r="J6394" t="s">
        <v>5476</v>
      </c>
      <c r="K6394" t="s">
        <v>24342</v>
      </c>
      <c r="L6394" t="s">
        <v>5471</v>
      </c>
      <c r="M6394" t="s">
        <v>5471</v>
      </c>
    </row>
    <row r="6395" spans="1:13" x14ac:dyDescent="0.3">
      <c r="A6395" t="s">
        <v>3388</v>
      </c>
      <c r="B6395" t="s">
        <v>18054</v>
      </c>
      <c r="C6395" t="s">
        <v>5470</v>
      </c>
      <c r="D6395" t="s">
        <v>4119</v>
      </c>
      <c r="E6395" t="s">
        <v>5532</v>
      </c>
      <c r="F6395" t="s">
        <v>24343</v>
      </c>
      <c r="G6395" t="s">
        <v>18056</v>
      </c>
      <c r="H6395" t="s">
        <v>5474</v>
      </c>
      <c r="I6395" t="s">
        <v>24344</v>
      </c>
      <c r="J6395" t="s">
        <v>5476</v>
      </c>
      <c r="K6395" t="s">
        <v>24345</v>
      </c>
      <c r="L6395" t="s">
        <v>5471</v>
      </c>
      <c r="M6395" t="s">
        <v>5471</v>
      </c>
    </row>
    <row r="6396" spans="1:13" x14ac:dyDescent="0.3">
      <c r="A6396" t="s">
        <v>3388</v>
      </c>
      <c r="B6396" t="s">
        <v>24346</v>
      </c>
      <c r="C6396" t="s">
        <v>5470</v>
      </c>
      <c r="D6396" t="s">
        <v>4119</v>
      </c>
      <c r="E6396" t="s">
        <v>5532</v>
      </c>
      <c r="F6396" t="s">
        <v>24347</v>
      </c>
      <c r="G6396" t="s">
        <v>24348</v>
      </c>
      <c r="H6396" t="s">
        <v>5474</v>
      </c>
      <c r="I6396" t="s">
        <v>24349</v>
      </c>
      <c r="J6396" t="s">
        <v>5476</v>
      </c>
      <c r="K6396" t="s">
        <v>24350</v>
      </c>
      <c r="L6396" t="s">
        <v>5471</v>
      </c>
      <c r="M6396" t="s">
        <v>5471</v>
      </c>
    </row>
    <row r="6397" spans="1:13" x14ac:dyDescent="0.3">
      <c r="A6397" t="s">
        <v>3388</v>
      </c>
      <c r="B6397" t="s">
        <v>24351</v>
      </c>
      <c r="C6397" t="s">
        <v>5470</v>
      </c>
      <c r="D6397" t="s">
        <v>4119</v>
      </c>
      <c r="E6397" t="s">
        <v>5532</v>
      </c>
      <c r="F6397" t="s">
        <v>24352</v>
      </c>
      <c r="G6397" t="s">
        <v>24353</v>
      </c>
      <c r="H6397" t="s">
        <v>5474</v>
      </c>
      <c r="I6397" t="s">
        <v>24354</v>
      </c>
      <c r="J6397" t="s">
        <v>5476</v>
      </c>
      <c r="K6397" t="s">
        <v>24355</v>
      </c>
      <c r="L6397" t="s">
        <v>5471</v>
      </c>
      <c r="M6397" t="s">
        <v>5471</v>
      </c>
    </row>
    <row r="6398" spans="1:13" x14ac:dyDescent="0.3">
      <c r="A6398" t="s">
        <v>3388</v>
      </c>
      <c r="B6398" t="s">
        <v>18040</v>
      </c>
      <c r="C6398" t="s">
        <v>5470</v>
      </c>
      <c r="D6398" t="s">
        <v>4119</v>
      </c>
      <c r="E6398" t="s">
        <v>5532</v>
      </c>
      <c r="F6398" t="s">
        <v>24356</v>
      </c>
      <c r="G6398" t="s">
        <v>18042</v>
      </c>
      <c r="H6398" t="s">
        <v>5474</v>
      </c>
      <c r="I6398" t="s">
        <v>24357</v>
      </c>
      <c r="J6398" t="s">
        <v>5476</v>
      </c>
      <c r="K6398" t="s">
        <v>24358</v>
      </c>
      <c r="L6398" t="s">
        <v>5471</v>
      </c>
      <c r="M6398" t="s">
        <v>5471</v>
      </c>
    </row>
    <row r="6399" spans="1:13" x14ac:dyDescent="0.3">
      <c r="A6399" t="s">
        <v>3388</v>
      </c>
      <c r="B6399" t="s">
        <v>20437</v>
      </c>
      <c r="C6399" t="s">
        <v>5470</v>
      </c>
      <c r="D6399" t="s">
        <v>4119</v>
      </c>
      <c r="E6399" t="s">
        <v>5532</v>
      </c>
      <c r="F6399" t="s">
        <v>24359</v>
      </c>
      <c r="G6399" t="s">
        <v>20194</v>
      </c>
      <c r="H6399" t="s">
        <v>5474</v>
      </c>
      <c r="I6399" t="s">
        <v>24360</v>
      </c>
      <c r="J6399" t="s">
        <v>5476</v>
      </c>
      <c r="K6399" t="s">
        <v>24361</v>
      </c>
      <c r="L6399" t="s">
        <v>5471</v>
      </c>
      <c r="M6399" t="s">
        <v>5471</v>
      </c>
    </row>
    <row r="6400" spans="1:13" x14ac:dyDescent="0.3">
      <c r="A6400" t="s">
        <v>3388</v>
      </c>
      <c r="B6400" t="s">
        <v>24362</v>
      </c>
      <c r="C6400" t="s">
        <v>5470</v>
      </c>
      <c r="D6400" t="s">
        <v>4119</v>
      </c>
      <c r="E6400" t="s">
        <v>5532</v>
      </c>
      <c r="F6400" t="s">
        <v>24363</v>
      </c>
      <c r="G6400" t="s">
        <v>24364</v>
      </c>
      <c r="H6400" t="s">
        <v>5474</v>
      </c>
      <c r="I6400" t="s">
        <v>24365</v>
      </c>
      <c r="J6400" t="s">
        <v>5476</v>
      </c>
      <c r="K6400" t="s">
        <v>24366</v>
      </c>
      <c r="L6400" t="s">
        <v>5471</v>
      </c>
      <c r="M6400" t="s">
        <v>5471</v>
      </c>
    </row>
    <row r="6401" spans="1:13" x14ac:dyDescent="0.3">
      <c r="A6401" t="s">
        <v>3388</v>
      </c>
      <c r="B6401" t="s">
        <v>10496</v>
      </c>
      <c r="C6401" t="s">
        <v>5470</v>
      </c>
      <c r="D6401" t="s">
        <v>4119</v>
      </c>
      <c r="E6401" t="s">
        <v>5532</v>
      </c>
      <c r="F6401" t="s">
        <v>24367</v>
      </c>
      <c r="G6401" t="s">
        <v>10498</v>
      </c>
      <c r="H6401" t="s">
        <v>5474</v>
      </c>
      <c r="I6401" t="s">
        <v>24368</v>
      </c>
      <c r="J6401" t="s">
        <v>5476</v>
      </c>
      <c r="K6401" t="s">
        <v>24369</v>
      </c>
      <c r="L6401" t="s">
        <v>5471</v>
      </c>
      <c r="M6401" t="s">
        <v>5471</v>
      </c>
    </row>
    <row r="6402" spans="1:13" x14ac:dyDescent="0.3">
      <c r="A6402" t="s">
        <v>3388</v>
      </c>
      <c r="B6402" t="s">
        <v>24370</v>
      </c>
      <c r="C6402" t="s">
        <v>5470</v>
      </c>
      <c r="D6402" t="s">
        <v>4119</v>
      </c>
      <c r="E6402" t="s">
        <v>5532</v>
      </c>
      <c r="F6402" t="s">
        <v>24371</v>
      </c>
      <c r="G6402" t="s">
        <v>24372</v>
      </c>
      <c r="H6402" t="s">
        <v>5474</v>
      </c>
      <c r="I6402" t="s">
        <v>24373</v>
      </c>
      <c r="J6402" t="s">
        <v>5476</v>
      </c>
      <c r="K6402" t="s">
        <v>24374</v>
      </c>
      <c r="L6402" t="s">
        <v>5471</v>
      </c>
      <c r="M6402" t="s">
        <v>5471</v>
      </c>
    </row>
    <row r="6403" spans="1:13" x14ac:dyDescent="0.3">
      <c r="A6403" t="s">
        <v>3388</v>
      </c>
      <c r="B6403" t="s">
        <v>24375</v>
      </c>
      <c r="C6403" t="s">
        <v>5470</v>
      </c>
      <c r="D6403" t="s">
        <v>4119</v>
      </c>
      <c r="E6403" t="s">
        <v>5532</v>
      </c>
      <c r="F6403" t="s">
        <v>24376</v>
      </c>
      <c r="G6403" t="s">
        <v>24377</v>
      </c>
      <c r="H6403" t="s">
        <v>5474</v>
      </c>
      <c r="I6403" t="s">
        <v>24378</v>
      </c>
      <c r="J6403" t="s">
        <v>5476</v>
      </c>
      <c r="K6403" t="s">
        <v>24379</v>
      </c>
      <c r="L6403" t="s">
        <v>5471</v>
      </c>
      <c r="M6403" t="s">
        <v>5471</v>
      </c>
    </row>
    <row r="6404" spans="1:13" x14ac:dyDescent="0.3">
      <c r="A6404" t="s">
        <v>3388</v>
      </c>
      <c r="B6404" t="s">
        <v>10421</v>
      </c>
      <c r="C6404" t="s">
        <v>5470</v>
      </c>
      <c r="D6404" t="s">
        <v>4119</v>
      </c>
      <c r="E6404" t="s">
        <v>5532</v>
      </c>
      <c r="F6404" t="s">
        <v>24380</v>
      </c>
      <c r="G6404" t="s">
        <v>10423</v>
      </c>
      <c r="H6404" t="s">
        <v>5474</v>
      </c>
      <c r="I6404" t="s">
        <v>24381</v>
      </c>
      <c r="J6404" t="s">
        <v>5476</v>
      </c>
      <c r="K6404" t="s">
        <v>24382</v>
      </c>
      <c r="L6404" t="s">
        <v>5471</v>
      </c>
      <c r="M6404" t="s">
        <v>5471</v>
      </c>
    </row>
    <row r="6405" spans="1:13" x14ac:dyDescent="0.3">
      <c r="A6405" t="s">
        <v>3388</v>
      </c>
      <c r="B6405" t="s">
        <v>24383</v>
      </c>
      <c r="C6405" t="s">
        <v>5470</v>
      </c>
      <c r="D6405" t="s">
        <v>4119</v>
      </c>
      <c r="E6405" t="s">
        <v>5532</v>
      </c>
      <c r="F6405" t="s">
        <v>24384</v>
      </c>
      <c r="G6405" t="s">
        <v>24385</v>
      </c>
      <c r="H6405" t="s">
        <v>5474</v>
      </c>
      <c r="I6405" t="s">
        <v>24386</v>
      </c>
      <c r="J6405" t="s">
        <v>5476</v>
      </c>
      <c r="K6405" t="s">
        <v>24387</v>
      </c>
      <c r="L6405" t="s">
        <v>5471</v>
      </c>
      <c r="M6405" t="s">
        <v>5471</v>
      </c>
    </row>
    <row r="6406" spans="1:13" x14ac:dyDescent="0.3">
      <c r="A6406" t="s">
        <v>3388</v>
      </c>
      <c r="B6406" t="s">
        <v>24388</v>
      </c>
      <c r="C6406" t="s">
        <v>5470</v>
      </c>
      <c r="D6406" t="s">
        <v>4119</v>
      </c>
      <c r="E6406" t="s">
        <v>5532</v>
      </c>
      <c r="F6406" t="s">
        <v>24389</v>
      </c>
      <c r="G6406" t="s">
        <v>24390</v>
      </c>
      <c r="H6406" t="s">
        <v>5474</v>
      </c>
      <c r="I6406" t="s">
        <v>24391</v>
      </c>
      <c r="J6406" t="s">
        <v>5476</v>
      </c>
      <c r="K6406" t="s">
        <v>24392</v>
      </c>
      <c r="L6406" t="s">
        <v>5471</v>
      </c>
      <c r="M6406" t="s">
        <v>5471</v>
      </c>
    </row>
    <row r="6407" spans="1:13" x14ac:dyDescent="0.3">
      <c r="A6407" t="s">
        <v>3388</v>
      </c>
      <c r="B6407" t="s">
        <v>24388</v>
      </c>
      <c r="C6407" t="s">
        <v>5470</v>
      </c>
      <c r="D6407" t="s">
        <v>4119</v>
      </c>
      <c r="E6407" t="s">
        <v>5532</v>
      </c>
      <c r="F6407" t="s">
        <v>24393</v>
      </c>
      <c r="G6407" t="s">
        <v>24394</v>
      </c>
      <c r="H6407" t="s">
        <v>5474</v>
      </c>
      <c r="I6407" t="s">
        <v>24395</v>
      </c>
      <c r="J6407" t="s">
        <v>5476</v>
      </c>
      <c r="K6407" t="s">
        <v>24396</v>
      </c>
      <c r="L6407" t="s">
        <v>5471</v>
      </c>
      <c r="M6407" t="s">
        <v>5471</v>
      </c>
    </row>
    <row r="6408" spans="1:13" x14ac:dyDescent="0.3">
      <c r="A6408" t="s">
        <v>3388</v>
      </c>
      <c r="B6408" t="s">
        <v>24375</v>
      </c>
      <c r="C6408" t="s">
        <v>5470</v>
      </c>
      <c r="D6408" t="s">
        <v>4119</v>
      </c>
      <c r="E6408" t="s">
        <v>5532</v>
      </c>
      <c r="F6408" t="s">
        <v>24397</v>
      </c>
      <c r="G6408" t="s">
        <v>24377</v>
      </c>
      <c r="H6408" t="s">
        <v>5474</v>
      </c>
      <c r="I6408" t="s">
        <v>24398</v>
      </c>
      <c r="J6408" t="s">
        <v>5476</v>
      </c>
      <c r="K6408" t="s">
        <v>24399</v>
      </c>
      <c r="L6408" t="s">
        <v>5471</v>
      </c>
      <c r="M6408" t="s">
        <v>5471</v>
      </c>
    </row>
    <row r="6409" spans="1:13" x14ac:dyDescent="0.3">
      <c r="A6409" t="s">
        <v>3388</v>
      </c>
      <c r="B6409" t="s">
        <v>24375</v>
      </c>
      <c r="C6409" t="s">
        <v>5470</v>
      </c>
      <c r="D6409" t="s">
        <v>4119</v>
      </c>
      <c r="E6409" t="s">
        <v>5532</v>
      </c>
      <c r="F6409" t="s">
        <v>24400</v>
      </c>
      <c r="G6409" t="s">
        <v>24377</v>
      </c>
      <c r="H6409" t="s">
        <v>5474</v>
      </c>
      <c r="I6409" t="s">
        <v>24401</v>
      </c>
      <c r="J6409" t="s">
        <v>5476</v>
      </c>
      <c r="K6409" t="s">
        <v>24402</v>
      </c>
      <c r="L6409" t="s">
        <v>5471</v>
      </c>
      <c r="M6409" t="s">
        <v>5471</v>
      </c>
    </row>
    <row r="6410" spans="1:13" x14ac:dyDescent="0.3">
      <c r="A6410" t="s">
        <v>3388</v>
      </c>
      <c r="B6410" t="s">
        <v>24375</v>
      </c>
      <c r="C6410" t="s">
        <v>5470</v>
      </c>
      <c r="D6410" t="s">
        <v>4119</v>
      </c>
      <c r="E6410" t="s">
        <v>5532</v>
      </c>
      <c r="F6410" t="s">
        <v>24403</v>
      </c>
      <c r="G6410" t="s">
        <v>24377</v>
      </c>
      <c r="H6410" t="s">
        <v>5474</v>
      </c>
      <c r="I6410" t="s">
        <v>24404</v>
      </c>
      <c r="J6410" t="s">
        <v>5476</v>
      </c>
      <c r="K6410" t="s">
        <v>24405</v>
      </c>
      <c r="L6410" t="s">
        <v>5471</v>
      </c>
      <c r="M6410" t="s">
        <v>5471</v>
      </c>
    </row>
    <row r="6411" spans="1:13" x14ac:dyDescent="0.3">
      <c r="A6411" t="s">
        <v>3388</v>
      </c>
      <c r="B6411" t="s">
        <v>10421</v>
      </c>
      <c r="C6411" t="s">
        <v>5470</v>
      </c>
      <c r="D6411" t="s">
        <v>4119</v>
      </c>
      <c r="E6411" t="s">
        <v>5532</v>
      </c>
      <c r="F6411" t="s">
        <v>24406</v>
      </c>
      <c r="G6411" t="s">
        <v>10423</v>
      </c>
      <c r="H6411" t="s">
        <v>5474</v>
      </c>
      <c r="I6411" t="s">
        <v>24407</v>
      </c>
      <c r="J6411" t="s">
        <v>5476</v>
      </c>
      <c r="K6411" t="s">
        <v>24408</v>
      </c>
      <c r="L6411" t="s">
        <v>5471</v>
      </c>
      <c r="M6411" t="s">
        <v>5471</v>
      </c>
    </row>
    <row r="6412" spans="1:13" x14ac:dyDescent="0.3">
      <c r="A6412" t="s">
        <v>3388</v>
      </c>
      <c r="B6412" t="s">
        <v>10421</v>
      </c>
      <c r="C6412" t="s">
        <v>5470</v>
      </c>
      <c r="D6412" t="s">
        <v>4119</v>
      </c>
      <c r="E6412" t="s">
        <v>5532</v>
      </c>
      <c r="F6412" t="s">
        <v>24409</v>
      </c>
      <c r="G6412" t="s">
        <v>10423</v>
      </c>
      <c r="H6412" t="s">
        <v>5474</v>
      </c>
      <c r="I6412" t="s">
        <v>24410</v>
      </c>
      <c r="J6412" t="s">
        <v>5476</v>
      </c>
      <c r="K6412" t="s">
        <v>24411</v>
      </c>
      <c r="L6412" t="s">
        <v>5471</v>
      </c>
      <c r="M6412" t="s">
        <v>5471</v>
      </c>
    </row>
    <row r="6413" spans="1:13" x14ac:dyDescent="0.3">
      <c r="A6413" t="s">
        <v>3388</v>
      </c>
      <c r="B6413" t="s">
        <v>10421</v>
      </c>
      <c r="C6413" t="s">
        <v>5470</v>
      </c>
      <c r="D6413" t="s">
        <v>4119</v>
      </c>
      <c r="E6413" t="s">
        <v>5532</v>
      </c>
      <c r="F6413" t="s">
        <v>24412</v>
      </c>
      <c r="G6413" t="s">
        <v>10423</v>
      </c>
      <c r="H6413" t="s">
        <v>5474</v>
      </c>
      <c r="I6413" t="s">
        <v>24413</v>
      </c>
      <c r="J6413" t="s">
        <v>5476</v>
      </c>
      <c r="K6413" t="s">
        <v>24414</v>
      </c>
      <c r="L6413" t="s">
        <v>5471</v>
      </c>
      <c r="M6413" t="s">
        <v>5471</v>
      </c>
    </row>
    <row r="6414" spans="1:13" x14ac:dyDescent="0.3">
      <c r="A6414" t="s">
        <v>3388</v>
      </c>
      <c r="B6414" t="s">
        <v>10421</v>
      </c>
      <c r="C6414" t="s">
        <v>5470</v>
      </c>
      <c r="D6414" t="s">
        <v>4119</v>
      </c>
      <c r="E6414" t="s">
        <v>5532</v>
      </c>
      <c r="F6414" t="s">
        <v>24415</v>
      </c>
      <c r="G6414" t="s">
        <v>10423</v>
      </c>
      <c r="H6414" t="s">
        <v>5474</v>
      </c>
      <c r="I6414" t="s">
        <v>24416</v>
      </c>
      <c r="J6414" t="s">
        <v>5476</v>
      </c>
      <c r="K6414" t="s">
        <v>24417</v>
      </c>
      <c r="L6414" t="s">
        <v>5471</v>
      </c>
      <c r="M6414" t="s">
        <v>5471</v>
      </c>
    </row>
    <row r="6415" spans="1:13" x14ac:dyDescent="0.3">
      <c r="A6415" t="s">
        <v>3388</v>
      </c>
      <c r="B6415" t="s">
        <v>18668</v>
      </c>
      <c r="C6415" t="s">
        <v>5470</v>
      </c>
      <c r="D6415" t="s">
        <v>4119</v>
      </c>
      <c r="E6415" t="s">
        <v>5756</v>
      </c>
      <c r="F6415" t="s">
        <v>24418</v>
      </c>
      <c r="G6415" t="s">
        <v>18670</v>
      </c>
      <c r="H6415" t="s">
        <v>5474</v>
      </c>
      <c r="I6415" t="s">
        <v>24419</v>
      </c>
      <c r="J6415" t="s">
        <v>5476</v>
      </c>
      <c r="K6415" t="s">
        <v>24420</v>
      </c>
      <c r="L6415" t="s">
        <v>5471</v>
      </c>
      <c r="M6415" t="s">
        <v>5471</v>
      </c>
    </row>
    <row r="6416" spans="1:13" x14ac:dyDescent="0.3">
      <c r="A6416" t="s">
        <v>3388</v>
      </c>
      <c r="B6416" t="s">
        <v>18668</v>
      </c>
      <c r="C6416" t="s">
        <v>5470</v>
      </c>
      <c r="D6416" t="s">
        <v>4119</v>
      </c>
      <c r="E6416" t="s">
        <v>5756</v>
      </c>
      <c r="F6416" t="s">
        <v>24421</v>
      </c>
      <c r="G6416" t="s">
        <v>18670</v>
      </c>
      <c r="H6416" t="s">
        <v>5474</v>
      </c>
      <c r="I6416" t="s">
        <v>24422</v>
      </c>
      <c r="J6416" t="s">
        <v>5476</v>
      </c>
      <c r="K6416" t="s">
        <v>24423</v>
      </c>
      <c r="L6416" t="s">
        <v>5471</v>
      </c>
      <c r="M6416" t="s">
        <v>5471</v>
      </c>
    </row>
    <row r="6417" spans="1:13" x14ac:dyDescent="0.3">
      <c r="A6417" t="s">
        <v>3388</v>
      </c>
      <c r="B6417" t="s">
        <v>18668</v>
      </c>
      <c r="C6417" t="s">
        <v>5470</v>
      </c>
      <c r="D6417" t="s">
        <v>4119</v>
      </c>
      <c r="E6417" t="s">
        <v>5756</v>
      </c>
      <c r="F6417" t="s">
        <v>24424</v>
      </c>
      <c r="G6417" t="s">
        <v>18670</v>
      </c>
      <c r="H6417" t="s">
        <v>5474</v>
      </c>
      <c r="I6417" t="s">
        <v>24425</v>
      </c>
      <c r="J6417" t="s">
        <v>5476</v>
      </c>
      <c r="K6417" t="s">
        <v>24426</v>
      </c>
      <c r="L6417" t="s">
        <v>5471</v>
      </c>
      <c r="M6417" t="s">
        <v>5471</v>
      </c>
    </row>
    <row r="6418" spans="1:13" x14ac:dyDescent="0.3">
      <c r="A6418" t="s">
        <v>3388</v>
      </c>
      <c r="B6418" t="s">
        <v>10464</v>
      </c>
      <c r="C6418" t="s">
        <v>5470</v>
      </c>
      <c r="D6418" t="s">
        <v>4119</v>
      </c>
      <c r="E6418" t="s">
        <v>5532</v>
      </c>
      <c r="F6418" t="s">
        <v>24427</v>
      </c>
      <c r="G6418" t="s">
        <v>11685</v>
      </c>
      <c r="H6418" t="s">
        <v>5474</v>
      </c>
      <c r="I6418" t="s">
        <v>24428</v>
      </c>
      <c r="J6418" t="s">
        <v>5476</v>
      </c>
      <c r="K6418" t="s">
        <v>24429</v>
      </c>
      <c r="L6418" t="s">
        <v>5471</v>
      </c>
      <c r="M6418" t="s">
        <v>5471</v>
      </c>
    </row>
    <row r="6419" spans="1:13" x14ac:dyDescent="0.3">
      <c r="A6419" t="s">
        <v>3388</v>
      </c>
      <c r="B6419" t="s">
        <v>10464</v>
      </c>
      <c r="C6419" t="s">
        <v>5470</v>
      </c>
      <c r="D6419" t="s">
        <v>4119</v>
      </c>
      <c r="E6419" t="s">
        <v>5532</v>
      </c>
      <c r="F6419" t="s">
        <v>24430</v>
      </c>
      <c r="G6419" t="s">
        <v>11685</v>
      </c>
      <c r="H6419" t="s">
        <v>5474</v>
      </c>
      <c r="I6419" t="s">
        <v>24431</v>
      </c>
      <c r="J6419" t="s">
        <v>5476</v>
      </c>
      <c r="K6419" t="s">
        <v>24432</v>
      </c>
      <c r="L6419" t="s">
        <v>5471</v>
      </c>
      <c r="M6419" t="s">
        <v>5471</v>
      </c>
    </row>
    <row r="6420" spans="1:13" x14ac:dyDescent="0.3">
      <c r="A6420" t="s">
        <v>3388</v>
      </c>
      <c r="B6420" t="s">
        <v>10464</v>
      </c>
      <c r="C6420" t="s">
        <v>5470</v>
      </c>
      <c r="D6420" t="s">
        <v>4119</v>
      </c>
      <c r="E6420" t="s">
        <v>5532</v>
      </c>
      <c r="F6420" t="s">
        <v>24433</v>
      </c>
      <c r="G6420" t="s">
        <v>11685</v>
      </c>
      <c r="H6420" t="s">
        <v>5474</v>
      </c>
      <c r="I6420" t="s">
        <v>24434</v>
      </c>
      <c r="J6420" t="s">
        <v>5476</v>
      </c>
      <c r="K6420" t="s">
        <v>24435</v>
      </c>
      <c r="L6420" t="s">
        <v>5471</v>
      </c>
      <c r="M6420" t="s">
        <v>5471</v>
      </c>
    </row>
    <row r="6421" spans="1:13" x14ac:dyDescent="0.3">
      <c r="A6421" t="s">
        <v>3388</v>
      </c>
      <c r="B6421" t="s">
        <v>10464</v>
      </c>
      <c r="C6421" t="s">
        <v>5470</v>
      </c>
      <c r="D6421" t="s">
        <v>4119</v>
      </c>
      <c r="E6421" t="s">
        <v>5532</v>
      </c>
      <c r="F6421" t="s">
        <v>24436</v>
      </c>
      <c r="G6421" t="s">
        <v>10466</v>
      </c>
      <c r="H6421" t="s">
        <v>5474</v>
      </c>
      <c r="I6421" t="s">
        <v>24437</v>
      </c>
      <c r="J6421" t="s">
        <v>5476</v>
      </c>
      <c r="K6421" t="s">
        <v>24438</v>
      </c>
      <c r="L6421" t="s">
        <v>5471</v>
      </c>
      <c r="M6421" t="s">
        <v>5471</v>
      </c>
    </row>
    <row r="6422" spans="1:13" x14ac:dyDescent="0.3">
      <c r="A6422" t="s">
        <v>3388</v>
      </c>
      <c r="B6422" t="s">
        <v>10464</v>
      </c>
      <c r="C6422" t="s">
        <v>5470</v>
      </c>
      <c r="D6422" t="s">
        <v>4119</v>
      </c>
      <c r="E6422" t="s">
        <v>5532</v>
      </c>
      <c r="F6422" t="s">
        <v>24439</v>
      </c>
      <c r="G6422" t="s">
        <v>10466</v>
      </c>
      <c r="H6422" t="s">
        <v>5474</v>
      </c>
      <c r="I6422" t="s">
        <v>24440</v>
      </c>
      <c r="J6422" t="s">
        <v>5476</v>
      </c>
      <c r="K6422" t="s">
        <v>24441</v>
      </c>
      <c r="L6422" t="s">
        <v>5471</v>
      </c>
      <c r="M6422" t="s">
        <v>5471</v>
      </c>
    </row>
    <row r="6423" spans="1:13" x14ac:dyDescent="0.3">
      <c r="A6423" t="s">
        <v>3388</v>
      </c>
      <c r="B6423" t="s">
        <v>10464</v>
      </c>
      <c r="C6423" t="s">
        <v>5470</v>
      </c>
      <c r="D6423" t="s">
        <v>4119</v>
      </c>
      <c r="E6423" t="s">
        <v>5532</v>
      </c>
      <c r="F6423" t="s">
        <v>24442</v>
      </c>
      <c r="G6423" t="s">
        <v>10466</v>
      </c>
      <c r="H6423" t="s">
        <v>5474</v>
      </c>
      <c r="I6423" t="s">
        <v>24443</v>
      </c>
      <c r="J6423" t="s">
        <v>5476</v>
      </c>
      <c r="K6423" t="s">
        <v>24444</v>
      </c>
      <c r="L6423" t="s">
        <v>5471</v>
      </c>
      <c r="M6423" t="s">
        <v>5471</v>
      </c>
    </row>
    <row r="6424" spans="1:13" x14ac:dyDescent="0.3">
      <c r="A6424" t="s">
        <v>3380</v>
      </c>
      <c r="B6424" t="s">
        <v>5261</v>
      </c>
      <c r="C6424" t="s">
        <v>6342</v>
      </c>
      <c r="D6424" t="s">
        <v>4119</v>
      </c>
      <c r="E6424" t="s">
        <v>9935</v>
      </c>
      <c r="F6424" t="s">
        <v>24445</v>
      </c>
      <c r="G6424" t="s">
        <v>16694</v>
      </c>
      <c r="H6424" t="s">
        <v>5474</v>
      </c>
      <c r="I6424" t="s">
        <v>24446</v>
      </c>
      <c r="J6424" t="s">
        <v>5476</v>
      </c>
      <c r="K6424" t="s">
        <v>22781</v>
      </c>
      <c r="L6424" t="s">
        <v>5471</v>
      </c>
      <c r="M6424" t="s">
        <v>5471</v>
      </c>
    </row>
    <row r="6425" spans="1:13" x14ac:dyDescent="0.3">
      <c r="A6425" t="s">
        <v>3380</v>
      </c>
      <c r="B6425" t="s">
        <v>5261</v>
      </c>
      <c r="C6425" t="s">
        <v>6342</v>
      </c>
      <c r="D6425" t="s">
        <v>4119</v>
      </c>
      <c r="E6425" t="s">
        <v>9935</v>
      </c>
      <c r="F6425" t="s">
        <v>24447</v>
      </c>
      <c r="G6425" t="s">
        <v>16694</v>
      </c>
      <c r="H6425" t="s">
        <v>5474</v>
      </c>
      <c r="I6425" t="s">
        <v>24448</v>
      </c>
      <c r="J6425" t="s">
        <v>5476</v>
      </c>
      <c r="K6425" t="s">
        <v>10920</v>
      </c>
      <c r="L6425" t="s">
        <v>5471</v>
      </c>
      <c r="M6425" t="s">
        <v>5471</v>
      </c>
    </row>
    <row r="6426" spans="1:13" x14ac:dyDescent="0.3">
      <c r="A6426" t="s">
        <v>3380</v>
      </c>
      <c r="B6426" t="s">
        <v>5261</v>
      </c>
      <c r="C6426" t="s">
        <v>6342</v>
      </c>
      <c r="D6426" t="s">
        <v>4119</v>
      </c>
      <c r="E6426" t="s">
        <v>5532</v>
      </c>
      <c r="F6426" t="s">
        <v>24449</v>
      </c>
      <c r="G6426" t="s">
        <v>10117</v>
      </c>
      <c r="H6426" t="s">
        <v>5474</v>
      </c>
      <c r="I6426" t="s">
        <v>24450</v>
      </c>
      <c r="J6426" t="s">
        <v>5476</v>
      </c>
      <c r="K6426" t="s">
        <v>23524</v>
      </c>
      <c r="L6426" t="s">
        <v>5471</v>
      </c>
      <c r="M6426" t="s">
        <v>5471</v>
      </c>
    </row>
    <row r="6427" spans="1:13" x14ac:dyDescent="0.3">
      <c r="A6427" t="s">
        <v>3380</v>
      </c>
      <c r="B6427" t="s">
        <v>5261</v>
      </c>
      <c r="C6427" t="s">
        <v>6342</v>
      </c>
      <c r="D6427" t="s">
        <v>4119</v>
      </c>
      <c r="E6427" t="s">
        <v>5532</v>
      </c>
      <c r="F6427" t="s">
        <v>24451</v>
      </c>
      <c r="G6427" t="s">
        <v>10117</v>
      </c>
      <c r="H6427" t="s">
        <v>5474</v>
      </c>
      <c r="I6427" t="s">
        <v>24452</v>
      </c>
      <c r="J6427" t="s">
        <v>5476</v>
      </c>
      <c r="K6427" t="s">
        <v>23527</v>
      </c>
      <c r="L6427" t="s">
        <v>5471</v>
      </c>
      <c r="M6427" t="s">
        <v>5471</v>
      </c>
    </row>
    <row r="6428" spans="1:13" x14ac:dyDescent="0.3">
      <c r="A6428" t="s">
        <v>3380</v>
      </c>
      <c r="B6428" t="s">
        <v>5261</v>
      </c>
      <c r="C6428" t="s">
        <v>6342</v>
      </c>
      <c r="D6428" t="s">
        <v>4119</v>
      </c>
      <c r="E6428" t="s">
        <v>5532</v>
      </c>
      <c r="F6428" t="s">
        <v>24453</v>
      </c>
      <c r="G6428" t="s">
        <v>10121</v>
      </c>
      <c r="H6428" t="s">
        <v>5474</v>
      </c>
      <c r="I6428" t="s">
        <v>24454</v>
      </c>
      <c r="J6428" t="s">
        <v>5476</v>
      </c>
      <c r="K6428" t="s">
        <v>24455</v>
      </c>
      <c r="L6428" t="s">
        <v>5471</v>
      </c>
      <c r="M6428" t="s">
        <v>5471</v>
      </c>
    </row>
    <row r="6429" spans="1:13" x14ac:dyDescent="0.3">
      <c r="A6429" t="s">
        <v>3380</v>
      </c>
      <c r="B6429" t="s">
        <v>5261</v>
      </c>
      <c r="C6429" t="s">
        <v>6342</v>
      </c>
      <c r="D6429" t="s">
        <v>4119</v>
      </c>
      <c r="E6429" t="s">
        <v>5532</v>
      </c>
      <c r="F6429" t="s">
        <v>24456</v>
      </c>
      <c r="G6429" t="s">
        <v>10121</v>
      </c>
      <c r="H6429" t="s">
        <v>5474</v>
      </c>
      <c r="I6429" t="s">
        <v>24457</v>
      </c>
      <c r="J6429" t="s">
        <v>5476</v>
      </c>
      <c r="K6429" t="s">
        <v>23530</v>
      </c>
      <c r="L6429" t="s">
        <v>5471</v>
      </c>
      <c r="M6429" t="s">
        <v>5471</v>
      </c>
    </row>
    <row r="6430" spans="1:13" x14ac:dyDescent="0.3">
      <c r="A6430" t="s">
        <v>3380</v>
      </c>
      <c r="B6430" t="s">
        <v>5261</v>
      </c>
      <c r="C6430" t="s">
        <v>6342</v>
      </c>
      <c r="D6430" t="s">
        <v>4119</v>
      </c>
      <c r="E6430" t="s">
        <v>5532</v>
      </c>
      <c r="F6430" t="s">
        <v>24458</v>
      </c>
      <c r="G6430" t="s">
        <v>24459</v>
      </c>
      <c r="H6430" t="s">
        <v>5474</v>
      </c>
      <c r="I6430" t="s">
        <v>24460</v>
      </c>
      <c r="J6430" t="s">
        <v>5476</v>
      </c>
      <c r="K6430" t="s">
        <v>24461</v>
      </c>
      <c r="L6430" t="s">
        <v>5471</v>
      </c>
      <c r="M6430" t="s">
        <v>5471</v>
      </c>
    </row>
    <row r="6431" spans="1:13" x14ac:dyDescent="0.3">
      <c r="A6431" t="s">
        <v>3397</v>
      </c>
      <c r="B6431" t="s">
        <v>5255</v>
      </c>
      <c r="C6431" t="s">
        <v>5487</v>
      </c>
      <c r="D6431" t="s">
        <v>4119</v>
      </c>
      <c r="E6431" t="s">
        <v>5532</v>
      </c>
      <c r="F6431" t="s">
        <v>24462</v>
      </c>
      <c r="G6431" t="s">
        <v>24463</v>
      </c>
      <c r="H6431" t="s">
        <v>5474</v>
      </c>
      <c r="I6431" t="s">
        <v>24464</v>
      </c>
      <c r="J6431" t="s">
        <v>5476</v>
      </c>
      <c r="K6431" t="s">
        <v>24465</v>
      </c>
      <c r="L6431" t="s">
        <v>5471</v>
      </c>
      <c r="M6431" t="s">
        <v>5471</v>
      </c>
    </row>
    <row r="6432" spans="1:13" x14ac:dyDescent="0.3">
      <c r="A6432" t="s">
        <v>3397</v>
      </c>
      <c r="B6432" t="s">
        <v>5255</v>
      </c>
      <c r="C6432" t="s">
        <v>5487</v>
      </c>
      <c r="D6432" t="s">
        <v>4119</v>
      </c>
      <c r="E6432" t="s">
        <v>5532</v>
      </c>
      <c r="F6432" t="s">
        <v>24466</v>
      </c>
      <c r="G6432" t="s">
        <v>24463</v>
      </c>
      <c r="H6432" t="s">
        <v>5474</v>
      </c>
      <c r="I6432" t="s">
        <v>24467</v>
      </c>
      <c r="J6432" t="s">
        <v>5476</v>
      </c>
      <c r="K6432" t="s">
        <v>24468</v>
      </c>
      <c r="L6432" t="s">
        <v>5471</v>
      </c>
      <c r="M6432" t="s">
        <v>5471</v>
      </c>
    </row>
    <row r="6433" spans="1:13" x14ac:dyDescent="0.3">
      <c r="A6433" t="s">
        <v>3380</v>
      </c>
      <c r="B6433" t="s">
        <v>5261</v>
      </c>
      <c r="C6433" t="s">
        <v>6342</v>
      </c>
      <c r="D6433" t="s">
        <v>4119</v>
      </c>
      <c r="E6433" t="s">
        <v>5532</v>
      </c>
      <c r="F6433" t="s">
        <v>24469</v>
      </c>
      <c r="G6433" t="s">
        <v>10125</v>
      </c>
      <c r="H6433" t="s">
        <v>5474</v>
      </c>
      <c r="I6433" t="s">
        <v>24470</v>
      </c>
      <c r="J6433" t="s">
        <v>5476</v>
      </c>
      <c r="K6433" t="s">
        <v>24471</v>
      </c>
      <c r="L6433" t="s">
        <v>5471</v>
      </c>
      <c r="M6433" t="s">
        <v>5471</v>
      </c>
    </row>
    <row r="6434" spans="1:13" x14ac:dyDescent="0.3">
      <c r="A6434" t="s">
        <v>3388</v>
      </c>
      <c r="B6434" t="s">
        <v>6540</v>
      </c>
      <c r="C6434" t="s">
        <v>5470</v>
      </c>
      <c r="D6434" t="s">
        <v>4052</v>
      </c>
      <c r="E6434" t="s">
        <v>5617</v>
      </c>
      <c r="F6434" t="s">
        <v>24472</v>
      </c>
      <c r="G6434" t="s">
        <v>24473</v>
      </c>
      <c r="H6434" t="s">
        <v>5474</v>
      </c>
      <c r="I6434" t="s">
        <v>24474</v>
      </c>
      <c r="J6434" t="s">
        <v>5476</v>
      </c>
      <c r="K6434" t="s">
        <v>24475</v>
      </c>
      <c r="L6434" t="s">
        <v>5471</v>
      </c>
      <c r="M6434" t="s">
        <v>5471</v>
      </c>
    </row>
    <row r="6435" spans="1:13" x14ac:dyDescent="0.3">
      <c r="A6435" t="s">
        <v>3388</v>
      </c>
      <c r="B6435" t="s">
        <v>6540</v>
      </c>
      <c r="C6435" t="s">
        <v>5470</v>
      </c>
      <c r="D6435" t="s">
        <v>4052</v>
      </c>
      <c r="E6435" t="s">
        <v>5617</v>
      </c>
      <c r="F6435" t="s">
        <v>24476</v>
      </c>
      <c r="G6435" t="s">
        <v>21915</v>
      </c>
      <c r="H6435" t="s">
        <v>5474</v>
      </c>
      <c r="I6435" t="s">
        <v>24477</v>
      </c>
      <c r="J6435" t="s">
        <v>5476</v>
      </c>
      <c r="K6435" t="s">
        <v>24478</v>
      </c>
      <c r="L6435" t="s">
        <v>5471</v>
      </c>
      <c r="M6435" t="s">
        <v>5471</v>
      </c>
    </row>
    <row r="6436" spans="1:13" x14ac:dyDescent="0.3">
      <c r="A6436" t="s">
        <v>3388</v>
      </c>
      <c r="B6436" t="s">
        <v>6540</v>
      </c>
      <c r="C6436" t="s">
        <v>5470</v>
      </c>
      <c r="D6436" t="s">
        <v>4058</v>
      </c>
      <c r="E6436" t="s">
        <v>5617</v>
      </c>
      <c r="F6436" t="s">
        <v>24479</v>
      </c>
      <c r="G6436" t="s">
        <v>24480</v>
      </c>
      <c r="H6436" t="s">
        <v>5474</v>
      </c>
      <c r="I6436" t="s">
        <v>24481</v>
      </c>
      <c r="J6436" t="s">
        <v>5476</v>
      </c>
      <c r="K6436" t="s">
        <v>24482</v>
      </c>
      <c r="L6436" t="s">
        <v>5471</v>
      </c>
      <c r="M6436" t="s">
        <v>5471</v>
      </c>
    </row>
    <row r="6437" spans="1:13" x14ac:dyDescent="0.3">
      <c r="A6437" t="s">
        <v>3388</v>
      </c>
      <c r="B6437" t="s">
        <v>6540</v>
      </c>
      <c r="C6437" t="s">
        <v>5470</v>
      </c>
      <c r="D6437" t="s">
        <v>4058</v>
      </c>
      <c r="E6437" t="s">
        <v>5617</v>
      </c>
      <c r="F6437" t="s">
        <v>24483</v>
      </c>
      <c r="G6437" t="s">
        <v>24484</v>
      </c>
      <c r="H6437" t="s">
        <v>5474</v>
      </c>
      <c r="I6437" t="s">
        <v>24485</v>
      </c>
      <c r="J6437" t="s">
        <v>5476</v>
      </c>
      <c r="K6437" t="s">
        <v>24486</v>
      </c>
      <c r="L6437" t="s">
        <v>5471</v>
      </c>
      <c r="M6437" t="s">
        <v>5471</v>
      </c>
    </row>
    <row r="6438" spans="1:13" x14ac:dyDescent="0.3">
      <c r="A6438" t="s">
        <v>3388</v>
      </c>
      <c r="B6438" t="s">
        <v>6540</v>
      </c>
      <c r="C6438" t="s">
        <v>5470</v>
      </c>
      <c r="D6438" t="s">
        <v>4058</v>
      </c>
      <c r="E6438" t="s">
        <v>5617</v>
      </c>
      <c r="F6438" t="s">
        <v>24487</v>
      </c>
      <c r="G6438" t="s">
        <v>24473</v>
      </c>
      <c r="H6438" t="s">
        <v>5474</v>
      </c>
      <c r="I6438" t="s">
        <v>24488</v>
      </c>
      <c r="J6438" t="s">
        <v>5476</v>
      </c>
      <c r="K6438" t="s">
        <v>24489</v>
      </c>
      <c r="L6438" t="s">
        <v>5471</v>
      </c>
      <c r="M6438" t="s">
        <v>5471</v>
      </c>
    </row>
    <row r="6439" spans="1:13" x14ac:dyDescent="0.3">
      <c r="A6439" t="s">
        <v>3388</v>
      </c>
      <c r="B6439" t="s">
        <v>6540</v>
      </c>
      <c r="C6439" t="s">
        <v>5470</v>
      </c>
      <c r="D6439" t="s">
        <v>4058</v>
      </c>
      <c r="E6439" t="s">
        <v>5617</v>
      </c>
      <c r="F6439" t="s">
        <v>24490</v>
      </c>
      <c r="G6439" t="s">
        <v>24473</v>
      </c>
      <c r="H6439" t="s">
        <v>5474</v>
      </c>
      <c r="I6439" t="s">
        <v>24491</v>
      </c>
      <c r="J6439" t="s">
        <v>5476</v>
      </c>
      <c r="K6439" t="s">
        <v>24492</v>
      </c>
      <c r="L6439" t="s">
        <v>5471</v>
      </c>
      <c r="M6439" t="s">
        <v>5471</v>
      </c>
    </row>
    <row r="6440" spans="1:13" x14ac:dyDescent="0.3">
      <c r="A6440" t="s">
        <v>3388</v>
      </c>
      <c r="B6440" t="s">
        <v>6540</v>
      </c>
      <c r="C6440" t="s">
        <v>5470</v>
      </c>
      <c r="D6440" t="s">
        <v>4058</v>
      </c>
      <c r="E6440" t="s">
        <v>5617</v>
      </c>
      <c r="F6440" t="s">
        <v>24493</v>
      </c>
      <c r="G6440" t="s">
        <v>24473</v>
      </c>
      <c r="H6440" t="s">
        <v>5474</v>
      </c>
      <c r="I6440" t="s">
        <v>24494</v>
      </c>
      <c r="J6440" t="s">
        <v>5476</v>
      </c>
      <c r="K6440" t="s">
        <v>24495</v>
      </c>
      <c r="L6440" t="s">
        <v>5471</v>
      </c>
      <c r="M6440" t="s">
        <v>5471</v>
      </c>
    </row>
    <row r="6441" spans="1:13" x14ac:dyDescent="0.3">
      <c r="A6441" t="s">
        <v>3388</v>
      </c>
      <c r="B6441" t="s">
        <v>6540</v>
      </c>
      <c r="C6441" t="s">
        <v>5470</v>
      </c>
      <c r="D6441" t="s">
        <v>4058</v>
      </c>
      <c r="E6441" t="s">
        <v>5617</v>
      </c>
      <c r="F6441" t="s">
        <v>24496</v>
      </c>
      <c r="G6441" t="s">
        <v>24497</v>
      </c>
      <c r="H6441" t="s">
        <v>5474</v>
      </c>
      <c r="I6441" t="s">
        <v>24498</v>
      </c>
      <c r="J6441" t="s">
        <v>5476</v>
      </c>
      <c r="K6441" t="s">
        <v>24499</v>
      </c>
      <c r="L6441" t="s">
        <v>5471</v>
      </c>
      <c r="M6441" t="s">
        <v>5471</v>
      </c>
    </row>
    <row r="6442" spans="1:13" x14ac:dyDescent="0.3">
      <c r="A6442" t="s">
        <v>3397</v>
      </c>
      <c r="B6442" t="s">
        <v>5259</v>
      </c>
      <c r="C6442" t="s">
        <v>5487</v>
      </c>
      <c r="D6442" t="s">
        <v>4052</v>
      </c>
      <c r="E6442" t="s">
        <v>5532</v>
      </c>
      <c r="F6442" t="s">
        <v>24500</v>
      </c>
      <c r="G6442" t="s">
        <v>19821</v>
      </c>
      <c r="H6442" t="s">
        <v>5474</v>
      </c>
      <c r="I6442" t="s">
        <v>24501</v>
      </c>
      <c r="J6442" t="s">
        <v>5476</v>
      </c>
      <c r="K6442" t="s">
        <v>24502</v>
      </c>
      <c r="L6442" t="s">
        <v>5471</v>
      </c>
      <c r="M6442" t="s">
        <v>5471</v>
      </c>
    </row>
    <row r="6443" spans="1:13" x14ac:dyDescent="0.3">
      <c r="A6443" t="s">
        <v>3388</v>
      </c>
      <c r="B6443" t="s">
        <v>6540</v>
      </c>
      <c r="C6443" t="s">
        <v>5470</v>
      </c>
      <c r="D6443" t="s">
        <v>4058</v>
      </c>
      <c r="E6443" t="s">
        <v>5617</v>
      </c>
      <c r="F6443" t="s">
        <v>24503</v>
      </c>
      <c r="G6443" t="s">
        <v>21915</v>
      </c>
      <c r="H6443" t="s">
        <v>5474</v>
      </c>
      <c r="I6443" t="s">
        <v>24504</v>
      </c>
      <c r="J6443" t="s">
        <v>5476</v>
      </c>
      <c r="K6443" t="s">
        <v>24505</v>
      </c>
      <c r="L6443" t="s">
        <v>5471</v>
      </c>
      <c r="M6443" t="s">
        <v>5471</v>
      </c>
    </row>
    <row r="6444" spans="1:13" x14ac:dyDescent="0.3">
      <c r="A6444" t="s">
        <v>3397</v>
      </c>
      <c r="B6444" t="s">
        <v>5259</v>
      </c>
      <c r="C6444" t="s">
        <v>5487</v>
      </c>
      <c r="D6444" t="s">
        <v>4052</v>
      </c>
      <c r="E6444" t="s">
        <v>5617</v>
      </c>
      <c r="F6444" t="s">
        <v>24506</v>
      </c>
      <c r="G6444" t="s">
        <v>19821</v>
      </c>
      <c r="H6444" t="s">
        <v>5474</v>
      </c>
      <c r="I6444" t="s">
        <v>24507</v>
      </c>
      <c r="J6444" t="s">
        <v>5476</v>
      </c>
      <c r="K6444" t="s">
        <v>24508</v>
      </c>
      <c r="L6444" t="s">
        <v>5471</v>
      </c>
      <c r="M6444" t="s">
        <v>5471</v>
      </c>
    </row>
    <row r="6445" spans="1:13" x14ac:dyDescent="0.3">
      <c r="A6445" t="s">
        <v>3388</v>
      </c>
      <c r="B6445" t="s">
        <v>6540</v>
      </c>
      <c r="C6445" t="s">
        <v>5470</v>
      </c>
      <c r="D6445" t="s">
        <v>4058</v>
      </c>
      <c r="E6445" t="s">
        <v>5617</v>
      </c>
      <c r="F6445" t="s">
        <v>24509</v>
      </c>
      <c r="G6445" t="s">
        <v>21915</v>
      </c>
      <c r="H6445" t="s">
        <v>5474</v>
      </c>
      <c r="I6445" t="s">
        <v>24510</v>
      </c>
      <c r="J6445" t="s">
        <v>5476</v>
      </c>
      <c r="K6445" t="s">
        <v>24511</v>
      </c>
      <c r="L6445" t="s">
        <v>5471</v>
      </c>
      <c r="M6445" t="s">
        <v>5471</v>
      </c>
    </row>
    <row r="6446" spans="1:13" x14ac:dyDescent="0.3">
      <c r="A6446" t="s">
        <v>3388</v>
      </c>
      <c r="B6446" t="s">
        <v>6540</v>
      </c>
      <c r="C6446" t="s">
        <v>5470</v>
      </c>
      <c r="D6446" t="s">
        <v>4058</v>
      </c>
      <c r="E6446" t="s">
        <v>5617</v>
      </c>
      <c r="F6446" t="s">
        <v>24512</v>
      </c>
      <c r="G6446" t="s">
        <v>21915</v>
      </c>
      <c r="H6446" t="s">
        <v>5474</v>
      </c>
      <c r="I6446" t="s">
        <v>24513</v>
      </c>
      <c r="J6446" t="s">
        <v>5476</v>
      </c>
      <c r="K6446" t="s">
        <v>24514</v>
      </c>
      <c r="L6446" t="s">
        <v>5471</v>
      </c>
      <c r="M6446" t="s">
        <v>5471</v>
      </c>
    </row>
    <row r="6447" spans="1:13" x14ac:dyDescent="0.3">
      <c r="A6447" t="s">
        <v>3388</v>
      </c>
      <c r="B6447" t="s">
        <v>6540</v>
      </c>
      <c r="C6447" t="s">
        <v>5470</v>
      </c>
      <c r="D6447" t="s">
        <v>4058</v>
      </c>
      <c r="E6447" t="s">
        <v>5617</v>
      </c>
      <c r="F6447" t="s">
        <v>24515</v>
      </c>
      <c r="G6447" t="s">
        <v>22903</v>
      </c>
      <c r="H6447" t="s">
        <v>5474</v>
      </c>
      <c r="I6447" t="s">
        <v>24516</v>
      </c>
      <c r="J6447" t="s">
        <v>5476</v>
      </c>
      <c r="K6447" t="s">
        <v>24517</v>
      </c>
      <c r="L6447" t="s">
        <v>5471</v>
      </c>
      <c r="M6447" t="s">
        <v>5471</v>
      </c>
    </row>
    <row r="6448" spans="1:13" x14ac:dyDescent="0.3">
      <c r="A6448" t="s">
        <v>3388</v>
      </c>
      <c r="B6448" t="s">
        <v>6540</v>
      </c>
      <c r="C6448" t="s">
        <v>5470</v>
      </c>
      <c r="D6448" t="s">
        <v>4058</v>
      </c>
      <c r="E6448" t="s">
        <v>5617</v>
      </c>
      <c r="F6448" t="s">
        <v>24518</v>
      </c>
      <c r="G6448" t="s">
        <v>22903</v>
      </c>
      <c r="H6448" t="s">
        <v>5474</v>
      </c>
      <c r="I6448" t="s">
        <v>24519</v>
      </c>
      <c r="J6448" t="s">
        <v>5476</v>
      </c>
      <c r="K6448" t="s">
        <v>24520</v>
      </c>
      <c r="L6448" t="s">
        <v>5471</v>
      </c>
      <c r="M6448" t="s">
        <v>5471</v>
      </c>
    </row>
    <row r="6449" spans="1:13" x14ac:dyDescent="0.3">
      <c r="A6449" t="s">
        <v>3388</v>
      </c>
      <c r="B6449" t="s">
        <v>6540</v>
      </c>
      <c r="C6449" t="s">
        <v>5470</v>
      </c>
      <c r="D6449" t="s">
        <v>4058</v>
      </c>
      <c r="E6449" t="s">
        <v>5617</v>
      </c>
      <c r="F6449" t="s">
        <v>24521</v>
      </c>
      <c r="G6449" t="s">
        <v>22903</v>
      </c>
      <c r="H6449" t="s">
        <v>5474</v>
      </c>
      <c r="I6449" t="s">
        <v>24522</v>
      </c>
      <c r="J6449" t="s">
        <v>5476</v>
      </c>
      <c r="K6449" t="s">
        <v>24523</v>
      </c>
      <c r="L6449" t="s">
        <v>5471</v>
      </c>
      <c r="M6449" t="s">
        <v>5471</v>
      </c>
    </row>
    <row r="6450" spans="1:13" x14ac:dyDescent="0.3">
      <c r="A6450" t="s">
        <v>3388</v>
      </c>
      <c r="B6450" t="s">
        <v>7109</v>
      </c>
      <c r="C6450" t="s">
        <v>5470</v>
      </c>
      <c r="D6450" t="s">
        <v>4058</v>
      </c>
      <c r="E6450" t="s">
        <v>5532</v>
      </c>
      <c r="F6450" t="s">
        <v>24524</v>
      </c>
      <c r="G6450" t="s">
        <v>18601</v>
      </c>
      <c r="H6450" t="s">
        <v>5474</v>
      </c>
      <c r="I6450" t="s">
        <v>24525</v>
      </c>
      <c r="J6450" t="s">
        <v>5476</v>
      </c>
      <c r="K6450" t="s">
        <v>24526</v>
      </c>
      <c r="L6450" t="s">
        <v>5471</v>
      </c>
      <c r="M6450" t="s">
        <v>5471</v>
      </c>
    </row>
    <row r="6451" spans="1:13" x14ac:dyDescent="0.3">
      <c r="A6451" t="s">
        <v>3397</v>
      </c>
      <c r="B6451" t="s">
        <v>7391</v>
      </c>
      <c r="C6451" t="s">
        <v>5487</v>
      </c>
      <c r="D6451" t="s">
        <v>4052</v>
      </c>
      <c r="E6451" t="s">
        <v>5480</v>
      </c>
      <c r="F6451" t="s">
        <v>24527</v>
      </c>
      <c r="G6451" t="s">
        <v>10357</v>
      </c>
      <c r="H6451" t="s">
        <v>5474</v>
      </c>
      <c r="I6451" t="s">
        <v>24528</v>
      </c>
      <c r="J6451" t="s">
        <v>5476</v>
      </c>
      <c r="K6451" t="s">
        <v>24529</v>
      </c>
      <c r="L6451" t="s">
        <v>5471</v>
      </c>
      <c r="M6451" t="s">
        <v>5471</v>
      </c>
    </row>
    <row r="6452" spans="1:13" x14ac:dyDescent="0.3">
      <c r="A6452" t="s">
        <v>3397</v>
      </c>
      <c r="B6452" t="s">
        <v>7391</v>
      </c>
      <c r="C6452" t="s">
        <v>5487</v>
      </c>
      <c r="D6452" t="s">
        <v>4052</v>
      </c>
      <c r="E6452" t="s">
        <v>5480</v>
      </c>
      <c r="F6452" t="s">
        <v>24530</v>
      </c>
      <c r="G6452" t="s">
        <v>10357</v>
      </c>
      <c r="H6452" t="s">
        <v>5474</v>
      </c>
      <c r="I6452" t="s">
        <v>24531</v>
      </c>
      <c r="J6452" t="s">
        <v>5476</v>
      </c>
      <c r="K6452" t="s">
        <v>24532</v>
      </c>
      <c r="L6452" t="s">
        <v>5471</v>
      </c>
      <c r="M6452" t="s">
        <v>5471</v>
      </c>
    </row>
    <row r="6453" spans="1:13" x14ac:dyDescent="0.3">
      <c r="A6453" t="s">
        <v>3380</v>
      </c>
      <c r="B6453" t="s">
        <v>5261</v>
      </c>
      <c r="C6453" t="s">
        <v>6342</v>
      </c>
      <c r="D6453" t="s">
        <v>4119</v>
      </c>
      <c r="E6453" t="s">
        <v>5532</v>
      </c>
      <c r="F6453" t="s">
        <v>24533</v>
      </c>
      <c r="G6453" t="s">
        <v>16390</v>
      </c>
      <c r="H6453" t="s">
        <v>5474</v>
      </c>
      <c r="I6453" t="s">
        <v>24534</v>
      </c>
      <c r="J6453" t="s">
        <v>5476</v>
      </c>
      <c r="K6453" t="s">
        <v>24535</v>
      </c>
      <c r="L6453" t="s">
        <v>5471</v>
      </c>
      <c r="M6453" t="s">
        <v>5471</v>
      </c>
    </row>
    <row r="6454" spans="1:13" x14ac:dyDescent="0.3">
      <c r="A6454" t="s">
        <v>3380</v>
      </c>
      <c r="B6454" t="s">
        <v>5261</v>
      </c>
      <c r="C6454" t="s">
        <v>6342</v>
      </c>
      <c r="D6454" t="s">
        <v>4119</v>
      </c>
      <c r="E6454" t="s">
        <v>5532</v>
      </c>
      <c r="F6454" t="s">
        <v>24536</v>
      </c>
      <c r="G6454" t="s">
        <v>16401</v>
      </c>
      <c r="H6454" t="s">
        <v>5474</v>
      </c>
      <c r="I6454" t="s">
        <v>24537</v>
      </c>
      <c r="J6454" t="s">
        <v>5476</v>
      </c>
      <c r="K6454" t="s">
        <v>24538</v>
      </c>
      <c r="L6454" t="s">
        <v>5471</v>
      </c>
      <c r="M6454" t="s">
        <v>5471</v>
      </c>
    </row>
    <row r="6455" spans="1:13" x14ac:dyDescent="0.3">
      <c r="A6455" t="s">
        <v>3397</v>
      </c>
      <c r="B6455" t="s">
        <v>7391</v>
      </c>
      <c r="C6455" t="s">
        <v>5487</v>
      </c>
      <c r="D6455" t="s">
        <v>9940</v>
      </c>
      <c r="E6455" t="s">
        <v>5480</v>
      </c>
      <c r="F6455" t="s">
        <v>24539</v>
      </c>
      <c r="G6455" t="s">
        <v>10357</v>
      </c>
      <c r="H6455" t="s">
        <v>5474</v>
      </c>
      <c r="I6455" t="s">
        <v>24540</v>
      </c>
      <c r="J6455" t="s">
        <v>5476</v>
      </c>
      <c r="K6455" t="s">
        <v>24541</v>
      </c>
      <c r="L6455" t="s">
        <v>5471</v>
      </c>
      <c r="M6455" t="s">
        <v>5471</v>
      </c>
    </row>
    <row r="6456" spans="1:13" x14ac:dyDescent="0.3">
      <c r="A6456" t="s">
        <v>3397</v>
      </c>
      <c r="B6456" t="s">
        <v>7391</v>
      </c>
      <c r="C6456" t="s">
        <v>5487</v>
      </c>
      <c r="D6456" t="s">
        <v>9940</v>
      </c>
      <c r="E6456" t="s">
        <v>5480</v>
      </c>
      <c r="F6456" t="s">
        <v>24542</v>
      </c>
      <c r="G6456" t="s">
        <v>10357</v>
      </c>
      <c r="H6456" t="s">
        <v>5474</v>
      </c>
      <c r="I6456" t="s">
        <v>24543</v>
      </c>
      <c r="J6456" t="s">
        <v>5476</v>
      </c>
      <c r="K6456" t="s">
        <v>24544</v>
      </c>
      <c r="L6456" t="s">
        <v>5471</v>
      </c>
      <c r="M6456" t="s">
        <v>5471</v>
      </c>
    </row>
    <row r="6457" spans="1:13" x14ac:dyDescent="0.3">
      <c r="A6457" t="s">
        <v>3397</v>
      </c>
      <c r="B6457" t="s">
        <v>7391</v>
      </c>
      <c r="C6457" t="s">
        <v>5487</v>
      </c>
      <c r="D6457" t="s">
        <v>9940</v>
      </c>
      <c r="E6457" t="s">
        <v>5480</v>
      </c>
      <c r="F6457" t="s">
        <v>24545</v>
      </c>
      <c r="G6457" t="s">
        <v>10357</v>
      </c>
      <c r="H6457" t="s">
        <v>5474</v>
      </c>
      <c r="I6457" t="s">
        <v>24546</v>
      </c>
      <c r="J6457" t="s">
        <v>5476</v>
      </c>
      <c r="K6457" t="s">
        <v>24547</v>
      </c>
      <c r="L6457" t="s">
        <v>5471</v>
      </c>
      <c r="M6457" t="s">
        <v>5471</v>
      </c>
    </row>
    <row r="6458" spans="1:13" x14ac:dyDescent="0.3">
      <c r="A6458" t="s">
        <v>3397</v>
      </c>
      <c r="B6458" t="s">
        <v>7391</v>
      </c>
      <c r="C6458" t="s">
        <v>5487</v>
      </c>
      <c r="D6458" t="s">
        <v>9940</v>
      </c>
      <c r="E6458" t="s">
        <v>5480</v>
      </c>
      <c r="F6458" t="s">
        <v>24548</v>
      </c>
      <c r="G6458" t="s">
        <v>10357</v>
      </c>
      <c r="H6458" t="s">
        <v>5474</v>
      </c>
      <c r="I6458" t="s">
        <v>24549</v>
      </c>
      <c r="J6458" t="s">
        <v>5476</v>
      </c>
      <c r="K6458" t="s">
        <v>24550</v>
      </c>
      <c r="L6458" t="s">
        <v>5471</v>
      </c>
      <c r="M6458" t="s">
        <v>5471</v>
      </c>
    </row>
    <row r="6459" spans="1:13" x14ac:dyDescent="0.3">
      <c r="A6459" t="s">
        <v>3397</v>
      </c>
      <c r="B6459" t="s">
        <v>7391</v>
      </c>
      <c r="C6459" t="s">
        <v>5487</v>
      </c>
      <c r="D6459" t="s">
        <v>9940</v>
      </c>
      <c r="E6459" t="s">
        <v>5480</v>
      </c>
      <c r="F6459" t="s">
        <v>24551</v>
      </c>
      <c r="G6459" t="s">
        <v>10357</v>
      </c>
      <c r="H6459" t="s">
        <v>5474</v>
      </c>
      <c r="I6459" t="s">
        <v>24552</v>
      </c>
      <c r="J6459" t="s">
        <v>5476</v>
      </c>
      <c r="K6459" t="s">
        <v>24553</v>
      </c>
      <c r="L6459" t="s">
        <v>5471</v>
      </c>
      <c r="M6459" t="s">
        <v>5471</v>
      </c>
    </row>
    <row r="6460" spans="1:13" x14ac:dyDescent="0.3">
      <c r="A6460" t="s">
        <v>3397</v>
      </c>
      <c r="B6460" t="s">
        <v>7391</v>
      </c>
      <c r="C6460" t="s">
        <v>5487</v>
      </c>
      <c r="D6460" t="s">
        <v>9940</v>
      </c>
      <c r="E6460" t="s">
        <v>5480</v>
      </c>
      <c r="F6460" t="s">
        <v>24554</v>
      </c>
      <c r="G6460" t="s">
        <v>10357</v>
      </c>
      <c r="H6460" t="s">
        <v>5474</v>
      </c>
      <c r="I6460" t="s">
        <v>24555</v>
      </c>
      <c r="J6460" t="s">
        <v>5476</v>
      </c>
      <c r="K6460" t="s">
        <v>24556</v>
      </c>
      <c r="L6460" t="s">
        <v>5471</v>
      </c>
      <c r="M6460" t="s">
        <v>5471</v>
      </c>
    </row>
    <row r="6461" spans="1:13" x14ac:dyDescent="0.3">
      <c r="A6461" t="s">
        <v>3380</v>
      </c>
      <c r="B6461" t="s">
        <v>5261</v>
      </c>
      <c r="C6461" t="s">
        <v>6342</v>
      </c>
      <c r="D6461" t="s">
        <v>4119</v>
      </c>
      <c r="E6461" t="s">
        <v>5532</v>
      </c>
      <c r="F6461" t="s">
        <v>24557</v>
      </c>
      <c r="G6461" t="s">
        <v>24558</v>
      </c>
      <c r="H6461" t="s">
        <v>5474</v>
      </c>
      <c r="I6461" t="s">
        <v>24559</v>
      </c>
      <c r="J6461" t="s">
        <v>5476</v>
      </c>
      <c r="K6461" t="s">
        <v>24560</v>
      </c>
      <c r="L6461" t="s">
        <v>5471</v>
      </c>
      <c r="M6461" t="s">
        <v>5471</v>
      </c>
    </row>
    <row r="6462" spans="1:13" x14ac:dyDescent="0.3">
      <c r="A6462" t="s">
        <v>3397</v>
      </c>
      <c r="B6462" t="s">
        <v>7391</v>
      </c>
      <c r="C6462" t="s">
        <v>5487</v>
      </c>
      <c r="D6462" t="s">
        <v>4058</v>
      </c>
      <c r="E6462" t="s">
        <v>5756</v>
      </c>
      <c r="F6462" t="s">
        <v>24561</v>
      </c>
      <c r="G6462" t="s">
        <v>10293</v>
      </c>
      <c r="H6462" t="s">
        <v>5474</v>
      </c>
      <c r="I6462" t="s">
        <v>24562</v>
      </c>
      <c r="J6462" t="s">
        <v>5476</v>
      </c>
      <c r="K6462" t="s">
        <v>24563</v>
      </c>
      <c r="L6462" t="s">
        <v>5471</v>
      </c>
      <c r="M6462" t="s">
        <v>5471</v>
      </c>
    </row>
    <row r="6463" spans="1:13" x14ac:dyDescent="0.3">
      <c r="A6463" t="s">
        <v>3397</v>
      </c>
      <c r="B6463" t="s">
        <v>7391</v>
      </c>
      <c r="C6463" t="s">
        <v>5487</v>
      </c>
      <c r="D6463" t="s">
        <v>4058</v>
      </c>
      <c r="E6463" t="s">
        <v>5756</v>
      </c>
      <c r="F6463" t="s">
        <v>24564</v>
      </c>
      <c r="G6463" t="s">
        <v>10293</v>
      </c>
      <c r="H6463" t="s">
        <v>5474</v>
      </c>
      <c r="I6463" t="s">
        <v>24565</v>
      </c>
      <c r="J6463" t="s">
        <v>5476</v>
      </c>
      <c r="K6463" t="s">
        <v>24566</v>
      </c>
      <c r="L6463" t="s">
        <v>5471</v>
      </c>
      <c r="M6463" t="s">
        <v>5471</v>
      </c>
    </row>
    <row r="6464" spans="1:13" x14ac:dyDescent="0.3">
      <c r="A6464" t="s">
        <v>3397</v>
      </c>
      <c r="B6464" t="s">
        <v>7391</v>
      </c>
      <c r="C6464" t="s">
        <v>5487</v>
      </c>
      <c r="D6464" t="s">
        <v>4058</v>
      </c>
      <c r="E6464" t="s">
        <v>5756</v>
      </c>
      <c r="F6464" t="s">
        <v>24567</v>
      </c>
      <c r="G6464" t="s">
        <v>24568</v>
      </c>
      <c r="H6464" t="s">
        <v>5474</v>
      </c>
      <c r="I6464" t="s">
        <v>24569</v>
      </c>
      <c r="J6464" t="s">
        <v>5476</v>
      </c>
      <c r="K6464" t="s">
        <v>24570</v>
      </c>
      <c r="L6464" t="s">
        <v>5471</v>
      </c>
      <c r="M6464" t="s">
        <v>5471</v>
      </c>
    </row>
    <row r="6465" spans="1:13" x14ac:dyDescent="0.3">
      <c r="A6465" t="s">
        <v>3380</v>
      </c>
      <c r="B6465" t="s">
        <v>5261</v>
      </c>
      <c r="C6465" t="s">
        <v>6342</v>
      </c>
      <c r="D6465" t="s">
        <v>4119</v>
      </c>
      <c r="E6465" t="s">
        <v>5532</v>
      </c>
      <c r="F6465" t="s">
        <v>24571</v>
      </c>
      <c r="G6465" t="s">
        <v>24558</v>
      </c>
      <c r="H6465" t="s">
        <v>5474</v>
      </c>
      <c r="I6465" t="s">
        <v>24572</v>
      </c>
      <c r="J6465" t="s">
        <v>5476</v>
      </c>
      <c r="K6465" t="s">
        <v>24573</v>
      </c>
      <c r="L6465" t="s">
        <v>5471</v>
      </c>
      <c r="M6465" t="s">
        <v>5471</v>
      </c>
    </row>
    <row r="6466" spans="1:13" x14ac:dyDescent="0.3">
      <c r="A6466" t="s">
        <v>3397</v>
      </c>
      <c r="B6466" t="s">
        <v>7391</v>
      </c>
      <c r="C6466" t="s">
        <v>5487</v>
      </c>
      <c r="D6466" t="s">
        <v>4058</v>
      </c>
      <c r="E6466" t="s">
        <v>5756</v>
      </c>
      <c r="F6466" t="s">
        <v>24574</v>
      </c>
      <c r="G6466" t="s">
        <v>24568</v>
      </c>
      <c r="H6466" t="s">
        <v>5474</v>
      </c>
      <c r="I6466" t="s">
        <v>24575</v>
      </c>
      <c r="J6466" t="s">
        <v>5476</v>
      </c>
      <c r="K6466" t="s">
        <v>24576</v>
      </c>
      <c r="L6466" t="s">
        <v>5471</v>
      </c>
      <c r="M6466" t="s">
        <v>5471</v>
      </c>
    </row>
    <row r="6467" spans="1:13" x14ac:dyDescent="0.3">
      <c r="A6467" t="s">
        <v>3380</v>
      </c>
      <c r="B6467" t="s">
        <v>5261</v>
      </c>
      <c r="C6467" t="s">
        <v>6342</v>
      </c>
      <c r="D6467" t="s">
        <v>4119</v>
      </c>
      <c r="E6467" t="s">
        <v>5532</v>
      </c>
      <c r="F6467" t="s">
        <v>24577</v>
      </c>
      <c r="G6467" t="s">
        <v>24578</v>
      </c>
      <c r="H6467" t="s">
        <v>5474</v>
      </c>
      <c r="I6467" t="s">
        <v>24579</v>
      </c>
      <c r="J6467" t="s">
        <v>5476</v>
      </c>
      <c r="K6467" t="s">
        <v>24580</v>
      </c>
      <c r="L6467" t="s">
        <v>5471</v>
      </c>
      <c r="M6467" t="s">
        <v>5471</v>
      </c>
    </row>
    <row r="6468" spans="1:13" x14ac:dyDescent="0.3">
      <c r="A6468" t="s">
        <v>3397</v>
      </c>
      <c r="B6468" t="s">
        <v>7391</v>
      </c>
      <c r="C6468" t="s">
        <v>5487</v>
      </c>
      <c r="D6468" t="s">
        <v>4058</v>
      </c>
      <c r="E6468" t="s">
        <v>5756</v>
      </c>
      <c r="F6468" t="s">
        <v>24581</v>
      </c>
      <c r="G6468" t="s">
        <v>10357</v>
      </c>
      <c r="H6468" t="s">
        <v>5474</v>
      </c>
      <c r="I6468" t="s">
        <v>24582</v>
      </c>
      <c r="J6468" t="s">
        <v>5476</v>
      </c>
      <c r="K6468" t="s">
        <v>24583</v>
      </c>
      <c r="L6468" t="s">
        <v>5471</v>
      </c>
      <c r="M6468" t="s">
        <v>5471</v>
      </c>
    </row>
    <row r="6469" spans="1:13" x14ac:dyDescent="0.3">
      <c r="A6469" t="s">
        <v>3380</v>
      </c>
      <c r="B6469" t="s">
        <v>5261</v>
      </c>
      <c r="C6469" t="s">
        <v>6342</v>
      </c>
      <c r="D6469" t="s">
        <v>4119</v>
      </c>
      <c r="E6469" t="s">
        <v>5532</v>
      </c>
      <c r="F6469" t="s">
        <v>24584</v>
      </c>
      <c r="G6469" t="s">
        <v>24578</v>
      </c>
      <c r="H6469" t="s">
        <v>5474</v>
      </c>
      <c r="I6469" t="s">
        <v>24585</v>
      </c>
      <c r="J6469" t="s">
        <v>5476</v>
      </c>
      <c r="K6469" t="s">
        <v>24586</v>
      </c>
      <c r="L6469" t="s">
        <v>5471</v>
      </c>
      <c r="M6469" t="s">
        <v>5471</v>
      </c>
    </row>
    <row r="6470" spans="1:13" x14ac:dyDescent="0.3">
      <c r="A6470" t="s">
        <v>3397</v>
      </c>
      <c r="B6470" t="s">
        <v>7391</v>
      </c>
      <c r="C6470" t="s">
        <v>5487</v>
      </c>
      <c r="D6470" t="s">
        <v>4058</v>
      </c>
      <c r="E6470" t="s">
        <v>5756</v>
      </c>
      <c r="F6470" t="s">
        <v>24587</v>
      </c>
      <c r="G6470" t="s">
        <v>10357</v>
      </c>
      <c r="H6470" t="s">
        <v>5474</v>
      </c>
      <c r="I6470" t="s">
        <v>24588</v>
      </c>
      <c r="J6470" t="s">
        <v>5476</v>
      </c>
      <c r="K6470" t="s">
        <v>24589</v>
      </c>
      <c r="L6470" t="s">
        <v>5471</v>
      </c>
      <c r="M6470" t="s">
        <v>5471</v>
      </c>
    </row>
    <row r="6471" spans="1:13" x14ac:dyDescent="0.3">
      <c r="A6471" t="s">
        <v>3380</v>
      </c>
      <c r="B6471" t="s">
        <v>5261</v>
      </c>
      <c r="C6471" t="s">
        <v>6342</v>
      </c>
      <c r="D6471" t="s">
        <v>4119</v>
      </c>
      <c r="E6471" t="s">
        <v>5532</v>
      </c>
      <c r="F6471" t="s">
        <v>24590</v>
      </c>
      <c r="G6471" t="s">
        <v>16711</v>
      </c>
      <c r="H6471" t="s">
        <v>5474</v>
      </c>
      <c r="I6471" t="s">
        <v>24591</v>
      </c>
      <c r="J6471" t="s">
        <v>5476</v>
      </c>
      <c r="K6471" t="s">
        <v>21396</v>
      </c>
      <c r="L6471" t="s">
        <v>5471</v>
      </c>
      <c r="M6471" t="s">
        <v>5471</v>
      </c>
    </row>
    <row r="6472" spans="1:13" x14ac:dyDescent="0.3">
      <c r="A6472" t="s">
        <v>3380</v>
      </c>
      <c r="B6472" t="s">
        <v>5261</v>
      </c>
      <c r="C6472" t="s">
        <v>6342</v>
      </c>
      <c r="D6472" t="s">
        <v>4119</v>
      </c>
      <c r="E6472" t="s">
        <v>5532</v>
      </c>
      <c r="F6472" t="s">
        <v>24592</v>
      </c>
      <c r="G6472" t="s">
        <v>16711</v>
      </c>
      <c r="H6472" t="s">
        <v>5474</v>
      </c>
      <c r="I6472" t="s">
        <v>24593</v>
      </c>
      <c r="J6472" t="s">
        <v>5476</v>
      </c>
      <c r="K6472" t="s">
        <v>24594</v>
      </c>
      <c r="L6472" t="s">
        <v>5471</v>
      </c>
      <c r="M6472" t="s">
        <v>5471</v>
      </c>
    </row>
    <row r="6473" spans="1:13" x14ac:dyDescent="0.3">
      <c r="A6473" t="s">
        <v>3380</v>
      </c>
      <c r="B6473" t="s">
        <v>5261</v>
      </c>
      <c r="C6473" t="s">
        <v>6342</v>
      </c>
      <c r="D6473" t="s">
        <v>4119</v>
      </c>
      <c r="E6473" t="s">
        <v>5532</v>
      </c>
      <c r="F6473" t="s">
        <v>24595</v>
      </c>
      <c r="G6473" t="s">
        <v>16719</v>
      </c>
      <c r="H6473" t="s">
        <v>5474</v>
      </c>
      <c r="I6473" t="s">
        <v>24596</v>
      </c>
      <c r="J6473" t="s">
        <v>5476</v>
      </c>
      <c r="K6473" t="s">
        <v>21400</v>
      </c>
      <c r="L6473" t="s">
        <v>5471</v>
      </c>
      <c r="M6473" t="s">
        <v>5471</v>
      </c>
    </row>
    <row r="6474" spans="1:13" x14ac:dyDescent="0.3">
      <c r="A6474" t="s">
        <v>3380</v>
      </c>
      <c r="B6474" t="s">
        <v>5261</v>
      </c>
      <c r="C6474" t="s">
        <v>6342</v>
      </c>
      <c r="D6474" t="s">
        <v>4119</v>
      </c>
      <c r="E6474" t="s">
        <v>5532</v>
      </c>
      <c r="F6474" t="s">
        <v>24597</v>
      </c>
      <c r="G6474" t="s">
        <v>16719</v>
      </c>
      <c r="H6474" t="s">
        <v>5474</v>
      </c>
      <c r="I6474" t="s">
        <v>24598</v>
      </c>
      <c r="J6474" t="s">
        <v>5476</v>
      </c>
      <c r="K6474" t="s">
        <v>24599</v>
      </c>
      <c r="L6474" t="s">
        <v>5471</v>
      </c>
      <c r="M6474" t="s">
        <v>5471</v>
      </c>
    </row>
    <row r="6475" spans="1:13" x14ac:dyDescent="0.3">
      <c r="A6475" t="s">
        <v>3380</v>
      </c>
      <c r="B6475" t="s">
        <v>5261</v>
      </c>
      <c r="C6475" t="s">
        <v>6342</v>
      </c>
      <c r="D6475" t="s">
        <v>4119</v>
      </c>
      <c r="E6475" t="s">
        <v>5532</v>
      </c>
      <c r="F6475" t="s">
        <v>24600</v>
      </c>
      <c r="G6475" t="s">
        <v>16727</v>
      </c>
      <c r="H6475" t="s">
        <v>5474</v>
      </c>
      <c r="I6475" t="s">
        <v>24601</v>
      </c>
      <c r="J6475" t="s">
        <v>5476</v>
      </c>
      <c r="K6475" t="s">
        <v>24602</v>
      </c>
      <c r="L6475" t="s">
        <v>5471</v>
      </c>
      <c r="M6475" t="s">
        <v>5471</v>
      </c>
    </row>
    <row r="6476" spans="1:13" x14ac:dyDescent="0.3">
      <c r="A6476" t="s">
        <v>3380</v>
      </c>
      <c r="B6476" t="s">
        <v>5261</v>
      </c>
      <c r="C6476" t="s">
        <v>6342</v>
      </c>
      <c r="D6476" t="s">
        <v>4119</v>
      </c>
      <c r="E6476" t="s">
        <v>5532</v>
      </c>
      <c r="F6476" t="s">
        <v>24603</v>
      </c>
      <c r="G6476" t="s">
        <v>16727</v>
      </c>
      <c r="H6476" t="s">
        <v>5474</v>
      </c>
      <c r="I6476" t="s">
        <v>24604</v>
      </c>
      <c r="J6476" t="s">
        <v>5476</v>
      </c>
      <c r="K6476" t="s">
        <v>24605</v>
      </c>
      <c r="L6476" t="s">
        <v>5471</v>
      </c>
      <c r="M6476" t="s">
        <v>5471</v>
      </c>
    </row>
    <row r="6477" spans="1:13" x14ac:dyDescent="0.3">
      <c r="A6477" t="s">
        <v>3380</v>
      </c>
      <c r="B6477" t="s">
        <v>16102</v>
      </c>
      <c r="C6477" t="s">
        <v>6342</v>
      </c>
      <c r="D6477" t="s">
        <v>4119</v>
      </c>
      <c r="E6477" t="s">
        <v>5532</v>
      </c>
      <c r="F6477" t="s">
        <v>24606</v>
      </c>
      <c r="G6477" t="s">
        <v>16104</v>
      </c>
      <c r="H6477" t="s">
        <v>5474</v>
      </c>
      <c r="I6477" t="s">
        <v>24607</v>
      </c>
      <c r="J6477" t="s">
        <v>5476</v>
      </c>
      <c r="K6477" t="s">
        <v>11006</v>
      </c>
      <c r="L6477" t="s">
        <v>5471</v>
      </c>
      <c r="M6477" t="s">
        <v>5471</v>
      </c>
    </row>
    <row r="6478" spans="1:13" x14ac:dyDescent="0.3">
      <c r="A6478" t="s">
        <v>3380</v>
      </c>
      <c r="B6478" t="s">
        <v>5261</v>
      </c>
      <c r="C6478" t="s">
        <v>6342</v>
      </c>
      <c r="D6478" t="s">
        <v>4119</v>
      </c>
      <c r="E6478" t="s">
        <v>5532</v>
      </c>
      <c r="F6478" t="s">
        <v>24608</v>
      </c>
      <c r="G6478" t="s">
        <v>16738</v>
      </c>
      <c r="H6478" t="s">
        <v>5474</v>
      </c>
      <c r="I6478" t="s">
        <v>24609</v>
      </c>
      <c r="J6478" t="s">
        <v>5476</v>
      </c>
      <c r="K6478" t="s">
        <v>24610</v>
      </c>
      <c r="L6478" t="s">
        <v>5471</v>
      </c>
      <c r="M6478" t="s">
        <v>5471</v>
      </c>
    </row>
    <row r="6479" spans="1:13" x14ac:dyDescent="0.3">
      <c r="A6479" t="s">
        <v>3380</v>
      </c>
      <c r="B6479" t="s">
        <v>16102</v>
      </c>
      <c r="C6479" t="s">
        <v>6342</v>
      </c>
      <c r="D6479" t="s">
        <v>4119</v>
      </c>
      <c r="E6479" t="s">
        <v>5532</v>
      </c>
      <c r="F6479" t="s">
        <v>24611</v>
      </c>
      <c r="G6479" t="s">
        <v>16104</v>
      </c>
      <c r="H6479" t="s">
        <v>5474</v>
      </c>
      <c r="I6479" t="s">
        <v>24612</v>
      </c>
      <c r="J6479" t="s">
        <v>5476</v>
      </c>
      <c r="K6479" t="s">
        <v>11003</v>
      </c>
      <c r="L6479" t="s">
        <v>5471</v>
      </c>
      <c r="M6479" t="s">
        <v>5471</v>
      </c>
    </row>
    <row r="6480" spans="1:13" x14ac:dyDescent="0.3">
      <c r="A6480" t="s">
        <v>3380</v>
      </c>
      <c r="B6480" t="s">
        <v>5261</v>
      </c>
      <c r="C6480" t="s">
        <v>6342</v>
      </c>
      <c r="D6480" t="s">
        <v>4119</v>
      </c>
      <c r="E6480" t="s">
        <v>5532</v>
      </c>
      <c r="F6480" t="s">
        <v>24613</v>
      </c>
      <c r="G6480" t="s">
        <v>16738</v>
      </c>
      <c r="H6480" t="s">
        <v>5474</v>
      </c>
      <c r="I6480" t="s">
        <v>24614</v>
      </c>
      <c r="J6480" t="s">
        <v>5476</v>
      </c>
      <c r="K6480" t="s">
        <v>24615</v>
      </c>
      <c r="L6480" t="s">
        <v>5471</v>
      </c>
      <c r="M6480" t="s">
        <v>5471</v>
      </c>
    </row>
    <row r="6481" spans="1:13" x14ac:dyDescent="0.3">
      <c r="A6481" t="s">
        <v>3380</v>
      </c>
      <c r="B6481" t="s">
        <v>16102</v>
      </c>
      <c r="C6481" t="s">
        <v>6342</v>
      </c>
      <c r="D6481" t="s">
        <v>4119</v>
      </c>
      <c r="E6481" t="s">
        <v>5532</v>
      </c>
      <c r="F6481" t="s">
        <v>24616</v>
      </c>
      <c r="G6481" t="s">
        <v>16104</v>
      </c>
      <c r="H6481" t="s">
        <v>5474</v>
      </c>
      <c r="I6481" t="s">
        <v>24617</v>
      </c>
      <c r="J6481" t="s">
        <v>5476</v>
      </c>
      <c r="K6481" t="s">
        <v>24618</v>
      </c>
      <c r="L6481" t="s">
        <v>5471</v>
      </c>
      <c r="M6481" t="s">
        <v>5471</v>
      </c>
    </row>
    <row r="6482" spans="1:13" x14ac:dyDescent="0.3">
      <c r="A6482" t="s">
        <v>3380</v>
      </c>
      <c r="B6482" t="s">
        <v>16102</v>
      </c>
      <c r="C6482" t="s">
        <v>6342</v>
      </c>
      <c r="D6482" t="s">
        <v>4119</v>
      </c>
      <c r="E6482" t="s">
        <v>5532</v>
      </c>
      <c r="F6482" t="s">
        <v>24619</v>
      </c>
      <c r="G6482" t="s">
        <v>16104</v>
      </c>
      <c r="H6482" t="s">
        <v>5474</v>
      </c>
      <c r="I6482" t="s">
        <v>24620</v>
      </c>
      <c r="J6482" t="s">
        <v>5476</v>
      </c>
      <c r="K6482" t="s">
        <v>16416</v>
      </c>
      <c r="L6482" t="s">
        <v>5471</v>
      </c>
      <c r="M6482" t="s">
        <v>5471</v>
      </c>
    </row>
    <row r="6483" spans="1:13" x14ac:dyDescent="0.3">
      <c r="A6483" t="s">
        <v>3380</v>
      </c>
      <c r="B6483" t="s">
        <v>16102</v>
      </c>
      <c r="C6483" t="s">
        <v>6342</v>
      </c>
      <c r="D6483" t="s">
        <v>4119</v>
      </c>
      <c r="E6483" t="s">
        <v>5532</v>
      </c>
      <c r="F6483" t="s">
        <v>24621</v>
      </c>
      <c r="G6483" t="s">
        <v>16104</v>
      </c>
      <c r="H6483" t="s">
        <v>5474</v>
      </c>
      <c r="I6483" t="s">
        <v>24622</v>
      </c>
      <c r="J6483" t="s">
        <v>5476</v>
      </c>
      <c r="K6483" t="s">
        <v>24623</v>
      </c>
      <c r="L6483" t="s">
        <v>5471</v>
      </c>
      <c r="M6483" t="s">
        <v>5471</v>
      </c>
    </row>
    <row r="6484" spans="1:13" x14ac:dyDescent="0.3">
      <c r="A6484" t="s">
        <v>3380</v>
      </c>
      <c r="B6484" t="s">
        <v>5261</v>
      </c>
      <c r="C6484" t="s">
        <v>6342</v>
      </c>
      <c r="D6484" t="s">
        <v>4119</v>
      </c>
      <c r="E6484" t="s">
        <v>5532</v>
      </c>
      <c r="F6484" t="s">
        <v>24624</v>
      </c>
      <c r="G6484" t="s">
        <v>16694</v>
      </c>
      <c r="H6484" t="s">
        <v>5474</v>
      </c>
      <c r="I6484" t="s">
        <v>24625</v>
      </c>
      <c r="J6484" t="s">
        <v>5476</v>
      </c>
      <c r="K6484" t="s">
        <v>24626</v>
      </c>
      <c r="L6484" t="s">
        <v>5471</v>
      </c>
      <c r="M6484" t="s">
        <v>5471</v>
      </c>
    </row>
    <row r="6485" spans="1:13" x14ac:dyDescent="0.3">
      <c r="A6485" t="s">
        <v>3380</v>
      </c>
      <c r="B6485" t="s">
        <v>5261</v>
      </c>
      <c r="C6485" t="s">
        <v>6342</v>
      </c>
      <c r="D6485" t="s">
        <v>4119</v>
      </c>
      <c r="E6485" t="s">
        <v>5532</v>
      </c>
      <c r="F6485" t="s">
        <v>24627</v>
      </c>
      <c r="G6485" t="s">
        <v>16694</v>
      </c>
      <c r="H6485" t="s">
        <v>5474</v>
      </c>
      <c r="I6485" t="s">
        <v>24628</v>
      </c>
      <c r="J6485" t="s">
        <v>5476</v>
      </c>
      <c r="K6485" t="s">
        <v>24629</v>
      </c>
      <c r="L6485" t="s">
        <v>5471</v>
      </c>
      <c r="M6485" t="s">
        <v>5471</v>
      </c>
    </row>
    <row r="6486" spans="1:13" x14ac:dyDescent="0.3">
      <c r="A6486" t="s">
        <v>3380</v>
      </c>
      <c r="B6486" t="s">
        <v>5261</v>
      </c>
      <c r="C6486" t="s">
        <v>6342</v>
      </c>
      <c r="D6486" t="s">
        <v>4119</v>
      </c>
      <c r="E6486" t="s">
        <v>5843</v>
      </c>
      <c r="F6486" t="s">
        <v>24630</v>
      </c>
      <c r="G6486" t="s">
        <v>16792</v>
      </c>
      <c r="H6486" t="s">
        <v>5474</v>
      </c>
      <c r="I6486" t="s">
        <v>24631</v>
      </c>
      <c r="J6486" t="s">
        <v>5476</v>
      </c>
      <c r="K6486" t="s">
        <v>24632</v>
      </c>
      <c r="L6486" t="s">
        <v>5471</v>
      </c>
      <c r="M6486" t="s">
        <v>5471</v>
      </c>
    </row>
    <row r="6487" spans="1:13" x14ac:dyDescent="0.3">
      <c r="A6487" t="s">
        <v>3380</v>
      </c>
      <c r="B6487" t="s">
        <v>5261</v>
      </c>
      <c r="C6487" t="s">
        <v>6342</v>
      </c>
      <c r="D6487" t="s">
        <v>4119</v>
      </c>
      <c r="E6487" t="s">
        <v>5843</v>
      </c>
      <c r="F6487" t="s">
        <v>24633</v>
      </c>
      <c r="G6487" t="s">
        <v>16792</v>
      </c>
      <c r="H6487" t="s">
        <v>5474</v>
      </c>
      <c r="I6487" t="s">
        <v>24634</v>
      </c>
      <c r="J6487" t="s">
        <v>5476</v>
      </c>
      <c r="K6487" t="s">
        <v>24635</v>
      </c>
      <c r="L6487" t="s">
        <v>5471</v>
      </c>
      <c r="M6487" t="s">
        <v>5471</v>
      </c>
    </row>
    <row r="6488" spans="1:13" x14ac:dyDescent="0.3">
      <c r="A6488" t="s">
        <v>3380</v>
      </c>
      <c r="B6488" t="s">
        <v>10051</v>
      </c>
      <c r="C6488" t="s">
        <v>6342</v>
      </c>
      <c r="D6488" t="s">
        <v>4052</v>
      </c>
      <c r="E6488" t="s">
        <v>9935</v>
      </c>
      <c r="F6488" t="s">
        <v>24636</v>
      </c>
      <c r="G6488" t="s">
        <v>16085</v>
      </c>
      <c r="H6488" t="s">
        <v>5474</v>
      </c>
      <c r="I6488" t="s">
        <v>24637</v>
      </c>
      <c r="J6488" t="s">
        <v>5476</v>
      </c>
      <c r="K6488" t="s">
        <v>16494</v>
      </c>
      <c r="L6488" t="s">
        <v>5471</v>
      </c>
      <c r="M6488" t="s">
        <v>5471</v>
      </c>
    </row>
    <row r="6489" spans="1:13" x14ac:dyDescent="0.3">
      <c r="A6489" t="s">
        <v>3380</v>
      </c>
      <c r="B6489" t="s">
        <v>5261</v>
      </c>
      <c r="C6489" t="s">
        <v>6342</v>
      </c>
      <c r="D6489" t="s">
        <v>4119</v>
      </c>
      <c r="E6489" t="s">
        <v>5843</v>
      </c>
      <c r="F6489" t="s">
        <v>24638</v>
      </c>
      <c r="G6489" t="s">
        <v>16816</v>
      </c>
      <c r="H6489" t="s">
        <v>5474</v>
      </c>
      <c r="I6489" t="s">
        <v>24639</v>
      </c>
      <c r="J6489" t="s">
        <v>5476</v>
      </c>
      <c r="K6489" t="s">
        <v>24640</v>
      </c>
      <c r="L6489" t="s">
        <v>5471</v>
      </c>
      <c r="M6489" t="s">
        <v>5471</v>
      </c>
    </row>
    <row r="6490" spans="1:13" x14ac:dyDescent="0.3">
      <c r="A6490" t="s">
        <v>3380</v>
      </c>
      <c r="B6490" t="s">
        <v>5261</v>
      </c>
      <c r="C6490" t="s">
        <v>6342</v>
      </c>
      <c r="D6490" t="s">
        <v>4119</v>
      </c>
      <c r="E6490" t="s">
        <v>5843</v>
      </c>
      <c r="F6490" t="s">
        <v>24641</v>
      </c>
      <c r="G6490" t="s">
        <v>16816</v>
      </c>
      <c r="H6490" t="s">
        <v>5474</v>
      </c>
      <c r="I6490" t="s">
        <v>24642</v>
      </c>
      <c r="J6490" t="s">
        <v>5476</v>
      </c>
      <c r="K6490" t="s">
        <v>24643</v>
      </c>
      <c r="L6490" t="s">
        <v>5471</v>
      </c>
      <c r="M6490" t="s">
        <v>5471</v>
      </c>
    </row>
    <row r="6491" spans="1:13" x14ac:dyDescent="0.3">
      <c r="A6491" t="s">
        <v>3380</v>
      </c>
      <c r="B6491" t="s">
        <v>10051</v>
      </c>
      <c r="C6491" t="s">
        <v>6342</v>
      </c>
      <c r="D6491" t="s">
        <v>4058</v>
      </c>
      <c r="E6491" t="s">
        <v>9935</v>
      </c>
      <c r="F6491" t="s">
        <v>24644</v>
      </c>
      <c r="G6491" t="s">
        <v>10092</v>
      </c>
      <c r="H6491" t="s">
        <v>5474</v>
      </c>
      <c r="I6491" t="s">
        <v>24645</v>
      </c>
      <c r="J6491" t="s">
        <v>5476</v>
      </c>
      <c r="K6491" t="s">
        <v>16560</v>
      </c>
      <c r="L6491" t="s">
        <v>5471</v>
      </c>
      <c r="M6491" t="s">
        <v>5471</v>
      </c>
    </row>
    <row r="6492" spans="1:13" x14ac:dyDescent="0.3">
      <c r="A6492" t="s">
        <v>3380</v>
      </c>
      <c r="B6492" t="s">
        <v>5261</v>
      </c>
      <c r="C6492" t="s">
        <v>6342</v>
      </c>
      <c r="D6492" t="s">
        <v>4119</v>
      </c>
      <c r="E6492" t="s">
        <v>5843</v>
      </c>
      <c r="F6492" t="s">
        <v>24646</v>
      </c>
      <c r="G6492" t="s">
        <v>16863</v>
      </c>
      <c r="H6492" t="s">
        <v>5474</v>
      </c>
      <c r="I6492" t="s">
        <v>24647</v>
      </c>
      <c r="J6492" t="s">
        <v>5476</v>
      </c>
      <c r="K6492" t="s">
        <v>24648</v>
      </c>
      <c r="L6492" t="s">
        <v>5471</v>
      </c>
      <c r="M6492" t="s">
        <v>5471</v>
      </c>
    </row>
    <row r="6493" spans="1:13" x14ac:dyDescent="0.3">
      <c r="A6493" t="s">
        <v>3397</v>
      </c>
      <c r="B6493" t="s">
        <v>7391</v>
      </c>
      <c r="C6493" t="s">
        <v>5487</v>
      </c>
      <c r="D6493" t="s">
        <v>4056</v>
      </c>
      <c r="E6493" t="s">
        <v>5480</v>
      </c>
      <c r="F6493" t="s">
        <v>24649</v>
      </c>
      <c r="G6493" t="s">
        <v>10357</v>
      </c>
      <c r="H6493" t="s">
        <v>5474</v>
      </c>
      <c r="I6493" t="s">
        <v>24650</v>
      </c>
      <c r="J6493" t="s">
        <v>5476</v>
      </c>
      <c r="K6493" t="s">
        <v>24651</v>
      </c>
      <c r="L6493" t="s">
        <v>5478</v>
      </c>
      <c r="M6493" t="s">
        <v>5471</v>
      </c>
    </row>
    <row r="6494" spans="1:13" x14ac:dyDescent="0.3">
      <c r="A6494" t="s">
        <v>3380</v>
      </c>
      <c r="B6494" t="s">
        <v>5261</v>
      </c>
      <c r="C6494" t="s">
        <v>6342</v>
      </c>
      <c r="D6494" t="s">
        <v>4119</v>
      </c>
      <c r="E6494" t="s">
        <v>5843</v>
      </c>
      <c r="F6494" t="s">
        <v>24652</v>
      </c>
      <c r="G6494" t="s">
        <v>16863</v>
      </c>
      <c r="H6494" t="s">
        <v>5474</v>
      </c>
      <c r="I6494" t="s">
        <v>24653</v>
      </c>
      <c r="J6494" t="s">
        <v>5476</v>
      </c>
      <c r="K6494" t="s">
        <v>24654</v>
      </c>
      <c r="L6494" t="s">
        <v>5471</v>
      </c>
      <c r="M6494" t="s">
        <v>5471</v>
      </c>
    </row>
    <row r="6495" spans="1:13" x14ac:dyDescent="0.3">
      <c r="A6495" t="s">
        <v>3380</v>
      </c>
      <c r="B6495" t="s">
        <v>5261</v>
      </c>
      <c r="C6495" t="s">
        <v>6342</v>
      </c>
      <c r="D6495" t="s">
        <v>4119</v>
      </c>
      <c r="E6495" t="s">
        <v>5843</v>
      </c>
      <c r="F6495" t="s">
        <v>24655</v>
      </c>
      <c r="G6495" t="s">
        <v>16843</v>
      </c>
      <c r="H6495" t="s">
        <v>5474</v>
      </c>
      <c r="I6495" t="s">
        <v>24656</v>
      </c>
      <c r="J6495" t="s">
        <v>5476</v>
      </c>
      <c r="K6495" t="s">
        <v>24657</v>
      </c>
      <c r="L6495" t="s">
        <v>5471</v>
      </c>
      <c r="M6495" t="s">
        <v>5471</v>
      </c>
    </row>
    <row r="6496" spans="1:13" x14ac:dyDescent="0.3">
      <c r="A6496" t="s">
        <v>3380</v>
      </c>
      <c r="B6496" t="s">
        <v>5261</v>
      </c>
      <c r="C6496" t="s">
        <v>6342</v>
      </c>
      <c r="D6496" t="s">
        <v>4119</v>
      </c>
      <c r="E6496" t="s">
        <v>5843</v>
      </c>
      <c r="F6496" t="s">
        <v>24658</v>
      </c>
      <c r="G6496" t="s">
        <v>16843</v>
      </c>
      <c r="H6496" t="s">
        <v>5474</v>
      </c>
      <c r="I6496" t="s">
        <v>24659</v>
      </c>
      <c r="J6496" t="s">
        <v>5476</v>
      </c>
      <c r="K6496" t="s">
        <v>24660</v>
      </c>
      <c r="L6496" t="s">
        <v>5471</v>
      </c>
      <c r="M6496" t="s">
        <v>5471</v>
      </c>
    </row>
    <row r="6497" spans="1:13" x14ac:dyDescent="0.3">
      <c r="A6497" t="s">
        <v>3380</v>
      </c>
      <c r="B6497" t="s">
        <v>10051</v>
      </c>
      <c r="C6497" t="s">
        <v>6342</v>
      </c>
      <c r="D6497" t="s">
        <v>4058</v>
      </c>
      <c r="E6497" t="s">
        <v>9935</v>
      </c>
      <c r="F6497" t="s">
        <v>24661</v>
      </c>
      <c r="G6497" t="s">
        <v>10077</v>
      </c>
      <c r="H6497" t="s">
        <v>5474</v>
      </c>
      <c r="I6497" t="s">
        <v>24662</v>
      </c>
      <c r="J6497" t="s">
        <v>5476</v>
      </c>
      <c r="K6497" t="s">
        <v>16576</v>
      </c>
      <c r="L6497" t="s">
        <v>5471</v>
      </c>
      <c r="M6497" t="s">
        <v>5471</v>
      </c>
    </row>
    <row r="6498" spans="1:13" x14ac:dyDescent="0.3">
      <c r="A6498" t="s">
        <v>3397</v>
      </c>
      <c r="B6498" t="s">
        <v>7391</v>
      </c>
      <c r="C6498" t="s">
        <v>5487</v>
      </c>
      <c r="D6498" t="s">
        <v>4056</v>
      </c>
      <c r="E6498" t="s">
        <v>5480</v>
      </c>
      <c r="F6498" t="s">
        <v>24663</v>
      </c>
      <c r="G6498" t="s">
        <v>10357</v>
      </c>
      <c r="H6498" t="s">
        <v>5474</v>
      </c>
      <c r="I6498" t="s">
        <v>24664</v>
      </c>
      <c r="J6498" t="s">
        <v>5476</v>
      </c>
      <c r="K6498" t="s">
        <v>24665</v>
      </c>
      <c r="L6498" t="s">
        <v>5478</v>
      </c>
      <c r="M6498" t="s">
        <v>5471</v>
      </c>
    </row>
    <row r="6499" spans="1:13" x14ac:dyDescent="0.3">
      <c r="A6499" t="s">
        <v>3397</v>
      </c>
      <c r="B6499" t="s">
        <v>7391</v>
      </c>
      <c r="C6499" t="s">
        <v>5487</v>
      </c>
      <c r="D6499" t="s">
        <v>4056</v>
      </c>
      <c r="E6499" t="s">
        <v>5480</v>
      </c>
      <c r="F6499" t="s">
        <v>24666</v>
      </c>
      <c r="G6499" t="s">
        <v>10357</v>
      </c>
      <c r="H6499" t="s">
        <v>5474</v>
      </c>
      <c r="I6499" t="s">
        <v>24667</v>
      </c>
      <c r="J6499" t="s">
        <v>5476</v>
      </c>
      <c r="K6499" t="s">
        <v>24668</v>
      </c>
      <c r="L6499" t="s">
        <v>5478</v>
      </c>
      <c r="M6499" t="s">
        <v>5471</v>
      </c>
    </row>
    <row r="6500" spans="1:13" x14ac:dyDescent="0.3">
      <c r="A6500" t="s">
        <v>3380</v>
      </c>
      <c r="B6500" t="s">
        <v>5306</v>
      </c>
      <c r="C6500" t="s">
        <v>6342</v>
      </c>
      <c r="D6500" t="s">
        <v>4058</v>
      </c>
      <c r="E6500" t="s">
        <v>5532</v>
      </c>
      <c r="F6500" t="s">
        <v>24669</v>
      </c>
      <c r="G6500" t="s">
        <v>17225</v>
      </c>
      <c r="H6500" t="s">
        <v>5474</v>
      </c>
      <c r="I6500" t="s">
        <v>24670</v>
      </c>
      <c r="J6500" t="s">
        <v>5476</v>
      </c>
      <c r="K6500" t="s">
        <v>24671</v>
      </c>
      <c r="L6500" t="s">
        <v>5471</v>
      </c>
      <c r="M6500" t="s">
        <v>5471</v>
      </c>
    </row>
    <row r="6501" spans="1:13" x14ac:dyDescent="0.3">
      <c r="A6501" t="s">
        <v>3397</v>
      </c>
      <c r="B6501" t="s">
        <v>7391</v>
      </c>
      <c r="C6501" t="s">
        <v>5487</v>
      </c>
      <c r="D6501" t="s">
        <v>4056</v>
      </c>
      <c r="E6501" t="s">
        <v>5480</v>
      </c>
      <c r="F6501" t="s">
        <v>24672</v>
      </c>
      <c r="G6501" t="s">
        <v>10357</v>
      </c>
      <c r="H6501" t="s">
        <v>5474</v>
      </c>
      <c r="I6501" t="s">
        <v>24673</v>
      </c>
      <c r="J6501" t="s">
        <v>5476</v>
      </c>
      <c r="K6501" t="s">
        <v>24674</v>
      </c>
      <c r="L6501" t="s">
        <v>5478</v>
      </c>
      <c r="M6501" t="s">
        <v>5471</v>
      </c>
    </row>
    <row r="6502" spans="1:13" x14ac:dyDescent="0.3">
      <c r="A6502" t="s">
        <v>3397</v>
      </c>
      <c r="B6502" t="s">
        <v>7391</v>
      </c>
      <c r="C6502" t="s">
        <v>5487</v>
      </c>
      <c r="D6502" t="s">
        <v>4056</v>
      </c>
      <c r="E6502" t="s">
        <v>5480</v>
      </c>
      <c r="F6502" t="s">
        <v>24675</v>
      </c>
      <c r="G6502" t="s">
        <v>10357</v>
      </c>
      <c r="H6502" t="s">
        <v>5474</v>
      </c>
      <c r="I6502" t="s">
        <v>24676</v>
      </c>
      <c r="J6502" t="s">
        <v>5476</v>
      </c>
      <c r="K6502" t="s">
        <v>24677</v>
      </c>
      <c r="L6502" t="s">
        <v>5478</v>
      </c>
      <c r="M6502" t="s">
        <v>5471</v>
      </c>
    </row>
    <row r="6503" spans="1:13" x14ac:dyDescent="0.3">
      <c r="A6503" t="s">
        <v>3380</v>
      </c>
      <c r="B6503" t="s">
        <v>5306</v>
      </c>
      <c r="C6503" t="s">
        <v>6342</v>
      </c>
      <c r="D6503" t="s">
        <v>4058</v>
      </c>
      <c r="E6503" t="s">
        <v>5532</v>
      </c>
      <c r="F6503" t="s">
        <v>24678</v>
      </c>
      <c r="G6503" t="s">
        <v>17225</v>
      </c>
      <c r="H6503" t="s">
        <v>5474</v>
      </c>
      <c r="I6503" t="s">
        <v>24679</v>
      </c>
      <c r="J6503" t="s">
        <v>5476</v>
      </c>
      <c r="K6503" t="s">
        <v>24680</v>
      </c>
      <c r="L6503" t="s">
        <v>5471</v>
      </c>
      <c r="M6503" t="s">
        <v>5471</v>
      </c>
    </row>
    <row r="6504" spans="1:13" x14ac:dyDescent="0.3">
      <c r="A6504" t="s">
        <v>3397</v>
      </c>
      <c r="B6504" t="s">
        <v>7391</v>
      </c>
      <c r="C6504" t="s">
        <v>5487</v>
      </c>
      <c r="D6504" t="s">
        <v>4056</v>
      </c>
      <c r="E6504" t="s">
        <v>5480</v>
      </c>
      <c r="F6504" t="s">
        <v>24681</v>
      </c>
      <c r="G6504" t="s">
        <v>10357</v>
      </c>
      <c r="H6504" t="s">
        <v>5474</v>
      </c>
      <c r="I6504" t="s">
        <v>24682</v>
      </c>
      <c r="J6504" t="s">
        <v>5476</v>
      </c>
      <c r="K6504" t="s">
        <v>24683</v>
      </c>
      <c r="L6504" t="s">
        <v>5478</v>
      </c>
      <c r="M6504" t="s">
        <v>5471</v>
      </c>
    </row>
    <row r="6505" spans="1:13" x14ac:dyDescent="0.3">
      <c r="A6505" t="s">
        <v>3397</v>
      </c>
      <c r="B6505" t="s">
        <v>7391</v>
      </c>
      <c r="C6505" t="s">
        <v>5487</v>
      </c>
      <c r="D6505" t="s">
        <v>4056</v>
      </c>
      <c r="E6505" t="s">
        <v>5480</v>
      </c>
      <c r="F6505" t="s">
        <v>24684</v>
      </c>
      <c r="G6505" t="s">
        <v>10357</v>
      </c>
      <c r="H6505" t="s">
        <v>5474</v>
      </c>
      <c r="I6505" t="s">
        <v>24685</v>
      </c>
      <c r="J6505" t="s">
        <v>5476</v>
      </c>
      <c r="K6505" t="s">
        <v>24686</v>
      </c>
      <c r="L6505" t="s">
        <v>5478</v>
      </c>
      <c r="M6505" t="s">
        <v>5471</v>
      </c>
    </row>
    <row r="6506" spans="1:13" x14ac:dyDescent="0.3">
      <c r="A6506" t="s">
        <v>3397</v>
      </c>
      <c r="B6506" t="s">
        <v>7391</v>
      </c>
      <c r="C6506" t="s">
        <v>5487</v>
      </c>
      <c r="D6506" t="s">
        <v>4056</v>
      </c>
      <c r="E6506" t="s">
        <v>5480</v>
      </c>
      <c r="F6506" t="s">
        <v>24687</v>
      </c>
      <c r="G6506" t="s">
        <v>10357</v>
      </c>
      <c r="H6506" t="s">
        <v>5474</v>
      </c>
      <c r="I6506" t="s">
        <v>24688</v>
      </c>
      <c r="J6506" t="s">
        <v>5476</v>
      </c>
      <c r="K6506" t="s">
        <v>24689</v>
      </c>
      <c r="L6506" t="s">
        <v>5478</v>
      </c>
      <c r="M6506" t="s">
        <v>5471</v>
      </c>
    </row>
    <row r="6507" spans="1:13" x14ac:dyDescent="0.3">
      <c r="A6507" t="s">
        <v>3397</v>
      </c>
      <c r="B6507" t="s">
        <v>7391</v>
      </c>
      <c r="C6507" t="s">
        <v>5487</v>
      </c>
      <c r="D6507" t="s">
        <v>4056</v>
      </c>
      <c r="E6507" t="s">
        <v>5480</v>
      </c>
      <c r="F6507" t="s">
        <v>24690</v>
      </c>
      <c r="G6507" t="s">
        <v>10357</v>
      </c>
      <c r="H6507" t="s">
        <v>5474</v>
      </c>
      <c r="I6507" t="s">
        <v>24691</v>
      </c>
      <c r="J6507" t="s">
        <v>5476</v>
      </c>
      <c r="K6507" t="s">
        <v>24692</v>
      </c>
      <c r="L6507" t="s">
        <v>5478</v>
      </c>
      <c r="M6507" t="s">
        <v>5471</v>
      </c>
    </row>
    <row r="6508" spans="1:13" x14ac:dyDescent="0.3">
      <c r="A6508" t="s">
        <v>3397</v>
      </c>
      <c r="B6508" t="s">
        <v>7391</v>
      </c>
      <c r="C6508" t="s">
        <v>5487</v>
      </c>
      <c r="D6508" t="s">
        <v>4056</v>
      </c>
      <c r="E6508" t="s">
        <v>5480</v>
      </c>
      <c r="F6508" t="s">
        <v>24693</v>
      </c>
      <c r="G6508" t="s">
        <v>10357</v>
      </c>
      <c r="H6508" t="s">
        <v>5474</v>
      </c>
      <c r="I6508" t="s">
        <v>24694</v>
      </c>
      <c r="J6508" t="s">
        <v>5476</v>
      </c>
      <c r="K6508" t="s">
        <v>24695</v>
      </c>
      <c r="L6508" t="s">
        <v>5478</v>
      </c>
      <c r="M6508" t="s">
        <v>5471</v>
      </c>
    </row>
    <row r="6509" spans="1:13" x14ac:dyDescent="0.3">
      <c r="A6509" t="s">
        <v>3397</v>
      </c>
      <c r="B6509" t="s">
        <v>7391</v>
      </c>
      <c r="C6509" t="s">
        <v>5487</v>
      </c>
      <c r="D6509" t="s">
        <v>4056</v>
      </c>
      <c r="E6509" t="s">
        <v>5480</v>
      </c>
      <c r="F6509" t="s">
        <v>24696</v>
      </c>
      <c r="G6509" t="s">
        <v>10357</v>
      </c>
      <c r="H6509" t="s">
        <v>5474</v>
      </c>
      <c r="I6509" t="s">
        <v>24697</v>
      </c>
      <c r="J6509" t="s">
        <v>5476</v>
      </c>
      <c r="K6509" t="s">
        <v>24698</v>
      </c>
      <c r="L6509" t="s">
        <v>5478</v>
      </c>
      <c r="M6509" t="s">
        <v>5471</v>
      </c>
    </row>
    <row r="6510" spans="1:13" x14ac:dyDescent="0.3">
      <c r="A6510" t="s">
        <v>3397</v>
      </c>
      <c r="B6510" t="s">
        <v>7391</v>
      </c>
      <c r="C6510" t="s">
        <v>5487</v>
      </c>
      <c r="D6510" t="s">
        <v>4056</v>
      </c>
      <c r="E6510" t="s">
        <v>5480</v>
      </c>
      <c r="F6510" t="s">
        <v>24699</v>
      </c>
      <c r="G6510" t="s">
        <v>10357</v>
      </c>
      <c r="H6510" t="s">
        <v>5474</v>
      </c>
      <c r="I6510" t="s">
        <v>24700</v>
      </c>
      <c r="J6510" t="s">
        <v>5476</v>
      </c>
      <c r="K6510" t="s">
        <v>24701</v>
      </c>
      <c r="L6510" t="s">
        <v>5478</v>
      </c>
      <c r="M6510" t="s">
        <v>5471</v>
      </c>
    </row>
    <row r="6511" spans="1:13" x14ac:dyDescent="0.3">
      <c r="A6511" t="s">
        <v>3397</v>
      </c>
      <c r="B6511" t="s">
        <v>5255</v>
      </c>
      <c r="C6511" t="s">
        <v>5487</v>
      </c>
      <c r="D6511" t="s">
        <v>4119</v>
      </c>
      <c r="E6511" t="s">
        <v>5532</v>
      </c>
      <c r="F6511" t="s">
        <v>24702</v>
      </c>
      <c r="G6511" t="s">
        <v>24703</v>
      </c>
      <c r="H6511" t="s">
        <v>5474</v>
      </c>
      <c r="I6511" t="s">
        <v>24704</v>
      </c>
      <c r="J6511" t="s">
        <v>5476</v>
      </c>
      <c r="K6511" t="s">
        <v>24705</v>
      </c>
      <c r="L6511" t="s">
        <v>5471</v>
      </c>
      <c r="M6511" t="s">
        <v>5471</v>
      </c>
    </row>
    <row r="6512" spans="1:13" x14ac:dyDescent="0.3">
      <c r="A6512" t="s">
        <v>3397</v>
      </c>
      <c r="B6512" t="s">
        <v>5255</v>
      </c>
      <c r="C6512" t="s">
        <v>5487</v>
      </c>
      <c r="D6512" t="s">
        <v>4119</v>
      </c>
      <c r="E6512" t="s">
        <v>5532</v>
      </c>
      <c r="F6512" t="s">
        <v>24706</v>
      </c>
      <c r="G6512" t="s">
        <v>24707</v>
      </c>
      <c r="H6512" t="s">
        <v>5474</v>
      </c>
      <c r="I6512" t="s">
        <v>24708</v>
      </c>
      <c r="J6512" t="s">
        <v>5476</v>
      </c>
      <c r="K6512" t="s">
        <v>24709</v>
      </c>
      <c r="L6512" t="s">
        <v>5471</v>
      </c>
      <c r="M6512" t="s">
        <v>5471</v>
      </c>
    </row>
    <row r="6513" spans="1:13" x14ac:dyDescent="0.3">
      <c r="A6513" t="s">
        <v>3397</v>
      </c>
      <c r="B6513" t="s">
        <v>5255</v>
      </c>
      <c r="C6513" t="s">
        <v>5487</v>
      </c>
      <c r="D6513" t="s">
        <v>4119</v>
      </c>
      <c r="E6513" t="s">
        <v>5532</v>
      </c>
      <c r="F6513" t="s">
        <v>24710</v>
      </c>
      <c r="G6513" t="s">
        <v>24711</v>
      </c>
      <c r="H6513" t="s">
        <v>5474</v>
      </c>
      <c r="I6513" t="s">
        <v>24712</v>
      </c>
      <c r="J6513" t="s">
        <v>5476</v>
      </c>
      <c r="K6513" t="s">
        <v>24713</v>
      </c>
      <c r="L6513" t="s">
        <v>5471</v>
      </c>
      <c r="M6513" t="s">
        <v>5471</v>
      </c>
    </row>
    <row r="6514" spans="1:13" x14ac:dyDescent="0.3">
      <c r="A6514" t="s">
        <v>3397</v>
      </c>
      <c r="B6514" t="s">
        <v>5255</v>
      </c>
      <c r="C6514" t="s">
        <v>5487</v>
      </c>
      <c r="D6514" t="s">
        <v>4119</v>
      </c>
      <c r="E6514" t="s">
        <v>5532</v>
      </c>
      <c r="F6514" t="s">
        <v>24714</v>
      </c>
      <c r="G6514" t="s">
        <v>24711</v>
      </c>
      <c r="H6514" t="s">
        <v>5474</v>
      </c>
      <c r="I6514" t="s">
        <v>24715</v>
      </c>
      <c r="J6514" t="s">
        <v>5476</v>
      </c>
      <c r="K6514" t="s">
        <v>24716</v>
      </c>
      <c r="L6514" t="s">
        <v>5471</v>
      </c>
      <c r="M6514" t="s">
        <v>5471</v>
      </c>
    </row>
    <row r="6515" spans="1:13" x14ac:dyDescent="0.3">
      <c r="A6515" t="s">
        <v>3397</v>
      </c>
      <c r="B6515" t="s">
        <v>5255</v>
      </c>
      <c r="C6515" t="s">
        <v>5487</v>
      </c>
      <c r="D6515" t="s">
        <v>4119</v>
      </c>
      <c r="E6515" t="s">
        <v>5595</v>
      </c>
      <c r="F6515" t="s">
        <v>24717</v>
      </c>
      <c r="G6515" t="s">
        <v>24718</v>
      </c>
      <c r="H6515" t="s">
        <v>5474</v>
      </c>
      <c r="I6515" t="s">
        <v>24719</v>
      </c>
      <c r="J6515" t="s">
        <v>5476</v>
      </c>
      <c r="K6515" t="s">
        <v>24720</v>
      </c>
      <c r="L6515" t="s">
        <v>5471</v>
      </c>
      <c r="M6515" t="s">
        <v>5471</v>
      </c>
    </row>
    <row r="6516" spans="1:13" x14ac:dyDescent="0.3">
      <c r="A6516" t="s">
        <v>3397</v>
      </c>
      <c r="B6516" t="s">
        <v>5255</v>
      </c>
      <c r="C6516" t="s">
        <v>5487</v>
      </c>
      <c r="D6516" t="s">
        <v>4119</v>
      </c>
      <c r="E6516" t="s">
        <v>5595</v>
      </c>
      <c r="F6516" t="s">
        <v>24721</v>
      </c>
      <c r="G6516" t="s">
        <v>24718</v>
      </c>
      <c r="H6516" t="s">
        <v>5474</v>
      </c>
      <c r="I6516" t="s">
        <v>24722</v>
      </c>
      <c r="J6516" t="s">
        <v>5476</v>
      </c>
      <c r="K6516" t="s">
        <v>24723</v>
      </c>
      <c r="L6516" t="s">
        <v>5471</v>
      </c>
      <c r="M6516" t="s">
        <v>5471</v>
      </c>
    </row>
    <row r="6517" spans="1:13" x14ac:dyDescent="0.3">
      <c r="A6517" t="s">
        <v>3397</v>
      </c>
      <c r="B6517" t="s">
        <v>5255</v>
      </c>
      <c r="C6517" t="s">
        <v>5487</v>
      </c>
      <c r="D6517" t="s">
        <v>4119</v>
      </c>
      <c r="E6517" t="s">
        <v>5595</v>
      </c>
      <c r="F6517" t="s">
        <v>24724</v>
      </c>
      <c r="G6517" t="s">
        <v>24725</v>
      </c>
      <c r="H6517" t="s">
        <v>5474</v>
      </c>
      <c r="I6517" t="s">
        <v>24726</v>
      </c>
      <c r="J6517" t="s">
        <v>5476</v>
      </c>
      <c r="K6517" t="s">
        <v>24727</v>
      </c>
      <c r="L6517" t="s">
        <v>5471</v>
      </c>
      <c r="M6517" t="s">
        <v>5471</v>
      </c>
    </row>
    <row r="6518" spans="1:13" x14ac:dyDescent="0.3">
      <c r="A6518" t="s">
        <v>3397</v>
      </c>
      <c r="B6518" t="s">
        <v>5255</v>
      </c>
      <c r="C6518" t="s">
        <v>5487</v>
      </c>
      <c r="D6518" t="s">
        <v>4119</v>
      </c>
      <c r="E6518" t="s">
        <v>5595</v>
      </c>
      <c r="F6518" t="s">
        <v>24728</v>
      </c>
      <c r="G6518" t="s">
        <v>24725</v>
      </c>
      <c r="H6518" t="s">
        <v>5474</v>
      </c>
      <c r="I6518" t="s">
        <v>24729</v>
      </c>
      <c r="J6518" t="s">
        <v>5476</v>
      </c>
      <c r="K6518" t="s">
        <v>24730</v>
      </c>
      <c r="L6518" t="s">
        <v>5471</v>
      </c>
      <c r="M6518" t="s">
        <v>5471</v>
      </c>
    </row>
    <row r="6519" spans="1:13" x14ac:dyDescent="0.3">
      <c r="A6519" t="s">
        <v>3397</v>
      </c>
      <c r="B6519" t="s">
        <v>5255</v>
      </c>
      <c r="C6519" t="s">
        <v>5487</v>
      </c>
      <c r="D6519" t="s">
        <v>4119</v>
      </c>
      <c r="E6519" t="s">
        <v>5595</v>
      </c>
      <c r="F6519" t="s">
        <v>24731</v>
      </c>
      <c r="G6519" t="s">
        <v>24732</v>
      </c>
      <c r="H6519" t="s">
        <v>5474</v>
      </c>
      <c r="I6519" t="s">
        <v>24733</v>
      </c>
      <c r="J6519" t="s">
        <v>5476</v>
      </c>
      <c r="K6519" t="s">
        <v>24734</v>
      </c>
      <c r="L6519" t="s">
        <v>5471</v>
      </c>
      <c r="M6519" t="s">
        <v>5471</v>
      </c>
    </row>
    <row r="6520" spans="1:13" x14ac:dyDescent="0.3">
      <c r="A6520" t="s">
        <v>3397</v>
      </c>
      <c r="B6520" t="s">
        <v>5255</v>
      </c>
      <c r="C6520" t="s">
        <v>5487</v>
      </c>
      <c r="D6520" t="s">
        <v>4119</v>
      </c>
      <c r="E6520" t="s">
        <v>5595</v>
      </c>
      <c r="F6520" t="s">
        <v>24735</v>
      </c>
      <c r="G6520" t="s">
        <v>24732</v>
      </c>
      <c r="H6520" t="s">
        <v>5474</v>
      </c>
      <c r="I6520" t="s">
        <v>24736</v>
      </c>
      <c r="J6520" t="s">
        <v>5476</v>
      </c>
      <c r="K6520" t="s">
        <v>24737</v>
      </c>
      <c r="L6520" t="s">
        <v>5471</v>
      </c>
      <c r="M6520" t="s">
        <v>5471</v>
      </c>
    </row>
    <row r="6521" spans="1:13" x14ac:dyDescent="0.3">
      <c r="A6521" t="s">
        <v>3397</v>
      </c>
      <c r="B6521" t="s">
        <v>5255</v>
      </c>
      <c r="C6521" t="s">
        <v>5487</v>
      </c>
      <c r="D6521" t="s">
        <v>4119</v>
      </c>
      <c r="E6521" t="s">
        <v>5595</v>
      </c>
      <c r="F6521" t="s">
        <v>24738</v>
      </c>
      <c r="G6521" t="s">
        <v>11483</v>
      </c>
      <c r="H6521" t="s">
        <v>5474</v>
      </c>
      <c r="I6521" t="s">
        <v>24739</v>
      </c>
      <c r="J6521" t="s">
        <v>5476</v>
      </c>
      <c r="K6521" t="s">
        <v>24740</v>
      </c>
      <c r="L6521" t="s">
        <v>5471</v>
      </c>
      <c r="M6521" t="s">
        <v>5471</v>
      </c>
    </row>
    <row r="6522" spans="1:13" x14ac:dyDescent="0.3">
      <c r="A6522" t="s">
        <v>3397</v>
      </c>
      <c r="B6522" t="s">
        <v>5255</v>
      </c>
      <c r="C6522" t="s">
        <v>5487</v>
      </c>
      <c r="D6522" t="s">
        <v>4119</v>
      </c>
      <c r="E6522" t="s">
        <v>5595</v>
      </c>
      <c r="F6522" t="s">
        <v>24741</v>
      </c>
      <c r="G6522" t="s">
        <v>11483</v>
      </c>
      <c r="H6522" t="s">
        <v>5474</v>
      </c>
      <c r="I6522" t="s">
        <v>24742</v>
      </c>
      <c r="J6522" t="s">
        <v>5476</v>
      </c>
      <c r="K6522" t="s">
        <v>24743</v>
      </c>
      <c r="L6522" t="s">
        <v>5471</v>
      </c>
      <c r="M6522" t="s">
        <v>5471</v>
      </c>
    </row>
    <row r="6523" spans="1:13" x14ac:dyDescent="0.3">
      <c r="A6523" t="s">
        <v>3397</v>
      </c>
      <c r="B6523" t="s">
        <v>5255</v>
      </c>
      <c r="C6523" t="s">
        <v>5487</v>
      </c>
      <c r="D6523" t="s">
        <v>4119</v>
      </c>
      <c r="E6523" t="s">
        <v>5532</v>
      </c>
      <c r="F6523" t="s">
        <v>24744</v>
      </c>
      <c r="G6523" t="s">
        <v>24745</v>
      </c>
      <c r="H6523" t="s">
        <v>5474</v>
      </c>
      <c r="I6523" t="s">
        <v>24746</v>
      </c>
      <c r="J6523" t="s">
        <v>5476</v>
      </c>
      <c r="K6523" t="s">
        <v>24747</v>
      </c>
      <c r="L6523" t="s">
        <v>5471</v>
      </c>
      <c r="M6523" t="s">
        <v>5471</v>
      </c>
    </row>
    <row r="6524" spans="1:13" x14ac:dyDescent="0.3">
      <c r="A6524" t="s">
        <v>3388</v>
      </c>
      <c r="B6524" t="s">
        <v>5253</v>
      </c>
      <c r="C6524" t="s">
        <v>5470</v>
      </c>
      <c r="D6524" t="s">
        <v>4058</v>
      </c>
      <c r="E6524" t="s">
        <v>5617</v>
      </c>
      <c r="F6524" t="s">
        <v>24748</v>
      </c>
      <c r="G6524" t="s">
        <v>24749</v>
      </c>
      <c r="H6524" t="s">
        <v>5474</v>
      </c>
      <c r="I6524" t="s">
        <v>24750</v>
      </c>
      <c r="J6524" t="s">
        <v>5484</v>
      </c>
      <c r="K6524" t="s">
        <v>24751</v>
      </c>
      <c r="L6524" t="s">
        <v>5471</v>
      </c>
      <c r="M6524" t="s">
        <v>5471</v>
      </c>
    </row>
    <row r="6525" spans="1:13" x14ac:dyDescent="0.3">
      <c r="A6525" t="s">
        <v>3397</v>
      </c>
      <c r="B6525" t="s">
        <v>5989</v>
      </c>
      <c r="C6525" t="s">
        <v>5487</v>
      </c>
      <c r="D6525" t="s">
        <v>10218</v>
      </c>
      <c r="E6525" t="s">
        <v>5756</v>
      </c>
      <c r="F6525" t="s">
        <v>24752</v>
      </c>
      <c r="G6525" t="s">
        <v>15099</v>
      </c>
      <c r="H6525" t="s">
        <v>5474</v>
      </c>
      <c r="I6525" t="s">
        <v>24753</v>
      </c>
      <c r="J6525" t="s">
        <v>5476</v>
      </c>
      <c r="K6525" t="s">
        <v>24754</v>
      </c>
      <c r="L6525" t="s">
        <v>5471</v>
      </c>
      <c r="M6525" t="s">
        <v>5471</v>
      </c>
    </row>
    <row r="6526" spans="1:13" x14ac:dyDescent="0.3">
      <c r="A6526" t="s">
        <v>3397</v>
      </c>
      <c r="B6526" t="s">
        <v>5989</v>
      </c>
      <c r="C6526" t="s">
        <v>5487</v>
      </c>
      <c r="D6526" t="s">
        <v>10218</v>
      </c>
      <c r="E6526" t="s">
        <v>5756</v>
      </c>
      <c r="F6526" t="s">
        <v>24755</v>
      </c>
      <c r="G6526" t="s">
        <v>15099</v>
      </c>
      <c r="H6526" t="s">
        <v>5474</v>
      </c>
      <c r="I6526" t="s">
        <v>24756</v>
      </c>
      <c r="J6526" t="s">
        <v>5476</v>
      </c>
      <c r="K6526" t="s">
        <v>24757</v>
      </c>
      <c r="L6526" t="s">
        <v>5471</v>
      </c>
      <c r="M6526" t="s">
        <v>5471</v>
      </c>
    </row>
    <row r="6527" spans="1:13" x14ac:dyDescent="0.3">
      <c r="A6527" t="s">
        <v>3397</v>
      </c>
      <c r="B6527" t="s">
        <v>5989</v>
      </c>
      <c r="C6527" t="s">
        <v>5487</v>
      </c>
      <c r="D6527" t="s">
        <v>10218</v>
      </c>
      <c r="E6527" t="s">
        <v>5756</v>
      </c>
      <c r="F6527" t="s">
        <v>24758</v>
      </c>
      <c r="G6527" t="s">
        <v>15099</v>
      </c>
      <c r="H6527" t="s">
        <v>5474</v>
      </c>
      <c r="I6527" t="s">
        <v>24759</v>
      </c>
      <c r="J6527" t="s">
        <v>5476</v>
      </c>
      <c r="K6527" t="s">
        <v>24760</v>
      </c>
      <c r="L6527" t="s">
        <v>5471</v>
      </c>
      <c r="M6527" t="s">
        <v>5471</v>
      </c>
    </row>
    <row r="6528" spans="1:13" x14ac:dyDescent="0.3">
      <c r="A6528" t="s">
        <v>3397</v>
      </c>
      <c r="B6528" t="s">
        <v>15323</v>
      </c>
      <c r="C6528" t="s">
        <v>5487</v>
      </c>
      <c r="D6528" t="s">
        <v>4052</v>
      </c>
      <c r="E6528" t="s">
        <v>5843</v>
      </c>
      <c r="F6528" t="s">
        <v>24761</v>
      </c>
      <c r="G6528" t="s">
        <v>15325</v>
      </c>
      <c r="H6528" t="s">
        <v>5474</v>
      </c>
      <c r="I6528" t="s">
        <v>24762</v>
      </c>
      <c r="J6528" t="s">
        <v>5476</v>
      </c>
      <c r="K6528" t="s">
        <v>24763</v>
      </c>
      <c r="L6528" t="s">
        <v>5471</v>
      </c>
      <c r="M6528" t="s">
        <v>5471</v>
      </c>
    </row>
    <row r="6529" spans="1:13" x14ac:dyDescent="0.3">
      <c r="A6529" t="s">
        <v>3388</v>
      </c>
      <c r="B6529" t="s">
        <v>5316</v>
      </c>
      <c r="C6529" t="s">
        <v>5470</v>
      </c>
      <c r="D6529" t="s">
        <v>10210</v>
      </c>
      <c r="E6529" t="s">
        <v>5532</v>
      </c>
      <c r="F6529" t="s">
        <v>24764</v>
      </c>
      <c r="G6529" t="s">
        <v>11117</v>
      </c>
      <c r="H6529" t="s">
        <v>5474</v>
      </c>
      <c r="I6529" t="s">
        <v>24765</v>
      </c>
      <c r="J6529" t="s">
        <v>5476</v>
      </c>
      <c r="K6529" t="s">
        <v>24766</v>
      </c>
      <c r="L6529" t="s">
        <v>5471</v>
      </c>
      <c r="M6529" t="s">
        <v>5471</v>
      </c>
    </row>
    <row r="6530" spans="1:13" x14ac:dyDescent="0.3">
      <c r="A6530" t="s">
        <v>3397</v>
      </c>
      <c r="B6530" t="s">
        <v>5255</v>
      </c>
      <c r="C6530" t="s">
        <v>5487</v>
      </c>
      <c r="D6530" t="s">
        <v>4052</v>
      </c>
      <c r="E6530" t="s">
        <v>5595</v>
      </c>
      <c r="F6530" t="s">
        <v>24767</v>
      </c>
      <c r="G6530" t="s">
        <v>13691</v>
      </c>
      <c r="H6530" t="s">
        <v>5474</v>
      </c>
      <c r="I6530" t="s">
        <v>24768</v>
      </c>
      <c r="J6530" t="s">
        <v>5476</v>
      </c>
      <c r="K6530" t="s">
        <v>24769</v>
      </c>
      <c r="L6530" t="s">
        <v>5471</v>
      </c>
      <c r="M6530" t="s">
        <v>5471</v>
      </c>
    </row>
    <row r="6531" spans="1:13" x14ac:dyDescent="0.3">
      <c r="A6531" t="s">
        <v>3388</v>
      </c>
      <c r="B6531" t="s">
        <v>24770</v>
      </c>
      <c r="C6531" t="s">
        <v>5470</v>
      </c>
      <c r="D6531" t="s">
        <v>4119</v>
      </c>
      <c r="E6531" t="s">
        <v>5532</v>
      </c>
      <c r="F6531" t="s">
        <v>24771</v>
      </c>
      <c r="G6531" t="s">
        <v>24772</v>
      </c>
      <c r="H6531" t="s">
        <v>5474</v>
      </c>
      <c r="I6531" t="s">
        <v>24773</v>
      </c>
      <c r="J6531" t="s">
        <v>5476</v>
      </c>
      <c r="K6531" t="s">
        <v>5471</v>
      </c>
      <c r="L6531" t="s">
        <v>5471</v>
      </c>
      <c r="M6531" t="s">
        <v>5471</v>
      </c>
    </row>
    <row r="6532" spans="1:13" x14ac:dyDescent="0.3">
      <c r="A6532" t="s">
        <v>3397</v>
      </c>
      <c r="B6532" t="s">
        <v>5255</v>
      </c>
      <c r="C6532" t="s">
        <v>5487</v>
      </c>
      <c r="D6532" t="s">
        <v>4058</v>
      </c>
      <c r="E6532" t="s">
        <v>5595</v>
      </c>
      <c r="F6532" t="s">
        <v>24774</v>
      </c>
      <c r="G6532" t="s">
        <v>19831</v>
      </c>
      <c r="H6532" t="s">
        <v>5474</v>
      </c>
      <c r="I6532" t="s">
        <v>24775</v>
      </c>
      <c r="J6532" t="s">
        <v>5476</v>
      </c>
      <c r="K6532" t="s">
        <v>24776</v>
      </c>
      <c r="L6532" t="s">
        <v>5471</v>
      </c>
      <c r="M6532" t="s">
        <v>5471</v>
      </c>
    </row>
    <row r="6533" spans="1:13" x14ac:dyDescent="0.3">
      <c r="A6533" t="s">
        <v>3397</v>
      </c>
      <c r="B6533" t="s">
        <v>5255</v>
      </c>
      <c r="C6533" t="s">
        <v>5487</v>
      </c>
      <c r="D6533" t="s">
        <v>4058</v>
      </c>
      <c r="E6533" t="s">
        <v>5595</v>
      </c>
      <c r="F6533" t="s">
        <v>24777</v>
      </c>
      <c r="G6533" t="s">
        <v>24778</v>
      </c>
      <c r="H6533" t="s">
        <v>5474</v>
      </c>
      <c r="I6533" t="s">
        <v>24779</v>
      </c>
      <c r="J6533" t="s">
        <v>5476</v>
      </c>
      <c r="K6533" t="s">
        <v>24780</v>
      </c>
      <c r="L6533" t="s">
        <v>5471</v>
      </c>
      <c r="M6533" t="s">
        <v>5471</v>
      </c>
    </row>
    <row r="6534" spans="1:13" x14ac:dyDescent="0.3">
      <c r="A6534" t="s">
        <v>3397</v>
      </c>
      <c r="B6534" t="s">
        <v>5255</v>
      </c>
      <c r="C6534" t="s">
        <v>5487</v>
      </c>
      <c r="D6534" t="s">
        <v>4058</v>
      </c>
      <c r="E6534" t="s">
        <v>5595</v>
      </c>
      <c r="F6534" t="s">
        <v>24781</v>
      </c>
      <c r="G6534" t="s">
        <v>24778</v>
      </c>
      <c r="H6534" t="s">
        <v>5474</v>
      </c>
      <c r="I6534" t="s">
        <v>24782</v>
      </c>
      <c r="J6534" t="s">
        <v>5476</v>
      </c>
      <c r="K6534" t="s">
        <v>24783</v>
      </c>
      <c r="L6534" t="s">
        <v>5471</v>
      </c>
      <c r="M6534" t="s">
        <v>5471</v>
      </c>
    </row>
    <row r="6535" spans="1:13" x14ac:dyDescent="0.3">
      <c r="A6535" t="s">
        <v>3397</v>
      </c>
      <c r="B6535" t="s">
        <v>5255</v>
      </c>
      <c r="C6535" t="s">
        <v>5487</v>
      </c>
      <c r="D6535" t="s">
        <v>4058</v>
      </c>
      <c r="E6535" t="s">
        <v>5595</v>
      </c>
      <c r="F6535" t="s">
        <v>24784</v>
      </c>
      <c r="G6535" t="s">
        <v>24778</v>
      </c>
      <c r="H6535" t="s">
        <v>5474</v>
      </c>
      <c r="I6535" t="s">
        <v>24785</v>
      </c>
      <c r="J6535" t="s">
        <v>5476</v>
      </c>
      <c r="K6535" t="s">
        <v>24786</v>
      </c>
      <c r="L6535" t="s">
        <v>5471</v>
      </c>
      <c r="M6535" t="s">
        <v>5471</v>
      </c>
    </row>
    <row r="6536" spans="1:13" x14ac:dyDescent="0.3">
      <c r="A6536" t="s">
        <v>3397</v>
      </c>
      <c r="B6536" t="s">
        <v>5255</v>
      </c>
      <c r="C6536" t="s">
        <v>5487</v>
      </c>
      <c r="D6536" t="s">
        <v>4058</v>
      </c>
      <c r="E6536" t="s">
        <v>5595</v>
      </c>
      <c r="F6536" t="s">
        <v>24787</v>
      </c>
      <c r="G6536" t="s">
        <v>24778</v>
      </c>
      <c r="H6536" t="s">
        <v>5474</v>
      </c>
      <c r="I6536" t="s">
        <v>24788</v>
      </c>
      <c r="J6536" t="s">
        <v>5476</v>
      </c>
      <c r="K6536" t="s">
        <v>24789</v>
      </c>
      <c r="L6536" t="s">
        <v>5471</v>
      </c>
      <c r="M6536" t="s">
        <v>5471</v>
      </c>
    </row>
    <row r="6537" spans="1:13" x14ac:dyDescent="0.3">
      <c r="A6537" t="s">
        <v>3397</v>
      </c>
      <c r="B6537" t="s">
        <v>5255</v>
      </c>
      <c r="C6537" t="s">
        <v>5487</v>
      </c>
      <c r="D6537" t="s">
        <v>4058</v>
      </c>
      <c r="E6537" t="s">
        <v>5595</v>
      </c>
      <c r="F6537" t="s">
        <v>24790</v>
      </c>
      <c r="G6537" t="s">
        <v>24778</v>
      </c>
      <c r="H6537" t="s">
        <v>5474</v>
      </c>
      <c r="I6537" t="s">
        <v>24791</v>
      </c>
      <c r="J6537" t="s">
        <v>5476</v>
      </c>
      <c r="K6537" t="s">
        <v>24792</v>
      </c>
      <c r="L6537" t="s">
        <v>5471</v>
      </c>
      <c r="M6537" t="s">
        <v>5471</v>
      </c>
    </row>
    <row r="6538" spans="1:13" x14ac:dyDescent="0.3">
      <c r="A6538" t="s">
        <v>3397</v>
      </c>
      <c r="B6538" t="s">
        <v>5255</v>
      </c>
      <c r="C6538" t="s">
        <v>5487</v>
      </c>
      <c r="D6538" t="s">
        <v>4058</v>
      </c>
      <c r="E6538" t="s">
        <v>5595</v>
      </c>
      <c r="F6538" t="s">
        <v>24793</v>
      </c>
      <c r="G6538" t="s">
        <v>24778</v>
      </c>
      <c r="H6538" t="s">
        <v>5474</v>
      </c>
      <c r="I6538" t="s">
        <v>24794</v>
      </c>
      <c r="J6538" t="s">
        <v>5476</v>
      </c>
      <c r="K6538" t="s">
        <v>24795</v>
      </c>
      <c r="L6538" t="s">
        <v>5471</v>
      </c>
      <c r="M6538" t="s">
        <v>5471</v>
      </c>
    </row>
    <row r="6539" spans="1:13" x14ac:dyDescent="0.3">
      <c r="A6539" t="s">
        <v>3397</v>
      </c>
      <c r="B6539" t="s">
        <v>5255</v>
      </c>
      <c r="C6539" t="s">
        <v>5487</v>
      </c>
      <c r="D6539" t="s">
        <v>4058</v>
      </c>
      <c r="E6539" t="s">
        <v>5595</v>
      </c>
      <c r="F6539" t="s">
        <v>24796</v>
      </c>
      <c r="G6539" t="s">
        <v>19841</v>
      </c>
      <c r="H6539" t="s">
        <v>5474</v>
      </c>
      <c r="I6539" t="s">
        <v>24797</v>
      </c>
      <c r="J6539" t="s">
        <v>5476</v>
      </c>
      <c r="K6539" t="s">
        <v>24798</v>
      </c>
      <c r="L6539" t="s">
        <v>5471</v>
      </c>
      <c r="M6539" t="s">
        <v>5471</v>
      </c>
    </row>
    <row r="6540" spans="1:13" x14ac:dyDescent="0.3">
      <c r="A6540" t="s">
        <v>3397</v>
      </c>
      <c r="B6540" t="s">
        <v>5255</v>
      </c>
      <c r="C6540" t="s">
        <v>5487</v>
      </c>
      <c r="D6540" t="s">
        <v>4058</v>
      </c>
      <c r="E6540" t="s">
        <v>5595</v>
      </c>
      <c r="F6540" t="s">
        <v>24799</v>
      </c>
      <c r="G6540" t="s">
        <v>13691</v>
      </c>
      <c r="H6540" t="s">
        <v>5474</v>
      </c>
      <c r="I6540" t="s">
        <v>24800</v>
      </c>
      <c r="J6540" t="s">
        <v>5476</v>
      </c>
      <c r="K6540" t="s">
        <v>24801</v>
      </c>
      <c r="L6540" t="s">
        <v>5471</v>
      </c>
      <c r="M6540" t="s">
        <v>5471</v>
      </c>
    </row>
    <row r="6541" spans="1:13" x14ac:dyDescent="0.3">
      <c r="A6541" t="s">
        <v>3397</v>
      </c>
      <c r="B6541" t="s">
        <v>5255</v>
      </c>
      <c r="C6541" t="s">
        <v>5487</v>
      </c>
      <c r="D6541" t="s">
        <v>4058</v>
      </c>
      <c r="E6541" t="s">
        <v>5595</v>
      </c>
      <c r="F6541" t="s">
        <v>24802</v>
      </c>
      <c r="G6541" t="s">
        <v>13691</v>
      </c>
      <c r="H6541" t="s">
        <v>5474</v>
      </c>
      <c r="I6541" t="s">
        <v>24803</v>
      </c>
      <c r="J6541" t="s">
        <v>5476</v>
      </c>
      <c r="K6541" t="s">
        <v>24804</v>
      </c>
      <c r="L6541" t="s">
        <v>5471</v>
      </c>
      <c r="M6541" t="s">
        <v>5471</v>
      </c>
    </row>
    <row r="6542" spans="1:13" x14ac:dyDescent="0.3">
      <c r="A6542" t="s">
        <v>3397</v>
      </c>
      <c r="B6542" t="s">
        <v>5255</v>
      </c>
      <c r="C6542" t="s">
        <v>5487</v>
      </c>
      <c r="D6542" t="s">
        <v>4058</v>
      </c>
      <c r="E6542" t="s">
        <v>5595</v>
      </c>
      <c r="F6542" t="s">
        <v>24805</v>
      </c>
      <c r="G6542" t="s">
        <v>13691</v>
      </c>
      <c r="H6542" t="s">
        <v>5474</v>
      </c>
      <c r="I6542" t="s">
        <v>24806</v>
      </c>
      <c r="J6542" t="s">
        <v>5476</v>
      </c>
      <c r="K6542" t="s">
        <v>24807</v>
      </c>
      <c r="L6542" t="s">
        <v>5471</v>
      </c>
      <c r="M6542" t="s">
        <v>5471</v>
      </c>
    </row>
    <row r="6543" spans="1:13" x14ac:dyDescent="0.3">
      <c r="A6543" t="s">
        <v>3397</v>
      </c>
      <c r="B6543" t="s">
        <v>5255</v>
      </c>
      <c r="C6543" t="s">
        <v>5487</v>
      </c>
      <c r="D6543" t="s">
        <v>4058</v>
      </c>
      <c r="E6543" t="s">
        <v>5595</v>
      </c>
      <c r="F6543" t="s">
        <v>24808</v>
      </c>
      <c r="G6543" t="s">
        <v>13691</v>
      </c>
      <c r="H6543" t="s">
        <v>5474</v>
      </c>
      <c r="I6543" t="s">
        <v>24809</v>
      </c>
      <c r="J6543" t="s">
        <v>5476</v>
      </c>
      <c r="K6543" t="s">
        <v>24810</v>
      </c>
      <c r="L6543" t="s">
        <v>5471</v>
      </c>
      <c r="M6543" t="s">
        <v>5471</v>
      </c>
    </row>
    <row r="6544" spans="1:13" x14ac:dyDescent="0.3">
      <c r="A6544" t="s">
        <v>3397</v>
      </c>
      <c r="B6544" t="s">
        <v>5255</v>
      </c>
      <c r="C6544" t="s">
        <v>5487</v>
      </c>
      <c r="D6544" t="s">
        <v>4058</v>
      </c>
      <c r="E6544" t="s">
        <v>5595</v>
      </c>
      <c r="F6544" t="s">
        <v>24811</v>
      </c>
      <c r="G6544" t="s">
        <v>13691</v>
      </c>
      <c r="H6544" t="s">
        <v>5474</v>
      </c>
      <c r="I6544" t="s">
        <v>24812</v>
      </c>
      <c r="J6544" t="s">
        <v>5476</v>
      </c>
      <c r="K6544" t="s">
        <v>24813</v>
      </c>
      <c r="L6544" t="s">
        <v>5471</v>
      </c>
      <c r="M6544" t="s">
        <v>5471</v>
      </c>
    </row>
    <row r="6545" spans="1:13" x14ac:dyDescent="0.3">
      <c r="A6545" t="s">
        <v>3397</v>
      </c>
      <c r="B6545" t="s">
        <v>5255</v>
      </c>
      <c r="C6545" t="s">
        <v>5487</v>
      </c>
      <c r="D6545" t="s">
        <v>4058</v>
      </c>
      <c r="E6545" t="s">
        <v>5595</v>
      </c>
      <c r="F6545" t="s">
        <v>24814</v>
      </c>
      <c r="G6545" t="s">
        <v>13691</v>
      </c>
      <c r="H6545" t="s">
        <v>5474</v>
      </c>
      <c r="I6545" t="s">
        <v>24815</v>
      </c>
      <c r="J6545" t="s">
        <v>5476</v>
      </c>
      <c r="K6545" t="s">
        <v>24816</v>
      </c>
      <c r="L6545" t="s">
        <v>5471</v>
      </c>
      <c r="M6545" t="s">
        <v>5471</v>
      </c>
    </row>
    <row r="6546" spans="1:13" x14ac:dyDescent="0.3">
      <c r="A6546" t="s">
        <v>3397</v>
      </c>
      <c r="B6546" t="s">
        <v>5255</v>
      </c>
      <c r="C6546" t="s">
        <v>5487</v>
      </c>
      <c r="D6546" t="s">
        <v>4200</v>
      </c>
      <c r="E6546" t="s">
        <v>5595</v>
      </c>
      <c r="F6546" t="s">
        <v>24817</v>
      </c>
      <c r="G6546" t="s">
        <v>24778</v>
      </c>
      <c r="H6546" t="s">
        <v>5474</v>
      </c>
      <c r="I6546" t="s">
        <v>24818</v>
      </c>
      <c r="J6546" t="s">
        <v>5476</v>
      </c>
      <c r="K6546" t="s">
        <v>24819</v>
      </c>
      <c r="L6546" t="s">
        <v>5471</v>
      </c>
      <c r="M6546" t="s">
        <v>5471</v>
      </c>
    </row>
    <row r="6547" spans="1:13" x14ac:dyDescent="0.3">
      <c r="A6547" t="s">
        <v>3397</v>
      </c>
      <c r="B6547" t="s">
        <v>5255</v>
      </c>
      <c r="C6547" t="s">
        <v>5487</v>
      </c>
      <c r="D6547" t="s">
        <v>4200</v>
      </c>
      <c r="E6547" t="s">
        <v>5595</v>
      </c>
      <c r="F6547" t="s">
        <v>24820</v>
      </c>
      <c r="G6547" t="s">
        <v>13691</v>
      </c>
      <c r="H6547" t="s">
        <v>5474</v>
      </c>
      <c r="I6547" t="s">
        <v>24821</v>
      </c>
      <c r="J6547" t="s">
        <v>5476</v>
      </c>
      <c r="K6547" t="s">
        <v>24822</v>
      </c>
      <c r="L6547" t="s">
        <v>5471</v>
      </c>
      <c r="M6547" t="s">
        <v>5471</v>
      </c>
    </row>
    <row r="6548" spans="1:13" x14ac:dyDescent="0.3">
      <c r="A6548" t="s">
        <v>3397</v>
      </c>
      <c r="B6548" t="s">
        <v>5255</v>
      </c>
      <c r="C6548" t="s">
        <v>5487</v>
      </c>
      <c r="D6548" t="s">
        <v>4200</v>
      </c>
      <c r="E6548" t="s">
        <v>5595</v>
      </c>
      <c r="F6548" t="s">
        <v>24823</v>
      </c>
      <c r="G6548" t="s">
        <v>13691</v>
      </c>
      <c r="H6548" t="s">
        <v>5474</v>
      </c>
      <c r="I6548" t="s">
        <v>24824</v>
      </c>
      <c r="J6548" t="s">
        <v>5476</v>
      </c>
      <c r="K6548" t="s">
        <v>24825</v>
      </c>
      <c r="L6548" t="s">
        <v>5471</v>
      </c>
      <c r="M6548" t="s">
        <v>5471</v>
      </c>
    </row>
    <row r="6549" spans="1:13" x14ac:dyDescent="0.3">
      <c r="A6549" t="s">
        <v>3397</v>
      </c>
      <c r="B6549" t="s">
        <v>5255</v>
      </c>
      <c r="C6549" t="s">
        <v>5487</v>
      </c>
      <c r="D6549" t="s">
        <v>4200</v>
      </c>
      <c r="E6549" t="s">
        <v>5595</v>
      </c>
      <c r="F6549" t="s">
        <v>24826</v>
      </c>
      <c r="G6549" t="s">
        <v>13691</v>
      </c>
      <c r="H6549" t="s">
        <v>5474</v>
      </c>
      <c r="I6549" t="s">
        <v>24827</v>
      </c>
      <c r="J6549" t="s">
        <v>5476</v>
      </c>
      <c r="K6549" t="s">
        <v>24828</v>
      </c>
      <c r="L6549" t="s">
        <v>5471</v>
      </c>
      <c r="M6549" t="s">
        <v>5471</v>
      </c>
    </row>
    <row r="6550" spans="1:13" x14ac:dyDescent="0.3">
      <c r="A6550" t="s">
        <v>3397</v>
      </c>
      <c r="B6550" t="s">
        <v>5259</v>
      </c>
      <c r="C6550" t="s">
        <v>5487</v>
      </c>
      <c r="D6550" t="s">
        <v>10218</v>
      </c>
      <c r="E6550" t="s">
        <v>5617</v>
      </c>
      <c r="F6550" t="s">
        <v>24829</v>
      </c>
      <c r="G6550" t="s">
        <v>19821</v>
      </c>
      <c r="H6550" t="s">
        <v>5474</v>
      </c>
      <c r="I6550" t="s">
        <v>24830</v>
      </c>
      <c r="J6550" t="s">
        <v>5476</v>
      </c>
      <c r="K6550" t="s">
        <v>24831</v>
      </c>
      <c r="L6550" t="s">
        <v>5471</v>
      </c>
      <c r="M6550" t="s">
        <v>5471</v>
      </c>
    </row>
    <row r="6551" spans="1:13" x14ac:dyDescent="0.3">
      <c r="A6551" t="s">
        <v>3397</v>
      </c>
      <c r="B6551" t="s">
        <v>5259</v>
      </c>
      <c r="C6551" t="s">
        <v>5487</v>
      </c>
      <c r="D6551" t="s">
        <v>10218</v>
      </c>
      <c r="E6551" t="s">
        <v>5617</v>
      </c>
      <c r="F6551" t="s">
        <v>24832</v>
      </c>
      <c r="G6551" t="s">
        <v>19821</v>
      </c>
      <c r="H6551" t="s">
        <v>5474</v>
      </c>
      <c r="I6551" t="s">
        <v>24833</v>
      </c>
      <c r="J6551" t="s">
        <v>5476</v>
      </c>
      <c r="K6551" t="s">
        <v>24834</v>
      </c>
      <c r="L6551" t="s">
        <v>5471</v>
      </c>
      <c r="M6551" t="s">
        <v>5471</v>
      </c>
    </row>
    <row r="6552" spans="1:13" x14ac:dyDescent="0.3">
      <c r="A6552" t="s">
        <v>3397</v>
      </c>
      <c r="B6552" t="s">
        <v>5259</v>
      </c>
      <c r="C6552" t="s">
        <v>5487</v>
      </c>
      <c r="D6552" t="s">
        <v>10218</v>
      </c>
      <c r="E6552" t="s">
        <v>5617</v>
      </c>
      <c r="F6552" t="s">
        <v>24835</v>
      </c>
      <c r="G6552" t="s">
        <v>19821</v>
      </c>
      <c r="H6552" t="s">
        <v>5474</v>
      </c>
      <c r="I6552" t="s">
        <v>24836</v>
      </c>
      <c r="J6552" t="s">
        <v>5476</v>
      </c>
      <c r="K6552" t="s">
        <v>24837</v>
      </c>
      <c r="L6552" t="s">
        <v>5471</v>
      </c>
      <c r="M6552" t="s">
        <v>5471</v>
      </c>
    </row>
    <row r="6553" spans="1:13" x14ac:dyDescent="0.3">
      <c r="A6553" t="s">
        <v>3397</v>
      </c>
      <c r="B6553" t="s">
        <v>5259</v>
      </c>
      <c r="C6553" t="s">
        <v>5487</v>
      </c>
      <c r="D6553" t="s">
        <v>10218</v>
      </c>
      <c r="E6553" t="s">
        <v>5532</v>
      </c>
      <c r="F6553" t="s">
        <v>24838</v>
      </c>
      <c r="G6553" t="s">
        <v>10247</v>
      </c>
      <c r="H6553" t="s">
        <v>5474</v>
      </c>
      <c r="I6553" t="s">
        <v>24839</v>
      </c>
      <c r="J6553" t="s">
        <v>5476</v>
      </c>
      <c r="K6553" t="s">
        <v>24840</v>
      </c>
      <c r="L6553" t="s">
        <v>5471</v>
      </c>
      <c r="M6553" t="s">
        <v>5471</v>
      </c>
    </row>
    <row r="6554" spans="1:13" x14ac:dyDescent="0.3">
      <c r="A6554" t="s">
        <v>3397</v>
      </c>
      <c r="B6554" t="s">
        <v>5259</v>
      </c>
      <c r="C6554" t="s">
        <v>5487</v>
      </c>
      <c r="D6554" t="s">
        <v>10218</v>
      </c>
      <c r="E6554" t="s">
        <v>5532</v>
      </c>
      <c r="F6554" t="s">
        <v>24841</v>
      </c>
      <c r="G6554" t="s">
        <v>10247</v>
      </c>
      <c r="H6554" t="s">
        <v>5474</v>
      </c>
      <c r="I6554" t="s">
        <v>24842</v>
      </c>
      <c r="J6554" t="s">
        <v>5476</v>
      </c>
      <c r="K6554" t="s">
        <v>24843</v>
      </c>
      <c r="L6554" t="s">
        <v>5471</v>
      </c>
      <c r="M6554" t="s">
        <v>5471</v>
      </c>
    </row>
    <row r="6555" spans="1:13" x14ac:dyDescent="0.3">
      <c r="A6555" t="s">
        <v>3397</v>
      </c>
      <c r="B6555" t="s">
        <v>5259</v>
      </c>
      <c r="C6555" t="s">
        <v>5487</v>
      </c>
      <c r="D6555" t="s">
        <v>10218</v>
      </c>
      <c r="E6555" t="s">
        <v>5532</v>
      </c>
      <c r="F6555" t="s">
        <v>24844</v>
      </c>
      <c r="G6555" t="s">
        <v>10247</v>
      </c>
      <c r="H6555" t="s">
        <v>5474</v>
      </c>
      <c r="I6555" t="s">
        <v>24845</v>
      </c>
      <c r="J6555" t="s">
        <v>5476</v>
      </c>
      <c r="K6555" t="s">
        <v>24846</v>
      </c>
      <c r="L6555" t="s">
        <v>5471</v>
      </c>
      <c r="M6555" t="s">
        <v>5471</v>
      </c>
    </row>
    <row r="6556" spans="1:13" x14ac:dyDescent="0.3">
      <c r="A6556" t="s">
        <v>3397</v>
      </c>
      <c r="B6556" t="s">
        <v>5259</v>
      </c>
      <c r="C6556" t="s">
        <v>5487</v>
      </c>
      <c r="D6556" t="s">
        <v>10218</v>
      </c>
      <c r="E6556" t="s">
        <v>5532</v>
      </c>
      <c r="F6556" t="s">
        <v>24847</v>
      </c>
      <c r="G6556" t="s">
        <v>24848</v>
      </c>
      <c r="H6556" t="s">
        <v>5474</v>
      </c>
      <c r="I6556" t="s">
        <v>24849</v>
      </c>
      <c r="J6556" t="s">
        <v>5476</v>
      </c>
      <c r="K6556" t="s">
        <v>24850</v>
      </c>
      <c r="L6556" t="s">
        <v>5471</v>
      </c>
      <c r="M6556" t="s">
        <v>5471</v>
      </c>
    </row>
    <row r="6557" spans="1:13" x14ac:dyDescent="0.3">
      <c r="A6557" t="s">
        <v>3397</v>
      </c>
      <c r="B6557" t="s">
        <v>5259</v>
      </c>
      <c r="C6557" t="s">
        <v>5487</v>
      </c>
      <c r="D6557" t="s">
        <v>10218</v>
      </c>
      <c r="E6557" t="s">
        <v>5532</v>
      </c>
      <c r="F6557" t="s">
        <v>24851</v>
      </c>
      <c r="G6557" t="s">
        <v>24848</v>
      </c>
      <c r="H6557" t="s">
        <v>5474</v>
      </c>
      <c r="I6557" t="s">
        <v>24852</v>
      </c>
      <c r="J6557" t="s">
        <v>5476</v>
      </c>
      <c r="K6557" t="s">
        <v>24853</v>
      </c>
      <c r="L6557" t="s">
        <v>5471</v>
      </c>
      <c r="M6557" t="s">
        <v>5471</v>
      </c>
    </row>
    <row r="6558" spans="1:13" x14ac:dyDescent="0.3">
      <c r="A6558" t="s">
        <v>3397</v>
      </c>
      <c r="B6558" t="s">
        <v>5259</v>
      </c>
      <c r="C6558" t="s">
        <v>5487</v>
      </c>
      <c r="D6558" t="s">
        <v>10218</v>
      </c>
      <c r="E6558" t="s">
        <v>5532</v>
      </c>
      <c r="F6558" t="s">
        <v>24854</v>
      </c>
      <c r="G6558" t="s">
        <v>24848</v>
      </c>
      <c r="H6558" t="s">
        <v>5474</v>
      </c>
      <c r="I6558" t="s">
        <v>24855</v>
      </c>
      <c r="J6558" t="s">
        <v>5476</v>
      </c>
      <c r="K6558" t="s">
        <v>24856</v>
      </c>
      <c r="L6558" t="s">
        <v>5471</v>
      </c>
      <c r="M6558" t="s">
        <v>5471</v>
      </c>
    </row>
    <row r="6559" spans="1:13" x14ac:dyDescent="0.3">
      <c r="A6559" t="s">
        <v>3397</v>
      </c>
      <c r="B6559" t="s">
        <v>5259</v>
      </c>
      <c r="C6559" t="s">
        <v>5487</v>
      </c>
      <c r="D6559" t="s">
        <v>4058</v>
      </c>
      <c r="E6559" t="s">
        <v>5532</v>
      </c>
      <c r="F6559" t="s">
        <v>24857</v>
      </c>
      <c r="G6559" t="s">
        <v>10247</v>
      </c>
      <c r="H6559" t="s">
        <v>5474</v>
      </c>
      <c r="I6559" t="s">
        <v>24858</v>
      </c>
      <c r="J6559" t="s">
        <v>5476</v>
      </c>
      <c r="K6559" t="s">
        <v>24859</v>
      </c>
      <c r="L6559" t="s">
        <v>5471</v>
      </c>
      <c r="M6559" t="s">
        <v>5471</v>
      </c>
    </row>
    <row r="6560" spans="1:13" x14ac:dyDescent="0.3">
      <c r="A6560" t="s">
        <v>3397</v>
      </c>
      <c r="B6560" t="s">
        <v>5259</v>
      </c>
      <c r="C6560" t="s">
        <v>5487</v>
      </c>
      <c r="D6560" t="s">
        <v>4058</v>
      </c>
      <c r="E6560" t="s">
        <v>5532</v>
      </c>
      <c r="F6560" t="s">
        <v>24860</v>
      </c>
      <c r="G6560" t="s">
        <v>10247</v>
      </c>
      <c r="H6560" t="s">
        <v>5474</v>
      </c>
      <c r="I6560" t="s">
        <v>24861</v>
      </c>
      <c r="J6560" t="s">
        <v>5476</v>
      </c>
      <c r="K6560" t="s">
        <v>24862</v>
      </c>
      <c r="L6560" t="s">
        <v>5471</v>
      </c>
      <c r="M6560" t="s">
        <v>5471</v>
      </c>
    </row>
    <row r="6561" spans="1:13" x14ac:dyDescent="0.3">
      <c r="A6561" t="s">
        <v>3397</v>
      </c>
      <c r="B6561" t="s">
        <v>5259</v>
      </c>
      <c r="C6561" t="s">
        <v>5487</v>
      </c>
      <c r="D6561" t="s">
        <v>4056</v>
      </c>
      <c r="E6561" t="s">
        <v>5532</v>
      </c>
      <c r="F6561" t="s">
        <v>24863</v>
      </c>
      <c r="G6561" t="s">
        <v>19821</v>
      </c>
      <c r="H6561" t="s">
        <v>5474</v>
      </c>
      <c r="I6561" t="s">
        <v>24864</v>
      </c>
      <c r="J6561" t="s">
        <v>5476</v>
      </c>
      <c r="K6561" t="s">
        <v>24865</v>
      </c>
      <c r="L6561" t="s">
        <v>5471</v>
      </c>
      <c r="M6561" t="s">
        <v>5471</v>
      </c>
    </row>
    <row r="6562" spans="1:13" x14ac:dyDescent="0.3">
      <c r="A6562" t="s">
        <v>3397</v>
      </c>
      <c r="B6562" t="s">
        <v>5259</v>
      </c>
      <c r="C6562" t="s">
        <v>5487</v>
      </c>
      <c r="D6562" t="s">
        <v>4056</v>
      </c>
      <c r="E6562" t="s">
        <v>5532</v>
      </c>
      <c r="F6562" t="s">
        <v>24866</v>
      </c>
      <c r="G6562" t="s">
        <v>19821</v>
      </c>
      <c r="H6562" t="s">
        <v>5474</v>
      </c>
      <c r="I6562" t="s">
        <v>24867</v>
      </c>
      <c r="J6562" t="s">
        <v>5476</v>
      </c>
      <c r="K6562" t="s">
        <v>24868</v>
      </c>
      <c r="L6562" t="s">
        <v>5471</v>
      </c>
      <c r="M6562" t="s">
        <v>5471</v>
      </c>
    </row>
    <row r="6563" spans="1:13" x14ac:dyDescent="0.3">
      <c r="A6563" t="s">
        <v>3397</v>
      </c>
      <c r="B6563" t="s">
        <v>5259</v>
      </c>
      <c r="C6563" t="s">
        <v>5487</v>
      </c>
      <c r="D6563" t="s">
        <v>4056</v>
      </c>
      <c r="E6563" t="s">
        <v>5532</v>
      </c>
      <c r="F6563" t="s">
        <v>24869</v>
      </c>
      <c r="G6563" t="s">
        <v>19821</v>
      </c>
      <c r="H6563" t="s">
        <v>5474</v>
      </c>
      <c r="I6563" t="s">
        <v>24870</v>
      </c>
      <c r="J6563" t="s">
        <v>5476</v>
      </c>
      <c r="K6563" t="s">
        <v>24871</v>
      </c>
      <c r="L6563" t="s">
        <v>5471</v>
      </c>
      <c r="M6563" t="s">
        <v>5471</v>
      </c>
    </row>
    <row r="6564" spans="1:13" x14ac:dyDescent="0.3">
      <c r="A6564" t="s">
        <v>3397</v>
      </c>
      <c r="B6564" t="s">
        <v>5259</v>
      </c>
      <c r="C6564" t="s">
        <v>5487</v>
      </c>
      <c r="D6564" t="s">
        <v>4056</v>
      </c>
      <c r="E6564" t="s">
        <v>5617</v>
      </c>
      <c r="F6564" t="s">
        <v>24872</v>
      </c>
      <c r="G6564" t="s">
        <v>19821</v>
      </c>
      <c r="H6564" t="s">
        <v>5474</v>
      </c>
      <c r="I6564" t="s">
        <v>24873</v>
      </c>
      <c r="J6564" t="s">
        <v>5476</v>
      </c>
      <c r="K6564" t="s">
        <v>24874</v>
      </c>
      <c r="L6564" t="s">
        <v>5471</v>
      </c>
      <c r="M6564" t="s">
        <v>5471</v>
      </c>
    </row>
    <row r="6565" spans="1:13" x14ac:dyDescent="0.3">
      <c r="A6565" t="s">
        <v>3397</v>
      </c>
      <c r="B6565" t="s">
        <v>5259</v>
      </c>
      <c r="C6565" t="s">
        <v>5487</v>
      </c>
      <c r="D6565" t="s">
        <v>4056</v>
      </c>
      <c r="E6565" t="s">
        <v>5617</v>
      </c>
      <c r="F6565" t="s">
        <v>24875</v>
      </c>
      <c r="G6565" t="s">
        <v>19821</v>
      </c>
      <c r="H6565" t="s">
        <v>5474</v>
      </c>
      <c r="I6565" t="s">
        <v>24876</v>
      </c>
      <c r="J6565" t="s">
        <v>5476</v>
      </c>
      <c r="K6565" t="s">
        <v>24877</v>
      </c>
      <c r="L6565" t="s">
        <v>5471</v>
      </c>
      <c r="M6565" t="s">
        <v>5471</v>
      </c>
    </row>
    <row r="6566" spans="1:13" x14ac:dyDescent="0.3">
      <c r="A6566" t="s">
        <v>3397</v>
      </c>
      <c r="B6566" t="s">
        <v>5259</v>
      </c>
      <c r="C6566" t="s">
        <v>5487</v>
      </c>
      <c r="D6566" t="s">
        <v>4056</v>
      </c>
      <c r="E6566" t="s">
        <v>5617</v>
      </c>
      <c r="F6566" t="s">
        <v>24878</v>
      </c>
      <c r="G6566" t="s">
        <v>19821</v>
      </c>
      <c r="H6566" t="s">
        <v>5474</v>
      </c>
      <c r="I6566" t="s">
        <v>24879</v>
      </c>
      <c r="J6566" t="s">
        <v>5476</v>
      </c>
      <c r="K6566" t="s">
        <v>24880</v>
      </c>
      <c r="L6566" t="s">
        <v>5471</v>
      </c>
      <c r="M6566" t="s">
        <v>5471</v>
      </c>
    </row>
    <row r="6567" spans="1:13" x14ac:dyDescent="0.3">
      <c r="A6567" t="s">
        <v>3397</v>
      </c>
      <c r="B6567" t="s">
        <v>5259</v>
      </c>
      <c r="C6567" t="s">
        <v>5487</v>
      </c>
      <c r="D6567" t="s">
        <v>4056</v>
      </c>
      <c r="E6567" t="s">
        <v>5532</v>
      </c>
      <c r="F6567" t="s">
        <v>24881</v>
      </c>
      <c r="G6567" t="s">
        <v>10247</v>
      </c>
      <c r="H6567" t="s">
        <v>5474</v>
      </c>
      <c r="I6567" t="s">
        <v>24882</v>
      </c>
      <c r="J6567" t="s">
        <v>5476</v>
      </c>
      <c r="K6567" t="s">
        <v>24883</v>
      </c>
      <c r="L6567" t="s">
        <v>5471</v>
      </c>
      <c r="M6567" t="s">
        <v>5471</v>
      </c>
    </row>
    <row r="6568" spans="1:13" x14ac:dyDescent="0.3">
      <c r="A6568" t="s">
        <v>3397</v>
      </c>
      <c r="B6568" t="s">
        <v>5259</v>
      </c>
      <c r="C6568" t="s">
        <v>5487</v>
      </c>
      <c r="D6568" t="s">
        <v>4056</v>
      </c>
      <c r="E6568" t="s">
        <v>5532</v>
      </c>
      <c r="F6568" t="s">
        <v>24884</v>
      </c>
      <c r="G6568" t="s">
        <v>24848</v>
      </c>
      <c r="H6568" t="s">
        <v>5474</v>
      </c>
      <c r="I6568" t="s">
        <v>24885</v>
      </c>
      <c r="J6568" t="s">
        <v>5476</v>
      </c>
      <c r="K6568" t="s">
        <v>24886</v>
      </c>
      <c r="L6568" t="s">
        <v>5471</v>
      </c>
      <c r="M6568" t="s">
        <v>5471</v>
      </c>
    </row>
    <row r="6569" spans="1:13" x14ac:dyDescent="0.3">
      <c r="A6569" t="s">
        <v>3397</v>
      </c>
      <c r="B6569" t="s">
        <v>5259</v>
      </c>
      <c r="C6569" t="s">
        <v>5487</v>
      </c>
      <c r="D6569" t="s">
        <v>4056</v>
      </c>
      <c r="E6569" t="s">
        <v>5532</v>
      </c>
      <c r="F6569" t="s">
        <v>24887</v>
      </c>
      <c r="G6569" t="s">
        <v>10247</v>
      </c>
      <c r="H6569" t="s">
        <v>5474</v>
      </c>
      <c r="I6569" t="s">
        <v>24888</v>
      </c>
      <c r="J6569" t="s">
        <v>5476</v>
      </c>
      <c r="K6569" t="s">
        <v>24889</v>
      </c>
      <c r="L6569" t="s">
        <v>5471</v>
      </c>
      <c r="M6569" t="s">
        <v>5471</v>
      </c>
    </row>
    <row r="6570" spans="1:13" x14ac:dyDescent="0.3">
      <c r="A6570" t="s">
        <v>3397</v>
      </c>
      <c r="B6570" t="s">
        <v>5259</v>
      </c>
      <c r="C6570" t="s">
        <v>5487</v>
      </c>
      <c r="D6570" t="s">
        <v>4056</v>
      </c>
      <c r="E6570" t="s">
        <v>5532</v>
      </c>
      <c r="F6570" t="s">
        <v>24890</v>
      </c>
      <c r="G6570" t="s">
        <v>10247</v>
      </c>
      <c r="H6570" t="s">
        <v>5474</v>
      </c>
      <c r="I6570" t="s">
        <v>24891</v>
      </c>
      <c r="J6570" t="s">
        <v>5476</v>
      </c>
      <c r="K6570" t="s">
        <v>24892</v>
      </c>
      <c r="L6570" t="s">
        <v>5471</v>
      </c>
      <c r="M6570" t="s">
        <v>5471</v>
      </c>
    </row>
    <row r="6571" spans="1:13" x14ac:dyDescent="0.3">
      <c r="A6571" t="s">
        <v>3388</v>
      </c>
      <c r="B6571" t="s">
        <v>11089</v>
      </c>
      <c r="C6571" t="s">
        <v>5470</v>
      </c>
      <c r="D6571" t="s">
        <v>4119</v>
      </c>
      <c r="E6571" t="s">
        <v>5532</v>
      </c>
      <c r="F6571" t="s">
        <v>24893</v>
      </c>
      <c r="G6571" t="s">
        <v>11091</v>
      </c>
      <c r="H6571" t="s">
        <v>5474</v>
      </c>
      <c r="I6571" t="s">
        <v>24894</v>
      </c>
      <c r="J6571" t="s">
        <v>5476</v>
      </c>
      <c r="K6571" t="s">
        <v>24895</v>
      </c>
      <c r="L6571" t="s">
        <v>5471</v>
      </c>
      <c r="M6571" t="s">
        <v>5471</v>
      </c>
    </row>
    <row r="6572" spans="1:13" x14ac:dyDescent="0.3">
      <c r="A6572" t="s">
        <v>3388</v>
      </c>
      <c r="B6572" t="s">
        <v>6128</v>
      </c>
      <c r="C6572" t="s">
        <v>5470</v>
      </c>
      <c r="D6572" t="s">
        <v>4119</v>
      </c>
      <c r="E6572" t="s">
        <v>5532</v>
      </c>
      <c r="F6572" t="s">
        <v>24896</v>
      </c>
      <c r="G6572" t="s">
        <v>24897</v>
      </c>
      <c r="H6572" t="s">
        <v>5474</v>
      </c>
      <c r="I6572" t="s">
        <v>24898</v>
      </c>
      <c r="J6572" t="s">
        <v>5476</v>
      </c>
      <c r="K6572" t="s">
        <v>24899</v>
      </c>
      <c r="L6572" t="s">
        <v>5471</v>
      </c>
      <c r="M6572" t="s">
        <v>5471</v>
      </c>
    </row>
    <row r="6573" spans="1:13" x14ac:dyDescent="0.3">
      <c r="A6573" t="s">
        <v>3388</v>
      </c>
      <c r="B6573" t="s">
        <v>7101</v>
      </c>
      <c r="C6573" t="s">
        <v>5470</v>
      </c>
      <c r="D6573" t="s">
        <v>4119</v>
      </c>
      <c r="E6573" t="s">
        <v>5756</v>
      </c>
      <c r="F6573" t="s">
        <v>24900</v>
      </c>
      <c r="G6573" t="s">
        <v>20348</v>
      </c>
      <c r="H6573" t="s">
        <v>5474</v>
      </c>
      <c r="I6573" t="s">
        <v>24901</v>
      </c>
      <c r="J6573" t="s">
        <v>5476</v>
      </c>
      <c r="K6573" t="s">
        <v>24902</v>
      </c>
      <c r="L6573" t="s">
        <v>5471</v>
      </c>
      <c r="M6573" t="s">
        <v>5471</v>
      </c>
    </row>
    <row r="6574" spans="1:13" x14ac:dyDescent="0.3">
      <c r="A6574" t="s">
        <v>3388</v>
      </c>
      <c r="B6574" t="s">
        <v>22296</v>
      </c>
      <c r="C6574" t="s">
        <v>5470</v>
      </c>
      <c r="D6574" t="s">
        <v>4119</v>
      </c>
      <c r="E6574" t="s">
        <v>5756</v>
      </c>
      <c r="F6574" t="s">
        <v>24903</v>
      </c>
      <c r="G6574" t="s">
        <v>22298</v>
      </c>
      <c r="H6574" t="s">
        <v>5474</v>
      </c>
      <c r="I6574" t="s">
        <v>24904</v>
      </c>
      <c r="J6574" t="s">
        <v>5476</v>
      </c>
      <c r="K6574" t="s">
        <v>5471</v>
      </c>
      <c r="L6574" t="s">
        <v>5471</v>
      </c>
      <c r="M6574" t="s">
        <v>5471</v>
      </c>
    </row>
    <row r="6575" spans="1:13" x14ac:dyDescent="0.3">
      <c r="A6575" t="s">
        <v>3388</v>
      </c>
      <c r="B6575" t="s">
        <v>17483</v>
      </c>
      <c r="C6575" t="s">
        <v>5470</v>
      </c>
      <c r="D6575" t="s">
        <v>4119</v>
      </c>
      <c r="E6575" t="s">
        <v>5532</v>
      </c>
      <c r="F6575" t="s">
        <v>24905</v>
      </c>
      <c r="G6575" t="s">
        <v>17492</v>
      </c>
      <c r="H6575" t="s">
        <v>5474</v>
      </c>
      <c r="I6575" t="s">
        <v>24906</v>
      </c>
      <c r="J6575" t="s">
        <v>5476</v>
      </c>
      <c r="K6575" t="s">
        <v>24907</v>
      </c>
      <c r="L6575" t="s">
        <v>5471</v>
      </c>
      <c r="M6575" t="s">
        <v>5471</v>
      </c>
    </row>
    <row r="6576" spans="1:13" x14ac:dyDescent="0.3">
      <c r="A6576" t="s">
        <v>3388</v>
      </c>
      <c r="B6576" t="s">
        <v>17483</v>
      </c>
      <c r="C6576" t="s">
        <v>5470</v>
      </c>
      <c r="D6576" t="s">
        <v>4119</v>
      </c>
      <c r="E6576" t="s">
        <v>5532</v>
      </c>
      <c r="F6576" t="s">
        <v>24908</v>
      </c>
      <c r="G6576" t="s">
        <v>17492</v>
      </c>
      <c r="H6576" t="s">
        <v>5474</v>
      </c>
      <c r="I6576" t="s">
        <v>24909</v>
      </c>
      <c r="J6576" t="s">
        <v>5476</v>
      </c>
      <c r="K6576" t="s">
        <v>24910</v>
      </c>
      <c r="L6576" t="s">
        <v>5471</v>
      </c>
      <c r="M6576" t="s">
        <v>5471</v>
      </c>
    </row>
    <row r="6577" spans="1:13" x14ac:dyDescent="0.3">
      <c r="A6577" t="s">
        <v>3388</v>
      </c>
      <c r="B6577" t="s">
        <v>15580</v>
      </c>
      <c r="C6577" t="s">
        <v>5470</v>
      </c>
      <c r="D6577" t="s">
        <v>4119</v>
      </c>
      <c r="E6577" t="s">
        <v>5756</v>
      </c>
      <c r="F6577" t="s">
        <v>24911</v>
      </c>
      <c r="G6577" t="s">
        <v>17591</v>
      </c>
      <c r="H6577" t="s">
        <v>5474</v>
      </c>
      <c r="I6577" t="s">
        <v>24912</v>
      </c>
      <c r="J6577" t="s">
        <v>5476</v>
      </c>
      <c r="K6577" t="s">
        <v>24913</v>
      </c>
      <c r="L6577" t="s">
        <v>5471</v>
      </c>
      <c r="M6577" t="s">
        <v>5471</v>
      </c>
    </row>
    <row r="6578" spans="1:13" x14ac:dyDescent="0.3">
      <c r="A6578" t="s">
        <v>3388</v>
      </c>
      <c r="B6578" t="s">
        <v>15580</v>
      </c>
      <c r="C6578" t="s">
        <v>5470</v>
      </c>
      <c r="D6578" t="s">
        <v>4119</v>
      </c>
      <c r="E6578" t="s">
        <v>5756</v>
      </c>
      <c r="F6578" t="s">
        <v>24914</v>
      </c>
      <c r="G6578" t="s">
        <v>17591</v>
      </c>
      <c r="H6578" t="s">
        <v>5474</v>
      </c>
      <c r="I6578" t="s">
        <v>24915</v>
      </c>
      <c r="J6578" t="s">
        <v>5476</v>
      </c>
      <c r="K6578" t="s">
        <v>24916</v>
      </c>
      <c r="L6578" t="s">
        <v>5471</v>
      </c>
      <c r="M6578" t="s">
        <v>5471</v>
      </c>
    </row>
    <row r="6579" spans="1:13" x14ac:dyDescent="0.3">
      <c r="A6579" t="s">
        <v>3388</v>
      </c>
      <c r="B6579" t="s">
        <v>15580</v>
      </c>
      <c r="C6579" t="s">
        <v>5470</v>
      </c>
      <c r="D6579" t="s">
        <v>4119</v>
      </c>
      <c r="E6579" t="s">
        <v>5756</v>
      </c>
      <c r="F6579" t="s">
        <v>24917</v>
      </c>
      <c r="G6579" t="s">
        <v>17591</v>
      </c>
      <c r="H6579" t="s">
        <v>5474</v>
      </c>
      <c r="I6579" t="s">
        <v>24918</v>
      </c>
      <c r="J6579" t="s">
        <v>5476</v>
      </c>
      <c r="K6579" t="s">
        <v>24919</v>
      </c>
      <c r="L6579" t="s">
        <v>5471</v>
      </c>
      <c r="M6579" t="s">
        <v>5471</v>
      </c>
    </row>
    <row r="6580" spans="1:13" x14ac:dyDescent="0.3">
      <c r="A6580" t="s">
        <v>3388</v>
      </c>
      <c r="B6580" t="s">
        <v>15580</v>
      </c>
      <c r="C6580" t="s">
        <v>5470</v>
      </c>
      <c r="D6580" t="s">
        <v>4119</v>
      </c>
      <c r="E6580" t="s">
        <v>5756</v>
      </c>
      <c r="F6580" t="s">
        <v>24920</v>
      </c>
      <c r="G6580" t="s">
        <v>17591</v>
      </c>
      <c r="H6580" t="s">
        <v>5474</v>
      </c>
      <c r="I6580" t="s">
        <v>24921</v>
      </c>
      <c r="J6580" t="s">
        <v>5476</v>
      </c>
      <c r="K6580" t="s">
        <v>24922</v>
      </c>
      <c r="L6580" t="s">
        <v>5471</v>
      </c>
      <c r="M6580" t="s">
        <v>5471</v>
      </c>
    </row>
    <row r="6581" spans="1:13" x14ac:dyDescent="0.3">
      <c r="A6581" t="s">
        <v>3388</v>
      </c>
      <c r="B6581" t="s">
        <v>24923</v>
      </c>
      <c r="C6581" t="s">
        <v>5470</v>
      </c>
      <c r="D6581" t="s">
        <v>4119</v>
      </c>
      <c r="E6581" t="s">
        <v>5532</v>
      </c>
      <c r="F6581" t="s">
        <v>24924</v>
      </c>
      <c r="G6581" t="s">
        <v>24925</v>
      </c>
      <c r="H6581" t="s">
        <v>5474</v>
      </c>
      <c r="I6581" t="s">
        <v>24926</v>
      </c>
      <c r="J6581" t="s">
        <v>5476</v>
      </c>
      <c r="K6581" t="s">
        <v>24927</v>
      </c>
      <c r="L6581" t="s">
        <v>5471</v>
      </c>
      <c r="M6581" t="s">
        <v>5471</v>
      </c>
    </row>
    <row r="6582" spans="1:13" x14ac:dyDescent="0.3">
      <c r="A6582" t="s">
        <v>3388</v>
      </c>
      <c r="B6582" t="s">
        <v>24923</v>
      </c>
      <c r="C6582" t="s">
        <v>5470</v>
      </c>
      <c r="D6582" t="s">
        <v>4119</v>
      </c>
      <c r="E6582" t="s">
        <v>5532</v>
      </c>
      <c r="F6582" t="s">
        <v>24928</v>
      </c>
      <c r="G6582" t="s">
        <v>24925</v>
      </c>
      <c r="H6582" t="s">
        <v>5474</v>
      </c>
      <c r="I6582" t="s">
        <v>24929</v>
      </c>
      <c r="J6582" t="s">
        <v>5476</v>
      </c>
      <c r="K6582" t="s">
        <v>24930</v>
      </c>
      <c r="L6582" t="s">
        <v>5471</v>
      </c>
      <c r="M6582" t="s">
        <v>5471</v>
      </c>
    </row>
    <row r="6583" spans="1:13" x14ac:dyDescent="0.3">
      <c r="A6583" t="s">
        <v>3388</v>
      </c>
      <c r="B6583" t="s">
        <v>20457</v>
      </c>
      <c r="C6583" t="s">
        <v>5470</v>
      </c>
      <c r="D6583" t="s">
        <v>4119</v>
      </c>
      <c r="E6583" t="s">
        <v>5532</v>
      </c>
      <c r="F6583" t="s">
        <v>24931</v>
      </c>
      <c r="G6583" t="s">
        <v>24932</v>
      </c>
      <c r="H6583" t="s">
        <v>5474</v>
      </c>
      <c r="I6583" t="s">
        <v>24933</v>
      </c>
      <c r="J6583" t="s">
        <v>5476</v>
      </c>
      <c r="K6583" t="s">
        <v>24934</v>
      </c>
      <c r="L6583" t="s">
        <v>5471</v>
      </c>
      <c r="M6583" t="s">
        <v>5471</v>
      </c>
    </row>
    <row r="6584" spans="1:13" x14ac:dyDescent="0.3">
      <c r="A6584" t="s">
        <v>3388</v>
      </c>
      <c r="B6584" t="s">
        <v>20457</v>
      </c>
      <c r="C6584" t="s">
        <v>5470</v>
      </c>
      <c r="D6584" t="s">
        <v>4119</v>
      </c>
      <c r="E6584" t="s">
        <v>5532</v>
      </c>
      <c r="F6584" t="s">
        <v>24935</v>
      </c>
      <c r="G6584" t="s">
        <v>24932</v>
      </c>
      <c r="H6584" t="s">
        <v>5474</v>
      </c>
      <c r="I6584" t="s">
        <v>24936</v>
      </c>
      <c r="J6584" t="s">
        <v>5476</v>
      </c>
      <c r="K6584" t="s">
        <v>24937</v>
      </c>
      <c r="L6584" t="s">
        <v>5471</v>
      </c>
      <c r="M6584" t="s">
        <v>5471</v>
      </c>
    </row>
    <row r="6585" spans="1:13" x14ac:dyDescent="0.3">
      <c r="A6585" t="s">
        <v>3388</v>
      </c>
      <c r="B6585" t="s">
        <v>5253</v>
      </c>
      <c r="C6585" t="s">
        <v>5470</v>
      </c>
      <c r="D6585" t="s">
        <v>4119</v>
      </c>
      <c r="E6585" t="s">
        <v>5532</v>
      </c>
      <c r="F6585" t="s">
        <v>24938</v>
      </c>
      <c r="G6585" t="s">
        <v>19993</v>
      </c>
      <c r="H6585" t="s">
        <v>5474</v>
      </c>
      <c r="I6585" t="s">
        <v>24939</v>
      </c>
      <c r="J6585" t="s">
        <v>5476</v>
      </c>
      <c r="K6585" t="s">
        <v>24940</v>
      </c>
      <c r="L6585" t="s">
        <v>5471</v>
      </c>
      <c r="M6585" t="s">
        <v>5471</v>
      </c>
    </row>
    <row r="6586" spans="1:13" x14ac:dyDescent="0.3">
      <c r="A6586" t="s">
        <v>3388</v>
      </c>
      <c r="B6586" t="s">
        <v>5253</v>
      </c>
      <c r="C6586" t="s">
        <v>5470</v>
      </c>
      <c r="D6586" t="s">
        <v>4119</v>
      </c>
      <c r="E6586" t="s">
        <v>5532</v>
      </c>
      <c r="F6586" t="s">
        <v>24941</v>
      </c>
      <c r="G6586" t="s">
        <v>19993</v>
      </c>
      <c r="H6586" t="s">
        <v>5474</v>
      </c>
      <c r="I6586" t="s">
        <v>24942</v>
      </c>
      <c r="J6586" t="s">
        <v>5476</v>
      </c>
      <c r="K6586" t="s">
        <v>24943</v>
      </c>
      <c r="L6586" t="s">
        <v>5471</v>
      </c>
      <c r="M6586" t="s">
        <v>5471</v>
      </c>
    </row>
    <row r="6587" spans="1:13" x14ac:dyDescent="0.3">
      <c r="A6587" t="s">
        <v>3388</v>
      </c>
      <c r="B6587" t="s">
        <v>5257</v>
      </c>
      <c r="C6587" t="s">
        <v>5470</v>
      </c>
      <c r="D6587" t="s">
        <v>4119</v>
      </c>
      <c r="E6587" t="s">
        <v>5532</v>
      </c>
      <c r="F6587" t="s">
        <v>24944</v>
      </c>
      <c r="G6587" t="s">
        <v>24945</v>
      </c>
      <c r="H6587" t="s">
        <v>5474</v>
      </c>
      <c r="I6587" t="s">
        <v>24946</v>
      </c>
      <c r="J6587" t="s">
        <v>5476</v>
      </c>
      <c r="K6587" t="s">
        <v>24947</v>
      </c>
      <c r="L6587" t="s">
        <v>5471</v>
      </c>
      <c r="M6587" t="s">
        <v>5471</v>
      </c>
    </row>
    <row r="6588" spans="1:13" x14ac:dyDescent="0.3">
      <c r="A6588" t="s">
        <v>3388</v>
      </c>
      <c r="B6588" t="s">
        <v>5257</v>
      </c>
      <c r="C6588" t="s">
        <v>5470</v>
      </c>
      <c r="D6588" t="s">
        <v>4119</v>
      </c>
      <c r="E6588" t="s">
        <v>5532</v>
      </c>
      <c r="F6588" t="s">
        <v>24948</v>
      </c>
      <c r="G6588" t="s">
        <v>24945</v>
      </c>
      <c r="H6588" t="s">
        <v>5474</v>
      </c>
      <c r="I6588" t="s">
        <v>24949</v>
      </c>
      <c r="J6588" t="s">
        <v>5476</v>
      </c>
      <c r="K6588" t="s">
        <v>24950</v>
      </c>
      <c r="L6588" t="s">
        <v>5471</v>
      </c>
      <c r="M6588" t="s">
        <v>5471</v>
      </c>
    </row>
    <row r="6589" spans="1:13" x14ac:dyDescent="0.3">
      <c r="A6589" t="s">
        <v>3388</v>
      </c>
      <c r="B6589" t="s">
        <v>20010</v>
      </c>
      <c r="C6589" t="s">
        <v>5470</v>
      </c>
      <c r="D6589" t="s">
        <v>4119</v>
      </c>
      <c r="E6589" t="s">
        <v>5756</v>
      </c>
      <c r="F6589" t="s">
        <v>24951</v>
      </c>
      <c r="G6589" t="s">
        <v>24952</v>
      </c>
      <c r="H6589" t="s">
        <v>5474</v>
      </c>
      <c r="I6589" t="s">
        <v>24953</v>
      </c>
      <c r="J6589" t="s">
        <v>5476</v>
      </c>
      <c r="K6589" t="s">
        <v>24954</v>
      </c>
      <c r="L6589" t="s">
        <v>5471</v>
      </c>
      <c r="M6589" t="s">
        <v>5471</v>
      </c>
    </row>
    <row r="6590" spans="1:13" x14ac:dyDescent="0.3">
      <c r="A6590" t="s">
        <v>3388</v>
      </c>
      <c r="B6590" t="s">
        <v>20010</v>
      </c>
      <c r="C6590" t="s">
        <v>5470</v>
      </c>
      <c r="D6590" t="s">
        <v>4119</v>
      </c>
      <c r="E6590" t="s">
        <v>5756</v>
      </c>
      <c r="F6590" t="s">
        <v>24955</v>
      </c>
      <c r="G6590" t="s">
        <v>24952</v>
      </c>
      <c r="H6590" t="s">
        <v>5474</v>
      </c>
      <c r="I6590" t="s">
        <v>24956</v>
      </c>
      <c r="J6590" t="s">
        <v>5476</v>
      </c>
      <c r="K6590" t="s">
        <v>24957</v>
      </c>
      <c r="L6590" t="s">
        <v>5471</v>
      </c>
      <c r="M6590" t="s">
        <v>5471</v>
      </c>
    </row>
    <row r="6591" spans="1:13" x14ac:dyDescent="0.3">
      <c r="A6591" t="s">
        <v>3388</v>
      </c>
      <c r="B6591" t="s">
        <v>8656</v>
      </c>
      <c r="C6591" t="s">
        <v>5470</v>
      </c>
      <c r="D6591" t="s">
        <v>4119</v>
      </c>
      <c r="E6591" t="s">
        <v>5532</v>
      </c>
      <c r="F6591" t="s">
        <v>24958</v>
      </c>
      <c r="G6591" t="s">
        <v>20181</v>
      </c>
      <c r="H6591" t="s">
        <v>5474</v>
      </c>
      <c r="I6591" t="s">
        <v>24959</v>
      </c>
      <c r="J6591" t="s">
        <v>5476</v>
      </c>
      <c r="K6591" t="s">
        <v>24960</v>
      </c>
      <c r="L6591" t="s">
        <v>5471</v>
      </c>
      <c r="M6591" t="s">
        <v>5471</v>
      </c>
    </row>
    <row r="6592" spans="1:13" x14ac:dyDescent="0.3">
      <c r="A6592" t="s">
        <v>3388</v>
      </c>
      <c r="B6592" t="s">
        <v>8656</v>
      </c>
      <c r="C6592" t="s">
        <v>5470</v>
      </c>
      <c r="D6592" t="s">
        <v>4119</v>
      </c>
      <c r="E6592" t="s">
        <v>5532</v>
      </c>
      <c r="F6592" t="s">
        <v>24961</v>
      </c>
      <c r="G6592" t="s">
        <v>20181</v>
      </c>
      <c r="H6592" t="s">
        <v>5474</v>
      </c>
      <c r="I6592" t="s">
        <v>24962</v>
      </c>
      <c r="J6592" t="s">
        <v>5476</v>
      </c>
      <c r="K6592" t="s">
        <v>24963</v>
      </c>
      <c r="L6592" t="s">
        <v>5471</v>
      </c>
      <c r="M6592" t="s">
        <v>5471</v>
      </c>
    </row>
    <row r="6593" spans="1:13" x14ac:dyDescent="0.3">
      <c r="A6593" t="s">
        <v>3388</v>
      </c>
      <c r="B6593" t="s">
        <v>15863</v>
      </c>
      <c r="C6593" t="s">
        <v>5470</v>
      </c>
      <c r="D6593" t="s">
        <v>4119</v>
      </c>
      <c r="E6593" t="s">
        <v>5532</v>
      </c>
      <c r="F6593" t="s">
        <v>24964</v>
      </c>
      <c r="G6593" t="s">
        <v>20022</v>
      </c>
      <c r="H6593" t="s">
        <v>5474</v>
      </c>
      <c r="I6593" t="s">
        <v>24965</v>
      </c>
      <c r="J6593" t="s">
        <v>5476</v>
      </c>
      <c r="K6593" t="s">
        <v>24966</v>
      </c>
      <c r="L6593" t="s">
        <v>5471</v>
      </c>
      <c r="M6593" t="s">
        <v>5471</v>
      </c>
    </row>
    <row r="6594" spans="1:13" x14ac:dyDescent="0.3">
      <c r="A6594" t="s">
        <v>3388</v>
      </c>
      <c r="B6594" t="s">
        <v>15863</v>
      </c>
      <c r="C6594" t="s">
        <v>5470</v>
      </c>
      <c r="D6594" t="s">
        <v>4119</v>
      </c>
      <c r="E6594" t="s">
        <v>5532</v>
      </c>
      <c r="F6594" t="s">
        <v>24967</v>
      </c>
      <c r="G6594" t="s">
        <v>20022</v>
      </c>
      <c r="H6594" t="s">
        <v>5474</v>
      </c>
      <c r="I6594" t="s">
        <v>24968</v>
      </c>
      <c r="J6594" t="s">
        <v>5476</v>
      </c>
      <c r="K6594" t="s">
        <v>24969</v>
      </c>
      <c r="L6594" t="s">
        <v>5471</v>
      </c>
      <c r="M6594" t="s">
        <v>5471</v>
      </c>
    </row>
    <row r="6595" spans="1:13" x14ac:dyDescent="0.3">
      <c r="A6595" t="s">
        <v>3388</v>
      </c>
      <c r="B6595" t="s">
        <v>10961</v>
      </c>
      <c r="C6595" t="s">
        <v>5470</v>
      </c>
      <c r="D6595" t="s">
        <v>4119</v>
      </c>
      <c r="E6595" t="s">
        <v>5532</v>
      </c>
      <c r="F6595" t="s">
        <v>24970</v>
      </c>
      <c r="G6595" t="s">
        <v>10963</v>
      </c>
      <c r="H6595" t="s">
        <v>5474</v>
      </c>
      <c r="I6595" t="s">
        <v>24971</v>
      </c>
      <c r="J6595" t="s">
        <v>5476</v>
      </c>
      <c r="K6595" t="s">
        <v>24972</v>
      </c>
      <c r="L6595" t="s">
        <v>5471</v>
      </c>
      <c r="M6595" t="s">
        <v>5471</v>
      </c>
    </row>
    <row r="6596" spans="1:13" x14ac:dyDescent="0.3">
      <c r="A6596" t="s">
        <v>3388</v>
      </c>
      <c r="B6596" t="s">
        <v>10961</v>
      </c>
      <c r="C6596" t="s">
        <v>5470</v>
      </c>
      <c r="D6596" t="s">
        <v>4119</v>
      </c>
      <c r="E6596" t="s">
        <v>5532</v>
      </c>
      <c r="F6596" t="s">
        <v>24973</v>
      </c>
      <c r="G6596" t="s">
        <v>10963</v>
      </c>
      <c r="H6596" t="s">
        <v>5474</v>
      </c>
      <c r="I6596" t="s">
        <v>24974</v>
      </c>
      <c r="J6596" t="s">
        <v>5476</v>
      </c>
      <c r="K6596" t="s">
        <v>24975</v>
      </c>
      <c r="L6596" t="s">
        <v>5471</v>
      </c>
      <c r="M6596" t="s">
        <v>5471</v>
      </c>
    </row>
    <row r="6597" spans="1:13" x14ac:dyDescent="0.3">
      <c r="A6597" t="s">
        <v>3388</v>
      </c>
      <c r="B6597" t="s">
        <v>24976</v>
      </c>
      <c r="C6597" t="s">
        <v>5470</v>
      </c>
      <c r="D6597" t="s">
        <v>4119</v>
      </c>
      <c r="E6597" t="s">
        <v>5532</v>
      </c>
      <c r="F6597" t="s">
        <v>24977</v>
      </c>
      <c r="G6597" t="s">
        <v>24978</v>
      </c>
      <c r="H6597" t="s">
        <v>5474</v>
      </c>
      <c r="I6597" t="s">
        <v>24979</v>
      </c>
      <c r="J6597" t="s">
        <v>5476</v>
      </c>
      <c r="K6597" t="s">
        <v>24980</v>
      </c>
      <c r="L6597" t="s">
        <v>5471</v>
      </c>
      <c r="M6597" t="s">
        <v>5471</v>
      </c>
    </row>
    <row r="6598" spans="1:13" x14ac:dyDescent="0.3">
      <c r="A6598" t="s">
        <v>3388</v>
      </c>
      <c r="B6598" t="s">
        <v>24976</v>
      </c>
      <c r="C6598" t="s">
        <v>5470</v>
      </c>
      <c r="D6598" t="s">
        <v>4119</v>
      </c>
      <c r="E6598" t="s">
        <v>5532</v>
      </c>
      <c r="F6598" t="s">
        <v>24981</v>
      </c>
      <c r="G6598" t="s">
        <v>24978</v>
      </c>
      <c r="H6598" t="s">
        <v>5474</v>
      </c>
      <c r="I6598" t="s">
        <v>24982</v>
      </c>
      <c r="J6598" t="s">
        <v>5476</v>
      </c>
      <c r="K6598" t="s">
        <v>24983</v>
      </c>
      <c r="L6598" t="s">
        <v>5471</v>
      </c>
      <c r="M6598" t="s">
        <v>5471</v>
      </c>
    </row>
    <row r="6599" spans="1:13" x14ac:dyDescent="0.3">
      <c r="A6599" t="s">
        <v>3388</v>
      </c>
      <c r="B6599" t="s">
        <v>10870</v>
      </c>
      <c r="C6599" t="s">
        <v>5470</v>
      </c>
      <c r="D6599" t="s">
        <v>4119</v>
      </c>
      <c r="E6599" t="s">
        <v>5532</v>
      </c>
      <c r="F6599" t="s">
        <v>24984</v>
      </c>
      <c r="G6599" t="s">
        <v>10872</v>
      </c>
      <c r="H6599" t="s">
        <v>5474</v>
      </c>
      <c r="I6599" t="s">
        <v>24985</v>
      </c>
      <c r="J6599" t="s">
        <v>5476</v>
      </c>
      <c r="K6599" t="s">
        <v>24986</v>
      </c>
      <c r="L6599" t="s">
        <v>5471</v>
      </c>
      <c r="M6599" t="s">
        <v>5471</v>
      </c>
    </row>
    <row r="6600" spans="1:13" x14ac:dyDescent="0.3">
      <c r="A6600" t="s">
        <v>3388</v>
      </c>
      <c r="B6600" t="s">
        <v>10870</v>
      </c>
      <c r="C6600" t="s">
        <v>5470</v>
      </c>
      <c r="D6600" t="s">
        <v>4119</v>
      </c>
      <c r="E6600" t="s">
        <v>5532</v>
      </c>
      <c r="F6600" t="s">
        <v>24987</v>
      </c>
      <c r="G6600" t="s">
        <v>10872</v>
      </c>
      <c r="H6600" t="s">
        <v>5474</v>
      </c>
      <c r="I6600" t="s">
        <v>24988</v>
      </c>
      <c r="J6600" t="s">
        <v>5476</v>
      </c>
      <c r="K6600" t="s">
        <v>24989</v>
      </c>
      <c r="L6600" t="s">
        <v>5471</v>
      </c>
      <c r="M6600" t="s">
        <v>5471</v>
      </c>
    </row>
    <row r="6601" spans="1:13" x14ac:dyDescent="0.3">
      <c r="A6601" t="s">
        <v>3388</v>
      </c>
      <c r="B6601" t="s">
        <v>17321</v>
      </c>
      <c r="C6601" t="s">
        <v>5470</v>
      </c>
      <c r="D6601" t="s">
        <v>4119</v>
      </c>
      <c r="E6601" t="s">
        <v>5532</v>
      </c>
      <c r="F6601" t="s">
        <v>24990</v>
      </c>
      <c r="G6601" t="s">
        <v>20025</v>
      </c>
      <c r="H6601" t="s">
        <v>5474</v>
      </c>
      <c r="I6601" t="s">
        <v>24991</v>
      </c>
      <c r="J6601" t="s">
        <v>5476</v>
      </c>
      <c r="K6601" t="s">
        <v>24992</v>
      </c>
      <c r="L6601" t="s">
        <v>5471</v>
      </c>
      <c r="M6601" t="s">
        <v>5471</v>
      </c>
    </row>
    <row r="6602" spans="1:13" x14ac:dyDescent="0.3">
      <c r="A6602" t="s">
        <v>3388</v>
      </c>
      <c r="B6602" t="s">
        <v>17321</v>
      </c>
      <c r="C6602" t="s">
        <v>5470</v>
      </c>
      <c r="D6602" t="s">
        <v>4119</v>
      </c>
      <c r="E6602" t="s">
        <v>5532</v>
      </c>
      <c r="F6602" t="s">
        <v>24993</v>
      </c>
      <c r="G6602" t="s">
        <v>20025</v>
      </c>
      <c r="H6602" t="s">
        <v>5474</v>
      </c>
      <c r="I6602" t="s">
        <v>24994</v>
      </c>
      <c r="J6602" t="s">
        <v>5476</v>
      </c>
      <c r="K6602" t="s">
        <v>24995</v>
      </c>
      <c r="L6602" t="s">
        <v>5471</v>
      </c>
      <c r="M6602" t="s">
        <v>5471</v>
      </c>
    </row>
    <row r="6603" spans="1:13" x14ac:dyDescent="0.3">
      <c r="A6603" t="s">
        <v>3388</v>
      </c>
      <c r="B6603" t="s">
        <v>19988</v>
      </c>
      <c r="C6603" t="s">
        <v>5470</v>
      </c>
      <c r="D6603" t="s">
        <v>4119</v>
      </c>
      <c r="E6603" t="s">
        <v>5532</v>
      </c>
      <c r="F6603" t="s">
        <v>24996</v>
      </c>
      <c r="G6603" t="s">
        <v>19990</v>
      </c>
      <c r="H6603" t="s">
        <v>5474</v>
      </c>
      <c r="I6603" t="s">
        <v>24997</v>
      </c>
      <c r="J6603" t="s">
        <v>5476</v>
      </c>
      <c r="K6603" t="s">
        <v>24998</v>
      </c>
      <c r="L6603" t="s">
        <v>5471</v>
      </c>
      <c r="M6603" t="s">
        <v>5471</v>
      </c>
    </row>
    <row r="6604" spans="1:13" x14ac:dyDescent="0.3">
      <c r="A6604" t="s">
        <v>3388</v>
      </c>
      <c r="B6604" t="s">
        <v>19988</v>
      </c>
      <c r="C6604" t="s">
        <v>5470</v>
      </c>
      <c r="D6604" t="s">
        <v>4119</v>
      </c>
      <c r="E6604" t="s">
        <v>5532</v>
      </c>
      <c r="F6604" t="s">
        <v>24999</v>
      </c>
      <c r="G6604" t="s">
        <v>19990</v>
      </c>
      <c r="H6604" t="s">
        <v>5474</v>
      </c>
      <c r="I6604" t="s">
        <v>25000</v>
      </c>
      <c r="J6604" t="s">
        <v>5476</v>
      </c>
      <c r="K6604" t="s">
        <v>25001</v>
      </c>
      <c r="L6604" t="s">
        <v>5471</v>
      </c>
      <c r="M6604" t="s">
        <v>5471</v>
      </c>
    </row>
    <row r="6605" spans="1:13" x14ac:dyDescent="0.3">
      <c r="A6605" t="s">
        <v>3388</v>
      </c>
      <c r="B6605" t="s">
        <v>25002</v>
      </c>
      <c r="C6605" t="s">
        <v>5470</v>
      </c>
      <c r="D6605" t="s">
        <v>4119</v>
      </c>
      <c r="E6605" t="s">
        <v>5532</v>
      </c>
      <c r="F6605" t="s">
        <v>25003</v>
      </c>
      <c r="G6605" t="s">
        <v>25004</v>
      </c>
      <c r="H6605" t="s">
        <v>5474</v>
      </c>
      <c r="I6605" t="s">
        <v>25005</v>
      </c>
      <c r="J6605" t="s">
        <v>5476</v>
      </c>
      <c r="K6605" t="s">
        <v>25006</v>
      </c>
      <c r="L6605" t="s">
        <v>5471</v>
      </c>
      <c r="M6605" t="s">
        <v>5471</v>
      </c>
    </row>
    <row r="6606" spans="1:13" x14ac:dyDescent="0.3">
      <c r="A6606" t="s">
        <v>3388</v>
      </c>
      <c r="B6606" t="s">
        <v>25002</v>
      </c>
      <c r="C6606" t="s">
        <v>5470</v>
      </c>
      <c r="D6606" t="s">
        <v>4119</v>
      </c>
      <c r="E6606" t="s">
        <v>5532</v>
      </c>
      <c r="F6606" t="s">
        <v>25007</v>
      </c>
      <c r="G6606" t="s">
        <v>25004</v>
      </c>
      <c r="H6606" t="s">
        <v>5474</v>
      </c>
      <c r="I6606" t="s">
        <v>25008</v>
      </c>
      <c r="J6606" t="s">
        <v>5476</v>
      </c>
      <c r="K6606" t="s">
        <v>25009</v>
      </c>
      <c r="L6606" t="s">
        <v>5471</v>
      </c>
      <c r="M6606" t="s">
        <v>5471</v>
      </c>
    </row>
    <row r="6607" spans="1:13" x14ac:dyDescent="0.3">
      <c r="A6607" t="s">
        <v>3388</v>
      </c>
      <c r="B6607" t="s">
        <v>25010</v>
      </c>
      <c r="C6607" t="s">
        <v>5470</v>
      </c>
      <c r="D6607" t="s">
        <v>4119</v>
      </c>
      <c r="E6607" t="s">
        <v>5756</v>
      </c>
      <c r="F6607" t="s">
        <v>25011</v>
      </c>
      <c r="G6607" t="s">
        <v>25012</v>
      </c>
      <c r="H6607" t="s">
        <v>5474</v>
      </c>
      <c r="I6607" t="s">
        <v>25013</v>
      </c>
      <c r="J6607" t="s">
        <v>5476</v>
      </c>
      <c r="K6607" t="s">
        <v>25014</v>
      </c>
      <c r="L6607" t="s">
        <v>5471</v>
      </c>
      <c r="M6607" t="s">
        <v>5471</v>
      </c>
    </row>
    <row r="6608" spans="1:13" x14ac:dyDescent="0.3">
      <c r="A6608" t="s">
        <v>3388</v>
      </c>
      <c r="B6608" t="s">
        <v>25010</v>
      </c>
      <c r="C6608" t="s">
        <v>5470</v>
      </c>
      <c r="D6608" t="s">
        <v>4119</v>
      </c>
      <c r="E6608" t="s">
        <v>5756</v>
      </c>
      <c r="F6608" t="s">
        <v>25015</v>
      </c>
      <c r="G6608" t="s">
        <v>25012</v>
      </c>
      <c r="H6608" t="s">
        <v>5474</v>
      </c>
      <c r="I6608" t="s">
        <v>25016</v>
      </c>
      <c r="J6608" t="s">
        <v>5476</v>
      </c>
      <c r="K6608" t="s">
        <v>25017</v>
      </c>
      <c r="L6608" t="s">
        <v>5471</v>
      </c>
      <c r="M6608" t="s">
        <v>5471</v>
      </c>
    </row>
    <row r="6609" spans="1:13" x14ac:dyDescent="0.3">
      <c r="A6609" t="s">
        <v>3388</v>
      </c>
      <c r="B6609" t="s">
        <v>19207</v>
      </c>
      <c r="C6609" t="s">
        <v>5470</v>
      </c>
      <c r="D6609" t="s">
        <v>4119</v>
      </c>
      <c r="E6609" t="s">
        <v>5532</v>
      </c>
      <c r="F6609" t="s">
        <v>25018</v>
      </c>
      <c r="G6609" t="s">
        <v>19209</v>
      </c>
      <c r="H6609" t="s">
        <v>5474</v>
      </c>
      <c r="I6609" t="s">
        <v>25019</v>
      </c>
      <c r="J6609" t="s">
        <v>5476</v>
      </c>
      <c r="K6609" t="s">
        <v>25020</v>
      </c>
      <c r="L6609" t="s">
        <v>5471</v>
      </c>
      <c r="M6609" t="s">
        <v>5471</v>
      </c>
    </row>
    <row r="6610" spans="1:13" x14ac:dyDescent="0.3">
      <c r="A6610" t="s">
        <v>3388</v>
      </c>
      <c r="B6610" t="s">
        <v>19207</v>
      </c>
      <c r="C6610" t="s">
        <v>5470</v>
      </c>
      <c r="D6610" t="s">
        <v>4119</v>
      </c>
      <c r="E6610" t="s">
        <v>5532</v>
      </c>
      <c r="F6610" t="s">
        <v>25021</v>
      </c>
      <c r="G6610" t="s">
        <v>19209</v>
      </c>
      <c r="H6610" t="s">
        <v>5474</v>
      </c>
      <c r="I6610" t="s">
        <v>25022</v>
      </c>
      <c r="J6610" t="s">
        <v>5476</v>
      </c>
      <c r="K6610" t="s">
        <v>25023</v>
      </c>
      <c r="L6610" t="s">
        <v>5471</v>
      </c>
      <c r="M6610" t="s">
        <v>5471</v>
      </c>
    </row>
    <row r="6611" spans="1:13" x14ac:dyDescent="0.3">
      <c r="A6611" t="s">
        <v>3388</v>
      </c>
      <c r="B6611" t="s">
        <v>15596</v>
      </c>
      <c r="C6611" t="s">
        <v>5470</v>
      </c>
      <c r="D6611" t="s">
        <v>4119</v>
      </c>
      <c r="E6611" t="s">
        <v>5756</v>
      </c>
      <c r="F6611" t="s">
        <v>25024</v>
      </c>
      <c r="G6611" t="s">
        <v>17747</v>
      </c>
      <c r="H6611" t="s">
        <v>5474</v>
      </c>
      <c r="I6611" t="s">
        <v>25025</v>
      </c>
      <c r="J6611" t="s">
        <v>5476</v>
      </c>
      <c r="K6611" t="s">
        <v>25026</v>
      </c>
      <c r="L6611" t="s">
        <v>5471</v>
      </c>
      <c r="M6611" t="s">
        <v>5471</v>
      </c>
    </row>
    <row r="6612" spans="1:13" x14ac:dyDescent="0.3">
      <c r="A6612" t="s">
        <v>3388</v>
      </c>
      <c r="B6612" t="s">
        <v>15596</v>
      </c>
      <c r="C6612" t="s">
        <v>5470</v>
      </c>
      <c r="D6612" t="s">
        <v>4119</v>
      </c>
      <c r="E6612" t="s">
        <v>5756</v>
      </c>
      <c r="F6612" t="s">
        <v>25027</v>
      </c>
      <c r="G6612" t="s">
        <v>17747</v>
      </c>
      <c r="H6612" t="s">
        <v>5474</v>
      </c>
      <c r="I6612" t="s">
        <v>25028</v>
      </c>
      <c r="J6612" t="s">
        <v>5476</v>
      </c>
      <c r="K6612" t="s">
        <v>25029</v>
      </c>
      <c r="L6612" t="s">
        <v>5471</v>
      </c>
      <c r="M6612" t="s">
        <v>5471</v>
      </c>
    </row>
    <row r="6613" spans="1:13" x14ac:dyDescent="0.3">
      <c r="A6613" t="s">
        <v>3388</v>
      </c>
      <c r="B6613" t="s">
        <v>11186</v>
      </c>
      <c r="C6613" t="s">
        <v>5470</v>
      </c>
      <c r="D6613" t="s">
        <v>4119</v>
      </c>
      <c r="E6613" t="s">
        <v>5532</v>
      </c>
      <c r="F6613" t="s">
        <v>25030</v>
      </c>
      <c r="G6613" t="s">
        <v>11188</v>
      </c>
      <c r="H6613" t="s">
        <v>5474</v>
      </c>
      <c r="I6613" t="s">
        <v>25031</v>
      </c>
      <c r="J6613" t="s">
        <v>5476</v>
      </c>
      <c r="K6613" t="s">
        <v>25032</v>
      </c>
      <c r="L6613" t="s">
        <v>5471</v>
      </c>
      <c r="M6613" t="s">
        <v>5471</v>
      </c>
    </row>
    <row r="6614" spans="1:13" x14ac:dyDescent="0.3">
      <c r="A6614" t="s">
        <v>3388</v>
      </c>
      <c r="B6614" t="s">
        <v>11186</v>
      </c>
      <c r="C6614" t="s">
        <v>5470</v>
      </c>
      <c r="D6614" t="s">
        <v>4119</v>
      </c>
      <c r="E6614" t="s">
        <v>5532</v>
      </c>
      <c r="F6614" t="s">
        <v>25033</v>
      </c>
      <c r="G6614" t="s">
        <v>11188</v>
      </c>
      <c r="H6614" t="s">
        <v>5474</v>
      </c>
      <c r="I6614" t="s">
        <v>25034</v>
      </c>
      <c r="J6614" t="s">
        <v>5476</v>
      </c>
      <c r="K6614" t="s">
        <v>25035</v>
      </c>
      <c r="L6614" t="s">
        <v>5471</v>
      </c>
      <c r="M6614" t="s">
        <v>5471</v>
      </c>
    </row>
    <row r="6615" spans="1:13" x14ac:dyDescent="0.3">
      <c r="A6615" t="s">
        <v>3388</v>
      </c>
      <c r="B6615" t="s">
        <v>15859</v>
      </c>
      <c r="C6615" t="s">
        <v>5470</v>
      </c>
      <c r="D6615" t="s">
        <v>4119</v>
      </c>
      <c r="E6615" t="s">
        <v>5756</v>
      </c>
      <c r="F6615" t="s">
        <v>25036</v>
      </c>
      <c r="G6615" t="s">
        <v>25037</v>
      </c>
      <c r="H6615" t="s">
        <v>5474</v>
      </c>
      <c r="I6615" t="s">
        <v>25038</v>
      </c>
      <c r="J6615" t="s">
        <v>5476</v>
      </c>
      <c r="K6615" t="s">
        <v>25039</v>
      </c>
      <c r="L6615" t="s">
        <v>5471</v>
      </c>
      <c r="M6615" t="s">
        <v>5471</v>
      </c>
    </row>
    <row r="6616" spans="1:13" x14ac:dyDescent="0.3">
      <c r="A6616" t="s">
        <v>3388</v>
      </c>
      <c r="B6616" t="s">
        <v>15859</v>
      </c>
      <c r="C6616" t="s">
        <v>5470</v>
      </c>
      <c r="D6616" t="s">
        <v>4119</v>
      </c>
      <c r="E6616" t="s">
        <v>5756</v>
      </c>
      <c r="F6616" t="s">
        <v>25040</v>
      </c>
      <c r="G6616" t="s">
        <v>25037</v>
      </c>
      <c r="H6616" t="s">
        <v>5474</v>
      </c>
      <c r="I6616" t="s">
        <v>25041</v>
      </c>
      <c r="J6616" t="s">
        <v>5476</v>
      </c>
      <c r="K6616" t="s">
        <v>25042</v>
      </c>
      <c r="L6616" t="s">
        <v>5471</v>
      </c>
      <c r="M6616" t="s">
        <v>5471</v>
      </c>
    </row>
    <row r="6617" spans="1:13" x14ac:dyDescent="0.3">
      <c r="A6617" t="s">
        <v>3388</v>
      </c>
      <c r="B6617" t="s">
        <v>5296</v>
      </c>
      <c r="C6617" t="s">
        <v>5470</v>
      </c>
      <c r="D6617" t="s">
        <v>4119</v>
      </c>
      <c r="E6617" t="s">
        <v>5532</v>
      </c>
      <c r="F6617" t="s">
        <v>25043</v>
      </c>
      <c r="G6617" t="s">
        <v>25044</v>
      </c>
      <c r="H6617" t="s">
        <v>5474</v>
      </c>
      <c r="I6617" t="s">
        <v>25045</v>
      </c>
      <c r="J6617" t="s">
        <v>5476</v>
      </c>
      <c r="K6617" t="s">
        <v>25046</v>
      </c>
      <c r="L6617" t="s">
        <v>5471</v>
      </c>
      <c r="M6617" t="s">
        <v>5471</v>
      </c>
    </row>
    <row r="6618" spans="1:13" x14ac:dyDescent="0.3">
      <c r="A6618" t="s">
        <v>3388</v>
      </c>
      <c r="B6618" t="s">
        <v>25047</v>
      </c>
      <c r="C6618" t="s">
        <v>5470</v>
      </c>
      <c r="D6618" t="s">
        <v>4119</v>
      </c>
      <c r="E6618" t="s">
        <v>5532</v>
      </c>
      <c r="F6618" t="s">
        <v>25048</v>
      </c>
      <c r="G6618" t="s">
        <v>25049</v>
      </c>
      <c r="H6618" t="s">
        <v>5474</v>
      </c>
      <c r="I6618" t="s">
        <v>25050</v>
      </c>
      <c r="J6618" t="s">
        <v>5476</v>
      </c>
      <c r="K6618" t="s">
        <v>25051</v>
      </c>
      <c r="L6618" t="s">
        <v>5471</v>
      </c>
      <c r="M6618" t="s">
        <v>5471</v>
      </c>
    </row>
    <row r="6619" spans="1:13" x14ac:dyDescent="0.3">
      <c r="A6619" t="s">
        <v>3388</v>
      </c>
      <c r="B6619" t="s">
        <v>25047</v>
      </c>
      <c r="C6619" t="s">
        <v>5470</v>
      </c>
      <c r="D6619" t="s">
        <v>4119</v>
      </c>
      <c r="E6619" t="s">
        <v>5532</v>
      </c>
      <c r="F6619" t="s">
        <v>25052</v>
      </c>
      <c r="G6619" t="s">
        <v>25049</v>
      </c>
      <c r="H6619" t="s">
        <v>5474</v>
      </c>
      <c r="I6619" t="s">
        <v>25053</v>
      </c>
      <c r="J6619" t="s">
        <v>5476</v>
      </c>
      <c r="K6619" t="s">
        <v>25054</v>
      </c>
      <c r="L6619" t="s">
        <v>5471</v>
      </c>
      <c r="M6619" t="s">
        <v>5471</v>
      </c>
    </row>
    <row r="6620" spans="1:13" x14ac:dyDescent="0.3">
      <c r="A6620" t="s">
        <v>3388</v>
      </c>
      <c r="B6620" t="s">
        <v>7109</v>
      </c>
      <c r="C6620" t="s">
        <v>5470</v>
      </c>
      <c r="D6620" t="s">
        <v>4119</v>
      </c>
      <c r="E6620" t="s">
        <v>5756</v>
      </c>
      <c r="F6620" t="s">
        <v>25055</v>
      </c>
      <c r="G6620" t="s">
        <v>19195</v>
      </c>
      <c r="H6620" t="s">
        <v>5474</v>
      </c>
      <c r="I6620" t="s">
        <v>25056</v>
      </c>
      <c r="J6620" t="s">
        <v>5476</v>
      </c>
      <c r="K6620" t="s">
        <v>25057</v>
      </c>
      <c r="L6620" t="s">
        <v>5471</v>
      </c>
      <c r="M6620" t="s">
        <v>5471</v>
      </c>
    </row>
    <row r="6621" spans="1:13" x14ac:dyDescent="0.3">
      <c r="A6621" t="s">
        <v>3388</v>
      </c>
      <c r="B6621" t="s">
        <v>19343</v>
      </c>
      <c r="C6621" t="s">
        <v>5470</v>
      </c>
      <c r="D6621" t="s">
        <v>4119</v>
      </c>
      <c r="E6621" t="s">
        <v>5532</v>
      </c>
      <c r="F6621" t="s">
        <v>25058</v>
      </c>
      <c r="G6621" t="s">
        <v>25059</v>
      </c>
      <c r="H6621" t="s">
        <v>5474</v>
      </c>
      <c r="I6621" t="s">
        <v>25060</v>
      </c>
      <c r="J6621" t="s">
        <v>5484</v>
      </c>
      <c r="K6621" t="s">
        <v>25061</v>
      </c>
      <c r="L6621" t="s">
        <v>5471</v>
      </c>
      <c r="M6621" t="s">
        <v>5471</v>
      </c>
    </row>
    <row r="6622" spans="1:13" x14ac:dyDescent="0.3">
      <c r="A6622" t="s">
        <v>3388</v>
      </c>
      <c r="B6622" t="s">
        <v>10857</v>
      </c>
      <c r="C6622" t="s">
        <v>5470</v>
      </c>
      <c r="D6622" t="s">
        <v>4119</v>
      </c>
      <c r="E6622" t="s">
        <v>5756</v>
      </c>
      <c r="F6622" t="s">
        <v>25062</v>
      </c>
      <c r="G6622" t="s">
        <v>10859</v>
      </c>
      <c r="H6622" t="s">
        <v>5474</v>
      </c>
      <c r="I6622" t="s">
        <v>25063</v>
      </c>
      <c r="J6622" t="s">
        <v>5476</v>
      </c>
      <c r="K6622" t="s">
        <v>25064</v>
      </c>
      <c r="L6622" t="s">
        <v>5471</v>
      </c>
      <c r="M6622" t="s">
        <v>5471</v>
      </c>
    </row>
    <row r="6623" spans="1:13" x14ac:dyDescent="0.3">
      <c r="A6623" t="s">
        <v>3388</v>
      </c>
      <c r="B6623" t="s">
        <v>10857</v>
      </c>
      <c r="C6623" t="s">
        <v>5470</v>
      </c>
      <c r="D6623" t="s">
        <v>4119</v>
      </c>
      <c r="E6623" t="s">
        <v>5756</v>
      </c>
      <c r="F6623" t="s">
        <v>25065</v>
      </c>
      <c r="G6623" t="s">
        <v>10859</v>
      </c>
      <c r="H6623" t="s">
        <v>5474</v>
      </c>
      <c r="I6623" t="s">
        <v>25066</v>
      </c>
      <c r="J6623" t="s">
        <v>5476</v>
      </c>
      <c r="K6623" t="s">
        <v>25067</v>
      </c>
      <c r="L6623" t="s">
        <v>5471</v>
      </c>
      <c r="M6623" t="s">
        <v>5471</v>
      </c>
    </row>
    <row r="6624" spans="1:13" x14ac:dyDescent="0.3">
      <c r="A6624" t="s">
        <v>3388</v>
      </c>
      <c r="B6624" t="s">
        <v>15961</v>
      </c>
      <c r="C6624" t="s">
        <v>5470</v>
      </c>
      <c r="D6624" t="s">
        <v>4119</v>
      </c>
      <c r="E6624" t="s">
        <v>5756</v>
      </c>
      <c r="F6624" t="s">
        <v>25068</v>
      </c>
      <c r="G6624" t="s">
        <v>15963</v>
      </c>
      <c r="H6624" t="s">
        <v>5474</v>
      </c>
      <c r="I6624" t="s">
        <v>25069</v>
      </c>
      <c r="J6624" t="s">
        <v>5476</v>
      </c>
      <c r="K6624" t="s">
        <v>25070</v>
      </c>
      <c r="L6624" t="s">
        <v>5471</v>
      </c>
      <c r="M6624" t="s">
        <v>5471</v>
      </c>
    </row>
    <row r="6625" spans="1:13" x14ac:dyDescent="0.3">
      <c r="A6625" t="s">
        <v>3388</v>
      </c>
      <c r="B6625" t="s">
        <v>15961</v>
      </c>
      <c r="C6625" t="s">
        <v>5470</v>
      </c>
      <c r="D6625" t="s">
        <v>4119</v>
      </c>
      <c r="E6625" t="s">
        <v>5756</v>
      </c>
      <c r="F6625" t="s">
        <v>25071</v>
      </c>
      <c r="G6625" t="s">
        <v>15963</v>
      </c>
      <c r="H6625" t="s">
        <v>5474</v>
      </c>
      <c r="I6625" t="s">
        <v>25072</v>
      </c>
      <c r="J6625" t="s">
        <v>5476</v>
      </c>
      <c r="K6625" t="s">
        <v>25073</v>
      </c>
      <c r="L6625" t="s">
        <v>5471</v>
      </c>
      <c r="M6625" t="s">
        <v>5471</v>
      </c>
    </row>
    <row r="6626" spans="1:13" x14ac:dyDescent="0.3">
      <c r="A6626" t="s">
        <v>3388</v>
      </c>
      <c r="B6626" t="s">
        <v>15942</v>
      </c>
      <c r="C6626" t="s">
        <v>5470</v>
      </c>
      <c r="D6626" t="s">
        <v>4119</v>
      </c>
      <c r="E6626" t="s">
        <v>5756</v>
      </c>
      <c r="F6626" t="s">
        <v>25074</v>
      </c>
      <c r="G6626" t="s">
        <v>15968</v>
      </c>
      <c r="H6626" t="s">
        <v>5474</v>
      </c>
      <c r="I6626" t="s">
        <v>25075</v>
      </c>
      <c r="J6626" t="s">
        <v>5476</v>
      </c>
      <c r="K6626" t="s">
        <v>25076</v>
      </c>
      <c r="L6626" t="s">
        <v>5471</v>
      </c>
      <c r="M6626" t="s">
        <v>5471</v>
      </c>
    </row>
    <row r="6627" spans="1:13" x14ac:dyDescent="0.3">
      <c r="A6627" t="s">
        <v>3388</v>
      </c>
      <c r="B6627" t="s">
        <v>7101</v>
      </c>
      <c r="C6627" t="s">
        <v>5470</v>
      </c>
      <c r="D6627" t="s">
        <v>4119</v>
      </c>
      <c r="E6627" t="s">
        <v>5756</v>
      </c>
      <c r="F6627" t="s">
        <v>25077</v>
      </c>
      <c r="G6627" t="s">
        <v>20348</v>
      </c>
      <c r="H6627" t="s">
        <v>5474</v>
      </c>
      <c r="I6627" t="s">
        <v>25078</v>
      </c>
      <c r="J6627" t="s">
        <v>5476</v>
      </c>
      <c r="K6627" t="s">
        <v>25079</v>
      </c>
      <c r="L6627" t="s">
        <v>5471</v>
      </c>
      <c r="M6627" t="s">
        <v>5471</v>
      </c>
    </row>
    <row r="6628" spans="1:13" x14ac:dyDescent="0.3">
      <c r="A6628" t="s">
        <v>3388</v>
      </c>
      <c r="B6628" t="s">
        <v>7101</v>
      </c>
      <c r="C6628" t="s">
        <v>5470</v>
      </c>
      <c r="D6628" t="s">
        <v>4119</v>
      </c>
      <c r="E6628" t="s">
        <v>5756</v>
      </c>
      <c r="F6628" t="s">
        <v>25080</v>
      </c>
      <c r="G6628" t="s">
        <v>20348</v>
      </c>
      <c r="H6628" t="s">
        <v>5474</v>
      </c>
      <c r="I6628" t="s">
        <v>25081</v>
      </c>
      <c r="J6628" t="s">
        <v>5476</v>
      </c>
      <c r="K6628" t="s">
        <v>25082</v>
      </c>
      <c r="L6628" t="s">
        <v>5471</v>
      </c>
      <c r="M6628" t="s">
        <v>5471</v>
      </c>
    </row>
    <row r="6629" spans="1:13" x14ac:dyDescent="0.3">
      <c r="A6629" t="s">
        <v>3388</v>
      </c>
      <c r="B6629" t="s">
        <v>5253</v>
      </c>
      <c r="C6629" t="s">
        <v>5470</v>
      </c>
      <c r="D6629" t="s">
        <v>4119</v>
      </c>
      <c r="E6629" t="s">
        <v>5532</v>
      </c>
      <c r="F6629" t="s">
        <v>25083</v>
      </c>
      <c r="G6629" t="s">
        <v>19993</v>
      </c>
      <c r="H6629" t="s">
        <v>5474</v>
      </c>
      <c r="I6629" t="s">
        <v>25084</v>
      </c>
      <c r="J6629" t="s">
        <v>5476</v>
      </c>
      <c r="K6629" t="s">
        <v>25085</v>
      </c>
      <c r="L6629" t="s">
        <v>5471</v>
      </c>
      <c r="M6629" t="s">
        <v>5471</v>
      </c>
    </row>
    <row r="6630" spans="1:13" x14ac:dyDescent="0.3">
      <c r="A6630" t="s">
        <v>3388</v>
      </c>
      <c r="B6630" t="s">
        <v>20175</v>
      </c>
      <c r="C6630" t="s">
        <v>5470</v>
      </c>
      <c r="D6630" t="s">
        <v>4119</v>
      </c>
      <c r="E6630" t="s">
        <v>5532</v>
      </c>
      <c r="F6630" t="s">
        <v>25086</v>
      </c>
      <c r="G6630" t="s">
        <v>20177</v>
      </c>
      <c r="H6630" t="s">
        <v>5474</v>
      </c>
      <c r="I6630" t="s">
        <v>25087</v>
      </c>
      <c r="J6630" t="s">
        <v>5476</v>
      </c>
      <c r="K6630" t="s">
        <v>25088</v>
      </c>
      <c r="L6630" t="s">
        <v>5471</v>
      </c>
      <c r="M6630" t="s">
        <v>5471</v>
      </c>
    </row>
    <row r="6631" spans="1:13" x14ac:dyDescent="0.3">
      <c r="A6631" t="s">
        <v>3388</v>
      </c>
      <c r="B6631" t="s">
        <v>5257</v>
      </c>
      <c r="C6631" t="s">
        <v>5470</v>
      </c>
      <c r="D6631" t="s">
        <v>4119</v>
      </c>
      <c r="E6631" t="s">
        <v>5532</v>
      </c>
      <c r="F6631" t="s">
        <v>25089</v>
      </c>
      <c r="G6631" t="s">
        <v>24945</v>
      </c>
      <c r="H6631" t="s">
        <v>5474</v>
      </c>
      <c r="I6631" t="s">
        <v>25090</v>
      </c>
      <c r="J6631" t="s">
        <v>5476</v>
      </c>
      <c r="K6631" t="s">
        <v>25091</v>
      </c>
      <c r="L6631" t="s">
        <v>5471</v>
      </c>
      <c r="M6631" t="s">
        <v>5471</v>
      </c>
    </row>
    <row r="6632" spans="1:13" x14ac:dyDescent="0.3">
      <c r="A6632" t="s">
        <v>3388</v>
      </c>
      <c r="B6632" t="s">
        <v>20014</v>
      </c>
      <c r="C6632" t="s">
        <v>5470</v>
      </c>
      <c r="D6632" t="s">
        <v>4119</v>
      </c>
      <c r="E6632" t="s">
        <v>5532</v>
      </c>
      <c r="F6632" t="s">
        <v>25092</v>
      </c>
      <c r="G6632" t="s">
        <v>20016</v>
      </c>
      <c r="H6632" t="s">
        <v>5474</v>
      </c>
      <c r="I6632" t="s">
        <v>25093</v>
      </c>
      <c r="J6632" t="s">
        <v>5476</v>
      </c>
      <c r="K6632" t="s">
        <v>25094</v>
      </c>
      <c r="L6632" t="s">
        <v>5471</v>
      </c>
      <c r="M6632" t="s">
        <v>5471</v>
      </c>
    </row>
    <row r="6633" spans="1:13" x14ac:dyDescent="0.3">
      <c r="A6633" t="s">
        <v>3388</v>
      </c>
      <c r="B6633" t="s">
        <v>5284</v>
      </c>
      <c r="C6633" t="s">
        <v>5470</v>
      </c>
      <c r="D6633" t="s">
        <v>4119</v>
      </c>
      <c r="E6633" t="s">
        <v>5532</v>
      </c>
      <c r="F6633" t="s">
        <v>25095</v>
      </c>
      <c r="G6633" t="s">
        <v>25096</v>
      </c>
      <c r="H6633" t="s">
        <v>5474</v>
      </c>
      <c r="I6633" t="s">
        <v>25097</v>
      </c>
      <c r="J6633" t="s">
        <v>5476</v>
      </c>
      <c r="K6633" t="s">
        <v>25098</v>
      </c>
      <c r="L6633" t="s">
        <v>5471</v>
      </c>
      <c r="M6633" t="s">
        <v>5471</v>
      </c>
    </row>
    <row r="6634" spans="1:13" x14ac:dyDescent="0.3">
      <c r="A6634" t="s">
        <v>3397</v>
      </c>
      <c r="B6634" t="s">
        <v>5259</v>
      </c>
      <c r="C6634" t="s">
        <v>5487</v>
      </c>
      <c r="D6634" t="s">
        <v>4056</v>
      </c>
      <c r="E6634" t="s">
        <v>5532</v>
      </c>
      <c r="F6634" t="s">
        <v>25099</v>
      </c>
      <c r="G6634" t="s">
        <v>24848</v>
      </c>
      <c r="H6634" t="s">
        <v>5474</v>
      </c>
      <c r="I6634" t="s">
        <v>25100</v>
      </c>
      <c r="J6634" t="s">
        <v>5476</v>
      </c>
      <c r="K6634" t="s">
        <v>25101</v>
      </c>
      <c r="L6634" t="s">
        <v>5471</v>
      </c>
      <c r="M6634" t="s">
        <v>5471</v>
      </c>
    </row>
    <row r="6635" spans="1:13" x14ac:dyDescent="0.3">
      <c r="A6635" t="s">
        <v>3397</v>
      </c>
      <c r="B6635" t="s">
        <v>5259</v>
      </c>
      <c r="C6635" t="s">
        <v>5487</v>
      </c>
      <c r="D6635" t="s">
        <v>4056</v>
      </c>
      <c r="E6635" t="s">
        <v>5532</v>
      </c>
      <c r="F6635" t="s">
        <v>25102</v>
      </c>
      <c r="G6635" t="s">
        <v>24848</v>
      </c>
      <c r="H6635" t="s">
        <v>5474</v>
      </c>
      <c r="I6635" t="s">
        <v>25103</v>
      </c>
      <c r="J6635" t="s">
        <v>5476</v>
      </c>
      <c r="K6635" t="s">
        <v>25104</v>
      </c>
      <c r="L6635" t="s">
        <v>5471</v>
      </c>
      <c r="M6635" t="s">
        <v>5471</v>
      </c>
    </row>
    <row r="6636" spans="1:13" x14ac:dyDescent="0.3">
      <c r="A6636" t="s">
        <v>3397</v>
      </c>
      <c r="B6636" t="s">
        <v>5259</v>
      </c>
      <c r="C6636" t="s">
        <v>5487</v>
      </c>
      <c r="D6636" t="s">
        <v>4056</v>
      </c>
      <c r="E6636" t="s">
        <v>5617</v>
      </c>
      <c r="F6636" t="s">
        <v>25105</v>
      </c>
      <c r="G6636" t="s">
        <v>10239</v>
      </c>
      <c r="H6636" t="s">
        <v>5474</v>
      </c>
      <c r="I6636" t="s">
        <v>25106</v>
      </c>
      <c r="J6636" t="s">
        <v>5476</v>
      </c>
      <c r="K6636" t="s">
        <v>25107</v>
      </c>
      <c r="L6636" t="s">
        <v>5471</v>
      </c>
      <c r="M6636" t="s">
        <v>5471</v>
      </c>
    </row>
    <row r="6637" spans="1:13" x14ac:dyDescent="0.3">
      <c r="A6637" t="s">
        <v>3380</v>
      </c>
      <c r="B6637" t="s">
        <v>9934</v>
      </c>
      <c r="C6637" t="s">
        <v>6342</v>
      </c>
      <c r="D6637" t="s">
        <v>4119</v>
      </c>
      <c r="E6637" t="s">
        <v>9935</v>
      </c>
      <c r="F6637" t="s">
        <v>25108</v>
      </c>
      <c r="G6637" t="s">
        <v>10930</v>
      </c>
      <c r="H6637" t="s">
        <v>5474</v>
      </c>
      <c r="I6637" t="s">
        <v>25109</v>
      </c>
      <c r="J6637" t="s">
        <v>5476</v>
      </c>
      <c r="K6637" t="s">
        <v>25110</v>
      </c>
      <c r="L6637" t="s">
        <v>5471</v>
      </c>
      <c r="M6637" t="s">
        <v>5471</v>
      </c>
    </row>
    <row r="6638" spans="1:13" x14ac:dyDescent="0.3">
      <c r="A6638" t="s">
        <v>3397</v>
      </c>
      <c r="B6638" t="s">
        <v>5259</v>
      </c>
      <c r="C6638" t="s">
        <v>5487</v>
      </c>
      <c r="D6638" t="s">
        <v>4056</v>
      </c>
      <c r="E6638" t="s">
        <v>5617</v>
      </c>
      <c r="F6638" t="s">
        <v>25111</v>
      </c>
      <c r="G6638" t="s">
        <v>10239</v>
      </c>
      <c r="H6638" t="s">
        <v>5474</v>
      </c>
      <c r="I6638" t="s">
        <v>25112</v>
      </c>
      <c r="J6638" t="s">
        <v>5476</v>
      </c>
      <c r="K6638" t="s">
        <v>25113</v>
      </c>
      <c r="L6638" t="s">
        <v>5471</v>
      </c>
      <c r="M6638" t="s">
        <v>5471</v>
      </c>
    </row>
    <row r="6639" spans="1:13" x14ac:dyDescent="0.3">
      <c r="A6639" t="s">
        <v>3397</v>
      </c>
      <c r="B6639" t="s">
        <v>5259</v>
      </c>
      <c r="C6639" t="s">
        <v>5487</v>
      </c>
      <c r="D6639" t="s">
        <v>4056</v>
      </c>
      <c r="E6639" t="s">
        <v>5617</v>
      </c>
      <c r="F6639" t="s">
        <v>25114</v>
      </c>
      <c r="G6639" t="s">
        <v>10239</v>
      </c>
      <c r="H6639" t="s">
        <v>5474</v>
      </c>
      <c r="I6639" t="s">
        <v>25115</v>
      </c>
      <c r="J6639" t="s">
        <v>5476</v>
      </c>
      <c r="K6639" t="s">
        <v>25116</v>
      </c>
      <c r="L6639" t="s">
        <v>5471</v>
      </c>
      <c r="M6639" t="s">
        <v>5471</v>
      </c>
    </row>
    <row r="6640" spans="1:13" x14ac:dyDescent="0.3">
      <c r="A6640" t="s">
        <v>3380</v>
      </c>
      <c r="B6640" t="s">
        <v>16299</v>
      </c>
      <c r="C6640" t="s">
        <v>6342</v>
      </c>
      <c r="D6640" t="s">
        <v>4119</v>
      </c>
      <c r="E6640" t="s">
        <v>5532</v>
      </c>
      <c r="F6640" t="s">
        <v>25117</v>
      </c>
      <c r="G6640" t="s">
        <v>17277</v>
      </c>
      <c r="H6640" t="s">
        <v>5474</v>
      </c>
      <c r="I6640" t="s">
        <v>25118</v>
      </c>
      <c r="J6640" t="s">
        <v>5476</v>
      </c>
      <c r="K6640" t="s">
        <v>16413</v>
      </c>
      <c r="L6640" t="s">
        <v>5471</v>
      </c>
      <c r="M6640" t="s">
        <v>5471</v>
      </c>
    </row>
    <row r="6641" spans="1:13" x14ac:dyDescent="0.3">
      <c r="A6641" t="s">
        <v>3380</v>
      </c>
      <c r="B6641" t="s">
        <v>5261</v>
      </c>
      <c r="C6641" t="s">
        <v>6342</v>
      </c>
      <c r="D6641" t="s">
        <v>4119</v>
      </c>
      <c r="E6641" t="s">
        <v>5843</v>
      </c>
      <c r="F6641" t="s">
        <v>25119</v>
      </c>
      <c r="G6641" t="s">
        <v>16694</v>
      </c>
      <c r="H6641" t="s">
        <v>5474</v>
      </c>
      <c r="I6641" t="s">
        <v>25120</v>
      </c>
      <c r="J6641" t="s">
        <v>5476</v>
      </c>
      <c r="K6641" t="s">
        <v>25121</v>
      </c>
      <c r="L6641" t="s">
        <v>5471</v>
      </c>
      <c r="M6641" t="s">
        <v>5471</v>
      </c>
    </row>
    <row r="6642" spans="1:13" x14ac:dyDescent="0.3">
      <c r="A6642" t="s">
        <v>3397</v>
      </c>
      <c r="B6642" t="s">
        <v>5259</v>
      </c>
      <c r="C6642" t="s">
        <v>5487</v>
      </c>
      <c r="D6642" t="s">
        <v>4056</v>
      </c>
      <c r="E6642" t="s">
        <v>5617</v>
      </c>
      <c r="F6642" t="s">
        <v>25122</v>
      </c>
      <c r="G6642" t="s">
        <v>10239</v>
      </c>
      <c r="H6642" t="s">
        <v>5474</v>
      </c>
      <c r="I6642" t="s">
        <v>25123</v>
      </c>
      <c r="J6642" t="s">
        <v>5476</v>
      </c>
      <c r="K6642" t="s">
        <v>25124</v>
      </c>
      <c r="L6642" t="s">
        <v>5471</v>
      </c>
      <c r="M6642" t="s">
        <v>5471</v>
      </c>
    </row>
    <row r="6643" spans="1:13" x14ac:dyDescent="0.3">
      <c r="A6643" t="s">
        <v>3397</v>
      </c>
      <c r="B6643" t="s">
        <v>5259</v>
      </c>
      <c r="C6643" t="s">
        <v>5487</v>
      </c>
      <c r="D6643" t="s">
        <v>4056</v>
      </c>
      <c r="E6643" t="s">
        <v>5617</v>
      </c>
      <c r="F6643" t="s">
        <v>25125</v>
      </c>
      <c r="G6643" t="s">
        <v>10239</v>
      </c>
      <c r="H6643" t="s">
        <v>5474</v>
      </c>
      <c r="I6643" t="s">
        <v>25126</v>
      </c>
      <c r="J6643" t="s">
        <v>5476</v>
      </c>
      <c r="K6643" t="s">
        <v>25127</v>
      </c>
      <c r="L6643" t="s">
        <v>5471</v>
      </c>
      <c r="M6643" t="s">
        <v>5471</v>
      </c>
    </row>
    <row r="6644" spans="1:13" x14ac:dyDescent="0.3">
      <c r="A6644" t="s">
        <v>3380</v>
      </c>
      <c r="B6644" t="s">
        <v>5261</v>
      </c>
      <c r="C6644" t="s">
        <v>6342</v>
      </c>
      <c r="D6644" t="s">
        <v>4119</v>
      </c>
      <c r="E6644" t="s">
        <v>5843</v>
      </c>
      <c r="F6644" t="s">
        <v>25128</v>
      </c>
      <c r="G6644" t="s">
        <v>16694</v>
      </c>
      <c r="H6644" t="s">
        <v>5474</v>
      </c>
      <c r="I6644" t="s">
        <v>25129</v>
      </c>
      <c r="J6644" t="s">
        <v>5476</v>
      </c>
      <c r="K6644" t="s">
        <v>25130</v>
      </c>
      <c r="L6644" t="s">
        <v>5471</v>
      </c>
      <c r="M6644" t="s">
        <v>5471</v>
      </c>
    </row>
    <row r="6645" spans="1:13" x14ac:dyDescent="0.3">
      <c r="A6645" t="s">
        <v>3397</v>
      </c>
      <c r="B6645" t="s">
        <v>5259</v>
      </c>
      <c r="C6645" t="s">
        <v>5487</v>
      </c>
      <c r="D6645" t="s">
        <v>4056</v>
      </c>
      <c r="E6645" t="s">
        <v>5617</v>
      </c>
      <c r="F6645" t="s">
        <v>25131</v>
      </c>
      <c r="G6645" t="s">
        <v>10239</v>
      </c>
      <c r="H6645" t="s">
        <v>5474</v>
      </c>
      <c r="I6645" t="s">
        <v>25132</v>
      </c>
      <c r="J6645" t="s">
        <v>5476</v>
      </c>
      <c r="K6645" t="s">
        <v>25133</v>
      </c>
      <c r="L6645" t="s">
        <v>5471</v>
      </c>
      <c r="M6645" t="s">
        <v>5471</v>
      </c>
    </row>
    <row r="6646" spans="1:13" x14ac:dyDescent="0.3">
      <c r="A6646" t="s">
        <v>3380</v>
      </c>
      <c r="B6646" t="s">
        <v>5261</v>
      </c>
      <c r="C6646" t="s">
        <v>6342</v>
      </c>
      <c r="D6646" t="s">
        <v>4119</v>
      </c>
      <c r="E6646" t="s">
        <v>9935</v>
      </c>
      <c r="F6646" t="s">
        <v>25134</v>
      </c>
      <c r="G6646" t="s">
        <v>25135</v>
      </c>
      <c r="H6646" t="s">
        <v>5474</v>
      </c>
      <c r="I6646" t="s">
        <v>25136</v>
      </c>
      <c r="J6646" t="s">
        <v>5476</v>
      </c>
      <c r="K6646" t="s">
        <v>25137</v>
      </c>
      <c r="L6646" t="s">
        <v>5471</v>
      </c>
      <c r="M6646" t="s">
        <v>5471</v>
      </c>
    </row>
    <row r="6647" spans="1:13" x14ac:dyDescent="0.3">
      <c r="A6647" t="s">
        <v>3397</v>
      </c>
      <c r="B6647" t="s">
        <v>5259</v>
      </c>
      <c r="C6647" t="s">
        <v>5487</v>
      </c>
      <c r="D6647" t="s">
        <v>4056</v>
      </c>
      <c r="E6647" t="s">
        <v>5532</v>
      </c>
      <c r="F6647" t="s">
        <v>25138</v>
      </c>
      <c r="G6647" t="s">
        <v>5690</v>
      </c>
      <c r="H6647" t="s">
        <v>5474</v>
      </c>
      <c r="I6647" t="s">
        <v>25139</v>
      </c>
      <c r="J6647" t="s">
        <v>5476</v>
      </c>
      <c r="K6647" t="s">
        <v>25140</v>
      </c>
      <c r="L6647" t="s">
        <v>5471</v>
      </c>
      <c r="M6647" t="s">
        <v>5471</v>
      </c>
    </row>
    <row r="6648" spans="1:13" x14ac:dyDescent="0.3">
      <c r="A6648" t="s">
        <v>3397</v>
      </c>
      <c r="B6648" t="s">
        <v>5259</v>
      </c>
      <c r="C6648" t="s">
        <v>5487</v>
      </c>
      <c r="D6648" t="s">
        <v>4056</v>
      </c>
      <c r="E6648" t="s">
        <v>5532</v>
      </c>
      <c r="F6648" t="s">
        <v>25141</v>
      </c>
      <c r="G6648" t="s">
        <v>5690</v>
      </c>
      <c r="H6648" t="s">
        <v>5474</v>
      </c>
      <c r="I6648" t="s">
        <v>25142</v>
      </c>
      <c r="J6648" t="s">
        <v>5476</v>
      </c>
      <c r="K6648" t="s">
        <v>25143</v>
      </c>
      <c r="L6648" t="s">
        <v>5471</v>
      </c>
      <c r="M6648" t="s">
        <v>5471</v>
      </c>
    </row>
    <row r="6649" spans="1:13" x14ac:dyDescent="0.3">
      <c r="A6649" t="s">
        <v>3380</v>
      </c>
      <c r="B6649" t="s">
        <v>5261</v>
      </c>
      <c r="C6649" t="s">
        <v>6342</v>
      </c>
      <c r="D6649" t="s">
        <v>4119</v>
      </c>
      <c r="E6649" t="s">
        <v>9935</v>
      </c>
      <c r="F6649" t="s">
        <v>25144</v>
      </c>
      <c r="G6649" t="s">
        <v>16694</v>
      </c>
      <c r="H6649" t="s">
        <v>5474</v>
      </c>
      <c r="I6649" t="s">
        <v>25145</v>
      </c>
      <c r="J6649" t="s">
        <v>5476</v>
      </c>
      <c r="K6649" t="s">
        <v>10555</v>
      </c>
      <c r="L6649" t="s">
        <v>5471</v>
      </c>
      <c r="M6649" t="s">
        <v>5471</v>
      </c>
    </row>
    <row r="6650" spans="1:13" x14ac:dyDescent="0.3">
      <c r="A6650" t="s">
        <v>3397</v>
      </c>
      <c r="B6650" t="s">
        <v>5259</v>
      </c>
      <c r="C6650" t="s">
        <v>5487</v>
      </c>
      <c r="D6650" t="s">
        <v>4056</v>
      </c>
      <c r="E6650" t="s">
        <v>5532</v>
      </c>
      <c r="F6650" t="s">
        <v>25146</v>
      </c>
      <c r="G6650" t="s">
        <v>5690</v>
      </c>
      <c r="H6650" t="s">
        <v>5474</v>
      </c>
      <c r="I6650" t="s">
        <v>25147</v>
      </c>
      <c r="J6650" t="s">
        <v>5476</v>
      </c>
      <c r="K6650" t="s">
        <v>25148</v>
      </c>
      <c r="L6650" t="s">
        <v>5471</v>
      </c>
      <c r="M6650" t="s">
        <v>5471</v>
      </c>
    </row>
    <row r="6651" spans="1:13" x14ac:dyDescent="0.3">
      <c r="A6651" t="s">
        <v>3380</v>
      </c>
      <c r="B6651" t="s">
        <v>5261</v>
      </c>
      <c r="C6651" t="s">
        <v>6342</v>
      </c>
      <c r="D6651" t="s">
        <v>4119</v>
      </c>
      <c r="E6651" t="s">
        <v>9935</v>
      </c>
      <c r="F6651" t="s">
        <v>25149</v>
      </c>
      <c r="G6651" t="s">
        <v>16694</v>
      </c>
      <c r="H6651" t="s">
        <v>5474</v>
      </c>
      <c r="I6651" t="s">
        <v>25150</v>
      </c>
      <c r="J6651" t="s">
        <v>5476</v>
      </c>
      <c r="K6651" t="s">
        <v>10591</v>
      </c>
      <c r="L6651" t="s">
        <v>5471</v>
      </c>
      <c r="M6651" t="s">
        <v>5471</v>
      </c>
    </row>
    <row r="6652" spans="1:13" x14ac:dyDescent="0.3">
      <c r="A6652" t="s">
        <v>3397</v>
      </c>
      <c r="B6652" t="s">
        <v>5259</v>
      </c>
      <c r="C6652" t="s">
        <v>5487</v>
      </c>
      <c r="D6652" t="s">
        <v>4200</v>
      </c>
      <c r="E6652" t="s">
        <v>5532</v>
      </c>
      <c r="F6652" t="s">
        <v>25151</v>
      </c>
      <c r="G6652" t="s">
        <v>19821</v>
      </c>
      <c r="H6652" t="s">
        <v>5474</v>
      </c>
      <c r="I6652" t="s">
        <v>25152</v>
      </c>
      <c r="J6652" t="s">
        <v>5476</v>
      </c>
      <c r="K6652" t="s">
        <v>25153</v>
      </c>
      <c r="L6652" t="s">
        <v>5471</v>
      </c>
      <c r="M6652" t="s">
        <v>5471</v>
      </c>
    </row>
    <row r="6653" spans="1:13" x14ac:dyDescent="0.3">
      <c r="A6653" t="s">
        <v>3397</v>
      </c>
      <c r="B6653" t="s">
        <v>5259</v>
      </c>
      <c r="C6653" t="s">
        <v>5487</v>
      </c>
      <c r="D6653" t="s">
        <v>4200</v>
      </c>
      <c r="E6653" t="s">
        <v>5532</v>
      </c>
      <c r="F6653" t="s">
        <v>25154</v>
      </c>
      <c r="G6653" t="s">
        <v>24848</v>
      </c>
      <c r="H6653" t="s">
        <v>5474</v>
      </c>
      <c r="I6653" t="s">
        <v>25155</v>
      </c>
      <c r="J6653" t="s">
        <v>5476</v>
      </c>
      <c r="K6653" t="s">
        <v>25156</v>
      </c>
      <c r="L6653" t="s">
        <v>5471</v>
      </c>
      <c r="M6653" t="s">
        <v>5471</v>
      </c>
    </row>
    <row r="6654" spans="1:13" x14ac:dyDescent="0.3">
      <c r="A6654" t="s">
        <v>3397</v>
      </c>
      <c r="B6654" t="s">
        <v>5259</v>
      </c>
      <c r="C6654" t="s">
        <v>5487</v>
      </c>
      <c r="D6654" t="s">
        <v>4200</v>
      </c>
      <c r="E6654" t="s">
        <v>5532</v>
      </c>
      <c r="F6654" t="s">
        <v>25157</v>
      </c>
      <c r="G6654" t="s">
        <v>24848</v>
      </c>
      <c r="H6654" t="s">
        <v>5474</v>
      </c>
      <c r="I6654" t="s">
        <v>25158</v>
      </c>
      <c r="J6654" t="s">
        <v>5476</v>
      </c>
      <c r="K6654" t="s">
        <v>25159</v>
      </c>
      <c r="L6654" t="s">
        <v>5471</v>
      </c>
      <c r="M6654" t="s">
        <v>5471</v>
      </c>
    </row>
    <row r="6655" spans="1:13" x14ac:dyDescent="0.3">
      <c r="A6655" t="s">
        <v>3380</v>
      </c>
      <c r="B6655" t="s">
        <v>5261</v>
      </c>
      <c r="C6655" t="s">
        <v>6342</v>
      </c>
      <c r="D6655" t="s">
        <v>4119</v>
      </c>
      <c r="E6655" t="s">
        <v>9935</v>
      </c>
      <c r="F6655" t="s">
        <v>25160</v>
      </c>
      <c r="G6655" t="s">
        <v>16694</v>
      </c>
      <c r="H6655" t="s">
        <v>5474</v>
      </c>
      <c r="I6655" t="s">
        <v>25161</v>
      </c>
      <c r="J6655" t="s">
        <v>5476</v>
      </c>
      <c r="K6655" t="s">
        <v>22724</v>
      </c>
      <c r="L6655" t="s">
        <v>5471</v>
      </c>
      <c r="M6655" t="s">
        <v>5471</v>
      </c>
    </row>
    <row r="6656" spans="1:13" x14ac:dyDescent="0.3">
      <c r="A6656" t="s">
        <v>3397</v>
      </c>
      <c r="B6656" t="s">
        <v>5259</v>
      </c>
      <c r="C6656" t="s">
        <v>5487</v>
      </c>
      <c r="D6656" t="s">
        <v>4200</v>
      </c>
      <c r="E6656" t="s">
        <v>5532</v>
      </c>
      <c r="F6656" t="s">
        <v>25162</v>
      </c>
      <c r="G6656" t="s">
        <v>24848</v>
      </c>
      <c r="H6656" t="s">
        <v>5474</v>
      </c>
      <c r="I6656" t="s">
        <v>25163</v>
      </c>
      <c r="J6656" t="s">
        <v>5476</v>
      </c>
      <c r="K6656" t="s">
        <v>25164</v>
      </c>
      <c r="L6656" t="s">
        <v>5471</v>
      </c>
      <c r="M6656" t="s">
        <v>5471</v>
      </c>
    </row>
    <row r="6657" spans="1:13" x14ac:dyDescent="0.3">
      <c r="A6657" t="s">
        <v>3380</v>
      </c>
      <c r="B6657" t="s">
        <v>5276</v>
      </c>
      <c r="C6657" t="s">
        <v>6342</v>
      </c>
      <c r="D6657" t="s">
        <v>4119</v>
      </c>
      <c r="E6657" t="s">
        <v>5480</v>
      </c>
      <c r="F6657" t="s">
        <v>25165</v>
      </c>
      <c r="G6657" t="s">
        <v>19889</v>
      </c>
      <c r="H6657" t="s">
        <v>5474</v>
      </c>
      <c r="I6657" t="s">
        <v>25166</v>
      </c>
      <c r="J6657" t="s">
        <v>5476</v>
      </c>
      <c r="K6657" t="s">
        <v>25167</v>
      </c>
      <c r="L6657" t="s">
        <v>5471</v>
      </c>
      <c r="M6657" t="s">
        <v>5471</v>
      </c>
    </row>
    <row r="6658" spans="1:13" x14ac:dyDescent="0.3">
      <c r="A6658" t="s">
        <v>3380</v>
      </c>
      <c r="B6658" t="s">
        <v>5276</v>
      </c>
      <c r="C6658" t="s">
        <v>6342</v>
      </c>
      <c r="D6658" t="s">
        <v>4119</v>
      </c>
      <c r="E6658" t="s">
        <v>5480</v>
      </c>
      <c r="F6658" t="s">
        <v>25168</v>
      </c>
      <c r="G6658" t="s">
        <v>19892</v>
      </c>
      <c r="H6658" t="s">
        <v>5474</v>
      </c>
      <c r="I6658" t="s">
        <v>25169</v>
      </c>
      <c r="J6658" t="s">
        <v>5476</v>
      </c>
      <c r="K6658" t="s">
        <v>25170</v>
      </c>
      <c r="L6658" t="s">
        <v>5471</v>
      </c>
      <c r="M6658" t="s">
        <v>5471</v>
      </c>
    </row>
    <row r="6659" spans="1:13" x14ac:dyDescent="0.3">
      <c r="A6659" t="s">
        <v>3380</v>
      </c>
      <c r="B6659" t="s">
        <v>5247</v>
      </c>
      <c r="C6659" t="s">
        <v>6342</v>
      </c>
      <c r="D6659" t="s">
        <v>4052</v>
      </c>
      <c r="E6659" t="s">
        <v>5532</v>
      </c>
      <c r="F6659" t="s">
        <v>25171</v>
      </c>
      <c r="G6659" t="s">
        <v>16147</v>
      </c>
      <c r="H6659" t="s">
        <v>5474</v>
      </c>
      <c r="I6659" t="s">
        <v>25172</v>
      </c>
      <c r="J6659" t="s">
        <v>5476</v>
      </c>
      <c r="K6659" t="s">
        <v>9724</v>
      </c>
      <c r="L6659" t="s">
        <v>5471</v>
      </c>
      <c r="M6659" t="s">
        <v>5471</v>
      </c>
    </row>
    <row r="6660" spans="1:13" x14ac:dyDescent="0.3">
      <c r="A6660" t="s">
        <v>3380</v>
      </c>
      <c r="B6660" t="s">
        <v>5247</v>
      </c>
      <c r="C6660" t="s">
        <v>6342</v>
      </c>
      <c r="D6660" t="s">
        <v>4058</v>
      </c>
      <c r="E6660" t="s">
        <v>9935</v>
      </c>
      <c r="F6660" t="s">
        <v>25173</v>
      </c>
      <c r="G6660" t="s">
        <v>16140</v>
      </c>
      <c r="H6660" t="s">
        <v>5474</v>
      </c>
      <c r="I6660" t="s">
        <v>25174</v>
      </c>
      <c r="J6660" t="s">
        <v>5476</v>
      </c>
      <c r="K6660" t="s">
        <v>25175</v>
      </c>
      <c r="L6660" t="s">
        <v>5471</v>
      </c>
      <c r="M6660" t="s">
        <v>5471</v>
      </c>
    </row>
    <row r="6661" spans="1:13" x14ac:dyDescent="0.3">
      <c r="A6661" t="s">
        <v>3380</v>
      </c>
      <c r="B6661" t="s">
        <v>5276</v>
      </c>
      <c r="C6661" t="s">
        <v>6342</v>
      </c>
      <c r="D6661" t="s">
        <v>4119</v>
      </c>
      <c r="E6661" t="s">
        <v>5480</v>
      </c>
      <c r="F6661" t="s">
        <v>25176</v>
      </c>
      <c r="G6661" t="s">
        <v>19896</v>
      </c>
      <c r="H6661" t="s">
        <v>5474</v>
      </c>
      <c r="I6661" t="s">
        <v>25177</v>
      </c>
      <c r="J6661" t="s">
        <v>5476</v>
      </c>
      <c r="K6661" t="s">
        <v>25178</v>
      </c>
      <c r="L6661" t="s">
        <v>5471</v>
      </c>
      <c r="M6661" t="s">
        <v>5471</v>
      </c>
    </row>
    <row r="6662" spans="1:13" x14ac:dyDescent="0.3">
      <c r="A6662" t="s">
        <v>3380</v>
      </c>
      <c r="B6662" t="s">
        <v>5247</v>
      </c>
      <c r="C6662" t="s">
        <v>6342</v>
      </c>
      <c r="D6662" t="s">
        <v>4058</v>
      </c>
      <c r="E6662" t="s">
        <v>9935</v>
      </c>
      <c r="F6662" t="s">
        <v>25179</v>
      </c>
      <c r="G6662" t="s">
        <v>16140</v>
      </c>
      <c r="H6662" t="s">
        <v>5474</v>
      </c>
      <c r="I6662" t="s">
        <v>25180</v>
      </c>
      <c r="J6662" t="s">
        <v>5476</v>
      </c>
      <c r="K6662" t="s">
        <v>25181</v>
      </c>
      <c r="L6662" t="s">
        <v>5471</v>
      </c>
      <c r="M6662" t="s">
        <v>5471</v>
      </c>
    </row>
    <row r="6663" spans="1:13" x14ac:dyDescent="0.3">
      <c r="A6663" t="s">
        <v>3397</v>
      </c>
      <c r="B6663" t="s">
        <v>5255</v>
      </c>
      <c r="C6663" t="s">
        <v>5487</v>
      </c>
      <c r="D6663" t="s">
        <v>4119</v>
      </c>
      <c r="E6663" t="s">
        <v>5595</v>
      </c>
      <c r="F6663" t="s">
        <v>25182</v>
      </c>
      <c r="G6663" t="s">
        <v>8041</v>
      </c>
      <c r="H6663" t="s">
        <v>5474</v>
      </c>
      <c r="I6663" t="s">
        <v>25183</v>
      </c>
      <c r="J6663" t="s">
        <v>5476</v>
      </c>
      <c r="K6663" t="s">
        <v>25184</v>
      </c>
      <c r="L6663" t="s">
        <v>5471</v>
      </c>
      <c r="M6663" t="s">
        <v>5471</v>
      </c>
    </row>
    <row r="6664" spans="1:13" x14ac:dyDescent="0.3">
      <c r="A6664" t="s">
        <v>3383</v>
      </c>
      <c r="B6664" t="s">
        <v>6051</v>
      </c>
      <c r="C6664" t="s">
        <v>5470</v>
      </c>
      <c r="D6664" t="s">
        <v>4058</v>
      </c>
      <c r="E6664" t="s">
        <v>5756</v>
      </c>
      <c r="F6664" t="s">
        <v>25185</v>
      </c>
      <c r="G6664" t="s">
        <v>6197</v>
      </c>
      <c r="H6664" t="s">
        <v>5474</v>
      </c>
      <c r="I6664" t="s">
        <v>25186</v>
      </c>
      <c r="J6664" t="s">
        <v>5484</v>
      </c>
      <c r="K6664" t="s">
        <v>25187</v>
      </c>
      <c r="L6664" t="s">
        <v>5471</v>
      </c>
      <c r="M6664" t="s">
        <v>5471</v>
      </c>
    </row>
    <row r="6665" spans="1:13" x14ac:dyDescent="0.3">
      <c r="A6665" t="s">
        <v>3380</v>
      </c>
      <c r="B6665" t="s">
        <v>5247</v>
      </c>
      <c r="C6665" t="s">
        <v>6342</v>
      </c>
      <c r="D6665" t="s">
        <v>10218</v>
      </c>
      <c r="E6665" t="s">
        <v>5532</v>
      </c>
      <c r="F6665" t="s">
        <v>25188</v>
      </c>
      <c r="G6665" t="s">
        <v>16222</v>
      </c>
      <c r="H6665" t="s">
        <v>5474</v>
      </c>
      <c r="I6665" t="s">
        <v>25189</v>
      </c>
      <c r="J6665" t="s">
        <v>5476</v>
      </c>
      <c r="K6665" t="s">
        <v>25190</v>
      </c>
      <c r="L6665" t="s">
        <v>5471</v>
      </c>
      <c r="M6665" t="s">
        <v>5471</v>
      </c>
    </row>
    <row r="6666" spans="1:13" x14ac:dyDescent="0.3">
      <c r="A6666" t="s">
        <v>3383</v>
      </c>
      <c r="B6666" t="s">
        <v>6051</v>
      </c>
      <c r="C6666" t="s">
        <v>5470</v>
      </c>
      <c r="D6666" t="s">
        <v>4119</v>
      </c>
      <c r="E6666" t="s">
        <v>5756</v>
      </c>
      <c r="F6666" t="s">
        <v>25191</v>
      </c>
      <c r="G6666" t="s">
        <v>7487</v>
      </c>
      <c r="H6666" t="s">
        <v>5474</v>
      </c>
      <c r="I6666" t="s">
        <v>25192</v>
      </c>
      <c r="J6666" t="s">
        <v>5484</v>
      </c>
      <c r="K6666" t="s">
        <v>25193</v>
      </c>
      <c r="L6666" t="s">
        <v>5471</v>
      </c>
      <c r="M6666" t="s">
        <v>5471</v>
      </c>
    </row>
    <row r="6667" spans="1:13" x14ac:dyDescent="0.3">
      <c r="A6667" t="s">
        <v>3380</v>
      </c>
      <c r="B6667" t="s">
        <v>5261</v>
      </c>
      <c r="C6667" t="s">
        <v>6342</v>
      </c>
      <c r="D6667" t="s">
        <v>4052</v>
      </c>
      <c r="E6667" t="s">
        <v>9935</v>
      </c>
      <c r="F6667" t="s">
        <v>25194</v>
      </c>
      <c r="G6667" t="s">
        <v>23555</v>
      </c>
      <c r="H6667" t="s">
        <v>5474</v>
      </c>
      <c r="I6667" t="s">
        <v>25195</v>
      </c>
      <c r="J6667" t="s">
        <v>5476</v>
      </c>
      <c r="K6667" t="s">
        <v>16015</v>
      </c>
      <c r="L6667" t="s">
        <v>5471</v>
      </c>
      <c r="M6667" t="s">
        <v>5471</v>
      </c>
    </row>
    <row r="6668" spans="1:13" x14ac:dyDescent="0.3">
      <c r="A6668" t="s">
        <v>3380</v>
      </c>
      <c r="B6668" t="s">
        <v>5261</v>
      </c>
      <c r="C6668" t="s">
        <v>6342</v>
      </c>
      <c r="D6668" t="s">
        <v>4052</v>
      </c>
      <c r="E6668" t="s">
        <v>9935</v>
      </c>
      <c r="F6668" t="s">
        <v>25196</v>
      </c>
      <c r="G6668" t="s">
        <v>15615</v>
      </c>
      <c r="H6668" t="s">
        <v>5474</v>
      </c>
      <c r="I6668" t="s">
        <v>25197</v>
      </c>
      <c r="J6668" t="s">
        <v>5476</v>
      </c>
      <c r="K6668" t="s">
        <v>16076</v>
      </c>
      <c r="L6668" t="s">
        <v>5471</v>
      </c>
      <c r="M6668" t="s">
        <v>5471</v>
      </c>
    </row>
    <row r="6669" spans="1:13" x14ac:dyDescent="0.3">
      <c r="A6669" t="s">
        <v>3383</v>
      </c>
      <c r="B6669" t="s">
        <v>6187</v>
      </c>
      <c r="C6669" t="s">
        <v>5470</v>
      </c>
      <c r="D6669" t="s">
        <v>4119</v>
      </c>
      <c r="E6669" t="s">
        <v>5756</v>
      </c>
      <c r="F6669" t="s">
        <v>25198</v>
      </c>
      <c r="G6669" t="s">
        <v>8524</v>
      </c>
      <c r="H6669" t="s">
        <v>5474</v>
      </c>
      <c r="I6669" t="s">
        <v>25199</v>
      </c>
      <c r="J6669" t="s">
        <v>5484</v>
      </c>
      <c r="K6669" t="s">
        <v>25200</v>
      </c>
      <c r="L6669" t="s">
        <v>5471</v>
      </c>
      <c r="M6669" t="s">
        <v>5471</v>
      </c>
    </row>
    <row r="6670" spans="1:13" x14ac:dyDescent="0.3">
      <c r="A6670" t="s">
        <v>3380</v>
      </c>
      <c r="B6670" t="s">
        <v>5261</v>
      </c>
      <c r="C6670" t="s">
        <v>6342</v>
      </c>
      <c r="D6670" t="s">
        <v>4058</v>
      </c>
      <c r="E6670" t="s">
        <v>9935</v>
      </c>
      <c r="F6670" t="s">
        <v>25201</v>
      </c>
      <c r="G6670" t="s">
        <v>23555</v>
      </c>
      <c r="H6670" t="s">
        <v>5474</v>
      </c>
      <c r="I6670" t="s">
        <v>25202</v>
      </c>
      <c r="J6670" t="s">
        <v>5476</v>
      </c>
      <c r="K6670" t="s">
        <v>16018</v>
      </c>
      <c r="L6670" t="s">
        <v>5471</v>
      </c>
      <c r="M6670" t="s">
        <v>5471</v>
      </c>
    </row>
    <row r="6671" spans="1:13" x14ac:dyDescent="0.3">
      <c r="A6671" t="s">
        <v>3383</v>
      </c>
      <c r="B6671" t="s">
        <v>6051</v>
      </c>
      <c r="C6671" t="s">
        <v>5470</v>
      </c>
      <c r="D6671" t="s">
        <v>4119</v>
      </c>
      <c r="E6671" t="s">
        <v>5756</v>
      </c>
      <c r="F6671" t="s">
        <v>25203</v>
      </c>
      <c r="G6671" t="s">
        <v>7487</v>
      </c>
      <c r="H6671" t="s">
        <v>5474</v>
      </c>
      <c r="I6671" t="s">
        <v>25204</v>
      </c>
      <c r="J6671" t="s">
        <v>5484</v>
      </c>
      <c r="K6671" t="s">
        <v>25205</v>
      </c>
      <c r="L6671" t="s">
        <v>5471</v>
      </c>
      <c r="M6671" t="s">
        <v>5471</v>
      </c>
    </row>
    <row r="6672" spans="1:13" x14ac:dyDescent="0.3">
      <c r="A6672" t="s">
        <v>3383</v>
      </c>
      <c r="B6672" t="s">
        <v>6051</v>
      </c>
      <c r="C6672" t="s">
        <v>5470</v>
      </c>
      <c r="D6672" t="s">
        <v>4058</v>
      </c>
      <c r="E6672" t="s">
        <v>5756</v>
      </c>
      <c r="F6672" t="s">
        <v>25206</v>
      </c>
      <c r="G6672" t="s">
        <v>7487</v>
      </c>
      <c r="H6672" t="s">
        <v>5474</v>
      </c>
      <c r="I6672" t="s">
        <v>25207</v>
      </c>
      <c r="J6672" t="s">
        <v>5484</v>
      </c>
      <c r="K6672" t="s">
        <v>25208</v>
      </c>
      <c r="L6672" t="s">
        <v>5471</v>
      </c>
      <c r="M6672" t="s">
        <v>5471</v>
      </c>
    </row>
    <row r="6673" spans="1:13" x14ac:dyDescent="0.3">
      <c r="A6673" t="s">
        <v>3383</v>
      </c>
      <c r="B6673" t="s">
        <v>6051</v>
      </c>
      <c r="C6673" t="s">
        <v>5470</v>
      </c>
      <c r="D6673" t="s">
        <v>4058</v>
      </c>
      <c r="E6673" t="s">
        <v>5756</v>
      </c>
      <c r="F6673" t="s">
        <v>25209</v>
      </c>
      <c r="G6673" t="s">
        <v>7487</v>
      </c>
      <c r="H6673" t="s">
        <v>5474</v>
      </c>
      <c r="I6673" t="s">
        <v>25210</v>
      </c>
      <c r="J6673" t="s">
        <v>5476</v>
      </c>
      <c r="K6673" t="s">
        <v>25211</v>
      </c>
      <c r="L6673" t="s">
        <v>5471</v>
      </c>
      <c r="M6673" t="s">
        <v>5471</v>
      </c>
    </row>
    <row r="6674" spans="1:13" x14ac:dyDescent="0.3">
      <c r="A6674" t="s">
        <v>3380</v>
      </c>
      <c r="B6674" t="s">
        <v>5261</v>
      </c>
      <c r="C6674" t="s">
        <v>6342</v>
      </c>
      <c r="D6674" t="s">
        <v>4058</v>
      </c>
      <c r="E6674" t="s">
        <v>9935</v>
      </c>
      <c r="F6674" t="s">
        <v>25212</v>
      </c>
      <c r="G6674" t="s">
        <v>23555</v>
      </c>
      <c r="H6674" t="s">
        <v>5474</v>
      </c>
      <c r="I6674" t="s">
        <v>25213</v>
      </c>
      <c r="J6674" t="s">
        <v>5476</v>
      </c>
      <c r="K6674" t="s">
        <v>16021</v>
      </c>
      <c r="L6674" t="s">
        <v>5471</v>
      </c>
      <c r="M6674" t="s">
        <v>5471</v>
      </c>
    </row>
    <row r="6675" spans="1:13" x14ac:dyDescent="0.3">
      <c r="A6675" t="s">
        <v>3380</v>
      </c>
      <c r="B6675" t="s">
        <v>5261</v>
      </c>
      <c r="C6675" t="s">
        <v>6342</v>
      </c>
      <c r="D6675" t="s">
        <v>4058</v>
      </c>
      <c r="E6675" t="s">
        <v>9935</v>
      </c>
      <c r="F6675" t="s">
        <v>25214</v>
      </c>
      <c r="G6675" t="s">
        <v>23555</v>
      </c>
      <c r="H6675" t="s">
        <v>5474</v>
      </c>
      <c r="I6675" t="s">
        <v>25215</v>
      </c>
      <c r="J6675" t="s">
        <v>5476</v>
      </c>
      <c r="K6675" t="s">
        <v>25216</v>
      </c>
      <c r="L6675" t="s">
        <v>5471</v>
      </c>
      <c r="M6675" t="s">
        <v>5471</v>
      </c>
    </row>
    <row r="6676" spans="1:13" x14ac:dyDescent="0.3">
      <c r="A6676" t="s">
        <v>3380</v>
      </c>
      <c r="B6676" t="s">
        <v>5261</v>
      </c>
      <c r="C6676" t="s">
        <v>6342</v>
      </c>
      <c r="D6676" t="s">
        <v>4058</v>
      </c>
      <c r="E6676" t="s">
        <v>9935</v>
      </c>
      <c r="F6676" t="s">
        <v>25217</v>
      </c>
      <c r="G6676" t="s">
        <v>23476</v>
      </c>
      <c r="H6676" t="s">
        <v>5474</v>
      </c>
      <c r="I6676" t="s">
        <v>25218</v>
      </c>
      <c r="J6676" t="s">
        <v>5476</v>
      </c>
      <c r="K6676" t="s">
        <v>16135</v>
      </c>
      <c r="L6676" t="s">
        <v>5471</v>
      </c>
      <c r="M6676" t="s">
        <v>5471</v>
      </c>
    </row>
    <row r="6677" spans="1:13" x14ac:dyDescent="0.3">
      <c r="A6677" t="s">
        <v>3380</v>
      </c>
      <c r="B6677" t="s">
        <v>5261</v>
      </c>
      <c r="C6677" t="s">
        <v>6342</v>
      </c>
      <c r="D6677" t="s">
        <v>4058</v>
      </c>
      <c r="E6677" t="s">
        <v>5532</v>
      </c>
      <c r="F6677" t="s">
        <v>25219</v>
      </c>
      <c r="G6677" t="s">
        <v>15615</v>
      </c>
      <c r="H6677" t="s">
        <v>5474</v>
      </c>
      <c r="I6677" t="s">
        <v>25220</v>
      </c>
      <c r="J6677" t="s">
        <v>5476</v>
      </c>
      <c r="K6677" t="s">
        <v>25221</v>
      </c>
      <c r="L6677" t="s">
        <v>5471</v>
      </c>
      <c r="M6677" t="s">
        <v>5471</v>
      </c>
    </row>
    <row r="6678" spans="1:13" x14ac:dyDescent="0.3">
      <c r="A6678" t="s">
        <v>3383</v>
      </c>
      <c r="B6678" t="s">
        <v>6122</v>
      </c>
      <c r="C6678" t="s">
        <v>5470</v>
      </c>
      <c r="D6678" t="s">
        <v>4056</v>
      </c>
      <c r="E6678" t="s">
        <v>5532</v>
      </c>
      <c r="F6678" t="s">
        <v>25222</v>
      </c>
      <c r="G6678" t="s">
        <v>25223</v>
      </c>
      <c r="H6678" t="s">
        <v>5474</v>
      </c>
      <c r="I6678" t="s">
        <v>25224</v>
      </c>
      <c r="J6678" t="s">
        <v>5484</v>
      </c>
      <c r="K6678" t="s">
        <v>25223</v>
      </c>
      <c r="L6678" t="s">
        <v>5471</v>
      </c>
      <c r="M6678" t="s">
        <v>5471</v>
      </c>
    </row>
    <row r="6679" spans="1:13" x14ac:dyDescent="0.3">
      <c r="A6679" t="s">
        <v>3383</v>
      </c>
      <c r="B6679" t="s">
        <v>6122</v>
      </c>
      <c r="C6679" t="s">
        <v>5470</v>
      </c>
      <c r="D6679" t="s">
        <v>4056</v>
      </c>
      <c r="E6679" t="s">
        <v>5532</v>
      </c>
      <c r="F6679" t="s">
        <v>25225</v>
      </c>
      <c r="G6679" t="s">
        <v>25226</v>
      </c>
      <c r="H6679" t="s">
        <v>5474</v>
      </c>
      <c r="I6679" t="s">
        <v>25227</v>
      </c>
      <c r="J6679" t="s">
        <v>5484</v>
      </c>
      <c r="K6679" t="s">
        <v>25226</v>
      </c>
      <c r="L6679" t="s">
        <v>5471</v>
      </c>
      <c r="M6679" t="s">
        <v>5471</v>
      </c>
    </row>
    <row r="6680" spans="1:13" x14ac:dyDescent="0.3">
      <c r="A6680" t="s">
        <v>3383</v>
      </c>
      <c r="B6680" t="s">
        <v>6122</v>
      </c>
      <c r="C6680" t="s">
        <v>5470</v>
      </c>
      <c r="D6680" t="s">
        <v>4056</v>
      </c>
      <c r="E6680" t="s">
        <v>5532</v>
      </c>
      <c r="F6680" t="s">
        <v>25228</v>
      </c>
      <c r="G6680" t="s">
        <v>25229</v>
      </c>
      <c r="H6680" t="s">
        <v>5474</v>
      </c>
      <c r="I6680" t="s">
        <v>25230</v>
      </c>
      <c r="J6680" t="s">
        <v>5484</v>
      </c>
      <c r="K6680" t="s">
        <v>25229</v>
      </c>
      <c r="L6680" t="s">
        <v>5471</v>
      </c>
      <c r="M6680" t="s">
        <v>5471</v>
      </c>
    </row>
    <row r="6681" spans="1:13" x14ac:dyDescent="0.3">
      <c r="A6681" t="s">
        <v>3397</v>
      </c>
      <c r="B6681" t="s">
        <v>5292</v>
      </c>
      <c r="C6681" t="s">
        <v>5487</v>
      </c>
      <c r="D6681" t="s">
        <v>4119</v>
      </c>
      <c r="E6681" t="s">
        <v>5595</v>
      </c>
      <c r="F6681" t="s">
        <v>13437</v>
      </c>
      <c r="G6681" t="s">
        <v>13438</v>
      </c>
      <c r="H6681" t="s">
        <v>5474</v>
      </c>
      <c r="I6681" t="s">
        <v>25231</v>
      </c>
      <c r="J6681" t="s">
        <v>5476</v>
      </c>
      <c r="K6681" t="s">
        <v>25232</v>
      </c>
      <c r="L6681" t="s">
        <v>5471</v>
      </c>
      <c r="M6681" t="s">
        <v>5471</v>
      </c>
    </row>
    <row r="6682" spans="1:13" x14ac:dyDescent="0.3">
      <c r="A6682" t="s">
        <v>3397</v>
      </c>
      <c r="B6682" t="s">
        <v>5292</v>
      </c>
      <c r="C6682" t="s">
        <v>5487</v>
      </c>
      <c r="D6682" t="s">
        <v>4119</v>
      </c>
      <c r="E6682" t="s">
        <v>5595</v>
      </c>
      <c r="F6682" t="s">
        <v>13441</v>
      </c>
      <c r="G6682" t="s">
        <v>12937</v>
      </c>
      <c r="H6682" t="s">
        <v>5474</v>
      </c>
      <c r="I6682" t="s">
        <v>25233</v>
      </c>
      <c r="J6682" t="s">
        <v>5476</v>
      </c>
      <c r="K6682" t="s">
        <v>13443</v>
      </c>
      <c r="L6682" t="s">
        <v>5471</v>
      </c>
      <c r="M6682" t="s">
        <v>5471</v>
      </c>
    </row>
    <row r="6683" spans="1:13" x14ac:dyDescent="0.3">
      <c r="A6683" t="s">
        <v>3383</v>
      </c>
      <c r="B6683" t="s">
        <v>6122</v>
      </c>
      <c r="C6683" t="s">
        <v>5470</v>
      </c>
      <c r="D6683" t="s">
        <v>4056</v>
      </c>
      <c r="E6683" t="s">
        <v>5756</v>
      </c>
      <c r="F6683" t="s">
        <v>25234</v>
      </c>
      <c r="G6683" t="s">
        <v>12004</v>
      </c>
      <c r="H6683" t="s">
        <v>5474</v>
      </c>
      <c r="I6683" t="s">
        <v>25235</v>
      </c>
      <c r="J6683" t="s">
        <v>5476</v>
      </c>
      <c r="K6683" t="s">
        <v>25236</v>
      </c>
      <c r="L6683" t="s">
        <v>5471</v>
      </c>
      <c r="M6683" t="s">
        <v>5471</v>
      </c>
    </row>
    <row r="6684" spans="1:13" x14ac:dyDescent="0.3">
      <c r="A6684" t="s">
        <v>3383</v>
      </c>
      <c r="B6684" t="s">
        <v>6122</v>
      </c>
      <c r="C6684" t="s">
        <v>5470</v>
      </c>
      <c r="D6684" t="s">
        <v>4056</v>
      </c>
      <c r="E6684" t="s">
        <v>5756</v>
      </c>
      <c r="F6684" t="s">
        <v>25237</v>
      </c>
      <c r="G6684" t="s">
        <v>12004</v>
      </c>
      <c r="H6684" t="s">
        <v>5474</v>
      </c>
      <c r="I6684" t="s">
        <v>25238</v>
      </c>
      <c r="J6684" t="s">
        <v>5476</v>
      </c>
      <c r="K6684" t="s">
        <v>25239</v>
      </c>
      <c r="L6684" t="s">
        <v>5471</v>
      </c>
      <c r="M6684" t="s">
        <v>5471</v>
      </c>
    </row>
    <row r="6685" spans="1:13" x14ac:dyDescent="0.3">
      <c r="A6685" t="s">
        <v>3383</v>
      </c>
      <c r="B6685" t="s">
        <v>6122</v>
      </c>
      <c r="C6685" t="s">
        <v>5470</v>
      </c>
      <c r="D6685" t="s">
        <v>4056</v>
      </c>
      <c r="E6685" t="s">
        <v>5756</v>
      </c>
      <c r="F6685" t="s">
        <v>25240</v>
      </c>
      <c r="G6685" t="s">
        <v>12004</v>
      </c>
      <c r="H6685" t="s">
        <v>5474</v>
      </c>
      <c r="I6685" t="s">
        <v>25241</v>
      </c>
      <c r="J6685" t="s">
        <v>5476</v>
      </c>
      <c r="K6685" t="s">
        <v>25242</v>
      </c>
      <c r="L6685" t="s">
        <v>5471</v>
      </c>
      <c r="M6685" t="s">
        <v>5471</v>
      </c>
    </row>
    <row r="6686" spans="1:13" x14ac:dyDescent="0.3">
      <c r="A6686" t="s">
        <v>3388</v>
      </c>
      <c r="B6686" t="s">
        <v>7088</v>
      </c>
      <c r="C6686" t="s">
        <v>5470</v>
      </c>
      <c r="D6686" t="s">
        <v>4119</v>
      </c>
      <c r="E6686" t="s">
        <v>5532</v>
      </c>
      <c r="F6686" t="s">
        <v>25243</v>
      </c>
      <c r="G6686" t="s">
        <v>15665</v>
      </c>
      <c r="H6686" t="s">
        <v>5474</v>
      </c>
      <c r="I6686" t="s">
        <v>25244</v>
      </c>
      <c r="J6686" t="s">
        <v>5476</v>
      </c>
      <c r="K6686" t="s">
        <v>25245</v>
      </c>
      <c r="L6686" t="s">
        <v>5471</v>
      </c>
      <c r="M6686" t="s">
        <v>5471</v>
      </c>
    </row>
    <row r="6687" spans="1:13" x14ac:dyDescent="0.3">
      <c r="A6687" t="s">
        <v>3383</v>
      </c>
      <c r="B6687" t="s">
        <v>6005</v>
      </c>
      <c r="C6687" t="s">
        <v>5487</v>
      </c>
      <c r="D6687" t="s">
        <v>4056</v>
      </c>
      <c r="E6687" t="s">
        <v>5532</v>
      </c>
      <c r="F6687" t="s">
        <v>25246</v>
      </c>
      <c r="G6687" t="s">
        <v>10894</v>
      </c>
      <c r="H6687" t="s">
        <v>5474</v>
      </c>
      <c r="I6687" t="s">
        <v>25247</v>
      </c>
      <c r="J6687" t="s">
        <v>5476</v>
      </c>
      <c r="K6687" t="s">
        <v>21392</v>
      </c>
      <c r="L6687" t="s">
        <v>5471</v>
      </c>
      <c r="M6687" t="s">
        <v>5471</v>
      </c>
    </row>
    <row r="6688" spans="1:13" x14ac:dyDescent="0.3">
      <c r="A6688" t="s">
        <v>3383</v>
      </c>
      <c r="B6688" t="s">
        <v>6005</v>
      </c>
      <c r="C6688" t="s">
        <v>5487</v>
      </c>
      <c r="D6688" t="s">
        <v>4056</v>
      </c>
      <c r="E6688" t="s">
        <v>5532</v>
      </c>
      <c r="F6688" t="s">
        <v>25248</v>
      </c>
      <c r="G6688" t="s">
        <v>10894</v>
      </c>
      <c r="H6688" t="s">
        <v>5474</v>
      </c>
      <c r="I6688" t="s">
        <v>25249</v>
      </c>
      <c r="J6688" t="s">
        <v>5484</v>
      </c>
      <c r="K6688" t="s">
        <v>21392</v>
      </c>
      <c r="L6688" t="s">
        <v>5471</v>
      </c>
      <c r="M6688" t="s">
        <v>5471</v>
      </c>
    </row>
    <row r="6689" spans="1:13" x14ac:dyDescent="0.3">
      <c r="A6689" t="s">
        <v>3383</v>
      </c>
      <c r="B6689" t="s">
        <v>6005</v>
      </c>
      <c r="C6689" t="s">
        <v>5487</v>
      </c>
      <c r="D6689" t="s">
        <v>9940</v>
      </c>
      <c r="E6689" t="s">
        <v>5532</v>
      </c>
      <c r="F6689" t="s">
        <v>25250</v>
      </c>
      <c r="G6689" t="s">
        <v>25251</v>
      </c>
      <c r="H6689" t="s">
        <v>5474</v>
      </c>
      <c r="I6689" t="s">
        <v>25252</v>
      </c>
      <c r="J6689" t="s">
        <v>5476</v>
      </c>
      <c r="K6689" t="s">
        <v>25253</v>
      </c>
      <c r="L6689" t="s">
        <v>5471</v>
      </c>
      <c r="M6689" t="s">
        <v>5471</v>
      </c>
    </row>
    <row r="6690" spans="1:13" x14ac:dyDescent="0.3">
      <c r="A6690" t="s">
        <v>3383</v>
      </c>
      <c r="B6690" t="s">
        <v>6122</v>
      </c>
      <c r="C6690" t="s">
        <v>5470</v>
      </c>
      <c r="D6690" t="s">
        <v>4056</v>
      </c>
      <c r="E6690" t="s">
        <v>5532</v>
      </c>
      <c r="F6690" t="s">
        <v>25254</v>
      </c>
      <c r="G6690" t="s">
        <v>25255</v>
      </c>
      <c r="H6690" t="s">
        <v>5474</v>
      </c>
      <c r="I6690" t="s">
        <v>25256</v>
      </c>
      <c r="J6690" t="s">
        <v>5484</v>
      </c>
      <c r="K6690" t="s">
        <v>25255</v>
      </c>
      <c r="L6690" t="s">
        <v>5471</v>
      </c>
      <c r="M6690" t="s">
        <v>5471</v>
      </c>
    </row>
    <row r="6691" spans="1:13" x14ac:dyDescent="0.3">
      <c r="A6691" t="s">
        <v>3383</v>
      </c>
      <c r="B6691" t="s">
        <v>6122</v>
      </c>
      <c r="C6691" t="s">
        <v>5470</v>
      </c>
      <c r="D6691" t="s">
        <v>4056</v>
      </c>
      <c r="E6691" t="s">
        <v>5532</v>
      </c>
      <c r="F6691" t="s">
        <v>25257</v>
      </c>
      <c r="G6691" t="s">
        <v>25258</v>
      </c>
      <c r="H6691" t="s">
        <v>5474</v>
      </c>
      <c r="I6691" t="s">
        <v>25259</v>
      </c>
      <c r="J6691" t="s">
        <v>5484</v>
      </c>
      <c r="K6691" t="s">
        <v>25258</v>
      </c>
      <c r="L6691" t="s">
        <v>5471</v>
      </c>
      <c r="M6691" t="s">
        <v>5471</v>
      </c>
    </row>
    <row r="6692" spans="1:13" x14ac:dyDescent="0.3">
      <c r="A6692" t="s">
        <v>3380</v>
      </c>
      <c r="B6692" t="s">
        <v>5261</v>
      </c>
      <c r="C6692" t="s">
        <v>6342</v>
      </c>
      <c r="D6692" t="s">
        <v>4058</v>
      </c>
      <c r="E6692" t="s">
        <v>5532</v>
      </c>
      <c r="F6692" t="s">
        <v>25260</v>
      </c>
      <c r="G6692" t="s">
        <v>15615</v>
      </c>
      <c r="H6692" t="s">
        <v>5474</v>
      </c>
      <c r="I6692" t="s">
        <v>25261</v>
      </c>
      <c r="J6692" t="s">
        <v>5476</v>
      </c>
      <c r="K6692" t="s">
        <v>25262</v>
      </c>
      <c r="L6692" t="s">
        <v>5471</v>
      </c>
      <c r="M6692" t="s">
        <v>5471</v>
      </c>
    </row>
    <row r="6693" spans="1:13" x14ac:dyDescent="0.3">
      <c r="A6693" t="s">
        <v>3380</v>
      </c>
      <c r="B6693" t="s">
        <v>5261</v>
      </c>
      <c r="C6693" t="s">
        <v>6342</v>
      </c>
      <c r="D6693" t="s">
        <v>4058</v>
      </c>
      <c r="E6693" t="s">
        <v>5532</v>
      </c>
      <c r="F6693" t="s">
        <v>25263</v>
      </c>
      <c r="G6693" t="s">
        <v>15615</v>
      </c>
      <c r="H6693" t="s">
        <v>5474</v>
      </c>
      <c r="I6693" t="s">
        <v>25264</v>
      </c>
      <c r="J6693" t="s">
        <v>5476</v>
      </c>
      <c r="K6693" t="s">
        <v>25265</v>
      </c>
      <c r="L6693" t="s">
        <v>5471</v>
      </c>
      <c r="M6693" t="s">
        <v>5471</v>
      </c>
    </row>
    <row r="6694" spans="1:13" x14ac:dyDescent="0.3">
      <c r="A6694" t="s">
        <v>3383</v>
      </c>
      <c r="B6694" t="s">
        <v>5267</v>
      </c>
      <c r="C6694" t="s">
        <v>5487</v>
      </c>
      <c r="D6694" t="s">
        <v>4058</v>
      </c>
      <c r="E6694" t="s">
        <v>5480</v>
      </c>
      <c r="F6694" t="s">
        <v>25266</v>
      </c>
      <c r="G6694" t="s">
        <v>25267</v>
      </c>
      <c r="H6694" t="s">
        <v>5474</v>
      </c>
      <c r="I6694" t="s">
        <v>25268</v>
      </c>
      <c r="J6694" t="s">
        <v>5476</v>
      </c>
      <c r="K6694" t="s">
        <v>25269</v>
      </c>
      <c r="L6694" t="s">
        <v>5471</v>
      </c>
      <c r="M6694" t="s">
        <v>5471</v>
      </c>
    </row>
    <row r="6695" spans="1:13" x14ac:dyDescent="0.3">
      <c r="A6695" t="s">
        <v>3380</v>
      </c>
      <c r="B6695" t="s">
        <v>5261</v>
      </c>
      <c r="C6695" t="s">
        <v>6342</v>
      </c>
      <c r="D6695" t="s">
        <v>4058</v>
      </c>
      <c r="E6695" t="s">
        <v>9935</v>
      </c>
      <c r="F6695" t="s">
        <v>25270</v>
      </c>
      <c r="G6695" t="s">
        <v>16694</v>
      </c>
      <c r="H6695" t="s">
        <v>5474</v>
      </c>
      <c r="I6695" t="s">
        <v>25271</v>
      </c>
      <c r="J6695" t="s">
        <v>5476</v>
      </c>
      <c r="K6695" t="s">
        <v>16181</v>
      </c>
      <c r="L6695" t="s">
        <v>5471</v>
      </c>
      <c r="M6695" t="s">
        <v>5471</v>
      </c>
    </row>
    <row r="6696" spans="1:13" x14ac:dyDescent="0.3">
      <c r="A6696" t="s">
        <v>3383</v>
      </c>
      <c r="B6696" t="s">
        <v>5267</v>
      </c>
      <c r="C6696" t="s">
        <v>5487</v>
      </c>
      <c r="D6696" t="s">
        <v>10218</v>
      </c>
      <c r="E6696" t="s">
        <v>5480</v>
      </c>
      <c r="F6696" t="s">
        <v>25272</v>
      </c>
      <c r="G6696" t="s">
        <v>25267</v>
      </c>
      <c r="H6696" t="s">
        <v>5474</v>
      </c>
      <c r="I6696" t="s">
        <v>25273</v>
      </c>
      <c r="J6696" t="s">
        <v>5476</v>
      </c>
      <c r="K6696" t="s">
        <v>25274</v>
      </c>
      <c r="L6696" t="s">
        <v>5471</v>
      </c>
      <c r="M6696" t="s">
        <v>5471</v>
      </c>
    </row>
    <row r="6697" spans="1:13" x14ac:dyDescent="0.3">
      <c r="A6697" t="s">
        <v>3380</v>
      </c>
      <c r="B6697" t="s">
        <v>5261</v>
      </c>
      <c r="C6697" t="s">
        <v>6342</v>
      </c>
      <c r="D6697" t="s">
        <v>4058</v>
      </c>
      <c r="E6697" t="s">
        <v>9935</v>
      </c>
      <c r="F6697" t="s">
        <v>25275</v>
      </c>
      <c r="G6697" t="s">
        <v>16694</v>
      </c>
      <c r="H6697" t="s">
        <v>5474</v>
      </c>
      <c r="I6697" t="s">
        <v>25276</v>
      </c>
      <c r="J6697" t="s">
        <v>5476</v>
      </c>
      <c r="K6697" t="s">
        <v>16184</v>
      </c>
      <c r="L6697" t="s">
        <v>5471</v>
      </c>
      <c r="M6697" t="s">
        <v>5471</v>
      </c>
    </row>
    <row r="6698" spans="1:13" x14ac:dyDescent="0.3">
      <c r="A6698" t="s">
        <v>3383</v>
      </c>
      <c r="B6698" t="s">
        <v>6122</v>
      </c>
      <c r="C6698" t="s">
        <v>5470</v>
      </c>
      <c r="D6698" t="s">
        <v>4056</v>
      </c>
      <c r="E6698" t="s">
        <v>5532</v>
      </c>
      <c r="F6698" t="s">
        <v>25277</v>
      </c>
      <c r="G6698" t="s">
        <v>25278</v>
      </c>
      <c r="H6698" t="s">
        <v>5474</v>
      </c>
      <c r="I6698" t="s">
        <v>25279</v>
      </c>
      <c r="J6698" t="s">
        <v>5484</v>
      </c>
      <c r="K6698" t="s">
        <v>25278</v>
      </c>
      <c r="L6698" t="s">
        <v>5471</v>
      </c>
      <c r="M6698" t="s">
        <v>5471</v>
      </c>
    </row>
    <row r="6699" spans="1:13" x14ac:dyDescent="0.3">
      <c r="A6699" t="s">
        <v>3383</v>
      </c>
      <c r="B6699" t="s">
        <v>5267</v>
      </c>
      <c r="C6699" t="s">
        <v>5487</v>
      </c>
      <c r="D6699" t="s">
        <v>10218</v>
      </c>
      <c r="E6699" t="s">
        <v>5480</v>
      </c>
      <c r="F6699" t="s">
        <v>25280</v>
      </c>
      <c r="G6699" t="s">
        <v>25267</v>
      </c>
      <c r="H6699" t="s">
        <v>5474</v>
      </c>
      <c r="I6699" t="s">
        <v>25281</v>
      </c>
      <c r="J6699" t="s">
        <v>5476</v>
      </c>
      <c r="K6699" t="s">
        <v>25274</v>
      </c>
      <c r="L6699" t="s">
        <v>5471</v>
      </c>
      <c r="M6699" t="s">
        <v>5471</v>
      </c>
    </row>
    <row r="6700" spans="1:13" x14ac:dyDescent="0.3">
      <c r="A6700" t="s">
        <v>3380</v>
      </c>
      <c r="B6700" t="s">
        <v>5261</v>
      </c>
      <c r="C6700" t="s">
        <v>6342</v>
      </c>
      <c r="D6700" t="s">
        <v>4056</v>
      </c>
      <c r="E6700" t="s">
        <v>9935</v>
      </c>
      <c r="F6700" t="s">
        <v>25282</v>
      </c>
      <c r="G6700" t="s">
        <v>23555</v>
      </c>
      <c r="H6700" t="s">
        <v>5474</v>
      </c>
      <c r="I6700" t="s">
        <v>25283</v>
      </c>
      <c r="J6700" t="s">
        <v>5476</v>
      </c>
      <c r="K6700" t="s">
        <v>16027</v>
      </c>
      <c r="L6700" t="s">
        <v>5471</v>
      </c>
      <c r="M6700" t="s">
        <v>5471</v>
      </c>
    </row>
    <row r="6701" spans="1:13" x14ac:dyDescent="0.3">
      <c r="A6701" t="s">
        <v>3383</v>
      </c>
      <c r="B6701" t="s">
        <v>6122</v>
      </c>
      <c r="C6701" t="s">
        <v>5470</v>
      </c>
      <c r="D6701" t="s">
        <v>4056</v>
      </c>
      <c r="E6701" t="s">
        <v>5756</v>
      </c>
      <c r="F6701" t="s">
        <v>25284</v>
      </c>
      <c r="G6701" t="s">
        <v>12004</v>
      </c>
      <c r="H6701" t="s">
        <v>5474</v>
      </c>
      <c r="I6701" t="s">
        <v>25285</v>
      </c>
      <c r="J6701" t="s">
        <v>5484</v>
      </c>
      <c r="K6701" t="s">
        <v>25286</v>
      </c>
      <c r="L6701" t="s">
        <v>5471</v>
      </c>
      <c r="M6701" t="s">
        <v>5471</v>
      </c>
    </row>
    <row r="6702" spans="1:13" x14ac:dyDescent="0.3">
      <c r="A6702" t="s">
        <v>3383</v>
      </c>
      <c r="B6702" t="s">
        <v>5267</v>
      </c>
      <c r="C6702" t="s">
        <v>5487</v>
      </c>
      <c r="D6702" t="s">
        <v>10218</v>
      </c>
      <c r="E6702" t="s">
        <v>5480</v>
      </c>
      <c r="F6702" t="s">
        <v>25287</v>
      </c>
      <c r="G6702" t="s">
        <v>25267</v>
      </c>
      <c r="H6702" t="s">
        <v>5474</v>
      </c>
      <c r="I6702" t="s">
        <v>25288</v>
      </c>
      <c r="J6702" t="s">
        <v>5476</v>
      </c>
      <c r="K6702" t="s">
        <v>25274</v>
      </c>
      <c r="L6702" t="s">
        <v>5471</v>
      </c>
      <c r="M6702" t="s">
        <v>5471</v>
      </c>
    </row>
    <row r="6703" spans="1:13" x14ac:dyDescent="0.3">
      <c r="A6703" t="s">
        <v>3380</v>
      </c>
      <c r="B6703" t="s">
        <v>5261</v>
      </c>
      <c r="C6703" t="s">
        <v>6342</v>
      </c>
      <c r="D6703" t="s">
        <v>4056</v>
      </c>
      <c r="E6703" t="s">
        <v>9935</v>
      </c>
      <c r="F6703" t="s">
        <v>25289</v>
      </c>
      <c r="G6703" t="s">
        <v>15615</v>
      </c>
      <c r="H6703" t="s">
        <v>5474</v>
      </c>
      <c r="I6703" t="s">
        <v>25290</v>
      </c>
      <c r="J6703" t="s">
        <v>5476</v>
      </c>
      <c r="K6703" t="s">
        <v>16122</v>
      </c>
      <c r="L6703" t="s">
        <v>5471</v>
      </c>
      <c r="M6703" t="s">
        <v>5471</v>
      </c>
    </row>
    <row r="6704" spans="1:13" x14ac:dyDescent="0.3">
      <c r="A6704" t="s">
        <v>3383</v>
      </c>
      <c r="B6704" t="s">
        <v>5267</v>
      </c>
      <c r="C6704" t="s">
        <v>5487</v>
      </c>
      <c r="D6704" t="s">
        <v>4058</v>
      </c>
      <c r="E6704" t="s">
        <v>5843</v>
      </c>
      <c r="F6704" t="s">
        <v>25291</v>
      </c>
      <c r="G6704" t="s">
        <v>25292</v>
      </c>
      <c r="H6704" t="s">
        <v>5474</v>
      </c>
      <c r="I6704" t="s">
        <v>25293</v>
      </c>
      <c r="J6704" t="s">
        <v>5476</v>
      </c>
      <c r="K6704" t="s">
        <v>25292</v>
      </c>
      <c r="L6704" t="s">
        <v>5471</v>
      </c>
      <c r="M6704" t="s">
        <v>5471</v>
      </c>
    </row>
    <row r="6705" spans="1:13" x14ac:dyDescent="0.3">
      <c r="A6705" t="s">
        <v>3383</v>
      </c>
      <c r="B6705" t="s">
        <v>6122</v>
      </c>
      <c r="C6705" t="s">
        <v>5470</v>
      </c>
      <c r="D6705" t="s">
        <v>4056</v>
      </c>
      <c r="E6705" t="s">
        <v>5756</v>
      </c>
      <c r="F6705" t="s">
        <v>25294</v>
      </c>
      <c r="G6705" t="s">
        <v>12004</v>
      </c>
      <c r="H6705" t="s">
        <v>5474</v>
      </c>
      <c r="I6705" t="s">
        <v>25295</v>
      </c>
      <c r="J6705" t="s">
        <v>5484</v>
      </c>
      <c r="K6705" t="s">
        <v>25296</v>
      </c>
      <c r="L6705" t="s">
        <v>5471</v>
      </c>
      <c r="M6705" t="s">
        <v>5471</v>
      </c>
    </row>
    <row r="6706" spans="1:13" x14ac:dyDescent="0.3">
      <c r="A6706" t="s">
        <v>3380</v>
      </c>
      <c r="B6706" t="s">
        <v>5261</v>
      </c>
      <c r="C6706" t="s">
        <v>6342</v>
      </c>
      <c r="D6706" t="s">
        <v>4056</v>
      </c>
      <c r="E6706" t="s">
        <v>9935</v>
      </c>
      <c r="F6706" t="s">
        <v>25297</v>
      </c>
      <c r="G6706" t="s">
        <v>16694</v>
      </c>
      <c r="H6706" t="s">
        <v>5474</v>
      </c>
      <c r="I6706" t="s">
        <v>25298</v>
      </c>
      <c r="J6706" t="s">
        <v>5476</v>
      </c>
      <c r="K6706" t="s">
        <v>16217</v>
      </c>
      <c r="L6706" t="s">
        <v>5471</v>
      </c>
      <c r="M6706" t="s">
        <v>5471</v>
      </c>
    </row>
    <row r="6707" spans="1:13" x14ac:dyDescent="0.3">
      <c r="A6707" t="s">
        <v>3383</v>
      </c>
      <c r="B6707" t="s">
        <v>6122</v>
      </c>
      <c r="C6707" t="s">
        <v>5470</v>
      </c>
      <c r="D6707" t="s">
        <v>4056</v>
      </c>
      <c r="E6707" t="s">
        <v>5756</v>
      </c>
      <c r="F6707" t="s">
        <v>25299</v>
      </c>
      <c r="G6707" t="s">
        <v>12004</v>
      </c>
      <c r="H6707" t="s">
        <v>5474</v>
      </c>
      <c r="I6707" t="s">
        <v>25300</v>
      </c>
      <c r="J6707" t="s">
        <v>5484</v>
      </c>
      <c r="K6707" t="s">
        <v>25301</v>
      </c>
      <c r="L6707" t="s">
        <v>5471</v>
      </c>
      <c r="M6707" t="s">
        <v>5471</v>
      </c>
    </row>
    <row r="6708" spans="1:13" x14ac:dyDescent="0.3">
      <c r="A6708" t="s">
        <v>3380</v>
      </c>
      <c r="B6708" t="s">
        <v>10137</v>
      </c>
      <c r="C6708" t="s">
        <v>6342</v>
      </c>
      <c r="D6708" t="s">
        <v>10218</v>
      </c>
      <c r="E6708" t="s">
        <v>9935</v>
      </c>
      <c r="F6708" t="s">
        <v>25302</v>
      </c>
      <c r="G6708" t="s">
        <v>25303</v>
      </c>
      <c r="H6708" t="s">
        <v>5474</v>
      </c>
      <c r="I6708" t="s">
        <v>25304</v>
      </c>
      <c r="J6708" t="s">
        <v>5476</v>
      </c>
      <c r="K6708" t="s">
        <v>25305</v>
      </c>
      <c r="L6708" t="s">
        <v>5471</v>
      </c>
      <c r="M6708" t="s">
        <v>5471</v>
      </c>
    </row>
    <row r="6709" spans="1:13" x14ac:dyDescent="0.3">
      <c r="A6709" t="s">
        <v>3380</v>
      </c>
      <c r="B6709" t="s">
        <v>25306</v>
      </c>
      <c r="C6709" t="s">
        <v>6342</v>
      </c>
      <c r="D6709" t="s">
        <v>4119</v>
      </c>
      <c r="E6709" t="s">
        <v>9935</v>
      </c>
      <c r="F6709" t="s">
        <v>25307</v>
      </c>
      <c r="G6709" t="s">
        <v>10007</v>
      </c>
      <c r="H6709" t="s">
        <v>5474</v>
      </c>
      <c r="I6709" t="s">
        <v>25308</v>
      </c>
      <c r="J6709" t="s">
        <v>5476</v>
      </c>
      <c r="K6709" t="s">
        <v>25309</v>
      </c>
      <c r="L6709" t="s">
        <v>5471</v>
      </c>
      <c r="M6709" t="s">
        <v>5471</v>
      </c>
    </row>
    <row r="6710" spans="1:13" x14ac:dyDescent="0.3">
      <c r="A6710" t="s">
        <v>3383</v>
      </c>
      <c r="B6710" t="s">
        <v>6122</v>
      </c>
      <c r="C6710" t="s">
        <v>5470</v>
      </c>
      <c r="D6710" t="s">
        <v>4056</v>
      </c>
      <c r="E6710" t="s">
        <v>5756</v>
      </c>
      <c r="F6710" t="s">
        <v>25310</v>
      </c>
      <c r="G6710" t="s">
        <v>12004</v>
      </c>
      <c r="H6710" t="s">
        <v>5474</v>
      </c>
      <c r="I6710" t="s">
        <v>25311</v>
      </c>
      <c r="J6710" t="s">
        <v>5476</v>
      </c>
      <c r="K6710" t="s">
        <v>25312</v>
      </c>
      <c r="L6710" t="s">
        <v>5471</v>
      </c>
      <c r="M6710" t="s">
        <v>5471</v>
      </c>
    </row>
    <row r="6711" spans="1:13" x14ac:dyDescent="0.3">
      <c r="A6711" t="s">
        <v>3380</v>
      </c>
      <c r="B6711" t="s">
        <v>25313</v>
      </c>
      <c r="C6711" t="s">
        <v>6342</v>
      </c>
      <c r="D6711" t="s">
        <v>4119</v>
      </c>
      <c r="E6711" t="s">
        <v>9935</v>
      </c>
      <c r="F6711" t="s">
        <v>25314</v>
      </c>
      <c r="G6711" t="s">
        <v>25315</v>
      </c>
      <c r="H6711" t="s">
        <v>5474</v>
      </c>
      <c r="I6711" t="s">
        <v>25316</v>
      </c>
      <c r="J6711" t="s">
        <v>5476</v>
      </c>
      <c r="K6711" t="s">
        <v>25309</v>
      </c>
      <c r="L6711" t="s">
        <v>5471</v>
      </c>
      <c r="M6711" t="s">
        <v>5471</v>
      </c>
    </row>
    <row r="6712" spans="1:13" x14ac:dyDescent="0.3">
      <c r="A6712" t="s">
        <v>3383</v>
      </c>
      <c r="B6712" t="s">
        <v>6122</v>
      </c>
      <c r="C6712" t="s">
        <v>5470</v>
      </c>
      <c r="D6712" t="s">
        <v>4056</v>
      </c>
      <c r="E6712" t="s">
        <v>5756</v>
      </c>
      <c r="F6712" t="s">
        <v>25317</v>
      </c>
      <c r="G6712" t="s">
        <v>12004</v>
      </c>
      <c r="H6712" t="s">
        <v>5474</v>
      </c>
      <c r="I6712" t="s">
        <v>25318</v>
      </c>
      <c r="J6712" t="s">
        <v>5476</v>
      </c>
      <c r="K6712" t="s">
        <v>25319</v>
      </c>
      <c r="L6712" t="s">
        <v>5471</v>
      </c>
      <c r="M6712" t="s">
        <v>5471</v>
      </c>
    </row>
    <row r="6713" spans="1:13" x14ac:dyDescent="0.3">
      <c r="A6713" t="s">
        <v>3380</v>
      </c>
      <c r="B6713" t="s">
        <v>25320</v>
      </c>
      <c r="C6713" t="s">
        <v>6342</v>
      </c>
      <c r="D6713" t="s">
        <v>4119</v>
      </c>
      <c r="E6713" t="s">
        <v>25321</v>
      </c>
      <c r="F6713" t="s">
        <v>25322</v>
      </c>
      <c r="G6713" t="s">
        <v>25323</v>
      </c>
      <c r="H6713" t="s">
        <v>5474</v>
      </c>
      <c r="I6713" t="s">
        <v>25324</v>
      </c>
      <c r="J6713" t="s">
        <v>5476</v>
      </c>
      <c r="K6713" t="s">
        <v>25325</v>
      </c>
      <c r="L6713" t="s">
        <v>5471</v>
      </c>
      <c r="M6713" t="s">
        <v>5471</v>
      </c>
    </row>
    <row r="6714" spans="1:13" x14ac:dyDescent="0.3">
      <c r="A6714" t="s">
        <v>3383</v>
      </c>
      <c r="B6714" t="s">
        <v>6122</v>
      </c>
      <c r="C6714" t="s">
        <v>5470</v>
      </c>
      <c r="D6714" t="s">
        <v>4056</v>
      </c>
      <c r="E6714" t="s">
        <v>5756</v>
      </c>
      <c r="F6714" t="s">
        <v>25326</v>
      </c>
      <c r="G6714" t="s">
        <v>12004</v>
      </c>
      <c r="H6714" t="s">
        <v>5474</v>
      </c>
      <c r="I6714" t="s">
        <v>25327</v>
      </c>
      <c r="J6714" t="s">
        <v>5476</v>
      </c>
      <c r="K6714" t="s">
        <v>25328</v>
      </c>
      <c r="L6714" t="s">
        <v>5471</v>
      </c>
      <c r="M6714" t="s">
        <v>5471</v>
      </c>
    </row>
    <row r="6715" spans="1:13" x14ac:dyDescent="0.3">
      <c r="A6715" t="s">
        <v>3380</v>
      </c>
      <c r="B6715" t="s">
        <v>11061</v>
      </c>
      <c r="C6715" t="s">
        <v>6342</v>
      </c>
      <c r="D6715" t="s">
        <v>4052</v>
      </c>
      <c r="E6715" t="s">
        <v>5617</v>
      </c>
      <c r="F6715" t="s">
        <v>25329</v>
      </c>
      <c r="G6715" t="s">
        <v>17442</v>
      </c>
      <c r="H6715" t="s">
        <v>5474</v>
      </c>
      <c r="I6715" t="s">
        <v>25330</v>
      </c>
      <c r="J6715" t="s">
        <v>5476</v>
      </c>
      <c r="K6715" t="s">
        <v>25331</v>
      </c>
      <c r="L6715" t="s">
        <v>5471</v>
      </c>
      <c r="M6715" t="s">
        <v>5471</v>
      </c>
    </row>
    <row r="6716" spans="1:13" x14ac:dyDescent="0.3">
      <c r="A6716" t="s">
        <v>3383</v>
      </c>
      <c r="B6716" t="s">
        <v>6122</v>
      </c>
      <c r="C6716" t="s">
        <v>5470</v>
      </c>
      <c r="D6716" t="s">
        <v>4056</v>
      </c>
      <c r="E6716" t="s">
        <v>5532</v>
      </c>
      <c r="F6716" t="s">
        <v>25332</v>
      </c>
      <c r="G6716" t="s">
        <v>7497</v>
      </c>
      <c r="H6716" t="s">
        <v>5474</v>
      </c>
      <c r="I6716" t="s">
        <v>25333</v>
      </c>
      <c r="J6716" t="s">
        <v>5476</v>
      </c>
      <c r="K6716" t="s">
        <v>25334</v>
      </c>
      <c r="L6716" t="s">
        <v>5471</v>
      </c>
      <c r="M6716" t="s">
        <v>5471</v>
      </c>
    </row>
    <row r="6717" spans="1:13" x14ac:dyDescent="0.3">
      <c r="A6717" t="s">
        <v>3380</v>
      </c>
      <c r="B6717" t="s">
        <v>11061</v>
      </c>
      <c r="C6717" t="s">
        <v>6342</v>
      </c>
      <c r="D6717" t="s">
        <v>4052</v>
      </c>
      <c r="E6717" t="s">
        <v>5532</v>
      </c>
      <c r="F6717" t="s">
        <v>25335</v>
      </c>
      <c r="G6717" t="s">
        <v>25336</v>
      </c>
      <c r="H6717" t="s">
        <v>5474</v>
      </c>
      <c r="I6717" t="s">
        <v>25337</v>
      </c>
      <c r="J6717" t="s">
        <v>5476</v>
      </c>
      <c r="K6717" t="s">
        <v>16692</v>
      </c>
      <c r="L6717" t="s">
        <v>5471</v>
      </c>
      <c r="M6717" t="s">
        <v>5471</v>
      </c>
    </row>
    <row r="6718" spans="1:13" x14ac:dyDescent="0.3">
      <c r="A6718" t="s">
        <v>3383</v>
      </c>
      <c r="B6718" t="s">
        <v>6122</v>
      </c>
      <c r="C6718" t="s">
        <v>5470</v>
      </c>
      <c r="D6718" t="s">
        <v>4056</v>
      </c>
      <c r="E6718" t="s">
        <v>5532</v>
      </c>
      <c r="F6718" t="s">
        <v>25338</v>
      </c>
      <c r="G6718" t="s">
        <v>7497</v>
      </c>
      <c r="H6718" t="s">
        <v>5474</v>
      </c>
      <c r="I6718" t="s">
        <v>25339</v>
      </c>
      <c r="J6718" t="s">
        <v>5476</v>
      </c>
      <c r="K6718" t="s">
        <v>25340</v>
      </c>
      <c r="L6718" t="s">
        <v>5471</v>
      </c>
      <c r="M6718" t="s">
        <v>5471</v>
      </c>
    </row>
    <row r="6719" spans="1:13" x14ac:dyDescent="0.3">
      <c r="A6719" t="s">
        <v>3383</v>
      </c>
      <c r="B6719" t="s">
        <v>6122</v>
      </c>
      <c r="C6719" t="s">
        <v>5470</v>
      </c>
      <c r="D6719" t="s">
        <v>4056</v>
      </c>
      <c r="E6719" t="s">
        <v>5532</v>
      </c>
      <c r="F6719" t="s">
        <v>25341</v>
      </c>
      <c r="G6719" t="s">
        <v>7497</v>
      </c>
      <c r="H6719" t="s">
        <v>5474</v>
      </c>
      <c r="I6719" t="s">
        <v>25342</v>
      </c>
      <c r="J6719" t="s">
        <v>5476</v>
      </c>
      <c r="K6719" t="s">
        <v>25343</v>
      </c>
      <c r="L6719" t="s">
        <v>5471</v>
      </c>
      <c r="M6719" t="s">
        <v>5471</v>
      </c>
    </row>
    <row r="6720" spans="1:13" x14ac:dyDescent="0.3">
      <c r="A6720" t="s">
        <v>3383</v>
      </c>
      <c r="B6720" t="s">
        <v>6122</v>
      </c>
      <c r="C6720" t="s">
        <v>5470</v>
      </c>
      <c r="D6720" t="s">
        <v>4056</v>
      </c>
      <c r="E6720" t="s">
        <v>5756</v>
      </c>
      <c r="F6720" t="s">
        <v>25344</v>
      </c>
      <c r="G6720" t="s">
        <v>12004</v>
      </c>
      <c r="H6720" t="s">
        <v>5474</v>
      </c>
      <c r="I6720" t="s">
        <v>25345</v>
      </c>
      <c r="J6720" t="s">
        <v>5476</v>
      </c>
      <c r="K6720" t="s">
        <v>25346</v>
      </c>
      <c r="L6720" t="s">
        <v>5471</v>
      </c>
      <c r="M6720" t="s">
        <v>5471</v>
      </c>
    </row>
    <row r="6721" spans="1:13" x14ac:dyDescent="0.3">
      <c r="A6721" t="s">
        <v>3380</v>
      </c>
      <c r="B6721" t="s">
        <v>11061</v>
      </c>
      <c r="C6721" t="s">
        <v>6342</v>
      </c>
      <c r="D6721" t="s">
        <v>4052</v>
      </c>
      <c r="E6721" t="s">
        <v>5532</v>
      </c>
      <c r="F6721" t="s">
        <v>25347</v>
      </c>
      <c r="G6721" t="s">
        <v>25348</v>
      </c>
      <c r="H6721" t="s">
        <v>5474</v>
      </c>
      <c r="I6721" t="s">
        <v>25349</v>
      </c>
      <c r="J6721" t="s">
        <v>5476</v>
      </c>
      <c r="K6721" t="s">
        <v>16679</v>
      </c>
      <c r="L6721" t="s">
        <v>5471</v>
      </c>
      <c r="M6721" t="s">
        <v>5471</v>
      </c>
    </row>
    <row r="6722" spans="1:13" x14ac:dyDescent="0.3">
      <c r="A6722" t="s">
        <v>3383</v>
      </c>
      <c r="B6722" t="s">
        <v>6063</v>
      </c>
      <c r="C6722" t="s">
        <v>5470</v>
      </c>
      <c r="D6722" t="s">
        <v>4200</v>
      </c>
      <c r="E6722" t="s">
        <v>5756</v>
      </c>
      <c r="F6722" t="s">
        <v>25350</v>
      </c>
      <c r="G6722" t="s">
        <v>11466</v>
      </c>
      <c r="H6722" t="s">
        <v>5474</v>
      </c>
      <c r="I6722" t="s">
        <v>25351</v>
      </c>
      <c r="J6722" t="s">
        <v>5476</v>
      </c>
      <c r="K6722" t="s">
        <v>25352</v>
      </c>
      <c r="L6722" t="s">
        <v>5471</v>
      </c>
      <c r="M6722" t="s">
        <v>5471</v>
      </c>
    </row>
    <row r="6723" spans="1:13" x14ac:dyDescent="0.3">
      <c r="A6723" t="s">
        <v>3383</v>
      </c>
      <c r="B6723" t="s">
        <v>6122</v>
      </c>
      <c r="C6723" t="s">
        <v>5470</v>
      </c>
      <c r="D6723" t="s">
        <v>4056</v>
      </c>
      <c r="E6723" t="s">
        <v>5756</v>
      </c>
      <c r="F6723" t="s">
        <v>25353</v>
      </c>
      <c r="G6723" t="s">
        <v>12004</v>
      </c>
      <c r="H6723" t="s">
        <v>5474</v>
      </c>
      <c r="I6723" t="s">
        <v>25354</v>
      </c>
      <c r="J6723" t="s">
        <v>5476</v>
      </c>
      <c r="K6723" t="s">
        <v>25355</v>
      </c>
      <c r="L6723" t="s">
        <v>5471</v>
      </c>
      <c r="M6723" t="s">
        <v>5471</v>
      </c>
    </row>
    <row r="6724" spans="1:13" x14ac:dyDescent="0.3">
      <c r="A6724" t="s">
        <v>3380</v>
      </c>
      <c r="B6724" t="s">
        <v>11061</v>
      </c>
      <c r="C6724" t="s">
        <v>6342</v>
      </c>
      <c r="D6724" t="s">
        <v>10218</v>
      </c>
      <c r="E6724" t="s">
        <v>5843</v>
      </c>
      <c r="F6724" t="s">
        <v>25356</v>
      </c>
      <c r="G6724" t="s">
        <v>17274</v>
      </c>
      <c r="H6724" t="s">
        <v>5474</v>
      </c>
      <c r="I6724" t="s">
        <v>25357</v>
      </c>
      <c r="J6724" t="s">
        <v>5476</v>
      </c>
      <c r="K6724" t="s">
        <v>25358</v>
      </c>
      <c r="L6724" t="s">
        <v>5471</v>
      </c>
      <c r="M6724" t="s">
        <v>5471</v>
      </c>
    </row>
    <row r="6725" spans="1:13" x14ac:dyDescent="0.3">
      <c r="A6725" t="s">
        <v>3383</v>
      </c>
      <c r="B6725" t="s">
        <v>6018</v>
      </c>
      <c r="C6725" t="s">
        <v>5470</v>
      </c>
      <c r="D6725" t="s">
        <v>4200</v>
      </c>
      <c r="E6725" t="s">
        <v>5756</v>
      </c>
      <c r="F6725" t="s">
        <v>25359</v>
      </c>
      <c r="G6725" t="s">
        <v>25360</v>
      </c>
      <c r="H6725" t="s">
        <v>5474</v>
      </c>
      <c r="I6725" t="s">
        <v>25361</v>
      </c>
      <c r="J6725" t="s">
        <v>5476</v>
      </c>
      <c r="K6725" t="s">
        <v>25362</v>
      </c>
      <c r="L6725" t="s">
        <v>5471</v>
      </c>
      <c r="M6725" t="s">
        <v>5471</v>
      </c>
    </row>
    <row r="6726" spans="1:13" x14ac:dyDescent="0.3">
      <c r="A6726" t="s">
        <v>3380</v>
      </c>
      <c r="B6726" t="s">
        <v>11061</v>
      </c>
      <c r="C6726" t="s">
        <v>6342</v>
      </c>
      <c r="D6726" t="s">
        <v>4119</v>
      </c>
      <c r="E6726" t="s">
        <v>5532</v>
      </c>
      <c r="F6726" t="s">
        <v>25363</v>
      </c>
      <c r="G6726" t="s">
        <v>11063</v>
      </c>
      <c r="H6726" t="s">
        <v>5474</v>
      </c>
      <c r="I6726" t="s">
        <v>25364</v>
      </c>
      <c r="J6726" t="s">
        <v>5476</v>
      </c>
      <c r="K6726" t="s">
        <v>16098</v>
      </c>
      <c r="L6726" t="s">
        <v>5471</v>
      </c>
      <c r="M6726" t="s">
        <v>5471</v>
      </c>
    </row>
    <row r="6727" spans="1:13" x14ac:dyDescent="0.3">
      <c r="A6727" t="s">
        <v>3383</v>
      </c>
      <c r="B6727" t="s">
        <v>6122</v>
      </c>
      <c r="C6727" t="s">
        <v>5470</v>
      </c>
      <c r="D6727" t="s">
        <v>4056</v>
      </c>
      <c r="E6727" t="s">
        <v>5756</v>
      </c>
      <c r="F6727" t="s">
        <v>25365</v>
      </c>
      <c r="G6727" t="s">
        <v>12004</v>
      </c>
      <c r="H6727" t="s">
        <v>5474</v>
      </c>
      <c r="I6727" t="s">
        <v>25366</v>
      </c>
      <c r="J6727" t="s">
        <v>5476</v>
      </c>
      <c r="K6727" t="s">
        <v>25367</v>
      </c>
      <c r="L6727" t="s">
        <v>5471</v>
      </c>
      <c r="M6727" t="s">
        <v>5471</v>
      </c>
    </row>
    <row r="6728" spans="1:13" x14ac:dyDescent="0.3">
      <c r="A6728" t="s">
        <v>3380</v>
      </c>
      <c r="B6728" t="s">
        <v>11061</v>
      </c>
      <c r="C6728" t="s">
        <v>6342</v>
      </c>
      <c r="D6728" t="s">
        <v>4119</v>
      </c>
      <c r="E6728" t="s">
        <v>5532</v>
      </c>
      <c r="F6728" t="s">
        <v>25368</v>
      </c>
      <c r="G6728" t="s">
        <v>11063</v>
      </c>
      <c r="H6728" t="s">
        <v>5474</v>
      </c>
      <c r="I6728" t="s">
        <v>25369</v>
      </c>
      <c r="J6728" t="s">
        <v>5476</v>
      </c>
      <c r="K6728" t="s">
        <v>16101</v>
      </c>
      <c r="L6728" t="s">
        <v>5471</v>
      </c>
      <c r="M6728" t="s">
        <v>5471</v>
      </c>
    </row>
    <row r="6729" spans="1:13" x14ac:dyDescent="0.3">
      <c r="A6729" t="s">
        <v>3383</v>
      </c>
      <c r="B6729" t="s">
        <v>6122</v>
      </c>
      <c r="C6729" t="s">
        <v>5470</v>
      </c>
      <c r="D6729" t="s">
        <v>4056</v>
      </c>
      <c r="E6729" t="s">
        <v>5532</v>
      </c>
      <c r="F6729" t="s">
        <v>25370</v>
      </c>
      <c r="G6729" t="s">
        <v>12123</v>
      </c>
      <c r="H6729" t="s">
        <v>5474</v>
      </c>
      <c r="I6729" t="s">
        <v>25371</v>
      </c>
      <c r="J6729" t="s">
        <v>5476</v>
      </c>
      <c r="K6729" t="s">
        <v>25372</v>
      </c>
      <c r="L6729" t="s">
        <v>5471</v>
      </c>
      <c r="M6729" t="s">
        <v>5471</v>
      </c>
    </row>
    <row r="6730" spans="1:13" x14ac:dyDescent="0.3">
      <c r="A6730" t="s">
        <v>3383</v>
      </c>
      <c r="B6730" t="s">
        <v>6122</v>
      </c>
      <c r="C6730" t="s">
        <v>5470</v>
      </c>
      <c r="D6730" t="s">
        <v>4056</v>
      </c>
      <c r="E6730" t="s">
        <v>5532</v>
      </c>
      <c r="F6730" t="s">
        <v>25373</v>
      </c>
      <c r="G6730" t="s">
        <v>12123</v>
      </c>
      <c r="H6730" t="s">
        <v>5474</v>
      </c>
      <c r="I6730" t="s">
        <v>25374</v>
      </c>
      <c r="J6730" t="s">
        <v>5476</v>
      </c>
      <c r="K6730" t="s">
        <v>25375</v>
      </c>
      <c r="L6730" t="s">
        <v>5471</v>
      </c>
      <c r="M6730" t="s">
        <v>5471</v>
      </c>
    </row>
    <row r="6731" spans="1:13" x14ac:dyDescent="0.3">
      <c r="A6731" t="s">
        <v>3383</v>
      </c>
      <c r="B6731" t="s">
        <v>6122</v>
      </c>
      <c r="C6731" t="s">
        <v>5470</v>
      </c>
      <c r="D6731" t="s">
        <v>4056</v>
      </c>
      <c r="E6731" t="s">
        <v>5532</v>
      </c>
      <c r="F6731" t="s">
        <v>25376</v>
      </c>
      <c r="G6731" t="s">
        <v>12123</v>
      </c>
      <c r="H6731" t="s">
        <v>5474</v>
      </c>
      <c r="I6731" t="s">
        <v>25377</v>
      </c>
      <c r="J6731" t="s">
        <v>5476</v>
      </c>
      <c r="K6731" t="s">
        <v>25378</v>
      </c>
      <c r="L6731" t="s">
        <v>5471</v>
      </c>
      <c r="M6731" t="s">
        <v>5471</v>
      </c>
    </row>
    <row r="6732" spans="1:13" x14ac:dyDescent="0.3">
      <c r="A6732" t="s">
        <v>3383</v>
      </c>
      <c r="B6732" t="s">
        <v>6122</v>
      </c>
      <c r="C6732" t="s">
        <v>5470</v>
      </c>
      <c r="D6732" t="s">
        <v>4056</v>
      </c>
      <c r="E6732" t="s">
        <v>5756</v>
      </c>
      <c r="F6732" t="s">
        <v>25379</v>
      </c>
      <c r="G6732" t="s">
        <v>12004</v>
      </c>
      <c r="H6732" t="s">
        <v>5474</v>
      </c>
      <c r="I6732" t="s">
        <v>25380</v>
      </c>
      <c r="J6732" t="s">
        <v>5476</v>
      </c>
      <c r="K6732" t="s">
        <v>25381</v>
      </c>
      <c r="L6732" t="s">
        <v>5471</v>
      </c>
      <c r="M6732" t="s">
        <v>5471</v>
      </c>
    </row>
    <row r="6733" spans="1:13" x14ac:dyDescent="0.3">
      <c r="A6733" t="s">
        <v>3383</v>
      </c>
      <c r="B6733" t="s">
        <v>6122</v>
      </c>
      <c r="C6733" t="s">
        <v>5470</v>
      </c>
      <c r="D6733" t="s">
        <v>4056</v>
      </c>
      <c r="E6733" t="s">
        <v>5756</v>
      </c>
      <c r="F6733" t="s">
        <v>25382</v>
      </c>
      <c r="G6733" t="s">
        <v>12004</v>
      </c>
      <c r="H6733" t="s">
        <v>5474</v>
      </c>
      <c r="I6733" t="s">
        <v>25383</v>
      </c>
      <c r="J6733" t="s">
        <v>5476</v>
      </c>
      <c r="K6733" t="s">
        <v>25384</v>
      </c>
      <c r="L6733" t="s">
        <v>5471</v>
      </c>
      <c r="M6733" t="s">
        <v>5471</v>
      </c>
    </row>
    <row r="6734" spans="1:13" x14ac:dyDescent="0.3">
      <c r="A6734" t="s">
        <v>3380</v>
      </c>
      <c r="B6734" t="s">
        <v>11061</v>
      </c>
      <c r="C6734" t="s">
        <v>6342</v>
      </c>
      <c r="D6734" t="s">
        <v>4056</v>
      </c>
      <c r="E6734" t="s">
        <v>5617</v>
      </c>
      <c r="F6734" t="s">
        <v>25385</v>
      </c>
      <c r="G6734" t="s">
        <v>17442</v>
      </c>
      <c r="H6734" t="s">
        <v>5474</v>
      </c>
      <c r="I6734" t="s">
        <v>25386</v>
      </c>
      <c r="J6734" t="s">
        <v>5476</v>
      </c>
      <c r="K6734" t="s">
        <v>25387</v>
      </c>
      <c r="L6734" t="s">
        <v>5471</v>
      </c>
      <c r="M6734" t="s">
        <v>5471</v>
      </c>
    </row>
    <row r="6735" spans="1:13" x14ac:dyDescent="0.3">
      <c r="A6735" t="s">
        <v>3383</v>
      </c>
      <c r="B6735" t="s">
        <v>6122</v>
      </c>
      <c r="C6735" t="s">
        <v>5470</v>
      </c>
      <c r="D6735" t="s">
        <v>4056</v>
      </c>
      <c r="E6735" t="s">
        <v>5756</v>
      </c>
      <c r="F6735" t="s">
        <v>25388</v>
      </c>
      <c r="G6735" t="s">
        <v>12004</v>
      </c>
      <c r="H6735" t="s">
        <v>5474</v>
      </c>
      <c r="I6735" t="s">
        <v>25389</v>
      </c>
      <c r="J6735" t="s">
        <v>5476</v>
      </c>
      <c r="K6735" t="s">
        <v>25390</v>
      </c>
      <c r="L6735" t="s">
        <v>5471</v>
      </c>
      <c r="M6735" t="s">
        <v>5471</v>
      </c>
    </row>
    <row r="6736" spans="1:13" x14ac:dyDescent="0.3">
      <c r="A6736" t="s">
        <v>3383</v>
      </c>
      <c r="B6736" t="s">
        <v>6122</v>
      </c>
      <c r="C6736" t="s">
        <v>5470</v>
      </c>
      <c r="D6736" t="s">
        <v>4056</v>
      </c>
      <c r="E6736" t="s">
        <v>5532</v>
      </c>
      <c r="F6736" t="s">
        <v>25391</v>
      </c>
      <c r="G6736" t="s">
        <v>12119</v>
      </c>
      <c r="H6736" t="s">
        <v>5474</v>
      </c>
      <c r="I6736" t="s">
        <v>25392</v>
      </c>
      <c r="J6736" t="s">
        <v>5476</v>
      </c>
      <c r="K6736" t="s">
        <v>25393</v>
      </c>
      <c r="L6736" t="s">
        <v>5471</v>
      </c>
      <c r="M6736" t="s">
        <v>5471</v>
      </c>
    </row>
    <row r="6737" spans="1:13" x14ac:dyDescent="0.3">
      <c r="A6737" t="s">
        <v>3380</v>
      </c>
      <c r="B6737" t="s">
        <v>10105</v>
      </c>
      <c r="C6737" t="s">
        <v>6342</v>
      </c>
      <c r="D6737" t="s">
        <v>4119</v>
      </c>
      <c r="E6737" t="s">
        <v>5532</v>
      </c>
      <c r="F6737" t="s">
        <v>25394</v>
      </c>
      <c r="G6737" t="s">
        <v>16405</v>
      </c>
      <c r="H6737" t="s">
        <v>5474</v>
      </c>
      <c r="I6737" t="s">
        <v>25395</v>
      </c>
      <c r="J6737" t="s">
        <v>5476</v>
      </c>
      <c r="K6737" t="s">
        <v>17370</v>
      </c>
      <c r="L6737" t="s">
        <v>5471</v>
      </c>
      <c r="M6737" t="s">
        <v>5471</v>
      </c>
    </row>
    <row r="6738" spans="1:13" x14ac:dyDescent="0.3">
      <c r="A6738" t="s">
        <v>3383</v>
      </c>
      <c r="B6738" t="s">
        <v>6122</v>
      </c>
      <c r="C6738" t="s">
        <v>5470</v>
      </c>
      <c r="D6738" t="s">
        <v>4056</v>
      </c>
      <c r="E6738" t="s">
        <v>5532</v>
      </c>
      <c r="F6738" t="s">
        <v>25396</v>
      </c>
      <c r="G6738" t="s">
        <v>12119</v>
      </c>
      <c r="H6738" t="s">
        <v>5474</v>
      </c>
      <c r="I6738" t="s">
        <v>25397</v>
      </c>
      <c r="J6738" t="s">
        <v>5476</v>
      </c>
      <c r="K6738" t="s">
        <v>25398</v>
      </c>
      <c r="L6738" t="s">
        <v>5471</v>
      </c>
      <c r="M6738" t="s">
        <v>5471</v>
      </c>
    </row>
    <row r="6739" spans="1:13" x14ac:dyDescent="0.3">
      <c r="A6739" t="s">
        <v>3380</v>
      </c>
      <c r="B6739" t="s">
        <v>16299</v>
      </c>
      <c r="C6739" t="s">
        <v>6342</v>
      </c>
      <c r="D6739" t="s">
        <v>4058</v>
      </c>
      <c r="E6739" t="s">
        <v>5532</v>
      </c>
      <c r="F6739" t="s">
        <v>25399</v>
      </c>
      <c r="G6739" t="s">
        <v>25400</v>
      </c>
      <c r="H6739" t="s">
        <v>5474</v>
      </c>
      <c r="I6739" t="s">
        <v>25401</v>
      </c>
      <c r="J6739" t="s">
        <v>5476</v>
      </c>
      <c r="K6739" t="s">
        <v>25402</v>
      </c>
      <c r="L6739" t="s">
        <v>5471</v>
      </c>
      <c r="M6739" t="s">
        <v>5471</v>
      </c>
    </row>
    <row r="6740" spans="1:13" x14ac:dyDescent="0.3">
      <c r="A6740" t="s">
        <v>3383</v>
      </c>
      <c r="B6740" t="s">
        <v>6122</v>
      </c>
      <c r="C6740" t="s">
        <v>5470</v>
      </c>
      <c r="D6740" t="s">
        <v>4056</v>
      </c>
      <c r="E6740" t="s">
        <v>5532</v>
      </c>
      <c r="F6740" t="s">
        <v>25403</v>
      </c>
      <c r="G6740" t="s">
        <v>12119</v>
      </c>
      <c r="H6740" t="s">
        <v>5474</v>
      </c>
      <c r="I6740" t="s">
        <v>25404</v>
      </c>
      <c r="J6740" t="s">
        <v>5476</v>
      </c>
      <c r="K6740" t="s">
        <v>25405</v>
      </c>
      <c r="L6740" t="s">
        <v>5471</v>
      </c>
      <c r="M6740" t="s">
        <v>5471</v>
      </c>
    </row>
    <row r="6741" spans="1:13" x14ac:dyDescent="0.3">
      <c r="A6741" t="s">
        <v>3380</v>
      </c>
      <c r="B6741" t="s">
        <v>15901</v>
      </c>
      <c r="C6741" t="s">
        <v>6342</v>
      </c>
      <c r="D6741" t="s">
        <v>4058</v>
      </c>
      <c r="E6741" t="s">
        <v>5532</v>
      </c>
      <c r="F6741" t="s">
        <v>25406</v>
      </c>
      <c r="G6741" t="s">
        <v>10121</v>
      </c>
      <c r="H6741" t="s">
        <v>5474</v>
      </c>
      <c r="I6741" t="s">
        <v>25407</v>
      </c>
      <c r="J6741" t="s">
        <v>5476</v>
      </c>
      <c r="K6741" t="s">
        <v>24671</v>
      </c>
      <c r="L6741" t="s">
        <v>5471</v>
      </c>
      <c r="M6741" t="s">
        <v>5471</v>
      </c>
    </row>
    <row r="6742" spans="1:13" x14ac:dyDescent="0.3">
      <c r="A6742" t="s">
        <v>3383</v>
      </c>
      <c r="B6742" t="s">
        <v>6122</v>
      </c>
      <c r="C6742" t="s">
        <v>5470</v>
      </c>
      <c r="D6742" t="s">
        <v>4056</v>
      </c>
      <c r="E6742" t="s">
        <v>5756</v>
      </c>
      <c r="F6742" t="s">
        <v>25408</v>
      </c>
      <c r="G6742" t="s">
        <v>12004</v>
      </c>
      <c r="H6742" t="s">
        <v>5474</v>
      </c>
      <c r="I6742" t="s">
        <v>25409</v>
      </c>
      <c r="J6742" t="s">
        <v>5476</v>
      </c>
      <c r="K6742" t="s">
        <v>25410</v>
      </c>
      <c r="L6742" t="s">
        <v>5471</v>
      </c>
      <c r="M6742" t="s">
        <v>5471</v>
      </c>
    </row>
    <row r="6743" spans="1:13" x14ac:dyDescent="0.3">
      <c r="A6743" t="s">
        <v>3380</v>
      </c>
      <c r="B6743" t="s">
        <v>15901</v>
      </c>
      <c r="C6743" t="s">
        <v>6342</v>
      </c>
      <c r="D6743" t="s">
        <v>4058</v>
      </c>
      <c r="E6743" t="s">
        <v>5532</v>
      </c>
      <c r="F6743" t="s">
        <v>25411</v>
      </c>
      <c r="G6743" t="s">
        <v>25412</v>
      </c>
      <c r="H6743" t="s">
        <v>5474</v>
      </c>
      <c r="I6743" t="s">
        <v>25413</v>
      </c>
      <c r="J6743" t="s">
        <v>5476</v>
      </c>
      <c r="K6743" t="s">
        <v>25414</v>
      </c>
      <c r="L6743" t="s">
        <v>5471</v>
      </c>
      <c r="M6743" t="s">
        <v>5471</v>
      </c>
    </row>
    <row r="6744" spans="1:13" x14ac:dyDescent="0.3">
      <c r="A6744" t="s">
        <v>3380</v>
      </c>
      <c r="B6744" t="s">
        <v>15901</v>
      </c>
      <c r="C6744" t="s">
        <v>6342</v>
      </c>
      <c r="D6744" t="s">
        <v>4058</v>
      </c>
      <c r="E6744" t="s">
        <v>5532</v>
      </c>
      <c r="F6744" t="s">
        <v>25415</v>
      </c>
      <c r="G6744" t="s">
        <v>25412</v>
      </c>
      <c r="H6744" t="s">
        <v>5474</v>
      </c>
      <c r="I6744" t="s">
        <v>25416</v>
      </c>
      <c r="J6744" t="s">
        <v>5476</v>
      </c>
      <c r="K6744" t="s">
        <v>25417</v>
      </c>
      <c r="L6744" t="s">
        <v>5471</v>
      </c>
      <c r="M6744" t="s">
        <v>5471</v>
      </c>
    </row>
    <row r="6745" spans="1:13" x14ac:dyDescent="0.3">
      <c r="A6745" t="s">
        <v>3383</v>
      </c>
      <c r="B6745" t="s">
        <v>6122</v>
      </c>
      <c r="C6745" t="s">
        <v>5470</v>
      </c>
      <c r="D6745" t="s">
        <v>4056</v>
      </c>
      <c r="E6745" t="s">
        <v>5756</v>
      </c>
      <c r="F6745" t="s">
        <v>25418</v>
      </c>
      <c r="G6745" t="s">
        <v>12004</v>
      </c>
      <c r="H6745" t="s">
        <v>5474</v>
      </c>
      <c r="I6745" t="s">
        <v>25419</v>
      </c>
      <c r="J6745" t="s">
        <v>5476</v>
      </c>
      <c r="K6745" t="s">
        <v>25420</v>
      </c>
      <c r="L6745" t="s">
        <v>5471</v>
      </c>
      <c r="M6745" t="s">
        <v>5471</v>
      </c>
    </row>
    <row r="6746" spans="1:13" x14ac:dyDescent="0.3">
      <c r="A6746" t="s">
        <v>3380</v>
      </c>
      <c r="B6746" t="s">
        <v>15901</v>
      </c>
      <c r="C6746" t="s">
        <v>6342</v>
      </c>
      <c r="D6746" t="s">
        <v>4058</v>
      </c>
      <c r="E6746" t="s">
        <v>5532</v>
      </c>
      <c r="F6746" t="s">
        <v>25421</v>
      </c>
      <c r="G6746" t="s">
        <v>25412</v>
      </c>
      <c r="H6746" t="s">
        <v>5474</v>
      </c>
      <c r="I6746" t="s">
        <v>25422</v>
      </c>
      <c r="J6746" t="s">
        <v>5476</v>
      </c>
      <c r="K6746" t="s">
        <v>25423</v>
      </c>
      <c r="L6746" t="s">
        <v>5471</v>
      </c>
      <c r="M6746" t="s">
        <v>5471</v>
      </c>
    </row>
    <row r="6747" spans="1:13" x14ac:dyDescent="0.3">
      <c r="A6747" t="s">
        <v>3380</v>
      </c>
      <c r="B6747" t="s">
        <v>15901</v>
      </c>
      <c r="C6747" t="s">
        <v>6342</v>
      </c>
      <c r="D6747" t="s">
        <v>4058</v>
      </c>
      <c r="E6747" t="s">
        <v>5532</v>
      </c>
      <c r="F6747" t="s">
        <v>25424</v>
      </c>
      <c r="G6747" t="s">
        <v>25425</v>
      </c>
      <c r="H6747" t="s">
        <v>5474</v>
      </c>
      <c r="I6747" t="s">
        <v>25426</v>
      </c>
      <c r="J6747" t="s">
        <v>5476</v>
      </c>
      <c r="K6747" t="s">
        <v>25427</v>
      </c>
      <c r="L6747" t="s">
        <v>5471</v>
      </c>
      <c r="M6747" t="s">
        <v>5471</v>
      </c>
    </row>
    <row r="6748" spans="1:13" x14ac:dyDescent="0.3">
      <c r="A6748" t="s">
        <v>3397</v>
      </c>
      <c r="B6748" t="s">
        <v>5255</v>
      </c>
      <c r="C6748" t="s">
        <v>5487</v>
      </c>
      <c r="D6748" t="s">
        <v>4119</v>
      </c>
      <c r="E6748" t="s">
        <v>5595</v>
      </c>
      <c r="F6748" t="s">
        <v>25428</v>
      </c>
      <c r="G6748" t="s">
        <v>8041</v>
      </c>
      <c r="H6748" t="s">
        <v>5474</v>
      </c>
      <c r="I6748" t="s">
        <v>25429</v>
      </c>
      <c r="J6748" t="s">
        <v>5476</v>
      </c>
      <c r="K6748" t="s">
        <v>25430</v>
      </c>
      <c r="L6748" t="s">
        <v>5471</v>
      </c>
      <c r="M6748" t="s">
        <v>5471</v>
      </c>
    </row>
    <row r="6749" spans="1:13" x14ac:dyDescent="0.3">
      <c r="A6749" t="s">
        <v>3383</v>
      </c>
      <c r="B6749" t="s">
        <v>6122</v>
      </c>
      <c r="C6749" t="s">
        <v>5470</v>
      </c>
      <c r="D6749" t="s">
        <v>4056</v>
      </c>
      <c r="E6749" t="s">
        <v>5756</v>
      </c>
      <c r="F6749" t="s">
        <v>25431</v>
      </c>
      <c r="G6749" t="s">
        <v>12004</v>
      </c>
      <c r="H6749" t="s">
        <v>5474</v>
      </c>
      <c r="I6749" t="s">
        <v>25432</v>
      </c>
      <c r="J6749" t="s">
        <v>5476</v>
      </c>
      <c r="K6749" t="s">
        <v>25433</v>
      </c>
      <c r="L6749" t="s">
        <v>5471</v>
      </c>
      <c r="M6749" t="s">
        <v>5471</v>
      </c>
    </row>
    <row r="6750" spans="1:13" x14ac:dyDescent="0.3">
      <c r="A6750" t="s">
        <v>3380</v>
      </c>
      <c r="B6750" t="s">
        <v>5306</v>
      </c>
      <c r="C6750" t="s">
        <v>6342</v>
      </c>
      <c r="D6750" t="s">
        <v>4058</v>
      </c>
      <c r="E6750" t="s">
        <v>5532</v>
      </c>
      <c r="F6750" t="s">
        <v>25434</v>
      </c>
      <c r="G6750" t="s">
        <v>25435</v>
      </c>
      <c r="H6750" t="s">
        <v>5474</v>
      </c>
      <c r="I6750" t="s">
        <v>25436</v>
      </c>
      <c r="J6750" t="s">
        <v>5476</v>
      </c>
      <c r="K6750" t="s">
        <v>25437</v>
      </c>
      <c r="L6750" t="s">
        <v>5471</v>
      </c>
      <c r="M6750" t="s">
        <v>5471</v>
      </c>
    </row>
    <row r="6751" spans="1:13" x14ac:dyDescent="0.3">
      <c r="A6751" t="s">
        <v>3397</v>
      </c>
      <c r="B6751" t="s">
        <v>5255</v>
      </c>
      <c r="C6751" t="s">
        <v>5487</v>
      </c>
      <c r="D6751" t="s">
        <v>4119</v>
      </c>
      <c r="E6751" t="s">
        <v>5595</v>
      </c>
      <c r="F6751" t="s">
        <v>25438</v>
      </c>
      <c r="G6751" t="s">
        <v>8041</v>
      </c>
      <c r="H6751" t="s">
        <v>5474</v>
      </c>
      <c r="I6751" t="s">
        <v>25439</v>
      </c>
      <c r="J6751" t="s">
        <v>5476</v>
      </c>
      <c r="K6751" t="s">
        <v>25440</v>
      </c>
      <c r="L6751" t="s">
        <v>5471</v>
      </c>
      <c r="M6751" t="s">
        <v>5471</v>
      </c>
    </row>
    <row r="6752" spans="1:13" x14ac:dyDescent="0.3">
      <c r="A6752" t="s">
        <v>3380</v>
      </c>
      <c r="B6752" t="s">
        <v>5276</v>
      </c>
      <c r="C6752" t="s">
        <v>6342</v>
      </c>
      <c r="D6752" t="s">
        <v>4119</v>
      </c>
      <c r="E6752" t="s">
        <v>5480</v>
      </c>
      <c r="F6752" t="s">
        <v>25441</v>
      </c>
      <c r="G6752" t="s">
        <v>19900</v>
      </c>
      <c r="H6752" t="s">
        <v>5474</v>
      </c>
      <c r="I6752" t="s">
        <v>25442</v>
      </c>
      <c r="J6752" t="s">
        <v>5476</v>
      </c>
      <c r="K6752" t="s">
        <v>25443</v>
      </c>
      <c r="L6752" t="s">
        <v>5471</v>
      </c>
      <c r="M6752" t="s">
        <v>5471</v>
      </c>
    </row>
    <row r="6753" spans="1:13" x14ac:dyDescent="0.3">
      <c r="A6753" t="s">
        <v>3397</v>
      </c>
      <c r="B6753" t="s">
        <v>5255</v>
      </c>
      <c r="C6753" t="s">
        <v>5487</v>
      </c>
      <c r="D6753" t="s">
        <v>4119</v>
      </c>
      <c r="E6753" t="s">
        <v>5595</v>
      </c>
      <c r="F6753" t="s">
        <v>25444</v>
      </c>
      <c r="G6753" t="s">
        <v>8041</v>
      </c>
      <c r="H6753" t="s">
        <v>5474</v>
      </c>
      <c r="I6753" t="s">
        <v>25445</v>
      </c>
      <c r="J6753" t="s">
        <v>5476</v>
      </c>
      <c r="K6753" t="s">
        <v>25446</v>
      </c>
      <c r="L6753" t="s">
        <v>5471</v>
      </c>
      <c r="M6753" t="s">
        <v>5471</v>
      </c>
    </row>
    <row r="6754" spans="1:13" x14ac:dyDescent="0.3">
      <c r="A6754" t="s">
        <v>3380</v>
      </c>
      <c r="B6754" t="s">
        <v>5306</v>
      </c>
      <c r="C6754" t="s">
        <v>6342</v>
      </c>
      <c r="D6754" t="s">
        <v>4058</v>
      </c>
      <c r="E6754" t="s">
        <v>5532</v>
      </c>
      <c r="F6754" t="s">
        <v>25447</v>
      </c>
      <c r="G6754" t="s">
        <v>25435</v>
      </c>
      <c r="H6754" t="s">
        <v>5474</v>
      </c>
      <c r="I6754" t="s">
        <v>25448</v>
      </c>
      <c r="J6754" t="s">
        <v>5476</v>
      </c>
      <c r="K6754" t="s">
        <v>25449</v>
      </c>
      <c r="L6754" t="s">
        <v>5471</v>
      </c>
      <c r="M6754" t="s">
        <v>5471</v>
      </c>
    </row>
    <row r="6755" spans="1:13" x14ac:dyDescent="0.3">
      <c r="A6755" t="s">
        <v>3383</v>
      </c>
      <c r="B6755" t="s">
        <v>6122</v>
      </c>
      <c r="C6755" t="s">
        <v>5470</v>
      </c>
      <c r="D6755" t="s">
        <v>4056</v>
      </c>
      <c r="E6755" t="s">
        <v>5756</v>
      </c>
      <c r="F6755" t="s">
        <v>25450</v>
      </c>
      <c r="G6755" t="s">
        <v>12004</v>
      </c>
      <c r="H6755" t="s">
        <v>5474</v>
      </c>
      <c r="I6755" t="s">
        <v>25451</v>
      </c>
      <c r="J6755" t="s">
        <v>5476</v>
      </c>
      <c r="K6755" t="s">
        <v>25452</v>
      </c>
      <c r="L6755" t="s">
        <v>5471</v>
      </c>
      <c r="M6755" t="s">
        <v>5471</v>
      </c>
    </row>
    <row r="6756" spans="1:13" x14ac:dyDescent="0.3">
      <c r="A6756" t="s">
        <v>3397</v>
      </c>
      <c r="B6756" t="s">
        <v>5255</v>
      </c>
      <c r="C6756" t="s">
        <v>5487</v>
      </c>
      <c r="D6756" t="s">
        <v>4119</v>
      </c>
      <c r="E6756" t="s">
        <v>5595</v>
      </c>
      <c r="F6756" t="s">
        <v>25453</v>
      </c>
      <c r="G6756" t="s">
        <v>8041</v>
      </c>
      <c r="H6756" t="s">
        <v>5474</v>
      </c>
      <c r="I6756" t="s">
        <v>25454</v>
      </c>
      <c r="J6756" t="s">
        <v>5476</v>
      </c>
      <c r="K6756" t="s">
        <v>14019</v>
      </c>
      <c r="L6756" t="s">
        <v>5471</v>
      </c>
      <c r="M6756" t="s">
        <v>5471</v>
      </c>
    </row>
    <row r="6757" spans="1:13" x14ac:dyDescent="0.3">
      <c r="A6757" t="s">
        <v>3380</v>
      </c>
      <c r="B6757" t="s">
        <v>9934</v>
      </c>
      <c r="C6757" t="s">
        <v>6342</v>
      </c>
      <c r="D6757" t="s">
        <v>4058</v>
      </c>
      <c r="E6757" t="s">
        <v>9935</v>
      </c>
      <c r="F6757" t="s">
        <v>25455</v>
      </c>
      <c r="G6757" t="s">
        <v>10930</v>
      </c>
      <c r="H6757" t="s">
        <v>5474</v>
      </c>
      <c r="I6757" t="s">
        <v>25456</v>
      </c>
      <c r="J6757" t="s">
        <v>5476</v>
      </c>
      <c r="K6757" t="s">
        <v>16187</v>
      </c>
      <c r="L6757" t="s">
        <v>5471</v>
      </c>
      <c r="M6757" t="s">
        <v>5471</v>
      </c>
    </row>
    <row r="6758" spans="1:13" x14ac:dyDescent="0.3">
      <c r="A6758" t="s">
        <v>3397</v>
      </c>
      <c r="B6758" t="s">
        <v>5255</v>
      </c>
      <c r="C6758" t="s">
        <v>5487</v>
      </c>
      <c r="D6758" t="s">
        <v>4119</v>
      </c>
      <c r="E6758" t="s">
        <v>5595</v>
      </c>
      <c r="F6758" t="s">
        <v>25457</v>
      </c>
      <c r="G6758" t="s">
        <v>8041</v>
      </c>
      <c r="H6758" t="s">
        <v>5474</v>
      </c>
      <c r="I6758" t="s">
        <v>25458</v>
      </c>
      <c r="J6758" t="s">
        <v>5476</v>
      </c>
      <c r="K6758" t="s">
        <v>25459</v>
      </c>
      <c r="L6758" t="s">
        <v>5471</v>
      </c>
      <c r="M6758" t="s">
        <v>5471</v>
      </c>
    </row>
    <row r="6759" spans="1:13" x14ac:dyDescent="0.3">
      <c r="A6759" t="s">
        <v>3397</v>
      </c>
      <c r="B6759" t="s">
        <v>14224</v>
      </c>
      <c r="C6759" t="s">
        <v>5487</v>
      </c>
      <c r="D6759" t="s">
        <v>4119</v>
      </c>
      <c r="E6759" t="s">
        <v>5532</v>
      </c>
      <c r="F6759" t="s">
        <v>14226</v>
      </c>
      <c r="G6759" t="s">
        <v>14221</v>
      </c>
      <c r="H6759" t="s">
        <v>5474</v>
      </c>
      <c r="I6759" t="s">
        <v>25460</v>
      </c>
      <c r="J6759" t="s">
        <v>5476</v>
      </c>
      <c r="K6759" t="s">
        <v>14228</v>
      </c>
      <c r="L6759" t="s">
        <v>5471</v>
      </c>
      <c r="M6759" t="s">
        <v>5471</v>
      </c>
    </row>
    <row r="6760" spans="1:13" x14ac:dyDescent="0.3">
      <c r="A6760" t="s">
        <v>3397</v>
      </c>
      <c r="B6760" t="s">
        <v>5255</v>
      </c>
      <c r="C6760" t="s">
        <v>5487</v>
      </c>
      <c r="D6760" t="s">
        <v>4119</v>
      </c>
      <c r="E6760" t="s">
        <v>5595</v>
      </c>
      <c r="F6760" t="s">
        <v>25461</v>
      </c>
      <c r="G6760" t="s">
        <v>8041</v>
      </c>
      <c r="H6760" t="s">
        <v>5474</v>
      </c>
      <c r="I6760" t="s">
        <v>25462</v>
      </c>
      <c r="J6760" t="s">
        <v>5476</v>
      </c>
      <c r="K6760" t="s">
        <v>14013</v>
      </c>
      <c r="L6760" t="s">
        <v>5471</v>
      </c>
      <c r="M6760" t="s">
        <v>5471</v>
      </c>
    </row>
    <row r="6761" spans="1:13" x14ac:dyDescent="0.3">
      <c r="A6761" t="s">
        <v>3397</v>
      </c>
      <c r="B6761" t="s">
        <v>5255</v>
      </c>
      <c r="C6761" t="s">
        <v>5487</v>
      </c>
      <c r="D6761" t="s">
        <v>4119</v>
      </c>
      <c r="E6761" t="s">
        <v>5595</v>
      </c>
      <c r="F6761" t="s">
        <v>25463</v>
      </c>
      <c r="G6761" t="s">
        <v>8041</v>
      </c>
      <c r="H6761" t="s">
        <v>5474</v>
      </c>
      <c r="I6761" t="s">
        <v>25464</v>
      </c>
      <c r="J6761" t="s">
        <v>5476</v>
      </c>
      <c r="K6761" t="s">
        <v>25465</v>
      </c>
      <c r="L6761" t="s">
        <v>5471</v>
      </c>
      <c r="M6761" t="s">
        <v>5471</v>
      </c>
    </row>
    <row r="6762" spans="1:13" x14ac:dyDescent="0.3">
      <c r="A6762" t="s">
        <v>3383</v>
      </c>
      <c r="B6762" t="s">
        <v>6122</v>
      </c>
      <c r="C6762" t="s">
        <v>5470</v>
      </c>
      <c r="D6762" t="s">
        <v>4056</v>
      </c>
      <c r="E6762" t="s">
        <v>5756</v>
      </c>
      <c r="F6762" t="s">
        <v>25466</v>
      </c>
      <c r="G6762" t="s">
        <v>12004</v>
      </c>
      <c r="H6762" t="s">
        <v>5474</v>
      </c>
      <c r="I6762" t="s">
        <v>25467</v>
      </c>
      <c r="J6762" t="s">
        <v>5476</v>
      </c>
      <c r="K6762" t="s">
        <v>25468</v>
      </c>
      <c r="L6762" t="s">
        <v>5471</v>
      </c>
      <c r="M6762" t="s">
        <v>5471</v>
      </c>
    </row>
    <row r="6763" spans="1:13" x14ac:dyDescent="0.3">
      <c r="A6763" t="s">
        <v>3380</v>
      </c>
      <c r="B6763" t="s">
        <v>9934</v>
      </c>
      <c r="C6763" t="s">
        <v>6342</v>
      </c>
      <c r="D6763" t="s">
        <v>4058</v>
      </c>
      <c r="E6763" t="s">
        <v>9935</v>
      </c>
      <c r="F6763" t="s">
        <v>25469</v>
      </c>
      <c r="G6763" t="s">
        <v>10930</v>
      </c>
      <c r="H6763" t="s">
        <v>5474</v>
      </c>
      <c r="I6763" t="s">
        <v>25470</v>
      </c>
      <c r="J6763" t="s">
        <v>5476</v>
      </c>
      <c r="K6763" t="s">
        <v>16190</v>
      </c>
      <c r="L6763" t="s">
        <v>5471</v>
      </c>
      <c r="M6763" t="s">
        <v>5471</v>
      </c>
    </row>
    <row r="6764" spans="1:13" x14ac:dyDescent="0.3">
      <c r="A6764" t="s">
        <v>3397</v>
      </c>
      <c r="B6764" t="s">
        <v>5255</v>
      </c>
      <c r="C6764" t="s">
        <v>5487</v>
      </c>
      <c r="D6764" t="s">
        <v>4119</v>
      </c>
      <c r="E6764" t="s">
        <v>5595</v>
      </c>
      <c r="F6764" t="s">
        <v>25471</v>
      </c>
      <c r="G6764" t="s">
        <v>8041</v>
      </c>
      <c r="H6764" t="s">
        <v>5474</v>
      </c>
      <c r="I6764" t="s">
        <v>25472</v>
      </c>
      <c r="J6764" t="s">
        <v>5476</v>
      </c>
      <c r="K6764" t="s">
        <v>25473</v>
      </c>
      <c r="L6764" t="s">
        <v>5471</v>
      </c>
      <c r="M6764" t="s">
        <v>5471</v>
      </c>
    </row>
    <row r="6765" spans="1:13" x14ac:dyDescent="0.3">
      <c r="A6765" t="s">
        <v>3380</v>
      </c>
      <c r="B6765" t="s">
        <v>5276</v>
      </c>
      <c r="C6765" t="s">
        <v>6342</v>
      </c>
      <c r="D6765" t="s">
        <v>4052</v>
      </c>
      <c r="E6765" t="s">
        <v>5480</v>
      </c>
      <c r="F6765" t="s">
        <v>25474</v>
      </c>
      <c r="G6765" t="s">
        <v>19889</v>
      </c>
      <c r="H6765" t="s">
        <v>5474</v>
      </c>
      <c r="I6765" t="s">
        <v>25475</v>
      </c>
      <c r="J6765" t="s">
        <v>5476</v>
      </c>
      <c r="K6765" t="s">
        <v>25476</v>
      </c>
      <c r="L6765" t="s">
        <v>5471</v>
      </c>
      <c r="M6765" t="s">
        <v>5471</v>
      </c>
    </row>
    <row r="6766" spans="1:13" x14ac:dyDescent="0.3">
      <c r="A6766" t="s">
        <v>3397</v>
      </c>
      <c r="B6766" t="s">
        <v>5255</v>
      </c>
      <c r="C6766" t="s">
        <v>5487</v>
      </c>
      <c r="D6766" t="s">
        <v>4119</v>
      </c>
      <c r="E6766" t="s">
        <v>5595</v>
      </c>
      <c r="F6766" t="s">
        <v>25477</v>
      </c>
      <c r="G6766" t="s">
        <v>8041</v>
      </c>
      <c r="H6766" t="s">
        <v>5474</v>
      </c>
      <c r="I6766" t="s">
        <v>25478</v>
      </c>
      <c r="J6766" t="s">
        <v>5476</v>
      </c>
      <c r="K6766" t="s">
        <v>25479</v>
      </c>
      <c r="L6766" t="s">
        <v>5471</v>
      </c>
      <c r="M6766" t="s">
        <v>5471</v>
      </c>
    </row>
    <row r="6767" spans="1:13" x14ac:dyDescent="0.3">
      <c r="A6767" t="s">
        <v>3397</v>
      </c>
      <c r="B6767" t="s">
        <v>5255</v>
      </c>
      <c r="C6767" t="s">
        <v>5487</v>
      </c>
      <c r="D6767" t="s">
        <v>4119</v>
      </c>
      <c r="E6767" t="s">
        <v>5595</v>
      </c>
      <c r="F6767" t="s">
        <v>25480</v>
      </c>
      <c r="G6767" t="s">
        <v>8041</v>
      </c>
      <c r="H6767" t="s">
        <v>5474</v>
      </c>
      <c r="I6767" t="s">
        <v>25481</v>
      </c>
      <c r="J6767" t="s">
        <v>5476</v>
      </c>
      <c r="K6767" t="s">
        <v>25482</v>
      </c>
      <c r="L6767" t="s">
        <v>5471</v>
      </c>
      <c r="M6767" t="s">
        <v>5471</v>
      </c>
    </row>
    <row r="6768" spans="1:13" x14ac:dyDescent="0.3">
      <c r="A6768" t="s">
        <v>3397</v>
      </c>
      <c r="B6768" t="s">
        <v>5255</v>
      </c>
      <c r="C6768" t="s">
        <v>5487</v>
      </c>
      <c r="D6768" t="s">
        <v>4119</v>
      </c>
      <c r="E6768" t="s">
        <v>5595</v>
      </c>
      <c r="F6768" t="s">
        <v>25483</v>
      </c>
      <c r="G6768" t="s">
        <v>8041</v>
      </c>
      <c r="H6768" t="s">
        <v>5474</v>
      </c>
      <c r="I6768" t="s">
        <v>25484</v>
      </c>
      <c r="J6768" t="s">
        <v>5476</v>
      </c>
      <c r="K6768" t="s">
        <v>25485</v>
      </c>
      <c r="L6768" t="s">
        <v>5471</v>
      </c>
      <c r="M6768" t="s">
        <v>5471</v>
      </c>
    </row>
    <row r="6769" spans="1:13" x14ac:dyDescent="0.3">
      <c r="A6769" t="s">
        <v>3383</v>
      </c>
      <c r="B6769" t="s">
        <v>6122</v>
      </c>
      <c r="C6769" t="s">
        <v>5470</v>
      </c>
      <c r="D6769" t="s">
        <v>4056</v>
      </c>
      <c r="E6769" t="s">
        <v>5756</v>
      </c>
      <c r="F6769" t="s">
        <v>25486</v>
      </c>
      <c r="G6769" t="s">
        <v>12004</v>
      </c>
      <c r="H6769" t="s">
        <v>5474</v>
      </c>
      <c r="I6769" t="s">
        <v>25487</v>
      </c>
      <c r="J6769" t="s">
        <v>5476</v>
      </c>
      <c r="K6769" t="s">
        <v>25488</v>
      </c>
      <c r="L6769" t="s">
        <v>5471</v>
      </c>
      <c r="M6769" t="s">
        <v>5471</v>
      </c>
    </row>
    <row r="6770" spans="1:13" x14ac:dyDescent="0.3">
      <c r="A6770" t="s">
        <v>3397</v>
      </c>
      <c r="B6770" t="s">
        <v>5255</v>
      </c>
      <c r="C6770" t="s">
        <v>5487</v>
      </c>
      <c r="D6770" t="s">
        <v>4119</v>
      </c>
      <c r="E6770" t="s">
        <v>5595</v>
      </c>
      <c r="F6770" t="s">
        <v>25489</v>
      </c>
      <c r="G6770" t="s">
        <v>8041</v>
      </c>
      <c r="H6770" t="s">
        <v>5474</v>
      </c>
      <c r="I6770" t="s">
        <v>25490</v>
      </c>
      <c r="J6770" t="s">
        <v>5476</v>
      </c>
      <c r="K6770" t="s">
        <v>25491</v>
      </c>
      <c r="L6770" t="s">
        <v>5471</v>
      </c>
      <c r="M6770" t="s">
        <v>5471</v>
      </c>
    </row>
    <row r="6771" spans="1:13" x14ac:dyDescent="0.3">
      <c r="A6771" t="s">
        <v>3397</v>
      </c>
      <c r="B6771" t="s">
        <v>5255</v>
      </c>
      <c r="C6771" t="s">
        <v>5487</v>
      </c>
      <c r="D6771" t="s">
        <v>4119</v>
      </c>
      <c r="E6771" t="s">
        <v>5595</v>
      </c>
      <c r="F6771" t="s">
        <v>25492</v>
      </c>
      <c r="G6771" t="s">
        <v>8041</v>
      </c>
      <c r="H6771" t="s">
        <v>5474</v>
      </c>
      <c r="I6771" t="s">
        <v>25493</v>
      </c>
      <c r="J6771" t="s">
        <v>5476</v>
      </c>
      <c r="K6771" t="s">
        <v>25494</v>
      </c>
      <c r="L6771" t="s">
        <v>5471</v>
      </c>
      <c r="M6771" t="s">
        <v>5471</v>
      </c>
    </row>
    <row r="6772" spans="1:13" x14ac:dyDescent="0.3">
      <c r="A6772" t="s">
        <v>3397</v>
      </c>
      <c r="B6772" t="s">
        <v>5255</v>
      </c>
      <c r="C6772" t="s">
        <v>5487</v>
      </c>
      <c r="D6772" t="s">
        <v>4119</v>
      </c>
      <c r="E6772" t="s">
        <v>5595</v>
      </c>
      <c r="F6772" t="s">
        <v>25495</v>
      </c>
      <c r="G6772" t="s">
        <v>8041</v>
      </c>
      <c r="H6772" t="s">
        <v>5474</v>
      </c>
      <c r="I6772" t="s">
        <v>25496</v>
      </c>
      <c r="J6772" t="s">
        <v>5476</v>
      </c>
      <c r="K6772" t="s">
        <v>25497</v>
      </c>
      <c r="L6772" t="s">
        <v>5471</v>
      </c>
      <c r="M6772" t="s">
        <v>5471</v>
      </c>
    </row>
    <row r="6773" spans="1:13" x14ac:dyDescent="0.3">
      <c r="A6773" t="s">
        <v>3397</v>
      </c>
      <c r="B6773" t="s">
        <v>5255</v>
      </c>
      <c r="C6773" t="s">
        <v>5487</v>
      </c>
      <c r="D6773" t="s">
        <v>4119</v>
      </c>
      <c r="E6773" t="s">
        <v>5595</v>
      </c>
      <c r="F6773" t="s">
        <v>25498</v>
      </c>
      <c r="G6773" t="s">
        <v>8041</v>
      </c>
      <c r="H6773" t="s">
        <v>5474</v>
      </c>
      <c r="I6773" t="s">
        <v>25499</v>
      </c>
      <c r="J6773" t="s">
        <v>5476</v>
      </c>
      <c r="K6773" t="s">
        <v>25500</v>
      </c>
      <c r="L6773" t="s">
        <v>5471</v>
      </c>
      <c r="M6773" t="s">
        <v>5471</v>
      </c>
    </row>
    <row r="6774" spans="1:13" x14ac:dyDescent="0.3">
      <c r="A6774" t="s">
        <v>3397</v>
      </c>
      <c r="B6774" t="s">
        <v>5255</v>
      </c>
      <c r="C6774" t="s">
        <v>5487</v>
      </c>
      <c r="D6774" t="s">
        <v>4119</v>
      </c>
      <c r="E6774" t="s">
        <v>5595</v>
      </c>
      <c r="F6774" t="s">
        <v>25501</v>
      </c>
      <c r="G6774" t="s">
        <v>8041</v>
      </c>
      <c r="H6774" t="s">
        <v>5474</v>
      </c>
      <c r="I6774" t="s">
        <v>25502</v>
      </c>
      <c r="J6774" t="s">
        <v>5476</v>
      </c>
      <c r="K6774" t="s">
        <v>25503</v>
      </c>
      <c r="L6774" t="s">
        <v>5471</v>
      </c>
      <c r="M6774" t="s">
        <v>5471</v>
      </c>
    </row>
    <row r="6775" spans="1:13" x14ac:dyDescent="0.3">
      <c r="A6775" t="s">
        <v>3397</v>
      </c>
      <c r="B6775" t="s">
        <v>5255</v>
      </c>
      <c r="C6775" t="s">
        <v>5487</v>
      </c>
      <c r="D6775" t="s">
        <v>4119</v>
      </c>
      <c r="E6775" t="s">
        <v>5595</v>
      </c>
      <c r="F6775" t="s">
        <v>25504</v>
      </c>
      <c r="G6775" t="s">
        <v>8041</v>
      </c>
      <c r="H6775" t="s">
        <v>5474</v>
      </c>
      <c r="I6775" t="s">
        <v>25505</v>
      </c>
      <c r="J6775" t="s">
        <v>5476</v>
      </c>
      <c r="K6775" t="s">
        <v>25506</v>
      </c>
      <c r="L6775" t="s">
        <v>5471</v>
      </c>
      <c r="M6775" t="s">
        <v>5471</v>
      </c>
    </row>
    <row r="6776" spans="1:13" x14ac:dyDescent="0.3">
      <c r="A6776" t="s">
        <v>3383</v>
      </c>
      <c r="B6776" t="s">
        <v>6122</v>
      </c>
      <c r="C6776" t="s">
        <v>5470</v>
      </c>
      <c r="D6776" t="s">
        <v>4056</v>
      </c>
      <c r="E6776" t="s">
        <v>5532</v>
      </c>
      <c r="F6776" t="s">
        <v>25507</v>
      </c>
      <c r="G6776" t="s">
        <v>25508</v>
      </c>
      <c r="H6776" t="s">
        <v>5474</v>
      </c>
      <c r="I6776" t="s">
        <v>25509</v>
      </c>
      <c r="J6776" t="s">
        <v>5476</v>
      </c>
      <c r="K6776" t="s">
        <v>25510</v>
      </c>
      <c r="L6776" t="s">
        <v>5471</v>
      </c>
      <c r="M6776" t="s">
        <v>5471</v>
      </c>
    </row>
    <row r="6777" spans="1:13" x14ac:dyDescent="0.3">
      <c r="A6777" t="s">
        <v>3397</v>
      </c>
      <c r="B6777" t="s">
        <v>5255</v>
      </c>
      <c r="C6777" t="s">
        <v>5487</v>
      </c>
      <c r="D6777" t="s">
        <v>4119</v>
      </c>
      <c r="E6777" t="s">
        <v>5595</v>
      </c>
      <c r="F6777" t="s">
        <v>25511</v>
      </c>
      <c r="G6777" t="s">
        <v>8041</v>
      </c>
      <c r="H6777" t="s">
        <v>5474</v>
      </c>
      <c r="I6777" t="s">
        <v>25512</v>
      </c>
      <c r="J6777" t="s">
        <v>5476</v>
      </c>
      <c r="K6777" t="s">
        <v>25513</v>
      </c>
      <c r="L6777" t="s">
        <v>5471</v>
      </c>
      <c r="M6777" t="s">
        <v>5471</v>
      </c>
    </row>
    <row r="6778" spans="1:13" x14ac:dyDescent="0.3">
      <c r="A6778" t="s">
        <v>3397</v>
      </c>
      <c r="B6778" t="s">
        <v>5255</v>
      </c>
      <c r="C6778" t="s">
        <v>5487</v>
      </c>
      <c r="D6778" t="s">
        <v>4119</v>
      </c>
      <c r="E6778" t="s">
        <v>5595</v>
      </c>
      <c r="F6778" t="s">
        <v>25514</v>
      </c>
      <c r="G6778" t="s">
        <v>8041</v>
      </c>
      <c r="H6778" t="s">
        <v>5474</v>
      </c>
      <c r="I6778" t="s">
        <v>25515</v>
      </c>
      <c r="J6778" t="s">
        <v>5476</v>
      </c>
      <c r="K6778" t="s">
        <v>25516</v>
      </c>
      <c r="L6778" t="s">
        <v>5471</v>
      </c>
      <c r="M6778" t="s">
        <v>5471</v>
      </c>
    </row>
    <row r="6779" spans="1:13" x14ac:dyDescent="0.3">
      <c r="A6779" t="s">
        <v>3397</v>
      </c>
      <c r="B6779" t="s">
        <v>5255</v>
      </c>
      <c r="C6779" t="s">
        <v>5487</v>
      </c>
      <c r="D6779" t="s">
        <v>4119</v>
      </c>
      <c r="E6779" t="s">
        <v>5595</v>
      </c>
      <c r="F6779" t="s">
        <v>25517</v>
      </c>
      <c r="G6779" t="s">
        <v>8041</v>
      </c>
      <c r="H6779" t="s">
        <v>5474</v>
      </c>
      <c r="I6779" t="s">
        <v>25518</v>
      </c>
      <c r="J6779" t="s">
        <v>5476</v>
      </c>
      <c r="K6779" t="s">
        <v>25519</v>
      </c>
      <c r="L6779" t="s">
        <v>5471</v>
      </c>
      <c r="M6779" t="s">
        <v>5471</v>
      </c>
    </row>
    <row r="6780" spans="1:13" x14ac:dyDescent="0.3">
      <c r="A6780" t="s">
        <v>3397</v>
      </c>
      <c r="B6780" t="s">
        <v>5255</v>
      </c>
      <c r="C6780" t="s">
        <v>5487</v>
      </c>
      <c r="D6780" t="s">
        <v>4119</v>
      </c>
      <c r="E6780" t="s">
        <v>5595</v>
      </c>
      <c r="F6780" t="s">
        <v>25520</v>
      </c>
      <c r="G6780" t="s">
        <v>8041</v>
      </c>
      <c r="H6780" t="s">
        <v>5474</v>
      </c>
      <c r="I6780" t="s">
        <v>25521</v>
      </c>
      <c r="J6780" t="s">
        <v>5476</v>
      </c>
      <c r="K6780" t="s">
        <v>25522</v>
      </c>
      <c r="L6780" t="s">
        <v>5471</v>
      </c>
      <c r="M6780" t="s">
        <v>5471</v>
      </c>
    </row>
    <row r="6781" spans="1:13" x14ac:dyDescent="0.3">
      <c r="A6781" t="s">
        <v>3383</v>
      </c>
      <c r="B6781" t="s">
        <v>5267</v>
      </c>
      <c r="C6781" t="s">
        <v>5487</v>
      </c>
      <c r="D6781" t="s">
        <v>4058</v>
      </c>
      <c r="E6781" t="s">
        <v>5843</v>
      </c>
      <c r="F6781" t="s">
        <v>25523</v>
      </c>
      <c r="G6781" t="s">
        <v>25267</v>
      </c>
      <c r="H6781" t="s">
        <v>5474</v>
      </c>
      <c r="I6781" t="s">
        <v>25524</v>
      </c>
      <c r="J6781" t="s">
        <v>5476</v>
      </c>
      <c r="K6781" t="s">
        <v>25525</v>
      </c>
      <c r="L6781" t="s">
        <v>5471</v>
      </c>
      <c r="M6781" t="s">
        <v>5471</v>
      </c>
    </row>
    <row r="6782" spans="1:13" x14ac:dyDescent="0.3">
      <c r="A6782" t="s">
        <v>3397</v>
      </c>
      <c r="B6782" t="s">
        <v>5255</v>
      </c>
      <c r="C6782" t="s">
        <v>5487</v>
      </c>
      <c r="D6782" t="s">
        <v>4119</v>
      </c>
      <c r="E6782" t="s">
        <v>5595</v>
      </c>
      <c r="F6782" t="s">
        <v>25526</v>
      </c>
      <c r="G6782" t="s">
        <v>8041</v>
      </c>
      <c r="H6782" t="s">
        <v>5474</v>
      </c>
      <c r="I6782" t="s">
        <v>25527</v>
      </c>
      <c r="J6782" t="s">
        <v>5476</v>
      </c>
      <c r="K6782" t="s">
        <v>25528</v>
      </c>
      <c r="L6782" t="s">
        <v>5471</v>
      </c>
      <c r="M6782" t="s">
        <v>5471</v>
      </c>
    </row>
    <row r="6783" spans="1:13" x14ac:dyDescent="0.3">
      <c r="A6783" t="s">
        <v>3397</v>
      </c>
      <c r="B6783" t="s">
        <v>5255</v>
      </c>
      <c r="C6783" t="s">
        <v>5487</v>
      </c>
      <c r="D6783" t="s">
        <v>4119</v>
      </c>
      <c r="E6783" t="s">
        <v>5595</v>
      </c>
      <c r="F6783" t="s">
        <v>25529</v>
      </c>
      <c r="G6783" t="s">
        <v>8041</v>
      </c>
      <c r="H6783" t="s">
        <v>5474</v>
      </c>
      <c r="I6783" t="s">
        <v>25530</v>
      </c>
      <c r="J6783" t="s">
        <v>5476</v>
      </c>
      <c r="K6783" t="s">
        <v>25531</v>
      </c>
      <c r="L6783" t="s">
        <v>5471</v>
      </c>
      <c r="M6783" t="s">
        <v>5471</v>
      </c>
    </row>
    <row r="6784" spans="1:13" x14ac:dyDescent="0.3">
      <c r="A6784" t="s">
        <v>3383</v>
      </c>
      <c r="B6784" t="s">
        <v>5267</v>
      </c>
      <c r="C6784" t="s">
        <v>5487</v>
      </c>
      <c r="D6784" t="s">
        <v>4058</v>
      </c>
      <c r="E6784" t="s">
        <v>5843</v>
      </c>
      <c r="F6784" t="s">
        <v>25532</v>
      </c>
      <c r="G6784" t="s">
        <v>25533</v>
      </c>
      <c r="H6784" t="s">
        <v>5474</v>
      </c>
      <c r="I6784" t="s">
        <v>25534</v>
      </c>
      <c r="J6784" t="s">
        <v>5476</v>
      </c>
      <c r="K6784" t="s">
        <v>25535</v>
      </c>
      <c r="L6784" t="s">
        <v>5471</v>
      </c>
      <c r="M6784" t="s">
        <v>5471</v>
      </c>
    </row>
    <row r="6785" spans="1:13" x14ac:dyDescent="0.3">
      <c r="A6785" t="s">
        <v>3397</v>
      </c>
      <c r="B6785" t="s">
        <v>5255</v>
      </c>
      <c r="C6785" t="s">
        <v>5487</v>
      </c>
      <c r="D6785" t="s">
        <v>4119</v>
      </c>
      <c r="E6785" t="s">
        <v>5595</v>
      </c>
      <c r="F6785" t="s">
        <v>25536</v>
      </c>
      <c r="G6785" t="s">
        <v>8041</v>
      </c>
      <c r="H6785" t="s">
        <v>5474</v>
      </c>
      <c r="I6785" t="s">
        <v>25537</v>
      </c>
      <c r="J6785" t="s">
        <v>5476</v>
      </c>
      <c r="K6785" t="s">
        <v>25538</v>
      </c>
      <c r="L6785" t="s">
        <v>5471</v>
      </c>
      <c r="M6785" t="s">
        <v>5471</v>
      </c>
    </row>
    <row r="6786" spans="1:13" x14ac:dyDescent="0.3">
      <c r="A6786" t="s">
        <v>3397</v>
      </c>
      <c r="B6786" t="s">
        <v>5255</v>
      </c>
      <c r="C6786" t="s">
        <v>5487</v>
      </c>
      <c r="D6786" t="s">
        <v>4119</v>
      </c>
      <c r="E6786" t="s">
        <v>5595</v>
      </c>
      <c r="F6786" t="s">
        <v>25539</v>
      </c>
      <c r="G6786" t="s">
        <v>8041</v>
      </c>
      <c r="H6786" t="s">
        <v>5474</v>
      </c>
      <c r="I6786" t="s">
        <v>25540</v>
      </c>
      <c r="J6786" t="s">
        <v>5476</v>
      </c>
      <c r="K6786" t="s">
        <v>25541</v>
      </c>
      <c r="L6786" t="s">
        <v>5471</v>
      </c>
      <c r="M6786" t="s">
        <v>5471</v>
      </c>
    </row>
    <row r="6787" spans="1:13" x14ac:dyDescent="0.3">
      <c r="A6787" t="s">
        <v>3397</v>
      </c>
      <c r="B6787" t="s">
        <v>5255</v>
      </c>
      <c r="C6787" t="s">
        <v>5487</v>
      </c>
      <c r="D6787" t="s">
        <v>4119</v>
      </c>
      <c r="E6787" t="s">
        <v>5595</v>
      </c>
      <c r="F6787" t="s">
        <v>25542</v>
      </c>
      <c r="G6787" t="s">
        <v>8041</v>
      </c>
      <c r="H6787" t="s">
        <v>5474</v>
      </c>
      <c r="I6787" t="s">
        <v>25543</v>
      </c>
      <c r="J6787" t="s">
        <v>5476</v>
      </c>
      <c r="K6787" t="s">
        <v>25544</v>
      </c>
      <c r="L6787" t="s">
        <v>5471</v>
      </c>
      <c r="M6787" t="s">
        <v>5471</v>
      </c>
    </row>
    <row r="6788" spans="1:13" x14ac:dyDescent="0.3">
      <c r="A6788" t="s">
        <v>3383</v>
      </c>
      <c r="B6788" t="s">
        <v>5267</v>
      </c>
      <c r="C6788" t="s">
        <v>5487</v>
      </c>
      <c r="D6788" t="s">
        <v>4052</v>
      </c>
      <c r="E6788" t="s">
        <v>5843</v>
      </c>
      <c r="F6788" t="s">
        <v>25545</v>
      </c>
      <c r="G6788" t="s">
        <v>25546</v>
      </c>
      <c r="H6788" t="s">
        <v>5474</v>
      </c>
      <c r="I6788" t="s">
        <v>25547</v>
      </c>
      <c r="J6788" t="s">
        <v>5476</v>
      </c>
      <c r="K6788" t="s">
        <v>25546</v>
      </c>
      <c r="L6788" t="s">
        <v>5471</v>
      </c>
      <c r="M6788" t="s">
        <v>5471</v>
      </c>
    </row>
    <row r="6789" spans="1:13" x14ac:dyDescent="0.3">
      <c r="A6789" t="s">
        <v>3397</v>
      </c>
      <c r="B6789" t="s">
        <v>5255</v>
      </c>
      <c r="C6789" t="s">
        <v>5487</v>
      </c>
      <c r="D6789" t="s">
        <v>4119</v>
      </c>
      <c r="E6789" t="s">
        <v>5595</v>
      </c>
      <c r="F6789" t="s">
        <v>25548</v>
      </c>
      <c r="G6789" t="s">
        <v>8041</v>
      </c>
      <c r="H6789" t="s">
        <v>5474</v>
      </c>
      <c r="I6789" t="s">
        <v>25549</v>
      </c>
      <c r="J6789" t="s">
        <v>5476</v>
      </c>
      <c r="K6789" t="s">
        <v>25550</v>
      </c>
      <c r="L6789" t="s">
        <v>5471</v>
      </c>
      <c r="M6789" t="s">
        <v>5471</v>
      </c>
    </row>
    <row r="6790" spans="1:13" x14ac:dyDescent="0.3">
      <c r="A6790" t="s">
        <v>3383</v>
      </c>
      <c r="B6790" t="s">
        <v>5267</v>
      </c>
      <c r="C6790" t="s">
        <v>5487</v>
      </c>
      <c r="D6790" t="s">
        <v>4119</v>
      </c>
      <c r="E6790" t="s">
        <v>5843</v>
      </c>
      <c r="F6790" t="s">
        <v>25551</v>
      </c>
      <c r="G6790" t="s">
        <v>25267</v>
      </c>
      <c r="H6790" t="s">
        <v>5474</v>
      </c>
      <c r="I6790" t="s">
        <v>25552</v>
      </c>
      <c r="J6790" t="s">
        <v>5476</v>
      </c>
      <c r="K6790" t="s">
        <v>25553</v>
      </c>
      <c r="L6790" t="s">
        <v>5471</v>
      </c>
      <c r="M6790" t="s">
        <v>5471</v>
      </c>
    </row>
    <row r="6791" spans="1:13" x14ac:dyDescent="0.3">
      <c r="A6791" t="s">
        <v>3383</v>
      </c>
      <c r="B6791" t="s">
        <v>5267</v>
      </c>
      <c r="C6791" t="s">
        <v>5487</v>
      </c>
      <c r="D6791" t="s">
        <v>4056</v>
      </c>
      <c r="E6791" t="s">
        <v>5843</v>
      </c>
      <c r="F6791" t="s">
        <v>25554</v>
      </c>
      <c r="G6791" t="s">
        <v>25267</v>
      </c>
      <c r="H6791" t="s">
        <v>5474</v>
      </c>
      <c r="I6791" t="s">
        <v>25555</v>
      </c>
      <c r="J6791" t="s">
        <v>5476</v>
      </c>
      <c r="K6791" t="s">
        <v>25556</v>
      </c>
      <c r="L6791" t="s">
        <v>5471</v>
      </c>
      <c r="M6791" t="s">
        <v>5471</v>
      </c>
    </row>
    <row r="6792" spans="1:13" x14ac:dyDescent="0.3">
      <c r="A6792" t="s">
        <v>3383</v>
      </c>
      <c r="B6792" t="s">
        <v>5267</v>
      </c>
      <c r="C6792" t="s">
        <v>5487</v>
      </c>
      <c r="D6792" t="s">
        <v>4056</v>
      </c>
      <c r="E6792" t="s">
        <v>5843</v>
      </c>
      <c r="F6792" t="s">
        <v>25557</v>
      </c>
      <c r="G6792" t="s">
        <v>25267</v>
      </c>
      <c r="H6792" t="s">
        <v>5474</v>
      </c>
      <c r="I6792" t="s">
        <v>25558</v>
      </c>
      <c r="J6792" t="s">
        <v>5476</v>
      </c>
      <c r="K6792" t="s">
        <v>25556</v>
      </c>
      <c r="L6792" t="s">
        <v>5471</v>
      </c>
      <c r="M6792" t="s">
        <v>5471</v>
      </c>
    </row>
    <row r="6793" spans="1:13" x14ac:dyDescent="0.3">
      <c r="A6793" t="s">
        <v>3383</v>
      </c>
      <c r="B6793" t="s">
        <v>5267</v>
      </c>
      <c r="C6793" t="s">
        <v>5487</v>
      </c>
      <c r="D6793" t="s">
        <v>4056</v>
      </c>
      <c r="E6793" t="s">
        <v>5843</v>
      </c>
      <c r="F6793" t="s">
        <v>25559</v>
      </c>
      <c r="G6793" t="s">
        <v>25267</v>
      </c>
      <c r="H6793" t="s">
        <v>5474</v>
      </c>
      <c r="I6793" t="s">
        <v>25560</v>
      </c>
      <c r="J6793" t="s">
        <v>5476</v>
      </c>
      <c r="K6793" t="s">
        <v>25556</v>
      </c>
      <c r="L6793" t="s">
        <v>5471</v>
      </c>
      <c r="M6793" t="s">
        <v>5471</v>
      </c>
    </row>
    <row r="6794" spans="1:13" x14ac:dyDescent="0.3">
      <c r="A6794" t="s">
        <v>3383</v>
      </c>
      <c r="B6794" t="s">
        <v>5267</v>
      </c>
      <c r="C6794" t="s">
        <v>5487</v>
      </c>
      <c r="D6794" t="s">
        <v>10218</v>
      </c>
      <c r="E6794" t="s">
        <v>5843</v>
      </c>
      <c r="F6794" t="s">
        <v>25561</v>
      </c>
      <c r="G6794" t="s">
        <v>25267</v>
      </c>
      <c r="H6794" t="s">
        <v>5474</v>
      </c>
      <c r="I6794" t="s">
        <v>25562</v>
      </c>
      <c r="J6794" t="s">
        <v>5476</v>
      </c>
      <c r="K6794" t="s">
        <v>25563</v>
      </c>
      <c r="L6794" t="s">
        <v>5471</v>
      </c>
      <c r="M6794" t="s">
        <v>5471</v>
      </c>
    </row>
    <row r="6795" spans="1:13" x14ac:dyDescent="0.3">
      <c r="A6795" t="s">
        <v>3383</v>
      </c>
      <c r="B6795" t="s">
        <v>5267</v>
      </c>
      <c r="C6795" t="s">
        <v>5487</v>
      </c>
      <c r="D6795" t="s">
        <v>10218</v>
      </c>
      <c r="E6795" t="s">
        <v>5843</v>
      </c>
      <c r="F6795" t="s">
        <v>25564</v>
      </c>
      <c r="G6795" t="s">
        <v>25267</v>
      </c>
      <c r="H6795" t="s">
        <v>5474</v>
      </c>
      <c r="I6795" t="s">
        <v>25565</v>
      </c>
      <c r="J6795" t="s">
        <v>5476</v>
      </c>
      <c r="K6795" t="s">
        <v>25563</v>
      </c>
      <c r="L6795" t="s">
        <v>5471</v>
      </c>
      <c r="M6795" t="s">
        <v>5471</v>
      </c>
    </row>
    <row r="6796" spans="1:13" x14ac:dyDescent="0.3">
      <c r="A6796" t="s">
        <v>3383</v>
      </c>
      <c r="B6796" t="s">
        <v>5267</v>
      </c>
      <c r="C6796" t="s">
        <v>5487</v>
      </c>
      <c r="D6796" t="s">
        <v>10218</v>
      </c>
      <c r="E6796" t="s">
        <v>5843</v>
      </c>
      <c r="F6796" t="s">
        <v>25566</v>
      </c>
      <c r="G6796" t="s">
        <v>25267</v>
      </c>
      <c r="H6796" t="s">
        <v>5474</v>
      </c>
      <c r="I6796" t="s">
        <v>25567</v>
      </c>
      <c r="J6796" t="s">
        <v>5476</v>
      </c>
      <c r="K6796" t="s">
        <v>25563</v>
      </c>
      <c r="L6796" t="s">
        <v>5471</v>
      </c>
      <c r="M6796" t="s">
        <v>5471</v>
      </c>
    </row>
    <row r="6797" spans="1:13" x14ac:dyDescent="0.3">
      <c r="A6797" t="s">
        <v>3383</v>
      </c>
      <c r="B6797" t="s">
        <v>6022</v>
      </c>
      <c r="C6797" t="s">
        <v>5487</v>
      </c>
      <c r="D6797" t="s">
        <v>4058</v>
      </c>
      <c r="E6797" t="s">
        <v>5532</v>
      </c>
      <c r="F6797" t="s">
        <v>25568</v>
      </c>
      <c r="G6797" t="s">
        <v>10937</v>
      </c>
      <c r="H6797" t="s">
        <v>5474</v>
      </c>
      <c r="I6797" t="s">
        <v>25569</v>
      </c>
      <c r="J6797" t="s">
        <v>5476</v>
      </c>
      <c r="K6797" t="s">
        <v>25570</v>
      </c>
      <c r="L6797" t="s">
        <v>5471</v>
      </c>
      <c r="M6797" t="s">
        <v>5471</v>
      </c>
    </row>
    <row r="6798" spans="1:13" x14ac:dyDescent="0.3">
      <c r="A6798" t="s">
        <v>3383</v>
      </c>
      <c r="B6798" t="s">
        <v>6022</v>
      </c>
      <c r="C6798" t="s">
        <v>5487</v>
      </c>
      <c r="D6798" t="s">
        <v>4058</v>
      </c>
      <c r="E6798" t="s">
        <v>5532</v>
      </c>
      <c r="F6798" t="s">
        <v>25571</v>
      </c>
      <c r="G6798" t="s">
        <v>10937</v>
      </c>
      <c r="H6798" t="s">
        <v>5474</v>
      </c>
      <c r="I6798" t="s">
        <v>25572</v>
      </c>
      <c r="J6798" t="s">
        <v>5476</v>
      </c>
      <c r="K6798" t="s">
        <v>25573</v>
      </c>
      <c r="L6798" t="s">
        <v>5471</v>
      </c>
      <c r="M6798" t="s">
        <v>5471</v>
      </c>
    </row>
    <row r="6799" spans="1:13" x14ac:dyDescent="0.3">
      <c r="A6799" t="s">
        <v>3383</v>
      </c>
      <c r="B6799" t="s">
        <v>6022</v>
      </c>
      <c r="C6799" t="s">
        <v>5487</v>
      </c>
      <c r="D6799" t="s">
        <v>4058</v>
      </c>
      <c r="E6799" t="s">
        <v>5532</v>
      </c>
      <c r="F6799" t="s">
        <v>25574</v>
      </c>
      <c r="G6799" t="s">
        <v>10937</v>
      </c>
      <c r="H6799" t="s">
        <v>5474</v>
      </c>
      <c r="I6799" t="s">
        <v>25575</v>
      </c>
      <c r="J6799" t="s">
        <v>5476</v>
      </c>
      <c r="K6799" t="s">
        <v>25576</v>
      </c>
      <c r="L6799" t="s">
        <v>5471</v>
      </c>
      <c r="M6799" t="s">
        <v>5471</v>
      </c>
    </row>
    <row r="6800" spans="1:13" x14ac:dyDescent="0.3">
      <c r="A6800" t="s">
        <v>3383</v>
      </c>
      <c r="B6800" t="s">
        <v>6022</v>
      </c>
      <c r="C6800" t="s">
        <v>5487</v>
      </c>
      <c r="D6800" t="s">
        <v>4058</v>
      </c>
      <c r="E6800" t="s">
        <v>5532</v>
      </c>
      <c r="F6800" t="s">
        <v>25577</v>
      </c>
      <c r="G6800" t="s">
        <v>10937</v>
      </c>
      <c r="H6800" t="s">
        <v>5474</v>
      </c>
      <c r="I6800" t="s">
        <v>25578</v>
      </c>
      <c r="J6800" t="s">
        <v>5476</v>
      </c>
      <c r="K6800" t="s">
        <v>25579</v>
      </c>
      <c r="L6800" t="s">
        <v>5471</v>
      </c>
      <c r="M6800" t="s">
        <v>5471</v>
      </c>
    </row>
    <row r="6801" spans="1:13" x14ac:dyDescent="0.3">
      <c r="A6801" t="s">
        <v>3397</v>
      </c>
      <c r="B6801" t="s">
        <v>5255</v>
      </c>
      <c r="C6801" t="s">
        <v>5487</v>
      </c>
      <c r="D6801" t="s">
        <v>4119</v>
      </c>
      <c r="E6801" t="s">
        <v>5595</v>
      </c>
      <c r="F6801" t="s">
        <v>25580</v>
      </c>
      <c r="G6801" t="s">
        <v>8041</v>
      </c>
      <c r="H6801" t="s">
        <v>5474</v>
      </c>
      <c r="I6801" t="s">
        <v>25581</v>
      </c>
      <c r="J6801" t="s">
        <v>5476</v>
      </c>
      <c r="K6801" t="s">
        <v>12626</v>
      </c>
      <c r="L6801" t="s">
        <v>5471</v>
      </c>
      <c r="M6801" t="s">
        <v>5471</v>
      </c>
    </row>
    <row r="6802" spans="1:13" x14ac:dyDescent="0.3">
      <c r="A6802" t="s">
        <v>3397</v>
      </c>
      <c r="B6802" t="s">
        <v>5255</v>
      </c>
      <c r="C6802" t="s">
        <v>5487</v>
      </c>
      <c r="D6802" t="s">
        <v>4119</v>
      </c>
      <c r="E6802" t="s">
        <v>5595</v>
      </c>
      <c r="F6802" t="s">
        <v>25582</v>
      </c>
      <c r="G6802" t="s">
        <v>8041</v>
      </c>
      <c r="H6802" t="s">
        <v>5474</v>
      </c>
      <c r="I6802" t="s">
        <v>25583</v>
      </c>
      <c r="J6802" t="s">
        <v>5476</v>
      </c>
      <c r="K6802" t="s">
        <v>12629</v>
      </c>
      <c r="L6802" t="s">
        <v>5471</v>
      </c>
      <c r="M6802" t="s">
        <v>5471</v>
      </c>
    </row>
    <row r="6803" spans="1:13" x14ac:dyDescent="0.3">
      <c r="A6803" t="s">
        <v>3383</v>
      </c>
      <c r="B6803" t="s">
        <v>6022</v>
      </c>
      <c r="C6803" t="s">
        <v>5487</v>
      </c>
      <c r="D6803" t="s">
        <v>4058</v>
      </c>
      <c r="E6803" t="s">
        <v>5532</v>
      </c>
      <c r="F6803" t="s">
        <v>25584</v>
      </c>
      <c r="G6803" t="s">
        <v>10937</v>
      </c>
      <c r="H6803" t="s">
        <v>5474</v>
      </c>
      <c r="I6803" t="s">
        <v>25585</v>
      </c>
      <c r="J6803" t="s">
        <v>5476</v>
      </c>
      <c r="K6803" t="s">
        <v>25586</v>
      </c>
      <c r="L6803" t="s">
        <v>5471</v>
      </c>
      <c r="M6803" t="s">
        <v>5471</v>
      </c>
    </row>
    <row r="6804" spans="1:13" x14ac:dyDescent="0.3">
      <c r="A6804" t="s">
        <v>3397</v>
      </c>
      <c r="B6804" t="s">
        <v>5255</v>
      </c>
      <c r="C6804" t="s">
        <v>5487</v>
      </c>
      <c r="D6804" t="s">
        <v>4119</v>
      </c>
      <c r="E6804" t="s">
        <v>5595</v>
      </c>
      <c r="F6804" t="s">
        <v>25587</v>
      </c>
      <c r="G6804" t="s">
        <v>8041</v>
      </c>
      <c r="H6804" t="s">
        <v>5474</v>
      </c>
      <c r="I6804" t="s">
        <v>25588</v>
      </c>
      <c r="J6804" t="s">
        <v>5476</v>
      </c>
      <c r="K6804" t="s">
        <v>25589</v>
      </c>
      <c r="L6804" t="s">
        <v>5471</v>
      </c>
      <c r="M6804" t="s">
        <v>5471</v>
      </c>
    </row>
    <row r="6805" spans="1:13" x14ac:dyDescent="0.3">
      <c r="A6805" t="s">
        <v>3383</v>
      </c>
      <c r="B6805" t="s">
        <v>6022</v>
      </c>
      <c r="C6805" t="s">
        <v>5487</v>
      </c>
      <c r="D6805" t="s">
        <v>4058</v>
      </c>
      <c r="E6805" t="s">
        <v>5532</v>
      </c>
      <c r="F6805" t="s">
        <v>25590</v>
      </c>
      <c r="G6805" t="s">
        <v>10937</v>
      </c>
      <c r="H6805" t="s">
        <v>5474</v>
      </c>
      <c r="I6805" t="s">
        <v>25591</v>
      </c>
      <c r="J6805" t="s">
        <v>5476</v>
      </c>
      <c r="K6805" t="s">
        <v>25592</v>
      </c>
      <c r="L6805" t="s">
        <v>5471</v>
      </c>
      <c r="M6805" t="s">
        <v>5471</v>
      </c>
    </row>
    <row r="6806" spans="1:13" x14ac:dyDescent="0.3">
      <c r="A6806" t="s">
        <v>3397</v>
      </c>
      <c r="B6806" t="s">
        <v>5255</v>
      </c>
      <c r="C6806" t="s">
        <v>5487</v>
      </c>
      <c r="D6806" t="s">
        <v>4119</v>
      </c>
      <c r="E6806" t="s">
        <v>5595</v>
      </c>
      <c r="F6806" t="s">
        <v>25593</v>
      </c>
      <c r="G6806" t="s">
        <v>8041</v>
      </c>
      <c r="H6806" t="s">
        <v>5474</v>
      </c>
      <c r="I6806" t="s">
        <v>25594</v>
      </c>
      <c r="J6806" t="s">
        <v>5476</v>
      </c>
      <c r="K6806" t="s">
        <v>25595</v>
      </c>
      <c r="L6806" t="s">
        <v>5471</v>
      </c>
      <c r="M6806" t="s">
        <v>5471</v>
      </c>
    </row>
    <row r="6807" spans="1:13" x14ac:dyDescent="0.3">
      <c r="A6807" t="s">
        <v>3397</v>
      </c>
      <c r="B6807" t="s">
        <v>5255</v>
      </c>
      <c r="C6807" t="s">
        <v>5487</v>
      </c>
      <c r="D6807" t="s">
        <v>4119</v>
      </c>
      <c r="E6807" t="s">
        <v>5595</v>
      </c>
      <c r="F6807" t="s">
        <v>25596</v>
      </c>
      <c r="G6807" t="s">
        <v>8041</v>
      </c>
      <c r="H6807" t="s">
        <v>5474</v>
      </c>
      <c r="I6807" t="s">
        <v>25597</v>
      </c>
      <c r="J6807" t="s">
        <v>5476</v>
      </c>
      <c r="K6807" t="s">
        <v>25598</v>
      </c>
      <c r="L6807" t="s">
        <v>5471</v>
      </c>
      <c r="M6807" t="s">
        <v>5471</v>
      </c>
    </row>
    <row r="6808" spans="1:13" x14ac:dyDescent="0.3">
      <c r="A6808" t="s">
        <v>3383</v>
      </c>
      <c r="B6808" t="s">
        <v>6022</v>
      </c>
      <c r="C6808" t="s">
        <v>5487</v>
      </c>
      <c r="D6808" t="s">
        <v>4052</v>
      </c>
      <c r="E6808" t="s">
        <v>5532</v>
      </c>
      <c r="F6808" t="s">
        <v>25599</v>
      </c>
      <c r="G6808" t="s">
        <v>10937</v>
      </c>
      <c r="H6808" t="s">
        <v>5474</v>
      </c>
      <c r="I6808" t="s">
        <v>25600</v>
      </c>
      <c r="J6808" t="s">
        <v>5476</v>
      </c>
      <c r="K6808" t="s">
        <v>25601</v>
      </c>
      <c r="L6808" t="s">
        <v>5471</v>
      </c>
      <c r="M6808" t="s">
        <v>5471</v>
      </c>
    </row>
    <row r="6809" spans="1:13" x14ac:dyDescent="0.3">
      <c r="A6809" t="s">
        <v>3397</v>
      </c>
      <c r="B6809" t="s">
        <v>5255</v>
      </c>
      <c r="C6809" t="s">
        <v>5487</v>
      </c>
      <c r="D6809" t="s">
        <v>4119</v>
      </c>
      <c r="E6809" t="s">
        <v>5595</v>
      </c>
      <c r="F6809" t="s">
        <v>25602</v>
      </c>
      <c r="G6809" t="s">
        <v>8041</v>
      </c>
      <c r="H6809" t="s">
        <v>5474</v>
      </c>
      <c r="I6809" t="s">
        <v>25603</v>
      </c>
      <c r="J6809" t="s">
        <v>5476</v>
      </c>
      <c r="K6809" t="s">
        <v>25604</v>
      </c>
      <c r="L6809" t="s">
        <v>5471</v>
      </c>
      <c r="M6809" t="s">
        <v>5471</v>
      </c>
    </row>
    <row r="6810" spans="1:13" x14ac:dyDescent="0.3">
      <c r="A6810" t="s">
        <v>3397</v>
      </c>
      <c r="B6810" t="s">
        <v>5255</v>
      </c>
      <c r="C6810" t="s">
        <v>5487</v>
      </c>
      <c r="D6810" t="s">
        <v>4119</v>
      </c>
      <c r="E6810" t="s">
        <v>5595</v>
      </c>
      <c r="F6810" t="s">
        <v>25605</v>
      </c>
      <c r="G6810" t="s">
        <v>8041</v>
      </c>
      <c r="H6810" t="s">
        <v>5474</v>
      </c>
      <c r="I6810" t="s">
        <v>25606</v>
      </c>
      <c r="J6810" t="s">
        <v>5476</v>
      </c>
      <c r="K6810" t="s">
        <v>25607</v>
      </c>
      <c r="L6810" t="s">
        <v>5471</v>
      </c>
      <c r="M6810" t="s">
        <v>5471</v>
      </c>
    </row>
    <row r="6811" spans="1:13" x14ac:dyDescent="0.3">
      <c r="A6811" t="s">
        <v>3397</v>
      </c>
      <c r="B6811" t="s">
        <v>5255</v>
      </c>
      <c r="C6811" t="s">
        <v>5487</v>
      </c>
      <c r="D6811" t="s">
        <v>4119</v>
      </c>
      <c r="E6811" t="s">
        <v>5595</v>
      </c>
      <c r="F6811" t="s">
        <v>25608</v>
      </c>
      <c r="G6811" t="s">
        <v>8041</v>
      </c>
      <c r="H6811" t="s">
        <v>5474</v>
      </c>
      <c r="I6811" t="s">
        <v>25609</v>
      </c>
      <c r="J6811" t="s">
        <v>5476</v>
      </c>
      <c r="K6811" t="s">
        <v>25610</v>
      </c>
      <c r="L6811" t="s">
        <v>5471</v>
      </c>
      <c r="M6811" t="s">
        <v>5471</v>
      </c>
    </row>
    <row r="6812" spans="1:13" x14ac:dyDescent="0.3">
      <c r="A6812" t="s">
        <v>3397</v>
      </c>
      <c r="B6812" t="s">
        <v>5255</v>
      </c>
      <c r="C6812" t="s">
        <v>5487</v>
      </c>
      <c r="D6812" t="s">
        <v>4119</v>
      </c>
      <c r="E6812" t="s">
        <v>5595</v>
      </c>
      <c r="F6812" t="s">
        <v>25611</v>
      </c>
      <c r="G6812" t="s">
        <v>8041</v>
      </c>
      <c r="H6812" t="s">
        <v>5474</v>
      </c>
      <c r="I6812" t="s">
        <v>25612</v>
      </c>
      <c r="J6812" t="s">
        <v>5476</v>
      </c>
      <c r="K6812" t="s">
        <v>25613</v>
      </c>
      <c r="L6812" t="s">
        <v>5471</v>
      </c>
      <c r="M6812" t="s">
        <v>5471</v>
      </c>
    </row>
    <row r="6813" spans="1:13" x14ac:dyDescent="0.3">
      <c r="A6813" t="s">
        <v>3383</v>
      </c>
      <c r="B6813" t="s">
        <v>6022</v>
      </c>
      <c r="C6813" t="s">
        <v>5487</v>
      </c>
      <c r="D6813" t="s">
        <v>4119</v>
      </c>
      <c r="E6813" t="s">
        <v>5532</v>
      </c>
      <c r="F6813" t="s">
        <v>25614</v>
      </c>
      <c r="G6813" t="s">
        <v>10937</v>
      </c>
      <c r="H6813" t="s">
        <v>5474</v>
      </c>
      <c r="I6813" t="s">
        <v>25615</v>
      </c>
      <c r="J6813" t="s">
        <v>5484</v>
      </c>
      <c r="K6813" t="s">
        <v>25616</v>
      </c>
      <c r="L6813" t="s">
        <v>5471</v>
      </c>
      <c r="M6813" t="s">
        <v>5471</v>
      </c>
    </row>
    <row r="6814" spans="1:13" x14ac:dyDescent="0.3">
      <c r="A6814" t="s">
        <v>3383</v>
      </c>
      <c r="B6814" t="s">
        <v>6022</v>
      </c>
      <c r="C6814" t="s">
        <v>5487</v>
      </c>
      <c r="D6814" t="s">
        <v>4058</v>
      </c>
      <c r="E6814" t="s">
        <v>5532</v>
      </c>
      <c r="F6814" t="s">
        <v>25617</v>
      </c>
      <c r="G6814" t="s">
        <v>15575</v>
      </c>
      <c r="H6814" t="s">
        <v>5474</v>
      </c>
      <c r="I6814" t="s">
        <v>25618</v>
      </c>
      <c r="J6814" t="s">
        <v>5476</v>
      </c>
      <c r="K6814" t="s">
        <v>25619</v>
      </c>
      <c r="L6814" t="s">
        <v>5471</v>
      </c>
      <c r="M6814" t="s">
        <v>5471</v>
      </c>
    </row>
    <row r="6815" spans="1:13" x14ac:dyDescent="0.3">
      <c r="A6815" t="s">
        <v>3383</v>
      </c>
      <c r="B6815" t="s">
        <v>6022</v>
      </c>
      <c r="C6815" t="s">
        <v>5487</v>
      </c>
      <c r="D6815" t="s">
        <v>4058</v>
      </c>
      <c r="E6815" t="s">
        <v>5532</v>
      </c>
      <c r="F6815" t="s">
        <v>25620</v>
      </c>
      <c r="G6815" t="s">
        <v>15575</v>
      </c>
      <c r="H6815" t="s">
        <v>5474</v>
      </c>
      <c r="I6815" t="s">
        <v>25621</v>
      </c>
      <c r="J6815" t="s">
        <v>5476</v>
      </c>
      <c r="K6815" t="s">
        <v>25622</v>
      </c>
      <c r="L6815" t="s">
        <v>5471</v>
      </c>
      <c r="M6815" t="s">
        <v>5471</v>
      </c>
    </row>
    <row r="6816" spans="1:13" x14ac:dyDescent="0.3">
      <c r="A6816" t="s">
        <v>3383</v>
      </c>
      <c r="B6816" t="s">
        <v>6022</v>
      </c>
      <c r="C6816" t="s">
        <v>5487</v>
      </c>
      <c r="D6816" t="s">
        <v>4058</v>
      </c>
      <c r="E6816" t="s">
        <v>5532</v>
      </c>
      <c r="F6816" t="s">
        <v>25623</v>
      </c>
      <c r="G6816" t="s">
        <v>15575</v>
      </c>
      <c r="H6816" t="s">
        <v>5474</v>
      </c>
      <c r="I6816" t="s">
        <v>25624</v>
      </c>
      <c r="J6816" t="s">
        <v>5476</v>
      </c>
      <c r="K6816" t="s">
        <v>25625</v>
      </c>
      <c r="L6816" t="s">
        <v>5471</v>
      </c>
      <c r="M6816" t="s">
        <v>5471</v>
      </c>
    </row>
    <row r="6817" spans="1:13" x14ac:dyDescent="0.3">
      <c r="A6817" t="s">
        <v>3383</v>
      </c>
      <c r="B6817" t="s">
        <v>6022</v>
      </c>
      <c r="C6817" t="s">
        <v>5487</v>
      </c>
      <c r="D6817" t="s">
        <v>4058</v>
      </c>
      <c r="E6817" t="s">
        <v>5532</v>
      </c>
      <c r="F6817" t="s">
        <v>25626</v>
      </c>
      <c r="G6817" t="s">
        <v>15575</v>
      </c>
      <c r="H6817" t="s">
        <v>5474</v>
      </c>
      <c r="I6817" t="s">
        <v>25627</v>
      </c>
      <c r="J6817" t="s">
        <v>5476</v>
      </c>
      <c r="K6817" t="s">
        <v>25628</v>
      </c>
      <c r="L6817" t="s">
        <v>5471</v>
      </c>
      <c r="M6817" t="s">
        <v>5471</v>
      </c>
    </row>
    <row r="6818" spans="1:13" x14ac:dyDescent="0.3">
      <c r="A6818" t="s">
        <v>3383</v>
      </c>
      <c r="B6818" t="s">
        <v>6022</v>
      </c>
      <c r="C6818" t="s">
        <v>5487</v>
      </c>
      <c r="D6818" t="s">
        <v>4052</v>
      </c>
      <c r="E6818" t="s">
        <v>5532</v>
      </c>
      <c r="F6818" t="s">
        <v>25629</v>
      </c>
      <c r="G6818" t="s">
        <v>15575</v>
      </c>
      <c r="H6818" t="s">
        <v>5474</v>
      </c>
      <c r="I6818" t="s">
        <v>25630</v>
      </c>
      <c r="J6818" t="s">
        <v>5476</v>
      </c>
      <c r="K6818" t="s">
        <v>25631</v>
      </c>
      <c r="L6818" t="s">
        <v>5471</v>
      </c>
      <c r="M6818" t="s">
        <v>5471</v>
      </c>
    </row>
    <row r="6819" spans="1:13" x14ac:dyDescent="0.3">
      <c r="A6819" t="s">
        <v>3383</v>
      </c>
      <c r="B6819" t="s">
        <v>6022</v>
      </c>
      <c r="C6819" t="s">
        <v>5487</v>
      </c>
      <c r="D6819" t="s">
        <v>10218</v>
      </c>
      <c r="E6819" t="s">
        <v>5532</v>
      </c>
      <c r="F6819" t="s">
        <v>25632</v>
      </c>
      <c r="G6819" t="s">
        <v>15575</v>
      </c>
      <c r="H6819" t="s">
        <v>5474</v>
      </c>
      <c r="I6819" t="s">
        <v>25633</v>
      </c>
      <c r="J6819" t="s">
        <v>5476</v>
      </c>
      <c r="K6819" t="s">
        <v>25634</v>
      </c>
      <c r="L6819" t="s">
        <v>5471</v>
      </c>
      <c r="M6819" t="s">
        <v>5471</v>
      </c>
    </row>
    <row r="6820" spans="1:13" x14ac:dyDescent="0.3">
      <c r="A6820" t="s">
        <v>3383</v>
      </c>
      <c r="B6820" t="s">
        <v>6022</v>
      </c>
      <c r="C6820" t="s">
        <v>5487</v>
      </c>
      <c r="D6820" t="s">
        <v>10218</v>
      </c>
      <c r="E6820" t="s">
        <v>5532</v>
      </c>
      <c r="F6820" t="s">
        <v>25635</v>
      </c>
      <c r="G6820" t="s">
        <v>15575</v>
      </c>
      <c r="H6820" t="s">
        <v>5474</v>
      </c>
      <c r="I6820" t="s">
        <v>25636</v>
      </c>
      <c r="J6820" t="s">
        <v>5476</v>
      </c>
      <c r="K6820" t="s">
        <v>25637</v>
      </c>
      <c r="L6820" t="s">
        <v>5471</v>
      </c>
      <c r="M6820" t="s">
        <v>5471</v>
      </c>
    </row>
    <row r="6821" spans="1:13" x14ac:dyDescent="0.3">
      <c r="A6821" t="s">
        <v>3383</v>
      </c>
      <c r="B6821" t="s">
        <v>6022</v>
      </c>
      <c r="C6821" t="s">
        <v>5487</v>
      </c>
      <c r="D6821" t="s">
        <v>4119</v>
      </c>
      <c r="E6821" t="s">
        <v>5532</v>
      </c>
      <c r="F6821" t="s">
        <v>25638</v>
      </c>
      <c r="G6821" t="s">
        <v>15575</v>
      </c>
      <c r="H6821" t="s">
        <v>5474</v>
      </c>
      <c r="I6821" t="s">
        <v>25639</v>
      </c>
      <c r="J6821" t="s">
        <v>5484</v>
      </c>
      <c r="K6821" t="s">
        <v>25640</v>
      </c>
      <c r="L6821" t="s">
        <v>5471</v>
      </c>
      <c r="M6821" t="s">
        <v>5471</v>
      </c>
    </row>
    <row r="6822" spans="1:13" x14ac:dyDescent="0.3">
      <c r="A6822" t="s">
        <v>3383</v>
      </c>
      <c r="B6822" t="s">
        <v>6022</v>
      </c>
      <c r="C6822" t="s">
        <v>5487</v>
      </c>
      <c r="D6822" t="s">
        <v>4058</v>
      </c>
      <c r="E6822" t="s">
        <v>5532</v>
      </c>
      <c r="F6822" t="s">
        <v>25641</v>
      </c>
      <c r="G6822" t="s">
        <v>15575</v>
      </c>
      <c r="H6822" t="s">
        <v>5474</v>
      </c>
      <c r="I6822" t="s">
        <v>25642</v>
      </c>
      <c r="J6822" t="s">
        <v>5476</v>
      </c>
      <c r="K6822" t="s">
        <v>25643</v>
      </c>
      <c r="L6822" t="s">
        <v>5471</v>
      </c>
      <c r="M6822" t="s">
        <v>5471</v>
      </c>
    </row>
    <row r="6823" spans="1:13" x14ac:dyDescent="0.3">
      <c r="A6823" t="s">
        <v>3383</v>
      </c>
      <c r="B6823" t="s">
        <v>5324</v>
      </c>
      <c r="C6823" t="s">
        <v>5487</v>
      </c>
      <c r="D6823" t="s">
        <v>4119</v>
      </c>
      <c r="E6823" t="s">
        <v>5532</v>
      </c>
      <c r="F6823" t="s">
        <v>25644</v>
      </c>
      <c r="G6823" t="s">
        <v>10937</v>
      </c>
      <c r="H6823" t="s">
        <v>5474</v>
      </c>
      <c r="I6823" t="s">
        <v>25645</v>
      </c>
      <c r="J6823" t="s">
        <v>5484</v>
      </c>
      <c r="K6823" t="s">
        <v>25646</v>
      </c>
      <c r="L6823" t="s">
        <v>5471</v>
      </c>
      <c r="M6823" t="s">
        <v>5471</v>
      </c>
    </row>
    <row r="6824" spans="1:13" x14ac:dyDescent="0.3">
      <c r="A6824" t="s">
        <v>3383</v>
      </c>
      <c r="B6824" t="s">
        <v>5324</v>
      </c>
      <c r="C6824" t="s">
        <v>5487</v>
      </c>
      <c r="D6824" t="s">
        <v>4119</v>
      </c>
      <c r="E6824" t="s">
        <v>5532</v>
      </c>
      <c r="F6824" t="s">
        <v>25647</v>
      </c>
      <c r="G6824" t="s">
        <v>15575</v>
      </c>
      <c r="H6824" t="s">
        <v>5474</v>
      </c>
      <c r="I6824" t="s">
        <v>25648</v>
      </c>
      <c r="J6824" t="s">
        <v>5484</v>
      </c>
      <c r="K6824" t="s">
        <v>25649</v>
      </c>
      <c r="L6824" t="s">
        <v>5471</v>
      </c>
      <c r="M6824" t="s">
        <v>5471</v>
      </c>
    </row>
    <row r="6825" spans="1:13" x14ac:dyDescent="0.3">
      <c r="A6825" t="s">
        <v>3383</v>
      </c>
      <c r="B6825" t="s">
        <v>5324</v>
      </c>
      <c r="C6825" t="s">
        <v>5487</v>
      </c>
      <c r="D6825" t="s">
        <v>4119</v>
      </c>
      <c r="E6825" t="s">
        <v>5480</v>
      </c>
      <c r="F6825" t="s">
        <v>25650</v>
      </c>
      <c r="G6825" t="s">
        <v>9964</v>
      </c>
      <c r="H6825" t="s">
        <v>5474</v>
      </c>
      <c r="I6825" t="s">
        <v>25651</v>
      </c>
      <c r="J6825" t="s">
        <v>5476</v>
      </c>
      <c r="K6825" t="s">
        <v>25652</v>
      </c>
      <c r="L6825" t="s">
        <v>5471</v>
      </c>
      <c r="M6825" t="s">
        <v>5471</v>
      </c>
    </row>
    <row r="6826" spans="1:13" x14ac:dyDescent="0.3">
      <c r="A6826" t="s">
        <v>3383</v>
      </c>
      <c r="B6826" t="s">
        <v>5324</v>
      </c>
      <c r="C6826" t="s">
        <v>5487</v>
      </c>
      <c r="D6826" t="s">
        <v>4119</v>
      </c>
      <c r="E6826" t="s">
        <v>5480</v>
      </c>
      <c r="F6826" t="s">
        <v>25653</v>
      </c>
      <c r="G6826" t="s">
        <v>9971</v>
      </c>
      <c r="H6826" t="s">
        <v>5474</v>
      </c>
      <c r="I6826" t="s">
        <v>25654</v>
      </c>
      <c r="J6826" t="s">
        <v>5476</v>
      </c>
      <c r="K6826" t="s">
        <v>25655</v>
      </c>
      <c r="L6826" t="s">
        <v>5471</v>
      </c>
      <c r="M6826" t="s">
        <v>5471</v>
      </c>
    </row>
    <row r="6827" spans="1:13" x14ac:dyDescent="0.3">
      <c r="A6827" t="s">
        <v>3397</v>
      </c>
      <c r="B6827" t="s">
        <v>5259</v>
      </c>
      <c r="C6827" t="s">
        <v>5487</v>
      </c>
      <c r="D6827" t="s">
        <v>4119</v>
      </c>
      <c r="E6827" t="s">
        <v>5617</v>
      </c>
      <c r="F6827" t="s">
        <v>25656</v>
      </c>
      <c r="G6827" t="s">
        <v>25657</v>
      </c>
      <c r="H6827" t="s">
        <v>5474</v>
      </c>
      <c r="I6827" t="s">
        <v>25658</v>
      </c>
      <c r="J6827" t="s">
        <v>5476</v>
      </c>
      <c r="K6827" t="s">
        <v>25659</v>
      </c>
      <c r="L6827" t="s">
        <v>5471</v>
      </c>
      <c r="M6827" t="s">
        <v>5471</v>
      </c>
    </row>
    <row r="6828" spans="1:13" x14ac:dyDescent="0.3">
      <c r="A6828" t="s">
        <v>3397</v>
      </c>
      <c r="B6828" t="s">
        <v>5259</v>
      </c>
      <c r="C6828" t="s">
        <v>5487</v>
      </c>
      <c r="D6828" t="s">
        <v>4119</v>
      </c>
      <c r="E6828" t="s">
        <v>5617</v>
      </c>
      <c r="F6828" t="s">
        <v>25660</v>
      </c>
      <c r="G6828" t="s">
        <v>25661</v>
      </c>
      <c r="H6828" t="s">
        <v>5474</v>
      </c>
      <c r="I6828" t="s">
        <v>25662</v>
      </c>
      <c r="J6828" t="s">
        <v>5476</v>
      </c>
      <c r="K6828" t="s">
        <v>25663</v>
      </c>
      <c r="L6828" t="s">
        <v>5471</v>
      </c>
      <c r="M6828" t="s">
        <v>5471</v>
      </c>
    </row>
    <row r="6829" spans="1:13" x14ac:dyDescent="0.3">
      <c r="A6829" t="s">
        <v>3397</v>
      </c>
      <c r="B6829" t="s">
        <v>5259</v>
      </c>
      <c r="C6829" t="s">
        <v>5487</v>
      </c>
      <c r="D6829" t="s">
        <v>4119</v>
      </c>
      <c r="E6829" t="s">
        <v>5617</v>
      </c>
      <c r="F6829" t="s">
        <v>25664</v>
      </c>
      <c r="G6829" t="s">
        <v>25665</v>
      </c>
      <c r="H6829" t="s">
        <v>5474</v>
      </c>
      <c r="I6829" t="s">
        <v>25666</v>
      </c>
      <c r="J6829" t="s">
        <v>5476</v>
      </c>
      <c r="K6829" t="s">
        <v>25667</v>
      </c>
      <c r="L6829" t="s">
        <v>5471</v>
      </c>
      <c r="M6829" t="s">
        <v>5471</v>
      </c>
    </row>
    <row r="6830" spans="1:13" x14ac:dyDescent="0.3">
      <c r="A6830" t="s">
        <v>3397</v>
      </c>
      <c r="B6830" t="s">
        <v>5259</v>
      </c>
      <c r="C6830" t="s">
        <v>5487</v>
      </c>
      <c r="D6830" t="s">
        <v>4119</v>
      </c>
      <c r="E6830" t="s">
        <v>5617</v>
      </c>
      <c r="F6830" t="s">
        <v>25668</v>
      </c>
      <c r="G6830" t="s">
        <v>25665</v>
      </c>
      <c r="H6830" t="s">
        <v>5474</v>
      </c>
      <c r="I6830" t="s">
        <v>25669</v>
      </c>
      <c r="J6830" t="s">
        <v>5476</v>
      </c>
      <c r="K6830" t="s">
        <v>25670</v>
      </c>
      <c r="L6830" t="s">
        <v>5471</v>
      </c>
      <c r="M6830" t="s">
        <v>5471</v>
      </c>
    </row>
    <row r="6831" spans="1:13" x14ac:dyDescent="0.3">
      <c r="A6831" t="s">
        <v>3397</v>
      </c>
      <c r="B6831" t="s">
        <v>5259</v>
      </c>
      <c r="C6831" t="s">
        <v>5487</v>
      </c>
      <c r="D6831" t="s">
        <v>4119</v>
      </c>
      <c r="E6831" t="s">
        <v>5617</v>
      </c>
      <c r="F6831" t="s">
        <v>25671</v>
      </c>
      <c r="G6831" t="s">
        <v>25672</v>
      </c>
      <c r="H6831" t="s">
        <v>5474</v>
      </c>
      <c r="I6831" t="s">
        <v>25673</v>
      </c>
      <c r="J6831" t="s">
        <v>5476</v>
      </c>
      <c r="K6831" t="s">
        <v>25674</v>
      </c>
      <c r="L6831" t="s">
        <v>5471</v>
      </c>
      <c r="M6831" t="s">
        <v>5471</v>
      </c>
    </row>
    <row r="6832" spans="1:13" x14ac:dyDescent="0.3">
      <c r="A6832" t="s">
        <v>3397</v>
      </c>
      <c r="B6832" t="s">
        <v>5259</v>
      </c>
      <c r="C6832" t="s">
        <v>5487</v>
      </c>
      <c r="D6832" t="s">
        <v>4119</v>
      </c>
      <c r="E6832" t="s">
        <v>5617</v>
      </c>
      <c r="F6832" t="s">
        <v>25675</v>
      </c>
      <c r="G6832" t="s">
        <v>5690</v>
      </c>
      <c r="H6832" t="s">
        <v>5474</v>
      </c>
      <c r="I6832" t="s">
        <v>25676</v>
      </c>
      <c r="J6832" t="s">
        <v>5476</v>
      </c>
      <c r="K6832" t="s">
        <v>25677</v>
      </c>
      <c r="L6832" t="s">
        <v>5471</v>
      </c>
      <c r="M6832" t="s">
        <v>5471</v>
      </c>
    </row>
    <row r="6833" spans="1:13" x14ac:dyDescent="0.3">
      <c r="A6833" t="s">
        <v>3397</v>
      </c>
      <c r="B6833" t="s">
        <v>5259</v>
      </c>
      <c r="C6833" t="s">
        <v>5487</v>
      </c>
      <c r="D6833" t="s">
        <v>4119</v>
      </c>
      <c r="E6833" t="s">
        <v>5532</v>
      </c>
      <c r="F6833" t="s">
        <v>25678</v>
      </c>
      <c r="G6833" t="s">
        <v>10247</v>
      </c>
      <c r="H6833" t="s">
        <v>5474</v>
      </c>
      <c r="I6833" t="s">
        <v>25679</v>
      </c>
      <c r="J6833" t="s">
        <v>5476</v>
      </c>
      <c r="K6833" t="s">
        <v>25680</v>
      </c>
      <c r="L6833" t="s">
        <v>5471</v>
      </c>
      <c r="M6833" t="s">
        <v>5471</v>
      </c>
    </row>
    <row r="6834" spans="1:13" x14ac:dyDescent="0.3">
      <c r="A6834" t="s">
        <v>3397</v>
      </c>
      <c r="B6834" t="s">
        <v>5259</v>
      </c>
      <c r="C6834" t="s">
        <v>5487</v>
      </c>
      <c r="D6834" t="s">
        <v>4119</v>
      </c>
      <c r="E6834" t="s">
        <v>5532</v>
      </c>
      <c r="F6834" t="s">
        <v>25681</v>
      </c>
      <c r="G6834" t="s">
        <v>19821</v>
      </c>
      <c r="H6834" t="s">
        <v>5474</v>
      </c>
      <c r="I6834" t="s">
        <v>25682</v>
      </c>
      <c r="J6834" t="s">
        <v>5476</v>
      </c>
      <c r="K6834" t="s">
        <v>25683</v>
      </c>
      <c r="L6834" t="s">
        <v>5471</v>
      </c>
      <c r="M6834" t="s">
        <v>5471</v>
      </c>
    </row>
    <row r="6835" spans="1:13" x14ac:dyDescent="0.3">
      <c r="A6835" t="s">
        <v>3388</v>
      </c>
      <c r="B6835" t="s">
        <v>25684</v>
      </c>
      <c r="C6835" t="s">
        <v>5470</v>
      </c>
      <c r="D6835" t="s">
        <v>4119</v>
      </c>
      <c r="E6835" t="s">
        <v>5532</v>
      </c>
      <c r="F6835" t="s">
        <v>25685</v>
      </c>
      <c r="G6835" t="s">
        <v>25686</v>
      </c>
      <c r="H6835" t="s">
        <v>5474</v>
      </c>
      <c r="I6835" t="s">
        <v>25687</v>
      </c>
      <c r="J6835" t="s">
        <v>5476</v>
      </c>
      <c r="K6835" t="s">
        <v>5471</v>
      </c>
      <c r="L6835" t="s">
        <v>5471</v>
      </c>
      <c r="M6835" t="s">
        <v>5471</v>
      </c>
    </row>
    <row r="6836" spans="1:13" x14ac:dyDescent="0.3">
      <c r="A6836" t="s">
        <v>3397</v>
      </c>
      <c r="B6836" t="s">
        <v>5259</v>
      </c>
      <c r="C6836" t="s">
        <v>5487</v>
      </c>
      <c r="D6836" t="s">
        <v>4119</v>
      </c>
      <c r="E6836" t="s">
        <v>5617</v>
      </c>
      <c r="F6836" t="s">
        <v>25688</v>
      </c>
      <c r="G6836" t="s">
        <v>25672</v>
      </c>
      <c r="H6836" t="s">
        <v>5474</v>
      </c>
      <c r="I6836" t="s">
        <v>25689</v>
      </c>
      <c r="J6836" t="s">
        <v>5476</v>
      </c>
      <c r="K6836" t="s">
        <v>25690</v>
      </c>
      <c r="L6836" t="s">
        <v>5471</v>
      </c>
      <c r="M6836" t="s">
        <v>5471</v>
      </c>
    </row>
    <row r="6837" spans="1:13" x14ac:dyDescent="0.3">
      <c r="A6837" t="s">
        <v>3388</v>
      </c>
      <c r="B6837" t="s">
        <v>19343</v>
      </c>
      <c r="C6837" t="s">
        <v>5470</v>
      </c>
      <c r="D6837" t="s">
        <v>4119</v>
      </c>
      <c r="E6837" t="s">
        <v>5532</v>
      </c>
      <c r="F6837" t="s">
        <v>25691</v>
      </c>
      <c r="G6837" t="s">
        <v>25059</v>
      </c>
      <c r="H6837" t="s">
        <v>5474</v>
      </c>
      <c r="I6837" t="s">
        <v>25692</v>
      </c>
      <c r="J6837" t="s">
        <v>5476</v>
      </c>
      <c r="K6837" t="s">
        <v>25693</v>
      </c>
      <c r="L6837" t="s">
        <v>5471</v>
      </c>
      <c r="M6837" t="s">
        <v>5471</v>
      </c>
    </row>
    <row r="6838" spans="1:13" x14ac:dyDescent="0.3">
      <c r="A6838" t="s">
        <v>3397</v>
      </c>
      <c r="B6838" t="s">
        <v>5259</v>
      </c>
      <c r="C6838" t="s">
        <v>5487</v>
      </c>
      <c r="D6838" t="s">
        <v>4119</v>
      </c>
      <c r="E6838" t="s">
        <v>5617</v>
      </c>
      <c r="F6838" t="s">
        <v>25694</v>
      </c>
      <c r="G6838" t="s">
        <v>5690</v>
      </c>
      <c r="H6838" t="s">
        <v>5474</v>
      </c>
      <c r="I6838" t="s">
        <v>25695</v>
      </c>
      <c r="J6838" t="s">
        <v>5476</v>
      </c>
      <c r="K6838" t="s">
        <v>25696</v>
      </c>
      <c r="L6838" t="s">
        <v>5471</v>
      </c>
      <c r="M6838" t="s">
        <v>5471</v>
      </c>
    </row>
    <row r="6839" spans="1:13" x14ac:dyDescent="0.3">
      <c r="A6839" t="s">
        <v>3388</v>
      </c>
      <c r="B6839" t="s">
        <v>15942</v>
      </c>
      <c r="C6839" t="s">
        <v>5470</v>
      </c>
      <c r="D6839" t="s">
        <v>4119</v>
      </c>
      <c r="E6839" t="s">
        <v>5756</v>
      </c>
      <c r="F6839" t="s">
        <v>25697</v>
      </c>
      <c r="G6839" t="s">
        <v>15968</v>
      </c>
      <c r="H6839" t="s">
        <v>5474</v>
      </c>
      <c r="I6839" t="s">
        <v>25698</v>
      </c>
      <c r="J6839" t="s">
        <v>5476</v>
      </c>
      <c r="K6839" t="s">
        <v>25699</v>
      </c>
      <c r="L6839" t="s">
        <v>5471</v>
      </c>
      <c r="M6839" t="s">
        <v>5471</v>
      </c>
    </row>
    <row r="6840" spans="1:13" x14ac:dyDescent="0.3">
      <c r="A6840" t="s">
        <v>3397</v>
      </c>
      <c r="B6840" t="s">
        <v>5259</v>
      </c>
      <c r="C6840" t="s">
        <v>5487</v>
      </c>
      <c r="D6840" t="s">
        <v>4119</v>
      </c>
      <c r="E6840" t="s">
        <v>5532</v>
      </c>
      <c r="F6840" t="s">
        <v>15374</v>
      </c>
      <c r="G6840" t="s">
        <v>5690</v>
      </c>
      <c r="H6840" t="s">
        <v>5474</v>
      </c>
      <c r="I6840" t="s">
        <v>25700</v>
      </c>
      <c r="J6840" t="s">
        <v>5476</v>
      </c>
      <c r="K6840" t="s">
        <v>14238</v>
      </c>
      <c r="L6840" t="s">
        <v>5471</v>
      </c>
      <c r="M6840" t="s">
        <v>5471</v>
      </c>
    </row>
    <row r="6841" spans="1:13" x14ac:dyDescent="0.3">
      <c r="A6841" t="s">
        <v>3397</v>
      </c>
      <c r="B6841" t="s">
        <v>15323</v>
      </c>
      <c r="C6841" t="s">
        <v>5487</v>
      </c>
      <c r="D6841" t="s">
        <v>4119</v>
      </c>
      <c r="E6841" t="s">
        <v>5532</v>
      </c>
      <c r="F6841" t="s">
        <v>25701</v>
      </c>
      <c r="G6841" t="s">
        <v>15338</v>
      </c>
      <c r="H6841" t="s">
        <v>5474</v>
      </c>
      <c r="I6841" t="s">
        <v>25702</v>
      </c>
      <c r="J6841" t="s">
        <v>5476</v>
      </c>
      <c r="K6841" t="s">
        <v>14202</v>
      </c>
      <c r="L6841" t="s">
        <v>5471</v>
      </c>
      <c r="M6841" t="s">
        <v>5471</v>
      </c>
    </row>
    <row r="6842" spans="1:13" x14ac:dyDescent="0.3">
      <c r="A6842" t="s">
        <v>3397</v>
      </c>
      <c r="B6842" t="s">
        <v>15323</v>
      </c>
      <c r="C6842" t="s">
        <v>5487</v>
      </c>
      <c r="D6842" t="s">
        <v>4119</v>
      </c>
      <c r="E6842" t="s">
        <v>5532</v>
      </c>
      <c r="F6842" t="s">
        <v>25703</v>
      </c>
      <c r="G6842" t="s">
        <v>15338</v>
      </c>
      <c r="H6842" t="s">
        <v>5474</v>
      </c>
      <c r="I6842" t="s">
        <v>25704</v>
      </c>
      <c r="J6842" t="s">
        <v>5476</v>
      </c>
      <c r="K6842" t="s">
        <v>25705</v>
      </c>
      <c r="L6842" t="s">
        <v>5471</v>
      </c>
      <c r="M6842" t="s">
        <v>5471</v>
      </c>
    </row>
    <row r="6843" spans="1:13" x14ac:dyDescent="0.3">
      <c r="A6843" t="s">
        <v>3397</v>
      </c>
      <c r="B6843" t="s">
        <v>15323</v>
      </c>
      <c r="C6843" t="s">
        <v>5487</v>
      </c>
      <c r="D6843" t="s">
        <v>4119</v>
      </c>
      <c r="E6843" t="s">
        <v>5532</v>
      </c>
      <c r="F6843" t="s">
        <v>25706</v>
      </c>
      <c r="G6843" t="s">
        <v>15338</v>
      </c>
      <c r="H6843" t="s">
        <v>5474</v>
      </c>
      <c r="I6843" t="s">
        <v>25707</v>
      </c>
      <c r="J6843" t="s">
        <v>5476</v>
      </c>
      <c r="K6843" t="s">
        <v>25708</v>
      </c>
      <c r="L6843" t="s">
        <v>5471</v>
      </c>
      <c r="M6843" t="s">
        <v>5471</v>
      </c>
    </row>
    <row r="6844" spans="1:13" x14ac:dyDescent="0.3">
      <c r="A6844" t="s">
        <v>3397</v>
      </c>
      <c r="B6844" t="s">
        <v>15323</v>
      </c>
      <c r="C6844" t="s">
        <v>5487</v>
      </c>
      <c r="D6844" t="s">
        <v>4119</v>
      </c>
      <c r="E6844" t="s">
        <v>5532</v>
      </c>
      <c r="F6844" t="s">
        <v>25709</v>
      </c>
      <c r="G6844" t="s">
        <v>15338</v>
      </c>
      <c r="H6844" t="s">
        <v>5474</v>
      </c>
      <c r="I6844" t="s">
        <v>25710</v>
      </c>
      <c r="J6844" t="s">
        <v>5476</v>
      </c>
      <c r="K6844" t="s">
        <v>25711</v>
      </c>
      <c r="L6844" t="s">
        <v>5471</v>
      </c>
      <c r="M6844" t="s">
        <v>5471</v>
      </c>
    </row>
    <row r="6845" spans="1:13" x14ac:dyDescent="0.3">
      <c r="A6845" t="s">
        <v>3397</v>
      </c>
      <c r="B6845" t="s">
        <v>15323</v>
      </c>
      <c r="C6845" t="s">
        <v>5487</v>
      </c>
      <c r="D6845" t="s">
        <v>4119</v>
      </c>
      <c r="E6845" t="s">
        <v>5532</v>
      </c>
      <c r="F6845" t="s">
        <v>25712</v>
      </c>
      <c r="G6845" t="s">
        <v>15338</v>
      </c>
      <c r="H6845" t="s">
        <v>5474</v>
      </c>
      <c r="I6845" t="s">
        <v>25713</v>
      </c>
      <c r="J6845" t="s">
        <v>5476</v>
      </c>
      <c r="K6845" t="s">
        <v>25714</v>
      </c>
      <c r="L6845" t="s">
        <v>5471</v>
      </c>
      <c r="M6845" t="s">
        <v>5471</v>
      </c>
    </row>
    <row r="6846" spans="1:13" x14ac:dyDescent="0.3">
      <c r="A6846" t="s">
        <v>3397</v>
      </c>
      <c r="B6846" t="s">
        <v>15323</v>
      </c>
      <c r="C6846" t="s">
        <v>5487</v>
      </c>
      <c r="D6846" t="s">
        <v>4119</v>
      </c>
      <c r="E6846" t="s">
        <v>5532</v>
      </c>
      <c r="F6846" t="s">
        <v>25715</v>
      </c>
      <c r="G6846" t="s">
        <v>15338</v>
      </c>
      <c r="H6846" t="s">
        <v>5474</v>
      </c>
      <c r="I6846" t="s">
        <v>25716</v>
      </c>
      <c r="J6846" t="s">
        <v>5476</v>
      </c>
      <c r="K6846" t="s">
        <v>14013</v>
      </c>
      <c r="L6846" t="s">
        <v>5471</v>
      </c>
      <c r="M6846" t="s">
        <v>5471</v>
      </c>
    </row>
    <row r="6847" spans="1:13" x14ac:dyDescent="0.3">
      <c r="A6847" t="s">
        <v>3397</v>
      </c>
      <c r="B6847" t="s">
        <v>15323</v>
      </c>
      <c r="C6847" t="s">
        <v>5487</v>
      </c>
      <c r="D6847" t="s">
        <v>4119</v>
      </c>
      <c r="E6847" t="s">
        <v>5532</v>
      </c>
      <c r="F6847" t="s">
        <v>25717</v>
      </c>
      <c r="G6847" t="s">
        <v>15338</v>
      </c>
      <c r="H6847" t="s">
        <v>5474</v>
      </c>
      <c r="I6847" t="s">
        <v>25718</v>
      </c>
      <c r="J6847" t="s">
        <v>5476</v>
      </c>
      <c r="K6847" t="s">
        <v>14019</v>
      </c>
      <c r="L6847" t="s">
        <v>5471</v>
      </c>
      <c r="M6847" t="s">
        <v>5471</v>
      </c>
    </row>
    <row r="6848" spans="1:13" x14ac:dyDescent="0.3">
      <c r="A6848" t="s">
        <v>3397</v>
      </c>
      <c r="B6848" t="s">
        <v>15323</v>
      </c>
      <c r="C6848" t="s">
        <v>5487</v>
      </c>
      <c r="D6848" t="s">
        <v>4119</v>
      </c>
      <c r="E6848" t="s">
        <v>5532</v>
      </c>
      <c r="F6848" t="s">
        <v>25719</v>
      </c>
      <c r="G6848" t="s">
        <v>15338</v>
      </c>
      <c r="H6848" t="s">
        <v>5474</v>
      </c>
      <c r="I6848" t="s">
        <v>25720</v>
      </c>
      <c r="J6848" t="s">
        <v>5476</v>
      </c>
      <c r="K6848" t="s">
        <v>25721</v>
      </c>
      <c r="L6848" t="s">
        <v>5471</v>
      </c>
      <c r="M6848" t="s">
        <v>5471</v>
      </c>
    </row>
    <row r="6849" spans="1:13" x14ac:dyDescent="0.3">
      <c r="A6849" t="s">
        <v>3397</v>
      </c>
      <c r="B6849" t="s">
        <v>15323</v>
      </c>
      <c r="C6849" t="s">
        <v>5487</v>
      </c>
      <c r="D6849" t="s">
        <v>4119</v>
      </c>
      <c r="E6849" t="s">
        <v>5532</v>
      </c>
      <c r="F6849" t="s">
        <v>25722</v>
      </c>
      <c r="G6849" t="s">
        <v>15338</v>
      </c>
      <c r="H6849" t="s">
        <v>5474</v>
      </c>
      <c r="I6849" t="s">
        <v>25723</v>
      </c>
      <c r="J6849" t="s">
        <v>5476</v>
      </c>
      <c r="K6849" t="s">
        <v>25724</v>
      </c>
      <c r="L6849" t="s">
        <v>5471</v>
      </c>
      <c r="M6849" t="s">
        <v>5471</v>
      </c>
    </row>
    <row r="6850" spans="1:13" x14ac:dyDescent="0.3">
      <c r="A6850" t="s">
        <v>3397</v>
      </c>
      <c r="B6850" t="s">
        <v>15323</v>
      </c>
      <c r="C6850" t="s">
        <v>5487</v>
      </c>
      <c r="D6850" t="s">
        <v>4119</v>
      </c>
      <c r="E6850" t="s">
        <v>5532</v>
      </c>
      <c r="F6850" t="s">
        <v>25725</v>
      </c>
      <c r="G6850" t="s">
        <v>15338</v>
      </c>
      <c r="H6850" t="s">
        <v>5474</v>
      </c>
      <c r="I6850" t="s">
        <v>25726</v>
      </c>
      <c r="J6850" t="s">
        <v>5476</v>
      </c>
      <c r="K6850" t="s">
        <v>25727</v>
      </c>
      <c r="L6850" t="s">
        <v>5471</v>
      </c>
      <c r="M6850" t="s">
        <v>5471</v>
      </c>
    </row>
    <row r="6851" spans="1:13" x14ac:dyDescent="0.3">
      <c r="A6851" t="s">
        <v>3397</v>
      </c>
      <c r="B6851" t="s">
        <v>15323</v>
      </c>
      <c r="C6851" t="s">
        <v>5487</v>
      </c>
      <c r="D6851" t="s">
        <v>4119</v>
      </c>
      <c r="E6851" t="s">
        <v>5532</v>
      </c>
      <c r="F6851" t="s">
        <v>25728</v>
      </c>
      <c r="G6851" t="s">
        <v>15338</v>
      </c>
      <c r="H6851" t="s">
        <v>5474</v>
      </c>
      <c r="I6851" t="s">
        <v>25729</v>
      </c>
      <c r="J6851" t="s">
        <v>5476</v>
      </c>
      <c r="K6851" t="s">
        <v>25730</v>
      </c>
      <c r="L6851" t="s">
        <v>5471</v>
      </c>
      <c r="M6851" t="s">
        <v>5471</v>
      </c>
    </row>
    <row r="6852" spans="1:13" x14ac:dyDescent="0.3">
      <c r="A6852" t="s">
        <v>3397</v>
      </c>
      <c r="B6852" t="s">
        <v>15323</v>
      </c>
      <c r="C6852" t="s">
        <v>5487</v>
      </c>
      <c r="D6852" t="s">
        <v>4119</v>
      </c>
      <c r="E6852" t="s">
        <v>5532</v>
      </c>
      <c r="F6852" t="s">
        <v>25731</v>
      </c>
      <c r="G6852" t="s">
        <v>15338</v>
      </c>
      <c r="H6852" t="s">
        <v>5474</v>
      </c>
      <c r="I6852" t="s">
        <v>25732</v>
      </c>
      <c r="J6852" t="s">
        <v>5476</v>
      </c>
      <c r="K6852" t="s">
        <v>25733</v>
      </c>
      <c r="L6852" t="s">
        <v>5471</v>
      </c>
      <c r="M6852" t="s">
        <v>5471</v>
      </c>
    </row>
    <row r="6853" spans="1:13" x14ac:dyDescent="0.3">
      <c r="A6853" t="s">
        <v>3397</v>
      </c>
      <c r="B6853" t="s">
        <v>15323</v>
      </c>
      <c r="C6853" t="s">
        <v>5487</v>
      </c>
      <c r="D6853" t="s">
        <v>4119</v>
      </c>
      <c r="E6853" t="s">
        <v>5532</v>
      </c>
      <c r="F6853" t="s">
        <v>25734</v>
      </c>
      <c r="G6853" t="s">
        <v>15338</v>
      </c>
      <c r="H6853" t="s">
        <v>5474</v>
      </c>
      <c r="I6853" t="s">
        <v>25735</v>
      </c>
      <c r="J6853" t="s">
        <v>5476</v>
      </c>
      <c r="K6853" t="s">
        <v>25736</v>
      </c>
      <c r="L6853" t="s">
        <v>5471</v>
      </c>
      <c r="M6853" t="s">
        <v>5471</v>
      </c>
    </row>
    <row r="6854" spans="1:13" x14ac:dyDescent="0.3">
      <c r="A6854" t="s">
        <v>3397</v>
      </c>
      <c r="B6854" t="s">
        <v>15323</v>
      </c>
      <c r="C6854" t="s">
        <v>5487</v>
      </c>
      <c r="D6854" t="s">
        <v>4119</v>
      </c>
      <c r="E6854" t="s">
        <v>5532</v>
      </c>
      <c r="F6854" t="s">
        <v>25737</v>
      </c>
      <c r="G6854" t="s">
        <v>15338</v>
      </c>
      <c r="H6854" t="s">
        <v>5474</v>
      </c>
      <c r="I6854" t="s">
        <v>25738</v>
      </c>
      <c r="J6854" t="s">
        <v>5476</v>
      </c>
      <c r="K6854" t="s">
        <v>25739</v>
      </c>
      <c r="L6854" t="s">
        <v>5471</v>
      </c>
      <c r="M6854" t="s">
        <v>5471</v>
      </c>
    </row>
    <row r="6855" spans="1:13" x14ac:dyDescent="0.3">
      <c r="A6855" t="s">
        <v>3397</v>
      </c>
      <c r="B6855" t="s">
        <v>15323</v>
      </c>
      <c r="C6855" t="s">
        <v>5487</v>
      </c>
      <c r="D6855" t="s">
        <v>4119</v>
      </c>
      <c r="E6855" t="s">
        <v>5532</v>
      </c>
      <c r="F6855" t="s">
        <v>13790</v>
      </c>
      <c r="G6855" t="s">
        <v>15338</v>
      </c>
      <c r="H6855" t="s">
        <v>5474</v>
      </c>
      <c r="I6855" t="s">
        <v>25740</v>
      </c>
      <c r="J6855" t="s">
        <v>5476</v>
      </c>
      <c r="K6855" t="s">
        <v>13792</v>
      </c>
      <c r="L6855" t="s">
        <v>5471</v>
      </c>
      <c r="M6855" t="s">
        <v>5471</v>
      </c>
    </row>
    <row r="6856" spans="1:13" x14ac:dyDescent="0.3">
      <c r="A6856" t="s">
        <v>3397</v>
      </c>
      <c r="B6856" t="s">
        <v>15323</v>
      </c>
      <c r="C6856" t="s">
        <v>5487</v>
      </c>
      <c r="D6856" t="s">
        <v>4119</v>
      </c>
      <c r="E6856" t="s">
        <v>5532</v>
      </c>
      <c r="F6856" t="s">
        <v>25741</v>
      </c>
      <c r="G6856" t="s">
        <v>15338</v>
      </c>
      <c r="H6856" t="s">
        <v>5474</v>
      </c>
      <c r="I6856" t="s">
        <v>25742</v>
      </c>
      <c r="J6856" t="s">
        <v>5476</v>
      </c>
      <c r="K6856" t="s">
        <v>25743</v>
      </c>
      <c r="L6856" t="s">
        <v>5471</v>
      </c>
      <c r="M6856" t="s">
        <v>5471</v>
      </c>
    </row>
    <row r="6857" spans="1:13" x14ac:dyDescent="0.3">
      <c r="A6857" t="s">
        <v>3397</v>
      </c>
      <c r="B6857" t="s">
        <v>15323</v>
      </c>
      <c r="C6857" t="s">
        <v>5487</v>
      </c>
      <c r="D6857" t="s">
        <v>4119</v>
      </c>
      <c r="E6857" t="s">
        <v>5532</v>
      </c>
      <c r="F6857" t="s">
        <v>25744</v>
      </c>
      <c r="G6857" t="s">
        <v>15338</v>
      </c>
      <c r="H6857" t="s">
        <v>5474</v>
      </c>
      <c r="I6857" t="s">
        <v>25745</v>
      </c>
      <c r="J6857" t="s">
        <v>5476</v>
      </c>
      <c r="K6857" t="s">
        <v>25746</v>
      </c>
      <c r="L6857" t="s">
        <v>5471</v>
      </c>
      <c r="M6857" t="s">
        <v>5471</v>
      </c>
    </row>
    <row r="6858" spans="1:13" x14ac:dyDescent="0.3">
      <c r="A6858" t="s">
        <v>3380</v>
      </c>
      <c r="B6858" t="s">
        <v>5337</v>
      </c>
      <c r="C6858" t="s">
        <v>6342</v>
      </c>
      <c r="D6858" t="s">
        <v>4058</v>
      </c>
      <c r="E6858" t="s">
        <v>5532</v>
      </c>
      <c r="F6858" t="s">
        <v>25747</v>
      </c>
      <c r="G6858" t="s">
        <v>25748</v>
      </c>
      <c r="H6858" t="s">
        <v>5474</v>
      </c>
      <c r="I6858" t="s">
        <v>25749</v>
      </c>
      <c r="J6858" t="s">
        <v>5476</v>
      </c>
      <c r="K6858" t="s">
        <v>16242</v>
      </c>
      <c r="L6858" t="s">
        <v>5471</v>
      </c>
      <c r="M6858" t="s">
        <v>5471</v>
      </c>
    </row>
    <row r="6859" spans="1:13" x14ac:dyDescent="0.3">
      <c r="A6859" t="s">
        <v>3383</v>
      </c>
      <c r="B6859" t="s">
        <v>6122</v>
      </c>
      <c r="C6859" t="s">
        <v>5470</v>
      </c>
      <c r="D6859" t="s">
        <v>4056</v>
      </c>
      <c r="E6859" t="s">
        <v>5532</v>
      </c>
      <c r="F6859" t="s">
        <v>25750</v>
      </c>
      <c r="G6859" t="s">
        <v>7144</v>
      </c>
      <c r="H6859" t="s">
        <v>5474</v>
      </c>
      <c r="I6859" t="s">
        <v>25751</v>
      </c>
      <c r="J6859" t="s">
        <v>5476</v>
      </c>
      <c r="K6859" t="s">
        <v>25752</v>
      </c>
      <c r="L6859" t="s">
        <v>5471</v>
      </c>
      <c r="M6859" t="s">
        <v>5471</v>
      </c>
    </row>
    <row r="6860" spans="1:13" x14ac:dyDescent="0.3">
      <c r="A6860" t="s">
        <v>3383</v>
      </c>
      <c r="B6860" t="s">
        <v>6122</v>
      </c>
      <c r="C6860" t="s">
        <v>5470</v>
      </c>
      <c r="D6860" t="s">
        <v>4056</v>
      </c>
      <c r="E6860" t="s">
        <v>5532</v>
      </c>
      <c r="F6860" t="s">
        <v>25753</v>
      </c>
      <c r="G6860" t="s">
        <v>7144</v>
      </c>
      <c r="H6860" t="s">
        <v>5474</v>
      </c>
      <c r="I6860" t="s">
        <v>25754</v>
      </c>
      <c r="J6860" t="s">
        <v>5476</v>
      </c>
      <c r="K6860" t="s">
        <v>25755</v>
      </c>
      <c r="L6860" t="s">
        <v>5471</v>
      </c>
      <c r="M6860" t="s">
        <v>5471</v>
      </c>
    </row>
    <row r="6861" spans="1:13" x14ac:dyDescent="0.3">
      <c r="A6861" t="s">
        <v>3380</v>
      </c>
      <c r="B6861" t="s">
        <v>5337</v>
      </c>
      <c r="C6861" t="s">
        <v>6342</v>
      </c>
      <c r="D6861" t="s">
        <v>4058</v>
      </c>
      <c r="E6861" t="s">
        <v>5532</v>
      </c>
      <c r="F6861" t="s">
        <v>25756</v>
      </c>
      <c r="G6861" t="s">
        <v>25757</v>
      </c>
      <c r="H6861" t="s">
        <v>5474</v>
      </c>
      <c r="I6861" t="s">
        <v>25758</v>
      </c>
      <c r="J6861" t="s">
        <v>5476</v>
      </c>
      <c r="K6861" t="s">
        <v>25759</v>
      </c>
      <c r="L6861" t="s">
        <v>5471</v>
      </c>
      <c r="M6861" t="s">
        <v>5471</v>
      </c>
    </row>
    <row r="6862" spans="1:13" x14ac:dyDescent="0.3">
      <c r="A6862" t="s">
        <v>3383</v>
      </c>
      <c r="B6862" t="s">
        <v>6122</v>
      </c>
      <c r="C6862" t="s">
        <v>5470</v>
      </c>
      <c r="D6862" t="s">
        <v>4056</v>
      </c>
      <c r="E6862" t="s">
        <v>5756</v>
      </c>
      <c r="F6862" t="s">
        <v>25760</v>
      </c>
      <c r="G6862" t="s">
        <v>12004</v>
      </c>
      <c r="H6862" t="s">
        <v>5474</v>
      </c>
      <c r="I6862" t="s">
        <v>25761</v>
      </c>
      <c r="J6862" t="s">
        <v>5476</v>
      </c>
      <c r="K6862" t="s">
        <v>25762</v>
      </c>
      <c r="L6862" t="s">
        <v>5471</v>
      </c>
      <c r="M6862" t="s">
        <v>5471</v>
      </c>
    </row>
    <row r="6863" spans="1:13" x14ac:dyDescent="0.3">
      <c r="A6863" t="s">
        <v>3380</v>
      </c>
      <c r="B6863" t="s">
        <v>5337</v>
      </c>
      <c r="C6863" t="s">
        <v>6342</v>
      </c>
      <c r="D6863" t="s">
        <v>4058</v>
      </c>
      <c r="E6863" t="s">
        <v>5532</v>
      </c>
      <c r="F6863" t="s">
        <v>25763</v>
      </c>
      <c r="G6863" t="s">
        <v>25757</v>
      </c>
      <c r="H6863" t="s">
        <v>5474</v>
      </c>
      <c r="I6863" t="s">
        <v>25764</v>
      </c>
      <c r="J6863" t="s">
        <v>5476</v>
      </c>
      <c r="K6863" t="s">
        <v>25765</v>
      </c>
      <c r="L6863" t="s">
        <v>5471</v>
      </c>
      <c r="M6863" t="s">
        <v>5471</v>
      </c>
    </row>
    <row r="6864" spans="1:13" x14ac:dyDescent="0.3">
      <c r="A6864" t="s">
        <v>3383</v>
      </c>
      <c r="B6864" t="s">
        <v>6122</v>
      </c>
      <c r="C6864" t="s">
        <v>5470</v>
      </c>
      <c r="D6864" t="s">
        <v>4056</v>
      </c>
      <c r="E6864" t="s">
        <v>5756</v>
      </c>
      <c r="F6864" t="s">
        <v>25766</v>
      </c>
      <c r="G6864" t="s">
        <v>12004</v>
      </c>
      <c r="H6864" t="s">
        <v>5474</v>
      </c>
      <c r="I6864" t="s">
        <v>25767</v>
      </c>
      <c r="J6864" t="s">
        <v>5476</v>
      </c>
      <c r="K6864" t="s">
        <v>25768</v>
      </c>
      <c r="L6864" t="s">
        <v>5471</v>
      </c>
      <c r="M6864" t="s">
        <v>5471</v>
      </c>
    </row>
    <row r="6865" spans="1:13" x14ac:dyDescent="0.3">
      <c r="A6865" t="s">
        <v>3380</v>
      </c>
      <c r="B6865" t="s">
        <v>16940</v>
      </c>
      <c r="C6865" t="s">
        <v>6342</v>
      </c>
      <c r="D6865" t="s">
        <v>4119</v>
      </c>
      <c r="E6865" t="s">
        <v>5532</v>
      </c>
      <c r="F6865" t="s">
        <v>25769</v>
      </c>
      <c r="G6865" t="s">
        <v>23638</v>
      </c>
      <c r="H6865" t="s">
        <v>5474</v>
      </c>
      <c r="I6865" t="s">
        <v>25770</v>
      </c>
      <c r="J6865" t="s">
        <v>5476</v>
      </c>
      <c r="K6865" t="s">
        <v>25771</v>
      </c>
      <c r="L6865" t="s">
        <v>5471</v>
      </c>
      <c r="M6865" t="s">
        <v>5471</v>
      </c>
    </row>
    <row r="6866" spans="1:13" x14ac:dyDescent="0.3">
      <c r="A6866" t="s">
        <v>3383</v>
      </c>
      <c r="B6866" t="s">
        <v>6122</v>
      </c>
      <c r="C6866" t="s">
        <v>5470</v>
      </c>
      <c r="D6866" t="s">
        <v>4056</v>
      </c>
      <c r="E6866" t="s">
        <v>5756</v>
      </c>
      <c r="F6866" t="s">
        <v>25772</v>
      </c>
      <c r="G6866" t="s">
        <v>12004</v>
      </c>
      <c r="H6866" t="s">
        <v>5474</v>
      </c>
      <c r="I6866" t="s">
        <v>25773</v>
      </c>
      <c r="J6866" t="s">
        <v>5476</v>
      </c>
      <c r="K6866" t="s">
        <v>25774</v>
      </c>
      <c r="L6866" t="s">
        <v>5471</v>
      </c>
      <c r="M6866" t="s">
        <v>5471</v>
      </c>
    </row>
    <row r="6867" spans="1:13" x14ac:dyDescent="0.3">
      <c r="A6867" t="s">
        <v>3380</v>
      </c>
      <c r="B6867" t="s">
        <v>16940</v>
      </c>
      <c r="C6867" t="s">
        <v>6342</v>
      </c>
      <c r="D6867" t="s">
        <v>4119</v>
      </c>
      <c r="E6867" t="s">
        <v>5532</v>
      </c>
      <c r="F6867" t="s">
        <v>25775</v>
      </c>
      <c r="G6867" t="s">
        <v>25776</v>
      </c>
      <c r="H6867" t="s">
        <v>5474</v>
      </c>
      <c r="I6867" t="s">
        <v>25777</v>
      </c>
      <c r="J6867" t="s">
        <v>5476</v>
      </c>
      <c r="K6867" t="s">
        <v>25771</v>
      </c>
      <c r="L6867" t="s">
        <v>5471</v>
      </c>
      <c r="M6867" t="s">
        <v>5471</v>
      </c>
    </row>
    <row r="6868" spans="1:13" x14ac:dyDescent="0.3">
      <c r="A6868" t="s">
        <v>3380</v>
      </c>
      <c r="B6868" t="s">
        <v>15695</v>
      </c>
      <c r="C6868" t="s">
        <v>6342</v>
      </c>
      <c r="D6868" t="s">
        <v>4119</v>
      </c>
      <c r="E6868" t="s">
        <v>9935</v>
      </c>
      <c r="F6868" t="s">
        <v>25778</v>
      </c>
      <c r="G6868" t="s">
        <v>16081</v>
      </c>
      <c r="H6868" t="s">
        <v>5474</v>
      </c>
      <c r="I6868" t="s">
        <v>25779</v>
      </c>
      <c r="J6868" t="s">
        <v>5476</v>
      </c>
      <c r="K6868" t="s">
        <v>25771</v>
      </c>
      <c r="L6868" t="s">
        <v>5471</v>
      </c>
      <c r="M6868" t="s">
        <v>5471</v>
      </c>
    </row>
    <row r="6869" spans="1:13" x14ac:dyDescent="0.3">
      <c r="A6869" t="s">
        <v>3380</v>
      </c>
      <c r="B6869" t="s">
        <v>15695</v>
      </c>
      <c r="C6869" t="s">
        <v>6342</v>
      </c>
      <c r="D6869" t="s">
        <v>4119</v>
      </c>
      <c r="E6869" t="s">
        <v>9935</v>
      </c>
      <c r="F6869" t="s">
        <v>25780</v>
      </c>
      <c r="G6869" t="s">
        <v>16081</v>
      </c>
      <c r="H6869" t="s">
        <v>5474</v>
      </c>
      <c r="I6869" t="s">
        <v>25781</v>
      </c>
      <c r="J6869" t="s">
        <v>5476</v>
      </c>
      <c r="K6869" t="s">
        <v>25771</v>
      </c>
      <c r="L6869" t="s">
        <v>5471</v>
      </c>
      <c r="M6869" t="s">
        <v>5471</v>
      </c>
    </row>
    <row r="6870" spans="1:13" x14ac:dyDescent="0.3">
      <c r="A6870" t="s">
        <v>3383</v>
      </c>
      <c r="B6870" t="s">
        <v>8875</v>
      </c>
      <c r="C6870" t="s">
        <v>5470</v>
      </c>
      <c r="D6870" t="s">
        <v>4056</v>
      </c>
      <c r="E6870" t="s">
        <v>5532</v>
      </c>
      <c r="F6870" t="s">
        <v>25782</v>
      </c>
      <c r="G6870" t="s">
        <v>12131</v>
      </c>
      <c r="H6870" t="s">
        <v>5474</v>
      </c>
      <c r="I6870" t="s">
        <v>25783</v>
      </c>
      <c r="J6870" t="s">
        <v>5476</v>
      </c>
      <c r="K6870" t="s">
        <v>25784</v>
      </c>
      <c r="L6870" t="s">
        <v>5471</v>
      </c>
      <c r="M6870" t="s">
        <v>5471</v>
      </c>
    </row>
    <row r="6871" spans="1:13" x14ac:dyDescent="0.3">
      <c r="A6871" t="s">
        <v>3380</v>
      </c>
      <c r="B6871" t="s">
        <v>15695</v>
      </c>
      <c r="C6871" t="s">
        <v>6342</v>
      </c>
      <c r="D6871" t="s">
        <v>4119</v>
      </c>
      <c r="E6871" t="s">
        <v>9935</v>
      </c>
      <c r="F6871" t="s">
        <v>25785</v>
      </c>
      <c r="G6871" t="s">
        <v>16081</v>
      </c>
      <c r="H6871" t="s">
        <v>5474</v>
      </c>
      <c r="I6871" t="s">
        <v>25786</v>
      </c>
      <c r="J6871" t="s">
        <v>5476</v>
      </c>
      <c r="K6871" t="s">
        <v>25771</v>
      </c>
      <c r="L6871" t="s">
        <v>5471</v>
      </c>
      <c r="M6871" t="s">
        <v>5471</v>
      </c>
    </row>
    <row r="6872" spans="1:13" x14ac:dyDescent="0.3">
      <c r="A6872" t="s">
        <v>3380</v>
      </c>
      <c r="B6872" t="s">
        <v>16745</v>
      </c>
      <c r="C6872" t="s">
        <v>6342</v>
      </c>
      <c r="D6872" t="s">
        <v>4119</v>
      </c>
      <c r="E6872" t="s">
        <v>5532</v>
      </c>
      <c r="F6872" t="s">
        <v>25787</v>
      </c>
      <c r="G6872" t="s">
        <v>25788</v>
      </c>
      <c r="H6872" t="s">
        <v>5474</v>
      </c>
      <c r="I6872" t="s">
        <v>25789</v>
      </c>
      <c r="J6872" t="s">
        <v>5476</v>
      </c>
      <c r="K6872" t="s">
        <v>25771</v>
      </c>
      <c r="L6872" t="s">
        <v>5471</v>
      </c>
      <c r="M6872" t="s">
        <v>5471</v>
      </c>
    </row>
    <row r="6873" spans="1:13" x14ac:dyDescent="0.3">
      <c r="A6873" t="s">
        <v>3380</v>
      </c>
      <c r="B6873" t="s">
        <v>16745</v>
      </c>
      <c r="C6873" t="s">
        <v>6342</v>
      </c>
      <c r="D6873" t="s">
        <v>4119</v>
      </c>
      <c r="E6873" t="s">
        <v>5532</v>
      </c>
      <c r="F6873" t="s">
        <v>25790</v>
      </c>
      <c r="G6873" t="s">
        <v>25791</v>
      </c>
      <c r="H6873" t="s">
        <v>5474</v>
      </c>
      <c r="I6873" t="s">
        <v>25792</v>
      </c>
      <c r="J6873" t="s">
        <v>5476</v>
      </c>
      <c r="K6873" t="s">
        <v>25771</v>
      </c>
      <c r="L6873" t="s">
        <v>5471</v>
      </c>
      <c r="M6873" t="s">
        <v>5471</v>
      </c>
    </row>
    <row r="6874" spans="1:13" x14ac:dyDescent="0.3">
      <c r="A6874" t="s">
        <v>3380</v>
      </c>
      <c r="B6874" t="s">
        <v>16745</v>
      </c>
      <c r="C6874" t="s">
        <v>6342</v>
      </c>
      <c r="D6874" t="s">
        <v>4119</v>
      </c>
      <c r="E6874" t="s">
        <v>9935</v>
      </c>
      <c r="F6874" t="s">
        <v>25793</v>
      </c>
      <c r="G6874" t="s">
        <v>16747</v>
      </c>
      <c r="H6874" t="s">
        <v>5474</v>
      </c>
      <c r="I6874" t="s">
        <v>25794</v>
      </c>
      <c r="J6874" t="s">
        <v>5476</v>
      </c>
      <c r="K6874" t="s">
        <v>25795</v>
      </c>
      <c r="L6874" t="s">
        <v>5471</v>
      </c>
      <c r="M6874" t="s">
        <v>5471</v>
      </c>
    </row>
    <row r="6875" spans="1:13" x14ac:dyDescent="0.3">
      <c r="A6875" t="s">
        <v>3383</v>
      </c>
      <c r="B6875" t="s">
        <v>8875</v>
      </c>
      <c r="C6875" t="s">
        <v>5470</v>
      </c>
      <c r="D6875" t="s">
        <v>4056</v>
      </c>
      <c r="E6875" t="s">
        <v>5532</v>
      </c>
      <c r="F6875" t="s">
        <v>25796</v>
      </c>
      <c r="G6875" t="s">
        <v>25797</v>
      </c>
      <c r="H6875" t="s">
        <v>5474</v>
      </c>
      <c r="I6875" t="s">
        <v>25798</v>
      </c>
      <c r="J6875" t="s">
        <v>5476</v>
      </c>
      <c r="K6875" t="s">
        <v>25799</v>
      </c>
      <c r="L6875" t="s">
        <v>5471</v>
      </c>
      <c r="M6875" t="s">
        <v>5471</v>
      </c>
    </row>
    <row r="6876" spans="1:13" x14ac:dyDescent="0.3">
      <c r="A6876" t="s">
        <v>3380</v>
      </c>
      <c r="B6876" t="s">
        <v>16243</v>
      </c>
      <c r="C6876" t="s">
        <v>6342</v>
      </c>
      <c r="D6876" t="s">
        <v>4119</v>
      </c>
      <c r="E6876" t="s">
        <v>5532</v>
      </c>
      <c r="F6876" t="s">
        <v>25800</v>
      </c>
      <c r="G6876" t="s">
        <v>16245</v>
      </c>
      <c r="H6876" t="s">
        <v>5474</v>
      </c>
      <c r="I6876" t="s">
        <v>25801</v>
      </c>
      <c r="J6876" t="s">
        <v>5476</v>
      </c>
      <c r="K6876" t="s">
        <v>25795</v>
      </c>
      <c r="L6876" t="s">
        <v>5471</v>
      </c>
      <c r="M6876" t="s">
        <v>5471</v>
      </c>
    </row>
    <row r="6877" spans="1:13" x14ac:dyDescent="0.3">
      <c r="A6877" t="s">
        <v>3380</v>
      </c>
      <c r="B6877" t="s">
        <v>10139</v>
      </c>
      <c r="C6877" t="s">
        <v>6342</v>
      </c>
      <c r="D6877" t="s">
        <v>4119</v>
      </c>
      <c r="E6877" t="s">
        <v>5532</v>
      </c>
      <c r="F6877" t="s">
        <v>25802</v>
      </c>
      <c r="G6877" t="s">
        <v>10139</v>
      </c>
      <c r="H6877" t="s">
        <v>5474</v>
      </c>
      <c r="I6877" t="s">
        <v>25803</v>
      </c>
      <c r="J6877" t="s">
        <v>5476</v>
      </c>
      <c r="K6877" t="s">
        <v>25804</v>
      </c>
      <c r="L6877" t="s">
        <v>5471</v>
      </c>
      <c r="M6877" t="s">
        <v>5471</v>
      </c>
    </row>
    <row r="6878" spans="1:13" x14ac:dyDescent="0.3">
      <c r="A6878" t="s">
        <v>3380</v>
      </c>
      <c r="B6878" t="s">
        <v>25320</v>
      </c>
      <c r="C6878" t="s">
        <v>6342</v>
      </c>
      <c r="D6878" t="s">
        <v>4119</v>
      </c>
      <c r="E6878" t="s">
        <v>9935</v>
      </c>
      <c r="F6878" t="s">
        <v>25805</v>
      </c>
      <c r="G6878" t="s">
        <v>25806</v>
      </c>
      <c r="H6878" t="s">
        <v>5474</v>
      </c>
      <c r="I6878" t="s">
        <v>25807</v>
      </c>
      <c r="J6878" t="s">
        <v>5476</v>
      </c>
      <c r="K6878" t="s">
        <v>25808</v>
      </c>
      <c r="L6878" t="s">
        <v>5471</v>
      </c>
      <c r="M6878" t="s">
        <v>5471</v>
      </c>
    </row>
    <row r="6879" spans="1:13" x14ac:dyDescent="0.3">
      <c r="A6879" t="s">
        <v>3380</v>
      </c>
      <c r="B6879" t="s">
        <v>25809</v>
      </c>
      <c r="C6879" t="s">
        <v>6342</v>
      </c>
      <c r="D6879" t="s">
        <v>4119</v>
      </c>
      <c r="E6879" t="s">
        <v>9935</v>
      </c>
      <c r="F6879" t="s">
        <v>25810</v>
      </c>
      <c r="G6879" t="s">
        <v>25811</v>
      </c>
      <c r="H6879" t="s">
        <v>5474</v>
      </c>
      <c r="I6879" t="s">
        <v>25812</v>
      </c>
      <c r="J6879" t="s">
        <v>5476</v>
      </c>
      <c r="K6879" t="s">
        <v>25813</v>
      </c>
      <c r="L6879" t="s">
        <v>5471</v>
      </c>
      <c r="M6879" t="s">
        <v>5471</v>
      </c>
    </row>
    <row r="6880" spans="1:13" x14ac:dyDescent="0.3">
      <c r="A6880" t="s">
        <v>3380</v>
      </c>
      <c r="B6880" t="s">
        <v>16042</v>
      </c>
      <c r="C6880" t="s">
        <v>6342</v>
      </c>
      <c r="D6880" t="s">
        <v>4119</v>
      </c>
      <c r="E6880" t="s">
        <v>9935</v>
      </c>
      <c r="F6880" t="s">
        <v>25814</v>
      </c>
      <c r="G6880" t="s">
        <v>16042</v>
      </c>
      <c r="H6880" t="s">
        <v>5474</v>
      </c>
      <c r="I6880" t="s">
        <v>25815</v>
      </c>
      <c r="J6880" t="s">
        <v>5476</v>
      </c>
      <c r="K6880" t="s">
        <v>21430</v>
      </c>
      <c r="L6880" t="s">
        <v>5471</v>
      </c>
      <c r="M6880" t="s">
        <v>5471</v>
      </c>
    </row>
    <row r="6881" spans="1:13" x14ac:dyDescent="0.3">
      <c r="A6881" t="s">
        <v>3380</v>
      </c>
      <c r="B6881" t="s">
        <v>16042</v>
      </c>
      <c r="C6881" t="s">
        <v>6342</v>
      </c>
      <c r="D6881" t="s">
        <v>4119</v>
      </c>
      <c r="E6881" t="s">
        <v>9935</v>
      </c>
      <c r="F6881" t="s">
        <v>25816</v>
      </c>
      <c r="G6881" t="s">
        <v>16042</v>
      </c>
      <c r="H6881" t="s">
        <v>5474</v>
      </c>
      <c r="I6881" t="s">
        <v>25817</v>
      </c>
      <c r="J6881" t="s">
        <v>5476</v>
      </c>
      <c r="K6881" t="s">
        <v>21433</v>
      </c>
      <c r="L6881" t="s">
        <v>5471</v>
      </c>
      <c r="M6881" t="s">
        <v>5471</v>
      </c>
    </row>
    <row r="6882" spans="1:13" x14ac:dyDescent="0.3">
      <c r="A6882" t="s">
        <v>3380</v>
      </c>
      <c r="B6882" t="s">
        <v>15695</v>
      </c>
      <c r="C6882" t="s">
        <v>6342</v>
      </c>
      <c r="D6882" t="s">
        <v>4119</v>
      </c>
      <c r="E6882" t="s">
        <v>9935</v>
      </c>
      <c r="F6882" t="s">
        <v>25818</v>
      </c>
      <c r="G6882" t="s">
        <v>16813</v>
      </c>
      <c r="H6882" t="s">
        <v>5474</v>
      </c>
      <c r="I6882" t="s">
        <v>25819</v>
      </c>
      <c r="J6882" t="s">
        <v>5476</v>
      </c>
      <c r="K6882" t="s">
        <v>25820</v>
      </c>
      <c r="L6882" t="s">
        <v>5471</v>
      </c>
      <c r="M6882" t="s">
        <v>5471</v>
      </c>
    </row>
    <row r="6883" spans="1:13" x14ac:dyDescent="0.3">
      <c r="A6883" t="s">
        <v>3380</v>
      </c>
      <c r="B6883" t="s">
        <v>11666</v>
      </c>
      <c r="C6883" t="s">
        <v>6342</v>
      </c>
      <c r="D6883" t="s">
        <v>4119</v>
      </c>
      <c r="E6883" t="s">
        <v>9935</v>
      </c>
      <c r="F6883" t="s">
        <v>25821</v>
      </c>
      <c r="G6883" t="s">
        <v>11666</v>
      </c>
      <c r="H6883" t="s">
        <v>5474</v>
      </c>
      <c r="I6883" t="s">
        <v>25822</v>
      </c>
      <c r="J6883" t="s">
        <v>5476</v>
      </c>
      <c r="K6883" t="s">
        <v>21430</v>
      </c>
      <c r="L6883" t="s">
        <v>5471</v>
      </c>
      <c r="M6883" t="s">
        <v>5471</v>
      </c>
    </row>
    <row r="6884" spans="1:13" x14ac:dyDescent="0.3">
      <c r="A6884" t="s">
        <v>3397</v>
      </c>
      <c r="B6884" t="s">
        <v>5255</v>
      </c>
      <c r="C6884" t="s">
        <v>5487</v>
      </c>
      <c r="D6884" t="s">
        <v>4119</v>
      </c>
      <c r="E6884" t="s">
        <v>5595</v>
      </c>
      <c r="F6884" t="s">
        <v>25823</v>
      </c>
      <c r="G6884" t="s">
        <v>24718</v>
      </c>
      <c r="H6884" t="s">
        <v>5474</v>
      </c>
      <c r="I6884" t="s">
        <v>25824</v>
      </c>
      <c r="J6884" t="s">
        <v>5476</v>
      </c>
      <c r="K6884" t="s">
        <v>25825</v>
      </c>
      <c r="L6884" t="s">
        <v>5471</v>
      </c>
      <c r="M6884" t="s">
        <v>5471</v>
      </c>
    </row>
    <row r="6885" spans="1:13" x14ac:dyDescent="0.3">
      <c r="A6885" t="s">
        <v>3380</v>
      </c>
      <c r="B6885" t="s">
        <v>11666</v>
      </c>
      <c r="C6885" t="s">
        <v>6342</v>
      </c>
      <c r="D6885" t="s">
        <v>4119</v>
      </c>
      <c r="E6885" t="s">
        <v>9935</v>
      </c>
      <c r="F6885" t="s">
        <v>25826</v>
      </c>
      <c r="G6885" t="s">
        <v>11666</v>
      </c>
      <c r="H6885" t="s">
        <v>5474</v>
      </c>
      <c r="I6885" t="s">
        <v>25827</v>
      </c>
      <c r="J6885" t="s">
        <v>5476</v>
      </c>
      <c r="K6885" t="s">
        <v>21433</v>
      </c>
      <c r="L6885" t="s">
        <v>5471</v>
      </c>
      <c r="M6885" t="s">
        <v>5471</v>
      </c>
    </row>
    <row r="6886" spans="1:13" x14ac:dyDescent="0.3">
      <c r="A6886" t="s">
        <v>3380</v>
      </c>
      <c r="B6886" t="s">
        <v>5249</v>
      </c>
      <c r="C6886" t="s">
        <v>6342</v>
      </c>
      <c r="D6886" t="s">
        <v>4052</v>
      </c>
      <c r="E6886" t="s">
        <v>5532</v>
      </c>
      <c r="F6886" t="s">
        <v>25828</v>
      </c>
      <c r="G6886" t="s">
        <v>17261</v>
      </c>
      <c r="H6886" t="s">
        <v>5474</v>
      </c>
      <c r="I6886" t="s">
        <v>25829</v>
      </c>
      <c r="J6886" t="s">
        <v>5476</v>
      </c>
      <c r="K6886" t="s">
        <v>25830</v>
      </c>
      <c r="L6886" t="s">
        <v>5471</v>
      </c>
      <c r="M6886" t="s">
        <v>5471</v>
      </c>
    </row>
    <row r="6887" spans="1:13" x14ac:dyDescent="0.3">
      <c r="A6887" t="s">
        <v>3380</v>
      </c>
      <c r="B6887" t="s">
        <v>16745</v>
      </c>
      <c r="C6887" t="s">
        <v>6342</v>
      </c>
      <c r="D6887" t="s">
        <v>4052</v>
      </c>
      <c r="E6887" t="s">
        <v>5843</v>
      </c>
      <c r="F6887" t="s">
        <v>25831</v>
      </c>
      <c r="G6887" t="s">
        <v>16747</v>
      </c>
      <c r="H6887" t="s">
        <v>5474</v>
      </c>
      <c r="I6887" t="s">
        <v>25832</v>
      </c>
      <c r="J6887" t="s">
        <v>5476</v>
      </c>
      <c r="K6887" t="s">
        <v>25833</v>
      </c>
      <c r="L6887" t="s">
        <v>5471</v>
      </c>
      <c r="M6887" t="s">
        <v>5471</v>
      </c>
    </row>
    <row r="6888" spans="1:13" x14ac:dyDescent="0.3">
      <c r="A6888" t="s">
        <v>3380</v>
      </c>
      <c r="B6888" t="s">
        <v>15592</v>
      </c>
      <c r="C6888" t="s">
        <v>5487</v>
      </c>
      <c r="D6888" t="s">
        <v>4119</v>
      </c>
      <c r="E6888" t="s">
        <v>5843</v>
      </c>
      <c r="F6888" t="s">
        <v>25834</v>
      </c>
      <c r="G6888" t="s">
        <v>16418</v>
      </c>
      <c r="H6888" t="s">
        <v>5474</v>
      </c>
      <c r="I6888" t="s">
        <v>25835</v>
      </c>
      <c r="J6888" t="s">
        <v>5476</v>
      </c>
      <c r="K6888" t="s">
        <v>25110</v>
      </c>
      <c r="L6888" t="s">
        <v>5471</v>
      </c>
      <c r="M6888" t="s">
        <v>5471</v>
      </c>
    </row>
    <row r="6889" spans="1:13" x14ac:dyDescent="0.3">
      <c r="A6889" t="s">
        <v>3380</v>
      </c>
      <c r="B6889" t="s">
        <v>16934</v>
      </c>
      <c r="C6889" t="s">
        <v>5487</v>
      </c>
      <c r="D6889" t="s">
        <v>4119</v>
      </c>
      <c r="E6889" t="s">
        <v>5532</v>
      </c>
      <c r="F6889" t="s">
        <v>25836</v>
      </c>
      <c r="G6889" t="s">
        <v>16936</v>
      </c>
      <c r="H6889" t="s">
        <v>5474</v>
      </c>
      <c r="I6889" t="s">
        <v>25837</v>
      </c>
      <c r="J6889" t="s">
        <v>5484</v>
      </c>
      <c r="K6889" t="s">
        <v>25110</v>
      </c>
      <c r="L6889" t="s">
        <v>5471</v>
      </c>
      <c r="M6889" t="s">
        <v>5471</v>
      </c>
    </row>
    <row r="6890" spans="1:13" x14ac:dyDescent="0.3">
      <c r="A6890" t="s">
        <v>3380</v>
      </c>
      <c r="B6890" t="s">
        <v>10142</v>
      </c>
      <c r="C6890" t="s">
        <v>6342</v>
      </c>
      <c r="D6890" t="s">
        <v>4119</v>
      </c>
      <c r="E6890" t="s">
        <v>5532</v>
      </c>
      <c r="F6890" t="s">
        <v>25838</v>
      </c>
      <c r="G6890" t="s">
        <v>10142</v>
      </c>
      <c r="H6890" t="s">
        <v>5474</v>
      </c>
      <c r="I6890" t="s">
        <v>25839</v>
      </c>
      <c r="J6890" t="s">
        <v>5476</v>
      </c>
      <c r="K6890" t="s">
        <v>19267</v>
      </c>
      <c r="L6890" t="s">
        <v>5471</v>
      </c>
      <c r="M6890" t="s">
        <v>5471</v>
      </c>
    </row>
    <row r="6891" spans="1:13" x14ac:dyDescent="0.3">
      <c r="A6891" t="s">
        <v>3397</v>
      </c>
      <c r="B6891" t="s">
        <v>5255</v>
      </c>
      <c r="C6891" t="s">
        <v>5487</v>
      </c>
      <c r="D6891" t="s">
        <v>4119</v>
      </c>
      <c r="E6891" t="s">
        <v>5595</v>
      </c>
      <c r="F6891" t="s">
        <v>25840</v>
      </c>
      <c r="G6891" t="s">
        <v>24725</v>
      </c>
      <c r="H6891" t="s">
        <v>5474</v>
      </c>
      <c r="I6891" t="s">
        <v>25841</v>
      </c>
      <c r="J6891" t="s">
        <v>5476</v>
      </c>
      <c r="K6891" t="s">
        <v>25842</v>
      </c>
      <c r="L6891" t="s">
        <v>5471</v>
      </c>
      <c r="M6891" t="s">
        <v>5471</v>
      </c>
    </row>
    <row r="6892" spans="1:13" x14ac:dyDescent="0.3">
      <c r="A6892" t="s">
        <v>3397</v>
      </c>
      <c r="B6892" t="s">
        <v>5255</v>
      </c>
      <c r="C6892" t="s">
        <v>5487</v>
      </c>
      <c r="D6892" t="s">
        <v>4119</v>
      </c>
      <c r="E6892" t="s">
        <v>5595</v>
      </c>
      <c r="F6892" t="s">
        <v>25843</v>
      </c>
      <c r="G6892" t="s">
        <v>24732</v>
      </c>
      <c r="H6892" t="s">
        <v>5474</v>
      </c>
      <c r="I6892" t="s">
        <v>25844</v>
      </c>
      <c r="J6892" t="s">
        <v>5476</v>
      </c>
      <c r="K6892" t="s">
        <v>25845</v>
      </c>
      <c r="L6892" t="s">
        <v>5471</v>
      </c>
      <c r="M6892" t="s">
        <v>5471</v>
      </c>
    </row>
    <row r="6893" spans="1:13" x14ac:dyDescent="0.3">
      <c r="A6893" t="s">
        <v>3397</v>
      </c>
      <c r="B6893" t="s">
        <v>5255</v>
      </c>
      <c r="C6893" t="s">
        <v>5487</v>
      </c>
      <c r="D6893" t="s">
        <v>4119</v>
      </c>
      <c r="E6893" t="s">
        <v>5595</v>
      </c>
      <c r="F6893" t="s">
        <v>25846</v>
      </c>
      <c r="G6893" t="s">
        <v>11483</v>
      </c>
      <c r="H6893" t="s">
        <v>5474</v>
      </c>
      <c r="I6893" t="s">
        <v>25847</v>
      </c>
      <c r="J6893" t="s">
        <v>5476</v>
      </c>
      <c r="K6893" t="s">
        <v>25848</v>
      </c>
      <c r="L6893" t="s">
        <v>5471</v>
      </c>
      <c r="M6893" t="s">
        <v>5471</v>
      </c>
    </row>
    <row r="6894" spans="1:13" x14ac:dyDescent="0.3">
      <c r="A6894" t="s">
        <v>3380</v>
      </c>
      <c r="B6894" t="s">
        <v>25748</v>
      </c>
      <c r="C6894" t="s">
        <v>6342</v>
      </c>
      <c r="D6894" t="s">
        <v>4119</v>
      </c>
      <c r="E6894" t="s">
        <v>5532</v>
      </c>
      <c r="F6894" t="s">
        <v>25849</v>
      </c>
      <c r="G6894" t="s">
        <v>25748</v>
      </c>
      <c r="H6894" t="s">
        <v>5474</v>
      </c>
      <c r="I6894" t="s">
        <v>25850</v>
      </c>
      <c r="J6894" t="s">
        <v>5476</v>
      </c>
      <c r="K6894" t="s">
        <v>19267</v>
      </c>
      <c r="L6894" t="s">
        <v>5471</v>
      </c>
      <c r="M6894" t="s">
        <v>5471</v>
      </c>
    </row>
    <row r="6895" spans="1:13" x14ac:dyDescent="0.3">
      <c r="A6895" t="s">
        <v>3397</v>
      </c>
      <c r="B6895" t="s">
        <v>5255</v>
      </c>
      <c r="C6895" t="s">
        <v>5487</v>
      </c>
      <c r="D6895" t="s">
        <v>4119</v>
      </c>
      <c r="E6895" t="s">
        <v>5595</v>
      </c>
      <c r="F6895" t="s">
        <v>25851</v>
      </c>
      <c r="G6895" t="s">
        <v>24463</v>
      </c>
      <c r="H6895" t="s">
        <v>5474</v>
      </c>
      <c r="I6895" t="s">
        <v>25852</v>
      </c>
      <c r="J6895" t="s">
        <v>5476</v>
      </c>
      <c r="K6895" t="s">
        <v>25853</v>
      </c>
      <c r="L6895" t="s">
        <v>5471</v>
      </c>
      <c r="M6895" t="s">
        <v>5471</v>
      </c>
    </row>
    <row r="6896" spans="1:13" x14ac:dyDescent="0.3">
      <c r="A6896" t="s">
        <v>3380</v>
      </c>
      <c r="B6896" t="s">
        <v>10142</v>
      </c>
      <c r="C6896" t="s">
        <v>6342</v>
      </c>
      <c r="D6896" t="s">
        <v>4119</v>
      </c>
      <c r="E6896" t="s">
        <v>5532</v>
      </c>
      <c r="F6896" t="s">
        <v>25854</v>
      </c>
      <c r="G6896" t="s">
        <v>10142</v>
      </c>
      <c r="H6896" t="s">
        <v>5474</v>
      </c>
      <c r="I6896" t="s">
        <v>25855</v>
      </c>
      <c r="J6896" t="s">
        <v>5476</v>
      </c>
      <c r="K6896" t="s">
        <v>21433</v>
      </c>
      <c r="L6896" t="s">
        <v>5471</v>
      </c>
      <c r="M6896" t="s">
        <v>5471</v>
      </c>
    </row>
    <row r="6897" spans="1:13" x14ac:dyDescent="0.3">
      <c r="A6897" t="s">
        <v>3397</v>
      </c>
      <c r="B6897" t="s">
        <v>5255</v>
      </c>
      <c r="C6897" t="s">
        <v>5487</v>
      </c>
      <c r="D6897" t="s">
        <v>4119</v>
      </c>
      <c r="E6897" t="s">
        <v>5532</v>
      </c>
      <c r="F6897" t="s">
        <v>25856</v>
      </c>
      <c r="G6897" t="s">
        <v>24707</v>
      </c>
      <c r="H6897" t="s">
        <v>5474</v>
      </c>
      <c r="I6897" t="s">
        <v>25857</v>
      </c>
      <c r="J6897" t="s">
        <v>5476</v>
      </c>
      <c r="K6897" t="s">
        <v>25858</v>
      </c>
      <c r="L6897" t="s">
        <v>5471</v>
      </c>
      <c r="M6897" t="s">
        <v>5471</v>
      </c>
    </row>
    <row r="6898" spans="1:13" x14ac:dyDescent="0.3">
      <c r="A6898" t="s">
        <v>3380</v>
      </c>
      <c r="B6898" t="s">
        <v>5276</v>
      </c>
      <c r="C6898" t="s">
        <v>6342</v>
      </c>
      <c r="D6898" t="s">
        <v>4052</v>
      </c>
      <c r="E6898" t="s">
        <v>5480</v>
      </c>
      <c r="F6898" t="s">
        <v>25859</v>
      </c>
      <c r="G6898" t="s">
        <v>19896</v>
      </c>
      <c r="H6898" t="s">
        <v>5474</v>
      </c>
      <c r="I6898" t="s">
        <v>25860</v>
      </c>
      <c r="J6898" t="s">
        <v>5476</v>
      </c>
      <c r="K6898" t="s">
        <v>25861</v>
      </c>
      <c r="L6898" t="s">
        <v>5471</v>
      </c>
      <c r="M6898" t="s">
        <v>5471</v>
      </c>
    </row>
    <row r="6899" spans="1:13" x14ac:dyDescent="0.3">
      <c r="A6899" t="s">
        <v>3397</v>
      </c>
      <c r="B6899" t="s">
        <v>5255</v>
      </c>
      <c r="C6899" t="s">
        <v>5487</v>
      </c>
      <c r="D6899" t="s">
        <v>4119</v>
      </c>
      <c r="E6899" t="s">
        <v>5532</v>
      </c>
      <c r="F6899" t="s">
        <v>25862</v>
      </c>
      <c r="G6899" t="s">
        <v>24711</v>
      </c>
      <c r="H6899" t="s">
        <v>5474</v>
      </c>
      <c r="I6899" t="s">
        <v>25863</v>
      </c>
      <c r="J6899" t="s">
        <v>5476</v>
      </c>
      <c r="K6899" t="s">
        <v>25864</v>
      </c>
      <c r="L6899" t="s">
        <v>5471</v>
      </c>
      <c r="M6899" t="s">
        <v>5471</v>
      </c>
    </row>
    <row r="6900" spans="1:13" x14ac:dyDescent="0.3">
      <c r="A6900" t="s">
        <v>3380</v>
      </c>
      <c r="B6900" t="s">
        <v>25748</v>
      </c>
      <c r="C6900" t="s">
        <v>6342</v>
      </c>
      <c r="D6900" t="s">
        <v>4119</v>
      </c>
      <c r="E6900" t="s">
        <v>5532</v>
      </c>
      <c r="F6900" t="s">
        <v>25865</v>
      </c>
      <c r="G6900" t="s">
        <v>25748</v>
      </c>
      <c r="H6900" t="s">
        <v>5474</v>
      </c>
      <c r="I6900" t="s">
        <v>25866</v>
      </c>
      <c r="J6900" t="s">
        <v>5476</v>
      </c>
      <c r="K6900" t="s">
        <v>21433</v>
      </c>
      <c r="L6900" t="s">
        <v>5471</v>
      </c>
      <c r="M6900" t="s">
        <v>5471</v>
      </c>
    </row>
    <row r="6901" spans="1:13" x14ac:dyDescent="0.3">
      <c r="A6901" t="s">
        <v>3380</v>
      </c>
      <c r="B6901" t="s">
        <v>10142</v>
      </c>
      <c r="C6901" t="s">
        <v>6342</v>
      </c>
      <c r="D6901" t="s">
        <v>4119</v>
      </c>
      <c r="E6901" t="s">
        <v>5532</v>
      </c>
      <c r="F6901" t="s">
        <v>25867</v>
      </c>
      <c r="G6901" t="s">
        <v>10142</v>
      </c>
      <c r="H6901" t="s">
        <v>5474</v>
      </c>
      <c r="I6901" t="s">
        <v>25868</v>
      </c>
      <c r="J6901" t="s">
        <v>5476</v>
      </c>
      <c r="K6901" t="s">
        <v>25804</v>
      </c>
      <c r="L6901" t="s">
        <v>5471</v>
      </c>
      <c r="M6901" t="s">
        <v>5471</v>
      </c>
    </row>
    <row r="6902" spans="1:13" x14ac:dyDescent="0.3">
      <c r="A6902" t="s">
        <v>3380</v>
      </c>
      <c r="B6902" t="s">
        <v>11677</v>
      </c>
      <c r="C6902" t="s">
        <v>6342</v>
      </c>
      <c r="D6902" t="s">
        <v>4119</v>
      </c>
      <c r="E6902" t="s">
        <v>5532</v>
      </c>
      <c r="F6902" t="s">
        <v>25869</v>
      </c>
      <c r="G6902" t="s">
        <v>17287</v>
      </c>
      <c r="H6902" t="s">
        <v>5474</v>
      </c>
      <c r="I6902" t="s">
        <v>25870</v>
      </c>
      <c r="J6902" t="s">
        <v>5476</v>
      </c>
      <c r="K6902" t="s">
        <v>10982</v>
      </c>
      <c r="L6902" t="s">
        <v>5471</v>
      </c>
      <c r="M6902" t="s">
        <v>5471</v>
      </c>
    </row>
    <row r="6903" spans="1:13" x14ac:dyDescent="0.3">
      <c r="A6903" t="s">
        <v>3380</v>
      </c>
      <c r="B6903" t="s">
        <v>5276</v>
      </c>
      <c r="C6903" t="s">
        <v>6342</v>
      </c>
      <c r="D6903" t="s">
        <v>4056</v>
      </c>
      <c r="E6903" t="s">
        <v>5480</v>
      </c>
      <c r="F6903" t="s">
        <v>25871</v>
      </c>
      <c r="G6903" t="s">
        <v>19889</v>
      </c>
      <c r="H6903" t="s">
        <v>5474</v>
      </c>
      <c r="I6903" t="s">
        <v>25872</v>
      </c>
      <c r="J6903" t="s">
        <v>5476</v>
      </c>
      <c r="K6903" t="s">
        <v>25873</v>
      </c>
      <c r="L6903" t="s">
        <v>5471</v>
      </c>
      <c r="M6903" t="s">
        <v>5471</v>
      </c>
    </row>
    <row r="6904" spans="1:13" x14ac:dyDescent="0.3">
      <c r="A6904" t="s">
        <v>3397</v>
      </c>
      <c r="B6904" t="s">
        <v>5259</v>
      </c>
      <c r="C6904" t="s">
        <v>5487</v>
      </c>
      <c r="D6904" t="s">
        <v>4119</v>
      </c>
      <c r="E6904" t="s">
        <v>5532</v>
      </c>
      <c r="F6904" t="s">
        <v>25874</v>
      </c>
      <c r="G6904" t="s">
        <v>19821</v>
      </c>
      <c r="H6904" t="s">
        <v>5474</v>
      </c>
      <c r="I6904" t="s">
        <v>25875</v>
      </c>
      <c r="J6904" t="s">
        <v>5476</v>
      </c>
      <c r="K6904" t="s">
        <v>25876</v>
      </c>
      <c r="L6904" t="s">
        <v>5471</v>
      </c>
      <c r="M6904" t="s">
        <v>5471</v>
      </c>
    </row>
    <row r="6905" spans="1:13" x14ac:dyDescent="0.3">
      <c r="A6905" t="s">
        <v>3380</v>
      </c>
      <c r="B6905" t="s">
        <v>5276</v>
      </c>
      <c r="C6905" t="s">
        <v>6342</v>
      </c>
      <c r="D6905" t="s">
        <v>4056</v>
      </c>
      <c r="E6905" t="s">
        <v>5480</v>
      </c>
      <c r="F6905" t="s">
        <v>25877</v>
      </c>
      <c r="G6905" t="s">
        <v>19896</v>
      </c>
      <c r="H6905" t="s">
        <v>5474</v>
      </c>
      <c r="I6905" t="s">
        <v>25878</v>
      </c>
      <c r="J6905" t="s">
        <v>5476</v>
      </c>
      <c r="K6905" t="s">
        <v>25879</v>
      </c>
      <c r="L6905" t="s">
        <v>5471</v>
      </c>
      <c r="M6905" t="s">
        <v>5471</v>
      </c>
    </row>
    <row r="6906" spans="1:13" x14ac:dyDescent="0.3">
      <c r="A6906" t="s">
        <v>3380</v>
      </c>
      <c r="B6906" t="s">
        <v>5276</v>
      </c>
      <c r="C6906" t="s">
        <v>6342</v>
      </c>
      <c r="D6906" t="s">
        <v>4058</v>
      </c>
      <c r="E6906" t="s">
        <v>5480</v>
      </c>
      <c r="F6906" t="s">
        <v>25880</v>
      </c>
      <c r="G6906" t="s">
        <v>19889</v>
      </c>
      <c r="H6906" t="s">
        <v>5474</v>
      </c>
      <c r="I6906" t="s">
        <v>25881</v>
      </c>
      <c r="J6906" t="s">
        <v>5476</v>
      </c>
      <c r="K6906" t="s">
        <v>25882</v>
      </c>
      <c r="L6906" t="s">
        <v>5471</v>
      </c>
      <c r="M6906" t="s">
        <v>5471</v>
      </c>
    </row>
    <row r="6907" spans="1:13" x14ac:dyDescent="0.3">
      <c r="A6907" t="s">
        <v>3380</v>
      </c>
      <c r="B6907" t="s">
        <v>5276</v>
      </c>
      <c r="C6907" t="s">
        <v>6342</v>
      </c>
      <c r="D6907" t="s">
        <v>4119</v>
      </c>
      <c r="E6907" t="s">
        <v>5532</v>
      </c>
      <c r="F6907" t="s">
        <v>25883</v>
      </c>
      <c r="G6907" t="s">
        <v>9699</v>
      </c>
      <c r="H6907" t="s">
        <v>5474</v>
      </c>
      <c r="I6907" t="s">
        <v>25884</v>
      </c>
      <c r="J6907" t="s">
        <v>5476</v>
      </c>
      <c r="K6907" t="s">
        <v>23506</v>
      </c>
      <c r="L6907" t="s">
        <v>5471</v>
      </c>
      <c r="M6907" t="s">
        <v>5471</v>
      </c>
    </row>
    <row r="6908" spans="1:13" x14ac:dyDescent="0.3">
      <c r="A6908" t="s">
        <v>3397</v>
      </c>
      <c r="B6908" t="s">
        <v>5259</v>
      </c>
      <c r="C6908" t="s">
        <v>5487</v>
      </c>
      <c r="D6908" t="s">
        <v>4119</v>
      </c>
      <c r="E6908" t="s">
        <v>5532</v>
      </c>
      <c r="F6908" t="s">
        <v>25885</v>
      </c>
      <c r="G6908" t="s">
        <v>10247</v>
      </c>
      <c r="H6908" t="s">
        <v>5474</v>
      </c>
      <c r="I6908" t="s">
        <v>25886</v>
      </c>
      <c r="J6908" t="s">
        <v>5476</v>
      </c>
      <c r="K6908" t="s">
        <v>25887</v>
      </c>
      <c r="L6908" t="s">
        <v>5471</v>
      </c>
      <c r="M6908" t="s">
        <v>5471</v>
      </c>
    </row>
    <row r="6909" spans="1:13" x14ac:dyDescent="0.3">
      <c r="A6909" t="s">
        <v>3380</v>
      </c>
      <c r="B6909" t="s">
        <v>25748</v>
      </c>
      <c r="C6909" t="s">
        <v>6342</v>
      </c>
      <c r="D6909" t="s">
        <v>4119</v>
      </c>
      <c r="E6909" t="s">
        <v>5532</v>
      </c>
      <c r="F6909" t="s">
        <v>25888</v>
      </c>
      <c r="G6909" t="s">
        <v>25748</v>
      </c>
      <c r="H6909" t="s">
        <v>5474</v>
      </c>
      <c r="I6909" t="s">
        <v>25889</v>
      </c>
      <c r="J6909" t="s">
        <v>5476</v>
      </c>
      <c r="K6909" t="s">
        <v>25804</v>
      </c>
      <c r="L6909" t="s">
        <v>5471</v>
      </c>
      <c r="M6909" t="s">
        <v>5471</v>
      </c>
    </row>
    <row r="6910" spans="1:13" x14ac:dyDescent="0.3">
      <c r="A6910" t="s">
        <v>3380</v>
      </c>
      <c r="B6910" t="s">
        <v>5276</v>
      </c>
      <c r="C6910" t="s">
        <v>6342</v>
      </c>
      <c r="D6910" t="s">
        <v>4058</v>
      </c>
      <c r="E6910" t="s">
        <v>5480</v>
      </c>
      <c r="F6910" t="s">
        <v>25890</v>
      </c>
      <c r="G6910" t="s">
        <v>19896</v>
      </c>
      <c r="H6910" t="s">
        <v>5474</v>
      </c>
      <c r="I6910" t="s">
        <v>25891</v>
      </c>
      <c r="J6910" t="s">
        <v>5476</v>
      </c>
      <c r="K6910" t="s">
        <v>25892</v>
      </c>
      <c r="L6910" t="s">
        <v>5471</v>
      </c>
      <c r="M6910" t="s">
        <v>5471</v>
      </c>
    </row>
    <row r="6911" spans="1:13" x14ac:dyDescent="0.3">
      <c r="A6911" t="s">
        <v>3380</v>
      </c>
      <c r="B6911" t="s">
        <v>5276</v>
      </c>
      <c r="C6911" t="s">
        <v>6342</v>
      </c>
      <c r="D6911" t="s">
        <v>4119</v>
      </c>
      <c r="E6911" t="s">
        <v>5532</v>
      </c>
      <c r="F6911" t="s">
        <v>25893</v>
      </c>
      <c r="G6911" t="s">
        <v>9699</v>
      </c>
      <c r="H6911" t="s">
        <v>5474</v>
      </c>
      <c r="I6911" t="s">
        <v>25894</v>
      </c>
      <c r="J6911" t="s">
        <v>5476</v>
      </c>
      <c r="K6911" t="s">
        <v>22735</v>
      </c>
      <c r="L6911" t="s">
        <v>5471</v>
      </c>
      <c r="M6911" t="s">
        <v>5471</v>
      </c>
    </row>
    <row r="6912" spans="1:13" x14ac:dyDescent="0.3">
      <c r="A6912" t="s">
        <v>3380</v>
      </c>
      <c r="B6912" t="s">
        <v>16029</v>
      </c>
      <c r="C6912" t="s">
        <v>6342</v>
      </c>
      <c r="D6912" t="s">
        <v>4119</v>
      </c>
      <c r="E6912" t="s">
        <v>9935</v>
      </c>
      <c r="F6912" t="s">
        <v>25895</v>
      </c>
      <c r="G6912" t="s">
        <v>16029</v>
      </c>
      <c r="H6912" t="s">
        <v>5474</v>
      </c>
      <c r="I6912" t="s">
        <v>25896</v>
      </c>
      <c r="J6912" t="s">
        <v>5476</v>
      </c>
      <c r="K6912" t="s">
        <v>19267</v>
      </c>
      <c r="L6912" t="s">
        <v>5471</v>
      </c>
      <c r="M6912" t="s">
        <v>5471</v>
      </c>
    </row>
    <row r="6913" spans="1:13" x14ac:dyDescent="0.3">
      <c r="A6913" t="s">
        <v>3397</v>
      </c>
      <c r="B6913" t="s">
        <v>5259</v>
      </c>
      <c r="C6913" t="s">
        <v>5487</v>
      </c>
      <c r="D6913" t="s">
        <v>4119</v>
      </c>
      <c r="E6913" t="s">
        <v>5617</v>
      </c>
      <c r="F6913" t="s">
        <v>25897</v>
      </c>
      <c r="G6913" t="s">
        <v>25661</v>
      </c>
      <c r="H6913" t="s">
        <v>5474</v>
      </c>
      <c r="I6913" t="s">
        <v>25898</v>
      </c>
      <c r="J6913" t="s">
        <v>5476</v>
      </c>
      <c r="K6913" t="s">
        <v>25899</v>
      </c>
      <c r="L6913" t="s">
        <v>5471</v>
      </c>
      <c r="M6913" t="s">
        <v>5471</v>
      </c>
    </row>
    <row r="6914" spans="1:13" x14ac:dyDescent="0.3">
      <c r="A6914" t="s">
        <v>3397</v>
      </c>
      <c r="B6914" t="s">
        <v>5259</v>
      </c>
      <c r="C6914" t="s">
        <v>5487</v>
      </c>
      <c r="D6914" t="s">
        <v>4119</v>
      </c>
      <c r="E6914" t="s">
        <v>5617</v>
      </c>
      <c r="F6914" t="s">
        <v>25900</v>
      </c>
      <c r="G6914" t="s">
        <v>25665</v>
      </c>
      <c r="H6914" t="s">
        <v>5474</v>
      </c>
      <c r="I6914" t="s">
        <v>25901</v>
      </c>
      <c r="J6914" t="s">
        <v>5476</v>
      </c>
      <c r="K6914" t="s">
        <v>25902</v>
      </c>
      <c r="L6914" t="s">
        <v>5471</v>
      </c>
      <c r="M6914" t="s">
        <v>5471</v>
      </c>
    </row>
    <row r="6915" spans="1:13" x14ac:dyDescent="0.3">
      <c r="A6915" t="s">
        <v>3397</v>
      </c>
      <c r="B6915" t="s">
        <v>5259</v>
      </c>
      <c r="C6915" t="s">
        <v>5487</v>
      </c>
      <c r="D6915" t="s">
        <v>4119</v>
      </c>
      <c r="E6915" t="s">
        <v>5617</v>
      </c>
      <c r="F6915" t="s">
        <v>25903</v>
      </c>
      <c r="G6915" t="s">
        <v>25672</v>
      </c>
      <c r="H6915" t="s">
        <v>5474</v>
      </c>
      <c r="I6915" t="s">
        <v>25904</v>
      </c>
      <c r="J6915" t="s">
        <v>5476</v>
      </c>
      <c r="K6915" t="s">
        <v>25905</v>
      </c>
      <c r="L6915" t="s">
        <v>5471</v>
      </c>
      <c r="M6915" t="s">
        <v>5471</v>
      </c>
    </row>
    <row r="6916" spans="1:13" x14ac:dyDescent="0.3">
      <c r="A6916" t="s">
        <v>3397</v>
      </c>
      <c r="B6916" t="s">
        <v>5259</v>
      </c>
      <c r="C6916" t="s">
        <v>5487</v>
      </c>
      <c r="D6916" t="s">
        <v>4119</v>
      </c>
      <c r="E6916" t="s">
        <v>5617</v>
      </c>
      <c r="F6916" t="s">
        <v>25906</v>
      </c>
      <c r="G6916" t="s">
        <v>5690</v>
      </c>
      <c r="H6916" t="s">
        <v>5474</v>
      </c>
      <c r="I6916" t="s">
        <v>25907</v>
      </c>
      <c r="J6916" t="s">
        <v>5476</v>
      </c>
      <c r="K6916" t="s">
        <v>25908</v>
      </c>
      <c r="L6916" t="s">
        <v>5471</v>
      </c>
      <c r="M6916" t="s">
        <v>5471</v>
      </c>
    </row>
    <row r="6917" spans="1:13" x14ac:dyDescent="0.3">
      <c r="A6917" t="s">
        <v>3397</v>
      </c>
      <c r="B6917" t="s">
        <v>5989</v>
      </c>
      <c r="C6917" t="s">
        <v>5487</v>
      </c>
      <c r="D6917" t="s">
        <v>4119</v>
      </c>
      <c r="E6917" t="s">
        <v>5756</v>
      </c>
      <c r="F6917" t="s">
        <v>25909</v>
      </c>
      <c r="G6917" t="s">
        <v>15179</v>
      </c>
      <c r="H6917" t="s">
        <v>5474</v>
      </c>
      <c r="I6917" t="s">
        <v>25910</v>
      </c>
      <c r="J6917" t="s">
        <v>5476</v>
      </c>
      <c r="K6917" t="s">
        <v>25911</v>
      </c>
      <c r="L6917" t="s">
        <v>5471</v>
      </c>
      <c r="M6917" t="s">
        <v>5471</v>
      </c>
    </row>
    <row r="6918" spans="1:13" x14ac:dyDescent="0.3">
      <c r="A6918" t="s">
        <v>3397</v>
      </c>
      <c r="B6918" t="s">
        <v>5989</v>
      </c>
      <c r="C6918" t="s">
        <v>5487</v>
      </c>
      <c r="D6918" t="s">
        <v>4119</v>
      </c>
      <c r="E6918" t="s">
        <v>5756</v>
      </c>
      <c r="F6918" t="s">
        <v>25912</v>
      </c>
      <c r="G6918" t="s">
        <v>15179</v>
      </c>
      <c r="H6918" t="s">
        <v>5474</v>
      </c>
      <c r="I6918" t="s">
        <v>25913</v>
      </c>
      <c r="J6918" t="s">
        <v>5476</v>
      </c>
      <c r="K6918" t="s">
        <v>25914</v>
      </c>
      <c r="L6918" t="s">
        <v>5471</v>
      </c>
      <c r="M6918" t="s">
        <v>5471</v>
      </c>
    </row>
    <row r="6919" spans="1:13" x14ac:dyDescent="0.3">
      <c r="A6919" t="s">
        <v>3397</v>
      </c>
      <c r="B6919" t="s">
        <v>5989</v>
      </c>
      <c r="C6919" t="s">
        <v>5487</v>
      </c>
      <c r="D6919" t="s">
        <v>4119</v>
      </c>
      <c r="E6919" t="s">
        <v>5756</v>
      </c>
      <c r="F6919" t="s">
        <v>25915</v>
      </c>
      <c r="G6919" t="s">
        <v>15179</v>
      </c>
      <c r="H6919" t="s">
        <v>5474</v>
      </c>
      <c r="I6919" t="s">
        <v>25916</v>
      </c>
      <c r="J6919" t="s">
        <v>5476</v>
      </c>
      <c r="K6919" t="s">
        <v>25917</v>
      </c>
      <c r="L6919" t="s">
        <v>5471</v>
      </c>
      <c r="M6919" t="s">
        <v>5471</v>
      </c>
    </row>
    <row r="6920" spans="1:13" x14ac:dyDescent="0.3">
      <c r="A6920" t="s">
        <v>3397</v>
      </c>
      <c r="B6920" t="s">
        <v>5989</v>
      </c>
      <c r="C6920" t="s">
        <v>5487</v>
      </c>
      <c r="D6920" t="s">
        <v>4119</v>
      </c>
      <c r="E6920" t="s">
        <v>5756</v>
      </c>
      <c r="F6920" t="s">
        <v>25915</v>
      </c>
      <c r="G6920" t="s">
        <v>15179</v>
      </c>
      <c r="H6920" t="s">
        <v>5474</v>
      </c>
      <c r="I6920" t="s">
        <v>25918</v>
      </c>
      <c r="J6920" t="s">
        <v>5476</v>
      </c>
      <c r="K6920" t="s">
        <v>25919</v>
      </c>
      <c r="L6920" t="s">
        <v>5471</v>
      </c>
      <c r="M6920" t="s">
        <v>5471</v>
      </c>
    </row>
    <row r="6921" spans="1:13" x14ac:dyDescent="0.3">
      <c r="A6921" t="s">
        <v>3397</v>
      </c>
      <c r="B6921" t="s">
        <v>5989</v>
      </c>
      <c r="C6921" t="s">
        <v>5487</v>
      </c>
      <c r="D6921" t="s">
        <v>4119</v>
      </c>
      <c r="E6921" t="s">
        <v>5756</v>
      </c>
      <c r="F6921" t="s">
        <v>25920</v>
      </c>
      <c r="G6921" t="s">
        <v>15179</v>
      </c>
      <c r="H6921" t="s">
        <v>5474</v>
      </c>
      <c r="I6921" t="s">
        <v>25921</v>
      </c>
      <c r="J6921" t="s">
        <v>5476</v>
      </c>
      <c r="K6921" t="s">
        <v>25922</v>
      </c>
      <c r="L6921" t="s">
        <v>5471</v>
      </c>
      <c r="M6921" t="s">
        <v>5471</v>
      </c>
    </row>
    <row r="6922" spans="1:13" x14ac:dyDescent="0.3">
      <c r="A6922" t="s">
        <v>3397</v>
      </c>
      <c r="B6922" t="s">
        <v>5989</v>
      </c>
      <c r="C6922" t="s">
        <v>5487</v>
      </c>
      <c r="D6922" t="s">
        <v>4119</v>
      </c>
      <c r="E6922" t="s">
        <v>5756</v>
      </c>
      <c r="F6922" t="s">
        <v>25923</v>
      </c>
      <c r="G6922" t="s">
        <v>15179</v>
      </c>
      <c r="H6922" t="s">
        <v>5474</v>
      </c>
      <c r="I6922" t="s">
        <v>25924</v>
      </c>
      <c r="J6922" t="s">
        <v>5476</v>
      </c>
      <c r="K6922" t="s">
        <v>25925</v>
      </c>
      <c r="L6922" t="s">
        <v>5471</v>
      </c>
      <c r="M6922" t="s">
        <v>5471</v>
      </c>
    </row>
    <row r="6923" spans="1:13" x14ac:dyDescent="0.3">
      <c r="A6923" t="s">
        <v>3397</v>
      </c>
      <c r="B6923" t="s">
        <v>5989</v>
      </c>
      <c r="C6923" t="s">
        <v>5487</v>
      </c>
      <c r="D6923" t="s">
        <v>4119</v>
      </c>
      <c r="E6923" t="s">
        <v>5756</v>
      </c>
      <c r="F6923" t="s">
        <v>25926</v>
      </c>
      <c r="G6923" t="s">
        <v>15179</v>
      </c>
      <c r="H6923" t="s">
        <v>5474</v>
      </c>
      <c r="I6923" t="s">
        <v>25927</v>
      </c>
      <c r="J6923" t="s">
        <v>5476</v>
      </c>
      <c r="K6923" t="s">
        <v>25928</v>
      </c>
      <c r="L6923" t="s">
        <v>5471</v>
      </c>
      <c r="M6923" t="s">
        <v>5471</v>
      </c>
    </row>
    <row r="6924" spans="1:13" x14ac:dyDescent="0.3">
      <c r="A6924" t="s">
        <v>3397</v>
      </c>
      <c r="B6924" t="s">
        <v>13796</v>
      </c>
      <c r="C6924" t="s">
        <v>5487</v>
      </c>
      <c r="D6924" t="s">
        <v>4119</v>
      </c>
      <c r="E6924" t="s">
        <v>5595</v>
      </c>
      <c r="F6924" t="s">
        <v>25929</v>
      </c>
      <c r="G6924" t="s">
        <v>13801</v>
      </c>
      <c r="H6924" t="s">
        <v>5474</v>
      </c>
      <c r="I6924" t="s">
        <v>25930</v>
      </c>
      <c r="J6924" t="s">
        <v>5476</v>
      </c>
      <c r="K6924" t="s">
        <v>25931</v>
      </c>
      <c r="L6924" t="s">
        <v>5471</v>
      </c>
      <c r="M6924" t="s">
        <v>5471</v>
      </c>
    </row>
    <row r="6925" spans="1:13" x14ac:dyDescent="0.3">
      <c r="A6925" t="s">
        <v>3380</v>
      </c>
      <c r="B6925" t="s">
        <v>10105</v>
      </c>
      <c r="C6925" t="s">
        <v>6342</v>
      </c>
      <c r="D6925" t="s">
        <v>4119</v>
      </c>
      <c r="E6925" t="s">
        <v>5480</v>
      </c>
      <c r="F6925" t="s">
        <v>25932</v>
      </c>
      <c r="G6925" t="s">
        <v>10107</v>
      </c>
      <c r="H6925" t="s">
        <v>5474</v>
      </c>
      <c r="I6925" t="s">
        <v>25933</v>
      </c>
      <c r="J6925" t="s">
        <v>5476</v>
      </c>
      <c r="K6925" t="s">
        <v>25934</v>
      </c>
      <c r="L6925" t="s">
        <v>5471</v>
      </c>
      <c r="M6925" t="s">
        <v>5471</v>
      </c>
    </row>
    <row r="6926" spans="1:13" x14ac:dyDescent="0.3">
      <c r="A6926" t="s">
        <v>3397</v>
      </c>
      <c r="B6926" t="s">
        <v>5255</v>
      </c>
      <c r="C6926" t="s">
        <v>5487</v>
      </c>
      <c r="D6926" t="s">
        <v>4119</v>
      </c>
      <c r="E6926" t="s">
        <v>5595</v>
      </c>
      <c r="F6926" t="s">
        <v>25935</v>
      </c>
      <c r="G6926" t="s">
        <v>8041</v>
      </c>
      <c r="H6926" t="s">
        <v>5474</v>
      </c>
      <c r="I6926" t="s">
        <v>25936</v>
      </c>
      <c r="J6926" t="s">
        <v>5476</v>
      </c>
      <c r="K6926" t="s">
        <v>25937</v>
      </c>
      <c r="L6926" t="s">
        <v>5471</v>
      </c>
      <c r="M6926" t="s">
        <v>5471</v>
      </c>
    </row>
    <row r="6927" spans="1:13" x14ac:dyDescent="0.3">
      <c r="A6927" t="s">
        <v>3380</v>
      </c>
      <c r="B6927" t="s">
        <v>25938</v>
      </c>
      <c r="C6927" t="s">
        <v>6342</v>
      </c>
      <c r="D6927" t="s">
        <v>4119</v>
      </c>
      <c r="E6927" t="s">
        <v>5532</v>
      </c>
      <c r="F6927" t="s">
        <v>25939</v>
      </c>
      <c r="G6927" t="s">
        <v>25938</v>
      </c>
      <c r="H6927" t="s">
        <v>5474</v>
      </c>
      <c r="I6927" t="s">
        <v>25940</v>
      </c>
      <c r="J6927" t="s">
        <v>5476</v>
      </c>
      <c r="K6927" t="s">
        <v>19267</v>
      </c>
      <c r="L6927" t="s">
        <v>5471</v>
      </c>
      <c r="M6927" t="s">
        <v>5471</v>
      </c>
    </row>
    <row r="6928" spans="1:13" x14ac:dyDescent="0.3">
      <c r="A6928" t="s">
        <v>3397</v>
      </c>
      <c r="B6928" t="s">
        <v>5255</v>
      </c>
      <c r="C6928" t="s">
        <v>5487</v>
      </c>
      <c r="D6928" t="s">
        <v>4119</v>
      </c>
      <c r="E6928" t="s">
        <v>5595</v>
      </c>
      <c r="F6928" t="s">
        <v>25941</v>
      </c>
      <c r="G6928" t="s">
        <v>8041</v>
      </c>
      <c r="H6928" t="s">
        <v>5474</v>
      </c>
      <c r="I6928" t="s">
        <v>25942</v>
      </c>
      <c r="J6928" t="s">
        <v>5476</v>
      </c>
      <c r="K6928" t="s">
        <v>25943</v>
      </c>
      <c r="L6928" t="s">
        <v>5471</v>
      </c>
      <c r="M6928" t="s">
        <v>5471</v>
      </c>
    </row>
    <row r="6929" spans="1:13" x14ac:dyDescent="0.3">
      <c r="A6929" t="s">
        <v>3380</v>
      </c>
      <c r="B6929" t="s">
        <v>10117</v>
      </c>
      <c r="C6929" t="s">
        <v>6342</v>
      </c>
      <c r="D6929" t="s">
        <v>4119</v>
      </c>
      <c r="E6929" t="s">
        <v>5532</v>
      </c>
      <c r="F6929" t="s">
        <v>25944</v>
      </c>
      <c r="G6929" t="s">
        <v>10117</v>
      </c>
      <c r="H6929" t="s">
        <v>5474</v>
      </c>
      <c r="I6929" t="s">
        <v>25945</v>
      </c>
      <c r="J6929" t="s">
        <v>5476</v>
      </c>
      <c r="K6929" t="s">
        <v>19267</v>
      </c>
      <c r="L6929" t="s">
        <v>5471</v>
      </c>
      <c r="M6929" t="s">
        <v>5471</v>
      </c>
    </row>
    <row r="6930" spans="1:13" x14ac:dyDescent="0.3">
      <c r="A6930" t="s">
        <v>3380</v>
      </c>
      <c r="B6930" t="s">
        <v>25946</v>
      </c>
      <c r="C6930" t="s">
        <v>6342</v>
      </c>
      <c r="D6930" t="s">
        <v>4119</v>
      </c>
      <c r="E6930" t="s">
        <v>5532</v>
      </c>
      <c r="F6930" t="s">
        <v>25947</v>
      </c>
      <c r="G6930" t="s">
        <v>25948</v>
      </c>
      <c r="H6930" t="s">
        <v>5474</v>
      </c>
      <c r="I6930" t="s">
        <v>25949</v>
      </c>
      <c r="J6930" t="s">
        <v>5476</v>
      </c>
      <c r="K6930" t="s">
        <v>25950</v>
      </c>
      <c r="L6930" t="s">
        <v>5471</v>
      </c>
      <c r="M6930" t="s">
        <v>5471</v>
      </c>
    </row>
    <row r="6931" spans="1:13" x14ac:dyDescent="0.3">
      <c r="A6931" t="s">
        <v>3380</v>
      </c>
      <c r="B6931" t="s">
        <v>25938</v>
      </c>
      <c r="C6931" t="s">
        <v>6342</v>
      </c>
      <c r="D6931" t="s">
        <v>4119</v>
      </c>
      <c r="E6931" t="s">
        <v>5532</v>
      </c>
      <c r="F6931" t="s">
        <v>25951</v>
      </c>
      <c r="G6931" t="s">
        <v>25938</v>
      </c>
      <c r="H6931" t="s">
        <v>5474</v>
      </c>
      <c r="I6931" t="s">
        <v>25952</v>
      </c>
      <c r="J6931" t="s">
        <v>5476</v>
      </c>
      <c r="K6931" t="s">
        <v>21433</v>
      </c>
      <c r="L6931" t="s">
        <v>5471</v>
      </c>
      <c r="M6931" t="s">
        <v>5471</v>
      </c>
    </row>
    <row r="6932" spans="1:13" x14ac:dyDescent="0.3">
      <c r="A6932" t="s">
        <v>3380</v>
      </c>
      <c r="B6932" t="s">
        <v>5276</v>
      </c>
      <c r="C6932" t="s">
        <v>6342</v>
      </c>
      <c r="D6932" t="s">
        <v>4058</v>
      </c>
      <c r="E6932" t="s">
        <v>5480</v>
      </c>
      <c r="F6932" t="s">
        <v>25953</v>
      </c>
      <c r="G6932" t="s">
        <v>19889</v>
      </c>
      <c r="H6932" t="s">
        <v>5474</v>
      </c>
      <c r="I6932" t="s">
        <v>25954</v>
      </c>
      <c r="J6932" t="s">
        <v>5476</v>
      </c>
      <c r="K6932" t="s">
        <v>25955</v>
      </c>
      <c r="L6932" t="s">
        <v>5471</v>
      </c>
      <c r="M6932" t="s">
        <v>5471</v>
      </c>
    </row>
    <row r="6933" spans="1:13" x14ac:dyDescent="0.3">
      <c r="A6933" t="s">
        <v>3380</v>
      </c>
      <c r="B6933" t="s">
        <v>25956</v>
      </c>
      <c r="C6933" t="s">
        <v>6342</v>
      </c>
      <c r="D6933" t="s">
        <v>4119</v>
      </c>
      <c r="E6933" t="s">
        <v>5532</v>
      </c>
      <c r="F6933" t="s">
        <v>25957</v>
      </c>
      <c r="G6933" t="s">
        <v>25956</v>
      </c>
      <c r="H6933" t="s">
        <v>5474</v>
      </c>
      <c r="I6933" t="s">
        <v>25958</v>
      </c>
      <c r="J6933" t="s">
        <v>5476</v>
      </c>
      <c r="K6933" t="s">
        <v>25950</v>
      </c>
      <c r="L6933" t="s">
        <v>5471</v>
      </c>
      <c r="M6933" t="s">
        <v>5471</v>
      </c>
    </row>
    <row r="6934" spans="1:13" x14ac:dyDescent="0.3">
      <c r="A6934" t="s">
        <v>3380</v>
      </c>
      <c r="B6934" t="s">
        <v>11061</v>
      </c>
      <c r="C6934" t="s">
        <v>6342</v>
      </c>
      <c r="D6934" t="s">
        <v>4119</v>
      </c>
      <c r="E6934" t="s">
        <v>5843</v>
      </c>
      <c r="F6934" t="s">
        <v>25959</v>
      </c>
      <c r="G6934" t="s">
        <v>17402</v>
      </c>
      <c r="H6934" t="s">
        <v>5474</v>
      </c>
      <c r="I6934" t="s">
        <v>25960</v>
      </c>
      <c r="J6934" t="s">
        <v>5476</v>
      </c>
      <c r="K6934" t="s">
        <v>25961</v>
      </c>
      <c r="L6934" t="s">
        <v>5471</v>
      </c>
      <c r="M6934" t="s">
        <v>5471</v>
      </c>
    </row>
    <row r="6935" spans="1:13" x14ac:dyDescent="0.3">
      <c r="A6935" t="s">
        <v>3397</v>
      </c>
      <c r="B6935" t="s">
        <v>5255</v>
      </c>
      <c r="C6935" t="s">
        <v>5487</v>
      </c>
      <c r="D6935" t="s">
        <v>4119</v>
      </c>
      <c r="E6935" t="s">
        <v>5595</v>
      </c>
      <c r="F6935" t="s">
        <v>25962</v>
      </c>
      <c r="G6935" t="s">
        <v>8041</v>
      </c>
      <c r="H6935" t="s">
        <v>5474</v>
      </c>
      <c r="I6935" t="s">
        <v>25963</v>
      </c>
      <c r="J6935" t="s">
        <v>5476</v>
      </c>
      <c r="K6935" t="s">
        <v>25964</v>
      </c>
      <c r="L6935" t="s">
        <v>5471</v>
      </c>
      <c r="M6935" t="s">
        <v>5471</v>
      </c>
    </row>
    <row r="6936" spans="1:13" x14ac:dyDescent="0.3">
      <c r="A6936" t="s">
        <v>3380</v>
      </c>
      <c r="B6936" t="s">
        <v>9934</v>
      </c>
      <c r="C6936" t="s">
        <v>6342</v>
      </c>
      <c r="D6936" t="s">
        <v>4119</v>
      </c>
      <c r="E6936" t="s">
        <v>9935</v>
      </c>
      <c r="F6936" t="s">
        <v>25965</v>
      </c>
      <c r="G6936" t="s">
        <v>10930</v>
      </c>
      <c r="H6936" t="s">
        <v>5474</v>
      </c>
      <c r="I6936" t="s">
        <v>25966</v>
      </c>
      <c r="J6936" t="s">
        <v>5476</v>
      </c>
      <c r="K6936" t="s">
        <v>25967</v>
      </c>
      <c r="L6936" t="s">
        <v>5471</v>
      </c>
      <c r="M6936" t="s">
        <v>5471</v>
      </c>
    </row>
    <row r="6937" spans="1:13" x14ac:dyDescent="0.3">
      <c r="A6937" t="s">
        <v>3397</v>
      </c>
      <c r="B6937" t="s">
        <v>5255</v>
      </c>
      <c r="C6937" t="s">
        <v>5487</v>
      </c>
      <c r="D6937" t="s">
        <v>4119</v>
      </c>
      <c r="E6937" t="s">
        <v>5595</v>
      </c>
      <c r="F6937" t="s">
        <v>25968</v>
      </c>
      <c r="G6937" t="s">
        <v>8041</v>
      </c>
      <c r="H6937" t="s">
        <v>5474</v>
      </c>
      <c r="I6937" t="s">
        <v>25969</v>
      </c>
      <c r="J6937" t="s">
        <v>5476</v>
      </c>
      <c r="K6937" t="s">
        <v>25970</v>
      </c>
      <c r="L6937" t="s">
        <v>5471</v>
      </c>
      <c r="M6937" t="s">
        <v>5471</v>
      </c>
    </row>
    <row r="6938" spans="1:13" x14ac:dyDescent="0.3">
      <c r="A6938" t="s">
        <v>3380</v>
      </c>
      <c r="B6938" t="s">
        <v>11061</v>
      </c>
      <c r="C6938" t="s">
        <v>6342</v>
      </c>
      <c r="D6938" t="s">
        <v>4119</v>
      </c>
      <c r="E6938" t="s">
        <v>5843</v>
      </c>
      <c r="F6938" t="s">
        <v>25971</v>
      </c>
      <c r="G6938" t="s">
        <v>25972</v>
      </c>
      <c r="H6938" t="s">
        <v>5474</v>
      </c>
      <c r="I6938" t="s">
        <v>25973</v>
      </c>
      <c r="J6938" t="s">
        <v>5476</v>
      </c>
      <c r="K6938" t="s">
        <v>25961</v>
      </c>
      <c r="L6938" t="s">
        <v>5471</v>
      </c>
      <c r="M6938" t="s">
        <v>5471</v>
      </c>
    </row>
    <row r="6939" spans="1:13" x14ac:dyDescent="0.3">
      <c r="A6939" t="s">
        <v>3380</v>
      </c>
      <c r="B6939" t="s">
        <v>9934</v>
      </c>
      <c r="C6939" t="s">
        <v>6342</v>
      </c>
      <c r="D6939" t="s">
        <v>4119</v>
      </c>
      <c r="E6939" t="s">
        <v>9935</v>
      </c>
      <c r="F6939" t="s">
        <v>25974</v>
      </c>
      <c r="G6939" t="s">
        <v>10930</v>
      </c>
      <c r="H6939" t="s">
        <v>5474</v>
      </c>
      <c r="I6939" t="s">
        <v>25975</v>
      </c>
      <c r="J6939" t="s">
        <v>5476</v>
      </c>
      <c r="K6939" t="s">
        <v>25976</v>
      </c>
      <c r="L6939" t="s">
        <v>5471</v>
      </c>
      <c r="M6939" t="s">
        <v>5471</v>
      </c>
    </row>
    <row r="6940" spans="1:13" x14ac:dyDescent="0.3">
      <c r="A6940" t="s">
        <v>3380</v>
      </c>
      <c r="B6940" t="s">
        <v>5276</v>
      </c>
      <c r="C6940" t="s">
        <v>6342</v>
      </c>
      <c r="D6940" t="s">
        <v>4058</v>
      </c>
      <c r="E6940" t="s">
        <v>5480</v>
      </c>
      <c r="F6940" t="s">
        <v>25977</v>
      </c>
      <c r="G6940" t="s">
        <v>19892</v>
      </c>
      <c r="H6940" t="s">
        <v>5474</v>
      </c>
      <c r="I6940" t="s">
        <v>25978</v>
      </c>
      <c r="J6940" t="s">
        <v>5476</v>
      </c>
      <c r="K6940" t="s">
        <v>25979</v>
      </c>
      <c r="L6940" t="s">
        <v>5471</v>
      </c>
      <c r="M6940" t="s">
        <v>5471</v>
      </c>
    </row>
    <row r="6941" spans="1:13" x14ac:dyDescent="0.3">
      <c r="A6941" t="s">
        <v>3380</v>
      </c>
      <c r="B6941" t="s">
        <v>11061</v>
      </c>
      <c r="C6941" t="s">
        <v>6342</v>
      </c>
      <c r="D6941" t="s">
        <v>4119</v>
      </c>
      <c r="E6941" t="s">
        <v>5843</v>
      </c>
      <c r="F6941" t="s">
        <v>25980</v>
      </c>
      <c r="G6941" t="s">
        <v>17274</v>
      </c>
      <c r="H6941" t="s">
        <v>5474</v>
      </c>
      <c r="I6941" t="s">
        <v>25981</v>
      </c>
      <c r="J6941" t="s">
        <v>5476</v>
      </c>
      <c r="K6941" t="s">
        <v>25961</v>
      </c>
      <c r="L6941" t="s">
        <v>5471</v>
      </c>
      <c r="M6941" t="s">
        <v>5471</v>
      </c>
    </row>
    <row r="6942" spans="1:13" x14ac:dyDescent="0.3">
      <c r="A6942" t="s">
        <v>3397</v>
      </c>
      <c r="B6942" t="s">
        <v>5255</v>
      </c>
      <c r="C6942" t="s">
        <v>5487</v>
      </c>
      <c r="D6942" t="s">
        <v>4119</v>
      </c>
      <c r="E6942" t="s">
        <v>5595</v>
      </c>
      <c r="F6942" t="s">
        <v>25982</v>
      </c>
      <c r="G6942" t="s">
        <v>8041</v>
      </c>
      <c r="H6942" t="s">
        <v>5474</v>
      </c>
      <c r="I6942" t="s">
        <v>25983</v>
      </c>
      <c r="J6942" t="s">
        <v>5476</v>
      </c>
      <c r="K6942" t="s">
        <v>25984</v>
      </c>
      <c r="L6942" t="s">
        <v>5471</v>
      </c>
      <c r="M6942" t="s">
        <v>5471</v>
      </c>
    </row>
    <row r="6943" spans="1:13" x14ac:dyDescent="0.3">
      <c r="A6943" t="s">
        <v>3397</v>
      </c>
      <c r="B6943" t="s">
        <v>5255</v>
      </c>
      <c r="C6943" t="s">
        <v>5487</v>
      </c>
      <c r="D6943" t="s">
        <v>4119</v>
      </c>
      <c r="E6943" t="s">
        <v>5595</v>
      </c>
      <c r="F6943" t="s">
        <v>25985</v>
      </c>
      <c r="G6943" t="s">
        <v>8041</v>
      </c>
      <c r="H6943" t="s">
        <v>5474</v>
      </c>
      <c r="I6943" t="s">
        <v>25986</v>
      </c>
      <c r="J6943" t="s">
        <v>5476</v>
      </c>
      <c r="K6943" t="s">
        <v>25987</v>
      </c>
      <c r="L6943" t="s">
        <v>5471</v>
      </c>
      <c r="M6943" t="s">
        <v>5471</v>
      </c>
    </row>
    <row r="6944" spans="1:13" x14ac:dyDescent="0.3">
      <c r="A6944" t="s">
        <v>3380</v>
      </c>
      <c r="B6944" t="s">
        <v>5276</v>
      </c>
      <c r="C6944" t="s">
        <v>6342</v>
      </c>
      <c r="D6944" t="s">
        <v>4058</v>
      </c>
      <c r="E6944" t="s">
        <v>5480</v>
      </c>
      <c r="F6944" t="s">
        <v>25988</v>
      </c>
      <c r="G6944" t="s">
        <v>19896</v>
      </c>
      <c r="H6944" t="s">
        <v>5474</v>
      </c>
      <c r="I6944" t="s">
        <v>25989</v>
      </c>
      <c r="J6944" t="s">
        <v>5476</v>
      </c>
      <c r="K6944" t="s">
        <v>25990</v>
      </c>
      <c r="L6944" t="s">
        <v>5471</v>
      </c>
      <c r="M6944" t="s">
        <v>5471</v>
      </c>
    </row>
    <row r="6945" spans="1:13" x14ac:dyDescent="0.3">
      <c r="A6945" t="s">
        <v>3380</v>
      </c>
      <c r="B6945" t="s">
        <v>5276</v>
      </c>
      <c r="C6945" t="s">
        <v>6342</v>
      </c>
      <c r="D6945" t="s">
        <v>4058</v>
      </c>
      <c r="E6945" t="s">
        <v>5480</v>
      </c>
      <c r="F6945" t="s">
        <v>25991</v>
      </c>
      <c r="G6945" t="s">
        <v>19900</v>
      </c>
      <c r="H6945" t="s">
        <v>5474</v>
      </c>
      <c r="I6945" t="s">
        <v>25992</v>
      </c>
      <c r="J6945" t="s">
        <v>5476</v>
      </c>
      <c r="K6945" t="s">
        <v>25993</v>
      </c>
      <c r="L6945" t="s">
        <v>5471</v>
      </c>
      <c r="M6945" t="s">
        <v>5471</v>
      </c>
    </row>
    <row r="6946" spans="1:13" x14ac:dyDescent="0.3">
      <c r="A6946" t="s">
        <v>3380</v>
      </c>
      <c r="B6946" t="s">
        <v>5276</v>
      </c>
      <c r="C6946" t="s">
        <v>6342</v>
      </c>
      <c r="D6946" t="s">
        <v>10218</v>
      </c>
      <c r="E6946" t="s">
        <v>5532</v>
      </c>
      <c r="F6946" t="s">
        <v>25994</v>
      </c>
      <c r="G6946" t="s">
        <v>25995</v>
      </c>
      <c r="H6946" t="s">
        <v>5474</v>
      </c>
      <c r="I6946" t="s">
        <v>25996</v>
      </c>
      <c r="J6946" t="s">
        <v>5476</v>
      </c>
      <c r="K6946" t="s">
        <v>25997</v>
      </c>
      <c r="L6946" t="s">
        <v>5471</v>
      </c>
      <c r="M6946" t="s">
        <v>5471</v>
      </c>
    </row>
    <row r="6947" spans="1:13" x14ac:dyDescent="0.3">
      <c r="A6947" t="s">
        <v>3380</v>
      </c>
      <c r="B6947" t="s">
        <v>5276</v>
      </c>
      <c r="C6947" t="s">
        <v>6342</v>
      </c>
      <c r="D6947" t="s">
        <v>10218</v>
      </c>
      <c r="E6947" t="s">
        <v>5532</v>
      </c>
      <c r="F6947" t="s">
        <v>25998</v>
      </c>
      <c r="G6947" t="s">
        <v>25999</v>
      </c>
      <c r="H6947" t="s">
        <v>5474</v>
      </c>
      <c r="I6947" t="s">
        <v>26000</v>
      </c>
      <c r="J6947" t="s">
        <v>5476</v>
      </c>
      <c r="K6947" t="s">
        <v>25190</v>
      </c>
      <c r="L6947" t="s">
        <v>5471</v>
      </c>
      <c r="M6947" t="s">
        <v>5471</v>
      </c>
    </row>
    <row r="6948" spans="1:13" x14ac:dyDescent="0.3">
      <c r="A6948" t="s">
        <v>3380</v>
      </c>
      <c r="B6948" t="s">
        <v>11061</v>
      </c>
      <c r="C6948" t="s">
        <v>6342</v>
      </c>
      <c r="D6948" t="s">
        <v>4119</v>
      </c>
      <c r="E6948" t="s">
        <v>5843</v>
      </c>
      <c r="F6948" t="s">
        <v>26001</v>
      </c>
      <c r="G6948" t="s">
        <v>11063</v>
      </c>
      <c r="H6948" t="s">
        <v>5474</v>
      </c>
      <c r="I6948" t="s">
        <v>26002</v>
      </c>
      <c r="J6948" t="s">
        <v>5476</v>
      </c>
      <c r="K6948" t="s">
        <v>25961</v>
      </c>
      <c r="L6948" t="s">
        <v>5471</v>
      </c>
      <c r="M6948" t="s">
        <v>5471</v>
      </c>
    </row>
    <row r="6949" spans="1:13" x14ac:dyDescent="0.3">
      <c r="A6949" t="s">
        <v>3380</v>
      </c>
      <c r="B6949" t="s">
        <v>11061</v>
      </c>
      <c r="C6949" t="s">
        <v>6342</v>
      </c>
      <c r="D6949" t="s">
        <v>4119</v>
      </c>
      <c r="E6949" t="s">
        <v>5843</v>
      </c>
      <c r="F6949" t="s">
        <v>26003</v>
      </c>
      <c r="G6949" t="s">
        <v>26004</v>
      </c>
      <c r="H6949" t="s">
        <v>5474</v>
      </c>
      <c r="I6949" t="s">
        <v>26005</v>
      </c>
      <c r="J6949" t="s">
        <v>5476</v>
      </c>
      <c r="K6949" t="s">
        <v>25961</v>
      </c>
      <c r="L6949" t="s">
        <v>5471</v>
      </c>
      <c r="M6949" t="s">
        <v>5471</v>
      </c>
    </row>
    <row r="6950" spans="1:13" x14ac:dyDescent="0.3">
      <c r="A6950" t="s">
        <v>3380</v>
      </c>
      <c r="B6950" t="s">
        <v>11061</v>
      </c>
      <c r="C6950" t="s">
        <v>6342</v>
      </c>
      <c r="D6950" t="s">
        <v>4119</v>
      </c>
      <c r="E6950" t="s">
        <v>5843</v>
      </c>
      <c r="F6950" t="s">
        <v>26006</v>
      </c>
      <c r="G6950" t="s">
        <v>26007</v>
      </c>
      <c r="H6950" t="s">
        <v>5474</v>
      </c>
      <c r="I6950" t="s">
        <v>26008</v>
      </c>
      <c r="J6950" t="s">
        <v>5476</v>
      </c>
      <c r="K6950" t="s">
        <v>25961</v>
      </c>
      <c r="L6950" t="s">
        <v>5471</v>
      </c>
      <c r="M6950" t="s">
        <v>5471</v>
      </c>
    </row>
    <row r="6951" spans="1:13" x14ac:dyDescent="0.3">
      <c r="A6951" t="s">
        <v>3397</v>
      </c>
      <c r="B6951" t="s">
        <v>5259</v>
      </c>
      <c r="C6951" t="s">
        <v>5487</v>
      </c>
      <c r="D6951" t="s">
        <v>4119</v>
      </c>
      <c r="E6951" t="s">
        <v>5532</v>
      </c>
      <c r="F6951" t="s">
        <v>26009</v>
      </c>
      <c r="G6951" t="s">
        <v>5690</v>
      </c>
      <c r="H6951" t="s">
        <v>5474</v>
      </c>
      <c r="I6951" t="s">
        <v>26010</v>
      </c>
      <c r="J6951" t="s">
        <v>5476</v>
      </c>
      <c r="K6951" t="s">
        <v>26011</v>
      </c>
      <c r="L6951" t="s">
        <v>5471</v>
      </c>
      <c r="M6951" t="s">
        <v>5471</v>
      </c>
    </row>
    <row r="6952" spans="1:13" x14ac:dyDescent="0.3">
      <c r="A6952" t="s">
        <v>3397</v>
      </c>
      <c r="B6952" t="s">
        <v>5259</v>
      </c>
      <c r="C6952" t="s">
        <v>5487</v>
      </c>
      <c r="D6952" t="s">
        <v>4119</v>
      </c>
      <c r="E6952" t="s">
        <v>5532</v>
      </c>
      <c r="F6952" t="s">
        <v>26012</v>
      </c>
      <c r="G6952" t="s">
        <v>5690</v>
      </c>
      <c r="H6952" t="s">
        <v>5474</v>
      </c>
      <c r="I6952" t="s">
        <v>26013</v>
      </c>
      <c r="J6952" t="s">
        <v>5476</v>
      </c>
      <c r="K6952" t="s">
        <v>26014</v>
      </c>
      <c r="L6952" t="s">
        <v>5471</v>
      </c>
      <c r="M6952" t="s">
        <v>5471</v>
      </c>
    </row>
    <row r="6953" spans="1:13" x14ac:dyDescent="0.3">
      <c r="A6953" t="s">
        <v>3380</v>
      </c>
      <c r="B6953" t="s">
        <v>11061</v>
      </c>
      <c r="C6953" t="s">
        <v>6342</v>
      </c>
      <c r="D6953" t="s">
        <v>4119</v>
      </c>
      <c r="E6953" t="s">
        <v>5843</v>
      </c>
      <c r="F6953" t="s">
        <v>26015</v>
      </c>
      <c r="G6953" t="s">
        <v>26016</v>
      </c>
      <c r="H6953" t="s">
        <v>5474</v>
      </c>
      <c r="I6953" t="s">
        <v>26017</v>
      </c>
      <c r="J6953" t="s">
        <v>5476</v>
      </c>
      <c r="K6953" t="s">
        <v>25961</v>
      </c>
      <c r="L6953" t="s">
        <v>5471</v>
      </c>
      <c r="M6953" t="s">
        <v>5471</v>
      </c>
    </row>
    <row r="6954" spans="1:13" x14ac:dyDescent="0.3">
      <c r="A6954" t="s">
        <v>3397</v>
      </c>
      <c r="B6954" t="s">
        <v>5259</v>
      </c>
      <c r="C6954" t="s">
        <v>5487</v>
      </c>
      <c r="D6954" t="s">
        <v>4119</v>
      </c>
      <c r="E6954" t="s">
        <v>5532</v>
      </c>
      <c r="F6954" t="s">
        <v>26018</v>
      </c>
      <c r="G6954" t="s">
        <v>5690</v>
      </c>
      <c r="H6954" t="s">
        <v>5474</v>
      </c>
      <c r="I6954" t="s">
        <v>26019</v>
      </c>
      <c r="J6954" t="s">
        <v>5476</v>
      </c>
      <c r="K6954" t="s">
        <v>26020</v>
      </c>
      <c r="L6954" t="s">
        <v>5471</v>
      </c>
      <c r="M6954" t="s">
        <v>5471</v>
      </c>
    </row>
    <row r="6955" spans="1:13" x14ac:dyDescent="0.3">
      <c r="A6955" t="s">
        <v>3380</v>
      </c>
      <c r="B6955" t="s">
        <v>5276</v>
      </c>
      <c r="C6955" t="s">
        <v>6342</v>
      </c>
      <c r="D6955" t="s">
        <v>10218</v>
      </c>
      <c r="E6955" t="s">
        <v>5532</v>
      </c>
      <c r="F6955" t="s">
        <v>26021</v>
      </c>
      <c r="G6955" t="s">
        <v>26022</v>
      </c>
      <c r="H6955" t="s">
        <v>5474</v>
      </c>
      <c r="I6955" t="s">
        <v>26023</v>
      </c>
      <c r="J6955" t="s">
        <v>5476</v>
      </c>
      <c r="K6955" t="s">
        <v>26024</v>
      </c>
      <c r="L6955" t="s">
        <v>5471</v>
      </c>
      <c r="M6955" t="s">
        <v>5471</v>
      </c>
    </row>
    <row r="6956" spans="1:13" x14ac:dyDescent="0.3">
      <c r="A6956" t="s">
        <v>3380</v>
      </c>
      <c r="B6956" t="s">
        <v>11061</v>
      </c>
      <c r="C6956" t="s">
        <v>6342</v>
      </c>
      <c r="D6956" t="s">
        <v>4119</v>
      </c>
      <c r="E6956" t="s">
        <v>5843</v>
      </c>
      <c r="F6956" t="s">
        <v>26025</v>
      </c>
      <c r="G6956" t="s">
        <v>26026</v>
      </c>
      <c r="H6956" t="s">
        <v>5474</v>
      </c>
      <c r="I6956" t="s">
        <v>26027</v>
      </c>
      <c r="J6956" t="s">
        <v>5476</v>
      </c>
      <c r="K6956" t="s">
        <v>25961</v>
      </c>
      <c r="L6956" t="s">
        <v>5471</v>
      </c>
      <c r="M6956" t="s">
        <v>5471</v>
      </c>
    </row>
    <row r="6957" spans="1:13" x14ac:dyDescent="0.3">
      <c r="A6957" t="s">
        <v>3397</v>
      </c>
      <c r="B6957" t="s">
        <v>5259</v>
      </c>
      <c r="C6957" t="s">
        <v>5487</v>
      </c>
      <c r="D6957" t="s">
        <v>4119</v>
      </c>
      <c r="E6957" t="s">
        <v>5532</v>
      </c>
      <c r="F6957" t="s">
        <v>26028</v>
      </c>
      <c r="G6957" t="s">
        <v>5690</v>
      </c>
      <c r="H6957" t="s">
        <v>5474</v>
      </c>
      <c r="I6957" t="s">
        <v>26029</v>
      </c>
      <c r="J6957" t="s">
        <v>5476</v>
      </c>
      <c r="K6957" t="s">
        <v>26030</v>
      </c>
      <c r="L6957" t="s">
        <v>5471</v>
      </c>
      <c r="M6957" t="s">
        <v>5471</v>
      </c>
    </row>
    <row r="6958" spans="1:13" x14ac:dyDescent="0.3">
      <c r="A6958" t="s">
        <v>3397</v>
      </c>
      <c r="B6958" t="s">
        <v>5259</v>
      </c>
      <c r="C6958" t="s">
        <v>5487</v>
      </c>
      <c r="D6958" t="s">
        <v>4119</v>
      </c>
      <c r="E6958" t="s">
        <v>5532</v>
      </c>
      <c r="F6958" t="s">
        <v>26031</v>
      </c>
      <c r="G6958" t="s">
        <v>5690</v>
      </c>
      <c r="H6958" t="s">
        <v>5474</v>
      </c>
      <c r="I6958" t="s">
        <v>26032</v>
      </c>
      <c r="J6958" t="s">
        <v>5476</v>
      </c>
      <c r="K6958" t="s">
        <v>26033</v>
      </c>
      <c r="L6958" t="s">
        <v>5471</v>
      </c>
      <c r="M6958" t="s">
        <v>5471</v>
      </c>
    </row>
    <row r="6959" spans="1:13" x14ac:dyDescent="0.3">
      <c r="A6959" t="s">
        <v>3380</v>
      </c>
      <c r="B6959" t="s">
        <v>11061</v>
      </c>
      <c r="C6959" t="s">
        <v>6342</v>
      </c>
      <c r="D6959" t="s">
        <v>4119</v>
      </c>
      <c r="E6959" t="s">
        <v>5843</v>
      </c>
      <c r="F6959" t="s">
        <v>26034</v>
      </c>
      <c r="G6959" t="s">
        <v>26035</v>
      </c>
      <c r="H6959" t="s">
        <v>5474</v>
      </c>
      <c r="I6959" t="s">
        <v>26036</v>
      </c>
      <c r="J6959" t="s">
        <v>5476</v>
      </c>
      <c r="K6959" t="s">
        <v>25961</v>
      </c>
      <c r="L6959" t="s">
        <v>5471</v>
      </c>
      <c r="M6959" t="s">
        <v>5471</v>
      </c>
    </row>
    <row r="6960" spans="1:13" x14ac:dyDescent="0.3">
      <c r="A6960" t="s">
        <v>3397</v>
      </c>
      <c r="B6960" t="s">
        <v>5259</v>
      </c>
      <c r="C6960" t="s">
        <v>5487</v>
      </c>
      <c r="D6960" t="s">
        <v>4119</v>
      </c>
      <c r="E6960" t="s">
        <v>5532</v>
      </c>
      <c r="F6960" t="s">
        <v>26037</v>
      </c>
      <c r="G6960" t="s">
        <v>5690</v>
      </c>
      <c r="H6960" t="s">
        <v>5474</v>
      </c>
      <c r="I6960" t="s">
        <v>26038</v>
      </c>
      <c r="J6960" t="s">
        <v>5476</v>
      </c>
      <c r="K6960" t="s">
        <v>26039</v>
      </c>
      <c r="L6960" t="s">
        <v>5471</v>
      </c>
      <c r="M6960" t="s">
        <v>5471</v>
      </c>
    </row>
    <row r="6961" spans="1:13" x14ac:dyDescent="0.3">
      <c r="A6961" t="s">
        <v>3380</v>
      </c>
      <c r="B6961" t="s">
        <v>11061</v>
      </c>
      <c r="C6961" t="s">
        <v>6342</v>
      </c>
      <c r="D6961" t="s">
        <v>4119</v>
      </c>
      <c r="E6961" t="s">
        <v>5843</v>
      </c>
      <c r="F6961" t="s">
        <v>26040</v>
      </c>
      <c r="G6961" t="s">
        <v>26041</v>
      </c>
      <c r="H6961" t="s">
        <v>5474</v>
      </c>
      <c r="I6961" t="s">
        <v>26042</v>
      </c>
      <c r="J6961" t="s">
        <v>5476</v>
      </c>
      <c r="K6961" t="s">
        <v>25961</v>
      </c>
      <c r="L6961" t="s">
        <v>5471</v>
      </c>
      <c r="M6961" t="s">
        <v>5471</v>
      </c>
    </row>
    <row r="6962" spans="1:13" x14ac:dyDescent="0.3">
      <c r="A6962" t="s">
        <v>3397</v>
      </c>
      <c r="B6962" t="s">
        <v>26043</v>
      </c>
      <c r="C6962" t="s">
        <v>5487</v>
      </c>
      <c r="D6962" t="s">
        <v>4119</v>
      </c>
      <c r="E6962" t="s">
        <v>5532</v>
      </c>
      <c r="F6962" t="s">
        <v>26044</v>
      </c>
      <c r="G6962" t="s">
        <v>14244</v>
      </c>
      <c r="H6962" t="s">
        <v>5474</v>
      </c>
      <c r="I6962" t="s">
        <v>26045</v>
      </c>
      <c r="J6962" t="s">
        <v>5476</v>
      </c>
      <c r="K6962" t="s">
        <v>13815</v>
      </c>
      <c r="L6962" t="s">
        <v>5471</v>
      </c>
      <c r="M6962" t="s">
        <v>5471</v>
      </c>
    </row>
    <row r="6963" spans="1:13" x14ac:dyDescent="0.3">
      <c r="A6963" t="s">
        <v>3380</v>
      </c>
      <c r="B6963" t="s">
        <v>5276</v>
      </c>
      <c r="C6963" t="s">
        <v>6342</v>
      </c>
      <c r="D6963" t="s">
        <v>10218</v>
      </c>
      <c r="E6963" t="s">
        <v>5617</v>
      </c>
      <c r="F6963" t="s">
        <v>26046</v>
      </c>
      <c r="G6963" t="s">
        <v>26047</v>
      </c>
      <c r="H6963" t="s">
        <v>5474</v>
      </c>
      <c r="I6963" t="s">
        <v>26048</v>
      </c>
      <c r="J6963" t="s">
        <v>5476</v>
      </c>
      <c r="K6963" t="s">
        <v>16306</v>
      </c>
      <c r="L6963" t="s">
        <v>5471</v>
      </c>
      <c r="M6963" t="s">
        <v>5471</v>
      </c>
    </row>
    <row r="6964" spans="1:13" x14ac:dyDescent="0.3">
      <c r="A6964" t="s">
        <v>3380</v>
      </c>
      <c r="B6964" t="s">
        <v>16299</v>
      </c>
      <c r="C6964" t="s">
        <v>6342</v>
      </c>
      <c r="D6964" t="s">
        <v>10218</v>
      </c>
      <c r="E6964" t="s">
        <v>5532</v>
      </c>
      <c r="F6964" t="s">
        <v>26049</v>
      </c>
      <c r="G6964" t="s">
        <v>26050</v>
      </c>
      <c r="H6964" t="s">
        <v>5474</v>
      </c>
      <c r="I6964" t="s">
        <v>26051</v>
      </c>
      <c r="J6964" t="s">
        <v>5476</v>
      </c>
      <c r="K6964" t="s">
        <v>26052</v>
      </c>
      <c r="L6964" t="s">
        <v>5471</v>
      </c>
      <c r="M6964" t="s">
        <v>5471</v>
      </c>
    </row>
    <row r="6965" spans="1:13" x14ac:dyDescent="0.3">
      <c r="A6965" t="s">
        <v>3380</v>
      </c>
      <c r="B6965" t="s">
        <v>11061</v>
      </c>
      <c r="C6965" t="s">
        <v>6342</v>
      </c>
      <c r="D6965" t="s">
        <v>4119</v>
      </c>
      <c r="E6965" t="s">
        <v>5532</v>
      </c>
      <c r="F6965" t="s">
        <v>26053</v>
      </c>
      <c r="G6965" t="s">
        <v>26054</v>
      </c>
      <c r="H6965" t="s">
        <v>5474</v>
      </c>
      <c r="I6965" t="s">
        <v>26055</v>
      </c>
      <c r="J6965" t="s">
        <v>5476</v>
      </c>
      <c r="K6965" t="s">
        <v>25961</v>
      </c>
      <c r="L6965" t="s">
        <v>5471</v>
      </c>
      <c r="M6965" t="s">
        <v>5471</v>
      </c>
    </row>
    <row r="6966" spans="1:13" x14ac:dyDescent="0.3">
      <c r="A6966" t="s">
        <v>3380</v>
      </c>
      <c r="B6966" t="s">
        <v>16299</v>
      </c>
      <c r="C6966" t="s">
        <v>6342</v>
      </c>
      <c r="D6966" t="s">
        <v>10218</v>
      </c>
      <c r="E6966" t="s">
        <v>5532</v>
      </c>
      <c r="F6966" t="s">
        <v>26056</v>
      </c>
      <c r="G6966" t="s">
        <v>26057</v>
      </c>
      <c r="H6966" t="s">
        <v>5474</v>
      </c>
      <c r="I6966" t="s">
        <v>26058</v>
      </c>
      <c r="J6966" t="s">
        <v>5476</v>
      </c>
      <c r="K6966" t="s">
        <v>26059</v>
      </c>
      <c r="L6966" t="s">
        <v>5471</v>
      </c>
      <c r="M6966" t="s">
        <v>5471</v>
      </c>
    </row>
    <row r="6967" spans="1:13" x14ac:dyDescent="0.3">
      <c r="A6967" t="s">
        <v>3380</v>
      </c>
      <c r="B6967" t="s">
        <v>15901</v>
      </c>
      <c r="C6967" t="s">
        <v>6342</v>
      </c>
      <c r="D6967" t="s">
        <v>10218</v>
      </c>
      <c r="E6967" t="s">
        <v>5532</v>
      </c>
      <c r="F6967" t="s">
        <v>26060</v>
      </c>
      <c r="G6967" t="s">
        <v>26061</v>
      </c>
      <c r="H6967" t="s">
        <v>5474</v>
      </c>
      <c r="I6967" t="s">
        <v>26062</v>
      </c>
      <c r="J6967" t="s">
        <v>5476</v>
      </c>
      <c r="K6967" t="s">
        <v>26063</v>
      </c>
      <c r="L6967" t="s">
        <v>5471</v>
      </c>
      <c r="M6967" t="s">
        <v>5471</v>
      </c>
    </row>
    <row r="6968" spans="1:13" x14ac:dyDescent="0.3">
      <c r="A6968" t="s">
        <v>3380</v>
      </c>
      <c r="B6968" t="s">
        <v>16261</v>
      </c>
      <c r="C6968" t="s">
        <v>6342</v>
      </c>
      <c r="D6968" t="s">
        <v>10218</v>
      </c>
      <c r="E6968" t="s">
        <v>5532</v>
      </c>
      <c r="F6968" t="s">
        <v>26064</v>
      </c>
      <c r="G6968" t="s">
        <v>16263</v>
      </c>
      <c r="H6968" t="s">
        <v>5474</v>
      </c>
      <c r="I6968" t="s">
        <v>26065</v>
      </c>
      <c r="J6968" t="s">
        <v>5476</v>
      </c>
      <c r="K6968" t="s">
        <v>26066</v>
      </c>
      <c r="L6968" t="s">
        <v>5471</v>
      </c>
      <c r="M6968" t="s">
        <v>5471</v>
      </c>
    </row>
    <row r="6969" spans="1:13" x14ac:dyDescent="0.3">
      <c r="A6969" t="s">
        <v>3383</v>
      </c>
      <c r="B6969" t="s">
        <v>8875</v>
      </c>
      <c r="C6969" t="s">
        <v>5470</v>
      </c>
      <c r="D6969" t="s">
        <v>4056</v>
      </c>
      <c r="E6969" t="s">
        <v>5532</v>
      </c>
      <c r="F6969" t="s">
        <v>26067</v>
      </c>
      <c r="G6969" t="s">
        <v>25797</v>
      </c>
      <c r="H6969" t="s">
        <v>5474</v>
      </c>
      <c r="I6969" t="s">
        <v>26068</v>
      </c>
      <c r="J6969" t="s">
        <v>5476</v>
      </c>
      <c r="K6969" t="s">
        <v>26069</v>
      </c>
      <c r="L6969" t="s">
        <v>5471</v>
      </c>
      <c r="M6969" t="s">
        <v>5471</v>
      </c>
    </row>
    <row r="6970" spans="1:13" x14ac:dyDescent="0.3">
      <c r="A6970" t="s">
        <v>3380</v>
      </c>
      <c r="B6970" t="s">
        <v>11061</v>
      </c>
      <c r="C6970" t="s">
        <v>6342</v>
      </c>
      <c r="D6970" t="s">
        <v>4119</v>
      </c>
      <c r="E6970" t="s">
        <v>5532</v>
      </c>
      <c r="F6970" t="s">
        <v>26070</v>
      </c>
      <c r="G6970" t="s">
        <v>26035</v>
      </c>
      <c r="H6970" t="s">
        <v>5474</v>
      </c>
      <c r="I6970" t="s">
        <v>26071</v>
      </c>
      <c r="J6970" t="s">
        <v>5476</v>
      </c>
      <c r="K6970" t="s">
        <v>25961</v>
      </c>
      <c r="L6970" t="s">
        <v>5471</v>
      </c>
      <c r="M6970" t="s">
        <v>5471</v>
      </c>
    </row>
    <row r="6971" spans="1:13" x14ac:dyDescent="0.3">
      <c r="A6971" t="s">
        <v>3383</v>
      </c>
      <c r="B6971" t="s">
        <v>8875</v>
      </c>
      <c r="C6971" t="s">
        <v>5470</v>
      </c>
      <c r="D6971" t="s">
        <v>4056</v>
      </c>
      <c r="E6971" t="s">
        <v>5532</v>
      </c>
      <c r="F6971" t="s">
        <v>26072</v>
      </c>
      <c r="G6971" t="s">
        <v>26073</v>
      </c>
      <c r="H6971" t="s">
        <v>5474</v>
      </c>
      <c r="I6971" t="s">
        <v>26074</v>
      </c>
      <c r="J6971" t="s">
        <v>5476</v>
      </c>
      <c r="K6971" t="s">
        <v>26075</v>
      </c>
      <c r="L6971" t="s">
        <v>5471</v>
      </c>
      <c r="M6971" t="s">
        <v>5471</v>
      </c>
    </row>
    <row r="6972" spans="1:13" x14ac:dyDescent="0.3">
      <c r="A6972" t="s">
        <v>3380</v>
      </c>
      <c r="B6972" t="s">
        <v>11061</v>
      </c>
      <c r="C6972" t="s">
        <v>6342</v>
      </c>
      <c r="D6972" t="s">
        <v>4119</v>
      </c>
      <c r="E6972" t="s">
        <v>5532</v>
      </c>
      <c r="F6972" t="s">
        <v>26076</v>
      </c>
      <c r="G6972" t="s">
        <v>17099</v>
      </c>
      <c r="H6972" t="s">
        <v>5474</v>
      </c>
      <c r="I6972" t="s">
        <v>26077</v>
      </c>
      <c r="J6972" t="s">
        <v>5476</v>
      </c>
      <c r="K6972" t="s">
        <v>25961</v>
      </c>
      <c r="L6972" t="s">
        <v>5471</v>
      </c>
      <c r="M6972" t="s">
        <v>5471</v>
      </c>
    </row>
    <row r="6973" spans="1:13" x14ac:dyDescent="0.3">
      <c r="A6973" t="s">
        <v>3383</v>
      </c>
      <c r="B6973" t="s">
        <v>8875</v>
      </c>
      <c r="C6973" t="s">
        <v>5470</v>
      </c>
      <c r="D6973" t="s">
        <v>4056</v>
      </c>
      <c r="E6973" t="s">
        <v>5532</v>
      </c>
      <c r="F6973" t="s">
        <v>26078</v>
      </c>
      <c r="G6973" t="s">
        <v>26073</v>
      </c>
      <c r="H6973" t="s">
        <v>5474</v>
      </c>
      <c r="I6973" t="s">
        <v>26079</v>
      </c>
      <c r="J6973" t="s">
        <v>5476</v>
      </c>
      <c r="K6973" t="s">
        <v>26080</v>
      </c>
      <c r="L6973" t="s">
        <v>5471</v>
      </c>
      <c r="M6973" t="s">
        <v>5471</v>
      </c>
    </row>
    <row r="6974" spans="1:13" x14ac:dyDescent="0.3">
      <c r="A6974" t="s">
        <v>3380</v>
      </c>
      <c r="B6974" t="s">
        <v>11061</v>
      </c>
      <c r="C6974" t="s">
        <v>6342</v>
      </c>
      <c r="D6974" t="s">
        <v>4119</v>
      </c>
      <c r="E6974" t="s">
        <v>5532</v>
      </c>
      <c r="F6974" t="s">
        <v>26081</v>
      </c>
      <c r="G6974" t="s">
        <v>26082</v>
      </c>
      <c r="H6974" t="s">
        <v>5474</v>
      </c>
      <c r="I6974" t="s">
        <v>26083</v>
      </c>
      <c r="J6974" t="s">
        <v>5476</v>
      </c>
      <c r="K6974" t="s">
        <v>25961</v>
      </c>
      <c r="L6974" t="s">
        <v>5471</v>
      </c>
      <c r="M6974" t="s">
        <v>5471</v>
      </c>
    </row>
    <row r="6975" spans="1:13" x14ac:dyDescent="0.3">
      <c r="A6975" t="s">
        <v>3380</v>
      </c>
      <c r="B6975" t="s">
        <v>10132</v>
      </c>
      <c r="C6975" t="s">
        <v>6342</v>
      </c>
      <c r="D6975" t="s">
        <v>10218</v>
      </c>
      <c r="E6975" t="s">
        <v>5532</v>
      </c>
      <c r="F6975" t="s">
        <v>26084</v>
      </c>
      <c r="G6975" t="s">
        <v>26085</v>
      </c>
      <c r="H6975" t="s">
        <v>5474</v>
      </c>
      <c r="I6975" t="s">
        <v>26086</v>
      </c>
      <c r="J6975" t="s">
        <v>5476</v>
      </c>
      <c r="K6975" t="s">
        <v>26059</v>
      </c>
      <c r="L6975" t="s">
        <v>5471</v>
      </c>
      <c r="M6975" t="s">
        <v>5471</v>
      </c>
    </row>
    <row r="6976" spans="1:13" x14ac:dyDescent="0.3">
      <c r="A6976" t="s">
        <v>3383</v>
      </c>
      <c r="B6976" t="s">
        <v>8875</v>
      </c>
      <c r="C6976" t="s">
        <v>5470</v>
      </c>
      <c r="D6976" t="s">
        <v>4056</v>
      </c>
      <c r="E6976" t="s">
        <v>5532</v>
      </c>
      <c r="F6976" t="s">
        <v>26087</v>
      </c>
      <c r="G6976" t="s">
        <v>26073</v>
      </c>
      <c r="H6976" t="s">
        <v>5474</v>
      </c>
      <c r="I6976" t="s">
        <v>26088</v>
      </c>
      <c r="J6976" t="s">
        <v>5476</v>
      </c>
      <c r="K6976" t="s">
        <v>26089</v>
      </c>
      <c r="L6976" t="s">
        <v>5471</v>
      </c>
      <c r="M6976" t="s">
        <v>5471</v>
      </c>
    </row>
    <row r="6977" spans="1:13" x14ac:dyDescent="0.3">
      <c r="A6977" t="s">
        <v>3380</v>
      </c>
      <c r="B6977" t="s">
        <v>11061</v>
      </c>
      <c r="C6977" t="s">
        <v>6342</v>
      </c>
      <c r="D6977" t="s">
        <v>4119</v>
      </c>
      <c r="E6977" t="s">
        <v>5532</v>
      </c>
      <c r="F6977" t="s">
        <v>26090</v>
      </c>
      <c r="G6977" t="s">
        <v>26041</v>
      </c>
      <c r="H6977" t="s">
        <v>5474</v>
      </c>
      <c r="I6977" t="s">
        <v>26091</v>
      </c>
      <c r="J6977" t="s">
        <v>5476</v>
      </c>
      <c r="K6977" t="s">
        <v>25961</v>
      </c>
      <c r="L6977" t="s">
        <v>5471</v>
      </c>
      <c r="M6977" t="s">
        <v>5471</v>
      </c>
    </row>
    <row r="6978" spans="1:13" x14ac:dyDescent="0.3">
      <c r="A6978" t="s">
        <v>3383</v>
      </c>
      <c r="B6978" t="s">
        <v>6122</v>
      </c>
      <c r="C6978" t="s">
        <v>5470</v>
      </c>
      <c r="D6978" t="s">
        <v>4058</v>
      </c>
      <c r="E6978" t="s">
        <v>5756</v>
      </c>
      <c r="F6978" t="s">
        <v>26092</v>
      </c>
      <c r="G6978" t="s">
        <v>26093</v>
      </c>
      <c r="H6978" t="s">
        <v>5474</v>
      </c>
      <c r="I6978" t="s">
        <v>26094</v>
      </c>
      <c r="J6978" t="s">
        <v>5484</v>
      </c>
      <c r="K6978" t="s">
        <v>26095</v>
      </c>
      <c r="L6978" t="s">
        <v>5471</v>
      </c>
      <c r="M6978" t="s">
        <v>5471</v>
      </c>
    </row>
    <row r="6979" spans="1:13" x14ac:dyDescent="0.3">
      <c r="A6979" t="s">
        <v>3380</v>
      </c>
      <c r="B6979" t="s">
        <v>5306</v>
      </c>
      <c r="C6979" t="s">
        <v>6342</v>
      </c>
      <c r="D6979" t="s">
        <v>4119</v>
      </c>
      <c r="E6979" t="s">
        <v>9935</v>
      </c>
      <c r="F6979" t="s">
        <v>26096</v>
      </c>
      <c r="G6979" t="s">
        <v>17225</v>
      </c>
      <c r="H6979" t="s">
        <v>5474</v>
      </c>
      <c r="I6979" t="s">
        <v>26097</v>
      </c>
      <c r="J6979" t="s">
        <v>5476</v>
      </c>
      <c r="K6979" t="s">
        <v>25967</v>
      </c>
      <c r="L6979" t="s">
        <v>5471</v>
      </c>
      <c r="M6979" t="s">
        <v>5471</v>
      </c>
    </row>
    <row r="6980" spans="1:13" x14ac:dyDescent="0.3">
      <c r="A6980" t="s">
        <v>3380</v>
      </c>
      <c r="B6980" t="s">
        <v>5306</v>
      </c>
      <c r="C6980" t="s">
        <v>6342</v>
      </c>
      <c r="D6980" t="s">
        <v>4119</v>
      </c>
      <c r="E6980" t="s">
        <v>9935</v>
      </c>
      <c r="F6980" t="s">
        <v>26098</v>
      </c>
      <c r="G6980" t="s">
        <v>17225</v>
      </c>
      <c r="H6980" t="s">
        <v>5474</v>
      </c>
      <c r="I6980" t="s">
        <v>26099</v>
      </c>
      <c r="J6980" t="s">
        <v>5476</v>
      </c>
      <c r="K6980" t="s">
        <v>25976</v>
      </c>
      <c r="L6980" t="s">
        <v>5471</v>
      </c>
      <c r="M6980" t="s">
        <v>5471</v>
      </c>
    </row>
    <row r="6981" spans="1:13" x14ac:dyDescent="0.3">
      <c r="A6981" t="s">
        <v>3380</v>
      </c>
      <c r="B6981" t="s">
        <v>5261</v>
      </c>
      <c r="C6981" t="s">
        <v>6342</v>
      </c>
      <c r="D6981" t="s">
        <v>4119</v>
      </c>
      <c r="E6981" t="s">
        <v>9935</v>
      </c>
      <c r="F6981" t="s">
        <v>26100</v>
      </c>
      <c r="G6981" t="s">
        <v>16694</v>
      </c>
      <c r="H6981" t="s">
        <v>5474</v>
      </c>
      <c r="I6981" t="s">
        <v>26101</v>
      </c>
      <c r="J6981" t="s">
        <v>5476</v>
      </c>
      <c r="K6981" t="s">
        <v>18301</v>
      </c>
      <c r="L6981" t="s">
        <v>5471</v>
      </c>
      <c r="M6981" t="s">
        <v>5471</v>
      </c>
    </row>
    <row r="6982" spans="1:13" x14ac:dyDescent="0.3">
      <c r="A6982" t="s">
        <v>3380</v>
      </c>
      <c r="B6982" t="s">
        <v>11061</v>
      </c>
      <c r="C6982" t="s">
        <v>6342</v>
      </c>
      <c r="D6982" t="s">
        <v>4119</v>
      </c>
      <c r="E6982" t="s">
        <v>5617</v>
      </c>
      <c r="F6982" t="s">
        <v>26102</v>
      </c>
      <c r="G6982" t="s">
        <v>11063</v>
      </c>
      <c r="H6982" t="s">
        <v>5474</v>
      </c>
      <c r="I6982" t="s">
        <v>26103</v>
      </c>
      <c r="J6982" t="s">
        <v>5476</v>
      </c>
      <c r="K6982" t="s">
        <v>25961</v>
      </c>
      <c r="L6982" t="s">
        <v>5471</v>
      </c>
      <c r="M6982" t="s">
        <v>5471</v>
      </c>
    </row>
    <row r="6983" spans="1:13" x14ac:dyDescent="0.3">
      <c r="A6983" t="s">
        <v>3380</v>
      </c>
      <c r="B6983" t="s">
        <v>11061</v>
      </c>
      <c r="C6983" t="s">
        <v>6342</v>
      </c>
      <c r="D6983" t="s">
        <v>4119</v>
      </c>
      <c r="E6983" t="s">
        <v>5617</v>
      </c>
      <c r="F6983" t="s">
        <v>26104</v>
      </c>
      <c r="G6983" t="s">
        <v>26016</v>
      </c>
      <c r="H6983" t="s">
        <v>5474</v>
      </c>
      <c r="I6983" t="s">
        <v>26105</v>
      </c>
      <c r="J6983" t="s">
        <v>5476</v>
      </c>
      <c r="K6983" t="s">
        <v>25961</v>
      </c>
      <c r="L6983" t="s">
        <v>5471</v>
      </c>
      <c r="M6983" t="s">
        <v>5471</v>
      </c>
    </row>
    <row r="6984" spans="1:13" x14ac:dyDescent="0.3">
      <c r="A6984" t="s">
        <v>3380</v>
      </c>
      <c r="B6984" t="s">
        <v>5261</v>
      </c>
      <c r="C6984" t="s">
        <v>6342</v>
      </c>
      <c r="D6984" t="s">
        <v>4119</v>
      </c>
      <c r="E6984" t="s">
        <v>9935</v>
      </c>
      <c r="F6984" t="s">
        <v>26106</v>
      </c>
      <c r="G6984" t="s">
        <v>16694</v>
      </c>
      <c r="H6984" t="s">
        <v>5474</v>
      </c>
      <c r="I6984" t="s">
        <v>26107</v>
      </c>
      <c r="J6984" t="s">
        <v>5476</v>
      </c>
      <c r="K6984" t="s">
        <v>18298</v>
      </c>
      <c r="L6984" t="s">
        <v>5471</v>
      </c>
      <c r="M6984" t="s">
        <v>5471</v>
      </c>
    </row>
    <row r="6985" spans="1:13" x14ac:dyDescent="0.3">
      <c r="A6985" t="s">
        <v>3380</v>
      </c>
      <c r="B6985" t="s">
        <v>11061</v>
      </c>
      <c r="C6985" t="s">
        <v>6342</v>
      </c>
      <c r="D6985" t="s">
        <v>4119</v>
      </c>
      <c r="E6985" t="s">
        <v>5617</v>
      </c>
      <c r="F6985" t="s">
        <v>26108</v>
      </c>
      <c r="G6985" t="s">
        <v>26026</v>
      </c>
      <c r="H6985" t="s">
        <v>5474</v>
      </c>
      <c r="I6985" t="s">
        <v>26109</v>
      </c>
      <c r="J6985" t="s">
        <v>5476</v>
      </c>
      <c r="K6985" t="s">
        <v>25961</v>
      </c>
      <c r="L6985" t="s">
        <v>5471</v>
      </c>
      <c r="M6985" t="s">
        <v>5471</v>
      </c>
    </row>
    <row r="6986" spans="1:13" x14ac:dyDescent="0.3">
      <c r="A6986" t="s">
        <v>3383</v>
      </c>
      <c r="B6986" t="s">
        <v>6122</v>
      </c>
      <c r="C6986" t="s">
        <v>5470</v>
      </c>
      <c r="D6986" t="s">
        <v>4058</v>
      </c>
      <c r="E6986" t="s">
        <v>5756</v>
      </c>
      <c r="F6986" t="s">
        <v>26110</v>
      </c>
      <c r="G6986" t="s">
        <v>12004</v>
      </c>
      <c r="H6986" t="s">
        <v>5474</v>
      </c>
      <c r="I6986" t="s">
        <v>26111</v>
      </c>
      <c r="J6986" t="s">
        <v>5484</v>
      </c>
      <c r="K6986" t="s">
        <v>26112</v>
      </c>
      <c r="L6986" t="s">
        <v>5471</v>
      </c>
      <c r="M6986" t="s">
        <v>5471</v>
      </c>
    </row>
    <row r="6987" spans="1:13" x14ac:dyDescent="0.3">
      <c r="A6987" t="s">
        <v>3380</v>
      </c>
      <c r="B6987" t="s">
        <v>26113</v>
      </c>
      <c r="C6987" t="s">
        <v>6342</v>
      </c>
      <c r="D6987" t="s">
        <v>4119</v>
      </c>
      <c r="E6987" t="s">
        <v>5532</v>
      </c>
      <c r="F6987" t="s">
        <v>26114</v>
      </c>
      <c r="G6987" t="s">
        <v>26115</v>
      </c>
      <c r="H6987" t="s">
        <v>5474</v>
      </c>
      <c r="I6987" t="s">
        <v>26116</v>
      </c>
      <c r="J6987" t="s">
        <v>5476</v>
      </c>
      <c r="K6987" t="s">
        <v>18301</v>
      </c>
      <c r="L6987" t="s">
        <v>5471</v>
      </c>
      <c r="M6987" t="s">
        <v>5471</v>
      </c>
    </row>
    <row r="6988" spans="1:13" x14ac:dyDescent="0.3">
      <c r="A6988" t="s">
        <v>3380</v>
      </c>
      <c r="B6988" t="s">
        <v>10132</v>
      </c>
      <c r="C6988" t="s">
        <v>6342</v>
      </c>
      <c r="D6988" t="s">
        <v>10218</v>
      </c>
      <c r="E6988" t="s">
        <v>5532</v>
      </c>
      <c r="F6988" t="s">
        <v>26117</v>
      </c>
      <c r="G6988" t="s">
        <v>26118</v>
      </c>
      <c r="H6988" t="s">
        <v>5474</v>
      </c>
      <c r="I6988" t="s">
        <v>26119</v>
      </c>
      <c r="J6988" t="s">
        <v>5476</v>
      </c>
      <c r="K6988" t="s">
        <v>25190</v>
      </c>
      <c r="L6988" t="s">
        <v>5471</v>
      </c>
      <c r="M6988" t="s">
        <v>5471</v>
      </c>
    </row>
    <row r="6989" spans="1:13" x14ac:dyDescent="0.3">
      <c r="A6989" t="s">
        <v>3380</v>
      </c>
      <c r="B6989" t="s">
        <v>26113</v>
      </c>
      <c r="C6989" t="s">
        <v>6342</v>
      </c>
      <c r="D6989" t="s">
        <v>4119</v>
      </c>
      <c r="E6989" t="s">
        <v>5532</v>
      </c>
      <c r="F6989" t="s">
        <v>26120</v>
      </c>
      <c r="G6989" t="s">
        <v>26115</v>
      </c>
      <c r="H6989" t="s">
        <v>5474</v>
      </c>
      <c r="I6989" t="s">
        <v>26121</v>
      </c>
      <c r="J6989" t="s">
        <v>5476</v>
      </c>
      <c r="K6989" t="s">
        <v>18298</v>
      </c>
      <c r="L6989" t="s">
        <v>5471</v>
      </c>
      <c r="M6989" t="s">
        <v>5471</v>
      </c>
    </row>
    <row r="6990" spans="1:13" x14ac:dyDescent="0.3">
      <c r="A6990" t="s">
        <v>3380</v>
      </c>
      <c r="B6990" t="s">
        <v>10105</v>
      </c>
      <c r="C6990" t="s">
        <v>6342</v>
      </c>
      <c r="D6990" t="s">
        <v>10218</v>
      </c>
      <c r="E6990" t="s">
        <v>5532</v>
      </c>
      <c r="F6990" t="s">
        <v>26122</v>
      </c>
      <c r="G6990" t="s">
        <v>17113</v>
      </c>
      <c r="H6990" t="s">
        <v>5474</v>
      </c>
      <c r="I6990" t="s">
        <v>26123</v>
      </c>
      <c r="J6990" t="s">
        <v>5476</v>
      </c>
      <c r="K6990" t="s">
        <v>26124</v>
      </c>
      <c r="L6990" t="s">
        <v>5471</v>
      </c>
      <c r="M6990" t="s">
        <v>5471</v>
      </c>
    </row>
    <row r="6991" spans="1:13" x14ac:dyDescent="0.3">
      <c r="A6991" t="s">
        <v>3380</v>
      </c>
      <c r="B6991" t="s">
        <v>20490</v>
      </c>
      <c r="C6991" t="s">
        <v>6342</v>
      </c>
      <c r="D6991" t="s">
        <v>10218</v>
      </c>
      <c r="E6991" t="s">
        <v>5532</v>
      </c>
      <c r="F6991" t="s">
        <v>26125</v>
      </c>
      <c r="G6991" t="s">
        <v>16263</v>
      </c>
      <c r="H6991" t="s">
        <v>5474</v>
      </c>
      <c r="I6991" t="s">
        <v>26126</v>
      </c>
      <c r="J6991" t="s">
        <v>5476</v>
      </c>
      <c r="K6991" t="s">
        <v>26127</v>
      </c>
      <c r="L6991" t="s">
        <v>5471</v>
      </c>
      <c r="M6991" t="s">
        <v>5471</v>
      </c>
    </row>
    <row r="6992" spans="1:13" x14ac:dyDescent="0.3">
      <c r="A6992" t="s">
        <v>3380</v>
      </c>
      <c r="B6992" t="s">
        <v>16268</v>
      </c>
      <c r="C6992" t="s">
        <v>6342</v>
      </c>
      <c r="D6992" t="s">
        <v>4119</v>
      </c>
      <c r="E6992" t="s">
        <v>5532</v>
      </c>
      <c r="F6992" t="s">
        <v>26128</v>
      </c>
      <c r="G6992" t="s">
        <v>16270</v>
      </c>
      <c r="H6992" t="s">
        <v>5474</v>
      </c>
      <c r="I6992" t="s">
        <v>26129</v>
      </c>
      <c r="J6992" t="s">
        <v>5476</v>
      </c>
      <c r="K6992" t="s">
        <v>18301</v>
      </c>
      <c r="L6992" t="s">
        <v>5471</v>
      </c>
      <c r="M6992" t="s">
        <v>5471</v>
      </c>
    </row>
    <row r="6993" spans="1:13" x14ac:dyDescent="0.3">
      <c r="A6993" t="s">
        <v>3380</v>
      </c>
      <c r="B6993" t="s">
        <v>16268</v>
      </c>
      <c r="C6993" t="s">
        <v>6342</v>
      </c>
      <c r="D6993" t="s">
        <v>4119</v>
      </c>
      <c r="E6993" t="s">
        <v>5532</v>
      </c>
      <c r="F6993" t="s">
        <v>26130</v>
      </c>
      <c r="G6993" t="s">
        <v>16270</v>
      </c>
      <c r="H6993" t="s">
        <v>5474</v>
      </c>
      <c r="I6993" t="s">
        <v>26131</v>
      </c>
      <c r="J6993" t="s">
        <v>5476</v>
      </c>
      <c r="K6993" t="s">
        <v>18298</v>
      </c>
      <c r="L6993" t="s">
        <v>5471</v>
      </c>
      <c r="M6993" t="s">
        <v>5471</v>
      </c>
    </row>
    <row r="6994" spans="1:13" x14ac:dyDescent="0.3">
      <c r="A6994" t="s">
        <v>3383</v>
      </c>
      <c r="B6994" t="s">
        <v>6122</v>
      </c>
      <c r="C6994" t="s">
        <v>5470</v>
      </c>
      <c r="D6994" t="s">
        <v>4119</v>
      </c>
      <c r="E6994" t="s">
        <v>5756</v>
      </c>
      <c r="F6994" t="s">
        <v>26132</v>
      </c>
      <c r="G6994" t="s">
        <v>8524</v>
      </c>
      <c r="H6994" t="s">
        <v>5474</v>
      </c>
      <c r="I6994" t="s">
        <v>26133</v>
      </c>
      <c r="J6994" t="s">
        <v>5484</v>
      </c>
      <c r="K6994" t="s">
        <v>10928</v>
      </c>
      <c r="L6994" t="s">
        <v>5471</v>
      </c>
      <c r="M6994" t="s">
        <v>5471</v>
      </c>
    </row>
    <row r="6995" spans="1:13" x14ac:dyDescent="0.3">
      <c r="A6995" t="s">
        <v>3383</v>
      </c>
      <c r="B6995" t="s">
        <v>6122</v>
      </c>
      <c r="C6995" t="s">
        <v>5470</v>
      </c>
      <c r="D6995" t="s">
        <v>4119</v>
      </c>
      <c r="E6995" t="s">
        <v>5756</v>
      </c>
      <c r="F6995" t="s">
        <v>26134</v>
      </c>
      <c r="G6995" t="s">
        <v>7497</v>
      </c>
      <c r="H6995" t="s">
        <v>5474</v>
      </c>
      <c r="I6995" t="s">
        <v>26135</v>
      </c>
      <c r="J6995" t="s">
        <v>5476</v>
      </c>
      <c r="K6995" t="s">
        <v>10928</v>
      </c>
      <c r="L6995" t="s">
        <v>5471</v>
      </c>
      <c r="M6995" t="s">
        <v>5471</v>
      </c>
    </row>
    <row r="6996" spans="1:13" x14ac:dyDescent="0.3">
      <c r="A6996" t="s">
        <v>3383</v>
      </c>
      <c r="B6996" t="s">
        <v>6018</v>
      </c>
      <c r="C6996" t="s">
        <v>5470</v>
      </c>
      <c r="D6996" t="s">
        <v>4119</v>
      </c>
      <c r="E6996" t="s">
        <v>5756</v>
      </c>
      <c r="F6996" t="s">
        <v>26136</v>
      </c>
      <c r="G6996" t="s">
        <v>8804</v>
      </c>
      <c r="H6996" t="s">
        <v>5474</v>
      </c>
      <c r="I6996" t="s">
        <v>26137</v>
      </c>
      <c r="J6996" t="s">
        <v>5484</v>
      </c>
      <c r="K6996" t="s">
        <v>26138</v>
      </c>
      <c r="L6996" t="s">
        <v>5471</v>
      </c>
      <c r="M6996" t="s">
        <v>5471</v>
      </c>
    </row>
    <row r="6997" spans="1:13" x14ac:dyDescent="0.3">
      <c r="A6997" t="s">
        <v>3383</v>
      </c>
      <c r="B6997" t="s">
        <v>8922</v>
      </c>
      <c r="C6997" t="s">
        <v>5470</v>
      </c>
      <c r="D6997" t="s">
        <v>10218</v>
      </c>
      <c r="E6997" t="s">
        <v>5532</v>
      </c>
      <c r="F6997" t="s">
        <v>26139</v>
      </c>
      <c r="G6997" t="s">
        <v>26140</v>
      </c>
      <c r="H6997" t="s">
        <v>5474</v>
      </c>
      <c r="I6997" t="s">
        <v>26141</v>
      </c>
      <c r="J6997" t="s">
        <v>5484</v>
      </c>
      <c r="K6997" t="s">
        <v>26142</v>
      </c>
      <c r="L6997" t="s">
        <v>5471</v>
      </c>
      <c r="M6997" t="s">
        <v>5471</v>
      </c>
    </row>
    <row r="6998" spans="1:13" x14ac:dyDescent="0.3">
      <c r="A6998" t="s">
        <v>3383</v>
      </c>
      <c r="B6998" t="s">
        <v>5294</v>
      </c>
      <c r="C6998" t="s">
        <v>5470</v>
      </c>
      <c r="D6998" t="s">
        <v>4119</v>
      </c>
      <c r="E6998" t="s">
        <v>5756</v>
      </c>
      <c r="F6998" t="s">
        <v>26143</v>
      </c>
      <c r="G6998" t="s">
        <v>12196</v>
      </c>
      <c r="H6998" t="s">
        <v>5474</v>
      </c>
      <c r="I6998" t="s">
        <v>26144</v>
      </c>
      <c r="J6998" t="s">
        <v>5484</v>
      </c>
      <c r="K6998" t="s">
        <v>26145</v>
      </c>
      <c r="L6998" t="s">
        <v>5471</v>
      </c>
      <c r="M6998" t="s">
        <v>5471</v>
      </c>
    </row>
    <row r="6999" spans="1:13" x14ac:dyDescent="0.3">
      <c r="A6999" t="s">
        <v>3383</v>
      </c>
      <c r="B6999" t="s">
        <v>6122</v>
      </c>
      <c r="C6999" t="s">
        <v>5470</v>
      </c>
      <c r="D6999" t="s">
        <v>4058</v>
      </c>
      <c r="E6999" t="s">
        <v>5756</v>
      </c>
      <c r="F6999" t="s">
        <v>26146</v>
      </c>
      <c r="G6999" t="s">
        <v>12004</v>
      </c>
      <c r="H6999" t="s">
        <v>5474</v>
      </c>
      <c r="I6999" t="s">
        <v>26147</v>
      </c>
      <c r="J6999" t="s">
        <v>5484</v>
      </c>
      <c r="K6999" t="s">
        <v>26148</v>
      </c>
      <c r="L6999" t="s">
        <v>5471</v>
      </c>
      <c r="M6999" t="s">
        <v>5471</v>
      </c>
    </row>
    <row r="7000" spans="1:13" x14ac:dyDescent="0.3">
      <c r="A7000" t="s">
        <v>3380</v>
      </c>
      <c r="B7000" t="s">
        <v>9677</v>
      </c>
      <c r="C7000" t="s">
        <v>6342</v>
      </c>
      <c r="D7000" t="s">
        <v>4119</v>
      </c>
      <c r="E7000" t="s">
        <v>9935</v>
      </c>
      <c r="F7000" t="s">
        <v>26149</v>
      </c>
      <c r="G7000" t="s">
        <v>26150</v>
      </c>
      <c r="H7000" t="s">
        <v>5474</v>
      </c>
      <c r="I7000" t="s">
        <v>26151</v>
      </c>
      <c r="J7000" t="s">
        <v>5476</v>
      </c>
      <c r="K7000" t="s">
        <v>23506</v>
      </c>
      <c r="L7000" t="s">
        <v>5471</v>
      </c>
      <c r="M7000" t="s">
        <v>5471</v>
      </c>
    </row>
    <row r="7001" spans="1:13" x14ac:dyDescent="0.3">
      <c r="A7001" t="s">
        <v>3380</v>
      </c>
      <c r="B7001" t="s">
        <v>9677</v>
      </c>
      <c r="C7001" t="s">
        <v>6342</v>
      </c>
      <c r="D7001" t="s">
        <v>4119</v>
      </c>
      <c r="E7001" t="s">
        <v>9935</v>
      </c>
      <c r="F7001" t="s">
        <v>26152</v>
      </c>
      <c r="G7001" t="s">
        <v>26150</v>
      </c>
      <c r="H7001" t="s">
        <v>5474</v>
      </c>
      <c r="I7001" t="s">
        <v>26153</v>
      </c>
      <c r="J7001" t="s">
        <v>5476</v>
      </c>
      <c r="K7001" t="s">
        <v>22735</v>
      </c>
      <c r="L7001" t="s">
        <v>5471</v>
      </c>
      <c r="M7001" t="s">
        <v>5471</v>
      </c>
    </row>
    <row r="7002" spans="1:13" x14ac:dyDescent="0.3">
      <c r="A7002" t="s">
        <v>3383</v>
      </c>
      <c r="B7002" t="s">
        <v>6122</v>
      </c>
      <c r="C7002" t="s">
        <v>5470</v>
      </c>
      <c r="D7002" t="s">
        <v>4058</v>
      </c>
      <c r="E7002" t="s">
        <v>5756</v>
      </c>
      <c r="F7002" t="s">
        <v>26154</v>
      </c>
      <c r="G7002" t="s">
        <v>8524</v>
      </c>
      <c r="H7002" t="s">
        <v>5474</v>
      </c>
      <c r="I7002" t="s">
        <v>26155</v>
      </c>
      <c r="J7002" t="s">
        <v>5484</v>
      </c>
      <c r="K7002" t="s">
        <v>26156</v>
      </c>
      <c r="L7002" t="s">
        <v>5471</v>
      </c>
      <c r="M7002" t="s">
        <v>5471</v>
      </c>
    </row>
    <row r="7003" spans="1:13" x14ac:dyDescent="0.3">
      <c r="A7003" t="s">
        <v>3380</v>
      </c>
      <c r="B7003" t="s">
        <v>9934</v>
      </c>
      <c r="C7003" t="s">
        <v>6342</v>
      </c>
      <c r="D7003" t="s">
        <v>4119</v>
      </c>
      <c r="E7003" t="s">
        <v>9935</v>
      </c>
      <c r="F7003" t="s">
        <v>26157</v>
      </c>
      <c r="G7003" t="s">
        <v>10930</v>
      </c>
      <c r="H7003" t="s">
        <v>5474</v>
      </c>
      <c r="I7003" t="s">
        <v>26158</v>
      </c>
      <c r="J7003" t="s">
        <v>5476</v>
      </c>
      <c r="K7003" t="s">
        <v>23506</v>
      </c>
      <c r="L7003" t="s">
        <v>5471</v>
      </c>
      <c r="M7003" t="s">
        <v>5471</v>
      </c>
    </row>
    <row r="7004" spans="1:13" x14ac:dyDescent="0.3">
      <c r="A7004" t="s">
        <v>3380</v>
      </c>
      <c r="B7004" t="s">
        <v>9934</v>
      </c>
      <c r="C7004" t="s">
        <v>6342</v>
      </c>
      <c r="D7004" t="s">
        <v>4119</v>
      </c>
      <c r="E7004" t="s">
        <v>9935</v>
      </c>
      <c r="F7004" t="s">
        <v>26159</v>
      </c>
      <c r="G7004" t="s">
        <v>10930</v>
      </c>
      <c r="H7004" t="s">
        <v>5474</v>
      </c>
      <c r="I7004" t="s">
        <v>26160</v>
      </c>
      <c r="J7004" t="s">
        <v>5476</v>
      </c>
      <c r="K7004" t="s">
        <v>22735</v>
      </c>
      <c r="L7004" t="s">
        <v>5471</v>
      </c>
      <c r="M7004" t="s">
        <v>5471</v>
      </c>
    </row>
    <row r="7005" spans="1:13" x14ac:dyDescent="0.3">
      <c r="A7005" t="s">
        <v>3380</v>
      </c>
      <c r="B7005" t="s">
        <v>5281</v>
      </c>
      <c r="C7005" t="s">
        <v>5487</v>
      </c>
      <c r="D7005" t="s">
        <v>4119</v>
      </c>
      <c r="E7005" t="s">
        <v>5532</v>
      </c>
      <c r="F7005" t="s">
        <v>26161</v>
      </c>
      <c r="G7005" t="s">
        <v>16799</v>
      </c>
      <c r="H7005" t="s">
        <v>5474</v>
      </c>
      <c r="I7005" t="s">
        <v>26162</v>
      </c>
      <c r="J7005" t="s">
        <v>5476</v>
      </c>
      <c r="K7005" t="s">
        <v>25967</v>
      </c>
      <c r="L7005" t="s">
        <v>5471</v>
      </c>
      <c r="M7005" t="s">
        <v>5471</v>
      </c>
    </row>
    <row r="7006" spans="1:13" x14ac:dyDescent="0.3">
      <c r="A7006" t="s">
        <v>3380</v>
      </c>
      <c r="B7006" t="s">
        <v>5281</v>
      </c>
      <c r="C7006" t="s">
        <v>5487</v>
      </c>
      <c r="D7006" t="s">
        <v>4119</v>
      </c>
      <c r="E7006" t="s">
        <v>5532</v>
      </c>
      <c r="F7006" t="s">
        <v>26163</v>
      </c>
      <c r="G7006" t="s">
        <v>16799</v>
      </c>
      <c r="H7006" t="s">
        <v>5474</v>
      </c>
      <c r="I7006" t="s">
        <v>26164</v>
      </c>
      <c r="J7006" t="s">
        <v>5476</v>
      </c>
      <c r="K7006" t="s">
        <v>25976</v>
      </c>
      <c r="L7006" t="s">
        <v>5471</v>
      </c>
      <c r="M7006" t="s">
        <v>5471</v>
      </c>
    </row>
    <row r="7007" spans="1:13" x14ac:dyDescent="0.3">
      <c r="A7007" t="s">
        <v>3383</v>
      </c>
      <c r="B7007" t="s">
        <v>6122</v>
      </c>
      <c r="C7007" t="s">
        <v>5470</v>
      </c>
      <c r="D7007" t="s">
        <v>4052</v>
      </c>
      <c r="E7007" t="s">
        <v>5756</v>
      </c>
      <c r="F7007" t="s">
        <v>26165</v>
      </c>
      <c r="G7007" t="s">
        <v>8524</v>
      </c>
      <c r="H7007" t="s">
        <v>5474</v>
      </c>
      <c r="I7007" t="s">
        <v>26166</v>
      </c>
      <c r="J7007" t="s">
        <v>5484</v>
      </c>
      <c r="K7007" t="s">
        <v>26167</v>
      </c>
      <c r="L7007" t="s">
        <v>5471</v>
      </c>
      <c r="M7007" t="s">
        <v>5471</v>
      </c>
    </row>
    <row r="7008" spans="1:13" x14ac:dyDescent="0.3">
      <c r="A7008" t="s">
        <v>3383</v>
      </c>
      <c r="B7008" t="s">
        <v>8871</v>
      </c>
      <c r="C7008" t="s">
        <v>5470</v>
      </c>
      <c r="D7008" t="s">
        <v>4052</v>
      </c>
      <c r="E7008" t="s">
        <v>5532</v>
      </c>
      <c r="F7008" t="s">
        <v>26168</v>
      </c>
      <c r="G7008" t="s">
        <v>12221</v>
      </c>
      <c r="H7008" t="s">
        <v>5474</v>
      </c>
      <c r="I7008" t="s">
        <v>26169</v>
      </c>
      <c r="J7008" t="s">
        <v>5484</v>
      </c>
      <c r="K7008" t="s">
        <v>26170</v>
      </c>
      <c r="L7008" t="s">
        <v>5471</v>
      </c>
      <c r="M7008" t="s">
        <v>5471</v>
      </c>
    </row>
    <row r="7009" spans="1:13" x14ac:dyDescent="0.3">
      <c r="A7009" t="s">
        <v>3383</v>
      </c>
      <c r="B7009" t="s">
        <v>8875</v>
      </c>
      <c r="C7009" t="s">
        <v>5470</v>
      </c>
      <c r="D7009" t="s">
        <v>4119</v>
      </c>
      <c r="E7009" t="s">
        <v>5532</v>
      </c>
      <c r="F7009" t="s">
        <v>26171</v>
      </c>
      <c r="G7009" t="s">
        <v>8880</v>
      </c>
      <c r="H7009" t="s">
        <v>5474</v>
      </c>
      <c r="I7009" t="s">
        <v>26172</v>
      </c>
      <c r="J7009" t="s">
        <v>5484</v>
      </c>
      <c r="K7009" t="s">
        <v>26173</v>
      </c>
      <c r="L7009" t="s">
        <v>5471</v>
      </c>
      <c r="M7009" t="s">
        <v>5471</v>
      </c>
    </row>
    <row r="7010" spans="1:13" x14ac:dyDescent="0.3">
      <c r="A7010" t="s">
        <v>3383</v>
      </c>
      <c r="B7010" t="s">
        <v>6051</v>
      </c>
      <c r="C7010" t="s">
        <v>5470</v>
      </c>
      <c r="D7010" t="s">
        <v>4119</v>
      </c>
      <c r="E7010" t="s">
        <v>5756</v>
      </c>
      <c r="F7010" t="s">
        <v>26174</v>
      </c>
      <c r="G7010" t="s">
        <v>6204</v>
      </c>
      <c r="H7010" t="s">
        <v>5474</v>
      </c>
      <c r="I7010" t="s">
        <v>26175</v>
      </c>
      <c r="J7010" t="s">
        <v>5484</v>
      </c>
      <c r="K7010" t="s">
        <v>2041</v>
      </c>
      <c r="L7010" t="s">
        <v>5471</v>
      </c>
      <c r="M7010" t="s">
        <v>5471</v>
      </c>
    </row>
    <row r="7011" spans="1:13" x14ac:dyDescent="0.3">
      <c r="A7011" t="s">
        <v>3383</v>
      </c>
      <c r="B7011" t="s">
        <v>6009</v>
      </c>
      <c r="C7011" t="s">
        <v>5470</v>
      </c>
      <c r="D7011" t="s">
        <v>4119</v>
      </c>
      <c r="E7011" t="s">
        <v>5532</v>
      </c>
      <c r="F7011" t="s">
        <v>26176</v>
      </c>
      <c r="G7011" t="s">
        <v>26177</v>
      </c>
      <c r="H7011" t="s">
        <v>5474</v>
      </c>
      <c r="I7011" t="s">
        <v>26178</v>
      </c>
      <c r="J7011" t="s">
        <v>5484</v>
      </c>
      <c r="K7011" t="s">
        <v>26179</v>
      </c>
      <c r="L7011" t="s">
        <v>5471</v>
      </c>
      <c r="M7011" t="s">
        <v>5471</v>
      </c>
    </row>
    <row r="7012" spans="1:13" x14ac:dyDescent="0.3">
      <c r="A7012" t="s">
        <v>3383</v>
      </c>
      <c r="B7012" t="s">
        <v>6187</v>
      </c>
      <c r="C7012" t="s">
        <v>5470</v>
      </c>
      <c r="D7012" t="s">
        <v>4119</v>
      </c>
      <c r="E7012" t="s">
        <v>5532</v>
      </c>
      <c r="F7012" t="s">
        <v>26180</v>
      </c>
      <c r="G7012" t="s">
        <v>26181</v>
      </c>
      <c r="H7012" t="s">
        <v>5474</v>
      </c>
      <c r="I7012" t="s">
        <v>26182</v>
      </c>
      <c r="J7012" t="s">
        <v>5484</v>
      </c>
      <c r="K7012" t="s">
        <v>26183</v>
      </c>
      <c r="L7012" t="s">
        <v>5471</v>
      </c>
      <c r="M7012" t="s">
        <v>5471</v>
      </c>
    </row>
    <row r="7013" spans="1:13" x14ac:dyDescent="0.3">
      <c r="A7013" t="s">
        <v>3383</v>
      </c>
      <c r="B7013" t="s">
        <v>6122</v>
      </c>
      <c r="C7013" t="s">
        <v>5470</v>
      </c>
      <c r="D7013" t="s">
        <v>4119</v>
      </c>
      <c r="E7013" t="s">
        <v>5532</v>
      </c>
      <c r="F7013" t="s">
        <v>26184</v>
      </c>
      <c r="G7013" t="s">
        <v>12337</v>
      </c>
      <c r="H7013" t="s">
        <v>5474</v>
      </c>
      <c r="I7013" t="s">
        <v>26185</v>
      </c>
      <c r="J7013" t="s">
        <v>5484</v>
      </c>
      <c r="K7013" t="s">
        <v>26186</v>
      </c>
      <c r="L7013" t="s">
        <v>5471</v>
      </c>
      <c r="M7013" t="s">
        <v>5471</v>
      </c>
    </row>
    <row r="7014" spans="1:13" x14ac:dyDescent="0.3">
      <c r="A7014" t="s">
        <v>3380</v>
      </c>
      <c r="B7014" t="s">
        <v>16094</v>
      </c>
      <c r="C7014" t="s">
        <v>6342</v>
      </c>
      <c r="D7014" t="s">
        <v>4058</v>
      </c>
      <c r="E7014" t="s">
        <v>5843</v>
      </c>
      <c r="F7014" t="s">
        <v>26187</v>
      </c>
      <c r="G7014" t="s">
        <v>16698</v>
      </c>
      <c r="H7014" t="s">
        <v>5474</v>
      </c>
      <c r="I7014" t="s">
        <v>26188</v>
      </c>
      <c r="J7014" t="s">
        <v>5476</v>
      </c>
      <c r="K7014" t="s">
        <v>26189</v>
      </c>
      <c r="L7014" t="s">
        <v>5471</v>
      </c>
      <c r="M7014" t="s">
        <v>5471</v>
      </c>
    </row>
    <row r="7015" spans="1:13" x14ac:dyDescent="0.3">
      <c r="A7015" t="s">
        <v>3383</v>
      </c>
      <c r="B7015" t="s">
        <v>6094</v>
      </c>
      <c r="C7015" t="s">
        <v>5470</v>
      </c>
      <c r="D7015" t="s">
        <v>4052</v>
      </c>
      <c r="E7015" t="s">
        <v>5532</v>
      </c>
      <c r="F7015" t="s">
        <v>26190</v>
      </c>
      <c r="G7015" t="s">
        <v>26191</v>
      </c>
      <c r="H7015" t="s">
        <v>5474</v>
      </c>
      <c r="I7015" t="s">
        <v>26192</v>
      </c>
      <c r="J7015" t="s">
        <v>5484</v>
      </c>
      <c r="K7015" t="s">
        <v>26193</v>
      </c>
      <c r="L7015" t="s">
        <v>5471</v>
      </c>
      <c r="M7015" t="s">
        <v>5471</v>
      </c>
    </row>
    <row r="7016" spans="1:13" x14ac:dyDescent="0.3">
      <c r="A7016" t="s">
        <v>3383</v>
      </c>
      <c r="B7016" t="s">
        <v>5952</v>
      </c>
      <c r="C7016" t="s">
        <v>5470</v>
      </c>
      <c r="D7016" t="s">
        <v>4119</v>
      </c>
      <c r="E7016" t="s">
        <v>5756</v>
      </c>
      <c r="F7016" t="s">
        <v>26194</v>
      </c>
      <c r="G7016" t="s">
        <v>19873</v>
      </c>
      <c r="H7016" t="s">
        <v>5474</v>
      </c>
      <c r="I7016" t="s">
        <v>26195</v>
      </c>
      <c r="J7016" t="s">
        <v>5484</v>
      </c>
      <c r="K7016" t="s">
        <v>26196</v>
      </c>
      <c r="L7016" t="s">
        <v>5471</v>
      </c>
      <c r="M7016" t="s">
        <v>5471</v>
      </c>
    </row>
    <row r="7017" spans="1:13" x14ac:dyDescent="0.3">
      <c r="A7017" t="s">
        <v>3383</v>
      </c>
      <c r="B7017" t="s">
        <v>5952</v>
      </c>
      <c r="C7017" t="s">
        <v>5470</v>
      </c>
      <c r="D7017" t="s">
        <v>4119</v>
      </c>
      <c r="E7017" t="s">
        <v>5756</v>
      </c>
      <c r="F7017" t="s">
        <v>26197</v>
      </c>
      <c r="G7017" t="s">
        <v>7683</v>
      </c>
      <c r="H7017" t="s">
        <v>5474</v>
      </c>
      <c r="I7017" t="s">
        <v>26198</v>
      </c>
      <c r="J7017" t="s">
        <v>5484</v>
      </c>
      <c r="K7017" t="s">
        <v>26199</v>
      </c>
      <c r="L7017" t="s">
        <v>5471</v>
      </c>
      <c r="M7017" t="s">
        <v>5471</v>
      </c>
    </row>
    <row r="7018" spans="1:13" x14ac:dyDescent="0.3">
      <c r="A7018" t="s">
        <v>3383</v>
      </c>
      <c r="B7018" t="s">
        <v>5294</v>
      </c>
      <c r="C7018" t="s">
        <v>5470</v>
      </c>
      <c r="D7018" t="s">
        <v>4119</v>
      </c>
      <c r="E7018" t="s">
        <v>5756</v>
      </c>
      <c r="F7018" t="s">
        <v>26200</v>
      </c>
      <c r="G7018" t="s">
        <v>12196</v>
      </c>
      <c r="H7018" t="s">
        <v>5474</v>
      </c>
      <c r="I7018" t="s">
        <v>26201</v>
      </c>
      <c r="J7018" t="s">
        <v>5484</v>
      </c>
      <c r="K7018" t="s">
        <v>26202</v>
      </c>
      <c r="L7018" t="s">
        <v>5471</v>
      </c>
      <c r="M7018" t="s">
        <v>5471</v>
      </c>
    </row>
    <row r="7019" spans="1:13" x14ac:dyDescent="0.3">
      <c r="A7019" t="s">
        <v>3383</v>
      </c>
      <c r="B7019" t="s">
        <v>5294</v>
      </c>
      <c r="C7019" t="s">
        <v>5470</v>
      </c>
      <c r="D7019" t="s">
        <v>4119</v>
      </c>
      <c r="E7019" t="s">
        <v>5756</v>
      </c>
      <c r="F7019" t="s">
        <v>26203</v>
      </c>
      <c r="G7019" t="s">
        <v>12196</v>
      </c>
      <c r="H7019" t="s">
        <v>5474</v>
      </c>
      <c r="I7019" t="s">
        <v>26204</v>
      </c>
      <c r="J7019" t="s">
        <v>5484</v>
      </c>
      <c r="K7019" t="s">
        <v>26202</v>
      </c>
      <c r="L7019" t="s">
        <v>5471</v>
      </c>
      <c r="M7019" t="s">
        <v>5471</v>
      </c>
    </row>
    <row r="7020" spans="1:13" x14ac:dyDescent="0.3">
      <c r="A7020" t="s">
        <v>3397</v>
      </c>
      <c r="B7020" t="s">
        <v>26205</v>
      </c>
      <c r="C7020" t="s">
        <v>5487</v>
      </c>
      <c r="D7020" t="s">
        <v>4119</v>
      </c>
      <c r="E7020" t="s">
        <v>5595</v>
      </c>
      <c r="F7020" t="s">
        <v>26206</v>
      </c>
      <c r="G7020" t="s">
        <v>14283</v>
      </c>
      <c r="H7020" t="s">
        <v>5474</v>
      </c>
      <c r="I7020" t="s">
        <v>26207</v>
      </c>
      <c r="J7020" t="s">
        <v>5476</v>
      </c>
      <c r="K7020" t="s">
        <v>14285</v>
      </c>
      <c r="L7020" t="s">
        <v>5471</v>
      </c>
      <c r="M7020" t="s">
        <v>5471</v>
      </c>
    </row>
    <row r="7021" spans="1:13" x14ac:dyDescent="0.3">
      <c r="A7021" t="s">
        <v>3380</v>
      </c>
      <c r="B7021" t="s">
        <v>16247</v>
      </c>
      <c r="C7021" t="s">
        <v>6342</v>
      </c>
      <c r="D7021" t="s">
        <v>4119</v>
      </c>
      <c r="E7021" t="s">
        <v>5532</v>
      </c>
      <c r="F7021" t="s">
        <v>26208</v>
      </c>
      <c r="G7021" t="s">
        <v>16249</v>
      </c>
      <c r="H7021" t="s">
        <v>5474</v>
      </c>
      <c r="I7021" t="s">
        <v>26209</v>
      </c>
      <c r="J7021" t="s">
        <v>5476</v>
      </c>
      <c r="K7021" t="s">
        <v>18301</v>
      </c>
      <c r="L7021" t="s">
        <v>5471</v>
      </c>
      <c r="M7021" t="s">
        <v>5471</v>
      </c>
    </row>
    <row r="7022" spans="1:13" x14ac:dyDescent="0.3">
      <c r="A7022" t="s">
        <v>3380</v>
      </c>
      <c r="B7022" t="s">
        <v>16247</v>
      </c>
      <c r="C7022" t="s">
        <v>6342</v>
      </c>
      <c r="D7022" t="s">
        <v>4119</v>
      </c>
      <c r="E7022" t="s">
        <v>5532</v>
      </c>
      <c r="F7022" t="s">
        <v>26210</v>
      </c>
      <c r="G7022" t="s">
        <v>16249</v>
      </c>
      <c r="H7022" t="s">
        <v>5474</v>
      </c>
      <c r="I7022" t="s">
        <v>26211</v>
      </c>
      <c r="J7022" t="s">
        <v>5476</v>
      </c>
      <c r="K7022" t="s">
        <v>18298</v>
      </c>
      <c r="L7022" t="s">
        <v>5471</v>
      </c>
      <c r="M7022" t="s">
        <v>5471</v>
      </c>
    </row>
    <row r="7023" spans="1:13" x14ac:dyDescent="0.3">
      <c r="A7023" t="s">
        <v>3380</v>
      </c>
      <c r="B7023" t="s">
        <v>15592</v>
      </c>
      <c r="C7023" t="s">
        <v>5487</v>
      </c>
      <c r="D7023" t="s">
        <v>4119</v>
      </c>
      <c r="E7023" t="s">
        <v>5843</v>
      </c>
      <c r="F7023" t="s">
        <v>26212</v>
      </c>
      <c r="G7023" t="s">
        <v>16418</v>
      </c>
      <c r="H7023" t="s">
        <v>5474</v>
      </c>
      <c r="I7023" t="s">
        <v>26213</v>
      </c>
      <c r="J7023" t="s">
        <v>5476</v>
      </c>
      <c r="K7023" t="s">
        <v>11006</v>
      </c>
      <c r="L7023" t="s">
        <v>5471</v>
      </c>
      <c r="M7023" t="s">
        <v>5471</v>
      </c>
    </row>
    <row r="7024" spans="1:13" x14ac:dyDescent="0.3">
      <c r="A7024" t="s">
        <v>3380</v>
      </c>
      <c r="B7024" t="s">
        <v>15592</v>
      </c>
      <c r="C7024" t="s">
        <v>5487</v>
      </c>
      <c r="D7024" t="s">
        <v>4119</v>
      </c>
      <c r="E7024" t="s">
        <v>5843</v>
      </c>
      <c r="F7024" t="s">
        <v>26214</v>
      </c>
      <c r="G7024" t="s">
        <v>16418</v>
      </c>
      <c r="H7024" t="s">
        <v>5474</v>
      </c>
      <c r="I7024" t="s">
        <v>26215</v>
      </c>
      <c r="J7024" t="s">
        <v>5476</v>
      </c>
      <c r="K7024" t="s">
        <v>11003</v>
      </c>
      <c r="L7024" t="s">
        <v>5471</v>
      </c>
      <c r="M7024" t="s">
        <v>5471</v>
      </c>
    </row>
    <row r="7025" spans="1:13" x14ac:dyDescent="0.3">
      <c r="A7025" t="s">
        <v>3380</v>
      </c>
      <c r="B7025" t="s">
        <v>15592</v>
      </c>
      <c r="C7025" t="s">
        <v>5487</v>
      </c>
      <c r="D7025" t="s">
        <v>4119</v>
      </c>
      <c r="E7025" t="s">
        <v>5843</v>
      </c>
      <c r="F7025" t="s">
        <v>26216</v>
      </c>
      <c r="G7025" t="s">
        <v>16418</v>
      </c>
      <c r="H7025" t="s">
        <v>5474</v>
      </c>
      <c r="I7025" t="s">
        <v>26217</v>
      </c>
      <c r="J7025" t="s">
        <v>5476</v>
      </c>
      <c r="K7025" t="s">
        <v>16416</v>
      </c>
      <c r="L7025" t="s">
        <v>5471</v>
      </c>
      <c r="M7025" t="s">
        <v>5471</v>
      </c>
    </row>
    <row r="7026" spans="1:13" x14ac:dyDescent="0.3">
      <c r="A7026" t="s">
        <v>3380</v>
      </c>
      <c r="B7026" t="s">
        <v>15592</v>
      </c>
      <c r="C7026" t="s">
        <v>5487</v>
      </c>
      <c r="D7026" t="s">
        <v>4119</v>
      </c>
      <c r="E7026" t="s">
        <v>5843</v>
      </c>
      <c r="F7026" t="s">
        <v>26218</v>
      </c>
      <c r="G7026" t="s">
        <v>16418</v>
      </c>
      <c r="H7026" t="s">
        <v>5474</v>
      </c>
      <c r="I7026" t="s">
        <v>26219</v>
      </c>
      <c r="J7026" t="s">
        <v>5476</v>
      </c>
      <c r="K7026" t="s">
        <v>11009</v>
      </c>
      <c r="L7026" t="s">
        <v>5471</v>
      </c>
      <c r="M7026" t="s">
        <v>5471</v>
      </c>
    </row>
    <row r="7027" spans="1:13" x14ac:dyDescent="0.3">
      <c r="A7027" t="s">
        <v>3380</v>
      </c>
      <c r="B7027" t="s">
        <v>15592</v>
      </c>
      <c r="C7027" t="s">
        <v>5487</v>
      </c>
      <c r="D7027" t="s">
        <v>4119</v>
      </c>
      <c r="E7027" t="s">
        <v>5480</v>
      </c>
      <c r="F7027" t="s">
        <v>26220</v>
      </c>
      <c r="G7027" t="s">
        <v>16418</v>
      </c>
      <c r="H7027" t="s">
        <v>5474</v>
      </c>
      <c r="I7027" t="s">
        <v>26221</v>
      </c>
      <c r="J7027" t="s">
        <v>5476</v>
      </c>
      <c r="K7027" t="s">
        <v>26222</v>
      </c>
      <c r="L7027" t="s">
        <v>5471</v>
      </c>
      <c r="M7027" t="s">
        <v>5471</v>
      </c>
    </row>
    <row r="7028" spans="1:13" x14ac:dyDescent="0.3">
      <c r="A7028" t="s">
        <v>3380</v>
      </c>
      <c r="B7028" t="s">
        <v>18294</v>
      </c>
      <c r="C7028" t="s">
        <v>6342</v>
      </c>
      <c r="D7028" t="s">
        <v>4119</v>
      </c>
      <c r="E7028" t="s">
        <v>9935</v>
      </c>
      <c r="F7028" t="s">
        <v>26223</v>
      </c>
      <c r="G7028" t="s">
        <v>26224</v>
      </c>
      <c r="H7028" t="s">
        <v>5474</v>
      </c>
      <c r="I7028" t="s">
        <v>26225</v>
      </c>
      <c r="J7028" t="s">
        <v>5476</v>
      </c>
      <c r="K7028" t="s">
        <v>25967</v>
      </c>
      <c r="L7028" t="s">
        <v>5471</v>
      </c>
      <c r="M7028" t="s">
        <v>5471</v>
      </c>
    </row>
    <row r="7029" spans="1:13" x14ac:dyDescent="0.3">
      <c r="A7029" t="s">
        <v>3380</v>
      </c>
      <c r="B7029" t="s">
        <v>18294</v>
      </c>
      <c r="C7029" t="s">
        <v>6342</v>
      </c>
      <c r="D7029" t="s">
        <v>4119</v>
      </c>
      <c r="E7029" t="s">
        <v>9935</v>
      </c>
      <c r="F7029" t="s">
        <v>26226</v>
      </c>
      <c r="G7029" t="s">
        <v>26224</v>
      </c>
      <c r="H7029" t="s">
        <v>5474</v>
      </c>
      <c r="I7029" t="s">
        <v>26227</v>
      </c>
      <c r="J7029" t="s">
        <v>5476</v>
      </c>
      <c r="K7029" t="s">
        <v>25976</v>
      </c>
      <c r="L7029" t="s">
        <v>5471</v>
      </c>
      <c r="M7029" t="s">
        <v>5471</v>
      </c>
    </row>
    <row r="7030" spans="1:13" x14ac:dyDescent="0.3">
      <c r="A7030" t="s">
        <v>3380</v>
      </c>
      <c r="B7030" t="s">
        <v>18316</v>
      </c>
      <c r="C7030" t="s">
        <v>6342</v>
      </c>
      <c r="D7030" t="s">
        <v>4119</v>
      </c>
      <c r="E7030" t="s">
        <v>5532</v>
      </c>
      <c r="F7030" t="s">
        <v>26228</v>
      </c>
      <c r="G7030" t="s">
        <v>18318</v>
      </c>
      <c r="H7030" t="s">
        <v>5474</v>
      </c>
      <c r="I7030" t="s">
        <v>26229</v>
      </c>
      <c r="J7030" t="s">
        <v>5476</v>
      </c>
      <c r="K7030" t="s">
        <v>26230</v>
      </c>
      <c r="L7030" t="s">
        <v>5471</v>
      </c>
      <c r="M7030" t="s">
        <v>5471</v>
      </c>
    </row>
    <row r="7031" spans="1:13" x14ac:dyDescent="0.3">
      <c r="A7031" t="s">
        <v>3380</v>
      </c>
      <c r="B7031" t="s">
        <v>18316</v>
      </c>
      <c r="C7031" t="s">
        <v>6342</v>
      </c>
      <c r="D7031" t="s">
        <v>4119</v>
      </c>
      <c r="E7031" t="s">
        <v>5532</v>
      </c>
      <c r="F7031" t="s">
        <v>26231</v>
      </c>
      <c r="G7031" t="s">
        <v>18318</v>
      </c>
      <c r="H7031" t="s">
        <v>5474</v>
      </c>
      <c r="I7031" t="s">
        <v>26232</v>
      </c>
      <c r="J7031" t="s">
        <v>5476</v>
      </c>
      <c r="K7031" t="s">
        <v>26233</v>
      </c>
      <c r="L7031" t="s">
        <v>5471</v>
      </c>
      <c r="M7031" t="s">
        <v>5471</v>
      </c>
    </row>
    <row r="7032" spans="1:13" x14ac:dyDescent="0.3">
      <c r="A7032" t="s">
        <v>3380</v>
      </c>
      <c r="B7032" t="s">
        <v>15592</v>
      </c>
      <c r="C7032" t="s">
        <v>5487</v>
      </c>
      <c r="D7032" t="s">
        <v>4119</v>
      </c>
      <c r="E7032" t="s">
        <v>5480</v>
      </c>
      <c r="F7032" t="s">
        <v>26234</v>
      </c>
      <c r="G7032" t="s">
        <v>16418</v>
      </c>
      <c r="H7032" t="s">
        <v>5474</v>
      </c>
      <c r="I7032" t="s">
        <v>26235</v>
      </c>
      <c r="J7032" t="s">
        <v>5476</v>
      </c>
      <c r="K7032" t="s">
        <v>26236</v>
      </c>
      <c r="L7032" t="s">
        <v>5471</v>
      </c>
      <c r="M7032" t="s">
        <v>5471</v>
      </c>
    </row>
    <row r="7033" spans="1:13" x14ac:dyDescent="0.3">
      <c r="A7033" t="s">
        <v>3380</v>
      </c>
      <c r="B7033" t="s">
        <v>16940</v>
      </c>
      <c r="C7033" t="s">
        <v>6342</v>
      </c>
      <c r="D7033" t="s">
        <v>4119</v>
      </c>
      <c r="E7033" t="s">
        <v>5532</v>
      </c>
      <c r="F7033" t="s">
        <v>26237</v>
      </c>
      <c r="G7033" t="s">
        <v>16942</v>
      </c>
      <c r="H7033" t="s">
        <v>5474</v>
      </c>
      <c r="I7033" t="s">
        <v>26238</v>
      </c>
      <c r="J7033" t="s">
        <v>5476</v>
      </c>
      <c r="K7033" t="s">
        <v>25967</v>
      </c>
      <c r="L7033" t="s">
        <v>5471</v>
      </c>
      <c r="M7033" t="s">
        <v>5471</v>
      </c>
    </row>
    <row r="7034" spans="1:13" x14ac:dyDescent="0.3">
      <c r="A7034" t="s">
        <v>3380</v>
      </c>
      <c r="B7034" t="s">
        <v>16940</v>
      </c>
      <c r="C7034" t="s">
        <v>6342</v>
      </c>
      <c r="D7034" t="s">
        <v>4119</v>
      </c>
      <c r="E7034" t="s">
        <v>5532</v>
      </c>
      <c r="F7034" t="s">
        <v>26239</v>
      </c>
      <c r="G7034" t="s">
        <v>16942</v>
      </c>
      <c r="H7034" t="s">
        <v>5474</v>
      </c>
      <c r="I7034" t="s">
        <v>26240</v>
      </c>
      <c r="J7034" t="s">
        <v>5476</v>
      </c>
      <c r="K7034" t="s">
        <v>25976</v>
      </c>
      <c r="L7034" t="s">
        <v>5471</v>
      </c>
      <c r="M7034" t="s">
        <v>5471</v>
      </c>
    </row>
    <row r="7035" spans="1:13" x14ac:dyDescent="0.3">
      <c r="A7035" t="s">
        <v>3380</v>
      </c>
      <c r="B7035" t="s">
        <v>18427</v>
      </c>
      <c r="C7035" t="s">
        <v>6342</v>
      </c>
      <c r="D7035" t="s">
        <v>4119</v>
      </c>
      <c r="E7035" t="s">
        <v>5532</v>
      </c>
      <c r="F7035" t="s">
        <v>26241</v>
      </c>
      <c r="G7035" t="s">
        <v>18429</v>
      </c>
      <c r="H7035" t="s">
        <v>5474</v>
      </c>
      <c r="I7035" t="s">
        <v>26242</v>
      </c>
      <c r="J7035" t="s">
        <v>5476</v>
      </c>
      <c r="K7035" t="s">
        <v>18301</v>
      </c>
      <c r="L7035" t="s">
        <v>5471</v>
      </c>
      <c r="M7035" t="s">
        <v>5471</v>
      </c>
    </row>
    <row r="7036" spans="1:13" x14ac:dyDescent="0.3">
      <c r="A7036" t="s">
        <v>3380</v>
      </c>
      <c r="B7036" t="s">
        <v>15592</v>
      </c>
      <c r="C7036" t="s">
        <v>5487</v>
      </c>
      <c r="D7036" t="s">
        <v>4119</v>
      </c>
      <c r="E7036" t="s">
        <v>5843</v>
      </c>
      <c r="F7036" t="s">
        <v>26243</v>
      </c>
      <c r="G7036" t="s">
        <v>16418</v>
      </c>
      <c r="H7036" t="s">
        <v>5474</v>
      </c>
      <c r="I7036" t="s">
        <v>26244</v>
      </c>
      <c r="J7036" t="s">
        <v>5476</v>
      </c>
      <c r="K7036" t="s">
        <v>26245</v>
      </c>
      <c r="L7036" t="s">
        <v>5471</v>
      </c>
      <c r="M7036" t="s">
        <v>5471</v>
      </c>
    </row>
    <row r="7037" spans="1:13" x14ac:dyDescent="0.3">
      <c r="A7037" t="s">
        <v>3380</v>
      </c>
      <c r="B7037" t="s">
        <v>18427</v>
      </c>
      <c r="C7037" t="s">
        <v>6342</v>
      </c>
      <c r="D7037" t="s">
        <v>4119</v>
      </c>
      <c r="E7037" t="s">
        <v>5532</v>
      </c>
      <c r="F7037" t="s">
        <v>26246</v>
      </c>
      <c r="G7037" t="s">
        <v>18429</v>
      </c>
      <c r="H7037" t="s">
        <v>5474</v>
      </c>
      <c r="I7037" t="s">
        <v>26247</v>
      </c>
      <c r="J7037" t="s">
        <v>5476</v>
      </c>
      <c r="K7037" t="s">
        <v>18298</v>
      </c>
      <c r="L7037" t="s">
        <v>5471</v>
      </c>
      <c r="M7037" t="s">
        <v>5471</v>
      </c>
    </row>
    <row r="7038" spans="1:13" x14ac:dyDescent="0.3">
      <c r="A7038" t="s">
        <v>3380</v>
      </c>
      <c r="B7038" t="s">
        <v>15592</v>
      </c>
      <c r="C7038" t="s">
        <v>5487</v>
      </c>
      <c r="D7038" t="s">
        <v>4119</v>
      </c>
      <c r="E7038" t="s">
        <v>5843</v>
      </c>
      <c r="F7038" t="s">
        <v>26248</v>
      </c>
      <c r="G7038" t="s">
        <v>16418</v>
      </c>
      <c r="H7038" t="s">
        <v>5474</v>
      </c>
      <c r="I7038" t="s">
        <v>26249</v>
      </c>
      <c r="J7038" t="s">
        <v>5476</v>
      </c>
      <c r="K7038" t="s">
        <v>25967</v>
      </c>
      <c r="L7038" t="s">
        <v>5471</v>
      </c>
      <c r="M7038" t="s">
        <v>5471</v>
      </c>
    </row>
    <row r="7039" spans="1:13" x14ac:dyDescent="0.3">
      <c r="A7039" t="s">
        <v>3380</v>
      </c>
      <c r="B7039" t="s">
        <v>15592</v>
      </c>
      <c r="C7039" t="s">
        <v>5487</v>
      </c>
      <c r="D7039" t="s">
        <v>4119</v>
      </c>
      <c r="E7039" t="s">
        <v>5843</v>
      </c>
      <c r="F7039" t="s">
        <v>26250</v>
      </c>
      <c r="G7039" t="s">
        <v>16418</v>
      </c>
      <c r="H7039" t="s">
        <v>5474</v>
      </c>
      <c r="I7039" t="s">
        <v>26251</v>
      </c>
      <c r="J7039" t="s">
        <v>5476</v>
      </c>
      <c r="K7039" t="s">
        <v>25976</v>
      </c>
      <c r="L7039" t="s">
        <v>5471</v>
      </c>
      <c r="M7039" t="s">
        <v>5471</v>
      </c>
    </row>
    <row r="7040" spans="1:13" x14ac:dyDescent="0.3">
      <c r="A7040" t="s">
        <v>3397</v>
      </c>
      <c r="B7040" t="s">
        <v>14224</v>
      </c>
      <c r="C7040" t="s">
        <v>5487</v>
      </c>
      <c r="D7040" t="s">
        <v>4119</v>
      </c>
      <c r="E7040" t="s">
        <v>5532</v>
      </c>
      <c r="F7040" t="s">
        <v>26252</v>
      </c>
      <c r="G7040" t="s">
        <v>14221</v>
      </c>
      <c r="H7040" t="s">
        <v>5474</v>
      </c>
      <c r="I7040" t="s">
        <v>26253</v>
      </c>
      <c r="J7040" t="s">
        <v>5476</v>
      </c>
      <c r="K7040" t="s">
        <v>14285</v>
      </c>
      <c r="L7040" t="s">
        <v>5471</v>
      </c>
      <c r="M7040" t="s">
        <v>5471</v>
      </c>
    </row>
    <row r="7041" spans="1:13" x14ac:dyDescent="0.3">
      <c r="A7041" t="s">
        <v>3380</v>
      </c>
      <c r="B7041" t="s">
        <v>16094</v>
      </c>
      <c r="C7041" t="s">
        <v>6342</v>
      </c>
      <c r="D7041" t="s">
        <v>4119</v>
      </c>
      <c r="E7041" t="s">
        <v>5532</v>
      </c>
      <c r="F7041" t="s">
        <v>26254</v>
      </c>
      <c r="G7041" t="s">
        <v>16096</v>
      </c>
      <c r="H7041" t="s">
        <v>5474</v>
      </c>
      <c r="I7041" t="s">
        <v>26255</v>
      </c>
      <c r="J7041" t="s">
        <v>5476</v>
      </c>
      <c r="K7041" t="s">
        <v>18301</v>
      </c>
      <c r="L7041" t="s">
        <v>5471</v>
      </c>
      <c r="M7041" t="s">
        <v>5471</v>
      </c>
    </row>
    <row r="7042" spans="1:13" x14ac:dyDescent="0.3">
      <c r="A7042" t="s">
        <v>3380</v>
      </c>
      <c r="B7042" t="s">
        <v>16094</v>
      </c>
      <c r="C7042" t="s">
        <v>6342</v>
      </c>
      <c r="D7042" t="s">
        <v>4119</v>
      </c>
      <c r="E7042" t="s">
        <v>5532</v>
      </c>
      <c r="F7042" t="s">
        <v>26256</v>
      </c>
      <c r="G7042" t="s">
        <v>16096</v>
      </c>
      <c r="H7042" t="s">
        <v>5474</v>
      </c>
      <c r="I7042" t="s">
        <v>26257</v>
      </c>
      <c r="J7042" t="s">
        <v>5476</v>
      </c>
      <c r="K7042" t="s">
        <v>18298</v>
      </c>
      <c r="L7042" t="s">
        <v>5471</v>
      </c>
      <c r="M7042" t="s">
        <v>5471</v>
      </c>
    </row>
    <row r="7043" spans="1:13" x14ac:dyDescent="0.3">
      <c r="A7043" t="s">
        <v>3397</v>
      </c>
      <c r="B7043" t="s">
        <v>6331</v>
      </c>
      <c r="C7043" t="s">
        <v>5487</v>
      </c>
      <c r="D7043" t="s">
        <v>4119</v>
      </c>
      <c r="E7043" t="s">
        <v>6332</v>
      </c>
      <c r="F7043" t="s">
        <v>26258</v>
      </c>
      <c r="G7043" t="s">
        <v>12582</v>
      </c>
      <c r="H7043" t="s">
        <v>5474</v>
      </c>
      <c r="I7043" t="s">
        <v>26259</v>
      </c>
      <c r="J7043" t="s">
        <v>5476</v>
      </c>
      <c r="K7043" t="s">
        <v>26260</v>
      </c>
      <c r="L7043" t="s">
        <v>5471</v>
      </c>
      <c r="M7043" t="s">
        <v>5471</v>
      </c>
    </row>
    <row r="7044" spans="1:13" x14ac:dyDescent="0.3">
      <c r="A7044" t="s">
        <v>3380</v>
      </c>
      <c r="B7044" t="s">
        <v>26261</v>
      </c>
      <c r="C7044" t="s">
        <v>6342</v>
      </c>
      <c r="D7044" t="s">
        <v>4119</v>
      </c>
      <c r="E7044" t="s">
        <v>5532</v>
      </c>
      <c r="F7044" t="s">
        <v>26262</v>
      </c>
      <c r="G7044" t="s">
        <v>26263</v>
      </c>
      <c r="H7044" t="s">
        <v>5474</v>
      </c>
      <c r="I7044" t="s">
        <v>26264</v>
      </c>
      <c r="J7044" t="s">
        <v>5476</v>
      </c>
      <c r="K7044" t="s">
        <v>26265</v>
      </c>
      <c r="L7044" t="s">
        <v>5471</v>
      </c>
      <c r="M7044" t="s">
        <v>5471</v>
      </c>
    </row>
    <row r="7045" spans="1:13" x14ac:dyDescent="0.3">
      <c r="A7045" t="s">
        <v>3397</v>
      </c>
      <c r="B7045" t="s">
        <v>6331</v>
      </c>
      <c r="C7045" t="s">
        <v>5487</v>
      </c>
      <c r="D7045" t="s">
        <v>4119</v>
      </c>
      <c r="E7045" t="s">
        <v>6332</v>
      </c>
      <c r="F7045" t="s">
        <v>26266</v>
      </c>
      <c r="G7045" t="s">
        <v>12582</v>
      </c>
      <c r="H7045" t="s">
        <v>5474</v>
      </c>
      <c r="I7045" t="s">
        <v>26267</v>
      </c>
      <c r="J7045" t="s">
        <v>5476</v>
      </c>
      <c r="K7045" t="s">
        <v>26268</v>
      </c>
      <c r="L7045" t="s">
        <v>5471</v>
      </c>
      <c r="M7045" t="s">
        <v>5471</v>
      </c>
    </row>
    <row r="7046" spans="1:13" x14ac:dyDescent="0.3">
      <c r="A7046" t="s">
        <v>3380</v>
      </c>
      <c r="B7046" t="s">
        <v>9677</v>
      </c>
      <c r="C7046" t="s">
        <v>6342</v>
      </c>
      <c r="D7046" t="s">
        <v>4119</v>
      </c>
      <c r="E7046" t="s">
        <v>9935</v>
      </c>
      <c r="F7046" t="s">
        <v>26269</v>
      </c>
      <c r="G7046" t="s">
        <v>26150</v>
      </c>
      <c r="H7046" t="s">
        <v>5474</v>
      </c>
      <c r="I7046" t="s">
        <v>26270</v>
      </c>
      <c r="J7046" t="s">
        <v>5476</v>
      </c>
      <c r="K7046" t="s">
        <v>18298</v>
      </c>
      <c r="L7046" t="s">
        <v>5471</v>
      </c>
      <c r="M7046" t="s">
        <v>5471</v>
      </c>
    </row>
    <row r="7047" spans="1:13" x14ac:dyDescent="0.3">
      <c r="A7047" t="s">
        <v>3380</v>
      </c>
      <c r="B7047" t="s">
        <v>26261</v>
      </c>
      <c r="C7047" t="s">
        <v>6342</v>
      </c>
      <c r="D7047" t="s">
        <v>4119</v>
      </c>
      <c r="E7047" t="s">
        <v>5532</v>
      </c>
      <c r="F7047" t="s">
        <v>26271</v>
      </c>
      <c r="G7047" t="s">
        <v>26272</v>
      </c>
      <c r="H7047" t="s">
        <v>5474</v>
      </c>
      <c r="I7047" t="s">
        <v>26273</v>
      </c>
      <c r="J7047" t="s">
        <v>5476</v>
      </c>
      <c r="K7047" t="s">
        <v>26274</v>
      </c>
      <c r="L7047" t="s">
        <v>5471</v>
      </c>
      <c r="M7047" t="s">
        <v>5471</v>
      </c>
    </row>
    <row r="7048" spans="1:13" x14ac:dyDescent="0.3">
      <c r="A7048" t="s">
        <v>3380</v>
      </c>
      <c r="B7048" t="s">
        <v>26275</v>
      </c>
      <c r="C7048" t="s">
        <v>6342</v>
      </c>
      <c r="D7048" t="s">
        <v>4119</v>
      </c>
      <c r="E7048" t="s">
        <v>5532</v>
      </c>
      <c r="F7048" t="s">
        <v>26276</v>
      </c>
      <c r="G7048" t="s">
        <v>26277</v>
      </c>
      <c r="H7048" t="s">
        <v>5474</v>
      </c>
      <c r="I7048" t="s">
        <v>26278</v>
      </c>
      <c r="J7048" t="s">
        <v>5476</v>
      </c>
      <c r="K7048" t="s">
        <v>18301</v>
      </c>
      <c r="L7048" t="s">
        <v>5471</v>
      </c>
      <c r="M7048" t="s">
        <v>5471</v>
      </c>
    </row>
    <row r="7049" spans="1:13" x14ac:dyDescent="0.3">
      <c r="A7049" t="s">
        <v>3397</v>
      </c>
      <c r="B7049" t="s">
        <v>6331</v>
      </c>
      <c r="C7049" t="s">
        <v>5487</v>
      </c>
      <c r="D7049" t="s">
        <v>4119</v>
      </c>
      <c r="E7049" t="s">
        <v>6332</v>
      </c>
      <c r="F7049" t="s">
        <v>26279</v>
      </c>
      <c r="G7049" t="s">
        <v>12582</v>
      </c>
      <c r="H7049" t="s">
        <v>5474</v>
      </c>
      <c r="I7049" t="s">
        <v>26280</v>
      </c>
      <c r="J7049" t="s">
        <v>5476</v>
      </c>
      <c r="K7049" t="s">
        <v>26281</v>
      </c>
      <c r="L7049" t="s">
        <v>5471</v>
      </c>
      <c r="M7049" t="s">
        <v>5471</v>
      </c>
    </row>
    <row r="7050" spans="1:13" x14ac:dyDescent="0.3">
      <c r="A7050" t="s">
        <v>3397</v>
      </c>
      <c r="B7050" t="s">
        <v>6331</v>
      </c>
      <c r="C7050" t="s">
        <v>5487</v>
      </c>
      <c r="D7050" t="s">
        <v>4119</v>
      </c>
      <c r="E7050" t="s">
        <v>6332</v>
      </c>
      <c r="F7050" t="s">
        <v>26282</v>
      </c>
      <c r="G7050" t="s">
        <v>12582</v>
      </c>
      <c r="H7050" t="s">
        <v>5474</v>
      </c>
      <c r="I7050" t="s">
        <v>26283</v>
      </c>
      <c r="J7050" t="s">
        <v>5476</v>
      </c>
      <c r="K7050" t="s">
        <v>26284</v>
      </c>
      <c r="L7050" t="s">
        <v>5471</v>
      </c>
      <c r="M7050" t="s">
        <v>5471</v>
      </c>
    </row>
    <row r="7051" spans="1:13" x14ac:dyDescent="0.3">
      <c r="A7051" t="s">
        <v>3380</v>
      </c>
      <c r="B7051" t="s">
        <v>26261</v>
      </c>
      <c r="C7051" t="s">
        <v>6342</v>
      </c>
      <c r="D7051" t="s">
        <v>4119</v>
      </c>
      <c r="E7051" t="s">
        <v>5532</v>
      </c>
      <c r="F7051" t="s">
        <v>26285</v>
      </c>
      <c r="G7051" t="s">
        <v>26286</v>
      </c>
      <c r="H7051" t="s">
        <v>5474</v>
      </c>
      <c r="I7051" t="s">
        <v>26287</v>
      </c>
      <c r="J7051" t="s">
        <v>5476</v>
      </c>
      <c r="K7051" t="s">
        <v>26288</v>
      </c>
      <c r="L7051" t="s">
        <v>5471</v>
      </c>
      <c r="M7051" t="s">
        <v>5471</v>
      </c>
    </row>
    <row r="7052" spans="1:13" x14ac:dyDescent="0.3">
      <c r="A7052" t="s">
        <v>3380</v>
      </c>
      <c r="B7052" t="s">
        <v>26261</v>
      </c>
      <c r="C7052" t="s">
        <v>6342</v>
      </c>
      <c r="D7052" t="s">
        <v>4119</v>
      </c>
      <c r="E7052" t="s">
        <v>5532</v>
      </c>
      <c r="F7052" t="s">
        <v>26289</v>
      </c>
      <c r="G7052" t="s">
        <v>26290</v>
      </c>
      <c r="H7052" t="s">
        <v>5474</v>
      </c>
      <c r="I7052" t="s">
        <v>26291</v>
      </c>
      <c r="J7052" t="s">
        <v>5476</v>
      </c>
      <c r="K7052" t="s">
        <v>26292</v>
      </c>
      <c r="L7052" t="s">
        <v>5471</v>
      </c>
      <c r="M7052" t="s">
        <v>5471</v>
      </c>
    </row>
    <row r="7053" spans="1:13" x14ac:dyDescent="0.3">
      <c r="A7053" t="s">
        <v>3380</v>
      </c>
      <c r="B7053" t="s">
        <v>26275</v>
      </c>
      <c r="C7053" t="s">
        <v>6342</v>
      </c>
      <c r="D7053" t="s">
        <v>4119</v>
      </c>
      <c r="E7053" t="s">
        <v>5532</v>
      </c>
      <c r="F7053" t="s">
        <v>26293</v>
      </c>
      <c r="G7053" t="s">
        <v>26277</v>
      </c>
      <c r="H7053" t="s">
        <v>5474</v>
      </c>
      <c r="I7053" t="s">
        <v>26294</v>
      </c>
      <c r="J7053" t="s">
        <v>5476</v>
      </c>
      <c r="K7053" t="s">
        <v>18308</v>
      </c>
      <c r="L7053" t="s">
        <v>5471</v>
      </c>
      <c r="M7053" t="s">
        <v>5471</v>
      </c>
    </row>
    <row r="7054" spans="1:13" x14ac:dyDescent="0.3">
      <c r="A7054" t="s">
        <v>3397</v>
      </c>
      <c r="B7054" t="s">
        <v>6331</v>
      </c>
      <c r="C7054" t="s">
        <v>5487</v>
      </c>
      <c r="D7054" t="s">
        <v>4119</v>
      </c>
      <c r="E7054" t="s">
        <v>6332</v>
      </c>
      <c r="F7054" t="s">
        <v>26295</v>
      </c>
      <c r="G7054" t="s">
        <v>12582</v>
      </c>
      <c r="H7054" t="s">
        <v>5474</v>
      </c>
      <c r="I7054" t="s">
        <v>26296</v>
      </c>
      <c r="J7054" t="s">
        <v>5476</v>
      </c>
      <c r="K7054" t="s">
        <v>26297</v>
      </c>
      <c r="L7054" t="s">
        <v>5471</v>
      </c>
      <c r="M7054" t="s">
        <v>5471</v>
      </c>
    </row>
    <row r="7055" spans="1:13" x14ac:dyDescent="0.3">
      <c r="A7055" t="s">
        <v>3397</v>
      </c>
      <c r="B7055" t="s">
        <v>6331</v>
      </c>
      <c r="C7055" t="s">
        <v>5487</v>
      </c>
      <c r="D7055" t="s">
        <v>4119</v>
      </c>
      <c r="E7055" t="s">
        <v>6332</v>
      </c>
      <c r="F7055" t="s">
        <v>26298</v>
      </c>
      <c r="G7055" t="s">
        <v>12582</v>
      </c>
      <c r="H7055" t="s">
        <v>5474</v>
      </c>
      <c r="I7055" t="s">
        <v>26299</v>
      </c>
      <c r="J7055" t="s">
        <v>5476</v>
      </c>
      <c r="K7055" t="s">
        <v>26300</v>
      </c>
      <c r="L7055" t="s">
        <v>5471</v>
      </c>
      <c r="M7055" t="s">
        <v>5471</v>
      </c>
    </row>
    <row r="7056" spans="1:13" x14ac:dyDescent="0.3">
      <c r="A7056" t="s">
        <v>3380</v>
      </c>
      <c r="B7056" t="s">
        <v>26261</v>
      </c>
      <c r="C7056" t="s">
        <v>6342</v>
      </c>
      <c r="D7056" t="s">
        <v>4119</v>
      </c>
      <c r="E7056" t="s">
        <v>5532</v>
      </c>
      <c r="F7056" t="s">
        <v>26301</v>
      </c>
      <c r="G7056" t="s">
        <v>26263</v>
      </c>
      <c r="H7056" t="s">
        <v>5474</v>
      </c>
      <c r="I7056" t="s">
        <v>26302</v>
      </c>
      <c r="J7056" t="s">
        <v>5476</v>
      </c>
      <c r="K7056" t="s">
        <v>26303</v>
      </c>
      <c r="L7056" t="s">
        <v>5471</v>
      </c>
      <c r="M7056" t="s">
        <v>5471</v>
      </c>
    </row>
    <row r="7057" spans="1:13" x14ac:dyDescent="0.3">
      <c r="A7057" t="s">
        <v>3397</v>
      </c>
      <c r="B7057" t="s">
        <v>6331</v>
      </c>
      <c r="C7057" t="s">
        <v>5487</v>
      </c>
      <c r="D7057" t="s">
        <v>4119</v>
      </c>
      <c r="E7057" t="s">
        <v>6332</v>
      </c>
      <c r="F7057" t="s">
        <v>26304</v>
      </c>
      <c r="G7057" t="s">
        <v>12582</v>
      </c>
      <c r="H7057" t="s">
        <v>5474</v>
      </c>
      <c r="I7057" t="s">
        <v>26305</v>
      </c>
      <c r="J7057" t="s">
        <v>5476</v>
      </c>
      <c r="K7057" t="s">
        <v>26306</v>
      </c>
      <c r="L7057" t="s">
        <v>5471</v>
      </c>
      <c r="M7057" t="s">
        <v>5471</v>
      </c>
    </row>
    <row r="7058" spans="1:13" x14ac:dyDescent="0.3">
      <c r="A7058" t="s">
        <v>3397</v>
      </c>
      <c r="B7058" t="s">
        <v>6331</v>
      </c>
      <c r="C7058" t="s">
        <v>5487</v>
      </c>
      <c r="D7058" t="s">
        <v>4119</v>
      </c>
      <c r="E7058" t="s">
        <v>6332</v>
      </c>
      <c r="F7058" t="s">
        <v>26307</v>
      </c>
      <c r="G7058" t="s">
        <v>12582</v>
      </c>
      <c r="H7058" t="s">
        <v>5474</v>
      </c>
      <c r="I7058" t="s">
        <v>26308</v>
      </c>
      <c r="J7058" t="s">
        <v>5476</v>
      </c>
      <c r="K7058" t="s">
        <v>26309</v>
      </c>
      <c r="L7058" t="s">
        <v>5471</v>
      </c>
      <c r="M7058" t="s">
        <v>5471</v>
      </c>
    </row>
    <row r="7059" spans="1:13" x14ac:dyDescent="0.3">
      <c r="A7059" t="s">
        <v>3380</v>
      </c>
      <c r="B7059" t="s">
        <v>15592</v>
      </c>
      <c r="C7059" t="s">
        <v>5487</v>
      </c>
      <c r="D7059" t="s">
        <v>4119</v>
      </c>
      <c r="E7059" t="s">
        <v>5843</v>
      </c>
      <c r="F7059" t="s">
        <v>26310</v>
      </c>
      <c r="G7059" t="s">
        <v>26311</v>
      </c>
      <c r="H7059" t="s">
        <v>5474</v>
      </c>
      <c r="I7059" t="s">
        <v>26312</v>
      </c>
      <c r="J7059" t="s">
        <v>5476</v>
      </c>
      <c r="K7059" t="s">
        <v>26265</v>
      </c>
      <c r="L7059" t="s">
        <v>5471</v>
      </c>
      <c r="M7059" t="s">
        <v>5471</v>
      </c>
    </row>
    <row r="7060" spans="1:13" x14ac:dyDescent="0.3">
      <c r="A7060" t="s">
        <v>3397</v>
      </c>
      <c r="B7060" t="s">
        <v>6331</v>
      </c>
      <c r="C7060" t="s">
        <v>5487</v>
      </c>
      <c r="D7060" t="s">
        <v>4119</v>
      </c>
      <c r="E7060" t="s">
        <v>6332</v>
      </c>
      <c r="F7060" t="s">
        <v>26313</v>
      </c>
      <c r="G7060" t="s">
        <v>12582</v>
      </c>
      <c r="H7060" t="s">
        <v>5474</v>
      </c>
      <c r="I7060" t="s">
        <v>26314</v>
      </c>
      <c r="J7060" t="s">
        <v>5476</v>
      </c>
      <c r="K7060" t="s">
        <v>26315</v>
      </c>
      <c r="L7060" t="s">
        <v>5471</v>
      </c>
      <c r="M7060" t="s">
        <v>5471</v>
      </c>
    </row>
    <row r="7061" spans="1:13" x14ac:dyDescent="0.3">
      <c r="A7061" t="s">
        <v>3380</v>
      </c>
      <c r="B7061" t="s">
        <v>26316</v>
      </c>
      <c r="C7061" t="s">
        <v>6342</v>
      </c>
      <c r="D7061" t="s">
        <v>4119</v>
      </c>
      <c r="E7061" t="s">
        <v>5532</v>
      </c>
      <c r="F7061" t="s">
        <v>26317</v>
      </c>
      <c r="G7061" t="s">
        <v>26318</v>
      </c>
      <c r="H7061" t="s">
        <v>5474</v>
      </c>
      <c r="I7061" t="s">
        <v>26319</v>
      </c>
      <c r="J7061" t="s">
        <v>5476</v>
      </c>
      <c r="K7061" t="s">
        <v>18298</v>
      </c>
      <c r="L7061" t="s">
        <v>5471</v>
      </c>
      <c r="M7061" t="s">
        <v>5471</v>
      </c>
    </row>
    <row r="7062" spans="1:13" x14ac:dyDescent="0.3">
      <c r="A7062" t="s">
        <v>3380</v>
      </c>
      <c r="B7062" t="s">
        <v>15592</v>
      </c>
      <c r="C7062" t="s">
        <v>5487</v>
      </c>
      <c r="D7062" t="s">
        <v>4119</v>
      </c>
      <c r="E7062" t="s">
        <v>5843</v>
      </c>
      <c r="F7062" t="s">
        <v>26320</v>
      </c>
      <c r="G7062" t="s">
        <v>26311</v>
      </c>
      <c r="H7062" t="s">
        <v>5474</v>
      </c>
      <c r="I7062" t="s">
        <v>26321</v>
      </c>
      <c r="J7062" t="s">
        <v>5476</v>
      </c>
      <c r="K7062" t="s">
        <v>26322</v>
      </c>
      <c r="L7062" t="s">
        <v>5471</v>
      </c>
      <c r="M7062" t="s">
        <v>5471</v>
      </c>
    </row>
    <row r="7063" spans="1:13" x14ac:dyDescent="0.3">
      <c r="A7063" t="s">
        <v>3397</v>
      </c>
      <c r="B7063" t="s">
        <v>6331</v>
      </c>
      <c r="C7063" t="s">
        <v>5487</v>
      </c>
      <c r="D7063" t="s">
        <v>4119</v>
      </c>
      <c r="E7063" t="s">
        <v>6332</v>
      </c>
      <c r="F7063" t="s">
        <v>26323</v>
      </c>
      <c r="G7063" t="s">
        <v>12582</v>
      </c>
      <c r="H7063" t="s">
        <v>5474</v>
      </c>
      <c r="I7063" t="s">
        <v>26324</v>
      </c>
      <c r="J7063" t="s">
        <v>5476</v>
      </c>
      <c r="K7063" t="s">
        <v>26325</v>
      </c>
      <c r="L7063" t="s">
        <v>5471</v>
      </c>
      <c r="M7063" t="s">
        <v>5471</v>
      </c>
    </row>
    <row r="7064" spans="1:13" x14ac:dyDescent="0.3">
      <c r="A7064" t="s">
        <v>3380</v>
      </c>
      <c r="B7064" t="s">
        <v>15592</v>
      </c>
      <c r="C7064" t="s">
        <v>5487</v>
      </c>
      <c r="D7064" t="s">
        <v>4119</v>
      </c>
      <c r="E7064" t="s">
        <v>5843</v>
      </c>
      <c r="F7064" t="s">
        <v>26326</v>
      </c>
      <c r="G7064" t="s">
        <v>16469</v>
      </c>
      <c r="H7064" t="s">
        <v>5474</v>
      </c>
      <c r="I7064" t="s">
        <v>26327</v>
      </c>
      <c r="J7064" t="s">
        <v>5476</v>
      </c>
      <c r="K7064" t="s">
        <v>26328</v>
      </c>
      <c r="L7064" t="s">
        <v>5471</v>
      </c>
      <c r="M7064" t="s">
        <v>5471</v>
      </c>
    </row>
    <row r="7065" spans="1:13" x14ac:dyDescent="0.3">
      <c r="A7065" t="s">
        <v>3380</v>
      </c>
      <c r="B7065" t="s">
        <v>10137</v>
      </c>
      <c r="C7065" t="s">
        <v>6342</v>
      </c>
      <c r="D7065" t="s">
        <v>4119</v>
      </c>
      <c r="E7065" t="s">
        <v>9935</v>
      </c>
      <c r="F7065" t="s">
        <v>26329</v>
      </c>
      <c r="G7065" t="s">
        <v>10145</v>
      </c>
      <c r="H7065" t="s">
        <v>5474</v>
      </c>
      <c r="I7065" t="s">
        <v>26330</v>
      </c>
      <c r="J7065" t="s">
        <v>5476</v>
      </c>
      <c r="K7065" t="s">
        <v>26331</v>
      </c>
      <c r="L7065" t="s">
        <v>5471</v>
      </c>
      <c r="M7065" t="s">
        <v>5471</v>
      </c>
    </row>
    <row r="7066" spans="1:13" x14ac:dyDescent="0.3">
      <c r="A7066" t="s">
        <v>3380</v>
      </c>
      <c r="B7066" t="s">
        <v>16094</v>
      </c>
      <c r="C7066" t="s">
        <v>6342</v>
      </c>
      <c r="D7066" t="s">
        <v>4119</v>
      </c>
      <c r="E7066" t="s">
        <v>5532</v>
      </c>
      <c r="F7066" t="s">
        <v>26332</v>
      </c>
      <c r="G7066" t="s">
        <v>16096</v>
      </c>
      <c r="H7066" t="s">
        <v>5474</v>
      </c>
      <c r="I7066" t="s">
        <v>26333</v>
      </c>
      <c r="J7066" t="s">
        <v>5476</v>
      </c>
      <c r="K7066" t="s">
        <v>18308</v>
      </c>
      <c r="L7066" t="s">
        <v>5471</v>
      </c>
      <c r="M7066" t="s">
        <v>5471</v>
      </c>
    </row>
    <row r="7067" spans="1:13" x14ac:dyDescent="0.3">
      <c r="A7067" t="s">
        <v>3380</v>
      </c>
      <c r="B7067" t="s">
        <v>15592</v>
      </c>
      <c r="C7067" t="s">
        <v>5487</v>
      </c>
      <c r="D7067" t="s">
        <v>4119</v>
      </c>
      <c r="E7067" t="s">
        <v>5843</v>
      </c>
      <c r="F7067" t="s">
        <v>26334</v>
      </c>
      <c r="G7067" t="s">
        <v>16480</v>
      </c>
      <c r="H7067" t="s">
        <v>5474</v>
      </c>
      <c r="I7067" t="s">
        <v>26335</v>
      </c>
      <c r="J7067" t="s">
        <v>5476</v>
      </c>
      <c r="K7067" t="s">
        <v>26336</v>
      </c>
      <c r="L7067" t="s">
        <v>5471</v>
      </c>
      <c r="M7067" t="s">
        <v>5471</v>
      </c>
    </row>
    <row r="7068" spans="1:13" x14ac:dyDescent="0.3">
      <c r="A7068" t="s">
        <v>3380</v>
      </c>
      <c r="B7068" t="s">
        <v>15592</v>
      </c>
      <c r="C7068" t="s">
        <v>5487</v>
      </c>
      <c r="D7068" t="s">
        <v>4119</v>
      </c>
      <c r="E7068" t="s">
        <v>5843</v>
      </c>
      <c r="F7068" t="s">
        <v>26337</v>
      </c>
      <c r="G7068" t="s">
        <v>26338</v>
      </c>
      <c r="H7068" t="s">
        <v>5474</v>
      </c>
      <c r="I7068" t="s">
        <v>26339</v>
      </c>
      <c r="J7068" t="s">
        <v>5476</v>
      </c>
      <c r="K7068" t="s">
        <v>26340</v>
      </c>
      <c r="L7068" t="s">
        <v>5471</v>
      </c>
      <c r="M7068" t="s">
        <v>5471</v>
      </c>
    </row>
    <row r="7069" spans="1:13" x14ac:dyDescent="0.3">
      <c r="A7069" t="s">
        <v>3380</v>
      </c>
      <c r="B7069" t="s">
        <v>15592</v>
      </c>
      <c r="C7069" t="s">
        <v>5487</v>
      </c>
      <c r="D7069" t="s">
        <v>4119</v>
      </c>
      <c r="E7069" t="s">
        <v>5843</v>
      </c>
      <c r="F7069" t="s">
        <v>26341</v>
      </c>
      <c r="G7069" t="s">
        <v>16511</v>
      </c>
      <c r="H7069" t="s">
        <v>5474</v>
      </c>
      <c r="I7069" t="s">
        <v>26342</v>
      </c>
      <c r="J7069" t="s">
        <v>5476</v>
      </c>
      <c r="K7069" t="s">
        <v>26343</v>
      </c>
      <c r="L7069" t="s">
        <v>5471</v>
      </c>
      <c r="M7069" t="s">
        <v>5471</v>
      </c>
    </row>
    <row r="7070" spans="1:13" x14ac:dyDescent="0.3">
      <c r="A7070" t="s">
        <v>3380</v>
      </c>
      <c r="B7070" t="s">
        <v>16268</v>
      </c>
      <c r="C7070" t="s">
        <v>6342</v>
      </c>
      <c r="D7070" t="s">
        <v>4119</v>
      </c>
      <c r="E7070" t="s">
        <v>5532</v>
      </c>
      <c r="F7070" t="s">
        <v>26344</v>
      </c>
      <c r="G7070" t="s">
        <v>16270</v>
      </c>
      <c r="H7070" t="s">
        <v>5474</v>
      </c>
      <c r="I7070" t="s">
        <v>26345</v>
      </c>
      <c r="J7070" t="s">
        <v>5476</v>
      </c>
      <c r="K7070" t="s">
        <v>18308</v>
      </c>
      <c r="L7070" t="s">
        <v>5471</v>
      </c>
      <c r="M7070" t="s">
        <v>5471</v>
      </c>
    </row>
    <row r="7071" spans="1:13" x14ac:dyDescent="0.3">
      <c r="A7071" t="s">
        <v>3380</v>
      </c>
      <c r="B7071" t="s">
        <v>16268</v>
      </c>
      <c r="C7071" t="s">
        <v>6342</v>
      </c>
      <c r="D7071" t="s">
        <v>4119</v>
      </c>
      <c r="E7071" t="s">
        <v>5532</v>
      </c>
      <c r="F7071" t="s">
        <v>26346</v>
      </c>
      <c r="G7071" t="s">
        <v>16270</v>
      </c>
      <c r="H7071" t="s">
        <v>5474</v>
      </c>
      <c r="I7071" t="s">
        <v>26347</v>
      </c>
      <c r="J7071" t="s">
        <v>5476</v>
      </c>
      <c r="K7071" t="s">
        <v>18311</v>
      </c>
      <c r="L7071" t="s">
        <v>5471</v>
      </c>
      <c r="M7071" t="s">
        <v>5471</v>
      </c>
    </row>
    <row r="7072" spans="1:13" x14ac:dyDescent="0.3">
      <c r="A7072" t="s">
        <v>3380</v>
      </c>
      <c r="B7072" t="s">
        <v>15592</v>
      </c>
      <c r="C7072" t="s">
        <v>5487</v>
      </c>
      <c r="D7072" t="s">
        <v>4119</v>
      </c>
      <c r="E7072" t="s">
        <v>5843</v>
      </c>
      <c r="F7072" t="s">
        <v>26348</v>
      </c>
      <c r="G7072" t="s">
        <v>16522</v>
      </c>
      <c r="H7072" t="s">
        <v>5474</v>
      </c>
      <c r="I7072" t="s">
        <v>26349</v>
      </c>
      <c r="J7072" t="s">
        <v>5476</v>
      </c>
      <c r="K7072" t="s">
        <v>26350</v>
      </c>
      <c r="L7072" t="s">
        <v>5471</v>
      </c>
      <c r="M7072" t="s">
        <v>5471</v>
      </c>
    </row>
    <row r="7073" spans="1:13" x14ac:dyDescent="0.3">
      <c r="A7073" t="s">
        <v>3380</v>
      </c>
      <c r="B7073" t="s">
        <v>15592</v>
      </c>
      <c r="C7073" t="s">
        <v>5487</v>
      </c>
      <c r="D7073" t="s">
        <v>4119</v>
      </c>
      <c r="E7073" t="s">
        <v>5843</v>
      </c>
      <c r="F7073" t="s">
        <v>26351</v>
      </c>
      <c r="G7073" t="s">
        <v>26352</v>
      </c>
      <c r="H7073" t="s">
        <v>5474</v>
      </c>
      <c r="I7073" t="s">
        <v>26353</v>
      </c>
      <c r="J7073" t="s">
        <v>5476</v>
      </c>
      <c r="K7073" t="s">
        <v>26354</v>
      </c>
      <c r="L7073" t="s">
        <v>5471</v>
      </c>
      <c r="M7073" t="s">
        <v>5471</v>
      </c>
    </row>
    <row r="7074" spans="1:13" x14ac:dyDescent="0.3">
      <c r="A7074" t="s">
        <v>3380</v>
      </c>
      <c r="B7074" t="s">
        <v>5276</v>
      </c>
      <c r="C7074" t="s">
        <v>6342</v>
      </c>
      <c r="D7074" t="s">
        <v>4119</v>
      </c>
      <c r="E7074" t="s">
        <v>5532</v>
      </c>
      <c r="F7074" t="s">
        <v>26355</v>
      </c>
      <c r="G7074" t="s">
        <v>9699</v>
      </c>
      <c r="H7074" t="s">
        <v>5474</v>
      </c>
      <c r="I7074" t="s">
        <v>26356</v>
      </c>
      <c r="J7074" t="s">
        <v>5476</v>
      </c>
      <c r="K7074" t="s">
        <v>18308</v>
      </c>
      <c r="L7074" t="s">
        <v>5471</v>
      </c>
      <c r="M7074" t="s">
        <v>5471</v>
      </c>
    </row>
    <row r="7075" spans="1:13" x14ac:dyDescent="0.3">
      <c r="A7075" t="s">
        <v>3380</v>
      </c>
      <c r="B7075" t="s">
        <v>15592</v>
      </c>
      <c r="C7075" t="s">
        <v>5487</v>
      </c>
      <c r="D7075" t="s">
        <v>4119</v>
      </c>
      <c r="E7075" t="s">
        <v>5843</v>
      </c>
      <c r="F7075" t="s">
        <v>26357</v>
      </c>
      <c r="G7075" t="s">
        <v>26358</v>
      </c>
      <c r="H7075" t="s">
        <v>5474</v>
      </c>
      <c r="I7075" t="s">
        <v>26359</v>
      </c>
      <c r="J7075" t="s">
        <v>5476</v>
      </c>
      <c r="K7075" t="s">
        <v>26360</v>
      </c>
      <c r="L7075" t="s">
        <v>5471</v>
      </c>
      <c r="M7075" t="s">
        <v>5471</v>
      </c>
    </row>
    <row r="7076" spans="1:13" x14ac:dyDescent="0.3">
      <c r="A7076" t="s">
        <v>3380</v>
      </c>
      <c r="B7076" t="s">
        <v>5276</v>
      </c>
      <c r="C7076" t="s">
        <v>6342</v>
      </c>
      <c r="D7076" t="s">
        <v>4119</v>
      </c>
      <c r="E7076" t="s">
        <v>5532</v>
      </c>
      <c r="F7076" t="s">
        <v>26361</v>
      </c>
      <c r="G7076" t="s">
        <v>9699</v>
      </c>
      <c r="H7076" t="s">
        <v>5474</v>
      </c>
      <c r="I7076" t="s">
        <v>26362</v>
      </c>
      <c r="J7076" t="s">
        <v>5476</v>
      </c>
      <c r="K7076" t="s">
        <v>18311</v>
      </c>
      <c r="L7076" t="s">
        <v>5471</v>
      </c>
      <c r="M7076" t="s">
        <v>5471</v>
      </c>
    </row>
    <row r="7077" spans="1:13" x14ac:dyDescent="0.3">
      <c r="A7077" t="s">
        <v>3380</v>
      </c>
      <c r="B7077" t="s">
        <v>15592</v>
      </c>
      <c r="C7077" t="s">
        <v>5487</v>
      </c>
      <c r="D7077" t="s">
        <v>4119</v>
      </c>
      <c r="E7077" t="s">
        <v>5843</v>
      </c>
      <c r="F7077" t="s">
        <v>26363</v>
      </c>
      <c r="G7077" t="s">
        <v>26364</v>
      </c>
      <c r="H7077" t="s">
        <v>5474</v>
      </c>
      <c r="I7077" t="s">
        <v>26365</v>
      </c>
      <c r="J7077" t="s">
        <v>5476</v>
      </c>
      <c r="K7077" t="s">
        <v>26366</v>
      </c>
      <c r="L7077" t="s">
        <v>5471</v>
      </c>
      <c r="M7077" t="s">
        <v>5471</v>
      </c>
    </row>
    <row r="7078" spans="1:13" x14ac:dyDescent="0.3">
      <c r="A7078" t="s">
        <v>3380</v>
      </c>
      <c r="B7078" t="s">
        <v>15592</v>
      </c>
      <c r="C7078" t="s">
        <v>5487</v>
      </c>
      <c r="D7078" t="s">
        <v>4119</v>
      </c>
      <c r="E7078" t="s">
        <v>5843</v>
      </c>
      <c r="F7078" t="s">
        <v>26367</v>
      </c>
      <c r="G7078" t="s">
        <v>16514</v>
      </c>
      <c r="H7078" t="s">
        <v>5474</v>
      </c>
      <c r="I7078" t="s">
        <v>26368</v>
      </c>
      <c r="J7078" t="s">
        <v>5476</v>
      </c>
      <c r="K7078" t="s">
        <v>26369</v>
      </c>
      <c r="L7078" t="s">
        <v>5471</v>
      </c>
      <c r="M7078" t="s">
        <v>5471</v>
      </c>
    </row>
    <row r="7079" spans="1:13" x14ac:dyDescent="0.3">
      <c r="A7079" t="s">
        <v>3380</v>
      </c>
      <c r="B7079" t="s">
        <v>15592</v>
      </c>
      <c r="C7079" t="s">
        <v>5487</v>
      </c>
      <c r="D7079" t="s">
        <v>4119</v>
      </c>
      <c r="E7079" t="s">
        <v>5843</v>
      </c>
      <c r="F7079" t="s">
        <v>26370</v>
      </c>
      <c r="G7079" t="s">
        <v>15594</v>
      </c>
      <c r="H7079" t="s">
        <v>5474</v>
      </c>
      <c r="I7079" t="s">
        <v>26371</v>
      </c>
      <c r="J7079" t="s">
        <v>5476</v>
      </c>
      <c r="K7079" t="s">
        <v>26372</v>
      </c>
      <c r="L7079" t="s">
        <v>5471</v>
      </c>
      <c r="M7079" t="s">
        <v>5471</v>
      </c>
    </row>
    <row r="7080" spans="1:13" x14ac:dyDescent="0.3">
      <c r="A7080" t="s">
        <v>3380</v>
      </c>
      <c r="B7080" t="s">
        <v>10966</v>
      </c>
      <c r="C7080" t="s">
        <v>6342</v>
      </c>
      <c r="D7080" t="s">
        <v>4119</v>
      </c>
      <c r="E7080" t="s">
        <v>5532</v>
      </c>
      <c r="F7080" t="s">
        <v>26373</v>
      </c>
      <c r="G7080" t="s">
        <v>11034</v>
      </c>
      <c r="H7080" t="s">
        <v>5474</v>
      </c>
      <c r="I7080" t="s">
        <v>26374</v>
      </c>
      <c r="J7080" t="s">
        <v>5476</v>
      </c>
      <c r="K7080" t="s">
        <v>18308</v>
      </c>
      <c r="L7080" t="s">
        <v>5471</v>
      </c>
      <c r="M7080" t="s">
        <v>5471</v>
      </c>
    </row>
    <row r="7081" spans="1:13" x14ac:dyDescent="0.3">
      <c r="A7081" t="s">
        <v>3380</v>
      </c>
      <c r="B7081" t="s">
        <v>15592</v>
      </c>
      <c r="C7081" t="s">
        <v>5487</v>
      </c>
      <c r="D7081" t="s">
        <v>4119</v>
      </c>
      <c r="E7081" t="s">
        <v>5843</v>
      </c>
      <c r="F7081" t="s">
        <v>26375</v>
      </c>
      <c r="G7081" t="s">
        <v>26311</v>
      </c>
      <c r="H7081" t="s">
        <v>5474</v>
      </c>
      <c r="I7081" t="s">
        <v>26376</v>
      </c>
      <c r="J7081" t="s">
        <v>5476</v>
      </c>
      <c r="K7081" t="s">
        <v>26377</v>
      </c>
      <c r="L7081" t="s">
        <v>5471</v>
      </c>
      <c r="M7081" t="s">
        <v>5471</v>
      </c>
    </row>
    <row r="7082" spans="1:13" x14ac:dyDescent="0.3">
      <c r="A7082" t="s">
        <v>3380</v>
      </c>
      <c r="B7082" t="s">
        <v>10137</v>
      </c>
      <c r="C7082" t="s">
        <v>6342</v>
      </c>
      <c r="D7082" t="s">
        <v>4119</v>
      </c>
      <c r="E7082" t="s">
        <v>9935</v>
      </c>
      <c r="F7082" t="s">
        <v>26378</v>
      </c>
      <c r="G7082" t="s">
        <v>10145</v>
      </c>
      <c r="H7082" t="s">
        <v>5474</v>
      </c>
      <c r="I7082" t="s">
        <v>26379</v>
      </c>
      <c r="J7082" t="s">
        <v>5476</v>
      </c>
      <c r="K7082" t="s">
        <v>18308</v>
      </c>
      <c r="L7082" t="s">
        <v>5471</v>
      </c>
      <c r="M7082" t="s">
        <v>5471</v>
      </c>
    </row>
    <row r="7083" spans="1:13" x14ac:dyDescent="0.3">
      <c r="A7083" t="s">
        <v>3397</v>
      </c>
      <c r="B7083" t="s">
        <v>5594</v>
      </c>
      <c r="C7083" t="s">
        <v>5487</v>
      </c>
      <c r="D7083" t="s">
        <v>4119</v>
      </c>
      <c r="E7083" t="s">
        <v>6332</v>
      </c>
      <c r="F7083" t="s">
        <v>26380</v>
      </c>
      <c r="G7083" t="s">
        <v>26381</v>
      </c>
      <c r="H7083" t="s">
        <v>5474</v>
      </c>
      <c r="I7083" t="s">
        <v>26382</v>
      </c>
      <c r="J7083" t="s">
        <v>5476</v>
      </c>
      <c r="K7083" t="s">
        <v>26383</v>
      </c>
      <c r="L7083" t="s">
        <v>5471</v>
      </c>
      <c r="M7083" t="s">
        <v>5471</v>
      </c>
    </row>
    <row r="7084" spans="1:13" x14ac:dyDescent="0.3">
      <c r="A7084" t="s">
        <v>3380</v>
      </c>
      <c r="B7084" t="s">
        <v>10137</v>
      </c>
      <c r="C7084" t="s">
        <v>6342</v>
      </c>
      <c r="D7084" t="s">
        <v>4119</v>
      </c>
      <c r="E7084" t="s">
        <v>9935</v>
      </c>
      <c r="F7084" t="s">
        <v>26384</v>
      </c>
      <c r="G7084" t="s">
        <v>10145</v>
      </c>
      <c r="H7084" t="s">
        <v>5474</v>
      </c>
      <c r="I7084" t="s">
        <v>26385</v>
      </c>
      <c r="J7084" t="s">
        <v>5476</v>
      </c>
      <c r="K7084" t="s">
        <v>18311</v>
      </c>
      <c r="L7084" t="s">
        <v>5471</v>
      </c>
      <c r="M7084" t="s">
        <v>5471</v>
      </c>
    </row>
    <row r="7085" spans="1:13" x14ac:dyDescent="0.3">
      <c r="A7085" t="s">
        <v>3397</v>
      </c>
      <c r="B7085" t="s">
        <v>5594</v>
      </c>
      <c r="C7085" t="s">
        <v>5487</v>
      </c>
      <c r="D7085" t="s">
        <v>4119</v>
      </c>
      <c r="E7085" t="s">
        <v>6332</v>
      </c>
      <c r="F7085" t="s">
        <v>26386</v>
      </c>
      <c r="G7085" t="s">
        <v>13368</v>
      </c>
      <c r="H7085" t="s">
        <v>5474</v>
      </c>
      <c r="I7085" t="s">
        <v>26387</v>
      </c>
      <c r="J7085" t="s">
        <v>5476</v>
      </c>
      <c r="K7085" t="s">
        <v>26383</v>
      </c>
      <c r="L7085" t="s">
        <v>5471</v>
      </c>
      <c r="M7085" t="s">
        <v>5471</v>
      </c>
    </row>
    <row r="7086" spans="1:13" x14ac:dyDescent="0.3">
      <c r="A7086" t="s">
        <v>3397</v>
      </c>
      <c r="B7086" t="s">
        <v>5594</v>
      </c>
      <c r="C7086" t="s">
        <v>5487</v>
      </c>
      <c r="D7086" t="s">
        <v>4119</v>
      </c>
      <c r="E7086" t="s">
        <v>6332</v>
      </c>
      <c r="F7086" t="s">
        <v>26388</v>
      </c>
      <c r="G7086" t="s">
        <v>13372</v>
      </c>
      <c r="H7086" t="s">
        <v>5474</v>
      </c>
      <c r="I7086" t="s">
        <v>26389</v>
      </c>
      <c r="J7086" t="s">
        <v>5476</v>
      </c>
      <c r="K7086" t="s">
        <v>26383</v>
      </c>
      <c r="L7086" t="s">
        <v>5471</v>
      </c>
      <c r="M7086" t="s">
        <v>5471</v>
      </c>
    </row>
    <row r="7087" spans="1:13" x14ac:dyDescent="0.3">
      <c r="A7087" t="s">
        <v>3397</v>
      </c>
      <c r="B7087" t="s">
        <v>5594</v>
      </c>
      <c r="C7087" t="s">
        <v>5487</v>
      </c>
      <c r="D7087" t="s">
        <v>4119</v>
      </c>
      <c r="E7087" t="s">
        <v>6332</v>
      </c>
      <c r="F7087" t="s">
        <v>26390</v>
      </c>
      <c r="G7087" t="s">
        <v>13405</v>
      </c>
      <c r="H7087" t="s">
        <v>5474</v>
      </c>
      <c r="I7087" t="s">
        <v>26391</v>
      </c>
      <c r="J7087" t="s">
        <v>5476</v>
      </c>
      <c r="K7087" t="s">
        <v>26383</v>
      </c>
      <c r="L7087" t="s">
        <v>5471</v>
      </c>
      <c r="M7087" t="s">
        <v>5471</v>
      </c>
    </row>
    <row r="7088" spans="1:13" x14ac:dyDescent="0.3">
      <c r="A7088" t="s">
        <v>3397</v>
      </c>
      <c r="B7088" t="s">
        <v>5594</v>
      </c>
      <c r="C7088" t="s">
        <v>5487</v>
      </c>
      <c r="D7088" t="s">
        <v>4119</v>
      </c>
      <c r="E7088" t="s">
        <v>6332</v>
      </c>
      <c r="F7088" t="s">
        <v>26392</v>
      </c>
      <c r="G7088" t="s">
        <v>13376</v>
      </c>
      <c r="H7088" t="s">
        <v>5474</v>
      </c>
      <c r="I7088" t="s">
        <v>26393</v>
      </c>
      <c r="J7088" t="s">
        <v>5476</v>
      </c>
      <c r="K7088" t="s">
        <v>26383</v>
      </c>
      <c r="L7088" t="s">
        <v>5471</v>
      </c>
      <c r="M7088" t="s">
        <v>5471</v>
      </c>
    </row>
    <row r="7089" spans="1:13" x14ac:dyDescent="0.3">
      <c r="A7089" t="s">
        <v>3397</v>
      </c>
      <c r="B7089" t="s">
        <v>5594</v>
      </c>
      <c r="C7089" t="s">
        <v>5487</v>
      </c>
      <c r="D7089" t="s">
        <v>4119</v>
      </c>
      <c r="E7089" t="s">
        <v>6332</v>
      </c>
      <c r="F7089" t="s">
        <v>26392</v>
      </c>
      <c r="G7089" t="s">
        <v>13383</v>
      </c>
      <c r="H7089" t="s">
        <v>5474</v>
      </c>
      <c r="I7089" t="s">
        <v>26394</v>
      </c>
      <c r="J7089" t="s">
        <v>5476</v>
      </c>
      <c r="K7089" t="s">
        <v>26383</v>
      </c>
      <c r="L7089" t="s">
        <v>5471</v>
      </c>
      <c r="M7089" t="s">
        <v>5471</v>
      </c>
    </row>
    <row r="7090" spans="1:13" x14ac:dyDescent="0.3">
      <c r="A7090" t="s">
        <v>3397</v>
      </c>
      <c r="B7090" t="s">
        <v>5594</v>
      </c>
      <c r="C7090" t="s">
        <v>5487</v>
      </c>
      <c r="D7090" t="s">
        <v>4119</v>
      </c>
      <c r="E7090" t="s">
        <v>6332</v>
      </c>
      <c r="F7090" t="s">
        <v>26395</v>
      </c>
      <c r="G7090" t="s">
        <v>13387</v>
      </c>
      <c r="H7090" t="s">
        <v>5474</v>
      </c>
      <c r="I7090" t="s">
        <v>26396</v>
      </c>
      <c r="J7090" t="s">
        <v>5476</v>
      </c>
      <c r="K7090" t="s">
        <v>26383</v>
      </c>
      <c r="L7090" t="s">
        <v>5471</v>
      </c>
      <c r="M7090" t="s">
        <v>5471</v>
      </c>
    </row>
    <row r="7091" spans="1:13" x14ac:dyDescent="0.3">
      <c r="A7091" t="s">
        <v>3397</v>
      </c>
      <c r="B7091" t="s">
        <v>26397</v>
      </c>
      <c r="C7091" t="s">
        <v>5487</v>
      </c>
      <c r="D7091" t="s">
        <v>4119</v>
      </c>
      <c r="E7091" t="s">
        <v>5532</v>
      </c>
      <c r="F7091" t="s">
        <v>26398</v>
      </c>
      <c r="G7091" t="s">
        <v>26399</v>
      </c>
      <c r="H7091" t="s">
        <v>5474</v>
      </c>
      <c r="I7091" t="s">
        <v>26400</v>
      </c>
      <c r="J7091" t="s">
        <v>5476</v>
      </c>
      <c r="K7091" t="s">
        <v>26401</v>
      </c>
      <c r="L7091" t="s">
        <v>5471</v>
      </c>
      <c r="M7091" t="s">
        <v>5471</v>
      </c>
    </row>
    <row r="7092" spans="1:13" x14ac:dyDescent="0.3">
      <c r="A7092" t="s">
        <v>3397</v>
      </c>
      <c r="B7092" t="s">
        <v>5255</v>
      </c>
      <c r="C7092" t="s">
        <v>5487</v>
      </c>
      <c r="D7092" t="s">
        <v>4119</v>
      </c>
      <c r="E7092" t="s">
        <v>5595</v>
      </c>
      <c r="F7092" t="s">
        <v>26402</v>
      </c>
      <c r="G7092" t="s">
        <v>8041</v>
      </c>
      <c r="H7092" t="s">
        <v>5474</v>
      </c>
      <c r="I7092" t="s">
        <v>26403</v>
      </c>
      <c r="J7092" t="s">
        <v>5476</v>
      </c>
      <c r="K7092" t="s">
        <v>26404</v>
      </c>
      <c r="L7092" t="s">
        <v>5471</v>
      </c>
      <c r="M7092" t="s">
        <v>5471</v>
      </c>
    </row>
    <row r="7093" spans="1:13" x14ac:dyDescent="0.3">
      <c r="A7093" t="s">
        <v>3397</v>
      </c>
      <c r="B7093" t="s">
        <v>5259</v>
      </c>
      <c r="C7093" t="s">
        <v>5487</v>
      </c>
      <c r="D7093" t="s">
        <v>4119</v>
      </c>
      <c r="E7093" t="s">
        <v>5532</v>
      </c>
      <c r="F7093" t="s">
        <v>26405</v>
      </c>
      <c r="G7093" t="s">
        <v>5690</v>
      </c>
      <c r="H7093" t="s">
        <v>5474</v>
      </c>
      <c r="I7093" t="s">
        <v>26406</v>
      </c>
      <c r="J7093" t="s">
        <v>5476</v>
      </c>
      <c r="K7093" t="s">
        <v>26407</v>
      </c>
      <c r="L7093" t="s">
        <v>5471</v>
      </c>
      <c r="M7093" t="s">
        <v>5471</v>
      </c>
    </row>
    <row r="7094" spans="1:13" x14ac:dyDescent="0.3">
      <c r="A7094" t="s">
        <v>3397</v>
      </c>
      <c r="B7094" t="s">
        <v>26043</v>
      </c>
      <c r="C7094" t="s">
        <v>5487</v>
      </c>
      <c r="D7094" t="s">
        <v>4119</v>
      </c>
      <c r="E7094" t="s">
        <v>5532</v>
      </c>
      <c r="F7094" t="s">
        <v>26408</v>
      </c>
      <c r="G7094" t="s">
        <v>26409</v>
      </c>
      <c r="H7094" t="s">
        <v>5474</v>
      </c>
      <c r="I7094" t="s">
        <v>26410</v>
      </c>
      <c r="J7094" t="s">
        <v>5476</v>
      </c>
      <c r="K7094" t="s">
        <v>26411</v>
      </c>
      <c r="L7094" t="s">
        <v>5471</v>
      </c>
      <c r="M7094" t="s">
        <v>5471</v>
      </c>
    </row>
    <row r="7095" spans="1:13" x14ac:dyDescent="0.3">
      <c r="A7095" t="s">
        <v>3397</v>
      </c>
      <c r="B7095" t="s">
        <v>6315</v>
      </c>
      <c r="C7095" t="s">
        <v>5487</v>
      </c>
      <c r="D7095" t="s">
        <v>4119</v>
      </c>
      <c r="E7095" t="s">
        <v>5595</v>
      </c>
      <c r="F7095" t="s">
        <v>26412</v>
      </c>
      <c r="G7095" t="s">
        <v>13905</v>
      </c>
      <c r="H7095" t="s">
        <v>5474</v>
      </c>
      <c r="I7095" t="s">
        <v>26413</v>
      </c>
      <c r="J7095" t="s">
        <v>5476</v>
      </c>
      <c r="K7095" t="s">
        <v>26414</v>
      </c>
      <c r="L7095" t="s">
        <v>5471</v>
      </c>
      <c r="M7095" t="s">
        <v>5471</v>
      </c>
    </row>
    <row r="7096" spans="1:13" x14ac:dyDescent="0.3">
      <c r="A7096" t="s">
        <v>3397</v>
      </c>
      <c r="B7096" t="s">
        <v>26205</v>
      </c>
      <c r="C7096" t="s">
        <v>5487</v>
      </c>
      <c r="D7096" t="s">
        <v>4119</v>
      </c>
      <c r="E7096" t="s">
        <v>5595</v>
      </c>
      <c r="F7096" t="s">
        <v>26415</v>
      </c>
      <c r="G7096" t="s">
        <v>26416</v>
      </c>
      <c r="H7096" t="s">
        <v>5474</v>
      </c>
      <c r="I7096" t="s">
        <v>26417</v>
      </c>
      <c r="J7096" t="s">
        <v>5476</v>
      </c>
      <c r="K7096" t="s">
        <v>26418</v>
      </c>
      <c r="L7096" t="s">
        <v>5471</v>
      </c>
      <c r="M7096" t="s">
        <v>5471</v>
      </c>
    </row>
    <row r="7097" spans="1:13" x14ac:dyDescent="0.3">
      <c r="A7097" t="s">
        <v>3397</v>
      </c>
      <c r="B7097" t="s">
        <v>7424</v>
      </c>
      <c r="C7097" t="s">
        <v>5487</v>
      </c>
      <c r="D7097" t="s">
        <v>4119</v>
      </c>
      <c r="E7097" t="s">
        <v>5756</v>
      </c>
      <c r="F7097" t="s">
        <v>26419</v>
      </c>
      <c r="G7097" t="s">
        <v>7426</v>
      </c>
      <c r="H7097" t="s">
        <v>5474</v>
      </c>
      <c r="I7097" t="s">
        <v>26420</v>
      </c>
      <c r="J7097" t="s">
        <v>5476</v>
      </c>
      <c r="K7097" t="s">
        <v>26421</v>
      </c>
      <c r="L7097" t="s">
        <v>5471</v>
      </c>
      <c r="M7097" t="s">
        <v>5471</v>
      </c>
    </row>
    <row r="7098" spans="1:13" x14ac:dyDescent="0.3">
      <c r="A7098" t="s">
        <v>3397</v>
      </c>
      <c r="B7098" t="s">
        <v>19647</v>
      </c>
      <c r="C7098" t="s">
        <v>5487</v>
      </c>
      <c r="D7098" t="s">
        <v>4119</v>
      </c>
      <c r="E7098" t="s">
        <v>5756</v>
      </c>
      <c r="F7098" t="s">
        <v>26422</v>
      </c>
      <c r="G7098" t="s">
        <v>19649</v>
      </c>
      <c r="H7098" t="s">
        <v>5474</v>
      </c>
      <c r="I7098" t="s">
        <v>26423</v>
      </c>
      <c r="J7098" t="s">
        <v>5476</v>
      </c>
      <c r="K7098" t="s">
        <v>26424</v>
      </c>
      <c r="L7098" t="s">
        <v>5471</v>
      </c>
      <c r="M7098" t="s">
        <v>5471</v>
      </c>
    </row>
    <row r="7099" spans="1:13" x14ac:dyDescent="0.3">
      <c r="A7099" t="s">
        <v>3397</v>
      </c>
      <c r="B7099" t="s">
        <v>5314</v>
      </c>
      <c r="C7099" t="s">
        <v>5487</v>
      </c>
      <c r="D7099" t="s">
        <v>4119</v>
      </c>
      <c r="E7099" t="s">
        <v>5532</v>
      </c>
      <c r="F7099" t="s">
        <v>26425</v>
      </c>
      <c r="G7099" t="s">
        <v>26426</v>
      </c>
      <c r="H7099" t="s">
        <v>5474</v>
      </c>
      <c r="I7099" t="s">
        <v>26427</v>
      </c>
      <c r="J7099" t="s">
        <v>5476</v>
      </c>
      <c r="K7099" t="s">
        <v>26428</v>
      </c>
      <c r="L7099" t="s">
        <v>5471</v>
      </c>
      <c r="M7099" t="s">
        <v>5471</v>
      </c>
    </row>
    <row r="7100" spans="1:13" x14ac:dyDescent="0.3">
      <c r="A7100" t="s">
        <v>3397</v>
      </c>
      <c r="B7100" t="s">
        <v>14224</v>
      </c>
      <c r="C7100" t="s">
        <v>5487</v>
      </c>
      <c r="D7100" t="s">
        <v>4119</v>
      </c>
      <c r="E7100" t="s">
        <v>5532</v>
      </c>
      <c r="F7100" t="s">
        <v>26429</v>
      </c>
      <c r="G7100" t="s">
        <v>26430</v>
      </c>
      <c r="H7100" t="s">
        <v>5474</v>
      </c>
      <c r="I7100" t="s">
        <v>26431</v>
      </c>
      <c r="J7100" t="s">
        <v>5476</v>
      </c>
      <c r="K7100" t="s">
        <v>26432</v>
      </c>
      <c r="L7100" t="s">
        <v>5471</v>
      </c>
      <c r="M7100" t="s">
        <v>5471</v>
      </c>
    </row>
    <row r="7101" spans="1:13" x14ac:dyDescent="0.3">
      <c r="A7101" t="s">
        <v>3397</v>
      </c>
      <c r="B7101" t="s">
        <v>15323</v>
      </c>
      <c r="C7101" t="s">
        <v>5487</v>
      </c>
      <c r="D7101" t="s">
        <v>4119</v>
      </c>
      <c r="E7101" t="s">
        <v>5532</v>
      </c>
      <c r="F7101" t="s">
        <v>26433</v>
      </c>
      <c r="G7101" t="s">
        <v>15338</v>
      </c>
      <c r="H7101" t="s">
        <v>5474</v>
      </c>
      <c r="I7101" t="s">
        <v>26434</v>
      </c>
      <c r="J7101" t="s">
        <v>5476</v>
      </c>
      <c r="K7101" t="s">
        <v>26435</v>
      </c>
      <c r="L7101" t="s">
        <v>5471</v>
      </c>
      <c r="M7101" t="s">
        <v>5471</v>
      </c>
    </row>
    <row r="7102" spans="1:13" x14ac:dyDescent="0.3">
      <c r="A7102" t="s">
        <v>3380</v>
      </c>
      <c r="B7102" t="s">
        <v>26436</v>
      </c>
      <c r="C7102" t="s">
        <v>6342</v>
      </c>
      <c r="D7102" t="s">
        <v>4119</v>
      </c>
      <c r="E7102" t="s">
        <v>9935</v>
      </c>
      <c r="F7102" t="s">
        <v>26437</v>
      </c>
      <c r="G7102" t="s">
        <v>26438</v>
      </c>
      <c r="H7102" t="s">
        <v>5474</v>
      </c>
      <c r="I7102" t="s">
        <v>26439</v>
      </c>
      <c r="J7102" t="s">
        <v>5476</v>
      </c>
      <c r="K7102" t="s">
        <v>26265</v>
      </c>
      <c r="L7102" t="s">
        <v>5471</v>
      </c>
      <c r="M7102" t="s">
        <v>5471</v>
      </c>
    </row>
    <row r="7103" spans="1:13" x14ac:dyDescent="0.3">
      <c r="A7103" t="s">
        <v>3397</v>
      </c>
      <c r="B7103" t="s">
        <v>5755</v>
      </c>
      <c r="C7103" t="s">
        <v>5487</v>
      </c>
      <c r="D7103" t="s">
        <v>4119</v>
      </c>
      <c r="E7103" t="s">
        <v>5756</v>
      </c>
      <c r="F7103" t="s">
        <v>26440</v>
      </c>
      <c r="G7103" t="s">
        <v>5758</v>
      </c>
      <c r="H7103" t="s">
        <v>5474</v>
      </c>
      <c r="I7103" t="s">
        <v>26441</v>
      </c>
      <c r="J7103" t="s">
        <v>5476</v>
      </c>
      <c r="K7103" t="s">
        <v>26442</v>
      </c>
      <c r="L7103" t="s">
        <v>5471</v>
      </c>
      <c r="M7103" t="s">
        <v>5471</v>
      </c>
    </row>
    <row r="7104" spans="1:13" x14ac:dyDescent="0.3">
      <c r="A7104" t="s">
        <v>3380</v>
      </c>
      <c r="B7104" t="s">
        <v>26436</v>
      </c>
      <c r="C7104" t="s">
        <v>6342</v>
      </c>
      <c r="D7104" t="s">
        <v>4119</v>
      </c>
      <c r="E7104" t="s">
        <v>9935</v>
      </c>
      <c r="F7104" t="s">
        <v>26443</v>
      </c>
      <c r="G7104" t="s">
        <v>26444</v>
      </c>
      <c r="H7104" t="s">
        <v>5474</v>
      </c>
      <c r="I7104" t="s">
        <v>26445</v>
      </c>
      <c r="J7104" t="s">
        <v>5476</v>
      </c>
      <c r="K7104" t="s">
        <v>26446</v>
      </c>
      <c r="L7104" t="s">
        <v>5471</v>
      </c>
      <c r="M7104" t="s">
        <v>5471</v>
      </c>
    </row>
    <row r="7105" spans="1:13" x14ac:dyDescent="0.3">
      <c r="A7105" t="s">
        <v>3397</v>
      </c>
      <c r="B7105" t="s">
        <v>5761</v>
      </c>
      <c r="C7105" t="s">
        <v>5487</v>
      </c>
      <c r="D7105" t="s">
        <v>4119</v>
      </c>
      <c r="E7105" t="s">
        <v>5756</v>
      </c>
      <c r="F7105" t="s">
        <v>26447</v>
      </c>
      <c r="G7105" t="s">
        <v>5763</v>
      </c>
      <c r="H7105" t="s">
        <v>5474</v>
      </c>
      <c r="I7105" t="s">
        <v>26448</v>
      </c>
      <c r="J7105" t="s">
        <v>5476</v>
      </c>
      <c r="K7105" t="s">
        <v>26449</v>
      </c>
      <c r="L7105" t="s">
        <v>5471</v>
      </c>
      <c r="M7105" t="s">
        <v>5471</v>
      </c>
    </row>
    <row r="7106" spans="1:13" x14ac:dyDescent="0.3">
      <c r="A7106" t="s">
        <v>3397</v>
      </c>
      <c r="B7106" t="s">
        <v>26450</v>
      </c>
      <c r="C7106" t="s">
        <v>5487</v>
      </c>
      <c r="D7106" t="s">
        <v>4119</v>
      </c>
      <c r="E7106" t="s">
        <v>5532</v>
      </c>
      <c r="F7106" t="s">
        <v>26451</v>
      </c>
      <c r="G7106" t="s">
        <v>26452</v>
      </c>
      <c r="H7106" t="s">
        <v>5474</v>
      </c>
      <c r="I7106" t="s">
        <v>26453</v>
      </c>
      <c r="J7106" t="s">
        <v>5476</v>
      </c>
      <c r="K7106" t="s">
        <v>26454</v>
      </c>
      <c r="L7106" t="s">
        <v>5471</v>
      </c>
      <c r="M7106" t="s">
        <v>5471</v>
      </c>
    </row>
    <row r="7107" spans="1:13" x14ac:dyDescent="0.3">
      <c r="A7107" t="s">
        <v>3380</v>
      </c>
      <c r="B7107" t="s">
        <v>26436</v>
      </c>
      <c r="C7107" t="s">
        <v>6342</v>
      </c>
      <c r="D7107" t="s">
        <v>4119</v>
      </c>
      <c r="E7107" t="s">
        <v>9935</v>
      </c>
      <c r="F7107" t="s">
        <v>26455</v>
      </c>
      <c r="G7107" t="s">
        <v>26438</v>
      </c>
      <c r="H7107" t="s">
        <v>5474</v>
      </c>
      <c r="I7107" t="s">
        <v>26456</v>
      </c>
      <c r="J7107" t="s">
        <v>5476</v>
      </c>
      <c r="K7107" t="s">
        <v>26457</v>
      </c>
      <c r="L7107" t="s">
        <v>5471</v>
      </c>
      <c r="M7107" t="s">
        <v>5471</v>
      </c>
    </row>
    <row r="7108" spans="1:13" x14ac:dyDescent="0.3">
      <c r="A7108" t="s">
        <v>3380</v>
      </c>
      <c r="B7108" t="s">
        <v>26458</v>
      </c>
      <c r="C7108" t="s">
        <v>6342</v>
      </c>
      <c r="D7108" t="s">
        <v>4119</v>
      </c>
      <c r="E7108" t="s">
        <v>5532</v>
      </c>
      <c r="F7108" t="s">
        <v>26459</v>
      </c>
      <c r="G7108" t="s">
        <v>26460</v>
      </c>
      <c r="H7108" t="s">
        <v>5474</v>
      </c>
      <c r="I7108" t="s">
        <v>26461</v>
      </c>
      <c r="J7108" t="s">
        <v>5476</v>
      </c>
      <c r="K7108" t="s">
        <v>26265</v>
      </c>
      <c r="L7108" t="s">
        <v>5471</v>
      </c>
      <c r="M7108" t="s">
        <v>5471</v>
      </c>
    </row>
    <row r="7109" spans="1:13" x14ac:dyDescent="0.3">
      <c r="A7109" t="s">
        <v>3380</v>
      </c>
      <c r="B7109" t="s">
        <v>9677</v>
      </c>
      <c r="C7109" t="s">
        <v>6342</v>
      </c>
      <c r="D7109" t="s">
        <v>4119</v>
      </c>
      <c r="E7109" t="s">
        <v>9935</v>
      </c>
      <c r="F7109" t="s">
        <v>26462</v>
      </c>
      <c r="G7109" t="s">
        <v>26150</v>
      </c>
      <c r="H7109" t="s">
        <v>5474</v>
      </c>
      <c r="I7109" t="s">
        <v>26463</v>
      </c>
      <c r="J7109" t="s">
        <v>5476</v>
      </c>
      <c r="K7109" t="s">
        <v>18311</v>
      </c>
      <c r="L7109" t="s">
        <v>5471</v>
      </c>
      <c r="M7109" t="s">
        <v>5471</v>
      </c>
    </row>
    <row r="7110" spans="1:13" x14ac:dyDescent="0.3">
      <c r="A7110" t="s">
        <v>3380</v>
      </c>
      <c r="B7110" t="s">
        <v>26458</v>
      </c>
      <c r="C7110" t="s">
        <v>6342</v>
      </c>
      <c r="D7110" t="s">
        <v>4119</v>
      </c>
      <c r="E7110" t="s">
        <v>5532</v>
      </c>
      <c r="F7110" t="s">
        <v>26464</v>
      </c>
      <c r="G7110" t="s">
        <v>26465</v>
      </c>
      <c r="H7110" t="s">
        <v>5474</v>
      </c>
      <c r="I7110" t="s">
        <v>26466</v>
      </c>
      <c r="J7110" t="s">
        <v>5476</v>
      </c>
      <c r="K7110" t="s">
        <v>26467</v>
      </c>
      <c r="L7110" t="s">
        <v>5471</v>
      </c>
      <c r="M7110" t="s">
        <v>5471</v>
      </c>
    </row>
    <row r="7111" spans="1:13" x14ac:dyDescent="0.3">
      <c r="A7111" t="s">
        <v>3380</v>
      </c>
      <c r="B7111" t="s">
        <v>26458</v>
      </c>
      <c r="C7111" t="s">
        <v>6342</v>
      </c>
      <c r="D7111" t="s">
        <v>4119</v>
      </c>
      <c r="E7111" t="s">
        <v>5532</v>
      </c>
      <c r="F7111" t="s">
        <v>26468</v>
      </c>
      <c r="G7111" t="s">
        <v>26469</v>
      </c>
      <c r="H7111" t="s">
        <v>5474</v>
      </c>
      <c r="I7111" t="s">
        <v>26470</v>
      </c>
      <c r="J7111" t="s">
        <v>5476</v>
      </c>
      <c r="K7111" t="s">
        <v>26471</v>
      </c>
      <c r="L7111" t="s">
        <v>5471</v>
      </c>
      <c r="M7111" t="s">
        <v>5471</v>
      </c>
    </row>
    <row r="7112" spans="1:13" x14ac:dyDescent="0.3">
      <c r="A7112" t="s">
        <v>3380</v>
      </c>
      <c r="B7112" t="s">
        <v>10539</v>
      </c>
      <c r="C7112" t="s">
        <v>6342</v>
      </c>
      <c r="D7112" t="s">
        <v>4119</v>
      </c>
      <c r="E7112" t="s">
        <v>9935</v>
      </c>
      <c r="F7112" t="s">
        <v>26472</v>
      </c>
      <c r="G7112" t="s">
        <v>10553</v>
      </c>
      <c r="H7112" t="s">
        <v>5474</v>
      </c>
      <c r="I7112" t="s">
        <v>26473</v>
      </c>
      <c r="J7112" t="s">
        <v>5476</v>
      </c>
      <c r="K7112" t="s">
        <v>26265</v>
      </c>
      <c r="L7112" t="s">
        <v>5471</v>
      </c>
      <c r="M7112" t="s">
        <v>5471</v>
      </c>
    </row>
    <row r="7113" spans="1:13" x14ac:dyDescent="0.3">
      <c r="A7113" t="s">
        <v>3380</v>
      </c>
      <c r="B7113" t="s">
        <v>10539</v>
      </c>
      <c r="C7113" t="s">
        <v>6342</v>
      </c>
      <c r="D7113" t="s">
        <v>4119</v>
      </c>
      <c r="E7113" t="s">
        <v>9935</v>
      </c>
      <c r="F7113" t="s">
        <v>26474</v>
      </c>
      <c r="G7113" t="s">
        <v>26475</v>
      </c>
      <c r="H7113" t="s">
        <v>5474</v>
      </c>
      <c r="I7113" t="s">
        <v>26476</v>
      </c>
      <c r="J7113" t="s">
        <v>5476</v>
      </c>
      <c r="K7113" t="s">
        <v>26477</v>
      </c>
      <c r="L7113" t="s">
        <v>5471</v>
      </c>
      <c r="M7113" t="s">
        <v>5471</v>
      </c>
    </row>
    <row r="7114" spans="1:13" x14ac:dyDescent="0.3">
      <c r="A7114" t="s">
        <v>3380</v>
      </c>
      <c r="B7114" t="s">
        <v>10539</v>
      </c>
      <c r="C7114" t="s">
        <v>6342</v>
      </c>
      <c r="D7114" t="s">
        <v>4119</v>
      </c>
      <c r="E7114" t="s">
        <v>9935</v>
      </c>
      <c r="F7114" t="s">
        <v>26478</v>
      </c>
      <c r="G7114" t="s">
        <v>26479</v>
      </c>
      <c r="H7114" t="s">
        <v>5474</v>
      </c>
      <c r="I7114" t="s">
        <v>26480</v>
      </c>
      <c r="J7114" t="s">
        <v>5476</v>
      </c>
      <c r="K7114" t="s">
        <v>26481</v>
      </c>
      <c r="L7114" t="s">
        <v>5471</v>
      </c>
      <c r="M7114" t="s">
        <v>5471</v>
      </c>
    </row>
    <row r="7115" spans="1:13" x14ac:dyDescent="0.3">
      <c r="A7115" t="s">
        <v>3380</v>
      </c>
      <c r="B7115" t="s">
        <v>10539</v>
      </c>
      <c r="C7115" t="s">
        <v>6342</v>
      </c>
      <c r="D7115" t="s">
        <v>4119</v>
      </c>
      <c r="E7115" t="s">
        <v>9935</v>
      </c>
      <c r="F7115" t="s">
        <v>26482</v>
      </c>
      <c r="G7115" t="s">
        <v>26444</v>
      </c>
      <c r="H7115" t="s">
        <v>5474</v>
      </c>
      <c r="I7115" t="s">
        <v>26483</v>
      </c>
      <c r="J7115" t="s">
        <v>5476</v>
      </c>
      <c r="K7115" t="s">
        <v>26484</v>
      </c>
      <c r="L7115" t="s">
        <v>5471</v>
      </c>
      <c r="M7115" t="s">
        <v>5471</v>
      </c>
    </row>
    <row r="7116" spans="1:13" x14ac:dyDescent="0.3">
      <c r="A7116" t="s">
        <v>3380</v>
      </c>
      <c r="B7116" t="s">
        <v>10539</v>
      </c>
      <c r="C7116" t="s">
        <v>6342</v>
      </c>
      <c r="D7116" t="s">
        <v>4119</v>
      </c>
      <c r="E7116" t="s">
        <v>9935</v>
      </c>
      <c r="F7116" t="s">
        <v>26485</v>
      </c>
      <c r="G7116" t="s">
        <v>10576</v>
      </c>
      <c r="H7116" t="s">
        <v>5474</v>
      </c>
      <c r="I7116" t="s">
        <v>26486</v>
      </c>
      <c r="J7116" t="s">
        <v>5476</v>
      </c>
      <c r="K7116" t="s">
        <v>26487</v>
      </c>
      <c r="L7116" t="s">
        <v>5471</v>
      </c>
      <c r="M7116" t="s">
        <v>5471</v>
      </c>
    </row>
    <row r="7117" spans="1:13" x14ac:dyDescent="0.3">
      <c r="A7117" t="s">
        <v>3380</v>
      </c>
      <c r="B7117" t="s">
        <v>10539</v>
      </c>
      <c r="C7117" t="s">
        <v>6342</v>
      </c>
      <c r="D7117" t="s">
        <v>4119</v>
      </c>
      <c r="E7117" t="s">
        <v>9935</v>
      </c>
      <c r="F7117" t="s">
        <v>26488</v>
      </c>
      <c r="G7117" t="s">
        <v>10553</v>
      </c>
      <c r="H7117" t="s">
        <v>5474</v>
      </c>
      <c r="I7117" t="s">
        <v>26489</v>
      </c>
      <c r="J7117" t="s">
        <v>5476</v>
      </c>
      <c r="K7117" t="s">
        <v>26490</v>
      </c>
      <c r="L7117" t="s">
        <v>5471</v>
      </c>
      <c r="M7117" t="s">
        <v>5471</v>
      </c>
    </row>
    <row r="7118" spans="1:13" x14ac:dyDescent="0.3">
      <c r="A7118" t="s">
        <v>3380</v>
      </c>
      <c r="B7118" t="s">
        <v>10539</v>
      </c>
      <c r="C7118" t="s">
        <v>6342</v>
      </c>
      <c r="D7118" t="s">
        <v>4119</v>
      </c>
      <c r="E7118" t="s">
        <v>9935</v>
      </c>
      <c r="F7118" t="s">
        <v>26491</v>
      </c>
      <c r="G7118" t="s">
        <v>10553</v>
      </c>
      <c r="H7118" t="s">
        <v>5474</v>
      </c>
      <c r="I7118" t="s">
        <v>26492</v>
      </c>
      <c r="J7118" t="s">
        <v>5476</v>
      </c>
      <c r="K7118" t="s">
        <v>26493</v>
      </c>
      <c r="L7118" t="s">
        <v>5471</v>
      </c>
      <c r="M7118" t="s">
        <v>5471</v>
      </c>
    </row>
    <row r="7119" spans="1:13" x14ac:dyDescent="0.3">
      <c r="A7119" t="s">
        <v>3380</v>
      </c>
      <c r="B7119" t="s">
        <v>16983</v>
      </c>
      <c r="C7119" t="s">
        <v>6342</v>
      </c>
      <c r="D7119" t="s">
        <v>4119</v>
      </c>
      <c r="E7119" t="s">
        <v>5532</v>
      </c>
      <c r="F7119" t="s">
        <v>26494</v>
      </c>
      <c r="G7119" t="s">
        <v>16985</v>
      </c>
      <c r="H7119" t="s">
        <v>5474</v>
      </c>
      <c r="I7119" t="s">
        <v>26495</v>
      </c>
      <c r="J7119" t="s">
        <v>5476</v>
      </c>
      <c r="K7119" t="s">
        <v>26496</v>
      </c>
      <c r="L7119" t="s">
        <v>5471</v>
      </c>
      <c r="M7119" t="s">
        <v>5471</v>
      </c>
    </row>
    <row r="7120" spans="1:13" x14ac:dyDescent="0.3">
      <c r="A7120" t="s">
        <v>3380</v>
      </c>
      <c r="B7120" t="s">
        <v>16983</v>
      </c>
      <c r="C7120" t="s">
        <v>6342</v>
      </c>
      <c r="D7120" t="s">
        <v>4119</v>
      </c>
      <c r="E7120" t="s">
        <v>5532</v>
      </c>
      <c r="F7120" t="s">
        <v>26497</v>
      </c>
      <c r="G7120" t="s">
        <v>16985</v>
      </c>
      <c r="H7120" t="s">
        <v>5474</v>
      </c>
      <c r="I7120" t="s">
        <v>26498</v>
      </c>
      <c r="J7120" t="s">
        <v>5476</v>
      </c>
      <c r="K7120" t="s">
        <v>26499</v>
      </c>
      <c r="L7120" t="s">
        <v>5471</v>
      </c>
      <c r="M7120" t="s">
        <v>5471</v>
      </c>
    </row>
    <row r="7121" spans="1:13" x14ac:dyDescent="0.3">
      <c r="A7121" t="s">
        <v>3383</v>
      </c>
      <c r="B7121" t="s">
        <v>6122</v>
      </c>
      <c r="C7121" t="s">
        <v>5470</v>
      </c>
      <c r="D7121" t="s">
        <v>4058</v>
      </c>
      <c r="E7121" t="s">
        <v>5532</v>
      </c>
      <c r="F7121" t="s">
        <v>26500</v>
      </c>
      <c r="G7121" t="s">
        <v>7497</v>
      </c>
      <c r="H7121" t="s">
        <v>5474</v>
      </c>
      <c r="I7121" t="s">
        <v>26501</v>
      </c>
      <c r="J7121" t="s">
        <v>5476</v>
      </c>
      <c r="K7121" t="s">
        <v>26502</v>
      </c>
      <c r="L7121" t="s">
        <v>5471</v>
      </c>
      <c r="M7121" t="s">
        <v>5471</v>
      </c>
    </row>
    <row r="7122" spans="1:13" x14ac:dyDescent="0.3">
      <c r="A7122" t="s">
        <v>3380</v>
      </c>
      <c r="B7122" t="s">
        <v>26503</v>
      </c>
      <c r="C7122" t="s">
        <v>6342</v>
      </c>
      <c r="D7122" t="s">
        <v>4119</v>
      </c>
      <c r="E7122" t="s">
        <v>5532</v>
      </c>
      <c r="F7122" t="s">
        <v>26504</v>
      </c>
      <c r="G7122" t="s">
        <v>26505</v>
      </c>
      <c r="H7122" t="s">
        <v>5474</v>
      </c>
      <c r="I7122" t="s">
        <v>26506</v>
      </c>
      <c r="J7122" t="s">
        <v>5476</v>
      </c>
      <c r="K7122" t="s">
        <v>18301</v>
      </c>
      <c r="L7122" t="s">
        <v>5471</v>
      </c>
      <c r="M7122" t="s">
        <v>5471</v>
      </c>
    </row>
    <row r="7123" spans="1:13" x14ac:dyDescent="0.3">
      <c r="A7123" t="s">
        <v>3380</v>
      </c>
      <c r="B7123" t="s">
        <v>26503</v>
      </c>
      <c r="C7123" t="s">
        <v>6342</v>
      </c>
      <c r="D7123" t="s">
        <v>4119</v>
      </c>
      <c r="E7123" t="s">
        <v>5532</v>
      </c>
      <c r="F7123" t="s">
        <v>26507</v>
      </c>
      <c r="G7123" t="s">
        <v>26505</v>
      </c>
      <c r="H7123" t="s">
        <v>5474</v>
      </c>
      <c r="I7123" t="s">
        <v>26508</v>
      </c>
      <c r="J7123" t="s">
        <v>5476</v>
      </c>
      <c r="K7123" t="s">
        <v>18308</v>
      </c>
      <c r="L7123" t="s">
        <v>5471</v>
      </c>
      <c r="M7123" t="s">
        <v>5471</v>
      </c>
    </row>
    <row r="7124" spans="1:13" x14ac:dyDescent="0.3">
      <c r="A7124" t="s">
        <v>3383</v>
      </c>
      <c r="B7124" t="s">
        <v>5294</v>
      </c>
      <c r="C7124" t="s">
        <v>5470</v>
      </c>
      <c r="D7124" t="s">
        <v>4058</v>
      </c>
      <c r="E7124" t="s">
        <v>5756</v>
      </c>
      <c r="F7124" t="s">
        <v>26509</v>
      </c>
      <c r="G7124" t="s">
        <v>6283</v>
      </c>
      <c r="H7124" t="s">
        <v>5474</v>
      </c>
      <c r="I7124" t="s">
        <v>26510</v>
      </c>
      <c r="J7124" t="s">
        <v>5484</v>
      </c>
      <c r="K7124" t="s">
        <v>26511</v>
      </c>
      <c r="L7124" t="s">
        <v>5471</v>
      </c>
      <c r="M7124" t="s">
        <v>5471</v>
      </c>
    </row>
    <row r="7125" spans="1:13" x14ac:dyDescent="0.3">
      <c r="A7125" t="s">
        <v>3383</v>
      </c>
      <c r="B7125" t="s">
        <v>6187</v>
      </c>
      <c r="C7125" t="s">
        <v>5470</v>
      </c>
      <c r="D7125" t="s">
        <v>4056</v>
      </c>
      <c r="E7125" t="s">
        <v>5756</v>
      </c>
      <c r="F7125" t="s">
        <v>26512</v>
      </c>
      <c r="G7125" t="s">
        <v>7455</v>
      </c>
      <c r="H7125" t="s">
        <v>5474</v>
      </c>
      <c r="I7125" t="s">
        <v>26513</v>
      </c>
      <c r="J7125" t="s">
        <v>5476</v>
      </c>
      <c r="K7125" t="s">
        <v>26514</v>
      </c>
      <c r="L7125" t="s">
        <v>5471</v>
      </c>
      <c r="M7125" t="s">
        <v>5471</v>
      </c>
    </row>
    <row r="7126" spans="1:13" x14ac:dyDescent="0.3">
      <c r="A7126" t="s">
        <v>3383</v>
      </c>
      <c r="B7126" t="s">
        <v>5294</v>
      </c>
      <c r="C7126" t="s">
        <v>5470</v>
      </c>
      <c r="D7126" t="s">
        <v>4058</v>
      </c>
      <c r="E7126" t="s">
        <v>5756</v>
      </c>
      <c r="F7126" t="s">
        <v>26515</v>
      </c>
      <c r="G7126" t="s">
        <v>6283</v>
      </c>
      <c r="H7126" t="s">
        <v>5474</v>
      </c>
      <c r="I7126" t="s">
        <v>26516</v>
      </c>
      <c r="J7126" t="s">
        <v>5484</v>
      </c>
      <c r="K7126" t="s">
        <v>26517</v>
      </c>
      <c r="L7126" t="s">
        <v>5471</v>
      </c>
      <c r="M7126" t="s">
        <v>5471</v>
      </c>
    </row>
    <row r="7127" spans="1:13" x14ac:dyDescent="0.3">
      <c r="A7127" t="s">
        <v>3383</v>
      </c>
      <c r="B7127" t="s">
        <v>5332</v>
      </c>
      <c r="C7127" t="s">
        <v>5470</v>
      </c>
      <c r="D7127" t="s">
        <v>4056</v>
      </c>
      <c r="E7127" t="s">
        <v>5532</v>
      </c>
      <c r="F7127" t="s">
        <v>26518</v>
      </c>
      <c r="G7127" t="s">
        <v>6239</v>
      </c>
      <c r="H7127" t="s">
        <v>5474</v>
      </c>
      <c r="I7127" t="s">
        <v>26519</v>
      </c>
      <c r="J7127" t="s">
        <v>5484</v>
      </c>
      <c r="K7127" t="s">
        <v>26520</v>
      </c>
      <c r="L7127" t="s">
        <v>5471</v>
      </c>
      <c r="M7127" t="s">
        <v>5471</v>
      </c>
    </row>
    <row r="7128" spans="1:13" x14ac:dyDescent="0.3">
      <c r="A7128" t="s">
        <v>3383</v>
      </c>
      <c r="B7128" t="s">
        <v>5294</v>
      </c>
      <c r="C7128" t="s">
        <v>5470</v>
      </c>
      <c r="D7128" t="s">
        <v>4058</v>
      </c>
      <c r="E7128" t="s">
        <v>5756</v>
      </c>
      <c r="F7128" t="s">
        <v>26521</v>
      </c>
      <c r="G7128" t="s">
        <v>5977</v>
      </c>
      <c r="H7128" t="s">
        <v>5474</v>
      </c>
      <c r="I7128" t="s">
        <v>26522</v>
      </c>
      <c r="J7128" t="s">
        <v>5484</v>
      </c>
      <c r="K7128" t="s">
        <v>26523</v>
      </c>
      <c r="L7128" t="s">
        <v>5471</v>
      </c>
      <c r="M7128" t="s">
        <v>5471</v>
      </c>
    </row>
    <row r="7129" spans="1:13" x14ac:dyDescent="0.3">
      <c r="A7129" t="s">
        <v>3380</v>
      </c>
      <c r="B7129" t="s">
        <v>16820</v>
      </c>
      <c r="C7129" t="s">
        <v>6342</v>
      </c>
      <c r="D7129" t="s">
        <v>4119</v>
      </c>
      <c r="E7129" t="s">
        <v>5532</v>
      </c>
      <c r="F7129" t="s">
        <v>26524</v>
      </c>
      <c r="G7129" t="s">
        <v>16822</v>
      </c>
      <c r="H7129" t="s">
        <v>5474</v>
      </c>
      <c r="I7129" t="s">
        <v>26525</v>
      </c>
      <c r="J7129" t="s">
        <v>5476</v>
      </c>
      <c r="K7129" t="s">
        <v>18308</v>
      </c>
      <c r="L7129" t="s">
        <v>5471</v>
      </c>
      <c r="M7129" t="s">
        <v>5471</v>
      </c>
    </row>
    <row r="7130" spans="1:13" x14ac:dyDescent="0.3">
      <c r="A7130" t="s">
        <v>3383</v>
      </c>
      <c r="B7130" t="s">
        <v>6122</v>
      </c>
      <c r="C7130" t="s">
        <v>5470</v>
      </c>
      <c r="D7130" t="s">
        <v>4058</v>
      </c>
      <c r="E7130" t="s">
        <v>5756</v>
      </c>
      <c r="F7130" t="s">
        <v>26526</v>
      </c>
      <c r="G7130" t="s">
        <v>8970</v>
      </c>
      <c r="H7130" t="s">
        <v>5474</v>
      </c>
      <c r="I7130" t="s">
        <v>26527</v>
      </c>
      <c r="J7130" t="s">
        <v>5476</v>
      </c>
      <c r="K7130" t="s">
        <v>26528</v>
      </c>
      <c r="L7130" t="s">
        <v>5471</v>
      </c>
      <c r="M7130" t="s">
        <v>5471</v>
      </c>
    </row>
    <row r="7131" spans="1:13" x14ac:dyDescent="0.3">
      <c r="A7131" t="s">
        <v>3383</v>
      </c>
      <c r="B7131" t="s">
        <v>6187</v>
      </c>
      <c r="C7131" t="s">
        <v>5470</v>
      </c>
      <c r="D7131" t="s">
        <v>4056</v>
      </c>
      <c r="E7131" t="s">
        <v>5756</v>
      </c>
      <c r="F7131" t="s">
        <v>26529</v>
      </c>
      <c r="G7131" t="s">
        <v>26530</v>
      </c>
      <c r="H7131" t="s">
        <v>5474</v>
      </c>
      <c r="I7131" t="s">
        <v>26531</v>
      </c>
      <c r="J7131" t="s">
        <v>5476</v>
      </c>
      <c r="K7131" t="s">
        <v>26532</v>
      </c>
      <c r="L7131" t="s">
        <v>5471</v>
      </c>
      <c r="M7131" t="s">
        <v>5471</v>
      </c>
    </row>
    <row r="7132" spans="1:13" x14ac:dyDescent="0.3">
      <c r="A7132" t="s">
        <v>3383</v>
      </c>
      <c r="B7132" t="s">
        <v>6187</v>
      </c>
      <c r="C7132" t="s">
        <v>5470</v>
      </c>
      <c r="D7132" t="s">
        <v>4056</v>
      </c>
      <c r="E7132" t="s">
        <v>5756</v>
      </c>
      <c r="F7132" t="s">
        <v>26533</v>
      </c>
      <c r="G7132" t="s">
        <v>7455</v>
      </c>
      <c r="H7132" t="s">
        <v>5474</v>
      </c>
      <c r="I7132" t="s">
        <v>26534</v>
      </c>
      <c r="J7132" t="s">
        <v>5476</v>
      </c>
      <c r="K7132" t="s">
        <v>26535</v>
      </c>
      <c r="L7132" t="s">
        <v>5471</v>
      </c>
      <c r="M7132" t="s">
        <v>5471</v>
      </c>
    </row>
    <row r="7133" spans="1:13" x14ac:dyDescent="0.3">
      <c r="A7133" t="s">
        <v>3383</v>
      </c>
      <c r="B7133" t="s">
        <v>6122</v>
      </c>
      <c r="C7133" t="s">
        <v>5470</v>
      </c>
      <c r="D7133" t="s">
        <v>4058</v>
      </c>
      <c r="E7133" t="s">
        <v>5532</v>
      </c>
      <c r="F7133" t="s">
        <v>26536</v>
      </c>
      <c r="G7133" t="s">
        <v>7497</v>
      </c>
      <c r="H7133" t="s">
        <v>5474</v>
      </c>
      <c r="I7133" t="s">
        <v>26537</v>
      </c>
      <c r="J7133" t="s">
        <v>5476</v>
      </c>
      <c r="K7133" t="s">
        <v>26538</v>
      </c>
      <c r="L7133" t="s">
        <v>5471</v>
      </c>
      <c r="M7133" t="s">
        <v>5471</v>
      </c>
    </row>
    <row r="7134" spans="1:13" x14ac:dyDescent="0.3">
      <c r="A7134" t="s">
        <v>3383</v>
      </c>
      <c r="B7134" t="s">
        <v>6122</v>
      </c>
      <c r="C7134" t="s">
        <v>5470</v>
      </c>
      <c r="D7134" t="s">
        <v>4052</v>
      </c>
      <c r="E7134" t="s">
        <v>5756</v>
      </c>
      <c r="F7134" t="s">
        <v>26539</v>
      </c>
      <c r="G7134" t="s">
        <v>8970</v>
      </c>
      <c r="H7134" t="s">
        <v>5474</v>
      </c>
      <c r="I7134" t="s">
        <v>26540</v>
      </c>
      <c r="J7134" t="s">
        <v>5476</v>
      </c>
      <c r="K7134" t="s">
        <v>26541</v>
      </c>
      <c r="L7134" t="s">
        <v>5471</v>
      </c>
      <c r="M7134" t="s">
        <v>5471</v>
      </c>
    </row>
    <row r="7135" spans="1:13" x14ac:dyDescent="0.3">
      <c r="A7135" t="s">
        <v>3383</v>
      </c>
      <c r="B7135" t="s">
        <v>6187</v>
      </c>
      <c r="C7135" t="s">
        <v>5470</v>
      </c>
      <c r="D7135" t="s">
        <v>4056</v>
      </c>
      <c r="E7135" t="s">
        <v>5756</v>
      </c>
      <c r="F7135" t="s">
        <v>26542</v>
      </c>
      <c r="G7135" t="s">
        <v>7455</v>
      </c>
      <c r="H7135" t="s">
        <v>5474</v>
      </c>
      <c r="I7135" t="s">
        <v>26543</v>
      </c>
      <c r="J7135" t="s">
        <v>5476</v>
      </c>
      <c r="K7135" t="s">
        <v>26544</v>
      </c>
      <c r="L7135" t="s">
        <v>5471</v>
      </c>
      <c r="M7135" t="s">
        <v>5471</v>
      </c>
    </row>
    <row r="7136" spans="1:13" x14ac:dyDescent="0.3">
      <c r="A7136" t="s">
        <v>3383</v>
      </c>
      <c r="B7136" t="s">
        <v>6122</v>
      </c>
      <c r="C7136" t="s">
        <v>5470</v>
      </c>
      <c r="D7136" t="s">
        <v>4052</v>
      </c>
      <c r="E7136" t="s">
        <v>5756</v>
      </c>
      <c r="F7136" t="s">
        <v>26545</v>
      </c>
      <c r="G7136" t="s">
        <v>7497</v>
      </c>
      <c r="H7136" t="s">
        <v>5474</v>
      </c>
      <c r="I7136" t="s">
        <v>26546</v>
      </c>
      <c r="J7136" t="s">
        <v>5476</v>
      </c>
      <c r="K7136" t="s">
        <v>26547</v>
      </c>
      <c r="L7136" t="s">
        <v>5471</v>
      </c>
      <c r="M7136" t="s">
        <v>5471</v>
      </c>
    </row>
    <row r="7137" spans="1:13" x14ac:dyDescent="0.3">
      <c r="A7137" t="s">
        <v>3383</v>
      </c>
      <c r="B7137" t="s">
        <v>5332</v>
      </c>
      <c r="C7137" t="s">
        <v>5470</v>
      </c>
      <c r="D7137" t="s">
        <v>4056</v>
      </c>
      <c r="E7137" t="s">
        <v>5532</v>
      </c>
      <c r="F7137" t="s">
        <v>26548</v>
      </c>
      <c r="G7137" t="s">
        <v>11513</v>
      </c>
      <c r="H7137" t="s">
        <v>5474</v>
      </c>
      <c r="I7137" t="s">
        <v>26549</v>
      </c>
      <c r="J7137" t="s">
        <v>5484</v>
      </c>
      <c r="K7137" t="s">
        <v>26550</v>
      </c>
      <c r="L7137" t="s">
        <v>5471</v>
      </c>
      <c r="M7137" t="s">
        <v>5471</v>
      </c>
    </row>
    <row r="7138" spans="1:13" x14ac:dyDescent="0.3">
      <c r="A7138" t="s">
        <v>3383</v>
      </c>
      <c r="B7138" t="s">
        <v>6122</v>
      </c>
      <c r="C7138" t="s">
        <v>5470</v>
      </c>
      <c r="D7138" t="s">
        <v>4052</v>
      </c>
      <c r="E7138" t="s">
        <v>5756</v>
      </c>
      <c r="F7138" t="s">
        <v>26551</v>
      </c>
      <c r="G7138" t="s">
        <v>6123</v>
      </c>
      <c r="H7138" t="s">
        <v>5474</v>
      </c>
      <c r="I7138" t="s">
        <v>26552</v>
      </c>
      <c r="J7138" t="s">
        <v>5476</v>
      </c>
      <c r="K7138" t="s">
        <v>26553</v>
      </c>
      <c r="L7138" t="s">
        <v>5471</v>
      </c>
      <c r="M7138" t="s">
        <v>5471</v>
      </c>
    </row>
    <row r="7139" spans="1:13" x14ac:dyDescent="0.3">
      <c r="A7139" t="s">
        <v>3383</v>
      </c>
      <c r="B7139" t="s">
        <v>6122</v>
      </c>
      <c r="C7139" t="s">
        <v>5470</v>
      </c>
      <c r="D7139" t="s">
        <v>4052</v>
      </c>
      <c r="E7139" t="s">
        <v>5756</v>
      </c>
      <c r="F7139" t="s">
        <v>26554</v>
      </c>
      <c r="G7139" t="s">
        <v>6123</v>
      </c>
      <c r="H7139" t="s">
        <v>5474</v>
      </c>
      <c r="I7139" t="s">
        <v>26555</v>
      </c>
      <c r="J7139" t="s">
        <v>5476</v>
      </c>
      <c r="K7139" t="s">
        <v>26556</v>
      </c>
      <c r="L7139" t="s">
        <v>5471</v>
      </c>
      <c r="M7139" t="s">
        <v>5471</v>
      </c>
    </row>
    <row r="7140" spans="1:13" x14ac:dyDescent="0.3">
      <c r="A7140" t="s">
        <v>3383</v>
      </c>
      <c r="B7140" t="s">
        <v>6187</v>
      </c>
      <c r="C7140" t="s">
        <v>5470</v>
      </c>
      <c r="D7140" t="s">
        <v>4056</v>
      </c>
      <c r="E7140" t="s">
        <v>5756</v>
      </c>
      <c r="F7140" t="s">
        <v>26557</v>
      </c>
      <c r="G7140" t="s">
        <v>12069</v>
      </c>
      <c r="H7140" t="s">
        <v>5474</v>
      </c>
      <c r="I7140" t="s">
        <v>26558</v>
      </c>
      <c r="J7140" t="s">
        <v>5476</v>
      </c>
      <c r="K7140" t="s">
        <v>26559</v>
      </c>
      <c r="L7140" t="s">
        <v>5471</v>
      </c>
      <c r="M7140" t="s">
        <v>5471</v>
      </c>
    </row>
    <row r="7141" spans="1:13" x14ac:dyDescent="0.3">
      <c r="A7141" t="s">
        <v>3383</v>
      </c>
      <c r="B7141" t="s">
        <v>6187</v>
      </c>
      <c r="C7141" t="s">
        <v>5470</v>
      </c>
      <c r="D7141" t="s">
        <v>4056</v>
      </c>
      <c r="E7141" t="s">
        <v>5756</v>
      </c>
      <c r="F7141" t="s">
        <v>26560</v>
      </c>
      <c r="G7141" t="s">
        <v>7455</v>
      </c>
      <c r="H7141" t="s">
        <v>5474</v>
      </c>
      <c r="I7141" t="s">
        <v>26561</v>
      </c>
      <c r="J7141" t="s">
        <v>5476</v>
      </c>
      <c r="K7141" t="s">
        <v>26562</v>
      </c>
      <c r="L7141" t="s">
        <v>5471</v>
      </c>
      <c r="M7141" t="s">
        <v>5471</v>
      </c>
    </row>
    <row r="7142" spans="1:13" x14ac:dyDescent="0.3">
      <c r="A7142" t="s">
        <v>3383</v>
      </c>
      <c r="B7142" t="s">
        <v>6122</v>
      </c>
      <c r="C7142" t="s">
        <v>5470</v>
      </c>
      <c r="D7142" t="s">
        <v>4058</v>
      </c>
      <c r="E7142" t="s">
        <v>5532</v>
      </c>
      <c r="F7142" t="s">
        <v>26563</v>
      </c>
      <c r="G7142" t="s">
        <v>6123</v>
      </c>
      <c r="H7142" t="s">
        <v>5474</v>
      </c>
      <c r="I7142" t="s">
        <v>26564</v>
      </c>
      <c r="J7142" t="s">
        <v>5476</v>
      </c>
      <c r="K7142" t="s">
        <v>26565</v>
      </c>
      <c r="L7142" t="s">
        <v>5471</v>
      </c>
      <c r="M7142" t="s">
        <v>5471</v>
      </c>
    </row>
    <row r="7143" spans="1:13" x14ac:dyDescent="0.3">
      <c r="A7143" t="s">
        <v>3383</v>
      </c>
      <c r="B7143" t="s">
        <v>6122</v>
      </c>
      <c r="C7143" t="s">
        <v>5470</v>
      </c>
      <c r="D7143" t="s">
        <v>4058</v>
      </c>
      <c r="E7143" t="s">
        <v>5756</v>
      </c>
      <c r="F7143" t="s">
        <v>26566</v>
      </c>
      <c r="G7143" t="s">
        <v>6123</v>
      </c>
      <c r="H7143" t="s">
        <v>5474</v>
      </c>
      <c r="I7143" t="s">
        <v>26567</v>
      </c>
      <c r="J7143" t="s">
        <v>5476</v>
      </c>
      <c r="K7143" t="s">
        <v>26568</v>
      </c>
      <c r="L7143" t="s">
        <v>5471</v>
      </c>
      <c r="M7143" t="s">
        <v>5471</v>
      </c>
    </row>
    <row r="7144" spans="1:13" x14ac:dyDescent="0.3">
      <c r="A7144" t="s">
        <v>3383</v>
      </c>
      <c r="B7144" t="s">
        <v>6122</v>
      </c>
      <c r="C7144" t="s">
        <v>5470</v>
      </c>
      <c r="D7144" t="s">
        <v>4058</v>
      </c>
      <c r="E7144" t="s">
        <v>5532</v>
      </c>
      <c r="F7144" t="s">
        <v>26569</v>
      </c>
      <c r="G7144" t="s">
        <v>7497</v>
      </c>
      <c r="H7144" t="s">
        <v>5474</v>
      </c>
      <c r="I7144" t="s">
        <v>26570</v>
      </c>
      <c r="J7144" t="s">
        <v>5476</v>
      </c>
      <c r="K7144" t="s">
        <v>26571</v>
      </c>
      <c r="L7144" t="s">
        <v>5471</v>
      </c>
      <c r="M7144" t="s">
        <v>5471</v>
      </c>
    </row>
    <row r="7145" spans="1:13" x14ac:dyDescent="0.3">
      <c r="A7145" t="s">
        <v>3383</v>
      </c>
      <c r="B7145" t="s">
        <v>6122</v>
      </c>
      <c r="C7145" t="s">
        <v>5470</v>
      </c>
      <c r="D7145" t="s">
        <v>4058</v>
      </c>
      <c r="E7145" t="s">
        <v>5756</v>
      </c>
      <c r="F7145" t="s">
        <v>26572</v>
      </c>
      <c r="G7145" t="s">
        <v>6123</v>
      </c>
      <c r="H7145" t="s">
        <v>5474</v>
      </c>
      <c r="I7145" t="s">
        <v>26573</v>
      </c>
      <c r="J7145" t="s">
        <v>5476</v>
      </c>
      <c r="K7145" t="s">
        <v>26574</v>
      </c>
      <c r="L7145" t="s">
        <v>5471</v>
      </c>
      <c r="M7145" t="s">
        <v>5471</v>
      </c>
    </row>
    <row r="7146" spans="1:13" x14ac:dyDescent="0.3">
      <c r="A7146" t="s">
        <v>3383</v>
      </c>
      <c r="B7146" t="s">
        <v>6051</v>
      </c>
      <c r="C7146" t="s">
        <v>5470</v>
      </c>
      <c r="D7146" t="s">
        <v>10218</v>
      </c>
      <c r="E7146" t="s">
        <v>5756</v>
      </c>
      <c r="F7146" t="s">
        <v>26575</v>
      </c>
      <c r="G7146" t="s">
        <v>6283</v>
      </c>
      <c r="H7146" t="s">
        <v>5474</v>
      </c>
      <c r="I7146" t="s">
        <v>26576</v>
      </c>
      <c r="J7146" t="s">
        <v>5476</v>
      </c>
      <c r="K7146" t="s">
        <v>20683</v>
      </c>
      <c r="L7146" t="s">
        <v>5471</v>
      </c>
      <c r="M7146" t="s">
        <v>5471</v>
      </c>
    </row>
    <row r="7147" spans="1:13" x14ac:dyDescent="0.3">
      <c r="A7147" t="s">
        <v>3383</v>
      </c>
      <c r="B7147" t="s">
        <v>6051</v>
      </c>
      <c r="C7147" t="s">
        <v>5470</v>
      </c>
      <c r="D7147" t="s">
        <v>10218</v>
      </c>
      <c r="E7147" t="s">
        <v>5756</v>
      </c>
      <c r="F7147" t="s">
        <v>26577</v>
      </c>
      <c r="G7147" t="s">
        <v>6283</v>
      </c>
      <c r="H7147" t="s">
        <v>5474</v>
      </c>
      <c r="I7147" t="s">
        <v>26578</v>
      </c>
      <c r="J7147" t="s">
        <v>5476</v>
      </c>
      <c r="K7147" t="s">
        <v>26579</v>
      </c>
      <c r="L7147" t="s">
        <v>5471</v>
      </c>
      <c r="M7147" t="s">
        <v>5471</v>
      </c>
    </row>
    <row r="7148" spans="1:13" x14ac:dyDescent="0.3">
      <c r="A7148" t="s">
        <v>3383</v>
      </c>
      <c r="B7148" t="s">
        <v>6122</v>
      </c>
      <c r="C7148" t="s">
        <v>5470</v>
      </c>
      <c r="D7148" t="s">
        <v>4058</v>
      </c>
      <c r="E7148" t="s">
        <v>5756</v>
      </c>
      <c r="F7148" t="s">
        <v>26580</v>
      </c>
      <c r="G7148" t="s">
        <v>8970</v>
      </c>
      <c r="H7148" t="s">
        <v>5474</v>
      </c>
      <c r="I7148" t="s">
        <v>26581</v>
      </c>
      <c r="J7148" t="s">
        <v>5476</v>
      </c>
      <c r="K7148" t="s">
        <v>26582</v>
      </c>
      <c r="L7148" t="s">
        <v>5471</v>
      </c>
      <c r="M7148" t="s">
        <v>5471</v>
      </c>
    </row>
    <row r="7149" spans="1:13" x14ac:dyDescent="0.3">
      <c r="A7149" t="s">
        <v>3380</v>
      </c>
      <c r="B7149" t="s">
        <v>16094</v>
      </c>
      <c r="C7149" t="s">
        <v>6342</v>
      </c>
      <c r="D7149" t="s">
        <v>4058</v>
      </c>
      <c r="E7149" t="s">
        <v>5532</v>
      </c>
      <c r="F7149" t="s">
        <v>26583</v>
      </c>
      <c r="G7149" t="s">
        <v>16401</v>
      </c>
      <c r="H7149" t="s">
        <v>5474</v>
      </c>
      <c r="I7149" t="s">
        <v>26584</v>
      </c>
      <c r="J7149" t="s">
        <v>5476</v>
      </c>
      <c r="K7149" t="s">
        <v>26585</v>
      </c>
      <c r="L7149" t="s">
        <v>5471</v>
      </c>
      <c r="M7149" t="s">
        <v>5471</v>
      </c>
    </row>
    <row r="7150" spans="1:13" x14ac:dyDescent="0.3">
      <c r="A7150" t="s">
        <v>3380</v>
      </c>
      <c r="B7150" t="s">
        <v>16094</v>
      </c>
      <c r="C7150" t="s">
        <v>6342</v>
      </c>
      <c r="D7150" t="s">
        <v>4058</v>
      </c>
      <c r="E7150" t="s">
        <v>5532</v>
      </c>
      <c r="F7150" t="s">
        <v>26586</v>
      </c>
      <c r="G7150" t="s">
        <v>16401</v>
      </c>
      <c r="H7150" t="s">
        <v>5474</v>
      </c>
      <c r="I7150" t="s">
        <v>26587</v>
      </c>
      <c r="J7150" t="s">
        <v>5476</v>
      </c>
      <c r="K7150" t="s">
        <v>26588</v>
      </c>
      <c r="L7150" t="s">
        <v>5471</v>
      </c>
      <c r="M7150" t="s">
        <v>5471</v>
      </c>
    </row>
    <row r="7151" spans="1:13" x14ac:dyDescent="0.3">
      <c r="A7151" t="s">
        <v>3380</v>
      </c>
      <c r="B7151" t="s">
        <v>16094</v>
      </c>
      <c r="C7151" t="s">
        <v>6342</v>
      </c>
      <c r="D7151" t="s">
        <v>4058</v>
      </c>
      <c r="E7151" t="s">
        <v>5532</v>
      </c>
      <c r="F7151" t="s">
        <v>26589</v>
      </c>
      <c r="G7151" t="s">
        <v>16401</v>
      </c>
      <c r="H7151" t="s">
        <v>5474</v>
      </c>
      <c r="I7151" t="s">
        <v>26590</v>
      </c>
      <c r="J7151" t="s">
        <v>5476</v>
      </c>
      <c r="K7151" t="s">
        <v>26591</v>
      </c>
      <c r="L7151" t="s">
        <v>5471</v>
      </c>
      <c r="M7151" t="s">
        <v>5471</v>
      </c>
    </row>
    <row r="7152" spans="1:13" x14ac:dyDescent="0.3">
      <c r="A7152" t="s">
        <v>3380</v>
      </c>
      <c r="B7152" t="s">
        <v>16094</v>
      </c>
      <c r="C7152" t="s">
        <v>6342</v>
      </c>
      <c r="D7152" t="s">
        <v>4058</v>
      </c>
      <c r="E7152" t="s">
        <v>5532</v>
      </c>
      <c r="F7152" t="s">
        <v>26592</v>
      </c>
      <c r="G7152" t="s">
        <v>16401</v>
      </c>
      <c r="H7152" t="s">
        <v>5474</v>
      </c>
      <c r="I7152" t="s">
        <v>26593</v>
      </c>
      <c r="J7152" t="s">
        <v>5476</v>
      </c>
      <c r="K7152" t="s">
        <v>26594</v>
      </c>
      <c r="L7152" t="s">
        <v>5471</v>
      </c>
      <c r="M7152" t="s">
        <v>5471</v>
      </c>
    </row>
    <row r="7153" spans="1:13" x14ac:dyDescent="0.3">
      <c r="A7153" t="s">
        <v>3383</v>
      </c>
      <c r="B7153" t="s">
        <v>6051</v>
      </c>
      <c r="C7153" t="s">
        <v>5470</v>
      </c>
      <c r="D7153" t="s">
        <v>10218</v>
      </c>
      <c r="E7153" t="s">
        <v>5756</v>
      </c>
      <c r="F7153" t="s">
        <v>26595</v>
      </c>
      <c r="G7153" t="s">
        <v>6283</v>
      </c>
      <c r="H7153" t="s">
        <v>5474</v>
      </c>
      <c r="I7153" t="s">
        <v>26596</v>
      </c>
      <c r="J7153" t="s">
        <v>5476</v>
      </c>
      <c r="K7153" t="s">
        <v>26597</v>
      </c>
      <c r="L7153" t="s">
        <v>5471</v>
      </c>
      <c r="M7153" t="s">
        <v>5471</v>
      </c>
    </row>
    <row r="7154" spans="1:13" x14ac:dyDescent="0.3">
      <c r="A7154" t="s">
        <v>3383</v>
      </c>
      <c r="B7154" t="s">
        <v>6051</v>
      </c>
      <c r="C7154" t="s">
        <v>5470</v>
      </c>
      <c r="D7154" t="s">
        <v>10218</v>
      </c>
      <c r="E7154" t="s">
        <v>5756</v>
      </c>
      <c r="F7154" t="s">
        <v>26598</v>
      </c>
      <c r="G7154" t="s">
        <v>6283</v>
      </c>
      <c r="H7154" t="s">
        <v>5474</v>
      </c>
      <c r="I7154" t="s">
        <v>26599</v>
      </c>
      <c r="J7154" t="s">
        <v>5476</v>
      </c>
      <c r="K7154" t="s">
        <v>26600</v>
      </c>
      <c r="L7154" t="s">
        <v>5471</v>
      </c>
      <c r="M7154" t="s">
        <v>5471</v>
      </c>
    </row>
    <row r="7155" spans="1:13" x14ac:dyDescent="0.3">
      <c r="A7155" t="s">
        <v>3383</v>
      </c>
      <c r="B7155" t="s">
        <v>6051</v>
      </c>
      <c r="C7155" t="s">
        <v>5470</v>
      </c>
      <c r="D7155" t="s">
        <v>10218</v>
      </c>
      <c r="E7155" t="s">
        <v>5756</v>
      </c>
      <c r="F7155" t="s">
        <v>26601</v>
      </c>
      <c r="G7155" t="s">
        <v>6283</v>
      </c>
      <c r="H7155" t="s">
        <v>5474</v>
      </c>
      <c r="I7155" t="s">
        <v>26602</v>
      </c>
      <c r="J7155" t="s">
        <v>5476</v>
      </c>
      <c r="K7155" t="s">
        <v>26603</v>
      </c>
      <c r="L7155" t="s">
        <v>5471</v>
      </c>
      <c r="M7155" t="s">
        <v>5471</v>
      </c>
    </row>
    <row r="7156" spans="1:13" x14ac:dyDescent="0.3">
      <c r="A7156" t="s">
        <v>3383</v>
      </c>
      <c r="B7156" t="s">
        <v>6051</v>
      </c>
      <c r="C7156" t="s">
        <v>5470</v>
      </c>
      <c r="D7156" t="s">
        <v>4200</v>
      </c>
      <c r="E7156" t="s">
        <v>5756</v>
      </c>
      <c r="F7156" t="s">
        <v>26604</v>
      </c>
      <c r="G7156" t="s">
        <v>6283</v>
      </c>
      <c r="H7156" t="s">
        <v>5474</v>
      </c>
      <c r="I7156" t="s">
        <v>26605</v>
      </c>
      <c r="J7156" t="s">
        <v>5476</v>
      </c>
      <c r="K7156" t="s">
        <v>26606</v>
      </c>
      <c r="L7156" t="s">
        <v>5471</v>
      </c>
      <c r="M7156" t="s">
        <v>5471</v>
      </c>
    </row>
    <row r="7157" spans="1:13" x14ac:dyDescent="0.3">
      <c r="A7157" t="s">
        <v>3383</v>
      </c>
      <c r="B7157" t="s">
        <v>6051</v>
      </c>
      <c r="C7157" t="s">
        <v>5470</v>
      </c>
      <c r="D7157" t="s">
        <v>4200</v>
      </c>
      <c r="E7157" t="s">
        <v>5756</v>
      </c>
      <c r="F7157" t="s">
        <v>26607</v>
      </c>
      <c r="G7157" t="s">
        <v>6283</v>
      </c>
      <c r="H7157" t="s">
        <v>5474</v>
      </c>
      <c r="I7157" t="s">
        <v>26608</v>
      </c>
      <c r="J7157" t="s">
        <v>5476</v>
      </c>
      <c r="K7157" t="s">
        <v>26609</v>
      </c>
      <c r="L7157" t="s">
        <v>5471</v>
      </c>
      <c r="M7157" t="s">
        <v>5471</v>
      </c>
    </row>
    <row r="7158" spans="1:13" x14ac:dyDescent="0.3">
      <c r="A7158" t="s">
        <v>3383</v>
      </c>
      <c r="B7158" t="s">
        <v>6051</v>
      </c>
      <c r="C7158" t="s">
        <v>5470</v>
      </c>
      <c r="D7158" t="s">
        <v>4200</v>
      </c>
      <c r="E7158" t="s">
        <v>5756</v>
      </c>
      <c r="F7158" t="s">
        <v>26610</v>
      </c>
      <c r="G7158" t="s">
        <v>6283</v>
      </c>
      <c r="H7158" t="s">
        <v>5474</v>
      </c>
      <c r="I7158" t="s">
        <v>26611</v>
      </c>
      <c r="J7158" t="s">
        <v>5476</v>
      </c>
      <c r="K7158" t="s">
        <v>26612</v>
      </c>
      <c r="L7158" t="s">
        <v>5471</v>
      </c>
      <c r="M7158" t="s">
        <v>5471</v>
      </c>
    </row>
    <row r="7159" spans="1:13" x14ac:dyDescent="0.3">
      <c r="A7159" t="s">
        <v>3383</v>
      </c>
      <c r="B7159" t="s">
        <v>5294</v>
      </c>
      <c r="C7159" t="s">
        <v>5470</v>
      </c>
      <c r="D7159" t="s">
        <v>4056</v>
      </c>
      <c r="E7159" t="s">
        <v>5756</v>
      </c>
      <c r="F7159" t="s">
        <v>26613</v>
      </c>
      <c r="G7159" t="s">
        <v>6407</v>
      </c>
      <c r="H7159" t="s">
        <v>5474</v>
      </c>
      <c r="I7159" t="s">
        <v>26614</v>
      </c>
      <c r="J7159" t="s">
        <v>5484</v>
      </c>
      <c r="K7159" t="s">
        <v>26615</v>
      </c>
      <c r="L7159" t="s">
        <v>5471</v>
      </c>
      <c r="M7159" t="s">
        <v>5471</v>
      </c>
    </row>
    <row r="7160" spans="1:13" x14ac:dyDescent="0.3">
      <c r="A7160" t="s">
        <v>3383</v>
      </c>
      <c r="B7160" t="s">
        <v>6022</v>
      </c>
      <c r="C7160" t="s">
        <v>5487</v>
      </c>
      <c r="D7160" t="s">
        <v>10218</v>
      </c>
      <c r="E7160" t="s">
        <v>5532</v>
      </c>
      <c r="F7160" t="s">
        <v>26616</v>
      </c>
      <c r="G7160" t="s">
        <v>15575</v>
      </c>
      <c r="H7160" t="s">
        <v>5474</v>
      </c>
      <c r="I7160" t="s">
        <v>26617</v>
      </c>
      <c r="J7160" t="s">
        <v>5476</v>
      </c>
      <c r="K7160" t="s">
        <v>26618</v>
      </c>
      <c r="L7160" t="s">
        <v>5471</v>
      </c>
      <c r="M7160" t="s">
        <v>5471</v>
      </c>
    </row>
    <row r="7161" spans="1:13" x14ac:dyDescent="0.3">
      <c r="A7161" t="s">
        <v>3383</v>
      </c>
      <c r="B7161" t="s">
        <v>5330</v>
      </c>
      <c r="C7161" t="s">
        <v>5470</v>
      </c>
      <c r="D7161" t="s">
        <v>4056</v>
      </c>
      <c r="E7161" t="s">
        <v>5532</v>
      </c>
      <c r="F7161" t="s">
        <v>26619</v>
      </c>
      <c r="G7161" t="s">
        <v>5871</v>
      </c>
      <c r="H7161" t="s">
        <v>5474</v>
      </c>
      <c r="I7161" t="s">
        <v>26620</v>
      </c>
      <c r="J7161" t="s">
        <v>5476</v>
      </c>
      <c r="K7161" t="s">
        <v>26621</v>
      </c>
      <c r="L7161" t="s">
        <v>5471</v>
      </c>
      <c r="M7161" t="s">
        <v>5471</v>
      </c>
    </row>
    <row r="7162" spans="1:13" x14ac:dyDescent="0.3">
      <c r="A7162" t="s">
        <v>3383</v>
      </c>
      <c r="B7162" t="s">
        <v>5330</v>
      </c>
      <c r="C7162" t="s">
        <v>5470</v>
      </c>
      <c r="D7162" t="s">
        <v>4056</v>
      </c>
      <c r="E7162" t="s">
        <v>5532</v>
      </c>
      <c r="F7162" t="s">
        <v>26622</v>
      </c>
      <c r="G7162" t="s">
        <v>9286</v>
      </c>
      <c r="H7162" t="s">
        <v>5474</v>
      </c>
      <c r="I7162" t="s">
        <v>26623</v>
      </c>
      <c r="J7162" t="s">
        <v>5484</v>
      </c>
      <c r="K7162" t="s">
        <v>26624</v>
      </c>
      <c r="L7162" t="s">
        <v>5471</v>
      </c>
      <c r="M7162" t="s">
        <v>5471</v>
      </c>
    </row>
    <row r="7163" spans="1:13" x14ac:dyDescent="0.3">
      <c r="A7163" t="s">
        <v>3383</v>
      </c>
      <c r="B7163" t="s">
        <v>5332</v>
      </c>
      <c r="C7163" t="s">
        <v>5470</v>
      </c>
      <c r="D7163" t="s">
        <v>10218</v>
      </c>
      <c r="E7163" t="s">
        <v>5756</v>
      </c>
      <c r="F7163" t="s">
        <v>26625</v>
      </c>
      <c r="G7163" t="s">
        <v>26626</v>
      </c>
      <c r="H7163" t="s">
        <v>5474</v>
      </c>
      <c r="I7163" t="s">
        <v>26627</v>
      </c>
      <c r="J7163" t="s">
        <v>5484</v>
      </c>
      <c r="K7163" t="s">
        <v>26628</v>
      </c>
      <c r="L7163" t="s">
        <v>5471</v>
      </c>
      <c r="M7163" t="s">
        <v>5471</v>
      </c>
    </row>
    <row r="7164" spans="1:13" x14ac:dyDescent="0.3">
      <c r="A7164" t="s">
        <v>3383</v>
      </c>
      <c r="B7164" t="s">
        <v>5330</v>
      </c>
      <c r="C7164" t="s">
        <v>5470</v>
      </c>
      <c r="D7164" t="s">
        <v>4056</v>
      </c>
      <c r="E7164" t="s">
        <v>5532</v>
      </c>
      <c r="F7164" t="s">
        <v>26629</v>
      </c>
      <c r="G7164" t="s">
        <v>9264</v>
      </c>
      <c r="H7164" t="s">
        <v>5474</v>
      </c>
      <c r="I7164" t="s">
        <v>26630</v>
      </c>
      <c r="J7164" t="s">
        <v>5476</v>
      </c>
      <c r="K7164" t="s">
        <v>26631</v>
      </c>
      <c r="L7164" t="s">
        <v>5471</v>
      </c>
      <c r="M7164" t="s">
        <v>5471</v>
      </c>
    </row>
    <row r="7165" spans="1:13" x14ac:dyDescent="0.3">
      <c r="A7165" t="s">
        <v>3383</v>
      </c>
      <c r="B7165" t="s">
        <v>7444</v>
      </c>
      <c r="C7165" t="s">
        <v>5470</v>
      </c>
      <c r="D7165" t="s">
        <v>4119</v>
      </c>
      <c r="E7165" t="s">
        <v>5532</v>
      </c>
      <c r="F7165" t="s">
        <v>26632</v>
      </c>
      <c r="G7165" t="s">
        <v>8162</v>
      </c>
      <c r="H7165" t="s">
        <v>5474</v>
      </c>
      <c r="I7165" t="s">
        <v>26633</v>
      </c>
      <c r="J7165" t="s">
        <v>5484</v>
      </c>
      <c r="K7165" t="s">
        <v>26634</v>
      </c>
      <c r="L7165" t="s">
        <v>5471</v>
      </c>
      <c r="M7165" t="s">
        <v>5471</v>
      </c>
    </row>
    <row r="7166" spans="1:13" x14ac:dyDescent="0.3">
      <c r="A7166" t="s">
        <v>3383</v>
      </c>
      <c r="B7166" t="s">
        <v>5278</v>
      </c>
      <c r="C7166" t="s">
        <v>5470</v>
      </c>
      <c r="D7166" t="s">
        <v>4119</v>
      </c>
      <c r="E7166" t="s">
        <v>5617</v>
      </c>
      <c r="F7166" t="s">
        <v>26635</v>
      </c>
      <c r="G7166" t="s">
        <v>6329</v>
      </c>
      <c r="H7166" t="s">
        <v>5474</v>
      </c>
      <c r="I7166" t="s">
        <v>26636</v>
      </c>
      <c r="J7166" t="s">
        <v>5484</v>
      </c>
      <c r="K7166" t="s">
        <v>26637</v>
      </c>
      <c r="L7166" t="s">
        <v>5471</v>
      </c>
      <c r="M7166" t="s">
        <v>5471</v>
      </c>
    </row>
    <row r="7167" spans="1:13" x14ac:dyDescent="0.3">
      <c r="A7167" t="s">
        <v>3383</v>
      </c>
      <c r="B7167" t="s">
        <v>5330</v>
      </c>
      <c r="C7167" t="s">
        <v>5470</v>
      </c>
      <c r="D7167" t="s">
        <v>4056</v>
      </c>
      <c r="E7167" t="s">
        <v>5532</v>
      </c>
      <c r="F7167" t="s">
        <v>26638</v>
      </c>
      <c r="G7167" t="s">
        <v>6589</v>
      </c>
      <c r="H7167" t="s">
        <v>5474</v>
      </c>
      <c r="I7167" t="s">
        <v>26639</v>
      </c>
      <c r="J7167" t="s">
        <v>5484</v>
      </c>
      <c r="K7167" t="s">
        <v>26631</v>
      </c>
      <c r="L7167" t="s">
        <v>5471</v>
      </c>
      <c r="M7167" t="s">
        <v>5471</v>
      </c>
    </row>
    <row r="7168" spans="1:13" x14ac:dyDescent="0.3">
      <c r="A7168" t="s">
        <v>3383</v>
      </c>
      <c r="B7168" t="s">
        <v>6187</v>
      </c>
      <c r="C7168" t="s">
        <v>5470</v>
      </c>
      <c r="D7168" t="s">
        <v>4056</v>
      </c>
      <c r="E7168" t="s">
        <v>5756</v>
      </c>
      <c r="F7168" t="s">
        <v>26640</v>
      </c>
      <c r="G7168" t="s">
        <v>7455</v>
      </c>
      <c r="H7168" t="s">
        <v>5474</v>
      </c>
      <c r="I7168" t="s">
        <v>26641</v>
      </c>
      <c r="J7168" t="s">
        <v>5476</v>
      </c>
      <c r="K7168" t="s">
        <v>26642</v>
      </c>
      <c r="L7168" t="s">
        <v>5471</v>
      </c>
      <c r="M7168" t="s">
        <v>5471</v>
      </c>
    </row>
    <row r="7169" spans="1:13" x14ac:dyDescent="0.3">
      <c r="A7169" t="s">
        <v>3383</v>
      </c>
      <c r="B7169" t="s">
        <v>5952</v>
      </c>
      <c r="C7169" t="s">
        <v>5470</v>
      </c>
      <c r="D7169" t="s">
        <v>4119</v>
      </c>
      <c r="E7169" t="s">
        <v>5617</v>
      </c>
      <c r="F7169" t="s">
        <v>26643</v>
      </c>
      <c r="G7169" t="s">
        <v>25267</v>
      </c>
      <c r="H7169" t="s">
        <v>5474</v>
      </c>
      <c r="I7169" t="s">
        <v>26644</v>
      </c>
      <c r="J7169" t="s">
        <v>5484</v>
      </c>
      <c r="K7169" t="s">
        <v>26645</v>
      </c>
      <c r="L7169" t="s">
        <v>5471</v>
      </c>
      <c r="M7169" t="s">
        <v>5471</v>
      </c>
    </row>
    <row r="7170" spans="1:13" x14ac:dyDescent="0.3">
      <c r="A7170" t="s">
        <v>3383</v>
      </c>
      <c r="B7170" t="s">
        <v>5952</v>
      </c>
      <c r="C7170" t="s">
        <v>5470</v>
      </c>
      <c r="D7170" t="s">
        <v>4119</v>
      </c>
      <c r="E7170" t="s">
        <v>5617</v>
      </c>
      <c r="F7170" t="s">
        <v>26646</v>
      </c>
      <c r="G7170" t="s">
        <v>25267</v>
      </c>
      <c r="H7170" t="s">
        <v>5474</v>
      </c>
      <c r="I7170" t="s">
        <v>26647</v>
      </c>
      <c r="J7170" t="s">
        <v>5484</v>
      </c>
      <c r="K7170" t="s">
        <v>26645</v>
      </c>
      <c r="L7170" t="s">
        <v>5471</v>
      </c>
      <c r="M7170" t="s">
        <v>5471</v>
      </c>
    </row>
    <row r="7171" spans="1:13" x14ac:dyDescent="0.3">
      <c r="A7171" t="s">
        <v>3383</v>
      </c>
      <c r="B7171" t="s">
        <v>6187</v>
      </c>
      <c r="C7171" t="s">
        <v>5470</v>
      </c>
      <c r="D7171" t="s">
        <v>4119</v>
      </c>
      <c r="E7171" t="s">
        <v>5756</v>
      </c>
      <c r="F7171" t="s">
        <v>26648</v>
      </c>
      <c r="G7171" t="s">
        <v>20653</v>
      </c>
      <c r="H7171" t="s">
        <v>5474</v>
      </c>
      <c r="I7171" t="s">
        <v>26649</v>
      </c>
      <c r="J7171" t="s">
        <v>5484</v>
      </c>
      <c r="K7171" t="s">
        <v>26650</v>
      </c>
      <c r="L7171" t="s">
        <v>5471</v>
      </c>
      <c r="M7171" t="s">
        <v>5471</v>
      </c>
    </row>
    <row r="7172" spans="1:13" x14ac:dyDescent="0.3">
      <c r="A7172" t="s">
        <v>3383</v>
      </c>
      <c r="B7172" t="s">
        <v>5332</v>
      </c>
      <c r="C7172" t="s">
        <v>5470</v>
      </c>
      <c r="D7172" t="s">
        <v>4056</v>
      </c>
      <c r="E7172" t="s">
        <v>5532</v>
      </c>
      <c r="F7172" t="s">
        <v>26651</v>
      </c>
      <c r="G7172" t="s">
        <v>6586</v>
      </c>
      <c r="H7172" t="s">
        <v>5474</v>
      </c>
      <c r="I7172" t="s">
        <v>26652</v>
      </c>
      <c r="J7172" t="s">
        <v>5484</v>
      </c>
      <c r="K7172" t="s">
        <v>26520</v>
      </c>
      <c r="L7172" t="s">
        <v>5471</v>
      </c>
      <c r="M7172" t="s">
        <v>5471</v>
      </c>
    </row>
    <row r="7173" spans="1:13" x14ac:dyDescent="0.3">
      <c r="A7173" t="s">
        <v>3383</v>
      </c>
      <c r="B7173" t="s">
        <v>5330</v>
      </c>
      <c r="C7173" t="s">
        <v>5470</v>
      </c>
      <c r="D7173" t="s">
        <v>4056</v>
      </c>
      <c r="E7173" t="s">
        <v>5532</v>
      </c>
      <c r="F7173" t="s">
        <v>26653</v>
      </c>
      <c r="G7173" t="s">
        <v>6592</v>
      </c>
      <c r="H7173" t="s">
        <v>5474</v>
      </c>
      <c r="I7173" t="s">
        <v>26654</v>
      </c>
      <c r="J7173" t="s">
        <v>5484</v>
      </c>
      <c r="K7173" t="s">
        <v>26631</v>
      </c>
      <c r="L7173" t="s">
        <v>5471</v>
      </c>
      <c r="M7173" t="s">
        <v>5471</v>
      </c>
    </row>
    <row r="7174" spans="1:13" x14ac:dyDescent="0.3">
      <c r="A7174" t="s">
        <v>3383</v>
      </c>
      <c r="B7174" t="s">
        <v>6122</v>
      </c>
      <c r="C7174" t="s">
        <v>5470</v>
      </c>
      <c r="D7174" t="s">
        <v>4058</v>
      </c>
      <c r="E7174" t="s">
        <v>5532</v>
      </c>
      <c r="F7174" t="s">
        <v>26655</v>
      </c>
      <c r="G7174" t="s">
        <v>7497</v>
      </c>
      <c r="H7174" t="s">
        <v>5474</v>
      </c>
      <c r="I7174" t="s">
        <v>26656</v>
      </c>
      <c r="J7174" t="s">
        <v>5476</v>
      </c>
      <c r="K7174" t="s">
        <v>26657</v>
      </c>
      <c r="L7174" t="s">
        <v>5471</v>
      </c>
      <c r="M7174" t="s">
        <v>5471</v>
      </c>
    </row>
    <row r="7175" spans="1:13" x14ac:dyDescent="0.3">
      <c r="A7175" t="s">
        <v>3380</v>
      </c>
      <c r="B7175" t="s">
        <v>9702</v>
      </c>
      <c r="C7175" t="s">
        <v>6342</v>
      </c>
      <c r="D7175" t="s">
        <v>4119</v>
      </c>
      <c r="E7175" t="s">
        <v>5532</v>
      </c>
      <c r="F7175" t="s">
        <v>26658</v>
      </c>
      <c r="G7175" t="s">
        <v>9704</v>
      </c>
      <c r="H7175" t="s">
        <v>5474</v>
      </c>
      <c r="I7175" t="s">
        <v>26659</v>
      </c>
      <c r="J7175" t="s">
        <v>5476</v>
      </c>
      <c r="K7175" t="s">
        <v>26660</v>
      </c>
      <c r="L7175" t="s">
        <v>5471</v>
      </c>
      <c r="M7175" t="s">
        <v>5471</v>
      </c>
    </row>
    <row r="7176" spans="1:13" x14ac:dyDescent="0.3">
      <c r="A7176" t="s">
        <v>3383</v>
      </c>
      <c r="B7176" t="s">
        <v>6122</v>
      </c>
      <c r="C7176" t="s">
        <v>5470</v>
      </c>
      <c r="D7176" t="s">
        <v>4058</v>
      </c>
      <c r="E7176" t="s">
        <v>5756</v>
      </c>
      <c r="F7176" t="s">
        <v>26661</v>
      </c>
      <c r="G7176" t="s">
        <v>7497</v>
      </c>
      <c r="H7176" t="s">
        <v>5474</v>
      </c>
      <c r="I7176" t="s">
        <v>26662</v>
      </c>
      <c r="J7176" t="s">
        <v>5476</v>
      </c>
      <c r="K7176" t="s">
        <v>26663</v>
      </c>
      <c r="L7176" t="s">
        <v>5471</v>
      </c>
      <c r="M7176" t="s">
        <v>5471</v>
      </c>
    </row>
    <row r="7177" spans="1:13" x14ac:dyDescent="0.3">
      <c r="A7177" t="s">
        <v>3383</v>
      </c>
      <c r="B7177" t="s">
        <v>6122</v>
      </c>
      <c r="C7177" t="s">
        <v>5470</v>
      </c>
      <c r="D7177" t="s">
        <v>4058</v>
      </c>
      <c r="E7177" t="s">
        <v>5756</v>
      </c>
      <c r="F7177" t="s">
        <v>26664</v>
      </c>
      <c r="G7177" t="s">
        <v>7497</v>
      </c>
      <c r="H7177" t="s">
        <v>5474</v>
      </c>
      <c r="I7177" t="s">
        <v>26665</v>
      </c>
      <c r="J7177" t="s">
        <v>5476</v>
      </c>
      <c r="K7177" t="s">
        <v>26666</v>
      </c>
      <c r="L7177" t="s">
        <v>5471</v>
      </c>
      <c r="M7177" t="s">
        <v>5471</v>
      </c>
    </row>
    <row r="7178" spans="1:13" x14ac:dyDescent="0.3">
      <c r="A7178" t="s">
        <v>3383</v>
      </c>
      <c r="B7178" t="s">
        <v>6187</v>
      </c>
      <c r="C7178" t="s">
        <v>5470</v>
      </c>
      <c r="D7178" t="s">
        <v>4119</v>
      </c>
      <c r="E7178" t="s">
        <v>5756</v>
      </c>
      <c r="F7178" t="s">
        <v>26667</v>
      </c>
      <c r="G7178" t="s">
        <v>10239</v>
      </c>
      <c r="H7178" t="s">
        <v>5474</v>
      </c>
      <c r="I7178" t="s">
        <v>26668</v>
      </c>
      <c r="J7178" t="s">
        <v>5484</v>
      </c>
      <c r="K7178" t="s">
        <v>26669</v>
      </c>
      <c r="L7178" t="s">
        <v>5471</v>
      </c>
      <c r="M7178" t="s">
        <v>5471</v>
      </c>
    </row>
    <row r="7179" spans="1:13" x14ac:dyDescent="0.3">
      <c r="A7179" t="s">
        <v>3383</v>
      </c>
      <c r="B7179" t="s">
        <v>6122</v>
      </c>
      <c r="C7179" t="s">
        <v>5470</v>
      </c>
      <c r="D7179" t="s">
        <v>4058</v>
      </c>
      <c r="E7179" t="s">
        <v>5756</v>
      </c>
      <c r="F7179" t="s">
        <v>26670</v>
      </c>
      <c r="G7179" t="s">
        <v>7497</v>
      </c>
      <c r="H7179" t="s">
        <v>5474</v>
      </c>
      <c r="I7179" t="s">
        <v>26671</v>
      </c>
      <c r="J7179" t="s">
        <v>5476</v>
      </c>
      <c r="K7179" t="s">
        <v>26672</v>
      </c>
      <c r="L7179" t="s">
        <v>5471</v>
      </c>
      <c r="M7179" t="s">
        <v>5471</v>
      </c>
    </row>
    <row r="7180" spans="1:13" x14ac:dyDescent="0.3">
      <c r="A7180" t="s">
        <v>3383</v>
      </c>
      <c r="B7180" t="s">
        <v>5294</v>
      </c>
      <c r="C7180" t="s">
        <v>5470</v>
      </c>
      <c r="D7180" t="s">
        <v>4056</v>
      </c>
      <c r="E7180" t="s">
        <v>5756</v>
      </c>
      <c r="F7180" t="s">
        <v>26673</v>
      </c>
      <c r="G7180" t="s">
        <v>6283</v>
      </c>
      <c r="H7180" t="s">
        <v>5474</v>
      </c>
      <c r="I7180" t="s">
        <v>26674</v>
      </c>
      <c r="J7180" t="s">
        <v>5484</v>
      </c>
      <c r="K7180" t="s">
        <v>26675</v>
      </c>
      <c r="L7180" t="s">
        <v>5471</v>
      </c>
      <c r="M7180" t="s">
        <v>5471</v>
      </c>
    </row>
    <row r="7181" spans="1:13" x14ac:dyDescent="0.3">
      <c r="A7181" t="s">
        <v>3380</v>
      </c>
      <c r="B7181" t="s">
        <v>26676</v>
      </c>
      <c r="C7181" t="s">
        <v>6342</v>
      </c>
      <c r="D7181" t="s">
        <v>4119</v>
      </c>
      <c r="E7181" t="s">
        <v>9935</v>
      </c>
      <c r="F7181" t="s">
        <v>26677</v>
      </c>
      <c r="G7181" t="s">
        <v>26676</v>
      </c>
      <c r="H7181" t="s">
        <v>5474</v>
      </c>
      <c r="I7181" t="s">
        <v>26678</v>
      </c>
      <c r="J7181" t="s">
        <v>5476</v>
      </c>
      <c r="K7181" t="s">
        <v>21430</v>
      </c>
      <c r="L7181" t="s">
        <v>5471</v>
      </c>
      <c r="M7181" t="s">
        <v>5471</v>
      </c>
    </row>
    <row r="7182" spans="1:13" x14ac:dyDescent="0.3">
      <c r="A7182" t="s">
        <v>3383</v>
      </c>
      <c r="B7182" t="s">
        <v>5324</v>
      </c>
      <c r="C7182" t="s">
        <v>5487</v>
      </c>
      <c r="D7182" t="s">
        <v>4119</v>
      </c>
      <c r="E7182" t="s">
        <v>5480</v>
      </c>
      <c r="F7182" t="s">
        <v>26679</v>
      </c>
      <c r="G7182" t="s">
        <v>9971</v>
      </c>
      <c r="H7182" t="s">
        <v>5474</v>
      </c>
      <c r="I7182" t="s">
        <v>26680</v>
      </c>
      <c r="J7182" t="s">
        <v>5476</v>
      </c>
      <c r="K7182" t="s">
        <v>26681</v>
      </c>
      <c r="L7182" t="s">
        <v>5471</v>
      </c>
      <c r="M7182" t="s">
        <v>5471</v>
      </c>
    </row>
    <row r="7183" spans="1:13" x14ac:dyDescent="0.3">
      <c r="A7183" t="s">
        <v>3383</v>
      </c>
      <c r="B7183" t="s">
        <v>5324</v>
      </c>
      <c r="C7183" t="s">
        <v>5487</v>
      </c>
      <c r="D7183" t="s">
        <v>4119</v>
      </c>
      <c r="E7183" t="s">
        <v>5480</v>
      </c>
      <c r="F7183" t="s">
        <v>26682</v>
      </c>
      <c r="G7183" t="s">
        <v>9960</v>
      </c>
      <c r="H7183" t="s">
        <v>5474</v>
      </c>
      <c r="I7183" t="s">
        <v>26683</v>
      </c>
      <c r="J7183" t="s">
        <v>5476</v>
      </c>
      <c r="K7183" t="s">
        <v>26684</v>
      </c>
      <c r="L7183" t="s">
        <v>5471</v>
      </c>
      <c r="M7183" t="s">
        <v>5471</v>
      </c>
    </row>
    <row r="7184" spans="1:13" x14ac:dyDescent="0.3">
      <c r="A7184" t="s">
        <v>3383</v>
      </c>
      <c r="B7184" t="s">
        <v>6122</v>
      </c>
      <c r="C7184" t="s">
        <v>5470</v>
      </c>
      <c r="D7184" t="s">
        <v>4119</v>
      </c>
      <c r="E7184" t="s">
        <v>5756</v>
      </c>
      <c r="F7184" t="s">
        <v>26685</v>
      </c>
      <c r="G7184" t="s">
        <v>8970</v>
      </c>
      <c r="H7184" t="s">
        <v>5474</v>
      </c>
      <c r="I7184" t="s">
        <v>26686</v>
      </c>
      <c r="J7184" t="s">
        <v>5476</v>
      </c>
      <c r="K7184" t="s">
        <v>2041</v>
      </c>
      <c r="L7184" t="s">
        <v>5471</v>
      </c>
      <c r="M7184" t="s">
        <v>5471</v>
      </c>
    </row>
    <row r="7185" spans="1:13" x14ac:dyDescent="0.3">
      <c r="A7185" t="s">
        <v>3383</v>
      </c>
      <c r="B7185" t="s">
        <v>5324</v>
      </c>
      <c r="C7185" t="s">
        <v>5487</v>
      </c>
      <c r="D7185" t="s">
        <v>4119</v>
      </c>
      <c r="E7185" t="s">
        <v>5480</v>
      </c>
      <c r="F7185" t="s">
        <v>26687</v>
      </c>
      <c r="G7185" t="s">
        <v>9964</v>
      </c>
      <c r="H7185" t="s">
        <v>5474</v>
      </c>
      <c r="I7185" t="s">
        <v>26688</v>
      </c>
      <c r="J7185" t="s">
        <v>5476</v>
      </c>
      <c r="K7185" t="s">
        <v>26689</v>
      </c>
      <c r="L7185" t="s">
        <v>5471</v>
      </c>
      <c r="M7185" t="s">
        <v>5471</v>
      </c>
    </row>
    <row r="7186" spans="1:13" x14ac:dyDescent="0.3">
      <c r="A7186" t="s">
        <v>3383</v>
      </c>
      <c r="B7186" t="s">
        <v>6122</v>
      </c>
      <c r="C7186" t="s">
        <v>5470</v>
      </c>
      <c r="D7186" t="s">
        <v>4058</v>
      </c>
      <c r="E7186" t="s">
        <v>5756</v>
      </c>
      <c r="F7186" t="s">
        <v>26690</v>
      </c>
      <c r="G7186" t="s">
        <v>8970</v>
      </c>
      <c r="H7186" t="s">
        <v>5474</v>
      </c>
      <c r="I7186" t="s">
        <v>26691</v>
      </c>
      <c r="J7186" t="s">
        <v>5476</v>
      </c>
      <c r="K7186" t="s">
        <v>26692</v>
      </c>
      <c r="L7186" t="s">
        <v>5471</v>
      </c>
      <c r="M7186" t="s">
        <v>5471</v>
      </c>
    </row>
    <row r="7187" spans="1:13" x14ac:dyDescent="0.3">
      <c r="A7187" t="s">
        <v>3383</v>
      </c>
      <c r="B7187" t="s">
        <v>5330</v>
      </c>
      <c r="C7187" t="s">
        <v>5470</v>
      </c>
      <c r="D7187" t="s">
        <v>4052</v>
      </c>
      <c r="E7187" t="s">
        <v>5617</v>
      </c>
      <c r="F7187" t="s">
        <v>26693</v>
      </c>
      <c r="G7187" t="s">
        <v>25267</v>
      </c>
      <c r="H7187" t="s">
        <v>5474</v>
      </c>
      <c r="I7187" t="s">
        <v>26694</v>
      </c>
      <c r="J7187" t="s">
        <v>5476</v>
      </c>
      <c r="K7187" t="s">
        <v>20526</v>
      </c>
      <c r="L7187" t="s">
        <v>5471</v>
      </c>
      <c r="M7187" t="s">
        <v>5471</v>
      </c>
    </row>
    <row r="7188" spans="1:13" x14ac:dyDescent="0.3">
      <c r="A7188" t="s">
        <v>3383</v>
      </c>
      <c r="B7188" t="s">
        <v>5294</v>
      </c>
      <c r="C7188" t="s">
        <v>5470</v>
      </c>
      <c r="D7188" t="s">
        <v>4119</v>
      </c>
      <c r="E7188" t="s">
        <v>5480</v>
      </c>
      <c r="F7188" t="s">
        <v>26695</v>
      </c>
      <c r="G7188" t="s">
        <v>26696</v>
      </c>
      <c r="H7188" t="s">
        <v>5474</v>
      </c>
      <c r="I7188" t="s">
        <v>26697</v>
      </c>
      <c r="J7188" t="s">
        <v>5484</v>
      </c>
      <c r="K7188" t="s">
        <v>26698</v>
      </c>
      <c r="L7188" t="s">
        <v>5471</v>
      </c>
      <c r="M7188" t="s">
        <v>5471</v>
      </c>
    </row>
    <row r="7189" spans="1:13" x14ac:dyDescent="0.3">
      <c r="A7189" t="s">
        <v>3383</v>
      </c>
      <c r="B7189" t="s">
        <v>5332</v>
      </c>
      <c r="C7189" t="s">
        <v>5470</v>
      </c>
      <c r="D7189" t="s">
        <v>10218</v>
      </c>
      <c r="E7189" t="s">
        <v>5532</v>
      </c>
      <c r="F7189" t="s">
        <v>26699</v>
      </c>
      <c r="G7189" t="s">
        <v>12069</v>
      </c>
      <c r="H7189" t="s">
        <v>5474</v>
      </c>
      <c r="I7189" t="s">
        <v>26700</v>
      </c>
      <c r="J7189" t="s">
        <v>5476</v>
      </c>
      <c r="K7189" t="s">
        <v>26701</v>
      </c>
      <c r="L7189" t="s">
        <v>5471</v>
      </c>
      <c r="M7189" t="s">
        <v>5471</v>
      </c>
    </row>
    <row r="7190" spans="1:13" x14ac:dyDescent="0.3">
      <c r="A7190" t="s">
        <v>3383</v>
      </c>
      <c r="B7190" t="s">
        <v>6122</v>
      </c>
      <c r="C7190" t="s">
        <v>5470</v>
      </c>
      <c r="D7190" t="s">
        <v>4058</v>
      </c>
      <c r="E7190" t="s">
        <v>5532</v>
      </c>
      <c r="F7190" t="s">
        <v>26702</v>
      </c>
      <c r="G7190" t="s">
        <v>26703</v>
      </c>
      <c r="H7190" t="s">
        <v>5474</v>
      </c>
      <c r="I7190" t="s">
        <v>26704</v>
      </c>
      <c r="J7190" t="s">
        <v>5484</v>
      </c>
      <c r="K7190" t="s">
        <v>26705</v>
      </c>
      <c r="L7190" t="s">
        <v>5471</v>
      </c>
      <c r="M7190" t="s">
        <v>5471</v>
      </c>
    </row>
    <row r="7191" spans="1:13" x14ac:dyDescent="0.3">
      <c r="A7191" t="s">
        <v>3383</v>
      </c>
      <c r="B7191" t="s">
        <v>5332</v>
      </c>
      <c r="C7191" t="s">
        <v>5470</v>
      </c>
      <c r="D7191" t="s">
        <v>10218</v>
      </c>
      <c r="E7191" t="s">
        <v>5532</v>
      </c>
      <c r="F7191" t="s">
        <v>26706</v>
      </c>
      <c r="G7191" t="s">
        <v>12069</v>
      </c>
      <c r="H7191" t="s">
        <v>5474</v>
      </c>
      <c r="I7191" t="s">
        <v>26707</v>
      </c>
      <c r="J7191" t="s">
        <v>5476</v>
      </c>
      <c r="K7191" t="s">
        <v>26701</v>
      </c>
      <c r="L7191" t="s">
        <v>5471</v>
      </c>
      <c r="M7191" t="s">
        <v>5471</v>
      </c>
    </row>
    <row r="7192" spans="1:13" x14ac:dyDescent="0.3">
      <c r="A7192" t="s">
        <v>3383</v>
      </c>
      <c r="B7192" t="s">
        <v>5294</v>
      </c>
      <c r="C7192" t="s">
        <v>5470</v>
      </c>
      <c r="D7192" t="s">
        <v>4119</v>
      </c>
      <c r="E7192" t="s">
        <v>5756</v>
      </c>
      <c r="F7192" t="s">
        <v>26708</v>
      </c>
      <c r="G7192" t="s">
        <v>6201</v>
      </c>
      <c r="H7192" t="s">
        <v>5474</v>
      </c>
      <c r="I7192" t="s">
        <v>26709</v>
      </c>
      <c r="J7192" t="s">
        <v>5484</v>
      </c>
      <c r="K7192" t="s">
        <v>26710</v>
      </c>
      <c r="L7192" t="s">
        <v>5471</v>
      </c>
      <c r="M7192" t="s">
        <v>5471</v>
      </c>
    </row>
    <row r="7193" spans="1:13" x14ac:dyDescent="0.3">
      <c r="A7193" t="s">
        <v>3383</v>
      </c>
      <c r="B7193" t="s">
        <v>6122</v>
      </c>
      <c r="C7193" t="s">
        <v>5470</v>
      </c>
      <c r="D7193" t="s">
        <v>4058</v>
      </c>
      <c r="E7193" t="s">
        <v>5756</v>
      </c>
      <c r="F7193" t="s">
        <v>26711</v>
      </c>
      <c r="G7193" t="s">
        <v>8970</v>
      </c>
      <c r="H7193" t="s">
        <v>5474</v>
      </c>
      <c r="I7193" t="s">
        <v>26712</v>
      </c>
      <c r="J7193" t="s">
        <v>5476</v>
      </c>
      <c r="K7193" t="s">
        <v>26713</v>
      </c>
      <c r="L7193" t="s">
        <v>5471</v>
      </c>
      <c r="M7193" t="s">
        <v>5471</v>
      </c>
    </row>
    <row r="7194" spans="1:13" x14ac:dyDescent="0.3">
      <c r="A7194" t="s">
        <v>3383</v>
      </c>
      <c r="B7194" t="s">
        <v>6122</v>
      </c>
      <c r="C7194" t="s">
        <v>5470</v>
      </c>
      <c r="D7194" t="s">
        <v>4058</v>
      </c>
      <c r="E7194" t="s">
        <v>5532</v>
      </c>
      <c r="F7194" t="s">
        <v>26714</v>
      </c>
      <c r="G7194" t="s">
        <v>26703</v>
      </c>
      <c r="H7194" t="s">
        <v>5474</v>
      </c>
      <c r="I7194" t="s">
        <v>26715</v>
      </c>
      <c r="J7194" t="s">
        <v>5484</v>
      </c>
      <c r="K7194" t="s">
        <v>26716</v>
      </c>
      <c r="L7194" t="s">
        <v>5471</v>
      </c>
      <c r="M7194" t="s">
        <v>5471</v>
      </c>
    </row>
    <row r="7195" spans="1:13" x14ac:dyDescent="0.3">
      <c r="A7195" t="s">
        <v>3383</v>
      </c>
      <c r="B7195" t="s">
        <v>6122</v>
      </c>
      <c r="C7195" t="s">
        <v>5470</v>
      </c>
      <c r="D7195" t="s">
        <v>4058</v>
      </c>
      <c r="E7195" t="s">
        <v>5532</v>
      </c>
      <c r="F7195" t="s">
        <v>26717</v>
      </c>
      <c r="G7195" t="s">
        <v>6123</v>
      </c>
      <c r="H7195" t="s">
        <v>5474</v>
      </c>
      <c r="I7195" t="s">
        <v>26718</v>
      </c>
      <c r="J7195" t="s">
        <v>5476</v>
      </c>
      <c r="K7195" t="s">
        <v>26719</v>
      </c>
      <c r="L7195" t="s">
        <v>5471</v>
      </c>
      <c r="M7195" t="s">
        <v>5471</v>
      </c>
    </row>
    <row r="7196" spans="1:13" x14ac:dyDescent="0.3">
      <c r="A7196" t="s">
        <v>3383</v>
      </c>
      <c r="B7196" t="s">
        <v>6122</v>
      </c>
      <c r="C7196" t="s">
        <v>5470</v>
      </c>
      <c r="D7196" t="s">
        <v>4058</v>
      </c>
      <c r="E7196" t="s">
        <v>5756</v>
      </c>
      <c r="F7196" t="s">
        <v>26720</v>
      </c>
      <c r="G7196" t="s">
        <v>7497</v>
      </c>
      <c r="H7196" t="s">
        <v>5474</v>
      </c>
      <c r="I7196" t="s">
        <v>26721</v>
      </c>
      <c r="J7196" t="s">
        <v>5476</v>
      </c>
      <c r="K7196" t="s">
        <v>26722</v>
      </c>
      <c r="L7196" t="s">
        <v>5471</v>
      </c>
      <c r="M7196" t="s">
        <v>5471</v>
      </c>
    </row>
    <row r="7197" spans="1:13" x14ac:dyDescent="0.3">
      <c r="A7197" t="s">
        <v>3383</v>
      </c>
      <c r="B7197" t="s">
        <v>6122</v>
      </c>
      <c r="C7197" t="s">
        <v>5470</v>
      </c>
      <c r="D7197" t="s">
        <v>4058</v>
      </c>
      <c r="E7197" t="s">
        <v>5756</v>
      </c>
      <c r="F7197" t="s">
        <v>26723</v>
      </c>
      <c r="G7197" t="s">
        <v>6123</v>
      </c>
      <c r="H7197" t="s">
        <v>5474</v>
      </c>
      <c r="I7197" t="s">
        <v>26724</v>
      </c>
      <c r="J7197" t="s">
        <v>5476</v>
      </c>
      <c r="K7197" t="s">
        <v>26725</v>
      </c>
      <c r="L7197" t="s">
        <v>5471</v>
      </c>
      <c r="M7197" t="s">
        <v>5471</v>
      </c>
    </row>
    <row r="7198" spans="1:13" x14ac:dyDescent="0.3">
      <c r="A7198" t="s">
        <v>3383</v>
      </c>
      <c r="B7198" t="s">
        <v>6122</v>
      </c>
      <c r="C7198" t="s">
        <v>5470</v>
      </c>
      <c r="D7198" t="s">
        <v>4058</v>
      </c>
      <c r="E7198" t="s">
        <v>5756</v>
      </c>
      <c r="F7198" t="s">
        <v>26726</v>
      </c>
      <c r="G7198" t="s">
        <v>6123</v>
      </c>
      <c r="H7198" t="s">
        <v>5474</v>
      </c>
      <c r="I7198" t="s">
        <v>26727</v>
      </c>
      <c r="J7198" t="s">
        <v>5476</v>
      </c>
      <c r="K7198" t="s">
        <v>26728</v>
      </c>
      <c r="L7198" t="s">
        <v>5471</v>
      </c>
      <c r="M7198" t="s">
        <v>5471</v>
      </c>
    </row>
    <row r="7199" spans="1:13" x14ac:dyDescent="0.3">
      <c r="A7199" t="s">
        <v>3383</v>
      </c>
      <c r="B7199" t="s">
        <v>6122</v>
      </c>
      <c r="C7199" t="s">
        <v>5470</v>
      </c>
      <c r="D7199" t="s">
        <v>4058</v>
      </c>
      <c r="E7199" t="s">
        <v>5756</v>
      </c>
      <c r="F7199" t="s">
        <v>26729</v>
      </c>
      <c r="G7199" t="s">
        <v>8524</v>
      </c>
      <c r="H7199" t="s">
        <v>5474</v>
      </c>
      <c r="I7199" t="s">
        <v>26730</v>
      </c>
      <c r="J7199" t="s">
        <v>5484</v>
      </c>
      <c r="K7199" t="s">
        <v>26731</v>
      </c>
      <c r="L7199" t="s">
        <v>5471</v>
      </c>
      <c r="M7199" t="s">
        <v>5471</v>
      </c>
    </row>
    <row r="7200" spans="1:13" x14ac:dyDescent="0.3">
      <c r="A7200" t="s">
        <v>3383</v>
      </c>
      <c r="B7200" t="s">
        <v>6187</v>
      </c>
      <c r="C7200" t="s">
        <v>5470</v>
      </c>
      <c r="D7200" t="s">
        <v>4119</v>
      </c>
      <c r="E7200" t="s">
        <v>5756</v>
      </c>
      <c r="F7200" t="s">
        <v>26732</v>
      </c>
      <c r="G7200" t="s">
        <v>10239</v>
      </c>
      <c r="H7200" t="s">
        <v>5474</v>
      </c>
      <c r="I7200" t="s">
        <v>26733</v>
      </c>
      <c r="J7200" t="s">
        <v>5484</v>
      </c>
      <c r="K7200" t="s">
        <v>26734</v>
      </c>
      <c r="L7200" t="s">
        <v>5471</v>
      </c>
      <c r="M7200" t="s">
        <v>5471</v>
      </c>
    </row>
    <row r="7201" spans="1:13" x14ac:dyDescent="0.3">
      <c r="A7201" t="s">
        <v>3383</v>
      </c>
      <c r="B7201" t="s">
        <v>5952</v>
      </c>
      <c r="C7201" t="s">
        <v>5470</v>
      </c>
      <c r="D7201" t="s">
        <v>4056</v>
      </c>
      <c r="E7201" t="s">
        <v>5756</v>
      </c>
      <c r="F7201" t="s">
        <v>26735</v>
      </c>
      <c r="G7201" t="s">
        <v>6322</v>
      </c>
      <c r="H7201" t="s">
        <v>5474</v>
      </c>
      <c r="I7201" t="s">
        <v>26736</v>
      </c>
      <c r="J7201" t="s">
        <v>5484</v>
      </c>
      <c r="K7201" t="s">
        <v>26737</v>
      </c>
      <c r="L7201" t="s">
        <v>5471</v>
      </c>
      <c r="M7201" t="s">
        <v>5471</v>
      </c>
    </row>
    <row r="7202" spans="1:13" x14ac:dyDescent="0.3">
      <c r="A7202" t="s">
        <v>3383</v>
      </c>
      <c r="B7202" t="s">
        <v>5952</v>
      </c>
      <c r="C7202" t="s">
        <v>5470</v>
      </c>
      <c r="D7202" t="s">
        <v>4056</v>
      </c>
      <c r="E7202" t="s">
        <v>5617</v>
      </c>
      <c r="F7202" t="s">
        <v>26738</v>
      </c>
      <c r="G7202" t="s">
        <v>7528</v>
      </c>
      <c r="H7202" t="s">
        <v>5474</v>
      </c>
      <c r="I7202" t="s">
        <v>26739</v>
      </c>
      <c r="J7202" t="s">
        <v>5484</v>
      </c>
      <c r="K7202" t="s">
        <v>26740</v>
      </c>
      <c r="L7202" t="s">
        <v>5471</v>
      </c>
      <c r="M7202" t="s">
        <v>5471</v>
      </c>
    </row>
    <row r="7203" spans="1:13" x14ac:dyDescent="0.3">
      <c r="A7203" t="s">
        <v>3383</v>
      </c>
      <c r="B7203" t="s">
        <v>5952</v>
      </c>
      <c r="C7203" t="s">
        <v>5470</v>
      </c>
      <c r="D7203" t="s">
        <v>4056</v>
      </c>
      <c r="E7203" t="s">
        <v>5756</v>
      </c>
      <c r="F7203" t="s">
        <v>26741</v>
      </c>
      <c r="G7203" t="s">
        <v>6322</v>
      </c>
      <c r="H7203" t="s">
        <v>5474</v>
      </c>
      <c r="I7203" t="s">
        <v>26742</v>
      </c>
      <c r="J7203" t="s">
        <v>5484</v>
      </c>
      <c r="K7203" t="s">
        <v>26743</v>
      </c>
      <c r="L7203" t="s">
        <v>5471</v>
      </c>
      <c r="M7203" t="s">
        <v>5471</v>
      </c>
    </row>
    <row r="7204" spans="1:13" x14ac:dyDescent="0.3">
      <c r="A7204" t="s">
        <v>3383</v>
      </c>
      <c r="B7204" t="s">
        <v>5952</v>
      </c>
      <c r="C7204" t="s">
        <v>5470</v>
      </c>
      <c r="D7204" t="s">
        <v>4056</v>
      </c>
      <c r="E7204" t="s">
        <v>5756</v>
      </c>
      <c r="F7204" t="s">
        <v>26744</v>
      </c>
      <c r="G7204" t="s">
        <v>6322</v>
      </c>
      <c r="H7204" t="s">
        <v>5474</v>
      </c>
      <c r="I7204" t="s">
        <v>26745</v>
      </c>
      <c r="J7204" t="s">
        <v>5484</v>
      </c>
      <c r="K7204" t="s">
        <v>26746</v>
      </c>
      <c r="L7204" t="s">
        <v>5471</v>
      </c>
      <c r="M7204" t="s">
        <v>5471</v>
      </c>
    </row>
    <row r="7205" spans="1:13" x14ac:dyDescent="0.3">
      <c r="A7205" t="s">
        <v>3383</v>
      </c>
      <c r="B7205" t="s">
        <v>5952</v>
      </c>
      <c r="C7205" t="s">
        <v>5470</v>
      </c>
      <c r="D7205" t="s">
        <v>4056</v>
      </c>
      <c r="E7205" t="s">
        <v>5617</v>
      </c>
      <c r="F7205" t="s">
        <v>26747</v>
      </c>
      <c r="G7205" t="s">
        <v>7528</v>
      </c>
      <c r="H7205" t="s">
        <v>5474</v>
      </c>
      <c r="I7205" t="s">
        <v>26748</v>
      </c>
      <c r="J7205" t="s">
        <v>5484</v>
      </c>
      <c r="K7205" t="s">
        <v>26749</v>
      </c>
      <c r="L7205" t="s">
        <v>5471</v>
      </c>
      <c r="M7205" t="s">
        <v>5471</v>
      </c>
    </row>
    <row r="7206" spans="1:13" x14ac:dyDescent="0.3">
      <c r="A7206" t="s">
        <v>3383</v>
      </c>
      <c r="B7206" t="s">
        <v>6187</v>
      </c>
      <c r="C7206" t="s">
        <v>5470</v>
      </c>
      <c r="D7206" t="s">
        <v>4119</v>
      </c>
      <c r="E7206" t="s">
        <v>5756</v>
      </c>
      <c r="F7206" t="s">
        <v>26750</v>
      </c>
      <c r="G7206" t="s">
        <v>10239</v>
      </c>
      <c r="H7206" t="s">
        <v>5474</v>
      </c>
      <c r="I7206" t="s">
        <v>26751</v>
      </c>
      <c r="J7206" t="s">
        <v>5484</v>
      </c>
      <c r="K7206" t="s">
        <v>26752</v>
      </c>
      <c r="L7206" t="s">
        <v>5471</v>
      </c>
      <c r="M7206" t="s">
        <v>5471</v>
      </c>
    </row>
    <row r="7207" spans="1:13" x14ac:dyDescent="0.3">
      <c r="A7207" t="s">
        <v>3383</v>
      </c>
      <c r="B7207" t="s">
        <v>5952</v>
      </c>
      <c r="C7207" t="s">
        <v>5470</v>
      </c>
      <c r="D7207" t="s">
        <v>4056</v>
      </c>
      <c r="E7207" t="s">
        <v>5756</v>
      </c>
      <c r="F7207" t="s">
        <v>26753</v>
      </c>
      <c r="G7207" t="s">
        <v>6322</v>
      </c>
      <c r="H7207" t="s">
        <v>5474</v>
      </c>
      <c r="I7207" t="s">
        <v>26754</v>
      </c>
      <c r="J7207" t="s">
        <v>5484</v>
      </c>
      <c r="K7207" t="s">
        <v>26755</v>
      </c>
      <c r="L7207" t="s">
        <v>5471</v>
      </c>
      <c r="M7207" t="s">
        <v>5471</v>
      </c>
    </row>
    <row r="7208" spans="1:13" x14ac:dyDescent="0.3">
      <c r="A7208" t="s">
        <v>3383</v>
      </c>
      <c r="B7208" t="s">
        <v>5952</v>
      </c>
      <c r="C7208" t="s">
        <v>5470</v>
      </c>
      <c r="D7208" t="s">
        <v>4056</v>
      </c>
      <c r="E7208" t="s">
        <v>5756</v>
      </c>
      <c r="F7208" t="s">
        <v>26756</v>
      </c>
      <c r="G7208" t="s">
        <v>6322</v>
      </c>
      <c r="H7208" t="s">
        <v>5474</v>
      </c>
      <c r="I7208" t="s">
        <v>26757</v>
      </c>
      <c r="J7208" t="s">
        <v>5484</v>
      </c>
      <c r="K7208" t="s">
        <v>26758</v>
      </c>
      <c r="L7208" t="s">
        <v>5471</v>
      </c>
      <c r="M7208" t="s">
        <v>5471</v>
      </c>
    </row>
    <row r="7209" spans="1:13" x14ac:dyDescent="0.3">
      <c r="A7209" t="s">
        <v>3383</v>
      </c>
      <c r="B7209" t="s">
        <v>5952</v>
      </c>
      <c r="C7209" t="s">
        <v>5470</v>
      </c>
      <c r="D7209" t="s">
        <v>4056</v>
      </c>
      <c r="E7209" t="s">
        <v>5756</v>
      </c>
      <c r="F7209" t="s">
        <v>26759</v>
      </c>
      <c r="G7209" t="s">
        <v>6322</v>
      </c>
      <c r="H7209" t="s">
        <v>5474</v>
      </c>
      <c r="I7209" t="s">
        <v>26760</v>
      </c>
      <c r="J7209" t="s">
        <v>5484</v>
      </c>
      <c r="K7209" t="s">
        <v>26761</v>
      </c>
      <c r="L7209" t="s">
        <v>5471</v>
      </c>
      <c r="M7209" t="s">
        <v>5471</v>
      </c>
    </row>
    <row r="7210" spans="1:13" x14ac:dyDescent="0.3">
      <c r="A7210" t="s">
        <v>3383</v>
      </c>
      <c r="B7210" t="s">
        <v>6187</v>
      </c>
      <c r="C7210" t="s">
        <v>5470</v>
      </c>
      <c r="D7210" t="s">
        <v>4119</v>
      </c>
      <c r="E7210" t="s">
        <v>5756</v>
      </c>
      <c r="F7210" t="s">
        <v>26738</v>
      </c>
      <c r="G7210" t="s">
        <v>10239</v>
      </c>
      <c r="H7210" t="s">
        <v>5474</v>
      </c>
      <c r="I7210" t="s">
        <v>26762</v>
      </c>
      <c r="J7210" t="s">
        <v>5484</v>
      </c>
      <c r="K7210" t="s">
        <v>26763</v>
      </c>
      <c r="L7210" t="s">
        <v>5471</v>
      </c>
      <c r="M7210" t="s">
        <v>5471</v>
      </c>
    </row>
    <row r="7211" spans="1:13" x14ac:dyDescent="0.3">
      <c r="A7211" t="s">
        <v>3380</v>
      </c>
      <c r="B7211" t="s">
        <v>9702</v>
      </c>
      <c r="C7211" t="s">
        <v>6342</v>
      </c>
      <c r="D7211" t="s">
        <v>4119</v>
      </c>
      <c r="E7211" t="s">
        <v>5532</v>
      </c>
      <c r="F7211" t="s">
        <v>26764</v>
      </c>
      <c r="G7211" t="s">
        <v>9704</v>
      </c>
      <c r="H7211" t="s">
        <v>5474</v>
      </c>
      <c r="I7211" t="s">
        <v>26765</v>
      </c>
      <c r="J7211" t="s">
        <v>5476</v>
      </c>
      <c r="K7211" t="s">
        <v>26766</v>
      </c>
      <c r="L7211" t="s">
        <v>5471</v>
      </c>
      <c r="M7211" t="s">
        <v>5471</v>
      </c>
    </row>
    <row r="7212" spans="1:13" x14ac:dyDescent="0.3">
      <c r="A7212" t="s">
        <v>3383</v>
      </c>
      <c r="B7212" t="s">
        <v>5952</v>
      </c>
      <c r="C7212" t="s">
        <v>5470</v>
      </c>
      <c r="D7212" t="s">
        <v>4056</v>
      </c>
      <c r="E7212" t="s">
        <v>5756</v>
      </c>
      <c r="F7212" t="s">
        <v>26767</v>
      </c>
      <c r="G7212" t="s">
        <v>7683</v>
      </c>
      <c r="H7212" t="s">
        <v>5474</v>
      </c>
      <c r="I7212" t="s">
        <v>26768</v>
      </c>
      <c r="J7212" t="s">
        <v>5484</v>
      </c>
      <c r="K7212" t="s">
        <v>26769</v>
      </c>
      <c r="L7212" t="s">
        <v>5471</v>
      </c>
      <c r="M7212" t="s">
        <v>5471</v>
      </c>
    </row>
    <row r="7213" spans="1:13" x14ac:dyDescent="0.3">
      <c r="A7213" t="s">
        <v>3383</v>
      </c>
      <c r="B7213" t="s">
        <v>5952</v>
      </c>
      <c r="C7213" t="s">
        <v>5470</v>
      </c>
      <c r="D7213" t="s">
        <v>4119</v>
      </c>
      <c r="E7213" t="s">
        <v>5617</v>
      </c>
      <c r="F7213" t="s">
        <v>26770</v>
      </c>
      <c r="G7213" t="s">
        <v>8385</v>
      </c>
      <c r="H7213" t="s">
        <v>5474</v>
      </c>
      <c r="I7213" t="s">
        <v>26771</v>
      </c>
      <c r="J7213" t="s">
        <v>5476</v>
      </c>
      <c r="K7213" t="s">
        <v>26772</v>
      </c>
      <c r="L7213" t="s">
        <v>5471</v>
      </c>
      <c r="M7213" t="s">
        <v>5471</v>
      </c>
    </row>
    <row r="7214" spans="1:13" x14ac:dyDescent="0.3">
      <c r="A7214" t="s">
        <v>3383</v>
      </c>
      <c r="B7214" t="s">
        <v>5952</v>
      </c>
      <c r="C7214" t="s">
        <v>5470</v>
      </c>
      <c r="D7214" t="s">
        <v>4119</v>
      </c>
      <c r="E7214" t="s">
        <v>5480</v>
      </c>
      <c r="F7214" t="s">
        <v>26773</v>
      </c>
      <c r="G7214" t="s">
        <v>5960</v>
      </c>
      <c r="H7214" t="s">
        <v>5474</v>
      </c>
      <c r="I7214" t="s">
        <v>26774</v>
      </c>
      <c r="J7214" t="s">
        <v>5476</v>
      </c>
      <c r="K7214" t="s">
        <v>26775</v>
      </c>
      <c r="L7214" t="s">
        <v>5471</v>
      </c>
      <c r="M7214" t="s">
        <v>5471</v>
      </c>
    </row>
    <row r="7215" spans="1:13" x14ac:dyDescent="0.3">
      <c r="A7215" t="s">
        <v>3380</v>
      </c>
      <c r="B7215" t="s">
        <v>26676</v>
      </c>
      <c r="C7215" t="s">
        <v>6342</v>
      </c>
      <c r="D7215" t="s">
        <v>4119</v>
      </c>
      <c r="E7215" t="s">
        <v>9935</v>
      </c>
      <c r="F7215" t="s">
        <v>26776</v>
      </c>
      <c r="G7215" t="s">
        <v>26676</v>
      </c>
      <c r="H7215" t="s">
        <v>5474</v>
      </c>
      <c r="I7215" t="s">
        <v>26777</v>
      </c>
      <c r="J7215" t="s">
        <v>5476</v>
      </c>
      <c r="K7215" t="s">
        <v>21433</v>
      </c>
      <c r="L7215" t="s">
        <v>5471</v>
      </c>
      <c r="M7215" t="s">
        <v>5471</v>
      </c>
    </row>
    <row r="7216" spans="1:13" x14ac:dyDescent="0.3">
      <c r="A7216" t="s">
        <v>3383</v>
      </c>
      <c r="B7216" t="s">
        <v>5952</v>
      </c>
      <c r="C7216" t="s">
        <v>5470</v>
      </c>
      <c r="D7216" t="s">
        <v>4119</v>
      </c>
      <c r="E7216" t="s">
        <v>5480</v>
      </c>
      <c r="F7216" t="s">
        <v>26778</v>
      </c>
      <c r="G7216" t="s">
        <v>5960</v>
      </c>
      <c r="H7216" t="s">
        <v>5474</v>
      </c>
      <c r="I7216" t="s">
        <v>26779</v>
      </c>
      <c r="J7216" t="s">
        <v>5484</v>
      </c>
      <c r="K7216" t="s">
        <v>26780</v>
      </c>
      <c r="L7216" t="s">
        <v>5471</v>
      </c>
      <c r="M7216" t="s">
        <v>5471</v>
      </c>
    </row>
    <row r="7217" spans="1:13" x14ac:dyDescent="0.3">
      <c r="A7217" t="s">
        <v>3383</v>
      </c>
      <c r="B7217" t="s">
        <v>5952</v>
      </c>
      <c r="C7217" t="s">
        <v>5470</v>
      </c>
      <c r="D7217" t="s">
        <v>10218</v>
      </c>
      <c r="E7217" t="s">
        <v>5756</v>
      </c>
      <c r="F7217" t="s">
        <v>26781</v>
      </c>
      <c r="G7217" t="s">
        <v>6289</v>
      </c>
      <c r="H7217" t="s">
        <v>5474</v>
      </c>
      <c r="I7217" t="s">
        <v>26782</v>
      </c>
      <c r="J7217" t="s">
        <v>5476</v>
      </c>
      <c r="K7217" t="s">
        <v>26783</v>
      </c>
      <c r="L7217" t="s">
        <v>5471</v>
      </c>
      <c r="M7217" t="s">
        <v>5471</v>
      </c>
    </row>
    <row r="7218" spans="1:13" x14ac:dyDescent="0.3">
      <c r="A7218" t="s">
        <v>3383</v>
      </c>
      <c r="B7218" t="s">
        <v>5294</v>
      </c>
      <c r="C7218" t="s">
        <v>5470</v>
      </c>
      <c r="D7218" t="s">
        <v>4052</v>
      </c>
      <c r="E7218" t="s">
        <v>5756</v>
      </c>
      <c r="F7218" t="s">
        <v>26784</v>
      </c>
      <c r="G7218" t="s">
        <v>5977</v>
      </c>
      <c r="H7218" t="s">
        <v>5474</v>
      </c>
      <c r="I7218" t="s">
        <v>26785</v>
      </c>
      <c r="J7218" t="s">
        <v>5476</v>
      </c>
      <c r="K7218" t="s">
        <v>26786</v>
      </c>
      <c r="L7218" t="s">
        <v>5471</v>
      </c>
      <c r="M7218" t="s">
        <v>5471</v>
      </c>
    </row>
    <row r="7219" spans="1:13" x14ac:dyDescent="0.3">
      <c r="A7219" t="s">
        <v>3383</v>
      </c>
      <c r="B7219" t="s">
        <v>6187</v>
      </c>
      <c r="C7219" t="s">
        <v>5470</v>
      </c>
      <c r="D7219" t="s">
        <v>4119</v>
      </c>
      <c r="E7219" t="s">
        <v>5756</v>
      </c>
      <c r="F7219" t="s">
        <v>26787</v>
      </c>
      <c r="G7219" t="s">
        <v>10239</v>
      </c>
      <c r="H7219" t="s">
        <v>5474</v>
      </c>
      <c r="I7219" t="s">
        <v>26788</v>
      </c>
      <c r="J7219" t="s">
        <v>5484</v>
      </c>
      <c r="K7219" t="s">
        <v>26789</v>
      </c>
      <c r="L7219" t="s">
        <v>5471</v>
      </c>
      <c r="M7219" t="s">
        <v>5471</v>
      </c>
    </row>
    <row r="7220" spans="1:13" x14ac:dyDescent="0.3">
      <c r="A7220" t="s">
        <v>3383</v>
      </c>
      <c r="B7220" t="s">
        <v>5952</v>
      </c>
      <c r="C7220" t="s">
        <v>5470</v>
      </c>
      <c r="D7220" t="s">
        <v>4056</v>
      </c>
      <c r="E7220" t="s">
        <v>5756</v>
      </c>
      <c r="F7220" t="s">
        <v>26790</v>
      </c>
      <c r="G7220" t="s">
        <v>7728</v>
      </c>
      <c r="H7220" t="s">
        <v>5474</v>
      </c>
      <c r="I7220" t="s">
        <v>26791</v>
      </c>
      <c r="J7220" t="s">
        <v>5484</v>
      </c>
      <c r="K7220" t="s">
        <v>26792</v>
      </c>
      <c r="L7220" t="s">
        <v>5471</v>
      </c>
      <c r="M7220" t="s">
        <v>5471</v>
      </c>
    </row>
    <row r="7221" spans="1:13" x14ac:dyDescent="0.3">
      <c r="A7221" t="s">
        <v>3383</v>
      </c>
      <c r="B7221" t="s">
        <v>6187</v>
      </c>
      <c r="C7221" t="s">
        <v>5470</v>
      </c>
      <c r="D7221" t="s">
        <v>4119</v>
      </c>
      <c r="E7221" t="s">
        <v>5756</v>
      </c>
      <c r="F7221" t="s">
        <v>26793</v>
      </c>
      <c r="G7221" t="s">
        <v>10239</v>
      </c>
      <c r="H7221" t="s">
        <v>5474</v>
      </c>
      <c r="I7221" t="s">
        <v>26794</v>
      </c>
      <c r="J7221" t="s">
        <v>5484</v>
      </c>
      <c r="K7221" t="s">
        <v>26795</v>
      </c>
      <c r="L7221" t="s">
        <v>5471</v>
      </c>
      <c r="M7221" t="s">
        <v>5471</v>
      </c>
    </row>
    <row r="7222" spans="1:13" x14ac:dyDescent="0.3">
      <c r="A7222" t="s">
        <v>3383</v>
      </c>
      <c r="B7222" t="s">
        <v>7444</v>
      </c>
      <c r="C7222" t="s">
        <v>5470</v>
      </c>
      <c r="D7222" t="s">
        <v>4119</v>
      </c>
      <c r="E7222" t="s">
        <v>5532</v>
      </c>
      <c r="F7222" t="s">
        <v>26796</v>
      </c>
      <c r="G7222" t="s">
        <v>26797</v>
      </c>
      <c r="H7222" t="s">
        <v>5474</v>
      </c>
      <c r="I7222" t="s">
        <v>26798</v>
      </c>
      <c r="J7222" t="s">
        <v>5484</v>
      </c>
      <c r="K7222" t="s">
        <v>26799</v>
      </c>
      <c r="L7222" t="s">
        <v>5471</v>
      </c>
      <c r="M7222" t="s">
        <v>5471</v>
      </c>
    </row>
    <row r="7223" spans="1:13" x14ac:dyDescent="0.3">
      <c r="A7223" t="s">
        <v>3383</v>
      </c>
      <c r="B7223" t="s">
        <v>6187</v>
      </c>
      <c r="C7223" t="s">
        <v>5470</v>
      </c>
      <c r="D7223" t="s">
        <v>4119</v>
      </c>
      <c r="E7223" t="s">
        <v>5756</v>
      </c>
      <c r="F7223" t="s">
        <v>26800</v>
      </c>
      <c r="G7223" t="s">
        <v>10239</v>
      </c>
      <c r="H7223" t="s">
        <v>5474</v>
      </c>
      <c r="I7223" t="s">
        <v>26801</v>
      </c>
      <c r="J7223" t="s">
        <v>5484</v>
      </c>
      <c r="K7223" t="s">
        <v>26802</v>
      </c>
      <c r="L7223" t="s">
        <v>5471</v>
      </c>
      <c r="M7223" t="s">
        <v>5471</v>
      </c>
    </row>
    <row r="7224" spans="1:13" x14ac:dyDescent="0.3">
      <c r="A7224" t="s">
        <v>3383</v>
      </c>
      <c r="B7224" t="s">
        <v>5952</v>
      </c>
      <c r="C7224" t="s">
        <v>5470</v>
      </c>
      <c r="D7224" t="s">
        <v>4119</v>
      </c>
      <c r="E7224" t="s">
        <v>5756</v>
      </c>
      <c r="F7224" t="s">
        <v>26803</v>
      </c>
      <c r="G7224" t="s">
        <v>26804</v>
      </c>
      <c r="H7224" t="s">
        <v>5474</v>
      </c>
      <c r="I7224" t="s">
        <v>26805</v>
      </c>
      <c r="J7224" t="s">
        <v>5484</v>
      </c>
      <c r="K7224" t="s">
        <v>26806</v>
      </c>
      <c r="L7224" t="s">
        <v>5471</v>
      </c>
      <c r="M7224" t="s">
        <v>5471</v>
      </c>
    </row>
    <row r="7225" spans="1:13" x14ac:dyDescent="0.3">
      <c r="A7225" t="s">
        <v>3383</v>
      </c>
      <c r="B7225" t="s">
        <v>5952</v>
      </c>
      <c r="C7225" t="s">
        <v>5470</v>
      </c>
      <c r="D7225" t="s">
        <v>4119</v>
      </c>
      <c r="E7225" t="s">
        <v>5756</v>
      </c>
      <c r="F7225" t="s">
        <v>26807</v>
      </c>
      <c r="G7225" t="s">
        <v>7683</v>
      </c>
      <c r="H7225" t="s">
        <v>5474</v>
      </c>
      <c r="I7225" t="s">
        <v>26808</v>
      </c>
      <c r="J7225" t="s">
        <v>5484</v>
      </c>
      <c r="K7225" t="s">
        <v>26809</v>
      </c>
      <c r="L7225" t="s">
        <v>5471</v>
      </c>
      <c r="M7225" t="s">
        <v>5471</v>
      </c>
    </row>
    <row r="7226" spans="1:13" x14ac:dyDescent="0.3">
      <c r="A7226" t="s">
        <v>3383</v>
      </c>
      <c r="B7226" t="s">
        <v>6187</v>
      </c>
      <c r="C7226" t="s">
        <v>5470</v>
      </c>
      <c r="D7226" t="s">
        <v>4119</v>
      </c>
      <c r="E7226" t="s">
        <v>5756</v>
      </c>
      <c r="F7226" t="s">
        <v>26810</v>
      </c>
      <c r="G7226" t="s">
        <v>10239</v>
      </c>
      <c r="H7226" t="s">
        <v>5474</v>
      </c>
      <c r="I7226" t="s">
        <v>26811</v>
      </c>
      <c r="J7226" t="s">
        <v>5476</v>
      </c>
      <c r="K7226" t="s">
        <v>26812</v>
      </c>
      <c r="L7226" t="s">
        <v>5471</v>
      </c>
      <c r="M7226" t="s">
        <v>5471</v>
      </c>
    </row>
    <row r="7227" spans="1:13" x14ac:dyDescent="0.3">
      <c r="A7227" t="s">
        <v>3383</v>
      </c>
      <c r="B7227" t="s">
        <v>5320</v>
      </c>
      <c r="C7227" t="s">
        <v>5470</v>
      </c>
      <c r="D7227" t="s">
        <v>10218</v>
      </c>
      <c r="E7227" t="s">
        <v>5843</v>
      </c>
      <c r="F7227" t="s">
        <v>26813</v>
      </c>
      <c r="G7227" t="s">
        <v>12069</v>
      </c>
      <c r="H7227" t="s">
        <v>5474</v>
      </c>
      <c r="I7227" t="s">
        <v>26814</v>
      </c>
      <c r="J7227" t="s">
        <v>5484</v>
      </c>
      <c r="K7227" t="s">
        <v>26815</v>
      </c>
      <c r="L7227" t="s">
        <v>5471</v>
      </c>
      <c r="M7227" t="s">
        <v>5471</v>
      </c>
    </row>
    <row r="7228" spans="1:13" x14ac:dyDescent="0.3">
      <c r="A7228" t="s">
        <v>3383</v>
      </c>
      <c r="B7228" t="s">
        <v>6187</v>
      </c>
      <c r="C7228" t="s">
        <v>5470</v>
      </c>
      <c r="D7228" t="s">
        <v>4119</v>
      </c>
      <c r="E7228" t="s">
        <v>5756</v>
      </c>
      <c r="F7228" t="s">
        <v>26816</v>
      </c>
      <c r="G7228" t="s">
        <v>10239</v>
      </c>
      <c r="H7228" t="s">
        <v>5474</v>
      </c>
      <c r="I7228" t="s">
        <v>26817</v>
      </c>
      <c r="J7228" t="s">
        <v>5484</v>
      </c>
      <c r="K7228" t="s">
        <v>26818</v>
      </c>
      <c r="L7228" t="s">
        <v>5471</v>
      </c>
      <c r="M7228" t="s">
        <v>5471</v>
      </c>
    </row>
    <row r="7229" spans="1:13" x14ac:dyDescent="0.3">
      <c r="A7229" t="s">
        <v>3383</v>
      </c>
      <c r="B7229" t="s">
        <v>5320</v>
      </c>
      <c r="C7229" t="s">
        <v>5470</v>
      </c>
      <c r="D7229" t="s">
        <v>10218</v>
      </c>
      <c r="E7229" t="s">
        <v>5843</v>
      </c>
      <c r="F7229" t="s">
        <v>26819</v>
      </c>
      <c r="G7229" t="s">
        <v>12069</v>
      </c>
      <c r="H7229" t="s">
        <v>5474</v>
      </c>
      <c r="I7229" t="s">
        <v>26820</v>
      </c>
      <c r="J7229" t="s">
        <v>5484</v>
      </c>
      <c r="K7229" t="s">
        <v>26821</v>
      </c>
      <c r="L7229" t="s">
        <v>5471</v>
      </c>
      <c r="M7229" t="s">
        <v>5471</v>
      </c>
    </row>
    <row r="7230" spans="1:13" x14ac:dyDescent="0.3">
      <c r="A7230" t="s">
        <v>3383</v>
      </c>
      <c r="B7230" t="s">
        <v>6187</v>
      </c>
      <c r="C7230" t="s">
        <v>5470</v>
      </c>
      <c r="D7230" t="s">
        <v>4119</v>
      </c>
      <c r="E7230" t="s">
        <v>5756</v>
      </c>
      <c r="F7230" t="s">
        <v>26822</v>
      </c>
      <c r="G7230" t="s">
        <v>10239</v>
      </c>
      <c r="H7230" t="s">
        <v>5474</v>
      </c>
      <c r="I7230" t="s">
        <v>26823</v>
      </c>
      <c r="J7230" t="s">
        <v>5484</v>
      </c>
      <c r="K7230" t="s">
        <v>26824</v>
      </c>
      <c r="L7230" t="s">
        <v>5471</v>
      </c>
      <c r="M7230" t="s">
        <v>5471</v>
      </c>
    </row>
    <row r="7231" spans="1:13" x14ac:dyDescent="0.3">
      <c r="A7231" t="s">
        <v>3383</v>
      </c>
      <c r="B7231" t="s">
        <v>5320</v>
      </c>
      <c r="C7231" t="s">
        <v>5470</v>
      </c>
      <c r="D7231" t="s">
        <v>10218</v>
      </c>
      <c r="E7231" t="s">
        <v>5843</v>
      </c>
      <c r="F7231" t="s">
        <v>26825</v>
      </c>
      <c r="G7231" t="s">
        <v>12069</v>
      </c>
      <c r="H7231" t="s">
        <v>5474</v>
      </c>
      <c r="I7231" t="s">
        <v>26826</v>
      </c>
      <c r="J7231" t="s">
        <v>5484</v>
      </c>
      <c r="K7231" t="s">
        <v>26827</v>
      </c>
      <c r="L7231" t="s">
        <v>5471</v>
      </c>
      <c r="M7231" t="s">
        <v>5471</v>
      </c>
    </row>
    <row r="7232" spans="1:13" x14ac:dyDescent="0.3">
      <c r="A7232" t="s">
        <v>3383</v>
      </c>
      <c r="B7232" t="s">
        <v>6187</v>
      </c>
      <c r="C7232" t="s">
        <v>5470</v>
      </c>
      <c r="D7232" t="s">
        <v>4119</v>
      </c>
      <c r="E7232" t="s">
        <v>5756</v>
      </c>
      <c r="F7232" t="s">
        <v>26828</v>
      </c>
      <c r="G7232" t="s">
        <v>10239</v>
      </c>
      <c r="H7232" t="s">
        <v>5474</v>
      </c>
      <c r="I7232" t="s">
        <v>26829</v>
      </c>
      <c r="J7232" t="s">
        <v>5484</v>
      </c>
      <c r="K7232" t="s">
        <v>26830</v>
      </c>
      <c r="L7232" t="s">
        <v>5471</v>
      </c>
      <c r="M7232" t="s">
        <v>5471</v>
      </c>
    </row>
    <row r="7233" spans="1:13" x14ac:dyDescent="0.3">
      <c r="A7233" t="s">
        <v>3383</v>
      </c>
      <c r="B7233" t="s">
        <v>5320</v>
      </c>
      <c r="C7233" t="s">
        <v>5470</v>
      </c>
      <c r="D7233" t="s">
        <v>10218</v>
      </c>
      <c r="E7233" t="s">
        <v>5532</v>
      </c>
      <c r="F7233" t="s">
        <v>26831</v>
      </c>
      <c r="G7233" t="s">
        <v>6577</v>
      </c>
      <c r="H7233" t="s">
        <v>5474</v>
      </c>
      <c r="I7233" t="s">
        <v>26832</v>
      </c>
      <c r="J7233" t="s">
        <v>5484</v>
      </c>
      <c r="K7233" t="s">
        <v>26833</v>
      </c>
      <c r="L7233" t="s">
        <v>5471</v>
      </c>
      <c r="M7233" t="s">
        <v>5471</v>
      </c>
    </row>
    <row r="7234" spans="1:13" x14ac:dyDescent="0.3">
      <c r="A7234" t="s">
        <v>3383</v>
      </c>
      <c r="B7234" t="s">
        <v>6187</v>
      </c>
      <c r="C7234" t="s">
        <v>5470</v>
      </c>
      <c r="D7234" t="s">
        <v>4119</v>
      </c>
      <c r="E7234" t="s">
        <v>5617</v>
      </c>
      <c r="F7234" t="s">
        <v>26834</v>
      </c>
      <c r="G7234" t="s">
        <v>26835</v>
      </c>
      <c r="H7234" t="s">
        <v>5474</v>
      </c>
      <c r="I7234" t="s">
        <v>26836</v>
      </c>
      <c r="J7234" t="s">
        <v>5484</v>
      </c>
      <c r="K7234" t="s">
        <v>26837</v>
      </c>
      <c r="L7234" t="s">
        <v>5471</v>
      </c>
      <c r="M7234" t="s">
        <v>5471</v>
      </c>
    </row>
    <row r="7235" spans="1:13" x14ac:dyDescent="0.3">
      <c r="A7235" t="s">
        <v>3383</v>
      </c>
      <c r="B7235" t="s">
        <v>5320</v>
      </c>
      <c r="C7235" t="s">
        <v>5470</v>
      </c>
      <c r="D7235" t="s">
        <v>10218</v>
      </c>
      <c r="E7235" t="s">
        <v>5532</v>
      </c>
      <c r="F7235" t="s">
        <v>26838</v>
      </c>
      <c r="G7235" t="s">
        <v>6577</v>
      </c>
      <c r="H7235" t="s">
        <v>5474</v>
      </c>
      <c r="I7235" t="s">
        <v>26839</v>
      </c>
      <c r="J7235" t="s">
        <v>5484</v>
      </c>
      <c r="K7235" t="s">
        <v>26840</v>
      </c>
      <c r="L7235" t="s">
        <v>5471</v>
      </c>
      <c r="M7235" t="s">
        <v>5471</v>
      </c>
    </row>
    <row r="7236" spans="1:13" x14ac:dyDescent="0.3">
      <c r="A7236" t="s">
        <v>3383</v>
      </c>
      <c r="B7236" t="s">
        <v>5320</v>
      </c>
      <c r="C7236" t="s">
        <v>5470</v>
      </c>
      <c r="D7236" t="s">
        <v>10218</v>
      </c>
      <c r="E7236" t="s">
        <v>5532</v>
      </c>
      <c r="F7236" t="s">
        <v>26841</v>
      </c>
      <c r="G7236" t="s">
        <v>6577</v>
      </c>
      <c r="H7236" t="s">
        <v>5474</v>
      </c>
      <c r="I7236" t="s">
        <v>26842</v>
      </c>
      <c r="J7236" t="s">
        <v>5476</v>
      </c>
      <c r="K7236" t="s">
        <v>26843</v>
      </c>
      <c r="L7236" t="s">
        <v>5471</v>
      </c>
      <c r="M7236" t="s">
        <v>5471</v>
      </c>
    </row>
    <row r="7237" spans="1:13" x14ac:dyDescent="0.3">
      <c r="A7237" t="s">
        <v>3383</v>
      </c>
      <c r="B7237" t="s">
        <v>6187</v>
      </c>
      <c r="C7237" t="s">
        <v>5470</v>
      </c>
      <c r="D7237" t="s">
        <v>4119</v>
      </c>
      <c r="E7237" t="s">
        <v>5617</v>
      </c>
      <c r="F7237" t="s">
        <v>26844</v>
      </c>
      <c r="G7237" t="s">
        <v>26845</v>
      </c>
      <c r="H7237" t="s">
        <v>5474</v>
      </c>
      <c r="I7237" t="s">
        <v>26846</v>
      </c>
      <c r="J7237" t="s">
        <v>5484</v>
      </c>
      <c r="K7237" t="s">
        <v>26847</v>
      </c>
      <c r="L7237" t="s">
        <v>5471</v>
      </c>
      <c r="M7237" t="s">
        <v>5471</v>
      </c>
    </row>
    <row r="7238" spans="1:13" x14ac:dyDescent="0.3">
      <c r="A7238" t="s">
        <v>3383</v>
      </c>
      <c r="B7238" t="s">
        <v>7465</v>
      </c>
      <c r="C7238" t="s">
        <v>5470</v>
      </c>
      <c r="D7238" t="s">
        <v>4052</v>
      </c>
      <c r="E7238" t="s">
        <v>5471</v>
      </c>
      <c r="F7238" t="s">
        <v>26848</v>
      </c>
      <c r="G7238" t="s">
        <v>12069</v>
      </c>
      <c r="H7238" t="s">
        <v>5474</v>
      </c>
      <c r="I7238" t="s">
        <v>26849</v>
      </c>
      <c r="J7238" t="s">
        <v>5484</v>
      </c>
      <c r="K7238" t="s">
        <v>26850</v>
      </c>
      <c r="L7238" t="s">
        <v>5471</v>
      </c>
      <c r="M7238" t="s">
        <v>5471</v>
      </c>
    </row>
    <row r="7239" spans="1:13" x14ac:dyDescent="0.3">
      <c r="A7239" t="s">
        <v>3383</v>
      </c>
      <c r="B7239" t="s">
        <v>7465</v>
      </c>
      <c r="C7239" t="s">
        <v>5470</v>
      </c>
      <c r="D7239" t="s">
        <v>4052</v>
      </c>
      <c r="E7239" t="s">
        <v>5617</v>
      </c>
      <c r="F7239" t="s">
        <v>26851</v>
      </c>
      <c r="G7239" t="s">
        <v>26852</v>
      </c>
      <c r="H7239" t="s">
        <v>5474</v>
      </c>
      <c r="I7239" t="s">
        <v>26853</v>
      </c>
      <c r="J7239" t="s">
        <v>5484</v>
      </c>
      <c r="K7239" t="s">
        <v>26854</v>
      </c>
      <c r="L7239" t="s">
        <v>5471</v>
      </c>
      <c r="M7239" t="s">
        <v>5471</v>
      </c>
    </row>
    <row r="7240" spans="1:13" x14ac:dyDescent="0.3">
      <c r="A7240" t="s">
        <v>3383</v>
      </c>
      <c r="B7240" t="s">
        <v>5330</v>
      </c>
      <c r="C7240" t="s">
        <v>5470</v>
      </c>
      <c r="D7240" t="s">
        <v>4052</v>
      </c>
      <c r="E7240" t="s">
        <v>5617</v>
      </c>
      <c r="F7240" t="s">
        <v>26855</v>
      </c>
      <c r="G7240" t="s">
        <v>12069</v>
      </c>
      <c r="H7240" t="s">
        <v>5474</v>
      </c>
      <c r="I7240" t="s">
        <v>26856</v>
      </c>
      <c r="J7240" t="s">
        <v>5476</v>
      </c>
      <c r="K7240" t="s">
        <v>26857</v>
      </c>
      <c r="L7240" t="s">
        <v>5471</v>
      </c>
      <c r="M7240" t="s">
        <v>5471</v>
      </c>
    </row>
    <row r="7241" spans="1:13" x14ac:dyDescent="0.3">
      <c r="A7241" t="s">
        <v>3383</v>
      </c>
      <c r="B7241" t="s">
        <v>6009</v>
      </c>
      <c r="C7241" t="s">
        <v>5470</v>
      </c>
      <c r="D7241" t="s">
        <v>4119</v>
      </c>
      <c r="E7241" t="s">
        <v>5532</v>
      </c>
      <c r="F7241" t="s">
        <v>26858</v>
      </c>
      <c r="G7241" t="s">
        <v>6011</v>
      </c>
      <c r="H7241" t="s">
        <v>5474</v>
      </c>
      <c r="I7241" t="s">
        <v>26859</v>
      </c>
      <c r="J7241" t="s">
        <v>5476</v>
      </c>
      <c r="K7241" t="s">
        <v>26860</v>
      </c>
      <c r="L7241" t="s">
        <v>5471</v>
      </c>
      <c r="M7241" t="s">
        <v>5471</v>
      </c>
    </row>
    <row r="7242" spans="1:13" x14ac:dyDescent="0.3">
      <c r="A7242" t="s">
        <v>3383</v>
      </c>
      <c r="B7242" t="s">
        <v>5294</v>
      </c>
      <c r="C7242" t="s">
        <v>5470</v>
      </c>
      <c r="D7242" t="s">
        <v>4052</v>
      </c>
      <c r="E7242" t="s">
        <v>5532</v>
      </c>
      <c r="F7242" t="s">
        <v>26861</v>
      </c>
      <c r="G7242" t="s">
        <v>11224</v>
      </c>
      <c r="H7242" t="s">
        <v>5474</v>
      </c>
      <c r="I7242" t="s">
        <v>26862</v>
      </c>
      <c r="J7242" t="s">
        <v>5484</v>
      </c>
      <c r="K7242" t="s">
        <v>26863</v>
      </c>
      <c r="L7242" t="s">
        <v>5471</v>
      </c>
      <c r="M7242" t="s">
        <v>5471</v>
      </c>
    </row>
    <row r="7243" spans="1:13" x14ac:dyDescent="0.3">
      <c r="A7243" t="s">
        <v>3383</v>
      </c>
      <c r="B7243" t="s">
        <v>5320</v>
      </c>
      <c r="C7243" t="s">
        <v>5470</v>
      </c>
      <c r="D7243" t="s">
        <v>4052</v>
      </c>
      <c r="E7243" t="s">
        <v>5617</v>
      </c>
      <c r="F7243" t="s">
        <v>26864</v>
      </c>
      <c r="G7243" t="s">
        <v>11224</v>
      </c>
      <c r="H7243" t="s">
        <v>5474</v>
      </c>
      <c r="I7243" t="s">
        <v>26865</v>
      </c>
      <c r="J7243" t="s">
        <v>5484</v>
      </c>
      <c r="K7243" t="s">
        <v>26866</v>
      </c>
      <c r="L7243" t="s">
        <v>5471</v>
      </c>
      <c r="M7243" t="s">
        <v>5471</v>
      </c>
    </row>
    <row r="7244" spans="1:13" x14ac:dyDescent="0.3">
      <c r="A7244" t="s">
        <v>3383</v>
      </c>
      <c r="B7244" t="s">
        <v>5320</v>
      </c>
      <c r="C7244" t="s">
        <v>5470</v>
      </c>
      <c r="D7244" t="s">
        <v>4052</v>
      </c>
      <c r="E7244" t="s">
        <v>5617</v>
      </c>
      <c r="F7244" t="s">
        <v>26867</v>
      </c>
      <c r="G7244" t="s">
        <v>11224</v>
      </c>
      <c r="H7244" t="s">
        <v>5474</v>
      </c>
      <c r="I7244" t="s">
        <v>26868</v>
      </c>
      <c r="J7244" t="s">
        <v>5484</v>
      </c>
      <c r="K7244" t="s">
        <v>26869</v>
      </c>
      <c r="L7244" t="s">
        <v>5471</v>
      </c>
      <c r="M7244" t="s">
        <v>5471</v>
      </c>
    </row>
    <row r="7245" spans="1:13" x14ac:dyDescent="0.3">
      <c r="A7245" t="s">
        <v>3383</v>
      </c>
      <c r="B7245" t="s">
        <v>5805</v>
      </c>
      <c r="C7245" t="s">
        <v>5470</v>
      </c>
      <c r="D7245" t="s">
        <v>4052</v>
      </c>
      <c r="E7245" t="s">
        <v>5617</v>
      </c>
      <c r="F7245" t="s">
        <v>26870</v>
      </c>
      <c r="G7245" t="s">
        <v>11224</v>
      </c>
      <c r="H7245" t="s">
        <v>5474</v>
      </c>
      <c r="I7245" t="s">
        <v>26871</v>
      </c>
      <c r="J7245" t="s">
        <v>5484</v>
      </c>
      <c r="K7245" t="s">
        <v>26872</v>
      </c>
      <c r="L7245" t="s">
        <v>5471</v>
      </c>
      <c r="M7245" t="s">
        <v>5471</v>
      </c>
    </row>
    <row r="7246" spans="1:13" x14ac:dyDescent="0.3">
      <c r="A7246" t="s">
        <v>3383</v>
      </c>
      <c r="B7246" t="s">
        <v>5294</v>
      </c>
      <c r="C7246" t="s">
        <v>5470</v>
      </c>
      <c r="D7246" t="s">
        <v>10218</v>
      </c>
      <c r="E7246" t="s">
        <v>5756</v>
      </c>
      <c r="F7246" t="s">
        <v>26873</v>
      </c>
      <c r="G7246" t="s">
        <v>6201</v>
      </c>
      <c r="H7246" t="s">
        <v>5474</v>
      </c>
      <c r="I7246" t="s">
        <v>26874</v>
      </c>
      <c r="J7246" t="s">
        <v>5484</v>
      </c>
      <c r="K7246" t="s">
        <v>26875</v>
      </c>
      <c r="L7246" t="s">
        <v>5471</v>
      </c>
      <c r="M7246" t="s">
        <v>5471</v>
      </c>
    </row>
    <row r="7247" spans="1:13" x14ac:dyDescent="0.3">
      <c r="A7247" t="s">
        <v>3383</v>
      </c>
      <c r="B7247" t="s">
        <v>6051</v>
      </c>
      <c r="C7247" t="s">
        <v>5470</v>
      </c>
      <c r="D7247" t="s">
        <v>4119</v>
      </c>
      <c r="E7247" t="s">
        <v>5756</v>
      </c>
      <c r="F7247" t="s">
        <v>26876</v>
      </c>
      <c r="G7247" t="s">
        <v>6053</v>
      </c>
      <c r="H7247" t="s">
        <v>5474</v>
      </c>
      <c r="I7247" t="s">
        <v>26877</v>
      </c>
      <c r="J7247" t="s">
        <v>5476</v>
      </c>
      <c r="K7247" t="s">
        <v>26878</v>
      </c>
      <c r="L7247" t="s">
        <v>5471</v>
      </c>
      <c r="M7247" t="s">
        <v>5471</v>
      </c>
    </row>
    <row r="7248" spans="1:13" x14ac:dyDescent="0.3">
      <c r="A7248" t="s">
        <v>3383</v>
      </c>
      <c r="B7248" t="s">
        <v>5294</v>
      </c>
      <c r="C7248" t="s">
        <v>5470</v>
      </c>
      <c r="D7248" t="s">
        <v>10218</v>
      </c>
      <c r="E7248" t="s">
        <v>5756</v>
      </c>
      <c r="F7248" t="s">
        <v>26879</v>
      </c>
      <c r="G7248" t="s">
        <v>6201</v>
      </c>
      <c r="H7248" t="s">
        <v>5474</v>
      </c>
      <c r="I7248" t="s">
        <v>26880</v>
      </c>
      <c r="J7248" t="s">
        <v>5484</v>
      </c>
      <c r="K7248" t="s">
        <v>26875</v>
      </c>
      <c r="L7248" t="s">
        <v>5471</v>
      </c>
      <c r="M7248" t="s">
        <v>5471</v>
      </c>
    </row>
    <row r="7249" spans="1:13" x14ac:dyDescent="0.3">
      <c r="A7249" t="s">
        <v>3383</v>
      </c>
      <c r="B7249" t="s">
        <v>5294</v>
      </c>
      <c r="C7249" t="s">
        <v>5470</v>
      </c>
      <c r="D7249" t="s">
        <v>10218</v>
      </c>
      <c r="E7249" t="s">
        <v>5756</v>
      </c>
      <c r="F7249" t="s">
        <v>26881</v>
      </c>
      <c r="G7249" t="s">
        <v>6201</v>
      </c>
      <c r="H7249" t="s">
        <v>5474</v>
      </c>
      <c r="I7249" t="s">
        <v>26882</v>
      </c>
      <c r="J7249" t="s">
        <v>5484</v>
      </c>
      <c r="K7249" t="s">
        <v>26875</v>
      </c>
      <c r="L7249" t="s">
        <v>5471</v>
      </c>
      <c r="M7249" t="s">
        <v>5471</v>
      </c>
    </row>
    <row r="7250" spans="1:13" x14ac:dyDescent="0.3">
      <c r="A7250" t="s">
        <v>3383</v>
      </c>
      <c r="B7250" t="s">
        <v>6051</v>
      </c>
      <c r="C7250" t="s">
        <v>5470</v>
      </c>
      <c r="D7250" t="s">
        <v>4058</v>
      </c>
      <c r="E7250" t="s">
        <v>5756</v>
      </c>
      <c r="F7250" t="s">
        <v>26883</v>
      </c>
      <c r="G7250" t="s">
        <v>6283</v>
      </c>
      <c r="H7250" t="s">
        <v>5474</v>
      </c>
      <c r="I7250" t="s">
        <v>26884</v>
      </c>
      <c r="J7250" t="s">
        <v>5476</v>
      </c>
      <c r="K7250" t="s">
        <v>26885</v>
      </c>
      <c r="L7250" t="s">
        <v>5471</v>
      </c>
      <c r="M7250" t="s">
        <v>5471</v>
      </c>
    </row>
    <row r="7251" spans="1:13" x14ac:dyDescent="0.3">
      <c r="A7251" t="s">
        <v>3383</v>
      </c>
      <c r="B7251" t="s">
        <v>6122</v>
      </c>
      <c r="C7251" t="s">
        <v>5470</v>
      </c>
      <c r="D7251" t="s">
        <v>4052</v>
      </c>
      <c r="E7251" t="s">
        <v>5532</v>
      </c>
      <c r="F7251" t="s">
        <v>26886</v>
      </c>
      <c r="G7251" t="s">
        <v>12004</v>
      </c>
      <c r="H7251" t="s">
        <v>5474</v>
      </c>
      <c r="I7251" t="s">
        <v>26887</v>
      </c>
      <c r="J7251" t="s">
        <v>5476</v>
      </c>
      <c r="K7251" t="s">
        <v>26888</v>
      </c>
      <c r="L7251" t="s">
        <v>5471</v>
      </c>
      <c r="M7251" t="s">
        <v>5471</v>
      </c>
    </row>
    <row r="7252" spans="1:13" x14ac:dyDescent="0.3">
      <c r="A7252" t="s">
        <v>3383</v>
      </c>
      <c r="B7252" t="s">
        <v>5332</v>
      </c>
      <c r="C7252" t="s">
        <v>5470</v>
      </c>
      <c r="D7252" t="s">
        <v>4200</v>
      </c>
      <c r="E7252" t="s">
        <v>5532</v>
      </c>
      <c r="F7252" t="s">
        <v>26889</v>
      </c>
      <c r="G7252" t="s">
        <v>6589</v>
      </c>
      <c r="H7252" t="s">
        <v>5474</v>
      </c>
      <c r="I7252" t="s">
        <v>26890</v>
      </c>
      <c r="J7252" t="s">
        <v>5484</v>
      </c>
      <c r="K7252" t="s">
        <v>26891</v>
      </c>
      <c r="L7252" t="s">
        <v>5471</v>
      </c>
      <c r="M7252" t="s">
        <v>5471</v>
      </c>
    </row>
    <row r="7253" spans="1:13" x14ac:dyDescent="0.3">
      <c r="A7253" t="s">
        <v>3383</v>
      </c>
      <c r="B7253" t="s">
        <v>5332</v>
      </c>
      <c r="C7253" t="s">
        <v>5470</v>
      </c>
      <c r="D7253" t="s">
        <v>4200</v>
      </c>
      <c r="E7253" t="s">
        <v>5532</v>
      </c>
      <c r="F7253" t="s">
        <v>26892</v>
      </c>
      <c r="G7253" t="s">
        <v>6589</v>
      </c>
      <c r="H7253" t="s">
        <v>5474</v>
      </c>
      <c r="I7253" t="s">
        <v>26893</v>
      </c>
      <c r="J7253" t="s">
        <v>5484</v>
      </c>
      <c r="K7253" t="s">
        <v>26894</v>
      </c>
      <c r="L7253" t="s">
        <v>5471</v>
      </c>
      <c r="M7253" t="s">
        <v>5471</v>
      </c>
    </row>
    <row r="7254" spans="1:13" x14ac:dyDescent="0.3">
      <c r="A7254" t="s">
        <v>3383</v>
      </c>
      <c r="B7254" t="s">
        <v>5332</v>
      </c>
      <c r="C7254" t="s">
        <v>5470</v>
      </c>
      <c r="D7254" t="s">
        <v>4200</v>
      </c>
      <c r="E7254" t="s">
        <v>5532</v>
      </c>
      <c r="F7254" t="s">
        <v>26895</v>
      </c>
      <c r="G7254" t="s">
        <v>6592</v>
      </c>
      <c r="H7254" t="s">
        <v>5474</v>
      </c>
      <c r="I7254" t="s">
        <v>26896</v>
      </c>
      <c r="J7254" t="s">
        <v>5484</v>
      </c>
      <c r="K7254" t="s">
        <v>26897</v>
      </c>
      <c r="L7254" t="s">
        <v>5471</v>
      </c>
      <c r="M7254" t="s">
        <v>5471</v>
      </c>
    </row>
    <row r="7255" spans="1:13" x14ac:dyDescent="0.3">
      <c r="A7255" t="s">
        <v>3383</v>
      </c>
      <c r="B7255" t="s">
        <v>6122</v>
      </c>
      <c r="C7255" t="s">
        <v>5470</v>
      </c>
      <c r="D7255" t="s">
        <v>4058</v>
      </c>
      <c r="E7255" t="s">
        <v>5532</v>
      </c>
      <c r="F7255" t="s">
        <v>26898</v>
      </c>
      <c r="G7255" t="s">
        <v>12004</v>
      </c>
      <c r="H7255" t="s">
        <v>5474</v>
      </c>
      <c r="I7255" t="s">
        <v>26899</v>
      </c>
      <c r="J7255" t="s">
        <v>5476</v>
      </c>
      <c r="K7255" t="s">
        <v>26900</v>
      </c>
      <c r="L7255" t="s">
        <v>5471</v>
      </c>
      <c r="M7255" t="s">
        <v>5471</v>
      </c>
    </row>
    <row r="7256" spans="1:13" x14ac:dyDescent="0.3">
      <c r="A7256" t="s">
        <v>3383</v>
      </c>
      <c r="B7256" t="s">
        <v>5294</v>
      </c>
      <c r="C7256" t="s">
        <v>5470</v>
      </c>
      <c r="D7256" t="s">
        <v>4200</v>
      </c>
      <c r="E7256" t="s">
        <v>5756</v>
      </c>
      <c r="F7256" t="s">
        <v>26901</v>
      </c>
      <c r="G7256" t="s">
        <v>11851</v>
      </c>
      <c r="H7256" t="s">
        <v>5474</v>
      </c>
      <c r="I7256" t="s">
        <v>26902</v>
      </c>
      <c r="J7256" t="s">
        <v>5476</v>
      </c>
      <c r="K7256" t="s">
        <v>26903</v>
      </c>
      <c r="L7256" t="s">
        <v>5471</v>
      </c>
      <c r="M7256" t="s">
        <v>5471</v>
      </c>
    </row>
    <row r="7257" spans="1:13" x14ac:dyDescent="0.3">
      <c r="A7257" t="s">
        <v>3383</v>
      </c>
      <c r="B7257" t="s">
        <v>6051</v>
      </c>
      <c r="C7257" t="s">
        <v>5470</v>
      </c>
      <c r="D7257" t="s">
        <v>4058</v>
      </c>
      <c r="E7257" t="s">
        <v>5756</v>
      </c>
      <c r="F7257" t="s">
        <v>26904</v>
      </c>
      <c r="G7257" t="s">
        <v>6283</v>
      </c>
      <c r="H7257" t="s">
        <v>5474</v>
      </c>
      <c r="I7257" t="s">
        <v>26905</v>
      </c>
      <c r="J7257" t="s">
        <v>5476</v>
      </c>
      <c r="K7257" t="s">
        <v>26906</v>
      </c>
      <c r="L7257" t="s">
        <v>5471</v>
      </c>
      <c r="M7257" t="s">
        <v>5471</v>
      </c>
    </row>
    <row r="7258" spans="1:13" x14ac:dyDescent="0.3">
      <c r="A7258" t="s">
        <v>3383</v>
      </c>
      <c r="B7258" t="s">
        <v>5332</v>
      </c>
      <c r="C7258" t="s">
        <v>5470</v>
      </c>
      <c r="D7258" t="s">
        <v>10218</v>
      </c>
      <c r="E7258" t="s">
        <v>5532</v>
      </c>
      <c r="F7258" t="s">
        <v>26907</v>
      </c>
      <c r="G7258" t="s">
        <v>26626</v>
      </c>
      <c r="H7258" t="s">
        <v>5474</v>
      </c>
      <c r="I7258" t="s">
        <v>26908</v>
      </c>
      <c r="J7258" t="s">
        <v>5484</v>
      </c>
      <c r="K7258" t="s">
        <v>26909</v>
      </c>
      <c r="L7258" t="s">
        <v>5471</v>
      </c>
      <c r="M7258" t="s">
        <v>5471</v>
      </c>
    </row>
    <row r="7259" spans="1:13" x14ac:dyDescent="0.3">
      <c r="A7259" t="s">
        <v>3383</v>
      </c>
      <c r="B7259" t="s">
        <v>6051</v>
      </c>
      <c r="C7259" t="s">
        <v>5470</v>
      </c>
      <c r="D7259" t="s">
        <v>4058</v>
      </c>
      <c r="E7259" t="s">
        <v>5756</v>
      </c>
      <c r="F7259" t="s">
        <v>26910</v>
      </c>
      <c r="G7259" t="s">
        <v>6283</v>
      </c>
      <c r="H7259" t="s">
        <v>5474</v>
      </c>
      <c r="I7259" t="s">
        <v>26911</v>
      </c>
      <c r="J7259" t="s">
        <v>5476</v>
      </c>
      <c r="K7259" t="s">
        <v>26912</v>
      </c>
      <c r="L7259" t="s">
        <v>5471</v>
      </c>
      <c r="M7259" t="s">
        <v>5471</v>
      </c>
    </row>
    <row r="7260" spans="1:13" x14ac:dyDescent="0.3">
      <c r="A7260" t="s">
        <v>3383</v>
      </c>
      <c r="B7260" t="s">
        <v>5332</v>
      </c>
      <c r="C7260" t="s">
        <v>5470</v>
      </c>
      <c r="D7260" t="s">
        <v>10218</v>
      </c>
      <c r="E7260" t="s">
        <v>5532</v>
      </c>
      <c r="F7260" t="s">
        <v>26913</v>
      </c>
      <c r="G7260" t="s">
        <v>12069</v>
      </c>
      <c r="H7260" t="s">
        <v>5474</v>
      </c>
      <c r="I7260" t="s">
        <v>26914</v>
      </c>
      <c r="J7260" t="s">
        <v>5484</v>
      </c>
      <c r="K7260" t="s">
        <v>26915</v>
      </c>
      <c r="L7260" t="s">
        <v>5471</v>
      </c>
      <c r="M7260" t="s">
        <v>5471</v>
      </c>
    </row>
    <row r="7261" spans="1:13" x14ac:dyDescent="0.3">
      <c r="A7261" t="s">
        <v>3383</v>
      </c>
      <c r="B7261" t="s">
        <v>6122</v>
      </c>
      <c r="C7261" t="s">
        <v>5470</v>
      </c>
      <c r="D7261" t="s">
        <v>4058</v>
      </c>
      <c r="E7261" t="s">
        <v>5756</v>
      </c>
      <c r="F7261" t="s">
        <v>26916</v>
      </c>
      <c r="G7261" t="s">
        <v>8524</v>
      </c>
      <c r="H7261" t="s">
        <v>5474</v>
      </c>
      <c r="I7261" t="s">
        <v>26917</v>
      </c>
      <c r="J7261" t="s">
        <v>5484</v>
      </c>
      <c r="K7261" t="s">
        <v>26918</v>
      </c>
      <c r="L7261" t="s">
        <v>5471</v>
      </c>
      <c r="M7261" t="s">
        <v>5471</v>
      </c>
    </row>
    <row r="7262" spans="1:13" x14ac:dyDescent="0.3">
      <c r="A7262" t="s">
        <v>3383</v>
      </c>
      <c r="B7262" t="s">
        <v>5952</v>
      </c>
      <c r="C7262" t="s">
        <v>5470</v>
      </c>
      <c r="D7262" t="s">
        <v>4056</v>
      </c>
      <c r="E7262" t="s">
        <v>5756</v>
      </c>
      <c r="F7262" t="s">
        <v>26919</v>
      </c>
      <c r="G7262" t="s">
        <v>12154</v>
      </c>
      <c r="H7262" t="s">
        <v>5474</v>
      </c>
      <c r="I7262" t="s">
        <v>26920</v>
      </c>
      <c r="J7262" t="s">
        <v>5484</v>
      </c>
      <c r="K7262" t="s">
        <v>26921</v>
      </c>
      <c r="L7262" t="s">
        <v>5471</v>
      </c>
      <c r="M7262" t="s">
        <v>5471</v>
      </c>
    </row>
    <row r="7263" spans="1:13" x14ac:dyDescent="0.3">
      <c r="A7263" t="s">
        <v>3383</v>
      </c>
      <c r="B7263" t="s">
        <v>5332</v>
      </c>
      <c r="C7263" t="s">
        <v>5470</v>
      </c>
      <c r="D7263" t="s">
        <v>4119</v>
      </c>
      <c r="E7263" t="s">
        <v>5532</v>
      </c>
      <c r="F7263" t="s">
        <v>26922</v>
      </c>
      <c r="G7263" t="s">
        <v>6592</v>
      </c>
      <c r="H7263" t="s">
        <v>5474</v>
      </c>
      <c r="I7263" t="s">
        <v>26923</v>
      </c>
      <c r="J7263" t="s">
        <v>5484</v>
      </c>
      <c r="K7263" t="s">
        <v>26924</v>
      </c>
      <c r="L7263" t="s">
        <v>5471</v>
      </c>
      <c r="M7263" t="s">
        <v>5471</v>
      </c>
    </row>
    <row r="7264" spans="1:13" x14ac:dyDescent="0.3">
      <c r="A7264" t="s">
        <v>3383</v>
      </c>
      <c r="B7264" t="s">
        <v>6122</v>
      </c>
      <c r="C7264" t="s">
        <v>5470</v>
      </c>
      <c r="D7264" t="s">
        <v>4052</v>
      </c>
      <c r="E7264" t="s">
        <v>5532</v>
      </c>
      <c r="F7264" t="s">
        <v>26925</v>
      </c>
      <c r="G7264" t="s">
        <v>8970</v>
      </c>
      <c r="H7264" t="s">
        <v>5474</v>
      </c>
      <c r="I7264" t="s">
        <v>26926</v>
      </c>
      <c r="J7264" t="s">
        <v>5476</v>
      </c>
      <c r="K7264" t="s">
        <v>26927</v>
      </c>
      <c r="L7264" t="s">
        <v>5471</v>
      </c>
      <c r="M7264" t="s">
        <v>5471</v>
      </c>
    </row>
    <row r="7265" spans="1:13" x14ac:dyDescent="0.3">
      <c r="A7265" t="s">
        <v>3383</v>
      </c>
      <c r="B7265" t="s">
        <v>5278</v>
      </c>
      <c r="C7265" t="s">
        <v>5470</v>
      </c>
      <c r="D7265" t="s">
        <v>4119</v>
      </c>
      <c r="E7265" t="s">
        <v>5532</v>
      </c>
      <c r="F7265" t="s">
        <v>26928</v>
      </c>
      <c r="G7265" t="s">
        <v>26929</v>
      </c>
      <c r="H7265" t="s">
        <v>5474</v>
      </c>
      <c r="I7265" t="s">
        <v>26930</v>
      </c>
      <c r="J7265" t="s">
        <v>5484</v>
      </c>
      <c r="K7265" t="s">
        <v>26931</v>
      </c>
      <c r="L7265" t="s">
        <v>5471</v>
      </c>
      <c r="M7265" t="s">
        <v>5471</v>
      </c>
    </row>
    <row r="7266" spans="1:13" x14ac:dyDescent="0.3">
      <c r="A7266" t="s">
        <v>3383</v>
      </c>
      <c r="B7266" t="s">
        <v>5267</v>
      </c>
      <c r="C7266" t="s">
        <v>5487</v>
      </c>
      <c r="D7266" t="s">
        <v>4119</v>
      </c>
      <c r="E7266" t="s">
        <v>5843</v>
      </c>
      <c r="F7266" t="s">
        <v>26932</v>
      </c>
      <c r="G7266" t="s">
        <v>11224</v>
      </c>
      <c r="H7266" t="s">
        <v>5474</v>
      </c>
      <c r="I7266" t="s">
        <v>26933</v>
      </c>
      <c r="J7266" t="s">
        <v>5476</v>
      </c>
      <c r="K7266" t="s">
        <v>26934</v>
      </c>
      <c r="L7266" t="s">
        <v>5471</v>
      </c>
      <c r="M7266" t="s">
        <v>5471</v>
      </c>
    </row>
    <row r="7267" spans="1:13" x14ac:dyDescent="0.3">
      <c r="A7267" t="s">
        <v>3383</v>
      </c>
      <c r="B7267" t="s">
        <v>5332</v>
      </c>
      <c r="C7267" t="s">
        <v>5470</v>
      </c>
      <c r="D7267" t="s">
        <v>4119</v>
      </c>
      <c r="E7267" t="s">
        <v>5532</v>
      </c>
      <c r="F7267" t="s">
        <v>26935</v>
      </c>
      <c r="G7267" t="s">
        <v>6589</v>
      </c>
      <c r="H7267" t="s">
        <v>5474</v>
      </c>
      <c r="I7267" t="s">
        <v>26936</v>
      </c>
      <c r="J7267" t="s">
        <v>5484</v>
      </c>
      <c r="K7267" t="s">
        <v>26937</v>
      </c>
      <c r="L7267" t="s">
        <v>5471</v>
      </c>
      <c r="M7267" t="s">
        <v>5471</v>
      </c>
    </row>
    <row r="7268" spans="1:13" x14ac:dyDescent="0.3">
      <c r="A7268" t="s">
        <v>3397</v>
      </c>
      <c r="B7268" t="s">
        <v>26938</v>
      </c>
      <c r="C7268" t="s">
        <v>5487</v>
      </c>
      <c r="D7268" t="s">
        <v>9833</v>
      </c>
      <c r="E7268" t="s">
        <v>5756</v>
      </c>
      <c r="F7268" t="s">
        <v>26939</v>
      </c>
      <c r="G7268" t="s">
        <v>26938</v>
      </c>
      <c r="H7268" t="s">
        <v>5474</v>
      </c>
      <c r="I7268" t="s">
        <v>26940</v>
      </c>
      <c r="J7268" t="s">
        <v>5476</v>
      </c>
      <c r="K7268" t="s">
        <v>5471</v>
      </c>
      <c r="L7268" t="s">
        <v>5471</v>
      </c>
      <c r="M7268" t="s">
        <v>5471</v>
      </c>
    </row>
    <row r="7269" spans="1:13" x14ac:dyDescent="0.3">
      <c r="A7269" t="s">
        <v>3383</v>
      </c>
      <c r="B7269" t="s">
        <v>5267</v>
      </c>
      <c r="C7269" t="s">
        <v>5487</v>
      </c>
      <c r="D7269" t="s">
        <v>4119</v>
      </c>
      <c r="E7269" t="s">
        <v>5843</v>
      </c>
      <c r="F7269" t="s">
        <v>26941</v>
      </c>
      <c r="G7269" t="s">
        <v>26942</v>
      </c>
      <c r="H7269" t="s">
        <v>5474</v>
      </c>
      <c r="I7269" t="s">
        <v>26943</v>
      </c>
      <c r="J7269" t="s">
        <v>5476</v>
      </c>
      <c r="K7269" t="s">
        <v>26944</v>
      </c>
      <c r="L7269" t="s">
        <v>5471</v>
      </c>
      <c r="M7269" t="s">
        <v>5471</v>
      </c>
    </row>
    <row r="7270" spans="1:13" x14ac:dyDescent="0.3">
      <c r="A7270" t="s">
        <v>3383</v>
      </c>
      <c r="B7270" t="s">
        <v>6122</v>
      </c>
      <c r="C7270" t="s">
        <v>5470</v>
      </c>
      <c r="D7270" t="s">
        <v>4058</v>
      </c>
      <c r="E7270" t="s">
        <v>5532</v>
      </c>
      <c r="F7270" t="s">
        <v>26945</v>
      </c>
      <c r="G7270" t="s">
        <v>5471</v>
      </c>
      <c r="H7270" t="s">
        <v>5474</v>
      </c>
      <c r="I7270" t="s">
        <v>26946</v>
      </c>
      <c r="J7270" t="s">
        <v>5476</v>
      </c>
      <c r="K7270" t="s">
        <v>26947</v>
      </c>
      <c r="L7270" t="s">
        <v>5471</v>
      </c>
      <c r="M7270" t="s">
        <v>5471</v>
      </c>
    </row>
    <row r="7271" spans="1:13" x14ac:dyDescent="0.3">
      <c r="A7271" t="s">
        <v>3383</v>
      </c>
      <c r="B7271" t="s">
        <v>5294</v>
      </c>
      <c r="C7271" t="s">
        <v>5470</v>
      </c>
      <c r="D7271" t="s">
        <v>4119</v>
      </c>
      <c r="E7271" t="s">
        <v>5756</v>
      </c>
      <c r="F7271" t="s">
        <v>26948</v>
      </c>
      <c r="G7271" t="s">
        <v>26696</v>
      </c>
      <c r="H7271" t="s">
        <v>5474</v>
      </c>
      <c r="I7271" t="s">
        <v>26949</v>
      </c>
      <c r="J7271" t="s">
        <v>5484</v>
      </c>
      <c r="K7271" t="s">
        <v>26950</v>
      </c>
      <c r="L7271" t="s">
        <v>5471</v>
      </c>
      <c r="M7271" t="s">
        <v>5471</v>
      </c>
    </row>
    <row r="7272" spans="1:13" x14ac:dyDescent="0.3">
      <c r="A7272" t="s">
        <v>3383</v>
      </c>
      <c r="B7272" t="s">
        <v>5332</v>
      </c>
      <c r="C7272" t="s">
        <v>5470</v>
      </c>
      <c r="D7272" t="s">
        <v>4119</v>
      </c>
      <c r="E7272" t="s">
        <v>5532</v>
      </c>
      <c r="F7272" t="s">
        <v>26951</v>
      </c>
      <c r="G7272" t="s">
        <v>6586</v>
      </c>
      <c r="H7272" t="s">
        <v>5474</v>
      </c>
      <c r="I7272" t="s">
        <v>26952</v>
      </c>
      <c r="J7272" t="s">
        <v>5484</v>
      </c>
      <c r="K7272" t="s">
        <v>26953</v>
      </c>
      <c r="L7272" t="s">
        <v>5471</v>
      </c>
      <c r="M7272" t="s">
        <v>5471</v>
      </c>
    </row>
    <row r="7273" spans="1:13" x14ac:dyDescent="0.3">
      <c r="A7273" t="s">
        <v>3383</v>
      </c>
      <c r="B7273" t="s">
        <v>5294</v>
      </c>
      <c r="C7273" t="s">
        <v>5470</v>
      </c>
      <c r="D7273" t="s">
        <v>4119</v>
      </c>
      <c r="E7273" t="s">
        <v>5756</v>
      </c>
      <c r="F7273" t="s">
        <v>26954</v>
      </c>
      <c r="G7273" t="s">
        <v>26696</v>
      </c>
      <c r="H7273" t="s">
        <v>5474</v>
      </c>
      <c r="I7273" t="s">
        <v>26955</v>
      </c>
      <c r="J7273" t="s">
        <v>5484</v>
      </c>
      <c r="K7273" t="s">
        <v>26950</v>
      </c>
      <c r="L7273" t="s">
        <v>5471</v>
      </c>
      <c r="M7273" t="s">
        <v>5471</v>
      </c>
    </row>
    <row r="7274" spans="1:13" x14ac:dyDescent="0.3">
      <c r="A7274" t="s">
        <v>3383</v>
      </c>
      <c r="B7274" t="s">
        <v>5952</v>
      </c>
      <c r="C7274" t="s">
        <v>5470</v>
      </c>
      <c r="D7274" t="s">
        <v>4119</v>
      </c>
      <c r="E7274" t="s">
        <v>5756</v>
      </c>
      <c r="F7274" t="s">
        <v>26956</v>
      </c>
      <c r="G7274" t="s">
        <v>19326</v>
      </c>
      <c r="H7274" t="s">
        <v>5474</v>
      </c>
      <c r="I7274" t="s">
        <v>26957</v>
      </c>
      <c r="J7274" t="s">
        <v>5484</v>
      </c>
      <c r="K7274" t="s">
        <v>26958</v>
      </c>
      <c r="L7274" t="s">
        <v>5471</v>
      </c>
      <c r="M7274" t="s">
        <v>5471</v>
      </c>
    </row>
    <row r="7275" spans="1:13" x14ac:dyDescent="0.3">
      <c r="A7275" t="s">
        <v>3383</v>
      </c>
      <c r="B7275" t="s">
        <v>5952</v>
      </c>
      <c r="C7275" t="s">
        <v>5470</v>
      </c>
      <c r="D7275" t="s">
        <v>4119</v>
      </c>
      <c r="E7275" t="s">
        <v>5756</v>
      </c>
      <c r="F7275" t="s">
        <v>26956</v>
      </c>
      <c r="G7275" t="s">
        <v>19326</v>
      </c>
      <c r="H7275" t="s">
        <v>5474</v>
      </c>
      <c r="I7275" t="s">
        <v>26959</v>
      </c>
      <c r="J7275" t="s">
        <v>5484</v>
      </c>
      <c r="K7275" t="s">
        <v>26958</v>
      </c>
      <c r="L7275" t="s">
        <v>5471</v>
      </c>
      <c r="M7275" t="s">
        <v>5471</v>
      </c>
    </row>
    <row r="7276" spans="1:13" x14ac:dyDescent="0.3">
      <c r="A7276" t="s">
        <v>3383</v>
      </c>
      <c r="B7276" t="s">
        <v>5952</v>
      </c>
      <c r="C7276" t="s">
        <v>5470</v>
      </c>
      <c r="D7276" t="s">
        <v>4119</v>
      </c>
      <c r="E7276" t="s">
        <v>5756</v>
      </c>
      <c r="F7276" t="s">
        <v>26960</v>
      </c>
      <c r="G7276" t="s">
        <v>19326</v>
      </c>
      <c r="H7276" t="s">
        <v>5474</v>
      </c>
      <c r="I7276" t="s">
        <v>26961</v>
      </c>
      <c r="J7276" t="s">
        <v>5484</v>
      </c>
      <c r="K7276" t="s">
        <v>26958</v>
      </c>
      <c r="L7276" t="s">
        <v>5471</v>
      </c>
      <c r="M7276" t="s">
        <v>5471</v>
      </c>
    </row>
    <row r="7277" spans="1:13" x14ac:dyDescent="0.3">
      <c r="A7277" t="s">
        <v>3383</v>
      </c>
      <c r="B7277" t="s">
        <v>5952</v>
      </c>
      <c r="C7277" t="s">
        <v>5470</v>
      </c>
      <c r="D7277" t="s">
        <v>4119</v>
      </c>
      <c r="E7277" t="s">
        <v>5480</v>
      </c>
      <c r="F7277" t="s">
        <v>26962</v>
      </c>
      <c r="G7277" t="s">
        <v>19326</v>
      </c>
      <c r="H7277" t="s">
        <v>5474</v>
      </c>
      <c r="I7277" t="s">
        <v>26963</v>
      </c>
      <c r="J7277" t="s">
        <v>5484</v>
      </c>
      <c r="K7277" t="s">
        <v>26958</v>
      </c>
      <c r="L7277" t="s">
        <v>5471</v>
      </c>
      <c r="M7277" t="s">
        <v>5471</v>
      </c>
    </row>
    <row r="7278" spans="1:13" x14ac:dyDescent="0.3">
      <c r="A7278" t="s">
        <v>3383</v>
      </c>
      <c r="B7278" t="s">
        <v>6051</v>
      </c>
      <c r="C7278" t="s">
        <v>5470</v>
      </c>
      <c r="D7278" t="s">
        <v>4119</v>
      </c>
      <c r="E7278" t="s">
        <v>5756</v>
      </c>
      <c r="F7278" t="s">
        <v>26964</v>
      </c>
      <c r="G7278" t="s">
        <v>6283</v>
      </c>
      <c r="H7278" t="s">
        <v>5474</v>
      </c>
      <c r="I7278" t="s">
        <v>26965</v>
      </c>
      <c r="J7278" t="s">
        <v>5476</v>
      </c>
      <c r="K7278" t="s">
        <v>2041</v>
      </c>
      <c r="L7278" t="s">
        <v>5471</v>
      </c>
      <c r="M7278" t="s">
        <v>5471</v>
      </c>
    </row>
    <row r="7279" spans="1:13" x14ac:dyDescent="0.3">
      <c r="A7279" t="s">
        <v>3383</v>
      </c>
      <c r="B7279" t="s">
        <v>6051</v>
      </c>
      <c r="C7279" t="s">
        <v>5470</v>
      </c>
      <c r="D7279" t="s">
        <v>4119</v>
      </c>
      <c r="E7279" t="s">
        <v>5756</v>
      </c>
      <c r="F7279" t="s">
        <v>26966</v>
      </c>
      <c r="G7279" t="s">
        <v>6283</v>
      </c>
      <c r="H7279" t="s">
        <v>5474</v>
      </c>
      <c r="I7279" t="s">
        <v>26967</v>
      </c>
      <c r="J7279" t="s">
        <v>5484</v>
      </c>
      <c r="K7279" t="s">
        <v>2041</v>
      </c>
      <c r="L7279" t="s">
        <v>5471</v>
      </c>
      <c r="M7279" t="s">
        <v>5471</v>
      </c>
    </row>
    <row r="7280" spans="1:13" x14ac:dyDescent="0.3">
      <c r="A7280" t="s">
        <v>3383</v>
      </c>
      <c r="B7280" t="s">
        <v>6051</v>
      </c>
      <c r="C7280" t="s">
        <v>5470</v>
      </c>
      <c r="D7280" t="s">
        <v>4119</v>
      </c>
      <c r="E7280" t="s">
        <v>5756</v>
      </c>
      <c r="F7280" t="s">
        <v>26968</v>
      </c>
      <c r="G7280" t="s">
        <v>6283</v>
      </c>
      <c r="H7280" t="s">
        <v>5474</v>
      </c>
      <c r="I7280" t="s">
        <v>26969</v>
      </c>
      <c r="J7280" t="s">
        <v>5484</v>
      </c>
      <c r="K7280" t="s">
        <v>2041</v>
      </c>
      <c r="L7280" t="s">
        <v>5471</v>
      </c>
      <c r="M7280" t="s">
        <v>5471</v>
      </c>
    </row>
    <row r="7281" spans="1:13" x14ac:dyDescent="0.3">
      <c r="A7281" t="s">
        <v>3383</v>
      </c>
      <c r="B7281" t="s">
        <v>6122</v>
      </c>
      <c r="C7281" t="s">
        <v>5470</v>
      </c>
      <c r="D7281" t="s">
        <v>4058</v>
      </c>
      <c r="E7281" t="s">
        <v>5532</v>
      </c>
      <c r="F7281" t="s">
        <v>26970</v>
      </c>
      <c r="G7281" t="s">
        <v>8970</v>
      </c>
      <c r="H7281" t="s">
        <v>5474</v>
      </c>
      <c r="I7281" t="s">
        <v>26971</v>
      </c>
      <c r="J7281" t="s">
        <v>5476</v>
      </c>
      <c r="K7281" t="s">
        <v>26972</v>
      </c>
      <c r="L7281" t="s">
        <v>5471</v>
      </c>
      <c r="M7281" t="s">
        <v>5471</v>
      </c>
    </row>
    <row r="7282" spans="1:13" x14ac:dyDescent="0.3">
      <c r="A7282" t="s">
        <v>3383</v>
      </c>
      <c r="B7282" t="s">
        <v>5952</v>
      </c>
      <c r="C7282" t="s">
        <v>5470</v>
      </c>
      <c r="D7282" t="s">
        <v>4056</v>
      </c>
      <c r="E7282" t="s">
        <v>5756</v>
      </c>
      <c r="F7282" t="s">
        <v>26973</v>
      </c>
      <c r="G7282" t="s">
        <v>6293</v>
      </c>
      <c r="H7282" t="s">
        <v>5474</v>
      </c>
      <c r="I7282" t="s">
        <v>26974</v>
      </c>
      <c r="J7282" t="s">
        <v>5484</v>
      </c>
      <c r="K7282" t="s">
        <v>26975</v>
      </c>
      <c r="L7282" t="s">
        <v>5471</v>
      </c>
      <c r="M7282" t="s">
        <v>5471</v>
      </c>
    </row>
    <row r="7283" spans="1:13" x14ac:dyDescent="0.3">
      <c r="A7283" t="s">
        <v>3383</v>
      </c>
      <c r="B7283" t="s">
        <v>6122</v>
      </c>
      <c r="C7283" t="s">
        <v>5470</v>
      </c>
      <c r="D7283" t="s">
        <v>4058</v>
      </c>
      <c r="E7283" t="s">
        <v>5532</v>
      </c>
      <c r="F7283" t="s">
        <v>26976</v>
      </c>
      <c r="G7283" t="s">
        <v>12004</v>
      </c>
      <c r="H7283" t="s">
        <v>5474</v>
      </c>
      <c r="I7283" t="s">
        <v>26977</v>
      </c>
      <c r="J7283" t="s">
        <v>5476</v>
      </c>
      <c r="K7283" t="s">
        <v>26978</v>
      </c>
      <c r="L7283" t="s">
        <v>5471</v>
      </c>
      <c r="M7283" t="s">
        <v>5471</v>
      </c>
    </row>
    <row r="7284" spans="1:13" x14ac:dyDescent="0.3">
      <c r="A7284" t="s">
        <v>3383</v>
      </c>
      <c r="B7284" t="s">
        <v>5294</v>
      </c>
      <c r="C7284" t="s">
        <v>5470</v>
      </c>
      <c r="D7284" t="s">
        <v>4056</v>
      </c>
      <c r="E7284" t="s">
        <v>5756</v>
      </c>
      <c r="F7284" t="s">
        <v>26979</v>
      </c>
      <c r="G7284" t="s">
        <v>5977</v>
      </c>
      <c r="H7284" t="s">
        <v>5474</v>
      </c>
      <c r="I7284" t="s">
        <v>26980</v>
      </c>
      <c r="J7284" t="s">
        <v>5484</v>
      </c>
      <c r="K7284" t="s">
        <v>26981</v>
      </c>
      <c r="L7284" t="s">
        <v>5471</v>
      </c>
      <c r="M7284" t="s">
        <v>5471</v>
      </c>
    </row>
    <row r="7285" spans="1:13" x14ac:dyDescent="0.3">
      <c r="A7285" t="s">
        <v>3383</v>
      </c>
      <c r="B7285" t="s">
        <v>5320</v>
      </c>
      <c r="C7285" t="s">
        <v>5470</v>
      </c>
      <c r="D7285" t="s">
        <v>4119</v>
      </c>
      <c r="E7285" t="s">
        <v>5532</v>
      </c>
      <c r="F7285" t="s">
        <v>26982</v>
      </c>
      <c r="G7285" t="s">
        <v>26983</v>
      </c>
      <c r="H7285" t="s">
        <v>5474</v>
      </c>
      <c r="I7285" t="s">
        <v>26984</v>
      </c>
      <c r="J7285" t="s">
        <v>5484</v>
      </c>
      <c r="K7285" t="s">
        <v>26985</v>
      </c>
      <c r="L7285" t="s">
        <v>5471</v>
      </c>
      <c r="M7285" t="s">
        <v>5471</v>
      </c>
    </row>
    <row r="7286" spans="1:13" x14ac:dyDescent="0.3">
      <c r="A7286" t="s">
        <v>3383</v>
      </c>
      <c r="B7286" t="s">
        <v>6122</v>
      </c>
      <c r="C7286" t="s">
        <v>5470</v>
      </c>
      <c r="D7286" t="s">
        <v>4058</v>
      </c>
      <c r="E7286" t="s">
        <v>5756</v>
      </c>
      <c r="F7286" t="s">
        <v>26986</v>
      </c>
      <c r="G7286" t="s">
        <v>8970</v>
      </c>
      <c r="H7286" t="s">
        <v>5474</v>
      </c>
      <c r="I7286" t="s">
        <v>26987</v>
      </c>
      <c r="J7286" t="s">
        <v>5476</v>
      </c>
      <c r="K7286" t="s">
        <v>26988</v>
      </c>
      <c r="L7286" t="s">
        <v>5471</v>
      </c>
      <c r="M7286" t="s">
        <v>5471</v>
      </c>
    </row>
    <row r="7287" spans="1:13" x14ac:dyDescent="0.3">
      <c r="A7287" t="s">
        <v>3383</v>
      </c>
      <c r="B7287" t="s">
        <v>5332</v>
      </c>
      <c r="C7287" t="s">
        <v>5470</v>
      </c>
      <c r="D7287" t="s">
        <v>4119</v>
      </c>
      <c r="E7287" t="s">
        <v>5756</v>
      </c>
      <c r="F7287" t="s">
        <v>26989</v>
      </c>
      <c r="G7287" t="s">
        <v>6239</v>
      </c>
      <c r="H7287" t="s">
        <v>5474</v>
      </c>
      <c r="I7287" t="s">
        <v>26990</v>
      </c>
      <c r="J7287" t="s">
        <v>5484</v>
      </c>
      <c r="K7287" t="s">
        <v>5471</v>
      </c>
      <c r="L7287" t="s">
        <v>5471</v>
      </c>
      <c r="M7287" t="s">
        <v>5471</v>
      </c>
    </row>
    <row r="7288" spans="1:13" x14ac:dyDescent="0.3">
      <c r="A7288" t="s">
        <v>3383</v>
      </c>
      <c r="B7288" t="s">
        <v>5332</v>
      </c>
      <c r="C7288" t="s">
        <v>5470</v>
      </c>
      <c r="D7288" t="s">
        <v>4119</v>
      </c>
      <c r="E7288" t="s">
        <v>5756</v>
      </c>
      <c r="F7288" t="s">
        <v>26991</v>
      </c>
      <c r="G7288" t="s">
        <v>6241</v>
      </c>
      <c r="H7288" t="s">
        <v>5474</v>
      </c>
      <c r="I7288" t="s">
        <v>26992</v>
      </c>
      <c r="J7288" t="s">
        <v>5484</v>
      </c>
      <c r="K7288" t="s">
        <v>5471</v>
      </c>
      <c r="L7288" t="s">
        <v>5471</v>
      </c>
      <c r="M7288" t="s">
        <v>5471</v>
      </c>
    </row>
    <row r="7289" spans="1:13" x14ac:dyDescent="0.3">
      <c r="A7289" t="s">
        <v>3383</v>
      </c>
      <c r="B7289" t="s">
        <v>5332</v>
      </c>
      <c r="C7289" t="s">
        <v>5470</v>
      </c>
      <c r="D7289" t="s">
        <v>4119</v>
      </c>
      <c r="E7289" t="s">
        <v>5756</v>
      </c>
      <c r="F7289" t="s">
        <v>26993</v>
      </c>
      <c r="G7289" t="s">
        <v>6595</v>
      </c>
      <c r="H7289" t="s">
        <v>5474</v>
      </c>
      <c r="I7289" t="s">
        <v>26994</v>
      </c>
      <c r="J7289" t="s">
        <v>5484</v>
      </c>
      <c r="K7289" t="s">
        <v>5471</v>
      </c>
      <c r="L7289" t="s">
        <v>5471</v>
      </c>
      <c r="M7289" t="s">
        <v>5471</v>
      </c>
    </row>
    <row r="7290" spans="1:13" x14ac:dyDescent="0.3">
      <c r="A7290" t="s">
        <v>3383</v>
      </c>
      <c r="B7290" t="s">
        <v>6122</v>
      </c>
      <c r="C7290" t="s">
        <v>5470</v>
      </c>
      <c r="D7290" t="s">
        <v>4058</v>
      </c>
      <c r="E7290" t="s">
        <v>5756</v>
      </c>
      <c r="F7290" t="s">
        <v>26995</v>
      </c>
      <c r="G7290" t="s">
        <v>8970</v>
      </c>
      <c r="H7290" t="s">
        <v>5474</v>
      </c>
      <c r="I7290" t="s">
        <v>26996</v>
      </c>
      <c r="J7290" t="s">
        <v>5476</v>
      </c>
      <c r="K7290" t="s">
        <v>26997</v>
      </c>
      <c r="L7290" t="s">
        <v>5471</v>
      </c>
      <c r="M7290" t="s">
        <v>5471</v>
      </c>
    </row>
    <row r="7291" spans="1:13" x14ac:dyDescent="0.3">
      <c r="A7291" t="s">
        <v>3383</v>
      </c>
      <c r="B7291" t="s">
        <v>5332</v>
      </c>
      <c r="C7291" t="s">
        <v>5470</v>
      </c>
      <c r="D7291" t="s">
        <v>4119</v>
      </c>
      <c r="E7291" t="s">
        <v>5756</v>
      </c>
      <c r="F7291" t="s">
        <v>26998</v>
      </c>
      <c r="G7291" t="s">
        <v>11669</v>
      </c>
      <c r="H7291" t="s">
        <v>5474</v>
      </c>
      <c r="I7291" t="s">
        <v>26999</v>
      </c>
      <c r="J7291" t="s">
        <v>5484</v>
      </c>
      <c r="K7291" t="s">
        <v>5471</v>
      </c>
      <c r="L7291" t="s">
        <v>5471</v>
      </c>
      <c r="M7291" t="s">
        <v>5471</v>
      </c>
    </row>
    <row r="7292" spans="1:13" x14ac:dyDescent="0.3">
      <c r="A7292" t="s">
        <v>3383</v>
      </c>
      <c r="B7292" t="s">
        <v>5294</v>
      </c>
      <c r="C7292" t="s">
        <v>5470</v>
      </c>
      <c r="D7292" t="s">
        <v>4119</v>
      </c>
      <c r="E7292" t="s">
        <v>5617</v>
      </c>
      <c r="F7292" t="s">
        <v>27000</v>
      </c>
      <c r="G7292" t="s">
        <v>6337</v>
      </c>
      <c r="H7292" t="s">
        <v>5474</v>
      </c>
      <c r="I7292" t="s">
        <v>27001</v>
      </c>
      <c r="J7292" t="s">
        <v>5484</v>
      </c>
      <c r="K7292" t="s">
        <v>27002</v>
      </c>
      <c r="L7292" t="s">
        <v>5471</v>
      </c>
      <c r="M7292" t="s">
        <v>5471</v>
      </c>
    </row>
    <row r="7293" spans="1:13" x14ac:dyDescent="0.3">
      <c r="A7293" t="s">
        <v>3383</v>
      </c>
      <c r="B7293" t="s">
        <v>5294</v>
      </c>
      <c r="C7293" t="s">
        <v>5470</v>
      </c>
      <c r="D7293" t="s">
        <v>4119</v>
      </c>
      <c r="E7293" t="s">
        <v>5617</v>
      </c>
      <c r="F7293" t="s">
        <v>27003</v>
      </c>
      <c r="G7293" t="s">
        <v>11224</v>
      </c>
      <c r="H7293" t="s">
        <v>5474</v>
      </c>
      <c r="I7293" t="s">
        <v>27004</v>
      </c>
      <c r="J7293" t="s">
        <v>5484</v>
      </c>
      <c r="K7293" t="s">
        <v>27005</v>
      </c>
      <c r="L7293" t="s">
        <v>5471</v>
      </c>
      <c r="M7293" t="s">
        <v>5471</v>
      </c>
    </row>
    <row r="7294" spans="1:13" x14ac:dyDescent="0.3">
      <c r="A7294" t="s">
        <v>3383</v>
      </c>
      <c r="B7294" t="s">
        <v>5294</v>
      </c>
      <c r="C7294" t="s">
        <v>5470</v>
      </c>
      <c r="D7294" t="s">
        <v>4119</v>
      </c>
      <c r="E7294" t="s">
        <v>5617</v>
      </c>
      <c r="F7294" t="s">
        <v>27006</v>
      </c>
      <c r="G7294" t="s">
        <v>11224</v>
      </c>
      <c r="H7294" t="s">
        <v>5474</v>
      </c>
      <c r="I7294" t="s">
        <v>27007</v>
      </c>
      <c r="J7294" t="s">
        <v>5484</v>
      </c>
      <c r="K7294" t="s">
        <v>27008</v>
      </c>
      <c r="L7294" t="s">
        <v>5471</v>
      </c>
      <c r="M7294" t="s">
        <v>5471</v>
      </c>
    </row>
    <row r="7295" spans="1:13" x14ac:dyDescent="0.3">
      <c r="A7295" t="s">
        <v>3383</v>
      </c>
      <c r="B7295" t="s">
        <v>5294</v>
      </c>
      <c r="C7295" t="s">
        <v>5470</v>
      </c>
      <c r="D7295" t="s">
        <v>4119</v>
      </c>
      <c r="E7295" t="s">
        <v>5617</v>
      </c>
      <c r="F7295" t="s">
        <v>27009</v>
      </c>
      <c r="G7295" t="s">
        <v>11224</v>
      </c>
      <c r="H7295" t="s">
        <v>5474</v>
      </c>
      <c r="I7295" t="s">
        <v>27010</v>
      </c>
      <c r="J7295" t="s">
        <v>5484</v>
      </c>
      <c r="K7295" t="s">
        <v>27011</v>
      </c>
      <c r="L7295" t="s">
        <v>5471</v>
      </c>
      <c r="M7295" t="s">
        <v>5471</v>
      </c>
    </row>
    <row r="7296" spans="1:13" x14ac:dyDescent="0.3">
      <c r="A7296" t="s">
        <v>3383</v>
      </c>
      <c r="B7296" t="s">
        <v>5294</v>
      </c>
      <c r="C7296" t="s">
        <v>5470</v>
      </c>
      <c r="D7296" t="s">
        <v>4119</v>
      </c>
      <c r="E7296" t="s">
        <v>5617</v>
      </c>
      <c r="F7296" t="s">
        <v>27012</v>
      </c>
      <c r="G7296" t="s">
        <v>11224</v>
      </c>
      <c r="H7296" t="s">
        <v>5474</v>
      </c>
      <c r="I7296" t="s">
        <v>27013</v>
      </c>
      <c r="J7296" t="s">
        <v>5484</v>
      </c>
      <c r="K7296" t="s">
        <v>27014</v>
      </c>
      <c r="L7296" t="s">
        <v>5471</v>
      </c>
      <c r="M7296" t="s">
        <v>5471</v>
      </c>
    </row>
    <row r="7297" spans="1:13" x14ac:dyDescent="0.3">
      <c r="A7297" t="s">
        <v>3383</v>
      </c>
      <c r="B7297" t="s">
        <v>5294</v>
      </c>
      <c r="C7297" t="s">
        <v>5470</v>
      </c>
      <c r="D7297" t="s">
        <v>4119</v>
      </c>
      <c r="E7297" t="s">
        <v>5617</v>
      </c>
      <c r="F7297" t="s">
        <v>27015</v>
      </c>
      <c r="G7297" t="s">
        <v>11224</v>
      </c>
      <c r="H7297" t="s">
        <v>5474</v>
      </c>
      <c r="I7297" t="s">
        <v>27016</v>
      </c>
      <c r="J7297" t="s">
        <v>5484</v>
      </c>
      <c r="K7297" t="s">
        <v>27017</v>
      </c>
      <c r="L7297" t="s">
        <v>5471</v>
      </c>
      <c r="M7297" t="s">
        <v>5471</v>
      </c>
    </row>
    <row r="7298" spans="1:13" x14ac:dyDescent="0.3">
      <c r="A7298" t="s">
        <v>3383</v>
      </c>
      <c r="B7298" t="s">
        <v>5294</v>
      </c>
      <c r="C7298" t="s">
        <v>5470</v>
      </c>
      <c r="D7298" t="s">
        <v>4119</v>
      </c>
      <c r="E7298" t="s">
        <v>5617</v>
      </c>
      <c r="F7298" t="s">
        <v>27018</v>
      </c>
      <c r="G7298" t="s">
        <v>11224</v>
      </c>
      <c r="H7298" t="s">
        <v>5474</v>
      </c>
      <c r="I7298" t="s">
        <v>27019</v>
      </c>
      <c r="J7298" t="s">
        <v>5484</v>
      </c>
      <c r="K7298" t="s">
        <v>27020</v>
      </c>
      <c r="L7298" t="s">
        <v>5471</v>
      </c>
      <c r="M7298" t="s">
        <v>5471</v>
      </c>
    </row>
    <row r="7299" spans="1:13" x14ac:dyDescent="0.3">
      <c r="A7299" t="s">
        <v>3383</v>
      </c>
      <c r="B7299" t="s">
        <v>5320</v>
      </c>
      <c r="C7299" t="s">
        <v>5470</v>
      </c>
      <c r="D7299" t="s">
        <v>4119</v>
      </c>
      <c r="E7299" t="s">
        <v>5843</v>
      </c>
      <c r="F7299" t="s">
        <v>27021</v>
      </c>
      <c r="G7299" t="s">
        <v>11224</v>
      </c>
      <c r="H7299" t="s">
        <v>5474</v>
      </c>
      <c r="I7299" t="s">
        <v>27022</v>
      </c>
      <c r="J7299" t="s">
        <v>5484</v>
      </c>
      <c r="K7299" t="s">
        <v>27023</v>
      </c>
      <c r="L7299" t="s">
        <v>5471</v>
      </c>
      <c r="M7299" t="s">
        <v>5471</v>
      </c>
    </row>
    <row r="7300" spans="1:13" x14ac:dyDescent="0.3">
      <c r="A7300" t="s">
        <v>3383</v>
      </c>
      <c r="B7300" t="s">
        <v>5324</v>
      </c>
      <c r="C7300" t="s">
        <v>5487</v>
      </c>
      <c r="D7300" t="s">
        <v>4058</v>
      </c>
      <c r="E7300" t="s">
        <v>5532</v>
      </c>
      <c r="F7300" t="s">
        <v>27024</v>
      </c>
      <c r="G7300" t="s">
        <v>15575</v>
      </c>
      <c r="H7300" t="s">
        <v>5474</v>
      </c>
      <c r="I7300" t="s">
        <v>27025</v>
      </c>
      <c r="J7300" t="s">
        <v>5484</v>
      </c>
      <c r="K7300" t="s">
        <v>27026</v>
      </c>
      <c r="L7300" t="s">
        <v>5471</v>
      </c>
      <c r="M7300" t="s">
        <v>5471</v>
      </c>
    </row>
    <row r="7301" spans="1:13" x14ac:dyDescent="0.3">
      <c r="A7301" t="s">
        <v>3383</v>
      </c>
      <c r="B7301" t="s">
        <v>5320</v>
      </c>
      <c r="C7301" t="s">
        <v>5470</v>
      </c>
      <c r="D7301" t="s">
        <v>4119</v>
      </c>
      <c r="E7301" t="s">
        <v>5617</v>
      </c>
      <c r="F7301" t="s">
        <v>27027</v>
      </c>
      <c r="G7301" t="s">
        <v>11224</v>
      </c>
      <c r="H7301" t="s">
        <v>5474</v>
      </c>
      <c r="I7301" t="s">
        <v>27028</v>
      </c>
      <c r="J7301" t="s">
        <v>5484</v>
      </c>
      <c r="K7301" t="s">
        <v>27029</v>
      </c>
      <c r="L7301" t="s">
        <v>5471</v>
      </c>
      <c r="M7301" t="s">
        <v>5471</v>
      </c>
    </row>
    <row r="7302" spans="1:13" x14ac:dyDescent="0.3">
      <c r="A7302" t="s">
        <v>3383</v>
      </c>
      <c r="B7302" t="s">
        <v>5320</v>
      </c>
      <c r="C7302" t="s">
        <v>5470</v>
      </c>
      <c r="D7302" t="s">
        <v>4119</v>
      </c>
      <c r="E7302" t="s">
        <v>5617</v>
      </c>
      <c r="F7302" t="s">
        <v>27030</v>
      </c>
      <c r="G7302" t="s">
        <v>11224</v>
      </c>
      <c r="H7302" t="s">
        <v>5474</v>
      </c>
      <c r="I7302" t="s">
        <v>27031</v>
      </c>
      <c r="J7302" t="s">
        <v>5484</v>
      </c>
      <c r="K7302" t="s">
        <v>27032</v>
      </c>
      <c r="L7302" t="s">
        <v>5471</v>
      </c>
      <c r="M7302" t="s">
        <v>5471</v>
      </c>
    </row>
    <row r="7303" spans="1:13" x14ac:dyDescent="0.3">
      <c r="A7303" t="s">
        <v>3383</v>
      </c>
      <c r="B7303" t="s">
        <v>7444</v>
      </c>
      <c r="C7303" t="s">
        <v>5470</v>
      </c>
      <c r="D7303" t="s">
        <v>4119</v>
      </c>
      <c r="E7303" t="s">
        <v>5843</v>
      </c>
      <c r="F7303" t="s">
        <v>27033</v>
      </c>
      <c r="G7303" t="s">
        <v>11224</v>
      </c>
      <c r="H7303" t="s">
        <v>5474</v>
      </c>
      <c r="I7303" t="s">
        <v>27034</v>
      </c>
      <c r="J7303" t="s">
        <v>5484</v>
      </c>
      <c r="K7303" t="s">
        <v>27035</v>
      </c>
      <c r="L7303" t="s">
        <v>5471</v>
      </c>
      <c r="M7303" t="s">
        <v>5471</v>
      </c>
    </row>
    <row r="7304" spans="1:13" x14ac:dyDescent="0.3">
      <c r="A7304" t="s">
        <v>3383</v>
      </c>
      <c r="B7304" t="s">
        <v>7444</v>
      </c>
      <c r="C7304" t="s">
        <v>5470</v>
      </c>
      <c r="D7304" t="s">
        <v>4119</v>
      </c>
      <c r="E7304" t="s">
        <v>5843</v>
      </c>
      <c r="F7304" t="s">
        <v>27036</v>
      </c>
      <c r="G7304" t="s">
        <v>11224</v>
      </c>
      <c r="H7304" t="s">
        <v>5474</v>
      </c>
      <c r="I7304" t="s">
        <v>27037</v>
      </c>
      <c r="J7304" t="s">
        <v>5484</v>
      </c>
      <c r="K7304" t="s">
        <v>27038</v>
      </c>
      <c r="L7304" t="s">
        <v>5471</v>
      </c>
      <c r="M7304" t="s">
        <v>5471</v>
      </c>
    </row>
    <row r="7305" spans="1:13" x14ac:dyDescent="0.3">
      <c r="A7305" t="s">
        <v>3383</v>
      </c>
      <c r="B7305" t="s">
        <v>7444</v>
      </c>
      <c r="C7305" t="s">
        <v>5470</v>
      </c>
      <c r="D7305" t="s">
        <v>4119</v>
      </c>
      <c r="E7305" t="s">
        <v>5617</v>
      </c>
      <c r="F7305" t="s">
        <v>27039</v>
      </c>
      <c r="G7305" t="s">
        <v>11224</v>
      </c>
      <c r="H7305" t="s">
        <v>5474</v>
      </c>
      <c r="I7305" t="s">
        <v>27040</v>
      </c>
      <c r="J7305" t="s">
        <v>5484</v>
      </c>
      <c r="K7305" t="s">
        <v>27041</v>
      </c>
      <c r="L7305" t="s">
        <v>5471</v>
      </c>
      <c r="M7305" t="s">
        <v>5471</v>
      </c>
    </row>
    <row r="7306" spans="1:13" x14ac:dyDescent="0.3">
      <c r="A7306" t="s">
        <v>3383</v>
      </c>
      <c r="B7306" t="s">
        <v>7444</v>
      </c>
      <c r="C7306" t="s">
        <v>5470</v>
      </c>
      <c r="D7306" t="s">
        <v>4119</v>
      </c>
      <c r="E7306" t="s">
        <v>5617</v>
      </c>
      <c r="F7306" t="s">
        <v>27042</v>
      </c>
      <c r="G7306" t="s">
        <v>11224</v>
      </c>
      <c r="H7306" t="s">
        <v>5474</v>
      </c>
      <c r="I7306" t="s">
        <v>27043</v>
      </c>
      <c r="J7306" t="s">
        <v>5484</v>
      </c>
      <c r="K7306" t="s">
        <v>27044</v>
      </c>
      <c r="L7306" t="s">
        <v>5471</v>
      </c>
      <c r="M7306" t="s">
        <v>5471</v>
      </c>
    </row>
    <row r="7307" spans="1:13" x14ac:dyDescent="0.3">
      <c r="A7307" t="s">
        <v>3383</v>
      </c>
      <c r="B7307" t="s">
        <v>7444</v>
      </c>
      <c r="C7307" t="s">
        <v>5470</v>
      </c>
      <c r="D7307" t="s">
        <v>4119</v>
      </c>
      <c r="E7307" t="s">
        <v>5617</v>
      </c>
      <c r="F7307" t="s">
        <v>27045</v>
      </c>
      <c r="G7307" t="s">
        <v>11224</v>
      </c>
      <c r="H7307" t="s">
        <v>5474</v>
      </c>
      <c r="I7307" t="s">
        <v>27046</v>
      </c>
      <c r="J7307" t="s">
        <v>5484</v>
      </c>
      <c r="K7307" t="s">
        <v>27044</v>
      </c>
      <c r="L7307" t="s">
        <v>5471</v>
      </c>
      <c r="M7307" t="s">
        <v>5471</v>
      </c>
    </row>
    <row r="7308" spans="1:13" x14ac:dyDescent="0.3">
      <c r="A7308" t="s">
        <v>3383</v>
      </c>
      <c r="B7308" t="s">
        <v>7444</v>
      </c>
      <c r="C7308" t="s">
        <v>5470</v>
      </c>
      <c r="D7308" t="s">
        <v>4119</v>
      </c>
      <c r="E7308" t="s">
        <v>5480</v>
      </c>
      <c r="F7308" t="s">
        <v>27047</v>
      </c>
      <c r="G7308" t="s">
        <v>11224</v>
      </c>
      <c r="H7308" t="s">
        <v>5474</v>
      </c>
      <c r="I7308" t="s">
        <v>27048</v>
      </c>
      <c r="J7308" t="s">
        <v>5484</v>
      </c>
      <c r="K7308" t="s">
        <v>27049</v>
      </c>
      <c r="L7308" t="s">
        <v>5471</v>
      </c>
      <c r="M7308" t="s">
        <v>5471</v>
      </c>
    </row>
    <row r="7309" spans="1:13" x14ac:dyDescent="0.3">
      <c r="A7309" t="s">
        <v>3383</v>
      </c>
      <c r="B7309" t="s">
        <v>7444</v>
      </c>
      <c r="C7309" t="s">
        <v>5470</v>
      </c>
      <c r="D7309" t="s">
        <v>4119</v>
      </c>
      <c r="E7309" t="s">
        <v>5480</v>
      </c>
      <c r="F7309" t="s">
        <v>27050</v>
      </c>
      <c r="G7309" t="s">
        <v>11224</v>
      </c>
      <c r="H7309" t="s">
        <v>5474</v>
      </c>
      <c r="I7309" t="s">
        <v>27051</v>
      </c>
      <c r="J7309" t="s">
        <v>5484</v>
      </c>
      <c r="K7309" t="s">
        <v>27052</v>
      </c>
      <c r="L7309" t="s">
        <v>5471</v>
      </c>
      <c r="M7309" t="s">
        <v>5471</v>
      </c>
    </row>
    <row r="7310" spans="1:13" x14ac:dyDescent="0.3">
      <c r="A7310" t="s">
        <v>3383</v>
      </c>
      <c r="B7310" t="s">
        <v>8875</v>
      </c>
      <c r="C7310" t="s">
        <v>5470</v>
      </c>
      <c r="D7310" t="s">
        <v>4119</v>
      </c>
      <c r="E7310" t="s">
        <v>5532</v>
      </c>
      <c r="F7310" t="s">
        <v>27053</v>
      </c>
      <c r="G7310" t="s">
        <v>21465</v>
      </c>
      <c r="H7310" t="s">
        <v>5474</v>
      </c>
      <c r="I7310" t="s">
        <v>27054</v>
      </c>
      <c r="J7310" t="s">
        <v>5484</v>
      </c>
      <c r="K7310" t="s">
        <v>27055</v>
      </c>
      <c r="L7310" t="s">
        <v>5471</v>
      </c>
      <c r="M7310" t="s">
        <v>5471</v>
      </c>
    </row>
    <row r="7311" spans="1:13" x14ac:dyDescent="0.3">
      <c r="A7311" t="s">
        <v>3383</v>
      </c>
      <c r="B7311" t="s">
        <v>5332</v>
      </c>
      <c r="C7311" t="s">
        <v>5470</v>
      </c>
      <c r="D7311" t="s">
        <v>4119</v>
      </c>
      <c r="E7311" t="s">
        <v>5756</v>
      </c>
      <c r="F7311" t="s">
        <v>27056</v>
      </c>
      <c r="G7311" t="s">
        <v>11513</v>
      </c>
      <c r="H7311" t="s">
        <v>5474</v>
      </c>
      <c r="I7311" t="s">
        <v>27057</v>
      </c>
      <c r="J7311" t="s">
        <v>5484</v>
      </c>
      <c r="K7311" t="s">
        <v>27058</v>
      </c>
      <c r="L7311" t="s">
        <v>5471</v>
      </c>
      <c r="M7311" t="s">
        <v>5471</v>
      </c>
    </row>
    <row r="7312" spans="1:13" x14ac:dyDescent="0.3">
      <c r="A7312" t="s">
        <v>3383</v>
      </c>
      <c r="B7312" t="s">
        <v>5952</v>
      </c>
      <c r="C7312" t="s">
        <v>5470</v>
      </c>
      <c r="D7312" t="s">
        <v>4119</v>
      </c>
      <c r="E7312" t="s">
        <v>5532</v>
      </c>
      <c r="F7312" t="s">
        <v>27059</v>
      </c>
      <c r="G7312" t="s">
        <v>19326</v>
      </c>
      <c r="H7312" t="s">
        <v>5474</v>
      </c>
      <c r="I7312" t="s">
        <v>27060</v>
      </c>
      <c r="J7312" t="s">
        <v>5484</v>
      </c>
      <c r="K7312" t="s">
        <v>26958</v>
      </c>
      <c r="L7312" t="s">
        <v>5471</v>
      </c>
      <c r="M7312" t="s">
        <v>5471</v>
      </c>
    </row>
    <row r="7313" spans="1:13" x14ac:dyDescent="0.3">
      <c r="A7313" t="s">
        <v>3383</v>
      </c>
      <c r="B7313" t="s">
        <v>5952</v>
      </c>
      <c r="C7313" t="s">
        <v>5470</v>
      </c>
      <c r="D7313" t="s">
        <v>4119</v>
      </c>
      <c r="E7313" t="s">
        <v>5532</v>
      </c>
      <c r="F7313" t="s">
        <v>27061</v>
      </c>
      <c r="G7313" t="s">
        <v>19326</v>
      </c>
      <c r="H7313" t="s">
        <v>5474</v>
      </c>
      <c r="I7313" t="s">
        <v>27062</v>
      </c>
      <c r="J7313" t="s">
        <v>5484</v>
      </c>
      <c r="K7313" t="s">
        <v>26958</v>
      </c>
      <c r="L7313" t="s">
        <v>5471</v>
      </c>
      <c r="M7313" t="s">
        <v>5471</v>
      </c>
    </row>
    <row r="7314" spans="1:13" x14ac:dyDescent="0.3">
      <c r="A7314" t="s">
        <v>3383</v>
      </c>
      <c r="B7314" t="s">
        <v>5805</v>
      </c>
      <c r="C7314" t="s">
        <v>5470</v>
      </c>
      <c r="D7314" t="s">
        <v>4119</v>
      </c>
      <c r="E7314" t="s">
        <v>5532</v>
      </c>
      <c r="F7314" t="s">
        <v>27063</v>
      </c>
      <c r="G7314" t="s">
        <v>27064</v>
      </c>
      <c r="H7314" t="s">
        <v>5474</v>
      </c>
      <c r="I7314" t="s">
        <v>27065</v>
      </c>
      <c r="J7314" t="s">
        <v>5484</v>
      </c>
      <c r="K7314" t="s">
        <v>27066</v>
      </c>
      <c r="L7314" t="s">
        <v>5471</v>
      </c>
      <c r="M7314" t="s">
        <v>5471</v>
      </c>
    </row>
    <row r="7315" spans="1:13" x14ac:dyDescent="0.3">
      <c r="A7315" t="s">
        <v>3383</v>
      </c>
      <c r="B7315" t="s">
        <v>5805</v>
      </c>
      <c r="C7315" t="s">
        <v>5470</v>
      </c>
      <c r="D7315" t="s">
        <v>4119</v>
      </c>
      <c r="E7315" t="s">
        <v>5532</v>
      </c>
      <c r="F7315" t="s">
        <v>27067</v>
      </c>
      <c r="G7315" t="s">
        <v>27064</v>
      </c>
      <c r="H7315" t="s">
        <v>5474</v>
      </c>
      <c r="I7315" t="s">
        <v>27068</v>
      </c>
      <c r="J7315" t="s">
        <v>5484</v>
      </c>
      <c r="K7315" t="s">
        <v>27066</v>
      </c>
      <c r="L7315" t="s">
        <v>5471</v>
      </c>
      <c r="M7315" t="s">
        <v>5471</v>
      </c>
    </row>
    <row r="7316" spans="1:13" x14ac:dyDescent="0.3">
      <c r="A7316" t="s">
        <v>3383</v>
      </c>
      <c r="B7316" t="s">
        <v>5332</v>
      </c>
      <c r="C7316" t="s">
        <v>5470</v>
      </c>
      <c r="D7316" t="s">
        <v>4119</v>
      </c>
      <c r="E7316" t="s">
        <v>5532</v>
      </c>
      <c r="F7316" t="s">
        <v>27069</v>
      </c>
      <c r="G7316" t="s">
        <v>11513</v>
      </c>
      <c r="H7316" t="s">
        <v>5474</v>
      </c>
      <c r="I7316" t="s">
        <v>27070</v>
      </c>
      <c r="J7316" t="s">
        <v>5484</v>
      </c>
      <c r="K7316" t="s">
        <v>27071</v>
      </c>
      <c r="L7316" t="s">
        <v>5471</v>
      </c>
      <c r="M7316" t="s">
        <v>5471</v>
      </c>
    </row>
    <row r="7317" spans="1:13" x14ac:dyDescent="0.3">
      <c r="A7317" t="s">
        <v>3383</v>
      </c>
      <c r="B7317" t="s">
        <v>5320</v>
      </c>
      <c r="C7317" t="s">
        <v>5470</v>
      </c>
      <c r="D7317" t="s">
        <v>4119</v>
      </c>
      <c r="E7317" t="s">
        <v>5843</v>
      </c>
      <c r="F7317" t="s">
        <v>27072</v>
      </c>
      <c r="G7317" t="s">
        <v>26983</v>
      </c>
      <c r="H7317" t="s">
        <v>5474</v>
      </c>
      <c r="I7317" t="s">
        <v>27073</v>
      </c>
      <c r="J7317" t="s">
        <v>5484</v>
      </c>
      <c r="K7317" t="s">
        <v>26985</v>
      </c>
      <c r="L7317" t="s">
        <v>5471</v>
      </c>
      <c r="M7317" t="s">
        <v>5471</v>
      </c>
    </row>
    <row r="7318" spans="1:13" x14ac:dyDescent="0.3">
      <c r="A7318" t="s">
        <v>3383</v>
      </c>
      <c r="B7318" t="s">
        <v>5320</v>
      </c>
      <c r="C7318" t="s">
        <v>5470</v>
      </c>
      <c r="D7318" t="s">
        <v>4119</v>
      </c>
      <c r="E7318" t="s">
        <v>5532</v>
      </c>
      <c r="F7318" t="s">
        <v>27074</v>
      </c>
      <c r="G7318" t="s">
        <v>26983</v>
      </c>
      <c r="H7318" t="s">
        <v>5474</v>
      </c>
      <c r="I7318" t="s">
        <v>27075</v>
      </c>
      <c r="J7318" t="s">
        <v>5484</v>
      </c>
      <c r="K7318" t="s">
        <v>26985</v>
      </c>
      <c r="L7318" t="s">
        <v>5471</v>
      </c>
      <c r="M7318" t="s">
        <v>5471</v>
      </c>
    </row>
    <row r="7319" spans="1:13" x14ac:dyDescent="0.3">
      <c r="A7319" t="s">
        <v>3383</v>
      </c>
      <c r="B7319" t="s">
        <v>5320</v>
      </c>
      <c r="C7319" t="s">
        <v>5470</v>
      </c>
      <c r="D7319" t="s">
        <v>4119</v>
      </c>
      <c r="E7319" t="s">
        <v>5532</v>
      </c>
      <c r="F7319" t="s">
        <v>27076</v>
      </c>
      <c r="G7319" t="s">
        <v>26983</v>
      </c>
      <c r="H7319" t="s">
        <v>5474</v>
      </c>
      <c r="I7319" t="s">
        <v>27077</v>
      </c>
      <c r="J7319" t="s">
        <v>5484</v>
      </c>
      <c r="K7319" t="s">
        <v>26985</v>
      </c>
      <c r="L7319" t="s">
        <v>5471</v>
      </c>
      <c r="M7319" t="s">
        <v>5471</v>
      </c>
    </row>
    <row r="7320" spans="1:13" x14ac:dyDescent="0.3">
      <c r="A7320" t="s">
        <v>3383</v>
      </c>
      <c r="B7320" t="s">
        <v>5330</v>
      </c>
      <c r="C7320" t="s">
        <v>5470</v>
      </c>
      <c r="D7320" t="s">
        <v>4119</v>
      </c>
      <c r="E7320" t="s">
        <v>5532</v>
      </c>
      <c r="F7320" t="s">
        <v>27078</v>
      </c>
      <c r="G7320" t="s">
        <v>27079</v>
      </c>
      <c r="H7320" t="s">
        <v>5474</v>
      </c>
      <c r="I7320" t="s">
        <v>27080</v>
      </c>
      <c r="J7320" t="s">
        <v>5484</v>
      </c>
      <c r="K7320" t="s">
        <v>27081</v>
      </c>
      <c r="L7320" t="s">
        <v>5471</v>
      </c>
      <c r="M7320" t="s">
        <v>5471</v>
      </c>
    </row>
    <row r="7321" spans="1:13" x14ac:dyDescent="0.3">
      <c r="A7321" t="s">
        <v>3383</v>
      </c>
      <c r="B7321" t="s">
        <v>5330</v>
      </c>
      <c r="C7321" t="s">
        <v>5470</v>
      </c>
      <c r="D7321" t="s">
        <v>4119</v>
      </c>
      <c r="E7321" t="s">
        <v>5532</v>
      </c>
      <c r="F7321" t="s">
        <v>27082</v>
      </c>
      <c r="G7321" t="s">
        <v>27079</v>
      </c>
      <c r="H7321" t="s">
        <v>5474</v>
      </c>
      <c r="I7321" t="s">
        <v>27083</v>
      </c>
      <c r="J7321" t="s">
        <v>5484</v>
      </c>
      <c r="K7321" t="s">
        <v>27081</v>
      </c>
      <c r="L7321" t="s">
        <v>5471</v>
      </c>
      <c r="M7321" t="s">
        <v>5471</v>
      </c>
    </row>
    <row r="7322" spans="1:13" x14ac:dyDescent="0.3">
      <c r="A7322" t="s">
        <v>3383</v>
      </c>
      <c r="B7322" t="s">
        <v>5330</v>
      </c>
      <c r="C7322" t="s">
        <v>5470</v>
      </c>
      <c r="D7322" t="s">
        <v>4119</v>
      </c>
      <c r="E7322" t="s">
        <v>5532</v>
      </c>
      <c r="F7322" t="s">
        <v>27084</v>
      </c>
      <c r="G7322" t="s">
        <v>27079</v>
      </c>
      <c r="H7322" t="s">
        <v>5474</v>
      </c>
      <c r="I7322" t="s">
        <v>27085</v>
      </c>
      <c r="J7322" t="s">
        <v>5484</v>
      </c>
      <c r="K7322" t="s">
        <v>27081</v>
      </c>
      <c r="L7322" t="s">
        <v>5471</v>
      </c>
      <c r="M7322" t="s">
        <v>5471</v>
      </c>
    </row>
    <row r="7323" spans="1:13" x14ac:dyDescent="0.3">
      <c r="A7323" t="s">
        <v>3383</v>
      </c>
      <c r="B7323" t="s">
        <v>5332</v>
      </c>
      <c r="C7323" t="s">
        <v>5470</v>
      </c>
      <c r="D7323" t="s">
        <v>4119</v>
      </c>
      <c r="E7323" t="s">
        <v>5756</v>
      </c>
      <c r="F7323" t="s">
        <v>27086</v>
      </c>
      <c r="G7323" t="s">
        <v>11513</v>
      </c>
      <c r="H7323" t="s">
        <v>5474</v>
      </c>
      <c r="I7323" t="s">
        <v>27087</v>
      </c>
      <c r="J7323" t="s">
        <v>5484</v>
      </c>
      <c r="K7323" t="s">
        <v>27058</v>
      </c>
      <c r="L7323" t="s">
        <v>5471</v>
      </c>
      <c r="M7323" t="s">
        <v>5471</v>
      </c>
    </row>
    <row r="7324" spans="1:13" x14ac:dyDescent="0.3">
      <c r="A7324" t="s">
        <v>3383</v>
      </c>
      <c r="B7324" t="s">
        <v>5332</v>
      </c>
      <c r="C7324" t="s">
        <v>5470</v>
      </c>
      <c r="D7324" t="s">
        <v>4119</v>
      </c>
      <c r="E7324" t="s">
        <v>5756</v>
      </c>
      <c r="F7324" t="s">
        <v>27088</v>
      </c>
      <c r="G7324" t="s">
        <v>11513</v>
      </c>
      <c r="H7324" t="s">
        <v>5474</v>
      </c>
      <c r="I7324" t="s">
        <v>27089</v>
      </c>
      <c r="J7324" t="s">
        <v>5484</v>
      </c>
      <c r="K7324" t="s">
        <v>27058</v>
      </c>
      <c r="L7324" t="s">
        <v>5471</v>
      </c>
      <c r="M7324" t="s">
        <v>5471</v>
      </c>
    </row>
    <row r="7325" spans="1:13" x14ac:dyDescent="0.3">
      <c r="A7325" t="s">
        <v>3383</v>
      </c>
      <c r="B7325" t="s">
        <v>6051</v>
      </c>
      <c r="C7325" t="s">
        <v>5470</v>
      </c>
      <c r="D7325" t="s">
        <v>4052</v>
      </c>
      <c r="E7325" t="s">
        <v>5756</v>
      </c>
      <c r="F7325" t="s">
        <v>27090</v>
      </c>
      <c r="G7325" t="s">
        <v>7487</v>
      </c>
      <c r="H7325" t="s">
        <v>5474</v>
      </c>
      <c r="I7325" t="s">
        <v>27091</v>
      </c>
      <c r="J7325" t="s">
        <v>5484</v>
      </c>
      <c r="K7325" t="s">
        <v>27092</v>
      </c>
      <c r="L7325" t="s">
        <v>5471</v>
      </c>
      <c r="M7325" t="s">
        <v>5471</v>
      </c>
    </row>
    <row r="7326" spans="1:13" x14ac:dyDescent="0.3">
      <c r="A7326" t="s">
        <v>3383</v>
      </c>
      <c r="B7326" t="s">
        <v>6051</v>
      </c>
      <c r="C7326" t="s">
        <v>5470</v>
      </c>
      <c r="D7326" t="s">
        <v>4052</v>
      </c>
      <c r="E7326" t="s">
        <v>5756</v>
      </c>
      <c r="F7326" t="s">
        <v>27093</v>
      </c>
      <c r="G7326" t="s">
        <v>7487</v>
      </c>
      <c r="H7326" t="s">
        <v>5474</v>
      </c>
      <c r="I7326" t="s">
        <v>27094</v>
      </c>
      <c r="J7326" t="s">
        <v>5484</v>
      </c>
      <c r="K7326" t="s">
        <v>27095</v>
      </c>
      <c r="L7326" t="s">
        <v>5471</v>
      </c>
      <c r="M7326" t="s">
        <v>5471</v>
      </c>
    </row>
    <row r="7327" spans="1:13" x14ac:dyDescent="0.3">
      <c r="A7327" t="s">
        <v>3383</v>
      </c>
      <c r="B7327" t="s">
        <v>5332</v>
      </c>
      <c r="C7327" t="s">
        <v>5470</v>
      </c>
      <c r="D7327" t="s">
        <v>4119</v>
      </c>
      <c r="E7327" t="s">
        <v>5756</v>
      </c>
      <c r="F7327" t="s">
        <v>27096</v>
      </c>
      <c r="G7327" t="s">
        <v>6239</v>
      </c>
      <c r="H7327" t="s">
        <v>5474</v>
      </c>
      <c r="I7327" t="s">
        <v>27097</v>
      </c>
      <c r="J7327" t="s">
        <v>5476</v>
      </c>
      <c r="K7327" t="s">
        <v>26937</v>
      </c>
      <c r="L7327" t="s">
        <v>5471</v>
      </c>
      <c r="M7327" t="s">
        <v>5471</v>
      </c>
    </row>
    <row r="7328" spans="1:13" x14ac:dyDescent="0.3">
      <c r="A7328" t="s">
        <v>3383</v>
      </c>
      <c r="B7328" t="s">
        <v>6122</v>
      </c>
      <c r="C7328" t="s">
        <v>5470</v>
      </c>
      <c r="D7328" t="s">
        <v>4119</v>
      </c>
      <c r="E7328" t="s">
        <v>5756</v>
      </c>
      <c r="F7328" t="s">
        <v>27098</v>
      </c>
      <c r="G7328" t="s">
        <v>8524</v>
      </c>
      <c r="H7328" t="s">
        <v>5474</v>
      </c>
      <c r="I7328" t="s">
        <v>27099</v>
      </c>
      <c r="J7328" t="s">
        <v>5484</v>
      </c>
      <c r="K7328" t="s">
        <v>27100</v>
      </c>
      <c r="L7328" t="s">
        <v>5471</v>
      </c>
      <c r="M7328" t="s">
        <v>5471</v>
      </c>
    </row>
    <row r="7329" spans="1:13" x14ac:dyDescent="0.3">
      <c r="A7329" t="s">
        <v>3380</v>
      </c>
      <c r="B7329" t="s">
        <v>9934</v>
      </c>
      <c r="C7329" t="s">
        <v>6342</v>
      </c>
      <c r="D7329" t="s">
        <v>4119</v>
      </c>
      <c r="E7329" t="s">
        <v>9935</v>
      </c>
      <c r="F7329" t="s">
        <v>27101</v>
      </c>
      <c r="G7329" t="s">
        <v>10930</v>
      </c>
      <c r="H7329" t="s">
        <v>5474</v>
      </c>
      <c r="I7329" t="s">
        <v>27102</v>
      </c>
      <c r="J7329" t="s">
        <v>5476</v>
      </c>
      <c r="K7329" t="s">
        <v>18301</v>
      </c>
      <c r="L7329" t="s">
        <v>5471</v>
      </c>
      <c r="M7329" t="s">
        <v>5471</v>
      </c>
    </row>
    <row r="7330" spans="1:13" x14ac:dyDescent="0.3">
      <c r="A7330" t="s">
        <v>3383</v>
      </c>
      <c r="B7330" t="s">
        <v>5324</v>
      </c>
      <c r="C7330" t="s">
        <v>5487</v>
      </c>
      <c r="D7330" t="s">
        <v>4052</v>
      </c>
      <c r="E7330" t="s">
        <v>5532</v>
      </c>
      <c r="F7330" t="s">
        <v>27103</v>
      </c>
      <c r="G7330" t="s">
        <v>15385</v>
      </c>
      <c r="H7330" t="s">
        <v>5474</v>
      </c>
      <c r="I7330" t="s">
        <v>27104</v>
      </c>
      <c r="J7330" t="s">
        <v>5476</v>
      </c>
      <c r="K7330" t="s">
        <v>27105</v>
      </c>
      <c r="L7330" t="s">
        <v>5471</v>
      </c>
      <c r="M7330" t="s">
        <v>5471</v>
      </c>
    </row>
    <row r="7331" spans="1:13" x14ac:dyDescent="0.3">
      <c r="A7331" t="s">
        <v>3383</v>
      </c>
      <c r="B7331" t="s">
        <v>7461</v>
      </c>
      <c r="C7331" t="s">
        <v>5470</v>
      </c>
      <c r="D7331" t="s">
        <v>4119</v>
      </c>
      <c r="E7331" t="s">
        <v>5480</v>
      </c>
      <c r="F7331" t="s">
        <v>27106</v>
      </c>
      <c r="G7331" t="s">
        <v>27107</v>
      </c>
      <c r="H7331" t="s">
        <v>5474</v>
      </c>
      <c r="I7331" t="s">
        <v>27108</v>
      </c>
      <c r="J7331" t="s">
        <v>5476</v>
      </c>
      <c r="K7331" t="s">
        <v>5471</v>
      </c>
      <c r="L7331" t="s">
        <v>5471</v>
      </c>
      <c r="M7331" t="s">
        <v>5471</v>
      </c>
    </row>
    <row r="7332" spans="1:13" x14ac:dyDescent="0.3">
      <c r="A7332" t="s">
        <v>3383</v>
      </c>
      <c r="B7332" t="s">
        <v>5324</v>
      </c>
      <c r="C7332" t="s">
        <v>5487</v>
      </c>
      <c r="D7332" t="s">
        <v>4119</v>
      </c>
      <c r="E7332" t="s">
        <v>5480</v>
      </c>
      <c r="F7332" t="s">
        <v>27109</v>
      </c>
      <c r="G7332" t="s">
        <v>9960</v>
      </c>
      <c r="H7332" t="s">
        <v>5474</v>
      </c>
      <c r="I7332" t="s">
        <v>27110</v>
      </c>
      <c r="J7332" t="s">
        <v>5476</v>
      </c>
      <c r="K7332" t="s">
        <v>27111</v>
      </c>
      <c r="L7332" t="s">
        <v>5471</v>
      </c>
      <c r="M7332" t="s">
        <v>5471</v>
      </c>
    </row>
    <row r="7333" spans="1:13" x14ac:dyDescent="0.3">
      <c r="A7333" t="s">
        <v>3383</v>
      </c>
      <c r="B7333" t="s">
        <v>7461</v>
      </c>
      <c r="C7333" t="s">
        <v>5470</v>
      </c>
      <c r="D7333" t="s">
        <v>4119</v>
      </c>
      <c r="E7333" t="s">
        <v>5480</v>
      </c>
      <c r="F7333" t="s">
        <v>27112</v>
      </c>
      <c r="G7333" t="s">
        <v>27113</v>
      </c>
      <c r="H7333" t="s">
        <v>5474</v>
      </c>
      <c r="I7333" t="s">
        <v>27114</v>
      </c>
      <c r="J7333" t="s">
        <v>5476</v>
      </c>
      <c r="K7333" t="s">
        <v>5471</v>
      </c>
      <c r="L7333" t="s">
        <v>5471</v>
      </c>
      <c r="M7333" t="s">
        <v>5471</v>
      </c>
    </row>
    <row r="7334" spans="1:13" x14ac:dyDescent="0.3">
      <c r="A7334" t="s">
        <v>3383</v>
      </c>
      <c r="B7334" t="s">
        <v>6051</v>
      </c>
      <c r="C7334" t="s">
        <v>5470</v>
      </c>
      <c r="D7334" t="s">
        <v>4056</v>
      </c>
      <c r="E7334" t="s">
        <v>5532</v>
      </c>
      <c r="F7334" t="s">
        <v>27115</v>
      </c>
      <c r="G7334" t="s">
        <v>8815</v>
      </c>
      <c r="H7334" t="s">
        <v>5474</v>
      </c>
      <c r="I7334" t="s">
        <v>27116</v>
      </c>
      <c r="J7334" t="s">
        <v>5476</v>
      </c>
      <c r="K7334" t="s">
        <v>27117</v>
      </c>
      <c r="L7334" t="s">
        <v>5471</v>
      </c>
      <c r="M7334" t="s">
        <v>5471</v>
      </c>
    </row>
    <row r="7335" spans="1:13" x14ac:dyDescent="0.3">
      <c r="A7335" t="s">
        <v>3383</v>
      </c>
      <c r="B7335" t="s">
        <v>12112</v>
      </c>
      <c r="C7335" t="s">
        <v>5470</v>
      </c>
      <c r="D7335" t="s">
        <v>4052</v>
      </c>
      <c r="E7335" t="s">
        <v>5617</v>
      </c>
      <c r="F7335" t="s">
        <v>27118</v>
      </c>
      <c r="G7335" t="s">
        <v>12069</v>
      </c>
      <c r="H7335" t="s">
        <v>5474</v>
      </c>
      <c r="I7335" t="s">
        <v>27119</v>
      </c>
      <c r="J7335" t="s">
        <v>5484</v>
      </c>
      <c r="K7335" t="s">
        <v>27120</v>
      </c>
      <c r="L7335" t="s">
        <v>5471</v>
      </c>
      <c r="M7335" t="s">
        <v>5471</v>
      </c>
    </row>
    <row r="7336" spans="1:13" x14ac:dyDescent="0.3">
      <c r="A7336" t="s">
        <v>3383</v>
      </c>
      <c r="B7336" t="s">
        <v>6051</v>
      </c>
      <c r="C7336" t="s">
        <v>5470</v>
      </c>
      <c r="D7336" t="s">
        <v>4056</v>
      </c>
      <c r="E7336" t="s">
        <v>5532</v>
      </c>
      <c r="F7336" t="s">
        <v>27121</v>
      </c>
      <c r="G7336" t="s">
        <v>8815</v>
      </c>
      <c r="H7336" t="s">
        <v>5474</v>
      </c>
      <c r="I7336" t="s">
        <v>27122</v>
      </c>
      <c r="J7336" t="s">
        <v>5476</v>
      </c>
      <c r="K7336" t="s">
        <v>27123</v>
      </c>
      <c r="L7336" t="s">
        <v>5471</v>
      </c>
      <c r="M7336" t="s">
        <v>5471</v>
      </c>
    </row>
    <row r="7337" spans="1:13" x14ac:dyDescent="0.3">
      <c r="A7337" t="s">
        <v>3383</v>
      </c>
      <c r="B7337" t="s">
        <v>7461</v>
      </c>
      <c r="C7337" t="s">
        <v>5470</v>
      </c>
      <c r="D7337" t="s">
        <v>4119</v>
      </c>
      <c r="E7337" t="s">
        <v>5480</v>
      </c>
      <c r="F7337" t="s">
        <v>27124</v>
      </c>
      <c r="G7337" t="s">
        <v>27125</v>
      </c>
      <c r="H7337" t="s">
        <v>5474</v>
      </c>
      <c r="I7337" t="s">
        <v>27126</v>
      </c>
      <c r="J7337" t="s">
        <v>5476</v>
      </c>
      <c r="K7337" t="s">
        <v>5471</v>
      </c>
      <c r="L7337" t="s">
        <v>5471</v>
      </c>
      <c r="M7337" t="s">
        <v>5471</v>
      </c>
    </row>
    <row r="7338" spans="1:13" x14ac:dyDescent="0.3">
      <c r="A7338" t="s">
        <v>3383</v>
      </c>
      <c r="B7338" t="s">
        <v>6051</v>
      </c>
      <c r="C7338" t="s">
        <v>5470</v>
      </c>
      <c r="D7338" t="s">
        <v>4056</v>
      </c>
      <c r="E7338" t="s">
        <v>5532</v>
      </c>
      <c r="F7338" t="s">
        <v>27127</v>
      </c>
      <c r="G7338" t="s">
        <v>8815</v>
      </c>
      <c r="H7338" t="s">
        <v>5474</v>
      </c>
      <c r="I7338" t="s">
        <v>27128</v>
      </c>
      <c r="J7338" t="s">
        <v>5476</v>
      </c>
      <c r="K7338" t="s">
        <v>27129</v>
      </c>
      <c r="L7338" t="s">
        <v>5471</v>
      </c>
      <c r="M7338" t="s">
        <v>5471</v>
      </c>
    </row>
    <row r="7339" spans="1:13" x14ac:dyDescent="0.3">
      <c r="A7339" t="s">
        <v>3383</v>
      </c>
      <c r="B7339" t="s">
        <v>5294</v>
      </c>
      <c r="C7339" t="s">
        <v>5470</v>
      </c>
      <c r="D7339" t="s">
        <v>10218</v>
      </c>
      <c r="E7339" t="s">
        <v>5532</v>
      </c>
      <c r="F7339" t="s">
        <v>27130</v>
      </c>
      <c r="G7339" t="s">
        <v>6407</v>
      </c>
      <c r="H7339" t="s">
        <v>5474</v>
      </c>
      <c r="I7339" t="s">
        <v>27131</v>
      </c>
      <c r="J7339" t="s">
        <v>5484</v>
      </c>
      <c r="K7339" t="s">
        <v>27132</v>
      </c>
      <c r="L7339" t="s">
        <v>5471</v>
      </c>
      <c r="M7339" t="s">
        <v>5471</v>
      </c>
    </row>
    <row r="7340" spans="1:13" x14ac:dyDescent="0.3">
      <c r="A7340" t="s">
        <v>3383</v>
      </c>
      <c r="B7340" t="s">
        <v>7461</v>
      </c>
      <c r="C7340" t="s">
        <v>5470</v>
      </c>
      <c r="D7340" t="s">
        <v>4119</v>
      </c>
      <c r="E7340" t="s">
        <v>5480</v>
      </c>
      <c r="F7340" t="s">
        <v>27133</v>
      </c>
      <c r="G7340" t="s">
        <v>27134</v>
      </c>
      <c r="H7340" t="s">
        <v>5474</v>
      </c>
      <c r="I7340" t="s">
        <v>27135</v>
      </c>
      <c r="J7340" t="s">
        <v>5476</v>
      </c>
      <c r="K7340" t="s">
        <v>5471</v>
      </c>
      <c r="L7340" t="s">
        <v>5471</v>
      </c>
      <c r="M7340" t="s">
        <v>5471</v>
      </c>
    </row>
    <row r="7341" spans="1:13" x14ac:dyDescent="0.3">
      <c r="A7341" t="s">
        <v>3383</v>
      </c>
      <c r="B7341" t="s">
        <v>5952</v>
      </c>
      <c r="C7341" t="s">
        <v>5470</v>
      </c>
      <c r="D7341" t="s">
        <v>4052</v>
      </c>
      <c r="E7341" t="s">
        <v>5617</v>
      </c>
      <c r="F7341" t="s">
        <v>27136</v>
      </c>
      <c r="G7341" t="s">
        <v>12069</v>
      </c>
      <c r="H7341" t="s">
        <v>5474</v>
      </c>
      <c r="I7341" t="s">
        <v>27137</v>
      </c>
      <c r="J7341" t="s">
        <v>5484</v>
      </c>
      <c r="K7341" t="s">
        <v>27138</v>
      </c>
      <c r="L7341" t="s">
        <v>5471</v>
      </c>
      <c r="M7341" t="s">
        <v>5471</v>
      </c>
    </row>
    <row r="7342" spans="1:13" x14ac:dyDescent="0.3">
      <c r="A7342" t="s">
        <v>3383</v>
      </c>
      <c r="B7342" t="s">
        <v>7461</v>
      </c>
      <c r="C7342" t="s">
        <v>5470</v>
      </c>
      <c r="D7342" t="s">
        <v>4119</v>
      </c>
      <c r="E7342" t="s">
        <v>5480</v>
      </c>
      <c r="F7342" t="s">
        <v>27139</v>
      </c>
      <c r="G7342" t="s">
        <v>27140</v>
      </c>
      <c r="H7342" t="s">
        <v>5474</v>
      </c>
      <c r="I7342" t="s">
        <v>27141</v>
      </c>
      <c r="J7342" t="s">
        <v>5476</v>
      </c>
      <c r="K7342" t="s">
        <v>5471</v>
      </c>
      <c r="L7342" t="s">
        <v>5471</v>
      </c>
      <c r="M7342" t="s">
        <v>5471</v>
      </c>
    </row>
    <row r="7343" spans="1:13" x14ac:dyDescent="0.3">
      <c r="A7343" t="s">
        <v>3383</v>
      </c>
      <c r="B7343" t="s">
        <v>5952</v>
      </c>
      <c r="C7343" t="s">
        <v>5470</v>
      </c>
      <c r="D7343" t="s">
        <v>4052</v>
      </c>
      <c r="E7343" t="s">
        <v>5617</v>
      </c>
      <c r="F7343" t="s">
        <v>27142</v>
      </c>
      <c r="G7343" t="s">
        <v>12069</v>
      </c>
      <c r="H7343" t="s">
        <v>5474</v>
      </c>
      <c r="I7343" t="s">
        <v>27143</v>
      </c>
      <c r="J7343" t="s">
        <v>5484</v>
      </c>
      <c r="K7343" t="s">
        <v>27144</v>
      </c>
      <c r="L7343" t="s">
        <v>5471</v>
      </c>
      <c r="M7343" t="s">
        <v>5471</v>
      </c>
    </row>
    <row r="7344" spans="1:13" x14ac:dyDescent="0.3">
      <c r="A7344" t="s">
        <v>3383</v>
      </c>
      <c r="B7344" t="s">
        <v>7461</v>
      </c>
      <c r="C7344" t="s">
        <v>5470</v>
      </c>
      <c r="D7344" t="s">
        <v>4119</v>
      </c>
      <c r="E7344" t="s">
        <v>5480</v>
      </c>
      <c r="F7344" t="s">
        <v>27145</v>
      </c>
      <c r="G7344" t="s">
        <v>27146</v>
      </c>
      <c r="H7344" t="s">
        <v>5474</v>
      </c>
      <c r="I7344" t="s">
        <v>27147</v>
      </c>
      <c r="J7344" t="s">
        <v>5476</v>
      </c>
      <c r="K7344" t="s">
        <v>5471</v>
      </c>
      <c r="L7344" t="s">
        <v>5471</v>
      </c>
      <c r="M7344" t="s">
        <v>5471</v>
      </c>
    </row>
    <row r="7345" spans="1:13" x14ac:dyDescent="0.3">
      <c r="A7345" t="s">
        <v>3383</v>
      </c>
      <c r="B7345" t="s">
        <v>5952</v>
      </c>
      <c r="C7345" t="s">
        <v>5470</v>
      </c>
      <c r="D7345" t="s">
        <v>4052</v>
      </c>
      <c r="E7345" t="s">
        <v>5617</v>
      </c>
      <c r="F7345" t="s">
        <v>27148</v>
      </c>
      <c r="G7345" t="s">
        <v>27149</v>
      </c>
      <c r="H7345" t="s">
        <v>5474</v>
      </c>
      <c r="I7345" t="s">
        <v>27150</v>
      </c>
      <c r="J7345" t="s">
        <v>5484</v>
      </c>
      <c r="K7345" t="s">
        <v>27151</v>
      </c>
      <c r="L7345" t="s">
        <v>5471</v>
      </c>
      <c r="M7345" t="s">
        <v>5471</v>
      </c>
    </row>
    <row r="7346" spans="1:13" x14ac:dyDescent="0.3">
      <c r="A7346" t="s">
        <v>3383</v>
      </c>
      <c r="B7346" t="s">
        <v>7461</v>
      </c>
      <c r="C7346" t="s">
        <v>5470</v>
      </c>
      <c r="D7346" t="s">
        <v>4119</v>
      </c>
      <c r="E7346" t="s">
        <v>5480</v>
      </c>
      <c r="F7346" t="s">
        <v>27152</v>
      </c>
      <c r="G7346" t="s">
        <v>27153</v>
      </c>
      <c r="H7346" t="s">
        <v>5474</v>
      </c>
      <c r="I7346" t="s">
        <v>27154</v>
      </c>
      <c r="J7346" t="s">
        <v>5476</v>
      </c>
      <c r="K7346" t="s">
        <v>5471</v>
      </c>
      <c r="L7346" t="s">
        <v>5471</v>
      </c>
      <c r="M7346" t="s">
        <v>5471</v>
      </c>
    </row>
    <row r="7347" spans="1:13" x14ac:dyDescent="0.3">
      <c r="A7347" t="s">
        <v>3383</v>
      </c>
      <c r="B7347" t="s">
        <v>7461</v>
      </c>
      <c r="C7347" t="s">
        <v>5470</v>
      </c>
      <c r="D7347" t="s">
        <v>4119</v>
      </c>
      <c r="E7347" t="s">
        <v>5480</v>
      </c>
      <c r="F7347" t="s">
        <v>27155</v>
      </c>
      <c r="G7347" t="s">
        <v>27156</v>
      </c>
      <c r="H7347" t="s">
        <v>5474</v>
      </c>
      <c r="I7347" t="s">
        <v>27157</v>
      </c>
      <c r="J7347" t="s">
        <v>5476</v>
      </c>
      <c r="K7347" t="s">
        <v>5471</v>
      </c>
      <c r="L7347" t="s">
        <v>5471</v>
      </c>
      <c r="M7347" t="s">
        <v>5471</v>
      </c>
    </row>
    <row r="7348" spans="1:13" x14ac:dyDescent="0.3">
      <c r="A7348" t="s">
        <v>3383</v>
      </c>
      <c r="B7348" t="s">
        <v>7461</v>
      </c>
      <c r="C7348" t="s">
        <v>5470</v>
      </c>
      <c r="D7348" t="s">
        <v>4119</v>
      </c>
      <c r="E7348" t="s">
        <v>5480</v>
      </c>
      <c r="F7348" t="s">
        <v>27158</v>
      </c>
      <c r="G7348" t="s">
        <v>27159</v>
      </c>
      <c r="H7348" t="s">
        <v>5474</v>
      </c>
      <c r="I7348" t="s">
        <v>27160</v>
      </c>
      <c r="J7348" t="s">
        <v>5476</v>
      </c>
      <c r="K7348" t="s">
        <v>5471</v>
      </c>
      <c r="L7348" t="s">
        <v>5471</v>
      </c>
      <c r="M7348" t="s">
        <v>5471</v>
      </c>
    </row>
    <row r="7349" spans="1:13" x14ac:dyDescent="0.3">
      <c r="A7349" t="s">
        <v>3383</v>
      </c>
      <c r="B7349" t="s">
        <v>7461</v>
      </c>
      <c r="C7349" t="s">
        <v>5470</v>
      </c>
      <c r="D7349" t="s">
        <v>4119</v>
      </c>
      <c r="E7349" t="s">
        <v>5480</v>
      </c>
      <c r="F7349" t="s">
        <v>27161</v>
      </c>
      <c r="G7349" t="s">
        <v>27162</v>
      </c>
      <c r="H7349" t="s">
        <v>5474</v>
      </c>
      <c r="I7349" t="s">
        <v>27163</v>
      </c>
      <c r="J7349" t="s">
        <v>5476</v>
      </c>
      <c r="K7349" t="s">
        <v>5471</v>
      </c>
      <c r="L7349" t="s">
        <v>5471</v>
      </c>
      <c r="M7349" t="s">
        <v>5471</v>
      </c>
    </row>
    <row r="7350" spans="1:13" x14ac:dyDescent="0.3">
      <c r="A7350" t="s">
        <v>3380</v>
      </c>
      <c r="B7350" t="s">
        <v>27164</v>
      </c>
      <c r="C7350" t="s">
        <v>6342</v>
      </c>
      <c r="D7350" t="s">
        <v>4119</v>
      </c>
      <c r="E7350" t="s">
        <v>9935</v>
      </c>
      <c r="F7350" t="s">
        <v>27165</v>
      </c>
      <c r="G7350" t="s">
        <v>27166</v>
      </c>
      <c r="H7350" t="s">
        <v>5474</v>
      </c>
      <c r="I7350" t="s">
        <v>27167</v>
      </c>
      <c r="J7350" t="s">
        <v>5476</v>
      </c>
      <c r="K7350" t="s">
        <v>27168</v>
      </c>
      <c r="L7350" t="s">
        <v>5471</v>
      </c>
      <c r="M7350" t="s">
        <v>5471</v>
      </c>
    </row>
    <row r="7351" spans="1:13" x14ac:dyDescent="0.3">
      <c r="A7351" t="s">
        <v>3383</v>
      </c>
      <c r="B7351" t="s">
        <v>7461</v>
      </c>
      <c r="C7351" t="s">
        <v>5470</v>
      </c>
      <c r="D7351" t="s">
        <v>4119</v>
      </c>
      <c r="E7351" t="s">
        <v>5480</v>
      </c>
      <c r="F7351" t="s">
        <v>27169</v>
      </c>
      <c r="G7351" t="s">
        <v>27170</v>
      </c>
      <c r="H7351" t="s">
        <v>5474</v>
      </c>
      <c r="I7351" t="s">
        <v>27171</v>
      </c>
      <c r="J7351" t="s">
        <v>5476</v>
      </c>
      <c r="K7351" t="s">
        <v>5471</v>
      </c>
      <c r="L7351" t="s">
        <v>5471</v>
      </c>
      <c r="M7351" t="s">
        <v>5471</v>
      </c>
    </row>
    <row r="7352" spans="1:13" x14ac:dyDescent="0.3">
      <c r="A7352" t="s">
        <v>3383</v>
      </c>
      <c r="B7352" t="s">
        <v>7461</v>
      </c>
      <c r="C7352" t="s">
        <v>5470</v>
      </c>
      <c r="D7352" t="s">
        <v>4119</v>
      </c>
      <c r="E7352" t="s">
        <v>5480</v>
      </c>
      <c r="F7352" t="s">
        <v>27172</v>
      </c>
      <c r="G7352" t="s">
        <v>27173</v>
      </c>
      <c r="H7352" t="s">
        <v>5474</v>
      </c>
      <c r="I7352" t="s">
        <v>27174</v>
      </c>
      <c r="J7352" t="s">
        <v>5476</v>
      </c>
      <c r="K7352" t="s">
        <v>5471</v>
      </c>
      <c r="L7352" t="s">
        <v>5471</v>
      </c>
      <c r="M7352" t="s">
        <v>5471</v>
      </c>
    </row>
    <row r="7353" spans="1:13" x14ac:dyDescent="0.3">
      <c r="A7353" t="s">
        <v>3383</v>
      </c>
      <c r="B7353" t="s">
        <v>7461</v>
      </c>
      <c r="C7353" t="s">
        <v>5470</v>
      </c>
      <c r="D7353" t="s">
        <v>4119</v>
      </c>
      <c r="E7353" t="s">
        <v>5480</v>
      </c>
      <c r="F7353" t="s">
        <v>27175</v>
      </c>
      <c r="G7353" t="s">
        <v>27176</v>
      </c>
      <c r="H7353" t="s">
        <v>5474</v>
      </c>
      <c r="I7353" t="s">
        <v>27177</v>
      </c>
      <c r="J7353" t="s">
        <v>5476</v>
      </c>
      <c r="K7353" t="s">
        <v>5471</v>
      </c>
      <c r="L7353" t="s">
        <v>5471</v>
      </c>
      <c r="M7353" t="s">
        <v>5471</v>
      </c>
    </row>
    <row r="7354" spans="1:13" x14ac:dyDescent="0.3">
      <c r="A7354" t="s">
        <v>3383</v>
      </c>
      <c r="B7354" t="s">
        <v>7461</v>
      </c>
      <c r="C7354" t="s">
        <v>5470</v>
      </c>
      <c r="D7354" t="s">
        <v>4119</v>
      </c>
      <c r="E7354" t="s">
        <v>5480</v>
      </c>
      <c r="F7354" t="s">
        <v>27178</v>
      </c>
      <c r="G7354" t="s">
        <v>27179</v>
      </c>
      <c r="H7354" t="s">
        <v>5474</v>
      </c>
      <c r="I7354" t="s">
        <v>27180</v>
      </c>
      <c r="J7354" t="s">
        <v>5476</v>
      </c>
      <c r="K7354" t="s">
        <v>5471</v>
      </c>
      <c r="L7354" t="s">
        <v>5471</v>
      </c>
      <c r="M7354" t="s">
        <v>5471</v>
      </c>
    </row>
    <row r="7355" spans="1:13" x14ac:dyDescent="0.3">
      <c r="A7355" t="s">
        <v>3383</v>
      </c>
      <c r="B7355" t="s">
        <v>7461</v>
      </c>
      <c r="C7355" t="s">
        <v>5470</v>
      </c>
      <c r="D7355" t="s">
        <v>4119</v>
      </c>
      <c r="E7355" t="s">
        <v>5480</v>
      </c>
      <c r="F7355" t="s">
        <v>27181</v>
      </c>
      <c r="G7355" t="s">
        <v>27182</v>
      </c>
      <c r="H7355" t="s">
        <v>5474</v>
      </c>
      <c r="I7355" t="s">
        <v>27183</v>
      </c>
      <c r="J7355" t="s">
        <v>5476</v>
      </c>
      <c r="K7355" t="s">
        <v>5471</v>
      </c>
      <c r="L7355" t="s">
        <v>5471</v>
      </c>
      <c r="M7355" t="s">
        <v>5471</v>
      </c>
    </row>
    <row r="7356" spans="1:13" x14ac:dyDescent="0.3">
      <c r="A7356" t="s">
        <v>3383</v>
      </c>
      <c r="B7356" t="s">
        <v>7461</v>
      </c>
      <c r="C7356" t="s">
        <v>5470</v>
      </c>
      <c r="D7356" t="s">
        <v>4119</v>
      </c>
      <c r="E7356" t="s">
        <v>5480</v>
      </c>
      <c r="F7356" t="s">
        <v>27184</v>
      </c>
      <c r="G7356" t="s">
        <v>27185</v>
      </c>
      <c r="H7356" t="s">
        <v>5474</v>
      </c>
      <c r="I7356" t="s">
        <v>27186</v>
      </c>
      <c r="J7356" t="s">
        <v>5476</v>
      </c>
      <c r="K7356" t="s">
        <v>5471</v>
      </c>
      <c r="L7356" t="s">
        <v>5471</v>
      </c>
      <c r="M7356" t="s">
        <v>5471</v>
      </c>
    </row>
    <row r="7357" spans="1:13" x14ac:dyDescent="0.3">
      <c r="A7357" t="s">
        <v>3383</v>
      </c>
      <c r="B7357" t="s">
        <v>7461</v>
      </c>
      <c r="C7357" t="s">
        <v>5470</v>
      </c>
      <c r="D7357" t="s">
        <v>4119</v>
      </c>
      <c r="E7357" t="s">
        <v>5480</v>
      </c>
      <c r="F7357" t="s">
        <v>27187</v>
      </c>
      <c r="G7357" t="s">
        <v>27188</v>
      </c>
      <c r="H7357" t="s">
        <v>5474</v>
      </c>
      <c r="I7357" t="s">
        <v>27189</v>
      </c>
      <c r="J7357" t="s">
        <v>5476</v>
      </c>
      <c r="K7357" t="s">
        <v>5471</v>
      </c>
      <c r="L7357" t="s">
        <v>5471</v>
      </c>
      <c r="M7357" t="s">
        <v>5471</v>
      </c>
    </row>
    <row r="7358" spans="1:13" x14ac:dyDescent="0.3">
      <c r="A7358" t="s">
        <v>3383</v>
      </c>
      <c r="B7358" t="s">
        <v>7461</v>
      </c>
      <c r="C7358" t="s">
        <v>5470</v>
      </c>
      <c r="D7358" t="s">
        <v>4119</v>
      </c>
      <c r="E7358" t="s">
        <v>5480</v>
      </c>
      <c r="F7358" t="s">
        <v>27190</v>
      </c>
      <c r="G7358" t="s">
        <v>27191</v>
      </c>
      <c r="H7358" t="s">
        <v>5474</v>
      </c>
      <c r="I7358" t="s">
        <v>27192</v>
      </c>
      <c r="J7358" t="s">
        <v>5476</v>
      </c>
      <c r="K7358" t="s">
        <v>5471</v>
      </c>
      <c r="L7358" t="s">
        <v>5471</v>
      </c>
      <c r="M7358" t="s">
        <v>5471</v>
      </c>
    </row>
    <row r="7359" spans="1:13" x14ac:dyDescent="0.3">
      <c r="A7359" t="s">
        <v>3383</v>
      </c>
      <c r="B7359" t="s">
        <v>5320</v>
      </c>
      <c r="C7359" t="s">
        <v>5470</v>
      </c>
      <c r="D7359" t="s">
        <v>4052</v>
      </c>
      <c r="E7359" t="s">
        <v>5617</v>
      </c>
      <c r="F7359" t="s">
        <v>27193</v>
      </c>
      <c r="G7359" t="s">
        <v>11224</v>
      </c>
      <c r="H7359" t="s">
        <v>5474</v>
      </c>
      <c r="I7359" t="s">
        <v>27194</v>
      </c>
      <c r="J7359" t="s">
        <v>5484</v>
      </c>
      <c r="K7359" t="s">
        <v>27195</v>
      </c>
      <c r="L7359" t="s">
        <v>5471</v>
      </c>
      <c r="M7359" t="s">
        <v>5471</v>
      </c>
    </row>
    <row r="7360" spans="1:13" x14ac:dyDescent="0.3">
      <c r="A7360" t="s">
        <v>3383</v>
      </c>
      <c r="B7360" t="s">
        <v>5332</v>
      </c>
      <c r="C7360" t="s">
        <v>5470</v>
      </c>
      <c r="D7360" t="s">
        <v>4200</v>
      </c>
      <c r="E7360" t="s">
        <v>5532</v>
      </c>
      <c r="F7360" t="s">
        <v>27196</v>
      </c>
      <c r="G7360" t="s">
        <v>6589</v>
      </c>
      <c r="H7360" t="s">
        <v>5474</v>
      </c>
      <c r="I7360" t="s">
        <v>27197</v>
      </c>
      <c r="J7360" t="s">
        <v>5484</v>
      </c>
      <c r="K7360" t="s">
        <v>27198</v>
      </c>
      <c r="L7360" t="s">
        <v>5471</v>
      </c>
      <c r="M7360" t="s">
        <v>5471</v>
      </c>
    </row>
    <row r="7361" spans="1:13" x14ac:dyDescent="0.3">
      <c r="A7361" t="s">
        <v>3383</v>
      </c>
      <c r="B7361" t="s">
        <v>7461</v>
      </c>
      <c r="C7361" t="s">
        <v>5470</v>
      </c>
      <c r="D7361" t="s">
        <v>4119</v>
      </c>
      <c r="E7361" t="s">
        <v>5480</v>
      </c>
      <c r="F7361" t="s">
        <v>27199</v>
      </c>
      <c r="G7361" t="s">
        <v>27200</v>
      </c>
      <c r="H7361" t="s">
        <v>5474</v>
      </c>
      <c r="I7361" t="s">
        <v>27201</v>
      </c>
      <c r="J7361" t="s">
        <v>5476</v>
      </c>
      <c r="K7361" t="s">
        <v>5471</v>
      </c>
      <c r="L7361" t="s">
        <v>5471</v>
      </c>
      <c r="M7361" t="s">
        <v>5471</v>
      </c>
    </row>
    <row r="7362" spans="1:13" x14ac:dyDescent="0.3">
      <c r="A7362" t="s">
        <v>3383</v>
      </c>
      <c r="B7362" t="s">
        <v>5294</v>
      </c>
      <c r="C7362" t="s">
        <v>5470</v>
      </c>
      <c r="D7362" t="s">
        <v>4119</v>
      </c>
      <c r="E7362" t="s">
        <v>5756</v>
      </c>
      <c r="F7362" t="s">
        <v>27202</v>
      </c>
      <c r="G7362" t="s">
        <v>6277</v>
      </c>
      <c r="H7362" t="s">
        <v>5474</v>
      </c>
      <c r="I7362" t="s">
        <v>27203</v>
      </c>
      <c r="J7362" t="s">
        <v>5476</v>
      </c>
      <c r="K7362" t="s">
        <v>27204</v>
      </c>
      <c r="L7362" t="s">
        <v>5471</v>
      </c>
      <c r="M7362" t="s">
        <v>5471</v>
      </c>
    </row>
    <row r="7363" spans="1:13" x14ac:dyDescent="0.3">
      <c r="A7363" t="s">
        <v>3383</v>
      </c>
      <c r="B7363" t="s">
        <v>5330</v>
      </c>
      <c r="C7363" t="s">
        <v>5470</v>
      </c>
      <c r="D7363" t="s">
        <v>4056</v>
      </c>
      <c r="E7363" t="s">
        <v>5617</v>
      </c>
      <c r="F7363" t="s">
        <v>27205</v>
      </c>
      <c r="G7363" t="s">
        <v>5871</v>
      </c>
      <c r="H7363" t="s">
        <v>5474</v>
      </c>
      <c r="I7363" t="s">
        <v>27206</v>
      </c>
      <c r="J7363" t="s">
        <v>5484</v>
      </c>
      <c r="K7363" t="s">
        <v>27207</v>
      </c>
      <c r="L7363" t="s">
        <v>5471</v>
      </c>
      <c r="M7363" t="s">
        <v>5471</v>
      </c>
    </row>
    <row r="7364" spans="1:13" x14ac:dyDescent="0.3">
      <c r="A7364" t="s">
        <v>3383</v>
      </c>
      <c r="B7364" t="s">
        <v>5330</v>
      </c>
      <c r="C7364" t="s">
        <v>5470</v>
      </c>
      <c r="D7364" t="s">
        <v>4058</v>
      </c>
      <c r="E7364" t="s">
        <v>5532</v>
      </c>
      <c r="F7364" t="s">
        <v>27208</v>
      </c>
      <c r="G7364" t="s">
        <v>5871</v>
      </c>
      <c r="H7364" t="s">
        <v>5474</v>
      </c>
      <c r="I7364" t="s">
        <v>27209</v>
      </c>
      <c r="J7364" t="s">
        <v>5476</v>
      </c>
      <c r="K7364" t="s">
        <v>27210</v>
      </c>
      <c r="L7364" t="s">
        <v>5471</v>
      </c>
      <c r="M7364" t="s">
        <v>5471</v>
      </c>
    </row>
    <row r="7365" spans="1:13" x14ac:dyDescent="0.3">
      <c r="A7365" t="s">
        <v>3383</v>
      </c>
      <c r="B7365" t="s">
        <v>7461</v>
      </c>
      <c r="C7365" t="s">
        <v>5470</v>
      </c>
      <c r="D7365" t="s">
        <v>4119</v>
      </c>
      <c r="E7365" t="s">
        <v>5480</v>
      </c>
      <c r="F7365" t="s">
        <v>27211</v>
      </c>
      <c r="G7365" t="s">
        <v>27212</v>
      </c>
      <c r="H7365" t="s">
        <v>5474</v>
      </c>
      <c r="I7365" t="s">
        <v>27213</v>
      </c>
      <c r="J7365" t="s">
        <v>5476</v>
      </c>
      <c r="K7365" t="s">
        <v>5471</v>
      </c>
      <c r="L7365" t="s">
        <v>5471</v>
      </c>
      <c r="M7365" t="s">
        <v>5471</v>
      </c>
    </row>
    <row r="7366" spans="1:13" x14ac:dyDescent="0.3">
      <c r="A7366" t="s">
        <v>3383</v>
      </c>
      <c r="B7366" t="s">
        <v>5330</v>
      </c>
      <c r="C7366" t="s">
        <v>5470</v>
      </c>
      <c r="D7366" t="s">
        <v>4058</v>
      </c>
      <c r="E7366" t="s">
        <v>5532</v>
      </c>
      <c r="F7366" t="s">
        <v>27214</v>
      </c>
      <c r="G7366" t="s">
        <v>5871</v>
      </c>
      <c r="H7366" t="s">
        <v>5474</v>
      </c>
      <c r="I7366" t="s">
        <v>27215</v>
      </c>
      <c r="J7366" t="s">
        <v>5476</v>
      </c>
      <c r="K7366" t="s">
        <v>27216</v>
      </c>
      <c r="L7366" t="s">
        <v>5471</v>
      </c>
      <c r="M7366" t="s">
        <v>5471</v>
      </c>
    </row>
    <row r="7367" spans="1:13" x14ac:dyDescent="0.3">
      <c r="A7367" t="s">
        <v>3383</v>
      </c>
      <c r="B7367" t="s">
        <v>5330</v>
      </c>
      <c r="C7367" t="s">
        <v>5470</v>
      </c>
      <c r="D7367" t="s">
        <v>4056</v>
      </c>
      <c r="E7367" t="s">
        <v>5617</v>
      </c>
      <c r="F7367" t="s">
        <v>27217</v>
      </c>
      <c r="G7367" t="s">
        <v>5871</v>
      </c>
      <c r="H7367" t="s">
        <v>5474</v>
      </c>
      <c r="I7367" t="s">
        <v>27218</v>
      </c>
      <c r="J7367" t="s">
        <v>5484</v>
      </c>
      <c r="K7367" t="s">
        <v>27219</v>
      </c>
      <c r="L7367" t="s">
        <v>5471</v>
      </c>
      <c r="M7367" t="s">
        <v>5471</v>
      </c>
    </row>
    <row r="7368" spans="1:13" x14ac:dyDescent="0.3">
      <c r="A7368" t="s">
        <v>3397</v>
      </c>
      <c r="B7368" t="s">
        <v>5301</v>
      </c>
      <c r="C7368" t="s">
        <v>6342</v>
      </c>
      <c r="D7368" t="s">
        <v>4119</v>
      </c>
      <c r="E7368" t="s">
        <v>6332</v>
      </c>
      <c r="F7368" t="s">
        <v>27220</v>
      </c>
      <c r="G7368" t="s">
        <v>12784</v>
      </c>
      <c r="H7368" t="s">
        <v>5474</v>
      </c>
      <c r="I7368" t="s">
        <v>27221</v>
      </c>
      <c r="J7368" t="s">
        <v>5476</v>
      </c>
      <c r="K7368" t="s">
        <v>27222</v>
      </c>
      <c r="L7368" t="s">
        <v>5471</v>
      </c>
      <c r="M7368" t="s">
        <v>5471</v>
      </c>
    </row>
    <row r="7369" spans="1:13" x14ac:dyDescent="0.3">
      <c r="A7369" t="s">
        <v>3383</v>
      </c>
      <c r="B7369" t="s">
        <v>5330</v>
      </c>
      <c r="C7369" t="s">
        <v>5470</v>
      </c>
      <c r="D7369" t="s">
        <v>4058</v>
      </c>
      <c r="E7369" t="s">
        <v>5532</v>
      </c>
      <c r="F7369" t="s">
        <v>27223</v>
      </c>
      <c r="G7369" t="s">
        <v>5871</v>
      </c>
      <c r="H7369" t="s">
        <v>5474</v>
      </c>
      <c r="I7369" t="s">
        <v>27224</v>
      </c>
      <c r="J7369" t="s">
        <v>5476</v>
      </c>
      <c r="K7369" t="s">
        <v>27225</v>
      </c>
      <c r="L7369" t="s">
        <v>5471</v>
      </c>
      <c r="M7369" t="s">
        <v>5471</v>
      </c>
    </row>
    <row r="7370" spans="1:13" x14ac:dyDescent="0.3">
      <c r="A7370" t="s">
        <v>3383</v>
      </c>
      <c r="B7370" t="s">
        <v>7461</v>
      </c>
      <c r="C7370" t="s">
        <v>5470</v>
      </c>
      <c r="D7370" t="s">
        <v>4119</v>
      </c>
      <c r="E7370" t="s">
        <v>5480</v>
      </c>
      <c r="F7370" t="s">
        <v>27226</v>
      </c>
      <c r="G7370" t="s">
        <v>27227</v>
      </c>
      <c r="H7370" t="s">
        <v>5474</v>
      </c>
      <c r="I7370" t="s">
        <v>27228</v>
      </c>
      <c r="J7370" t="s">
        <v>5476</v>
      </c>
      <c r="K7370" t="s">
        <v>5471</v>
      </c>
      <c r="L7370" t="s">
        <v>5471</v>
      </c>
      <c r="M7370" t="s">
        <v>5471</v>
      </c>
    </row>
    <row r="7371" spans="1:13" x14ac:dyDescent="0.3">
      <c r="A7371" t="s">
        <v>3383</v>
      </c>
      <c r="B7371" t="s">
        <v>5330</v>
      </c>
      <c r="C7371" t="s">
        <v>5470</v>
      </c>
      <c r="D7371" t="s">
        <v>4058</v>
      </c>
      <c r="E7371" t="s">
        <v>5532</v>
      </c>
      <c r="F7371" t="s">
        <v>27229</v>
      </c>
      <c r="G7371" t="s">
        <v>5871</v>
      </c>
      <c r="H7371" t="s">
        <v>5474</v>
      </c>
      <c r="I7371" t="s">
        <v>27230</v>
      </c>
      <c r="J7371" t="s">
        <v>5476</v>
      </c>
      <c r="K7371" t="s">
        <v>27231</v>
      </c>
      <c r="L7371" t="s">
        <v>5471</v>
      </c>
      <c r="M7371" t="s">
        <v>5471</v>
      </c>
    </row>
    <row r="7372" spans="1:13" x14ac:dyDescent="0.3">
      <c r="A7372" t="s">
        <v>3397</v>
      </c>
      <c r="B7372" t="s">
        <v>5301</v>
      </c>
      <c r="C7372" t="s">
        <v>6342</v>
      </c>
      <c r="D7372" t="s">
        <v>4119</v>
      </c>
      <c r="E7372" t="s">
        <v>6332</v>
      </c>
      <c r="F7372" t="s">
        <v>27232</v>
      </c>
      <c r="G7372" t="s">
        <v>12784</v>
      </c>
      <c r="H7372" t="s">
        <v>5474</v>
      </c>
      <c r="I7372" t="s">
        <v>27233</v>
      </c>
      <c r="J7372" t="s">
        <v>5476</v>
      </c>
      <c r="K7372" t="s">
        <v>27222</v>
      </c>
      <c r="L7372" t="s">
        <v>5471</v>
      </c>
      <c r="M7372" t="s">
        <v>5471</v>
      </c>
    </row>
    <row r="7373" spans="1:13" x14ac:dyDescent="0.3">
      <c r="A7373" t="s">
        <v>3383</v>
      </c>
      <c r="B7373" t="s">
        <v>5330</v>
      </c>
      <c r="C7373" t="s">
        <v>5470</v>
      </c>
      <c r="D7373" t="s">
        <v>4058</v>
      </c>
      <c r="E7373" t="s">
        <v>5532</v>
      </c>
      <c r="F7373" t="s">
        <v>27234</v>
      </c>
      <c r="G7373" t="s">
        <v>5871</v>
      </c>
      <c r="H7373" t="s">
        <v>5474</v>
      </c>
      <c r="I7373" t="s">
        <v>27235</v>
      </c>
      <c r="J7373" t="s">
        <v>5476</v>
      </c>
      <c r="K7373" t="s">
        <v>27236</v>
      </c>
      <c r="L7373" t="s">
        <v>5471</v>
      </c>
      <c r="M7373" t="s">
        <v>5471</v>
      </c>
    </row>
    <row r="7374" spans="1:13" x14ac:dyDescent="0.3">
      <c r="A7374" t="s">
        <v>3383</v>
      </c>
      <c r="B7374" t="s">
        <v>7461</v>
      </c>
      <c r="C7374" t="s">
        <v>5470</v>
      </c>
      <c r="D7374" t="s">
        <v>4119</v>
      </c>
      <c r="E7374" t="s">
        <v>5480</v>
      </c>
      <c r="F7374" t="s">
        <v>27237</v>
      </c>
      <c r="G7374" t="s">
        <v>27238</v>
      </c>
      <c r="H7374" t="s">
        <v>5474</v>
      </c>
      <c r="I7374" t="s">
        <v>27239</v>
      </c>
      <c r="J7374" t="s">
        <v>5476</v>
      </c>
      <c r="K7374" t="s">
        <v>5471</v>
      </c>
      <c r="L7374" t="s">
        <v>5471</v>
      </c>
      <c r="M7374" t="s">
        <v>5471</v>
      </c>
    </row>
    <row r="7375" spans="1:13" x14ac:dyDescent="0.3">
      <c r="A7375" t="s">
        <v>3383</v>
      </c>
      <c r="B7375" t="s">
        <v>5330</v>
      </c>
      <c r="C7375" t="s">
        <v>5470</v>
      </c>
      <c r="D7375" t="s">
        <v>4056</v>
      </c>
      <c r="E7375" t="s">
        <v>5617</v>
      </c>
      <c r="F7375" t="s">
        <v>27240</v>
      </c>
      <c r="G7375" t="s">
        <v>5871</v>
      </c>
      <c r="H7375" t="s">
        <v>5474</v>
      </c>
      <c r="I7375" t="s">
        <v>27241</v>
      </c>
      <c r="J7375" t="s">
        <v>5484</v>
      </c>
      <c r="K7375" t="s">
        <v>27242</v>
      </c>
      <c r="L7375" t="s">
        <v>5471</v>
      </c>
      <c r="M7375" t="s">
        <v>5471</v>
      </c>
    </row>
    <row r="7376" spans="1:13" x14ac:dyDescent="0.3">
      <c r="A7376" t="s">
        <v>3383</v>
      </c>
      <c r="B7376" t="s">
        <v>5332</v>
      </c>
      <c r="C7376" t="s">
        <v>5470</v>
      </c>
      <c r="D7376" t="s">
        <v>4058</v>
      </c>
      <c r="E7376" t="s">
        <v>5756</v>
      </c>
      <c r="F7376" t="s">
        <v>27243</v>
      </c>
      <c r="G7376" t="s">
        <v>6239</v>
      </c>
      <c r="H7376" t="s">
        <v>5474</v>
      </c>
      <c r="I7376" t="s">
        <v>27244</v>
      </c>
      <c r="J7376" t="s">
        <v>5476</v>
      </c>
      <c r="K7376" t="s">
        <v>27245</v>
      </c>
      <c r="L7376" t="s">
        <v>5471</v>
      </c>
      <c r="M7376" t="s">
        <v>5471</v>
      </c>
    </row>
    <row r="7377" spans="1:13" x14ac:dyDescent="0.3">
      <c r="A7377" t="s">
        <v>3383</v>
      </c>
      <c r="B7377" t="s">
        <v>5332</v>
      </c>
      <c r="C7377" t="s">
        <v>5470</v>
      </c>
      <c r="D7377" t="s">
        <v>4058</v>
      </c>
      <c r="E7377" t="s">
        <v>5756</v>
      </c>
      <c r="F7377" t="s">
        <v>27246</v>
      </c>
      <c r="G7377" t="s">
        <v>6239</v>
      </c>
      <c r="H7377" t="s">
        <v>5474</v>
      </c>
      <c r="I7377" t="s">
        <v>27247</v>
      </c>
      <c r="J7377" t="s">
        <v>5476</v>
      </c>
      <c r="K7377" t="s">
        <v>27248</v>
      </c>
      <c r="L7377" t="s">
        <v>5471</v>
      </c>
      <c r="M7377" t="s">
        <v>5471</v>
      </c>
    </row>
    <row r="7378" spans="1:13" x14ac:dyDescent="0.3">
      <c r="A7378" t="s">
        <v>3383</v>
      </c>
      <c r="B7378" t="s">
        <v>7461</v>
      </c>
      <c r="C7378" t="s">
        <v>5470</v>
      </c>
      <c r="D7378" t="s">
        <v>4119</v>
      </c>
      <c r="E7378" t="s">
        <v>5480</v>
      </c>
      <c r="F7378" t="s">
        <v>27249</v>
      </c>
      <c r="G7378" t="s">
        <v>27250</v>
      </c>
      <c r="H7378" t="s">
        <v>5474</v>
      </c>
      <c r="I7378" t="s">
        <v>27251</v>
      </c>
      <c r="J7378" t="s">
        <v>5476</v>
      </c>
      <c r="K7378" t="s">
        <v>5471</v>
      </c>
      <c r="L7378" t="s">
        <v>5471</v>
      </c>
      <c r="M7378" t="s">
        <v>5471</v>
      </c>
    </row>
    <row r="7379" spans="1:13" x14ac:dyDescent="0.3">
      <c r="A7379" t="s">
        <v>3383</v>
      </c>
      <c r="B7379" t="s">
        <v>5332</v>
      </c>
      <c r="C7379" t="s">
        <v>5470</v>
      </c>
      <c r="D7379" t="s">
        <v>4058</v>
      </c>
      <c r="E7379" t="s">
        <v>5756</v>
      </c>
      <c r="F7379" t="s">
        <v>27252</v>
      </c>
      <c r="G7379" t="s">
        <v>6239</v>
      </c>
      <c r="H7379" t="s">
        <v>5474</v>
      </c>
      <c r="I7379" t="s">
        <v>27253</v>
      </c>
      <c r="J7379" t="s">
        <v>5476</v>
      </c>
      <c r="K7379" t="s">
        <v>27254</v>
      </c>
      <c r="L7379" t="s">
        <v>5471</v>
      </c>
      <c r="M7379" t="s">
        <v>5471</v>
      </c>
    </row>
    <row r="7380" spans="1:13" x14ac:dyDescent="0.3">
      <c r="A7380" t="s">
        <v>3383</v>
      </c>
      <c r="B7380" t="s">
        <v>6187</v>
      </c>
      <c r="C7380" t="s">
        <v>5470</v>
      </c>
      <c r="D7380" t="s">
        <v>4056</v>
      </c>
      <c r="E7380" t="s">
        <v>5756</v>
      </c>
      <c r="F7380" t="s">
        <v>27255</v>
      </c>
      <c r="G7380" t="s">
        <v>7490</v>
      </c>
      <c r="H7380" t="s">
        <v>5474</v>
      </c>
      <c r="I7380" t="s">
        <v>27256</v>
      </c>
      <c r="J7380" t="s">
        <v>5476</v>
      </c>
      <c r="K7380" t="s">
        <v>27257</v>
      </c>
      <c r="L7380" t="s">
        <v>12472</v>
      </c>
      <c r="M7380" t="s">
        <v>5471</v>
      </c>
    </row>
    <row r="7381" spans="1:13" x14ac:dyDescent="0.3">
      <c r="A7381" t="s">
        <v>3397</v>
      </c>
      <c r="B7381" t="s">
        <v>5766</v>
      </c>
      <c r="C7381" t="s">
        <v>5487</v>
      </c>
      <c r="D7381" t="s">
        <v>4119</v>
      </c>
      <c r="E7381" t="s">
        <v>5756</v>
      </c>
      <c r="F7381" t="s">
        <v>27258</v>
      </c>
      <c r="G7381" t="s">
        <v>6168</v>
      </c>
      <c r="H7381" t="s">
        <v>5474</v>
      </c>
      <c r="I7381" t="s">
        <v>27259</v>
      </c>
      <c r="J7381" t="s">
        <v>5484</v>
      </c>
      <c r="K7381" t="s">
        <v>27260</v>
      </c>
      <c r="L7381" t="s">
        <v>5471</v>
      </c>
      <c r="M7381" t="s">
        <v>5471</v>
      </c>
    </row>
    <row r="7382" spans="1:13" x14ac:dyDescent="0.3">
      <c r="A7382" t="s">
        <v>3383</v>
      </c>
      <c r="B7382" t="s">
        <v>5320</v>
      </c>
      <c r="C7382" t="s">
        <v>5470</v>
      </c>
      <c r="D7382" t="s">
        <v>4119</v>
      </c>
      <c r="E7382" t="s">
        <v>5532</v>
      </c>
      <c r="F7382" t="s">
        <v>27261</v>
      </c>
      <c r="G7382" t="s">
        <v>11844</v>
      </c>
      <c r="H7382" t="s">
        <v>5474</v>
      </c>
      <c r="I7382" t="s">
        <v>27262</v>
      </c>
      <c r="J7382" t="s">
        <v>5484</v>
      </c>
      <c r="K7382" t="s">
        <v>27263</v>
      </c>
      <c r="L7382" t="s">
        <v>5471</v>
      </c>
      <c r="M7382" t="s">
        <v>5471</v>
      </c>
    </row>
    <row r="7383" spans="1:13" x14ac:dyDescent="0.3">
      <c r="A7383" t="s">
        <v>3383</v>
      </c>
      <c r="B7383" t="s">
        <v>7444</v>
      </c>
      <c r="C7383" t="s">
        <v>5470</v>
      </c>
      <c r="D7383" t="s">
        <v>4119</v>
      </c>
      <c r="E7383" t="s">
        <v>5532</v>
      </c>
      <c r="F7383" t="s">
        <v>27264</v>
      </c>
      <c r="G7383" t="s">
        <v>27265</v>
      </c>
      <c r="H7383" t="s">
        <v>5474</v>
      </c>
      <c r="I7383" t="s">
        <v>27266</v>
      </c>
      <c r="J7383" t="s">
        <v>5484</v>
      </c>
      <c r="K7383" t="s">
        <v>27267</v>
      </c>
      <c r="L7383" t="s">
        <v>5471</v>
      </c>
      <c r="M7383" t="s">
        <v>5471</v>
      </c>
    </row>
    <row r="7384" spans="1:13" x14ac:dyDescent="0.3">
      <c r="A7384" t="s">
        <v>3383</v>
      </c>
      <c r="B7384" t="s">
        <v>6094</v>
      </c>
      <c r="C7384" t="s">
        <v>5470</v>
      </c>
      <c r="D7384" t="s">
        <v>4119</v>
      </c>
      <c r="E7384" t="s">
        <v>5532</v>
      </c>
      <c r="F7384" t="s">
        <v>27268</v>
      </c>
      <c r="G7384" t="s">
        <v>12250</v>
      </c>
      <c r="H7384" t="s">
        <v>5474</v>
      </c>
      <c r="I7384" t="s">
        <v>27269</v>
      </c>
      <c r="J7384" t="s">
        <v>5484</v>
      </c>
      <c r="K7384" t="s">
        <v>27270</v>
      </c>
      <c r="L7384" t="s">
        <v>5471</v>
      </c>
      <c r="M7384" t="s">
        <v>5471</v>
      </c>
    </row>
    <row r="7385" spans="1:13" x14ac:dyDescent="0.3">
      <c r="A7385" t="s">
        <v>3383</v>
      </c>
      <c r="B7385" t="s">
        <v>6094</v>
      </c>
      <c r="C7385" t="s">
        <v>5470</v>
      </c>
      <c r="D7385" t="s">
        <v>4119</v>
      </c>
      <c r="E7385" t="s">
        <v>5532</v>
      </c>
      <c r="F7385" t="s">
        <v>27271</v>
      </c>
      <c r="G7385" t="s">
        <v>12247</v>
      </c>
      <c r="H7385" t="s">
        <v>5474</v>
      </c>
      <c r="I7385" t="s">
        <v>27272</v>
      </c>
      <c r="J7385" t="s">
        <v>5484</v>
      </c>
      <c r="K7385" t="s">
        <v>27273</v>
      </c>
      <c r="L7385" t="s">
        <v>5471</v>
      </c>
      <c r="M7385" t="s">
        <v>5471</v>
      </c>
    </row>
    <row r="7386" spans="1:13" x14ac:dyDescent="0.3">
      <c r="A7386" t="s">
        <v>3383</v>
      </c>
      <c r="B7386" t="s">
        <v>8871</v>
      </c>
      <c r="C7386" t="s">
        <v>5470</v>
      </c>
      <c r="D7386" t="s">
        <v>4119</v>
      </c>
      <c r="E7386" t="s">
        <v>5532</v>
      </c>
      <c r="F7386" t="s">
        <v>27274</v>
      </c>
      <c r="G7386" t="s">
        <v>27275</v>
      </c>
      <c r="H7386" t="s">
        <v>5474</v>
      </c>
      <c r="I7386" t="s">
        <v>27276</v>
      </c>
      <c r="J7386" t="s">
        <v>5484</v>
      </c>
      <c r="K7386" t="s">
        <v>27277</v>
      </c>
      <c r="L7386" t="s">
        <v>5471</v>
      </c>
      <c r="M7386" t="s">
        <v>5471</v>
      </c>
    </row>
    <row r="7387" spans="1:13" x14ac:dyDescent="0.3">
      <c r="A7387" t="s">
        <v>3383</v>
      </c>
      <c r="B7387" t="s">
        <v>8871</v>
      </c>
      <c r="C7387" t="s">
        <v>5470</v>
      </c>
      <c r="D7387" t="s">
        <v>4119</v>
      </c>
      <c r="E7387" t="s">
        <v>5532</v>
      </c>
      <c r="F7387" t="s">
        <v>27278</v>
      </c>
      <c r="G7387" t="s">
        <v>27275</v>
      </c>
      <c r="H7387" t="s">
        <v>5474</v>
      </c>
      <c r="I7387" t="s">
        <v>27279</v>
      </c>
      <c r="J7387" t="s">
        <v>5484</v>
      </c>
      <c r="K7387" t="s">
        <v>27280</v>
      </c>
      <c r="L7387" t="s">
        <v>5471</v>
      </c>
      <c r="M7387" t="s">
        <v>5471</v>
      </c>
    </row>
    <row r="7388" spans="1:13" x14ac:dyDescent="0.3">
      <c r="A7388" t="s">
        <v>3383</v>
      </c>
      <c r="B7388" t="s">
        <v>5586</v>
      </c>
      <c r="C7388" t="s">
        <v>5487</v>
      </c>
      <c r="D7388" t="s">
        <v>4119</v>
      </c>
      <c r="E7388" t="s">
        <v>5480</v>
      </c>
      <c r="F7388" t="s">
        <v>27281</v>
      </c>
      <c r="G7388" t="s">
        <v>7661</v>
      </c>
      <c r="H7388" t="s">
        <v>5474</v>
      </c>
      <c r="I7388" t="s">
        <v>27282</v>
      </c>
      <c r="J7388" t="s">
        <v>5484</v>
      </c>
      <c r="K7388" t="s">
        <v>27283</v>
      </c>
      <c r="L7388" t="s">
        <v>5471</v>
      </c>
      <c r="M7388" t="s">
        <v>5471</v>
      </c>
    </row>
    <row r="7389" spans="1:13" x14ac:dyDescent="0.3">
      <c r="A7389" t="s">
        <v>3383</v>
      </c>
      <c r="B7389" t="s">
        <v>6051</v>
      </c>
      <c r="C7389" t="s">
        <v>5470</v>
      </c>
      <c r="D7389" t="s">
        <v>4058</v>
      </c>
      <c r="E7389" t="s">
        <v>5756</v>
      </c>
      <c r="F7389" t="s">
        <v>27284</v>
      </c>
      <c r="G7389" t="s">
        <v>6053</v>
      </c>
      <c r="H7389" t="s">
        <v>5474</v>
      </c>
      <c r="I7389" t="s">
        <v>27285</v>
      </c>
      <c r="J7389" t="s">
        <v>5484</v>
      </c>
      <c r="K7389" t="s">
        <v>27286</v>
      </c>
      <c r="L7389" t="s">
        <v>5471</v>
      </c>
      <c r="M7389" t="s">
        <v>5471</v>
      </c>
    </row>
    <row r="7390" spans="1:13" x14ac:dyDescent="0.3">
      <c r="A7390" t="s">
        <v>3383</v>
      </c>
      <c r="B7390" t="s">
        <v>5952</v>
      </c>
      <c r="C7390" t="s">
        <v>5470</v>
      </c>
      <c r="D7390" t="s">
        <v>10218</v>
      </c>
      <c r="E7390" t="s">
        <v>5756</v>
      </c>
      <c r="F7390" t="s">
        <v>27287</v>
      </c>
      <c r="G7390" t="s">
        <v>6369</v>
      </c>
      <c r="H7390" t="s">
        <v>5474</v>
      </c>
      <c r="I7390" t="s">
        <v>27288</v>
      </c>
      <c r="J7390" t="s">
        <v>5476</v>
      </c>
      <c r="K7390" t="s">
        <v>27289</v>
      </c>
      <c r="L7390" t="s">
        <v>5471</v>
      </c>
      <c r="M7390" t="s">
        <v>5471</v>
      </c>
    </row>
    <row r="7391" spans="1:13" x14ac:dyDescent="0.3">
      <c r="A7391" t="s">
        <v>3383</v>
      </c>
      <c r="B7391" t="s">
        <v>5332</v>
      </c>
      <c r="C7391" t="s">
        <v>5470</v>
      </c>
      <c r="D7391" t="s">
        <v>4058</v>
      </c>
      <c r="E7391" t="s">
        <v>5532</v>
      </c>
      <c r="F7391" t="s">
        <v>27290</v>
      </c>
      <c r="G7391" t="s">
        <v>6239</v>
      </c>
      <c r="H7391" t="s">
        <v>5474</v>
      </c>
      <c r="I7391" t="s">
        <v>27291</v>
      </c>
      <c r="J7391" t="s">
        <v>5476</v>
      </c>
      <c r="K7391" t="s">
        <v>27292</v>
      </c>
      <c r="L7391" t="s">
        <v>5471</v>
      </c>
      <c r="M7391" t="s">
        <v>5471</v>
      </c>
    </row>
    <row r="7392" spans="1:13" x14ac:dyDescent="0.3">
      <c r="A7392" t="s">
        <v>3397</v>
      </c>
      <c r="B7392" t="s">
        <v>5766</v>
      </c>
      <c r="C7392" t="s">
        <v>5487</v>
      </c>
      <c r="D7392" t="s">
        <v>4119</v>
      </c>
      <c r="E7392" t="s">
        <v>5756</v>
      </c>
      <c r="F7392" t="s">
        <v>27293</v>
      </c>
      <c r="G7392" t="s">
        <v>6168</v>
      </c>
      <c r="H7392" t="s">
        <v>5474</v>
      </c>
      <c r="I7392" t="s">
        <v>27294</v>
      </c>
      <c r="J7392" t="s">
        <v>5484</v>
      </c>
      <c r="K7392" t="s">
        <v>27295</v>
      </c>
      <c r="L7392" t="s">
        <v>5471</v>
      </c>
      <c r="M7392" t="s">
        <v>5471</v>
      </c>
    </row>
    <row r="7393" spans="1:13" x14ac:dyDescent="0.3">
      <c r="A7393" t="s">
        <v>3383</v>
      </c>
      <c r="B7393" t="s">
        <v>5332</v>
      </c>
      <c r="C7393" t="s">
        <v>5470</v>
      </c>
      <c r="D7393" t="s">
        <v>4058</v>
      </c>
      <c r="E7393" t="s">
        <v>5532</v>
      </c>
      <c r="F7393" t="s">
        <v>27296</v>
      </c>
      <c r="G7393" t="s">
        <v>6239</v>
      </c>
      <c r="H7393" t="s">
        <v>5474</v>
      </c>
      <c r="I7393" t="s">
        <v>27297</v>
      </c>
      <c r="J7393" t="s">
        <v>5484</v>
      </c>
      <c r="K7393" t="s">
        <v>27298</v>
      </c>
      <c r="L7393" t="s">
        <v>5471</v>
      </c>
      <c r="M7393" t="s">
        <v>5471</v>
      </c>
    </row>
    <row r="7394" spans="1:13" x14ac:dyDescent="0.3">
      <c r="A7394" t="s">
        <v>3383</v>
      </c>
      <c r="B7394" t="s">
        <v>8871</v>
      </c>
      <c r="C7394" t="s">
        <v>5470</v>
      </c>
      <c r="D7394" t="s">
        <v>4119</v>
      </c>
      <c r="E7394" t="s">
        <v>5532</v>
      </c>
      <c r="F7394" t="s">
        <v>27299</v>
      </c>
      <c r="G7394" t="s">
        <v>27275</v>
      </c>
      <c r="H7394" t="s">
        <v>5474</v>
      </c>
      <c r="I7394" t="s">
        <v>27300</v>
      </c>
      <c r="J7394" t="s">
        <v>5484</v>
      </c>
      <c r="K7394" t="s">
        <v>27301</v>
      </c>
      <c r="L7394" t="s">
        <v>5471</v>
      </c>
      <c r="M7394" t="s">
        <v>5471</v>
      </c>
    </row>
    <row r="7395" spans="1:13" x14ac:dyDescent="0.3">
      <c r="A7395" t="s">
        <v>3383</v>
      </c>
      <c r="B7395" t="s">
        <v>6122</v>
      </c>
      <c r="C7395" t="s">
        <v>5470</v>
      </c>
      <c r="D7395" t="s">
        <v>4119</v>
      </c>
      <c r="E7395" t="s">
        <v>5756</v>
      </c>
      <c r="F7395" t="s">
        <v>27302</v>
      </c>
      <c r="G7395" t="s">
        <v>12337</v>
      </c>
      <c r="H7395" t="s">
        <v>5474</v>
      </c>
      <c r="I7395" t="s">
        <v>27303</v>
      </c>
      <c r="J7395" t="s">
        <v>5484</v>
      </c>
      <c r="K7395" t="s">
        <v>27304</v>
      </c>
      <c r="L7395" t="s">
        <v>5471</v>
      </c>
      <c r="M7395" t="s">
        <v>5471</v>
      </c>
    </row>
    <row r="7396" spans="1:13" x14ac:dyDescent="0.3">
      <c r="A7396" t="s">
        <v>3383</v>
      </c>
      <c r="B7396" t="s">
        <v>6122</v>
      </c>
      <c r="C7396" t="s">
        <v>5470</v>
      </c>
      <c r="D7396" t="s">
        <v>4119</v>
      </c>
      <c r="E7396" t="s">
        <v>5756</v>
      </c>
      <c r="F7396" t="s">
        <v>27305</v>
      </c>
      <c r="G7396" t="s">
        <v>12337</v>
      </c>
      <c r="H7396" t="s">
        <v>5474</v>
      </c>
      <c r="I7396" t="s">
        <v>27306</v>
      </c>
      <c r="J7396" t="s">
        <v>5484</v>
      </c>
      <c r="K7396" t="s">
        <v>27307</v>
      </c>
      <c r="L7396" t="s">
        <v>5471</v>
      </c>
      <c r="M7396" t="s">
        <v>5471</v>
      </c>
    </row>
    <row r="7397" spans="1:13" x14ac:dyDescent="0.3">
      <c r="A7397" t="s">
        <v>3388</v>
      </c>
      <c r="B7397" t="s">
        <v>27308</v>
      </c>
      <c r="C7397" t="s">
        <v>5470</v>
      </c>
      <c r="D7397" t="s">
        <v>4200</v>
      </c>
      <c r="E7397" t="s">
        <v>5532</v>
      </c>
      <c r="F7397" t="s">
        <v>27309</v>
      </c>
      <c r="G7397" t="s">
        <v>27310</v>
      </c>
      <c r="H7397" t="s">
        <v>5474</v>
      </c>
      <c r="I7397" t="s">
        <v>27311</v>
      </c>
      <c r="J7397" t="s">
        <v>5476</v>
      </c>
      <c r="K7397" t="s">
        <v>27312</v>
      </c>
      <c r="L7397" t="s">
        <v>5471</v>
      </c>
      <c r="M7397" t="s">
        <v>5471</v>
      </c>
    </row>
    <row r="7398" spans="1:13" x14ac:dyDescent="0.3">
      <c r="A7398" t="s">
        <v>3383</v>
      </c>
      <c r="B7398" t="s">
        <v>6122</v>
      </c>
      <c r="C7398" t="s">
        <v>5470</v>
      </c>
      <c r="D7398" t="s">
        <v>4119</v>
      </c>
      <c r="E7398" t="s">
        <v>5756</v>
      </c>
      <c r="F7398" t="s">
        <v>27313</v>
      </c>
      <c r="G7398" t="s">
        <v>12337</v>
      </c>
      <c r="H7398" t="s">
        <v>5474</v>
      </c>
      <c r="I7398" t="s">
        <v>27314</v>
      </c>
      <c r="J7398" t="s">
        <v>5484</v>
      </c>
      <c r="K7398" t="s">
        <v>27315</v>
      </c>
      <c r="L7398" t="s">
        <v>5471</v>
      </c>
      <c r="M7398" t="s">
        <v>5471</v>
      </c>
    </row>
    <row r="7399" spans="1:13" x14ac:dyDescent="0.3">
      <c r="A7399" t="s">
        <v>3383</v>
      </c>
      <c r="B7399" t="s">
        <v>5294</v>
      </c>
      <c r="C7399" t="s">
        <v>5470</v>
      </c>
      <c r="D7399" t="s">
        <v>4119</v>
      </c>
      <c r="E7399" t="s">
        <v>5756</v>
      </c>
      <c r="F7399" t="s">
        <v>27316</v>
      </c>
      <c r="G7399" t="s">
        <v>11851</v>
      </c>
      <c r="H7399" t="s">
        <v>5474</v>
      </c>
      <c r="I7399" t="s">
        <v>27317</v>
      </c>
      <c r="J7399" t="s">
        <v>5476</v>
      </c>
      <c r="K7399" t="s">
        <v>27318</v>
      </c>
      <c r="L7399" t="s">
        <v>5471</v>
      </c>
      <c r="M7399" t="s">
        <v>5471</v>
      </c>
    </row>
    <row r="7400" spans="1:13" x14ac:dyDescent="0.3">
      <c r="A7400" t="s">
        <v>3383</v>
      </c>
      <c r="B7400" t="s">
        <v>7461</v>
      </c>
      <c r="C7400" t="s">
        <v>5470</v>
      </c>
      <c r="D7400" t="s">
        <v>4119</v>
      </c>
      <c r="E7400" t="s">
        <v>5480</v>
      </c>
      <c r="F7400" t="s">
        <v>27319</v>
      </c>
      <c r="G7400" t="s">
        <v>27320</v>
      </c>
      <c r="H7400" t="s">
        <v>5474</v>
      </c>
      <c r="I7400" t="s">
        <v>27321</v>
      </c>
      <c r="J7400" t="s">
        <v>5476</v>
      </c>
      <c r="K7400" t="s">
        <v>5471</v>
      </c>
      <c r="L7400" t="s">
        <v>5471</v>
      </c>
      <c r="M7400" t="s">
        <v>5471</v>
      </c>
    </row>
    <row r="7401" spans="1:13" x14ac:dyDescent="0.3">
      <c r="A7401" t="s">
        <v>3383</v>
      </c>
      <c r="B7401" t="s">
        <v>5332</v>
      </c>
      <c r="C7401" t="s">
        <v>5470</v>
      </c>
      <c r="D7401" t="s">
        <v>4119</v>
      </c>
      <c r="E7401" t="s">
        <v>5756</v>
      </c>
      <c r="F7401" t="s">
        <v>27322</v>
      </c>
      <c r="G7401" t="s">
        <v>19348</v>
      </c>
      <c r="H7401" t="s">
        <v>5474</v>
      </c>
      <c r="I7401" t="s">
        <v>27323</v>
      </c>
      <c r="J7401" t="s">
        <v>5484</v>
      </c>
      <c r="K7401" t="s">
        <v>27324</v>
      </c>
      <c r="L7401" t="s">
        <v>5471</v>
      </c>
      <c r="M7401" t="s">
        <v>5471</v>
      </c>
    </row>
    <row r="7402" spans="1:13" x14ac:dyDescent="0.3">
      <c r="A7402" t="s">
        <v>3383</v>
      </c>
      <c r="B7402" t="s">
        <v>7461</v>
      </c>
      <c r="C7402" t="s">
        <v>5470</v>
      </c>
      <c r="D7402" t="s">
        <v>4119</v>
      </c>
      <c r="E7402" t="s">
        <v>5480</v>
      </c>
      <c r="F7402" t="s">
        <v>27325</v>
      </c>
      <c r="G7402" t="s">
        <v>27326</v>
      </c>
      <c r="H7402" t="s">
        <v>5474</v>
      </c>
      <c r="I7402" t="s">
        <v>27327</v>
      </c>
      <c r="J7402" t="s">
        <v>5476</v>
      </c>
      <c r="K7402" t="s">
        <v>5471</v>
      </c>
      <c r="L7402" t="s">
        <v>5471</v>
      </c>
      <c r="M7402" t="s">
        <v>5471</v>
      </c>
    </row>
    <row r="7403" spans="1:13" x14ac:dyDescent="0.3">
      <c r="A7403" t="s">
        <v>3383</v>
      </c>
      <c r="B7403" t="s">
        <v>7440</v>
      </c>
      <c r="C7403" t="s">
        <v>5470</v>
      </c>
      <c r="D7403" t="s">
        <v>4119</v>
      </c>
      <c r="E7403" t="s">
        <v>5756</v>
      </c>
      <c r="F7403" t="s">
        <v>27328</v>
      </c>
      <c r="G7403" t="s">
        <v>27329</v>
      </c>
      <c r="H7403" t="s">
        <v>5474</v>
      </c>
      <c r="I7403" t="s">
        <v>27330</v>
      </c>
      <c r="J7403" t="s">
        <v>5476</v>
      </c>
      <c r="K7403" t="s">
        <v>27331</v>
      </c>
      <c r="L7403" t="s">
        <v>5471</v>
      </c>
      <c r="M7403" t="s">
        <v>5471</v>
      </c>
    </row>
    <row r="7404" spans="1:13" x14ac:dyDescent="0.3">
      <c r="A7404" t="s">
        <v>3383</v>
      </c>
      <c r="B7404" t="s">
        <v>5294</v>
      </c>
      <c r="C7404" t="s">
        <v>5470</v>
      </c>
      <c r="D7404" t="s">
        <v>4119</v>
      </c>
      <c r="E7404" t="s">
        <v>5756</v>
      </c>
      <c r="F7404" t="s">
        <v>27332</v>
      </c>
      <c r="G7404" t="s">
        <v>26696</v>
      </c>
      <c r="H7404" t="s">
        <v>5474</v>
      </c>
      <c r="I7404" t="s">
        <v>27333</v>
      </c>
      <c r="J7404" t="s">
        <v>5476</v>
      </c>
      <c r="K7404" t="s">
        <v>27318</v>
      </c>
      <c r="L7404" t="s">
        <v>5471</v>
      </c>
      <c r="M7404" t="s">
        <v>5471</v>
      </c>
    </row>
    <row r="7405" spans="1:13" x14ac:dyDescent="0.3">
      <c r="A7405" t="s">
        <v>3383</v>
      </c>
      <c r="B7405" t="s">
        <v>5294</v>
      </c>
      <c r="C7405" t="s">
        <v>5470</v>
      </c>
      <c r="D7405" t="s">
        <v>4119</v>
      </c>
      <c r="E7405" t="s">
        <v>5756</v>
      </c>
      <c r="F7405" t="s">
        <v>27334</v>
      </c>
      <c r="G7405" t="s">
        <v>26696</v>
      </c>
      <c r="H7405" t="s">
        <v>5474</v>
      </c>
      <c r="I7405" t="s">
        <v>27335</v>
      </c>
      <c r="J7405" t="s">
        <v>5476</v>
      </c>
      <c r="K7405" t="s">
        <v>27318</v>
      </c>
      <c r="L7405" t="s">
        <v>5471</v>
      </c>
      <c r="M7405" t="s">
        <v>5471</v>
      </c>
    </row>
    <row r="7406" spans="1:13" x14ac:dyDescent="0.3">
      <c r="A7406" t="s">
        <v>3383</v>
      </c>
      <c r="B7406" t="s">
        <v>5294</v>
      </c>
      <c r="C7406" t="s">
        <v>5470</v>
      </c>
      <c r="D7406" t="s">
        <v>4119</v>
      </c>
      <c r="E7406" t="s">
        <v>5756</v>
      </c>
      <c r="F7406" t="s">
        <v>27336</v>
      </c>
      <c r="G7406" t="s">
        <v>26696</v>
      </c>
      <c r="H7406" t="s">
        <v>5474</v>
      </c>
      <c r="I7406" t="s">
        <v>27337</v>
      </c>
      <c r="J7406" t="s">
        <v>5476</v>
      </c>
      <c r="K7406" t="s">
        <v>27318</v>
      </c>
      <c r="L7406" t="s">
        <v>5471</v>
      </c>
      <c r="M7406" t="s">
        <v>5471</v>
      </c>
    </row>
    <row r="7407" spans="1:13" x14ac:dyDescent="0.3">
      <c r="A7407" t="s">
        <v>3383</v>
      </c>
      <c r="B7407" t="s">
        <v>6051</v>
      </c>
      <c r="C7407" t="s">
        <v>5470</v>
      </c>
      <c r="D7407" t="s">
        <v>4058</v>
      </c>
      <c r="E7407" t="s">
        <v>5756</v>
      </c>
      <c r="F7407" t="s">
        <v>27338</v>
      </c>
      <c r="G7407" t="s">
        <v>7487</v>
      </c>
      <c r="H7407" t="s">
        <v>5474</v>
      </c>
      <c r="I7407" t="s">
        <v>27339</v>
      </c>
      <c r="J7407" t="s">
        <v>5484</v>
      </c>
      <c r="K7407" t="s">
        <v>27340</v>
      </c>
      <c r="L7407" t="s">
        <v>5471</v>
      </c>
      <c r="M7407" t="s">
        <v>5471</v>
      </c>
    </row>
    <row r="7408" spans="1:13" x14ac:dyDescent="0.3">
      <c r="A7408" t="s">
        <v>3383</v>
      </c>
      <c r="B7408" t="s">
        <v>5332</v>
      </c>
      <c r="C7408" t="s">
        <v>5470</v>
      </c>
      <c r="D7408" t="s">
        <v>4058</v>
      </c>
      <c r="E7408" t="s">
        <v>5532</v>
      </c>
      <c r="F7408" t="s">
        <v>27341</v>
      </c>
      <c r="G7408" t="s">
        <v>6239</v>
      </c>
      <c r="H7408" t="s">
        <v>5474</v>
      </c>
      <c r="I7408" t="s">
        <v>27342</v>
      </c>
      <c r="J7408" t="s">
        <v>5476</v>
      </c>
      <c r="K7408" t="s">
        <v>27343</v>
      </c>
      <c r="L7408" t="s">
        <v>5471</v>
      </c>
      <c r="M7408" t="s">
        <v>5471</v>
      </c>
    </row>
    <row r="7409" spans="1:13" x14ac:dyDescent="0.3">
      <c r="A7409" t="s">
        <v>3383</v>
      </c>
      <c r="B7409" t="s">
        <v>5332</v>
      </c>
      <c r="C7409" t="s">
        <v>5470</v>
      </c>
      <c r="D7409" t="s">
        <v>4058</v>
      </c>
      <c r="E7409" t="s">
        <v>5532</v>
      </c>
      <c r="F7409" t="s">
        <v>27344</v>
      </c>
      <c r="G7409" t="s">
        <v>6239</v>
      </c>
      <c r="H7409" t="s">
        <v>5474</v>
      </c>
      <c r="I7409" t="s">
        <v>27345</v>
      </c>
      <c r="J7409" t="s">
        <v>5484</v>
      </c>
      <c r="K7409" t="s">
        <v>27346</v>
      </c>
      <c r="L7409" t="s">
        <v>5471</v>
      </c>
      <c r="M7409" t="s">
        <v>5471</v>
      </c>
    </row>
    <row r="7410" spans="1:13" x14ac:dyDescent="0.3">
      <c r="A7410" t="s">
        <v>3383</v>
      </c>
      <c r="B7410" t="s">
        <v>6051</v>
      </c>
      <c r="C7410" t="s">
        <v>5470</v>
      </c>
      <c r="D7410" t="s">
        <v>4058</v>
      </c>
      <c r="E7410" t="s">
        <v>5756</v>
      </c>
      <c r="F7410" t="s">
        <v>27347</v>
      </c>
      <c r="G7410" t="s">
        <v>6197</v>
      </c>
      <c r="H7410" t="s">
        <v>5474</v>
      </c>
      <c r="I7410" t="s">
        <v>27348</v>
      </c>
      <c r="J7410" t="s">
        <v>5476</v>
      </c>
      <c r="K7410" t="s">
        <v>27349</v>
      </c>
      <c r="L7410" t="s">
        <v>5471</v>
      </c>
      <c r="M7410" t="s">
        <v>5471</v>
      </c>
    </row>
    <row r="7411" spans="1:13" x14ac:dyDescent="0.3">
      <c r="A7411" t="s">
        <v>3383</v>
      </c>
      <c r="B7411" t="s">
        <v>6051</v>
      </c>
      <c r="C7411" t="s">
        <v>5470</v>
      </c>
      <c r="D7411" t="s">
        <v>4058</v>
      </c>
      <c r="E7411" t="s">
        <v>5756</v>
      </c>
      <c r="F7411" t="s">
        <v>27350</v>
      </c>
      <c r="G7411" t="s">
        <v>7487</v>
      </c>
      <c r="H7411" t="s">
        <v>5474</v>
      </c>
      <c r="I7411" t="s">
        <v>27351</v>
      </c>
      <c r="J7411" t="s">
        <v>5476</v>
      </c>
      <c r="K7411" t="s">
        <v>27352</v>
      </c>
      <c r="L7411" t="s">
        <v>5471</v>
      </c>
      <c r="M7411" t="s">
        <v>5471</v>
      </c>
    </row>
    <row r="7412" spans="1:13" x14ac:dyDescent="0.3">
      <c r="A7412" t="s">
        <v>3383</v>
      </c>
      <c r="B7412" t="s">
        <v>6051</v>
      </c>
      <c r="C7412" t="s">
        <v>5470</v>
      </c>
      <c r="D7412" t="s">
        <v>4081</v>
      </c>
      <c r="E7412" t="s">
        <v>5480</v>
      </c>
      <c r="F7412" t="s">
        <v>27353</v>
      </c>
      <c r="G7412" t="s">
        <v>7133</v>
      </c>
      <c r="H7412" t="s">
        <v>5474</v>
      </c>
      <c r="I7412" t="s">
        <v>27354</v>
      </c>
      <c r="J7412" t="s">
        <v>5476</v>
      </c>
      <c r="K7412" t="s">
        <v>27355</v>
      </c>
      <c r="L7412" t="s">
        <v>5471</v>
      </c>
      <c r="M7412" t="s">
        <v>5471</v>
      </c>
    </row>
    <row r="7413" spans="1:13" x14ac:dyDescent="0.3">
      <c r="A7413" t="s">
        <v>3383</v>
      </c>
      <c r="B7413" t="s">
        <v>7461</v>
      </c>
      <c r="C7413" t="s">
        <v>5470</v>
      </c>
      <c r="D7413" t="s">
        <v>4119</v>
      </c>
      <c r="E7413" t="s">
        <v>5756</v>
      </c>
      <c r="F7413" t="s">
        <v>27356</v>
      </c>
      <c r="G7413" t="s">
        <v>27357</v>
      </c>
      <c r="H7413" t="s">
        <v>5474</v>
      </c>
      <c r="I7413" t="s">
        <v>27358</v>
      </c>
      <c r="J7413" t="s">
        <v>5476</v>
      </c>
      <c r="K7413" t="s">
        <v>5471</v>
      </c>
      <c r="L7413" t="s">
        <v>5471</v>
      </c>
      <c r="M7413" t="s">
        <v>5471</v>
      </c>
    </row>
    <row r="7414" spans="1:13" x14ac:dyDescent="0.3">
      <c r="A7414" t="s">
        <v>3383</v>
      </c>
      <c r="B7414" t="s">
        <v>7461</v>
      </c>
      <c r="C7414" t="s">
        <v>5470</v>
      </c>
      <c r="D7414" t="s">
        <v>4119</v>
      </c>
      <c r="E7414" t="s">
        <v>5756</v>
      </c>
      <c r="F7414" t="s">
        <v>27359</v>
      </c>
      <c r="G7414" t="s">
        <v>27357</v>
      </c>
      <c r="H7414" t="s">
        <v>5474</v>
      </c>
      <c r="I7414" t="s">
        <v>27360</v>
      </c>
      <c r="J7414" t="s">
        <v>5476</v>
      </c>
      <c r="K7414" t="s">
        <v>5471</v>
      </c>
      <c r="L7414" t="s">
        <v>5471</v>
      </c>
      <c r="M7414" t="s">
        <v>5471</v>
      </c>
    </row>
    <row r="7415" spans="1:13" x14ac:dyDescent="0.3">
      <c r="A7415" t="s">
        <v>3383</v>
      </c>
      <c r="B7415" t="s">
        <v>7461</v>
      </c>
      <c r="C7415" t="s">
        <v>5470</v>
      </c>
      <c r="D7415" t="s">
        <v>4119</v>
      </c>
      <c r="E7415" t="s">
        <v>5756</v>
      </c>
      <c r="F7415" t="s">
        <v>27361</v>
      </c>
      <c r="G7415" t="s">
        <v>27357</v>
      </c>
      <c r="H7415" t="s">
        <v>5474</v>
      </c>
      <c r="I7415" t="s">
        <v>27362</v>
      </c>
      <c r="J7415" t="s">
        <v>5476</v>
      </c>
      <c r="K7415" t="s">
        <v>5471</v>
      </c>
      <c r="L7415" t="s">
        <v>5471</v>
      </c>
      <c r="M7415" t="s">
        <v>5471</v>
      </c>
    </row>
    <row r="7416" spans="1:13" x14ac:dyDescent="0.3">
      <c r="A7416" t="s">
        <v>3383</v>
      </c>
      <c r="B7416" t="s">
        <v>5952</v>
      </c>
      <c r="C7416" t="s">
        <v>5470</v>
      </c>
      <c r="D7416" t="s">
        <v>4058</v>
      </c>
      <c r="E7416" t="s">
        <v>5756</v>
      </c>
      <c r="F7416" t="s">
        <v>27363</v>
      </c>
      <c r="G7416" t="s">
        <v>6369</v>
      </c>
      <c r="H7416" t="s">
        <v>5474</v>
      </c>
      <c r="I7416" t="s">
        <v>27364</v>
      </c>
      <c r="J7416" t="s">
        <v>5484</v>
      </c>
      <c r="K7416" t="s">
        <v>27365</v>
      </c>
      <c r="L7416" t="s">
        <v>5471</v>
      </c>
      <c r="M7416" t="s">
        <v>5471</v>
      </c>
    </row>
    <row r="7417" spans="1:13" x14ac:dyDescent="0.3">
      <c r="A7417" t="s">
        <v>3383</v>
      </c>
      <c r="B7417" t="s">
        <v>5952</v>
      </c>
      <c r="C7417" t="s">
        <v>5470</v>
      </c>
      <c r="D7417" t="s">
        <v>4058</v>
      </c>
      <c r="E7417" t="s">
        <v>5756</v>
      </c>
      <c r="F7417" t="s">
        <v>27366</v>
      </c>
      <c r="G7417" t="s">
        <v>6369</v>
      </c>
      <c r="H7417" t="s">
        <v>5474</v>
      </c>
      <c r="I7417" t="s">
        <v>27367</v>
      </c>
      <c r="J7417" t="s">
        <v>5484</v>
      </c>
      <c r="K7417" t="s">
        <v>27368</v>
      </c>
      <c r="L7417" t="s">
        <v>5471</v>
      </c>
      <c r="M7417" t="s">
        <v>5471</v>
      </c>
    </row>
    <row r="7418" spans="1:13" x14ac:dyDescent="0.3">
      <c r="A7418" t="s">
        <v>3383</v>
      </c>
      <c r="B7418" t="s">
        <v>5952</v>
      </c>
      <c r="C7418" t="s">
        <v>5470</v>
      </c>
      <c r="D7418" t="s">
        <v>4058</v>
      </c>
      <c r="E7418" t="s">
        <v>5756</v>
      </c>
      <c r="F7418" t="s">
        <v>27369</v>
      </c>
      <c r="G7418" t="s">
        <v>6369</v>
      </c>
      <c r="H7418" t="s">
        <v>5474</v>
      </c>
      <c r="I7418" t="s">
        <v>27370</v>
      </c>
      <c r="J7418" t="s">
        <v>5476</v>
      </c>
      <c r="K7418" t="s">
        <v>27371</v>
      </c>
      <c r="L7418" t="s">
        <v>5471</v>
      </c>
      <c r="M7418" t="s">
        <v>5471</v>
      </c>
    </row>
    <row r="7419" spans="1:13" x14ac:dyDescent="0.3">
      <c r="A7419" t="s">
        <v>3383</v>
      </c>
      <c r="B7419" t="s">
        <v>7461</v>
      </c>
      <c r="C7419" t="s">
        <v>5470</v>
      </c>
      <c r="D7419" t="s">
        <v>4119</v>
      </c>
      <c r="E7419" t="s">
        <v>5756</v>
      </c>
      <c r="F7419" t="s">
        <v>27372</v>
      </c>
      <c r="G7419" t="s">
        <v>27357</v>
      </c>
      <c r="H7419" t="s">
        <v>5474</v>
      </c>
      <c r="I7419" t="s">
        <v>27373</v>
      </c>
      <c r="J7419" t="s">
        <v>5476</v>
      </c>
      <c r="K7419" t="s">
        <v>5471</v>
      </c>
      <c r="L7419" t="s">
        <v>5471</v>
      </c>
      <c r="M7419" t="s">
        <v>5471</v>
      </c>
    </row>
    <row r="7420" spans="1:13" x14ac:dyDescent="0.3">
      <c r="A7420" t="s">
        <v>3383</v>
      </c>
      <c r="B7420" t="s">
        <v>5952</v>
      </c>
      <c r="C7420" t="s">
        <v>5470</v>
      </c>
      <c r="D7420" t="s">
        <v>4058</v>
      </c>
      <c r="E7420" t="s">
        <v>5756</v>
      </c>
      <c r="F7420" t="s">
        <v>27374</v>
      </c>
      <c r="G7420" t="s">
        <v>6369</v>
      </c>
      <c r="H7420" t="s">
        <v>5474</v>
      </c>
      <c r="I7420" t="s">
        <v>27375</v>
      </c>
      <c r="J7420" t="s">
        <v>5476</v>
      </c>
      <c r="K7420" t="s">
        <v>27376</v>
      </c>
      <c r="L7420" t="s">
        <v>5471</v>
      </c>
      <c r="M7420" t="s">
        <v>5471</v>
      </c>
    </row>
    <row r="7421" spans="1:13" x14ac:dyDescent="0.3">
      <c r="A7421" t="s">
        <v>3383</v>
      </c>
      <c r="B7421" t="s">
        <v>7461</v>
      </c>
      <c r="C7421" t="s">
        <v>5470</v>
      </c>
      <c r="D7421" t="s">
        <v>4119</v>
      </c>
      <c r="E7421" t="s">
        <v>5756</v>
      </c>
      <c r="F7421" t="s">
        <v>27377</v>
      </c>
      <c r="G7421" t="s">
        <v>27357</v>
      </c>
      <c r="H7421" t="s">
        <v>5474</v>
      </c>
      <c r="I7421" t="s">
        <v>27378</v>
      </c>
      <c r="J7421" t="s">
        <v>5476</v>
      </c>
      <c r="K7421" t="s">
        <v>5471</v>
      </c>
      <c r="L7421" t="s">
        <v>5471</v>
      </c>
      <c r="M7421" t="s">
        <v>5471</v>
      </c>
    </row>
    <row r="7422" spans="1:13" x14ac:dyDescent="0.3">
      <c r="A7422" t="s">
        <v>3383</v>
      </c>
      <c r="B7422" t="s">
        <v>5332</v>
      </c>
      <c r="C7422" t="s">
        <v>5470</v>
      </c>
      <c r="D7422" t="s">
        <v>4119</v>
      </c>
      <c r="E7422" t="s">
        <v>5532</v>
      </c>
      <c r="F7422" t="s">
        <v>27379</v>
      </c>
      <c r="G7422" t="s">
        <v>19348</v>
      </c>
      <c r="H7422" t="s">
        <v>5474</v>
      </c>
      <c r="I7422" t="s">
        <v>27380</v>
      </c>
      <c r="J7422" t="s">
        <v>5484</v>
      </c>
      <c r="K7422" t="s">
        <v>27381</v>
      </c>
      <c r="L7422" t="s">
        <v>5471</v>
      </c>
      <c r="M7422" t="s">
        <v>5471</v>
      </c>
    </row>
    <row r="7423" spans="1:13" x14ac:dyDescent="0.3">
      <c r="A7423" t="s">
        <v>3383</v>
      </c>
      <c r="B7423" t="s">
        <v>7461</v>
      </c>
      <c r="C7423" t="s">
        <v>5470</v>
      </c>
      <c r="D7423" t="s">
        <v>4119</v>
      </c>
      <c r="E7423" t="s">
        <v>5756</v>
      </c>
      <c r="F7423" t="s">
        <v>27382</v>
      </c>
      <c r="G7423" t="s">
        <v>27357</v>
      </c>
      <c r="H7423" t="s">
        <v>5474</v>
      </c>
      <c r="I7423" t="s">
        <v>27383</v>
      </c>
      <c r="J7423" t="s">
        <v>5484</v>
      </c>
      <c r="K7423" t="s">
        <v>5471</v>
      </c>
      <c r="L7423" t="s">
        <v>5471</v>
      </c>
      <c r="M7423" t="s">
        <v>5471</v>
      </c>
    </row>
    <row r="7424" spans="1:13" x14ac:dyDescent="0.3">
      <c r="A7424" t="s">
        <v>3383</v>
      </c>
      <c r="B7424" t="s">
        <v>7461</v>
      </c>
      <c r="C7424" t="s">
        <v>5470</v>
      </c>
      <c r="D7424" t="s">
        <v>4119</v>
      </c>
      <c r="E7424" t="s">
        <v>5756</v>
      </c>
      <c r="F7424" t="s">
        <v>27384</v>
      </c>
      <c r="G7424" t="s">
        <v>27357</v>
      </c>
      <c r="H7424" t="s">
        <v>5474</v>
      </c>
      <c r="I7424" t="s">
        <v>27385</v>
      </c>
      <c r="J7424" t="s">
        <v>5476</v>
      </c>
      <c r="K7424" t="s">
        <v>5471</v>
      </c>
      <c r="L7424" t="s">
        <v>5471</v>
      </c>
      <c r="M7424" t="s">
        <v>5471</v>
      </c>
    </row>
    <row r="7425" spans="1:13" x14ac:dyDescent="0.3">
      <c r="A7425" t="s">
        <v>3383</v>
      </c>
      <c r="B7425" t="s">
        <v>5332</v>
      </c>
      <c r="C7425" t="s">
        <v>5470</v>
      </c>
      <c r="D7425" t="s">
        <v>4119</v>
      </c>
      <c r="E7425" t="s">
        <v>5532</v>
      </c>
      <c r="F7425" t="s">
        <v>27386</v>
      </c>
      <c r="G7425" t="s">
        <v>27387</v>
      </c>
      <c r="H7425" t="s">
        <v>5474</v>
      </c>
      <c r="I7425" t="s">
        <v>27388</v>
      </c>
      <c r="J7425" t="s">
        <v>5484</v>
      </c>
      <c r="K7425" t="s">
        <v>27389</v>
      </c>
      <c r="L7425" t="s">
        <v>5471</v>
      </c>
      <c r="M7425" t="s">
        <v>5471</v>
      </c>
    </row>
    <row r="7426" spans="1:13" x14ac:dyDescent="0.3">
      <c r="A7426" t="s">
        <v>3383</v>
      </c>
      <c r="B7426" t="s">
        <v>5332</v>
      </c>
      <c r="C7426" t="s">
        <v>5470</v>
      </c>
      <c r="D7426" t="s">
        <v>4119</v>
      </c>
      <c r="E7426" t="s">
        <v>5532</v>
      </c>
      <c r="F7426" t="s">
        <v>27390</v>
      </c>
      <c r="G7426" t="s">
        <v>27391</v>
      </c>
      <c r="H7426" t="s">
        <v>5474</v>
      </c>
      <c r="I7426" t="s">
        <v>27392</v>
      </c>
      <c r="J7426" t="s">
        <v>5484</v>
      </c>
      <c r="K7426" t="s">
        <v>27389</v>
      </c>
      <c r="L7426" t="s">
        <v>5471</v>
      </c>
      <c r="M7426" t="s">
        <v>5471</v>
      </c>
    </row>
    <row r="7427" spans="1:13" x14ac:dyDescent="0.3">
      <c r="A7427" t="s">
        <v>3383</v>
      </c>
      <c r="B7427" t="s">
        <v>7461</v>
      </c>
      <c r="C7427" t="s">
        <v>5470</v>
      </c>
      <c r="D7427" t="s">
        <v>4119</v>
      </c>
      <c r="E7427" t="s">
        <v>5756</v>
      </c>
      <c r="F7427" t="s">
        <v>27393</v>
      </c>
      <c r="G7427" t="s">
        <v>27357</v>
      </c>
      <c r="H7427" t="s">
        <v>5474</v>
      </c>
      <c r="I7427" t="s">
        <v>27394</v>
      </c>
      <c r="J7427" t="s">
        <v>5476</v>
      </c>
      <c r="K7427" t="s">
        <v>5471</v>
      </c>
      <c r="L7427" t="s">
        <v>5471</v>
      </c>
      <c r="M7427" t="s">
        <v>5471</v>
      </c>
    </row>
    <row r="7428" spans="1:13" x14ac:dyDescent="0.3">
      <c r="A7428" t="s">
        <v>3383</v>
      </c>
      <c r="B7428" t="s">
        <v>7461</v>
      </c>
      <c r="C7428" t="s">
        <v>5470</v>
      </c>
      <c r="D7428" t="s">
        <v>4119</v>
      </c>
      <c r="E7428" t="s">
        <v>5756</v>
      </c>
      <c r="F7428" t="s">
        <v>27395</v>
      </c>
      <c r="G7428" t="s">
        <v>27357</v>
      </c>
      <c r="H7428" t="s">
        <v>5474</v>
      </c>
      <c r="I7428" t="s">
        <v>27396</v>
      </c>
      <c r="J7428" t="s">
        <v>5476</v>
      </c>
      <c r="K7428" t="s">
        <v>5471</v>
      </c>
      <c r="L7428" t="s">
        <v>5471</v>
      </c>
      <c r="M7428" t="s">
        <v>5471</v>
      </c>
    </row>
    <row r="7429" spans="1:13" x14ac:dyDescent="0.3">
      <c r="A7429" t="s">
        <v>3383</v>
      </c>
      <c r="B7429" t="s">
        <v>7461</v>
      </c>
      <c r="C7429" t="s">
        <v>5470</v>
      </c>
      <c r="D7429" t="s">
        <v>4119</v>
      </c>
      <c r="E7429" t="s">
        <v>5756</v>
      </c>
      <c r="F7429" t="s">
        <v>27397</v>
      </c>
      <c r="G7429" t="s">
        <v>27357</v>
      </c>
      <c r="H7429" t="s">
        <v>5474</v>
      </c>
      <c r="I7429" t="s">
        <v>27398</v>
      </c>
      <c r="J7429" t="s">
        <v>5476</v>
      </c>
      <c r="K7429" t="s">
        <v>5471</v>
      </c>
      <c r="L7429" t="s">
        <v>5471</v>
      </c>
      <c r="M7429" t="s">
        <v>5471</v>
      </c>
    </row>
    <row r="7430" spans="1:13" x14ac:dyDescent="0.3">
      <c r="A7430" t="s">
        <v>3383</v>
      </c>
      <c r="B7430" t="s">
        <v>7461</v>
      </c>
      <c r="C7430" t="s">
        <v>5470</v>
      </c>
      <c r="D7430" t="s">
        <v>4119</v>
      </c>
      <c r="E7430" t="s">
        <v>5756</v>
      </c>
      <c r="F7430" t="s">
        <v>27399</v>
      </c>
      <c r="G7430" t="s">
        <v>27357</v>
      </c>
      <c r="H7430" t="s">
        <v>5474</v>
      </c>
      <c r="I7430" t="s">
        <v>27400</v>
      </c>
      <c r="J7430" t="s">
        <v>5476</v>
      </c>
      <c r="K7430" t="s">
        <v>5471</v>
      </c>
      <c r="L7430" t="s">
        <v>5471</v>
      </c>
      <c r="M7430" t="s">
        <v>5471</v>
      </c>
    </row>
    <row r="7431" spans="1:13" x14ac:dyDescent="0.3">
      <c r="A7431" t="s">
        <v>3383</v>
      </c>
      <c r="B7431" t="s">
        <v>7461</v>
      </c>
      <c r="C7431" t="s">
        <v>5470</v>
      </c>
      <c r="D7431" t="s">
        <v>4119</v>
      </c>
      <c r="E7431" t="s">
        <v>5480</v>
      </c>
      <c r="F7431" t="s">
        <v>27401</v>
      </c>
      <c r="G7431" t="s">
        <v>27402</v>
      </c>
      <c r="H7431" t="s">
        <v>5474</v>
      </c>
      <c r="I7431" t="s">
        <v>27403</v>
      </c>
      <c r="J7431" t="s">
        <v>5476</v>
      </c>
      <c r="K7431" t="s">
        <v>5471</v>
      </c>
      <c r="L7431" t="s">
        <v>5471</v>
      </c>
      <c r="M7431" t="s">
        <v>5471</v>
      </c>
    </row>
    <row r="7432" spans="1:13" x14ac:dyDescent="0.3">
      <c r="A7432" t="s">
        <v>3383</v>
      </c>
      <c r="B7432" t="s">
        <v>6051</v>
      </c>
      <c r="C7432" t="s">
        <v>5470</v>
      </c>
      <c r="D7432" t="s">
        <v>4081</v>
      </c>
      <c r="E7432" t="s">
        <v>5480</v>
      </c>
      <c r="F7432" t="s">
        <v>27404</v>
      </c>
      <c r="G7432" t="s">
        <v>6053</v>
      </c>
      <c r="H7432" t="s">
        <v>5474</v>
      </c>
      <c r="I7432" t="s">
        <v>27405</v>
      </c>
      <c r="J7432" t="s">
        <v>5484</v>
      </c>
      <c r="K7432" t="s">
        <v>27406</v>
      </c>
      <c r="L7432" t="s">
        <v>5471</v>
      </c>
      <c r="M7432" t="s">
        <v>5471</v>
      </c>
    </row>
    <row r="7433" spans="1:13" x14ac:dyDescent="0.3">
      <c r="A7433" t="s">
        <v>3383</v>
      </c>
      <c r="B7433" t="s">
        <v>6051</v>
      </c>
      <c r="C7433" t="s">
        <v>5470</v>
      </c>
      <c r="D7433" t="s">
        <v>4081</v>
      </c>
      <c r="E7433" t="s">
        <v>5480</v>
      </c>
      <c r="F7433" t="s">
        <v>27407</v>
      </c>
      <c r="G7433" t="s">
        <v>6053</v>
      </c>
      <c r="H7433" t="s">
        <v>5474</v>
      </c>
      <c r="I7433" t="s">
        <v>27408</v>
      </c>
      <c r="J7433" t="s">
        <v>5484</v>
      </c>
      <c r="K7433" t="s">
        <v>27409</v>
      </c>
      <c r="L7433" t="s">
        <v>5471</v>
      </c>
      <c r="M7433" t="s">
        <v>5471</v>
      </c>
    </row>
    <row r="7434" spans="1:13" x14ac:dyDescent="0.3">
      <c r="A7434" t="s">
        <v>3383</v>
      </c>
      <c r="B7434" t="s">
        <v>6051</v>
      </c>
      <c r="C7434" t="s">
        <v>5470</v>
      </c>
      <c r="D7434" t="s">
        <v>4081</v>
      </c>
      <c r="E7434" t="s">
        <v>5480</v>
      </c>
      <c r="F7434" t="s">
        <v>27410</v>
      </c>
      <c r="G7434" t="s">
        <v>6053</v>
      </c>
      <c r="H7434" t="s">
        <v>5474</v>
      </c>
      <c r="I7434" t="s">
        <v>27411</v>
      </c>
      <c r="J7434" t="s">
        <v>5484</v>
      </c>
      <c r="K7434" t="s">
        <v>27412</v>
      </c>
      <c r="L7434" t="s">
        <v>5471</v>
      </c>
      <c r="M7434" t="s">
        <v>5471</v>
      </c>
    </row>
    <row r="7435" spans="1:13" x14ac:dyDescent="0.3">
      <c r="A7435" t="s">
        <v>3383</v>
      </c>
      <c r="B7435" t="s">
        <v>6051</v>
      </c>
      <c r="C7435" t="s">
        <v>5470</v>
      </c>
      <c r="D7435" t="s">
        <v>4081</v>
      </c>
      <c r="E7435" t="s">
        <v>5480</v>
      </c>
      <c r="F7435" t="s">
        <v>27413</v>
      </c>
      <c r="G7435" t="s">
        <v>6053</v>
      </c>
      <c r="H7435" t="s">
        <v>5474</v>
      </c>
      <c r="I7435" t="s">
        <v>27414</v>
      </c>
      <c r="J7435" t="s">
        <v>5484</v>
      </c>
      <c r="K7435" t="s">
        <v>27415</v>
      </c>
      <c r="L7435" t="s">
        <v>5471</v>
      </c>
      <c r="M7435" t="s">
        <v>5471</v>
      </c>
    </row>
    <row r="7436" spans="1:13" x14ac:dyDescent="0.3">
      <c r="A7436" t="s">
        <v>3383</v>
      </c>
      <c r="B7436" t="s">
        <v>7461</v>
      </c>
      <c r="C7436" t="s">
        <v>5470</v>
      </c>
      <c r="D7436" t="s">
        <v>4119</v>
      </c>
      <c r="E7436" t="s">
        <v>5480</v>
      </c>
      <c r="F7436" t="s">
        <v>27416</v>
      </c>
      <c r="G7436" t="s">
        <v>27402</v>
      </c>
      <c r="H7436" t="s">
        <v>5474</v>
      </c>
      <c r="I7436" t="s">
        <v>27417</v>
      </c>
      <c r="J7436" t="s">
        <v>5476</v>
      </c>
      <c r="K7436" t="s">
        <v>5471</v>
      </c>
      <c r="L7436" t="s">
        <v>5471</v>
      </c>
      <c r="M7436" t="s">
        <v>5471</v>
      </c>
    </row>
    <row r="7437" spans="1:13" x14ac:dyDescent="0.3">
      <c r="A7437" t="s">
        <v>3383</v>
      </c>
      <c r="B7437" t="s">
        <v>6586</v>
      </c>
      <c r="C7437" t="s">
        <v>5470</v>
      </c>
      <c r="D7437" t="s">
        <v>4119</v>
      </c>
      <c r="E7437" t="s">
        <v>5532</v>
      </c>
      <c r="F7437" t="s">
        <v>27418</v>
      </c>
      <c r="G7437" t="s">
        <v>6586</v>
      </c>
      <c r="H7437" t="s">
        <v>5474</v>
      </c>
      <c r="I7437" t="s">
        <v>27419</v>
      </c>
      <c r="J7437" t="s">
        <v>5484</v>
      </c>
      <c r="K7437" t="s">
        <v>27420</v>
      </c>
      <c r="L7437" t="s">
        <v>5471</v>
      </c>
      <c r="M7437" t="s">
        <v>5471</v>
      </c>
    </row>
    <row r="7438" spans="1:13" x14ac:dyDescent="0.3">
      <c r="A7438" t="s">
        <v>3383</v>
      </c>
      <c r="B7438" t="s">
        <v>5332</v>
      </c>
      <c r="C7438" t="s">
        <v>5470</v>
      </c>
      <c r="D7438" t="s">
        <v>4119</v>
      </c>
      <c r="E7438" t="s">
        <v>5532</v>
      </c>
      <c r="F7438" t="s">
        <v>27421</v>
      </c>
      <c r="G7438" t="s">
        <v>27422</v>
      </c>
      <c r="H7438" t="s">
        <v>5474</v>
      </c>
      <c r="I7438" t="s">
        <v>27423</v>
      </c>
      <c r="J7438" t="s">
        <v>5484</v>
      </c>
      <c r="K7438" t="s">
        <v>27424</v>
      </c>
      <c r="L7438" t="s">
        <v>5471</v>
      </c>
      <c r="M7438" t="s">
        <v>5471</v>
      </c>
    </row>
    <row r="7439" spans="1:13" x14ac:dyDescent="0.3">
      <c r="A7439" t="s">
        <v>3380</v>
      </c>
      <c r="B7439" t="s">
        <v>11061</v>
      </c>
      <c r="C7439" t="s">
        <v>6342</v>
      </c>
      <c r="D7439" t="s">
        <v>4056</v>
      </c>
      <c r="E7439" t="s">
        <v>5843</v>
      </c>
      <c r="F7439" t="s">
        <v>27425</v>
      </c>
      <c r="G7439" t="s">
        <v>11063</v>
      </c>
      <c r="H7439" t="s">
        <v>5474</v>
      </c>
      <c r="I7439" t="s">
        <v>27426</v>
      </c>
      <c r="J7439" t="s">
        <v>5476</v>
      </c>
      <c r="K7439" t="s">
        <v>27427</v>
      </c>
      <c r="L7439" t="s">
        <v>5471</v>
      </c>
      <c r="M7439" t="s">
        <v>5471</v>
      </c>
    </row>
    <row r="7440" spans="1:13" x14ac:dyDescent="0.3">
      <c r="A7440" t="s">
        <v>3380</v>
      </c>
      <c r="B7440" t="s">
        <v>11061</v>
      </c>
      <c r="C7440" t="s">
        <v>6342</v>
      </c>
      <c r="D7440" t="s">
        <v>4056</v>
      </c>
      <c r="E7440" t="s">
        <v>5843</v>
      </c>
      <c r="F7440" t="s">
        <v>27428</v>
      </c>
      <c r="G7440" t="s">
        <v>11063</v>
      </c>
      <c r="H7440" t="s">
        <v>5474</v>
      </c>
      <c r="I7440" t="s">
        <v>27429</v>
      </c>
      <c r="J7440" t="s">
        <v>5476</v>
      </c>
      <c r="K7440" t="s">
        <v>5471</v>
      </c>
      <c r="L7440" t="s">
        <v>5471</v>
      </c>
      <c r="M7440" t="s">
        <v>5471</v>
      </c>
    </row>
    <row r="7441" spans="1:13" x14ac:dyDescent="0.3">
      <c r="A7441" t="s">
        <v>3388</v>
      </c>
      <c r="B7441" t="s">
        <v>11089</v>
      </c>
      <c r="C7441" t="s">
        <v>5470</v>
      </c>
      <c r="D7441" t="s">
        <v>4119</v>
      </c>
      <c r="E7441" t="s">
        <v>5532</v>
      </c>
      <c r="F7441" t="s">
        <v>27430</v>
      </c>
      <c r="G7441" t="s">
        <v>11091</v>
      </c>
      <c r="H7441" t="s">
        <v>5474</v>
      </c>
      <c r="I7441" t="s">
        <v>27431</v>
      </c>
      <c r="J7441" t="s">
        <v>5476</v>
      </c>
      <c r="K7441" t="s">
        <v>27432</v>
      </c>
      <c r="L7441" t="s">
        <v>5471</v>
      </c>
      <c r="M7441" t="s">
        <v>5471</v>
      </c>
    </row>
    <row r="7442" spans="1:13" x14ac:dyDescent="0.3">
      <c r="A7442" t="s">
        <v>3388</v>
      </c>
      <c r="B7442" t="s">
        <v>6478</v>
      </c>
      <c r="C7442" t="s">
        <v>5470</v>
      </c>
      <c r="D7442" t="s">
        <v>4119</v>
      </c>
      <c r="E7442" t="s">
        <v>5480</v>
      </c>
      <c r="F7442" t="s">
        <v>27433</v>
      </c>
      <c r="G7442" t="s">
        <v>27434</v>
      </c>
      <c r="H7442" t="s">
        <v>5474</v>
      </c>
      <c r="I7442" t="s">
        <v>27435</v>
      </c>
      <c r="J7442" t="s">
        <v>5476</v>
      </c>
      <c r="K7442" t="s">
        <v>27436</v>
      </c>
      <c r="L7442" t="s">
        <v>5471</v>
      </c>
      <c r="M7442" t="s">
        <v>5471</v>
      </c>
    </row>
    <row r="7443" spans="1:13" x14ac:dyDescent="0.3">
      <c r="A7443" t="s">
        <v>3388</v>
      </c>
      <c r="B7443" t="s">
        <v>6452</v>
      </c>
      <c r="C7443" t="s">
        <v>5470</v>
      </c>
      <c r="D7443" t="s">
        <v>4119</v>
      </c>
      <c r="E7443" t="s">
        <v>5532</v>
      </c>
      <c r="F7443" t="s">
        <v>27437</v>
      </c>
      <c r="G7443" t="s">
        <v>15722</v>
      </c>
      <c r="H7443" t="s">
        <v>5474</v>
      </c>
      <c r="I7443" t="s">
        <v>27438</v>
      </c>
      <c r="J7443" t="s">
        <v>5484</v>
      </c>
      <c r="K7443" t="s">
        <v>5471</v>
      </c>
      <c r="L7443" t="s">
        <v>5471</v>
      </c>
      <c r="M7443" t="s">
        <v>5471</v>
      </c>
    </row>
    <row r="7444" spans="1:13" x14ac:dyDescent="0.3">
      <c r="A7444" t="s">
        <v>3388</v>
      </c>
      <c r="B7444" t="s">
        <v>5956</v>
      </c>
      <c r="C7444" t="s">
        <v>5470</v>
      </c>
      <c r="D7444" t="s">
        <v>4119</v>
      </c>
      <c r="E7444" t="s">
        <v>5532</v>
      </c>
      <c r="F7444" t="s">
        <v>27439</v>
      </c>
      <c r="G7444" t="s">
        <v>10876</v>
      </c>
      <c r="H7444" t="s">
        <v>5474</v>
      </c>
      <c r="I7444" t="s">
        <v>27440</v>
      </c>
      <c r="J7444" t="s">
        <v>5484</v>
      </c>
      <c r="K7444" t="s">
        <v>5471</v>
      </c>
      <c r="L7444" t="s">
        <v>5471</v>
      </c>
      <c r="M7444" t="s">
        <v>5471</v>
      </c>
    </row>
    <row r="7445" spans="1:13" x14ac:dyDescent="0.3">
      <c r="A7445" t="s">
        <v>3383</v>
      </c>
      <c r="B7445" t="s">
        <v>6187</v>
      </c>
      <c r="C7445" t="s">
        <v>5470</v>
      </c>
      <c r="D7445" t="s">
        <v>4052</v>
      </c>
      <c r="E7445" t="s">
        <v>5756</v>
      </c>
      <c r="F7445" t="s">
        <v>27441</v>
      </c>
      <c r="G7445" t="s">
        <v>20560</v>
      </c>
      <c r="H7445" t="s">
        <v>5474</v>
      </c>
      <c r="I7445" t="s">
        <v>27442</v>
      </c>
      <c r="J7445" t="s">
        <v>5476</v>
      </c>
      <c r="K7445" t="s">
        <v>27443</v>
      </c>
      <c r="L7445" t="s">
        <v>5478</v>
      </c>
      <c r="M7445" t="s">
        <v>5471</v>
      </c>
    </row>
    <row r="7446" spans="1:13" x14ac:dyDescent="0.3">
      <c r="A7446" t="s">
        <v>3383</v>
      </c>
      <c r="B7446" t="s">
        <v>6187</v>
      </c>
      <c r="C7446" t="s">
        <v>5470</v>
      </c>
      <c r="D7446" t="s">
        <v>4052</v>
      </c>
      <c r="E7446" t="s">
        <v>5756</v>
      </c>
      <c r="F7446" t="s">
        <v>27444</v>
      </c>
      <c r="G7446" t="s">
        <v>27445</v>
      </c>
      <c r="H7446" t="s">
        <v>5474</v>
      </c>
      <c r="I7446" t="s">
        <v>27446</v>
      </c>
      <c r="J7446" t="s">
        <v>5476</v>
      </c>
      <c r="K7446" t="s">
        <v>27447</v>
      </c>
      <c r="L7446" t="s">
        <v>20537</v>
      </c>
      <c r="M7446" t="s">
        <v>5471</v>
      </c>
    </row>
    <row r="7447" spans="1:13" x14ac:dyDescent="0.3">
      <c r="A7447" t="s">
        <v>3383</v>
      </c>
      <c r="B7447" t="s">
        <v>6187</v>
      </c>
      <c r="C7447" t="s">
        <v>5470</v>
      </c>
      <c r="D7447" t="s">
        <v>4052</v>
      </c>
      <c r="E7447" t="s">
        <v>5756</v>
      </c>
      <c r="F7447" t="s">
        <v>27448</v>
      </c>
      <c r="G7447" t="s">
        <v>7490</v>
      </c>
      <c r="H7447" t="s">
        <v>5474</v>
      </c>
      <c r="I7447" t="s">
        <v>27449</v>
      </c>
      <c r="J7447" t="s">
        <v>5476</v>
      </c>
      <c r="K7447" t="s">
        <v>27450</v>
      </c>
      <c r="L7447" t="s">
        <v>20537</v>
      </c>
      <c r="M7447" t="s">
        <v>5471</v>
      </c>
    </row>
    <row r="7448" spans="1:13" x14ac:dyDescent="0.3">
      <c r="A7448" t="s">
        <v>3397</v>
      </c>
      <c r="B7448" t="s">
        <v>27451</v>
      </c>
      <c r="C7448" t="s">
        <v>5487</v>
      </c>
      <c r="D7448" t="s">
        <v>4119</v>
      </c>
      <c r="E7448" t="s">
        <v>5532</v>
      </c>
      <c r="F7448" t="s">
        <v>27452</v>
      </c>
      <c r="G7448" t="s">
        <v>27453</v>
      </c>
      <c r="H7448" t="s">
        <v>5474</v>
      </c>
      <c r="I7448" t="s">
        <v>27454</v>
      </c>
      <c r="J7448" t="s">
        <v>5476</v>
      </c>
      <c r="K7448" t="s">
        <v>5471</v>
      </c>
      <c r="L7448" t="s">
        <v>5471</v>
      </c>
      <c r="M7448" t="s">
        <v>5471</v>
      </c>
    </row>
    <row r="7449" spans="1:13" x14ac:dyDescent="0.3">
      <c r="A7449" t="s">
        <v>3388</v>
      </c>
      <c r="B7449" t="s">
        <v>7105</v>
      </c>
      <c r="C7449" t="s">
        <v>5470</v>
      </c>
      <c r="D7449" t="s">
        <v>4119</v>
      </c>
      <c r="E7449" t="s">
        <v>5532</v>
      </c>
      <c r="F7449" t="s">
        <v>27455</v>
      </c>
      <c r="G7449" t="s">
        <v>19986</v>
      </c>
      <c r="H7449" t="s">
        <v>5474</v>
      </c>
      <c r="I7449" t="s">
        <v>27456</v>
      </c>
      <c r="J7449" t="s">
        <v>5476</v>
      </c>
      <c r="K7449" t="s">
        <v>5471</v>
      </c>
      <c r="L7449" t="s">
        <v>5471</v>
      </c>
      <c r="M7449" t="s">
        <v>5471</v>
      </c>
    </row>
    <row r="7450" spans="1:13" x14ac:dyDescent="0.3">
      <c r="A7450" t="s">
        <v>3388</v>
      </c>
      <c r="B7450" t="s">
        <v>5299</v>
      </c>
      <c r="C7450" t="s">
        <v>5470</v>
      </c>
      <c r="D7450" t="s">
        <v>4119</v>
      </c>
      <c r="E7450" t="s">
        <v>5532</v>
      </c>
      <c r="F7450" t="s">
        <v>27457</v>
      </c>
      <c r="G7450" t="s">
        <v>21561</v>
      </c>
      <c r="H7450" t="s">
        <v>5474</v>
      </c>
      <c r="I7450" t="s">
        <v>27458</v>
      </c>
      <c r="J7450" t="s">
        <v>5476</v>
      </c>
      <c r="K7450" t="s">
        <v>5471</v>
      </c>
      <c r="L7450" t="s">
        <v>5471</v>
      </c>
      <c r="M7450" t="s">
        <v>5471</v>
      </c>
    </row>
    <row r="7451" spans="1:13" x14ac:dyDescent="0.3">
      <c r="A7451" t="s">
        <v>3380</v>
      </c>
      <c r="B7451" t="s">
        <v>5337</v>
      </c>
      <c r="C7451" t="s">
        <v>6342</v>
      </c>
      <c r="D7451" t="s">
        <v>4056</v>
      </c>
      <c r="E7451" t="s">
        <v>5617</v>
      </c>
      <c r="F7451" t="s">
        <v>27459</v>
      </c>
      <c r="G7451" t="s">
        <v>27460</v>
      </c>
      <c r="H7451" t="s">
        <v>5474</v>
      </c>
      <c r="I7451" t="s">
        <v>27461</v>
      </c>
      <c r="J7451" t="s">
        <v>5476</v>
      </c>
      <c r="K7451" t="s">
        <v>27462</v>
      </c>
      <c r="L7451" t="s">
        <v>5471</v>
      </c>
      <c r="M7451" t="s">
        <v>5471</v>
      </c>
    </row>
    <row r="7452" spans="1:13" x14ac:dyDescent="0.3">
      <c r="A7452" t="s">
        <v>3380</v>
      </c>
      <c r="B7452" t="s">
        <v>5337</v>
      </c>
      <c r="C7452" t="s">
        <v>6342</v>
      </c>
      <c r="D7452" t="s">
        <v>4056</v>
      </c>
      <c r="E7452" t="s">
        <v>5617</v>
      </c>
      <c r="F7452" t="s">
        <v>27463</v>
      </c>
      <c r="G7452" t="s">
        <v>27464</v>
      </c>
      <c r="H7452" t="s">
        <v>5474</v>
      </c>
      <c r="I7452" t="s">
        <v>27465</v>
      </c>
      <c r="J7452" t="s">
        <v>5476</v>
      </c>
      <c r="K7452" t="s">
        <v>27466</v>
      </c>
      <c r="L7452" t="s">
        <v>5471</v>
      </c>
      <c r="M7452" t="s">
        <v>5471</v>
      </c>
    </row>
    <row r="7453" spans="1:13" x14ac:dyDescent="0.3">
      <c r="A7453" t="s">
        <v>3380</v>
      </c>
      <c r="B7453" t="s">
        <v>5337</v>
      </c>
      <c r="C7453" t="s">
        <v>6342</v>
      </c>
      <c r="D7453" t="s">
        <v>4056</v>
      </c>
      <c r="E7453" t="s">
        <v>5617</v>
      </c>
      <c r="F7453" t="s">
        <v>27467</v>
      </c>
      <c r="G7453" t="s">
        <v>27468</v>
      </c>
      <c r="H7453" t="s">
        <v>5474</v>
      </c>
      <c r="I7453" t="s">
        <v>27469</v>
      </c>
      <c r="J7453" t="s">
        <v>5476</v>
      </c>
      <c r="K7453" t="s">
        <v>27470</v>
      </c>
      <c r="L7453" t="s">
        <v>5471</v>
      </c>
      <c r="M7453" t="s">
        <v>5471</v>
      </c>
    </row>
    <row r="7454" spans="1:13" x14ac:dyDescent="0.3">
      <c r="A7454" t="s">
        <v>3380</v>
      </c>
      <c r="B7454" t="s">
        <v>5337</v>
      </c>
      <c r="C7454" t="s">
        <v>6342</v>
      </c>
      <c r="D7454" t="s">
        <v>4056</v>
      </c>
      <c r="E7454" t="s">
        <v>5617</v>
      </c>
      <c r="F7454" t="s">
        <v>27471</v>
      </c>
      <c r="G7454" t="s">
        <v>27472</v>
      </c>
      <c r="H7454" t="s">
        <v>5474</v>
      </c>
      <c r="I7454" t="s">
        <v>27473</v>
      </c>
      <c r="J7454" t="s">
        <v>5476</v>
      </c>
      <c r="K7454" t="s">
        <v>27474</v>
      </c>
      <c r="L7454" t="s">
        <v>5471</v>
      </c>
      <c r="M7454" t="s">
        <v>5471</v>
      </c>
    </row>
    <row r="7455" spans="1:13" x14ac:dyDescent="0.3">
      <c r="A7455" t="s">
        <v>3388</v>
      </c>
      <c r="B7455" t="s">
        <v>5290</v>
      </c>
      <c r="C7455" t="s">
        <v>5470</v>
      </c>
      <c r="D7455" t="s">
        <v>4119</v>
      </c>
      <c r="E7455" t="s">
        <v>5532</v>
      </c>
      <c r="F7455" t="s">
        <v>27475</v>
      </c>
      <c r="G7455" t="s">
        <v>20434</v>
      </c>
      <c r="H7455" t="s">
        <v>5474</v>
      </c>
      <c r="I7455" t="s">
        <v>27476</v>
      </c>
      <c r="J7455" t="s">
        <v>5484</v>
      </c>
      <c r="K7455" t="s">
        <v>27477</v>
      </c>
      <c r="L7455" t="s">
        <v>5471</v>
      </c>
      <c r="M7455" t="s">
        <v>5471</v>
      </c>
    </row>
    <row r="7456" spans="1:13" x14ac:dyDescent="0.3">
      <c r="A7456" t="s">
        <v>3388</v>
      </c>
      <c r="B7456" t="s">
        <v>20027</v>
      </c>
      <c r="C7456" t="s">
        <v>5470</v>
      </c>
      <c r="D7456" t="s">
        <v>4119</v>
      </c>
      <c r="E7456" t="s">
        <v>5532</v>
      </c>
      <c r="F7456" t="s">
        <v>27478</v>
      </c>
      <c r="G7456" t="s">
        <v>20434</v>
      </c>
      <c r="H7456" t="s">
        <v>5474</v>
      </c>
      <c r="I7456" t="s">
        <v>27479</v>
      </c>
      <c r="J7456" t="s">
        <v>5484</v>
      </c>
      <c r="K7456" t="s">
        <v>27480</v>
      </c>
      <c r="L7456" t="s">
        <v>5471</v>
      </c>
      <c r="M7456" t="s">
        <v>5471</v>
      </c>
    </row>
    <row r="7457" spans="1:13" x14ac:dyDescent="0.3">
      <c r="A7457" t="s">
        <v>3388</v>
      </c>
      <c r="B7457" t="s">
        <v>6632</v>
      </c>
      <c r="C7457" t="s">
        <v>5470</v>
      </c>
      <c r="D7457" t="s">
        <v>4119</v>
      </c>
      <c r="E7457" t="s">
        <v>5532</v>
      </c>
      <c r="F7457" t="s">
        <v>27481</v>
      </c>
      <c r="G7457" t="s">
        <v>20172</v>
      </c>
      <c r="H7457" t="s">
        <v>5474</v>
      </c>
      <c r="I7457" t="s">
        <v>27482</v>
      </c>
      <c r="J7457" t="s">
        <v>5476</v>
      </c>
      <c r="K7457" t="s">
        <v>20174</v>
      </c>
      <c r="L7457" t="s">
        <v>5471</v>
      </c>
      <c r="M7457" t="s">
        <v>5471</v>
      </c>
    </row>
    <row r="7458" spans="1:13" x14ac:dyDescent="0.3">
      <c r="A7458" t="s">
        <v>3388</v>
      </c>
      <c r="B7458" t="s">
        <v>15822</v>
      </c>
      <c r="C7458" t="s">
        <v>5470</v>
      </c>
      <c r="D7458" t="s">
        <v>4119</v>
      </c>
      <c r="E7458" t="s">
        <v>5756</v>
      </c>
      <c r="F7458" t="s">
        <v>27483</v>
      </c>
      <c r="G7458" t="s">
        <v>15824</v>
      </c>
      <c r="H7458" t="s">
        <v>5474</v>
      </c>
      <c r="I7458" t="s">
        <v>27484</v>
      </c>
      <c r="J7458" t="s">
        <v>5476</v>
      </c>
      <c r="K7458" t="s">
        <v>20957</v>
      </c>
      <c r="L7458" t="s">
        <v>5471</v>
      </c>
      <c r="M7458" t="s">
        <v>5471</v>
      </c>
    </row>
    <row r="7459" spans="1:13" x14ac:dyDescent="0.3">
      <c r="A7459" t="s">
        <v>3388</v>
      </c>
      <c r="B7459" t="s">
        <v>11423</v>
      </c>
      <c r="C7459" t="s">
        <v>5470</v>
      </c>
      <c r="D7459" t="s">
        <v>4119</v>
      </c>
      <c r="E7459" t="s">
        <v>5532</v>
      </c>
      <c r="F7459" t="s">
        <v>27485</v>
      </c>
      <c r="G7459" t="s">
        <v>8317</v>
      </c>
      <c r="H7459" t="s">
        <v>5474</v>
      </c>
      <c r="I7459" t="s">
        <v>27486</v>
      </c>
      <c r="J7459" t="s">
        <v>5476</v>
      </c>
      <c r="K7459" t="s">
        <v>20189</v>
      </c>
      <c r="L7459" t="s">
        <v>5471</v>
      </c>
      <c r="M7459" t="s">
        <v>5471</v>
      </c>
    </row>
    <row r="7460" spans="1:13" x14ac:dyDescent="0.3">
      <c r="A7460" t="s">
        <v>3388</v>
      </c>
      <c r="B7460" t="s">
        <v>15702</v>
      </c>
      <c r="C7460" t="s">
        <v>5470</v>
      </c>
      <c r="D7460" t="s">
        <v>4119</v>
      </c>
      <c r="E7460" t="s">
        <v>5532</v>
      </c>
      <c r="F7460" t="s">
        <v>27487</v>
      </c>
      <c r="G7460" t="s">
        <v>15704</v>
      </c>
      <c r="H7460" t="s">
        <v>5474</v>
      </c>
      <c r="I7460" t="s">
        <v>27488</v>
      </c>
      <c r="J7460" t="s">
        <v>5476</v>
      </c>
      <c r="K7460" t="s">
        <v>20966</v>
      </c>
      <c r="L7460" t="s">
        <v>5471</v>
      </c>
      <c r="M7460" t="s">
        <v>5471</v>
      </c>
    </row>
    <row r="7461" spans="1:13" x14ac:dyDescent="0.3">
      <c r="A7461" t="s">
        <v>3388</v>
      </c>
      <c r="B7461" t="s">
        <v>15702</v>
      </c>
      <c r="C7461" t="s">
        <v>5470</v>
      </c>
      <c r="D7461" t="s">
        <v>4119</v>
      </c>
      <c r="E7461" t="s">
        <v>5532</v>
      </c>
      <c r="F7461" t="s">
        <v>27489</v>
      </c>
      <c r="G7461" t="s">
        <v>15708</v>
      </c>
      <c r="H7461" t="s">
        <v>5474</v>
      </c>
      <c r="I7461" t="s">
        <v>27490</v>
      </c>
      <c r="J7461" t="s">
        <v>5476</v>
      </c>
      <c r="K7461" t="s">
        <v>20969</v>
      </c>
      <c r="L7461" t="s">
        <v>5471</v>
      </c>
      <c r="M7461" t="s">
        <v>5471</v>
      </c>
    </row>
    <row r="7462" spans="1:13" x14ac:dyDescent="0.3">
      <c r="A7462" t="s">
        <v>3388</v>
      </c>
      <c r="B7462" t="s">
        <v>10865</v>
      </c>
      <c r="C7462" t="s">
        <v>5470</v>
      </c>
      <c r="D7462" t="s">
        <v>4119</v>
      </c>
      <c r="E7462" t="s">
        <v>5756</v>
      </c>
      <c r="F7462" t="s">
        <v>27491</v>
      </c>
      <c r="G7462" t="s">
        <v>15824</v>
      </c>
      <c r="H7462" t="s">
        <v>5474</v>
      </c>
      <c r="I7462" t="s">
        <v>27492</v>
      </c>
      <c r="J7462" t="s">
        <v>5476</v>
      </c>
      <c r="K7462" t="s">
        <v>20935</v>
      </c>
      <c r="L7462" t="s">
        <v>5471</v>
      </c>
      <c r="M7462" t="s">
        <v>5471</v>
      </c>
    </row>
    <row r="7463" spans="1:13" x14ac:dyDescent="0.3">
      <c r="A7463" t="s">
        <v>3388</v>
      </c>
      <c r="B7463" t="s">
        <v>10865</v>
      </c>
      <c r="C7463" t="s">
        <v>5470</v>
      </c>
      <c r="D7463" t="s">
        <v>4119</v>
      </c>
      <c r="E7463" t="s">
        <v>5756</v>
      </c>
      <c r="F7463" t="s">
        <v>27493</v>
      </c>
      <c r="G7463" t="s">
        <v>15840</v>
      </c>
      <c r="H7463" t="s">
        <v>5474</v>
      </c>
      <c r="I7463" t="s">
        <v>27494</v>
      </c>
      <c r="J7463" t="s">
        <v>5476</v>
      </c>
      <c r="K7463" t="s">
        <v>20926</v>
      </c>
      <c r="L7463" t="s">
        <v>5471</v>
      </c>
      <c r="M7463" t="s">
        <v>5471</v>
      </c>
    </row>
    <row r="7464" spans="1:13" x14ac:dyDescent="0.3">
      <c r="A7464" t="s">
        <v>3388</v>
      </c>
      <c r="B7464" t="s">
        <v>10865</v>
      </c>
      <c r="C7464" t="s">
        <v>5470</v>
      </c>
      <c r="D7464" t="s">
        <v>4119</v>
      </c>
      <c r="E7464" t="s">
        <v>5532</v>
      </c>
      <c r="F7464" t="s">
        <v>27495</v>
      </c>
      <c r="G7464" t="s">
        <v>15790</v>
      </c>
      <c r="H7464" t="s">
        <v>5474</v>
      </c>
      <c r="I7464" t="s">
        <v>27496</v>
      </c>
      <c r="J7464" t="s">
        <v>5476</v>
      </c>
      <c r="K7464" t="s">
        <v>20878</v>
      </c>
      <c r="L7464" t="s">
        <v>5471</v>
      </c>
      <c r="M7464" t="s">
        <v>5471</v>
      </c>
    </row>
    <row r="7465" spans="1:13" x14ac:dyDescent="0.3">
      <c r="A7465" t="s">
        <v>3388</v>
      </c>
      <c r="B7465" t="s">
        <v>10865</v>
      </c>
      <c r="C7465" t="s">
        <v>5470</v>
      </c>
      <c r="D7465" t="s">
        <v>4119</v>
      </c>
      <c r="E7465" t="s">
        <v>5532</v>
      </c>
      <c r="F7465" t="s">
        <v>27497</v>
      </c>
      <c r="G7465" t="s">
        <v>15794</v>
      </c>
      <c r="H7465" t="s">
        <v>5474</v>
      </c>
      <c r="I7465" t="s">
        <v>27498</v>
      </c>
      <c r="J7465" t="s">
        <v>5476</v>
      </c>
      <c r="K7465" t="s">
        <v>20884</v>
      </c>
      <c r="L7465" t="s">
        <v>5471</v>
      </c>
      <c r="M7465" t="s">
        <v>5471</v>
      </c>
    </row>
    <row r="7466" spans="1:13" x14ac:dyDescent="0.3">
      <c r="A7466" t="s">
        <v>3388</v>
      </c>
      <c r="B7466" t="s">
        <v>15859</v>
      </c>
      <c r="C7466" t="s">
        <v>5470</v>
      </c>
      <c r="D7466" t="s">
        <v>4119</v>
      </c>
      <c r="E7466" t="s">
        <v>5756</v>
      </c>
      <c r="F7466" t="s">
        <v>27499</v>
      </c>
      <c r="G7466" t="s">
        <v>15840</v>
      </c>
      <c r="H7466" t="s">
        <v>5474</v>
      </c>
      <c r="I7466" t="s">
        <v>27500</v>
      </c>
      <c r="J7466" t="s">
        <v>5476</v>
      </c>
      <c r="K7466" t="s">
        <v>20974</v>
      </c>
      <c r="L7466" t="s">
        <v>5471</v>
      </c>
      <c r="M7466" t="s">
        <v>5471</v>
      </c>
    </row>
    <row r="7467" spans="1:13" x14ac:dyDescent="0.3">
      <c r="A7467" t="s">
        <v>3388</v>
      </c>
      <c r="B7467" t="s">
        <v>6452</v>
      </c>
      <c r="C7467" t="s">
        <v>5470</v>
      </c>
      <c r="D7467" t="s">
        <v>4119</v>
      </c>
      <c r="E7467" t="s">
        <v>5532</v>
      </c>
      <c r="F7467" t="s">
        <v>27501</v>
      </c>
      <c r="G7467" t="s">
        <v>15704</v>
      </c>
      <c r="H7467" t="s">
        <v>5474</v>
      </c>
      <c r="I7467" t="s">
        <v>27502</v>
      </c>
      <c r="J7467" t="s">
        <v>5476</v>
      </c>
      <c r="K7467" t="s">
        <v>21029</v>
      </c>
      <c r="L7467" t="s">
        <v>5471</v>
      </c>
      <c r="M7467" t="s">
        <v>5471</v>
      </c>
    </row>
    <row r="7468" spans="1:13" x14ac:dyDescent="0.3">
      <c r="A7468" t="s">
        <v>3388</v>
      </c>
      <c r="B7468" t="s">
        <v>6452</v>
      </c>
      <c r="C7468" t="s">
        <v>5470</v>
      </c>
      <c r="D7468" t="s">
        <v>4119</v>
      </c>
      <c r="E7468" t="s">
        <v>5532</v>
      </c>
      <c r="F7468" t="s">
        <v>27503</v>
      </c>
      <c r="G7468" t="s">
        <v>15708</v>
      </c>
      <c r="H7468" t="s">
        <v>5474</v>
      </c>
      <c r="I7468" t="s">
        <v>27504</v>
      </c>
      <c r="J7468" t="s">
        <v>5476</v>
      </c>
      <c r="K7468" t="s">
        <v>21035</v>
      </c>
      <c r="L7468" t="s">
        <v>5471</v>
      </c>
      <c r="M7468" t="s">
        <v>5471</v>
      </c>
    </row>
    <row r="7469" spans="1:13" x14ac:dyDescent="0.3">
      <c r="A7469" t="s">
        <v>3388</v>
      </c>
      <c r="B7469" t="s">
        <v>11153</v>
      </c>
      <c r="C7469" t="s">
        <v>5470</v>
      </c>
      <c r="D7469" t="s">
        <v>4119</v>
      </c>
      <c r="E7469" t="s">
        <v>5532</v>
      </c>
      <c r="F7469" t="s">
        <v>27505</v>
      </c>
      <c r="G7469" t="s">
        <v>10423</v>
      </c>
      <c r="H7469" t="s">
        <v>5474</v>
      </c>
      <c r="I7469" t="s">
        <v>27506</v>
      </c>
      <c r="J7469" t="s">
        <v>5476</v>
      </c>
      <c r="K7469" t="s">
        <v>20199</v>
      </c>
      <c r="L7469" t="s">
        <v>5471</v>
      </c>
      <c r="M7469" t="s">
        <v>5471</v>
      </c>
    </row>
    <row r="7470" spans="1:13" x14ac:dyDescent="0.3">
      <c r="A7470" t="s">
        <v>3388</v>
      </c>
      <c r="B7470" t="s">
        <v>20040</v>
      </c>
      <c r="C7470" t="s">
        <v>5470</v>
      </c>
      <c r="D7470" t="s">
        <v>4119</v>
      </c>
      <c r="E7470" t="s">
        <v>5756</v>
      </c>
      <c r="F7470" t="s">
        <v>27507</v>
      </c>
      <c r="G7470" t="s">
        <v>18670</v>
      </c>
      <c r="H7470" t="s">
        <v>5474</v>
      </c>
      <c r="I7470" t="s">
        <v>27508</v>
      </c>
      <c r="J7470" t="s">
        <v>5476</v>
      </c>
      <c r="K7470" t="s">
        <v>20331</v>
      </c>
      <c r="L7470" t="s">
        <v>5471</v>
      </c>
      <c r="M7470" t="s">
        <v>5471</v>
      </c>
    </row>
    <row r="7471" spans="1:13" x14ac:dyDescent="0.3">
      <c r="A7471" t="s">
        <v>3388</v>
      </c>
      <c r="B7471" t="s">
        <v>15863</v>
      </c>
      <c r="C7471" t="s">
        <v>5470</v>
      </c>
      <c r="D7471" t="s">
        <v>4119</v>
      </c>
      <c r="E7471" t="s">
        <v>5532</v>
      </c>
      <c r="F7471" t="s">
        <v>27509</v>
      </c>
      <c r="G7471" t="s">
        <v>8317</v>
      </c>
      <c r="H7471" t="s">
        <v>5474</v>
      </c>
      <c r="I7471" t="s">
        <v>27510</v>
      </c>
      <c r="J7471" t="s">
        <v>5476</v>
      </c>
      <c r="K7471" t="s">
        <v>20186</v>
      </c>
      <c r="L7471" t="s">
        <v>5471</v>
      </c>
      <c r="M7471" t="s">
        <v>5471</v>
      </c>
    </row>
    <row r="7472" spans="1:13" x14ac:dyDescent="0.3">
      <c r="A7472" t="s">
        <v>3388</v>
      </c>
      <c r="B7472" t="s">
        <v>10961</v>
      </c>
      <c r="C7472" t="s">
        <v>5470</v>
      </c>
      <c r="D7472" t="s">
        <v>4119</v>
      </c>
      <c r="E7472" t="s">
        <v>5532</v>
      </c>
      <c r="F7472" t="s">
        <v>27511</v>
      </c>
      <c r="G7472" t="s">
        <v>15790</v>
      </c>
      <c r="H7472" t="s">
        <v>5474</v>
      </c>
      <c r="I7472" t="s">
        <v>27512</v>
      </c>
      <c r="J7472" t="s">
        <v>5476</v>
      </c>
      <c r="K7472" t="s">
        <v>20982</v>
      </c>
      <c r="L7472" t="s">
        <v>5471</v>
      </c>
      <c r="M7472" t="s">
        <v>5471</v>
      </c>
    </row>
    <row r="7473" spans="1:13" x14ac:dyDescent="0.3">
      <c r="A7473" t="s">
        <v>3388</v>
      </c>
      <c r="B7473" t="s">
        <v>10961</v>
      </c>
      <c r="C7473" t="s">
        <v>5470</v>
      </c>
      <c r="D7473" t="s">
        <v>4119</v>
      </c>
      <c r="E7473" t="s">
        <v>5532</v>
      </c>
      <c r="F7473" t="s">
        <v>27513</v>
      </c>
      <c r="G7473" t="s">
        <v>15794</v>
      </c>
      <c r="H7473" t="s">
        <v>5474</v>
      </c>
      <c r="I7473" t="s">
        <v>27514</v>
      </c>
      <c r="J7473" t="s">
        <v>5476</v>
      </c>
      <c r="K7473" t="s">
        <v>20988</v>
      </c>
      <c r="L7473" t="s">
        <v>5471</v>
      </c>
      <c r="M7473" t="s">
        <v>5471</v>
      </c>
    </row>
    <row r="7474" spans="1:13" x14ac:dyDescent="0.3">
      <c r="A7474" t="s">
        <v>3388</v>
      </c>
      <c r="B7474" t="s">
        <v>7101</v>
      </c>
      <c r="C7474" t="s">
        <v>5470</v>
      </c>
      <c r="D7474" t="s">
        <v>4119</v>
      </c>
      <c r="E7474" t="s">
        <v>5756</v>
      </c>
      <c r="F7474" t="s">
        <v>27515</v>
      </c>
      <c r="G7474" t="s">
        <v>18670</v>
      </c>
      <c r="H7474" t="s">
        <v>5474</v>
      </c>
      <c r="I7474" t="s">
        <v>27516</v>
      </c>
      <c r="J7474" t="s">
        <v>5476</v>
      </c>
      <c r="K7474" t="s">
        <v>20346</v>
      </c>
      <c r="L7474" t="s">
        <v>5471</v>
      </c>
      <c r="M7474" t="s">
        <v>5471</v>
      </c>
    </row>
    <row r="7475" spans="1:13" x14ac:dyDescent="0.3">
      <c r="A7475" t="s">
        <v>3380</v>
      </c>
      <c r="B7475" t="s">
        <v>11677</v>
      </c>
      <c r="C7475" t="s">
        <v>6342</v>
      </c>
      <c r="D7475" t="s">
        <v>4119</v>
      </c>
      <c r="E7475" t="s">
        <v>5532</v>
      </c>
      <c r="F7475" t="s">
        <v>27517</v>
      </c>
      <c r="G7475" t="s">
        <v>17287</v>
      </c>
      <c r="H7475" t="s">
        <v>5474</v>
      </c>
      <c r="I7475" t="s">
        <v>27518</v>
      </c>
      <c r="J7475" t="s">
        <v>5476</v>
      </c>
      <c r="K7475" t="s">
        <v>16427</v>
      </c>
      <c r="L7475" t="s">
        <v>5471</v>
      </c>
      <c r="M7475" t="s">
        <v>5471</v>
      </c>
    </row>
    <row r="7476" spans="1:13" x14ac:dyDescent="0.3">
      <c r="A7476" t="s">
        <v>3380</v>
      </c>
      <c r="B7476" t="s">
        <v>5281</v>
      </c>
      <c r="C7476" t="s">
        <v>5487</v>
      </c>
      <c r="D7476" t="s">
        <v>4119</v>
      </c>
      <c r="E7476" t="s">
        <v>5532</v>
      </c>
      <c r="F7476" t="s">
        <v>27519</v>
      </c>
      <c r="G7476" t="s">
        <v>27520</v>
      </c>
      <c r="H7476" t="s">
        <v>5474</v>
      </c>
      <c r="I7476" t="s">
        <v>27521</v>
      </c>
      <c r="J7476" t="s">
        <v>5476</v>
      </c>
      <c r="K7476" t="s">
        <v>27522</v>
      </c>
      <c r="L7476" t="s">
        <v>5471</v>
      </c>
      <c r="M7476" t="s">
        <v>5471</v>
      </c>
    </row>
    <row r="7477" spans="1:13" x14ac:dyDescent="0.3">
      <c r="A7477" t="s">
        <v>3380</v>
      </c>
      <c r="B7477" t="s">
        <v>5281</v>
      </c>
      <c r="C7477" t="s">
        <v>5487</v>
      </c>
      <c r="D7477" t="s">
        <v>4058</v>
      </c>
      <c r="E7477" t="s">
        <v>5532</v>
      </c>
      <c r="F7477" t="s">
        <v>27523</v>
      </c>
      <c r="G7477" t="s">
        <v>27520</v>
      </c>
      <c r="H7477" t="s">
        <v>5474</v>
      </c>
      <c r="I7477" t="s">
        <v>27524</v>
      </c>
      <c r="J7477" t="s">
        <v>5476</v>
      </c>
      <c r="K7477" t="s">
        <v>27525</v>
      </c>
      <c r="L7477" t="s">
        <v>5471</v>
      </c>
      <c r="M7477" t="s">
        <v>5471</v>
      </c>
    </row>
    <row r="7478" spans="1:13" x14ac:dyDescent="0.3">
      <c r="A7478" t="s">
        <v>3380</v>
      </c>
      <c r="B7478" t="s">
        <v>11061</v>
      </c>
      <c r="C7478" t="s">
        <v>6342</v>
      </c>
      <c r="D7478" t="s">
        <v>4119</v>
      </c>
      <c r="E7478" t="s">
        <v>5843</v>
      </c>
      <c r="F7478" t="s">
        <v>27526</v>
      </c>
      <c r="G7478" t="s">
        <v>11063</v>
      </c>
      <c r="H7478" t="s">
        <v>5474</v>
      </c>
      <c r="I7478" t="s">
        <v>27527</v>
      </c>
      <c r="J7478" t="s">
        <v>5476</v>
      </c>
      <c r="K7478" t="s">
        <v>27528</v>
      </c>
      <c r="L7478" t="s">
        <v>5471</v>
      </c>
      <c r="M7478" t="s">
        <v>5471</v>
      </c>
    </row>
    <row r="7479" spans="1:13" x14ac:dyDescent="0.3">
      <c r="A7479" t="s">
        <v>3383</v>
      </c>
      <c r="B7479" t="s">
        <v>5294</v>
      </c>
      <c r="C7479" t="s">
        <v>5470</v>
      </c>
      <c r="D7479" t="s">
        <v>4081</v>
      </c>
      <c r="E7479" t="s">
        <v>5756</v>
      </c>
      <c r="F7479" t="s">
        <v>27529</v>
      </c>
      <c r="G7479" t="s">
        <v>6407</v>
      </c>
      <c r="H7479" t="s">
        <v>5474</v>
      </c>
      <c r="I7479" t="s">
        <v>27530</v>
      </c>
      <c r="J7479" t="s">
        <v>5476</v>
      </c>
      <c r="K7479" t="s">
        <v>27531</v>
      </c>
      <c r="L7479" t="s">
        <v>5471</v>
      </c>
      <c r="M7479" t="s">
        <v>5471</v>
      </c>
    </row>
    <row r="7480" spans="1:13" x14ac:dyDescent="0.3">
      <c r="A7480" t="s">
        <v>3383</v>
      </c>
      <c r="B7480" t="s">
        <v>5294</v>
      </c>
      <c r="C7480" t="s">
        <v>5470</v>
      </c>
      <c r="D7480" t="s">
        <v>4081</v>
      </c>
      <c r="E7480" t="s">
        <v>5756</v>
      </c>
      <c r="F7480" t="s">
        <v>27532</v>
      </c>
      <c r="G7480" t="s">
        <v>6407</v>
      </c>
      <c r="H7480" t="s">
        <v>5474</v>
      </c>
      <c r="I7480" t="s">
        <v>27533</v>
      </c>
      <c r="J7480" t="s">
        <v>5476</v>
      </c>
      <c r="K7480" t="s">
        <v>27531</v>
      </c>
      <c r="L7480" t="s">
        <v>5471</v>
      </c>
      <c r="M7480" t="s">
        <v>5471</v>
      </c>
    </row>
    <row r="7481" spans="1:13" x14ac:dyDescent="0.3">
      <c r="A7481" t="s">
        <v>3383</v>
      </c>
      <c r="B7481" t="s">
        <v>5332</v>
      </c>
      <c r="C7481" t="s">
        <v>5470</v>
      </c>
      <c r="D7481" t="s">
        <v>4081</v>
      </c>
      <c r="E7481" t="s">
        <v>5756</v>
      </c>
      <c r="F7481" t="s">
        <v>27534</v>
      </c>
      <c r="G7481" t="s">
        <v>6241</v>
      </c>
      <c r="H7481" t="s">
        <v>5474</v>
      </c>
      <c r="I7481" t="s">
        <v>27535</v>
      </c>
      <c r="J7481" t="s">
        <v>5476</v>
      </c>
      <c r="K7481" t="s">
        <v>27536</v>
      </c>
      <c r="L7481" t="s">
        <v>5471</v>
      </c>
      <c r="M7481" t="s">
        <v>5471</v>
      </c>
    </row>
    <row r="7482" spans="1:13" x14ac:dyDescent="0.3">
      <c r="A7482" t="s">
        <v>3383</v>
      </c>
      <c r="B7482" t="s">
        <v>5332</v>
      </c>
      <c r="C7482" t="s">
        <v>5470</v>
      </c>
      <c r="D7482" t="s">
        <v>4081</v>
      </c>
      <c r="E7482" t="s">
        <v>5756</v>
      </c>
      <c r="F7482" t="s">
        <v>27537</v>
      </c>
      <c r="G7482" t="s">
        <v>6241</v>
      </c>
      <c r="H7482" t="s">
        <v>5474</v>
      </c>
      <c r="I7482" t="s">
        <v>27538</v>
      </c>
      <c r="J7482" t="s">
        <v>5476</v>
      </c>
      <c r="K7482" t="s">
        <v>27536</v>
      </c>
      <c r="L7482" t="s">
        <v>5471</v>
      </c>
      <c r="M7482" t="s">
        <v>5471</v>
      </c>
    </row>
    <row r="7483" spans="1:13" x14ac:dyDescent="0.3">
      <c r="A7483" t="s">
        <v>3383</v>
      </c>
      <c r="B7483" t="s">
        <v>5332</v>
      </c>
      <c r="C7483" t="s">
        <v>5470</v>
      </c>
      <c r="D7483" t="s">
        <v>4081</v>
      </c>
      <c r="E7483" t="s">
        <v>5756</v>
      </c>
      <c r="F7483" t="s">
        <v>27539</v>
      </c>
      <c r="G7483" t="s">
        <v>6241</v>
      </c>
      <c r="H7483" t="s">
        <v>5474</v>
      </c>
      <c r="I7483" t="s">
        <v>27540</v>
      </c>
      <c r="J7483" t="s">
        <v>5476</v>
      </c>
      <c r="K7483" t="s">
        <v>27536</v>
      </c>
      <c r="L7483" t="s">
        <v>5471</v>
      </c>
      <c r="M7483" t="s">
        <v>5471</v>
      </c>
    </row>
    <row r="7484" spans="1:13" x14ac:dyDescent="0.3">
      <c r="A7484" t="s">
        <v>3383</v>
      </c>
      <c r="B7484" t="s">
        <v>5332</v>
      </c>
      <c r="C7484" t="s">
        <v>5470</v>
      </c>
      <c r="D7484" t="s">
        <v>9958</v>
      </c>
      <c r="E7484" t="s">
        <v>5532</v>
      </c>
      <c r="F7484" t="s">
        <v>27541</v>
      </c>
      <c r="G7484" t="s">
        <v>27542</v>
      </c>
      <c r="H7484" t="s">
        <v>5474</v>
      </c>
      <c r="I7484" t="s">
        <v>27543</v>
      </c>
      <c r="J7484" t="s">
        <v>5476</v>
      </c>
      <c r="K7484" t="s">
        <v>27544</v>
      </c>
      <c r="L7484" t="s">
        <v>5471</v>
      </c>
      <c r="M7484" t="s">
        <v>5471</v>
      </c>
    </row>
    <row r="7485" spans="1:13" x14ac:dyDescent="0.3">
      <c r="A7485" t="s">
        <v>3383</v>
      </c>
      <c r="B7485" t="s">
        <v>5332</v>
      </c>
      <c r="C7485" t="s">
        <v>5470</v>
      </c>
      <c r="D7485" t="s">
        <v>9958</v>
      </c>
      <c r="E7485" t="s">
        <v>5532</v>
      </c>
      <c r="F7485" t="s">
        <v>27545</v>
      </c>
      <c r="G7485" t="s">
        <v>27546</v>
      </c>
      <c r="H7485" t="s">
        <v>5474</v>
      </c>
      <c r="I7485" t="s">
        <v>27547</v>
      </c>
      <c r="J7485" t="s">
        <v>5476</v>
      </c>
      <c r="K7485" t="s">
        <v>27548</v>
      </c>
      <c r="L7485" t="s">
        <v>5471</v>
      </c>
      <c r="M7485" t="s">
        <v>5471</v>
      </c>
    </row>
    <row r="7486" spans="1:13" x14ac:dyDescent="0.3">
      <c r="A7486" t="s">
        <v>3383</v>
      </c>
      <c r="B7486" t="s">
        <v>5332</v>
      </c>
      <c r="C7486" t="s">
        <v>5470</v>
      </c>
      <c r="D7486" t="s">
        <v>9958</v>
      </c>
      <c r="E7486" t="s">
        <v>5532</v>
      </c>
      <c r="F7486" t="s">
        <v>27549</v>
      </c>
      <c r="G7486" t="s">
        <v>27550</v>
      </c>
      <c r="H7486" t="s">
        <v>5474</v>
      </c>
      <c r="I7486" t="s">
        <v>27551</v>
      </c>
      <c r="J7486" t="s">
        <v>5476</v>
      </c>
      <c r="K7486" t="s">
        <v>27552</v>
      </c>
      <c r="L7486" t="s">
        <v>5471</v>
      </c>
      <c r="M7486" t="s">
        <v>5471</v>
      </c>
    </row>
    <row r="7487" spans="1:13" x14ac:dyDescent="0.3">
      <c r="A7487" t="s">
        <v>3383</v>
      </c>
      <c r="B7487" t="s">
        <v>5332</v>
      </c>
      <c r="C7487" t="s">
        <v>5470</v>
      </c>
      <c r="D7487" t="s">
        <v>9958</v>
      </c>
      <c r="E7487" t="s">
        <v>5532</v>
      </c>
      <c r="F7487" t="s">
        <v>27553</v>
      </c>
      <c r="G7487" t="s">
        <v>27554</v>
      </c>
      <c r="H7487" t="s">
        <v>5474</v>
      </c>
      <c r="I7487" t="s">
        <v>27555</v>
      </c>
      <c r="J7487" t="s">
        <v>5476</v>
      </c>
      <c r="K7487" t="s">
        <v>27556</v>
      </c>
      <c r="L7487" t="s">
        <v>5471</v>
      </c>
      <c r="M7487" t="s">
        <v>5471</v>
      </c>
    </row>
    <row r="7488" spans="1:13" x14ac:dyDescent="0.3">
      <c r="A7488" t="s">
        <v>3383</v>
      </c>
      <c r="B7488" t="s">
        <v>8875</v>
      </c>
      <c r="C7488" t="s">
        <v>5470</v>
      </c>
      <c r="D7488" t="s">
        <v>9958</v>
      </c>
      <c r="E7488" t="s">
        <v>5532</v>
      </c>
      <c r="F7488" t="s">
        <v>27557</v>
      </c>
      <c r="G7488" t="s">
        <v>27558</v>
      </c>
      <c r="H7488" t="s">
        <v>5474</v>
      </c>
      <c r="I7488" t="s">
        <v>27559</v>
      </c>
      <c r="J7488" t="s">
        <v>5476</v>
      </c>
      <c r="K7488" t="s">
        <v>27560</v>
      </c>
      <c r="L7488" t="s">
        <v>5471</v>
      </c>
      <c r="M7488" t="s">
        <v>5471</v>
      </c>
    </row>
    <row r="7489" spans="1:13" x14ac:dyDescent="0.3">
      <c r="A7489" t="s">
        <v>3383</v>
      </c>
      <c r="B7489" t="s">
        <v>8875</v>
      </c>
      <c r="C7489" t="s">
        <v>5470</v>
      </c>
      <c r="D7489" t="s">
        <v>9958</v>
      </c>
      <c r="E7489" t="s">
        <v>5532</v>
      </c>
      <c r="F7489" t="s">
        <v>27561</v>
      </c>
      <c r="G7489" t="s">
        <v>27562</v>
      </c>
      <c r="H7489" t="s">
        <v>5474</v>
      </c>
      <c r="I7489" t="s">
        <v>27563</v>
      </c>
      <c r="J7489" t="s">
        <v>5476</v>
      </c>
      <c r="K7489" t="s">
        <v>27564</v>
      </c>
      <c r="L7489" t="s">
        <v>5471</v>
      </c>
      <c r="M7489" t="s">
        <v>5471</v>
      </c>
    </row>
    <row r="7490" spans="1:13" x14ac:dyDescent="0.3">
      <c r="A7490" t="s">
        <v>3397</v>
      </c>
      <c r="B7490" t="s">
        <v>5761</v>
      </c>
      <c r="C7490" t="s">
        <v>5487</v>
      </c>
      <c r="D7490" t="s">
        <v>9940</v>
      </c>
      <c r="E7490" t="s">
        <v>5756</v>
      </c>
      <c r="F7490" t="s">
        <v>27565</v>
      </c>
      <c r="G7490" t="s">
        <v>27566</v>
      </c>
      <c r="H7490" t="s">
        <v>5474</v>
      </c>
      <c r="I7490" t="s">
        <v>27567</v>
      </c>
      <c r="J7490" t="s">
        <v>5484</v>
      </c>
      <c r="K7490" t="s">
        <v>27568</v>
      </c>
      <c r="L7490" t="s">
        <v>5471</v>
      </c>
      <c r="M7490" t="s">
        <v>5471</v>
      </c>
    </row>
    <row r="7491" spans="1:13" x14ac:dyDescent="0.3">
      <c r="A7491" t="s">
        <v>3397</v>
      </c>
      <c r="B7491" t="s">
        <v>5761</v>
      </c>
      <c r="C7491" t="s">
        <v>5487</v>
      </c>
      <c r="D7491" t="s">
        <v>9940</v>
      </c>
      <c r="E7491" t="s">
        <v>5756</v>
      </c>
      <c r="F7491" t="s">
        <v>27569</v>
      </c>
      <c r="G7491" t="s">
        <v>27566</v>
      </c>
      <c r="H7491" t="s">
        <v>5474</v>
      </c>
      <c r="I7491" t="s">
        <v>27570</v>
      </c>
      <c r="J7491" t="s">
        <v>5484</v>
      </c>
      <c r="K7491" t="s">
        <v>27571</v>
      </c>
      <c r="L7491" t="s">
        <v>5471</v>
      </c>
      <c r="M7491" t="s">
        <v>5471</v>
      </c>
    </row>
    <row r="7492" spans="1:13" x14ac:dyDescent="0.3">
      <c r="A7492" t="s">
        <v>3397</v>
      </c>
      <c r="B7492" t="s">
        <v>5761</v>
      </c>
      <c r="C7492" t="s">
        <v>5487</v>
      </c>
      <c r="D7492" t="s">
        <v>9940</v>
      </c>
      <c r="E7492" t="s">
        <v>5756</v>
      </c>
      <c r="F7492" t="s">
        <v>27572</v>
      </c>
      <c r="G7492" t="s">
        <v>27566</v>
      </c>
      <c r="H7492" t="s">
        <v>5474</v>
      </c>
      <c r="I7492" t="s">
        <v>27573</v>
      </c>
      <c r="J7492" t="s">
        <v>5484</v>
      </c>
      <c r="K7492" t="s">
        <v>27574</v>
      </c>
      <c r="L7492" t="s">
        <v>5471</v>
      </c>
      <c r="M7492" t="s">
        <v>5471</v>
      </c>
    </row>
    <row r="7493" spans="1:13" x14ac:dyDescent="0.3">
      <c r="A7493" t="s">
        <v>3397</v>
      </c>
      <c r="B7493" t="s">
        <v>19651</v>
      </c>
      <c r="C7493" t="s">
        <v>5487</v>
      </c>
      <c r="D7493" t="s">
        <v>9940</v>
      </c>
      <c r="E7493" t="s">
        <v>5595</v>
      </c>
      <c r="F7493" t="s">
        <v>27575</v>
      </c>
      <c r="G7493" t="s">
        <v>27576</v>
      </c>
      <c r="H7493" t="s">
        <v>5474</v>
      </c>
      <c r="I7493" t="s">
        <v>27577</v>
      </c>
      <c r="J7493" t="s">
        <v>5484</v>
      </c>
      <c r="K7493" t="s">
        <v>27578</v>
      </c>
      <c r="L7493" t="s">
        <v>5471</v>
      </c>
      <c r="M7493" t="s">
        <v>5471</v>
      </c>
    </row>
    <row r="7494" spans="1:13" x14ac:dyDescent="0.3">
      <c r="A7494" t="s">
        <v>3388</v>
      </c>
      <c r="B7494" t="s">
        <v>15957</v>
      </c>
      <c r="C7494" t="s">
        <v>5470</v>
      </c>
      <c r="D7494" t="s">
        <v>4081</v>
      </c>
      <c r="E7494" t="s">
        <v>5532</v>
      </c>
      <c r="F7494" t="s">
        <v>27579</v>
      </c>
      <c r="G7494" t="s">
        <v>22267</v>
      </c>
      <c r="H7494" t="s">
        <v>5474</v>
      </c>
      <c r="I7494" t="s">
        <v>27580</v>
      </c>
      <c r="J7494" t="s">
        <v>5484</v>
      </c>
      <c r="K7494" t="s">
        <v>27581</v>
      </c>
      <c r="L7494" t="s">
        <v>5471</v>
      </c>
      <c r="M7494" t="s">
        <v>5471</v>
      </c>
    </row>
    <row r="7495" spans="1:13" x14ac:dyDescent="0.3">
      <c r="A7495" t="s">
        <v>3397</v>
      </c>
      <c r="B7495" t="s">
        <v>5594</v>
      </c>
      <c r="C7495" t="s">
        <v>5487</v>
      </c>
      <c r="D7495" t="s">
        <v>9940</v>
      </c>
      <c r="E7495" t="s">
        <v>5617</v>
      </c>
      <c r="F7495" t="s">
        <v>27582</v>
      </c>
      <c r="G7495" t="s">
        <v>27583</v>
      </c>
      <c r="H7495" t="s">
        <v>5474</v>
      </c>
      <c r="I7495" t="s">
        <v>27584</v>
      </c>
      <c r="J7495" t="s">
        <v>5476</v>
      </c>
      <c r="K7495" t="s">
        <v>27585</v>
      </c>
      <c r="L7495" t="s">
        <v>5471</v>
      </c>
      <c r="M7495" t="s">
        <v>5471</v>
      </c>
    </row>
    <row r="7496" spans="1:13" x14ac:dyDescent="0.3">
      <c r="A7496" t="s">
        <v>3388</v>
      </c>
      <c r="B7496" t="s">
        <v>10857</v>
      </c>
      <c r="C7496" t="s">
        <v>5470</v>
      </c>
      <c r="D7496" t="s">
        <v>4119</v>
      </c>
      <c r="E7496" t="s">
        <v>5756</v>
      </c>
      <c r="F7496" t="s">
        <v>27586</v>
      </c>
      <c r="G7496" t="s">
        <v>10859</v>
      </c>
      <c r="H7496" t="s">
        <v>5474</v>
      </c>
      <c r="I7496" t="s">
        <v>27587</v>
      </c>
      <c r="J7496" t="s">
        <v>5476</v>
      </c>
      <c r="K7496" t="s">
        <v>5471</v>
      </c>
      <c r="L7496" t="s">
        <v>5471</v>
      </c>
      <c r="M7496" t="s">
        <v>5471</v>
      </c>
    </row>
    <row r="7497" spans="1:13" x14ac:dyDescent="0.3">
      <c r="A7497" t="s">
        <v>3388</v>
      </c>
      <c r="B7497" t="s">
        <v>10857</v>
      </c>
      <c r="C7497" t="s">
        <v>5470</v>
      </c>
      <c r="D7497" t="s">
        <v>4119</v>
      </c>
      <c r="E7497" t="s">
        <v>5532</v>
      </c>
      <c r="F7497" t="s">
        <v>27588</v>
      </c>
      <c r="G7497" t="s">
        <v>10859</v>
      </c>
      <c r="H7497" t="s">
        <v>5474</v>
      </c>
      <c r="I7497" t="s">
        <v>27589</v>
      </c>
      <c r="J7497" t="s">
        <v>5476</v>
      </c>
      <c r="K7497" t="s">
        <v>5471</v>
      </c>
      <c r="L7497" t="s">
        <v>5471</v>
      </c>
      <c r="M7497" t="s">
        <v>5471</v>
      </c>
    </row>
    <row r="7498" spans="1:13" x14ac:dyDescent="0.3">
      <c r="A7498" t="s">
        <v>3388</v>
      </c>
      <c r="B7498" t="s">
        <v>6632</v>
      </c>
      <c r="C7498" t="s">
        <v>5470</v>
      </c>
      <c r="D7498" t="s">
        <v>4119</v>
      </c>
      <c r="E7498" t="s">
        <v>5532</v>
      </c>
      <c r="F7498" t="s">
        <v>27590</v>
      </c>
      <c r="G7498" t="s">
        <v>20172</v>
      </c>
      <c r="H7498" t="s">
        <v>5474</v>
      </c>
      <c r="I7498" t="s">
        <v>27591</v>
      </c>
      <c r="J7498" t="s">
        <v>5484</v>
      </c>
      <c r="K7498" t="s">
        <v>5471</v>
      </c>
      <c r="L7498" t="s">
        <v>5471</v>
      </c>
      <c r="M7498" t="s">
        <v>5471</v>
      </c>
    </row>
    <row r="7499" spans="1:13" x14ac:dyDescent="0.3">
      <c r="A7499" t="s">
        <v>3388</v>
      </c>
      <c r="B7499" t="s">
        <v>7109</v>
      </c>
      <c r="C7499" t="s">
        <v>5470</v>
      </c>
      <c r="D7499" t="s">
        <v>4119</v>
      </c>
      <c r="E7499" t="s">
        <v>5756</v>
      </c>
      <c r="F7499" t="s">
        <v>27592</v>
      </c>
      <c r="G7499" t="s">
        <v>19195</v>
      </c>
      <c r="H7499" t="s">
        <v>5474</v>
      </c>
      <c r="I7499" t="s">
        <v>27593</v>
      </c>
      <c r="J7499" t="s">
        <v>5484</v>
      </c>
      <c r="K7499" t="s">
        <v>5471</v>
      </c>
      <c r="L7499" t="s">
        <v>5471</v>
      </c>
      <c r="M7499" t="s">
        <v>5471</v>
      </c>
    </row>
    <row r="7500" spans="1:13" x14ac:dyDescent="0.3">
      <c r="A7500" t="s">
        <v>3388</v>
      </c>
      <c r="B7500" t="s">
        <v>5616</v>
      </c>
      <c r="C7500" t="s">
        <v>5470</v>
      </c>
      <c r="D7500" t="s">
        <v>4119</v>
      </c>
      <c r="E7500" t="s">
        <v>5532</v>
      </c>
      <c r="F7500" t="s">
        <v>27594</v>
      </c>
      <c r="G7500" t="s">
        <v>21502</v>
      </c>
      <c r="H7500" t="s">
        <v>5474</v>
      </c>
      <c r="I7500" t="s">
        <v>27595</v>
      </c>
      <c r="J7500" t="s">
        <v>5484</v>
      </c>
      <c r="K7500" t="s">
        <v>5471</v>
      </c>
      <c r="L7500" t="s">
        <v>5471</v>
      </c>
      <c r="M7500" t="s">
        <v>5471</v>
      </c>
    </row>
    <row r="7501" spans="1:13" x14ac:dyDescent="0.3">
      <c r="A7501" t="s">
        <v>3388</v>
      </c>
      <c r="B7501" t="s">
        <v>8799</v>
      </c>
      <c r="C7501" t="s">
        <v>5470</v>
      </c>
      <c r="D7501" t="s">
        <v>4119</v>
      </c>
      <c r="E7501" t="s">
        <v>5532</v>
      </c>
      <c r="F7501" t="s">
        <v>27596</v>
      </c>
      <c r="G7501" t="s">
        <v>15977</v>
      </c>
      <c r="H7501" t="s">
        <v>5474</v>
      </c>
      <c r="I7501" t="s">
        <v>27597</v>
      </c>
      <c r="J7501" t="s">
        <v>5484</v>
      </c>
      <c r="K7501" t="s">
        <v>5471</v>
      </c>
      <c r="L7501" t="s">
        <v>5471</v>
      </c>
      <c r="M7501" t="s">
        <v>5471</v>
      </c>
    </row>
    <row r="7502" spans="1:13" x14ac:dyDescent="0.3">
      <c r="A7502" t="s">
        <v>3388</v>
      </c>
      <c r="B7502" t="s">
        <v>8799</v>
      </c>
      <c r="C7502" t="s">
        <v>5470</v>
      </c>
      <c r="D7502" t="s">
        <v>4119</v>
      </c>
      <c r="E7502" t="s">
        <v>5756</v>
      </c>
      <c r="F7502" t="s">
        <v>27598</v>
      </c>
      <c r="G7502" t="s">
        <v>15977</v>
      </c>
      <c r="H7502" t="s">
        <v>5474</v>
      </c>
      <c r="I7502" t="s">
        <v>27599</v>
      </c>
      <c r="J7502" t="s">
        <v>5484</v>
      </c>
      <c r="K7502" t="s">
        <v>5471</v>
      </c>
      <c r="L7502" t="s">
        <v>5471</v>
      </c>
      <c r="M7502" t="s">
        <v>5471</v>
      </c>
    </row>
    <row r="7503" spans="1:13" x14ac:dyDescent="0.3">
      <c r="A7503" t="s">
        <v>3388</v>
      </c>
      <c r="B7503" t="s">
        <v>5296</v>
      </c>
      <c r="C7503" t="s">
        <v>5470</v>
      </c>
      <c r="D7503" t="s">
        <v>4119</v>
      </c>
      <c r="E7503" t="s">
        <v>5532</v>
      </c>
      <c r="F7503" t="s">
        <v>27600</v>
      </c>
      <c r="G7503" t="s">
        <v>18091</v>
      </c>
      <c r="H7503" t="s">
        <v>5474</v>
      </c>
      <c r="I7503" t="s">
        <v>27601</v>
      </c>
      <c r="J7503" t="s">
        <v>5484</v>
      </c>
      <c r="K7503" t="s">
        <v>5471</v>
      </c>
      <c r="L7503" t="s">
        <v>5471</v>
      </c>
      <c r="M7503" t="s">
        <v>5471</v>
      </c>
    </row>
    <row r="7504" spans="1:13" x14ac:dyDescent="0.3">
      <c r="A7504" t="s">
        <v>3388</v>
      </c>
      <c r="B7504" t="s">
        <v>17321</v>
      </c>
      <c r="C7504" t="s">
        <v>5470</v>
      </c>
      <c r="D7504" t="s">
        <v>4119</v>
      </c>
      <c r="E7504" t="s">
        <v>5532</v>
      </c>
      <c r="F7504" t="s">
        <v>27602</v>
      </c>
      <c r="G7504" t="s">
        <v>20025</v>
      </c>
      <c r="H7504" t="s">
        <v>5474</v>
      </c>
      <c r="I7504" t="s">
        <v>27603</v>
      </c>
      <c r="J7504" t="s">
        <v>5484</v>
      </c>
      <c r="K7504" t="s">
        <v>5471</v>
      </c>
      <c r="L7504" t="s">
        <v>5471</v>
      </c>
      <c r="M7504" t="s">
        <v>5471</v>
      </c>
    </row>
    <row r="7505" spans="1:13" x14ac:dyDescent="0.3">
      <c r="A7505" t="s">
        <v>3388</v>
      </c>
      <c r="B7505" t="s">
        <v>6540</v>
      </c>
      <c r="C7505" t="s">
        <v>5470</v>
      </c>
      <c r="D7505" t="s">
        <v>4119</v>
      </c>
      <c r="E7505" t="s">
        <v>5756</v>
      </c>
      <c r="F7505" t="s">
        <v>27604</v>
      </c>
      <c r="G7505" t="s">
        <v>9695</v>
      </c>
      <c r="H7505" t="s">
        <v>5474</v>
      </c>
      <c r="I7505" t="s">
        <v>27605</v>
      </c>
      <c r="J7505" t="s">
        <v>5484</v>
      </c>
      <c r="K7505" t="s">
        <v>5471</v>
      </c>
      <c r="L7505" t="s">
        <v>5471</v>
      </c>
      <c r="M7505" t="s">
        <v>5471</v>
      </c>
    </row>
    <row r="7506" spans="1:13" x14ac:dyDescent="0.3">
      <c r="A7506" t="s">
        <v>3388</v>
      </c>
      <c r="B7506" t="s">
        <v>5531</v>
      </c>
      <c r="C7506" t="s">
        <v>5470</v>
      </c>
      <c r="D7506" t="s">
        <v>4119</v>
      </c>
      <c r="E7506" t="s">
        <v>5532</v>
      </c>
      <c r="F7506" t="s">
        <v>27606</v>
      </c>
      <c r="G7506" t="s">
        <v>9069</v>
      </c>
      <c r="H7506" t="s">
        <v>5474</v>
      </c>
      <c r="I7506" t="s">
        <v>27607</v>
      </c>
      <c r="J7506" t="s">
        <v>5476</v>
      </c>
      <c r="K7506" t="s">
        <v>5471</v>
      </c>
      <c r="L7506" t="s">
        <v>5471</v>
      </c>
      <c r="M7506" t="s">
        <v>5471</v>
      </c>
    </row>
    <row r="7507" spans="1:13" x14ac:dyDescent="0.3">
      <c r="A7507" t="s">
        <v>3388</v>
      </c>
      <c r="B7507" t="s">
        <v>5341</v>
      </c>
      <c r="C7507" t="s">
        <v>5470</v>
      </c>
      <c r="D7507" t="s">
        <v>4119</v>
      </c>
      <c r="E7507" t="s">
        <v>5532</v>
      </c>
      <c r="F7507" t="s">
        <v>27608</v>
      </c>
      <c r="G7507" t="s">
        <v>11110</v>
      </c>
      <c r="H7507" t="s">
        <v>5474</v>
      </c>
      <c r="I7507" t="s">
        <v>27609</v>
      </c>
      <c r="J7507" t="s">
        <v>5476</v>
      </c>
      <c r="K7507" t="s">
        <v>5471</v>
      </c>
      <c r="L7507" t="s">
        <v>5471</v>
      </c>
      <c r="M7507" t="s">
        <v>5471</v>
      </c>
    </row>
    <row r="7508" spans="1:13" x14ac:dyDescent="0.3">
      <c r="A7508" t="s">
        <v>3388</v>
      </c>
      <c r="B7508" t="s">
        <v>6478</v>
      </c>
      <c r="C7508" t="s">
        <v>5470</v>
      </c>
      <c r="D7508" t="s">
        <v>4200</v>
      </c>
      <c r="E7508" t="s">
        <v>5617</v>
      </c>
      <c r="F7508" t="s">
        <v>27610</v>
      </c>
      <c r="G7508" t="s">
        <v>20238</v>
      </c>
      <c r="H7508" t="s">
        <v>5474</v>
      </c>
      <c r="I7508" t="s">
        <v>27611</v>
      </c>
      <c r="J7508" t="s">
        <v>5476</v>
      </c>
      <c r="K7508" t="s">
        <v>5471</v>
      </c>
      <c r="L7508" t="s">
        <v>5471</v>
      </c>
      <c r="M7508" t="s">
        <v>5471</v>
      </c>
    </row>
    <row r="7509" spans="1:13" x14ac:dyDescent="0.3">
      <c r="A7509" t="s">
        <v>3388</v>
      </c>
      <c r="B7509" t="s">
        <v>6478</v>
      </c>
      <c r="C7509" t="s">
        <v>5470</v>
      </c>
      <c r="D7509" t="s">
        <v>4200</v>
      </c>
      <c r="E7509" t="s">
        <v>5617</v>
      </c>
      <c r="F7509" t="s">
        <v>27612</v>
      </c>
      <c r="G7509" t="s">
        <v>20238</v>
      </c>
      <c r="H7509" t="s">
        <v>5474</v>
      </c>
      <c r="I7509" t="s">
        <v>27613</v>
      </c>
      <c r="J7509" t="s">
        <v>5476</v>
      </c>
      <c r="K7509" t="s">
        <v>5471</v>
      </c>
      <c r="L7509" t="s">
        <v>5471</v>
      </c>
      <c r="M7509" t="s">
        <v>5471</v>
      </c>
    </row>
    <row r="7510" spans="1:13" x14ac:dyDescent="0.3">
      <c r="A7510" t="s">
        <v>3388</v>
      </c>
      <c r="B7510" t="s">
        <v>6478</v>
      </c>
      <c r="C7510" t="s">
        <v>5470</v>
      </c>
      <c r="D7510" t="s">
        <v>4200</v>
      </c>
      <c r="E7510" t="s">
        <v>5617</v>
      </c>
      <c r="F7510" t="s">
        <v>27614</v>
      </c>
      <c r="G7510" t="s">
        <v>20238</v>
      </c>
      <c r="H7510" t="s">
        <v>5474</v>
      </c>
      <c r="I7510" t="s">
        <v>27615</v>
      </c>
      <c r="J7510" t="s">
        <v>5476</v>
      </c>
      <c r="K7510" t="s">
        <v>5471</v>
      </c>
      <c r="L7510" t="s">
        <v>5471</v>
      </c>
      <c r="M7510" t="s">
        <v>5471</v>
      </c>
    </row>
    <row r="7511" spans="1:13" x14ac:dyDescent="0.3">
      <c r="A7511" t="s">
        <v>3388</v>
      </c>
      <c r="B7511" t="s">
        <v>6478</v>
      </c>
      <c r="C7511" t="s">
        <v>5470</v>
      </c>
      <c r="D7511" t="s">
        <v>4200</v>
      </c>
      <c r="E7511" t="s">
        <v>5617</v>
      </c>
      <c r="F7511" t="s">
        <v>27616</v>
      </c>
      <c r="G7511" t="s">
        <v>20242</v>
      </c>
      <c r="H7511" t="s">
        <v>5474</v>
      </c>
      <c r="I7511" t="s">
        <v>27617</v>
      </c>
      <c r="J7511" t="s">
        <v>5476</v>
      </c>
      <c r="K7511" t="s">
        <v>5471</v>
      </c>
      <c r="L7511" t="s">
        <v>5471</v>
      </c>
      <c r="M7511" t="s">
        <v>5471</v>
      </c>
    </row>
    <row r="7512" spans="1:13" x14ac:dyDescent="0.3">
      <c r="A7512" t="s">
        <v>3388</v>
      </c>
      <c r="B7512" t="s">
        <v>6478</v>
      </c>
      <c r="C7512" t="s">
        <v>5470</v>
      </c>
      <c r="D7512" t="s">
        <v>4200</v>
      </c>
      <c r="E7512" t="s">
        <v>5617</v>
      </c>
      <c r="F7512" t="s">
        <v>27618</v>
      </c>
      <c r="G7512" t="s">
        <v>20242</v>
      </c>
      <c r="H7512" t="s">
        <v>5474</v>
      </c>
      <c r="I7512" t="s">
        <v>27619</v>
      </c>
      <c r="J7512" t="s">
        <v>5476</v>
      </c>
      <c r="K7512" t="s">
        <v>5471</v>
      </c>
      <c r="L7512" t="s">
        <v>5471</v>
      </c>
      <c r="M7512" t="s">
        <v>5471</v>
      </c>
    </row>
    <row r="7513" spans="1:13" x14ac:dyDescent="0.3">
      <c r="A7513" t="s">
        <v>3388</v>
      </c>
      <c r="B7513" t="s">
        <v>6478</v>
      </c>
      <c r="C7513" t="s">
        <v>5470</v>
      </c>
      <c r="D7513" t="s">
        <v>4200</v>
      </c>
      <c r="E7513" t="s">
        <v>5617</v>
      </c>
      <c r="F7513" t="s">
        <v>27620</v>
      </c>
      <c r="G7513" t="s">
        <v>20242</v>
      </c>
      <c r="H7513" t="s">
        <v>5474</v>
      </c>
      <c r="I7513" t="s">
        <v>27621</v>
      </c>
      <c r="J7513" t="s">
        <v>5476</v>
      </c>
      <c r="K7513" t="s">
        <v>5471</v>
      </c>
      <c r="L7513" t="s">
        <v>5471</v>
      </c>
      <c r="M7513" t="s">
        <v>5471</v>
      </c>
    </row>
    <row r="7514" spans="1:13" x14ac:dyDescent="0.3">
      <c r="A7514" t="s">
        <v>3388</v>
      </c>
      <c r="B7514" t="s">
        <v>27622</v>
      </c>
      <c r="C7514" t="s">
        <v>5471</v>
      </c>
      <c r="D7514" t="s">
        <v>4119</v>
      </c>
      <c r="E7514" t="s">
        <v>5532</v>
      </c>
      <c r="F7514" t="s">
        <v>27623</v>
      </c>
      <c r="G7514" t="s">
        <v>27624</v>
      </c>
      <c r="H7514" t="s">
        <v>5474</v>
      </c>
      <c r="I7514" t="s">
        <v>27625</v>
      </c>
      <c r="J7514" t="s">
        <v>5484</v>
      </c>
      <c r="K7514" t="s">
        <v>5471</v>
      </c>
      <c r="L7514" t="s">
        <v>5471</v>
      </c>
      <c r="M7514" t="s">
        <v>5471</v>
      </c>
    </row>
    <row r="7515" spans="1:13" x14ac:dyDescent="0.3">
      <c r="A7515" t="s">
        <v>3388</v>
      </c>
      <c r="B7515" t="s">
        <v>24923</v>
      </c>
      <c r="C7515" t="s">
        <v>5470</v>
      </c>
      <c r="D7515" t="s">
        <v>4119</v>
      </c>
      <c r="E7515" t="s">
        <v>5532</v>
      </c>
      <c r="F7515" t="s">
        <v>27626</v>
      </c>
      <c r="G7515" t="s">
        <v>24925</v>
      </c>
      <c r="H7515" t="s">
        <v>5474</v>
      </c>
      <c r="I7515" t="s">
        <v>27627</v>
      </c>
      <c r="J7515" t="s">
        <v>5484</v>
      </c>
      <c r="K7515" t="s">
        <v>5471</v>
      </c>
      <c r="L7515" t="s">
        <v>5471</v>
      </c>
      <c r="M7515" t="s">
        <v>5471</v>
      </c>
    </row>
    <row r="7516" spans="1:13" x14ac:dyDescent="0.3">
      <c r="A7516" t="s">
        <v>3388</v>
      </c>
      <c r="B7516" t="s">
        <v>19988</v>
      </c>
      <c r="C7516" t="s">
        <v>5470</v>
      </c>
      <c r="D7516" t="s">
        <v>4119</v>
      </c>
      <c r="E7516" t="s">
        <v>5532</v>
      </c>
      <c r="F7516" t="s">
        <v>27628</v>
      </c>
      <c r="G7516" t="s">
        <v>19990</v>
      </c>
      <c r="H7516" t="s">
        <v>5474</v>
      </c>
      <c r="I7516" t="s">
        <v>27629</v>
      </c>
      <c r="J7516" t="s">
        <v>5484</v>
      </c>
      <c r="K7516" t="s">
        <v>5471</v>
      </c>
      <c r="L7516" t="s">
        <v>5471</v>
      </c>
      <c r="M7516" t="s">
        <v>5471</v>
      </c>
    </row>
    <row r="7517" spans="1:13" x14ac:dyDescent="0.3">
      <c r="A7517" t="s">
        <v>3388</v>
      </c>
      <c r="B7517" t="s">
        <v>11120</v>
      </c>
      <c r="C7517" t="s">
        <v>5470</v>
      </c>
      <c r="D7517" t="s">
        <v>4119</v>
      </c>
      <c r="E7517" t="s">
        <v>5532</v>
      </c>
      <c r="F7517" t="s">
        <v>27630</v>
      </c>
      <c r="G7517" t="s">
        <v>11122</v>
      </c>
      <c r="H7517" t="s">
        <v>5474</v>
      </c>
      <c r="I7517" t="s">
        <v>27631</v>
      </c>
      <c r="J7517" t="s">
        <v>5484</v>
      </c>
      <c r="K7517" t="s">
        <v>5471</v>
      </c>
      <c r="L7517" t="s">
        <v>5471</v>
      </c>
      <c r="M7517" t="s">
        <v>5471</v>
      </c>
    </row>
    <row r="7518" spans="1:13" x14ac:dyDescent="0.3">
      <c r="A7518" t="s">
        <v>3388</v>
      </c>
      <c r="B7518" t="s">
        <v>19207</v>
      </c>
      <c r="C7518" t="s">
        <v>5470</v>
      </c>
      <c r="D7518" t="s">
        <v>4119</v>
      </c>
      <c r="E7518" t="s">
        <v>5532</v>
      </c>
      <c r="F7518" t="s">
        <v>27632</v>
      </c>
      <c r="G7518" t="s">
        <v>19209</v>
      </c>
      <c r="H7518" t="s">
        <v>5474</v>
      </c>
      <c r="I7518" t="s">
        <v>27633</v>
      </c>
      <c r="J7518" t="s">
        <v>5484</v>
      </c>
      <c r="K7518" t="s">
        <v>5471</v>
      </c>
      <c r="L7518" t="s">
        <v>5471</v>
      </c>
      <c r="M7518" t="s">
        <v>5471</v>
      </c>
    </row>
    <row r="7519" spans="1:13" x14ac:dyDescent="0.3">
      <c r="A7519" t="s">
        <v>3388</v>
      </c>
      <c r="B7519" t="s">
        <v>5678</v>
      </c>
      <c r="C7519" t="s">
        <v>5470</v>
      </c>
      <c r="D7519" t="s">
        <v>4119</v>
      </c>
      <c r="E7519" t="s">
        <v>5532</v>
      </c>
      <c r="F7519" t="s">
        <v>27634</v>
      </c>
      <c r="G7519" t="s">
        <v>27635</v>
      </c>
      <c r="H7519" t="s">
        <v>5474</v>
      </c>
      <c r="I7519" t="s">
        <v>27636</v>
      </c>
      <c r="J7519" t="s">
        <v>5484</v>
      </c>
      <c r="K7519" t="s">
        <v>5471</v>
      </c>
      <c r="L7519" t="s">
        <v>5471</v>
      </c>
      <c r="M7519" t="s">
        <v>5471</v>
      </c>
    </row>
    <row r="7520" spans="1:13" x14ac:dyDescent="0.3">
      <c r="A7520" t="s">
        <v>3388</v>
      </c>
      <c r="B7520" t="s">
        <v>15892</v>
      </c>
      <c r="C7520" t="s">
        <v>5470</v>
      </c>
      <c r="D7520" t="s">
        <v>4119</v>
      </c>
      <c r="E7520" t="s">
        <v>5532</v>
      </c>
      <c r="F7520" t="s">
        <v>27637</v>
      </c>
      <c r="G7520" t="s">
        <v>21607</v>
      </c>
      <c r="H7520" t="s">
        <v>5474</v>
      </c>
      <c r="I7520" t="s">
        <v>27638</v>
      </c>
      <c r="J7520" t="s">
        <v>5484</v>
      </c>
      <c r="K7520" t="s">
        <v>5471</v>
      </c>
      <c r="L7520" t="s">
        <v>5471</v>
      </c>
      <c r="M7520" t="s">
        <v>5471</v>
      </c>
    </row>
    <row r="7521" spans="1:13" x14ac:dyDescent="0.3">
      <c r="A7521" t="s">
        <v>3388</v>
      </c>
      <c r="B7521" t="s">
        <v>11094</v>
      </c>
      <c r="C7521" t="s">
        <v>5470</v>
      </c>
      <c r="D7521" t="s">
        <v>4119</v>
      </c>
      <c r="E7521" t="s">
        <v>5756</v>
      </c>
      <c r="F7521" t="s">
        <v>27639</v>
      </c>
      <c r="G7521" t="s">
        <v>11096</v>
      </c>
      <c r="H7521" t="s">
        <v>5474</v>
      </c>
      <c r="I7521" t="s">
        <v>27640</v>
      </c>
      <c r="J7521" t="s">
        <v>5484</v>
      </c>
      <c r="K7521" t="s">
        <v>5471</v>
      </c>
      <c r="L7521" t="s">
        <v>5471</v>
      </c>
      <c r="M7521" t="s">
        <v>5471</v>
      </c>
    </row>
    <row r="7522" spans="1:13" x14ac:dyDescent="0.3">
      <c r="A7522" t="s">
        <v>3388</v>
      </c>
      <c r="B7522" t="s">
        <v>15702</v>
      </c>
      <c r="C7522" t="s">
        <v>5470</v>
      </c>
      <c r="D7522" t="s">
        <v>4052</v>
      </c>
      <c r="E7522" t="s">
        <v>5480</v>
      </c>
      <c r="F7522" t="s">
        <v>27641</v>
      </c>
      <c r="G7522" t="s">
        <v>27642</v>
      </c>
      <c r="H7522" t="s">
        <v>5474</v>
      </c>
      <c r="I7522" t="s">
        <v>27643</v>
      </c>
      <c r="J7522" t="s">
        <v>5476</v>
      </c>
      <c r="K7522" t="s">
        <v>27644</v>
      </c>
      <c r="L7522" t="s">
        <v>20150</v>
      </c>
      <c r="M7522" t="s">
        <v>5471</v>
      </c>
    </row>
    <row r="7523" spans="1:13" x14ac:dyDescent="0.3">
      <c r="A7523" t="s">
        <v>3388</v>
      </c>
      <c r="B7523" t="s">
        <v>15702</v>
      </c>
      <c r="C7523" t="s">
        <v>5470</v>
      </c>
      <c r="D7523" t="s">
        <v>4052</v>
      </c>
      <c r="E7523" t="s">
        <v>5480</v>
      </c>
      <c r="F7523" t="s">
        <v>27645</v>
      </c>
      <c r="G7523" t="s">
        <v>27646</v>
      </c>
      <c r="H7523" t="s">
        <v>5474</v>
      </c>
      <c r="I7523" t="s">
        <v>27647</v>
      </c>
      <c r="J7523" t="s">
        <v>5476</v>
      </c>
      <c r="K7523" t="s">
        <v>27648</v>
      </c>
      <c r="L7523" t="s">
        <v>20150</v>
      </c>
      <c r="M7523" t="s">
        <v>5471</v>
      </c>
    </row>
    <row r="7524" spans="1:13" x14ac:dyDescent="0.3">
      <c r="A7524" t="s">
        <v>3388</v>
      </c>
      <c r="B7524" t="s">
        <v>5956</v>
      </c>
      <c r="C7524" t="s">
        <v>5470</v>
      </c>
      <c r="D7524" t="s">
        <v>4056</v>
      </c>
      <c r="E7524" t="s">
        <v>5617</v>
      </c>
      <c r="F7524" t="s">
        <v>27649</v>
      </c>
      <c r="G7524" t="s">
        <v>15675</v>
      </c>
      <c r="H7524" t="s">
        <v>5474</v>
      </c>
      <c r="I7524" t="s">
        <v>27650</v>
      </c>
      <c r="J7524" t="s">
        <v>5476</v>
      </c>
      <c r="K7524" t="s">
        <v>27651</v>
      </c>
      <c r="L7524" t="s">
        <v>5471</v>
      </c>
      <c r="M7524" t="s">
        <v>5471</v>
      </c>
    </row>
    <row r="7525" spans="1:13" x14ac:dyDescent="0.3">
      <c r="A7525" t="s">
        <v>3388</v>
      </c>
      <c r="B7525" t="s">
        <v>5956</v>
      </c>
      <c r="C7525" t="s">
        <v>5470</v>
      </c>
      <c r="D7525" t="s">
        <v>4056</v>
      </c>
      <c r="E7525" t="s">
        <v>5617</v>
      </c>
      <c r="F7525" t="s">
        <v>27652</v>
      </c>
      <c r="G7525" t="s">
        <v>15675</v>
      </c>
      <c r="H7525" t="s">
        <v>5474</v>
      </c>
      <c r="I7525" t="s">
        <v>27653</v>
      </c>
      <c r="J7525" t="s">
        <v>5476</v>
      </c>
      <c r="K7525" t="s">
        <v>27654</v>
      </c>
      <c r="L7525" t="s">
        <v>5471</v>
      </c>
      <c r="M7525" t="s">
        <v>5471</v>
      </c>
    </row>
    <row r="7526" spans="1:13" x14ac:dyDescent="0.3">
      <c r="A7526" t="s">
        <v>3388</v>
      </c>
      <c r="B7526" t="s">
        <v>5956</v>
      </c>
      <c r="C7526" t="s">
        <v>5470</v>
      </c>
      <c r="D7526" t="s">
        <v>4056</v>
      </c>
      <c r="E7526" t="s">
        <v>5617</v>
      </c>
      <c r="F7526" t="s">
        <v>27655</v>
      </c>
      <c r="G7526" t="s">
        <v>10828</v>
      </c>
      <c r="H7526" t="s">
        <v>5474</v>
      </c>
      <c r="I7526" t="s">
        <v>27656</v>
      </c>
      <c r="J7526" t="s">
        <v>5476</v>
      </c>
      <c r="K7526" t="s">
        <v>27657</v>
      </c>
      <c r="L7526" t="s">
        <v>5471</v>
      </c>
      <c r="M7526" t="s">
        <v>5471</v>
      </c>
    </row>
    <row r="7527" spans="1:13" x14ac:dyDescent="0.3">
      <c r="A7527" t="s">
        <v>3388</v>
      </c>
      <c r="B7527" t="s">
        <v>5956</v>
      </c>
      <c r="C7527" t="s">
        <v>5470</v>
      </c>
      <c r="D7527" t="s">
        <v>4056</v>
      </c>
      <c r="E7527" t="s">
        <v>5617</v>
      </c>
      <c r="F7527" t="s">
        <v>27658</v>
      </c>
      <c r="G7527" t="s">
        <v>10828</v>
      </c>
      <c r="H7527" t="s">
        <v>5474</v>
      </c>
      <c r="I7527" t="s">
        <v>27659</v>
      </c>
      <c r="J7527" t="s">
        <v>5476</v>
      </c>
      <c r="K7527" t="s">
        <v>27660</v>
      </c>
      <c r="L7527" t="s">
        <v>5471</v>
      </c>
      <c r="M7527" t="s">
        <v>5471</v>
      </c>
    </row>
    <row r="7528" spans="1:13" x14ac:dyDescent="0.3">
      <c r="A7528" t="s">
        <v>3388</v>
      </c>
      <c r="B7528" t="s">
        <v>5956</v>
      </c>
      <c r="C7528" t="s">
        <v>5470</v>
      </c>
      <c r="D7528" t="s">
        <v>4056</v>
      </c>
      <c r="E7528" t="s">
        <v>5617</v>
      </c>
      <c r="F7528" t="s">
        <v>27661</v>
      </c>
      <c r="G7528" t="s">
        <v>7096</v>
      </c>
      <c r="H7528" t="s">
        <v>5474</v>
      </c>
      <c r="I7528" t="s">
        <v>27662</v>
      </c>
      <c r="J7528" t="s">
        <v>5476</v>
      </c>
      <c r="K7528" t="s">
        <v>27663</v>
      </c>
      <c r="L7528" t="s">
        <v>5471</v>
      </c>
      <c r="M7528" t="s">
        <v>5471</v>
      </c>
    </row>
    <row r="7529" spans="1:13" x14ac:dyDescent="0.3">
      <c r="A7529" t="s">
        <v>3388</v>
      </c>
      <c r="B7529" t="s">
        <v>5956</v>
      </c>
      <c r="C7529" t="s">
        <v>5470</v>
      </c>
      <c r="D7529" t="s">
        <v>4056</v>
      </c>
      <c r="E7529" t="s">
        <v>5617</v>
      </c>
      <c r="F7529" t="s">
        <v>27664</v>
      </c>
      <c r="G7529" t="s">
        <v>7096</v>
      </c>
      <c r="H7529" t="s">
        <v>5474</v>
      </c>
      <c r="I7529" t="s">
        <v>27665</v>
      </c>
      <c r="J7529" t="s">
        <v>5476</v>
      </c>
      <c r="K7529" t="s">
        <v>27666</v>
      </c>
      <c r="L7529" t="s">
        <v>5471</v>
      </c>
      <c r="M7529" t="s">
        <v>5471</v>
      </c>
    </row>
    <row r="7530" spans="1:13" x14ac:dyDescent="0.3">
      <c r="A7530" t="s">
        <v>3388</v>
      </c>
      <c r="B7530" t="s">
        <v>5956</v>
      </c>
      <c r="C7530" t="s">
        <v>5470</v>
      </c>
      <c r="D7530" t="s">
        <v>4056</v>
      </c>
      <c r="E7530" t="s">
        <v>5617</v>
      </c>
      <c r="F7530" t="s">
        <v>27667</v>
      </c>
      <c r="G7530" t="s">
        <v>7096</v>
      </c>
      <c r="H7530" t="s">
        <v>5474</v>
      </c>
      <c r="I7530" t="s">
        <v>27668</v>
      </c>
      <c r="J7530" t="s">
        <v>5476</v>
      </c>
      <c r="K7530" t="s">
        <v>27669</v>
      </c>
      <c r="L7530" t="s">
        <v>5471</v>
      </c>
      <c r="M7530" t="s">
        <v>5471</v>
      </c>
    </row>
    <row r="7531" spans="1:13" x14ac:dyDescent="0.3">
      <c r="A7531" t="s">
        <v>3388</v>
      </c>
      <c r="B7531" t="s">
        <v>5956</v>
      </c>
      <c r="C7531" t="s">
        <v>5470</v>
      </c>
      <c r="D7531" t="s">
        <v>4056</v>
      </c>
      <c r="E7531" t="s">
        <v>5617</v>
      </c>
      <c r="F7531" t="s">
        <v>27670</v>
      </c>
      <c r="G7531" t="s">
        <v>7096</v>
      </c>
      <c r="H7531" t="s">
        <v>5474</v>
      </c>
      <c r="I7531" t="s">
        <v>27671</v>
      </c>
      <c r="J7531" t="s">
        <v>5476</v>
      </c>
      <c r="K7531" t="s">
        <v>27672</v>
      </c>
      <c r="L7531" t="s">
        <v>5471</v>
      </c>
      <c r="M7531" t="s">
        <v>5471</v>
      </c>
    </row>
    <row r="7532" spans="1:13" x14ac:dyDescent="0.3">
      <c r="A7532" t="s">
        <v>3388</v>
      </c>
      <c r="B7532" t="s">
        <v>5956</v>
      </c>
      <c r="C7532" t="s">
        <v>5470</v>
      </c>
      <c r="D7532" t="s">
        <v>4056</v>
      </c>
      <c r="E7532" t="s">
        <v>5617</v>
      </c>
      <c r="F7532" t="s">
        <v>27673</v>
      </c>
      <c r="G7532" t="s">
        <v>7096</v>
      </c>
      <c r="H7532" t="s">
        <v>5474</v>
      </c>
      <c r="I7532" t="s">
        <v>27674</v>
      </c>
      <c r="J7532" t="s">
        <v>5476</v>
      </c>
      <c r="K7532" t="s">
        <v>27675</v>
      </c>
      <c r="L7532" t="s">
        <v>5471</v>
      </c>
      <c r="M7532" t="s">
        <v>5471</v>
      </c>
    </row>
    <row r="7533" spans="1:13" x14ac:dyDescent="0.3">
      <c r="A7533" t="s">
        <v>3388</v>
      </c>
      <c r="B7533" t="s">
        <v>15702</v>
      </c>
      <c r="C7533" t="s">
        <v>5470</v>
      </c>
      <c r="D7533" t="s">
        <v>4119</v>
      </c>
      <c r="E7533" t="s">
        <v>5480</v>
      </c>
      <c r="F7533" t="s">
        <v>27676</v>
      </c>
      <c r="G7533" t="s">
        <v>27677</v>
      </c>
      <c r="H7533" t="s">
        <v>5474</v>
      </c>
      <c r="I7533" t="s">
        <v>27678</v>
      </c>
      <c r="J7533" t="s">
        <v>5476</v>
      </c>
      <c r="K7533" t="s">
        <v>5471</v>
      </c>
      <c r="L7533" t="s">
        <v>27679</v>
      </c>
      <c r="M7533" t="s">
        <v>5471</v>
      </c>
    </row>
    <row r="7534" spans="1:13" x14ac:dyDescent="0.3">
      <c r="A7534" t="s">
        <v>3388</v>
      </c>
      <c r="B7534" t="s">
        <v>7101</v>
      </c>
      <c r="C7534" t="s">
        <v>5470</v>
      </c>
      <c r="D7534" t="s">
        <v>4056</v>
      </c>
      <c r="E7534" t="s">
        <v>5756</v>
      </c>
      <c r="F7534" t="s">
        <v>27680</v>
      </c>
      <c r="G7534" t="s">
        <v>10449</v>
      </c>
      <c r="H7534" t="s">
        <v>5474</v>
      </c>
      <c r="I7534" t="s">
        <v>27681</v>
      </c>
      <c r="J7534" t="s">
        <v>5476</v>
      </c>
      <c r="K7534" t="s">
        <v>27682</v>
      </c>
      <c r="L7534" t="s">
        <v>5471</v>
      </c>
      <c r="M7534" t="s">
        <v>5471</v>
      </c>
    </row>
    <row r="7535" spans="1:13" x14ac:dyDescent="0.3">
      <c r="A7535" t="s">
        <v>3388</v>
      </c>
      <c r="B7535" t="s">
        <v>7101</v>
      </c>
      <c r="C7535" t="s">
        <v>5470</v>
      </c>
      <c r="D7535" t="s">
        <v>4056</v>
      </c>
      <c r="E7535" t="s">
        <v>5756</v>
      </c>
      <c r="F7535" t="s">
        <v>27683</v>
      </c>
      <c r="G7535" t="s">
        <v>18670</v>
      </c>
      <c r="H7535" t="s">
        <v>5474</v>
      </c>
      <c r="I7535" t="s">
        <v>27684</v>
      </c>
      <c r="J7535" t="s">
        <v>5476</v>
      </c>
      <c r="K7535" t="s">
        <v>27685</v>
      </c>
      <c r="L7535" t="s">
        <v>5471</v>
      </c>
      <c r="M7535" t="s">
        <v>5471</v>
      </c>
    </row>
    <row r="7536" spans="1:13" x14ac:dyDescent="0.3">
      <c r="A7536" t="s">
        <v>3388</v>
      </c>
      <c r="B7536" t="s">
        <v>10417</v>
      </c>
      <c r="C7536" t="s">
        <v>5470</v>
      </c>
      <c r="D7536" t="s">
        <v>4056</v>
      </c>
      <c r="E7536" t="s">
        <v>5756</v>
      </c>
      <c r="F7536" t="s">
        <v>27686</v>
      </c>
      <c r="G7536" t="s">
        <v>10449</v>
      </c>
      <c r="H7536" t="s">
        <v>5474</v>
      </c>
      <c r="I7536" t="s">
        <v>27687</v>
      </c>
      <c r="J7536" t="s">
        <v>5476</v>
      </c>
      <c r="K7536" t="s">
        <v>27688</v>
      </c>
      <c r="L7536" t="s">
        <v>5471</v>
      </c>
      <c r="M7536" t="s">
        <v>5471</v>
      </c>
    </row>
    <row r="7537" spans="1:13" x14ac:dyDescent="0.3">
      <c r="A7537" t="s">
        <v>3388</v>
      </c>
      <c r="B7537" t="s">
        <v>10417</v>
      </c>
      <c r="C7537" t="s">
        <v>5470</v>
      </c>
      <c r="D7537" t="s">
        <v>4056</v>
      </c>
      <c r="E7537" t="s">
        <v>5756</v>
      </c>
      <c r="F7537" t="s">
        <v>27689</v>
      </c>
      <c r="G7537" t="s">
        <v>10449</v>
      </c>
      <c r="H7537" t="s">
        <v>5474</v>
      </c>
      <c r="I7537" t="s">
        <v>27690</v>
      </c>
      <c r="J7537" t="s">
        <v>5476</v>
      </c>
      <c r="K7537" t="s">
        <v>27691</v>
      </c>
      <c r="L7537" t="s">
        <v>5471</v>
      </c>
      <c r="M7537" t="s">
        <v>5471</v>
      </c>
    </row>
    <row r="7538" spans="1:13" x14ac:dyDescent="0.3">
      <c r="A7538" t="s">
        <v>3388</v>
      </c>
      <c r="B7538" t="s">
        <v>10417</v>
      </c>
      <c r="C7538" t="s">
        <v>5470</v>
      </c>
      <c r="D7538" t="s">
        <v>4056</v>
      </c>
      <c r="E7538" t="s">
        <v>5756</v>
      </c>
      <c r="F7538" t="s">
        <v>27692</v>
      </c>
      <c r="G7538" t="s">
        <v>10449</v>
      </c>
      <c r="H7538" t="s">
        <v>5474</v>
      </c>
      <c r="I7538" t="s">
        <v>27693</v>
      </c>
      <c r="J7538" t="s">
        <v>5476</v>
      </c>
      <c r="K7538" t="s">
        <v>27682</v>
      </c>
      <c r="L7538" t="s">
        <v>5471</v>
      </c>
      <c r="M7538" t="s">
        <v>5471</v>
      </c>
    </row>
    <row r="7539" spans="1:13" x14ac:dyDescent="0.3">
      <c r="A7539" t="s">
        <v>3380</v>
      </c>
      <c r="B7539" t="s">
        <v>5281</v>
      </c>
      <c r="C7539" t="s">
        <v>5487</v>
      </c>
      <c r="D7539" t="s">
        <v>4056</v>
      </c>
      <c r="E7539" t="s">
        <v>5532</v>
      </c>
      <c r="F7539" t="s">
        <v>27694</v>
      </c>
      <c r="G7539" t="s">
        <v>27520</v>
      </c>
      <c r="H7539" t="s">
        <v>5474</v>
      </c>
      <c r="I7539" t="s">
        <v>27695</v>
      </c>
      <c r="J7539" t="s">
        <v>5476</v>
      </c>
      <c r="K7539" t="s">
        <v>27696</v>
      </c>
      <c r="L7539" t="s">
        <v>5471</v>
      </c>
      <c r="M7539" t="s">
        <v>5471</v>
      </c>
    </row>
    <row r="7540" spans="1:13" x14ac:dyDescent="0.3">
      <c r="A7540" t="s">
        <v>3380</v>
      </c>
      <c r="B7540" t="s">
        <v>5281</v>
      </c>
      <c r="C7540" t="s">
        <v>5487</v>
      </c>
      <c r="D7540" t="s">
        <v>4056</v>
      </c>
      <c r="E7540" t="s">
        <v>5532</v>
      </c>
      <c r="F7540" t="s">
        <v>27697</v>
      </c>
      <c r="G7540" t="s">
        <v>27520</v>
      </c>
      <c r="H7540" t="s">
        <v>5474</v>
      </c>
      <c r="I7540" t="s">
        <v>27698</v>
      </c>
      <c r="J7540" t="s">
        <v>5476</v>
      </c>
      <c r="K7540" t="s">
        <v>27699</v>
      </c>
      <c r="L7540" t="s">
        <v>5471</v>
      </c>
      <c r="M7540" t="s">
        <v>5471</v>
      </c>
    </row>
    <row r="7541" spans="1:13" x14ac:dyDescent="0.3">
      <c r="A7541" t="s">
        <v>3380</v>
      </c>
      <c r="B7541" t="s">
        <v>5281</v>
      </c>
      <c r="C7541" t="s">
        <v>5487</v>
      </c>
      <c r="D7541" t="s">
        <v>4056</v>
      </c>
      <c r="E7541" t="s">
        <v>5532</v>
      </c>
      <c r="F7541" t="s">
        <v>27700</v>
      </c>
      <c r="G7541" t="s">
        <v>27520</v>
      </c>
      <c r="H7541" t="s">
        <v>5474</v>
      </c>
      <c r="I7541" t="s">
        <v>27701</v>
      </c>
      <c r="J7541" t="s">
        <v>5476</v>
      </c>
      <c r="K7541" t="s">
        <v>27702</v>
      </c>
      <c r="L7541" t="s">
        <v>5471</v>
      </c>
      <c r="M7541" t="s">
        <v>5471</v>
      </c>
    </row>
    <row r="7542" spans="1:13" x14ac:dyDescent="0.3">
      <c r="A7542" t="s">
        <v>3380</v>
      </c>
      <c r="B7542" t="s">
        <v>10096</v>
      </c>
      <c r="C7542" t="s">
        <v>6342</v>
      </c>
      <c r="D7542" t="s">
        <v>4119</v>
      </c>
      <c r="E7542" t="s">
        <v>5532</v>
      </c>
      <c r="F7542" t="s">
        <v>27703</v>
      </c>
      <c r="G7542" t="s">
        <v>10098</v>
      </c>
      <c r="H7542" t="s">
        <v>5474</v>
      </c>
      <c r="I7542" t="s">
        <v>27704</v>
      </c>
      <c r="J7542" t="s">
        <v>5476</v>
      </c>
      <c r="K7542" t="s">
        <v>27705</v>
      </c>
      <c r="L7542" t="s">
        <v>5471</v>
      </c>
      <c r="M7542" t="s">
        <v>5471</v>
      </c>
    </row>
    <row r="7543" spans="1:13" x14ac:dyDescent="0.3">
      <c r="A7543" t="s">
        <v>3380</v>
      </c>
      <c r="B7543" t="s">
        <v>10096</v>
      </c>
      <c r="C7543" t="s">
        <v>6342</v>
      </c>
      <c r="D7543" t="s">
        <v>4119</v>
      </c>
      <c r="E7543" t="s">
        <v>5532</v>
      </c>
      <c r="F7543" t="s">
        <v>27706</v>
      </c>
      <c r="G7543" t="s">
        <v>10102</v>
      </c>
      <c r="H7543" t="s">
        <v>5474</v>
      </c>
      <c r="I7543" t="s">
        <v>27707</v>
      </c>
      <c r="J7543" t="s">
        <v>5476</v>
      </c>
      <c r="K7543" t="s">
        <v>27708</v>
      </c>
      <c r="L7543" t="s">
        <v>5471</v>
      </c>
      <c r="M7543" t="s">
        <v>5471</v>
      </c>
    </row>
    <row r="7544" spans="1:13" x14ac:dyDescent="0.3">
      <c r="A7544" t="s">
        <v>3380</v>
      </c>
      <c r="B7544" t="s">
        <v>10096</v>
      </c>
      <c r="C7544" t="s">
        <v>6342</v>
      </c>
      <c r="D7544" t="s">
        <v>4119</v>
      </c>
      <c r="E7544" t="s">
        <v>5532</v>
      </c>
      <c r="F7544" t="s">
        <v>27709</v>
      </c>
      <c r="G7544" t="s">
        <v>10098</v>
      </c>
      <c r="H7544" t="s">
        <v>5474</v>
      </c>
      <c r="I7544" t="s">
        <v>27710</v>
      </c>
      <c r="J7544" t="s">
        <v>5476</v>
      </c>
      <c r="K7544" t="s">
        <v>27705</v>
      </c>
      <c r="L7544" t="s">
        <v>5471</v>
      </c>
      <c r="M7544" t="s">
        <v>5471</v>
      </c>
    </row>
    <row r="7545" spans="1:13" x14ac:dyDescent="0.3">
      <c r="A7545" t="s">
        <v>3380</v>
      </c>
      <c r="B7545" t="s">
        <v>10096</v>
      </c>
      <c r="C7545" t="s">
        <v>6342</v>
      </c>
      <c r="D7545" t="s">
        <v>4119</v>
      </c>
      <c r="E7545" t="s">
        <v>5532</v>
      </c>
      <c r="F7545" t="s">
        <v>27711</v>
      </c>
      <c r="G7545" t="s">
        <v>10098</v>
      </c>
      <c r="H7545" t="s">
        <v>5474</v>
      </c>
      <c r="I7545" t="s">
        <v>27712</v>
      </c>
      <c r="J7545" t="s">
        <v>5476</v>
      </c>
      <c r="K7545" t="s">
        <v>27705</v>
      </c>
      <c r="L7545" t="s">
        <v>5471</v>
      </c>
      <c r="M7545" t="s">
        <v>5471</v>
      </c>
    </row>
    <row r="7546" spans="1:13" x14ac:dyDescent="0.3">
      <c r="A7546" t="s">
        <v>3380</v>
      </c>
      <c r="B7546" t="s">
        <v>10096</v>
      </c>
      <c r="C7546" t="s">
        <v>6342</v>
      </c>
      <c r="D7546" t="s">
        <v>4119</v>
      </c>
      <c r="E7546" t="s">
        <v>5532</v>
      </c>
      <c r="F7546" t="s">
        <v>27713</v>
      </c>
      <c r="G7546" t="s">
        <v>27714</v>
      </c>
      <c r="H7546" t="s">
        <v>5474</v>
      </c>
      <c r="I7546" t="s">
        <v>27715</v>
      </c>
      <c r="J7546" t="s">
        <v>5476</v>
      </c>
      <c r="K7546" t="s">
        <v>27708</v>
      </c>
      <c r="L7546" t="s">
        <v>5471</v>
      </c>
      <c r="M7546" t="s">
        <v>5471</v>
      </c>
    </row>
    <row r="7547" spans="1:13" x14ac:dyDescent="0.3">
      <c r="A7547" t="s">
        <v>3380</v>
      </c>
      <c r="B7547" t="s">
        <v>10096</v>
      </c>
      <c r="C7547" t="s">
        <v>6342</v>
      </c>
      <c r="D7547" t="s">
        <v>4119</v>
      </c>
      <c r="E7547" t="s">
        <v>5532</v>
      </c>
      <c r="F7547" t="s">
        <v>27716</v>
      </c>
      <c r="G7547" t="s">
        <v>27717</v>
      </c>
      <c r="H7547" t="s">
        <v>5474</v>
      </c>
      <c r="I7547" t="s">
        <v>27718</v>
      </c>
      <c r="J7547" t="s">
        <v>5476</v>
      </c>
      <c r="K7547" t="s">
        <v>27708</v>
      </c>
      <c r="L7547" t="s">
        <v>5471</v>
      </c>
      <c r="M7547" t="s">
        <v>5471</v>
      </c>
    </row>
    <row r="7548" spans="1:13" x14ac:dyDescent="0.3">
      <c r="A7548" t="s">
        <v>3380</v>
      </c>
      <c r="B7548" t="s">
        <v>10096</v>
      </c>
      <c r="C7548" t="s">
        <v>6342</v>
      </c>
      <c r="D7548" t="s">
        <v>4119</v>
      </c>
      <c r="E7548" t="s">
        <v>5532</v>
      </c>
      <c r="F7548" t="s">
        <v>27719</v>
      </c>
      <c r="G7548" t="s">
        <v>27720</v>
      </c>
      <c r="H7548" t="s">
        <v>5474</v>
      </c>
      <c r="I7548" t="s">
        <v>27721</v>
      </c>
      <c r="J7548" t="s">
        <v>5476</v>
      </c>
      <c r="K7548" t="s">
        <v>27722</v>
      </c>
      <c r="L7548" t="s">
        <v>5471</v>
      </c>
      <c r="M7548" t="s">
        <v>5471</v>
      </c>
    </row>
    <row r="7549" spans="1:13" x14ac:dyDescent="0.3">
      <c r="A7549" t="s">
        <v>3380</v>
      </c>
      <c r="B7549" t="s">
        <v>11061</v>
      </c>
      <c r="C7549" t="s">
        <v>6342</v>
      </c>
      <c r="D7549" t="s">
        <v>4119</v>
      </c>
      <c r="E7549" t="s">
        <v>5532</v>
      </c>
      <c r="F7549" t="s">
        <v>27723</v>
      </c>
      <c r="G7549" t="s">
        <v>11063</v>
      </c>
      <c r="H7549" t="s">
        <v>5474</v>
      </c>
      <c r="I7549" t="s">
        <v>27724</v>
      </c>
      <c r="J7549" t="s">
        <v>5476</v>
      </c>
      <c r="K7549" t="s">
        <v>27725</v>
      </c>
      <c r="L7549" t="s">
        <v>5471</v>
      </c>
      <c r="M7549" t="s">
        <v>5471</v>
      </c>
    </row>
    <row r="7550" spans="1:13" x14ac:dyDescent="0.3">
      <c r="A7550" t="s">
        <v>3380</v>
      </c>
      <c r="B7550" t="s">
        <v>11061</v>
      </c>
      <c r="C7550" t="s">
        <v>6342</v>
      </c>
      <c r="D7550" t="s">
        <v>4119</v>
      </c>
      <c r="E7550" t="s">
        <v>5480</v>
      </c>
      <c r="F7550" t="s">
        <v>27726</v>
      </c>
      <c r="G7550" t="s">
        <v>11063</v>
      </c>
      <c r="H7550" t="s">
        <v>5474</v>
      </c>
      <c r="I7550" t="s">
        <v>27727</v>
      </c>
      <c r="J7550" t="s">
        <v>5476</v>
      </c>
      <c r="K7550" t="s">
        <v>27728</v>
      </c>
      <c r="L7550" t="s">
        <v>5471</v>
      </c>
      <c r="M7550" t="s">
        <v>5471</v>
      </c>
    </row>
    <row r="7551" spans="1:13" x14ac:dyDescent="0.3">
      <c r="A7551" t="s">
        <v>3380</v>
      </c>
      <c r="B7551" t="s">
        <v>11061</v>
      </c>
      <c r="C7551" t="s">
        <v>6342</v>
      </c>
      <c r="D7551" t="s">
        <v>4119</v>
      </c>
      <c r="E7551" t="s">
        <v>5480</v>
      </c>
      <c r="F7551" t="s">
        <v>27729</v>
      </c>
      <c r="G7551" t="s">
        <v>11063</v>
      </c>
      <c r="H7551" t="s">
        <v>5474</v>
      </c>
      <c r="I7551" t="s">
        <v>27730</v>
      </c>
      <c r="J7551" t="s">
        <v>5476</v>
      </c>
      <c r="K7551" t="s">
        <v>27728</v>
      </c>
      <c r="L7551" t="s">
        <v>5471</v>
      </c>
      <c r="M7551" t="s">
        <v>5471</v>
      </c>
    </row>
    <row r="7552" spans="1:13" x14ac:dyDescent="0.3">
      <c r="A7552" t="s">
        <v>3380</v>
      </c>
      <c r="B7552" t="s">
        <v>11061</v>
      </c>
      <c r="C7552" t="s">
        <v>6342</v>
      </c>
      <c r="D7552" t="s">
        <v>4119</v>
      </c>
      <c r="E7552" t="s">
        <v>5480</v>
      </c>
      <c r="F7552" t="s">
        <v>27731</v>
      </c>
      <c r="G7552" t="s">
        <v>11063</v>
      </c>
      <c r="H7552" t="s">
        <v>5474</v>
      </c>
      <c r="I7552" t="s">
        <v>27732</v>
      </c>
      <c r="J7552" t="s">
        <v>5476</v>
      </c>
      <c r="K7552" t="s">
        <v>27728</v>
      </c>
      <c r="L7552" t="s">
        <v>5471</v>
      </c>
      <c r="M7552" t="s">
        <v>5471</v>
      </c>
    </row>
    <row r="7553" spans="1:13" x14ac:dyDescent="0.3">
      <c r="A7553" t="s">
        <v>3380</v>
      </c>
      <c r="B7553" t="s">
        <v>11061</v>
      </c>
      <c r="C7553" t="s">
        <v>6342</v>
      </c>
      <c r="D7553" t="s">
        <v>4175</v>
      </c>
      <c r="E7553" t="s">
        <v>5843</v>
      </c>
      <c r="F7553" t="s">
        <v>27733</v>
      </c>
      <c r="G7553" t="s">
        <v>11063</v>
      </c>
      <c r="H7553" t="s">
        <v>5474</v>
      </c>
      <c r="I7553" t="s">
        <v>27734</v>
      </c>
      <c r="J7553" t="s">
        <v>5476</v>
      </c>
      <c r="K7553" t="s">
        <v>27735</v>
      </c>
      <c r="L7553" t="s">
        <v>5471</v>
      </c>
      <c r="M7553" t="s">
        <v>5471</v>
      </c>
    </row>
    <row r="7554" spans="1:13" x14ac:dyDescent="0.3">
      <c r="A7554" t="s">
        <v>3380</v>
      </c>
      <c r="B7554" t="s">
        <v>11061</v>
      </c>
      <c r="C7554" t="s">
        <v>6342</v>
      </c>
      <c r="D7554" t="s">
        <v>4175</v>
      </c>
      <c r="E7554" t="s">
        <v>5843</v>
      </c>
      <c r="F7554" t="s">
        <v>27736</v>
      </c>
      <c r="G7554" t="s">
        <v>11063</v>
      </c>
      <c r="H7554" t="s">
        <v>5474</v>
      </c>
      <c r="I7554" t="s">
        <v>27737</v>
      </c>
      <c r="J7554" t="s">
        <v>5476</v>
      </c>
      <c r="K7554" t="s">
        <v>27738</v>
      </c>
      <c r="L7554" t="s">
        <v>5471</v>
      </c>
      <c r="M7554" t="s">
        <v>5471</v>
      </c>
    </row>
    <row r="7555" spans="1:13" x14ac:dyDescent="0.3">
      <c r="A7555" t="s">
        <v>3380</v>
      </c>
      <c r="B7555" t="s">
        <v>11061</v>
      </c>
      <c r="C7555" t="s">
        <v>6342</v>
      </c>
      <c r="D7555" t="s">
        <v>4175</v>
      </c>
      <c r="E7555" t="s">
        <v>5532</v>
      </c>
      <c r="F7555" t="s">
        <v>27739</v>
      </c>
      <c r="G7555" t="s">
        <v>11063</v>
      </c>
      <c r="H7555" t="s">
        <v>5474</v>
      </c>
      <c r="I7555" t="s">
        <v>27740</v>
      </c>
      <c r="J7555" t="s">
        <v>5476</v>
      </c>
      <c r="K7555" t="s">
        <v>27741</v>
      </c>
      <c r="L7555" t="s">
        <v>5471</v>
      </c>
      <c r="M7555" t="s">
        <v>5471</v>
      </c>
    </row>
    <row r="7556" spans="1:13" x14ac:dyDescent="0.3">
      <c r="A7556" t="s">
        <v>3380</v>
      </c>
      <c r="B7556" t="s">
        <v>11061</v>
      </c>
      <c r="C7556" t="s">
        <v>6342</v>
      </c>
      <c r="D7556" t="s">
        <v>4175</v>
      </c>
      <c r="E7556" t="s">
        <v>5532</v>
      </c>
      <c r="F7556" t="s">
        <v>27742</v>
      </c>
      <c r="G7556" t="s">
        <v>11063</v>
      </c>
      <c r="H7556" t="s">
        <v>5474</v>
      </c>
      <c r="I7556" t="s">
        <v>27743</v>
      </c>
      <c r="J7556" t="s">
        <v>5476</v>
      </c>
      <c r="K7556" t="s">
        <v>27744</v>
      </c>
      <c r="L7556" t="s">
        <v>5471</v>
      </c>
      <c r="M7556" t="s">
        <v>5471</v>
      </c>
    </row>
    <row r="7557" spans="1:13" x14ac:dyDescent="0.3">
      <c r="A7557" t="s">
        <v>3380</v>
      </c>
      <c r="B7557" t="s">
        <v>5306</v>
      </c>
      <c r="C7557" t="s">
        <v>6342</v>
      </c>
      <c r="D7557" t="s">
        <v>4056</v>
      </c>
      <c r="E7557" t="s">
        <v>5532</v>
      </c>
      <c r="F7557" t="s">
        <v>27745</v>
      </c>
      <c r="G7557" t="s">
        <v>27746</v>
      </c>
      <c r="H7557" t="s">
        <v>5474</v>
      </c>
      <c r="I7557" t="s">
        <v>27747</v>
      </c>
      <c r="J7557" t="s">
        <v>5476</v>
      </c>
      <c r="K7557" t="s">
        <v>27748</v>
      </c>
      <c r="L7557" t="s">
        <v>5471</v>
      </c>
      <c r="M7557" t="s">
        <v>5471</v>
      </c>
    </row>
    <row r="7558" spans="1:13" x14ac:dyDescent="0.3">
      <c r="A7558" t="s">
        <v>3380</v>
      </c>
      <c r="B7558" t="s">
        <v>5306</v>
      </c>
      <c r="C7558" t="s">
        <v>6342</v>
      </c>
      <c r="D7558" t="s">
        <v>4056</v>
      </c>
      <c r="E7558" t="s">
        <v>5532</v>
      </c>
      <c r="F7558" t="s">
        <v>27749</v>
      </c>
      <c r="G7558" t="s">
        <v>27750</v>
      </c>
      <c r="H7558" t="s">
        <v>5474</v>
      </c>
      <c r="I7558" t="s">
        <v>27751</v>
      </c>
      <c r="J7558" t="s">
        <v>5476</v>
      </c>
      <c r="K7558" t="s">
        <v>27752</v>
      </c>
      <c r="L7558" t="s">
        <v>5471</v>
      </c>
      <c r="M7558" t="s">
        <v>5471</v>
      </c>
    </row>
    <row r="7559" spans="1:13" x14ac:dyDescent="0.3">
      <c r="A7559" t="s">
        <v>3380</v>
      </c>
      <c r="B7559" t="s">
        <v>5306</v>
      </c>
      <c r="C7559" t="s">
        <v>6342</v>
      </c>
      <c r="D7559" t="s">
        <v>4056</v>
      </c>
      <c r="E7559" t="s">
        <v>5532</v>
      </c>
      <c r="F7559" t="s">
        <v>27753</v>
      </c>
      <c r="G7559" t="s">
        <v>27750</v>
      </c>
      <c r="H7559" t="s">
        <v>5474</v>
      </c>
      <c r="I7559" t="s">
        <v>27754</v>
      </c>
      <c r="J7559" t="s">
        <v>5476</v>
      </c>
      <c r="K7559" t="s">
        <v>27755</v>
      </c>
      <c r="L7559" t="s">
        <v>5471</v>
      </c>
      <c r="M7559" t="s">
        <v>5471</v>
      </c>
    </row>
    <row r="7560" spans="1:13" x14ac:dyDescent="0.3">
      <c r="A7560" t="s">
        <v>3380</v>
      </c>
      <c r="B7560" t="s">
        <v>5306</v>
      </c>
      <c r="C7560" t="s">
        <v>6342</v>
      </c>
      <c r="D7560" t="s">
        <v>4119</v>
      </c>
      <c r="E7560" t="s">
        <v>5532</v>
      </c>
      <c r="F7560" t="s">
        <v>27756</v>
      </c>
      <c r="G7560" t="s">
        <v>27746</v>
      </c>
      <c r="H7560" t="s">
        <v>5474</v>
      </c>
      <c r="I7560" t="s">
        <v>27757</v>
      </c>
      <c r="J7560" t="s">
        <v>5476</v>
      </c>
      <c r="K7560" t="s">
        <v>27725</v>
      </c>
      <c r="L7560" t="s">
        <v>5471</v>
      </c>
      <c r="M7560" t="s">
        <v>5471</v>
      </c>
    </row>
    <row r="7561" spans="1:13" x14ac:dyDescent="0.3">
      <c r="A7561" t="s">
        <v>3397</v>
      </c>
      <c r="B7561" t="s">
        <v>5269</v>
      </c>
      <c r="C7561" t="s">
        <v>5487</v>
      </c>
      <c r="D7561" t="s">
        <v>4058</v>
      </c>
      <c r="E7561" t="s">
        <v>5843</v>
      </c>
      <c r="F7561" t="s">
        <v>27758</v>
      </c>
      <c r="G7561" t="s">
        <v>27759</v>
      </c>
      <c r="H7561" t="s">
        <v>5474</v>
      </c>
      <c r="I7561" t="s">
        <v>27760</v>
      </c>
      <c r="J7561" t="s">
        <v>5484</v>
      </c>
      <c r="K7561" t="s">
        <v>27761</v>
      </c>
      <c r="L7561" t="s">
        <v>5478</v>
      </c>
      <c r="M7561" t="s">
        <v>5471</v>
      </c>
    </row>
    <row r="7562" spans="1:13" x14ac:dyDescent="0.3">
      <c r="A7562" t="s">
        <v>3397</v>
      </c>
      <c r="B7562" t="s">
        <v>5269</v>
      </c>
      <c r="C7562" t="s">
        <v>5487</v>
      </c>
      <c r="D7562" t="s">
        <v>4058</v>
      </c>
      <c r="E7562" t="s">
        <v>5843</v>
      </c>
      <c r="F7562" t="s">
        <v>27762</v>
      </c>
      <c r="G7562" t="s">
        <v>27759</v>
      </c>
      <c r="H7562" t="s">
        <v>5474</v>
      </c>
      <c r="I7562" t="s">
        <v>27763</v>
      </c>
      <c r="J7562" t="s">
        <v>5484</v>
      </c>
      <c r="K7562" t="s">
        <v>27764</v>
      </c>
      <c r="L7562" t="s">
        <v>5478</v>
      </c>
      <c r="M7562" t="s">
        <v>5471</v>
      </c>
    </row>
    <row r="7563" spans="1:13" x14ac:dyDescent="0.3">
      <c r="A7563" t="s">
        <v>3397</v>
      </c>
      <c r="B7563" t="s">
        <v>5269</v>
      </c>
      <c r="C7563" t="s">
        <v>5487</v>
      </c>
      <c r="D7563" t="s">
        <v>4058</v>
      </c>
      <c r="E7563" t="s">
        <v>5843</v>
      </c>
      <c r="F7563" t="s">
        <v>27765</v>
      </c>
      <c r="G7563" t="s">
        <v>27759</v>
      </c>
      <c r="H7563" t="s">
        <v>5474</v>
      </c>
      <c r="I7563" t="s">
        <v>27766</v>
      </c>
      <c r="J7563" t="s">
        <v>5484</v>
      </c>
      <c r="K7563" t="s">
        <v>27767</v>
      </c>
      <c r="L7563" t="s">
        <v>5478</v>
      </c>
      <c r="M7563" t="s">
        <v>5471</v>
      </c>
    </row>
    <row r="7564" spans="1:13" x14ac:dyDescent="0.3">
      <c r="A7564" t="s">
        <v>3397</v>
      </c>
      <c r="B7564" t="s">
        <v>5269</v>
      </c>
      <c r="C7564" t="s">
        <v>5487</v>
      </c>
      <c r="D7564" t="s">
        <v>4058</v>
      </c>
      <c r="E7564" t="s">
        <v>5843</v>
      </c>
      <c r="F7564" t="s">
        <v>27768</v>
      </c>
      <c r="G7564" t="s">
        <v>27769</v>
      </c>
      <c r="H7564" t="s">
        <v>5474</v>
      </c>
      <c r="I7564" t="s">
        <v>27770</v>
      </c>
      <c r="J7564" t="s">
        <v>5484</v>
      </c>
      <c r="K7564" t="s">
        <v>27771</v>
      </c>
      <c r="L7564" t="s">
        <v>5478</v>
      </c>
      <c r="M7564" t="s">
        <v>5471</v>
      </c>
    </row>
    <row r="7565" spans="1:13" x14ac:dyDescent="0.3">
      <c r="A7565" t="s">
        <v>3397</v>
      </c>
      <c r="B7565" t="s">
        <v>5269</v>
      </c>
      <c r="C7565" t="s">
        <v>5487</v>
      </c>
      <c r="D7565" t="s">
        <v>4058</v>
      </c>
      <c r="E7565" t="s">
        <v>5843</v>
      </c>
      <c r="F7565" t="s">
        <v>27772</v>
      </c>
      <c r="G7565" t="s">
        <v>27769</v>
      </c>
      <c r="H7565" t="s">
        <v>5474</v>
      </c>
      <c r="I7565" t="s">
        <v>27773</v>
      </c>
      <c r="J7565" t="s">
        <v>5484</v>
      </c>
      <c r="K7565" t="s">
        <v>27774</v>
      </c>
      <c r="L7565" t="s">
        <v>5478</v>
      </c>
      <c r="M7565" t="s">
        <v>5471</v>
      </c>
    </row>
    <row r="7566" spans="1:13" x14ac:dyDescent="0.3">
      <c r="A7566" t="s">
        <v>3397</v>
      </c>
      <c r="B7566" t="s">
        <v>5269</v>
      </c>
      <c r="C7566" t="s">
        <v>5487</v>
      </c>
      <c r="D7566" t="s">
        <v>4056</v>
      </c>
      <c r="E7566" t="s">
        <v>5843</v>
      </c>
      <c r="F7566" t="s">
        <v>27775</v>
      </c>
      <c r="G7566" t="s">
        <v>27769</v>
      </c>
      <c r="H7566" t="s">
        <v>5474</v>
      </c>
      <c r="I7566" t="s">
        <v>27776</v>
      </c>
      <c r="J7566" t="s">
        <v>5484</v>
      </c>
      <c r="K7566" t="s">
        <v>27777</v>
      </c>
      <c r="L7566" t="s">
        <v>5478</v>
      </c>
      <c r="M7566" t="s">
        <v>5471</v>
      </c>
    </row>
    <row r="7567" spans="1:13" x14ac:dyDescent="0.3">
      <c r="A7567" t="s">
        <v>3397</v>
      </c>
      <c r="B7567" t="s">
        <v>5269</v>
      </c>
      <c r="C7567" t="s">
        <v>5487</v>
      </c>
      <c r="D7567" t="s">
        <v>4056</v>
      </c>
      <c r="E7567" t="s">
        <v>5843</v>
      </c>
      <c r="F7567" t="s">
        <v>27778</v>
      </c>
      <c r="G7567" t="s">
        <v>27769</v>
      </c>
      <c r="H7567" t="s">
        <v>5474</v>
      </c>
      <c r="I7567" t="s">
        <v>27779</v>
      </c>
      <c r="J7567" t="s">
        <v>5484</v>
      </c>
      <c r="K7567" t="s">
        <v>27780</v>
      </c>
      <c r="L7567" t="s">
        <v>5478</v>
      </c>
      <c r="M7567" t="s">
        <v>5471</v>
      </c>
    </row>
    <row r="7568" spans="1:13" x14ac:dyDescent="0.3">
      <c r="A7568" t="s">
        <v>3397</v>
      </c>
      <c r="B7568" t="s">
        <v>5269</v>
      </c>
      <c r="C7568" t="s">
        <v>5487</v>
      </c>
      <c r="D7568" t="s">
        <v>4056</v>
      </c>
      <c r="E7568" t="s">
        <v>5843</v>
      </c>
      <c r="F7568" t="s">
        <v>27781</v>
      </c>
      <c r="G7568" t="s">
        <v>27769</v>
      </c>
      <c r="H7568" t="s">
        <v>5474</v>
      </c>
      <c r="I7568" t="s">
        <v>27782</v>
      </c>
      <c r="J7568" t="s">
        <v>5484</v>
      </c>
      <c r="K7568" t="s">
        <v>27783</v>
      </c>
      <c r="L7568" t="s">
        <v>5478</v>
      </c>
      <c r="M7568" t="s">
        <v>5471</v>
      </c>
    </row>
    <row r="7569" spans="1:13" x14ac:dyDescent="0.3">
      <c r="A7569" t="s">
        <v>3397</v>
      </c>
      <c r="B7569" t="s">
        <v>5269</v>
      </c>
      <c r="C7569" t="s">
        <v>5487</v>
      </c>
      <c r="D7569" t="s">
        <v>4056</v>
      </c>
      <c r="E7569" t="s">
        <v>5595</v>
      </c>
      <c r="F7569" t="s">
        <v>27784</v>
      </c>
      <c r="G7569" t="s">
        <v>27785</v>
      </c>
      <c r="H7569" t="s">
        <v>5474</v>
      </c>
      <c r="I7569" t="s">
        <v>27786</v>
      </c>
      <c r="J7569" t="s">
        <v>5476</v>
      </c>
      <c r="K7569" t="s">
        <v>27787</v>
      </c>
      <c r="L7569" t="s">
        <v>5485</v>
      </c>
      <c r="M7569" t="s">
        <v>5471</v>
      </c>
    </row>
    <row r="7570" spans="1:13" x14ac:dyDescent="0.3">
      <c r="A7570" t="s">
        <v>3397</v>
      </c>
      <c r="B7570" t="s">
        <v>5269</v>
      </c>
      <c r="C7570" t="s">
        <v>5487</v>
      </c>
      <c r="D7570" t="s">
        <v>4056</v>
      </c>
      <c r="E7570" t="s">
        <v>5595</v>
      </c>
      <c r="F7570" t="s">
        <v>27788</v>
      </c>
      <c r="G7570" t="s">
        <v>27785</v>
      </c>
      <c r="H7570" t="s">
        <v>5474</v>
      </c>
      <c r="I7570" t="s">
        <v>27789</v>
      </c>
      <c r="J7570" t="s">
        <v>5476</v>
      </c>
      <c r="K7570" t="s">
        <v>27790</v>
      </c>
      <c r="L7570" t="s">
        <v>5485</v>
      </c>
      <c r="M7570" t="s">
        <v>5471</v>
      </c>
    </row>
    <row r="7571" spans="1:13" x14ac:dyDescent="0.3">
      <c r="A7571" t="s">
        <v>3397</v>
      </c>
      <c r="B7571" t="s">
        <v>5269</v>
      </c>
      <c r="C7571" t="s">
        <v>5487</v>
      </c>
      <c r="D7571" t="s">
        <v>4056</v>
      </c>
      <c r="E7571" t="s">
        <v>5595</v>
      </c>
      <c r="F7571" t="s">
        <v>27791</v>
      </c>
      <c r="G7571" t="s">
        <v>27792</v>
      </c>
      <c r="H7571" t="s">
        <v>5474</v>
      </c>
      <c r="I7571" t="s">
        <v>27793</v>
      </c>
      <c r="J7571" t="s">
        <v>5476</v>
      </c>
      <c r="K7571" t="s">
        <v>27794</v>
      </c>
      <c r="L7571" t="s">
        <v>5485</v>
      </c>
      <c r="M7571" t="s">
        <v>5471</v>
      </c>
    </row>
    <row r="7572" spans="1:13" x14ac:dyDescent="0.3">
      <c r="A7572" t="s">
        <v>3397</v>
      </c>
      <c r="B7572" t="s">
        <v>5269</v>
      </c>
      <c r="C7572" t="s">
        <v>5487</v>
      </c>
      <c r="D7572" t="s">
        <v>4056</v>
      </c>
      <c r="E7572" t="s">
        <v>5595</v>
      </c>
      <c r="F7572" t="s">
        <v>27795</v>
      </c>
      <c r="G7572" t="s">
        <v>27792</v>
      </c>
      <c r="H7572" t="s">
        <v>5474</v>
      </c>
      <c r="I7572" t="s">
        <v>27796</v>
      </c>
      <c r="J7572" t="s">
        <v>5476</v>
      </c>
      <c r="K7572" t="s">
        <v>27797</v>
      </c>
      <c r="L7572" t="s">
        <v>5485</v>
      </c>
      <c r="M7572" t="s">
        <v>5471</v>
      </c>
    </row>
    <row r="7573" spans="1:13" x14ac:dyDescent="0.3">
      <c r="A7573" t="s">
        <v>3397</v>
      </c>
      <c r="B7573" t="s">
        <v>5269</v>
      </c>
      <c r="C7573" t="s">
        <v>5487</v>
      </c>
      <c r="D7573" t="s">
        <v>4056</v>
      </c>
      <c r="E7573" t="s">
        <v>5595</v>
      </c>
      <c r="F7573" t="s">
        <v>27798</v>
      </c>
      <c r="G7573" t="s">
        <v>27792</v>
      </c>
      <c r="H7573" t="s">
        <v>5474</v>
      </c>
      <c r="I7573" t="s">
        <v>27799</v>
      </c>
      <c r="J7573" t="s">
        <v>5476</v>
      </c>
      <c r="K7573" t="s">
        <v>27800</v>
      </c>
      <c r="L7573" t="s">
        <v>5485</v>
      </c>
      <c r="M7573" t="s">
        <v>5471</v>
      </c>
    </row>
    <row r="7574" spans="1:13" x14ac:dyDescent="0.3">
      <c r="A7574" t="s">
        <v>3397</v>
      </c>
      <c r="B7574" t="s">
        <v>5269</v>
      </c>
      <c r="C7574" t="s">
        <v>5487</v>
      </c>
      <c r="D7574" t="s">
        <v>4056</v>
      </c>
      <c r="E7574" t="s">
        <v>5595</v>
      </c>
      <c r="F7574" t="s">
        <v>27801</v>
      </c>
      <c r="G7574" t="s">
        <v>27792</v>
      </c>
      <c r="H7574" t="s">
        <v>5474</v>
      </c>
      <c r="I7574" t="s">
        <v>27802</v>
      </c>
      <c r="J7574" t="s">
        <v>5476</v>
      </c>
      <c r="K7574" t="s">
        <v>27803</v>
      </c>
      <c r="L7574" t="s">
        <v>5485</v>
      </c>
      <c r="M7574" t="s">
        <v>5471</v>
      </c>
    </row>
    <row r="7575" spans="1:13" x14ac:dyDescent="0.3">
      <c r="A7575" t="s">
        <v>3397</v>
      </c>
      <c r="B7575" t="s">
        <v>5269</v>
      </c>
      <c r="C7575" t="s">
        <v>5487</v>
      </c>
      <c r="D7575" t="s">
        <v>4056</v>
      </c>
      <c r="E7575" t="s">
        <v>5595</v>
      </c>
      <c r="F7575" t="s">
        <v>27804</v>
      </c>
      <c r="G7575" t="s">
        <v>27805</v>
      </c>
      <c r="H7575" t="s">
        <v>5474</v>
      </c>
      <c r="I7575" t="s">
        <v>27806</v>
      </c>
      <c r="J7575" t="s">
        <v>5484</v>
      </c>
      <c r="K7575" t="s">
        <v>27807</v>
      </c>
      <c r="L7575" t="s">
        <v>5471</v>
      </c>
      <c r="M7575" t="s">
        <v>5471</v>
      </c>
    </row>
    <row r="7576" spans="1:13" x14ac:dyDescent="0.3">
      <c r="A7576" t="s">
        <v>3397</v>
      </c>
      <c r="B7576" t="s">
        <v>5269</v>
      </c>
      <c r="C7576" t="s">
        <v>5487</v>
      </c>
      <c r="D7576" t="s">
        <v>4056</v>
      </c>
      <c r="E7576" t="s">
        <v>5595</v>
      </c>
      <c r="F7576" t="s">
        <v>27808</v>
      </c>
      <c r="G7576" t="s">
        <v>27805</v>
      </c>
      <c r="H7576" t="s">
        <v>5474</v>
      </c>
      <c r="I7576" t="s">
        <v>27809</v>
      </c>
      <c r="J7576" t="s">
        <v>5484</v>
      </c>
      <c r="K7576" t="s">
        <v>27810</v>
      </c>
      <c r="L7576" t="s">
        <v>5471</v>
      </c>
      <c r="M7576" t="s">
        <v>5471</v>
      </c>
    </row>
    <row r="7577" spans="1:13" x14ac:dyDescent="0.3">
      <c r="A7577" t="s">
        <v>3397</v>
      </c>
      <c r="B7577" t="s">
        <v>5269</v>
      </c>
      <c r="C7577" t="s">
        <v>5487</v>
      </c>
      <c r="D7577" t="s">
        <v>4056</v>
      </c>
      <c r="E7577" t="s">
        <v>5595</v>
      </c>
      <c r="F7577" t="s">
        <v>27811</v>
      </c>
      <c r="G7577" t="s">
        <v>27805</v>
      </c>
      <c r="H7577" t="s">
        <v>5474</v>
      </c>
      <c r="I7577" t="s">
        <v>27812</v>
      </c>
      <c r="J7577" t="s">
        <v>5484</v>
      </c>
      <c r="K7577" t="s">
        <v>27813</v>
      </c>
      <c r="L7577" t="s">
        <v>5471</v>
      </c>
      <c r="M7577" t="s">
        <v>5471</v>
      </c>
    </row>
    <row r="7578" spans="1:13" x14ac:dyDescent="0.3">
      <c r="A7578" t="s">
        <v>3397</v>
      </c>
      <c r="B7578" t="s">
        <v>5269</v>
      </c>
      <c r="C7578" t="s">
        <v>5487</v>
      </c>
      <c r="D7578" t="s">
        <v>4052</v>
      </c>
      <c r="E7578" t="s">
        <v>5843</v>
      </c>
      <c r="F7578" t="s">
        <v>27814</v>
      </c>
      <c r="G7578" t="s">
        <v>27815</v>
      </c>
      <c r="H7578" t="s">
        <v>5474</v>
      </c>
      <c r="I7578" t="s">
        <v>27816</v>
      </c>
      <c r="J7578" t="s">
        <v>5484</v>
      </c>
      <c r="K7578" t="s">
        <v>27817</v>
      </c>
      <c r="L7578" t="s">
        <v>5471</v>
      </c>
      <c r="M7578" t="s">
        <v>5471</v>
      </c>
    </row>
    <row r="7579" spans="1:13" x14ac:dyDescent="0.3">
      <c r="A7579" t="s">
        <v>3397</v>
      </c>
      <c r="B7579" t="s">
        <v>5269</v>
      </c>
      <c r="C7579" t="s">
        <v>5487</v>
      </c>
      <c r="D7579" t="s">
        <v>4056</v>
      </c>
      <c r="E7579" t="s">
        <v>5843</v>
      </c>
      <c r="F7579" t="s">
        <v>27818</v>
      </c>
      <c r="G7579" t="s">
        <v>5787</v>
      </c>
      <c r="H7579" t="s">
        <v>5474</v>
      </c>
      <c r="I7579" t="s">
        <v>27819</v>
      </c>
      <c r="J7579" t="s">
        <v>5484</v>
      </c>
      <c r="K7579" t="s">
        <v>27820</v>
      </c>
      <c r="L7579" t="s">
        <v>5485</v>
      </c>
      <c r="M7579" t="s">
        <v>5471</v>
      </c>
    </row>
    <row r="7580" spans="1:13" x14ac:dyDescent="0.3">
      <c r="A7580" t="s">
        <v>3397</v>
      </c>
      <c r="B7580" t="s">
        <v>5269</v>
      </c>
      <c r="C7580" t="s">
        <v>5487</v>
      </c>
      <c r="D7580" t="s">
        <v>4056</v>
      </c>
      <c r="E7580" t="s">
        <v>5843</v>
      </c>
      <c r="F7580" t="s">
        <v>27821</v>
      </c>
      <c r="G7580" t="s">
        <v>5787</v>
      </c>
      <c r="H7580" t="s">
        <v>5474</v>
      </c>
      <c r="I7580" t="s">
        <v>27822</v>
      </c>
      <c r="J7580" t="s">
        <v>5484</v>
      </c>
      <c r="K7580" t="s">
        <v>27823</v>
      </c>
      <c r="L7580" t="s">
        <v>5485</v>
      </c>
      <c r="M7580" t="s">
        <v>5471</v>
      </c>
    </row>
    <row r="7581" spans="1:13" x14ac:dyDescent="0.3">
      <c r="A7581" t="s">
        <v>3397</v>
      </c>
      <c r="B7581" t="s">
        <v>5269</v>
      </c>
      <c r="C7581" t="s">
        <v>5487</v>
      </c>
      <c r="D7581" t="s">
        <v>4056</v>
      </c>
      <c r="E7581" t="s">
        <v>5843</v>
      </c>
      <c r="F7581" t="s">
        <v>27824</v>
      </c>
      <c r="G7581" t="s">
        <v>5787</v>
      </c>
      <c r="H7581" t="s">
        <v>5474</v>
      </c>
      <c r="I7581" t="s">
        <v>27825</v>
      </c>
      <c r="J7581" t="s">
        <v>5484</v>
      </c>
      <c r="K7581" t="s">
        <v>27826</v>
      </c>
      <c r="L7581" t="s">
        <v>5485</v>
      </c>
      <c r="M7581" t="s">
        <v>5471</v>
      </c>
    </row>
    <row r="7582" spans="1:13" x14ac:dyDescent="0.3">
      <c r="A7582" t="s">
        <v>3397</v>
      </c>
      <c r="B7582" t="s">
        <v>5269</v>
      </c>
      <c r="C7582" t="s">
        <v>5487</v>
      </c>
      <c r="D7582" t="s">
        <v>4058</v>
      </c>
      <c r="E7582" t="s">
        <v>5595</v>
      </c>
      <c r="F7582" t="s">
        <v>27827</v>
      </c>
      <c r="G7582" t="s">
        <v>27828</v>
      </c>
      <c r="H7582" t="s">
        <v>5474</v>
      </c>
      <c r="I7582" t="s">
        <v>27829</v>
      </c>
      <c r="J7582" t="s">
        <v>5476</v>
      </c>
      <c r="K7582" t="s">
        <v>27830</v>
      </c>
      <c r="L7582" t="s">
        <v>5485</v>
      </c>
      <c r="M7582" t="s">
        <v>5471</v>
      </c>
    </row>
    <row r="7583" spans="1:13" x14ac:dyDescent="0.3">
      <c r="A7583" t="s">
        <v>3397</v>
      </c>
      <c r="B7583" t="s">
        <v>5269</v>
      </c>
      <c r="C7583" t="s">
        <v>5487</v>
      </c>
      <c r="D7583" t="s">
        <v>4058</v>
      </c>
      <c r="E7583" t="s">
        <v>5595</v>
      </c>
      <c r="F7583" t="s">
        <v>27831</v>
      </c>
      <c r="G7583" t="s">
        <v>27828</v>
      </c>
      <c r="H7583" t="s">
        <v>5474</v>
      </c>
      <c r="I7583" t="s">
        <v>27832</v>
      </c>
      <c r="J7583" t="s">
        <v>5476</v>
      </c>
      <c r="K7583" t="s">
        <v>27833</v>
      </c>
      <c r="L7583" t="s">
        <v>5485</v>
      </c>
      <c r="M7583" t="s">
        <v>5471</v>
      </c>
    </row>
    <row r="7584" spans="1:13" x14ac:dyDescent="0.3">
      <c r="A7584" t="s">
        <v>3397</v>
      </c>
      <c r="B7584" t="s">
        <v>5287</v>
      </c>
      <c r="C7584" t="s">
        <v>5487</v>
      </c>
      <c r="D7584" t="s">
        <v>4119</v>
      </c>
      <c r="E7584" t="s">
        <v>5595</v>
      </c>
      <c r="F7584" t="s">
        <v>27834</v>
      </c>
      <c r="G7584" t="s">
        <v>27835</v>
      </c>
      <c r="H7584" t="s">
        <v>5474</v>
      </c>
      <c r="I7584" t="s">
        <v>27836</v>
      </c>
      <c r="J7584" t="s">
        <v>5476</v>
      </c>
      <c r="K7584" t="s">
        <v>27837</v>
      </c>
      <c r="L7584" t="s">
        <v>5471</v>
      </c>
      <c r="M7584" t="s">
        <v>5471</v>
      </c>
    </row>
    <row r="7585" spans="1:13" x14ac:dyDescent="0.3">
      <c r="A7585" t="s">
        <v>3397</v>
      </c>
      <c r="B7585" t="s">
        <v>5301</v>
      </c>
      <c r="C7585" t="s">
        <v>6342</v>
      </c>
      <c r="D7585" t="s">
        <v>10218</v>
      </c>
      <c r="E7585" t="s">
        <v>6332</v>
      </c>
      <c r="F7585" t="s">
        <v>27838</v>
      </c>
      <c r="G7585" t="s">
        <v>14886</v>
      </c>
      <c r="H7585" t="s">
        <v>5474</v>
      </c>
      <c r="I7585" t="s">
        <v>27839</v>
      </c>
      <c r="J7585" t="s">
        <v>5476</v>
      </c>
      <c r="K7585" t="s">
        <v>27840</v>
      </c>
      <c r="L7585" t="s">
        <v>5471</v>
      </c>
      <c r="M7585" t="s">
        <v>5471</v>
      </c>
    </row>
    <row r="7586" spans="1:13" x14ac:dyDescent="0.3">
      <c r="A7586" t="s">
        <v>3397</v>
      </c>
      <c r="B7586" t="s">
        <v>5301</v>
      </c>
      <c r="C7586" t="s">
        <v>6342</v>
      </c>
      <c r="D7586" t="s">
        <v>10218</v>
      </c>
      <c r="E7586" t="s">
        <v>6332</v>
      </c>
      <c r="F7586" t="s">
        <v>27841</v>
      </c>
      <c r="G7586" t="s">
        <v>14886</v>
      </c>
      <c r="H7586" t="s">
        <v>5474</v>
      </c>
      <c r="I7586" t="s">
        <v>27842</v>
      </c>
      <c r="J7586" t="s">
        <v>5476</v>
      </c>
      <c r="K7586" t="s">
        <v>27843</v>
      </c>
      <c r="L7586" t="s">
        <v>5471</v>
      </c>
      <c r="M7586" t="s">
        <v>5471</v>
      </c>
    </row>
    <row r="7587" spans="1:13" x14ac:dyDescent="0.3">
      <c r="A7587" t="s">
        <v>3397</v>
      </c>
      <c r="B7587" t="s">
        <v>5301</v>
      </c>
      <c r="C7587" t="s">
        <v>6342</v>
      </c>
      <c r="D7587" t="s">
        <v>10218</v>
      </c>
      <c r="E7587" t="s">
        <v>6332</v>
      </c>
      <c r="F7587" t="s">
        <v>27844</v>
      </c>
      <c r="G7587" t="s">
        <v>14878</v>
      </c>
      <c r="H7587" t="s">
        <v>5474</v>
      </c>
      <c r="I7587" t="s">
        <v>27845</v>
      </c>
      <c r="J7587" t="s">
        <v>5476</v>
      </c>
      <c r="K7587" t="s">
        <v>5471</v>
      </c>
      <c r="L7587" t="s">
        <v>5471</v>
      </c>
      <c r="M7587" t="s">
        <v>5471</v>
      </c>
    </row>
    <row r="7588" spans="1:13" x14ac:dyDescent="0.3">
      <c r="A7588" t="s">
        <v>3397</v>
      </c>
      <c r="B7588" t="s">
        <v>5301</v>
      </c>
      <c r="C7588" t="s">
        <v>6342</v>
      </c>
      <c r="D7588" t="s">
        <v>10218</v>
      </c>
      <c r="E7588" t="s">
        <v>6332</v>
      </c>
      <c r="F7588" t="s">
        <v>27846</v>
      </c>
      <c r="G7588" t="s">
        <v>14878</v>
      </c>
      <c r="H7588" t="s">
        <v>5474</v>
      </c>
      <c r="I7588" t="s">
        <v>27847</v>
      </c>
      <c r="J7588" t="s">
        <v>5476</v>
      </c>
      <c r="K7588" t="s">
        <v>5471</v>
      </c>
      <c r="L7588" t="s">
        <v>5471</v>
      </c>
      <c r="M7588" t="s">
        <v>5471</v>
      </c>
    </row>
    <row r="7589" spans="1:13" x14ac:dyDescent="0.3">
      <c r="A7589" t="s">
        <v>3397</v>
      </c>
      <c r="B7589" t="s">
        <v>5301</v>
      </c>
      <c r="C7589" t="s">
        <v>6342</v>
      </c>
      <c r="D7589" t="s">
        <v>10218</v>
      </c>
      <c r="E7589" t="s">
        <v>6332</v>
      </c>
      <c r="F7589" t="s">
        <v>27848</v>
      </c>
      <c r="G7589" t="s">
        <v>14878</v>
      </c>
      <c r="H7589" t="s">
        <v>5474</v>
      </c>
      <c r="I7589" t="s">
        <v>27849</v>
      </c>
      <c r="J7589" t="s">
        <v>5476</v>
      </c>
      <c r="K7589" t="s">
        <v>27850</v>
      </c>
      <c r="L7589" t="s">
        <v>5471</v>
      </c>
      <c r="M7589" t="s">
        <v>5471</v>
      </c>
    </row>
    <row r="7590" spans="1:13" x14ac:dyDescent="0.3">
      <c r="A7590" t="s">
        <v>3397</v>
      </c>
      <c r="B7590" t="s">
        <v>5301</v>
      </c>
      <c r="C7590" t="s">
        <v>6342</v>
      </c>
      <c r="D7590" t="s">
        <v>10218</v>
      </c>
      <c r="E7590" t="s">
        <v>6332</v>
      </c>
      <c r="F7590" t="s">
        <v>27851</v>
      </c>
      <c r="G7590" t="s">
        <v>14867</v>
      </c>
      <c r="H7590" t="s">
        <v>5474</v>
      </c>
      <c r="I7590" t="s">
        <v>27852</v>
      </c>
      <c r="J7590" t="s">
        <v>5476</v>
      </c>
      <c r="K7590" t="s">
        <v>5471</v>
      </c>
      <c r="L7590" t="s">
        <v>5471</v>
      </c>
      <c r="M7590" t="s">
        <v>5471</v>
      </c>
    </row>
    <row r="7591" spans="1:13" x14ac:dyDescent="0.3">
      <c r="A7591" t="s">
        <v>3397</v>
      </c>
      <c r="B7591" t="s">
        <v>5301</v>
      </c>
      <c r="C7591" t="s">
        <v>6342</v>
      </c>
      <c r="D7591" t="s">
        <v>10218</v>
      </c>
      <c r="E7591" t="s">
        <v>6332</v>
      </c>
      <c r="F7591" t="s">
        <v>27853</v>
      </c>
      <c r="G7591" t="s">
        <v>14867</v>
      </c>
      <c r="H7591" t="s">
        <v>5474</v>
      </c>
      <c r="I7591" t="s">
        <v>27854</v>
      </c>
      <c r="J7591" t="s">
        <v>5476</v>
      </c>
      <c r="K7591" t="s">
        <v>5471</v>
      </c>
      <c r="L7591" t="s">
        <v>5471</v>
      </c>
      <c r="M7591" t="s">
        <v>5471</v>
      </c>
    </row>
    <row r="7592" spans="1:13" x14ac:dyDescent="0.3">
      <c r="A7592" t="s">
        <v>3397</v>
      </c>
      <c r="B7592" t="s">
        <v>5301</v>
      </c>
      <c r="C7592" t="s">
        <v>6342</v>
      </c>
      <c r="D7592" t="s">
        <v>10218</v>
      </c>
      <c r="E7592" t="s">
        <v>6332</v>
      </c>
      <c r="F7592" t="s">
        <v>27855</v>
      </c>
      <c r="G7592" t="s">
        <v>14867</v>
      </c>
      <c r="H7592" t="s">
        <v>5474</v>
      </c>
      <c r="I7592" t="s">
        <v>27856</v>
      </c>
      <c r="J7592" t="s">
        <v>5476</v>
      </c>
      <c r="K7592" t="s">
        <v>5471</v>
      </c>
      <c r="L7592" t="s">
        <v>5471</v>
      </c>
      <c r="M7592" t="s">
        <v>5471</v>
      </c>
    </row>
    <row r="7593" spans="1:13" x14ac:dyDescent="0.3">
      <c r="A7593" t="s">
        <v>3397</v>
      </c>
      <c r="B7593" t="s">
        <v>5301</v>
      </c>
      <c r="C7593" t="s">
        <v>6342</v>
      </c>
      <c r="D7593" t="s">
        <v>10218</v>
      </c>
      <c r="E7593" t="s">
        <v>6332</v>
      </c>
      <c r="F7593" t="s">
        <v>27857</v>
      </c>
      <c r="G7593" t="s">
        <v>14894</v>
      </c>
      <c r="H7593" t="s">
        <v>5474</v>
      </c>
      <c r="I7593" t="s">
        <v>27858</v>
      </c>
      <c r="J7593" t="s">
        <v>5476</v>
      </c>
      <c r="K7593" t="s">
        <v>27859</v>
      </c>
      <c r="L7593" t="s">
        <v>5471</v>
      </c>
      <c r="M7593" t="s">
        <v>5471</v>
      </c>
    </row>
    <row r="7594" spans="1:13" x14ac:dyDescent="0.3">
      <c r="A7594" t="s">
        <v>3397</v>
      </c>
      <c r="B7594" t="s">
        <v>5301</v>
      </c>
      <c r="C7594" t="s">
        <v>6342</v>
      </c>
      <c r="D7594" t="s">
        <v>10218</v>
      </c>
      <c r="E7594" t="s">
        <v>6332</v>
      </c>
      <c r="F7594" t="s">
        <v>27860</v>
      </c>
      <c r="G7594" t="s">
        <v>14894</v>
      </c>
      <c r="H7594" t="s">
        <v>5474</v>
      </c>
      <c r="I7594" t="s">
        <v>27861</v>
      </c>
      <c r="J7594" t="s">
        <v>5476</v>
      </c>
      <c r="K7594" t="s">
        <v>27862</v>
      </c>
      <c r="L7594" t="s">
        <v>5471</v>
      </c>
      <c r="M7594" t="s">
        <v>5471</v>
      </c>
    </row>
    <row r="7595" spans="1:13" x14ac:dyDescent="0.3">
      <c r="A7595" t="s">
        <v>3397</v>
      </c>
      <c r="B7595" t="s">
        <v>5301</v>
      </c>
      <c r="C7595" t="s">
        <v>6342</v>
      </c>
      <c r="D7595" t="s">
        <v>10218</v>
      </c>
      <c r="E7595" t="s">
        <v>6332</v>
      </c>
      <c r="F7595" t="s">
        <v>27863</v>
      </c>
      <c r="G7595" t="s">
        <v>14894</v>
      </c>
      <c r="H7595" t="s">
        <v>5474</v>
      </c>
      <c r="I7595" t="s">
        <v>27864</v>
      </c>
      <c r="J7595" t="s">
        <v>5476</v>
      </c>
      <c r="K7595" t="s">
        <v>27865</v>
      </c>
      <c r="L7595" t="s">
        <v>5471</v>
      </c>
      <c r="M7595" t="s">
        <v>5471</v>
      </c>
    </row>
    <row r="7596" spans="1:13" x14ac:dyDescent="0.3">
      <c r="A7596" t="s">
        <v>3397</v>
      </c>
      <c r="B7596" t="s">
        <v>5301</v>
      </c>
      <c r="C7596" t="s">
        <v>6342</v>
      </c>
      <c r="D7596" t="s">
        <v>10218</v>
      </c>
      <c r="E7596" t="s">
        <v>6332</v>
      </c>
      <c r="F7596" t="s">
        <v>27866</v>
      </c>
      <c r="G7596" t="s">
        <v>14904</v>
      </c>
      <c r="H7596" t="s">
        <v>5474</v>
      </c>
      <c r="I7596" t="s">
        <v>27867</v>
      </c>
      <c r="J7596" t="s">
        <v>5476</v>
      </c>
      <c r="K7596" t="s">
        <v>5471</v>
      </c>
      <c r="L7596" t="s">
        <v>5471</v>
      </c>
      <c r="M7596" t="s">
        <v>5471</v>
      </c>
    </row>
    <row r="7597" spans="1:13" x14ac:dyDescent="0.3">
      <c r="A7597" t="s">
        <v>3397</v>
      </c>
      <c r="B7597" t="s">
        <v>5301</v>
      </c>
      <c r="C7597" t="s">
        <v>6342</v>
      </c>
      <c r="D7597" t="s">
        <v>10218</v>
      </c>
      <c r="E7597" t="s">
        <v>6332</v>
      </c>
      <c r="F7597" t="s">
        <v>27868</v>
      </c>
      <c r="G7597" t="s">
        <v>14904</v>
      </c>
      <c r="H7597" t="s">
        <v>5474</v>
      </c>
      <c r="I7597" t="s">
        <v>27869</v>
      </c>
      <c r="J7597" t="s">
        <v>5476</v>
      </c>
      <c r="K7597" t="s">
        <v>5471</v>
      </c>
      <c r="L7597" t="s">
        <v>5471</v>
      </c>
      <c r="M7597" t="s">
        <v>5471</v>
      </c>
    </row>
    <row r="7598" spans="1:13" x14ac:dyDescent="0.3">
      <c r="A7598" t="s">
        <v>3388</v>
      </c>
      <c r="B7598" t="s">
        <v>15702</v>
      </c>
      <c r="C7598" t="s">
        <v>5470</v>
      </c>
      <c r="D7598" t="s">
        <v>4058</v>
      </c>
      <c r="E7598" t="s">
        <v>5480</v>
      </c>
      <c r="F7598" t="s">
        <v>27870</v>
      </c>
      <c r="G7598" t="s">
        <v>27871</v>
      </c>
      <c r="H7598" t="s">
        <v>5474</v>
      </c>
      <c r="I7598" t="s">
        <v>27872</v>
      </c>
      <c r="J7598" t="s">
        <v>5476</v>
      </c>
      <c r="K7598" t="s">
        <v>27873</v>
      </c>
      <c r="L7598" t="s">
        <v>5478</v>
      </c>
      <c r="M7598" t="s">
        <v>5471</v>
      </c>
    </row>
    <row r="7599" spans="1:13" x14ac:dyDescent="0.3">
      <c r="A7599" t="s">
        <v>3388</v>
      </c>
      <c r="B7599" t="s">
        <v>15702</v>
      </c>
      <c r="C7599" t="s">
        <v>5470</v>
      </c>
      <c r="D7599" t="s">
        <v>4058</v>
      </c>
      <c r="E7599" t="s">
        <v>5480</v>
      </c>
      <c r="F7599" t="s">
        <v>27874</v>
      </c>
      <c r="G7599" t="s">
        <v>27875</v>
      </c>
      <c r="H7599" t="s">
        <v>5474</v>
      </c>
      <c r="I7599" t="s">
        <v>27876</v>
      </c>
      <c r="J7599" t="s">
        <v>5476</v>
      </c>
      <c r="K7599" t="s">
        <v>27877</v>
      </c>
      <c r="L7599" t="s">
        <v>5478</v>
      </c>
      <c r="M7599" t="s">
        <v>5471</v>
      </c>
    </row>
    <row r="7600" spans="1:13" x14ac:dyDescent="0.3">
      <c r="A7600" t="s">
        <v>3388</v>
      </c>
      <c r="B7600" t="s">
        <v>15702</v>
      </c>
      <c r="C7600" t="s">
        <v>5470</v>
      </c>
      <c r="D7600" t="s">
        <v>4058</v>
      </c>
      <c r="E7600" t="s">
        <v>5480</v>
      </c>
      <c r="F7600" t="s">
        <v>27878</v>
      </c>
      <c r="G7600" t="s">
        <v>27875</v>
      </c>
      <c r="H7600" t="s">
        <v>5474</v>
      </c>
      <c r="I7600" t="s">
        <v>27879</v>
      </c>
      <c r="J7600" t="s">
        <v>5476</v>
      </c>
      <c r="K7600" t="s">
        <v>27880</v>
      </c>
      <c r="L7600" t="s">
        <v>5478</v>
      </c>
      <c r="M7600" t="s">
        <v>5471</v>
      </c>
    </row>
    <row r="7601" spans="1:13" x14ac:dyDescent="0.3">
      <c r="A7601" t="s">
        <v>3388</v>
      </c>
      <c r="B7601" t="s">
        <v>15702</v>
      </c>
      <c r="C7601" t="s">
        <v>5470</v>
      </c>
      <c r="D7601" t="s">
        <v>4056</v>
      </c>
      <c r="E7601" t="s">
        <v>5480</v>
      </c>
      <c r="F7601" t="s">
        <v>27881</v>
      </c>
      <c r="G7601" t="s">
        <v>27871</v>
      </c>
      <c r="H7601" t="s">
        <v>5474</v>
      </c>
      <c r="I7601" t="s">
        <v>27882</v>
      </c>
      <c r="J7601" t="s">
        <v>5476</v>
      </c>
      <c r="K7601" t="s">
        <v>27883</v>
      </c>
      <c r="L7601" t="s">
        <v>5478</v>
      </c>
      <c r="M7601" t="s">
        <v>5471</v>
      </c>
    </row>
    <row r="7602" spans="1:13" x14ac:dyDescent="0.3">
      <c r="A7602" t="s">
        <v>3388</v>
      </c>
      <c r="B7602" t="s">
        <v>15702</v>
      </c>
      <c r="C7602" t="s">
        <v>5470</v>
      </c>
      <c r="D7602" t="s">
        <v>4056</v>
      </c>
      <c r="E7602" t="s">
        <v>5480</v>
      </c>
      <c r="F7602" t="s">
        <v>27884</v>
      </c>
      <c r="G7602" t="s">
        <v>27871</v>
      </c>
      <c r="H7602" t="s">
        <v>5474</v>
      </c>
      <c r="I7602" t="s">
        <v>27885</v>
      </c>
      <c r="J7602" t="s">
        <v>5476</v>
      </c>
      <c r="K7602" t="s">
        <v>27886</v>
      </c>
      <c r="L7602" t="s">
        <v>5478</v>
      </c>
      <c r="M7602" t="s">
        <v>5471</v>
      </c>
    </row>
    <row r="7603" spans="1:13" x14ac:dyDescent="0.3">
      <c r="A7603" t="s">
        <v>3388</v>
      </c>
      <c r="B7603" t="s">
        <v>15702</v>
      </c>
      <c r="C7603" t="s">
        <v>5470</v>
      </c>
      <c r="D7603" t="s">
        <v>4056</v>
      </c>
      <c r="E7603" t="s">
        <v>5480</v>
      </c>
      <c r="F7603" t="s">
        <v>27887</v>
      </c>
      <c r="G7603" t="s">
        <v>27871</v>
      </c>
      <c r="H7603" t="s">
        <v>5474</v>
      </c>
      <c r="I7603" t="s">
        <v>27888</v>
      </c>
      <c r="J7603" t="s">
        <v>5476</v>
      </c>
      <c r="K7603" t="s">
        <v>27889</v>
      </c>
      <c r="L7603" t="s">
        <v>5478</v>
      </c>
      <c r="M7603" t="s">
        <v>5471</v>
      </c>
    </row>
    <row r="7604" spans="1:13" x14ac:dyDescent="0.3">
      <c r="A7604" t="s">
        <v>3388</v>
      </c>
      <c r="B7604" t="s">
        <v>15702</v>
      </c>
      <c r="C7604" t="s">
        <v>5470</v>
      </c>
      <c r="D7604" t="s">
        <v>4056</v>
      </c>
      <c r="E7604" t="s">
        <v>5480</v>
      </c>
      <c r="F7604" t="s">
        <v>27890</v>
      </c>
      <c r="G7604" t="s">
        <v>27891</v>
      </c>
      <c r="H7604" t="s">
        <v>5474</v>
      </c>
      <c r="I7604" t="s">
        <v>27892</v>
      </c>
      <c r="J7604" t="s">
        <v>5476</v>
      </c>
      <c r="K7604" t="s">
        <v>27893</v>
      </c>
      <c r="L7604" t="s">
        <v>5478</v>
      </c>
      <c r="M7604" t="s">
        <v>5471</v>
      </c>
    </row>
    <row r="7605" spans="1:13" x14ac:dyDescent="0.3">
      <c r="A7605" t="s">
        <v>3388</v>
      </c>
      <c r="B7605" t="s">
        <v>15702</v>
      </c>
      <c r="C7605" t="s">
        <v>5470</v>
      </c>
      <c r="D7605" t="s">
        <v>4056</v>
      </c>
      <c r="E7605" t="s">
        <v>5480</v>
      </c>
      <c r="F7605" t="s">
        <v>27894</v>
      </c>
      <c r="G7605" t="s">
        <v>27891</v>
      </c>
      <c r="H7605" t="s">
        <v>5474</v>
      </c>
      <c r="I7605" t="s">
        <v>27895</v>
      </c>
      <c r="J7605" t="s">
        <v>5476</v>
      </c>
      <c r="K7605" t="s">
        <v>27896</v>
      </c>
      <c r="L7605" t="s">
        <v>5478</v>
      </c>
      <c r="M7605" t="s">
        <v>5471</v>
      </c>
    </row>
    <row r="7606" spans="1:13" x14ac:dyDescent="0.3">
      <c r="A7606" t="s">
        <v>3388</v>
      </c>
      <c r="B7606" t="s">
        <v>15702</v>
      </c>
      <c r="C7606" t="s">
        <v>5470</v>
      </c>
      <c r="D7606" t="s">
        <v>4056</v>
      </c>
      <c r="E7606" t="s">
        <v>5480</v>
      </c>
      <c r="F7606" t="s">
        <v>27897</v>
      </c>
      <c r="G7606" t="s">
        <v>27891</v>
      </c>
      <c r="H7606" t="s">
        <v>5474</v>
      </c>
      <c r="I7606" t="s">
        <v>27898</v>
      </c>
      <c r="J7606" t="s">
        <v>5476</v>
      </c>
      <c r="K7606" t="s">
        <v>27899</v>
      </c>
      <c r="L7606" t="s">
        <v>5478</v>
      </c>
      <c r="M7606" t="s">
        <v>5471</v>
      </c>
    </row>
    <row r="7607" spans="1:13" x14ac:dyDescent="0.3">
      <c r="A7607" t="s">
        <v>3388</v>
      </c>
      <c r="B7607" t="s">
        <v>15702</v>
      </c>
      <c r="C7607" t="s">
        <v>5470</v>
      </c>
      <c r="D7607" t="s">
        <v>4056</v>
      </c>
      <c r="E7607" t="s">
        <v>5480</v>
      </c>
      <c r="F7607" t="s">
        <v>27900</v>
      </c>
      <c r="G7607" t="s">
        <v>27901</v>
      </c>
      <c r="H7607" t="s">
        <v>5474</v>
      </c>
      <c r="I7607" t="s">
        <v>27902</v>
      </c>
      <c r="J7607" t="s">
        <v>5476</v>
      </c>
      <c r="K7607" t="s">
        <v>27903</v>
      </c>
      <c r="L7607" t="s">
        <v>5478</v>
      </c>
      <c r="M7607" t="s">
        <v>5471</v>
      </c>
    </row>
    <row r="7608" spans="1:13" x14ac:dyDescent="0.3">
      <c r="A7608" t="s">
        <v>3388</v>
      </c>
      <c r="B7608" t="s">
        <v>15702</v>
      </c>
      <c r="C7608" t="s">
        <v>5470</v>
      </c>
      <c r="D7608" t="s">
        <v>4056</v>
      </c>
      <c r="E7608" t="s">
        <v>5480</v>
      </c>
      <c r="F7608" t="s">
        <v>27904</v>
      </c>
      <c r="G7608" t="s">
        <v>27901</v>
      </c>
      <c r="H7608" t="s">
        <v>5474</v>
      </c>
      <c r="I7608" t="s">
        <v>27905</v>
      </c>
      <c r="J7608" t="s">
        <v>5476</v>
      </c>
      <c r="K7608" t="s">
        <v>27906</v>
      </c>
      <c r="L7608" t="s">
        <v>5478</v>
      </c>
      <c r="M7608" t="s">
        <v>5471</v>
      </c>
    </row>
    <row r="7609" spans="1:13" x14ac:dyDescent="0.3">
      <c r="A7609" t="s">
        <v>3388</v>
      </c>
      <c r="B7609" t="s">
        <v>15702</v>
      </c>
      <c r="C7609" t="s">
        <v>5470</v>
      </c>
      <c r="D7609" t="s">
        <v>4056</v>
      </c>
      <c r="E7609" t="s">
        <v>5480</v>
      </c>
      <c r="F7609" t="s">
        <v>27907</v>
      </c>
      <c r="G7609" t="s">
        <v>27901</v>
      </c>
      <c r="H7609" t="s">
        <v>5474</v>
      </c>
      <c r="I7609" t="s">
        <v>27908</v>
      </c>
      <c r="J7609" t="s">
        <v>5476</v>
      </c>
      <c r="K7609" t="s">
        <v>27909</v>
      </c>
      <c r="L7609" t="s">
        <v>5478</v>
      </c>
      <c r="M7609" t="s">
        <v>5471</v>
      </c>
    </row>
    <row r="7610" spans="1:13" x14ac:dyDescent="0.3">
      <c r="A7610" t="s">
        <v>3388</v>
      </c>
      <c r="B7610" t="s">
        <v>5272</v>
      </c>
      <c r="C7610" t="s">
        <v>5470</v>
      </c>
      <c r="D7610" t="s">
        <v>4056</v>
      </c>
      <c r="E7610" t="s">
        <v>5617</v>
      </c>
      <c r="F7610" t="s">
        <v>27910</v>
      </c>
      <c r="G7610" t="s">
        <v>20282</v>
      </c>
      <c r="H7610" t="s">
        <v>5474</v>
      </c>
      <c r="I7610" t="s">
        <v>27911</v>
      </c>
      <c r="J7610" t="s">
        <v>5476</v>
      </c>
      <c r="K7610" t="s">
        <v>27912</v>
      </c>
      <c r="L7610" t="s">
        <v>5471</v>
      </c>
      <c r="M7610" t="s">
        <v>5471</v>
      </c>
    </row>
    <row r="7611" spans="1:13" x14ac:dyDescent="0.3">
      <c r="A7611" t="s">
        <v>3388</v>
      </c>
      <c r="B7611" t="s">
        <v>15702</v>
      </c>
      <c r="C7611" t="s">
        <v>5470</v>
      </c>
      <c r="D7611" t="s">
        <v>4058</v>
      </c>
      <c r="E7611" t="s">
        <v>5480</v>
      </c>
      <c r="F7611" t="s">
        <v>27913</v>
      </c>
      <c r="G7611" t="s">
        <v>27875</v>
      </c>
      <c r="H7611" t="s">
        <v>5474</v>
      </c>
      <c r="I7611" t="s">
        <v>27914</v>
      </c>
      <c r="J7611" t="s">
        <v>5476</v>
      </c>
      <c r="K7611" t="s">
        <v>27915</v>
      </c>
      <c r="L7611" t="s">
        <v>5478</v>
      </c>
      <c r="M7611" t="s">
        <v>5471</v>
      </c>
    </row>
    <row r="7612" spans="1:13" x14ac:dyDescent="0.3">
      <c r="A7612" t="s">
        <v>3388</v>
      </c>
      <c r="B7612" t="s">
        <v>15863</v>
      </c>
      <c r="C7612" t="s">
        <v>5470</v>
      </c>
      <c r="D7612" t="s">
        <v>4056</v>
      </c>
      <c r="E7612" t="s">
        <v>5617</v>
      </c>
      <c r="F7612" t="s">
        <v>27916</v>
      </c>
      <c r="G7612" t="s">
        <v>20295</v>
      </c>
      <c r="H7612" t="s">
        <v>5474</v>
      </c>
      <c r="I7612" t="s">
        <v>27917</v>
      </c>
      <c r="J7612" t="s">
        <v>5476</v>
      </c>
      <c r="K7612" t="s">
        <v>27918</v>
      </c>
      <c r="L7612" t="s">
        <v>5471</v>
      </c>
      <c r="M7612" t="s">
        <v>5471</v>
      </c>
    </row>
    <row r="7613" spans="1:13" x14ac:dyDescent="0.3">
      <c r="A7613" t="s">
        <v>3388</v>
      </c>
      <c r="B7613" t="s">
        <v>15863</v>
      </c>
      <c r="C7613" t="s">
        <v>5470</v>
      </c>
      <c r="D7613" t="s">
        <v>4056</v>
      </c>
      <c r="E7613" t="s">
        <v>5617</v>
      </c>
      <c r="F7613" t="s">
        <v>27919</v>
      </c>
      <c r="G7613" t="s">
        <v>20295</v>
      </c>
      <c r="H7613" t="s">
        <v>5474</v>
      </c>
      <c r="I7613" t="s">
        <v>27920</v>
      </c>
      <c r="J7613" t="s">
        <v>5476</v>
      </c>
      <c r="K7613" t="s">
        <v>27921</v>
      </c>
      <c r="L7613" t="s">
        <v>5471</v>
      </c>
      <c r="M7613" t="s">
        <v>5471</v>
      </c>
    </row>
    <row r="7614" spans="1:13" x14ac:dyDescent="0.3">
      <c r="A7614" t="s">
        <v>3388</v>
      </c>
      <c r="B7614" t="s">
        <v>5272</v>
      </c>
      <c r="C7614" t="s">
        <v>5470</v>
      </c>
      <c r="D7614" t="s">
        <v>4056</v>
      </c>
      <c r="E7614" t="s">
        <v>5617</v>
      </c>
      <c r="F7614" t="s">
        <v>27922</v>
      </c>
      <c r="G7614" t="s">
        <v>20282</v>
      </c>
      <c r="H7614" t="s">
        <v>5474</v>
      </c>
      <c r="I7614" t="s">
        <v>27923</v>
      </c>
      <c r="J7614" t="s">
        <v>5476</v>
      </c>
      <c r="K7614" t="s">
        <v>27924</v>
      </c>
      <c r="L7614" t="s">
        <v>5471</v>
      </c>
      <c r="M7614" t="s">
        <v>5471</v>
      </c>
    </row>
    <row r="7615" spans="1:13" x14ac:dyDescent="0.3">
      <c r="A7615" t="s">
        <v>3388</v>
      </c>
      <c r="B7615" t="s">
        <v>5272</v>
      </c>
      <c r="C7615" t="s">
        <v>5470</v>
      </c>
      <c r="D7615" t="s">
        <v>4056</v>
      </c>
      <c r="E7615" t="s">
        <v>5617</v>
      </c>
      <c r="F7615" t="s">
        <v>27925</v>
      </c>
      <c r="G7615" t="s">
        <v>20282</v>
      </c>
      <c r="H7615" t="s">
        <v>5474</v>
      </c>
      <c r="I7615" t="s">
        <v>27926</v>
      </c>
      <c r="J7615" t="s">
        <v>5476</v>
      </c>
      <c r="K7615" t="s">
        <v>27927</v>
      </c>
      <c r="L7615" t="s">
        <v>5471</v>
      </c>
      <c r="M7615" t="s">
        <v>5471</v>
      </c>
    </row>
    <row r="7616" spans="1:13" x14ac:dyDescent="0.3">
      <c r="A7616" t="s">
        <v>3397</v>
      </c>
      <c r="B7616" t="s">
        <v>5301</v>
      </c>
      <c r="C7616" t="s">
        <v>6342</v>
      </c>
      <c r="D7616" t="s">
        <v>10218</v>
      </c>
      <c r="E7616" t="s">
        <v>6332</v>
      </c>
      <c r="F7616" t="s">
        <v>27928</v>
      </c>
      <c r="G7616" t="s">
        <v>14904</v>
      </c>
      <c r="H7616" t="s">
        <v>5474</v>
      </c>
      <c r="I7616" t="s">
        <v>27929</v>
      </c>
      <c r="J7616" t="s">
        <v>5476</v>
      </c>
      <c r="K7616" t="s">
        <v>27930</v>
      </c>
      <c r="L7616" t="s">
        <v>5471</v>
      </c>
      <c r="M7616" t="s">
        <v>5471</v>
      </c>
    </row>
    <row r="7617" spans="1:13" x14ac:dyDescent="0.3">
      <c r="A7617" t="s">
        <v>3380</v>
      </c>
      <c r="B7617" t="s">
        <v>16102</v>
      </c>
      <c r="C7617" t="s">
        <v>6342</v>
      </c>
      <c r="D7617" t="s">
        <v>4119</v>
      </c>
      <c r="E7617" t="s">
        <v>5532</v>
      </c>
      <c r="F7617" t="s">
        <v>27931</v>
      </c>
      <c r="G7617" t="s">
        <v>22763</v>
      </c>
      <c r="H7617" t="s">
        <v>5474</v>
      </c>
      <c r="I7617" t="s">
        <v>27932</v>
      </c>
      <c r="J7617" t="s">
        <v>5476</v>
      </c>
      <c r="K7617" t="s">
        <v>5471</v>
      </c>
      <c r="L7617" t="s">
        <v>5471</v>
      </c>
      <c r="M7617" t="s">
        <v>5471</v>
      </c>
    </row>
    <row r="7618" spans="1:13" x14ac:dyDescent="0.3">
      <c r="A7618" t="s">
        <v>3380</v>
      </c>
      <c r="B7618" t="s">
        <v>16102</v>
      </c>
      <c r="C7618" t="s">
        <v>6342</v>
      </c>
      <c r="D7618" t="s">
        <v>4119</v>
      </c>
      <c r="E7618" t="s">
        <v>5532</v>
      </c>
      <c r="F7618" t="s">
        <v>27933</v>
      </c>
      <c r="G7618" t="s">
        <v>22766</v>
      </c>
      <c r="H7618" t="s">
        <v>5474</v>
      </c>
      <c r="I7618" t="s">
        <v>27934</v>
      </c>
      <c r="J7618" t="s">
        <v>5476</v>
      </c>
      <c r="K7618" t="s">
        <v>5471</v>
      </c>
      <c r="L7618" t="s">
        <v>5471</v>
      </c>
      <c r="M7618" t="s">
        <v>5471</v>
      </c>
    </row>
    <row r="7619" spans="1:13" x14ac:dyDescent="0.3">
      <c r="A7619" t="s">
        <v>3380</v>
      </c>
      <c r="B7619" t="s">
        <v>16102</v>
      </c>
      <c r="C7619" t="s">
        <v>6342</v>
      </c>
      <c r="D7619" t="s">
        <v>4119</v>
      </c>
      <c r="E7619" t="s">
        <v>5532</v>
      </c>
      <c r="F7619" t="s">
        <v>27935</v>
      </c>
      <c r="G7619" t="s">
        <v>22731</v>
      </c>
      <c r="H7619" t="s">
        <v>5474</v>
      </c>
      <c r="I7619" t="s">
        <v>27936</v>
      </c>
      <c r="J7619" t="s">
        <v>5476</v>
      </c>
      <c r="K7619" t="s">
        <v>5471</v>
      </c>
      <c r="L7619" t="s">
        <v>5471</v>
      </c>
      <c r="M7619" t="s">
        <v>5471</v>
      </c>
    </row>
    <row r="7620" spans="1:13" x14ac:dyDescent="0.3">
      <c r="A7620" t="s">
        <v>3380</v>
      </c>
      <c r="B7620" t="s">
        <v>16102</v>
      </c>
      <c r="C7620" t="s">
        <v>6342</v>
      </c>
      <c r="D7620" t="s">
        <v>4119</v>
      </c>
      <c r="E7620" t="s">
        <v>5532</v>
      </c>
      <c r="F7620" t="s">
        <v>27937</v>
      </c>
      <c r="G7620" t="s">
        <v>22754</v>
      </c>
      <c r="H7620" t="s">
        <v>5474</v>
      </c>
      <c r="I7620" t="s">
        <v>27938</v>
      </c>
      <c r="J7620" t="s">
        <v>5476</v>
      </c>
      <c r="K7620" t="s">
        <v>5471</v>
      </c>
      <c r="L7620" t="s">
        <v>5471</v>
      </c>
      <c r="M7620" t="s">
        <v>5471</v>
      </c>
    </row>
    <row r="7621" spans="1:13" x14ac:dyDescent="0.3">
      <c r="A7621" t="s">
        <v>3397</v>
      </c>
      <c r="B7621" t="s">
        <v>5301</v>
      </c>
      <c r="C7621" t="s">
        <v>6342</v>
      </c>
      <c r="D7621" t="s">
        <v>10218</v>
      </c>
      <c r="E7621" t="s">
        <v>6332</v>
      </c>
      <c r="F7621" t="s">
        <v>27939</v>
      </c>
      <c r="G7621" t="s">
        <v>14914</v>
      </c>
      <c r="H7621" t="s">
        <v>5474</v>
      </c>
      <c r="I7621" t="s">
        <v>27940</v>
      </c>
      <c r="J7621" t="s">
        <v>5476</v>
      </c>
      <c r="K7621" t="s">
        <v>27941</v>
      </c>
      <c r="L7621" t="s">
        <v>5471</v>
      </c>
      <c r="M7621" t="s">
        <v>5471</v>
      </c>
    </row>
    <row r="7622" spans="1:13" x14ac:dyDescent="0.3">
      <c r="A7622" t="s">
        <v>3380</v>
      </c>
      <c r="B7622" t="s">
        <v>16102</v>
      </c>
      <c r="C7622" t="s">
        <v>6342</v>
      </c>
      <c r="D7622" t="s">
        <v>4119</v>
      </c>
      <c r="E7622" t="s">
        <v>5532</v>
      </c>
      <c r="F7622" t="s">
        <v>27942</v>
      </c>
      <c r="G7622" t="s">
        <v>27943</v>
      </c>
      <c r="H7622" t="s">
        <v>5474</v>
      </c>
      <c r="I7622" t="s">
        <v>27944</v>
      </c>
      <c r="J7622" t="s">
        <v>5476</v>
      </c>
      <c r="K7622" t="s">
        <v>5471</v>
      </c>
      <c r="L7622" t="s">
        <v>5471</v>
      </c>
      <c r="M7622" t="s">
        <v>5471</v>
      </c>
    </row>
    <row r="7623" spans="1:13" x14ac:dyDescent="0.3">
      <c r="A7623" t="s">
        <v>3380</v>
      </c>
      <c r="B7623" t="s">
        <v>16102</v>
      </c>
      <c r="C7623" t="s">
        <v>6342</v>
      </c>
      <c r="D7623" t="s">
        <v>4119</v>
      </c>
      <c r="E7623" t="s">
        <v>5532</v>
      </c>
      <c r="F7623" t="s">
        <v>27945</v>
      </c>
      <c r="G7623" t="s">
        <v>16104</v>
      </c>
      <c r="H7623" t="s">
        <v>5474</v>
      </c>
      <c r="I7623" t="s">
        <v>27946</v>
      </c>
      <c r="J7623" t="s">
        <v>5476</v>
      </c>
      <c r="K7623" t="s">
        <v>16202</v>
      </c>
      <c r="L7623" t="s">
        <v>5471</v>
      </c>
      <c r="M7623" t="s">
        <v>5471</v>
      </c>
    </row>
    <row r="7624" spans="1:13" x14ac:dyDescent="0.3">
      <c r="A7624" t="s">
        <v>3397</v>
      </c>
      <c r="B7624" t="s">
        <v>5301</v>
      </c>
      <c r="C7624" t="s">
        <v>6342</v>
      </c>
      <c r="D7624" t="s">
        <v>10218</v>
      </c>
      <c r="E7624" t="s">
        <v>6332</v>
      </c>
      <c r="F7624" t="s">
        <v>27947</v>
      </c>
      <c r="G7624" t="s">
        <v>14914</v>
      </c>
      <c r="H7624" t="s">
        <v>5474</v>
      </c>
      <c r="I7624" t="s">
        <v>27948</v>
      </c>
      <c r="J7624" t="s">
        <v>5476</v>
      </c>
      <c r="K7624" t="s">
        <v>27949</v>
      </c>
      <c r="L7624" t="s">
        <v>5471</v>
      </c>
      <c r="M7624" t="s">
        <v>5471</v>
      </c>
    </row>
    <row r="7625" spans="1:13" x14ac:dyDescent="0.3">
      <c r="A7625" t="s">
        <v>3397</v>
      </c>
      <c r="B7625" t="s">
        <v>5301</v>
      </c>
      <c r="C7625" t="s">
        <v>6342</v>
      </c>
      <c r="D7625" t="s">
        <v>10218</v>
      </c>
      <c r="E7625" t="s">
        <v>6332</v>
      </c>
      <c r="F7625" t="s">
        <v>27950</v>
      </c>
      <c r="G7625" t="s">
        <v>14914</v>
      </c>
      <c r="H7625" t="s">
        <v>5474</v>
      </c>
      <c r="I7625" t="s">
        <v>27951</v>
      </c>
      <c r="J7625" t="s">
        <v>5476</v>
      </c>
      <c r="K7625" t="s">
        <v>27952</v>
      </c>
      <c r="L7625" t="s">
        <v>5471</v>
      </c>
      <c r="M7625" t="s">
        <v>5471</v>
      </c>
    </row>
    <row r="7626" spans="1:13" x14ac:dyDescent="0.3">
      <c r="A7626" t="s">
        <v>3397</v>
      </c>
      <c r="B7626" t="s">
        <v>5301</v>
      </c>
      <c r="C7626" t="s">
        <v>6342</v>
      </c>
      <c r="D7626" t="s">
        <v>4119</v>
      </c>
      <c r="E7626" t="s">
        <v>6332</v>
      </c>
      <c r="F7626" t="s">
        <v>27953</v>
      </c>
      <c r="G7626" t="s">
        <v>12784</v>
      </c>
      <c r="H7626" t="s">
        <v>5474</v>
      </c>
      <c r="I7626" t="s">
        <v>27954</v>
      </c>
      <c r="J7626" t="s">
        <v>5484</v>
      </c>
      <c r="K7626" t="s">
        <v>27955</v>
      </c>
      <c r="L7626" t="s">
        <v>5471</v>
      </c>
      <c r="M7626" t="s">
        <v>5471</v>
      </c>
    </row>
    <row r="7627" spans="1:13" x14ac:dyDescent="0.3">
      <c r="A7627" t="s">
        <v>3397</v>
      </c>
      <c r="B7627" t="s">
        <v>5322</v>
      </c>
      <c r="C7627" t="s">
        <v>5487</v>
      </c>
      <c r="D7627" t="s">
        <v>4119</v>
      </c>
      <c r="E7627" t="s">
        <v>5756</v>
      </c>
      <c r="F7627" t="s">
        <v>27956</v>
      </c>
      <c r="G7627" t="s">
        <v>27957</v>
      </c>
      <c r="H7627" t="s">
        <v>5474</v>
      </c>
      <c r="I7627" t="s">
        <v>27958</v>
      </c>
      <c r="J7627" t="s">
        <v>5476</v>
      </c>
      <c r="K7627" t="s">
        <v>27959</v>
      </c>
      <c r="L7627" t="s">
        <v>12472</v>
      </c>
      <c r="M7627" t="s">
        <v>5471</v>
      </c>
    </row>
    <row r="7628" spans="1:13" x14ac:dyDescent="0.3">
      <c r="A7628" t="s">
        <v>3388</v>
      </c>
      <c r="B7628" t="s">
        <v>8573</v>
      </c>
      <c r="C7628" t="s">
        <v>5470</v>
      </c>
      <c r="D7628" t="s">
        <v>4056</v>
      </c>
      <c r="E7628" t="s">
        <v>5532</v>
      </c>
      <c r="F7628" t="s">
        <v>27960</v>
      </c>
      <c r="G7628" t="s">
        <v>17867</v>
      </c>
      <c r="H7628" t="s">
        <v>5474</v>
      </c>
      <c r="I7628" t="s">
        <v>27961</v>
      </c>
      <c r="J7628" t="s">
        <v>5476</v>
      </c>
      <c r="K7628" t="s">
        <v>27962</v>
      </c>
      <c r="L7628" t="s">
        <v>5471</v>
      </c>
      <c r="M7628" t="s">
        <v>5471</v>
      </c>
    </row>
    <row r="7629" spans="1:13" x14ac:dyDescent="0.3">
      <c r="A7629" t="s">
        <v>3388</v>
      </c>
      <c r="B7629" t="s">
        <v>8573</v>
      </c>
      <c r="C7629" t="s">
        <v>5470</v>
      </c>
      <c r="D7629" t="s">
        <v>4056</v>
      </c>
      <c r="E7629" t="s">
        <v>5532</v>
      </c>
      <c r="F7629" t="s">
        <v>27963</v>
      </c>
      <c r="G7629" t="s">
        <v>17867</v>
      </c>
      <c r="H7629" t="s">
        <v>5474</v>
      </c>
      <c r="I7629" t="s">
        <v>27964</v>
      </c>
      <c r="J7629" t="s">
        <v>5476</v>
      </c>
      <c r="K7629" t="s">
        <v>27965</v>
      </c>
      <c r="L7629" t="s">
        <v>5471</v>
      </c>
      <c r="M7629" t="s">
        <v>5471</v>
      </c>
    </row>
    <row r="7630" spans="1:13" x14ac:dyDescent="0.3">
      <c r="A7630" t="s">
        <v>3388</v>
      </c>
      <c r="B7630" t="s">
        <v>8573</v>
      </c>
      <c r="C7630" t="s">
        <v>5470</v>
      </c>
      <c r="D7630" t="s">
        <v>4056</v>
      </c>
      <c r="E7630" t="s">
        <v>5532</v>
      </c>
      <c r="F7630" t="s">
        <v>27966</v>
      </c>
      <c r="G7630" t="s">
        <v>17867</v>
      </c>
      <c r="H7630" t="s">
        <v>5474</v>
      </c>
      <c r="I7630" t="s">
        <v>27967</v>
      </c>
      <c r="J7630" t="s">
        <v>5476</v>
      </c>
      <c r="K7630" t="s">
        <v>27968</v>
      </c>
      <c r="L7630" t="s">
        <v>5471</v>
      </c>
      <c r="M7630" t="s">
        <v>5471</v>
      </c>
    </row>
    <row r="7631" spans="1:13" x14ac:dyDescent="0.3">
      <c r="A7631" t="s">
        <v>3388</v>
      </c>
      <c r="B7631" t="s">
        <v>15702</v>
      </c>
      <c r="C7631" t="s">
        <v>5470</v>
      </c>
      <c r="D7631" t="s">
        <v>4056</v>
      </c>
      <c r="E7631" t="s">
        <v>5532</v>
      </c>
      <c r="F7631" t="s">
        <v>27969</v>
      </c>
      <c r="G7631" t="s">
        <v>27970</v>
      </c>
      <c r="H7631" t="s">
        <v>5474</v>
      </c>
      <c r="I7631" t="s">
        <v>27971</v>
      </c>
      <c r="J7631" t="s">
        <v>5476</v>
      </c>
      <c r="K7631" t="s">
        <v>27972</v>
      </c>
      <c r="L7631" t="s">
        <v>5471</v>
      </c>
      <c r="M7631" t="s">
        <v>5471</v>
      </c>
    </row>
    <row r="7632" spans="1:13" x14ac:dyDescent="0.3">
      <c r="A7632" t="s">
        <v>3388</v>
      </c>
      <c r="B7632" t="s">
        <v>15702</v>
      </c>
      <c r="C7632" t="s">
        <v>5470</v>
      </c>
      <c r="D7632" t="s">
        <v>4056</v>
      </c>
      <c r="E7632" t="s">
        <v>5532</v>
      </c>
      <c r="F7632" t="s">
        <v>27973</v>
      </c>
      <c r="G7632" t="s">
        <v>27970</v>
      </c>
      <c r="H7632" t="s">
        <v>5474</v>
      </c>
      <c r="I7632" t="s">
        <v>27974</v>
      </c>
      <c r="J7632" t="s">
        <v>5476</v>
      </c>
      <c r="K7632" t="s">
        <v>27975</v>
      </c>
      <c r="L7632" t="s">
        <v>5471</v>
      </c>
      <c r="M7632" t="s">
        <v>5471</v>
      </c>
    </row>
    <row r="7633" spans="1:13" x14ac:dyDescent="0.3">
      <c r="A7633" t="s">
        <v>3388</v>
      </c>
      <c r="B7633" t="s">
        <v>15702</v>
      </c>
      <c r="C7633" t="s">
        <v>5470</v>
      </c>
      <c r="D7633" t="s">
        <v>4056</v>
      </c>
      <c r="E7633" t="s">
        <v>5532</v>
      </c>
      <c r="F7633" t="s">
        <v>27976</v>
      </c>
      <c r="G7633" t="s">
        <v>27970</v>
      </c>
      <c r="H7633" t="s">
        <v>5474</v>
      </c>
      <c r="I7633" t="s">
        <v>27977</v>
      </c>
      <c r="J7633" t="s">
        <v>5476</v>
      </c>
      <c r="K7633" t="s">
        <v>27978</v>
      </c>
      <c r="L7633" t="s">
        <v>5471</v>
      </c>
      <c r="M7633" t="s">
        <v>5471</v>
      </c>
    </row>
    <row r="7634" spans="1:13" x14ac:dyDescent="0.3">
      <c r="A7634" t="s">
        <v>3388</v>
      </c>
      <c r="B7634" t="s">
        <v>15702</v>
      </c>
      <c r="C7634" t="s">
        <v>5470</v>
      </c>
      <c r="D7634" t="s">
        <v>4056</v>
      </c>
      <c r="E7634" t="s">
        <v>5532</v>
      </c>
      <c r="F7634" t="s">
        <v>27979</v>
      </c>
      <c r="G7634" t="s">
        <v>27980</v>
      </c>
      <c r="H7634" t="s">
        <v>5474</v>
      </c>
      <c r="I7634" t="s">
        <v>27981</v>
      </c>
      <c r="J7634" t="s">
        <v>5476</v>
      </c>
      <c r="K7634" t="s">
        <v>27982</v>
      </c>
      <c r="L7634" t="s">
        <v>5471</v>
      </c>
      <c r="M7634" t="s">
        <v>5471</v>
      </c>
    </row>
    <row r="7635" spans="1:13" x14ac:dyDescent="0.3">
      <c r="A7635" t="s">
        <v>3388</v>
      </c>
      <c r="B7635" t="s">
        <v>15702</v>
      </c>
      <c r="C7635" t="s">
        <v>5470</v>
      </c>
      <c r="D7635" t="s">
        <v>4056</v>
      </c>
      <c r="E7635" t="s">
        <v>5532</v>
      </c>
      <c r="F7635" t="s">
        <v>27983</v>
      </c>
      <c r="G7635" t="s">
        <v>27984</v>
      </c>
      <c r="H7635" t="s">
        <v>5474</v>
      </c>
      <c r="I7635" t="s">
        <v>27985</v>
      </c>
      <c r="J7635" t="s">
        <v>5476</v>
      </c>
      <c r="K7635" t="s">
        <v>27986</v>
      </c>
      <c r="L7635" t="s">
        <v>5471</v>
      </c>
      <c r="M7635" t="s">
        <v>5471</v>
      </c>
    </row>
    <row r="7636" spans="1:13" x14ac:dyDescent="0.3">
      <c r="A7636" t="s">
        <v>3388</v>
      </c>
      <c r="B7636" t="s">
        <v>15702</v>
      </c>
      <c r="C7636" t="s">
        <v>5470</v>
      </c>
      <c r="D7636" t="s">
        <v>4056</v>
      </c>
      <c r="E7636" t="s">
        <v>5532</v>
      </c>
      <c r="F7636" t="s">
        <v>27987</v>
      </c>
      <c r="G7636" t="s">
        <v>27984</v>
      </c>
      <c r="H7636" t="s">
        <v>5474</v>
      </c>
      <c r="I7636" t="s">
        <v>27988</v>
      </c>
      <c r="J7636" t="s">
        <v>5476</v>
      </c>
      <c r="K7636" t="s">
        <v>27989</v>
      </c>
      <c r="L7636" t="s">
        <v>5471</v>
      </c>
      <c r="M7636" t="s">
        <v>5471</v>
      </c>
    </row>
    <row r="7637" spans="1:13" x14ac:dyDescent="0.3">
      <c r="A7637" t="s">
        <v>3388</v>
      </c>
      <c r="B7637" t="s">
        <v>10961</v>
      </c>
      <c r="C7637" t="s">
        <v>5470</v>
      </c>
      <c r="D7637" t="s">
        <v>4056</v>
      </c>
      <c r="E7637" t="s">
        <v>5532</v>
      </c>
      <c r="F7637" t="s">
        <v>27990</v>
      </c>
      <c r="G7637" t="s">
        <v>27991</v>
      </c>
      <c r="H7637" t="s">
        <v>5474</v>
      </c>
      <c r="I7637" t="s">
        <v>27992</v>
      </c>
      <c r="J7637" t="s">
        <v>5476</v>
      </c>
      <c r="K7637" t="s">
        <v>27962</v>
      </c>
      <c r="L7637" t="s">
        <v>5471</v>
      </c>
      <c r="M7637" t="s">
        <v>5471</v>
      </c>
    </row>
    <row r="7638" spans="1:13" x14ac:dyDescent="0.3">
      <c r="A7638" t="s">
        <v>3388</v>
      </c>
      <c r="B7638" t="s">
        <v>10961</v>
      </c>
      <c r="C7638" t="s">
        <v>5470</v>
      </c>
      <c r="D7638" t="s">
        <v>4056</v>
      </c>
      <c r="E7638" t="s">
        <v>5532</v>
      </c>
      <c r="F7638" t="s">
        <v>27993</v>
      </c>
      <c r="G7638" t="s">
        <v>27994</v>
      </c>
      <c r="H7638" t="s">
        <v>5474</v>
      </c>
      <c r="I7638" t="s">
        <v>27995</v>
      </c>
      <c r="J7638" t="s">
        <v>5476</v>
      </c>
      <c r="K7638" t="s">
        <v>27965</v>
      </c>
      <c r="L7638" t="s">
        <v>5471</v>
      </c>
      <c r="M7638" t="s">
        <v>5471</v>
      </c>
    </row>
    <row r="7639" spans="1:13" x14ac:dyDescent="0.3">
      <c r="A7639" t="s">
        <v>3388</v>
      </c>
      <c r="B7639" t="s">
        <v>10961</v>
      </c>
      <c r="C7639" t="s">
        <v>5470</v>
      </c>
      <c r="D7639" t="s">
        <v>4056</v>
      </c>
      <c r="E7639" t="s">
        <v>5532</v>
      </c>
      <c r="F7639" t="s">
        <v>27996</v>
      </c>
      <c r="G7639" t="s">
        <v>27994</v>
      </c>
      <c r="H7639" t="s">
        <v>5474</v>
      </c>
      <c r="I7639" t="s">
        <v>27997</v>
      </c>
      <c r="J7639" t="s">
        <v>5476</v>
      </c>
      <c r="K7639" t="s">
        <v>27968</v>
      </c>
      <c r="L7639" t="s">
        <v>5471</v>
      </c>
      <c r="M7639" t="s">
        <v>5471</v>
      </c>
    </row>
    <row r="7640" spans="1:13" x14ac:dyDescent="0.3">
      <c r="A7640" t="s">
        <v>3388</v>
      </c>
      <c r="B7640" t="s">
        <v>7101</v>
      </c>
      <c r="C7640" t="s">
        <v>5470</v>
      </c>
      <c r="D7640" t="s">
        <v>4056</v>
      </c>
      <c r="E7640" t="s">
        <v>5532</v>
      </c>
      <c r="F7640" t="s">
        <v>27998</v>
      </c>
      <c r="G7640" t="s">
        <v>20348</v>
      </c>
      <c r="H7640" t="s">
        <v>5474</v>
      </c>
      <c r="I7640" t="s">
        <v>27999</v>
      </c>
      <c r="J7640" t="s">
        <v>5476</v>
      </c>
      <c r="K7640" t="s">
        <v>27962</v>
      </c>
      <c r="L7640" t="s">
        <v>5471</v>
      </c>
      <c r="M7640" t="s">
        <v>5471</v>
      </c>
    </row>
    <row r="7641" spans="1:13" x14ac:dyDescent="0.3">
      <c r="A7641" t="s">
        <v>3388</v>
      </c>
      <c r="B7641" t="s">
        <v>7101</v>
      </c>
      <c r="C7641" t="s">
        <v>5470</v>
      </c>
      <c r="D7641" t="s">
        <v>4056</v>
      </c>
      <c r="E7641" t="s">
        <v>5532</v>
      </c>
      <c r="F7641" t="s">
        <v>28000</v>
      </c>
      <c r="G7641" t="s">
        <v>20348</v>
      </c>
      <c r="H7641" t="s">
        <v>5474</v>
      </c>
      <c r="I7641" t="s">
        <v>28001</v>
      </c>
      <c r="J7641" t="s">
        <v>5476</v>
      </c>
      <c r="K7641" t="s">
        <v>27965</v>
      </c>
      <c r="L7641" t="s">
        <v>5471</v>
      </c>
      <c r="M7641" t="s">
        <v>5471</v>
      </c>
    </row>
    <row r="7642" spans="1:13" x14ac:dyDescent="0.3">
      <c r="A7642" t="s">
        <v>3388</v>
      </c>
      <c r="B7642" t="s">
        <v>7101</v>
      </c>
      <c r="C7642" t="s">
        <v>5470</v>
      </c>
      <c r="D7642" t="s">
        <v>4056</v>
      </c>
      <c r="E7642" t="s">
        <v>5532</v>
      </c>
      <c r="F7642" t="s">
        <v>28002</v>
      </c>
      <c r="G7642" t="s">
        <v>20348</v>
      </c>
      <c r="H7642" t="s">
        <v>5474</v>
      </c>
      <c r="I7642" t="s">
        <v>28003</v>
      </c>
      <c r="J7642" t="s">
        <v>5476</v>
      </c>
      <c r="K7642" t="s">
        <v>27968</v>
      </c>
      <c r="L7642" t="s">
        <v>5471</v>
      </c>
      <c r="M7642" t="s">
        <v>5471</v>
      </c>
    </row>
    <row r="7643" spans="1:13" x14ac:dyDescent="0.3">
      <c r="A7643" t="s">
        <v>3388</v>
      </c>
      <c r="B7643" t="s">
        <v>10870</v>
      </c>
      <c r="C7643" t="s">
        <v>5470</v>
      </c>
      <c r="D7643" t="s">
        <v>4056</v>
      </c>
      <c r="E7643" t="s">
        <v>5532</v>
      </c>
      <c r="F7643" t="s">
        <v>28004</v>
      </c>
      <c r="G7643" t="s">
        <v>28005</v>
      </c>
      <c r="H7643" t="s">
        <v>5474</v>
      </c>
      <c r="I7643" t="s">
        <v>28006</v>
      </c>
      <c r="J7643" t="s">
        <v>5476</v>
      </c>
      <c r="K7643" t="s">
        <v>28007</v>
      </c>
      <c r="L7643" t="s">
        <v>5471</v>
      </c>
      <c r="M7643" t="s">
        <v>5471</v>
      </c>
    </row>
    <row r="7644" spans="1:13" x14ac:dyDescent="0.3">
      <c r="A7644" t="s">
        <v>3388</v>
      </c>
      <c r="B7644" t="s">
        <v>10870</v>
      </c>
      <c r="C7644" t="s">
        <v>5470</v>
      </c>
      <c r="D7644" t="s">
        <v>4056</v>
      </c>
      <c r="E7644" t="s">
        <v>5532</v>
      </c>
      <c r="F7644" t="s">
        <v>28008</v>
      </c>
      <c r="G7644" t="s">
        <v>28005</v>
      </c>
      <c r="H7644" t="s">
        <v>5474</v>
      </c>
      <c r="I7644" t="s">
        <v>28009</v>
      </c>
      <c r="J7644" t="s">
        <v>5476</v>
      </c>
      <c r="K7644" t="s">
        <v>28010</v>
      </c>
      <c r="L7644" t="s">
        <v>5471</v>
      </c>
      <c r="M7644" t="s">
        <v>5471</v>
      </c>
    </row>
    <row r="7645" spans="1:13" x14ac:dyDescent="0.3">
      <c r="A7645" t="s">
        <v>3388</v>
      </c>
      <c r="B7645" t="s">
        <v>10870</v>
      </c>
      <c r="C7645" t="s">
        <v>5470</v>
      </c>
      <c r="D7645" t="s">
        <v>4056</v>
      </c>
      <c r="E7645" t="s">
        <v>5532</v>
      </c>
      <c r="F7645" t="s">
        <v>28011</v>
      </c>
      <c r="G7645" t="s">
        <v>28005</v>
      </c>
      <c r="H7645" t="s">
        <v>5474</v>
      </c>
      <c r="I7645" t="s">
        <v>28012</v>
      </c>
      <c r="J7645" t="s">
        <v>5476</v>
      </c>
      <c r="K7645" t="s">
        <v>28013</v>
      </c>
      <c r="L7645" t="s">
        <v>5471</v>
      </c>
      <c r="M7645" t="s">
        <v>5471</v>
      </c>
    </row>
    <row r="7646" spans="1:13" x14ac:dyDescent="0.3">
      <c r="A7646" t="s">
        <v>3388</v>
      </c>
      <c r="B7646" t="s">
        <v>21595</v>
      </c>
      <c r="C7646" t="s">
        <v>5470</v>
      </c>
      <c r="D7646" t="s">
        <v>4056</v>
      </c>
      <c r="E7646" t="s">
        <v>5532</v>
      </c>
      <c r="F7646" t="s">
        <v>28014</v>
      </c>
      <c r="G7646" t="s">
        <v>28015</v>
      </c>
      <c r="H7646" t="s">
        <v>5474</v>
      </c>
      <c r="I7646" t="s">
        <v>28016</v>
      </c>
      <c r="J7646" t="s">
        <v>5476</v>
      </c>
      <c r="K7646" t="s">
        <v>28007</v>
      </c>
      <c r="L7646" t="s">
        <v>5471</v>
      </c>
      <c r="M7646" t="s">
        <v>5471</v>
      </c>
    </row>
    <row r="7647" spans="1:13" x14ac:dyDescent="0.3">
      <c r="A7647" t="s">
        <v>3388</v>
      </c>
      <c r="B7647" t="s">
        <v>21595</v>
      </c>
      <c r="C7647" t="s">
        <v>5470</v>
      </c>
      <c r="D7647" t="s">
        <v>4056</v>
      </c>
      <c r="E7647" t="s">
        <v>5532</v>
      </c>
      <c r="F7647" t="s">
        <v>28017</v>
      </c>
      <c r="G7647" t="s">
        <v>28015</v>
      </c>
      <c r="H7647" t="s">
        <v>5474</v>
      </c>
      <c r="I7647" t="s">
        <v>28018</v>
      </c>
      <c r="J7647" t="s">
        <v>5476</v>
      </c>
      <c r="K7647" t="s">
        <v>28010</v>
      </c>
      <c r="L7647" t="s">
        <v>5471</v>
      </c>
      <c r="M7647" t="s">
        <v>5471</v>
      </c>
    </row>
    <row r="7648" spans="1:13" x14ac:dyDescent="0.3">
      <c r="A7648" t="s">
        <v>3388</v>
      </c>
      <c r="B7648" t="s">
        <v>21595</v>
      </c>
      <c r="C7648" t="s">
        <v>5470</v>
      </c>
      <c r="D7648" t="s">
        <v>4056</v>
      </c>
      <c r="E7648" t="s">
        <v>5532</v>
      </c>
      <c r="F7648" t="s">
        <v>28019</v>
      </c>
      <c r="G7648" t="s">
        <v>28015</v>
      </c>
      <c r="H7648" t="s">
        <v>5474</v>
      </c>
      <c r="I7648" t="s">
        <v>28020</v>
      </c>
      <c r="J7648" t="s">
        <v>5476</v>
      </c>
      <c r="K7648" t="s">
        <v>28013</v>
      </c>
      <c r="L7648" t="s">
        <v>5471</v>
      </c>
      <c r="M7648" t="s">
        <v>5471</v>
      </c>
    </row>
    <row r="7649" spans="1:13" x14ac:dyDescent="0.3">
      <c r="A7649" t="s">
        <v>3388</v>
      </c>
      <c r="B7649" t="s">
        <v>5263</v>
      </c>
      <c r="C7649" t="s">
        <v>5470</v>
      </c>
      <c r="D7649" t="s">
        <v>4347</v>
      </c>
      <c r="E7649" t="s">
        <v>5617</v>
      </c>
      <c r="F7649" t="s">
        <v>28021</v>
      </c>
      <c r="G7649" t="s">
        <v>28022</v>
      </c>
      <c r="H7649" t="s">
        <v>5474</v>
      </c>
      <c r="I7649" t="s">
        <v>28023</v>
      </c>
      <c r="J7649" t="s">
        <v>5476</v>
      </c>
      <c r="K7649" t="s">
        <v>28024</v>
      </c>
      <c r="L7649" t="s">
        <v>12472</v>
      </c>
      <c r="M7649" t="s">
        <v>5471</v>
      </c>
    </row>
    <row r="7650" spans="1:13" x14ac:dyDescent="0.3">
      <c r="A7650" t="s">
        <v>3397</v>
      </c>
      <c r="B7650" t="s">
        <v>5269</v>
      </c>
      <c r="C7650" t="s">
        <v>5487</v>
      </c>
      <c r="D7650" t="s">
        <v>4200</v>
      </c>
      <c r="E7650" t="s">
        <v>5595</v>
      </c>
      <c r="F7650" t="s">
        <v>28025</v>
      </c>
      <c r="G7650" t="s">
        <v>28026</v>
      </c>
      <c r="H7650" t="s">
        <v>5474</v>
      </c>
      <c r="I7650" t="s">
        <v>28027</v>
      </c>
      <c r="J7650" t="s">
        <v>5476</v>
      </c>
      <c r="K7650" t="s">
        <v>28028</v>
      </c>
      <c r="L7650" t="s">
        <v>5471</v>
      </c>
      <c r="M7650" t="s">
        <v>5471</v>
      </c>
    </row>
    <row r="7651" spans="1:13" x14ac:dyDescent="0.3">
      <c r="A7651" t="s">
        <v>3397</v>
      </c>
      <c r="B7651" t="s">
        <v>5269</v>
      </c>
      <c r="C7651" t="s">
        <v>5487</v>
      </c>
      <c r="D7651" t="s">
        <v>4200</v>
      </c>
      <c r="E7651" t="s">
        <v>5595</v>
      </c>
      <c r="F7651" t="s">
        <v>28029</v>
      </c>
      <c r="G7651" t="s">
        <v>27805</v>
      </c>
      <c r="H7651" t="s">
        <v>5474</v>
      </c>
      <c r="I7651" t="s">
        <v>28030</v>
      </c>
      <c r="J7651" t="s">
        <v>5476</v>
      </c>
      <c r="K7651" t="s">
        <v>28031</v>
      </c>
      <c r="L7651" t="s">
        <v>5471</v>
      </c>
      <c r="M7651" t="s">
        <v>5471</v>
      </c>
    </row>
    <row r="7652" spans="1:13" x14ac:dyDescent="0.3">
      <c r="A7652" t="s">
        <v>3397</v>
      </c>
      <c r="B7652" t="s">
        <v>5269</v>
      </c>
      <c r="C7652" t="s">
        <v>5487</v>
      </c>
      <c r="D7652" t="s">
        <v>4200</v>
      </c>
      <c r="E7652" t="s">
        <v>5595</v>
      </c>
      <c r="F7652" t="s">
        <v>28032</v>
      </c>
      <c r="G7652" t="s">
        <v>9135</v>
      </c>
      <c r="H7652" t="s">
        <v>5474</v>
      </c>
      <c r="I7652" t="s">
        <v>28033</v>
      </c>
      <c r="J7652" t="s">
        <v>5476</v>
      </c>
      <c r="K7652" t="s">
        <v>28034</v>
      </c>
      <c r="L7652" t="s">
        <v>5471</v>
      </c>
      <c r="M7652" t="s">
        <v>5471</v>
      </c>
    </row>
    <row r="7653" spans="1:13" x14ac:dyDescent="0.3">
      <c r="A7653" t="s">
        <v>3397</v>
      </c>
      <c r="B7653" t="s">
        <v>5269</v>
      </c>
      <c r="C7653" t="s">
        <v>5487</v>
      </c>
      <c r="D7653" t="s">
        <v>4200</v>
      </c>
      <c r="E7653" t="s">
        <v>5595</v>
      </c>
      <c r="F7653" t="s">
        <v>28035</v>
      </c>
      <c r="G7653" t="s">
        <v>10220</v>
      </c>
      <c r="H7653" t="s">
        <v>5474</v>
      </c>
      <c r="I7653" t="s">
        <v>28036</v>
      </c>
      <c r="J7653" t="s">
        <v>5476</v>
      </c>
      <c r="K7653" t="s">
        <v>28037</v>
      </c>
      <c r="L7653" t="s">
        <v>5471</v>
      </c>
      <c r="M7653" t="s">
        <v>5471</v>
      </c>
    </row>
    <row r="7654" spans="1:13" x14ac:dyDescent="0.3">
      <c r="A7654" t="s">
        <v>3397</v>
      </c>
      <c r="B7654" t="s">
        <v>5269</v>
      </c>
      <c r="C7654" t="s">
        <v>5487</v>
      </c>
      <c r="D7654" t="s">
        <v>10218</v>
      </c>
      <c r="E7654" t="s">
        <v>5595</v>
      </c>
      <c r="F7654" t="s">
        <v>28038</v>
      </c>
      <c r="G7654" t="s">
        <v>28039</v>
      </c>
      <c r="H7654" t="s">
        <v>5474</v>
      </c>
      <c r="I7654" t="s">
        <v>28040</v>
      </c>
      <c r="J7654" t="s">
        <v>5476</v>
      </c>
      <c r="K7654" t="s">
        <v>28041</v>
      </c>
      <c r="L7654" t="s">
        <v>5471</v>
      </c>
      <c r="M7654" t="s">
        <v>5471</v>
      </c>
    </row>
    <row r="7655" spans="1:13" x14ac:dyDescent="0.3">
      <c r="A7655" t="s">
        <v>3397</v>
      </c>
      <c r="B7655" t="s">
        <v>5269</v>
      </c>
      <c r="C7655" t="s">
        <v>5487</v>
      </c>
      <c r="D7655" t="s">
        <v>10218</v>
      </c>
      <c r="E7655" t="s">
        <v>5843</v>
      </c>
      <c r="F7655" t="s">
        <v>28042</v>
      </c>
      <c r="G7655" t="s">
        <v>28039</v>
      </c>
      <c r="H7655" t="s">
        <v>5474</v>
      </c>
      <c r="I7655" t="s">
        <v>28043</v>
      </c>
      <c r="J7655" t="s">
        <v>5476</v>
      </c>
      <c r="K7655" t="s">
        <v>28044</v>
      </c>
      <c r="L7655" t="s">
        <v>5471</v>
      </c>
      <c r="M7655" t="s">
        <v>5471</v>
      </c>
    </row>
    <row r="7656" spans="1:13" x14ac:dyDescent="0.3">
      <c r="A7656" t="s">
        <v>3397</v>
      </c>
      <c r="B7656" t="s">
        <v>5269</v>
      </c>
      <c r="C7656" t="s">
        <v>5487</v>
      </c>
      <c r="D7656" t="s">
        <v>10218</v>
      </c>
      <c r="E7656" t="s">
        <v>5480</v>
      </c>
      <c r="F7656" t="s">
        <v>28045</v>
      </c>
      <c r="G7656" t="s">
        <v>28046</v>
      </c>
      <c r="H7656" t="s">
        <v>5474</v>
      </c>
      <c r="I7656" t="s">
        <v>28047</v>
      </c>
      <c r="J7656" t="s">
        <v>5476</v>
      </c>
      <c r="K7656" t="s">
        <v>28048</v>
      </c>
      <c r="L7656" t="s">
        <v>5471</v>
      </c>
      <c r="M7656" t="s">
        <v>5471</v>
      </c>
    </row>
    <row r="7657" spans="1:13" x14ac:dyDescent="0.3">
      <c r="A7657" t="s">
        <v>3388</v>
      </c>
      <c r="B7657" t="s">
        <v>5263</v>
      </c>
      <c r="C7657" t="s">
        <v>5470</v>
      </c>
      <c r="D7657" t="s">
        <v>4058</v>
      </c>
      <c r="E7657" t="s">
        <v>5617</v>
      </c>
      <c r="F7657" t="s">
        <v>28049</v>
      </c>
      <c r="G7657" t="s">
        <v>28050</v>
      </c>
      <c r="H7657" t="s">
        <v>5474</v>
      </c>
      <c r="I7657" t="s">
        <v>28051</v>
      </c>
      <c r="J7657" t="s">
        <v>5476</v>
      </c>
      <c r="K7657" t="s">
        <v>28052</v>
      </c>
      <c r="L7657" t="s">
        <v>5478</v>
      </c>
      <c r="M7657" t="s">
        <v>5471</v>
      </c>
    </row>
    <row r="7658" spans="1:13" x14ac:dyDescent="0.3">
      <c r="A7658" t="s">
        <v>3388</v>
      </c>
      <c r="B7658" t="s">
        <v>5263</v>
      </c>
      <c r="C7658" t="s">
        <v>5470</v>
      </c>
      <c r="D7658" t="s">
        <v>4058</v>
      </c>
      <c r="E7658" t="s">
        <v>5617</v>
      </c>
      <c r="F7658" t="s">
        <v>28053</v>
      </c>
      <c r="G7658" t="s">
        <v>28054</v>
      </c>
      <c r="H7658" t="s">
        <v>5474</v>
      </c>
      <c r="I7658" t="s">
        <v>28055</v>
      </c>
      <c r="J7658" t="s">
        <v>5476</v>
      </c>
      <c r="K7658" t="s">
        <v>28056</v>
      </c>
      <c r="L7658" t="s">
        <v>5478</v>
      </c>
      <c r="M7658" t="s">
        <v>5471</v>
      </c>
    </row>
    <row r="7659" spans="1:13" x14ac:dyDescent="0.3">
      <c r="A7659" t="s">
        <v>3388</v>
      </c>
      <c r="B7659" t="s">
        <v>5263</v>
      </c>
      <c r="C7659" t="s">
        <v>5470</v>
      </c>
      <c r="D7659" t="s">
        <v>4058</v>
      </c>
      <c r="E7659" t="s">
        <v>5617</v>
      </c>
      <c r="F7659" t="s">
        <v>28057</v>
      </c>
      <c r="G7659" t="s">
        <v>28054</v>
      </c>
      <c r="H7659" t="s">
        <v>5474</v>
      </c>
      <c r="I7659" t="s">
        <v>28058</v>
      </c>
      <c r="J7659" t="s">
        <v>5476</v>
      </c>
      <c r="K7659" t="s">
        <v>28059</v>
      </c>
      <c r="L7659" t="s">
        <v>5478</v>
      </c>
      <c r="M7659" t="s">
        <v>5471</v>
      </c>
    </row>
    <row r="7660" spans="1:13" x14ac:dyDescent="0.3">
      <c r="A7660" t="s">
        <v>3388</v>
      </c>
      <c r="B7660" t="s">
        <v>5263</v>
      </c>
      <c r="C7660" t="s">
        <v>5470</v>
      </c>
      <c r="D7660" t="s">
        <v>4058</v>
      </c>
      <c r="E7660" t="s">
        <v>5617</v>
      </c>
      <c r="F7660" t="s">
        <v>28060</v>
      </c>
      <c r="G7660" t="s">
        <v>28054</v>
      </c>
      <c r="H7660" t="s">
        <v>5474</v>
      </c>
      <c r="I7660" t="s">
        <v>28061</v>
      </c>
      <c r="J7660" t="s">
        <v>5476</v>
      </c>
      <c r="K7660" t="s">
        <v>28062</v>
      </c>
      <c r="L7660" t="s">
        <v>5478</v>
      </c>
      <c r="M7660" t="s">
        <v>5471</v>
      </c>
    </row>
    <row r="7661" spans="1:13" x14ac:dyDescent="0.3">
      <c r="A7661" t="s">
        <v>3388</v>
      </c>
      <c r="B7661" t="s">
        <v>10961</v>
      </c>
      <c r="C7661" t="s">
        <v>5470</v>
      </c>
      <c r="D7661" t="s">
        <v>4119</v>
      </c>
      <c r="E7661" t="s">
        <v>5532</v>
      </c>
      <c r="F7661" t="s">
        <v>28063</v>
      </c>
      <c r="G7661" t="s">
        <v>28064</v>
      </c>
      <c r="H7661" t="s">
        <v>5474</v>
      </c>
      <c r="I7661" t="s">
        <v>28065</v>
      </c>
      <c r="J7661" t="s">
        <v>5476</v>
      </c>
      <c r="K7661" t="s">
        <v>27725</v>
      </c>
      <c r="L7661" t="s">
        <v>5471</v>
      </c>
      <c r="M7661" t="s">
        <v>5471</v>
      </c>
    </row>
    <row r="7662" spans="1:13" x14ac:dyDescent="0.3">
      <c r="A7662" t="s">
        <v>3388</v>
      </c>
      <c r="B7662" t="s">
        <v>10870</v>
      </c>
      <c r="C7662" t="s">
        <v>5470</v>
      </c>
      <c r="D7662" t="s">
        <v>4119</v>
      </c>
      <c r="E7662" t="s">
        <v>5532</v>
      </c>
      <c r="F7662" t="s">
        <v>28066</v>
      </c>
      <c r="G7662" t="s">
        <v>28067</v>
      </c>
      <c r="H7662" t="s">
        <v>5474</v>
      </c>
      <c r="I7662" t="s">
        <v>28068</v>
      </c>
      <c r="J7662" t="s">
        <v>5476</v>
      </c>
      <c r="K7662" t="s">
        <v>27725</v>
      </c>
      <c r="L7662" t="s">
        <v>5471</v>
      </c>
      <c r="M7662" t="s">
        <v>5471</v>
      </c>
    </row>
    <row r="7663" spans="1:13" x14ac:dyDescent="0.3">
      <c r="A7663" t="s">
        <v>3397</v>
      </c>
      <c r="B7663" t="s">
        <v>7502</v>
      </c>
      <c r="C7663" t="s">
        <v>5487</v>
      </c>
      <c r="D7663" t="s">
        <v>4119</v>
      </c>
      <c r="E7663" t="s">
        <v>5756</v>
      </c>
      <c r="F7663" t="s">
        <v>28069</v>
      </c>
      <c r="G7663" t="s">
        <v>28070</v>
      </c>
      <c r="H7663" t="s">
        <v>5474</v>
      </c>
      <c r="I7663" t="s">
        <v>28071</v>
      </c>
      <c r="J7663" t="s">
        <v>5476</v>
      </c>
      <c r="K7663" t="s">
        <v>28072</v>
      </c>
      <c r="L7663" t="s">
        <v>5471</v>
      </c>
      <c r="M7663" t="s">
        <v>5471</v>
      </c>
    </row>
    <row r="7664" spans="1:13" x14ac:dyDescent="0.3">
      <c r="A7664" t="s">
        <v>3388</v>
      </c>
      <c r="B7664" t="s">
        <v>7101</v>
      </c>
      <c r="C7664" t="s">
        <v>5470</v>
      </c>
      <c r="D7664" t="s">
        <v>4119</v>
      </c>
      <c r="E7664" t="s">
        <v>5532</v>
      </c>
      <c r="F7664" t="s">
        <v>28073</v>
      </c>
      <c r="G7664" t="s">
        <v>20348</v>
      </c>
      <c r="H7664" t="s">
        <v>5474</v>
      </c>
      <c r="I7664" t="s">
        <v>28074</v>
      </c>
      <c r="J7664" t="s">
        <v>5476</v>
      </c>
      <c r="K7664" t="s">
        <v>27725</v>
      </c>
      <c r="L7664" t="s">
        <v>5471</v>
      </c>
      <c r="M7664" t="s">
        <v>5471</v>
      </c>
    </row>
    <row r="7665" spans="1:13" x14ac:dyDescent="0.3">
      <c r="A7665" t="s">
        <v>3388</v>
      </c>
      <c r="B7665" t="s">
        <v>8573</v>
      </c>
      <c r="C7665" t="s">
        <v>5470</v>
      </c>
      <c r="D7665" t="s">
        <v>4119</v>
      </c>
      <c r="E7665" t="s">
        <v>5532</v>
      </c>
      <c r="F7665" t="s">
        <v>28075</v>
      </c>
      <c r="G7665" t="s">
        <v>17867</v>
      </c>
      <c r="H7665" t="s">
        <v>5474</v>
      </c>
      <c r="I7665" t="s">
        <v>28076</v>
      </c>
      <c r="J7665" t="s">
        <v>5476</v>
      </c>
      <c r="K7665" t="s">
        <v>27725</v>
      </c>
      <c r="L7665" t="s">
        <v>5471</v>
      </c>
      <c r="M7665" t="s">
        <v>5471</v>
      </c>
    </row>
    <row r="7666" spans="1:13" x14ac:dyDescent="0.3">
      <c r="A7666" t="s">
        <v>3388</v>
      </c>
      <c r="B7666" t="s">
        <v>21595</v>
      </c>
      <c r="C7666" t="s">
        <v>5470</v>
      </c>
      <c r="D7666" t="s">
        <v>4119</v>
      </c>
      <c r="E7666" t="s">
        <v>5532</v>
      </c>
      <c r="F7666" t="s">
        <v>28077</v>
      </c>
      <c r="G7666" t="s">
        <v>21806</v>
      </c>
      <c r="H7666" t="s">
        <v>5474</v>
      </c>
      <c r="I7666" t="s">
        <v>28078</v>
      </c>
      <c r="J7666" t="s">
        <v>5476</v>
      </c>
      <c r="K7666" t="s">
        <v>27725</v>
      </c>
      <c r="L7666" t="s">
        <v>5471</v>
      </c>
      <c r="M7666" t="s">
        <v>5471</v>
      </c>
    </row>
    <row r="7667" spans="1:13" x14ac:dyDescent="0.3">
      <c r="A7667" t="s">
        <v>3388</v>
      </c>
      <c r="B7667" t="s">
        <v>15702</v>
      </c>
      <c r="C7667" t="s">
        <v>5470</v>
      </c>
      <c r="D7667" t="s">
        <v>4119</v>
      </c>
      <c r="E7667" t="s">
        <v>5532</v>
      </c>
      <c r="F7667" t="s">
        <v>28079</v>
      </c>
      <c r="G7667" t="s">
        <v>28080</v>
      </c>
      <c r="H7667" t="s">
        <v>5474</v>
      </c>
      <c r="I7667" t="s">
        <v>28081</v>
      </c>
      <c r="J7667" t="s">
        <v>5476</v>
      </c>
      <c r="K7667" t="s">
        <v>5471</v>
      </c>
      <c r="L7667" t="s">
        <v>5471</v>
      </c>
      <c r="M7667" t="s">
        <v>5471</v>
      </c>
    </row>
    <row r="7668" spans="1:13" x14ac:dyDescent="0.3">
      <c r="A7668" t="s">
        <v>3380</v>
      </c>
      <c r="B7668" t="s">
        <v>27164</v>
      </c>
      <c r="C7668" t="s">
        <v>6342</v>
      </c>
      <c r="D7668" t="s">
        <v>4119</v>
      </c>
      <c r="E7668" t="s">
        <v>5532</v>
      </c>
      <c r="F7668" t="s">
        <v>28082</v>
      </c>
      <c r="G7668" t="s">
        <v>27166</v>
      </c>
      <c r="H7668" t="s">
        <v>5474</v>
      </c>
      <c r="I7668" t="s">
        <v>28083</v>
      </c>
      <c r="J7668" t="s">
        <v>5476</v>
      </c>
      <c r="K7668" t="s">
        <v>16427</v>
      </c>
      <c r="L7668" t="s">
        <v>5471</v>
      </c>
      <c r="M7668" t="s">
        <v>5471</v>
      </c>
    </row>
    <row r="7669" spans="1:13" x14ac:dyDescent="0.3">
      <c r="A7669" t="s">
        <v>3380</v>
      </c>
      <c r="B7669" t="s">
        <v>9677</v>
      </c>
      <c r="C7669" t="s">
        <v>6342</v>
      </c>
      <c r="D7669" t="s">
        <v>4119</v>
      </c>
      <c r="E7669" t="s">
        <v>9935</v>
      </c>
      <c r="F7669" t="s">
        <v>28084</v>
      </c>
      <c r="G7669" t="s">
        <v>26150</v>
      </c>
      <c r="H7669" t="s">
        <v>5474</v>
      </c>
      <c r="I7669" t="s">
        <v>28085</v>
      </c>
      <c r="J7669" t="s">
        <v>5476</v>
      </c>
      <c r="K7669" t="s">
        <v>11039</v>
      </c>
      <c r="L7669" t="s">
        <v>5471</v>
      </c>
      <c r="M7669" t="s">
        <v>5471</v>
      </c>
    </row>
    <row r="7670" spans="1:13" x14ac:dyDescent="0.3">
      <c r="A7670" t="s">
        <v>3380</v>
      </c>
      <c r="B7670" t="s">
        <v>9677</v>
      </c>
      <c r="C7670" t="s">
        <v>6342</v>
      </c>
      <c r="D7670" t="s">
        <v>4119</v>
      </c>
      <c r="E7670" t="s">
        <v>5532</v>
      </c>
      <c r="F7670" t="s">
        <v>28086</v>
      </c>
      <c r="G7670" t="s">
        <v>26150</v>
      </c>
      <c r="H7670" t="s">
        <v>5474</v>
      </c>
      <c r="I7670" t="s">
        <v>28087</v>
      </c>
      <c r="J7670" t="s">
        <v>5476</v>
      </c>
      <c r="K7670" t="s">
        <v>16427</v>
      </c>
      <c r="L7670" t="s">
        <v>5471</v>
      </c>
      <c r="M7670" t="s">
        <v>5471</v>
      </c>
    </row>
    <row r="7671" spans="1:13" x14ac:dyDescent="0.3">
      <c r="A7671" t="s">
        <v>3380</v>
      </c>
      <c r="B7671" t="s">
        <v>5276</v>
      </c>
      <c r="C7671" t="s">
        <v>6342</v>
      </c>
      <c r="D7671" t="s">
        <v>4119</v>
      </c>
      <c r="E7671" t="s">
        <v>5532</v>
      </c>
      <c r="F7671" t="s">
        <v>28088</v>
      </c>
      <c r="G7671" t="s">
        <v>9699</v>
      </c>
      <c r="H7671" t="s">
        <v>5474</v>
      </c>
      <c r="I7671" t="s">
        <v>28089</v>
      </c>
      <c r="J7671" t="s">
        <v>5476</v>
      </c>
      <c r="K7671" t="s">
        <v>16427</v>
      </c>
      <c r="L7671" t="s">
        <v>5471</v>
      </c>
      <c r="M7671" t="s">
        <v>5471</v>
      </c>
    </row>
    <row r="7672" spans="1:13" x14ac:dyDescent="0.3">
      <c r="A7672" t="s">
        <v>3380</v>
      </c>
      <c r="B7672" t="s">
        <v>16261</v>
      </c>
      <c r="C7672" t="s">
        <v>6342</v>
      </c>
      <c r="D7672" t="s">
        <v>4119</v>
      </c>
      <c r="E7672" t="s">
        <v>5532</v>
      </c>
      <c r="F7672" t="s">
        <v>28090</v>
      </c>
      <c r="G7672" t="s">
        <v>16263</v>
      </c>
      <c r="H7672" t="s">
        <v>5474</v>
      </c>
      <c r="I7672" t="s">
        <v>28091</v>
      </c>
      <c r="J7672" t="s">
        <v>5476</v>
      </c>
      <c r="K7672" t="s">
        <v>5471</v>
      </c>
      <c r="L7672" t="s">
        <v>5471</v>
      </c>
      <c r="M7672" t="s">
        <v>5471</v>
      </c>
    </row>
    <row r="7673" spans="1:13" x14ac:dyDescent="0.3">
      <c r="A7673" t="s">
        <v>3380</v>
      </c>
      <c r="B7673" t="s">
        <v>16102</v>
      </c>
      <c r="C7673" t="s">
        <v>6342</v>
      </c>
      <c r="D7673" t="s">
        <v>4119</v>
      </c>
      <c r="E7673" t="s">
        <v>5532</v>
      </c>
      <c r="F7673" t="s">
        <v>28092</v>
      </c>
      <c r="G7673" t="s">
        <v>16104</v>
      </c>
      <c r="H7673" t="s">
        <v>5474</v>
      </c>
      <c r="I7673" t="s">
        <v>28093</v>
      </c>
      <c r="J7673" t="s">
        <v>5476</v>
      </c>
      <c r="K7673" t="s">
        <v>11581</v>
      </c>
      <c r="L7673" t="s">
        <v>5471</v>
      </c>
      <c r="M7673" t="s">
        <v>5471</v>
      </c>
    </row>
    <row r="7674" spans="1:13" x14ac:dyDescent="0.3">
      <c r="A7674" t="s">
        <v>3380</v>
      </c>
      <c r="B7674" t="s">
        <v>16268</v>
      </c>
      <c r="C7674" t="s">
        <v>6342</v>
      </c>
      <c r="D7674" t="s">
        <v>4119</v>
      </c>
      <c r="E7674" t="s">
        <v>5532</v>
      </c>
      <c r="F7674" t="s">
        <v>28094</v>
      </c>
      <c r="G7674" t="s">
        <v>16270</v>
      </c>
      <c r="H7674" t="s">
        <v>5474</v>
      </c>
      <c r="I7674" t="s">
        <v>28095</v>
      </c>
      <c r="J7674" t="s">
        <v>5476</v>
      </c>
      <c r="K7674" t="s">
        <v>11581</v>
      </c>
      <c r="L7674" t="s">
        <v>5471</v>
      </c>
      <c r="M7674" t="s">
        <v>5471</v>
      </c>
    </row>
    <row r="7675" spans="1:13" x14ac:dyDescent="0.3">
      <c r="A7675" t="s">
        <v>3397</v>
      </c>
      <c r="B7675" t="s">
        <v>5301</v>
      </c>
      <c r="C7675" t="s">
        <v>6342</v>
      </c>
      <c r="D7675" t="s">
        <v>10218</v>
      </c>
      <c r="E7675" t="s">
        <v>6332</v>
      </c>
      <c r="F7675" t="s">
        <v>28096</v>
      </c>
      <c r="G7675" t="s">
        <v>14886</v>
      </c>
      <c r="H7675" t="s">
        <v>5474</v>
      </c>
      <c r="I7675" t="s">
        <v>28097</v>
      </c>
      <c r="J7675" t="s">
        <v>5476</v>
      </c>
      <c r="K7675" t="s">
        <v>28098</v>
      </c>
      <c r="L7675" t="s">
        <v>5471</v>
      </c>
      <c r="M7675" t="s">
        <v>5471</v>
      </c>
    </row>
    <row r="7676" spans="1:13" x14ac:dyDescent="0.3">
      <c r="A7676" t="s">
        <v>3388</v>
      </c>
      <c r="B7676" t="s">
        <v>6478</v>
      </c>
      <c r="C7676" t="s">
        <v>5470</v>
      </c>
      <c r="D7676" t="s">
        <v>4175</v>
      </c>
      <c r="E7676" t="s">
        <v>5532</v>
      </c>
      <c r="F7676" t="s">
        <v>28099</v>
      </c>
      <c r="G7676" t="s">
        <v>20051</v>
      </c>
      <c r="H7676" t="s">
        <v>5474</v>
      </c>
      <c r="I7676" t="s">
        <v>28100</v>
      </c>
      <c r="J7676" t="s">
        <v>5476</v>
      </c>
      <c r="K7676" t="s">
        <v>28101</v>
      </c>
      <c r="L7676" t="s">
        <v>5485</v>
      </c>
      <c r="M7676" t="s">
        <v>5471</v>
      </c>
    </row>
    <row r="7677" spans="1:13" x14ac:dyDescent="0.3">
      <c r="A7677" t="s">
        <v>3383</v>
      </c>
      <c r="B7677" t="s">
        <v>5304</v>
      </c>
      <c r="C7677" t="s">
        <v>5487</v>
      </c>
      <c r="D7677" t="s">
        <v>4119</v>
      </c>
      <c r="E7677" t="s">
        <v>5532</v>
      </c>
      <c r="F7677" t="s">
        <v>28102</v>
      </c>
      <c r="G7677" t="s">
        <v>11978</v>
      </c>
      <c r="H7677" t="s">
        <v>5474</v>
      </c>
      <c r="I7677" t="s">
        <v>28103</v>
      </c>
      <c r="J7677" t="s">
        <v>5476</v>
      </c>
      <c r="K7677" t="s">
        <v>5471</v>
      </c>
      <c r="L7677" t="s">
        <v>5471</v>
      </c>
      <c r="M7677" t="s">
        <v>5471</v>
      </c>
    </row>
    <row r="7678" spans="1:13" x14ac:dyDescent="0.3">
      <c r="A7678" t="s">
        <v>3383</v>
      </c>
      <c r="B7678" t="s">
        <v>8176</v>
      </c>
      <c r="C7678" t="s">
        <v>5487</v>
      </c>
      <c r="D7678" t="s">
        <v>4119</v>
      </c>
      <c r="E7678" t="s">
        <v>5532</v>
      </c>
      <c r="F7678" t="s">
        <v>28104</v>
      </c>
      <c r="G7678" t="s">
        <v>11374</v>
      </c>
      <c r="H7678" t="s">
        <v>5474</v>
      </c>
      <c r="I7678" t="s">
        <v>28105</v>
      </c>
      <c r="J7678" t="s">
        <v>5476</v>
      </c>
      <c r="K7678" t="s">
        <v>5471</v>
      </c>
      <c r="L7678" t="s">
        <v>5471</v>
      </c>
      <c r="M7678" t="s">
        <v>5471</v>
      </c>
    </row>
    <row r="7679" spans="1:13" x14ac:dyDescent="0.3">
      <c r="A7679" t="s">
        <v>3397</v>
      </c>
      <c r="B7679" t="s">
        <v>5328</v>
      </c>
      <c r="C7679" t="s">
        <v>5487</v>
      </c>
      <c r="D7679" t="s">
        <v>4175</v>
      </c>
      <c r="E7679" t="s">
        <v>5843</v>
      </c>
      <c r="F7679" t="s">
        <v>28106</v>
      </c>
      <c r="G7679" t="s">
        <v>28107</v>
      </c>
      <c r="H7679" t="s">
        <v>5474</v>
      </c>
      <c r="I7679" t="s">
        <v>28108</v>
      </c>
      <c r="J7679" t="s">
        <v>5484</v>
      </c>
      <c r="K7679" t="s">
        <v>28109</v>
      </c>
      <c r="L7679" t="s">
        <v>5485</v>
      </c>
      <c r="M7679" t="s">
        <v>5471</v>
      </c>
    </row>
    <row r="7680" spans="1:13" x14ac:dyDescent="0.3">
      <c r="A7680" t="s">
        <v>3397</v>
      </c>
      <c r="B7680" t="s">
        <v>5328</v>
      </c>
      <c r="C7680" t="s">
        <v>5487</v>
      </c>
      <c r="D7680" t="s">
        <v>4175</v>
      </c>
      <c r="E7680" t="s">
        <v>5843</v>
      </c>
      <c r="F7680" t="s">
        <v>28110</v>
      </c>
      <c r="G7680" t="s">
        <v>28107</v>
      </c>
      <c r="H7680" t="s">
        <v>5474</v>
      </c>
      <c r="I7680" t="s">
        <v>28111</v>
      </c>
      <c r="J7680" t="s">
        <v>5484</v>
      </c>
      <c r="K7680" t="s">
        <v>28112</v>
      </c>
      <c r="L7680" t="s">
        <v>5485</v>
      </c>
      <c r="M7680" t="s">
        <v>5471</v>
      </c>
    </row>
    <row r="7681" spans="1:13" x14ac:dyDescent="0.3">
      <c r="A7681" t="s">
        <v>3397</v>
      </c>
      <c r="B7681" t="s">
        <v>5761</v>
      </c>
      <c r="C7681" t="s">
        <v>5487</v>
      </c>
      <c r="D7681" t="s">
        <v>4119</v>
      </c>
      <c r="E7681" t="s">
        <v>5843</v>
      </c>
      <c r="F7681" t="s">
        <v>28113</v>
      </c>
      <c r="G7681" t="s">
        <v>5763</v>
      </c>
      <c r="H7681" t="s">
        <v>5474</v>
      </c>
      <c r="I7681" t="s">
        <v>28114</v>
      </c>
      <c r="J7681" t="s">
        <v>5484</v>
      </c>
      <c r="K7681" t="s">
        <v>28115</v>
      </c>
      <c r="L7681" t="s">
        <v>5471</v>
      </c>
      <c r="M7681" t="s">
        <v>5471</v>
      </c>
    </row>
    <row r="7682" spans="1:13" x14ac:dyDescent="0.3">
      <c r="A7682" t="s">
        <v>3397</v>
      </c>
      <c r="B7682" t="s">
        <v>5269</v>
      </c>
      <c r="C7682" t="s">
        <v>5487</v>
      </c>
      <c r="D7682" t="s">
        <v>4119</v>
      </c>
      <c r="E7682" t="s">
        <v>5843</v>
      </c>
      <c r="F7682" t="s">
        <v>28116</v>
      </c>
      <c r="G7682" t="s">
        <v>5787</v>
      </c>
      <c r="H7682" t="s">
        <v>5474</v>
      </c>
      <c r="I7682" t="s">
        <v>28117</v>
      </c>
      <c r="J7682" t="s">
        <v>5476</v>
      </c>
      <c r="K7682" t="s">
        <v>28118</v>
      </c>
      <c r="L7682" t="s">
        <v>5471</v>
      </c>
      <c r="M7682" t="s">
        <v>5471</v>
      </c>
    </row>
    <row r="7683" spans="1:13" x14ac:dyDescent="0.3">
      <c r="A7683" t="s">
        <v>3397</v>
      </c>
      <c r="B7683" t="s">
        <v>5269</v>
      </c>
      <c r="C7683" t="s">
        <v>5487</v>
      </c>
      <c r="D7683" t="s">
        <v>4119</v>
      </c>
      <c r="E7683" t="s">
        <v>5843</v>
      </c>
      <c r="F7683" t="s">
        <v>28119</v>
      </c>
      <c r="G7683" t="s">
        <v>5773</v>
      </c>
      <c r="H7683" t="s">
        <v>5474</v>
      </c>
      <c r="I7683" t="s">
        <v>28120</v>
      </c>
      <c r="J7683" t="s">
        <v>5476</v>
      </c>
      <c r="K7683" t="s">
        <v>28121</v>
      </c>
      <c r="L7683" t="s">
        <v>5471</v>
      </c>
      <c r="M7683" t="s">
        <v>5471</v>
      </c>
    </row>
    <row r="7684" spans="1:13" x14ac:dyDescent="0.3">
      <c r="A7684" t="s">
        <v>3397</v>
      </c>
      <c r="B7684" t="s">
        <v>5269</v>
      </c>
      <c r="C7684" t="s">
        <v>5487</v>
      </c>
      <c r="D7684" t="s">
        <v>4119</v>
      </c>
      <c r="E7684" t="s">
        <v>5843</v>
      </c>
      <c r="F7684" t="s">
        <v>28122</v>
      </c>
      <c r="G7684" t="s">
        <v>27759</v>
      </c>
      <c r="H7684" t="s">
        <v>5474</v>
      </c>
      <c r="I7684" t="s">
        <v>28123</v>
      </c>
      <c r="J7684" t="s">
        <v>5476</v>
      </c>
      <c r="K7684" t="s">
        <v>28124</v>
      </c>
      <c r="L7684" t="s">
        <v>5471</v>
      </c>
      <c r="M7684" t="s">
        <v>5471</v>
      </c>
    </row>
    <row r="7685" spans="1:13" x14ac:dyDescent="0.3">
      <c r="A7685" t="s">
        <v>3397</v>
      </c>
      <c r="B7685" t="s">
        <v>5269</v>
      </c>
      <c r="C7685" t="s">
        <v>5487</v>
      </c>
      <c r="D7685" t="s">
        <v>4119</v>
      </c>
      <c r="E7685" t="s">
        <v>5843</v>
      </c>
      <c r="F7685" t="s">
        <v>28125</v>
      </c>
      <c r="G7685" t="s">
        <v>27769</v>
      </c>
      <c r="H7685" t="s">
        <v>5474</v>
      </c>
      <c r="I7685" t="s">
        <v>28126</v>
      </c>
      <c r="J7685" t="s">
        <v>5476</v>
      </c>
      <c r="K7685" t="s">
        <v>28127</v>
      </c>
      <c r="L7685" t="s">
        <v>5471</v>
      </c>
      <c r="M7685" t="s">
        <v>5471</v>
      </c>
    </row>
    <row r="7686" spans="1:13" x14ac:dyDescent="0.3">
      <c r="A7686" t="s">
        <v>3397</v>
      </c>
      <c r="B7686" t="s">
        <v>5269</v>
      </c>
      <c r="C7686" t="s">
        <v>5487</v>
      </c>
      <c r="D7686" t="s">
        <v>4119</v>
      </c>
      <c r="E7686" t="s">
        <v>5595</v>
      </c>
      <c r="F7686" t="s">
        <v>28128</v>
      </c>
      <c r="G7686" t="s">
        <v>28026</v>
      </c>
      <c r="H7686" t="s">
        <v>5474</v>
      </c>
      <c r="I7686" t="s">
        <v>28129</v>
      </c>
      <c r="J7686" t="s">
        <v>5476</v>
      </c>
      <c r="K7686" t="s">
        <v>28130</v>
      </c>
      <c r="L7686" t="s">
        <v>5471</v>
      </c>
      <c r="M7686" t="s">
        <v>5471</v>
      </c>
    </row>
    <row r="7687" spans="1:13" x14ac:dyDescent="0.3">
      <c r="A7687" t="s">
        <v>3397</v>
      </c>
      <c r="B7687" t="s">
        <v>5269</v>
      </c>
      <c r="C7687" t="s">
        <v>5487</v>
      </c>
      <c r="D7687" t="s">
        <v>4119</v>
      </c>
      <c r="E7687" t="s">
        <v>5595</v>
      </c>
      <c r="F7687" t="s">
        <v>28131</v>
      </c>
      <c r="G7687" t="s">
        <v>27805</v>
      </c>
      <c r="H7687" t="s">
        <v>5474</v>
      </c>
      <c r="I7687" t="s">
        <v>28132</v>
      </c>
      <c r="J7687" t="s">
        <v>5476</v>
      </c>
      <c r="K7687" t="s">
        <v>28133</v>
      </c>
      <c r="L7687" t="s">
        <v>5471</v>
      </c>
      <c r="M7687" t="s">
        <v>5471</v>
      </c>
    </row>
    <row r="7688" spans="1:13" x14ac:dyDescent="0.3">
      <c r="A7688" t="s">
        <v>3397</v>
      </c>
      <c r="B7688" t="s">
        <v>5269</v>
      </c>
      <c r="C7688" t="s">
        <v>5487</v>
      </c>
      <c r="D7688" t="s">
        <v>4119</v>
      </c>
      <c r="E7688" t="s">
        <v>5595</v>
      </c>
      <c r="F7688" t="s">
        <v>28134</v>
      </c>
      <c r="G7688" t="s">
        <v>9135</v>
      </c>
      <c r="H7688" t="s">
        <v>5474</v>
      </c>
      <c r="I7688" t="s">
        <v>28135</v>
      </c>
      <c r="J7688" t="s">
        <v>5476</v>
      </c>
      <c r="K7688" t="s">
        <v>28136</v>
      </c>
      <c r="L7688" t="s">
        <v>5471</v>
      </c>
      <c r="M7688" t="s">
        <v>5471</v>
      </c>
    </row>
    <row r="7689" spans="1:13" x14ac:dyDescent="0.3">
      <c r="A7689" t="s">
        <v>3397</v>
      </c>
      <c r="B7689" t="s">
        <v>5269</v>
      </c>
      <c r="C7689" t="s">
        <v>5487</v>
      </c>
      <c r="D7689" t="s">
        <v>4119</v>
      </c>
      <c r="E7689" t="s">
        <v>5595</v>
      </c>
      <c r="F7689" t="s">
        <v>28137</v>
      </c>
      <c r="G7689" t="s">
        <v>10220</v>
      </c>
      <c r="H7689" t="s">
        <v>5474</v>
      </c>
      <c r="I7689" t="s">
        <v>28138</v>
      </c>
      <c r="J7689" t="s">
        <v>5476</v>
      </c>
      <c r="K7689" t="s">
        <v>28139</v>
      </c>
      <c r="L7689" t="s">
        <v>5471</v>
      </c>
      <c r="M7689" t="s">
        <v>5471</v>
      </c>
    </row>
    <row r="7690" spans="1:13" x14ac:dyDescent="0.3">
      <c r="A7690" t="s">
        <v>3397</v>
      </c>
      <c r="B7690" t="s">
        <v>5269</v>
      </c>
      <c r="C7690" t="s">
        <v>5487</v>
      </c>
      <c r="D7690" t="s">
        <v>4119</v>
      </c>
      <c r="E7690" t="s">
        <v>5595</v>
      </c>
      <c r="F7690" t="s">
        <v>28140</v>
      </c>
      <c r="G7690" t="s">
        <v>28026</v>
      </c>
      <c r="H7690" t="s">
        <v>5474</v>
      </c>
      <c r="I7690" t="s">
        <v>28141</v>
      </c>
      <c r="J7690" t="s">
        <v>5476</v>
      </c>
      <c r="K7690" t="s">
        <v>28142</v>
      </c>
      <c r="L7690" t="s">
        <v>5471</v>
      </c>
      <c r="M7690" t="s">
        <v>5471</v>
      </c>
    </row>
    <row r="7691" spans="1:13" x14ac:dyDescent="0.3">
      <c r="A7691" t="s">
        <v>3397</v>
      </c>
      <c r="B7691" t="s">
        <v>5269</v>
      </c>
      <c r="C7691" t="s">
        <v>5487</v>
      </c>
      <c r="D7691" t="s">
        <v>4119</v>
      </c>
      <c r="E7691" t="s">
        <v>5595</v>
      </c>
      <c r="F7691" t="s">
        <v>28143</v>
      </c>
      <c r="G7691" t="s">
        <v>27805</v>
      </c>
      <c r="H7691" t="s">
        <v>5474</v>
      </c>
      <c r="I7691" t="s">
        <v>28144</v>
      </c>
      <c r="J7691" t="s">
        <v>5476</v>
      </c>
      <c r="K7691" t="s">
        <v>28145</v>
      </c>
      <c r="L7691" t="s">
        <v>5471</v>
      </c>
      <c r="M7691" t="s">
        <v>5471</v>
      </c>
    </row>
    <row r="7692" spans="1:13" x14ac:dyDescent="0.3">
      <c r="A7692" t="s">
        <v>3380</v>
      </c>
      <c r="B7692" t="s">
        <v>15901</v>
      </c>
      <c r="C7692" t="s">
        <v>6342</v>
      </c>
      <c r="D7692" t="s">
        <v>10218</v>
      </c>
      <c r="E7692" t="s">
        <v>5843</v>
      </c>
      <c r="F7692" t="s">
        <v>28146</v>
      </c>
      <c r="G7692" t="s">
        <v>20107</v>
      </c>
      <c r="H7692" t="s">
        <v>5474</v>
      </c>
      <c r="I7692" t="s">
        <v>28147</v>
      </c>
      <c r="J7692" t="s">
        <v>5484</v>
      </c>
      <c r="K7692" t="s">
        <v>28148</v>
      </c>
      <c r="L7692" t="s">
        <v>5471</v>
      </c>
      <c r="M7692" t="s">
        <v>5471</v>
      </c>
    </row>
    <row r="7693" spans="1:13" x14ac:dyDescent="0.3">
      <c r="A7693" t="s">
        <v>3380</v>
      </c>
      <c r="B7693" t="s">
        <v>15901</v>
      </c>
      <c r="C7693" t="s">
        <v>6342</v>
      </c>
      <c r="D7693" t="s">
        <v>10218</v>
      </c>
      <c r="E7693" t="s">
        <v>5843</v>
      </c>
      <c r="F7693" t="s">
        <v>28149</v>
      </c>
      <c r="G7693" t="s">
        <v>20107</v>
      </c>
      <c r="H7693" t="s">
        <v>5474</v>
      </c>
      <c r="I7693" t="s">
        <v>28150</v>
      </c>
      <c r="J7693" t="s">
        <v>5484</v>
      </c>
      <c r="K7693" t="s">
        <v>28151</v>
      </c>
      <c r="L7693" t="s">
        <v>5471</v>
      </c>
      <c r="M7693" t="s">
        <v>5471</v>
      </c>
    </row>
    <row r="7694" spans="1:13" x14ac:dyDescent="0.3">
      <c r="A7694" t="s">
        <v>3380</v>
      </c>
      <c r="B7694" t="s">
        <v>15901</v>
      </c>
      <c r="C7694" t="s">
        <v>6342</v>
      </c>
      <c r="D7694" t="s">
        <v>10218</v>
      </c>
      <c r="E7694" t="s">
        <v>5532</v>
      </c>
      <c r="F7694" t="s">
        <v>28152</v>
      </c>
      <c r="G7694" t="s">
        <v>28153</v>
      </c>
      <c r="H7694" t="s">
        <v>5474</v>
      </c>
      <c r="I7694" t="s">
        <v>28154</v>
      </c>
      <c r="J7694" t="s">
        <v>5484</v>
      </c>
      <c r="K7694" t="s">
        <v>28148</v>
      </c>
      <c r="L7694" t="s">
        <v>5471</v>
      </c>
      <c r="M7694" t="s">
        <v>5471</v>
      </c>
    </row>
    <row r="7695" spans="1:13" x14ac:dyDescent="0.3">
      <c r="A7695" t="s">
        <v>3380</v>
      </c>
      <c r="B7695" t="s">
        <v>15901</v>
      </c>
      <c r="C7695" t="s">
        <v>6342</v>
      </c>
      <c r="D7695" t="s">
        <v>10218</v>
      </c>
      <c r="E7695" t="s">
        <v>5532</v>
      </c>
      <c r="F7695" t="s">
        <v>28155</v>
      </c>
      <c r="G7695" t="s">
        <v>28153</v>
      </c>
      <c r="H7695" t="s">
        <v>5474</v>
      </c>
      <c r="I7695" t="s">
        <v>28156</v>
      </c>
      <c r="J7695" t="s">
        <v>5484</v>
      </c>
      <c r="K7695" t="s">
        <v>28151</v>
      </c>
      <c r="L7695" t="s">
        <v>5471</v>
      </c>
      <c r="M7695" t="s">
        <v>5471</v>
      </c>
    </row>
    <row r="7696" spans="1:13" x14ac:dyDescent="0.3">
      <c r="A7696" t="s">
        <v>3380</v>
      </c>
      <c r="B7696" t="s">
        <v>15901</v>
      </c>
      <c r="C7696" t="s">
        <v>6342</v>
      </c>
      <c r="D7696" t="s">
        <v>10218</v>
      </c>
      <c r="E7696" t="s">
        <v>5843</v>
      </c>
      <c r="F7696" t="s">
        <v>28157</v>
      </c>
      <c r="G7696" t="s">
        <v>20107</v>
      </c>
      <c r="H7696" t="s">
        <v>5474</v>
      </c>
      <c r="I7696" t="s">
        <v>28158</v>
      </c>
      <c r="J7696" t="s">
        <v>5484</v>
      </c>
      <c r="K7696" t="s">
        <v>28159</v>
      </c>
      <c r="L7696" t="s">
        <v>5471</v>
      </c>
      <c r="M7696" t="s">
        <v>5471</v>
      </c>
    </row>
    <row r="7697" spans="1:13" x14ac:dyDescent="0.3">
      <c r="A7697" t="s">
        <v>3380</v>
      </c>
      <c r="B7697" t="s">
        <v>15901</v>
      </c>
      <c r="C7697" t="s">
        <v>6342</v>
      </c>
      <c r="D7697" t="s">
        <v>10218</v>
      </c>
      <c r="E7697" t="s">
        <v>5532</v>
      </c>
      <c r="F7697" t="s">
        <v>28160</v>
      </c>
      <c r="G7697" t="s">
        <v>28153</v>
      </c>
      <c r="H7697" t="s">
        <v>5474</v>
      </c>
      <c r="I7697" t="s">
        <v>28161</v>
      </c>
      <c r="J7697" t="s">
        <v>5484</v>
      </c>
      <c r="K7697" t="s">
        <v>28159</v>
      </c>
      <c r="L7697" t="s">
        <v>5471</v>
      </c>
      <c r="M7697" t="s">
        <v>5471</v>
      </c>
    </row>
    <row r="7698" spans="1:13" x14ac:dyDescent="0.3">
      <c r="A7698" t="s">
        <v>3380</v>
      </c>
      <c r="B7698" t="s">
        <v>16102</v>
      </c>
      <c r="C7698" t="s">
        <v>6342</v>
      </c>
      <c r="D7698" t="s">
        <v>4058</v>
      </c>
      <c r="E7698" t="s">
        <v>5532</v>
      </c>
      <c r="F7698" t="s">
        <v>28162</v>
      </c>
      <c r="G7698" t="s">
        <v>22731</v>
      </c>
      <c r="H7698" t="s">
        <v>5474</v>
      </c>
      <c r="I7698" t="s">
        <v>28163</v>
      </c>
      <c r="J7698" t="s">
        <v>5476</v>
      </c>
      <c r="K7698" t="s">
        <v>17175</v>
      </c>
      <c r="L7698" t="s">
        <v>5471</v>
      </c>
      <c r="M7698" t="s">
        <v>5471</v>
      </c>
    </row>
    <row r="7699" spans="1:13" x14ac:dyDescent="0.3">
      <c r="A7699" t="s">
        <v>3380</v>
      </c>
      <c r="B7699" t="s">
        <v>16102</v>
      </c>
      <c r="C7699" t="s">
        <v>6342</v>
      </c>
      <c r="D7699" t="s">
        <v>4058</v>
      </c>
      <c r="E7699" t="s">
        <v>5532</v>
      </c>
      <c r="F7699" t="s">
        <v>28164</v>
      </c>
      <c r="G7699" t="s">
        <v>16104</v>
      </c>
      <c r="H7699" t="s">
        <v>5474</v>
      </c>
      <c r="I7699" t="s">
        <v>28165</v>
      </c>
      <c r="J7699" t="s">
        <v>5476</v>
      </c>
      <c r="K7699" t="s">
        <v>16370</v>
      </c>
      <c r="L7699" t="s">
        <v>5471</v>
      </c>
      <c r="M7699" t="s">
        <v>5471</v>
      </c>
    </row>
    <row r="7700" spans="1:13" x14ac:dyDescent="0.3">
      <c r="A7700" t="s">
        <v>3380</v>
      </c>
      <c r="B7700" t="s">
        <v>16102</v>
      </c>
      <c r="C7700" t="s">
        <v>6342</v>
      </c>
      <c r="D7700" t="s">
        <v>4058</v>
      </c>
      <c r="E7700" t="s">
        <v>5532</v>
      </c>
      <c r="F7700" t="s">
        <v>28166</v>
      </c>
      <c r="G7700" t="s">
        <v>22754</v>
      </c>
      <c r="H7700" t="s">
        <v>5474</v>
      </c>
      <c r="I7700" t="s">
        <v>28167</v>
      </c>
      <c r="J7700" t="s">
        <v>5476</v>
      </c>
      <c r="K7700" t="s">
        <v>24680</v>
      </c>
      <c r="L7700" t="s">
        <v>5471</v>
      </c>
      <c r="M7700" t="s">
        <v>5471</v>
      </c>
    </row>
    <row r="7701" spans="1:13" x14ac:dyDescent="0.3">
      <c r="A7701" t="s">
        <v>3380</v>
      </c>
      <c r="B7701" t="s">
        <v>16102</v>
      </c>
      <c r="C7701" t="s">
        <v>6342</v>
      </c>
      <c r="D7701" t="s">
        <v>4058</v>
      </c>
      <c r="E7701" t="s">
        <v>5532</v>
      </c>
      <c r="F7701" t="s">
        <v>28168</v>
      </c>
      <c r="G7701" t="s">
        <v>22763</v>
      </c>
      <c r="H7701" t="s">
        <v>5474</v>
      </c>
      <c r="I7701" t="s">
        <v>28169</v>
      </c>
      <c r="J7701" t="s">
        <v>5476</v>
      </c>
      <c r="K7701" t="s">
        <v>17107</v>
      </c>
      <c r="L7701" t="s">
        <v>5471</v>
      </c>
      <c r="M7701" t="s">
        <v>5471</v>
      </c>
    </row>
    <row r="7702" spans="1:13" x14ac:dyDescent="0.3">
      <c r="A7702" t="s">
        <v>3380</v>
      </c>
      <c r="B7702" t="s">
        <v>16102</v>
      </c>
      <c r="C7702" t="s">
        <v>6342</v>
      </c>
      <c r="D7702" t="s">
        <v>4058</v>
      </c>
      <c r="E7702" t="s">
        <v>5532</v>
      </c>
      <c r="F7702" t="s">
        <v>28170</v>
      </c>
      <c r="G7702" t="s">
        <v>22766</v>
      </c>
      <c r="H7702" t="s">
        <v>5474</v>
      </c>
      <c r="I7702" t="s">
        <v>28171</v>
      </c>
      <c r="J7702" t="s">
        <v>5476</v>
      </c>
      <c r="K7702" t="s">
        <v>26591</v>
      </c>
      <c r="L7702" t="s">
        <v>5471</v>
      </c>
      <c r="M7702" t="s">
        <v>5471</v>
      </c>
    </row>
    <row r="7703" spans="1:13" x14ac:dyDescent="0.3">
      <c r="A7703" t="s">
        <v>3380</v>
      </c>
      <c r="B7703" t="s">
        <v>16102</v>
      </c>
      <c r="C7703" t="s">
        <v>6342</v>
      </c>
      <c r="D7703" t="s">
        <v>4058</v>
      </c>
      <c r="E7703" t="s">
        <v>5532</v>
      </c>
      <c r="F7703" t="s">
        <v>28172</v>
      </c>
      <c r="G7703" t="s">
        <v>27943</v>
      </c>
      <c r="H7703" t="s">
        <v>5474</v>
      </c>
      <c r="I7703" t="s">
        <v>28173</v>
      </c>
      <c r="J7703" t="s">
        <v>5476</v>
      </c>
      <c r="K7703" t="s">
        <v>28174</v>
      </c>
      <c r="L7703" t="s">
        <v>5471</v>
      </c>
      <c r="M7703" t="s">
        <v>5471</v>
      </c>
    </row>
    <row r="7704" spans="1:13" x14ac:dyDescent="0.3">
      <c r="A7704" t="s">
        <v>3380</v>
      </c>
      <c r="B7704" t="s">
        <v>15592</v>
      </c>
      <c r="C7704" t="s">
        <v>5487</v>
      </c>
      <c r="D7704" t="s">
        <v>4058</v>
      </c>
      <c r="E7704" t="s">
        <v>5843</v>
      </c>
      <c r="F7704" t="s">
        <v>28175</v>
      </c>
      <c r="G7704" t="s">
        <v>28176</v>
      </c>
      <c r="H7704" t="s">
        <v>5474</v>
      </c>
      <c r="I7704" t="s">
        <v>28177</v>
      </c>
      <c r="J7704" t="s">
        <v>5476</v>
      </c>
      <c r="K7704" t="s">
        <v>28178</v>
      </c>
      <c r="L7704" t="s">
        <v>5471</v>
      </c>
      <c r="M7704" t="s">
        <v>5471</v>
      </c>
    </row>
    <row r="7705" spans="1:13" x14ac:dyDescent="0.3">
      <c r="A7705" t="s">
        <v>3380</v>
      </c>
      <c r="B7705" t="s">
        <v>15592</v>
      </c>
      <c r="C7705" t="s">
        <v>5487</v>
      </c>
      <c r="D7705" t="s">
        <v>4058</v>
      </c>
      <c r="E7705" t="s">
        <v>5843</v>
      </c>
      <c r="F7705" t="s">
        <v>28179</v>
      </c>
      <c r="G7705" t="s">
        <v>16522</v>
      </c>
      <c r="H7705" t="s">
        <v>5474</v>
      </c>
      <c r="I7705" t="s">
        <v>28180</v>
      </c>
      <c r="J7705" t="s">
        <v>5476</v>
      </c>
      <c r="K7705" t="s">
        <v>26189</v>
      </c>
      <c r="L7705" t="s">
        <v>5471</v>
      </c>
      <c r="M7705" t="s">
        <v>5471</v>
      </c>
    </row>
    <row r="7706" spans="1:13" x14ac:dyDescent="0.3">
      <c r="A7706" t="s">
        <v>3380</v>
      </c>
      <c r="B7706" t="s">
        <v>15592</v>
      </c>
      <c r="C7706" t="s">
        <v>5487</v>
      </c>
      <c r="D7706" t="s">
        <v>4058</v>
      </c>
      <c r="E7706" t="s">
        <v>5843</v>
      </c>
      <c r="F7706" t="s">
        <v>28181</v>
      </c>
      <c r="G7706" t="s">
        <v>28182</v>
      </c>
      <c r="H7706" t="s">
        <v>5474</v>
      </c>
      <c r="I7706" t="s">
        <v>28183</v>
      </c>
      <c r="J7706" t="s">
        <v>5476</v>
      </c>
      <c r="K7706" t="s">
        <v>28184</v>
      </c>
      <c r="L7706" t="s">
        <v>5471</v>
      </c>
      <c r="M7706" t="s">
        <v>5471</v>
      </c>
    </row>
    <row r="7707" spans="1:13" x14ac:dyDescent="0.3">
      <c r="A7707" t="s">
        <v>3380</v>
      </c>
      <c r="B7707" t="s">
        <v>15901</v>
      </c>
      <c r="C7707" t="s">
        <v>6342</v>
      </c>
      <c r="D7707" t="s">
        <v>4058</v>
      </c>
      <c r="E7707" t="s">
        <v>5843</v>
      </c>
      <c r="F7707" t="s">
        <v>28185</v>
      </c>
      <c r="G7707" t="s">
        <v>28186</v>
      </c>
      <c r="H7707" t="s">
        <v>5474</v>
      </c>
      <c r="I7707" t="s">
        <v>28187</v>
      </c>
      <c r="J7707" t="s">
        <v>5484</v>
      </c>
      <c r="K7707" t="s">
        <v>28188</v>
      </c>
      <c r="L7707" t="s">
        <v>5471</v>
      </c>
      <c r="M7707" t="s">
        <v>5471</v>
      </c>
    </row>
    <row r="7708" spans="1:13" x14ac:dyDescent="0.3">
      <c r="A7708" t="s">
        <v>3380</v>
      </c>
      <c r="B7708" t="s">
        <v>15901</v>
      </c>
      <c r="C7708" t="s">
        <v>6342</v>
      </c>
      <c r="D7708" t="s">
        <v>4058</v>
      </c>
      <c r="E7708" t="s">
        <v>5843</v>
      </c>
      <c r="F7708" t="s">
        <v>28189</v>
      </c>
      <c r="G7708" t="s">
        <v>28186</v>
      </c>
      <c r="H7708" t="s">
        <v>5474</v>
      </c>
      <c r="I7708" t="s">
        <v>28190</v>
      </c>
      <c r="J7708" t="s">
        <v>5484</v>
      </c>
      <c r="K7708" t="s">
        <v>28191</v>
      </c>
      <c r="L7708" t="s">
        <v>5471</v>
      </c>
      <c r="M7708" t="s">
        <v>5471</v>
      </c>
    </row>
    <row r="7709" spans="1:13" x14ac:dyDescent="0.3">
      <c r="A7709" t="s">
        <v>3380</v>
      </c>
      <c r="B7709" t="s">
        <v>15901</v>
      </c>
      <c r="C7709" t="s">
        <v>6342</v>
      </c>
      <c r="D7709" t="s">
        <v>4058</v>
      </c>
      <c r="E7709" t="s">
        <v>5843</v>
      </c>
      <c r="F7709" t="s">
        <v>28192</v>
      </c>
      <c r="G7709" t="s">
        <v>28193</v>
      </c>
      <c r="H7709" t="s">
        <v>5474</v>
      </c>
      <c r="I7709" t="s">
        <v>28194</v>
      </c>
      <c r="J7709" t="s">
        <v>5484</v>
      </c>
      <c r="K7709" t="s">
        <v>16845</v>
      </c>
      <c r="L7709" t="s">
        <v>5471</v>
      </c>
      <c r="M7709" t="s">
        <v>5471</v>
      </c>
    </row>
    <row r="7710" spans="1:13" x14ac:dyDescent="0.3">
      <c r="A7710" t="s">
        <v>3380</v>
      </c>
      <c r="B7710" t="s">
        <v>15901</v>
      </c>
      <c r="C7710" t="s">
        <v>6342</v>
      </c>
      <c r="D7710" t="s">
        <v>4058</v>
      </c>
      <c r="E7710" t="s">
        <v>5843</v>
      </c>
      <c r="F7710" t="s">
        <v>28195</v>
      </c>
      <c r="G7710" t="s">
        <v>28193</v>
      </c>
      <c r="H7710" t="s">
        <v>5474</v>
      </c>
      <c r="I7710" t="s">
        <v>28196</v>
      </c>
      <c r="J7710" t="s">
        <v>5484</v>
      </c>
      <c r="K7710" t="s">
        <v>16854</v>
      </c>
      <c r="L7710" t="s">
        <v>5471</v>
      </c>
      <c r="M7710" t="s">
        <v>5471</v>
      </c>
    </row>
    <row r="7711" spans="1:13" x14ac:dyDescent="0.3">
      <c r="A7711" t="s">
        <v>3380</v>
      </c>
      <c r="B7711" t="s">
        <v>15901</v>
      </c>
      <c r="C7711" t="s">
        <v>6342</v>
      </c>
      <c r="D7711" t="s">
        <v>4058</v>
      </c>
      <c r="E7711" t="s">
        <v>5843</v>
      </c>
      <c r="F7711" t="s">
        <v>28197</v>
      </c>
      <c r="G7711" t="s">
        <v>20107</v>
      </c>
      <c r="H7711" t="s">
        <v>5474</v>
      </c>
      <c r="I7711" t="s">
        <v>28198</v>
      </c>
      <c r="J7711" t="s">
        <v>5484</v>
      </c>
      <c r="K7711" t="s">
        <v>28199</v>
      </c>
      <c r="L7711" t="s">
        <v>5471</v>
      </c>
      <c r="M7711" t="s">
        <v>5471</v>
      </c>
    </row>
    <row r="7712" spans="1:13" x14ac:dyDescent="0.3">
      <c r="A7712" t="s">
        <v>3380</v>
      </c>
      <c r="B7712" t="s">
        <v>15901</v>
      </c>
      <c r="C7712" t="s">
        <v>6342</v>
      </c>
      <c r="D7712" t="s">
        <v>4058</v>
      </c>
      <c r="E7712" t="s">
        <v>5843</v>
      </c>
      <c r="F7712" t="s">
        <v>28200</v>
      </c>
      <c r="G7712" t="s">
        <v>28201</v>
      </c>
      <c r="H7712" t="s">
        <v>5474</v>
      </c>
      <c r="I7712" t="s">
        <v>28202</v>
      </c>
      <c r="J7712" t="s">
        <v>5484</v>
      </c>
      <c r="K7712" t="s">
        <v>17082</v>
      </c>
      <c r="L7712" t="s">
        <v>5471</v>
      </c>
      <c r="M7712" t="s">
        <v>5471</v>
      </c>
    </row>
    <row r="7713" spans="1:13" x14ac:dyDescent="0.3">
      <c r="A7713" t="s">
        <v>3380</v>
      </c>
      <c r="B7713" t="s">
        <v>15901</v>
      </c>
      <c r="C7713" t="s">
        <v>6342</v>
      </c>
      <c r="D7713" t="s">
        <v>4058</v>
      </c>
      <c r="E7713" t="s">
        <v>5843</v>
      </c>
      <c r="F7713" t="s">
        <v>28203</v>
      </c>
      <c r="G7713" t="s">
        <v>28204</v>
      </c>
      <c r="H7713" t="s">
        <v>5474</v>
      </c>
      <c r="I7713" t="s">
        <v>28205</v>
      </c>
      <c r="J7713" t="s">
        <v>5484</v>
      </c>
      <c r="K7713" t="s">
        <v>17030</v>
      </c>
      <c r="L7713" t="s">
        <v>5471</v>
      </c>
      <c r="M7713" t="s">
        <v>5471</v>
      </c>
    </row>
    <row r="7714" spans="1:13" x14ac:dyDescent="0.3">
      <c r="A7714" t="s">
        <v>3380</v>
      </c>
      <c r="B7714" t="s">
        <v>15901</v>
      </c>
      <c r="C7714" t="s">
        <v>6342</v>
      </c>
      <c r="D7714" t="s">
        <v>4058</v>
      </c>
      <c r="E7714" t="s">
        <v>5843</v>
      </c>
      <c r="F7714" t="s">
        <v>28206</v>
      </c>
      <c r="G7714" t="s">
        <v>28204</v>
      </c>
      <c r="H7714" t="s">
        <v>5474</v>
      </c>
      <c r="I7714" t="s">
        <v>28207</v>
      </c>
      <c r="J7714" t="s">
        <v>5484</v>
      </c>
      <c r="K7714" t="s">
        <v>17039</v>
      </c>
      <c r="L7714" t="s">
        <v>5471</v>
      </c>
      <c r="M7714" t="s">
        <v>5471</v>
      </c>
    </row>
    <row r="7715" spans="1:13" x14ac:dyDescent="0.3">
      <c r="A7715" t="s">
        <v>3380</v>
      </c>
      <c r="B7715" t="s">
        <v>15901</v>
      </c>
      <c r="C7715" t="s">
        <v>6342</v>
      </c>
      <c r="D7715" t="s">
        <v>4058</v>
      </c>
      <c r="E7715" t="s">
        <v>5843</v>
      </c>
      <c r="F7715" t="s">
        <v>28208</v>
      </c>
      <c r="G7715" t="s">
        <v>28153</v>
      </c>
      <c r="H7715" t="s">
        <v>5474</v>
      </c>
      <c r="I7715" t="s">
        <v>28209</v>
      </c>
      <c r="J7715" t="s">
        <v>5484</v>
      </c>
      <c r="K7715" t="s">
        <v>28210</v>
      </c>
      <c r="L7715" t="s">
        <v>5471</v>
      </c>
      <c r="M7715" t="s">
        <v>5471</v>
      </c>
    </row>
    <row r="7716" spans="1:13" x14ac:dyDescent="0.3">
      <c r="A7716" t="s">
        <v>3380</v>
      </c>
      <c r="B7716" t="s">
        <v>15901</v>
      </c>
      <c r="C7716" t="s">
        <v>6342</v>
      </c>
      <c r="D7716" t="s">
        <v>4058</v>
      </c>
      <c r="E7716" t="s">
        <v>5843</v>
      </c>
      <c r="F7716" t="s">
        <v>28211</v>
      </c>
      <c r="G7716" t="s">
        <v>26061</v>
      </c>
      <c r="H7716" t="s">
        <v>5474</v>
      </c>
      <c r="I7716" t="s">
        <v>28212</v>
      </c>
      <c r="J7716" t="s">
        <v>5484</v>
      </c>
      <c r="K7716" t="s">
        <v>16868</v>
      </c>
      <c r="L7716" t="s">
        <v>5471</v>
      </c>
      <c r="M7716" t="s">
        <v>5471</v>
      </c>
    </row>
    <row r="7717" spans="1:13" x14ac:dyDescent="0.3">
      <c r="A7717" t="s">
        <v>3380</v>
      </c>
      <c r="B7717" t="s">
        <v>15901</v>
      </c>
      <c r="C7717" t="s">
        <v>6342</v>
      </c>
      <c r="D7717" t="s">
        <v>4058</v>
      </c>
      <c r="E7717" t="s">
        <v>5617</v>
      </c>
      <c r="F7717" t="s">
        <v>28213</v>
      </c>
      <c r="G7717" t="s">
        <v>28204</v>
      </c>
      <c r="H7717" t="s">
        <v>5474</v>
      </c>
      <c r="I7717" t="s">
        <v>28214</v>
      </c>
      <c r="J7717" t="s">
        <v>5484</v>
      </c>
      <c r="K7717" t="s">
        <v>28215</v>
      </c>
      <c r="L7717" t="s">
        <v>5471</v>
      </c>
      <c r="M7717" t="s">
        <v>5471</v>
      </c>
    </row>
    <row r="7718" spans="1:13" x14ac:dyDescent="0.3">
      <c r="A7718" t="s">
        <v>3380</v>
      </c>
      <c r="B7718" t="s">
        <v>15901</v>
      </c>
      <c r="C7718" t="s">
        <v>6342</v>
      </c>
      <c r="D7718" t="s">
        <v>4058</v>
      </c>
      <c r="E7718" t="s">
        <v>5532</v>
      </c>
      <c r="F7718" t="s">
        <v>28216</v>
      </c>
      <c r="G7718" t="s">
        <v>28153</v>
      </c>
      <c r="H7718" t="s">
        <v>5474</v>
      </c>
      <c r="I7718" t="s">
        <v>28217</v>
      </c>
      <c r="J7718" t="s">
        <v>5484</v>
      </c>
      <c r="K7718" t="s">
        <v>14778</v>
      </c>
      <c r="L7718" t="s">
        <v>5471</v>
      </c>
      <c r="M7718" t="s">
        <v>5471</v>
      </c>
    </row>
    <row r="7719" spans="1:13" x14ac:dyDescent="0.3">
      <c r="A7719" t="s">
        <v>3380</v>
      </c>
      <c r="B7719" t="s">
        <v>15901</v>
      </c>
      <c r="C7719" t="s">
        <v>6342</v>
      </c>
      <c r="D7719" t="s">
        <v>4058</v>
      </c>
      <c r="E7719" t="s">
        <v>5843</v>
      </c>
      <c r="F7719" t="s">
        <v>28218</v>
      </c>
      <c r="G7719" t="s">
        <v>28219</v>
      </c>
      <c r="H7719" t="s">
        <v>5474</v>
      </c>
      <c r="I7719" t="s">
        <v>28220</v>
      </c>
      <c r="J7719" t="s">
        <v>5484</v>
      </c>
      <c r="K7719" t="s">
        <v>28221</v>
      </c>
      <c r="L7719" t="s">
        <v>5471</v>
      </c>
      <c r="M7719" t="s">
        <v>5471</v>
      </c>
    </row>
    <row r="7720" spans="1:13" x14ac:dyDescent="0.3">
      <c r="A7720" t="s">
        <v>3380</v>
      </c>
      <c r="B7720" t="s">
        <v>15901</v>
      </c>
      <c r="C7720" t="s">
        <v>6342</v>
      </c>
      <c r="D7720" t="s">
        <v>4058</v>
      </c>
      <c r="E7720" t="s">
        <v>5532</v>
      </c>
      <c r="F7720" t="s">
        <v>28222</v>
      </c>
      <c r="G7720" t="s">
        <v>26061</v>
      </c>
      <c r="H7720" t="s">
        <v>5474</v>
      </c>
      <c r="I7720" t="s">
        <v>28223</v>
      </c>
      <c r="J7720" t="s">
        <v>5484</v>
      </c>
      <c r="K7720" t="s">
        <v>17156</v>
      </c>
      <c r="L7720" t="s">
        <v>5471</v>
      </c>
      <c r="M7720" t="s">
        <v>5471</v>
      </c>
    </row>
    <row r="7721" spans="1:13" x14ac:dyDescent="0.3">
      <c r="A7721" t="s">
        <v>3380</v>
      </c>
      <c r="B7721" t="s">
        <v>15901</v>
      </c>
      <c r="C7721" t="s">
        <v>6342</v>
      </c>
      <c r="D7721" t="s">
        <v>4058</v>
      </c>
      <c r="E7721" t="s">
        <v>5532</v>
      </c>
      <c r="F7721" t="s">
        <v>28224</v>
      </c>
      <c r="G7721" t="s">
        <v>28225</v>
      </c>
      <c r="H7721" t="s">
        <v>5474</v>
      </c>
      <c r="I7721" t="s">
        <v>28226</v>
      </c>
      <c r="J7721" t="s">
        <v>5484</v>
      </c>
      <c r="K7721" t="s">
        <v>28227</v>
      </c>
      <c r="L7721" t="s">
        <v>5471</v>
      </c>
      <c r="M7721" t="s">
        <v>5471</v>
      </c>
    </row>
    <row r="7722" spans="1:13" x14ac:dyDescent="0.3">
      <c r="A7722" t="s">
        <v>3380</v>
      </c>
      <c r="B7722" t="s">
        <v>15901</v>
      </c>
      <c r="C7722" t="s">
        <v>6342</v>
      </c>
      <c r="D7722" t="s">
        <v>4058</v>
      </c>
      <c r="E7722" t="s">
        <v>5532</v>
      </c>
      <c r="F7722" t="s">
        <v>28228</v>
      </c>
      <c r="G7722" t="s">
        <v>16778</v>
      </c>
      <c r="H7722" t="s">
        <v>5474</v>
      </c>
      <c r="I7722" t="s">
        <v>28229</v>
      </c>
      <c r="J7722" t="s">
        <v>5484</v>
      </c>
      <c r="K7722" t="s">
        <v>26591</v>
      </c>
      <c r="L7722" t="s">
        <v>5471</v>
      </c>
      <c r="M7722" t="s">
        <v>5471</v>
      </c>
    </row>
    <row r="7723" spans="1:13" x14ac:dyDescent="0.3">
      <c r="A7723" t="s">
        <v>3380</v>
      </c>
      <c r="B7723" t="s">
        <v>16102</v>
      </c>
      <c r="C7723" t="s">
        <v>6342</v>
      </c>
      <c r="D7723" t="s">
        <v>4058</v>
      </c>
      <c r="E7723" t="s">
        <v>5532</v>
      </c>
      <c r="F7723" t="s">
        <v>28230</v>
      </c>
      <c r="G7723" t="s">
        <v>22731</v>
      </c>
      <c r="H7723" t="s">
        <v>5474</v>
      </c>
      <c r="I7723" t="s">
        <v>28231</v>
      </c>
      <c r="J7723" t="s">
        <v>5476</v>
      </c>
      <c r="K7723" t="s">
        <v>16282</v>
      </c>
      <c r="L7723" t="s">
        <v>5471</v>
      </c>
      <c r="M7723" t="s">
        <v>5471</v>
      </c>
    </row>
    <row r="7724" spans="1:13" x14ac:dyDescent="0.3">
      <c r="A7724" t="s">
        <v>3380</v>
      </c>
      <c r="B7724" t="s">
        <v>16102</v>
      </c>
      <c r="C7724" t="s">
        <v>6342</v>
      </c>
      <c r="D7724" t="s">
        <v>4058</v>
      </c>
      <c r="E7724" t="s">
        <v>5532</v>
      </c>
      <c r="F7724" t="s">
        <v>28232</v>
      </c>
      <c r="G7724" t="s">
        <v>16104</v>
      </c>
      <c r="H7724" t="s">
        <v>5474</v>
      </c>
      <c r="I7724" t="s">
        <v>28233</v>
      </c>
      <c r="J7724" t="s">
        <v>5476</v>
      </c>
      <c r="K7724" t="s">
        <v>28234</v>
      </c>
      <c r="L7724" t="s">
        <v>5471</v>
      </c>
      <c r="M7724" t="s">
        <v>5471</v>
      </c>
    </row>
    <row r="7725" spans="1:13" x14ac:dyDescent="0.3">
      <c r="A7725" t="s">
        <v>3380</v>
      </c>
      <c r="B7725" t="s">
        <v>16102</v>
      </c>
      <c r="C7725" t="s">
        <v>6342</v>
      </c>
      <c r="D7725" t="s">
        <v>4058</v>
      </c>
      <c r="E7725" t="s">
        <v>5532</v>
      </c>
      <c r="F7725" t="s">
        <v>28235</v>
      </c>
      <c r="G7725" t="s">
        <v>22754</v>
      </c>
      <c r="H7725" t="s">
        <v>5474</v>
      </c>
      <c r="I7725" t="s">
        <v>28236</v>
      </c>
      <c r="J7725" t="s">
        <v>5476</v>
      </c>
      <c r="K7725" t="s">
        <v>28237</v>
      </c>
      <c r="L7725" t="s">
        <v>5471</v>
      </c>
      <c r="M7725" t="s">
        <v>5471</v>
      </c>
    </row>
    <row r="7726" spans="1:13" x14ac:dyDescent="0.3">
      <c r="A7726" t="s">
        <v>3380</v>
      </c>
      <c r="B7726" t="s">
        <v>16102</v>
      </c>
      <c r="C7726" t="s">
        <v>6342</v>
      </c>
      <c r="D7726" t="s">
        <v>4058</v>
      </c>
      <c r="E7726" t="s">
        <v>5532</v>
      </c>
      <c r="F7726" t="s">
        <v>28238</v>
      </c>
      <c r="G7726" t="s">
        <v>22763</v>
      </c>
      <c r="H7726" t="s">
        <v>5474</v>
      </c>
      <c r="I7726" t="s">
        <v>28239</v>
      </c>
      <c r="J7726" t="s">
        <v>5476</v>
      </c>
      <c r="K7726" t="s">
        <v>16349</v>
      </c>
      <c r="L7726" t="s">
        <v>5471</v>
      </c>
      <c r="M7726" t="s">
        <v>5471</v>
      </c>
    </row>
    <row r="7727" spans="1:13" x14ac:dyDescent="0.3">
      <c r="A7727" t="s">
        <v>3380</v>
      </c>
      <c r="B7727" t="s">
        <v>16102</v>
      </c>
      <c r="C7727" t="s">
        <v>6342</v>
      </c>
      <c r="D7727" t="s">
        <v>4058</v>
      </c>
      <c r="E7727" t="s">
        <v>5532</v>
      </c>
      <c r="F7727" t="s">
        <v>28240</v>
      </c>
      <c r="G7727" t="s">
        <v>22766</v>
      </c>
      <c r="H7727" t="s">
        <v>5474</v>
      </c>
      <c r="I7727" t="s">
        <v>28241</v>
      </c>
      <c r="J7727" t="s">
        <v>5476</v>
      </c>
      <c r="K7727" t="s">
        <v>26588</v>
      </c>
      <c r="L7727" t="s">
        <v>5471</v>
      </c>
      <c r="M7727" t="s">
        <v>5471</v>
      </c>
    </row>
    <row r="7728" spans="1:13" x14ac:dyDescent="0.3">
      <c r="A7728" t="s">
        <v>3380</v>
      </c>
      <c r="B7728" t="s">
        <v>16102</v>
      </c>
      <c r="C7728" t="s">
        <v>6342</v>
      </c>
      <c r="D7728" t="s">
        <v>4058</v>
      </c>
      <c r="E7728" t="s">
        <v>5532</v>
      </c>
      <c r="F7728" t="s">
        <v>28242</v>
      </c>
      <c r="G7728" t="s">
        <v>27943</v>
      </c>
      <c r="H7728" t="s">
        <v>5474</v>
      </c>
      <c r="I7728" t="s">
        <v>28243</v>
      </c>
      <c r="J7728" t="s">
        <v>5476</v>
      </c>
      <c r="K7728" t="s">
        <v>28244</v>
      </c>
      <c r="L7728" t="s">
        <v>5471</v>
      </c>
      <c r="M7728" t="s">
        <v>5471</v>
      </c>
    </row>
    <row r="7729" spans="1:13" x14ac:dyDescent="0.3">
      <c r="A7729" t="s">
        <v>3380</v>
      </c>
      <c r="B7729" t="s">
        <v>15592</v>
      </c>
      <c r="C7729" t="s">
        <v>5487</v>
      </c>
      <c r="D7729" t="s">
        <v>4058</v>
      </c>
      <c r="E7729" t="s">
        <v>5843</v>
      </c>
      <c r="F7729" t="s">
        <v>28245</v>
      </c>
      <c r="G7729" t="s">
        <v>28176</v>
      </c>
      <c r="H7729" t="s">
        <v>5474</v>
      </c>
      <c r="I7729" t="s">
        <v>28246</v>
      </c>
      <c r="J7729" t="s">
        <v>5476</v>
      </c>
      <c r="K7729" t="s">
        <v>28247</v>
      </c>
      <c r="L7729" t="s">
        <v>5471</v>
      </c>
      <c r="M7729" t="s">
        <v>5471</v>
      </c>
    </row>
    <row r="7730" spans="1:13" x14ac:dyDescent="0.3">
      <c r="A7730" t="s">
        <v>3380</v>
      </c>
      <c r="B7730" t="s">
        <v>15592</v>
      </c>
      <c r="C7730" t="s">
        <v>5487</v>
      </c>
      <c r="D7730" t="s">
        <v>4058</v>
      </c>
      <c r="E7730" t="s">
        <v>5843</v>
      </c>
      <c r="F7730" t="s">
        <v>28248</v>
      </c>
      <c r="G7730" t="s">
        <v>16522</v>
      </c>
      <c r="H7730" t="s">
        <v>5474</v>
      </c>
      <c r="I7730" t="s">
        <v>28249</v>
      </c>
      <c r="J7730" t="s">
        <v>5476</v>
      </c>
      <c r="K7730" t="s">
        <v>28250</v>
      </c>
      <c r="L7730" t="s">
        <v>5471</v>
      </c>
      <c r="M7730" t="s">
        <v>5471</v>
      </c>
    </row>
    <row r="7731" spans="1:13" x14ac:dyDescent="0.3">
      <c r="A7731" t="s">
        <v>3380</v>
      </c>
      <c r="B7731" t="s">
        <v>15592</v>
      </c>
      <c r="C7731" t="s">
        <v>5487</v>
      </c>
      <c r="D7731" t="s">
        <v>4058</v>
      </c>
      <c r="E7731" t="s">
        <v>5843</v>
      </c>
      <c r="F7731" t="s">
        <v>28251</v>
      </c>
      <c r="G7731" t="s">
        <v>28182</v>
      </c>
      <c r="H7731" t="s">
        <v>5474</v>
      </c>
      <c r="I7731" t="s">
        <v>28252</v>
      </c>
      <c r="J7731" t="s">
        <v>5476</v>
      </c>
      <c r="K7731" t="s">
        <v>28253</v>
      </c>
      <c r="L7731" t="s">
        <v>5471</v>
      </c>
      <c r="M7731" t="s">
        <v>5471</v>
      </c>
    </row>
    <row r="7732" spans="1:13" x14ac:dyDescent="0.3">
      <c r="A7732" t="s">
        <v>3380</v>
      </c>
      <c r="B7732" t="s">
        <v>15901</v>
      </c>
      <c r="C7732" t="s">
        <v>6342</v>
      </c>
      <c r="D7732" t="s">
        <v>4058</v>
      </c>
      <c r="E7732" t="s">
        <v>5843</v>
      </c>
      <c r="F7732" t="s">
        <v>28254</v>
      </c>
      <c r="G7732" t="s">
        <v>28186</v>
      </c>
      <c r="H7732" t="s">
        <v>5474</v>
      </c>
      <c r="I7732" t="s">
        <v>28255</v>
      </c>
      <c r="J7732" t="s">
        <v>5484</v>
      </c>
      <c r="K7732" t="s">
        <v>28256</v>
      </c>
      <c r="L7732" t="s">
        <v>5471</v>
      </c>
      <c r="M7732" t="s">
        <v>5471</v>
      </c>
    </row>
    <row r="7733" spans="1:13" x14ac:dyDescent="0.3">
      <c r="A7733" t="s">
        <v>3380</v>
      </c>
      <c r="B7733" t="s">
        <v>15901</v>
      </c>
      <c r="C7733" t="s">
        <v>6342</v>
      </c>
      <c r="D7733" t="s">
        <v>4058</v>
      </c>
      <c r="E7733" t="s">
        <v>5843</v>
      </c>
      <c r="F7733" t="s">
        <v>28257</v>
      </c>
      <c r="G7733" t="s">
        <v>28193</v>
      </c>
      <c r="H7733" t="s">
        <v>5474</v>
      </c>
      <c r="I7733" t="s">
        <v>28258</v>
      </c>
      <c r="J7733" t="s">
        <v>5484</v>
      </c>
      <c r="K7733" t="s">
        <v>16851</v>
      </c>
      <c r="L7733" t="s">
        <v>5471</v>
      </c>
      <c r="M7733" t="s">
        <v>5471</v>
      </c>
    </row>
    <row r="7734" spans="1:13" x14ac:dyDescent="0.3">
      <c r="A7734" t="s">
        <v>3380</v>
      </c>
      <c r="B7734" t="s">
        <v>15901</v>
      </c>
      <c r="C7734" t="s">
        <v>6342</v>
      </c>
      <c r="D7734" t="s">
        <v>4058</v>
      </c>
      <c r="E7734" t="s">
        <v>5843</v>
      </c>
      <c r="F7734" t="s">
        <v>28259</v>
      </c>
      <c r="G7734" t="s">
        <v>20107</v>
      </c>
      <c r="H7734" t="s">
        <v>5474</v>
      </c>
      <c r="I7734" t="s">
        <v>28260</v>
      </c>
      <c r="J7734" t="s">
        <v>5484</v>
      </c>
      <c r="K7734" t="s">
        <v>28261</v>
      </c>
      <c r="L7734" t="s">
        <v>5471</v>
      </c>
      <c r="M7734" t="s">
        <v>5471</v>
      </c>
    </row>
    <row r="7735" spans="1:13" x14ac:dyDescent="0.3">
      <c r="A7735" t="s">
        <v>3380</v>
      </c>
      <c r="B7735" t="s">
        <v>15901</v>
      </c>
      <c r="C7735" t="s">
        <v>6342</v>
      </c>
      <c r="D7735" t="s">
        <v>4058</v>
      </c>
      <c r="E7735" t="s">
        <v>5843</v>
      </c>
      <c r="F7735" t="s">
        <v>28262</v>
      </c>
      <c r="G7735" t="s">
        <v>28201</v>
      </c>
      <c r="H7735" t="s">
        <v>5474</v>
      </c>
      <c r="I7735" t="s">
        <v>28263</v>
      </c>
      <c r="J7735" t="s">
        <v>5484</v>
      </c>
      <c r="K7735" t="s">
        <v>17079</v>
      </c>
      <c r="L7735" t="s">
        <v>5471</v>
      </c>
      <c r="M7735" t="s">
        <v>5471</v>
      </c>
    </row>
    <row r="7736" spans="1:13" x14ac:dyDescent="0.3">
      <c r="A7736" t="s">
        <v>3380</v>
      </c>
      <c r="B7736" t="s">
        <v>15901</v>
      </c>
      <c r="C7736" t="s">
        <v>6342</v>
      </c>
      <c r="D7736" t="s">
        <v>4058</v>
      </c>
      <c r="E7736" t="s">
        <v>5617</v>
      </c>
      <c r="F7736" t="s">
        <v>28264</v>
      </c>
      <c r="G7736" t="s">
        <v>28265</v>
      </c>
      <c r="H7736" t="s">
        <v>5474</v>
      </c>
      <c r="I7736" t="s">
        <v>28266</v>
      </c>
      <c r="J7736" t="s">
        <v>5484</v>
      </c>
      <c r="K7736" t="s">
        <v>28267</v>
      </c>
      <c r="L7736" t="s">
        <v>5471</v>
      </c>
      <c r="M7736" t="s">
        <v>5471</v>
      </c>
    </row>
    <row r="7737" spans="1:13" x14ac:dyDescent="0.3">
      <c r="A7737" t="s">
        <v>3380</v>
      </c>
      <c r="B7737" t="s">
        <v>15901</v>
      </c>
      <c r="C7737" t="s">
        <v>6342</v>
      </c>
      <c r="D7737" t="s">
        <v>4058</v>
      </c>
      <c r="E7737" t="s">
        <v>5617</v>
      </c>
      <c r="F7737" t="s">
        <v>28268</v>
      </c>
      <c r="G7737" t="s">
        <v>28201</v>
      </c>
      <c r="H7737" t="s">
        <v>5474</v>
      </c>
      <c r="I7737" t="s">
        <v>28269</v>
      </c>
      <c r="J7737" t="s">
        <v>5484</v>
      </c>
      <c r="K7737" t="s">
        <v>28270</v>
      </c>
      <c r="L7737" t="s">
        <v>5471</v>
      </c>
      <c r="M7737" t="s">
        <v>5471</v>
      </c>
    </row>
    <row r="7738" spans="1:13" x14ac:dyDescent="0.3">
      <c r="A7738" t="s">
        <v>3380</v>
      </c>
      <c r="B7738" t="s">
        <v>15901</v>
      </c>
      <c r="C7738" t="s">
        <v>6342</v>
      </c>
      <c r="D7738" t="s">
        <v>4058</v>
      </c>
      <c r="E7738" t="s">
        <v>5617</v>
      </c>
      <c r="F7738" t="s">
        <v>28271</v>
      </c>
      <c r="G7738" t="s">
        <v>28204</v>
      </c>
      <c r="H7738" t="s">
        <v>5474</v>
      </c>
      <c r="I7738" t="s">
        <v>28272</v>
      </c>
      <c r="J7738" t="s">
        <v>5484</v>
      </c>
      <c r="K7738" t="s">
        <v>28273</v>
      </c>
      <c r="L7738" t="s">
        <v>5471</v>
      </c>
      <c r="M7738" t="s">
        <v>5471</v>
      </c>
    </row>
    <row r="7739" spans="1:13" x14ac:dyDescent="0.3">
      <c r="A7739" t="s">
        <v>3380</v>
      </c>
      <c r="B7739" t="s">
        <v>15901</v>
      </c>
      <c r="C7739" t="s">
        <v>6342</v>
      </c>
      <c r="D7739" t="s">
        <v>4058</v>
      </c>
      <c r="E7739" t="s">
        <v>5843</v>
      </c>
      <c r="F7739" t="s">
        <v>28274</v>
      </c>
      <c r="G7739" t="s">
        <v>26061</v>
      </c>
      <c r="H7739" t="s">
        <v>5474</v>
      </c>
      <c r="I7739" t="s">
        <v>28275</v>
      </c>
      <c r="J7739" t="s">
        <v>5484</v>
      </c>
      <c r="K7739" t="s">
        <v>16865</v>
      </c>
      <c r="L7739" t="s">
        <v>5471</v>
      </c>
      <c r="M7739" t="s">
        <v>5471</v>
      </c>
    </row>
    <row r="7740" spans="1:13" x14ac:dyDescent="0.3">
      <c r="A7740" t="s">
        <v>3380</v>
      </c>
      <c r="B7740" t="s">
        <v>15901</v>
      </c>
      <c r="C7740" t="s">
        <v>6342</v>
      </c>
      <c r="D7740" t="s">
        <v>4058</v>
      </c>
      <c r="E7740" t="s">
        <v>5532</v>
      </c>
      <c r="F7740" t="s">
        <v>28276</v>
      </c>
      <c r="G7740" t="s">
        <v>28225</v>
      </c>
      <c r="H7740" t="s">
        <v>5474</v>
      </c>
      <c r="I7740" t="s">
        <v>28277</v>
      </c>
      <c r="J7740" t="s">
        <v>5484</v>
      </c>
      <c r="K7740" t="s">
        <v>25759</v>
      </c>
      <c r="L7740" t="s">
        <v>5471</v>
      </c>
      <c r="M7740" t="s">
        <v>5471</v>
      </c>
    </row>
    <row r="7741" spans="1:13" x14ac:dyDescent="0.3">
      <c r="A7741" t="s">
        <v>3380</v>
      </c>
      <c r="B7741" t="s">
        <v>15901</v>
      </c>
      <c r="C7741" t="s">
        <v>6342</v>
      </c>
      <c r="D7741" t="s">
        <v>4058</v>
      </c>
      <c r="E7741" t="s">
        <v>5532</v>
      </c>
      <c r="F7741" t="s">
        <v>28278</v>
      </c>
      <c r="G7741" t="s">
        <v>28225</v>
      </c>
      <c r="H7741" t="s">
        <v>5474</v>
      </c>
      <c r="I7741" t="s">
        <v>28279</v>
      </c>
      <c r="J7741" t="s">
        <v>5484</v>
      </c>
      <c r="K7741" t="s">
        <v>25765</v>
      </c>
      <c r="L7741" t="s">
        <v>5471</v>
      </c>
      <c r="M7741" t="s">
        <v>5471</v>
      </c>
    </row>
    <row r="7742" spans="1:13" x14ac:dyDescent="0.3">
      <c r="A7742" t="s">
        <v>3380</v>
      </c>
      <c r="B7742" t="s">
        <v>15901</v>
      </c>
      <c r="C7742" t="s">
        <v>6342</v>
      </c>
      <c r="D7742" t="s">
        <v>4058</v>
      </c>
      <c r="E7742" t="s">
        <v>5532</v>
      </c>
      <c r="F7742" t="s">
        <v>28280</v>
      </c>
      <c r="G7742" t="s">
        <v>28153</v>
      </c>
      <c r="H7742" t="s">
        <v>5474</v>
      </c>
      <c r="I7742" t="s">
        <v>28281</v>
      </c>
      <c r="J7742" t="s">
        <v>5484</v>
      </c>
      <c r="K7742" t="s">
        <v>28282</v>
      </c>
      <c r="L7742" t="s">
        <v>5471</v>
      </c>
      <c r="M7742" t="s">
        <v>5471</v>
      </c>
    </row>
    <row r="7743" spans="1:13" x14ac:dyDescent="0.3">
      <c r="A7743" t="s">
        <v>3380</v>
      </c>
      <c r="B7743" t="s">
        <v>15901</v>
      </c>
      <c r="C7743" t="s">
        <v>6342</v>
      </c>
      <c r="D7743" t="s">
        <v>4058</v>
      </c>
      <c r="E7743" t="s">
        <v>5532</v>
      </c>
      <c r="F7743" t="s">
        <v>28283</v>
      </c>
      <c r="G7743" t="s">
        <v>28153</v>
      </c>
      <c r="H7743" t="s">
        <v>5474</v>
      </c>
      <c r="I7743" t="s">
        <v>28284</v>
      </c>
      <c r="J7743" t="s">
        <v>5484</v>
      </c>
      <c r="K7743" t="s">
        <v>16319</v>
      </c>
      <c r="L7743" t="s">
        <v>5471</v>
      </c>
      <c r="M7743" t="s">
        <v>5471</v>
      </c>
    </row>
    <row r="7744" spans="1:13" x14ac:dyDescent="0.3">
      <c r="A7744" t="s">
        <v>3380</v>
      </c>
      <c r="B7744" t="s">
        <v>15901</v>
      </c>
      <c r="C7744" t="s">
        <v>6342</v>
      </c>
      <c r="D7744" t="s">
        <v>4058</v>
      </c>
      <c r="E7744" t="s">
        <v>5617</v>
      </c>
      <c r="F7744" t="s">
        <v>28285</v>
      </c>
      <c r="G7744" t="s">
        <v>15903</v>
      </c>
      <c r="H7744" t="s">
        <v>5474</v>
      </c>
      <c r="I7744" t="s">
        <v>28286</v>
      </c>
      <c r="J7744" t="s">
        <v>5484</v>
      </c>
      <c r="K7744" t="s">
        <v>28287</v>
      </c>
      <c r="L7744" t="s">
        <v>5471</v>
      </c>
      <c r="M7744" t="s">
        <v>5471</v>
      </c>
    </row>
    <row r="7745" spans="1:13" x14ac:dyDescent="0.3">
      <c r="A7745" t="s">
        <v>3380</v>
      </c>
      <c r="B7745" t="s">
        <v>15901</v>
      </c>
      <c r="C7745" t="s">
        <v>6342</v>
      </c>
      <c r="D7745" t="s">
        <v>4058</v>
      </c>
      <c r="E7745" t="s">
        <v>5843</v>
      </c>
      <c r="F7745" t="s">
        <v>28288</v>
      </c>
      <c r="G7745" t="s">
        <v>28219</v>
      </c>
      <c r="H7745" t="s">
        <v>5474</v>
      </c>
      <c r="I7745" t="s">
        <v>28289</v>
      </c>
      <c r="J7745" t="s">
        <v>5484</v>
      </c>
      <c r="K7745" t="s">
        <v>28290</v>
      </c>
      <c r="L7745" t="s">
        <v>5471</v>
      </c>
      <c r="M7745" t="s">
        <v>5471</v>
      </c>
    </row>
    <row r="7746" spans="1:13" x14ac:dyDescent="0.3">
      <c r="A7746" t="s">
        <v>3380</v>
      </c>
      <c r="B7746" t="s">
        <v>15901</v>
      </c>
      <c r="C7746" t="s">
        <v>6342</v>
      </c>
      <c r="D7746" t="s">
        <v>4058</v>
      </c>
      <c r="E7746" t="s">
        <v>5843</v>
      </c>
      <c r="F7746" t="s">
        <v>28291</v>
      </c>
      <c r="G7746" t="s">
        <v>28219</v>
      </c>
      <c r="H7746" t="s">
        <v>5474</v>
      </c>
      <c r="I7746" t="s">
        <v>28292</v>
      </c>
      <c r="J7746" t="s">
        <v>5484</v>
      </c>
      <c r="K7746" t="s">
        <v>28293</v>
      </c>
      <c r="L7746" t="s">
        <v>5471</v>
      </c>
      <c r="M7746" t="s">
        <v>5471</v>
      </c>
    </row>
    <row r="7747" spans="1:13" x14ac:dyDescent="0.3">
      <c r="A7747" t="s">
        <v>3380</v>
      </c>
      <c r="B7747" t="s">
        <v>15901</v>
      </c>
      <c r="C7747" t="s">
        <v>6342</v>
      </c>
      <c r="D7747" t="s">
        <v>4058</v>
      </c>
      <c r="E7747" t="s">
        <v>5532</v>
      </c>
      <c r="F7747" t="s">
        <v>28294</v>
      </c>
      <c r="G7747" t="s">
        <v>26061</v>
      </c>
      <c r="H7747" t="s">
        <v>5474</v>
      </c>
      <c r="I7747" t="s">
        <v>28295</v>
      </c>
      <c r="J7747" t="s">
        <v>5484</v>
      </c>
      <c r="K7747" t="s">
        <v>14781</v>
      </c>
      <c r="L7747" t="s">
        <v>5471</v>
      </c>
      <c r="M7747" t="s">
        <v>5471</v>
      </c>
    </row>
    <row r="7748" spans="1:13" x14ac:dyDescent="0.3">
      <c r="A7748" t="s">
        <v>3380</v>
      </c>
      <c r="B7748" t="s">
        <v>15901</v>
      </c>
      <c r="C7748" t="s">
        <v>6342</v>
      </c>
      <c r="D7748" t="s">
        <v>4058</v>
      </c>
      <c r="E7748" t="s">
        <v>5532</v>
      </c>
      <c r="F7748" t="s">
        <v>28296</v>
      </c>
      <c r="G7748" t="s">
        <v>26061</v>
      </c>
      <c r="H7748" t="s">
        <v>5474</v>
      </c>
      <c r="I7748" t="s">
        <v>28297</v>
      </c>
      <c r="J7748" t="s">
        <v>5484</v>
      </c>
      <c r="K7748" t="s">
        <v>16242</v>
      </c>
      <c r="L7748" t="s">
        <v>5471</v>
      </c>
      <c r="M7748" t="s">
        <v>5471</v>
      </c>
    </row>
    <row r="7749" spans="1:13" x14ac:dyDescent="0.3">
      <c r="A7749" t="s">
        <v>3380</v>
      </c>
      <c r="B7749" t="s">
        <v>15901</v>
      </c>
      <c r="C7749" t="s">
        <v>6342</v>
      </c>
      <c r="D7749" t="s">
        <v>4058</v>
      </c>
      <c r="E7749" t="s">
        <v>5843</v>
      </c>
      <c r="F7749" t="s">
        <v>28298</v>
      </c>
      <c r="G7749" t="s">
        <v>28153</v>
      </c>
      <c r="H7749" t="s">
        <v>5474</v>
      </c>
      <c r="I7749" t="s">
        <v>28299</v>
      </c>
      <c r="J7749" t="s">
        <v>5484</v>
      </c>
      <c r="K7749" t="s">
        <v>28300</v>
      </c>
      <c r="L7749" t="s">
        <v>5471</v>
      </c>
      <c r="M7749" t="s">
        <v>5471</v>
      </c>
    </row>
    <row r="7750" spans="1:13" x14ac:dyDescent="0.3">
      <c r="A7750" t="s">
        <v>3380</v>
      </c>
      <c r="B7750" t="s">
        <v>15901</v>
      </c>
      <c r="C7750" t="s">
        <v>6342</v>
      </c>
      <c r="D7750" t="s">
        <v>4058</v>
      </c>
      <c r="E7750" t="s">
        <v>5532</v>
      </c>
      <c r="F7750" t="s">
        <v>28301</v>
      </c>
      <c r="G7750" t="s">
        <v>10121</v>
      </c>
      <c r="H7750" t="s">
        <v>5474</v>
      </c>
      <c r="I7750" t="s">
        <v>28302</v>
      </c>
      <c r="J7750" t="s">
        <v>5484</v>
      </c>
      <c r="K7750" t="s">
        <v>24680</v>
      </c>
      <c r="L7750" t="s">
        <v>5471</v>
      </c>
      <c r="M7750" t="s">
        <v>5471</v>
      </c>
    </row>
    <row r="7751" spans="1:13" x14ac:dyDescent="0.3">
      <c r="A7751" t="s">
        <v>3380</v>
      </c>
      <c r="B7751" t="s">
        <v>15901</v>
      </c>
      <c r="C7751" t="s">
        <v>6342</v>
      </c>
      <c r="D7751" t="s">
        <v>4058</v>
      </c>
      <c r="E7751" t="s">
        <v>5532</v>
      </c>
      <c r="F7751" t="s">
        <v>28303</v>
      </c>
      <c r="G7751" t="s">
        <v>10121</v>
      </c>
      <c r="H7751" t="s">
        <v>5474</v>
      </c>
      <c r="I7751" t="s">
        <v>28304</v>
      </c>
      <c r="J7751" t="s">
        <v>5484</v>
      </c>
      <c r="K7751" t="s">
        <v>28237</v>
      </c>
      <c r="L7751" t="s">
        <v>5471</v>
      </c>
      <c r="M7751" t="s">
        <v>5471</v>
      </c>
    </row>
    <row r="7752" spans="1:13" x14ac:dyDescent="0.3">
      <c r="A7752" t="s">
        <v>3380</v>
      </c>
      <c r="B7752" t="s">
        <v>15901</v>
      </c>
      <c r="C7752" t="s">
        <v>6342</v>
      </c>
      <c r="D7752" t="s">
        <v>4058</v>
      </c>
      <c r="E7752" t="s">
        <v>5532</v>
      </c>
      <c r="F7752" t="s">
        <v>28305</v>
      </c>
      <c r="G7752" t="s">
        <v>16778</v>
      </c>
      <c r="H7752" t="s">
        <v>5474</v>
      </c>
      <c r="I7752" t="s">
        <v>28306</v>
      </c>
      <c r="J7752" t="s">
        <v>5484</v>
      </c>
      <c r="K7752" t="s">
        <v>26585</v>
      </c>
      <c r="L7752" t="s">
        <v>5471</v>
      </c>
      <c r="M7752" t="s">
        <v>5471</v>
      </c>
    </row>
    <row r="7753" spans="1:13" x14ac:dyDescent="0.3">
      <c r="A7753" t="s">
        <v>3380</v>
      </c>
      <c r="B7753" t="s">
        <v>15901</v>
      </c>
      <c r="C7753" t="s">
        <v>6342</v>
      </c>
      <c r="D7753" t="s">
        <v>4058</v>
      </c>
      <c r="E7753" t="s">
        <v>5532</v>
      </c>
      <c r="F7753" t="s">
        <v>28307</v>
      </c>
      <c r="G7753" t="s">
        <v>25425</v>
      </c>
      <c r="H7753" t="s">
        <v>5474</v>
      </c>
      <c r="I7753" t="s">
        <v>28308</v>
      </c>
      <c r="J7753" t="s">
        <v>5484</v>
      </c>
      <c r="K7753" t="s">
        <v>28309</v>
      </c>
      <c r="L7753" t="s">
        <v>5471</v>
      </c>
      <c r="M7753" t="s">
        <v>5471</v>
      </c>
    </row>
    <row r="7754" spans="1:13" x14ac:dyDescent="0.3">
      <c r="A7754" t="s">
        <v>3380</v>
      </c>
      <c r="B7754" t="s">
        <v>15901</v>
      </c>
      <c r="C7754" t="s">
        <v>6342</v>
      </c>
      <c r="D7754" t="s">
        <v>4058</v>
      </c>
      <c r="E7754" t="s">
        <v>5532</v>
      </c>
      <c r="F7754" t="s">
        <v>28310</v>
      </c>
      <c r="G7754" t="s">
        <v>25425</v>
      </c>
      <c r="H7754" t="s">
        <v>5474</v>
      </c>
      <c r="I7754" t="s">
        <v>28311</v>
      </c>
      <c r="J7754" t="s">
        <v>5484</v>
      </c>
      <c r="K7754" t="s">
        <v>28312</v>
      </c>
      <c r="L7754" t="s">
        <v>5471</v>
      </c>
      <c r="M7754" t="s">
        <v>5471</v>
      </c>
    </row>
    <row r="7755" spans="1:13" x14ac:dyDescent="0.3">
      <c r="A7755" t="s">
        <v>3380</v>
      </c>
      <c r="B7755" t="s">
        <v>5261</v>
      </c>
      <c r="C7755" t="s">
        <v>6342</v>
      </c>
      <c r="D7755" t="s">
        <v>4200</v>
      </c>
      <c r="E7755" t="s">
        <v>5843</v>
      </c>
      <c r="F7755" t="s">
        <v>28313</v>
      </c>
      <c r="G7755" t="s">
        <v>16843</v>
      </c>
      <c r="H7755" t="s">
        <v>5474</v>
      </c>
      <c r="I7755" t="s">
        <v>28314</v>
      </c>
      <c r="J7755" t="s">
        <v>5476</v>
      </c>
      <c r="K7755" t="s">
        <v>28315</v>
      </c>
      <c r="L7755" t="s">
        <v>5471</v>
      </c>
      <c r="M7755" t="s">
        <v>5471</v>
      </c>
    </row>
    <row r="7756" spans="1:13" x14ac:dyDescent="0.3">
      <c r="A7756" t="s">
        <v>3380</v>
      </c>
      <c r="B7756" t="s">
        <v>16102</v>
      </c>
      <c r="C7756" t="s">
        <v>6342</v>
      </c>
      <c r="D7756" t="s">
        <v>4200</v>
      </c>
      <c r="E7756" t="s">
        <v>5532</v>
      </c>
      <c r="F7756" t="s">
        <v>28316</v>
      </c>
      <c r="G7756" t="s">
        <v>22731</v>
      </c>
      <c r="H7756" t="s">
        <v>5474</v>
      </c>
      <c r="I7756" t="s">
        <v>28317</v>
      </c>
      <c r="J7756" t="s">
        <v>5476</v>
      </c>
      <c r="K7756" t="s">
        <v>16381</v>
      </c>
      <c r="L7756" t="s">
        <v>5471</v>
      </c>
      <c r="M7756" t="s">
        <v>5471</v>
      </c>
    </row>
    <row r="7757" spans="1:13" x14ac:dyDescent="0.3">
      <c r="A7757" t="s">
        <v>3380</v>
      </c>
      <c r="B7757" t="s">
        <v>16102</v>
      </c>
      <c r="C7757" t="s">
        <v>6342</v>
      </c>
      <c r="D7757" t="s">
        <v>4200</v>
      </c>
      <c r="E7757" t="s">
        <v>5532</v>
      </c>
      <c r="F7757" t="s">
        <v>28318</v>
      </c>
      <c r="G7757" t="s">
        <v>22731</v>
      </c>
      <c r="H7757" t="s">
        <v>5474</v>
      </c>
      <c r="I7757" t="s">
        <v>28319</v>
      </c>
      <c r="J7757" t="s">
        <v>5476</v>
      </c>
      <c r="K7757" t="s">
        <v>28320</v>
      </c>
      <c r="L7757" t="s">
        <v>5471</v>
      </c>
      <c r="M7757" t="s">
        <v>5471</v>
      </c>
    </row>
    <row r="7758" spans="1:13" x14ac:dyDescent="0.3">
      <c r="A7758" t="s">
        <v>3380</v>
      </c>
      <c r="B7758" t="s">
        <v>16102</v>
      </c>
      <c r="C7758" t="s">
        <v>6342</v>
      </c>
      <c r="D7758" t="s">
        <v>4200</v>
      </c>
      <c r="E7758" t="s">
        <v>5532</v>
      </c>
      <c r="F7758" t="s">
        <v>28321</v>
      </c>
      <c r="G7758" t="s">
        <v>22731</v>
      </c>
      <c r="H7758" t="s">
        <v>5474</v>
      </c>
      <c r="I7758" t="s">
        <v>28322</v>
      </c>
      <c r="J7758" t="s">
        <v>5476</v>
      </c>
      <c r="K7758" t="s">
        <v>28315</v>
      </c>
      <c r="L7758" t="s">
        <v>5471</v>
      </c>
      <c r="M7758" t="s">
        <v>5471</v>
      </c>
    </row>
    <row r="7759" spans="1:13" x14ac:dyDescent="0.3">
      <c r="A7759" t="s">
        <v>3380</v>
      </c>
      <c r="B7759" t="s">
        <v>16102</v>
      </c>
      <c r="C7759" t="s">
        <v>6342</v>
      </c>
      <c r="D7759" t="s">
        <v>4200</v>
      </c>
      <c r="E7759" t="s">
        <v>5532</v>
      </c>
      <c r="F7759" t="s">
        <v>28323</v>
      </c>
      <c r="G7759" t="s">
        <v>22754</v>
      </c>
      <c r="H7759" t="s">
        <v>5474</v>
      </c>
      <c r="I7759" t="s">
        <v>28324</v>
      </c>
      <c r="J7759" t="s">
        <v>5476</v>
      </c>
      <c r="K7759" t="s">
        <v>16381</v>
      </c>
      <c r="L7759" t="s">
        <v>5471</v>
      </c>
      <c r="M7759" t="s">
        <v>5471</v>
      </c>
    </row>
    <row r="7760" spans="1:13" x14ac:dyDescent="0.3">
      <c r="A7760" t="s">
        <v>3380</v>
      </c>
      <c r="B7760" t="s">
        <v>16102</v>
      </c>
      <c r="C7760" t="s">
        <v>6342</v>
      </c>
      <c r="D7760" t="s">
        <v>4200</v>
      </c>
      <c r="E7760" t="s">
        <v>5532</v>
      </c>
      <c r="F7760" t="s">
        <v>28325</v>
      </c>
      <c r="G7760" t="s">
        <v>22754</v>
      </c>
      <c r="H7760" t="s">
        <v>5474</v>
      </c>
      <c r="I7760" t="s">
        <v>28326</v>
      </c>
      <c r="J7760" t="s">
        <v>5476</v>
      </c>
      <c r="K7760" t="s">
        <v>28320</v>
      </c>
      <c r="L7760" t="s">
        <v>5471</v>
      </c>
      <c r="M7760" t="s">
        <v>5471</v>
      </c>
    </row>
    <row r="7761" spans="1:13" x14ac:dyDescent="0.3">
      <c r="A7761" t="s">
        <v>3380</v>
      </c>
      <c r="B7761" t="s">
        <v>16102</v>
      </c>
      <c r="C7761" t="s">
        <v>6342</v>
      </c>
      <c r="D7761" t="s">
        <v>4200</v>
      </c>
      <c r="E7761" t="s">
        <v>5532</v>
      </c>
      <c r="F7761" t="s">
        <v>28327</v>
      </c>
      <c r="G7761" t="s">
        <v>22754</v>
      </c>
      <c r="H7761" t="s">
        <v>5474</v>
      </c>
      <c r="I7761" t="s">
        <v>28328</v>
      </c>
      <c r="J7761" t="s">
        <v>5476</v>
      </c>
      <c r="K7761" t="s">
        <v>28315</v>
      </c>
      <c r="L7761" t="s">
        <v>5471</v>
      </c>
      <c r="M7761" t="s">
        <v>5471</v>
      </c>
    </row>
    <row r="7762" spans="1:13" x14ac:dyDescent="0.3">
      <c r="A7762" t="s">
        <v>3380</v>
      </c>
      <c r="B7762" t="s">
        <v>16102</v>
      </c>
      <c r="C7762" t="s">
        <v>6342</v>
      </c>
      <c r="D7762" t="s">
        <v>4200</v>
      </c>
      <c r="E7762" t="s">
        <v>5532</v>
      </c>
      <c r="F7762" t="s">
        <v>28329</v>
      </c>
      <c r="G7762" t="s">
        <v>22763</v>
      </c>
      <c r="H7762" t="s">
        <v>5474</v>
      </c>
      <c r="I7762" t="s">
        <v>28330</v>
      </c>
      <c r="J7762" t="s">
        <v>5476</v>
      </c>
      <c r="K7762" t="s">
        <v>28320</v>
      </c>
      <c r="L7762" t="s">
        <v>5471</v>
      </c>
      <c r="M7762" t="s">
        <v>5471</v>
      </c>
    </row>
    <row r="7763" spans="1:13" x14ac:dyDescent="0.3">
      <c r="A7763" t="s">
        <v>3380</v>
      </c>
      <c r="B7763" t="s">
        <v>16102</v>
      </c>
      <c r="C7763" t="s">
        <v>6342</v>
      </c>
      <c r="D7763" t="s">
        <v>4200</v>
      </c>
      <c r="E7763" t="s">
        <v>5532</v>
      </c>
      <c r="F7763" t="s">
        <v>28331</v>
      </c>
      <c r="G7763" t="s">
        <v>22766</v>
      </c>
      <c r="H7763" t="s">
        <v>5474</v>
      </c>
      <c r="I7763" t="s">
        <v>28332</v>
      </c>
      <c r="J7763" t="s">
        <v>5476</v>
      </c>
      <c r="K7763" t="s">
        <v>16381</v>
      </c>
      <c r="L7763" t="s">
        <v>5471</v>
      </c>
      <c r="M7763" t="s">
        <v>5471</v>
      </c>
    </row>
    <row r="7764" spans="1:13" x14ac:dyDescent="0.3">
      <c r="A7764" t="s">
        <v>3380</v>
      </c>
      <c r="B7764" t="s">
        <v>16102</v>
      </c>
      <c r="C7764" t="s">
        <v>6342</v>
      </c>
      <c r="D7764" t="s">
        <v>4200</v>
      </c>
      <c r="E7764" t="s">
        <v>5532</v>
      </c>
      <c r="F7764" t="s">
        <v>28333</v>
      </c>
      <c r="G7764" t="s">
        <v>22766</v>
      </c>
      <c r="H7764" t="s">
        <v>5474</v>
      </c>
      <c r="I7764" t="s">
        <v>28334</v>
      </c>
      <c r="J7764" t="s">
        <v>5476</v>
      </c>
      <c r="K7764" t="s">
        <v>28315</v>
      </c>
      <c r="L7764" t="s">
        <v>5471</v>
      </c>
      <c r="M7764" t="s">
        <v>5471</v>
      </c>
    </row>
    <row r="7765" spans="1:13" x14ac:dyDescent="0.3">
      <c r="A7765" t="s">
        <v>3380</v>
      </c>
      <c r="B7765" t="s">
        <v>16102</v>
      </c>
      <c r="C7765" t="s">
        <v>6342</v>
      </c>
      <c r="D7765" t="s">
        <v>4200</v>
      </c>
      <c r="E7765" t="s">
        <v>5532</v>
      </c>
      <c r="F7765" t="s">
        <v>28335</v>
      </c>
      <c r="G7765" t="s">
        <v>16104</v>
      </c>
      <c r="H7765" t="s">
        <v>5474</v>
      </c>
      <c r="I7765" t="s">
        <v>28336</v>
      </c>
      <c r="J7765" t="s">
        <v>5476</v>
      </c>
      <c r="K7765" t="s">
        <v>28315</v>
      </c>
      <c r="L7765" t="s">
        <v>5471</v>
      </c>
      <c r="M7765" t="s">
        <v>5471</v>
      </c>
    </row>
    <row r="7766" spans="1:13" x14ac:dyDescent="0.3">
      <c r="A7766" t="s">
        <v>3380</v>
      </c>
      <c r="B7766" t="s">
        <v>9713</v>
      </c>
      <c r="C7766" t="s">
        <v>6342</v>
      </c>
      <c r="D7766" t="s">
        <v>4200</v>
      </c>
      <c r="E7766" t="s">
        <v>5843</v>
      </c>
      <c r="F7766" t="s">
        <v>28337</v>
      </c>
      <c r="G7766" t="s">
        <v>11587</v>
      </c>
      <c r="H7766" t="s">
        <v>5474</v>
      </c>
      <c r="I7766" t="s">
        <v>28338</v>
      </c>
      <c r="J7766" t="s">
        <v>5484</v>
      </c>
      <c r="K7766" t="s">
        <v>16381</v>
      </c>
      <c r="L7766" t="s">
        <v>5471</v>
      </c>
      <c r="M7766" t="s">
        <v>5471</v>
      </c>
    </row>
    <row r="7767" spans="1:13" x14ac:dyDescent="0.3">
      <c r="A7767" t="s">
        <v>3380</v>
      </c>
      <c r="B7767" t="s">
        <v>9713</v>
      </c>
      <c r="C7767" t="s">
        <v>6342</v>
      </c>
      <c r="D7767" t="s">
        <v>4200</v>
      </c>
      <c r="E7767" t="s">
        <v>5532</v>
      </c>
      <c r="F7767" t="s">
        <v>28339</v>
      </c>
      <c r="G7767" t="s">
        <v>28340</v>
      </c>
      <c r="H7767" t="s">
        <v>5474</v>
      </c>
      <c r="I7767" t="s">
        <v>28341</v>
      </c>
      <c r="J7767" t="s">
        <v>5484</v>
      </c>
      <c r="K7767" t="s">
        <v>16381</v>
      </c>
      <c r="L7767" t="s">
        <v>5471</v>
      </c>
      <c r="M7767" t="s">
        <v>5471</v>
      </c>
    </row>
    <row r="7768" spans="1:13" x14ac:dyDescent="0.3">
      <c r="A7768" t="s">
        <v>3380</v>
      </c>
      <c r="B7768" t="s">
        <v>9713</v>
      </c>
      <c r="C7768" t="s">
        <v>6342</v>
      </c>
      <c r="D7768" t="s">
        <v>4200</v>
      </c>
      <c r="E7768" t="s">
        <v>5532</v>
      </c>
      <c r="F7768" t="s">
        <v>28342</v>
      </c>
      <c r="G7768" t="s">
        <v>28340</v>
      </c>
      <c r="H7768" t="s">
        <v>5474</v>
      </c>
      <c r="I7768" t="s">
        <v>28343</v>
      </c>
      <c r="J7768" t="s">
        <v>5484</v>
      </c>
      <c r="K7768" t="s">
        <v>28315</v>
      </c>
      <c r="L7768" t="s">
        <v>5471</v>
      </c>
      <c r="M7768" t="s">
        <v>5471</v>
      </c>
    </row>
    <row r="7769" spans="1:13" x14ac:dyDescent="0.3">
      <c r="A7769" t="s">
        <v>3380</v>
      </c>
      <c r="B7769" t="s">
        <v>9713</v>
      </c>
      <c r="C7769" t="s">
        <v>6342</v>
      </c>
      <c r="D7769" t="s">
        <v>4200</v>
      </c>
      <c r="E7769" t="s">
        <v>5843</v>
      </c>
      <c r="F7769" t="s">
        <v>28344</v>
      </c>
      <c r="G7769" t="s">
        <v>28345</v>
      </c>
      <c r="H7769" t="s">
        <v>5474</v>
      </c>
      <c r="I7769" t="s">
        <v>28346</v>
      </c>
      <c r="J7769" t="s">
        <v>5484</v>
      </c>
      <c r="K7769" t="s">
        <v>16805</v>
      </c>
      <c r="L7769" t="s">
        <v>5471</v>
      </c>
      <c r="M7769" t="s">
        <v>5471</v>
      </c>
    </row>
    <row r="7770" spans="1:13" x14ac:dyDescent="0.3">
      <c r="A7770" t="s">
        <v>3380</v>
      </c>
      <c r="B7770" t="s">
        <v>9713</v>
      </c>
      <c r="C7770" t="s">
        <v>6342</v>
      </c>
      <c r="D7770" t="s">
        <v>4200</v>
      </c>
      <c r="E7770" t="s">
        <v>5843</v>
      </c>
      <c r="F7770" t="s">
        <v>28347</v>
      </c>
      <c r="G7770" t="s">
        <v>28345</v>
      </c>
      <c r="H7770" t="s">
        <v>5474</v>
      </c>
      <c r="I7770" t="s">
        <v>28348</v>
      </c>
      <c r="J7770" t="s">
        <v>5484</v>
      </c>
      <c r="K7770" t="s">
        <v>28349</v>
      </c>
      <c r="L7770" t="s">
        <v>5471</v>
      </c>
      <c r="M7770" t="s">
        <v>5471</v>
      </c>
    </row>
    <row r="7771" spans="1:13" x14ac:dyDescent="0.3">
      <c r="A7771" t="s">
        <v>3380</v>
      </c>
      <c r="B7771" t="s">
        <v>9713</v>
      </c>
      <c r="C7771" t="s">
        <v>6342</v>
      </c>
      <c r="D7771" t="s">
        <v>4200</v>
      </c>
      <c r="E7771" t="s">
        <v>5843</v>
      </c>
      <c r="F7771" t="s">
        <v>28350</v>
      </c>
      <c r="G7771" t="s">
        <v>28351</v>
      </c>
      <c r="H7771" t="s">
        <v>5474</v>
      </c>
      <c r="I7771" t="s">
        <v>28352</v>
      </c>
      <c r="J7771" t="s">
        <v>5484</v>
      </c>
      <c r="K7771" t="s">
        <v>28349</v>
      </c>
      <c r="L7771" t="s">
        <v>5471</v>
      </c>
      <c r="M7771" t="s">
        <v>5471</v>
      </c>
    </row>
    <row r="7772" spans="1:13" x14ac:dyDescent="0.3">
      <c r="A7772" t="s">
        <v>3380</v>
      </c>
      <c r="B7772" t="s">
        <v>16268</v>
      </c>
      <c r="C7772" t="s">
        <v>6342</v>
      </c>
      <c r="D7772" t="s">
        <v>4200</v>
      </c>
      <c r="E7772" t="s">
        <v>5532</v>
      </c>
      <c r="F7772" t="s">
        <v>28353</v>
      </c>
      <c r="G7772" t="s">
        <v>28354</v>
      </c>
      <c r="H7772" t="s">
        <v>5474</v>
      </c>
      <c r="I7772" t="s">
        <v>28355</v>
      </c>
      <c r="J7772" t="s">
        <v>5484</v>
      </c>
      <c r="K7772" t="s">
        <v>16381</v>
      </c>
      <c r="L7772" t="s">
        <v>5471</v>
      </c>
      <c r="M7772" t="s">
        <v>5471</v>
      </c>
    </row>
    <row r="7773" spans="1:13" x14ac:dyDescent="0.3">
      <c r="A7773" t="s">
        <v>3380</v>
      </c>
      <c r="B7773" t="s">
        <v>16268</v>
      </c>
      <c r="C7773" t="s">
        <v>6342</v>
      </c>
      <c r="D7773" t="s">
        <v>4200</v>
      </c>
      <c r="E7773" t="s">
        <v>5843</v>
      </c>
      <c r="F7773" t="s">
        <v>28356</v>
      </c>
      <c r="G7773" t="s">
        <v>28357</v>
      </c>
      <c r="H7773" t="s">
        <v>5474</v>
      </c>
      <c r="I7773" t="s">
        <v>28358</v>
      </c>
      <c r="J7773" t="s">
        <v>5484</v>
      </c>
      <c r="K7773" t="s">
        <v>28349</v>
      </c>
      <c r="L7773" t="s">
        <v>5471</v>
      </c>
      <c r="M7773" t="s">
        <v>5471</v>
      </c>
    </row>
    <row r="7774" spans="1:13" x14ac:dyDescent="0.3">
      <c r="A7774" t="s">
        <v>3380</v>
      </c>
      <c r="B7774" t="s">
        <v>16268</v>
      </c>
      <c r="C7774" t="s">
        <v>6342</v>
      </c>
      <c r="D7774" t="s">
        <v>4200</v>
      </c>
      <c r="E7774" t="s">
        <v>5843</v>
      </c>
      <c r="F7774" t="s">
        <v>28359</v>
      </c>
      <c r="G7774" t="s">
        <v>28357</v>
      </c>
      <c r="H7774" t="s">
        <v>5474</v>
      </c>
      <c r="I7774" t="s">
        <v>28360</v>
      </c>
      <c r="J7774" t="s">
        <v>5484</v>
      </c>
      <c r="K7774" t="s">
        <v>28361</v>
      </c>
      <c r="L7774" t="s">
        <v>5471</v>
      </c>
      <c r="M7774" t="s">
        <v>5471</v>
      </c>
    </row>
    <row r="7775" spans="1:13" x14ac:dyDescent="0.3">
      <c r="A7775" t="s">
        <v>3380</v>
      </c>
      <c r="B7775" t="s">
        <v>5281</v>
      </c>
      <c r="C7775" t="s">
        <v>5487</v>
      </c>
      <c r="D7775" t="s">
        <v>4200</v>
      </c>
      <c r="E7775" t="s">
        <v>5532</v>
      </c>
      <c r="F7775" t="s">
        <v>28362</v>
      </c>
      <c r="G7775" t="s">
        <v>16799</v>
      </c>
      <c r="H7775" t="s">
        <v>5474</v>
      </c>
      <c r="I7775" t="s">
        <v>28363</v>
      </c>
      <c r="J7775" t="s">
        <v>5484</v>
      </c>
      <c r="K7775" t="s">
        <v>28315</v>
      </c>
      <c r="L7775" t="s">
        <v>5471</v>
      </c>
      <c r="M7775" t="s">
        <v>5471</v>
      </c>
    </row>
    <row r="7776" spans="1:13" x14ac:dyDescent="0.3">
      <c r="A7776" t="s">
        <v>3380</v>
      </c>
      <c r="B7776" t="s">
        <v>5281</v>
      </c>
      <c r="C7776" t="s">
        <v>5487</v>
      </c>
      <c r="D7776" t="s">
        <v>4200</v>
      </c>
      <c r="E7776" t="s">
        <v>5532</v>
      </c>
      <c r="F7776" t="s">
        <v>28364</v>
      </c>
      <c r="G7776" t="s">
        <v>16799</v>
      </c>
      <c r="H7776" t="s">
        <v>5474</v>
      </c>
      <c r="I7776" t="s">
        <v>28365</v>
      </c>
      <c r="J7776" t="s">
        <v>5484</v>
      </c>
      <c r="K7776" t="s">
        <v>16381</v>
      </c>
      <c r="L7776" t="s">
        <v>5471</v>
      </c>
      <c r="M7776" t="s">
        <v>5471</v>
      </c>
    </row>
    <row r="7777" spans="1:13" x14ac:dyDescent="0.3">
      <c r="A7777" t="s">
        <v>3380</v>
      </c>
      <c r="B7777" t="s">
        <v>10051</v>
      </c>
      <c r="C7777" t="s">
        <v>6342</v>
      </c>
      <c r="D7777" t="s">
        <v>4200</v>
      </c>
      <c r="E7777" t="s">
        <v>5532</v>
      </c>
      <c r="F7777" t="s">
        <v>28366</v>
      </c>
      <c r="G7777" t="s">
        <v>10053</v>
      </c>
      <c r="H7777" t="s">
        <v>5474</v>
      </c>
      <c r="I7777" t="s">
        <v>28367</v>
      </c>
      <c r="J7777" t="s">
        <v>5484</v>
      </c>
      <c r="K7777" t="s">
        <v>28315</v>
      </c>
      <c r="L7777" t="s">
        <v>5471</v>
      </c>
      <c r="M7777" t="s">
        <v>5471</v>
      </c>
    </row>
    <row r="7778" spans="1:13" x14ac:dyDescent="0.3">
      <c r="A7778" t="s">
        <v>3380</v>
      </c>
      <c r="B7778" t="s">
        <v>10051</v>
      </c>
      <c r="C7778" t="s">
        <v>6342</v>
      </c>
      <c r="D7778" t="s">
        <v>4200</v>
      </c>
      <c r="E7778" t="s">
        <v>5532</v>
      </c>
      <c r="F7778" t="s">
        <v>28368</v>
      </c>
      <c r="G7778" t="s">
        <v>10053</v>
      </c>
      <c r="H7778" t="s">
        <v>5474</v>
      </c>
      <c r="I7778" t="s">
        <v>28369</v>
      </c>
      <c r="J7778" t="s">
        <v>5484</v>
      </c>
      <c r="K7778" t="s">
        <v>16381</v>
      </c>
      <c r="L7778" t="s">
        <v>5471</v>
      </c>
      <c r="M7778" t="s">
        <v>5471</v>
      </c>
    </row>
    <row r="7779" spans="1:13" x14ac:dyDescent="0.3">
      <c r="A7779" t="s">
        <v>3380</v>
      </c>
      <c r="B7779" t="s">
        <v>10051</v>
      </c>
      <c r="C7779" t="s">
        <v>6342</v>
      </c>
      <c r="D7779" t="s">
        <v>4200</v>
      </c>
      <c r="E7779" t="s">
        <v>5532</v>
      </c>
      <c r="F7779" t="s">
        <v>28370</v>
      </c>
      <c r="G7779" t="s">
        <v>10063</v>
      </c>
      <c r="H7779" t="s">
        <v>5474</v>
      </c>
      <c r="I7779" t="s">
        <v>28371</v>
      </c>
      <c r="J7779" t="s">
        <v>5484</v>
      </c>
      <c r="K7779" t="s">
        <v>28315</v>
      </c>
      <c r="L7779" t="s">
        <v>5471</v>
      </c>
      <c r="M7779" t="s">
        <v>5471</v>
      </c>
    </row>
    <row r="7780" spans="1:13" x14ac:dyDescent="0.3">
      <c r="A7780" t="s">
        <v>3380</v>
      </c>
      <c r="B7780" t="s">
        <v>9934</v>
      </c>
      <c r="C7780" t="s">
        <v>6342</v>
      </c>
      <c r="D7780" t="s">
        <v>4200</v>
      </c>
      <c r="E7780" t="s">
        <v>9935</v>
      </c>
      <c r="F7780" t="s">
        <v>28372</v>
      </c>
      <c r="G7780" t="s">
        <v>10016</v>
      </c>
      <c r="H7780" t="s">
        <v>5474</v>
      </c>
      <c r="I7780" t="s">
        <v>28373</v>
      </c>
      <c r="J7780" t="s">
        <v>5484</v>
      </c>
      <c r="K7780" t="s">
        <v>16381</v>
      </c>
      <c r="L7780" t="s">
        <v>5471</v>
      </c>
      <c r="M7780" t="s">
        <v>5471</v>
      </c>
    </row>
    <row r="7781" spans="1:13" x14ac:dyDescent="0.3">
      <c r="A7781" t="s">
        <v>3380</v>
      </c>
      <c r="B7781" t="s">
        <v>9934</v>
      </c>
      <c r="C7781" t="s">
        <v>6342</v>
      </c>
      <c r="D7781" t="s">
        <v>4200</v>
      </c>
      <c r="E7781" t="s">
        <v>9935</v>
      </c>
      <c r="F7781" t="s">
        <v>28374</v>
      </c>
      <c r="G7781" t="s">
        <v>10016</v>
      </c>
      <c r="H7781" t="s">
        <v>5474</v>
      </c>
      <c r="I7781" t="s">
        <v>28375</v>
      </c>
      <c r="J7781" t="s">
        <v>5484</v>
      </c>
      <c r="K7781" t="s">
        <v>28315</v>
      </c>
      <c r="L7781" t="s">
        <v>5471</v>
      </c>
      <c r="M7781" t="s">
        <v>5471</v>
      </c>
    </row>
    <row r="7782" spans="1:13" x14ac:dyDescent="0.3">
      <c r="A7782" t="s">
        <v>3380</v>
      </c>
      <c r="B7782" t="s">
        <v>9934</v>
      </c>
      <c r="C7782" t="s">
        <v>6342</v>
      </c>
      <c r="D7782" t="s">
        <v>4200</v>
      </c>
      <c r="E7782" t="s">
        <v>9935</v>
      </c>
      <c r="F7782" t="s">
        <v>28376</v>
      </c>
      <c r="G7782" t="s">
        <v>10708</v>
      </c>
      <c r="H7782" t="s">
        <v>5474</v>
      </c>
      <c r="I7782" t="s">
        <v>28377</v>
      </c>
      <c r="J7782" t="s">
        <v>5484</v>
      </c>
      <c r="K7782" t="s">
        <v>28315</v>
      </c>
      <c r="L7782" t="s">
        <v>5471</v>
      </c>
      <c r="M7782" t="s">
        <v>5471</v>
      </c>
    </row>
    <row r="7783" spans="1:13" x14ac:dyDescent="0.3">
      <c r="A7783" t="s">
        <v>3380</v>
      </c>
      <c r="B7783" t="s">
        <v>9934</v>
      </c>
      <c r="C7783" t="s">
        <v>6342</v>
      </c>
      <c r="D7783" t="s">
        <v>4200</v>
      </c>
      <c r="E7783" t="s">
        <v>9935</v>
      </c>
      <c r="F7783" t="s">
        <v>28378</v>
      </c>
      <c r="G7783" t="s">
        <v>10007</v>
      </c>
      <c r="H7783" t="s">
        <v>5474</v>
      </c>
      <c r="I7783" t="s">
        <v>28379</v>
      </c>
      <c r="J7783" t="s">
        <v>5484</v>
      </c>
      <c r="K7783" t="s">
        <v>16381</v>
      </c>
      <c r="L7783" t="s">
        <v>5471</v>
      </c>
      <c r="M7783" t="s">
        <v>5471</v>
      </c>
    </row>
    <row r="7784" spans="1:13" x14ac:dyDescent="0.3">
      <c r="A7784" t="s">
        <v>3380</v>
      </c>
      <c r="B7784" t="s">
        <v>9934</v>
      </c>
      <c r="C7784" t="s">
        <v>6342</v>
      </c>
      <c r="D7784" t="s">
        <v>4200</v>
      </c>
      <c r="E7784" t="s">
        <v>9935</v>
      </c>
      <c r="F7784" t="s">
        <v>28380</v>
      </c>
      <c r="G7784" t="s">
        <v>10007</v>
      </c>
      <c r="H7784" t="s">
        <v>5474</v>
      </c>
      <c r="I7784" t="s">
        <v>28381</v>
      </c>
      <c r="J7784" t="s">
        <v>5484</v>
      </c>
      <c r="K7784" t="s">
        <v>28315</v>
      </c>
      <c r="L7784" t="s">
        <v>5471</v>
      </c>
      <c r="M7784" t="s">
        <v>5471</v>
      </c>
    </row>
    <row r="7785" spans="1:13" x14ac:dyDescent="0.3">
      <c r="A7785" t="s">
        <v>3380</v>
      </c>
      <c r="B7785" t="s">
        <v>10105</v>
      </c>
      <c r="C7785" t="s">
        <v>6342</v>
      </c>
      <c r="D7785" t="s">
        <v>4200</v>
      </c>
      <c r="E7785" t="s">
        <v>5532</v>
      </c>
      <c r="F7785" t="s">
        <v>28382</v>
      </c>
      <c r="G7785" t="s">
        <v>28383</v>
      </c>
      <c r="H7785" t="s">
        <v>5474</v>
      </c>
      <c r="I7785" t="s">
        <v>28384</v>
      </c>
      <c r="J7785" t="s">
        <v>5484</v>
      </c>
      <c r="K7785" t="s">
        <v>28320</v>
      </c>
      <c r="L7785" t="s">
        <v>5471</v>
      </c>
      <c r="M7785" t="s">
        <v>5471</v>
      </c>
    </row>
    <row r="7786" spans="1:13" x14ac:dyDescent="0.3">
      <c r="A7786" t="s">
        <v>3380</v>
      </c>
      <c r="B7786" t="s">
        <v>10105</v>
      </c>
      <c r="C7786" t="s">
        <v>6342</v>
      </c>
      <c r="D7786" t="s">
        <v>4200</v>
      </c>
      <c r="E7786" t="s">
        <v>5532</v>
      </c>
      <c r="F7786" t="s">
        <v>28385</v>
      </c>
      <c r="G7786" t="s">
        <v>28383</v>
      </c>
      <c r="H7786" t="s">
        <v>5474</v>
      </c>
      <c r="I7786" t="s">
        <v>28386</v>
      </c>
      <c r="J7786" t="s">
        <v>5484</v>
      </c>
      <c r="K7786" t="s">
        <v>16381</v>
      </c>
      <c r="L7786" t="s">
        <v>5471</v>
      </c>
      <c r="M7786" t="s">
        <v>5471</v>
      </c>
    </row>
    <row r="7787" spans="1:13" x14ac:dyDescent="0.3">
      <c r="A7787" t="s">
        <v>3380</v>
      </c>
      <c r="B7787" t="s">
        <v>10105</v>
      </c>
      <c r="C7787" t="s">
        <v>6342</v>
      </c>
      <c r="D7787" t="s">
        <v>4200</v>
      </c>
      <c r="E7787" t="s">
        <v>5843</v>
      </c>
      <c r="F7787" t="s">
        <v>28387</v>
      </c>
      <c r="G7787" t="s">
        <v>16405</v>
      </c>
      <c r="H7787" t="s">
        <v>5474</v>
      </c>
      <c r="I7787" t="s">
        <v>28388</v>
      </c>
      <c r="J7787" t="s">
        <v>5484</v>
      </c>
      <c r="K7787" t="s">
        <v>28361</v>
      </c>
      <c r="L7787" t="s">
        <v>5471</v>
      </c>
      <c r="M7787" t="s">
        <v>5471</v>
      </c>
    </row>
    <row r="7788" spans="1:13" x14ac:dyDescent="0.3">
      <c r="A7788" t="s">
        <v>3380</v>
      </c>
      <c r="B7788" t="s">
        <v>10105</v>
      </c>
      <c r="C7788" t="s">
        <v>6342</v>
      </c>
      <c r="D7788" t="s">
        <v>4200</v>
      </c>
      <c r="E7788" t="s">
        <v>5843</v>
      </c>
      <c r="F7788" t="s">
        <v>28389</v>
      </c>
      <c r="G7788" t="s">
        <v>16405</v>
      </c>
      <c r="H7788" t="s">
        <v>5474</v>
      </c>
      <c r="I7788" t="s">
        <v>28390</v>
      </c>
      <c r="J7788" t="s">
        <v>5484</v>
      </c>
      <c r="K7788" t="s">
        <v>28349</v>
      </c>
      <c r="L7788" t="s">
        <v>5471</v>
      </c>
      <c r="M7788" t="s">
        <v>5471</v>
      </c>
    </row>
    <row r="7789" spans="1:13" x14ac:dyDescent="0.3">
      <c r="A7789" t="s">
        <v>3380</v>
      </c>
      <c r="B7789" t="s">
        <v>11677</v>
      </c>
      <c r="C7789" t="s">
        <v>6342</v>
      </c>
      <c r="D7789" t="s">
        <v>4200</v>
      </c>
      <c r="E7789" t="s">
        <v>5617</v>
      </c>
      <c r="F7789" t="s">
        <v>28391</v>
      </c>
      <c r="G7789" t="s">
        <v>28392</v>
      </c>
      <c r="H7789" t="s">
        <v>5474</v>
      </c>
      <c r="I7789" t="s">
        <v>28393</v>
      </c>
      <c r="J7789" t="s">
        <v>5484</v>
      </c>
      <c r="K7789" t="s">
        <v>28361</v>
      </c>
      <c r="L7789" t="s">
        <v>5471</v>
      </c>
      <c r="M7789" t="s">
        <v>5471</v>
      </c>
    </row>
    <row r="7790" spans="1:13" x14ac:dyDescent="0.3">
      <c r="A7790" t="s">
        <v>3380</v>
      </c>
      <c r="B7790" t="s">
        <v>5337</v>
      </c>
      <c r="C7790" t="s">
        <v>6342</v>
      </c>
      <c r="D7790" t="s">
        <v>4200</v>
      </c>
      <c r="E7790" t="s">
        <v>5532</v>
      </c>
      <c r="F7790" t="s">
        <v>28394</v>
      </c>
      <c r="G7790" t="s">
        <v>25748</v>
      </c>
      <c r="H7790" t="s">
        <v>5474</v>
      </c>
      <c r="I7790" t="s">
        <v>28395</v>
      </c>
      <c r="J7790" t="s">
        <v>5484</v>
      </c>
      <c r="K7790" t="s">
        <v>16381</v>
      </c>
      <c r="L7790" t="s">
        <v>5471</v>
      </c>
      <c r="M7790" t="s">
        <v>5471</v>
      </c>
    </row>
    <row r="7791" spans="1:13" x14ac:dyDescent="0.3">
      <c r="A7791" t="s">
        <v>3380</v>
      </c>
      <c r="B7791" t="s">
        <v>5337</v>
      </c>
      <c r="C7791" t="s">
        <v>6342</v>
      </c>
      <c r="D7791" t="s">
        <v>4200</v>
      </c>
      <c r="E7791" t="s">
        <v>5532</v>
      </c>
      <c r="F7791" t="s">
        <v>28396</v>
      </c>
      <c r="G7791" t="s">
        <v>25748</v>
      </c>
      <c r="H7791" t="s">
        <v>5474</v>
      </c>
      <c r="I7791" t="s">
        <v>28397</v>
      </c>
      <c r="J7791" t="s">
        <v>5484</v>
      </c>
      <c r="K7791" t="s">
        <v>28315</v>
      </c>
      <c r="L7791" t="s">
        <v>5471</v>
      </c>
      <c r="M7791" t="s">
        <v>5471</v>
      </c>
    </row>
    <row r="7792" spans="1:13" x14ac:dyDescent="0.3">
      <c r="A7792" t="s">
        <v>3380</v>
      </c>
      <c r="B7792" t="s">
        <v>16940</v>
      </c>
      <c r="C7792" t="s">
        <v>6342</v>
      </c>
      <c r="D7792" t="s">
        <v>4200</v>
      </c>
      <c r="E7792" t="s">
        <v>5532</v>
      </c>
      <c r="F7792" t="s">
        <v>28398</v>
      </c>
      <c r="G7792" t="s">
        <v>16942</v>
      </c>
      <c r="H7792" t="s">
        <v>5474</v>
      </c>
      <c r="I7792" t="s">
        <v>28399</v>
      </c>
      <c r="J7792" t="s">
        <v>5484</v>
      </c>
      <c r="K7792" t="s">
        <v>28320</v>
      </c>
      <c r="L7792" t="s">
        <v>5471</v>
      </c>
      <c r="M7792" t="s">
        <v>5471</v>
      </c>
    </row>
    <row r="7793" spans="1:13" x14ac:dyDescent="0.3">
      <c r="A7793" t="s">
        <v>3380</v>
      </c>
      <c r="B7793" t="s">
        <v>16940</v>
      </c>
      <c r="C7793" t="s">
        <v>6342</v>
      </c>
      <c r="D7793" t="s">
        <v>4200</v>
      </c>
      <c r="E7793" t="s">
        <v>5532</v>
      </c>
      <c r="F7793" t="s">
        <v>28400</v>
      </c>
      <c r="G7793" t="s">
        <v>16942</v>
      </c>
      <c r="H7793" t="s">
        <v>5474</v>
      </c>
      <c r="I7793" t="s">
        <v>28401</v>
      </c>
      <c r="J7793" t="s">
        <v>5484</v>
      </c>
      <c r="K7793" t="s">
        <v>28315</v>
      </c>
      <c r="L7793" t="s">
        <v>5471</v>
      </c>
      <c r="M7793" t="s">
        <v>5471</v>
      </c>
    </row>
    <row r="7794" spans="1:13" x14ac:dyDescent="0.3">
      <c r="A7794" t="s">
        <v>3380</v>
      </c>
      <c r="B7794" t="s">
        <v>16940</v>
      </c>
      <c r="C7794" t="s">
        <v>6342</v>
      </c>
      <c r="D7794" t="s">
        <v>4200</v>
      </c>
      <c r="E7794" t="s">
        <v>5532</v>
      </c>
      <c r="F7794" t="s">
        <v>28402</v>
      </c>
      <c r="G7794" t="s">
        <v>16942</v>
      </c>
      <c r="H7794" t="s">
        <v>5474</v>
      </c>
      <c r="I7794" t="s">
        <v>28403</v>
      </c>
      <c r="J7794" t="s">
        <v>5484</v>
      </c>
      <c r="K7794" t="s">
        <v>16381</v>
      </c>
      <c r="L7794" t="s">
        <v>5471</v>
      </c>
      <c r="M7794" t="s">
        <v>5471</v>
      </c>
    </row>
    <row r="7795" spans="1:13" x14ac:dyDescent="0.3">
      <c r="A7795" t="s">
        <v>3380</v>
      </c>
      <c r="B7795" t="s">
        <v>16940</v>
      </c>
      <c r="C7795" t="s">
        <v>6342</v>
      </c>
      <c r="D7795" t="s">
        <v>4200</v>
      </c>
      <c r="E7795" t="s">
        <v>5532</v>
      </c>
      <c r="F7795" t="s">
        <v>28404</v>
      </c>
      <c r="G7795" t="s">
        <v>16942</v>
      </c>
      <c r="H7795" t="s">
        <v>5474</v>
      </c>
      <c r="I7795" t="s">
        <v>28405</v>
      </c>
      <c r="J7795" t="s">
        <v>5484</v>
      </c>
      <c r="K7795" t="s">
        <v>28315</v>
      </c>
      <c r="L7795" t="s">
        <v>5471</v>
      </c>
      <c r="M7795" t="s">
        <v>5471</v>
      </c>
    </row>
    <row r="7796" spans="1:13" x14ac:dyDescent="0.3">
      <c r="A7796" t="s">
        <v>3380</v>
      </c>
      <c r="B7796" t="s">
        <v>16102</v>
      </c>
      <c r="C7796" t="s">
        <v>6342</v>
      </c>
      <c r="D7796" t="s">
        <v>4200</v>
      </c>
      <c r="E7796" t="s">
        <v>5532</v>
      </c>
      <c r="F7796" t="s">
        <v>28406</v>
      </c>
      <c r="G7796" t="s">
        <v>22763</v>
      </c>
      <c r="H7796" t="s">
        <v>5474</v>
      </c>
      <c r="I7796" t="s">
        <v>28407</v>
      </c>
      <c r="J7796" t="s">
        <v>5476</v>
      </c>
      <c r="K7796" t="s">
        <v>16381</v>
      </c>
      <c r="L7796" t="s">
        <v>5471</v>
      </c>
      <c r="M7796" t="s">
        <v>5471</v>
      </c>
    </row>
    <row r="7797" spans="1:13" x14ac:dyDescent="0.3">
      <c r="A7797" t="s">
        <v>3380</v>
      </c>
      <c r="B7797" t="s">
        <v>16102</v>
      </c>
      <c r="C7797" t="s">
        <v>6342</v>
      </c>
      <c r="D7797" t="s">
        <v>4200</v>
      </c>
      <c r="E7797" t="s">
        <v>5532</v>
      </c>
      <c r="F7797" t="s">
        <v>28408</v>
      </c>
      <c r="G7797" t="s">
        <v>22763</v>
      </c>
      <c r="H7797" t="s">
        <v>5474</v>
      </c>
      <c r="I7797" t="s">
        <v>28409</v>
      </c>
      <c r="J7797" t="s">
        <v>5476</v>
      </c>
      <c r="K7797" t="s">
        <v>28315</v>
      </c>
      <c r="L7797" t="s">
        <v>5471</v>
      </c>
      <c r="M7797" t="s">
        <v>5471</v>
      </c>
    </row>
    <row r="7798" spans="1:13" x14ac:dyDescent="0.3">
      <c r="A7798" t="s">
        <v>3380</v>
      </c>
      <c r="B7798" t="s">
        <v>16102</v>
      </c>
      <c r="C7798" t="s">
        <v>6342</v>
      </c>
      <c r="D7798" t="s">
        <v>4200</v>
      </c>
      <c r="E7798" t="s">
        <v>5532</v>
      </c>
      <c r="F7798" t="s">
        <v>28410</v>
      </c>
      <c r="G7798" t="s">
        <v>22766</v>
      </c>
      <c r="H7798" t="s">
        <v>5474</v>
      </c>
      <c r="I7798" t="s">
        <v>28411</v>
      </c>
      <c r="J7798" t="s">
        <v>5476</v>
      </c>
      <c r="K7798" t="s">
        <v>28320</v>
      </c>
      <c r="L7798" t="s">
        <v>5471</v>
      </c>
      <c r="M7798" t="s">
        <v>5471</v>
      </c>
    </row>
    <row r="7799" spans="1:13" x14ac:dyDescent="0.3">
      <c r="A7799" t="s">
        <v>3380</v>
      </c>
      <c r="B7799" t="s">
        <v>16102</v>
      </c>
      <c r="C7799" t="s">
        <v>6342</v>
      </c>
      <c r="D7799" t="s">
        <v>4200</v>
      </c>
      <c r="E7799" t="s">
        <v>5532</v>
      </c>
      <c r="F7799" t="s">
        <v>28412</v>
      </c>
      <c r="G7799" t="s">
        <v>16104</v>
      </c>
      <c r="H7799" t="s">
        <v>5474</v>
      </c>
      <c r="I7799" t="s">
        <v>28413</v>
      </c>
      <c r="J7799" t="s">
        <v>5476</v>
      </c>
      <c r="K7799" t="s">
        <v>28320</v>
      </c>
      <c r="L7799" t="s">
        <v>5471</v>
      </c>
      <c r="M7799" t="s">
        <v>5471</v>
      </c>
    </row>
    <row r="7800" spans="1:13" x14ac:dyDescent="0.3">
      <c r="A7800" t="s">
        <v>3380</v>
      </c>
      <c r="B7800" t="s">
        <v>9713</v>
      </c>
      <c r="C7800" t="s">
        <v>6342</v>
      </c>
      <c r="D7800" t="s">
        <v>4200</v>
      </c>
      <c r="E7800" t="s">
        <v>5843</v>
      </c>
      <c r="F7800" t="s">
        <v>28414</v>
      </c>
      <c r="G7800" t="s">
        <v>11583</v>
      </c>
      <c r="H7800" t="s">
        <v>5474</v>
      </c>
      <c r="I7800" t="s">
        <v>28415</v>
      </c>
      <c r="J7800" t="s">
        <v>5484</v>
      </c>
      <c r="K7800" t="s">
        <v>16381</v>
      </c>
      <c r="L7800" t="s">
        <v>5471</v>
      </c>
      <c r="M7800" t="s">
        <v>5471</v>
      </c>
    </row>
    <row r="7801" spans="1:13" x14ac:dyDescent="0.3">
      <c r="A7801" t="s">
        <v>3380</v>
      </c>
      <c r="B7801" t="s">
        <v>9713</v>
      </c>
      <c r="C7801" t="s">
        <v>6342</v>
      </c>
      <c r="D7801" t="s">
        <v>4200</v>
      </c>
      <c r="E7801" t="s">
        <v>5532</v>
      </c>
      <c r="F7801" t="s">
        <v>28416</v>
      </c>
      <c r="G7801" t="s">
        <v>11587</v>
      </c>
      <c r="H7801" t="s">
        <v>5474</v>
      </c>
      <c r="I7801" t="s">
        <v>28417</v>
      </c>
      <c r="J7801" t="s">
        <v>5484</v>
      </c>
      <c r="K7801" t="s">
        <v>16381</v>
      </c>
      <c r="L7801" t="s">
        <v>5471</v>
      </c>
      <c r="M7801" t="s">
        <v>5471</v>
      </c>
    </row>
    <row r="7802" spans="1:13" x14ac:dyDescent="0.3">
      <c r="A7802" t="s">
        <v>3380</v>
      </c>
      <c r="B7802" t="s">
        <v>9713</v>
      </c>
      <c r="C7802" t="s">
        <v>6342</v>
      </c>
      <c r="D7802" t="s">
        <v>4200</v>
      </c>
      <c r="E7802" t="s">
        <v>5843</v>
      </c>
      <c r="F7802" t="s">
        <v>28418</v>
      </c>
      <c r="G7802" t="s">
        <v>28345</v>
      </c>
      <c r="H7802" t="s">
        <v>5474</v>
      </c>
      <c r="I7802" t="s">
        <v>28419</v>
      </c>
      <c r="J7802" t="s">
        <v>5484</v>
      </c>
      <c r="K7802" t="s">
        <v>28361</v>
      </c>
      <c r="L7802" t="s">
        <v>5471</v>
      </c>
      <c r="M7802" t="s">
        <v>5471</v>
      </c>
    </row>
    <row r="7803" spans="1:13" x14ac:dyDescent="0.3">
      <c r="A7803" t="s">
        <v>3380</v>
      </c>
      <c r="B7803" t="s">
        <v>16102</v>
      </c>
      <c r="C7803" t="s">
        <v>6342</v>
      </c>
      <c r="D7803" t="s">
        <v>4200</v>
      </c>
      <c r="E7803" t="s">
        <v>5532</v>
      </c>
      <c r="F7803" t="s">
        <v>28420</v>
      </c>
      <c r="G7803" t="s">
        <v>16104</v>
      </c>
      <c r="H7803" t="s">
        <v>5474</v>
      </c>
      <c r="I7803" t="s">
        <v>28421</v>
      </c>
      <c r="J7803" t="s">
        <v>5476</v>
      </c>
      <c r="K7803" t="s">
        <v>16381</v>
      </c>
      <c r="L7803" t="s">
        <v>5471</v>
      </c>
      <c r="M7803" t="s">
        <v>5471</v>
      </c>
    </row>
    <row r="7804" spans="1:13" x14ac:dyDescent="0.3">
      <c r="A7804" t="s">
        <v>3380</v>
      </c>
      <c r="B7804" t="s">
        <v>9713</v>
      </c>
      <c r="C7804" t="s">
        <v>6342</v>
      </c>
      <c r="D7804" t="s">
        <v>4200</v>
      </c>
      <c r="E7804" t="s">
        <v>5532</v>
      </c>
      <c r="F7804" t="s">
        <v>28422</v>
      </c>
      <c r="G7804" t="s">
        <v>28340</v>
      </c>
      <c r="H7804" t="s">
        <v>5474</v>
      </c>
      <c r="I7804" t="s">
        <v>28423</v>
      </c>
      <c r="J7804" t="s">
        <v>5484</v>
      </c>
      <c r="K7804" t="s">
        <v>28320</v>
      </c>
      <c r="L7804" t="s">
        <v>5471</v>
      </c>
      <c r="M7804" t="s">
        <v>5471</v>
      </c>
    </row>
    <row r="7805" spans="1:13" x14ac:dyDescent="0.3">
      <c r="A7805" t="s">
        <v>3380</v>
      </c>
      <c r="B7805" t="s">
        <v>16268</v>
      </c>
      <c r="C7805" t="s">
        <v>6342</v>
      </c>
      <c r="D7805" t="s">
        <v>4200</v>
      </c>
      <c r="E7805" t="s">
        <v>5843</v>
      </c>
      <c r="F7805" t="s">
        <v>28424</v>
      </c>
      <c r="G7805" t="s">
        <v>28357</v>
      </c>
      <c r="H7805" t="s">
        <v>5474</v>
      </c>
      <c r="I7805" t="s">
        <v>28425</v>
      </c>
      <c r="J7805" t="s">
        <v>5484</v>
      </c>
      <c r="K7805" t="s">
        <v>16805</v>
      </c>
      <c r="L7805" t="s">
        <v>5471</v>
      </c>
      <c r="M7805" t="s">
        <v>5471</v>
      </c>
    </row>
    <row r="7806" spans="1:13" x14ac:dyDescent="0.3">
      <c r="A7806" t="s">
        <v>3380</v>
      </c>
      <c r="B7806" t="s">
        <v>27164</v>
      </c>
      <c r="C7806" t="s">
        <v>6342</v>
      </c>
      <c r="D7806" t="s">
        <v>4200</v>
      </c>
      <c r="E7806" t="s">
        <v>5532</v>
      </c>
      <c r="F7806" t="s">
        <v>28426</v>
      </c>
      <c r="G7806" t="s">
        <v>28427</v>
      </c>
      <c r="H7806" t="s">
        <v>5474</v>
      </c>
      <c r="I7806" t="s">
        <v>28428</v>
      </c>
      <c r="J7806" t="s">
        <v>5484</v>
      </c>
      <c r="K7806" t="s">
        <v>16381</v>
      </c>
      <c r="L7806" t="s">
        <v>5471</v>
      </c>
      <c r="M7806" t="s">
        <v>5471</v>
      </c>
    </row>
    <row r="7807" spans="1:13" x14ac:dyDescent="0.3">
      <c r="A7807" t="s">
        <v>3380</v>
      </c>
      <c r="B7807" t="s">
        <v>9713</v>
      </c>
      <c r="C7807" t="s">
        <v>6342</v>
      </c>
      <c r="D7807" t="s">
        <v>4200</v>
      </c>
      <c r="E7807" t="s">
        <v>5843</v>
      </c>
      <c r="F7807" t="s">
        <v>28429</v>
      </c>
      <c r="G7807" t="s">
        <v>28351</v>
      </c>
      <c r="H7807" t="s">
        <v>5474</v>
      </c>
      <c r="I7807" t="s">
        <v>28430</v>
      </c>
      <c r="J7807" t="s">
        <v>5484</v>
      </c>
      <c r="K7807" t="s">
        <v>28361</v>
      </c>
      <c r="L7807" t="s">
        <v>5471</v>
      </c>
      <c r="M7807" t="s">
        <v>5471</v>
      </c>
    </row>
    <row r="7808" spans="1:13" x14ac:dyDescent="0.3">
      <c r="A7808" t="s">
        <v>3380</v>
      </c>
      <c r="B7808" t="s">
        <v>5281</v>
      </c>
      <c r="C7808" t="s">
        <v>5487</v>
      </c>
      <c r="D7808" t="s">
        <v>4200</v>
      </c>
      <c r="E7808" t="s">
        <v>5532</v>
      </c>
      <c r="F7808" t="s">
        <v>28431</v>
      </c>
      <c r="G7808" t="s">
        <v>16799</v>
      </c>
      <c r="H7808" t="s">
        <v>5474</v>
      </c>
      <c r="I7808" t="s">
        <v>28432</v>
      </c>
      <c r="J7808" t="s">
        <v>5484</v>
      </c>
      <c r="K7808" t="s">
        <v>28320</v>
      </c>
      <c r="L7808" t="s">
        <v>5471</v>
      </c>
      <c r="M7808" t="s">
        <v>5471</v>
      </c>
    </row>
    <row r="7809" spans="1:13" x14ac:dyDescent="0.3">
      <c r="A7809" t="s">
        <v>3380</v>
      </c>
      <c r="B7809" t="s">
        <v>10051</v>
      </c>
      <c r="C7809" t="s">
        <v>6342</v>
      </c>
      <c r="D7809" t="s">
        <v>4200</v>
      </c>
      <c r="E7809" t="s">
        <v>5532</v>
      </c>
      <c r="F7809" t="s">
        <v>28433</v>
      </c>
      <c r="G7809" t="s">
        <v>10063</v>
      </c>
      <c r="H7809" t="s">
        <v>5474</v>
      </c>
      <c r="I7809" t="s">
        <v>28434</v>
      </c>
      <c r="J7809" t="s">
        <v>5484</v>
      </c>
      <c r="K7809" t="s">
        <v>16381</v>
      </c>
      <c r="L7809" t="s">
        <v>5471</v>
      </c>
      <c r="M7809" t="s">
        <v>5471</v>
      </c>
    </row>
    <row r="7810" spans="1:13" x14ac:dyDescent="0.3">
      <c r="A7810" t="s">
        <v>3380</v>
      </c>
      <c r="B7810" t="s">
        <v>10051</v>
      </c>
      <c r="C7810" t="s">
        <v>6342</v>
      </c>
      <c r="D7810" t="s">
        <v>4200</v>
      </c>
      <c r="E7810" t="s">
        <v>5532</v>
      </c>
      <c r="F7810" t="s">
        <v>28435</v>
      </c>
      <c r="G7810" t="s">
        <v>10053</v>
      </c>
      <c r="H7810" t="s">
        <v>5474</v>
      </c>
      <c r="I7810" t="s">
        <v>28436</v>
      </c>
      <c r="J7810" t="s">
        <v>5484</v>
      </c>
      <c r="K7810" t="s">
        <v>28320</v>
      </c>
      <c r="L7810" t="s">
        <v>5471</v>
      </c>
      <c r="M7810" t="s">
        <v>5471</v>
      </c>
    </row>
    <row r="7811" spans="1:13" x14ac:dyDescent="0.3">
      <c r="A7811" t="s">
        <v>3380</v>
      </c>
      <c r="B7811" t="s">
        <v>9934</v>
      </c>
      <c r="C7811" t="s">
        <v>6342</v>
      </c>
      <c r="D7811" t="s">
        <v>4200</v>
      </c>
      <c r="E7811" t="s">
        <v>9935</v>
      </c>
      <c r="F7811" t="s">
        <v>28437</v>
      </c>
      <c r="G7811" t="s">
        <v>10016</v>
      </c>
      <c r="H7811" t="s">
        <v>5474</v>
      </c>
      <c r="I7811" t="s">
        <v>28438</v>
      </c>
      <c r="J7811" t="s">
        <v>5484</v>
      </c>
      <c r="K7811" t="s">
        <v>28320</v>
      </c>
      <c r="L7811" t="s">
        <v>5471</v>
      </c>
      <c r="M7811" t="s">
        <v>5471</v>
      </c>
    </row>
    <row r="7812" spans="1:13" x14ac:dyDescent="0.3">
      <c r="A7812" t="s">
        <v>3380</v>
      </c>
      <c r="B7812" t="s">
        <v>9934</v>
      </c>
      <c r="C7812" t="s">
        <v>6342</v>
      </c>
      <c r="D7812" t="s">
        <v>4200</v>
      </c>
      <c r="E7812" t="s">
        <v>9935</v>
      </c>
      <c r="F7812" t="s">
        <v>28439</v>
      </c>
      <c r="G7812" t="s">
        <v>10708</v>
      </c>
      <c r="H7812" t="s">
        <v>5474</v>
      </c>
      <c r="I7812" t="s">
        <v>28440</v>
      </c>
      <c r="J7812" t="s">
        <v>5484</v>
      </c>
      <c r="K7812" t="s">
        <v>16381</v>
      </c>
      <c r="L7812" t="s">
        <v>5471</v>
      </c>
      <c r="M7812" t="s">
        <v>5471</v>
      </c>
    </row>
    <row r="7813" spans="1:13" x14ac:dyDescent="0.3">
      <c r="A7813" t="s">
        <v>3380</v>
      </c>
      <c r="B7813" t="s">
        <v>9934</v>
      </c>
      <c r="C7813" t="s">
        <v>6342</v>
      </c>
      <c r="D7813" t="s">
        <v>4200</v>
      </c>
      <c r="E7813" t="s">
        <v>9935</v>
      </c>
      <c r="F7813" t="s">
        <v>28441</v>
      </c>
      <c r="G7813" t="s">
        <v>10708</v>
      </c>
      <c r="H7813" t="s">
        <v>5474</v>
      </c>
      <c r="I7813" t="s">
        <v>28442</v>
      </c>
      <c r="J7813" t="s">
        <v>5484</v>
      </c>
      <c r="K7813" t="s">
        <v>28320</v>
      </c>
      <c r="L7813" t="s">
        <v>5471</v>
      </c>
      <c r="M7813" t="s">
        <v>5471</v>
      </c>
    </row>
    <row r="7814" spans="1:13" x14ac:dyDescent="0.3">
      <c r="A7814" t="s">
        <v>3380</v>
      </c>
      <c r="B7814" t="s">
        <v>9934</v>
      </c>
      <c r="C7814" t="s">
        <v>6342</v>
      </c>
      <c r="D7814" t="s">
        <v>4200</v>
      </c>
      <c r="E7814" t="s">
        <v>9935</v>
      </c>
      <c r="F7814" t="s">
        <v>28443</v>
      </c>
      <c r="G7814" t="s">
        <v>10007</v>
      </c>
      <c r="H7814" t="s">
        <v>5474</v>
      </c>
      <c r="I7814" t="s">
        <v>28444</v>
      </c>
      <c r="J7814" t="s">
        <v>5484</v>
      </c>
      <c r="K7814" t="s">
        <v>28320</v>
      </c>
      <c r="L7814" t="s">
        <v>5471</v>
      </c>
      <c r="M7814" t="s">
        <v>5471</v>
      </c>
    </row>
    <row r="7815" spans="1:13" x14ac:dyDescent="0.3">
      <c r="A7815" t="s">
        <v>3380</v>
      </c>
      <c r="B7815" t="s">
        <v>5306</v>
      </c>
      <c r="C7815" t="s">
        <v>6342</v>
      </c>
      <c r="D7815" t="s">
        <v>4200</v>
      </c>
      <c r="E7815" t="s">
        <v>5532</v>
      </c>
      <c r="F7815" t="s">
        <v>28445</v>
      </c>
      <c r="G7815" t="s">
        <v>15601</v>
      </c>
      <c r="H7815" t="s">
        <v>5474</v>
      </c>
      <c r="I7815" t="s">
        <v>28446</v>
      </c>
      <c r="J7815" t="s">
        <v>5476</v>
      </c>
      <c r="K7815" t="s">
        <v>16381</v>
      </c>
      <c r="L7815" t="s">
        <v>5471</v>
      </c>
      <c r="M7815" t="s">
        <v>5471</v>
      </c>
    </row>
    <row r="7816" spans="1:13" x14ac:dyDescent="0.3">
      <c r="A7816" t="s">
        <v>3380</v>
      </c>
      <c r="B7816" t="s">
        <v>10105</v>
      </c>
      <c r="C7816" t="s">
        <v>6342</v>
      </c>
      <c r="D7816" t="s">
        <v>4200</v>
      </c>
      <c r="E7816" t="s">
        <v>5532</v>
      </c>
      <c r="F7816" t="s">
        <v>28447</v>
      </c>
      <c r="G7816" t="s">
        <v>28383</v>
      </c>
      <c r="H7816" t="s">
        <v>5474</v>
      </c>
      <c r="I7816" t="s">
        <v>28448</v>
      </c>
      <c r="J7816" t="s">
        <v>5484</v>
      </c>
      <c r="K7816" t="s">
        <v>28315</v>
      </c>
      <c r="L7816" t="s">
        <v>5471</v>
      </c>
      <c r="M7816" t="s">
        <v>5471</v>
      </c>
    </row>
    <row r="7817" spans="1:13" x14ac:dyDescent="0.3">
      <c r="A7817" t="s">
        <v>3380</v>
      </c>
      <c r="B7817" t="s">
        <v>10105</v>
      </c>
      <c r="C7817" t="s">
        <v>6342</v>
      </c>
      <c r="D7817" t="s">
        <v>4200</v>
      </c>
      <c r="E7817" t="s">
        <v>5843</v>
      </c>
      <c r="F7817" t="s">
        <v>28449</v>
      </c>
      <c r="G7817" t="s">
        <v>16405</v>
      </c>
      <c r="H7817" t="s">
        <v>5474</v>
      </c>
      <c r="I7817" t="s">
        <v>28450</v>
      </c>
      <c r="J7817" t="s">
        <v>5484</v>
      </c>
      <c r="K7817" t="s">
        <v>16805</v>
      </c>
      <c r="L7817" t="s">
        <v>5471</v>
      </c>
      <c r="M7817" t="s">
        <v>5471</v>
      </c>
    </row>
    <row r="7818" spans="1:13" x14ac:dyDescent="0.3">
      <c r="A7818" t="s">
        <v>3380</v>
      </c>
      <c r="B7818" t="s">
        <v>11677</v>
      </c>
      <c r="C7818" t="s">
        <v>6342</v>
      </c>
      <c r="D7818" t="s">
        <v>4200</v>
      </c>
      <c r="E7818" t="s">
        <v>5617</v>
      </c>
      <c r="F7818" t="s">
        <v>28451</v>
      </c>
      <c r="G7818" t="s">
        <v>28392</v>
      </c>
      <c r="H7818" t="s">
        <v>5474</v>
      </c>
      <c r="I7818" t="s">
        <v>28452</v>
      </c>
      <c r="J7818" t="s">
        <v>5484</v>
      </c>
      <c r="K7818" t="s">
        <v>16805</v>
      </c>
      <c r="L7818" t="s">
        <v>5471</v>
      </c>
      <c r="M7818" t="s">
        <v>5471</v>
      </c>
    </row>
    <row r="7819" spans="1:13" x14ac:dyDescent="0.3">
      <c r="A7819" t="s">
        <v>3380</v>
      </c>
      <c r="B7819" t="s">
        <v>11677</v>
      </c>
      <c r="C7819" t="s">
        <v>6342</v>
      </c>
      <c r="D7819" t="s">
        <v>4200</v>
      </c>
      <c r="E7819" t="s">
        <v>5617</v>
      </c>
      <c r="F7819" t="s">
        <v>28453</v>
      </c>
      <c r="G7819" t="s">
        <v>28392</v>
      </c>
      <c r="H7819" t="s">
        <v>5474</v>
      </c>
      <c r="I7819" t="s">
        <v>28454</v>
      </c>
      <c r="J7819" t="s">
        <v>5484</v>
      </c>
      <c r="K7819" t="s">
        <v>28349</v>
      </c>
      <c r="L7819" t="s">
        <v>5471</v>
      </c>
      <c r="M7819" t="s">
        <v>5471</v>
      </c>
    </row>
    <row r="7820" spans="1:13" x14ac:dyDescent="0.3">
      <c r="A7820" t="s">
        <v>3380</v>
      </c>
      <c r="B7820" t="s">
        <v>5337</v>
      </c>
      <c r="C7820" t="s">
        <v>6342</v>
      </c>
      <c r="D7820" t="s">
        <v>4200</v>
      </c>
      <c r="E7820" t="s">
        <v>5532</v>
      </c>
      <c r="F7820" t="s">
        <v>28455</v>
      </c>
      <c r="G7820" t="s">
        <v>25748</v>
      </c>
      <c r="H7820" t="s">
        <v>5474</v>
      </c>
      <c r="I7820" t="s">
        <v>28456</v>
      </c>
      <c r="J7820" t="s">
        <v>5484</v>
      </c>
      <c r="K7820" t="s">
        <v>28320</v>
      </c>
      <c r="L7820" t="s">
        <v>5471</v>
      </c>
      <c r="M7820" t="s">
        <v>5471</v>
      </c>
    </row>
    <row r="7821" spans="1:13" x14ac:dyDescent="0.3">
      <c r="A7821" t="s">
        <v>3380</v>
      </c>
      <c r="B7821" t="s">
        <v>5337</v>
      </c>
      <c r="C7821" t="s">
        <v>6342</v>
      </c>
      <c r="D7821" t="s">
        <v>4200</v>
      </c>
      <c r="E7821" t="s">
        <v>5532</v>
      </c>
      <c r="F7821" t="s">
        <v>28457</v>
      </c>
      <c r="G7821" t="s">
        <v>28458</v>
      </c>
      <c r="H7821" t="s">
        <v>5474</v>
      </c>
      <c r="I7821" t="s">
        <v>28459</v>
      </c>
      <c r="J7821" t="s">
        <v>5484</v>
      </c>
      <c r="K7821" t="s">
        <v>16381</v>
      </c>
      <c r="L7821" t="s">
        <v>5471</v>
      </c>
      <c r="M7821" t="s">
        <v>5471</v>
      </c>
    </row>
    <row r="7822" spans="1:13" x14ac:dyDescent="0.3">
      <c r="A7822" t="s">
        <v>3380</v>
      </c>
      <c r="B7822" t="s">
        <v>16940</v>
      </c>
      <c r="C7822" t="s">
        <v>6342</v>
      </c>
      <c r="D7822" t="s">
        <v>4200</v>
      </c>
      <c r="E7822" t="s">
        <v>5532</v>
      </c>
      <c r="F7822" t="s">
        <v>28460</v>
      </c>
      <c r="G7822" t="s">
        <v>16942</v>
      </c>
      <c r="H7822" t="s">
        <v>5474</v>
      </c>
      <c r="I7822" t="s">
        <v>28461</v>
      </c>
      <c r="J7822" t="s">
        <v>5484</v>
      </c>
      <c r="K7822" t="s">
        <v>16381</v>
      </c>
      <c r="L7822" t="s">
        <v>5471</v>
      </c>
      <c r="M7822" t="s">
        <v>5471</v>
      </c>
    </row>
    <row r="7823" spans="1:13" x14ac:dyDescent="0.3">
      <c r="A7823" t="s">
        <v>3380</v>
      </c>
      <c r="B7823" t="s">
        <v>16940</v>
      </c>
      <c r="C7823" t="s">
        <v>6342</v>
      </c>
      <c r="D7823" t="s">
        <v>4200</v>
      </c>
      <c r="E7823" t="s">
        <v>5532</v>
      </c>
      <c r="F7823" t="s">
        <v>28462</v>
      </c>
      <c r="G7823" t="s">
        <v>16942</v>
      </c>
      <c r="H7823" t="s">
        <v>5474</v>
      </c>
      <c r="I7823" t="s">
        <v>28463</v>
      </c>
      <c r="J7823" t="s">
        <v>5484</v>
      </c>
      <c r="K7823" t="s">
        <v>28320</v>
      </c>
      <c r="L7823" t="s">
        <v>5471</v>
      </c>
      <c r="M7823" t="s">
        <v>5471</v>
      </c>
    </row>
    <row r="7824" spans="1:13" x14ac:dyDescent="0.3">
      <c r="A7824" t="s">
        <v>3380</v>
      </c>
      <c r="B7824" t="s">
        <v>16934</v>
      </c>
      <c r="C7824" t="s">
        <v>5487</v>
      </c>
      <c r="D7824" t="s">
        <v>4056</v>
      </c>
      <c r="E7824" t="s">
        <v>5532</v>
      </c>
      <c r="F7824" t="s">
        <v>28464</v>
      </c>
      <c r="G7824" t="s">
        <v>28465</v>
      </c>
      <c r="H7824" t="s">
        <v>5474</v>
      </c>
      <c r="I7824" t="s">
        <v>28466</v>
      </c>
      <c r="J7824" t="s">
        <v>5484</v>
      </c>
      <c r="K7824" t="s">
        <v>28467</v>
      </c>
      <c r="L7824" t="s">
        <v>5471</v>
      </c>
      <c r="M7824" t="s">
        <v>5471</v>
      </c>
    </row>
    <row r="7825" spans="1:13" x14ac:dyDescent="0.3">
      <c r="A7825" t="s">
        <v>3380</v>
      </c>
      <c r="B7825" t="s">
        <v>16934</v>
      </c>
      <c r="C7825" t="s">
        <v>5487</v>
      </c>
      <c r="D7825" t="s">
        <v>4056</v>
      </c>
      <c r="E7825" t="s">
        <v>5532</v>
      </c>
      <c r="F7825" t="s">
        <v>28468</v>
      </c>
      <c r="G7825" t="s">
        <v>28465</v>
      </c>
      <c r="H7825" t="s">
        <v>5474</v>
      </c>
      <c r="I7825" t="s">
        <v>28469</v>
      </c>
      <c r="J7825" t="s">
        <v>5484</v>
      </c>
      <c r="K7825" t="s">
        <v>28470</v>
      </c>
      <c r="L7825" t="s">
        <v>5471</v>
      </c>
      <c r="M7825" t="s">
        <v>5471</v>
      </c>
    </row>
    <row r="7826" spans="1:13" x14ac:dyDescent="0.3">
      <c r="A7826" t="s">
        <v>3380</v>
      </c>
      <c r="B7826" t="s">
        <v>16934</v>
      </c>
      <c r="C7826" t="s">
        <v>5487</v>
      </c>
      <c r="D7826" t="s">
        <v>4056</v>
      </c>
      <c r="E7826" t="s">
        <v>5532</v>
      </c>
      <c r="F7826" t="s">
        <v>28471</v>
      </c>
      <c r="G7826" t="s">
        <v>28465</v>
      </c>
      <c r="H7826" t="s">
        <v>5474</v>
      </c>
      <c r="I7826" t="s">
        <v>28472</v>
      </c>
      <c r="J7826" t="s">
        <v>5484</v>
      </c>
      <c r="K7826" t="s">
        <v>28473</v>
      </c>
      <c r="L7826" t="s">
        <v>5471</v>
      </c>
      <c r="M7826" t="s">
        <v>5471</v>
      </c>
    </row>
    <row r="7827" spans="1:13" x14ac:dyDescent="0.3">
      <c r="A7827" t="s">
        <v>3380</v>
      </c>
      <c r="B7827" t="s">
        <v>16102</v>
      </c>
      <c r="C7827" t="s">
        <v>6342</v>
      </c>
      <c r="D7827" t="s">
        <v>4056</v>
      </c>
      <c r="E7827" t="s">
        <v>5532</v>
      </c>
      <c r="F7827" t="s">
        <v>28474</v>
      </c>
      <c r="G7827" t="s">
        <v>27943</v>
      </c>
      <c r="H7827" t="s">
        <v>5474</v>
      </c>
      <c r="I7827" t="s">
        <v>28475</v>
      </c>
      <c r="J7827" t="s">
        <v>5476</v>
      </c>
      <c r="K7827" t="s">
        <v>28473</v>
      </c>
      <c r="L7827" t="s">
        <v>5471</v>
      </c>
      <c r="M7827" t="s">
        <v>5471</v>
      </c>
    </row>
    <row r="7828" spans="1:13" x14ac:dyDescent="0.3">
      <c r="A7828" t="s">
        <v>3380</v>
      </c>
      <c r="B7828" t="s">
        <v>16102</v>
      </c>
      <c r="C7828" t="s">
        <v>6342</v>
      </c>
      <c r="D7828" t="s">
        <v>4056</v>
      </c>
      <c r="E7828" t="s">
        <v>5532</v>
      </c>
      <c r="F7828" t="s">
        <v>28476</v>
      </c>
      <c r="G7828" t="s">
        <v>27943</v>
      </c>
      <c r="H7828" t="s">
        <v>5474</v>
      </c>
      <c r="I7828" t="s">
        <v>28477</v>
      </c>
      <c r="J7828" t="s">
        <v>5476</v>
      </c>
      <c r="K7828" t="s">
        <v>28470</v>
      </c>
      <c r="L7828" t="s">
        <v>5471</v>
      </c>
      <c r="M7828" t="s">
        <v>5471</v>
      </c>
    </row>
    <row r="7829" spans="1:13" x14ac:dyDescent="0.3">
      <c r="A7829" t="s">
        <v>3380</v>
      </c>
      <c r="B7829" t="s">
        <v>5261</v>
      </c>
      <c r="C7829" t="s">
        <v>6342</v>
      </c>
      <c r="D7829" t="s">
        <v>4052</v>
      </c>
      <c r="E7829" t="s">
        <v>9935</v>
      </c>
      <c r="F7829" t="s">
        <v>28478</v>
      </c>
      <c r="G7829" t="s">
        <v>25135</v>
      </c>
      <c r="H7829" t="s">
        <v>5474</v>
      </c>
      <c r="I7829" t="s">
        <v>28479</v>
      </c>
      <c r="J7829" t="s">
        <v>5476</v>
      </c>
      <c r="K7829" t="s">
        <v>16142</v>
      </c>
      <c r="L7829" t="s">
        <v>5471</v>
      </c>
      <c r="M7829" t="s">
        <v>5471</v>
      </c>
    </row>
    <row r="7830" spans="1:13" x14ac:dyDescent="0.3">
      <c r="A7830" t="s">
        <v>3380</v>
      </c>
      <c r="B7830" t="s">
        <v>5261</v>
      </c>
      <c r="C7830" t="s">
        <v>6342</v>
      </c>
      <c r="D7830" t="s">
        <v>4052</v>
      </c>
      <c r="E7830" t="s">
        <v>9935</v>
      </c>
      <c r="F7830" t="s">
        <v>28480</v>
      </c>
      <c r="G7830" t="s">
        <v>28481</v>
      </c>
      <c r="H7830" t="s">
        <v>5474</v>
      </c>
      <c r="I7830" t="s">
        <v>28482</v>
      </c>
      <c r="J7830" t="s">
        <v>5476</v>
      </c>
      <c r="K7830" t="s">
        <v>16149</v>
      </c>
      <c r="L7830" t="s">
        <v>5471</v>
      </c>
      <c r="M7830" t="s">
        <v>5471</v>
      </c>
    </row>
    <row r="7831" spans="1:13" x14ac:dyDescent="0.3">
      <c r="A7831" t="s">
        <v>3380</v>
      </c>
      <c r="B7831" t="s">
        <v>9713</v>
      </c>
      <c r="C7831" t="s">
        <v>6342</v>
      </c>
      <c r="D7831" t="s">
        <v>4052</v>
      </c>
      <c r="E7831" t="s">
        <v>9935</v>
      </c>
      <c r="F7831" t="s">
        <v>28483</v>
      </c>
      <c r="G7831" t="s">
        <v>25315</v>
      </c>
      <c r="H7831" t="s">
        <v>5474</v>
      </c>
      <c r="I7831" t="s">
        <v>28484</v>
      </c>
      <c r="J7831" t="s">
        <v>5484</v>
      </c>
      <c r="K7831" t="s">
        <v>16582</v>
      </c>
      <c r="L7831" t="s">
        <v>5471</v>
      </c>
      <c r="M7831" t="s">
        <v>5471</v>
      </c>
    </row>
    <row r="7832" spans="1:13" x14ac:dyDescent="0.3">
      <c r="A7832" t="s">
        <v>3380</v>
      </c>
      <c r="B7832" t="s">
        <v>9713</v>
      </c>
      <c r="C7832" t="s">
        <v>6342</v>
      </c>
      <c r="D7832" t="s">
        <v>4052</v>
      </c>
      <c r="E7832" t="s">
        <v>9935</v>
      </c>
      <c r="F7832" t="s">
        <v>28485</v>
      </c>
      <c r="G7832" t="s">
        <v>9715</v>
      </c>
      <c r="H7832" t="s">
        <v>5474</v>
      </c>
      <c r="I7832" t="s">
        <v>28486</v>
      </c>
      <c r="J7832" t="s">
        <v>5484</v>
      </c>
      <c r="K7832" t="s">
        <v>16494</v>
      </c>
      <c r="L7832" t="s">
        <v>5471</v>
      </c>
      <c r="M7832" t="s">
        <v>5471</v>
      </c>
    </row>
    <row r="7833" spans="1:13" x14ac:dyDescent="0.3">
      <c r="A7833" t="s">
        <v>3380</v>
      </c>
      <c r="B7833" t="s">
        <v>9713</v>
      </c>
      <c r="C7833" t="s">
        <v>6342</v>
      </c>
      <c r="D7833" t="s">
        <v>4052</v>
      </c>
      <c r="E7833" t="s">
        <v>9935</v>
      </c>
      <c r="F7833" t="s">
        <v>28487</v>
      </c>
      <c r="G7833" t="s">
        <v>28488</v>
      </c>
      <c r="H7833" t="s">
        <v>5474</v>
      </c>
      <c r="I7833" t="s">
        <v>28489</v>
      </c>
      <c r="J7833" t="s">
        <v>5484</v>
      </c>
      <c r="K7833" t="s">
        <v>16060</v>
      </c>
      <c r="L7833" t="s">
        <v>5471</v>
      </c>
      <c r="M7833" t="s">
        <v>5471</v>
      </c>
    </row>
    <row r="7834" spans="1:13" x14ac:dyDescent="0.3">
      <c r="A7834" t="s">
        <v>3380</v>
      </c>
      <c r="B7834" t="s">
        <v>15592</v>
      </c>
      <c r="C7834" t="s">
        <v>5487</v>
      </c>
      <c r="D7834" t="s">
        <v>4052</v>
      </c>
      <c r="E7834" t="s">
        <v>5843</v>
      </c>
      <c r="F7834" t="s">
        <v>28490</v>
      </c>
      <c r="G7834" t="s">
        <v>28182</v>
      </c>
      <c r="H7834" t="s">
        <v>5474</v>
      </c>
      <c r="I7834" t="s">
        <v>28491</v>
      </c>
      <c r="J7834" t="s">
        <v>5476</v>
      </c>
      <c r="K7834" t="s">
        <v>28492</v>
      </c>
      <c r="L7834" t="s">
        <v>5471</v>
      </c>
      <c r="M7834" t="s">
        <v>5471</v>
      </c>
    </row>
    <row r="7835" spans="1:13" x14ac:dyDescent="0.3">
      <c r="A7835" t="s">
        <v>3380</v>
      </c>
      <c r="B7835" t="s">
        <v>27164</v>
      </c>
      <c r="C7835" t="s">
        <v>6342</v>
      </c>
      <c r="D7835" t="s">
        <v>4052</v>
      </c>
      <c r="E7835" t="s">
        <v>9935</v>
      </c>
      <c r="F7835" t="s">
        <v>28493</v>
      </c>
      <c r="G7835" t="s">
        <v>28494</v>
      </c>
      <c r="H7835" t="s">
        <v>5474</v>
      </c>
      <c r="I7835" t="s">
        <v>28495</v>
      </c>
      <c r="J7835" t="s">
        <v>5484</v>
      </c>
      <c r="K7835" t="s">
        <v>16083</v>
      </c>
      <c r="L7835" t="s">
        <v>5471</v>
      </c>
      <c r="M7835" t="s">
        <v>5471</v>
      </c>
    </row>
    <row r="7836" spans="1:13" x14ac:dyDescent="0.3">
      <c r="A7836" t="s">
        <v>3380</v>
      </c>
      <c r="B7836" t="s">
        <v>5276</v>
      </c>
      <c r="C7836" t="s">
        <v>6342</v>
      </c>
      <c r="D7836" t="s">
        <v>4052</v>
      </c>
      <c r="E7836" t="s">
        <v>5480</v>
      </c>
      <c r="F7836" t="s">
        <v>28496</v>
      </c>
      <c r="G7836" t="s">
        <v>25999</v>
      </c>
      <c r="H7836" t="s">
        <v>5474</v>
      </c>
      <c r="I7836" t="s">
        <v>28497</v>
      </c>
      <c r="J7836" t="s">
        <v>5476</v>
      </c>
      <c r="K7836" t="s">
        <v>28498</v>
      </c>
      <c r="L7836" t="s">
        <v>5471</v>
      </c>
      <c r="M7836" t="s">
        <v>5471</v>
      </c>
    </row>
    <row r="7837" spans="1:13" x14ac:dyDescent="0.3">
      <c r="A7837" t="s">
        <v>3380</v>
      </c>
      <c r="B7837" t="s">
        <v>16243</v>
      </c>
      <c r="C7837" t="s">
        <v>6342</v>
      </c>
      <c r="D7837" t="s">
        <v>4052</v>
      </c>
      <c r="E7837" t="s">
        <v>5843</v>
      </c>
      <c r="F7837" t="s">
        <v>28499</v>
      </c>
      <c r="G7837" t="s">
        <v>16245</v>
      </c>
      <c r="H7837" t="s">
        <v>5474</v>
      </c>
      <c r="I7837" t="s">
        <v>28500</v>
      </c>
      <c r="J7837" t="s">
        <v>5484</v>
      </c>
      <c r="K7837" t="s">
        <v>16488</v>
      </c>
      <c r="L7837" t="s">
        <v>5471</v>
      </c>
      <c r="M7837" t="s">
        <v>5471</v>
      </c>
    </row>
    <row r="7838" spans="1:13" x14ac:dyDescent="0.3">
      <c r="A7838" t="s">
        <v>3380</v>
      </c>
      <c r="B7838" t="s">
        <v>16247</v>
      </c>
      <c r="C7838" t="s">
        <v>6342</v>
      </c>
      <c r="D7838" t="s">
        <v>4052</v>
      </c>
      <c r="E7838" t="s">
        <v>5532</v>
      </c>
      <c r="F7838" t="s">
        <v>28501</v>
      </c>
      <c r="G7838" t="s">
        <v>28502</v>
      </c>
      <c r="H7838" t="s">
        <v>5474</v>
      </c>
      <c r="I7838" t="s">
        <v>28503</v>
      </c>
      <c r="J7838" t="s">
        <v>5484</v>
      </c>
      <c r="K7838" t="s">
        <v>28504</v>
      </c>
      <c r="L7838" t="s">
        <v>5471</v>
      </c>
      <c r="M7838" t="s">
        <v>5471</v>
      </c>
    </row>
    <row r="7839" spans="1:13" x14ac:dyDescent="0.3">
      <c r="A7839" t="s">
        <v>3380</v>
      </c>
      <c r="B7839" t="s">
        <v>9934</v>
      </c>
      <c r="C7839" t="s">
        <v>6342</v>
      </c>
      <c r="D7839" t="s">
        <v>4052</v>
      </c>
      <c r="E7839" t="s">
        <v>9935</v>
      </c>
      <c r="F7839" t="s">
        <v>28505</v>
      </c>
      <c r="G7839" t="s">
        <v>10016</v>
      </c>
      <c r="H7839" t="s">
        <v>5474</v>
      </c>
      <c r="I7839" t="s">
        <v>28506</v>
      </c>
      <c r="J7839" t="s">
        <v>5484</v>
      </c>
      <c r="K7839" t="s">
        <v>16076</v>
      </c>
      <c r="L7839" t="s">
        <v>5471</v>
      </c>
      <c r="M7839" t="s">
        <v>5471</v>
      </c>
    </row>
    <row r="7840" spans="1:13" x14ac:dyDescent="0.3">
      <c r="A7840" t="s">
        <v>3380</v>
      </c>
      <c r="B7840" t="s">
        <v>9934</v>
      </c>
      <c r="C7840" t="s">
        <v>6342</v>
      </c>
      <c r="D7840" t="s">
        <v>4052</v>
      </c>
      <c r="E7840" t="s">
        <v>9935</v>
      </c>
      <c r="F7840" t="s">
        <v>28507</v>
      </c>
      <c r="G7840" t="s">
        <v>10930</v>
      </c>
      <c r="H7840" t="s">
        <v>5474</v>
      </c>
      <c r="I7840" t="s">
        <v>28508</v>
      </c>
      <c r="J7840" t="s">
        <v>5484</v>
      </c>
      <c r="K7840" t="s">
        <v>16161</v>
      </c>
      <c r="L7840" t="s">
        <v>5471</v>
      </c>
      <c r="M7840" t="s">
        <v>5471</v>
      </c>
    </row>
    <row r="7841" spans="1:13" x14ac:dyDescent="0.3">
      <c r="A7841" t="s">
        <v>3380</v>
      </c>
      <c r="B7841" t="s">
        <v>15901</v>
      </c>
      <c r="C7841" t="s">
        <v>6342</v>
      </c>
      <c r="D7841" t="s">
        <v>4052</v>
      </c>
      <c r="E7841" t="s">
        <v>5532</v>
      </c>
      <c r="F7841" t="s">
        <v>28509</v>
      </c>
      <c r="G7841" t="s">
        <v>10142</v>
      </c>
      <c r="H7841" t="s">
        <v>5474</v>
      </c>
      <c r="I7841" t="s">
        <v>28510</v>
      </c>
      <c r="J7841" t="s">
        <v>5484</v>
      </c>
      <c r="K7841" t="s">
        <v>16367</v>
      </c>
      <c r="L7841" t="s">
        <v>5471</v>
      </c>
      <c r="M7841" t="s">
        <v>5471</v>
      </c>
    </row>
    <row r="7842" spans="1:13" x14ac:dyDescent="0.3">
      <c r="A7842" t="s">
        <v>3380</v>
      </c>
      <c r="B7842" t="s">
        <v>15901</v>
      </c>
      <c r="C7842" t="s">
        <v>6342</v>
      </c>
      <c r="D7842" t="s">
        <v>4052</v>
      </c>
      <c r="E7842" t="s">
        <v>5532</v>
      </c>
      <c r="F7842" t="s">
        <v>28511</v>
      </c>
      <c r="G7842" t="s">
        <v>28512</v>
      </c>
      <c r="H7842" t="s">
        <v>5474</v>
      </c>
      <c r="I7842" t="s">
        <v>28513</v>
      </c>
      <c r="J7842" t="s">
        <v>5484</v>
      </c>
      <c r="K7842" t="s">
        <v>16729</v>
      </c>
      <c r="L7842" t="s">
        <v>5471</v>
      </c>
      <c r="M7842" t="s">
        <v>5471</v>
      </c>
    </row>
    <row r="7843" spans="1:13" x14ac:dyDescent="0.3">
      <c r="A7843" t="s">
        <v>3380</v>
      </c>
      <c r="B7843" t="s">
        <v>15901</v>
      </c>
      <c r="C7843" t="s">
        <v>6342</v>
      </c>
      <c r="D7843" t="s">
        <v>4052</v>
      </c>
      <c r="E7843" t="s">
        <v>5843</v>
      </c>
      <c r="F7843" t="s">
        <v>28514</v>
      </c>
      <c r="G7843" t="s">
        <v>16778</v>
      </c>
      <c r="H7843" t="s">
        <v>5474</v>
      </c>
      <c r="I7843" t="s">
        <v>28515</v>
      </c>
      <c r="J7843" t="s">
        <v>5484</v>
      </c>
      <c r="K7843" t="s">
        <v>28516</v>
      </c>
      <c r="L7843" t="s">
        <v>5471</v>
      </c>
      <c r="M7843" t="s">
        <v>5471</v>
      </c>
    </row>
    <row r="7844" spans="1:13" x14ac:dyDescent="0.3">
      <c r="A7844" t="s">
        <v>3380</v>
      </c>
      <c r="B7844" t="s">
        <v>9677</v>
      </c>
      <c r="C7844" t="s">
        <v>6342</v>
      </c>
      <c r="D7844" t="s">
        <v>4052</v>
      </c>
      <c r="E7844" t="s">
        <v>9935</v>
      </c>
      <c r="F7844" t="s">
        <v>28517</v>
      </c>
      <c r="G7844" t="s">
        <v>28488</v>
      </c>
      <c r="H7844" t="s">
        <v>5474</v>
      </c>
      <c r="I7844" t="s">
        <v>28518</v>
      </c>
      <c r="J7844" t="s">
        <v>5484</v>
      </c>
      <c r="K7844" t="s">
        <v>16076</v>
      </c>
      <c r="L7844" t="s">
        <v>5471</v>
      </c>
      <c r="M7844" t="s">
        <v>5471</v>
      </c>
    </row>
    <row r="7845" spans="1:13" x14ac:dyDescent="0.3">
      <c r="A7845" t="s">
        <v>3380</v>
      </c>
      <c r="B7845" t="s">
        <v>10105</v>
      </c>
      <c r="C7845" t="s">
        <v>6342</v>
      </c>
      <c r="D7845" t="s">
        <v>4052</v>
      </c>
      <c r="E7845" t="s">
        <v>5532</v>
      </c>
      <c r="F7845" t="s">
        <v>28519</v>
      </c>
      <c r="G7845" t="s">
        <v>28383</v>
      </c>
      <c r="H7845" t="s">
        <v>5474</v>
      </c>
      <c r="I7845" t="s">
        <v>28520</v>
      </c>
      <c r="J7845" t="s">
        <v>5484</v>
      </c>
      <c r="K7845" t="s">
        <v>16679</v>
      </c>
      <c r="L7845" t="s">
        <v>5471</v>
      </c>
      <c r="M7845" t="s">
        <v>5471</v>
      </c>
    </row>
    <row r="7846" spans="1:13" x14ac:dyDescent="0.3">
      <c r="A7846" t="s">
        <v>3388</v>
      </c>
      <c r="B7846" t="s">
        <v>17483</v>
      </c>
      <c r="C7846" t="s">
        <v>5470</v>
      </c>
      <c r="D7846" t="s">
        <v>4058</v>
      </c>
      <c r="E7846" t="s">
        <v>5617</v>
      </c>
      <c r="F7846" t="s">
        <v>28521</v>
      </c>
      <c r="G7846" t="s">
        <v>28522</v>
      </c>
      <c r="H7846" t="s">
        <v>5474</v>
      </c>
      <c r="I7846" t="s">
        <v>28523</v>
      </c>
      <c r="J7846" t="s">
        <v>5484</v>
      </c>
      <c r="K7846" t="s">
        <v>28524</v>
      </c>
      <c r="L7846" t="s">
        <v>5471</v>
      </c>
      <c r="M7846" t="s">
        <v>5471</v>
      </c>
    </row>
    <row r="7847" spans="1:13" x14ac:dyDescent="0.3">
      <c r="A7847" t="s">
        <v>3388</v>
      </c>
      <c r="B7847" t="s">
        <v>17483</v>
      </c>
      <c r="C7847" t="s">
        <v>5470</v>
      </c>
      <c r="D7847" t="s">
        <v>4058</v>
      </c>
      <c r="E7847" t="s">
        <v>5617</v>
      </c>
      <c r="F7847" t="s">
        <v>28525</v>
      </c>
      <c r="G7847" t="s">
        <v>28522</v>
      </c>
      <c r="H7847" t="s">
        <v>5474</v>
      </c>
      <c r="I7847" t="s">
        <v>28526</v>
      </c>
      <c r="J7847" t="s">
        <v>5484</v>
      </c>
      <c r="K7847" t="s">
        <v>28527</v>
      </c>
      <c r="L7847" t="s">
        <v>5471</v>
      </c>
      <c r="M7847" t="s">
        <v>5471</v>
      </c>
    </row>
    <row r="7848" spans="1:13" x14ac:dyDescent="0.3">
      <c r="A7848" t="s">
        <v>3388</v>
      </c>
      <c r="B7848" t="s">
        <v>17483</v>
      </c>
      <c r="C7848" t="s">
        <v>5470</v>
      </c>
      <c r="D7848" t="s">
        <v>4058</v>
      </c>
      <c r="E7848" t="s">
        <v>5617</v>
      </c>
      <c r="F7848" t="s">
        <v>28528</v>
      </c>
      <c r="G7848" t="s">
        <v>28522</v>
      </c>
      <c r="H7848" t="s">
        <v>5474</v>
      </c>
      <c r="I7848" t="s">
        <v>28529</v>
      </c>
      <c r="J7848" t="s">
        <v>5484</v>
      </c>
      <c r="K7848" t="s">
        <v>28530</v>
      </c>
      <c r="L7848" t="s">
        <v>5471</v>
      </c>
      <c r="M7848" t="s">
        <v>5471</v>
      </c>
    </row>
    <row r="7849" spans="1:13" x14ac:dyDescent="0.3">
      <c r="A7849" t="s">
        <v>3388</v>
      </c>
      <c r="B7849" t="s">
        <v>17483</v>
      </c>
      <c r="C7849" t="s">
        <v>5470</v>
      </c>
      <c r="D7849" t="s">
        <v>4058</v>
      </c>
      <c r="E7849" t="s">
        <v>5617</v>
      </c>
      <c r="F7849" t="s">
        <v>28531</v>
      </c>
      <c r="G7849" t="s">
        <v>28532</v>
      </c>
      <c r="H7849" t="s">
        <v>5474</v>
      </c>
      <c r="I7849" t="s">
        <v>28533</v>
      </c>
      <c r="J7849" t="s">
        <v>5484</v>
      </c>
      <c r="K7849" t="s">
        <v>28534</v>
      </c>
      <c r="L7849" t="s">
        <v>5471</v>
      </c>
      <c r="M7849" t="s">
        <v>5471</v>
      </c>
    </row>
    <row r="7850" spans="1:13" x14ac:dyDescent="0.3">
      <c r="A7850" t="s">
        <v>3388</v>
      </c>
      <c r="B7850" t="s">
        <v>17483</v>
      </c>
      <c r="C7850" t="s">
        <v>5470</v>
      </c>
      <c r="D7850" t="s">
        <v>4058</v>
      </c>
      <c r="E7850" t="s">
        <v>5617</v>
      </c>
      <c r="F7850" t="s">
        <v>28535</v>
      </c>
      <c r="G7850" t="s">
        <v>28532</v>
      </c>
      <c r="H7850" t="s">
        <v>5474</v>
      </c>
      <c r="I7850" t="s">
        <v>28536</v>
      </c>
      <c r="J7850" t="s">
        <v>5484</v>
      </c>
      <c r="K7850" t="s">
        <v>28537</v>
      </c>
      <c r="L7850" t="s">
        <v>5471</v>
      </c>
      <c r="M7850" t="s">
        <v>5471</v>
      </c>
    </row>
    <row r="7851" spans="1:13" x14ac:dyDescent="0.3">
      <c r="A7851" t="s">
        <v>3388</v>
      </c>
      <c r="B7851" t="s">
        <v>17483</v>
      </c>
      <c r="C7851" t="s">
        <v>5470</v>
      </c>
      <c r="D7851" t="s">
        <v>4058</v>
      </c>
      <c r="E7851" t="s">
        <v>5617</v>
      </c>
      <c r="F7851" t="s">
        <v>28538</v>
      </c>
      <c r="G7851" t="s">
        <v>28532</v>
      </c>
      <c r="H7851" t="s">
        <v>5474</v>
      </c>
      <c r="I7851" t="s">
        <v>28539</v>
      </c>
      <c r="J7851" t="s">
        <v>5484</v>
      </c>
      <c r="K7851" t="s">
        <v>28540</v>
      </c>
      <c r="L7851" t="s">
        <v>5471</v>
      </c>
      <c r="M7851" t="s">
        <v>5471</v>
      </c>
    </row>
    <row r="7852" spans="1:13" x14ac:dyDescent="0.3">
      <c r="A7852" t="s">
        <v>3388</v>
      </c>
      <c r="B7852" t="s">
        <v>17483</v>
      </c>
      <c r="C7852" t="s">
        <v>5470</v>
      </c>
      <c r="D7852" t="s">
        <v>4058</v>
      </c>
      <c r="E7852" t="s">
        <v>5617</v>
      </c>
      <c r="F7852" t="s">
        <v>28541</v>
      </c>
      <c r="G7852" t="s">
        <v>28542</v>
      </c>
      <c r="H7852" t="s">
        <v>5474</v>
      </c>
      <c r="I7852" t="s">
        <v>28543</v>
      </c>
      <c r="J7852" t="s">
        <v>5484</v>
      </c>
      <c r="K7852" t="s">
        <v>28544</v>
      </c>
      <c r="L7852" t="s">
        <v>5471</v>
      </c>
      <c r="M7852" t="s">
        <v>5471</v>
      </c>
    </row>
    <row r="7853" spans="1:13" x14ac:dyDescent="0.3">
      <c r="A7853" t="s">
        <v>3388</v>
      </c>
      <c r="B7853" t="s">
        <v>17483</v>
      </c>
      <c r="C7853" t="s">
        <v>5470</v>
      </c>
      <c r="D7853" t="s">
        <v>4058</v>
      </c>
      <c r="E7853" t="s">
        <v>5617</v>
      </c>
      <c r="F7853" t="s">
        <v>28545</v>
      </c>
      <c r="G7853" t="s">
        <v>28546</v>
      </c>
      <c r="H7853" t="s">
        <v>5474</v>
      </c>
      <c r="I7853" t="s">
        <v>28547</v>
      </c>
      <c r="J7853" t="s">
        <v>5484</v>
      </c>
      <c r="K7853" t="s">
        <v>28548</v>
      </c>
      <c r="L7853" t="s">
        <v>5471</v>
      </c>
      <c r="M7853" t="s">
        <v>5471</v>
      </c>
    </row>
    <row r="7854" spans="1:13" x14ac:dyDescent="0.3">
      <c r="A7854" t="s">
        <v>3388</v>
      </c>
      <c r="B7854" t="s">
        <v>17483</v>
      </c>
      <c r="C7854" t="s">
        <v>5470</v>
      </c>
      <c r="D7854" t="s">
        <v>4058</v>
      </c>
      <c r="E7854" t="s">
        <v>5617</v>
      </c>
      <c r="F7854" t="s">
        <v>28549</v>
      </c>
      <c r="G7854" t="s">
        <v>28546</v>
      </c>
      <c r="H7854" t="s">
        <v>5474</v>
      </c>
      <c r="I7854" t="s">
        <v>28550</v>
      </c>
      <c r="J7854" t="s">
        <v>5484</v>
      </c>
      <c r="K7854" t="s">
        <v>28551</v>
      </c>
      <c r="L7854" t="s">
        <v>5471</v>
      </c>
      <c r="M7854" t="s">
        <v>5471</v>
      </c>
    </row>
    <row r="7855" spans="1:13" x14ac:dyDescent="0.3">
      <c r="A7855" t="s">
        <v>3388</v>
      </c>
      <c r="B7855" t="s">
        <v>17483</v>
      </c>
      <c r="C7855" t="s">
        <v>5470</v>
      </c>
      <c r="D7855" t="s">
        <v>4058</v>
      </c>
      <c r="E7855" t="s">
        <v>5617</v>
      </c>
      <c r="F7855" t="s">
        <v>28552</v>
      </c>
      <c r="G7855" t="s">
        <v>28546</v>
      </c>
      <c r="H7855" t="s">
        <v>5474</v>
      </c>
      <c r="I7855" t="s">
        <v>28553</v>
      </c>
      <c r="J7855" t="s">
        <v>5484</v>
      </c>
      <c r="K7855" t="s">
        <v>28554</v>
      </c>
      <c r="L7855" t="s">
        <v>5471</v>
      </c>
      <c r="M7855" t="s">
        <v>5471</v>
      </c>
    </row>
    <row r="7856" spans="1:13" x14ac:dyDescent="0.3">
      <c r="A7856" t="s">
        <v>3388</v>
      </c>
      <c r="B7856" t="s">
        <v>17483</v>
      </c>
      <c r="C7856" t="s">
        <v>5470</v>
      </c>
      <c r="D7856" t="s">
        <v>4058</v>
      </c>
      <c r="E7856" t="s">
        <v>5617</v>
      </c>
      <c r="F7856" t="s">
        <v>28555</v>
      </c>
      <c r="G7856" t="s">
        <v>28556</v>
      </c>
      <c r="H7856" t="s">
        <v>5474</v>
      </c>
      <c r="I7856" t="s">
        <v>28557</v>
      </c>
      <c r="J7856" t="s">
        <v>5484</v>
      </c>
      <c r="K7856" t="s">
        <v>28558</v>
      </c>
      <c r="L7856" t="s">
        <v>5471</v>
      </c>
      <c r="M7856" t="s">
        <v>5471</v>
      </c>
    </row>
    <row r="7857" spans="1:13" x14ac:dyDescent="0.3">
      <c r="A7857" t="s">
        <v>3388</v>
      </c>
      <c r="B7857" t="s">
        <v>17483</v>
      </c>
      <c r="C7857" t="s">
        <v>5470</v>
      </c>
      <c r="D7857" t="s">
        <v>4058</v>
      </c>
      <c r="E7857" t="s">
        <v>5617</v>
      </c>
      <c r="F7857" t="s">
        <v>28559</v>
      </c>
      <c r="G7857" t="s">
        <v>28556</v>
      </c>
      <c r="H7857" t="s">
        <v>5474</v>
      </c>
      <c r="I7857" t="s">
        <v>28560</v>
      </c>
      <c r="J7857" t="s">
        <v>5484</v>
      </c>
      <c r="K7857" t="s">
        <v>28561</v>
      </c>
      <c r="L7857" t="s">
        <v>5471</v>
      </c>
      <c r="M7857" t="s">
        <v>5471</v>
      </c>
    </row>
    <row r="7858" spans="1:13" x14ac:dyDescent="0.3">
      <c r="A7858" t="s">
        <v>3388</v>
      </c>
      <c r="B7858" t="s">
        <v>17483</v>
      </c>
      <c r="C7858" t="s">
        <v>5470</v>
      </c>
      <c r="D7858" t="s">
        <v>4058</v>
      </c>
      <c r="E7858" t="s">
        <v>5617</v>
      </c>
      <c r="F7858" t="s">
        <v>28562</v>
      </c>
      <c r="G7858" t="s">
        <v>28556</v>
      </c>
      <c r="H7858" t="s">
        <v>5474</v>
      </c>
      <c r="I7858" t="s">
        <v>28563</v>
      </c>
      <c r="J7858" t="s">
        <v>5484</v>
      </c>
      <c r="K7858" t="s">
        <v>28564</v>
      </c>
      <c r="L7858" t="s">
        <v>5471</v>
      </c>
      <c r="M7858" t="s">
        <v>5471</v>
      </c>
    </row>
    <row r="7859" spans="1:13" x14ac:dyDescent="0.3">
      <c r="A7859" t="s">
        <v>3388</v>
      </c>
      <c r="B7859" t="s">
        <v>17483</v>
      </c>
      <c r="C7859" t="s">
        <v>5470</v>
      </c>
      <c r="D7859" t="s">
        <v>4058</v>
      </c>
      <c r="E7859" t="s">
        <v>5843</v>
      </c>
      <c r="F7859" t="s">
        <v>28565</v>
      </c>
      <c r="G7859" t="s">
        <v>28566</v>
      </c>
      <c r="H7859" t="s">
        <v>5474</v>
      </c>
      <c r="I7859" t="s">
        <v>28567</v>
      </c>
      <c r="J7859" t="s">
        <v>5484</v>
      </c>
      <c r="K7859" t="s">
        <v>28568</v>
      </c>
      <c r="L7859" t="s">
        <v>5471</v>
      </c>
      <c r="M7859" t="s">
        <v>5471</v>
      </c>
    </row>
    <row r="7860" spans="1:13" x14ac:dyDescent="0.3">
      <c r="A7860" t="s">
        <v>3388</v>
      </c>
      <c r="B7860" t="s">
        <v>17483</v>
      </c>
      <c r="C7860" t="s">
        <v>5470</v>
      </c>
      <c r="D7860" t="s">
        <v>4058</v>
      </c>
      <c r="E7860" t="s">
        <v>5617</v>
      </c>
      <c r="F7860" t="s">
        <v>28569</v>
      </c>
      <c r="G7860" t="s">
        <v>17579</v>
      </c>
      <c r="H7860" t="s">
        <v>5474</v>
      </c>
      <c r="I7860" t="s">
        <v>28570</v>
      </c>
      <c r="J7860" t="s">
        <v>5484</v>
      </c>
      <c r="K7860" t="s">
        <v>28571</v>
      </c>
      <c r="L7860" t="s">
        <v>5471</v>
      </c>
      <c r="M7860" t="s">
        <v>5471</v>
      </c>
    </row>
    <row r="7861" spans="1:13" x14ac:dyDescent="0.3">
      <c r="A7861" t="s">
        <v>3388</v>
      </c>
      <c r="B7861" t="s">
        <v>17483</v>
      </c>
      <c r="C7861" t="s">
        <v>5470</v>
      </c>
      <c r="D7861" t="s">
        <v>4058</v>
      </c>
      <c r="E7861" t="s">
        <v>5617</v>
      </c>
      <c r="F7861" t="s">
        <v>28572</v>
      </c>
      <c r="G7861" t="s">
        <v>17579</v>
      </c>
      <c r="H7861" t="s">
        <v>5474</v>
      </c>
      <c r="I7861" t="s">
        <v>28573</v>
      </c>
      <c r="J7861" t="s">
        <v>5484</v>
      </c>
      <c r="K7861" t="s">
        <v>28574</v>
      </c>
      <c r="L7861" t="s">
        <v>5471</v>
      </c>
      <c r="M7861" t="s">
        <v>5471</v>
      </c>
    </row>
    <row r="7862" spans="1:13" x14ac:dyDescent="0.3">
      <c r="A7862" t="s">
        <v>3388</v>
      </c>
      <c r="B7862" t="s">
        <v>17483</v>
      </c>
      <c r="C7862" t="s">
        <v>5470</v>
      </c>
      <c r="D7862" t="s">
        <v>4058</v>
      </c>
      <c r="E7862" t="s">
        <v>5617</v>
      </c>
      <c r="F7862" t="s">
        <v>28575</v>
      </c>
      <c r="G7862" t="s">
        <v>17579</v>
      </c>
      <c r="H7862" t="s">
        <v>5474</v>
      </c>
      <c r="I7862" t="s">
        <v>28576</v>
      </c>
      <c r="J7862" t="s">
        <v>5484</v>
      </c>
      <c r="K7862" t="s">
        <v>28577</v>
      </c>
      <c r="L7862" t="s">
        <v>5471</v>
      </c>
      <c r="M7862" t="s">
        <v>5471</v>
      </c>
    </row>
    <row r="7863" spans="1:13" x14ac:dyDescent="0.3">
      <c r="A7863" t="s">
        <v>3388</v>
      </c>
      <c r="B7863" t="s">
        <v>17483</v>
      </c>
      <c r="C7863" t="s">
        <v>5470</v>
      </c>
      <c r="D7863" t="s">
        <v>4058</v>
      </c>
      <c r="E7863" t="s">
        <v>5617</v>
      </c>
      <c r="F7863" t="s">
        <v>28578</v>
      </c>
      <c r="G7863" t="s">
        <v>28579</v>
      </c>
      <c r="H7863" t="s">
        <v>5474</v>
      </c>
      <c r="I7863" t="s">
        <v>28580</v>
      </c>
      <c r="J7863" t="s">
        <v>5484</v>
      </c>
      <c r="K7863" t="s">
        <v>28581</v>
      </c>
      <c r="L7863" t="s">
        <v>5471</v>
      </c>
      <c r="M7863" t="s">
        <v>5471</v>
      </c>
    </row>
    <row r="7864" spans="1:13" x14ac:dyDescent="0.3">
      <c r="A7864" t="s">
        <v>3388</v>
      </c>
      <c r="B7864" t="s">
        <v>17483</v>
      </c>
      <c r="C7864" t="s">
        <v>5470</v>
      </c>
      <c r="D7864" t="s">
        <v>4058</v>
      </c>
      <c r="E7864" t="s">
        <v>5617</v>
      </c>
      <c r="F7864" t="s">
        <v>28582</v>
      </c>
      <c r="G7864" t="s">
        <v>28579</v>
      </c>
      <c r="H7864" t="s">
        <v>5474</v>
      </c>
      <c r="I7864" t="s">
        <v>28583</v>
      </c>
      <c r="J7864" t="s">
        <v>5484</v>
      </c>
      <c r="K7864" t="s">
        <v>28584</v>
      </c>
      <c r="L7864" t="s">
        <v>5471</v>
      </c>
      <c r="M7864" t="s">
        <v>5471</v>
      </c>
    </row>
    <row r="7865" spans="1:13" x14ac:dyDescent="0.3">
      <c r="A7865" t="s">
        <v>3388</v>
      </c>
      <c r="B7865" t="s">
        <v>6478</v>
      </c>
      <c r="C7865" t="s">
        <v>5470</v>
      </c>
      <c r="D7865" t="s">
        <v>4200</v>
      </c>
      <c r="E7865" t="s">
        <v>5532</v>
      </c>
      <c r="F7865" t="s">
        <v>28585</v>
      </c>
      <c r="G7865" t="s">
        <v>23937</v>
      </c>
      <c r="H7865" t="s">
        <v>5474</v>
      </c>
      <c r="I7865" t="s">
        <v>28586</v>
      </c>
      <c r="J7865" t="s">
        <v>5484</v>
      </c>
      <c r="K7865" t="s">
        <v>28587</v>
      </c>
      <c r="L7865" t="s">
        <v>5471</v>
      </c>
      <c r="M7865" t="s">
        <v>5471</v>
      </c>
    </row>
    <row r="7866" spans="1:13" x14ac:dyDescent="0.3">
      <c r="A7866" t="s">
        <v>3388</v>
      </c>
      <c r="B7866" t="s">
        <v>6478</v>
      </c>
      <c r="C7866" t="s">
        <v>5470</v>
      </c>
      <c r="D7866" t="s">
        <v>4200</v>
      </c>
      <c r="E7866" t="s">
        <v>5532</v>
      </c>
      <c r="F7866" t="s">
        <v>28588</v>
      </c>
      <c r="G7866" t="s">
        <v>23937</v>
      </c>
      <c r="H7866" t="s">
        <v>5474</v>
      </c>
      <c r="I7866" t="s">
        <v>28589</v>
      </c>
      <c r="J7866" t="s">
        <v>5484</v>
      </c>
      <c r="K7866" t="s">
        <v>28590</v>
      </c>
      <c r="L7866" t="s">
        <v>5471</v>
      </c>
      <c r="M7866" t="s">
        <v>5471</v>
      </c>
    </row>
    <row r="7867" spans="1:13" x14ac:dyDescent="0.3">
      <c r="A7867" t="s">
        <v>3388</v>
      </c>
      <c r="B7867" t="s">
        <v>17585</v>
      </c>
      <c r="C7867" t="s">
        <v>5470</v>
      </c>
      <c r="D7867" t="s">
        <v>4200</v>
      </c>
      <c r="E7867" t="s">
        <v>5617</v>
      </c>
      <c r="F7867" t="s">
        <v>28591</v>
      </c>
      <c r="G7867" t="s">
        <v>28592</v>
      </c>
      <c r="H7867" t="s">
        <v>5474</v>
      </c>
      <c r="I7867" t="s">
        <v>28593</v>
      </c>
      <c r="J7867" t="s">
        <v>5484</v>
      </c>
      <c r="K7867" t="s">
        <v>28594</v>
      </c>
      <c r="L7867" t="s">
        <v>5471</v>
      </c>
      <c r="M7867" t="s">
        <v>5471</v>
      </c>
    </row>
    <row r="7868" spans="1:13" x14ac:dyDescent="0.3">
      <c r="A7868" t="s">
        <v>3388</v>
      </c>
      <c r="B7868" t="s">
        <v>17585</v>
      </c>
      <c r="C7868" t="s">
        <v>5470</v>
      </c>
      <c r="D7868" t="s">
        <v>4200</v>
      </c>
      <c r="E7868" t="s">
        <v>5617</v>
      </c>
      <c r="F7868" t="s">
        <v>28595</v>
      </c>
      <c r="G7868" t="s">
        <v>28592</v>
      </c>
      <c r="H7868" t="s">
        <v>5474</v>
      </c>
      <c r="I7868" t="s">
        <v>28596</v>
      </c>
      <c r="J7868" t="s">
        <v>5484</v>
      </c>
      <c r="K7868" t="s">
        <v>28597</v>
      </c>
      <c r="L7868" t="s">
        <v>5471</v>
      </c>
      <c r="M7868" t="s">
        <v>5471</v>
      </c>
    </row>
    <row r="7869" spans="1:13" x14ac:dyDescent="0.3">
      <c r="A7869" t="s">
        <v>3388</v>
      </c>
      <c r="B7869" t="s">
        <v>5272</v>
      </c>
      <c r="C7869" t="s">
        <v>5470</v>
      </c>
      <c r="D7869" t="s">
        <v>4200</v>
      </c>
      <c r="E7869" t="s">
        <v>5532</v>
      </c>
      <c r="F7869" t="s">
        <v>28598</v>
      </c>
      <c r="G7869" t="s">
        <v>20034</v>
      </c>
      <c r="H7869" t="s">
        <v>5474</v>
      </c>
      <c r="I7869" t="s">
        <v>28599</v>
      </c>
      <c r="J7869" t="s">
        <v>5484</v>
      </c>
      <c r="K7869" t="s">
        <v>28600</v>
      </c>
      <c r="L7869" t="s">
        <v>5471</v>
      </c>
      <c r="M7869" t="s">
        <v>5471</v>
      </c>
    </row>
    <row r="7870" spans="1:13" x14ac:dyDescent="0.3">
      <c r="A7870" t="s">
        <v>3388</v>
      </c>
      <c r="B7870" t="s">
        <v>5272</v>
      </c>
      <c r="C7870" t="s">
        <v>5470</v>
      </c>
      <c r="D7870" t="s">
        <v>4200</v>
      </c>
      <c r="E7870" t="s">
        <v>5532</v>
      </c>
      <c r="F7870" t="s">
        <v>28601</v>
      </c>
      <c r="G7870" t="s">
        <v>20034</v>
      </c>
      <c r="H7870" t="s">
        <v>5474</v>
      </c>
      <c r="I7870" t="s">
        <v>28602</v>
      </c>
      <c r="J7870" t="s">
        <v>5484</v>
      </c>
      <c r="K7870" t="s">
        <v>28603</v>
      </c>
      <c r="L7870" t="s">
        <v>5471</v>
      </c>
      <c r="M7870" t="s">
        <v>5471</v>
      </c>
    </row>
    <row r="7871" spans="1:13" x14ac:dyDescent="0.3">
      <c r="A7871" t="s">
        <v>3388</v>
      </c>
      <c r="B7871" t="s">
        <v>5299</v>
      </c>
      <c r="C7871" t="s">
        <v>5470</v>
      </c>
      <c r="D7871" t="s">
        <v>4200</v>
      </c>
      <c r="E7871" t="s">
        <v>5617</v>
      </c>
      <c r="F7871" t="s">
        <v>28604</v>
      </c>
      <c r="G7871" t="s">
        <v>28605</v>
      </c>
      <c r="H7871" t="s">
        <v>5474</v>
      </c>
      <c r="I7871" t="s">
        <v>28606</v>
      </c>
      <c r="J7871" t="s">
        <v>5484</v>
      </c>
      <c r="K7871" t="s">
        <v>28607</v>
      </c>
      <c r="L7871" t="s">
        <v>5471</v>
      </c>
      <c r="M7871" t="s">
        <v>5471</v>
      </c>
    </row>
    <row r="7872" spans="1:13" x14ac:dyDescent="0.3">
      <c r="A7872" t="s">
        <v>3388</v>
      </c>
      <c r="B7872" t="s">
        <v>5299</v>
      </c>
      <c r="C7872" t="s">
        <v>5470</v>
      </c>
      <c r="D7872" t="s">
        <v>4200</v>
      </c>
      <c r="E7872" t="s">
        <v>5617</v>
      </c>
      <c r="F7872" t="s">
        <v>28608</v>
      </c>
      <c r="G7872" t="s">
        <v>28605</v>
      </c>
      <c r="H7872" t="s">
        <v>5474</v>
      </c>
      <c r="I7872" t="s">
        <v>28609</v>
      </c>
      <c r="J7872" t="s">
        <v>5484</v>
      </c>
      <c r="K7872" t="s">
        <v>28610</v>
      </c>
      <c r="L7872" t="s">
        <v>5471</v>
      </c>
      <c r="M7872" t="s">
        <v>5471</v>
      </c>
    </row>
    <row r="7873" spans="1:13" x14ac:dyDescent="0.3">
      <c r="A7873" t="s">
        <v>3388</v>
      </c>
      <c r="B7873" t="s">
        <v>5299</v>
      </c>
      <c r="C7873" t="s">
        <v>5470</v>
      </c>
      <c r="D7873" t="s">
        <v>4200</v>
      </c>
      <c r="E7873" t="s">
        <v>5617</v>
      </c>
      <c r="F7873" t="s">
        <v>28611</v>
      </c>
      <c r="G7873" t="s">
        <v>28605</v>
      </c>
      <c r="H7873" t="s">
        <v>5474</v>
      </c>
      <c r="I7873" t="s">
        <v>28612</v>
      </c>
      <c r="J7873" t="s">
        <v>5484</v>
      </c>
      <c r="K7873" t="s">
        <v>28613</v>
      </c>
      <c r="L7873" t="s">
        <v>5471</v>
      </c>
      <c r="M7873" t="s">
        <v>5471</v>
      </c>
    </row>
    <row r="7874" spans="1:13" x14ac:dyDescent="0.3">
      <c r="A7874" t="s">
        <v>3388</v>
      </c>
      <c r="B7874" t="s">
        <v>8573</v>
      </c>
      <c r="C7874" t="s">
        <v>5470</v>
      </c>
      <c r="D7874" t="s">
        <v>4200</v>
      </c>
      <c r="E7874" t="s">
        <v>5532</v>
      </c>
      <c r="F7874" t="s">
        <v>28614</v>
      </c>
      <c r="G7874" t="s">
        <v>21691</v>
      </c>
      <c r="H7874" t="s">
        <v>5474</v>
      </c>
      <c r="I7874" t="s">
        <v>28615</v>
      </c>
      <c r="J7874" t="s">
        <v>5484</v>
      </c>
      <c r="K7874" t="s">
        <v>28616</v>
      </c>
      <c r="L7874" t="s">
        <v>5471</v>
      </c>
      <c r="M7874" t="s">
        <v>5471</v>
      </c>
    </row>
    <row r="7875" spans="1:13" x14ac:dyDescent="0.3">
      <c r="A7875" t="s">
        <v>3388</v>
      </c>
      <c r="B7875" t="s">
        <v>8573</v>
      </c>
      <c r="C7875" t="s">
        <v>5470</v>
      </c>
      <c r="D7875" t="s">
        <v>4200</v>
      </c>
      <c r="E7875" t="s">
        <v>5532</v>
      </c>
      <c r="F7875" t="s">
        <v>28617</v>
      </c>
      <c r="G7875" t="s">
        <v>21691</v>
      </c>
      <c r="H7875" t="s">
        <v>5474</v>
      </c>
      <c r="I7875" t="s">
        <v>28618</v>
      </c>
      <c r="J7875" t="s">
        <v>5484</v>
      </c>
      <c r="K7875" t="s">
        <v>28619</v>
      </c>
      <c r="L7875" t="s">
        <v>5471</v>
      </c>
      <c r="M7875" t="s">
        <v>5471</v>
      </c>
    </row>
    <row r="7876" spans="1:13" x14ac:dyDescent="0.3">
      <c r="A7876" t="s">
        <v>3380</v>
      </c>
      <c r="B7876" t="s">
        <v>5247</v>
      </c>
      <c r="C7876" t="s">
        <v>6342</v>
      </c>
      <c r="D7876" t="s">
        <v>4056</v>
      </c>
      <c r="E7876" t="s">
        <v>9935</v>
      </c>
      <c r="F7876" t="s">
        <v>28620</v>
      </c>
      <c r="G7876" t="s">
        <v>16140</v>
      </c>
      <c r="H7876" t="s">
        <v>5474</v>
      </c>
      <c r="I7876" t="s">
        <v>28621</v>
      </c>
      <c r="J7876" t="s">
        <v>5476</v>
      </c>
      <c r="K7876" t="s">
        <v>28467</v>
      </c>
      <c r="L7876" t="s">
        <v>5471</v>
      </c>
      <c r="M7876" t="s">
        <v>5471</v>
      </c>
    </row>
    <row r="7877" spans="1:13" x14ac:dyDescent="0.3">
      <c r="A7877" t="s">
        <v>3388</v>
      </c>
      <c r="B7877" t="s">
        <v>8573</v>
      </c>
      <c r="C7877" t="s">
        <v>5470</v>
      </c>
      <c r="D7877" t="s">
        <v>4200</v>
      </c>
      <c r="E7877" t="s">
        <v>5532</v>
      </c>
      <c r="F7877" t="s">
        <v>28622</v>
      </c>
      <c r="G7877" t="s">
        <v>21691</v>
      </c>
      <c r="H7877" t="s">
        <v>5474</v>
      </c>
      <c r="I7877" t="s">
        <v>28623</v>
      </c>
      <c r="J7877" t="s">
        <v>5484</v>
      </c>
      <c r="K7877" t="s">
        <v>28624</v>
      </c>
      <c r="L7877" t="s">
        <v>5471</v>
      </c>
      <c r="M7877" t="s">
        <v>5471</v>
      </c>
    </row>
    <row r="7878" spans="1:13" x14ac:dyDescent="0.3">
      <c r="A7878" t="s">
        <v>3380</v>
      </c>
      <c r="B7878" t="s">
        <v>5247</v>
      </c>
      <c r="C7878" t="s">
        <v>6342</v>
      </c>
      <c r="D7878" t="s">
        <v>4056</v>
      </c>
      <c r="E7878" t="s">
        <v>9935</v>
      </c>
      <c r="F7878" t="s">
        <v>28625</v>
      </c>
      <c r="G7878" t="s">
        <v>16140</v>
      </c>
      <c r="H7878" t="s">
        <v>5474</v>
      </c>
      <c r="I7878" t="s">
        <v>28626</v>
      </c>
      <c r="J7878" t="s">
        <v>5476</v>
      </c>
      <c r="K7878" t="s">
        <v>28473</v>
      </c>
      <c r="L7878" t="s">
        <v>5471</v>
      </c>
      <c r="M7878" t="s">
        <v>5471</v>
      </c>
    </row>
    <row r="7879" spans="1:13" x14ac:dyDescent="0.3">
      <c r="A7879" t="s">
        <v>3388</v>
      </c>
      <c r="B7879" t="s">
        <v>8573</v>
      </c>
      <c r="C7879" t="s">
        <v>5470</v>
      </c>
      <c r="D7879" t="s">
        <v>4200</v>
      </c>
      <c r="E7879" t="s">
        <v>5532</v>
      </c>
      <c r="F7879" t="s">
        <v>28627</v>
      </c>
      <c r="G7879" t="s">
        <v>28628</v>
      </c>
      <c r="H7879" t="s">
        <v>5474</v>
      </c>
      <c r="I7879" t="s">
        <v>28629</v>
      </c>
      <c r="J7879" t="s">
        <v>5484</v>
      </c>
      <c r="K7879" t="s">
        <v>28630</v>
      </c>
      <c r="L7879" t="s">
        <v>5471</v>
      </c>
      <c r="M7879" t="s">
        <v>5471</v>
      </c>
    </row>
    <row r="7880" spans="1:13" x14ac:dyDescent="0.3">
      <c r="A7880" t="s">
        <v>3380</v>
      </c>
      <c r="B7880" t="s">
        <v>5247</v>
      </c>
      <c r="C7880" t="s">
        <v>6342</v>
      </c>
      <c r="D7880" t="s">
        <v>4056</v>
      </c>
      <c r="E7880" t="s">
        <v>9935</v>
      </c>
      <c r="F7880" t="s">
        <v>28631</v>
      </c>
      <c r="G7880" t="s">
        <v>16140</v>
      </c>
      <c r="H7880" t="s">
        <v>5474</v>
      </c>
      <c r="I7880" t="s">
        <v>28632</v>
      </c>
      <c r="J7880" t="s">
        <v>5476</v>
      </c>
      <c r="K7880" t="s">
        <v>28470</v>
      </c>
      <c r="L7880" t="s">
        <v>5471</v>
      </c>
      <c r="M7880" t="s">
        <v>5471</v>
      </c>
    </row>
    <row r="7881" spans="1:13" x14ac:dyDescent="0.3">
      <c r="A7881" t="s">
        <v>3388</v>
      </c>
      <c r="B7881" t="s">
        <v>8573</v>
      </c>
      <c r="C7881" t="s">
        <v>5470</v>
      </c>
      <c r="D7881" t="s">
        <v>4200</v>
      </c>
      <c r="E7881" t="s">
        <v>5532</v>
      </c>
      <c r="F7881" t="s">
        <v>28633</v>
      </c>
      <c r="G7881" t="s">
        <v>28628</v>
      </c>
      <c r="H7881" t="s">
        <v>5474</v>
      </c>
      <c r="I7881" t="s">
        <v>28634</v>
      </c>
      <c r="J7881" t="s">
        <v>5484</v>
      </c>
      <c r="K7881" t="s">
        <v>28635</v>
      </c>
      <c r="L7881" t="s">
        <v>5471</v>
      </c>
      <c r="M7881" t="s">
        <v>5471</v>
      </c>
    </row>
    <row r="7882" spans="1:13" x14ac:dyDescent="0.3">
      <c r="A7882" t="s">
        <v>3380</v>
      </c>
      <c r="B7882" t="s">
        <v>16102</v>
      </c>
      <c r="C7882" t="s">
        <v>6342</v>
      </c>
      <c r="D7882" t="s">
        <v>4056</v>
      </c>
      <c r="E7882" t="s">
        <v>5532</v>
      </c>
      <c r="F7882" t="s">
        <v>28636</v>
      </c>
      <c r="G7882" t="s">
        <v>27943</v>
      </c>
      <c r="H7882" t="s">
        <v>5474</v>
      </c>
      <c r="I7882" t="s">
        <v>28637</v>
      </c>
      <c r="J7882" t="s">
        <v>5476</v>
      </c>
      <c r="K7882" t="s">
        <v>28467</v>
      </c>
      <c r="L7882" t="s">
        <v>5471</v>
      </c>
      <c r="M7882" t="s">
        <v>5471</v>
      </c>
    </row>
    <row r="7883" spans="1:13" x14ac:dyDescent="0.3">
      <c r="A7883" t="s">
        <v>3388</v>
      </c>
      <c r="B7883" t="s">
        <v>8573</v>
      </c>
      <c r="C7883" t="s">
        <v>5470</v>
      </c>
      <c r="D7883" t="s">
        <v>4200</v>
      </c>
      <c r="E7883" t="s">
        <v>5532</v>
      </c>
      <c r="F7883" t="s">
        <v>28638</v>
      </c>
      <c r="G7883" t="s">
        <v>28628</v>
      </c>
      <c r="H7883" t="s">
        <v>5474</v>
      </c>
      <c r="I7883" t="s">
        <v>28639</v>
      </c>
      <c r="J7883" t="s">
        <v>5484</v>
      </c>
      <c r="K7883" t="s">
        <v>28640</v>
      </c>
      <c r="L7883" t="s">
        <v>5471</v>
      </c>
      <c r="M7883" t="s">
        <v>5471</v>
      </c>
    </row>
    <row r="7884" spans="1:13" x14ac:dyDescent="0.3">
      <c r="A7884" t="s">
        <v>3380</v>
      </c>
      <c r="B7884" t="s">
        <v>16268</v>
      </c>
      <c r="C7884" t="s">
        <v>6342</v>
      </c>
      <c r="D7884" t="s">
        <v>4056</v>
      </c>
      <c r="E7884" t="s">
        <v>5532</v>
      </c>
      <c r="F7884" t="s">
        <v>28641</v>
      </c>
      <c r="G7884" t="s">
        <v>16296</v>
      </c>
      <c r="H7884" t="s">
        <v>5474</v>
      </c>
      <c r="I7884" t="s">
        <v>28642</v>
      </c>
      <c r="J7884" t="s">
        <v>5484</v>
      </c>
      <c r="K7884" t="s">
        <v>28467</v>
      </c>
      <c r="L7884" t="s">
        <v>5471</v>
      </c>
      <c r="M7884" t="s">
        <v>5471</v>
      </c>
    </row>
    <row r="7885" spans="1:13" x14ac:dyDescent="0.3">
      <c r="A7885" t="s">
        <v>3388</v>
      </c>
      <c r="B7885" t="s">
        <v>8573</v>
      </c>
      <c r="C7885" t="s">
        <v>5470</v>
      </c>
      <c r="D7885" t="s">
        <v>4200</v>
      </c>
      <c r="E7885" t="s">
        <v>5532</v>
      </c>
      <c r="F7885" t="s">
        <v>28643</v>
      </c>
      <c r="G7885" t="s">
        <v>15619</v>
      </c>
      <c r="H7885" t="s">
        <v>5474</v>
      </c>
      <c r="I7885" t="s">
        <v>28644</v>
      </c>
      <c r="J7885" t="s">
        <v>5484</v>
      </c>
      <c r="K7885" t="s">
        <v>28645</v>
      </c>
      <c r="L7885" t="s">
        <v>5471</v>
      </c>
      <c r="M7885" t="s">
        <v>5471</v>
      </c>
    </row>
    <row r="7886" spans="1:13" x14ac:dyDescent="0.3">
      <c r="A7886" t="s">
        <v>3380</v>
      </c>
      <c r="B7886" t="s">
        <v>16268</v>
      </c>
      <c r="C7886" t="s">
        <v>6342</v>
      </c>
      <c r="D7886" t="s">
        <v>4056</v>
      </c>
      <c r="E7886" t="s">
        <v>5532</v>
      </c>
      <c r="F7886" t="s">
        <v>28646</v>
      </c>
      <c r="G7886" t="s">
        <v>16296</v>
      </c>
      <c r="H7886" t="s">
        <v>5474</v>
      </c>
      <c r="I7886" t="s">
        <v>28647</v>
      </c>
      <c r="J7886" t="s">
        <v>5484</v>
      </c>
      <c r="K7886" t="s">
        <v>28473</v>
      </c>
      <c r="L7886" t="s">
        <v>5471</v>
      </c>
      <c r="M7886" t="s">
        <v>5471</v>
      </c>
    </row>
    <row r="7887" spans="1:13" x14ac:dyDescent="0.3">
      <c r="A7887" t="s">
        <v>3388</v>
      </c>
      <c r="B7887" t="s">
        <v>8573</v>
      </c>
      <c r="C7887" t="s">
        <v>5470</v>
      </c>
      <c r="D7887" t="s">
        <v>4200</v>
      </c>
      <c r="E7887" t="s">
        <v>5532</v>
      </c>
      <c r="F7887" t="s">
        <v>28648</v>
      </c>
      <c r="G7887" t="s">
        <v>15623</v>
      </c>
      <c r="H7887" t="s">
        <v>5474</v>
      </c>
      <c r="I7887" t="s">
        <v>28649</v>
      </c>
      <c r="J7887" t="s">
        <v>5484</v>
      </c>
      <c r="K7887" t="s">
        <v>28650</v>
      </c>
      <c r="L7887" t="s">
        <v>5471</v>
      </c>
      <c r="M7887" t="s">
        <v>5471</v>
      </c>
    </row>
    <row r="7888" spans="1:13" x14ac:dyDescent="0.3">
      <c r="A7888" t="s">
        <v>3380</v>
      </c>
      <c r="B7888" t="s">
        <v>16268</v>
      </c>
      <c r="C7888" t="s">
        <v>6342</v>
      </c>
      <c r="D7888" t="s">
        <v>4056</v>
      </c>
      <c r="E7888" t="s">
        <v>5532</v>
      </c>
      <c r="F7888" t="s">
        <v>28651</v>
      </c>
      <c r="G7888" t="s">
        <v>16296</v>
      </c>
      <c r="H7888" t="s">
        <v>5474</v>
      </c>
      <c r="I7888" t="s">
        <v>28652</v>
      </c>
      <c r="J7888" t="s">
        <v>5484</v>
      </c>
      <c r="K7888" t="s">
        <v>28653</v>
      </c>
      <c r="L7888" t="s">
        <v>5471</v>
      </c>
      <c r="M7888" t="s">
        <v>5471</v>
      </c>
    </row>
    <row r="7889" spans="1:13" x14ac:dyDescent="0.3">
      <c r="A7889" t="s">
        <v>3388</v>
      </c>
      <c r="B7889" t="s">
        <v>8573</v>
      </c>
      <c r="C7889" t="s">
        <v>5470</v>
      </c>
      <c r="D7889" t="s">
        <v>4200</v>
      </c>
      <c r="E7889" t="s">
        <v>5532</v>
      </c>
      <c r="F7889" t="s">
        <v>28654</v>
      </c>
      <c r="G7889" t="s">
        <v>15623</v>
      </c>
      <c r="H7889" t="s">
        <v>5474</v>
      </c>
      <c r="I7889" t="s">
        <v>28655</v>
      </c>
      <c r="J7889" t="s">
        <v>5484</v>
      </c>
      <c r="K7889" t="s">
        <v>28656</v>
      </c>
      <c r="L7889" t="s">
        <v>5471</v>
      </c>
      <c r="M7889" t="s">
        <v>5471</v>
      </c>
    </row>
    <row r="7890" spans="1:13" x14ac:dyDescent="0.3">
      <c r="A7890" t="s">
        <v>3380</v>
      </c>
      <c r="B7890" t="s">
        <v>16268</v>
      </c>
      <c r="C7890" t="s">
        <v>6342</v>
      </c>
      <c r="D7890" t="s">
        <v>4056</v>
      </c>
      <c r="E7890" t="s">
        <v>5532</v>
      </c>
      <c r="F7890" t="s">
        <v>28657</v>
      </c>
      <c r="G7890" t="s">
        <v>28357</v>
      </c>
      <c r="H7890" t="s">
        <v>5474</v>
      </c>
      <c r="I7890" t="s">
        <v>28658</v>
      </c>
      <c r="J7890" t="s">
        <v>5484</v>
      </c>
      <c r="K7890" t="s">
        <v>28467</v>
      </c>
      <c r="L7890" t="s">
        <v>5471</v>
      </c>
      <c r="M7890" t="s">
        <v>5471</v>
      </c>
    </row>
    <row r="7891" spans="1:13" x14ac:dyDescent="0.3">
      <c r="A7891" t="s">
        <v>3388</v>
      </c>
      <c r="B7891" t="s">
        <v>8573</v>
      </c>
      <c r="C7891" t="s">
        <v>5470</v>
      </c>
      <c r="D7891" t="s">
        <v>4200</v>
      </c>
      <c r="E7891" t="s">
        <v>5532</v>
      </c>
      <c r="F7891" t="s">
        <v>28659</v>
      </c>
      <c r="G7891" t="s">
        <v>15623</v>
      </c>
      <c r="H7891" t="s">
        <v>5474</v>
      </c>
      <c r="I7891" t="s">
        <v>28660</v>
      </c>
      <c r="J7891" t="s">
        <v>5484</v>
      </c>
      <c r="K7891" t="s">
        <v>28661</v>
      </c>
      <c r="L7891" t="s">
        <v>5471</v>
      </c>
      <c r="M7891" t="s">
        <v>5471</v>
      </c>
    </row>
    <row r="7892" spans="1:13" x14ac:dyDescent="0.3">
      <c r="A7892" t="s">
        <v>3380</v>
      </c>
      <c r="B7892" t="s">
        <v>16268</v>
      </c>
      <c r="C7892" t="s">
        <v>6342</v>
      </c>
      <c r="D7892" t="s">
        <v>4056</v>
      </c>
      <c r="E7892" t="s">
        <v>5532</v>
      </c>
      <c r="F7892" t="s">
        <v>28662</v>
      </c>
      <c r="G7892" t="s">
        <v>28357</v>
      </c>
      <c r="H7892" t="s">
        <v>5474</v>
      </c>
      <c r="I7892" t="s">
        <v>28663</v>
      </c>
      <c r="J7892" t="s">
        <v>5484</v>
      </c>
      <c r="K7892" t="s">
        <v>28470</v>
      </c>
      <c r="L7892" t="s">
        <v>5471</v>
      </c>
      <c r="M7892" t="s">
        <v>5471</v>
      </c>
    </row>
    <row r="7893" spans="1:13" x14ac:dyDescent="0.3">
      <c r="A7893" t="s">
        <v>3380</v>
      </c>
      <c r="B7893" t="s">
        <v>16268</v>
      </c>
      <c r="C7893" t="s">
        <v>6342</v>
      </c>
      <c r="D7893" t="s">
        <v>4056</v>
      </c>
      <c r="E7893" t="s">
        <v>5532</v>
      </c>
      <c r="F7893" t="s">
        <v>28664</v>
      </c>
      <c r="G7893" t="s">
        <v>28357</v>
      </c>
      <c r="H7893" t="s">
        <v>5474</v>
      </c>
      <c r="I7893" t="s">
        <v>28665</v>
      </c>
      <c r="J7893" t="s">
        <v>5484</v>
      </c>
      <c r="K7893" t="s">
        <v>28473</v>
      </c>
      <c r="L7893" t="s">
        <v>5471</v>
      </c>
      <c r="M7893" t="s">
        <v>5471</v>
      </c>
    </row>
    <row r="7894" spans="1:13" x14ac:dyDescent="0.3">
      <c r="A7894" t="s">
        <v>3380</v>
      </c>
      <c r="B7894" t="s">
        <v>15695</v>
      </c>
      <c r="C7894" t="s">
        <v>6342</v>
      </c>
      <c r="D7894" t="s">
        <v>4052</v>
      </c>
      <c r="E7894" t="s">
        <v>5532</v>
      </c>
      <c r="F7894" t="s">
        <v>28666</v>
      </c>
      <c r="G7894" t="s">
        <v>16813</v>
      </c>
      <c r="H7894" t="s">
        <v>5474</v>
      </c>
      <c r="I7894" t="s">
        <v>28667</v>
      </c>
      <c r="J7894" t="s">
        <v>5484</v>
      </c>
      <c r="K7894" t="s">
        <v>16360</v>
      </c>
      <c r="L7894" t="s">
        <v>5471</v>
      </c>
      <c r="M7894" t="s">
        <v>5471</v>
      </c>
    </row>
    <row r="7895" spans="1:13" x14ac:dyDescent="0.3">
      <c r="A7895" t="s">
        <v>3380</v>
      </c>
      <c r="B7895" t="s">
        <v>15695</v>
      </c>
      <c r="C7895" t="s">
        <v>6342</v>
      </c>
      <c r="D7895" t="s">
        <v>4052</v>
      </c>
      <c r="E7895" t="s">
        <v>5532</v>
      </c>
      <c r="F7895" t="s">
        <v>28668</v>
      </c>
      <c r="G7895" t="s">
        <v>21423</v>
      </c>
      <c r="H7895" t="s">
        <v>5474</v>
      </c>
      <c r="I7895" t="s">
        <v>28669</v>
      </c>
      <c r="J7895" t="s">
        <v>5484</v>
      </c>
      <c r="K7895" t="s">
        <v>16367</v>
      </c>
      <c r="L7895" t="s">
        <v>5471</v>
      </c>
      <c r="M7895" t="s">
        <v>5471</v>
      </c>
    </row>
    <row r="7896" spans="1:13" x14ac:dyDescent="0.3">
      <c r="A7896" t="s">
        <v>3388</v>
      </c>
      <c r="B7896" t="s">
        <v>8577</v>
      </c>
      <c r="C7896" t="s">
        <v>5470</v>
      </c>
      <c r="D7896" t="s">
        <v>4200</v>
      </c>
      <c r="E7896" t="s">
        <v>5617</v>
      </c>
      <c r="F7896" t="s">
        <v>28670</v>
      </c>
      <c r="G7896" t="s">
        <v>22128</v>
      </c>
      <c r="H7896" t="s">
        <v>5474</v>
      </c>
      <c r="I7896" t="s">
        <v>28671</v>
      </c>
      <c r="J7896" t="s">
        <v>5484</v>
      </c>
      <c r="K7896" t="s">
        <v>28672</v>
      </c>
      <c r="L7896" t="s">
        <v>5471</v>
      </c>
      <c r="M7896" t="s">
        <v>5471</v>
      </c>
    </row>
    <row r="7897" spans="1:13" x14ac:dyDescent="0.3">
      <c r="A7897" t="s">
        <v>3388</v>
      </c>
      <c r="B7897" t="s">
        <v>8577</v>
      </c>
      <c r="C7897" t="s">
        <v>5470</v>
      </c>
      <c r="D7897" t="s">
        <v>4200</v>
      </c>
      <c r="E7897" t="s">
        <v>5617</v>
      </c>
      <c r="F7897" t="s">
        <v>28673</v>
      </c>
      <c r="G7897" t="s">
        <v>22128</v>
      </c>
      <c r="H7897" t="s">
        <v>5474</v>
      </c>
      <c r="I7897" t="s">
        <v>28674</v>
      </c>
      <c r="J7897" t="s">
        <v>5484</v>
      </c>
      <c r="K7897" t="s">
        <v>28675</v>
      </c>
      <c r="L7897" t="s">
        <v>5471</v>
      </c>
      <c r="M7897" t="s">
        <v>5471</v>
      </c>
    </row>
    <row r="7898" spans="1:13" x14ac:dyDescent="0.3">
      <c r="A7898" t="s">
        <v>3388</v>
      </c>
      <c r="B7898" t="s">
        <v>8577</v>
      </c>
      <c r="C7898" t="s">
        <v>5470</v>
      </c>
      <c r="D7898" t="s">
        <v>4200</v>
      </c>
      <c r="E7898" t="s">
        <v>5617</v>
      </c>
      <c r="F7898" t="s">
        <v>28676</v>
      </c>
      <c r="G7898" t="s">
        <v>22128</v>
      </c>
      <c r="H7898" t="s">
        <v>5474</v>
      </c>
      <c r="I7898" t="s">
        <v>28677</v>
      </c>
      <c r="J7898" t="s">
        <v>5484</v>
      </c>
      <c r="K7898" t="s">
        <v>28678</v>
      </c>
      <c r="L7898" t="s">
        <v>5471</v>
      </c>
      <c r="M7898" t="s">
        <v>5471</v>
      </c>
    </row>
    <row r="7899" spans="1:13" x14ac:dyDescent="0.3">
      <c r="A7899" t="s">
        <v>3388</v>
      </c>
      <c r="B7899" t="s">
        <v>17483</v>
      </c>
      <c r="C7899" t="s">
        <v>5470</v>
      </c>
      <c r="D7899" t="s">
        <v>4200</v>
      </c>
      <c r="E7899" t="s">
        <v>5480</v>
      </c>
      <c r="F7899" t="s">
        <v>28679</v>
      </c>
      <c r="G7899" t="s">
        <v>17558</v>
      </c>
      <c r="H7899" t="s">
        <v>5474</v>
      </c>
      <c r="I7899" t="s">
        <v>28680</v>
      </c>
      <c r="J7899" t="s">
        <v>5484</v>
      </c>
      <c r="K7899" t="s">
        <v>28681</v>
      </c>
      <c r="L7899" t="s">
        <v>5471</v>
      </c>
      <c r="M7899" t="s">
        <v>5471</v>
      </c>
    </row>
    <row r="7900" spans="1:13" x14ac:dyDescent="0.3">
      <c r="A7900" t="s">
        <v>3388</v>
      </c>
      <c r="B7900" t="s">
        <v>17483</v>
      </c>
      <c r="C7900" t="s">
        <v>5470</v>
      </c>
      <c r="D7900" t="s">
        <v>4200</v>
      </c>
      <c r="E7900" t="s">
        <v>5480</v>
      </c>
      <c r="F7900" t="s">
        <v>28682</v>
      </c>
      <c r="G7900" t="s">
        <v>17558</v>
      </c>
      <c r="H7900" t="s">
        <v>5474</v>
      </c>
      <c r="I7900" t="s">
        <v>28683</v>
      </c>
      <c r="J7900" t="s">
        <v>5484</v>
      </c>
      <c r="K7900" t="s">
        <v>28684</v>
      </c>
      <c r="L7900" t="s">
        <v>5471</v>
      </c>
      <c r="M7900" t="s">
        <v>5471</v>
      </c>
    </row>
    <row r="7901" spans="1:13" x14ac:dyDescent="0.3">
      <c r="A7901" t="s">
        <v>3388</v>
      </c>
      <c r="B7901" t="s">
        <v>17483</v>
      </c>
      <c r="C7901" t="s">
        <v>5470</v>
      </c>
      <c r="D7901" t="s">
        <v>4200</v>
      </c>
      <c r="E7901" t="s">
        <v>5480</v>
      </c>
      <c r="F7901" t="s">
        <v>28685</v>
      </c>
      <c r="G7901" t="s">
        <v>17579</v>
      </c>
      <c r="H7901" t="s">
        <v>5474</v>
      </c>
      <c r="I7901" t="s">
        <v>28686</v>
      </c>
      <c r="J7901" t="s">
        <v>5484</v>
      </c>
      <c r="K7901" t="s">
        <v>28687</v>
      </c>
      <c r="L7901" t="s">
        <v>5471</v>
      </c>
      <c r="M7901" t="s">
        <v>5471</v>
      </c>
    </row>
    <row r="7902" spans="1:13" x14ac:dyDescent="0.3">
      <c r="A7902" t="s">
        <v>3388</v>
      </c>
      <c r="B7902" t="s">
        <v>17483</v>
      </c>
      <c r="C7902" t="s">
        <v>5470</v>
      </c>
      <c r="D7902" t="s">
        <v>4200</v>
      </c>
      <c r="E7902" t="s">
        <v>5480</v>
      </c>
      <c r="F7902" t="s">
        <v>28688</v>
      </c>
      <c r="G7902" t="s">
        <v>17579</v>
      </c>
      <c r="H7902" t="s">
        <v>5474</v>
      </c>
      <c r="I7902" t="s">
        <v>28689</v>
      </c>
      <c r="J7902" t="s">
        <v>5484</v>
      </c>
      <c r="K7902" t="s">
        <v>28690</v>
      </c>
      <c r="L7902" t="s">
        <v>5471</v>
      </c>
      <c r="M7902" t="s">
        <v>5471</v>
      </c>
    </row>
    <row r="7903" spans="1:13" x14ac:dyDescent="0.3">
      <c r="A7903" t="s">
        <v>3388</v>
      </c>
      <c r="B7903" t="s">
        <v>20014</v>
      </c>
      <c r="C7903" t="s">
        <v>5470</v>
      </c>
      <c r="D7903" t="s">
        <v>4058</v>
      </c>
      <c r="E7903" t="s">
        <v>5532</v>
      </c>
      <c r="F7903" t="s">
        <v>28691</v>
      </c>
      <c r="G7903" t="s">
        <v>28692</v>
      </c>
      <c r="H7903" t="s">
        <v>5474</v>
      </c>
      <c r="I7903" t="s">
        <v>28693</v>
      </c>
      <c r="J7903" t="s">
        <v>5484</v>
      </c>
      <c r="K7903" t="s">
        <v>28694</v>
      </c>
      <c r="L7903" t="s">
        <v>5471</v>
      </c>
      <c r="M7903" t="s">
        <v>5471</v>
      </c>
    </row>
    <row r="7904" spans="1:13" x14ac:dyDescent="0.3">
      <c r="A7904" t="s">
        <v>3388</v>
      </c>
      <c r="B7904" t="s">
        <v>20014</v>
      </c>
      <c r="C7904" t="s">
        <v>5470</v>
      </c>
      <c r="D7904" t="s">
        <v>4058</v>
      </c>
      <c r="E7904" t="s">
        <v>5532</v>
      </c>
      <c r="F7904" t="s">
        <v>28695</v>
      </c>
      <c r="G7904" t="s">
        <v>20165</v>
      </c>
      <c r="H7904" t="s">
        <v>5474</v>
      </c>
      <c r="I7904" t="s">
        <v>28696</v>
      </c>
      <c r="J7904" t="s">
        <v>5484</v>
      </c>
      <c r="K7904" t="s">
        <v>28697</v>
      </c>
      <c r="L7904" t="s">
        <v>5471</v>
      </c>
      <c r="M7904" t="s">
        <v>5471</v>
      </c>
    </row>
    <row r="7905" spans="1:13" x14ac:dyDescent="0.3">
      <c r="A7905" t="s">
        <v>3388</v>
      </c>
      <c r="B7905" t="s">
        <v>20014</v>
      </c>
      <c r="C7905" t="s">
        <v>5470</v>
      </c>
      <c r="D7905" t="s">
        <v>4058</v>
      </c>
      <c r="E7905" t="s">
        <v>5532</v>
      </c>
      <c r="F7905" t="s">
        <v>28698</v>
      </c>
      <c r="G7905" t="s">
        <v>28699</v>
      </c>
      <c r="H7905" t="s">
        <v>5474</v>
      </c>
      <c r="I7905" t="s">
        <v>28700</v>
      </c>
      <c r="J7905" t="s">
        <v>5484</v>
      </c>
      <c r="K7905" t="s">
        <v>28701</v>
      </c>
      <c r="L7905" t="s">
        <v>5471</v>
      </c>
      <c r="M7905" t="s">
        <v>5471</v>
      </c>
    </row>
    <row r="7906" spans="1:13" x14ac:dyDescent="0.3">
      <c r="A7906" t="s">
        <v>3388</v>
      </c>
      <c r="B7906" t="s">
        <v>21862</v>
      </c>
      <c r="C7906" t="s">
        <v>5470</v>
      </c>
      <c r="D7906" t="s">
        <v>4058</v>
      </c>
      <c r="E7906" t="s">
        <v>5532</v>
      </c>
      <c r="F7906" t="s">
        <v>28702</v>
      </c>
      <c r="G7906" t="s">
        <v>21864</v>
      </c>
      <c r="H7906" t="s">
        <v>5474</v>
      </c>
      <c r="I7906" t="s">
        <v>28703</v>
      </c>
      <c r="J7906" t="s">
        <v>5484</v>
      </c>
      <c r="K7906" t="s">
        <v>28704</v>
      </c>
      <c r="L7906" t="s">
        <v>5471</v>
      </c>
      <c r="M7906" t="s">
        <v>5471</v>
      </c>
    </row>
    <row r="7907" spans="1:13" x14ac:dyDescent="0.3">
      <c r="A7907" t="s">
        <v>3388</v>
      </c>
      <c r="B7907" t="s">
        <v>21862</v>
      </c>
      <c r="C7907" t="s">
        <v>5470</v>
      </c>
      <c r="D7907" t="s">
        <v>4058</v>
      </c>
      <c r="E7907" t="s">
        <v>5532</v>
      </c>
      <c r="F7907" t="s">
        <v>28705</v>
      </c>
      <c r="G7907" t="s">
        <v>21864</v>
      </c>
      <c r="H7907" t="s">
        <v>5474</v>
      </c>
      <c r="I7907" t="s">
        <v>28706</v>
      </c>
      <c r="J7907" t="s">
        <v>5484</v>
      </c>
      <c r="K7907" t="s">
        <v>28701</v>
      </c>
      <c r="L7907" t="s">
        <v>5471</v>
      </c>
      <c r="M7907" t="s">
        <v>5471</v>
      </c>
    </row>
    <row r="7908" spans="1:13" x14ac:dyDescent="0.3">
      <c r="A7908" t="s">
        <v>3388</v>
      </c>
      <c r="B7908" t="s">
        <v>15942</v>
      </c>
      <c r="C7908" t="s">
        <v>5470</v>
      </c>
      <c r="D7908" t="s">
        <v>4058</v>
      </c>
      <c r="E7908" t="s">
        <v>5617</v>
      </c>
      <c r="F7908" t="s">
        <v>28707</v>
      </c>
      <c r="G7908" t="s">
        <v>28708</v>
      </c>
      <c r="H7908" t="s">
        <v>5474</v>
      </c>
      <c r="I7908" t="s">
        <v>28709</v>
      </c>
      <c r="J7908" t="s">
        <v>5484</v>
      </c>
      <c r="K7908" t="s">
        <v>28710</v>
      </c>
      <c r="L7908" t="s">
        <v>5471</v>
      </c>
      <c r="M7908" t="s">
        <v>5471</v>
      </c>
    </row>
    <row r="7909" spans="1:13" x14ac:dyDescent="0.3">
      <c r="A7909" t="s">
        <v>3388</v>
      </c>
      <c r="B7909" t="s">
        <v>15942</v>
      </c>
      <c r="C7909" t="s">
        <v>5470</v>
      </c>
      <c r="D7909" t="s">
        <v>4058</v>
      </c>
      <c r="E7909" t="s">
        <v>5617</v>
      </c>
      <c r="F7909" t="s">
        <v>28711</v>
      </c>
      <c r="G7909" t="s">
        <v>28712</v>
      </c>
      <c r="H7909" t="s">
        <v>5474</v>
      </c>
      <c r="I7909" t="s">
        <v>28713</v>
      </c>
      <c r="J7909" t="s">
        <v>5484</v>
      </c>
      <c r="K7909" t="s">
        <v>28584</v>
      </c>
      <c r="L7909" t="s">
        <v>5471</v>
      </c>
      <c r="M7909" t="s">
        <v>5471</v>
      </c>
    </row>
    <row r="7910" spans="1:13" x14ac:dyDescent="0.3">
      <c r="A7910" t="s">
        <v>3388</v>
      </c>
      <c r="B7910" t="s">
        <v>15942</v>
      </c>
      <c r="C7910" t="s">
        <v>5470</v>
      </c>
      <c r="D7910" t="s">
        <v>4058</v>
      </c>
      <c r="E7910" t="s">
        <v>5617</v>
      </c>
      <c r="F7910" t="s">
        <v>28714</v>
      </c>
      <c r="G7910" t="s">
        <v>28715</v>
      </c>
      <c r="H7910" t="s">
        <v>5474</v>
      </c>
      <c r="I7910" t="s">
        <v>28716</v>
      </c>
      <c r="J7910" t="s">
        <v>5484</v>
      </c>
      <c r="K7910" t="s">
        <v>28717</v>
      </c>
      <c r="L7910" t="s">
        <v>5471</v>
      </c>
      <c r="M7910" t="s">
        <v>5471</v>
      </c>
    </row>
    <row r="7911" spans="1:13" x14ac:dyDescent="0.3">
      <c r="A7911" t="s">
        <v>3388</v>
      </c>
      <c r="B7911" t="s">
        <v>15942</v>
      </c>
      <c r="C7911" t="s">
        <v>5470</v>
      </c>
      <c r="D7911" t="s">
        <v>4058</v>
      </c>
      <c r="E7911" t="s">
        <v>5617</v>
      </c>
      <c r="F7911" t="s">
        <v>28718</v>
      </c>
      <c r="G7911" t="s">
        <v>28715</v>
      </c>
      <c r="H7911" t="s">
        <v>5474</v>
      </c>
      <c r="I7911" t="s">
        <v>28719</v>
      </c>
      <c r="J7911" t="s">
        <v>5484</v>
      </c>
      <c r="K7911" t="s">
        <v>28720</v>
      </c>
      <c r="L7911" t="s">
        <v>5471</v>
      </c>
      <c r="M7911" t="s">
        <v>5471</v>
      </c>
    </row>
    <row r="7912" spans="1:13" x14ac:dyDescent="0.3">
      <c r="A7912" t="s">
        <v>3388</v>
      </c>
      <c r="B7912" t="s">
        <v>15942</v>
      </c>
      <c r="C7912" t="s">
        <v>5470</v>
      </c>
      <c r="D7912" t="s">
        <v>4058</v>
      </c>
      <c r="E7912" t="s">
        <v>5617</v>
      </c>
      <c r="F7912" t="s">
        <v>28721</v>
      </c>
      <c r="G7912" t="s">
        <v>28715</v>
      </c>
      <c r="H7912" t="s">
        <v>5474</v>
      </c>
      <c r="I7912" t="s">
        <v>28722</v>
      </c>
      <c r="J7912" t="s">
        <v>5484</v>
      </c>
      <c r="K7912" t="s">
        <v>28723</v>
      </c>
      <c r="L7912" t="s">
        <v>5471</v>
      </c>
      <c r="M7912" t="s">
        <v>5471</v>
      </c>
    </row>
    <row r="7913" spans="1:13" x14ac:dyDescent="0.3">
      <c r="A7913" t="s">
        <v>3388</v>
      </c>
      <c r="B7913" t="s">
        <v>15942</v>
      </c>
      <c r="C7913" t="s">
        <v>5470</v>
      </c>
      <c r="D7913" t="s">
        <v>4058</v>
      </c>
      <c r="E7913" t="s">
        <v>5617</v>
      </c>
      <c r="F7913" t="s">
        <v>28724</v>
      </c>
      <c r="G7913" t="s">
        <v>28725</v>
      </c>
      <c r="H7913" t="s">
        <v>5474</v>
      </c>
      <c r="I7913" t="s">
        <v>28726</v>
      </c>
      <c r="J7913" t="s">
        <v>5484</v>
      </c>
      <c r="K7913" t="s">
        <v>28727</v>
      </c>
      <c r="L7913" t="s">
        <v>5471</v>
      </c>
      <c r="M7913" t="s">
        <v>5471</v>
      </c>
    </row>
    <row r="7914" spans="1:13" x14ac:dyDescent="0.3">
      <c r="A7914" t="s">
        <v>3388</v>
      </c>
      <c r="B7914" t="s">
        <v>15942</v>
      </c>
      <c r="C7914" t="s">
        <v>5470</v>
      </c>
      <c r="D7914" t="s">
        <v>4058</v>
      </c>
      <c r="E7914" t="s">
        <v>5532</v>
      </c>
      <c r="F7914" t="s">
        <v>28728</v>
      </c>
      <c r="G7914" t="s">
        <v>15968</v>
      </c>
      <c r="H7914" t="s">
        <v>5474</v>
      </c>
      <c r="I7914" t="s">
        <v>28729</v>
      </c>
      <c r="J7914" t="s">
        <v>5484</v>
      </c>
      <c r="K7914" t="s">
        <v>28730</v>
      </c>
      <c r="L7914" t="s">
        <v>5471</v>
      </c>
      <c r="M7914" t="s">
        <v>5471</v>
      </c>
    </row>
    <row r="7915" spans="1:13" x14ac:dyDescent="0.3">
      <c r="A7915" t="s">
        <v>3388</v>
      </c>
      <c r="B7915" t="s">
        <v>15942</v>
      </c>
      <c r="C7915" t="s">
        <v>5470</v>
      </c>
      <c r="D7915" t="s">
        <v>4058</v>
      </c>
      <c r="E7915" t="s">
        <v>5532</v>
      </c>
      <c r="F7915" t="s">
        <v>28731</v>
      </c>
      <c r="G7915" t="s">
        <v>15968</v>
      </c>
      <c r="H7915" t="s">
        <v>5474</v>
      </c>
      <c r="I7915" t="s">
        <v>28732</v>
      </c>
      <c r="J7915" t="s">
        <v>5484</v>
      </c>
      <c r="K7915" t="s">
        <v>28733</v>
      </c>
      <c r="L7915" t="s">
        <v>5471</v>
      </c>
      <c r="M7915" t="s">
        <v>5471</v>
      </c>
    </row>
    <row r="7916" spans="1:13" x14ac:dyDescent="0.3">
      <c r="A7916" t="s">
        <v>3388</v>
      </c>
      <c r="B7916" t="s">
        <v>15942</v>
      </c>
      <c r="C7916" t="s">
        <v>5470</v>
      </c>
      <c r="D7916" t="s">
        <v>4058</v>
      </c>
      <c r="E7916" t="s">
        <v>5532</v>
      </c>
      <c r="F7916" t="s">
        <v>28734</v>
      </c>
      <c r="G7916" t="s">
        <v>28692</v>
      </c>
      <c r="H7916" t="s">
        <v>5474</v>
      </c>
      <c r="I7916" t="s">
        <v>28735</v>
      </c>
      <c r="J7916" t="s">
        <v>5484</v>
      </c>
      <c r="K7916" t="s">
        <v>28736</v>
      </c>
      <c r="L7916" t="s">
        <v>5471</v>
      </c>
      <c r="M7916" t="s">
        <v>5471</v>
      </c>
    </row>
    <row r="7917" spans="1:13" x14ac:dyDescent="0.3">
      <c r="A7917" t="s">
        <v>3388</v>
      </c>
      <c r="B7917" t="s">
        <v>15942</v>
      </c>
      <c r="C7917" t="s">
        <v>5470</v>
      </c>
      <c r="D7917" t="s">
        <v>4058</v>
      </c>
      <c r="E7917" t="s">
        <v>5532</v>
      </c>
      <c r="F7917" t="s">
        <v>28737</v>
      </c>
      <c r="G7917" t="s">
        <v>28692</v>
      </c>
      <c r="H7917" t="s">
        <v>5474</v>
      </c>
      <c r="I7917" t="s">
        <v>28738</v>
      </c>
      <c r="J7917" t="s">
        <v>5484</v>
      </c>
      <c r="K7917" t="s">
        <v>28739</v>
      </c>
      <c r="L7917" t="s">
        <v>5471</v>
      </c>
      <c r="M7917" t="s">
        <v>5471</v>
      </c>
    </row>
    <row r="7918" spans="1:13" x14ac:dyDescent="0.3">
      <c r="A7918" t="s">
        <v>3388</v>
      </c>
      <c r="B7918" t="s">
        <v>15942</v>
      </c>
      <c r="C7918" t="s">
        <v>5470</v>
      </c>
      <c r="D7918" t="s">
        <v>4058</v>
      </c>
      <c r="E7918" t="s">
        <v>5532</v>
      </c>
      <c r="F7918" t="s">
        <v>28740</v>
      </c>
      <c r="G7918" t="s">
        <v>28692</v>
      </c>
      <c r="H7918" t="s">
        <v>5474</v>
      </c>
      <c r="I7918" t="s">
        <v>28741</v>
      </c>
      <c r="J7918" t="s">
        <v>5484</v>
      </c>
      <c r="K7918" t="s">
        <v>28742</v>
      </c>
      <c r="L7918" t="s">
        <v>5471</v>
      </c>
      <c r="M7918" t="s">
        <v>5471</v>
      </c>
    </row>
    <row r="7919" spans="1:13" x14ac:dyDescent="0.3">
      <c r="A7919" t="s">
        <v>3388</v>
      </c>
      <c r="B7919" t="s">
        <v>15942</v>
      </c>
      <c r="C7919" t="s">
        <v>5470</v>
      </c>
      <c r="D7919" t="s">
        <v>4058</v>
      </c>
      <c r="E7919" t="s">
        <v>5532</v>
      </c>
      <c r="F7919" t="s">
        <v>28743</v>
      </c>
      <c r="G7919" t="s">
        <v>19585</v>
      </c>
      <c r="H7919" t="s">
        <v>5474</v>
      </c>
      <c r="I7919" t="s">
        <v>28744</v>
      </c>
      <c r="J7919" t="s">
        <v>5484</v>
      </c>
      <c r="K7919" t="s">
        <v>28745</v>
      </c>
      <c r="L7919" t="s">
        <v>5471</v>
      </c>
      <c r="M7919" t="s">
        <v>5471</v>
      </c>
    </row>
    <row r="7920" spans="1:13" x14ac:dyDescent="0.3">
      <c r="A7920" t="s">
        <v>3388</v>
      </c>
      <c r="B7920" t="s">
        <v>15942</v>
      </c>
      <c r="C7920" t="s">
        <v>5470</v>
      </c>
      <c r="D7920" t="s">
        <v>4058</v>
      </c>
      <c r="E7920" t="s">
        <v>5532</v>
      </c>
      <c r="F7920" t="s">
        <v>28746</v>
      </c>
      <c r="G7920" t="s">
        <v>19585</v>
      </c>
      <c r="H7920" t="s">
        <v>5474</v>
      </c>
      <c r="I7920" t="s">
        <v>28747</v>
      </c>
      <c r="J7920" t="s">
        <v>5484</v>
      </c>
      <c r="K7920" t="s">
        <v>28748</v>
      </c>
      <c r="L7920" t="s">
        <v>5471</v>
      </c>
      <c r="M7920" t="s">
        <v>5471</v>
      </c>
    </row>
    <row r="7921" spans="1:13" x14ac:dyDescent="0.3">
      <c r="A7921" t="s">
        <v>3388</v>
      </c>
      <c r="B7921" t="s">
        <v>15942</v>
      </c>
      <c r="C7921" t="s">
        <v>5470</v>
      </c>
      <c r="D7921" t="s">
        <v>4058</v>
      </c>
      <c r="E7921" t="s">
        <v>5532</v>
      </c>
      <c r="F7921" t="s">
        <v>28749</v>
      </c>
      <c r="G7921" t="s">
        <v>19585</v>
      </c>
      <c r="H7921" t="s">
        <v>5474</v>
      </c>
      <c r="I7921" t="s">
        <v>28750</v>
      </c>
      <c r="J7921" t="s">
        <v>5484</v>
      </c>
      <c r="K7921" t="s">
        <v>28751</v>
      </c>
      <c r="L7921" t="s">
        <v>5471</v>
      </c>
      <c r="M7921" t="s">
        <v>5471</v>
      </c>
    </row>
    <row r="7922" spans="1:13" x14ac:dyDescent="0.3">
      <c r="A7922" t="s">
        <v>3388</v>
      </c>
      <c r="B7922" t="s">
        <v>15942</v>
      </c>
      <c r="C7922" t="s">
        <v>5470</v>
      </c>
      <c r="D7922" t="s">
        <v>4058</v>
      </c>
      <c r="E7922" t="s">
        <v>5532</v>
      </c>
      <c r="F7922" t="s">
        <v>28752</v>
      </c>
      <c r="G7922" t="s">
        <v>19585</v>
      </c>
      <c r="H7922" t="s">
        <v>5474</v>
      </c>
      <c r="I7922" t="s">
        <v>28753</v>
      </c>
      <c r="J7922" t="s">
        <v>5484</v>
      </c>
      <c r="K7922" t="s">
        <v>28754</v>
      </c>
      <c r="L7922" t="s">
        <v>5471</v>
      </c>
      <c r="M7922" t="s">
        <v>5471</v>
      </c>
    </row>
    <row r="7923" spans="1:13" x14ac:dyDescent="0.3">
      <c r="A7923" t="s">
        <v>3388</v>
      </c>
      <c r="B7923" t="s">
        <v>15942</v>
      </c>
      <c r="C7923" t="s">
        <v>5470</v>
      </c>
      <c r="D7923" t="s">
        <v>4058</v>
      </c>
      <c r="E7923" t="s">
        <v>5532</v>
      </c>
      <c r="F7923" t="s">
        <v>28755</v>
      </c>
      <c r="G7923" t="s">
        <v>19585</v>
      </c>
      <c r="H7923" t="s">
        <v>5474</v>
      </c>
      <c r="I7923" t="s">
        <v>28756</v>
      </c>
      <c r="J7923" t="s">
        <v>5484</v>
      </c>
      <c r="K7923" t="s">
        <v>28757</v>
      </c>
      <c r="L7923" t="s">
        <v>5471</v>
      </c>
      <c r="M7923" t="s">
        <v>5471</v>
      </c>
    </row>
    <row r="7924" spans="1:13" x14ac:dyDescent="0.3">
      <c r="A7924" t="s">
        <v>3388</v>
      </c>
      <c r="B7924" t="s">
        <v>15942</v>
      </c>
      <c r="C7924" t="s">
        <v>5470</v>
      </c>
      <c r="D7924" t="s">
        <v>4058</v>
      </c>
      <c r="E7924" t="s">
        <v>5532</v>
      </c>
      <c r="F7924" t="s">
        <v>28758</v>
      </c>
      <c r="G7924" t="s">
        <v>19585</v>
      </c>
      <c r="H7924" t="s">
        <v>5474</v>
      </c>
      <c r="I7924" t="s">
        <v>28759</v>
      </c>
      <c r="J7924" t="s">
        <v>5484</v>
      </c>
      <c r="K7924" t="s">
        <v>28760</v>
      </c>
      <c r="L7924" t="s">
        <v>5471</v>
      </c>
      <c r="M7924" t="s">
        <v>5471</v>
      </c>
    </row>
    <row r="7925" spans="1:13" x14ac:dyDescent="0.3">
      <c r="A7925" t="s">
        <v>3388</v>
      </c>
      <c r="B7925" t="s">
        <v>15942</v>
      </c>
      <c r="C7925" t="s">
        <v>5470</v>
      </c>
      <c r="D7925" t="s">
        <v>4058</v>
      </c>
      <c r="E7925" t="s">
        <v>5532</v>
      </c>
      <c r="F7925" t="s">
        <v>28761</v>
      </c>
      <c r="G7925" t="s">
        <v>28715</v>
      </c>
      <c r="H7925" t="s">
        <v>5474</v>
      </c>
      <c r="I7925" t="s">
        <v>28762</v>
      </c>
      <c r="J7925" t="s">
        <v>5484</v>
      </c>
      <c r="K7925" t="s">
        <v>28763</v>
      </c>
      <c r="L7925" t="s">
        <v>5471</v>
      </c>
      <c r="M7925" t="s">
        <v>5471</v>
      </c>
    </row>
    <row r="7926" spans="1:13" x14ac:dyDescent="0.3">
      <c r="A7926" t="s">
        <v>3388</v>
      </c>
      <c r="B7926" t="s">
        <v>15942</v>
      </c>
      <c r="C7926" t="s">
        <v>5470</v>
      </c>
      <c r="D7926" t="s">
        <v>4058</v>
      </c>
      <c r="E7926" t="s">
        <v>5532</v>
      </c>
      <c r="F7926" t="s">
        <v>28764</v>
      </c>
      <c r="G7926" t="s">
        <v>28715</v>
      </c>
      <c r="H7926" t="s">
        <v>5474</v>
      </c>
      <c r="I7926" t="s">
        <v>28765</v>
      </c>
      <c r="J7926" t="s">
        <v>5484</v>
      </c>
      <c r="K7926" t="s">
        <v>28766</v>
      </c>
      <c r="L7926" t="s">
        <v>5471</v>
      </c>
      <c r="M7926" t="s">
        <v>5471</v>
      </c>
    </row>
    <row r="7927" spans="1:13" x14ac:dyDescent="0.3">
      <c r="A7927" t="s">
        <v>3388</v>
      </c>
      <c r="B7927" t="s">
        <v>15942</v>
      </c>
      <c r="C7927" t="s">
        <v>5470</v>
      </c>
      <c r="D7927" t="s">
        <v>4058</v>
      </c>
      <c r="E7927" t="s">
        <v>5532</v>
      </c>
      <c r="F7927" t="s">
        <v>28767</v>
      </c>
      <c r="G7927" t="s">
        <v>28715</v>
      </c>
      <c r="H7927" t="s">
        <v>5474</v>
      </c>
      <c r="I7927" t="s">
        <v>28768</v>
      </c>
      <c r="J7927" t="s">
        <v>5484</v>
      </c>
      <c r="K7927" t="s">
        <v>28769</v>
      </c>
      <c r="L7927" t="s">
        <v>5471</v>
      </c>
      <c r="M7927" t="s">
        <v>5471</v>
      </c>
    </row>
    <row r="7928" spans="1:13" x14ac:dyDescent="0.3">
      <c r="A7928" t="s">
        <v>3388</v>
      </c>
      <c r="B7928" t="s">
        <v>15942</v>
      </c>
      <c r="C7928" t="s">
        <v>5470</v>
      </c>
      <c r="D7928" t="s">
        <v>4058</v>
      </c>
      <c r="E7928" t="s">
        <v>5532</v>
      </c>
      <c r="F7928" t="s">
        <v>28770</v>
      </c>
      <c r="G7928" t="s">
        <v>28715</v>
      </c>
      <c r="H7928" t="s">
        <v>5474</v>
      </c>
      <c r="I7928" t="s">
        <v>28771</v>
      </c>
      <c r="J7928" t="s">
        <v>5484</v>
      </c>
      <c r="K7928" t="s">
        <v>28772</v>
      </c>
      <c r="L7928" t="s">
        <v>5471</v>
      </c>
      <c r="M7928" t="s">
        <v>5471</v>
      </c>
    </row>
    <row r="7929" spans="1:13" x14ac:dyDescent="0.3">
      <c r="A7929" t="s">
        <v>3388</v>
      </c>
      <c r="B7929" t="s">
        <v>15942</v>
      </c>
      <c r="C7929" t="s">
        <v>5470</v>
      </c>
      <c r="D7929" t="s">
        <v>4058</v>
      </c>
      <c r="E7929" t="s">
        <v>5532</v>
      </c>
      <c r="F7929" t="s">
        <v>28773</v>
      </c>
      <c r="G7929" t="s">
        <v>28715</v>
      </c>
      <c r="H7929" t="s">
        <v>5474</v>
      </c>
      <c r="I7929" t="s">
        <v>28774</v>
      </c>
      <c r="J7929" t="s">
        <v>5484</v>
      </c>
      <c r="K7929" t="s">
        <v>28775</v>
      </c>
      <c r="L7929" t="s">
        <v>5471</v>
      </c>
      <c r="M7929" t="s">
        <v>5471</v>
      </c>
    </row>
    <row r="7930" spans="1:13" x14ac:dyDescent="0.3">
      <c r="A7930" t="s">
        <v>3388</v>
      </c>
      <c r="B7930" t="s">
        <v>15942</v>
      </c>
      <c r="C7930" t="s">
        <v>5470</v>
      </c>
      <c r="D7930" t="s">
        <v>4058</v>
      </c>
      <c r="E7930" t="s">
        <v>5532</v>
      </c>
      <c r="F7930" t="s">
        <v>28776</v>
      </c>
      <c r="G7930" t="s">
        <v>28725</v>
      </c>
      <c r="H7930" t="s">
        <v>5474</v>
      </c>
      <c r="I7930" t="s">
        <v>28777</v>
      </c>
      <c r="J7930" t="s">
        <v>5484</v>
      </c>
      <c r="K7930" t="s">
        <v>28778</v>
      </c>
      <c r="L7930" t="s">
        <v>5471</v>
      </c>
      <c r="M7930" t="s">
        <v>5471</v>
      </c>
    </row>
    <row r="7931" spans="1:13" x14ac:dyDescent="0.3">
      <c r="A7931" t="s">
        <v>3388</v>
      </c>
      <c r="B7931" t="s">
        <v>15942</v>
      </c>
      <c r="C7931" t="s">
        <v>5470</v>
      </c>
      <c r="D7931" t="s">
        <v>4058</v>
      </c>
      <c r="E7931" t="s">
        <v>5532</v>
      </c>
      <c r="F7931" t="s">
        <v>28779</v>
      </c>
      <c r="G7931" t="s">
        <v>28725</v>
      </c>
      <c r="H7931" t="s">
        <v>5474</v>
      </c>
      <c r="I7931" t="s">
        <v>28780</v>
      </c>
      <c r="J7931" t="s">
        <v>5484</v>
      </c>
      <c r="K7931" t="s">
        <v>28781</v>
      </c>
      <c r="L7931" t="s">
        <v>5471</v>
      </c>
      <c r="M7931" t="s">
        <v>5471</v>
      </c>
    </row>
    <row r="7932" spans="1:13" x14ac:dyDescent="0.3">
      <c r="A7932" t="s">
        <v>3388</v>
      </c>
      <c r="B7932" t="s">
        <v>15942</v>
      </c>
      <c r="C7932" t="s">
        <v>5470</v>
      </c>
      <c r="D7932" t="s">
        <v>4058</v>
      </c>
      <c r="E7932" t="s">
        <v>5532</v>
      </c>
      <c r="F7932" t="s">
        <v>28782</v>
      </c>
      <c r="G7932" t="s">
        <v>28725</v>
      </c>
      <c r="H7932" t="s">
        <v>5474</v>
      </c>
      <c r="I7932" t="s">
        <v>28783</v>
      </c>
      <c r="J7932" t="s">
        <v>5484</v>
      </c>
      <c r="K7932" t="s">
        <v>28784</v>
      </c>
      <c r="L7932" t="s">
        <v>5471</v>
      </c>
      <c r="M7932" t="s">
        <v>5471</v>
      </c>
    </row>
    <row r="7933" spans="1:13" x14ac:dyDescent="0.3">
      <c r="A7933" t="s">
        <v>3388</v>
      </c>
      <c r="B7933" t="s">
        <v>15942</v>
      </c>
      <c r="C7933" t="s">
        <v>5470</v>
      </c>
      <c r="D7933" t="s">
        <v>4058</v>
      </c>
      <c r="E7933" t="s">
        <v>5532</v>
      </c>
      <c r="F7933" t="s">
        <v>28785</v>
      </c>
      <c r="G7933" t="s">
        <v>28725</v>
      </c>
      <c r="H7933" t="s">
        <v>5474</v>
      </c>
      <c r="I7933" t="s">
        <v>28786</v>
      </c>
      <c r="J7933" t="s">
        <v>5484</v>
      </c>
      <c r="K7933" t="s">
        <v>28787</v>
      </c>
      <c r="L7933" t="s">
        <v>5471</v>
      </c>
      <c r="M7933" t="s">
        <v>5471</v>
      </c>
    </row>
    <row r="7934" spans="1:13" x14ac:dyDescent="0.3">
      <c r="A7934" t="s">
        <v>3388</v>
      </c>
      <c r="B7934" t="s">
        <v>15942</v>
      </c>
      <c r="C7934" t="s">
        <v>5470</v>
      </c>
      <c r="D7934" t="s">
        <v>4058</v>
      </c>
      <c r="E7934" t="s">
        <v>5532</v>
      </c>
      <c r="F7934" t="s">
        <v>28788</v>
      </c>
      <c r="G7934" t="s">
        <v>28725</v>
      </c>
      <c r="H7934" t="s">
        <v>5474</v>
      </c>
      <c r="I7934" t="s">
        <v>28789</v>
      </c>
      <c r="J7934" t="s">
        <v>5484</v>
      </c>
      <c r="K7934" t="s">
        <v>28790</v>
      </c>
      <c r="L7934" t="s">
        <v>5471</v>
      </c>
      <c r="M7934" t="s">
        <v>5471</v>
      </c>
    </row>
    <row r="7935" spans="1:13" x14ac:dyDescent="0.3">
      <c r="A7935" t="s">
        <v>3388</v>
      </c>
      <c r="B7935" t="s">
        <v>15702</v>
      </c>
      <c r="C7935" t="s">
        <v>5470</v>
      </c>
      <c r="D7935" t="s">
        <v>4058</v>
      </c>
      <c r="E7935" t="s">
        <v>5532</v>
      </c>
      <c r="F7935" t="s">
        <v>28791</v>
      </c>
      <c r="G7935" t="s">
        <v>28792</v>
      </c>
      <c r="H7935" t="s">
        <v>5474</v>
      </c>
      <c r="I7935" t="s">
        <v>28793</v>
      </c>
      <c r="J7935" t="s">
        <v>5484</v>
      </c>
      <c r="K7935" t="s">
        <v>28730</v>
      </c>
      <c r="L7935" t="s">
        <v>5471</v>
      </c>
      <c r="M7935" t="s">
        <v>5471</v>
      </c>
    </row>
    <row r="7936" spans="1:13" x14ac:dyDescent="0.3">
      <c r="A7936" t="s">
        <v>3388</v>
      </c>
      <c r="B7936" t="s">
        <v>15702</v>
      </c>
      <c r="C7936" t="s">
        <v>5470</v>
      </c>
      <c r="D7936" t="s">
        <v>4058</v>
      </c>
      <c r="E7936" t="s">
        <v>5532</v>
      </c>
      <c r="F7936" t="s">
        <v>28794</v>
      </c>
      <c r="G7936" t="s">
        <v>28792</v>
      </c>
      <c r="H7936" t="s">
        <v>5474</v>
      </c>
      <c r="I7936" t="s">
        <v>28795</v>
      </c>
      <c r="J7936" t="s">
        <v>5484</v>
      </c>
      <c r="K7936" t="s">
        <v>28733</v>
      </c>
      <c r="L7936" t="s">
        <v>5471</v>
      </c>
      <c r="M7936" t="s">
        <v>5471</v>
      </c>
    </row>
    <row r="7937" spans="1:13" x14ac:dyDescent="0.3">
      <c r="A7937" t="s">
        <v>3388</v>
      </c>
      <c r="B7937" t="s">
        <v>15702</v>
      </c>
      <c r="C7937" t="s">
        <v>5470</v>
      </c>
      <c r="D7937" t="s">
        <v>4058</v>
      </c>
      <c r="E7937" t="s">
        <v>5532</v>
      </c>
      <c r="F7937" t="s">
        <v>28796</v>
      </c>
      <c r="G7937" t="s">
        <v>28797</v>
      </c>
      <c r="H7937" t="s">
        <v>5474</v>
      </c>
      <c r="I7937" t="s">
        <v>28798</v>
      </c>
      <c r="J7937" t="s">
        <v>5484</v>
      </c>
      <c r="K7937" t="s">
        <v>28763</v>
      </c>
      <c r="L7937" t="s">
        <v>5471</v>
      </c>
      <c r="M7937" t="s">
        <v>5471</v>
      </c>
    </row>
    <row r="7938" spans="1:13" x14ac:dyDescent="0.3">
      <c r="A7938" t="s">
        <v>3388</v>
      </c>
      <c r="B7938" t="s">
        <v>15702</v>
      </c>
      <c r="C7938" t="s">
        <v>5470</v>
      </c>
      <c r="D7938" t="s">
        <v>4058</v>
      </c>
      <c r="E7938" t="s">
        <v>5532</v>
      </c>
      <c r="F7938" t="s">
        <v>28799</v>
      </c>
      <c r="G7938" t="s">
        <v>28797</v>
      </c>
      <c r="H7938" t="s">
        <v>5474</v>
      </c>
      <c r="I7938" t="s">
        <v>28800</v>
      </c>
      <c r="J7938" t="s">
        <v>5484</v>
      </c>
      <c r="K7938" t="s">
        <v>28766</v>
      </c>
      <c r="L7938" t="s">
        <v>5471</v>
      </c>
      <c r="M7938" t="s">
        <v>5471</v>
      </c>
    </row>
    <row r="7939" spans="1:13" x14ac:dyDescent="0.3">
      <c r="A7939" t="s">
        <v>3388</v>
      </c>
      <c r="B7939" t="s">
        <v>15702</v>
      </c>
      <c r="C7939" t="s">
        <v>5470</v>
      </c>
      <c r="D7939" t="s">
        <v>4058</v>
      </c>
      <c r="E7939" t="s">
        <v>5532</v>
      </c>
      <c r="F7939" t="s">
        <v>28801</v>
      </c>
      <c r="G7939" t="s">
        <v>28797</v>
      </c>
      <c r="H7939" t="s">
        <v>5474</v>
      </c>
      <c r="I7939" t="s">
        <v>28802</v>
      </c>
      <c r="J7939" t="s">
        <v>5484</v>
      </c>
      <c r="K7939" t="s">
        <v>28769</v>
      </c>
      <c r="L7939" t="s">
        <v>5471</v>
      </c>
      <c r="M7939" t="s">
        <v>5471</v>
      </c>
    </row>
    <row r="7940" spans="1:13" x14ac:dyDescent="0.3">
      <c r="A7940" t="s">
        <v>3388</v>
      </c>
      <c r="B7940" t="s">
        <v>15702</v>
      </c>
      <c r="C7940" t="s">
        <v>5470</v>
      </c>
      <c r="D7940" t="s">
        <v>4058</v>
      </c>
      <c r="E7940" t="s">
        <v>5532</v>
      </c>
      <c r="F7940" t="s">
        <v>28803</v>
      </c>
      <c r="G7940" t="s">
        <v>28797</v>
      </c>
      <c r="H7940" t="s">
        <v>5474</v>
      </c>
      <c r="I7940" t="s">
        <v>28804</v>
      </c>
      <c r="J7940" t="s">
        <v>5484</v>
      </c>
      <c r="K7940" t="s">
        <v>28772</v>
      </c>
      <c r="L7940" t="s">
        <v>5471</v>
      </c>
      <c r="M7940" t="s">
        <v>5471</v>
      </c>
    </row>
    <row r="7941" spans="1:13" x14ac:dyDescent="0.3">
      <c r="A7941" t="s">
        <v>3388</v>
      </c>
      <c r="B7941" t="s">
        <v>15892</v>
      </c>
      <c r="C7941" t="s">
        <v>5470</v>
      </c>
      <c r="D7941" t="s">
        <v>4058</v>
      </c>
      <c r="E7941" t="s">
        <v>5617</v>
      </c>
      <c r="F7941" t="s">
        <v>28805</v>
      </c>
      <c r="G7941" t="s">
        <v>28806</v>
      </c>
      <c r="H7941" t="s">
        <v>5474</v>
      </c>
      <c r="I7941" t="s">
        <v>28807</v>
      </c>
      <c r="J7941" t="s">
        <v>5484</v>
      </c>
      <c r="K7941" t="s">
        <v>28710</v>
      </c>
      <c r="L7941" t="s">
        <v>5471</v>
      </c>
      <c r="M7941" t="s">
        <v>5471</v>
      </c>
    </row>
    <row r="7942" spans="1:13" x14ac:dyDescent="0.3">
      <c r="A7942" t="s">
        <v>3388</v>
      </c>
      <c r="B7942" t="s">
        <v>5316</v>
      </c>
      <c r="C7942" t="s">
        <v>5470</v>
      </c>
      <c r="D7942" t="s">
        <v>4058</v>
      </c>
      <c r="E7942" t="s">
        <v>5617</v>
      </c>
      <c r="F7942" t="s">
        <v>28808</v>
      </c>
      <c r="G7942" t="s">
        <v>28809</v>
      </c>
      <c r="H7942" t="s">
        <v>5474</v>
      </c>
      <c r="I7942" t="s">
        <v>28810</v>
      </c>
      <c r="J7942" t="s">
        <v>5484</v>
      </c>
      <c r="K7942" t="s">
        <v>28710</v>
      </c>
      <c r="L7942" t="s">
        <v>5471</v>
      </c>
      <c r="M7942" t="s">
        <v>5471</v>
      </c>
    </row>
    <row r="7943" spans="1:13" x14ac:dyDescent="0.3">
      <c r="A7943" t="s">
        <v>3388</v>
      </c>
      <c r="B7943" t="s">
        <v>5316</v>
      </c>
      <c r="C7943" t="s">
        <v>5470</v>
      </c>
      <c r="D7943" t="s">
        <v>4058</v>
      </c>
      <c r="E7943" t="s">
        <v>5617</v>
      </c>
      <c r="F7943" t="s">
        <v>28811</v>
      </c>
      <c r="G7943" t="s">
        <v>28812</v>
      </c>
      <c r="H7943" t="s">
        <v>5474</v>
      </c>
      <c r="I7943" t="s">
        <v>28813</v>
      </c>
      <c r="J7943" t="s">
        <v>5484</v>
      </c>
      <c r="K7943" t="s">
        <v>28814</v>
      </c>
      <c r="L7943" t="s">
        <v>5471</v>
      </c>
      <c r="M7943" t="s">
        <v>5471</v>
      </c>
    </row>
    <row r="7944" spans="1:13" x14ac:dyDescent="0.3">
      <c r="A7944" t="s">
        <v>3388</v>
      </c>
      <c r="B7944" t="s">
        <v>5316</v>
      </c>
      <c r="C7944" t="s">
        <v>5470</v>
      </c>
      <c r="D7944" t="s">
        <v>4058</v>
      </c>
      <c r="E7944" t="s">
        <v>5532</v>
      </c>
      <c r="F7944" t="s">
        <v>28815</v>
      </c>
      <c r="G7944" t="s">
        <v>19877</v>
      </c>
      <c r="H7944" t="s">
        <v>5474</v>
      </c>
      <c r="I7944" t="s">
        <v>28816</v>
      </c>
      <c r="J7944" t="s">
        <v>5484</v>
      </c>
      <c r="K7944" t="s">
        <v>5471</v>
      </c>
      <c r="L7944" t="s">
        <v>5471</v>
      </c>
      <c r="M7944" t="s">
        <v>5471</v>
      </c>
    </row>
    <row r="7945" spans="1:13" x14ac:dyDescent="0.3">
      <c r="A7945" t="s">
        <v>3388</v>
      </c>
      <c r="B7945" t="s">
        <v>5316</v>
      </c>
      <c r="C7945" t="s">
        <v>5470</v>
      </c>
      <c r="D7945" t="s">
        <v>4058</v>
      </c>
      <c r="E7945" t="s">
        <v>5617</v>
      </c>
      <c r="F7945" t="s">
        <v>28817</v>
      </c>
      <c r="G7945" t="s">
        <v>19877</v>
      </c>
      <c r="H7945" t="s">
        <v>5474</v>
      </c>
      <c r="I7945" t="s">
        <v>28818</v>
      </c>
      <c r="J7945" t="s">
        <v>5484</v>
      </c>
      <c r="K7945" t="s">
        <v>28819</v>
      </c>
      <c r="L7945" t="s">
        <v>5471</v>
      </c>
      <c r="M7945" t="s">
        <v>5471</v>
      </c>
    </row>
    <row r="7946" spans="1:13" x14ac:dyDescent="0.3">
      <c r="A7946" t="s">
        <v>3388</v>
      </c>
      <c r="B7946" t="s">
        <v>5316</v>
      </c>
      <c r="C7946" t="s">
        <v>5470</v>
      </c>
      <c r="D7946" t="s">
        <v>4058</v>
      </c>
      <c r="E7946" t="s">
        <v>5617</v>
      </c>
      <c r="F7946" t="s">
        <v>28820</v>
      </c>
      <c r="G7946" t="s">
        <v>19877</v>
      </c>
      <c r="H7946" t="s">
        <v>5474</v>
      </c>
      <c r="I7946" t="s">
        <v>28821</v>
      </c>
      <c r="J7946" t="s">
        <v>5484</v>
      </c>
      <c r="K7946" t="s">
        <v>28822</v>
      </c>
      <c r="L7946" t="s">
        <v>5471</v>
      </c>
      <c r="M7946" t="s">
        <v>5471</v>
      </c>
    </row>
    <row r="7947" spans="1:13" x14ac:dyDescent="0.3">
      <c r="A7947" t="s">
        <v>3388</v>
      </c>
      <c r="B7947" t="s">
        <v>15942</v>
      </c>
      <c r="C7947" t="s">
        <v>5470</v>
      </c>
      <c r="D7947" t="s">
        <v>4058</v>
      </c>
      <c r="E7947" t="s">
        <v>5617</v>
      </c>
      <c r="F7947" t="s">
        <v>28823</v>
      </c>
      <c r="G7947" t="s">
        <v>28712</v>
      </c>
      <c r="H7947" t="s">
        <v>5474</v>
      </c>
      <c r="I7947" t="s">
        <v>28824</v>
      </c>
      <c r="J7947" t="s">
        <v>5484</v>
      </c>
      <c r="K7947" t="s">
        <v>28581</v>
      </c>
      <c r="L7947" t="s">
        <v>5471</v>
      </c>
      <c r="M7947" t="s">
        <v>5471</v>
      </c>
    </row>
    <row r="7948" spans="1:13" x14ac:dyDescent="0.3">
      <c r="A7948" t="s">
        <v>3388</v>
      </c>
      <c r="B7948" t="s">
        <v>15702</v>
      </c>
      <c r="C7948" t="s">
        <v>5470</v>
      </c>
      <c r="D7948" t="s">
        <v>4058</v>
      </c>
      <c r="E7948" t="s">
        <v>5617</v>
      </c>
      <c r="F7948" t="s">
        <v>28825</v>
      </c>
      <c r="G7948" t="s">
        <v>28826</v>
      </c>
      <c r="H7948" t="s">
        <v>5474</v>
      </c>
      <c r="I7948" t="s">
        <v>28827</v>
      </c>
      <c r="J7948" t="s">
        <v>5484</v>
      </c>
      <c r="K7948" t="s">
        <v>28828</v>
      </c>
      <c r="L7948" t="s">
        <v>5471</v>
      </c>
      <c r="M7948" t="s">
        <v>5471</v>
      </c>
    </row>
    <row r="7949" spans="1:13" x14ac:dyDescent="0.3">
      <c r="A7949" t="s">
        <v>3388</v>
      </c>
      <c r="B7949" t="s">
        <v>15702</v>
      </c>
      <c r="C7949" t="s">
        <v>5470</v>
      </c>
      <c r="D7949" t="s">
        <v>4058</v>
      </c>
      <c r="E7949" t="s">
        <v>5617</v>
      </c>
      <c r="F7949" t="s">
        <v>28829</v>
      </c>
      <c r="G7949" t="s">
        <v>28826</v>
      </c>
      <c r="H7949" t="s">
        <v>5474</v>
      </c>
      <c r="I7949" t="s">
        <v>28830</v>
      </c>
      <c r="J7949" t="s">
        <v>5484</v>
      </c>
      <c r="K7949" t="s">
        <v>28831</v>
      </c>
      <c r="L7949" t="s">
        <v>5471</v>
      </c>
      <c r="M7949" t="s">
        <v>5471</v>
      </c>
    </row>
    <row r="7950" spans="1:13" x14ac:dyDescent="0.3">
      <c r="A7950" t="s">
        <v>3388</v>
      </c>
      <c r="B7950" t="s">
        <v>15702</v>
      </c>
      <c r="C7950" t="s">
        <v>5470</v>
      </c>
      <c r="D7950" t="s">
        <v>4058</v>
      </c>
      <c r="E7950" t="s">
        <v>5617</v>
      </c>
      <c r="F7950" t="s">
        <v>28832</v>
      </c>
      <c r="G7950" t="s">
        <v>28826</v>
      </c>
      <c r="H7950" t="s">
        <v>5474</v>
      </c>
      <c r="I7950" t="s">
        <v>28833</v>
      </c>
      <c r="J7950" t="s">
        <v>5484</v>
      </c>
      <c r="K7950" t="s">
        <v>28814</v>
      </c>
      <c r="L7950" t="s">
        <v>5471</v>
      </c>
      <c r="M7950" t="s">
        <v>5471</v>
      </c>
    </row>
    <row r="7951" spans="1:13" x14ac:dyDescent="0.3">
      <c r="A7951" t="s">
        <v>3388</v>
      </c>
      <c r="B7951" t="s">
        <v>15702</v>
      </c>
      <c r="C7951" t="s">
        <v>5470</v>
      </c>
      <c r="D7951" t="s">
        <v>4058</v>
      </c>
      <c r="E7951" t="s">
        <v>5617</v>
      </c>
      <c r="F7951" t="s">
        <v>28834</v>
      </c>
      <c r="G7951" t="s">
        <v>28835</v>
      </c>
      <c r="H7951" t="s">
        <v>5474</v>
      </c>
      <c r="I7951" t="s">
        <v>28836</v>
      </c>
      <c r="J7951" t="s">
        <v>5484</v>
      </c>
      <c r="K7951" t="s">
        <v>28837</v>
      </c>
      <c r="L7951" t="s">
        <v>5471</v>
      </c>
      <c r="M7951" t="s">
        <v>5471</v>
      </c>
    </row>
    <row r="7952" spans="1:13" x14ac:dyDescent="0.3">
      <c r="A7952" t="s">
        <v>3388</v>
      </c>
      <c r="B7952" t="s">
        <v>15702</v>
      </c>
      <c r="C7952" t="s">
        <v>5470</v>
      </c>
      <c r="D7952" t="s">
        <v>4058</v>
      </c>
      <c r="E7952" t="s">
        <v>5617</v>
      </c>
      <c r="F7952" t="s">
        <v>28838</v>
      </c>
      <c r="G7952" t="s">
        <v>28835</v>
      </c>
      <c r="H7952" t="s">
        <v>5474</v>
      </c>
      <c r="I7952" t="s">
        <v>28839</v>
      </c>
      <c r="J7952" t="s">
        <v>5484</v>
      </c>
      <c r="K7952" t="s">
        <v>28840</v>
      </c>
      <c r="L7952" t="s">
        <v>5471</v>
      </c>
      <c r="M7952" t="s">
        <v>5471</v>
      </c>
    </row>
    <row r="7953" spans="1:13" x14ac:dyDescent="0.3">
      <c r="A7953" t="s">
        <v>3388</v>
      </c>
      <c r="B7953" t="s">
        <v>15702</v>
      </c>
      <c r="C7953" t="s">
        <v>5470</v>
      </c>
      <c r="D7953" t="s">
        <v>4058</v>
      </c>
      <c r="E7953" t="s">
        <v>5617</v>
      </c>
      <c r="F7953" t="s">
        <v>28841</v>
      </c>
      <c r="G7953" t="s">
        <v>28835</v>
      </c>
      <c r="H7953" t="s">
        <v>5474</v>
      </c>
      <c r="I7953" t="s">
        <v>28842</v>
      </c>
      <c r="J7953" t="s">
        <v>5484</v>
      </c>
      <c r="K7953" t="s">
        <v>28843</v>
      </c>
      <c r="L7953" t="s">
        <v>5471</v>
      </c>
      <c r="M7953" t="s">
        <v>5471</v>
      </c>
    </row>
    <row r="7954" spans="1:13" x14ac:dyDescent="0.3">
      <c r="A7954" t="s">
        <v>3388</v>
      </c>
      <c r="B7954" t="s">
        <v>15702</v>
      </c>
      <c r="C7954" t="s">
        <v>5470</v>
      </c>
      <c r="D7954" t="s">
        <v>4058</v>
      </c>
      <c r="E7954" t="s">
        <v>5617</v>
      </c>
      <c r="F7954" t="s">
        <v>28844</v>
      </c>
      <c r="G7954" t="s">
        <v>28845</v>
      </c>
      <c r="H7954" t="s">
        <v>5474</v>
      </c>
      <c r="I7954" t="s">
        <v>28846</v>
      </c>
      <c r="J7954" t="s">
        <v>5484</v>
      </c>
      <c r="K7954" t="s">
        <v>28847</v>
      </c>
      <c r="L7954" t="s">
        <v>5471</v>
      </c>
      <c r="M7954" t="s">
        <v>5471</v>
      </c>
    </row>
    <row r="7955" spans="1:13" x14ac:dyDescent="0.3">
      <c r="A7955" t="s">
        <v>3388</v>
      </c>
      <c r="B7955" t="s">
        <v>15702</v>
      </c>
      <c r="C7955" t="s">
        <v>5470</v>
      </c>
      <c r="D7955" t="s">
        <v>4058</v>
      </c>
      <c r="E7955" t="s">
        <v>5617</v>
      </c>
      <c r="F7955" t="s">
        <v>28848</v>
      </c>
      <c r="G7955" t="s">
        <v>28845</v>
      </c>
      <c r="H7955" t="s">
        <v>5474</v>
      </c>
      <c r="I7955" t="s">
        <v>28849</v>
      </c>
      <c r="J7955" t="s">
        <v>5484</v>
      </c>
      <c r="K7955" t="s">
        <v>28850</v>
      </c>
      <c r="L7955" t="s">
        <v>5471</v>
      </c>
      <c r="M7955" t="s">
        <v>5471</v>
      </c>
    </row>
    <row r="7956" spans="1:13" x14ac:dyDescent="0.3">
      <c r="A7956" t="s">
        <v>3388</v>
      </c>
      <c r="B7956" t="s">
        <v>15702</v>
      </c>
      <c r="C7956" t="s">
        <v>5470</v>
      </c>
      <c r="D7956" t="s">
        <v>4058</v>
      </c>
      <c r="E7956" t="s">
        <v>5617</v>
      </c>
      <c r="F7956" t="s">
        <v>28851</v>
      </c>
      <c r="G7956" t="s">
        <v>28845</v>
      </c>
      <c r="H7956" t="s">
        <v>5474</v>
      </c>
      <c r="I7956" t="s">
        <v>28852</v>
      </c>
      <c r="J7956" t="s">
        <v>5484</v>
      </c>
      <c r="K7956" t="s">
        <v>28853</v>
      </c>
      <c r="L7956" t="s">
        <v>5471</v>
      </c>
      <c r="M7956" t="s">
        <v>5471</v>
      </c>
    </row>
    <row r="7957" spans="1:13" x14ac:dyDescent="0.3">
      <c r="A7957" t="s">
        <v>3388</v>
      </c>
      <c r="B7957" t="s">
        <v>15702</v>
      </c>
      <c r="C7957" t="s">
        <v>5470</v>
      </c>
      <c r="D7957" t="s">
        <v>4058</v>
      </c>
      <c r="E7957" t="s">
        <v>5617</v>
      </c>
      <c r="F7957" t="s">
        <v>28854</v>
      </c>
      <c r="G7957" t="s">
        <v>28855</v>
      </c>
      <c r="H7957" t="s">
        <v>5474</v>
      </c>
      <c r="I7957" t="s">
        <v>28856</v>
      </c>
      <c r="J7957" t="s">
        <v>5484</v>
      </c>
      <c r="K7957" t="s">
        <v>28857</v>
      </c>
      <c r="L7957" t="s">
        <v>5471</v>
      </c>
      <c r="M7957" t="s">
        <v>5471</v>
      </c>
    </row>
    <row r="7958" spans="1:13" x14ac:dyDescent="0.3">
      <c r="A7958" t="s">
        <v>3388</v>
      </c>
      <c r="B7958" t="s">
        <v>15702</v>
      </c>
      <c r="C7958" t="s">
        <v>5470</v>
      </c>
      <c r="D7958" t="s">
        <v>4058</v>
      </c>
      <c r="E7958" t="s">
        <v>5617</v>
      </c>
      <c r="F7958" t="s">
        <v>28858</v>
      </c>
      <c r="G7958" t="s">
        <v>28855</v>
      </c>
      <c r="H7958" t="s">
        <v>5474</v>
      </c>
      <c r="I7958" t="s">
        <v>28859</v>
      </c>
      <c r="J7958" t="s">
        <v>5484</v>
      </c>
      <c r="K7958" t="s">
        <v>28860</v>
      </c>
      <c r="L7958" t="s">
        <v>5471</v>
      </c>
      <c r="M7958" t="s">
        <v>5471</v>
      </c>
    </row>
    <row r="7959" spans="1:13" x14ac:dyDescent="0.3">
      <c r="A7959" t="s">
        <v>3388</v>
      </c>
      <c r="B7959" t="s">
        <v>15702</v>
      </c>
      <c r="C7959" t="s">
        <v>5470</v>
      </c>
      <c r="D7959" t="s">
        <v>4058</v>
      </c>
      <c r="E7959" t="s">
        <v>5617</v>
      </c>
      <c r="F7959" t="s">
        <v>28861</v>
      </c>
      <c r="G7959" t="s">
        <v>28855</v>
      </c>
      <c r="H7959" t="s">
        <v>5474</v>
      </c>
      <c r="I7959" t="s">
        <v>28862</v>
      </c>
      <c r="J7959" t="s">
        <v>5484</v>
      </c>
      <c r="K7959" t="s">
        <v>28863</v>
      </c>
      <c r="L7959" t="s">
        <v>5471</v>
      </c>
      <c r="M7959" t="s">
        <v>5471</v>
      </c>
    </row>
    <row r="7960" spans="1:13" x14ac:dyDescent="0.3">
      <c r="A7960" t="s">
        <v>3388</v>
      </c>
      <c r="B7960" t="s">
        <v>15702</v>
      </c>
      <c r="C7960" t="s">
        <v>5470</v>
      </c>
      <c r="D7960" t="s">
        <v>4058</v>
      </c>
      <c r="E7960" t="s">
        <v>5617</v>
      </c>
      <c r="F7960" t="s">
        <v>28864</v>
      </c>
      <c r="G7960" t="s">
        <v>28865</v>
      </c>
      <c r="H7960" t="s">
        <v>5474</v>
      </c>
      <c r="I7960" t="s">
        <v>28866</v>
      </c>
      <c r="J7960" t="s">
        <v>5484</v>
      </c>
      <c r="K7960" t="s">
        <v>28867</v>
      </c>
      <c r="L7960" t="s">
        <v>5471</v>
      </c>
      <c r="M7960" t="s">
        <v>5471</v>
      </c>
    </row>
    <row r="7961" spans="1:13" x14ac:dyDescent="0.3">
      <c r="A7961" t="s">
        <v>3388</v>
      </c>
      <c r="B7961" t="s">
        <v>15702</v>
      </c>
      <c r="C7961" t="s">
        <v>5470</v>
      </c>
      <c r="D7961" t="s">
        <v>4058</v>
      </c>
      <c r="E7961" t="s">
        <v>5617</v>
      </c>
      <c r="F7961" t="s">
        <v>28868</v>
      </c>
      <c r="G7961" t="s">
        <v>28865</v>
      </c>
      <c r="H7961" t="s">
        <v>5474</v>
      </c>
      <c r="I7961" t="s">
        <v>28869</v>
      </c>
      <c r="J7961" t="s">
        <v>5484</v>
      </c>
      <c r="K7961" t="s">
        <v>28870</v>
      </c>
      <c r="L7961" t="s">
        <v>5471</v>
      </c>
      <c r="M7961" t="s">
        <v>5471</v>
      </c>
    </row>
    <row r="7962" spans="1:13" x14ac:dyDescent="0.3">
      <c r="A7962" t="s">
        <v>3388</v>
      </c>
      <c r="B7962" t="s">
        <v>15702</v>
      </c>
      <c r="C7962" t="s">
        <v>5470</v>
      </c>
      <c r="D7962" t="s">
        <v>4058</v>
      </c>
      <c r="E7962" t="s">
        <v>5617</v>
      </c>
      <c r="F7962" t="s">
        <v>28871</v>
      </c>
      <c r="G7962" t="s">
        <v>28865</v>
      </c>
      <c r="H7962" t="s">
        <v>5474</v>
      </c>
      <c r="I7962" t="s">
        <v>28872</v>
      </c>
      <c r="J7962" t="s">
        <v>5484</v>
      </c>
      <c r="K7962" t="s">
        <v>28873</v>
      </c>
      <c r="L7962" t="s">
        <v>5471</v>
      </c>
      <c r="M7962" t="s">
        <v>5471</v>
      </c>
    </row>
    <row r="7963" spans="1:13" x14ac:dyDescent="0.3">
      <c r="A7963" t="s">
        <v>3388</v>
      </c>
      <c r="B7963" t="s">
        <v>15702</v>
      </c>
      <c r="C7963" t="s">
        <v>5470</v>
      </c>
      <c r="D7963" t="s">
        <v>4058</v>
      </c>
      <c r="E7963" t="s">
        <v>5617</v>
      </c>
      <c r="F7963" t="s">
        <v>28874</v>
      </c>
      <c r="G7963" t="s">
        <v>28875</v>
      </c>
      <c r="H7963" t="s">
        <v>5474</v>
      </c>
      <c r="I7963" t="s">
        <v>28876</v>
      </c>
      <c r="J7963" t="s">
        <v>5484</v>
      </c>
      <c r="K7963" t="s">
        <v>28877</v>
      </c>
      <c r="L7963" t="s">
        <v>5471</v>
      </c>
      <c r="M7963" t="s">
        <v>5471</v>
      </c>
    </row>
    <row r="7964" spans="1:13" x14ac:dyDescent="0.3">
      <c r="A7964" t="s">
        <v>3388</v>
      </c>
      <c r="B7964" t="s">
        <v>15702</v>
      </c>
      <c r="C7964" t="s">
        <v>5470</v>
      </c>
      <c r="D7964" t="s">
        <v>4058</v>
      </c>
      <c r="E7964" t="s">
        <v>5617</v>
      </c>
      <c r="F7964" t="s">
        <v>28878</v>
      </c>
      <c r="G7964" t="s">
        <v>28875</v>
      </c>
      <c r="H7964" t="s">
        <v>5474</v>
      </c>
      <c r="I7964" t="s">
        <v>28879</v>
      </c>
      <c r="J7964" t="s">
        <v>5484</v>
      </c>
      <c r="K7964" t="s">
        <v>28880</v>
      </c>
      <c r="L7964" t="s">
        <v>5471</v>
      </c>
      <c r="M7964" t="s">
        <v>5471</v>
      </c>
    </row>
    <row r="7965" spans="1:13" x14ac:dyDescent="0.3">
      <c r="A7965" t="s">
        <v>3388</v>
      </c>
      <c r="B7965" t="s">
        <v>15702</v>
      </c>
      <c r="C7965" t="s">
        <v>5470</v>
      </c>
      <c r="D7965" t="s">
        <v>4058</v>
      </c>
      <c r="E7965" t="s">
        <v>5617</v>
      </c>
      <c r="F7965" t="s">
        <v>28881</v>
      </c>
      <c r="G7965" t="s">
        <v>28875</v>
      </c>
      <c r="H7965" t="s">
        <v>5474</v>
      </c>
      <c r="I7965" t="s">
        <v>28882</v>
      </c>
      <c r="J7965" t="s">
        <v>5484</v>
      </c>
      <c r="K7965" t="s">
        <v>28883</v>
      </c>
      <c r="L7965" t="s">
        <v>5471</v>
      </c>
      <c r="M7965" t="s">
        <v>5471</v>
      </c>
    </row>
    <row r="7966" spans="1:13" x14ac:dyDescent="0.3">
      <c r="A7966" t="s">
        <v>3388</v>
      </c>
      <c r="B7966" t="s">
        <v>15892</v>
      </c>
      <c r="C7966" t="s">
        <v>5470</v>
      </c>
      <c r="D7966" t="s">
        <v>4058</v>
      </c>
      <c r="E7966" t="s">
        <v>5617</v>
      </c>
      <c r="F7966" t="s">
        <v>28884</v>
      </c>
      <c r="G7966" t="s">
        <v>28885</v>
      </c>
      <c r="H7966" t="s">
        <v>5474</v>
      </c>
      <c r="I7966" t="s">
        <v>28886</v>
      </c>
      <c r="J7966" t="s">
        <v>5484</v>
      </c>
      <c r="K7966" t="s">
        <v>28828</v>
      </c>
      <c r="L7966" t="s">
        <v>5471</v>
      </c>
      <c r="M7966" t="s">
        <v>5471</v>
      </c>
    </row>
    <row r="7967" spans="1:13" x14ac:dyDescent="0.3">
      <c r="A7967" t="s">
        <v>3388</v>
      </c>
      <c r="B7967" t="s">
        <v>15892</v>
      </c>
      <c r="C7967" t="s">
        <v>5470</v>
      </c>
      <c r="D7967" t="s">
        <v>4058</v>
      </c>
      <c r="E7967" t="s">
        <v>5617</v>
      </c>
      <c r="F7967" t="s">
        <v>28887</v>
      </c>
      <c r="G7967" t="s">
        <v>28885</v>
      </c>
      <c r="H7967" t="s">
        <v>5474</v>
      </c>
      <c r="I7967" t="s">
        <v>28888</v>
      </c>
      <c r="J7967" t="s">
        <v>5484</v>
      </c>
      <c r="K7967" t="s">
        <v>28831</v>
      </c>
      <c r="L7967" t="s">
        <v>5471</v>
      </c>
      <c r="M7967" t="s">
        <v>5471</v>
      </c>
    </row>
    <row r="7968" spans="1:13" x14ac:dyDescent="0.3">
      <c r="A7968" t="s">
        <v>3388</v>
      </c>
      <c r="B7968" t="s">
        <v>15892</v>
      </c>
      <c r="C7968" t="s">
        <v>5470</v>
      </c>
      <c r="D7968" t="s">
        <v>4058</v>
      </c>
      <c r="E7968" t="s">
        <v>5617</v>
      </c>
      <c r="F7968" t="s">
        <v>28889</v>
      </c>
      <c r="G7968" t="s">
        <v>28885</v>
      </c>
      <c r="H7968" t="s">
        <v>5474</v>
      </c>
      <c r="I7968" t="s">
        <v>28890</v>
      </c>
      <c r="J7968" t="s">
        <v>5484</v>
      </c>
      <c r="K7968" t="s">
        <v>28814</v>
      </c>
      <c r="L7968" t="s">
        <v>5471</v>
      </c>
      <c r="M7968" t="s">
        <v>5471</v>
      </c>
    </row>
    <row r="7969" spans="1:13" x14ac:dyDescent="0.3">
      <c r="A7969" t="s">
        <v>3388</v>
      </c>
      <c r="B7969" t="s">
        <v>15892</v>
      </c>
      <c r="C7969" t="s">
        <v>5470</v>
      </c>
      <c r="D7969" t="s">
        <v>4058</v>
      </c>
      <c r="E7969" t="s">
        <v>5617</v>
      </c>
      <c r="F7969" t="s">
        <v>28891</v>
      </c>
      <c r="G7969" t="s">
        <v>28892</v>
      </c>
      <c r="H7969" t="s">
        <v>5474</v>
      </c>
      <c r="I7969" t="s">
        <v>28893</v>
      </c>
      <c r="J7969" t="s">
        <v>5484</v>
      </c>
      <c r="K7969" t="s">
        <v>28840</v>
      </c>
      <c r="L7969" t="s">
        <v>5471</v>
      </c>
      <c r="M7969" t="s">
        <v>5471</v>
      </c>
    </row>
    <row r="7970" spans="1:13" x14ac:dyDescent="0.3">
      <c r="A7970" t="s">
        <v>3388</v>
      </c>
      <c r="B7970" t="s">
        <v>15892</v>
      </c>
      <c r="C7970" t="s">
        <v>5470</v>
      </c>
      <c r="D7970" t="s">
        <v>4058</v>
      </c>
      <c r="E7970" t="s">
        <v>5617</v>
      </c>
      <c r="F7970" t="s">
        <v>28894</v>
      </c>
      <c r="G7970" t="s">
        <v>28895</v>
      </c>
      <c r="H7970" t="s">
        <v>5474</v>
      </c>
      <c r="I7970" t="s">
        <v>28896</v>
      </c>
      <c r="J7970" t="s">
        <v>5484</v>
      </c>
      <c r="K7970" t="s">
        <v>28860</v>
      </c>
      <c r="L7970" t="s">
        <v>5471</v>
      </c>
      <c r="M7970" t="s">
        <v>5471</v>
      </c>
    </row>
    <row r="7971" spans="1:13" x14ac:dyDescent="0.3">
      <c r="A7971" t="s">
        <v>3388</v>
      </c>
      <c r="B7971" t="s">
        <v>15892</v>
      </c>
      <c r="C7971" t="s">
        <v>5470</v>
      </c>
      <c r="D7971" t="s">
        <v>4058</v>
      </c>
      <c r="E7971" t="s">
        <v>5617</v>
      </c>
      <c r="F7971" t="s">
        <v>28897</v>
      </c>
      <c r="G7971" t="s">
        <v>28895</v>
      </c>
      <c r="H7971" t="s">
        <v>5474</v>
      </c>
      <c r="I7971" t="s">
        <v>28898</v>
      </c>
      <c r="J7971" t="s">
        <v>5484</v>
      </c>
      <c r="K7971" t="s">
        <v>28863</v>
      </c>
      <c r="L7971" t="s">
        <v>5471</v>
      </c>
      <c r="M7971" t="s">
        <v>5471</v>
      </c>
    </row>
    <row r="7972" spans="1:13" x14ac:dyDescent="0.3">
      <c r="A7972" t="s">
        <v>3388</v>
      </c>
      <c r="B7972" t="s">
        <v>15892</v>
      </c>
      <c r="C7972" t="s">
        <v>5470</v>
      </c>
      <c r="D7972" t="s">
        <v>4058</v>
      </c>
      <c r="E7972" t="s">
        <v>5617</v>
      </c>
      <c r="F7972" t="s">
        <v>28899</v>
      </c>
      <c r="G7972" t="s">
        <v>28900</v>
      </c>
      <c r="H7972" t="s">
        <v>5474</v>
      </c>
      <c r="I7972" t="s">
        <v>28901</v>
      </c>
      <c r="J7972" t="s">
        <v>5484</v>
      </c>
      <c r="K7972" t="s">
        <v>28867</v>
      </c>
      <c r="L7972" t="s">
        <v>5471</v>
      </c>
      <c r="M7972" t="s">
        <v>5471</v>
      </c>
    </row>
    <row r="7973" spans="1:13" x14ac:dyDescent="0.3">
      <c r="A7973" t="s">
        <v>3388</v>
      </c>
      <c r="B7973" t="s">
        <v>15892</v>
      </c>
      <c r="C7973" t="s">
        <v>5470</v>
      </c>
      <c r="D7973" t="s">
        <v>4058</v>
      </c>
      <c r="E7973" t="s">
        <v>5617</v>
      </c>
      <c r="F7973" t="s">
        <v>28902</v>
      </c>
      <c r="G7973" t="s">
        <v>28900</v>
      </c>
      <c r="H7973" t="s">
        <v>5474</v>
      </c>
      <c r="I7973" t="s">
        <v>28903</v>
      </c>
      <c r="J7973" t="s">
        <v>5484</v>
      </c>
      <c r="K7973" t="s">
        <v>28870</v>
      </c>
      <c r="L7973" t="s">
        <v>5471</v>
      </c>
      <c r="M7973" t="s">
        <v>5471</v>
      </c>
    </row>
    <row r="7974" spans="1:13" x14ac:dyDescent="0.3">
      <c r="A7974" t="s">
        <v>3388</v>
      </c>
      <c r="B7974" t="s">
        <v>15892</v>
      </c>
      <c r="C7974" t="s">
        <v>5470</v>
      </c>
      <c r="D7974" t="s">
        <v>4058</v>
      </c>
      <c r="E7974" t="s">
        <v>5617</v>
      </c>
      <c r="F7974" t="s">
        <v>28904</v>
      </c>
      <c r="G7974" t="s">
        <v>28905</v>
      </c>
      <c r="H7974" t="s">
        <v>5474</v>
      </c>
      <c r="I7974" t="s">
        <v>28906</v>
      </c>
      <c r="J7974" t="s">
        <v>5484</v>
      </c>
      <c r="K7974" t="s">
        <v>28877</v>
      </c>
      <c r="L7974" t="s">
        <v>5471</v>
      </c>
      <c r="M7974" t="s">
        <v>5471</v>
      </c>
    </row>
    <row r="7975" spans="1:13" x14ac:dyDescent="0.3">
      <c r="A7975" t="s">
        <v>3388</v>
      </c>
      <c r="B7975" t="s">
        <v>15892</v>
      </c>
      <c r="C7975" t="s">
        <v>5470</v>
      </c>
      <c r="D7975" t="s">
        <v>4058</v>
      </c>
      <c r="E7975" t="s">
        <v>5617</v>
      </c>
      <c r="F7975" t="s">
        <v>28907</v>
      </c>
      <c r="G7975" t="s">
        <v>28905</v>
      </c>
      <c r="H7975" t="s">
        <v>5474</v>
      </c>
      <c r="I7975" t="s">
        <v>28908</v>
      </c>
      <c r="J7975" t="s">
        <v>5484</v>
      </c>
      <c r="K7975" t="s">
        <v>28880</v>
      </c>
      <c r="L7975" t="s">
        <v>5471</v>
      </c>
      <c r="M7975" t="s">
        <v>5471</v>
      </c>
    </row>
    <row r="7976" spans="1:13" x14ac:dyDescent="0.3">
      <c r="A7976" t="s">
        <v>3388</v>
      </c>
      <c r="B7976" t="s">
        <v>15892</v>
      </c>
      <c r="C7976" t="s">
        <v>5470</v>
      </c>
      <c r="D7976" t="s">
        <v>4058</v>
      </c>
      <c r="E7976" t="s">
        <v>5532</v>
      </c>
      <c r="F7976" t="s">
        <v>28909</v>
      </c>
      <c r="G7976" t="s">
        <v>28910</v>
      </c>
      <c r="H7976" t="s">
        <v>5474</v>
      </c>
      <c r="I7976" t="s">
        <v>28911</v>
      </c>
      <c r="J7976" t="s">
        <v>5484</v>
      </c>
      <c r="K7976" t="s">
        <v>28912</v>
      </c>
      <c r="L7976" t="s">
        <v>5471</v>
      </c>
      <c r="M7976" t="s">
        <v>5471</v>
      </c>
    </row>
    <row r="7977" spans="1:13" x14ac:dyDescent="0.3">
      <c r="A7977" t="s">
        <v>3388</v>
      </c>
      <c r="B7977" t="s">
        <v>15892</v>
      </c>
      <c r="C7977" t="s">
        <v>5470</v>
      </c>
      <c r="D7977" t="s">
        <v>4058</v>
      </c>
      <c r="E7977" t="s">
        <v>5532</v>
      </c>
      <c r="F7977" t="s">
        <v>28913</v>
      </c>
      <c r="G7977" t="s">
        <v>28910</v>
      </c>
      <c r="H7977" t="s">
        <v>5474</v>
      </c>
      <c r="I7977" t="s">
        <v>28914</v>
      </c>
      <c r="J7977" t="s">
        <v>5484</v>
      </c>
      <c r="K7977" t="s">
        <v>28915</v>
      </c>
      <c r="L7977" t="s">
        <v>5471</v>
      </c>
      <c r="M7977" t="s">
        <v>5471</v>
      </c>
    </row>
    <row r="7978" spans="1:13" x14ac:dyDescent="0.3">
      <c r="A7978" t="s">
        <v>3388</v>
      </c>
      <c r="B7978" t="s">
        <v>15892</v>
      </c>
      <c r="C7978" t="s">
        <v>5470</v>
      </c>
      <c r="D7978" t="s">
        <v>4058</v>
      </c>
      <c r="E7978" t="s">
        <v>5532</v>
      </c>
      <c r="F7978" t="s">
        <v>28916</v>
      </c>
      <c r="G7978" t="s">
        <v>28910</v>
      </c>
      <c r="H7978" t="s">
        <v>5474</v>
      </c>
      <c r="I7978" t="s">
        <v>28917</v>
      </c>
      <c r="J7978" t="s">
        <v>5484</v>
      </c>
      <c r="K7978" t="s">
        <v>28918</v>
      </c>
      <c r="L7978" t="s">
        <v>5471</v>
      </c>
      <c r="M7978" t="s">
        <v>5471</v>
      </c>
    </row>
    <row r="7979" spans="1:13" x14ac:dyDescent="0.3">
      <c r="A7979" t="s">
        <v>3388</v>
      </c>
      <c r="B7979" t="s">
        <v>15892</v>
      </c>
      <c r="C7979" t="s">
        <v>5470</v>
      </c>
      <c r="D7979" t="s">
        <v>4058</v>
      </c>
      <c r="E7979" t="s">
        <v>5532</v>
      </c>
      <c r="F7979" t="s">
        <v>28919</v>
      </c>
      <c r="G7979" t="s">
        <v>28910</v>
      </c>
      <c r="H7979" t="s">
        <v>5474</v>
      </c>
      <c r="I7979" t="s">
        <v>28920</v>
      </c>
      <c r="J7979" t="s">
        <v>5484</v>
      </c>
      <c r="K7979" t="s">
        <v>28921</v>
      </c>
      <c r="L7979" t="s">
        <v>5471</v>
      </c>
      <c r="M7979" t="s">
        <v>5471</v>
      </c>
    </row>
    <row r="7980" spans="1:13" x14ac:dyDescent="0.3">
      <c r="A7980" t="s">
        <v>3388</v>
      </c>
      <c r="B7980" t="s">
        <v>15892</v>
      </c>
      <c r="C7980" t="s">
        <v>5470</v>
      </c>
      <c r="D7980" t="s">
        <v>4058</v>
      </c>
      <c r="E7980" t="s">
        <v>5532</v>
      </c>
      <c r="F7980" t="s">
        <v>28922</v>
      </c>
      <c r="G7980" t="s">
        <v>28910</v>
      </c>
      <c r="H7980" t="s">
        <v>5474</v>
      </c>
      <c r="I7980" t="s">
        <v>28923</v>
      </c>
      <c r="J7980" t="s">
        <v>5484</v>
      </c>
      <c r="K7980" t="s">
        <v>28924</v>
      </c>
      <c r="L7980" t="s">
        <v>5471</v>
      </c>
      <c r="M7980" t="s">
        <v>5471</v>
      </c>
    </row>
    <row r="7981" spans="1:13" x14ac:dyDescent="0.3">
      <c r="A7981" t="s">
        <v>3388</v>
      </c>
      <c r="B7981" t="s">
        <v>15892</v>
      </c>
      <c r="C7981" t="s">
        <v>5470</v>
      </c>
      <c r="D7981" t="s">
        <v>4058</v>
      </c>
      <c r="E7981" t="s">
        <v>5532</v>
      </c>
      <c r="F7981" t="s">
        <v>28925</v>
      </c>
      <c r="G7981" t="s">
        <v>18914</v>
      </c>
      <c r="H7981" t="s">
        <v>5474</v>
      </c>
      <c r="I7981" t="s">
        <v>28926</v>
      </c>
      <c r="J7981" t="s">
        <v>5484</v>
      </c>
      <c r="K7981" t="s">
        <v>28927</v>
      </c>
      <c r="L7981" t="s">
        <v>5471</v>
      </c>
      <c r="M7981" t="s">
        <v>5471</v>
      </c>
    </row>
    <row r="7982" spans="1:13" x14ac:dyDescent="0.3">
      <c r="A7982" t="s">
        <v>3388</v>
      </c>
      <c r="B7982" t="s">
        <v>15892</v>
      </c>
      <c r="C7982" t="s">
        <v>5470</v>
      </c>
      <c r="D7982" t="s">
        <v>4058</v>
      </c>
      <c r="E7982" t="s">
        <v>5532</v>
      </c>
      <c r="F7982" t="s">
        <v>28928</v>
      </c>
      <c r="G7982" t="s">
        <v>18914</v>
      </c>
      <c r="H7982" t="s">
        <v>5474</v>
      </c>
      <c r="I7982" t="s">
        <v>28929</v>
      </c>
      <c r="J7982" t="s">
        <v>5484</v>
      </c>
      <c r="K7982" t="s">
        <v>28930</v>
      </c>
      <c r="L7982" t="s">
        <v>5471</v>
      </c>
      <c r="M7982" t="s">
        <v>5471</v>
      </c>
    </row>
    <row r="7983" spans="1:13" x14ac:dyDescent="0.3">
      <c r="A7983" t="s">
        <v>3388</v>
      </c>
      <c r="B7983" t="s">
        <v>15892</v>
      </c>
      <c r="C7983" t="s">
        <v>5470</v>
      </c>
      <c r="D7983" t="s">
        <v>4058</v>
      </c>
      <c r="E7983" t="s">
        <v>5532</v>
      </c>
      <c r="F7983" t="s">
        <v>28931</v>
      </c>
      <c r="G7983" t="s">
        <v>18914</v>
      </c>
      <c r="H7983" t="s">
        <v>5474</v>
      </c>
      <c r="I7983" t="s">
        <v>28932</v>
      </c>
      <c r="J7983" t="s">
        <v>5484</v>
      </c>
      <c r="K7983" t="s">
        <v>28933</v>
      </c>
      <c r="L7983" t="s">
        <v>5471</v>
      </c>
      <c r="M7983" t="s">
        <v>5471</v>
      </c>
    </row>
    <row r="7984" spans="1:13" x14ac:dyDescent="0.3">
      <c r="A7984" t="s">
        <v>3388</v>
      </c>
      <c r="B7984" t="s">
        <v>15892</v>
      </c>
      <c r="C7984" t="s">
        <v>5470</v>
      </c>
      <c r="D7984" t="s">
        <v>4058</v>
      </c>
      <c r="E7984" t="s">
        <v>5532</v>
      </c>
      <c r="F7984" t="s">
        <v>28934</v>
      </c>
      <c r="G7984" t="s">
        <v>18914</v>
      </c>
      <c r="H7984" t="s">
        <v>5474</v>
      </c>
      <c r="I7984" t="s">
        <v>28935</v>
      </c>
      <c r="J7984" t="s">
        <v>5484</v>
      </c>
      <c r="K7984" t="s">
        <v>28936</v>
      </c>
      <c r="L7984" t="s">
        <v>5471</v>
      </c>
      <c r="M7984" t="s">
        <v>5471</v>
      </c>
    </row>
    <row r="7985" spans="1:13" x14ac:dyDescent="0.3">
      <c r="A7985" t="s">
        <v>3388</v>
      </c>
      <c r="B7985" t="s">
        <v>15892</v>
      </c>
      <c r="C7985" t="s">
        <v>5470</v>
      </c>
      <c r="D7985" t="s">
        <v>4058</v>
      </c>
      <c r="E7985" t="s">
        <v>5532</v>
      </c>
      <c r="F7985" t="s">
        <v>28937</v>
      </c>
      <c r="G7985" t="s">
        <v>18914</v>
      </c>
      <c r="H7985" t="s">
        <v>5474</v>
      </c>
      <c r="I7985" t="s">
        <v>28938</v>
      </c>
      <c r="J7985" t="s">
        <v>5484</v>
      </c>
      <c r="K7985" t="s">
        <v>28939</v>
      </c>
      <c r="L7985" t="s">
        <v>5471</v>
      </c>
      <c r="M7985" t="s">
        <v>5471</v>
      </c>
    </row>
    <row r="7986" spans="1:13" x14ac:dyDescent="0.3">
      <c r="A7986" t="s">
        <v>3388</v>
      </c>
      <c r="B7986" t="s">
        <v>15892</v>
      </c>
      <c r="C7986" t="s">
        <v>5470</v>
      </c>
      <c r="D7986" t="s">
        <v>4058</v>
      </c>
      <c r="E7986" t="s">
        <v>5532</v>
      </c>
      <c r="F7986" t="s">
        <v>28940</v>
      </c>
      <c r="G7986" t="s">
        <v>28941</v>
      </c>
      <c r="H7986" t="s">
        <v>5474</v>
      </c>
      <c r="I7986" t="s">
        <v>28942</v>
      </c>
      <c r="J7986" t="s">
        <v>5484</v>
      </c>
      <c r="K7986" t="s">
        <v>28943</v>
      </c>
      <c r="L7986" t="s">
        <v>5471</v>
      </c>
      <c r="M7986" t="s">
        <v>5471</v>
      </c>
    </row>
    <row r="7987" spans="1:13" x14ac:dyDescent="0.3">
      <c r="A7987" t="s">
        <v>3388</v>
      </c>
      <c r="B7987" t="s">
        <v>15892</v>
      </c>
      <c r="C7987" t="s">
        <v>5470</v>
      </c>
      <c r="D7987" t="s">
        <v>4058</v>
      </c>
      <c r="E7987" t="s">
        <v>5532</v>
      </c>
      <c r="F7987" t="s">
        <v>28944</v>
      </c>
      <c r="G7987" t="s">
        <v>28941</v>
      </c>
      <c r="H7987" t="s">
        <v>5474</v>
      </c>
      <c r="I7987" t="s">
        <v>28945</v>
      </c>
      <c r="J7987" t="s">
        <v>5484</v>
      </c>
      <c r="K7987" t="s">
        <v>28946</v>
      </c>
      <c r="L7987" t="s">
        <v>5471</v>
      </c>
      <c r="M7987" t="s">
        <v>5471</v>
      </c>
    </row>
    <row r="7988" spans="1:13" x14ac:dyDescent="0.3">
      <c r="A7988" t="s">
        <v>3388</v>
      </c>
      <c r="B7988" t="s">
        <v>15892</v>
      </c>
      <c r="C7988" t="s">
        <v>5470</v>
      </c>
      <c r="D7988" t="s">
        <v>4058</v>
      </c>
      <c r="E7988" t="s">
        <v>5532</v>
      </c>
      <c r="F7988" t="s">
        <v>28947</v>
      </c>
      <c r="G7988" t="s">
        <v>28941</v>
      </c>
      <c r="H7988" t="s">
        <v>5474</v>
      </c>
      <c r="I7988" t="s">
        <v>28948</v>
      </c>
      <c r="J7988" t="s">
        <v>5484</v>
      </c>
      <c r="K7988" t="s">
        <v>28704</v>
      </c>
      <c r="L7988" t="s">
        <v>5471</v>
      </c>
      <c r="M7988" t="s">
        <v>5471</v>
      </c>
    </row>
    <row r="7989" spans="1:13" x14ac:dyDescent="0.3">
      <c r="A7989" t="s">
        <v>3388</v>
      </c>
      <c r="B7989" t="s">
        <v>15892</v>
      </c>
      <c r="C7989" t="s">
        <v>5470</v>
      </c>
      <c r="D7989" t="s">
        <v>4058</v>
      </c>
      <c r="E7989" t="s">
        <v>5532</v>
      </c>
      <c r="F7989" t="s">
        <v>28949</v>
      </c>
      <c r="G7989" t="s">
        <v>28941</v>
      </c>
      <c r="H7989" t="s">
        <v>5474</v>
      </c>
      <c r="I7989" t="s">
        <v>28950</v>
      </c>
      <c r="J7989" t="s">
        <v>5484</v>
      </c>
      <c r="K7989" t="s">
        <v>28701</v>
      </c>
      <c r="L7989" t="s">
        <v>5471</v>
      </c>
      <c r="M7989" t="s">
        <v>5471</v>
      </c>
    </row>
    <row r="7990" spans="1:13" x14ac:dyDescent="0.3">
      <c r="A7990" t="s">
        <v>3388</v>
      </c>
      <c r="B7990" t="s">
        <v>15892</v>
      </c>
      <c r="C7990" t="s">
        <v>5470</v>
      </c>
      <c r="D7990" t="s">
        <v>4058</v>
      </c>
      <c r="E7990" t="s">
        <v>5532</v>
      </c>
      <c r="F7990" t="s">
        <v>28951</v>
      </c>
      <c r="G7990" t="s">
        <v>28941</v>
      </c>
      <c r="H7990" t="s">
        <v>5474</v>
      </c>
      <c r="I7990" t="s">
        <v>28952</v>
      </c>
      <c r="J7990" t="s">
        <v>5484</v>
      </c>
      <c r="K7990" t="s">
        <v>28953</v>
      </c>
      <c r="L7990" t="s">
        <v>5471</v>
      </c>
      <c r="M7990" t="s">
        <v>5471</v>
      </c>
    </row>
    <row r="7991" spans="1:13" x14ac:dyDescent="0.3">
      <c r="A7991" t="s">
        <v>3388</v>
      </c>
      <c r="B7991" t="s">
        <v>11423</v>
      </c>
      <c r="C7991" t="s">
        <v>5470</v>
      </c>
      <c r="D7991" t="s">
        <v>4058</v>
      </c>
      <c r="E7991" t="s">
        <v>5617</v>
      </c>
      <c r="F7991" t="s">
        <v>28954</v>
      </c>
      <c r="G7991" t="s">
        <v>28955</v>
      </c>
      <c r="H7991" t="s">
        <v>5474</v>
      </c>
      <c r="I7991" t="s">
        <v>28956</v>
      </c>
      <c r="J7991" t="s">
        <v>5484</v>
      </c>
      <c r="K7991" t="s">
        <v>28581</v>
      </c>
      <c r="L7991" t="s">
        <v>5471</v>
      </c>
      <c r="M7991" t="s">
        <v>5471</v>
      </c>
    </row>
    <row r="7992" spans="1:13" x14ac:dyDescent="0.3">
      <c r="A7992" t="s">
        <v>3388</v>
      </c>
      <c r="B7992" t="s">
        <v>11423</v>
      </c>
      <c r="C7992" t="s">
        <v>5470</v>
      </c>
      <c r="D7992" t="s">
        <v>4058</v>
      </c>
      <c r="E7992" t="s">
        <v>5617</v>
      </c>
      <c r="F7992" t="s">
        <v>28957</v>
      </c>
      <c r="G7992" t="s">
        <v>28955</v>
      </c>
      <c r="H7992" t="s">
        <v>5474</v>
      </c>
      <c r="I7992" t="s">
        <v>28958</v>
      </c>
      <c r="J7992" t="s">
        <v>5484</v>
      </c>
      <c r="K7992" t="s">
        <v>28584</v>
      </c>
      <c r="L7992" t="s">
        <v>5471</v>
      </c>
      <c r="M7992" t="s">
        <v>5471</v>
      </c>
    </row>
    <row r="7993" spans="1:13" x14ac:dyDescent="0.3">
      <c r="A7993" t="s">
        <v>3388</v>
      </c>
      <c r="B7993" t="s">
        <v>11423</v>
      </c>
      <c r="C7993" t="s">
        <v>5470</v>
      </c>
      <c r="D7993" t="s">
        <v>4058</v>
      </c>
      <c r="E7993" t="s">
        <v>5617</v>
      </c>
      <c r="F7993" t="s">
        <v>28959</v>
      </c>
      <c r="G7993" t="s">
        <v>28960</v>
      </c>
      <c r="H7993" t="s">
        <v>5474</v>
      </c>
      <c r="I7993" t="s">
        <v>28961</v>
      </c>
      <c r="J7993" t="s">
        <v>5484</v>
      </c>
      <c r="K7993" t="s">
        <v>28962</v>
      </c>
      <c r="L7993" t="s">
        <v>5471</v>
      </c>
      <c r="M7993" t="s">
        <v>5471</v>
      </c>
    </row>
    <row r="7994" spans="1:13" x14ac:dyDescent="0.3">
      <c r="A7994" t="s">
        <v>3388</v>
      </c>
      <c r="B7994" t="s">
        <v>11423</v>
      </c>
      <c r="C7994" t="s">
        <v>5470</v>
      </c>
      <c r="D7994" t="s">
        <v>4058</v>
      </c>
      <c r="E7994" t="s">
        <v>5617</v>
      </c>
      <c r="F7994" t="s">
        <v>28963</v>
      </c>
      <c r="G7994" t="s">
        <v>28960</v>
      </c>
      <c r="H7994" t="s">
        <v>5474</v>
      </c>
      <c r="I7994" t="s">
        <v>28964</v>
      </c>
      <c r="J7994" t="s">
        <v>5484</v>
      </c>
      <c r="K7994" t="s">
        <v>28965</v>
      </c>
      <c r="L7994" t="s">
        <v>5471</v>
      </c>
      <c r="M7994" t="s">
        <v>5471</v>
      </c>
    </row>
    <row r="7995" spans="1:13" x14ac:dyDescent="0.3">
      <c r="A7995" t="s">
        <v>3388</v>
      </c>
      <c r="B7995" t="s">
        <v>11423</v>
      </c>
      <c r="C7995" t="s">
        <v>5470</v>
      </c>
      <c r="D7995" t="s">
        <v>4058</v>
      </c>
      <c r="E7995" t="s">
        <v>5617</v>
      </c>
      <c r="F7995" t="s">
        <v>28966</v>
      </c>
      <c r="G7995" t="s">
        <v>28967</v>
      </c>
      <c r="H7995" t="s">
        <v>5474</v>
      </c>
      <c r="I7995" t="s">
        <v>28968</v>
      </c>
      <c r="J7995" t="s">
        <v>5484</v>
      </c>
      <c r="K7995" t="s">
        <v>28969</v>
      </c>
      <c r="L7995" t="s">
        <v>5471</v>
      </c>
      <c r="M7995" t="s">
        <v>5471</v>
      </c>
    </row>
    <row r="7996" spans="1:13" x14ac:dyDescent="0.3">
      <c r="A7996" t="s">
        <v>3388</v>
      </c>
      <c r="B7996" t="s">
        <v>11423</v>
      </c>
      <c r="C7996" t="s">
        <v>5470</v>
      </c>
      <c r="D7996" t="s">
        <v>4058</v>
      </c>
      <c r="E7996" t="s">
        <v>5617</v>
      </c>
      <c r="F7996" t="s">
        <v>28970</v>
      </c>
      <c r="G7996" t="s">
        <v>28967</v>
      </c>
      <c r="H7996" t="s">
        <v>5474</v>
      </c>
      <c r="I7996" t="s">
        <v>28971</v>
      </c>
      <c r="J7996" t="s">
        <v>5484</v>
      </c>
      <c r="K7996" t="s">
        <v>28972</v>
      </c>
      <c r="L7996" t="s">
        <v>5471</v>
      </c>
      <c r="M7996" t="s">
        <v>5471</v>
      </c>
    </row>
    <row r="7997" spans="1:13" x14ac:dyDescent="0.3">
      <c r="A7997" t="s">
        <v>3388</v>
      </c>
      <c r="B7997" t="s">
        <v>11423</v>
      </c>
      <c r="C7997" t="s">
        <v>5470</v>
      </c>
      <c r="D7997" t="s">
        <v>4058</v>
      </c>
      <c r="E7997" t="s">
        <v>5617</v>
      </c>
      <c r="F7997" t="s">
        <v>28973</v>
      </c>
      <c r="G7997" t="s">
        <v>28974</v>
      </c>
      <c r="H7997" t="s">
        <v>5474</v>
      </c>
      <c r="I7997" t="s">
        <v>28975</v>
      </c>
      <c r="J7997" t="s">
        <v>5484</v>
      </c>
      <c r="K7997" t="s">
        <v>28877</v>
      </c>
      <c r="L7997" t="s">
        <v>5471</v>
      </c>
      <c r="M7997" t="s">
        <v>5471</v>
      </c>
    </row>
    <row r="7998" spans="1:13" x14ac:dyDescent="0.3">
      <c r="A7998" t="s">
        <v>3388</v>
      </c>
      <c r="B7998" t="s">
        <v>11423</v>
      </c>
      <c r="C7998" t="s">
        <v>5470</v>
      </c>
      <c r="D7998" t="s">
        <v>4058</v>
      </c>
      <c r="E7998" t="s">
        <v>5617</v>
      </c>
      <c r="F7998" t="s">
        <v>28976</v>
      </c>
      <c r="G7998" t="s">
        <v>28974</v>
      </c>
      <c r="H7998" t="s">
        <v>5474</v>
      </c>
      <c r="I7998" t="s">
        <v>28977</v>
      </c>
      <c r="J7998" t="s">
        <v>5484</v>
      </c>
      <c r="K7998" t="s">
        <v>28880</v>
      </c>
      <c r="L7998" t="s">
        <v>5471</v>
      </c>
      <c r="M7998" t="s">
        <v>5471</v>
      </c>
    </row>
    <row r="7999" spans="1:13" x14ac:dyDescent="0.3">
      <c r="A7999" t="s">
        <v>3388</v>
      </c>
      <c r="B7999" t="s">
        <v>11423</v>
      </c>
      <c r="C7999" t="s">
        <v>5470</v>
      </c>
      <c r="D7999" t="s">
        <v>4058</v>
      </c>
      <c r="E7999" t="s">
        <v>5617</v>
      </c>
      <c r="F7999" t="s">
        <v>28978</v>
      </c>
      <c r="G7999" t="s">
        <v>28974</v>
      </c>
      <c r="H7999" t="s">
        <v>5474</v>
      </c>
      <c r="I7999" t="s">
        <v>28979</v>
      </c>
      <c r="J7999" t="s">
        <v>5484</v>
      </c>
      <c r="K7999" t="s">
        <v>28883</v>
      </c>
      <c r="L7999" t="s">
        <v>5471</v>
      </c>
      <c r="M7999" t="s">
        <v>5471</v>
      </c>
    </row>
    <row r="8000" spans="1:13" x14ac:dyDescent="0.3">
      <c r="A8000" t="s">
        <v>3388</v>
      </c>
      <c r="B8000" t="s">
        <v>11423</v>
      </c>
      <c r="C8000" t="s">
        <v>5470</v>
      </c>
      <c r="D8000" t="s">
        <v>4058</v>
      </c>
      <c r="E8000" t="s">
        <v>5617</v>
      </c>
      <c r="F8000" t="s">
        <v>28980</v>
      </c>
      <c r="G8000" t="s">
        <v>21617</v>
      </c>
      <c r="H8000" t="s">
        <v>5474</v>
      </c>
      <c r="I8000" t="s">
        <v>28981</v>
      </c>
      <c r="J8000" t="s">
        <v>5484</v>
      </c>
      <c r="K8000" t="s">
        <v>28982</v>
      </c>
      <c r="L8000" t="s">
        <v>5471</v>
      </c>
      <c r="M8000" t="s">
        <v>5471</v>
      </c>
    </row>
    <row r="8001" spans="1:13" x14ac:dyDescent="0.3">
      <c r="A8001" t="s">
        <v>3388</v>
      </c>
      <c r="B8001" t="s">
        <v>11423</v>
      </c>
      <c r="C8001" t="s">
        <v>5470</v>
      </c>
      <c r="D8001" t="s">
        <v>4058</v>
      </c>
      <c r="E8001" t="s">
        <v>5617</v>
      </c>
      <c r="F8001" t="s">
        <v>28983</v>
      </c>
      <c r="G8001" t="s">
        <v>21617</v>
      </c>
      <c r="H8001" t="s">
        <v>5474</v>
      </c>
      <c r="I8001" t="s">
        <v>28984</v>
      </c>
      <c r="J8001" t="s">
        <v>5484</v>
      </c>
      <c r="K8001" t="s">
        <v>28819</v>
      </c>
      <c r="L8001" t="s">
        <v>5471</v>
      </c>
      <c r="M8001" t="s">
        <v>5471</v>
      </c>
    </row>
    <row r="8002" spans="1:13" x14ac:dyDescent="0.3">
      <c r="A8002" t="s">
        <v>3388</v>
      </c>
      <c r="B8002" t="s">
        <v>11423</v>
      </c>
      <c r="C8002" t="s">
        <v>5470</v>
      </c>
      <c r="D8002" t="s">
        <v>4058</v>
      </c>
      <c r="E8002" t="s">
        <v>5617</v>
      </c>
      <c r="F8002" t="s">
        <v>28985</v>
      </c>
      <c r="G8002" t="s">
        <v>21617</v>
      </c>
      <c r="H8002" t="s">
        <v>5474</v>
      </c>
      <c r="I8002" t="s">
        <v>28986</v>
      </c>
      <c r="J8002" t="s">
        <v>5484</v>
      </c>
      <c r="K8002" t="s">
        <v>28822</v>
      </c>
      <c r="L8002" t="s">
        <v>5471</v>
      </c>
      <c r="M8002" t="s">
        <v>5471</v>
      </c>
    </row>
    <row r="8003" spans="1:13" x14ac:dyDescent="0.3">
      <c r="A8003" t="s">
        <v>3388</v>
      </c>
      <c r="B8003" t="s">
        <v>11423</v>
      </c>
      <c r="C8003" t="s">
        <v>5470</v>
      </c>
      <c r="D8003" t="s">
        <v>4058</v>
      </c>
      <c r="E8003" t="s">
        <v>5617</v>
      </c>
      <c r="F8003" t="s">
        <v>28987</v>
      </c>
      <c r="G8003" t="s">
        <v>21627</v>
      </c>
      <c r="H8003" t="s">
        <v>5474</v>
      </c>
      <c r="I8003" t="s">
        <v>28988</v>
      </c>
      <c r="J8003" t="s">
        <v>5484</v>
      </c>
      <c r="K8003" t="s">
        <v>28989</v>
      </c>
      <c r="L8003" t="s">
        <v>5471</v>
      </c>
      <c r="M8003" t="s">
        <v>5471</v>
      </c>
    </row>
    <row r="8004" spans="1:13" x14ac:dyDescent="0.3">
      <c r="A8004" t="s">
        <v>3388</v>
      </c>
      <c r="B8004" t="s">
        <v>11423</v>
      </c>
      <c r="C8004" t="s">
        <v>5470</v>
      </c>
      <c r="D8004" t="s">
        <v>4058</v>
      </c>
      <c r="E8004" t="s">
        <v>5617</v>
      </c>
      <c r="F8004" t="s">
        <v>28990</v>
      </c>
      <c r="G8004" t="s">
        <v>21627</v>
      </c>
      <c r="H8004" t="s">
        <v>5474</v>
      </c>
      <c r="I8004" t="s">
        <v>28991</v>
      </c>
      <c r="J8004" t="s">
        <v>5484</v>
      </c>
      <c r="K8004" t="s">
        <v>28992</v>
      </c>
      <c r="L8004" t="s">
        <v>5471</v>
      </c>
      <c r="M8004" t="s">
        <v>5471</v>
      </c>
    </row>
    <row r="8005" spans="1:13" x14ac:dyDescent="0.3">
      <c r="A8005" t="s">
        <v>3388</v>
      </c>
      <c r="B8005" t="s">
        <v>11423</v>
      </c>
      <c r="C8005" t="s">
        <v>5470</v>
      </c>
      <c r="D8005" t="s">
        <v>4058</v>
      </c>
      <c r="E8005" t="s">
        <v>5617</v>
      </c>
      <c r="F8005" t="s">
        <v>28993</v>
      </c>
      <c r="G8005" t="s">
        <v>21627</v>
      </c>
      <c r="H8005" t="s">
        <v>5474</v>
      </c>
      <c r="I8005" t="s">
        <v>28994</v>
      </c>
      <c r="J8005" t="s">
        <v>5484</v>
      </c>
      <c r="K8005" t="s">
        <v>28995</v>
      </c>
      <c r="L8005" t="s">
        <v>5471</v>
      </c>
      <c r="M8005" t="s">
        <v>5471</v>
      </c>
    </row>
    <row r="8006" spans="1:13" x14ac:dyDescent="0.3">
      <c r="A8006" t="s">
        <v>3388</v>
      </c>
      <c r="B8006" t="s">
        <v>5316</v>
      </c>
      <c r="C8006" t="s">
        <v>5470</v>
      </c>
      <c r="D8006" t="s">
        <v>4058</v>
      </c>
      <c r="E8006" t="s">
        <v>5617</v>
      </c>
      <c r="F8006" t="s">
        <v>28996</v>
      </c>
      <c r="G8006" t="s">
        <v>28997</v>
      </c>
      <c r="H8006" t="s">
        <v>5474</v>
      </c>
      <c r="I8006" t="s">
        <v>28998</v>
      </c>
      <c r="J8006" t="s">
        <v>5484</v>
      </c>
      <c r="K8006" t="s">
        <v>28999</v>
      </c>
      <c r="L8006" t="s">
        <v>5471</v>
      </c>
      <c r="M8006" t="s">
        <v>5471</v>
      </c>
    </row>
    <row r="8007" spans="1:13" x14ac:dyDescent="0.3">
      <c r="A8007" t="s">
        <v>3388</v>
      </c>
      <c r="B8007" t="s">
        <v>5316</v>
      </c>
      <c r="C8007" t="s">
        <v>5470</v>
      </c>
      <c r="D8007" t="s">
        <v>4058</v>
      </c>
      <c r="E8007" t="s">
        <v>5617</v>
      </c>
      <c r="F8007" t="s">
        <v>29000</v>
      </c>
      <c r="G8007" t="s">
        <v>29001</v>
      </c>
      <c r="H8007" t="s">
        <v>5474</v>
      </c>
      <c r="I8007" t="s">
        <v>29002</v>
      </c>
      <c r="J8007" t="s">
        <v>5484</v>
      </c>
      <c r="K8007" t="s">
        <v>28581</v>
      </c>
      <c r="L8007" t="s">
        <v>5471</v>
      </c>
      <c r="M8007" t="s">
        <v>5471</v>
      </c>
    </row>
    <row r="8008" spans="1:13" x14ac:dyDescent="0.3">
      <c r="A8008" t="s">
        <v>3388</v>
      </c>
      <c r="B8008" t="s">
        <v>5316</v>
      </c>
      <c r="C8008" t="s">
        <v>5470</v>
      </c>
      <c r="D8008" t="s">
        <v>4058</v>
      </c>
      <c r="E8008" t="s">
        <v>5617</v>
      </c>
      <c r="F8008" t="s">
        <v>29003</v>
      </c>
      <c r="G8008" t="s">
        <v>29001</v>
      </c>
      <c r="H8008" t="s">
        <v>5474</v>
      </c>
      <c r="I8008" t="s">
        <v>29004</v>
      </c>
      <c r="J8008" t="s">
        <v>5484</v>
      </c>
      <c r="K8008" t="s">
        <v>28584</v>
      </c>
      <c r="L8008" t="s">
        <v>5471</v>
      </c>
      <c r="M8008" t="s">
        <v>5471</v>
      </c>
    </row>
    <row r="8009" spans="1:13" x14ac:dyDescent="0.3">
      <c r="A8009" t="s">
        <v>3388</v>
      </c>
      <c r="B8009" t="s">
        <v>5316</v>
      </c>
      <c r="C8009" t="s">
        <v>5470</v>
      </c>
      <c r="D8009" t="s">
        <v>4058</v>
      </c>
      <c r="E8009" t="s">
        <v>5617</v>
      </c>
      <c r="F8009" t="s">
        <v>29005</v>
      </c>
      <c r="G8009" t="s">
        <v>29006</v>
      </c>
      <c r="H8009" t="s">
        <v>5474</v>
      </c>
      <c r="I8009" t="s">
        <v>29007</v>
      </c>
      <c r="J8009" t="s">
        <v>5484</v>
      </c>
      <c r="K8009" t="s">
        <v>28962</v>
      </c>
      <c r="L8009" t="s">
        <v>5471</v>
      </c>
      <c r="M8009" t="s">
        <v>5471</v>
      </c>
    </row>
    <row r="8010" spans="1:13" x14ac:dyDescent="0.3">
      <c r="A8010" t="s">
        <v>3388</v>
      </c>
      <c r="B8010" t="s">
        <v>5316</v>
      </c>
      <c r="C8010" t="s">
        <v>5470</v>
      </c>
      <c r="D8010" t="s">
        <v>4058</v>
      </c>
      <c r="E8010" t="s">
        <v>5617</v>
      </c>
      <c r="F8010" t="s">
        <v>29008</v>
      </c>
      <c r="G8010" t="s">
        <v>29006</v>
      </c>
      <c r="H8010" t="s">
        <v>5474</v>
      </c>
      <c r="I8010" t="s">
        <v>29009</v>
      </c>
      <c r="J8010" t="s">
        <v>5484</v>
      </c>
      <c r="K8010" t="s">
        <v>28965</v>
      </c>
      <c r="L8010" t="s">
        <v>5471</v>
      </c>
      <c r="M8010" t="s">
        <v>5471</v>
      </c>
    </row>
    <row r="8011" spans="1:13" x14ac:dyDescent="0.3">
      <c r="A8011" t="s">
        <v>3388</v>
      </c>
      <c r="B8011" t="s">
        <v>5316</v>
      </c>
      <c r="C8011" t="s">
        <v>5470</v>
      </c>
      <c r="D8011" t="s">
        <v>4058</v>
      </c>
      <c r="E8011" t="s">
        <v>5617</v>
      </c>
      <c r="F8011" t="s">
        <v>29010</v>
      </c>
      <c r="G8011" t="s">
        <v>22117</v>
      </c>
      <c r="H8011" t="s">
        <v>5474</v>
      </c>
      <c r="I8011" t="s">
        <v>29011</v>
      </c>
      <c r="J8011" t="s">
        <v>5484</v>
      </c>
      <c r="K8011" t="s">
        <v>28992</v>
      </c>
      <c r="L8011" t="s">
        <v>5471</v>
      </c>
      <c r="M8011" t="s">
        <v>5471</v>
      </c>
    </row>
    <row r="8012" spans="1:13" x14ac:dyDescent="0.3">
      <c r="A8012" t="s">
        <v>3388</v>
      </c>
      <c r="B8012" t="s">
        <v>5316</v>
      </c>
      <c r="C8012" t="s">
        <v>5470</v>
      </c>
      <c r="D8012" t="s">
        <v>4058</v>
      </c>
      <c r="E8012" t="s">
        <v>5617</v>
      </c>
      <c r="F8012" t="s">
        <v>29012</v>
      </c>
      <c r="G8012" t="s">
        <v>22117</v>
      </c>
      <c r="H8012" t="s">
        <v>5474</v>
      </c>
      <c r="I8012" t="s">
        <v>29013</v>
      </c>
      <c r="J8012" t="s">
        <v>5484</v>
      </c>
      <c r="K8012" t="s">
        <v>28995</v>
      </c>
      <c r="L8012" t="s">
        <v>5471</v>
      </c>
      <c r="M8012" t="s">
        <v>5471</v>
      </c>
    </row>
    <row r="8013" spans="1:13" x14ac:dyDescent="0.3">
      <c r="A8013" t="s">
        <v>3388</v>
      </c>
      <c r="B8013" t="s">
        <v>5316</v>
      </c>
      <c r="C8013" t="s">
        <v>5470</v>
      </c>
      <c r="D8013" t="s">
        <v>4058</v>
      </c>
      <c r="E8013" t="s">
        <v>5617</v>
      </c>
      <c r="F8013" t="s">
        <v>29014</v>
      </c>
      <c r="G8013" t="s">
        <v>22121</v>
      </c>
      <c r="H8013" t="s">
        <v>5474</v>
      </c>
      <c r="I8013" t="s">
        <v>29015</v>
      </c>
      <c r="J8013" t="s">
        <v>5484</v>
      </c>
      <c r="K8013" t="s">
        <v>28717</v>
      </c>
      <c r="L8013" t="s">
        <v>5471</v>
      </c>
      <c r="M8013" t="s">
        <v>5471</v>
      </c>
    </row>
    <row r="8014" spans="1:13" x14ac:dyDescent="0.3">
      <c r="A8014" t="s">
        <v>3388</v>
      </c>
      <c r="B8014" t="s">
        <v>5316</v>
      </c>
      <c r="C8014" t="s">
        <v>5470</v>
      </c>
      <c r="D8014" t="s">
        <v>4058</v>
      </c>
      <c r="E8014" t="s">
        <v>5617</v>
      </c>
      <c r="F8014" t="s">
        <v>29016</v>
      </c>
      <c r="G8014" t="s">
        <v>22121</v>
      </c>
      <c r="H8014" t="s">
        <v>5474</v>
      </c>
      <c r="I8014" t="s">
        <v>29017</v>
      </c>
      <c r="J8014" t="s">
        <v>5484</v>
      </c>
      <c r="K8014" t="s">
        <v>28720</v>
      </c>
      <c r="L8014" t="s">
        <v>5471</v>
      </c>
      <c r="M8014" t="s">
        <v>5471</v>
      </c>
    </row>
    <row r="8015" spans="1:13" x14ac:dyDescent="0.3">
      <c r="A8015" t="s">
        <v>3388</v>
      </c>
      <c r="B8015" t="s">
        <v>5316</v>
      </c>
      <c r="C8015" t="s">
        <v>5470</v>
      </c>
      <c r="D8015" t="s">
        <v>4058</v>
      </c>
      <c r="E8015" t="s">
        <v>5617</v>
      </c>
      <c r="F8015" t="s">
        <v>29018</v>
      </c>
      <c r="G8015" t="s">
        <v>22121</v>
      </c>
      <c r="H8015" t="s">
        <v>5474</v>
      </c>
      <c r="I8015" t="s">
        <v>29019</v>
      </c>
      <c r="J8015" t="s">
        <v>5484</v>
      </c>
      <c r="K8015" t="s">
        <v>28723</v>
      </c>
      <c r="L8015" t="s">
        <v>5471</v>
      </c>
      <c r="M8015" t="s">
        <v>5471</v>
      </c>
    </row>
    <row r="8016" spans="1:13" x14ac:dyDescent="0.3">
      <c r="A8016" t="s">
        <v>3388</v>
      </c>
      <c r="B8016" t="s">
        <v>5316</v>
      </c>
      <c r="C8016" t="s">
        <v>5470</v>
      </c>
      <c r="D8016" t="s">
        <v>4058</v>
      </c>
      <c r="E8016" t="s">
        <v>5532</v>
      </c>
      <c r="F8016" t="s">
        <v>29020</v>
      </c>
      <c r="G8016" t="s">
        <v>11117</v>
      </c>
      <c r="H8016" t="s">
        <v>5474</v>
      </c>
      <c r="I8016" t="s">
        <v>29021</v>
      </c>
      <c r="J8016" t="s">
        <v>5484</v>
      </c>
      <c r="K8016" t="s">
        <v>28733</v>
      </c>
      <c r="L8016" t="s">
        <v>5471</v>
      </c>
      <c r="M8016" t="s">
        <v>5471</v>
      </c>
    </row>
    <row r="8017" spans="1:13" x14ac:dyDescent="0.3">
      <c r="A8017" t="s">
        <v>3383</v>
      </c>
      <c r="B8017" t="s">
        <v>8062</v>
      </c>
      <c r="C8017" t="s">
        <v>5487</v>
      </c>
      <c r="D8017" t="s">
        <v>4052</v>
      </c>
      <c r="E8017" t="s">
        <v>5532</v>
      </c>
      <c r="F8017" t="s">
        <v>29022</v>
      </c>
      <c r="G8017" t="s">
        <v>8080</v>
      </c>
      <c r="H8017" t="s">
        <v>5474</v>
      </c>
      <c r="I8017" t="s">
        <v>29023</v>
      </c>
      <c r="J8017" t="s">
        <v>5484</v>
      </c>
      <c r="K8017" t="s">
        <v>29024</v>
      </c>
      <c r="L8017" t="s">
        <v>5471</v>
      </c>
      <c r="M8017" t="s">
        <v>5471</v>
      </c>
    </row>
    <row r="8018" spans="1:13" x14ac:dyDescent="0.3">
      <c r="A8018" t="s">
        <v>3388</v>
      </c>
      <c r="B8018" t="s">
        <v>5316</v>
      </c>
      <c r="C8018" t="s">
        <v>5470</v>
      </c>
      <c r="D8018" t="s">
        <v>4058</v>
      </c>
      <c r="E8018" t="s">
        <v>5532</v>
      </c>
      <c r="F8018" t="s">
        <v>29025</v>
      </c>
      <c r="G8018" t="s">
        <v>22117</v>
      </c>
      <c r="H8018" t="s">
        <v>5474</v>
      </c>
      <c r="I8018" t="s">
        <v>29026</v>
      </c>
      <c r="J8018" t="s">
        <v>5484</v>
      </c>
      <c r="K8018" t="s">
        <v>29027</v>
      </c>
      <c r="L8018" t="s">
        <v>5471</v>
      </c>
      <c r="M8018" t="s">
        <v>5471</v>
      </c>
    </row>
    <row r="8019" spans="1:13" x14ac:dyDescent="0.3">
      <c r="A8019" t="s">
        <v>3388</v>
      </c>
      <c r="B8019" t="s">
        <v>8577</v>
      </c>
      <c r="C8019" t="s">
        <v>5470</v>
      </c>
      <c r="D8019" t="s">
        <v>4058</v>
      </c>
      <c r="E8019" t="s">
        <v>5532</v>
      </c>
      <c r="F8019" t="s">
        <v>29028</v>
      </c>
      <c r="G8019" t="s">
        <v>10503</v>
      </c>
      <c r="H8019" t="s">
        <v>5474</v>
      </c>
      <c r="I8019" t="s">
        <v>29029</v>
      </c>
      <c r="J8019" t="s">
        <v>5484</v>
      </c>
      <c r="K8019" t="s">
        <v>29030</v>
      </c>
      <c r="L8019" t="s">
        <v>5471</v>
      </c>
      <c r="M8019" t="s">
        <v>5471</v>
      </c>
    </row>
    <row r="8020" spans="1:13" x14ac:dyDescent="0.3">
      <c r="A8020" t="s">
        <v>3383</v>
      </c>
      <c r="B8020" t="s">
        <v>6063</v>
      </c>
      <c r="C8020" t="s">
        <v>5470</v>
      </c>
      <c r="D8020" t="s">
        <v>4052</v>
      </c>
      <c r="E8020" t="s">
        <v>5756</v>
      </c>
      <c r="F8020" t="s">
        <v>29031</v>
      </c>
      <c r="G8020" t="s">
        <v>29032</v>
      </c>
      <c r="H8020" t="s">
        <v>5474</v>
      </c>
      <c r="I8020" t="s">
        <v>29033</v>
      </c>
      <c r="J8020" t="s">
        <v>5484</v>
      </c>
      <c r="K8020" t="s">
        <v>29034</v>
      </c>
      <c r="L8020" t="s">
        <v>5471</v>
      </c>
      <c r="M8020" t="s">
        <v>5471</v>
      </c>
    </row>
    <row r="8021" spans="1:13" x14ac:dyDescent="0.3">
      <c r="A8021" t="s">
        <v>3388</v>
      </c>
      <c r="B8021" t="s">
        <v>8577</v>
      </c>
      <c r="C8021" t="s">
        <v>5470</v>
      </c>
      <c r="D8021" t="s">
        <v>4058</v>
      </c>
      <c r="E8021" t="s">
        <v>5532</v>
      </c>
      <c r="F8021" t="s">
        <v>29035</v>
      </c>
      <c r="G8021" t="s">
        <v>10503</v>
      </c>
      <c r="H8021" t="s">
        <v>5474</v>
      </c>
      <c r="I8021" t="s">
        <v>29036</v>
      </c>
      <c r="J8021" t="s">
        <v>5484</v>
      </c>
      <c r="K8021" t="s">
        <v>29037</v>
      </c>
      <c r="L8021" t="s">
        <v>5471</v>
      </c>
      <c r="M8021" t="s">
        <v>5471</v>
      </c>
    </row>
    <row r="8022" spans="1:13" x14ac:dyDescent="0.3">
      <c r="A8022" t="s">
        <v>3388</v>
      </c>
      <c r="B8022" t="s">
        <v>8577</v>
      </c>
      <c r="C8022" t="s">
        <v>5470</v>
      </c>
      <c r="D8022" t="s">
        <v>4058</v>
      </c>
      <c r="E8022" t="s">
        <v>5532</v>
      </c>
      <c r="F8022" t="s">
        <v>29038</v>
      </c>
      <c r="G8022" t="s">
        <v>10503</v>
      </c>
      <c r="H8022" t="s">
        <v>5474</v>
      </c>
      <c r="I8022" t="s">
        <v>29039</v>
      </c>
      <c r="J8022" t="s">
        <v>5484</v>
      </c>
      <c r="K8022" t="s">
        <v>28742</v>
      </c>
      <c r="L8022" t="s">
        <v>5471</v>
      </c>
      <c r="M8022" t="s">
        <v>5471</v>
      </c>
    </row>
    <row r="8023" spans="1:13" x14ac:dyDescent="0.3">
      <c r="A8023" t="s">
        <v>3383</v>
      </c>
      <c r="B8023" t="s">
        <v>6122</v>
      </c>
      <c r="C8023" t="s">
        <v>5470</v>
      </c>
      <c r="D8023" t="s">
        <v>4052</v>
      </c>
      <c r="E8023" t="s">
        <v>5532</v>
      </c>
      <c r="F8023" t="s">
        <v>29040</v>
      </c>
      <c r="G8023" t="s">
        <v>29041</v>
      </c>
      <c r="H8023" t="s">
        <v>5474</v>
      </c>
      <c r="I8023" t="s">
        <v>29042</v>
      </c>
      <c r="J8023" t="s">
        <v>5484</v>
      </c>
      <c r="K8023" t="s">
        <v>29043</v>
      </c>
      <c r="L8023" t="s">
        <v>5471</v>
      </c>
      <c r="M8023" t="s">
        <v>5471</v>
      </c>
    </row>
    <row r="8024" spans="1:13" x14ac:dyDescent="0.3">
      <c r="A8024" t="s">
        <v>3388</v>
      </c>
      <c r="B8024" t="s">
        <v>21595</v>
      </c>
      <c r="C8024" t="s">
        <v>5470</v>
      </c>
      <c r="D8024" t="s">
        <v>4058</v>
      </c>
      <c r="E8024" t="s">
        <v>5617</v>
      </c>
      <c r="F8024" t="s">
        <v>29044</v>
      </c>
      <c r="G8024" t="s">
        <v>29045</v>
      </c>
      <c r="H8024" t="s">
        <v>5474</v>
      </c>
      <c r="I8024" t="s">
        <v>29046</v>
      </c>
      <c r="J8024" t="s">
        <v>5484</v>
      </c>
      <c r="K8024" t="s">
        <v>28962</v>
      </c>
      <c r="L8024" t="s">
        <v>5471</v>
      </c>
      <c r="M8024" t="s">
        <v>5471</v>
      </c>
    </row>
    <row r="8025" spans="1:13" x14ac:dyDescent="0.3">
      <c r="A8025" t="s">
        <v>3388</v>
      </c>
      <c r="B8025" t="s">
        <v>21595</v>
      </c>
      <c r="C8025" t="s">
        <v>5470</v>
      </c>
      <c r="D8025" t="s">
        <v>4058</v>
      </c>
      <c r="E8025" t="s">
        <v>5617</v>
      </c>
      <c r="F8025" t="s">
        <v>29047</v>
      </c>
      <c r="G8025" t="s">
        <v>29045</v>
      </c>
      <c r="H8025" t="s">
        <v>5474</v>
      </c>
      <c r="I8025" t="s">
        <v>29048</v>
      </c>
      <c r="J8025" t="s">
        <v>5484</v>
      </c>
      <c r="K8025" t="s">
        <v>28965</v>
      </c>
      <c r="L8025" t="s">
        <v>5471</v>
      </c>
      <c r="M8025" t="s">
        <v>5471</v>
      </c>
    </row>
    <row r="8026" spans="1:13" x14ac:dyDescent="0.3">
      <c r="A8026" t="s">
        <v>3388</v>
      </c>
      <c r="B8026" t="s">
        <v>21595</v>
      </c>
      <c r="C8026" t="s">
        <v>5470</v>
      </c>
      <c r="D8026" t="s">
        <v>4058</v>
      </c>
      <c r="E8026" t="s">
        <v>5617</v>
      </c>
      <c r="F8026" t="s">
        <v>29049</v>
      </c>
      <c r="G8026" t="s">
        <v>29050</v>
      </c>
      <c r="H8026" t="s">
        <v>5474</v>
      </c>
      <c r="I8026" t="s">
        <v>29051</v>
      </c>
      <c r="J8026" t="s">
        <v>5484</v>
      </c>
      <c r="K8026" t="s">
        <v>28969</v>
      </c>
      <c r="L8026" t="s">
        <v>5471</v>
      </c>
      <c r="M8026" t="s">
        <v>5471</v>
      </c>
    </row>
    <row r="8027" spans="1:13" x14ac:dyDescent="0.3">
      <c r="A8027" t="s">
        <v>3383</v>
      </c>
      <c r="B8027" t="s">
        <v>5332</v>
      </c>
      <c r="C8027" t="s">
        <v>5470</v>
      </c>
      <c r="D8027" t="s">
        <v>4052</v>
      </c>
      <c r="E8027" t="s">
        <v>5532</v>
      </c>
      <c r="F8027" t="s">
        <v>29052</v>
      </c>
      <c r="G8027" t="s">
        <v>6586</v>
      </c>
      <c r="H8027" t="s">
        <v>5474</v>
      </c>
      <c r="I8027" t="s">
        <v>29053</v>
      </c>
      <c r="J8027" t="s">
        <v>5484</v>
      </c>
      <c r="K8027" t="s">
        <v>29054</v>
      </c>
      <c r="L8027" t="s">
        <v>5471</v>
      </c>
      <c r="M8027" t="s">
        <v>5471</v>
      </c>
    </row>
    <row r="8028" spans="1:13" x14ac:dyDescent="0.3">
      <c r="A8028" t="s">
        <v>3388</v>
      </c>
      <c r="B8028" t="s">
        <v>21595</v>
      </c>
      <c r="C8028" t="s">
        <v>5470</v>
      </c>
      <c r="D8028" t="s">
        <v>4058</v>
      </c>
      <c r="E8028" t="s">
        <v>5617</v>
      </c>
      <c r="F8028" t="s">
        <v>29055</v>
      </c>
      <c r="G8028" t="s">
        <v>29050</v>
      </c>
      <c r="H8028" t="s">
        <v>5474</v>
      </c>
      <c r="I8028" t="s">
        <v>29056</v>
      </c>
      <c r="J8028" t="s">
        <v>5484</v>
      </c>
      <c r="K8028" t="s">
        <v>28972</v>
      </c>
      <c r="L8028" t="s">
        <v>5471</v>
      </c>
      <c r="M8028" t="s">
        <v>5471</v>
      </c>
    </row>
    <row r="8029" spans="1:13" x14ac:dyDescent="0.3">
      <c r="A8029" t="s">
        <v>3388</v>
      </c>
      <c r="B8029" t="s">
        <v>21595</v>
      </c>
      <c r="C8029" t="s">
        <v>5470</v>
      </c>
      <c r="D8029" t="s">
        <v>4058</v>
      </c>
      <c r="E8029" t="s">
        <v>5617</v>
      </c>
      <c r="F8029" t="s">
        <v>29057</v>
      </c>
      <c r="G8029" t="s">
        <v>29058</v>
      </c>
      <c r="H8029" t="s">
        <v>5474</v>
      </c>
      <c r="I8029" t="s">
        <v>29059</v>
      </c>
      <c r="J8029" t="s">
        <v>5484</v>
      </c>
      <c r="K8029" t="s">
        <v>29060</v>
      </c>
      <c r="L8029" t="s">
        <v>5471</v>
      </c>
      <c r="M8029" t="s">
        <v>5471</v>
      </c>
    </row>
    <row r="8030" spans="1:13" x14ac:dyDescent="0.3">
      <c r="A8030" t="s">
        <v>3383</v>
      </c>
      <c r="B8030" t="s">
        <v>8062</v>
      </c>
      <c r="C8030" t="s">
        <v>5487</v>
      </c>
      <c r="D8030" t="s">
        <v>4052</v>
      </c>
      <c r="E8030" t="s">
        <v>5532</v>
      </c>
      <c r="F8030" t="s">
        <v>29061</v>
      </c>
      <c r="G8030" t="s">
        <v>22697</v>
      </c>
      <c r="H8030" t="s">
        <v>5474</v>
      </c>
      <c r="I8030" t="s">
        <v>29062</v>
      </c>
      <c r="J8030" t="s">
        <v>5484</v>
      </c>
      <c r="K8030" t="s">
        <v>29063</v>
      </c>
      <c r="L8030" t="s">
        <v>5471</v>
      </c>
      <c r="M8030" t="s">
        <v>5471</v>
      </c>
    </row>
    <row r="8031" spans="1:13" x14ac:dyDescent="0.3">
      <c r="A8031" t="s">
        <v>3388</v>
      </c>
      <c r="B8031" t="s">
        <v>21595</v>
      </c>
      <c r="C8031" t="s">
        <v>5470</v>
      </c>
      <c r="D8031" t="s">
        <v>4058</v>
      </c>
      <c r="E8031" t="s">
        <v>5617</v>
      </c>
      <c r="F8031" t="s">
        <v>29064</v>
      </c>
      <c r="G8031" t="s">
        <v>29058</v>
      </c>
      <c r="H8031" t="s">
        <v>5474</v>
      </c>
      <c r="I8031" t="s">
        <v>29065</v>
      </c>
      <c r="J8031" t="s">
        <v>5484</v>
      </c>
      <c r="K8031" t="s">
        <v>29066</v>
      </c>
      <c r="L8031" t="s">
        <v>5471</v>
      </c>
      <c r="M8031" t="s">
        <v>5471</v>
      </c>
    </row>
    <row r="8032" spans="1:13" x14ac:dyDescent="0.3">
      <c r="A8032" t="s">
        <v>3388</v>
      </c>
      <c r="B8032" t="s">
        <v>5299</v>
      </c>
      <c r="C8032" t="s">
        <v>5470</v>
      </c>
      <c r="D8032" t="s">
        <v>4058</v>
      </c>
      <c r="E8032" t="s">
        <v>5617</v>
      </c>
      <c r="F8032" t="s">
        <v>29067</v>
      </c>
      <c r="G8032" t="s">
        <v>29068</v>
      </c>
      <c r="H8032" t="s">
        <v>5474</v>
      </c>
      <c r="I8032" t="s">
        <v>29069</v>
      </c>
      <c r="J8032" t="s">
        <v>5484</v>
      </c>
      <c r="K8032" t="s">
        <v>28581</v>
      </c>
      <c r="L8032" t="s">
        <v>5471</v>
      </c>
      <c r="M8032" t="s">
        <v>5471</v>
      </c>
    </row>
    <row r="8033" spans="1:13" x14ac:dyDescent="0.3">
      <c r="A8033" t="s">
        <v>3388</v>
      </c>
      <c r="B8033" t="s">
        <v>5299</v>
      </c>
      <c r="C8033" t="s">
        <v>5470</v>
      </c>
      <c r="D8033" t="s">
        <v>4058</v>
      </c>
      <c r="E8033" t="s">
        <v>5617</v>
      </c>
      <c r="F8033" t="s">
        <v>29070</v>
      </c>
      <c r="G8033" t="s">
        <v>29068</v>
      </c>
      <c r="H8033" t="s">
        <v>5474</v>
      </c>
      <c r="I8033" t="s">
        <v>29071</v>
      </c>
      <c r="J8033" t="s">
        <v>5484</v>
      </c>
      <c r="K8033" t="s">
        <v>28584</v>
      </c>
      <c r="L8033" t="s">
        <v>5471</v>
      </c>
      <c r="M8033" t="s">
        <v>5471</v>
      </c>
    </row>
    <row r="8034" spans="1:13" x14ac:dyDescent="0.3">
      <c r="A8034" t="s">
        <v>3383</v>
      </c>
      <c r="B8034" t="s">
        <v>8062</v>
      </c>
      <c r="C8034" t="s">
        <v>5487</v>
      </c>
      <c r="D8034" t="s">
        <v>4052</v>
      </c>
      <c r="E8034" t="s">
        <v>5532</v>
      </c>
      <c r="F8034" t="s">
        <v>29072</v>
      </c>
      <c r="G8034" t="s">
        <v>8082</v>
      </c>
      <c r="H8034" t="s">
        <v>5474</v>
      </c>
      <c r="I8034" t="s">
        <v>29073</v>
      </c>
      <c r="J8034" t="s">
        <v>5484</v>
      </c>
      <c r="K8034" t="s">
        <v>29074</v>
      </c>
      <c r="L8034" t="s">
        <v>5471</v>
      </c>
      <c r="M8034" t="s">
        <v>5471</v>
      </c>
    </row>
    <row r="8035" spans="1:13" x14ac:dyDescent="0.3">
      <c r="A8035" t="s">
        <v>3388</v>
      </c>
      <c r="B8035" t="s">
        <v>5299</v>
      </c>
      <c r="C8035" t="s">
        <v>5470</v>
      </c>
      <c r="D8035" t="s">
        <v>4058</v>
      </c>
      <c r="E8035" t="s">
        <v>5617</v>
      </c>
      <c r="F8035" t="s">
        <v>29075</v>
      </c>
      <c r="G8035" t="s">
        <v>29076</v>
      </c>
      <c r="H8035" t="s">
        <v>5474</v>
      </c>
      <c r="I8035" t="s">
        <v>29077</v>
      </c>
      <c r="J8035" t="s">
        <v>5484</v>
      </c>
      <c r="K8035" t="s">
        <v>28995</v>
      </c>
      <c r="L8035" t="s">
        <v>5471</v>
      </c>
      <c r="M8035" t="s">
        <v>5471</v>
      </c>
    </row>
    <row r="8036" spans="1:13" x14ac:dyDescent="0.3">
      <c r="A8036" t="s">
        <v>3383</v>
      </c>
      <c r="B8036" t="s">
        <v>8062</v>
      </c>
      <c r="C8036" t="s">
        <v>5487</v>
      </c>
      <c r="D8036" t="s">
        <v>4052</v>
      </c>
      <c r="E8036" t="s">
        <v>5532</v>
      </c>
      <c r="F8036" t="s">
        <v>29078</v>
      </c>
      <c r="G8036" t="s">
        <v>8078</v>
      </c>
      <c r="H8036" t="s">
        <v>5474</v>
      </c>
      <c r="I8036" t="s">
        <v>29079</v>
      </c>
      <c r="J8036" t="s">
        <v>5484</v>
      </c>
      <c r="K8036" t="s">
        <v>29080</v>
      </c>
      <c r="L8036" t="s">
        <v>5471</v>
      </c>
      <c r="M8036" t="s">
        <v>5471</v>
      </c>
    </row>
    <row r="8037" spans="1:13" x14ac:dyDescent="0.3">
      <c r="A8037" t="s">
        <v>3388</v>
      </c>
      <c r="B8037" t="s">
        <v>7101</v>
      </c>
      <c r="C8037" t="s">
        <v>5470</v>
      </c>
      <c r="D8037" t="s">
        <v>4058</v>
      </c>
      <c r="E8037" t="s">
        <v>5617</v>
      </c>
      <c r="F8037" t="s">
        <v>29081</v>
      </c>
      <c r="G8037" t="s">
        <v>29082</v>
      </c>
      <c r="H8037" t="s">
        <v>5474</v>
      </c>
      <c r="I8037" t="s">
        <v>29083</v>
      </c>
      <c r="J8037" t="s">
        <v>5484</v>
      </c>
      <c r="K8037" t="s">
        <v>28581</v>
      </c>
      <c r="L8037" t="s">
        <v>5471</v>
      </c>
      <c r="M8037" t="s">
        <v>5471</v>
      </c>
    </row>
    <row r="8038" spans="1:13" x14ac:dyDescent="0.3">
      <c r="A8038" t="s">
        <v>3388</v>
      </c>
      <c r="B8038" t="s">
        <v>7101</v>
      </c>
      <c r="C8038" t="s">
        <v>5470</v>
      </c>
      <c r="D8038" t="s">
        <v>4058</v>
      </c>
      <c r="E8038" t="s">
        <v>5617</v>
      </c>
      <c r="F8038" t="s">
        <v>29084</v>
      </c>
      <c r="G8038" t="s">
        <v>29082</v>
      </c>
      <c r="H8038" t="s">
        <v>5474</v>
      </c>
      <c r="I8038" t="s">
        <v>29085</v>
      </c>
      <c r="J8038" t="s">
        <v>5484</v>
      </c>
      <c r="K8038" t="s">
        <v>28584</v>
      </c>
      <c r="L8038" t="s">
        <v>5471</v>
      </c>
      <c r="M8038" t="s">
        <v>5471</v>
      </c>
    </row>
    <row r="8039" spans="1:13" x14ac:dyDescent="0.3">
      <c r="A8039" t="s">
        <v>3383</v>
      </c>
      <c r="B8039" t="s">
        <v>5332</v>
      </c>
      <c r="C8039" t="s">
        <v>5470</v>
      </c>
      <c r="D8039" t="s">
        <v>4052</v>
      </c>
      <c r="E8039" t="s">
        <v>5532</v>
      </c>
      <c r="F8039" t="s">
        <v>29086</v>
      </c>
      <c r="G8039" t="s">
        <v>11224</v>
      </c>
      <c r="H8039" t="s">
        <v>5474</v>
      </c>
      <c r="I8039" t="s">
        <v>29087</v>
      </c>
      <c r="J8039" t="s">
        <v>5484</v>
      </c>
      <c r="K8039" t="s">
        <v>29088</v>
      </c>
      <c r="L8039" t="s">
        <v>5471</v>
      </c>
      <c r="M8039" t="s">
        <v>5471</v>
      </c>
    </row>
    <row r="8040" spans="1:13" x14ac:dyDescent="0.3">
      <c r="A8040" t="s">
        <v>3388</v>
      </c>
      <c r="B8040" t="s">
        <v>7101</v>
      </c>
      <c r="C8040" t="s">
        <v>5470</v>
      </c>
      <c r="D8040" t="s">
        <v>4058</v>
      </c>
      <c r="E8040" t="s">
        <v>5532</v>
      </c>
      <c r="F8040" t="s">
        <v>29089</v>
      </c>
      <c r="G8040" t="s">
        <v>20348</v>
      </c>
      <c r="H8040" t="s">
        <v>5474</v>
      </c>
      <c r="I8040" t="s">
        <v>29090</v>
      </c>
      <c r="J8040" t="s">
        <v>5484</v>
      </c>
      <c r="K8040" t="s">
        <v>28730</v>
      </c>
      <c r="L8040" t="s">
        <v>5471</v>
      </c>
      <c r="M8040" t="s">
        <v>5471</v>
      </c>
    </row>
    <row r="8041" spans="1:13" x14ac:dyDescent="0.3">
      <c r="A8041" t="s">
        <v>3388</v>
      </c>
      <c r="B8041" t="s">
        <v>7101</v>
      </c>
      <c r="C8041" t="s">
        <v>5470</v>
      </c>
      <c r="D8041" t="s">
        <v>4058</v>
      </c>
      <c r="E8041" t="s">
        <v>5532</v>
      </c>
      <c r="F8041" t="s">
        <v>29091</v>
      </c>
      <c r="G8041" t="s">
        <v>20348</v>
      </c>
      <c r="H8041" t="s">
        <v>5474</v>
      </c>
      <c r="I8041" t="s">
        <v>29092</v>
      </c>
      <c r="J8041" t="s">
        <v>5484</v>
      </c>
      <c r="K8041" t="s">
        <v>28733</v>
      </c>
      <c r="L8041" t="s">
        <v>5471</v>
      </c>
      <c r="M8041" t="s">
        <v>5471</v>
      </c>
    </row>
    <row r="8042" spans="1:13" x14ac:dyDescent="0.3">
      <c r="A8042" t="s">
        <v>3383</v>
      </c>
      <c r="B8042" t="s">
        <v>5332</v>
      </c>
      <c r="C8042" t="s">
        <v>5470</v>
      </c>
      <c r="D8042" t="s">
        <v>4052</v>
      </c>
      <c r="E8042" t="s">
        <v>5532</v>
      </c>
      <c r="F8042" t="s">
        <v>29093</v>
      </c>
      <c r="G8042" t="s">
        <v>6239</v>
      </c>
      <c r="H8042" t="s">
        <v>5474</v>
      </c>
      <c r="I8042" t="s">
        <v>29094</v>
      </c>
      <c r="J8042" t="s">
        <v>5476</v>
      </c>
      <c r="K8042" t="s">
        <v>29095</v>
      </c>
      <c r="L8042" t="s">
        <v>5471</v>
      </c>
      <c r="M8042" t="s">
        <v>5471</v>
      </c>
    </row>
    <row r="8043" spans="1:13" x14ac:dyDescent="0.3">
      <c r="A8043" t="s">
        <v>3388</v>
      </c>
      <c r="B8043" t="s">
        <v>7101</v>
      </c>
      <c r="C8043" t="s">
        <v>5470</v>
      </c>
      <c r="D8043" t="s">
        <v>4058</v>
      </c>
      <c r="E8043" t="s">
        <v>5617</v>
      </c>
      <c r="F8043" t="s">
        <v>29096</v>
      </c>
      <c r="G8043" t="s">
        <v>29097</v>
      </c>
      <c r="H8043" t="s">
        <v>5474</v>
      </c>
      <c r="I8043" t="s">
        <v>29098</v>
      </c>
      <c r="J8043" t="s">
        <v>5484</v>
      </c>
      <c r="K8043" t="s">
        <v>28999</v>
      </c>
      <c r="L8043" t="s">
        <v>5471</v>
      </c>
      <c r="M8043" t="s">
        <v>5471</v>
      </c>
    </row>
    <row r="8044" spans="1:13" x14ac:dyDescent="0.3">
      <c r="A8044" t="s">
        <v>3383</v>
      </c>
      <c r="B8044" t="s">
        <v>5332</v>
      </c>
      <c r="C8044" t="s">
        <v>5470</v>
      </c>
      <c r="D8044" t="s">
        <v>4052</v>
      </c>
      <c r="E8044" t="s">
        <v>5532</v>
      </c>
      <c r="F8044" t="s">
        <v>29099</v>
      </c>
      <c r="G8044" t="s">
        <v>6241</v>
      </c>
      <c r="H8044" t="s">
        <v>5474</v>
      </c>
      <c r="I8044" t="s">
        <v>29100</v>
      </c>
      <c r="J8044" t="s">
        <v>5484</v>
      </c>
      <c r="K8044" t="s">
        <v>29101</v>
      </c>
      <c r="L8044" t="s">
        <v>5471</v>
      </c>
      <c r="M8044" t="s">
        <v>5471</v>
      </c>
    </row>
    <row r="8045" spans="1:13" x14ac:dyDescent="0.3">
      <c r="A8045" t="s">
        <v>3383</v>
      </c>
      <c r="B8045" t="s">
        <v>5332</v>
      </c>
      <c r="C8045" t="s">
        <v>5470</v>
      </c>
      <c r="D8045" t="s">
        <v>4052</v>
      </c>
      <c r="E8045" t="s">
        <v>5532</v>
      </c>
      <c r="F8045" t="s">
        <v>29102</v>
      </c>
      <c r="G8045" t="s">
        <v>27422</v>
      </c>
      <c r="H8045" t="s">
        <v>5474</v>
      </c>
      <c r="I8045" t="s">
        <v>29103</v>
      </c>
      <c r="J8045" t="s">
        <v>5484</v>
      </c>
      <c r="K8045" t="s">
        <v>29104</v>
      </c>
      <c r="L8045" t="s">
        <v>5471</v>
      </c>
      <c r="M8045" t="s">
        <v>5471</v>
      </c>
    </row>
    <row r="8046" spans="1:13" x14ac:dyDescent="0.3">
      <c r="A8046" t="s">
        <v>3388</v>
      </c>
      <c r="B8046" t="s">
        <v>7101</v>
      </c>
      <c r="C8046" t="s">
        <v>5470</v>
      </c>
      <c r="D8046" t="s">
        <v>4058</v>
      </c>
      <c r="E8046" t="s">
        <v>5617</v>
      </c>
      <c r="F8046" t="s">
        <v>29105</v>
      </c>
      <c r="G8046" t="s">
        <v>22190</v>
      </c>
      <c r="H8046" t="s">
        <v>5474</v>
      </c>
      <c r="I8046" t="s">
        <v>29106</v>
      </c>
      <c r="J8046" t="s">
        <v>5484</v>
      </c>
      <c r="K8046" t="s">
        <v>28982</v>
      </c>
      <c r="L8046" t="s">
        <v>5471</v>
      </c>
      <c r="M8046" t="s">
        <v>5471</v>
      </c>
    </row>
    <row r="8047" spans="1:13" x14ac:dyDescent="0.3">
      <c r="A8047" t="s">
        <v>3383</v>
      </c>
      <c r="B8047" t="s">
        <v>5332</v>
      </c>
      <c r="C8047" t="s">
        <v>5470</v>
      </c>
      <c r="D8047" t="s">
        <v>4052</v>
      </c>
      <c r="E8047" t="s">
        <v>5532</v>
      </c>
      <c r="F8047" t="s">
        <v>29107</v>
      </c>
      <c r="G8047" t="s">
        <v>11669</v>
      </c>
      <c r="H8047" t="s">
        <v>5474</v>
      </c>
      <c r="I8047" t="s">
        <v>29108</v>
      </c>
      <c r="J8047" t="s">
        <v>5484</v>
      </c>
      <c r="K8047" t="s">
        <v>29109</v>
      </c>
      <c r="L8047" t="s">
        <v>5471</v>
      </c>
      <c r="M8047" t="s">
        <v>5471</v>
      </c>
    </row>
    <row r="8048" spans="1:13" x14ac:dyDescent="0.3">
      <c r="A8048" t="s">
        <v>3388</v>
      </c>
      <c r="B8048" t="s">
        <v>7101</v>
      </c>
      <c r="C8048" t="s">
        <v>5470</v>
      </c>
      <c r="D8048" t="s">
        <v>4058</v>
      </c>
      <c r="E8048" t="s">
        <v>5617</v>
      </c>
      <c r="F8048" t="s">
        <v>29110</v>
      </c>
      <c r="G8048" t="s">
        <v>22190</v>
      </c>
      <c r="H8048" t="s">
        <v>5474</v>
      </c>
      <c r="I8048" t="s">
        <v>29111</v>
      </c>
      <c r="J8048" t="s">
        <v>5484</v>
      </c>
      <c r="K8048" t="s">
        <v>28819</v>
      </c>
      <c r="L8048" t="s">
        <v>5471</v>
      </c>
      <c r="M8048" t="s">
        <v>5471</v>
      </c>
    </row>
    <row r="8049" spans="1:13" x14ac:dyDescent="0.3">
      <c r="A8049" t="s">
        <v>3388</v>
      </c>
      <c r="B8049" t="s">
        <v>7101</v>
      </c>
      <c r="C8049" t="s">
        <v>5470</v>
      </c>
      <c r="D8049" t="s">
        <v>4058</v>
      </c>
      <c r="E8049" t="s">
        <v>5617</v>
      </c>
      <c r="F8049" t="s">
        <v>29112</v>
      </c>
      <c r="G8049" t="s">
        <v>22190</v>
      </c>
      <c r="H8049" t="s">
        <v>5474</v>
      </c>
      <c r="I8049" t="s">
        <v>29113</v>
      </c>
      <c r="J8049" t="s">
        <v>5484</v>
      </c>
      <c r="K8049" t="s">
        <v>28822</v>
      </c>
      <c r="L8049" t="s">
        <v>5471</v>
      </c>
      <c r="M8049" t="s">
        <v>5471</v>
      </c>
    </row>
    <row r="8050" spans="1:13" x14ac:dyDescent="0.3">
      <c r="A8050" t="s">
        <v>3388</v>
      </c>
      <c r="B8050" t="s">
        <v>7101</v>
      </c>
      <c r="C8050" t="s">
        <v>5470</v>
      </c>
      <c r="D8050" t="s">
        <v>4058</v>
      </c>
      <c r="E8050" t="s">
        <v>5617</v>
      </c>
      <c r="F8050" t="s">
        <v>29114</v>
      </c>
      <c r="G8050" t="s">
        <v>29115</v>
      </c>
      <c r="H8050" t="s">
        <v>5474</v>
      </c>
      <c r="I8050" t="s">
        <v>29116</v>
      </c>
      <c r="J8050" t="s">
        <v>5484</v>
      </c>
      <c r="K8050" t="s">
        <v>28989</v>
      </c>
      <c r="L8050" t="s">
        <v>5471</v>
      </c>
      <c r="M8050" t="s">
        <v>5471</v>
      </c>
    </row>
    <row r="8051" spans="1:13" x14ac:dyDescent="0.3">
      <c r="A8051" t="s">
        <v>3388</v>
      </c>
      <c r="B8051" t="s">
        <v>7101</v>
      </c>
      <c r="C8051" t="s">
        <v>5470</v>
      </c>
      <c r="D8051" t="s">
        <v>4058</v>
      </c>
      <c r="E8051" t="s">
        <v>5617</v>
      </c>
      <c r="F8051" t="s">
        <v>29117</v>
      </c>
      <c r="G8051" t="s">
        <v>29115</v>
      </c>
      <c r="H8051" t="s">
        <v>5474</v>
      </c>
      <c r="I8051" t="s">
        <v>29118</v>
      </c>
      <c r="J8051" t="s">
        <v>5484</v>
      </c>
      <c r="K8051" t="s">
        <v>28992</v>
      </c>
      <c r="L8051" t="s">
        <v>5471</v>
      </c>
      <c r="M8051" t="s">
        <v>5471</v>
      </c>
    </row>
    <row r="8052" spans="1:13" x14ac:dyDescent="0.3">
      <c r="A8052" t="s">
        <v>3388</v>
      </c>
      <c r="B8052" t="s">
        <v>7101</v>
      </c>
      <c r="C8052" t="s">
        <v>5470</v>
      </c>
      <c r="D8052" t="s">
        <v>4058</v>
      </c>
      <c r="E8052" t="s">
        <v>5617</v>
      </c>
      <c r="F8052" t="s">
        <v>29119</v>
      </c>
      <c r="G8052" t="s">
        <v>29115</v>
      </c>
      <c r="H8052" t="s">
        <v>5474</v>
      </c>
      <c r="I8052" t="s">
        <v>29120</v>
      </c>
      <c r="J8052" t="s">
        <v>5484</v>
      </c>
      <c r="K8052" t="s">
        <v>28995</v>
      </c>
      <c r="L8052" t="s">
        <v>5471</v>
      </c>
      <c r="M8052" t="s">
        <v>5471</v>
      </c>
    </row>
    <row r="8053" spans="1:13" x14ac:dyDescent="0.3">
      <c r="A8053" t="s">
        <v>3383</v>
      </c>
      <c r="B8053" t="s">
        <v>6122</v>
      </c>
      <c r="C8053" t="s">
        <v>5470</v>
      </c>
      <c r="D8053" t="s">
        <v>4052</v>
      </c>
      <c r="E8053" t="s">
        <v>5756</v>
      </c>
      <c r="F8053" t="s">
        <v>29121</v>
      </c>
      <c r="G8053" t="s">
        <v>29122</v>
      </c>
      <c r="H8053" t="s">
        <v>5474</v>
      </c>
      <c r="I8053" t="s">
        <v>29123</v>
      </c>
      <c r="J8053" t="s">
        <v>5484</v>
      </c>
      <c r="K8053" t="s">
        <v>29124</v>
      </c>
      <c r="L8053" t="s">
        <v>5471</v>
      </c>
      <c r="M8053" t="s">
        <v>5471</v>
      </c>
    </row>
    <row r="8054" spans="1:13" x14ac:dyDescent="0.3">
      <c r="A8054" t="s">
        <v>3383</v>
      </c>
      <c r="B8054" t="s">
        <v>6122</v>
      </c>
      <c r="C8054" t="s">
        <v>5470</v>
      </c>
      <c r="D8054" t="s">
        <v>4052</v>
      </c>
      <c r="E8054" t="s">
        <v>5756</v>
      </c>
      <c r="F8054" t="s">
        <v>29125</v>
      </c>
      <c r="G8054" t="s">
        <v>12004</v>
      </c>
      <c r="H8054" t="s">
        <v>5474</v>
      </c>
      <c r="I8054" t="s">
        <v>29126</v>
      </c>
      <c r="J8054" t="s">
        <v>5484</v>
      </c>
      <c r="K8054" t="s">
        <v>29127</v>
      </c>
      <c r="L8054" t="s">
        <v>5471</v>
      </c>
      <c r="M8054" t="s">
        <v>5471</v>
      </c>
    </row>
    <row r="8055" spans="1:13" x14ac:dyDescent="0.3">
      <c r="A8055" t="s">
        <v>3388</v>
      </c>
      <c r="B8055" t="s">
        <v>7101</v>
      </c>
      <c r="C8055" t="s">
        <v>5470</v>
      </c>
      <c r="D8055" t="s">
        <v>4058</v>
      </c>
      <c r="E8055" t="s">
        <v>5617</v>
      </c>
      <c r="F8055" t="s">
        <v>29128</v>
      </c>
      <c r="G8055" t="s">
        <v>29129</v>
      </c>
      <c r="H8055" t="s">
        <v>5474</v>
      </c>
      <c r="I8055" t="s">
        <v>29130</v>
      </c>
      <c r="J8055" t="s">
        <v>5484</v>
      </c>
      <c r="K8055" t="s">
        <v>29131</v>
      </c>
      <c r="L8055" t="s">
        <v>5471</v>
      </c>
      <c r="M8055" t="s">
        <v>5471</v>
      </c>
    </row>
    <row r="8056" spans="1:13" x14ac:dyDescent="0.3">
      <c r="A8056" t="s">
        <v>3388</v>
      </c>
      <c r="B8056" t="s">
        <v>7101</v>
      </c>
      <c r="C8056" t="s">
        <v>5470</v>
      </c>
      <c r="D8056" t="s">
        <v>4058</v>
      </c>
      <c r="E8056" t="s">
        <v>5617</v>
      </c>
      <c r="F8056" t="s">
        <v>29132</v>
      </c>
      <c r="G8056" t="s">
        <v>29129</v>
      </c>
      <c r="H8056" t="s">
        <v>5474</v>
      </c>
      <c r="I8056" t="s">
        <v>29133</v>
      </c>
      <c r="J8056" t="s">
        <v>5484</v>
      </c>
      <c r="K8056" t="s">
        <v>29134</v>
      </c>
      <c r="L8056" t="s">
        <v>5471</v>
      </c>
      <c r="M8056" t="s">
        <v>5471</v>
      </c>
    </row>
    <row r="8057" spans="1:13" x14ac:dyDescent="0.3">
      <c r="A8057" t="s">
        <v>3383</v>
      </c>
      <c r="B8057" t="s">
        <v>5986</v>
      </c>
      <c r="C8057" t="s">
        <v>5487</v>
      </c>
      <c r="D8057" t="s">
        <v>4052</v>
      </c>
      <c r="E8057" t="s">
        <v>5532</v>
      </c>
      <c r="F8057" t="s">
        <v>29135</v>
      </c>
      <c r="G8057" t="s">
        <v>29136</v>
      </c>
      <c r="H8057" t="s">
        <v>5474</v>
      </c>
      <c r="I8057" t="s">
        <v>29137</v>
      </c>
      <c r="J8057" t="s">
        <v>5484</v>
      </c>
      <c r="K8057" t="s">
        <v>29138</v>
      </c>
      <c r="L8057" t="s">
        <v>5471</v>
      </c>
      <c r="M8057" t="s">
        <v>5471</v>
      </c>
    </row>
    <row r="8058" spans="1:13" x14ac:dyDescent="0.3">
      <c r="A8058" t="s">
        <v>3388</v>
      </c>
      <c r="B8058" t="s">
        <v>7101</v>
      </c>
      <c r="C8058" t="s">
        <v>5470</v>
      </c>
      <c r="D8058" t="s">
        <v>4058</v>
      </c>
      <c r="E8058" t="s">
        <v>5617</v>
      </c>
      <c r="F8058" t="s">
        <v>29139</v>
      </c>
      <c r="G8058" t="s">
        <v>29129</v>
      </c>
      <c r="H8058" t="s">
        <v>5474</v>
      </c>
      <c r="I8058" t="s">
        <v>29140</v>
      </c>
      <c r="J8058" t="s">
        <v>5484</v>
      </c>
      <c r="K8058" t="s">
        <v>29141</v>
      </c>
      <c r="L8058" t="s">
        <v>5471</v>
      </c>
      <c r="M8058" t="s">
        <v>5471</v>
      </c>
    </row>
    <row r="8059" spans="1:13" x14ac:dyDescent="0.3">
      <c r="A8059" t="s">
        <v>3383</v>
      </c>
      <c r="B8059" t="s">
        <v>5986</v>
      </c>
      <c r="C8059" t="s">
        <v>5487</v>
      </c>
      <c r="D8059" t="s">
        <v>4052</v>
      </c>
      <c r="E8059" t="s">
        <v>5532</v>
      </c>
      <c r="F8059" t="s">
        <v>29142</v>
      </c>
      <c r="G8059" t="s">
        <v>12101</v>
      </c>
      <c r="H8059" t="s">
        <v>5474</v>
      </c>
      <c r="I8059" t="s">
        <v>29143</v>
      </c>
      <c r="J8059" t="s">
        <v>5484</v>
      </c>
      <c r="K8059" t="s">
        <v>29144</v>
      </c>
      <c r="L8059" t="s">
        <v>5471</v>
      </c>
      <c r="M8059" t="s">
        <v>5471</v>
      </c>
    </row>
    <row r="8060" spans="1:13" x14ac:dyDescent="0.3">
      <c r="A8060" t="s">
        <v>3383</v>
      </c>
      <c r="B8060" t="s">
        <v>5986</v>
      </c>
      <c r="C8060" t="s">
        <v>5487</v>
      </c>
      <c r="D8060" t="s">
        <v>4052</v>
      </c>
      <c r="E8060" t="s">
        <v>5532</v>
      </c>
      <c r="F8060" t="s">
        <v>29145</v>
      </c>
      <c r="G8060" t="s">
        <v>29146</v>
      </c>
      <c r="H8060" t="s">
        <v>5474</v>
      </c>
      <c r="I8060" t="s">
        <v>29147</v>
      </c>
      <c r="J8060" t="s">
        <v>5484</v>
      </c>
      <c r="K8060" t="s">
        <v>29148</v>
      </c>
      <c r="L8060" t="s">
        <v>5471</v>
      </c>
      <c r="M8060" t="s">
        <v>5471</v>
      </c>
    </row>
    <row r="8061" spans="1:13" x14ac:dyDescent="0.3">
      <c r="A8061" t="s">
        <v>3388</v>
      </c>
      <c r="B8061" t="s">
        <v>7101</v>
      </c>
      <c r="C8061" t="s">
        <v>5470</v>
      </c>
      <c r="D8061" t="s">
        <v>4058</v>
      </c>
      <c r="E8061" t="s">
        <v>5532</v>
      </c>
      <c r="F8061" t="s">
        <v>29149</v>
      </c>
      <c r="G8061" t="s">
        <v>20363</v>
      </c>
      <c r="H8061" t="s">
        <v>5474</v>
      </c>
      <c r="I8061" t="s">
        <v>29150</v>
      </c>
      <c r="J8061" t="s">
        <v>5484</v>
      </c>
      <c r="K8061" t="s">
        <v>28927</v>
      </c>
      <c r="L8061" t="s">
        <v>5471</v>
      </c>
      <c r="M8061" t="s">
        <v>5471</v>
      </c>
    </row>
    <row r="8062" spans="1:13" x14ac:dyDescent="0.3">
      <c r="A8062" t="s">
        <v>3383</v>
      </c>
      <c r="B8062" t="s">
        <v>5997</v>
      </c>
      <c r="C8062" t="s">
        <v>5487</v>
      </c>
      <c r="D8062" t="s">
        <v>4052</v>
      </c>
      <c r="E8062" t="s">
        <v>5617</v>
      </c>
      <c r="F8062" t="s">
        <v>29151</v>
      </c>
      <c r="G8062" t="s">
        <v>29152</v>
      </c>
      <c r="H8062" t="s">
        <v>5474</v>
      </c>
      <c r="I8062" t="s">
        <v>29153</v>
      </c>
      <c r="J8062" t="s">
        <v>5484</v>
      </c>
      <c r="K8062" t="s">
        <v>29154</v>
      </c>
      <c r="L8062" t="s">
        <v>5471</v>
      </c>
      <c r="M8062" t="s">
        <v>5471</v>
      </c>
    </row>
    <row r="8063" spans="1:13" x14ac:dyDescent="0.3">
      <c r="A8063" t="s">
        <v>3388</v>
      </c>
      <c r="B8063" t="s">
        <v>7101</v>
      </c>
      <c r="C8063" t="s">
        <v>5470</v>
      </c>
      <c r="D8063" t="s">
        <v>4058</v>
      </c>
      <c r="E8063" t="s">
        <v>5532</v>
      </c>
      <c r="F8063" t="s">
        <v>29155</v>
      </c>
      <c r="G8063" t="s">
        <v>20363</v>
      </c>
      <c r="H8063" t="s">
        <v>5474</v>
      </c>
      <c r="I8063" t="s">
        <v>29156</v>
      </c>
      <c r="J8063" t="s">
        <v>5484</v>
      </c>
      <c r="K8063" t="s">
        <v>28930</v>
      </c>
      <c r="L8063" t="s">
        <v>5471</v>
      </c>
      <c r="M8063" t="s">
        <v>5471</v>
      </c>
    </row>
    <row r="8064" spans="1:13" x14ac:dyDescent="0.3">
      <c r="A8064" t="s">
        <v>3383</v>
      </c>
      <c r="B8064" t="s">
        <v>5997</v>
      </c>
      <c r="C8064" t="s">
        <v>5487</v>
      </c>
      <c r="D8064" t="s">
        <v>4052</v>
      </c>
      <c r="E8064" t="s">
        <v>5617</v>
      </c>
      <c r="F8064" t="s">
        <v>29157</v>
      </c>
      <c r="G8064" t="s">
        <v>29158</v>
      </c>
      <c r="H8064" t="s">
        <v>5474</v>
      </c>
      <c r="I8064" t="s">
        <v>29159</v>
      </c>
      <c r="J8064" t="s">
        <v>5484</v>
      </c>
      <c r="K8064" t="s">
        <v>29160</v>
      </c>
      <c r="L8064" t="s">
        <v>5471</v>
      </c>
      <c r="M8064" t="s">
        <v>5471</v>
      </c>
    </row>
    <row r="8065" spans="1:13" x14ac:dyDescent="0.3">
      <c r="A8065" t="s">
        <v>3388</v>
      </c>
      <c r="B8065" t="s">
        <v>7101</v>
      </c>
      <c r="C8065" t="s">
        <v>5470</v>
      </c>
      <c r="D8065" t="s">
        <v>4058</v>
      </c>
      <c r="E8065" t="s">
        <v>5532</v>
      </c>
      <c r="F8065" t="s">
        <v>29161</v>
      </c>
      <c r="G8065" t="s">
        <v>20363</v>
      </c>
      <c r="H8065" t="s">
        <v>5474</v>
      </c>
      <c r="I8065" t="s">
        <v>29162</v>
      </c>
      <c r="J8065" t="s">
        <v>5484</v>
      </c>
      <c r="K8065" t="s">
        <v>28933</v>
      </c>
      <c r="L8065" t="s">
        <v>5471</v>
      </c>
      <c r="M8065" t="s">
        <v>5471</v>
      </c>
    </row>
    <row r="8066" spans="1:13" x14ac:dyDescent="0.3">
      <c r="A8066" t="s">
        <v>3388</v>
      </c>
      <c r="B8066" t="s">
        <v>7101</v>
      </c>
      <c r="C8066" t="s">
        <v>5470</v>
      </c>
      <c r="D8066" t="s">
        <v>4058</v>
      </c>
      <c r="E8066" t="s">
        <v>5532</v>
      </c>
      <c r="F8066" t="s">
        <v>29163</v>
      </c>
      <c r="G8066" t="s">
        <v>20363</v>
      </c>
      <c r="H8066" t="s">
        <v>5474</v>
      </c>
      <c r="I8066" t="s">
        <v>29164</v>
      </c>
      <c r="J8066" t="s">
        <v>5484</v>
      </c>
      <c r="K8066" t="s">
        <v>28936</v>
      </c>
      <c r="L8066" t="s">
        <v>5471</v>
      </c>
      <c r="M8066" t="s">
        <v>5471</v>
      </c>
    </row>
    <row r="8067" spans="1:13" x14ac:dyDescent="0.3">
      <c r="A8067" t="s">
        <v>3388</v>
      </c>
      <c r="B8067" t="s">
        <v>7101</v>
      </c>
      <c r="C8067" t="s">
        <v>5470</v>
      </c>
      <c r="D8067" t="s">
        <v>4058</v>
      </c>
      <c r="E8067" t="s">
        <v>5532</v>
      </c>
      <c r="F8067" t="s">
        <v>29165</v>
      </c>
      <c r="G8067" t="s">
        <v>20363</v>
      </c>
      <c r="H8067" t="s">
        <v>5474</v>
      </c>
      <c r="I8067" t="s">
        <v>29166</v>
      </c>
      <c r="J8067" t="s">
        <v>5484</v>
      </c>
      <c r="K8067" t="s">
        <v>28939</v>
      </c>
      <c r="L8067" t="s">
        <v>5471</v>
      </c>
      <c r="M8067" t="s">
        <v>5471</v>
      </c>
    </row>
    <row r="8068" spans="1:13" x14ac:dyDescent="0.3">
      <c r="A8068" t="s">
        <v>3388</v>
      </c>
      <c r="B8068" t="s">
        <v>7101</v>
      </c>
      <c r="C8068" t="s">
        <v>5470</v>
      </c>
      <c r="D8068" t="s">
        <v>4058</v>
      </c>
      <c r="E8068" t="s">
        <v>5532</v>
      </c>
      <c r="F8068" t="s">
        <v>29167</v>
      </c>
      <c r="G8068" t="s">
        <v>22190</v>
      </c>
      <c r="H8068" t="s">
        <v>5474</v>
      </c>
      <c r="I8068" t="s">
        <v>29168</v>
      </c>
      <c r="J8068" t="s">
        <v>5484</v>
      </c>
      <c r="K8068" t="s">
        <v>28943</v>
      </c>
      <c r="L8068" t="s">
        <v>5471</v>
      </c>
      <c r="M8068" t="s">
        <v>5471</v>
      </c>
    </row>
    <row r="8069" spans="1:13" x14ac:dyDescent="0.3">
      <c r="A8069" t="s">
        <v>3388</v>
      </c>
      <c r="B8069" t="s">
        <v>7101</v>
      </c>
      <c r="C8069" t="s">
        <v>5470</v>
      </c>
      <c r="D8069" t="s">
        <v>4058</v>
      </c>
      <c r="E8069" t="s">
        <v>5532</v>
      </c>
      <c r="F8069" t="s">
        <v>29169</v>
      </c>
      <c r="G8069" t="s">
        <v>22190</v>
      </c>
      <c r="H8069" t="s">
        <v>5474</v>
      </c>
      <c r="I8069" t="s">
        <v>29170</v>
      </c>
      <c r="J8069" t="s">
        <v>5484</v>
      </c>
      <c r="K8069" t="s">
        <v>28946</v>
      </c>
      <c r="L8069" t="s">
        <v>5471</v>
      </c>
      <c r="M8069" t="s">
        <v>5471</v>
      </c>
    </row>
    <row r="8070" spans="1:13" x14ac:dyDescent="0.3">
      <c r="A8070" t="s">
        <v>3388</v>
      </c>
      <c r="B8070" t="s">
        <v>7101</v>
      </c>
      <c r="C8070" t="s">
        <v>5470</v>
      </c>
      <c r="D8070" t="s">
        <v>4058</v>
      </c>
      <c r="E8070" t="s">
        <v>5532</v>
      </c>
      <c r="F8070" t="s">
        <v>29171</v>
      </c>
      <c r="G8070" t="s">
        <v>22190</v>
      </c>
      <c r="H8070" t="s">
        <v>5474</v>
      </c>
      <c r="I8070" t="s">
        <v>29172</v>
      </c>
      <c r="J8070" t="s">
        <v>5484</v>
      </c>
      <c r="K8070" t="s">
        <v>28704</v>
      </c>
      <c r="L8070" t="s">
        <v>5471</v>
      </c>
      <c r="M8070" t="s">
        <v>5471</v>
      </c>
    </row>
    <row r="8071" spans="1:13" x14ac:dyDescent="0.3">
      <c r="A8071" t="s">
        <v>3388</v>
      </c>
      <c r="B8071" t="s">
        <v>7101</v>
      </c>
      <c r="C8071" t="s">
        <v>5470</v>
      </c>
      <c r="D8071" t="s">
        <v>4058</v>
      </c>
      <c r="E8071" t="s">
        <v>5532</v>
      </c>
      <c r="F8071" t="s">
        <v>29173</v>
      </c>
      <c r="G8071" t="s">
        <v>22190</v>
      </c>
      <c r="H8071" t="s">
        <v>5474</v>
      </c>
      <c r="I8071" t="s">
        <v>29174</v>
      </c>
      <c r="J8071" t="s">
        <v>5484</v>
      </c>
      <c r="K8071" t="s">
        <v>28701</v>
      </c>
      <c r="L8071" t="s">
        <v>5471</v>
      </c>
      <c r="M8071" t="s">
        <v>5471</v>
      </c>
    </row>
    <row r="8072" spans="1:13" x14ac:dyDescent="0.3">
      <c r="A8072" t="s">
        <v>3388</v>
      </c>
      <c r="B8072" t="s">
        <v>7101</v>
      </c>
      <c r="C8072" t="s">
        <v>5470</v>
      </c>
      <c r="D8072" t="s">
        <v>4058</v>
      </c>
      <c r="E8072" t="s">
        <v>5532</v>
      </c>
      <c r="F8072" t="s">
        <v>29175</v>
      </c>
      <c r="G8072" t="s">
        <v>22190</v>
      </c>
      <c r="H8072" t="s">
        <v>5474</v>
      </c>
      <c r="I8072" t="s">
        <v>29176</v>
      </c>
      <c r="J8072" t="s">
        <v>5484</v>
      </c>
      <c r="K8072" t="s">
        <v>28953</v>
      </c>
      <c r="L8072" t="s">
        <v>5471</v>
      </c>
      <c r="M8072" t="s">
        <v>5471</v>
      </c>
    </row>
    <row r="8073" spans="1:13" x14ac:dyDescent="0.3">
      <c r="A8073" t="s">
        <v>3388</v>
      </c>
      <c r="B8073" t="s">
        <v>7101</v>
      </c>
      <c r="C8073" t="s">
        <v>5470</v>
      </c>
      <c r="D8073" t="s">
        <v>4058</v>
      </c>
      <c r="E8073" t="s">
        <v>5532</v>
      </c>
      <c r="F8073" t="s">
        <v>29177</v>
      </c>
      <c r="G8073" t="s">
        <v>29115</v>
      </c>
      <c r="H8073" t="s">
        <v>5474</v>
      </c>
      <c r="I8073" t="s">
        <v>29178</v>
      </c>
      <c r="J8073" t="s">
        <v>5484</v>
      </c>
      <c r="K8073" t="s">
        <v>29179</v>
      </c>
      <c r="L8073" t="s">
        <v>5471</v>
      </c>
      <c r="M8073" t="s">
        <v>5471</v>
      </c>
    </row>
    <row r="8074" spans="1:13" x14ac:dyDescent="0.3">
      <c r="A8074" t="s">
        <v>3388</v>
      </c>
      <c r="B8074" t="s">
        <v>7101</v>
      </c>
      <c r="C8074" t="s">
        <v>5470</v>
      </c>
      <c r="D8074" t="s">
        <v>4058</v>
      </c>
      <c r="E8074" t="s">
        <v>5532</v>
      </c>
      <c r="F8074" t="s">
        <v>29180</v>
      </c>
      <c r="G8074" t="s">
        <v>29115</v>
      </c>
      <c r="H8074" t="s">
        <v>5474</v>
      </c>
      <c r="I8074" t="s">
        <v>29181</v>
      </c>
      <c r="J8074" t="s">
        <v>5484</v>
      </c>
      <c r="K8074" t="s">
        <v>29182</v>
      </c>
      <c r="L8074" t="s">
        <v>5471</v>
      </c>
      <c r="M8074" t="s">
        <v>5471</v>
      </c>
    </row>
    <row r="8075" spans="1:13" x14ac:dyDescent="0.3">
      <c r="A8075" t="s">
        <v>3383</v>
      </c>
      <c r="B8075" t="s">
        <v>6026</v>
      </c>
      <c r="C8075" t="s">
        <v>5487</v>
      </c>
      <c r="D8075" t="s">
        <v>4052</v>
      </c>
      <c r="E8075" t="s">
        <v>5617</v>
      </c>
      <c r="F8075" t="s">
        <v>29183</v>
      </c>
      <c r="G8075" t="s">
        <v>29184</v>
      </c>
      <c r="H8075" t="s">
        <v>5474</v>
      </c>
      <c r="I8075" t="s">
        <v>29185</v>
      </c>
      <c r="J8075" t="s">
        <v>5484</v>
      </c>
      <c r="K8075" t="s">
        <v>29186</v>
      </c>
      <c r="L8075" t="s">
        <v>5471</v>
      </c>
      <c r="M8075" t="s">
        <v>5471</v>
      </c>
    </row>
    <row r="8076" spans="1:13" x14ac:dyDescent="0.3">
      <c r="A8076" t="s">
        <v>3388</v>
      </c>
      <c r="B8076" t="s">
        <v>7101</v>
      </c>
      <c r="C8076" t="s">
        <v>5470</v>
      </c>
      <c r="D8076" t="s">
        <v>4058</v>
      </c>
      <c r="E8076" t="s">
        <v>5532</v>
      </c>
      <c r="F8076" t="s">
        <v>29187</v>
      </c>
      <c r="G8076" t="s">
        <v>29115</v>
      </c>
      <c r="H8076" t="s">
        <v>5474</v>
      </c>
      <c r="I8076" t="s">
        <v>29188</v>
      </c>
      <c r="J8076" t="s">
        <v>5484</v>
      </c>
      <c r="K8076" t="s">
        <v>29189</v>
      </c>
      <c r="L8076" t="s">
        <v>5471</v>
      </c>
      <c r="M8076" t="s">
        <v>5471</v>
      </c>
    </row>
    <row r="8077" spans="1:13" x14ac:dyDescent="0.3">
      <c r="A8077" t="s">
        <v>3388</v>
      </c>
      <c r="B8077" t="s">
        <v>7101</v>
      </c>
      <c r="C8077" t="s">
        <v>5470</v>
      </c>
      <c r="D8077" t="s">
        <v>4058</v>
      </c>
      <c r="E8077" t="s">
        <v>5532</v>
      </c>
      <c r="F8077" t="s">
        <v>29190</v>
      </c>
      <c r="G8077" t="s">
        <v>29115</v>
      </c>
      <c r="H8077" t="s">
        <v>5474</v>
      </c>
      <c r="I8077" t="s">
        <v>29191</v>
      </c>
      <c r="J8077" t="s">
        <v>5484</v>
      </c>
      <c r="K8077" t="s">
        <v>29027</v>
      </c>
      <c r="L8077" t="s">
        <v>5471</v>
      </c>
      <c r="M8077" t="s">
        <v>5471</v>
      </c>
    </row>
    <row r="8078" spans="1:13" x14ac:dyDescent="0.3">
      <c r="A8078" t="s">
        <v>3383</v>
      </c>
      <c r="B8078" t="s">
        <v>8943</v>
      </c>
      <c r="C8078" t="s">
        <v>5470</v>
      </c>
      <c r="D8078" t="s">
        <v>4052</v>
      </c>
      <c r="E8078" t="s">
        <v>5617</v>
      </c>
      <c r="F8078" t="s">
        <v>29192</v>
      </c>
      <c r="G8078" t="s">
        <v>11224</v>
      </c>
      <c r="H8078" t="s">
        <v>5474</v>
      </c>
      <c r="I8078" t="s">
        <v>29193</v>
      </c>
      <c r="J8078" t="s">
        <v>5484</v>
      </c>
      <c r="K8078" t="s">
        <v>29194</v>
      </c>
      <c r="L8078" t="s">
        <v>5471</v>
      </c>
      <c r="M8078" t="s">
        <v>5471</v>
      </c>
    </row>
    <row r="8079" spans="1:13" x14ac:dyDescent="0.3">
      <c r="A8079" t="s">
        <v>3388</v>
      </c>
      <c r="B8079" t="s">
        <v>7101</v>
      </c>
      <c r="C8079" t="s">
        <v>5470</v>
      </c>
      <c r="D8079" t="s">
        <v>4058</v>
      </c>
      <c r="E8079" t="s">
        <v>5532</v>
      </c>
      <c r="F8079" t="s">
        <v>29195</v>
      </c>
      <c r="G8079" t="s">
        <v>29115</v>
      </c>
      <c r="H8079" t="s">
        <v>5474</v>
      </c>
      <c r="I8079" t="s">
        <v>29196</v>
      </c>
      <c r="J8079" t="s">
        <v>5484</v>
      </c>
      <c r="K8079" t="s">
        <v>29197</v>
      </c>
      <c r="L8079" t="s">
        <v>5471</v>
      </c>
      <c r="M8079" t="s">
        <v>5471</v>
      </c>
    </row>
    <row r="8080" spans="1:13" x14ac:dyDescent="0.3">
      <c r="A8080" t="s">
        <v>3388</v>
      </c>
      <c r="B8080" t="s">
        <v>21595</v>
      </c>
      <c r="C8080" t="s">
        <v>5470</v>
      </c>
      <c r="D8080" t="s">
        <v>4058</v>
      </c>
      <c r="E8080" t="s">
        <v>5617</v>
      </c>
      <c r="F8080" t="s">
        <v>29198</v>
      </c>
      <c r="G8080" t="s">
        <v>29199</v>
      </c>
      <c r="H8080" t="s">
        <v>5474</v>
      </c>
      <c r="I8080" t="s">
        <v>29200</v>
      </c>
      <c r="J8080" t="s">
        <v>5484</v>
      </c>
      <c r="K8080" t="s">
        <v>28584</v>
      </c>
      <c r="L8080" t="s">
        <v>5471</v>
      </c>
      <c r="M8080" t="s">
        <v>5471</v>
      </c>
    </row>
    <row r="8081" spans="1:13" x14ac:dyDescent="0.3">
      <c r="A8081" t="s">
        <v>3383</v>
      </c>
      <c r="B8081" t="s">
        <v>8943</v>
      </c>
      <c r="C8081" t="s">
        <v>5470</v>
      </c>
      <c r="D8081" t="s">
        <v>4052</v>
      </c>
      <c r="E8081" t="s">
        <v>5617</v>
      </c>
      <c r="F8081" t="s">
        <v>29201</v>
      </c>
      <c r="G8081" t="s">
        <v>12229</v>
      </c>
      <c r="H8081" t="s">
        <v>5474</v>
      </c>
      <c r="I8081" t="s">
        <v>29202</v>
      </c>
      <c r="J8081" t="s">
        <v>5484</v>
      </c>
      <c r="K8081" t="s">
        <v>29203</v>
      </c>
      <c r="L8081" t="s">
        <v>5471</v>
      </c>
      <c r="M8081" t="s">
        <v>5471</v>
      </c>
    </row>
    <row r="8082" spans="1:13" x14ac:dyDescent="0.3">
      <c r="A8082" t="s">
        <v>3388</v>
      </c>
      <c r="B8082" t="s">
        <v>5263</v>
      </c>
      <c r="C8082" t="s">
        <v>5470</v>
      </c>
      <c r="D8082" t="s">
        <v>4058</v>
      </c>
      <c r="E8082" t="s">
        <v>5617</v>
      </c>
      <c r="F8082" t="s">
        <v>29204</v>
      </c>
      <c r="G8082" t="s">
        <v>29205</v>
      </c>
      <c r="H8082" t="s">
        <v>5474</v>
      </c>
      <c r="I8082" t="s">
        <v>29206</v>
      </c>
      <c r="J8082" t="s">
        <v>5484</v>
      </c>
      <c r="K8082" t="s">
        <v>28962</v>
      </c>
      <c r="L8082" t="s">
        <v>5471</v>
      </c>
      <c r="M8082" t="s">
        <v>5471</v>
      </c>
    </row>
    <row r="8083" spans="1:13" x14ac:dyDescent="0.3">
      <c r="A8083" t="s">
        <v>3383</v>
      </c>
      <c r="B8083" t="s">
        <v>8943</v>
      </c>
      <c r="C8083" t="s">
        <v>5470</v>
      </c>
      <c r="D8083" t="s">
        <v>4052</v>
      </c>
      <c r="E8083" t="s">
        <v>5617</v>
      </c>
      <c r="F8083" t="s">
        <v>29207</v>
      </c>
      <c r="G8083" t="s">
        <v>12232</v>
      </c>
      <c r="H8083" t="s">
        <v>5474</v>
      </c>
      <c r="I8083" t="s">
        <v>29208</v>
      </c>
      <c r="J8083" t="s">
        <v>5484</v>
      </c>
      <c r="K8083" t="s">
        <v>29209</v>
      </c>
      <c r="L8083" t="s">
        <v>5471</v>
      </c>
      <c r="M8083" t="s">
        <v>5471</v>
      </c>
    </row>
    <row r="8084" spans="1:13" x14ac:dyDescent="0.3">
      <c r="A8084" t="s">
        <v>3388</v>
      </c>
      <c r="B8084" t="s">
        <v>5263</v>
      </c>
      <c r="C8084" t="s">
        <v>5470</v>
      </c>
      <c r="D8084" t="s">
        <v>4058</v>
      </c>
      <c r="E8084" t="s">
        <v>5617</v>
      </c>
      <c r="F8084" t="s">
        <v>29210</v>
      </c>
      <c r="G8084" t="s">
        <v>29205</v>
      </c>
      <c r="H8084" t="s">
        <v>5474</v>
      </c>
      <c r="I8084" t="s">
        <v>29211</v>
      </c>
      <c r="J8084" t="s">
        <v>5484</v>
      </c>
      <c r="K8084" t="s">
        <v>28965</v>
      </c>
      <c r="L8084" t="s">
        <v>5471</v>
      </c>
      <c r="M8084" t="s">
        <v>5471</v>
      </c>
    </row>
    <row r="8085" spans="1:13" x14ac:dyDescent="0.3">
      <c r="A8085" t="s">
        <v>3383</v>
      </c>
      <c r="B8085" t="s">
        <v>6067</v>
      </c>
      <c r="C8085" t="s">
        <v>5487</v>
      </c>
      <c r="D8085" t="s">
        <v>4052</v>
      </c>
      <c r="E8085" t="s">
        <v>5532</v>
      </c>
      <c r="F8085" t="s">
        <v>29212</v>
      </c>
      <c r="G8085" t="s">
        <v>11235</v>
      </c>
      <c r="H8085" t="s">
        <v>5474</v>
      </c>
      <c r="I8085" t="s">
        <v>29213</v>
      </c>
      <c r="J8085" t="s">
        <v>5484</v>
      </c>
      <c r="K8085" t="s">
        <v>29214</v>
      </c>
      <c r="L8085" t="s">
        <v>5471</v>
      </c>
      <c r="M8085" t="s">
        <v>5471</v>
      </c>
    </row>
    <row r="8086" spans="1:13" x14ac:dyDescent="0.3">
      <c r="A8086" t="s">
        <v>3383</v>
      </c>
      <c r="B8086" t="s">
        <v>5952</v>
      </c>
      <c r="C8086" t="s">
        <v>5470</v>
      </c>
      <c r="D8086" t="s">
        <v>4052</v>
      </c>
      <c r="E8086" t="s">
        <v>5617</v>
      </c>
      <c r="F8086" t="s">
        <v>29215</v>
      </c>
      <c r="G8086" t="s">
        <v>23633</v>
      </c>
      <c r="H8086" t="s">
        <v>5474</v>
      </c>
      <c r="I8086" t="s">
        <v>29216</v>
      </c>
      <c r="J8086" t="s">
        <v>5484</v>
      </c>
      <c r="K8086" t="s">
        <v>29217</v>
      </c>
      <c r="L8086" t="s">
        <v>5471</v>
      </c>
      <c r="M8086" t="s">
        <v>5471</v>
      </c>
    </row>
    <row r="8087" spans="1:13" x14ac:dyDescent="0.3">
      <c r="A8087" t="s">
        <v>3383</v>
      </c>
      <c r="B8087" t="s">
        <v>5952</v>
      </c>
      <c r="C8087" t="s">
        <v>5470</v>
      </c>
      <c r="D8087" t="s">
        <v>4052</v>
      </c>
      <c r="E8087" t="s">
        <v>5756</v>
      </c>
      <c r="F8087" t="s">
        <v>29218</v>
      </c>
      <c r="G8087" t="s">
        <v>19326</v>
      </c>
      <c r="H8087" t="s">
        <v>5474</v>
      </c>
      <c r="I8087" t="s">
        <v>29219</v>
      </c>
      <c r="J8087" t="s">
        <v>5484</v>
      </c>
      <c r="K8087" t="s">
        <v>29220</v>
      </c>
      <c r="L8087" t="s">
        <v>5471</v>
      </c>
      <c r="M8087" t="s">
        <v>5471</v>
      </c>
    </row>
    <row r="8088" spans="1:13" x14ac:dyDescent="0.3">
      <c r="A8088" t="s">
        <v>3383</v>
      </c>
      <c r="B8088" t="s">
        <v>5952</v>
      </c>
      <c r="C8088" t="s">
        <v>5470</v>
      </c>
      <c r="D8088" t="s">
        <v>4052</v>
      </c>
      <c r="E8088" t="s">
        <v>5756</v>
      </c>
      <c r="F8088" t="s">
        <v>29221</v>
      </c>
      <c r="G8088" t="s">
        <v>6322</v>
      </c>
      <c r="H8088" t="s">
        <v>5474</v>
      </c>
      <c r="I8088" t="s">
        <v>29222</v>
      </c>
      <c r="J8088" t="s">
        <v>5484</v>
      </c>
      <c r="K8088" t="s">
        <v>29223</v>
      </c>
      <c r="L8088" t="s">
        <v>5471</v>
      </c>
      <c r="M8088" t="s">
        <v>5471</v>
      </c>
    </row>
    <row r="8089" spans="1:13" x14ac:dyDescent="0.3">
      <c r="A8089" t="s">
        <v>3383</v>
      </c>
      <c r="B8089" t="s">
        <v>6083</v>
      </c>
      <c r="C8089" t="s">
        <v>5487</v>
      </c>
      <c r="D8089" t="s">
        <v>4052</v>
      </c>
      <c r="E8089" t="s">
        <v>5617</v>
      </c>
      <c r="F8089" t="s">
        <v>29224</v>
      </c>
      <c r="G8089" t="s">
        <v>29225</v>
      </c>
      <c r="H8089" t="s">
        <v>5474</v>
      </c>
      <c r="I8089" t="s">
        <v>29226</v>
      </c>
      <c r="J8089" t="s">
        <v>5484</v>
      </c>
      <c r="K8089" t="s">
        <v>29227</v>
      </c>
      <c r="L8089" t="s">
        <v>5471</v>
      </c>
      <c r="M8089" t="s">
        <v>5471</v>
      </c>
    </row>
    <row r="8090" spans="1:13" x14ac:dyDescent="0.3">
      <c r="A8090" t="s">
        <v>3388</v>
      </c>
      <c r="B8090" t="s">
        <v>5263</v>
      </c>
      <c r="C8090" t="s">
        <v>5470</v>
      </c>
      <c r="D8090" t="s">
        <v>4058</v>
      </c>
      <c r="E8090" t="s">
        <v>5532</v>
      </c>
      <c r="F8090" t="s">
        <v>29228</v>
      </c>
      <c r="G8090" t="s">
        <v>29229</v>
      </c>
      <c r="H8090" t="s">
        <v>5474</v>
      </c>
      <c r="I8090" t="s">
        <v>29230</v>
      </c>
      <c r="J8090" t="s">
        <v>5484</v>
      </c>
      <c r="K8090" t="s">
        <v>29231</v>
      </c>
      <c r="L8090" t="s">
        <v>5471</v>
      </c>
      <c r="M8090" t="s">
        <v>5471</v>
      </c>
    </row>
    <row r="8091" spans="1:13" x14ac:dyDescent="0.3">
      <c r="A8091" t="s">
        <v>3388</v>
      </c>
      <c r="B8091" t="s">
        <v>5263</v>
      </c>
      <c r="C8091" t="s">
        <v>5470</v>
      </c>
      <c r="D8091" t="s">
        <v>4058</v>
      </c>
      <c r="E8091" t="s">
        <v>5532</v>
      </c>
      <c r="F8091" t="s">
        <v>29232</v>
      </c>
      <c r="G8091" t="s">
        <v>29233</v>
      </c>
      <c r="H8091" t="s">
        <v>5474</v>
      </c>
      <c r="I8091" t="s">
        <v>29234</v>
      </c>
      <c r="J8091" t="s">
        <v>5484</v>
      </c>
      <c r="K8091" t="s">
        <v>28918</v>
      </c>
      <c r="L8091" t="s">
        <v>5471</v>
      </c>
      <c r="M8091" t="s">
        <v>5471</v>
      </c>
    </row>
    <row r="8092" spans="1:13" x14ac:dyDescent="0.3">
      <c r="A8092" t="s">
        <v>3383</v>
      </c>
      <c r="B8092" t="s">
        <v>22684</v>
      </c>
      <c r="C8092" t="s">
        <v>5487</v>
      </c>
      <c r="D8092" t="s">
        <v>4052</v>
      </c>
      <c r="E8092" t="s">
        <v>5617</v>
      </c>
      <c r="F8092" t="s">
        <v>29235</v>
      </c>
      <c r="G8092" t="s">
        <v>29236</v>
      </c>
      <c r="H8092" t="s">
        <v>5474</v>
      </c>
      <c r="I8092" t="s">
        <v>29237</v>
      </c>
      <c r="J8092" t="s">
        <v>5484</v>
      </c>
      <c r="K8092" t="s">
        <v>29238</v>
      </c>
      <c r="L8092" t="s">
        <v>5471</v>
      </c>
      <c r="M8092" t="s">
        <v>5471</v>
      </c>
    </row>
    <row r="8093" spans="1:13" x14ac:dyDescent="0.3">
      <c r="A8093" t="s">
        <v>3388</v>
      </c>
      <c r="B8093" t="s">
        <v>5263</v>
      </c>
      <c r="C8093" t="s">
        <v>5470</v>
      </c>
      <c r="D8093" t="s">
        <v>4058</v>
      </c>
      <c r="E8093" t="s">
        <v>5532</v>
      </c>
      <c r="F8093" t="s">
        <v>29239</v>
      </c>
      <c r="G8093" t="s">
        <v>29233</v>
      </c>
      <c r="H8093" t="s">
        <v>5474</v>
      </c>
      <c r="I8093" t="s">
        <v>29240</v>
      </c>
      <c r="J8093" t="s">
        <v>5484</v>
      </c>
      <c r="K8093" t="s">
        <v>28921</v>
      </c>
      <c r="L8093" t="s">
        <v>5471</v>
      </c>
      <c r="M8093" t="s">
        <v>5471</v>
      </c>
    </row>
    <row r="8094" spans="1:13" x14ac:dyDescent="0.3">
      <c r="A8094" t="s">
        <v>3388</v>
      </c>
      <c r="B8094" t="s">
        <v>5263</v>
      </c>
      <c r="C8094" t="s">
        <v>5470</v>
      </c>
      <c r="D8094" t="s">
        <v>4058</v>
      </c>
      <c r="E8094" t="s">
        <v>5532</v>
      </c>
      <c r="F8094" t="s">
        <v>29241</v>
      </c>
      <c r="G8094" t="s">
        <v>29229</v>
      </c>
      <c r="H8094" t="s">
        <v>5474</v>
      </c>
      <c r="I8094" t="s">
        <v>29242</v>
      </c>
      <c r="J8094" t="s">
        <v>5484</v>
      </c>
      <c r="K8094" t="s">
        <v>29243</v>
      </c>
      <c r="L8094" t="s">
        <v>5471</v>
      </c>
      <c r="M8094" t="s">
        <v>5471</v>
      </c>
    </row>
    <row r="8095" spans="1:13" x14ac:dyDescent="0.3">
      <c r="A8095" t="s">
        <v>3388</v>
      </c>
      <c r="B8095" t="s">
        <v>5263</v>
      </c>
      <c r="C8095" t="s">
        <v>5470</v>
      </c>
      <c r="D8095" t="s">
        <v>4058</v>
      </c>
      <c r="E8095" t="s">
        <v>5532</v>
      </c>
      <c r="F8095" t="s">
        <v>29244</v>
      </c>
      <c r="G8095" t="s">
        <v>29245</v>
      </c>
      <c r="H8095" t="s">
        <v>5474</v>
      </c>
      <c r="I8095" t="s">
        <v>29246</v>
      </c>
      <c r="J8095" t="s">
        <v>5484</v>
      </c>
      <c r="K8095" t="s">
        <v>29247</v>
      </c>
      <c r="L8095" t="s">
        <v>5471</v>
      </c>
      <c r="M8095" t="s">
        <v>5471</v>
      </c>
    </row>
    <row r="8096" spans="1:13" x14ac:dyDescent="0.3">
      <c r="A8096" t="s">
        <v>3388</v>
      </c>
      <c r="B8096" t="s">
        <v>5263</v>
      </c>
      <c r="C8096" t="s">
        <v>5470</v>
      </c>
      <c r="D8096" t="s">
        <v>4058</v>
      </c>
      <c r="E8096" t="s">
        <v>5532</v>
      </c>
      <c r="F8096" t="s">
        <v>29248</v>
      </c>
      <c r="G8096" t="s">
        <v>29245</v>
      </c>
      <c r="H8096" t="s">
        <v>5474</v>
      </c>
      <c r="I8096" t="s">
        <v>29249</v>
      </c>
      <c r="J8096" t="s">
        <v>5484</v>
      </c>
      <c r="K8096" t="s">
        <v>29250</v>
      </c>
      <c r="L8096" t="s">
        <v>5471</v>
      </c>
      <c r="M8096" t="s">
        <v>5471</v>
      </c>
    </row>
    <row r="8097" spans="1:13" x14ac:dyDescent="0.3">
      <c r="A8097" t="s">
        <v>3383</v>
      </c>
      <c r="B8097" t="s">
        <v>8826</v>
      </c>
      <c r="C8097" t="s">
        <v>5470</v>
      </c>
      <c r="D8097" t="s">
        <v>4052</v>
      </c>
      <c r="E8097" t="s">
        <v>5532</v>
      </c>
      <c r="F8097" t="s">
        <v>29251</v>
      </c>
      <c r="G8097" t="s">
        <v>12317</v>
      </c>
      <c r="H8097" t="s">
        <v>5474</v>
      </c>
      <c r="I8097" t="s">
        <v>29252</v>
      </c>
      <c r="J8097" t="s">
        <v>5484</v>
      </c>
      <c r="K8097" t="s">
        <v>29253</v>
      </c>
      <c r="L8097" t="s">
        <v>5471</v>
      </c>
      <c r="M8097" t="s">
        <v>5471</v>
      </c>
    </row>
    <row r="8098" spans="1:13" x14ac:dyDescent="0.3">
      <c r="A8098" t="s">
        <v>3388</v>
      </c>
      <c r="B8098" t="s">
        <v>5263</v>
      </c>
      <c r="C8098" t="s">
        <v>5470</v>
      </c>
      <c r="D8098" t="s">
        <v>4058</v>
      </c>
      <c r="E8098" t="s">
        <v>5532</v>
      </c>
      <c r="F8098" t="s">
        <v>29254</v>
      </c>
      <c r="G8098" t="s">
        <v>29245</v>
      </c>
      <c r="H8098" t="s">
        <v>5474</v>
      </c>
      <c r="I8098" t="s">
        <v>29255</v>
      </c>
      <c r="J8098" t="s">
        <v>5484</v>
      </c>
      <c r="K8098" t="s">
        <v>29256</v>
      </c>
      <c r="L8098" t="s">
        <v>5471</v>
      </c>
      <c r="M8098" t="s">
        <v>5471</v>
      </c>
    </row>
    <row r="8099" spans="1:13" x14ac:dyDescent="0.3">
      <c r="A8099" t="s">
        <v>3388</v>
      </c>
      <c r="B8099" t="s">
        <v>5263</v>
      </c>
      <c r="C8099" t="s">
        <v>5470</v>
      </c>
      <c r="D8099" t="s">
        <v>4058</v>
      </c>
      <c r="E8099" t="s">
        <v>5532</v>
      </c>
      <c r="F8099" t="s">
        <v>29257</v>
      </c>
      <c r="G8099" t="s">
        <v>18547</v>
      </c>
      <c r="H8099" t="s">
        <v>5474</v>
      </c>
      <c r="I8099" t="s">
        <v>29258</v>
      </c>
      <c r="J8099" t="s">
        <v>5484</v>
      </c>
      <c r="K8099" t="s">
        <v>29259</v>
      </c>
      <c r="L8099" t="s">
        <v>5471</v>
      </c>
      <c r="M8099" t="s">
        <v>5471</v>
      </c>
    </row>
    <row r="8100" spans="1:13" x14ac:dyDescent="0.3">
      <c r="A8100" t="s">
        <v>3388</v>
      </c>
      <c r="B8100" t="s">
        <v>5263</v>
      </c>
      <c r="C8100" t="s">
        <v>5470</v>
      </c>
      <c r="D8100" t="s">
        <v>4058</v>
      </c>
      <c r="E8100" t="s">
        <v>5532</v>
      </c>
      <c r="F8100" t="s">
        <v>29260</v>
      </c>
      <c r="G8100" t="s">
        <v>18533</v>
      </c>
      <c r="H8100" t="s">
        <v>5474</v>
      </c>
      <c r="I8100" t="s">
        <v>29261</v>
      </c>
      <c r="J8100" t="s">
        <v>5484</v>
      </c>
      <c r="K8100" t="s">
        <v>29262</v>
      </c>
      <c r="L8100" t="s">
        <v>5471</v>
      </c>
      <c r="M8100" t="s">
        <v>5471</v>
      </c>
    </row>
    <row r="8101" spans="1:13" x14ac:dyDescent="0.3">
      <c r="A8101" t="s">
        <v>3383</v>
      </c>
      <c r="B8101" t="s">
        <v>8826</v>
      </c>
      <c r="C8101" t="s">
        <v>5470</v>
      </c>
      <c r="D8101" t="s">
        <v>4052</v>
      </c>
      <c r="E8101" t="s">
        <v>5532</v>
      </c>
      <c r="F8101" t="s">
        <v>29263</v>
      </c>
      <c r="G8101" t="s">
        <v>12356</v>
      </c>
      <c r="H8101" t="s">
        <v>5474</v>
      </c>
      <c r="I8101" t="s">
        <v>29264</v>
      </c>
      <c r="J8101" t="s">
        <v>5484</v>
      </c>
      <c r="K8101" t="s">
        <v>29265</v>
      </c>
      <c r="L8101" t="s">
        <v>5471</v>
      </c>
      <c r="M8101" t="s">
        <v>5471</v>
      </c>
    </row>
    <row r="8102" spans="1:13" x14ac:dyDescent="0.3">
      <c r="A8102" t="s">
        <v>3388</v>
      </c>
      <c r="B8102" t="s">
        <v>5263</v>
      </c>
      <c r="C8102" t="s">
        <v>5470</v>
      </c>
      <c r="D8102" t="s">
        <v>4058</v>
      </c>
      <c r="E8102" t="s">
        <v>5532</v>
      </c>
      <c r="F8102" t="s">
        <v>29266</v>
      </c>
      <c r="G8102" t="s">
        <v>18540</v>
      </c>
      <c r="H8102" t="s">
        <v>5474</v>
      </c>
      <c r="I8102" t="s">
        <v>29267</v>
      </c>
      <c r="J8102" t="s">
        <v>5484</v>
      </c>
      <c r="K8102" t="s">
        <v>29268</v>
      </c>
      <c r="L8102" t="s">
        <v>5471</v>
      </c>
      <c r="M8102" t="s">
        <v>5471</v>
      </c>
    </row>
    <row r="8103" spans="1:13" x14ac:dyDescent="0.3">
      <c r="A8103" t="s">
        <v>3388</v>
      </c>
      <c r="B8103" t="s">
        <v>5263</v>
      </c>
      <c r="C8103" t="s">
        <v>5470</v>
      </c>
      <c r="D8103" t="s">
        <v>4058</v>
      </c>
      <c r="E8103" t="s">
        <v>5532</v>
      </c>
      <c r="F8103" t="s">
        <v>29269</v>
      </c>
      <c r="G8103" t="s">
        <v>18533</v>
      </c>
      <c r="H8103" t="s">
        <v>5474</v>
      </c>
      <c r="I8103" t="s">
        <v>29270</v>
      </c>
      <c r="J8103" t="s">
        <v>5484</v>
      </c>
      <c r="K8103" t="s">
        <v>29271</v>
      </c>
      <c r="L8103" t="s">
        <v>5471</v>
      </c>
      <c r="M8103" t="s">
        <v>5471</v>
      </c>
    </row>
    <row r="8104" spans="1:13" x14ac:dyDescent="0.3">
      <c r="A8104" t="s">
        <v>3388</v>
      </c>
      <c r="B8104" t="s">
        <v>5263</v>
      </c>
      <c r="C8104" t="s">
        <v>5470</v>
      </c>
      <c r="D8104" t="s">
        <v>4058</v>
      </c>
      <c r="E8104" t="s">
        <v>5532</v>
      </c>
      <c r="F8104" t="s">
        <v>29272</v>
      </c>
      <c r="G8104" t="s">
        <v>18540</v>
      </c>
      <c r="H8104" t="s">
        <v>5474</v>
      </c>
      <c r="I8104" t="s">
        <v>29273</v>
      </c>
      <c r="J8104" t="s">
        <v>5484</v>
      </c>
      <c r="K8104" t="s">
        <v>29274</v>
      </c>
      <c r="L8104" t="s">
        <v>5471</v>
      </c>
      <c r="M8104" t="s">
        <v>5471</v>
      </c>
    </row>
    <row r="8105" spans="1:13" x14ac:dyDescent="0.3">
      <c r="A8105" t="s">
        <v>3388</v>
      </c>
      <c r="B8105" t="s">
        <v>5263</v>
      </c>
      <c r="C8105" t="s">
        <v>5470</v>
      </c>
      <c r="D8105" t="s">
        <v>4058</v>
      </c>
      <c r="E8105" t="s">
        <v>5532</v>
      </c>
      <c r="F8105" t="s">
        <v>29275</v>
      </c>
      <c r="G8105" t="s">
        <v>29233</v>
      </c>
      <c r="H8105" t="s">
        <v>5474</v>
      </c>
      <c r="I8105" t="s">
        <v>29276</v>
      </c>
      <c r="J8105" t="s">
        <v>5484</v>
      </c>
      <c r="K8105" t="s">
        <v>28924</v>
      </c>
      <c r="L8105" t="s">
        <v>5471</v>
      </c>
      <c r="M8105" t="s">
        <v>5471</v>
      </c>
    </row>
    <row r="8106" spans="1:13" x14ac:dyDescent="0.3">
      <c r="A8106" t="s">
        <v>3388</v>
      </c>
      <c r="B8106" t="s">
        <v>22510</v>
      </c>
      <c r="C8106" t="s">
        <v>5470</v>
      </c>
      <c r="D8106" t="s">
        <v>4058</v>
      </c>
      <c r="E8106" t="s">
        <v>5532</v>
      </c>
      <c r="F8106" t="s">
        <v>29277</v>
      </c>
      <c r="G8106" t="s">
        <v>29278</v>
      </c>
      <c r="H8106" t="s">
        <v>5474</v>
      </c>
      <c r="I8106" t="s">
        <v>29279</v>
      </c>
      <c r="J8106" t="s">
        <v>5484</v>
      </c>
      <c r="K8106" t="s">
        <v>28730</v>
      </c>
      <c r="L8106" t="s">
        <v>5471</v>
      </c>
      <c r="M8106" t="s">
        <v>5471</v>
      </c>
    </row>
    <row r="8107" spans="1:13" x14ac:dyDescent="0.3">
      <c r="A8107" t="s">
        <v>3388</v>
      </c>
      <c r="B8107" t="s">
        <v>22510</v>
      </c>
      <c r="C8107" t="s">
        <v>5470</v>
      </c>
      <c r="D8107" t="s">
        <v>4058</v>
      </c>
      <c r="E8107" t="s">
        <v>5532</v>
      </c>
      <c r="F8107" t="s">
        <v>29280</v>
      </c>
      <c r="G8107" t="s">
        <v>29278</v>
      </c>
      <c r="H8107" t="s">
        <v>5474</v>
      </c>
      <c r="I8107" t="s">
        <v>29281</v>
      </c>
      <c r="J8107" t="s">
        <v>5484</v>
      </c>
      <c r="K8107" t="s">
        <v>28733</v>
      </c>
      <c r="L8107" t="s">
        <v>5471</v>
      </c>
      <c r="M8107" t="s">
        <v>5471</v>
      </c>
    </row>
    <row r="8108" spans="1:13" x14ac:dyDescent="0.3">
      <c r="A8108" t="s">
        <v>3388</v>
      </c>
      <c r="B8108" t="s">
        <v>22510</v>
      </c>
      <c r="C8108" t="s">
        <v>5470</v>
      </c>
      <c r="D8108" t="s">
        <v>4058</v>
      </c>
      <c r="E8108" t="s">
        <v>5532</v>
      </c>
      <c r="F8108" t="s">
        <v>29282</v>
      </c>
      <c r="G8108" t="s">
        <v>29283</v>
      </c>
      <c r="H8108" t="s">
        <v>5474</v>
      </c>
      <c r="I8108" t="s">
        <v>29284</v>
      </c>
      <c r="J8108" t="s">
        <v>5484</v>
      </c>
      <c r="K8108" t="s">
        <v>29285</v>
      </c>
      <c r="L8108" t="s">
        <v>5471</v>
      </c>
      <c r="M8108" t="s">
        <v>5471</v>
      </c>
    </row>
    <row r="8109" spans="1:13" x14ac:dyDescent="0.3">
      <c r="A8109" t="s">
        <v>3388</v>
      </c>
      <c r="B8109" t="s">
        <v>22510</v>
      </c>
      <c r="C8109" t="s">
        <v>5470</v>
      </c>
      <c r="D8109" t="s">
        <v>4058</v>
      </c>
      <c r="E8109" t="s">
        <v>5532</v>
      </c>
      <c r="F8109" t="s">
        <v>29286</v>
      </c>
      <c r="G8109" t="s">
        <v>29283</v>
      </c>
      <c r="H8109" t="s">
        <v>5474</v>
      </c>
      <c r="I8109" t="s">
        <v>29287</v>
      </c>
      <c r="J8109" t="s">
        <v>5484</v>
      </c>
      <c r="K8109" t="s">
        <v>29288</v>
      </c>
      <c r="L8109" t="s">
        <v>5471</v>
      </c>
      <c r="M8109" t="s">
        <v>5471</v>
      </c>
    </row>
    <row r="8110" spans="1:13" x14ac:dyDescent="0.3">
      <c r="A8110" t="s">
        <v>3388</v>
      </c>
      <c r="B8110" t="s">
        <v>22510</v>
      </c>
      <c r="C8110" t="s">
        <v>5470</v>
      </c>
      <c r="D8110" t="s">
        <v>4058</v>
      </c>
      <c r="E8110" t="s">
        <v>5532</v>
      </c>
      <c r="F8110" t="s">
        <v>29289</v>
      </c>
      <c r="G8110" t="s">
        <v>29283</v>
      </c>
      <c r="H8110" t="s">
        <v>5474</v>
      </c>
      <c r="I8110" t="s">
        <v>29290</v>
      </c>
      <c r="J8110" t="s">
        <v>5484</v>
      </c>
      <c r="K8110" t="s">
        <v>29291</v>
      </c>
      <c r="L8110" t="s">
        <v>5471</v>
      </c>
      <c r="M8110" t="s">
        <v>5471</v>
      </c>
    </row>
    <row r="8111" spans="1:13" x14ac:dyDescent="0.3">
      <c r="A8111" t="s">
        <v>3388</v>
      </c>
      <c r="B8111" t="s">
        <v>22510</v>
      </c>
      <c r="C8111" t="s">
        <v>5470</v>
      </c>
      <c r="D8111" t="s">
        <v>4058</v>
      </c>
      <c r="E8111" t="s">
        <v>5532</v>
      </c>
      <c r="F8111" t="s">
        <v>29292</v>
      </c>
      <c r="G8111" t="s">
        <v>29283</v>
      </c>
      <c r="H8111" t="s">
        <v>5474</v>
      </c>
      <c r="I8111" t="s">
        <v>29293</v>
      </c>
      <c r="J8111" t="s">
        <v>5484</v>
      </c>
      <c r="K8111" t="s">
        <v>29294</v>
      </c>
      <c r="L8111" t="s">
        <v>5471</v>
      </c>
      <c r="M8111" t="s">
        <v>5471</v>
      </c>
    </row>
    <row r="8112" spans="1:13" x14ac:dyDescent="0.3">
      <c r="A8112" t="s">
        <v>3383</v>
      </c>
      <c r="B8112" t="s">
        <v>8826</v>
      </c>
      <c r="C8112" t="s">
        <v>5470</v>
      </c>
      <c r="D8112" t="s">
        <v>4052</v>
      </c>
      <c r="E8112" t="s">
        <v>5532</v>
      </c>
      <c r="F8112" t="s">
        <v>29295</v>
      </c>
      <c r="G8112" t="s">
        <v>12350</v>
      </c>
      <c r="H8112" t="s">
        <v>5474</v>
      </c>
      <c r="I8112" t="s">
        <v>29296</v>
      </c>
      <c r="J8112" t="s">
        <v>5484</v>
      </c>
      <c r="K8112" t="s">
        <v>29297</v>
      </c>
      <c r="L8112" t="s">
        <v>5471</v>
      </c>
      <c r="M8112" t="s">
        <v>5471</v>
      </c>
    </row>
    <row r="8113" spans="1:13" x14ac:dyDescent="0.3">
      <c r="A8113" t="s">
        <v>3388</v>
      </c>
      <c r="B8113" t="s">
        <v>22510</v>
      </c>
      <c r="C8113" t="s">
        <v>5470</v>
      </c>
      <c r="D8113" t="s">
        <v>4058</v>
      </c>
      <c r="E8113" t="s">
        <v>5532</v>
      </c>
      <c r="F8113" t="s">
        <v>29298</v>
      </c>
      <c r="G8113" t="s">
        <v>29283</v>
      </c>
      <c r="H8113" t="s">
        <v>5474</v>
      </c>
      <c r="I8113" t="s">
        <v>29299</v>
      </c>
      <c r="J8113" t="s">
        <v>5484</v>
      </c>
      <c r="K8113" t="s">
        <v>29300</v>
      </c>
      <c r="L8113" t="s">
        <v>5471</v>
      </c>
      <c r="M8113" t="s">
        <v>5471</v>
      </c>
    </row>
    <row r="8114" spans="1:13" x14ac:dyDescent="0.3">
      <c r="A8114" t="s">
        <v>3388</v>
      </c>
      <c r="B8114" t="s">
        <v>22510</v>
      </c>
      <c r="C8114" t="s">
        <v>5470</v>
      </c>
      <c r="D8114" t="s">
        <v>4058</v>
      </c>
      <c r="E8114" t="s">
        <v>5532</v>
      </c>
      <c r="F8114" t="s">
        <v>29301</v>
      </c>
      <c r="G8114" t="s">
        <v>29283</v>
      </c>
      <c r="H8114" t="s">
        <v>5474</v>
      </c>
      <c r="I8114" t="s">
        <v>29302</v>
      </c>
      <c r="J8114" t="s">
        <v>5484</v>
      </c>
      <c r="K8114" t="s">
        <v>29303</v>
      </c>
      <c r="L8114" t="s">
        <v>5471</v>
      </c>
      <c r="M8114" t="s">
        <v>5471</v>
      </c>
    </row>
    <row r="8115" spans="1:13" x14ac:dyDescent="0.3">
      <c r="A8115" t="s">
        <v>3383</v>
      </c>
      <c r="B8115" t="s">
        <v>6113</v>
      </c>
      <c r="C8115" t="s">
        <v>5487</v>
      </c>
      <c r="D8115" t="s">
        <v>4052</v>
      </c>
      <c r="E8115" t="s">
        <v>5532</v>
      </c>
      <c r="F8115" t="s">
        <v>29304</v>
      </c>
      <c r="G8115" t="s">
        <v>29305</v>
      </c>
      <c r="H8115" t="s">
        <v>5474</v>
      </c>
      <c r="I8115" t="s">
        <v>29306</v>
      </c>
      <c r="J8115" t="s">
        <v>5484</v>
      </c>
      <c r="K8115" t="s">
        <v>29307</v>
      </c>
      <c r="L8115" t="s">
        <v>5471</v>
      </c>
      <c r="M8115" t="s">
        <v>5471</v>
      </c>
    </row>
    <row r="8116" spans="1:13" x14ac:dyDescent="0.3">
      <c r="A8116" t="s">
        <v>3388</v>
      </c>
      <c r="B8116" t="s">
        <v>22510</v>
      </c>
      <c r="C8116" t="s">
        <v>5470</v>
      </c>
      <c r="D8116" t="s">
        <v>4058</v>
      </c>
      <c r="E8116" t="s">
        <v>5532</v>
      </c>
      <c r="F8116" t="s">
        <v>29308</v>
      </c>
      <c r="G8116" t="s">
        <v>29309</v>
      </c>
      <c r="H8116" t="s">
        <v>5474</v>
      </c>
      <c r="I8116" t="s">
        <v>29310</v>
      </c>
      <c r="J8116" t="s">
        <v>5484</v>
      </c>
      <c r="K8116" t="s">
        <v>29311</v>
      </c>
      <c r="L8116" t="s">
        <v>5471</v>
      </c>
      <c r="M8116" t="s">
        <v>5471</v>
      </c>
    </row>
    <row r="8117" spans="1:13" x14ac:dyDescent="0.3">
      <c r="A8117" t="s">
        <v>3388</v>
      </c>
      <c r="B8117" t="s">
        <v>22510</v>
      </c>
      <c r="C8117" t="s">
        <v>5470</v>
      </c>
      <c r="D8117" t="s">
        <v>4058</v>
      </c>
      <c r="E8117" t="s">
        <v>5532</v>
      </c>
      <c r="F8117" t="s">
        <v>29312</v>
      </c>
      <c r="G8117" t="s">
        <v>29309</v>
      </c>
      <c r="H8117" t="s">
        <v>5474</v>
      </c>
      <c r="I8117" t="s">
        <v>29313</v>
      </c>
      <c r="J8117" t="s">
        <v>5484</v>
      </c>
      <c r="K8117" t="s">
        <v>29314</v>
      </c>
      <c r="L8117" t="s">
        <v>5471</v>
      </c>
      <c r="M8117" t="s">
        <v>5471</v>
      </c>
    </row>
    <row r="8118" spans="1:13" x14ac:dyDescent="0.3">
      <c r="A8118" t="s">
        <v>3388</v>
      </c>
      <c r="B8118" t="s">
        <v>22510</v>
      </c>
      <c r="C8118" t="s">
        <v>5470</v>
      </c>
      <c r="D8118" t="s">
        <v>4058</v>
      </c>
      <c r="E8118" t="s">
        <v>5532</v>
      </c>
      <c r="F8118" t="s">
        <v>29315</v>
      </c>
      <c r="G8118" t="s">
        <v>29309</v>
      </c>
      <c r="H8118" t="s">
        <v>5474</v>
      </c>
      <c r="I8118" t="s">
        <v>29316</v>
      </c>
      <c r="J8118" t="s">
        <v>5484</v>
      </c>
      <c r="K8118" t="s">
        <v>29317</v>
      </c>
      <c r="L8118" t="s">
        <v>5471</v>
      </c>
      <c r="M8118" t="s">
        <v>5471</v>
      </c>
    </row>
    <row r="8119" spans="1:13" x14ac:dyDescent="0.3">
      <c r="A8119" t="s">
        <v>3383</v>
      </c>
      <c r="B8119" t="s">
        <v>5339</v>
      </c>
      <c r="C8119" t="s">
        <v>5487</v>
      </c>
      <c r="D8119" t="s">
        <v>4052</v>
      </c>
      <c r="E8119" t="s">
        <v>5532</v>
      </c>
      <c r="F8119" t="s">
        <v>29318</v>
      </c>
      <c r="G8119" t="s">
        <v>11238</v>
      </c>
      <c r="H8119" t="s">
        <v>5474</v>
      </c>
      <c r="I8119" t="s">
        <v>29319</v>
      </c>
      <c r="J8119" t="s">
        <v>5484</v>
      </c>
      <c r="K8119" t="s">
        <v>29320</v>
      </c>
      <c r="L8119" t="s">
        <v>5471</v>
      </c>
      <c r="M8119" t="s">
        <v>5471</v>
      </c>
    </row>
    <row r="8120" spans="1:13" x14ac:dyDescent="0.3">
      <c r="A8120" t="s">
        <v>3388</v>
      </c>
      <c r="B8120" t="s">
        <v>22510</v>
      </c>
      <c r="C8120" t="s">
        <v>5470</v>
      </c>
      <c r="D8120" t="s">
        <v>4058</v>
      </c>
      <c r="E8120" t="s">
        <v>5532</v>
      </c>
      <c r="F8120" t="s">
        <v>29321</v>
      </c>
      <c r="G8120" t="s">
        <v>29309</v>
      </c>
      <c r="H8120" t="s">
        <v>5474</v>
      </c>
      <c r="I8120" t="s">
        <v>29322</v>
      </c>
      <c r="J8120" t="s">
        <v>5484</v>
      </c>
      <c r="K8120" t="s">
        <v>29323</v>
      </c>
      <c r="L8120" t="s">
        <v>5471</v>
      </c>
      <c r="M8120" t="s">
        <v>5471</v>
      </c>
    </row>
    <row r="8121" spans="1:13" x14ac:dyDescent="0.3">
      <c r="A8121" t="s">
        <v>3388</v>
      </c>
      <c r="B8121" t="s">
        <v>22510</v>
      </c>
      <c r="C8121" t="s">
        <v>5470</v>
      </c>
      <c r="D8121" t="s">
        <v>4058</v>
      </c>
      <c r="E8121" t="s">
        <v>5532</v>
      </c>
      <c r="F8121" t="s">
        <v>29324</v>
      </c>
      <c r="G8121" t="s">
        <v>29309</v>
      </c>
      <c r="H8121" t="s">
        <v>5474</v>
      </c>
      <c r="I8121" t="s">
        <v>29325</v>
      </c>
      <c r="J8121" t="s">
        <v>5484</v>
      </c>
      <c r="K8121" t="s">
        <v>29326</v>
      </c>
      <c r="L8121" t="s">
        <v>5471</v>
      </c>
      <c r="M8121" t="s">
        <v>5471</v>
      </c>
    </row>
    <row r="8122" spans="1:13" x14ac:dyDescent="0.3">
      <c r="A8122" t="s">
        <v>3388</v>
      </c>
      <c r="B8122" t="s">
        <v>22510</v>
      </c>
      <c r="C8122" t="s">
        <v>5470</v>
      </c>
      <c r="D8122" t="s">
        <v>4058</v>
      </c>
      <c r="E8122" t="s">
        <v>5532</v>
      </c>
      <c r="F8122" t="s">
        <v>29327</v>
      </c>
      <c r="G8122" t="s">
        <v>29309</v>
      </c>
      <c r="H8122" t="s">
        <v>5474</v>
      </c>
      <c r="I8122" t="s">
        <v>29328</v>
      </c>
      <c r="J8122" t="s">
        <v>5484</v>
      </c>
      <c r="K8122" t="s">
        <v>29329</v>
      </c>
      <c r="L8122" t="s">
        <v>5471</v>
      </c>
      <c r="M8122" t="s">
        <v>5471</v>
      </c>
    </row>
    <row r="8123" spans="1:13" x14ac:dyDescent="0.3">
      <c r="A8123" t="s">
        <v>3383</v>
      </c>
      <c r="B8123" t="s">
        <v>8922</v>
      </c>
      <c r="C8123" t="s">
        <v>5470</v>
      </c>
      <c r="D8123" t="s">
        <v>4052</v>
      </c>
      <c r="E8123" t="s">
        <v>5532</v>
      </c>
      <c r="F8123" t="s">
        <v>29330</v>
      </c>
      <c r="G8123" t="s">
        <v>8924</v>
      </c>
      <c r="H8123" t="s">
        <v>5474</v>
      </c>
      <c r="I8123" t="s">
        <v>29331</v>
      </c>
      <c r="J8123" t="s">
        <v>5484</v>
      </c>
      <c r="K8123" t="s">
        <v>29332</v>
      </c>
      <c r="L8123" t="s">
        <v>5471</v>
      </c>
      <c r="M8123" t="s">
        <v>5471</v>
      </c>
    </row>
    <row r="8124" spans="1:13" x14ac:dyDescent="0.3">
      <c r="A8124" t="s">
        <v>3388</v>
      </c>
      <c r="B8124" t="s">
        <v>22510</v>
      </c>
      <c r="C8124" t="s">
        <v>5470</v>
      </c>
      <c r="D8124" t="s">
        <v>4058</v>
      </c>
      <c r="E8124" t="s">
        <v>5532</v>
      </c>
      <c r="F8124" t="s">
        <v>29333</v>
      </c>
      <c r="G8124" t="s">
        <v>22512</v>
      </c>
      <c r="H8124" t="s">
        <v>5474</v>
      </c>
      <c r="I8124" t="s">
        <v>29334</v>
      </c>
      <c r="J8124" t="s">
        <v>5484</v>
      </c>
      <c r="K8124" t="s">
        <v>28745</v>
      </c>
      <c r="L8124" t="s">
        <v>5471</v>
      </c>
      <c r="M8124" t="s">
        <v>5471</v>
      </c>
    </row>
    <row r="8125" spans="1:13" x14ac:dyDescent="0.3">
      <c r="A8125" t="s">
        <v>3388</v>
      </c>
      <c r="B8125" t="s">
        <v>22510</v>
      </c>
      <c r="C8125" t="s">
        <v>5470</v>
      </c>
      <c r="D8125" t="s">
        <v>4058</v>
      </c>
      <c r="E8125" t="s">
        <v>5532</v>
      </c>
      <c r="F8125" t="s">
        <v>29335</v>
      </c>
      <c r="G8125" t="s">
        <v>22512</v>
      </c>
      <c r="H8125" t="s">
        <v>5474</v>
      </c>
      <c r="I8125" t="s">
        <v>29336</v>
      </c>
      <c r="J8125" t="s">
        <v>5484</v>
      </c>
      <c r="K8125" t="s">
        <v>28748</v>
      </c>
      <c r="L8125" t="s">
        <v>5471</v>
      </c>
      <c r="M8125" t="s">
        <v>5471</v>
      </c>
    </row>
    <row r="8126" spans="1:13" x14ac:dyDescent="0.3">
      <c r="A8126" t="s">
        <v>3388</v>
      </c>
      <c r="B8126" t="s">
        <v>22510</v>
      </c>
      <c r="C8126" t="s">
        <v>5470</v>
      </c>
      <c r="D8126" t="s">
        <v>4058</v>
      </c>
      <c r="E8126" t="s">
        <v>5532</v>
      </c>
      <c r="F8126" t="s">
        <v>29337</v>
      </c>
      <c r="G8126" t="s">
        <v>22512</v>
      </c>
      <c r="H8126" t="s">
        <v>5474</v>
      </c>
      <c r="I8126" t="s">
        <v>29338</v>
      </c>
      <c r="J8126" t="s">
        <v>5484</v>
      </c>
      <c r="K8126" t="s">
        <v>28751</v>
      </c>
      <c r="L8126" t="s">
        <v>5471</v>
      </c>
      <c r="M8126" t="s">
        <v>5471</v>
      </c>
    </row>
    <row r="8127" spans="1:13" x14ac:dyDescent="0.3">
      <c r="A8127" t="s">
        <v>3388</v>
      </c>
      <c r="B8127" t="s">
        <v>22510</v>
      </c>
      <c r="C8127" t="s">
        <v>5470</v>
      </c>
      <c r="D8127" t="s">
        <v>4058</v>
      </c>
      <c r="E8127" t="s">
        <v>5532</v>
      </c>
      <c r="F8127" t="s">
        <v>29339</v>
      </c>
      <c r="G8127" t="s">
        <v>22512</v>
      </c>
      <c r="H8127" t="s">
        <v>5474</v>
      </c>
      <c r="I8127" t="s">
        <v>29340</v>
      </c>
      <c r="J8127" t="s">
        <v>5484</v>
      </c>
      <c r="K8127" t="s">
        <v>28754</v>
      </c>
      <c r="L8127" t="s">
        <v>5471</v>
      </c>
      <c r="M8127" t="s">
        <v>5471</v>
      </c>
    </row>
    <row r="8128" spans="1:13" x14ac:dyDescent="0.3">
      <c r="A8128" t="s">
        <v>3383</v>
      </c>
      <c r="B8128" t="s">
        <v>6187</v>
      </c>
      <c r="C8128" t="s">
        <v>5470</v>
      </c>
      <c r="D8128" t="s">
        <v>4052</v>
      </c>
      <c r="E8128" t="s">
        <v>5617</v>
      </c>
      <c r="F8128" t="s">
        <v>29341</v>
      </c>
      <c r="G8128" t="s">
        <v>29342</v>
      </c>
      <c r="H8128" t="s">
        <v>5474</v>
      </c>
      <c r="I8128" t="s">
        <v>29343</v>
      </c>
      <c r="J8128" t="s">
        <v>5484</v>
      </c>
      <c r="K8128" t="s">
        <v>29344</v>
      </c>
      <c r="L8128" t="s">
        <v>5471</v>
      </c>
      <c r="M8128" t="s">
        <v>5471</v>
      </c>
    </row>
    <row r="8129" spans="1:13" x14ac:dyDescent="0.3">
      <c r="A8129" t="s">
        <v>3388</v>
      </c>
      <c r="B8129" t="s">
        <v>22510</v>
      </c>
      <c r="C8129" t="s">
        <v>5470</v>
      </c>
      <c r="D8129" t="s">
        <v>4058</v>
      </c>
      <c r="E8129" t="s">
        <v>5532</v>
      </c>
      <c r="F8129" t="s">
        <v>29345</v>
      </c>
      <c r="G8129" t="s">
        <v>22512</v>
      </c>
      <c r="H8129" t="s">
        <v>5474</v>
      </c>
      <c r="I8129" t="s">
        <v>29346</v>
      </c>
      <c r="J8129" t="s">
        <v>5484</v>
      </c>
      <c r="K8129" t="s">
        <v>28757</v>
      </c>
      <c r="L8129" t="s">
        <v>5471</v>
      </c>
      <c r="M8129" t="s">
        <v>5471</v>
      </c>
    </row>
    <row r="8130" spans="1:13" x14ac:dyDescent="0.3">
      <c r="A8130" t="s">
        <v>3388</v>
      </c>
      <c r="B8130" t="s">
        <v>22510</v>
      </c>
      <c r="C8130" t="s">
        <v>5470</v>
      </c>
      <c r="D8130" t="s">
        <v>4058</v>
      </c>
      <c r="E8130" t="s">
        <v>5532</v>
      </c>
      <c r="F8130" t="s">
        <v>29347</v>
      </c>
      <c r="G8130" t="s">
        <v>22512</v>
      </c>
      <c r="H8130" t="s">
        <v>5474</v>
      </c>
      <c r="I8130" t="s">
        <v>29348</v>
      </c>
      <c r="J8130" t="s">
        <v>5484</v>
      </c>
      <c r="K8130" t="s">
        <v>28760</v>
      </c>
      <c r="L8130" t="s">
        <v>5471</v>
      </c>
      <c r="M8130" t="s">
        <v>5471</v>
      </c>
    </row>
    <row r="8131" spans="1:13" x14ac:dyDescent="0.3">
      <c r="A8131" t="s">
        <v>3388</v>
      </c>
      <c r="B8131" t="s">
        <v>22510</v>
      </c>
      <c r="C8131" t="s">
        <v>5470</v>
      </c>
      <c r="D8131" t="s">
        <v>4058</v>
      </c>
      <c r="E8131" t="s">
        <v>5532</v>
      </c>
      <c r="F8131" t="s">
        <v>29349</v>
      </c>
      <c r="G8131" t="s">
        <v>29350</v>
      </c>
      <c r="H8131" t="s">
        <v>5474</v>
      </c>
      <c r="I8131" t="s">
        <v>29351</v>
      </c>
      <c r="J8131" t="s">
        <v>5484</v>
      </c>
      <c r="K8131" t="s">
        <v>29352</v>
      </c>
      <c r="L8131" t="s">
        <v>5471</v>
      </c>
      <c r="M8131" t="s">
        <v>5471</v>
      </c>
    </row>
    <row r="8132" spans="1:13" x14ac:dyDescent="0.3">
      <c r="A8132" t="s">
        <v>3388</v>
      </c>
      <c r="B8132" t="s">
        <v>22510</v>
      </c>
      <c r="C8132" t="s">
        <v>5470</v>
      </c>
      <c r="D8132" t="s">
        <v>4058</v>
      </c>
      <c r="E8132" t="s">
        <v>5532</v>
      </c>
      <c r="F8132" t="s">
        <v>29353</v>
      </c>
      <c r="G8132" t="s">
        <v>29350</v>
      </c>
      <c r="H8132" t="s">
        <v>5474</v>
      </c>
      <c r="I8132" t="s">
        <v>29354</v>
      </c>
      <c r="J8132" t="s">
        <v>5484</v>
      </c>
      <c r="K8132" t="s">
        <v>29355</v>
      </c>
      <c r="L8132" t="s">
        <v>5471</v>
      </c>
      <c r="M8132" t="s">
        <v>5471</v>
      </c>
    </row>
    <row r="8133" spans="1:13" x14ac:dyDescent="0.3">
      <c r="A8133" t="s">
        <v>3388</v>
      </c>
      <c r="B8133" t="s">
        <v>22510</v>
      </c>
      <c r="C8133" t="s">
        <v>5470</v>
      </c>
      <c r="D8133" t="s">
        <v>4058</v>
      </c>
      <c r="E8133" t="s">
        <v>5532</v>
      </c>
      <c r="F8133" t="s">
        <v>29356</v>
      </c>
      <c r="G8133" t="s">
        <v>29350</v>
      </c>
      <c r="H8133" t="s">
        <v>5474</v>
      </c>
      <c r="I8133" t="s">
        <v>29357</v>
      </c>
      <c r="J8133" t="s">
        <v>5484</v>
      </c>
      <c r="K8133" t="s">
        <v>29358</v>
      </c>
      <c r="L8133" t="s">
        <v>5471</v>
      </c>
      <c r="M8133" t="s">
        <v>5471</v>
      </c>
    </row>
    <row r="8134" spans="1:13" x14ac:dyDescent="0.3">
      <c r="A8134" t="s">
        <v>3388</v>
      </c>
      <c r="B8134" t="s">
        <v>22510</v>
      </c>
      <c r="C8134" t="s">
        <v>5470</v>
      </c>
      <c r="D8134" t="s">
        <v>4058</v>
      </c>
      <c r="E8134" t="s">
        <v>5532</v>
      </c>
      <c r="F8134" t="s">
        <v>29359</v>
      </c>
      <c r="G8134" t="s">
        <v>29350</v>
      </c>
      <c r="H8134" t="s">
        <v>5474</v>
      </c>
      <c r="I8134" t="s">
        <v>29360</v>
      </c>
      <c r="J8134" t="s">
        <v>5484</v>
      </c>
      <c r="K8134" t="s">
        <v>29361</v>
      </c>
      <c r="L8134" t="s">
        <v>5471</v>
      </c>
      <c r="M8134" t="s">
        <v>5471</v>
      </c>
    </row>
    <row r="8135" spans="1:13" x14ac:dyDescent="0.3">
      <c r="A8135" t="s">
        <v>3383</v>
      </c>
      <c r="B8135" t="s">
        <v>6187</v>
      </c>
      <c r="C8135" t="s">
        <v>5470</v>
      </c>
      <c r="D8135" t="s">
        <v>4052</v>
      </c>
      <c r="E8135" t="s">
        <v>5617</v>
      </c>
      <c r="F8135" t="s">
        <v>29362</v>
      </c>
      <c r="G8135" t="s">
        <v>29363</v>
      </c>
      <c r="H8135" t="s">
        <v>5474</v>
      </c>
      <c r="I8135" t="s">
        <v>29364</v>
      </c>
      <c r="J8135" t="s">
        <v>5484</v>
      </c>
      <c r="K8135" t="s">
        <v>29365</v>
      </c>
      <c r="L8135" t="s">
        <v>5471</v>
      </c>
      <c r="M8135" t="s">
        <v>5471</v>
      </c>
    </row>
    <row r="8136" spans="1:13" x14ac:dyDescent="0.3">
      <c r="A8136" t="s">
        <v>3388</v>
      </c>
      <c r="B8136" t="s">
        <v>22510</v>
      </c>
      <c r="C8136" t="s">
        <v>5470</v>
      </c>
      <c r="D8136" t="s">
        <v>4058</v>
      </c>
      <c r="E8136" t="s">
        <v>5532</v>
      </c>
      <c r="F8136" t="s">
        <v>29366</v>
      </c>
      <c r="G8136" t="s">
        <v>29350</v>
      </c>
      <c r="H8136" t="s">
        <v>5474</v>
      </c>
      <c r="I8136" t="s">
        <v>29367</v>
      </c>
      <c r="J8136" t="s">
        <v>5484</v>
      </c>
      <c r="K8136" t="s">
        <v>29368</v>
      </c>
      <c r="L8136" t="s">
        <v>5471</v>
      </c>
      <c r="M8136" t="s">
        <v>5471</v>
      </c>
    </row>
    <row r="8137" spans="1:13" x14ac:dyDescent="0.3">
      <c r="A8137" t="s">
        <v>3388</v>
      </c>
      <c r="B8137" t="s">
        <v>22510</v>
      </c>
      <c r="C8137" t="s">
        <v>5470</v>
      </c>
      <c r="D8137" t="s">
        <v>4058</v>
      </c>
      <c r="E8137" t="s">
        <v>5532</v>
      </c>
      <c r="F8137" t="s">
        <v>29369</v>
      </c>
      <c r="G8137" t="s">
        <v>29350</v>
      </c>
      <c r="H8137" t="s">
        <v>5474</v>
      </c>
      <c r="I8137" t="s">
        <v>29370</v>
      </c>
      <c r="J8137" t="s">
        <v>5484</v>
      </c>
      <c r="K8137" t="s">
        <v>29371</v>
      </c>
      <c r="L8137" t="s">
        <v>5471</v>
      </c>
      <c r="M8137" t="s">
        <v>5471</v>
      </c>
    </row>
    <row r="8138" spans="1:13" x14ac:dyDescent="0.3">
      <c r="A8138" t="s">
        <v>3383</v>
      </c>
      <c r="B8138" t="s">
        <v>6187</v>
      </c>
      <c r="C8138" t="s">
        <v>5470</v>
      </c>
      <c r="D8138" t="s">
        <v>4052</v>
      </c>
      <c r="E8138" t="s">
        <v>5617</v>
      </c>
      <c r="F8138" t="s">
        <v>29372</v>
      </c>
      <c r="G8138" t="s">
        <v>11224</v>
      </c>
      <c r="H8138" t="s">
        <v>5474</v>
      </c>
      <c r="I8138" t="s">
        <v>29373</v>
      </c>
      <c r="J8138" t="s">
        <v>5484</v>
      </c>
      <c r="K8138" t="s">
        <v>29374</v>
      </c>
      <c r="L8138" t="s">
        <v>5471</v>
      </c>
      <c r="M8138" t="s">
        <v>5471</v>
      </c>
    </row>
    <row r="8139" spans="1:13" x14ac:dyDescent="0.3">
      <c r="A8139" t="s">
        <v>3383</v>
      </c>
      <c r="B8139" t="s">
        <v>5586</v>
      </c>
      <c r="C8139" t="s">
        <v>5487</v>
      </c>
      <c r="D8139" t="s">
        <v>4052</v>
      </c>
      <c r="E8139" t="s">
        <v>5532</v>
      </c>
      <c r="F8139" t="s">
        <v>29375</v>
      </c>
      <c r="G8139" t="s">
        <v>8082</v>
      </c>
      <c r="H8139" t="s">
        <v>5474</v>
      </c>
      <c r="I8139" t="s">
        <v>29376</v>
      </c>
      <c r="J8139" t="s">
        <v>5484</v>
      </c>
      <c r="K8139" t="s">
        <v>29377</v>
      </c>
      <c r="L8139" t="s">
        <v>5471</v>
      </c>
      <c r="M8139" t="s">
        <v>5471</v>
      </c>
    </row>
    <row r="8140" spans="1:13" x14ac:dyDescent="0.3">
      <c r="A8140" t="s">
        <v>3383</v>
      </c>
      <c r="B8140" t="s">
        <v>5586</v>
      </c>
      <c r="C8140" t="s">
        <v>5487</v>
      </c>
      <c r="D8140" t="s">
        <v>4052</v>
      </c>
      <c r="E8140" t="s">
        <v>5532</v>
      </c>
      <c r="F8140" t="s">
        <v>29378</v>
      </c>
      <c r="G8140" t="s">
        <v>29379</v>
      </c>
      <c r="H8140" t="s">
        <v>5474</v>
      </c>
      <c r="I8140" t="s">
        <v>29380</v>
      </c>
      <c r="J8140" t="s">
        <v>5484</v>
      </c>
      <c r="K8140" t="s">
        <v>29381</v>
      </c>
      <c r="L8140" t="s">
        <v>5471</v>
      </c>
      <c r="M8140" t="s">
        <v>5471</v>
      </c>
    </row>
    <row r="8141" spans="1:13" x14ac:dyDescent="0.3">
      <c r="A8141" t="s">
        <v>3383</v>
      </c>
      <c r="B8141" t="s">
        <v>5586</v>
      </c>
      <c r="C8141" t="s">
        <v>5487</v>
      </c>
      <c r="D8141" t="s">
        <v>4052</v>
      </c>
      <c r="E8141" t="s">
        <v>5532</v>
      </c>
      <c r="F8141" t="s">
        <v>29382</v>
      </c>
      <c r="G8141" t="s">
        <v>29136</v>
      </c>
      <c r="H8141" t="s">
        <v>5474</v>
      </c>
      <c r="I8141" t="s">
        <v>29383</v>
      </c>
      <c r="J8141" t="s">
        <v>5484</v>
      </c>
      <c r="K8141" t="s">
        <v>29384</v>
      </c>
      <c r="L8141" t="s">
        <v>5471</v>
      </c>
      <c r="M8141" t="s">
        <v>5471</v>
      </c>
    </row>
    <row r="8142" spans="1:13" x14ac:dyDescent="0.3">
      <c r="A8142" t="s">
        <v>3388</v>
      </c>
      <c r="B8142" t="s">
        <v>5616</v>
      </c>
      <c r="C8142" t="s">
        <v>5470</v>
      </c>
      <c r="D8142" t="s">
        <v>4058</v>
      </c>
      <c r="E8142" t="s">
        <v>5617</v>
      </c>
      <c r="F8142" t="s">
        <v>29385</v>
      </c>
      <c r="G8142" t="s">
        <v>22315</v>
      </c>
      <c r="H8142" t="s">
        <v>5474</v>
      </c>
      <c r="I8142" t="s">
        <v>29386</v>
      </c>
      <c r="J8142" t="s">
        <v>5484</v>
      </c>
      <c r="K8142" t="s">
        <v>28982</v>
      </c>
      <c r="L8142" t="s">
        <v>5471</v>
      </c>
      <c r="M8142" t="s">
        <v>5471</v>
      </c>
    </row>
    <row r="8143" spans="1:13" x14ac:dyDescent="0.3">
      <c r="A8143" t="s">
        <v>3383</v>
      </c>
      <c r="B8143" t="s">
        <v>5586</v>
      </c>
      <c r="C8143" t="s">
        <v>5487</v>
      </c>
      <c r="D8143" t="s">
        <v>4052</v>
      </c>
      <c r="E8143" t="s">
        <v>5532</v>
      </c>
      <c r="F8143" t="s">
        <v>29387</v>
      </c>
      <c r="G8143" t="s">
        <v>29388</v>
      </c>
      <c r="H8143" t="s">
        <v>5474</v>
      </c>
      <c r="I8143" t="s">
        <v>29389</v>
      </c>
      <c r="J8143" t="s">
        <v>5484</v>
      </c>
      <c r="K8143" t="s">
        <v>29390</v>
      </c>
      <c r="L8143" t="s">
        <v>5471</v>
      </c>
      <c r="M8143" t="s">
        <v>5471</v>
      </c>
    </row>
    <row r="8144" spans="1:13" x14ac:dyDescent="0.3">
      <c r="A8144" t="s">
        <v>3388</v>
      </c>
      <c r="B8144" t="s">
        <v>5616</v>
      </c>
      <c r="C8144" t="s">
        <v>5470</v>
      </c>
      <c r="D8144" t="s">
        <v>4058</v>
      </c>
      <c r="E8144" t="s">
        <v>5617</v>
      </c>
      <c r="F8144" t="s">
        <v>29391</v>
      </c>
      <c r="G8144" t="s">
        <v>22315</v>
      </c>
      <c r="H8144" t="s">
        <v>5474</v>
      </c>
      <c r="I8144" t="s">
        <v>29392</v>
      </c>
      <c r="J8144" t="s">
        <v>5484</v>
      </c>
      <c r="K8144" t="s">
        <v>28819</v>
      </c>
      <c r="L8144" t="s">
        <v>5471</v>
      </c>
      <c r="M8144" t="s">
        <v>5471</v>
      </c>
    </row>
    <row r="8145" spans="1:13" x14ac:dyDescent="0.3">
      <c r="A8145" t="s">
        <v>3388</v>
      </c>
      <c r="B8145" t="s">
        <v>5616</v>
      </c>
      <c r="C8145" t="s">
        <v>5470</v>
      </c>
      <c r="D8145" t="s">
        <v>4058</v>
      </c>
      <c r="E8145" t="s">
        <v>5617</v>
      </c>
      <c r="F8145" t="s">
        <v>29393</v>
      </c>
      <c r="G8145" t="s">
        <v>22315</v>
      </c>
      <c r="H8145" t="s">
        <v>5474</v>
      </c>
      <c r="I8145" t="s">
        <v>29394</v>
      </c>
      <c r="J8145" t="s">
        <v>5484</v>
      </c>
      <c r="K8145" t="s">
        <v>28822</v>
      </c>
      <c r="L8145" t="s">
        <v>5471</v>
      </c>
      <c r="M8145" t="s">
        <v>5471</v>
      </c>
    </row>
    <row r="8146" spans="1:13" x14ac:dyDescent="0.3">
      <c r="A8146" t="s">
        <v>3383</v>
      </c>
      <c r="B8146" t="s">
        <v>8820</v>
      </c>
      <c r="C8146" t="s">
        <v>5470</v>
      </c>
      <c r="D8146" t="s">
        <v>4052</v>
      </c>
      <c r="E8146" t="s">
        <v>5617</v>
      </c>
      <c r="F8146" t="s">
        <v>29395</v>
      </c>
      <c r="G8146" t="s">
        <v>11224</v>
      </c>
      <c r="H8146" t="s">
        <v>5474</v>
      </c>
      <c r="I8146" t="s">
        <v>29396</v>
      </c>
      <c r="J8146" t="s">
        <v>5484</v>
      </c>
      <c r="K8146" t="s">
        <v>29397</v>
      </c>
      <c r="L8146" t="s">
        <v>5471</v>
      </c>
      <c r="M8146" t="s">
        <v>5471</v>
      </c>
    </row>
    <row r="8147" spans="1:13" x14ac:dyDescent="0.3">
      <c r="A8147" t="s">
        <v>3388</v>
      </c>
      <c r="B8147" t="s">
        <v>5616</v>
      </c>
      <c r="C8147" t="s">
        <v>5470</v>
      </c>
      <c r="D8147" t="s">
        <v>4058</v>
      </c>
      <c r="E8147" t="s">
        <v>5617</v>
      </c>
      <c r="F8147" t="s">
        <v>29398</v>
      </c>
      <c r="G8147" t="s">
        <v>18078</v>
      </c>
      <c r="H8147" t="s">
        <v>5474</v>
      </c>
      <c r="I8147" t="s">
        <v>29399</v>
      </c>
      <c r="J8147" t="s">
        <v>5484</v>
      </c>
      <c r="K8147" t="s">
        <v>29400</v>
      </c>
      <c r="L8147" t="s">
        <v>5471</v>
      </c>
      <c r="M8147" t="s">
        <v>5471</v>
      </c>
    </row>
    <row r="8148" spans="1:13" x14ac:dyDescent="0.3">
      <c r="A8148" t="s">
        <v>3388</v>
      </c>
      <c r="B8148" t="s">
        <v>5616</v>
      </c>
      <c r="C8148" t="s">
        <v>5470</v>
      </c>
      <c r="D8148" t="s">
        <v>4058</v>
      </c>
      <c r="E8148" t="s">
        <v>5617</v>
      </c>
      <c r="F8148" t="s">
        <v>29401</v>
      </c>
      <c r="G8148" t="s">
        <v>18078</v>
      </c>
      <c r="H8148" t="s">
        <v>5474</v>
      </c>
      <c r="I8148" t="s">
        <v>29402</v>
      </c>
      <c r="J8148" t="s">
        <v>5484</v>
      </c>
      <c r="K8148" t="s">
        <v>29403</v>
      </c>
      <c r="L8148" t="s">
        <v>5471</v>
      </c>
      <c r="M8148" t="s">
        <v>5471</v>
      </c>
    </row>
    <row r="8149" spans="1:13" x14ac:dyDescent="0.3">
      <c r="A8149" t="s">
        <v>3388</v>
      </c>
      <c r="B8149" t="s">
        <v>5616</v>
      </c>
      <c r="C8149" t="s">
        <v>5470</v>
      </c>
      <c r="D8149" t="s">
        <v>4058</v>
      </c>
      <c r="E8149" t="s">
        <v>5617</v>
      </c>
      <c r="F8149" t="s">
        <v>29404</v>
      </c>
      <c r="G8149" t="s">
        <v>18078</v>
      </c>
      <c r="H8149" t="s">
        <v>5474</v>
      </c>
      <c r="I8149" t="s">
        <v>29405</v>
      </c>
      <c r="J8149" t="s">
        <v>5484</v>
      </c>
      <c r="K8149" t="s">
        <v>29406</v>
      </c>
      <c r="L8149" t="s">
        <v>5471</v>
      </c>
      <c r="M8149" t="s">
        <v>5471</v>
      </c>
    </row>
    <row r="8150" spans="1:13" x14ac:dyDescent="0.3">
      <c r="A8150" t="s">
        <v>3383</v>
      </c>
      <c r="B8150" t="s">
        <v>8820</v>
      </c>
      <c r="C8150" t="s">
        <v>5470</v>
      </c>
      <c r="D8150" t="s">
        <v>4052</v>
      </c>
      <c r="E8150" t="s">
        <v>5617</v>
      </c>
      <c r="F8150" t="s">
        <v>29407</v>
      </c>
      <c r="G8150" t="s">
        <v>12301</v>
      </c>
      <c r="H8150" t="s">
        <v>5474</v>
      </c>
      <c r="I8150" t="s">
        <v>29408</v>
      </c>
      <c r="J8150" t="s">
        <v>5484</v>
      </c>
      <c r="K8150" t="s">
        <v>29409</v>
      </c>
      <c r="L8150" t="s">
        <v>5471</v>
      </c>
      <c r="M8150" t="s">
        <v>5471</v>
      </c>
    </row>
    <row r="8151" spans="1:13" x14ac:dyDescent="0.3">
      <c r="A8151" t="s">
        <v>3388</v>
      </c>
      <c r="B8151" t="s">
        <v>5616</v>
      </c>
      <c r="C8151" t="s">
        <v>5470</v>
      </c>
      <c r="D8151" t="s">
        <v>4058</v>
      </c>
      <c r="E8151" t="s">
        <v>5532</v>
      </c>
      <c r="F8151" t="s">
        <v>29410</v>
      </c>
      <c r="G8151" t="s">
        <v>28910</v>
      </c>
      <c r="H8151" t="s">
        <v>5474</v>
      </c>
      <c r="I8151" t="s">
        <v>29411</v>
      </c>
      <c r="J8151" t="s">
        <v>5484</v>
      </c>
      <c r="K8151" t="s">
        <v>28918</v>
      </c>
      <c r="L8151" t="s">
        <v>5471</v>
      </c>
      <c r="M8151" t="s">
        <v>5471</v>
      </c>
    </row>
    <row r="8152" spans="1:13" x14ac:dyDescent="0.3">
      <c r="A8152" t="s">
        <v>3383</v>
      </c>
      <c r="B8152" t="s">
        <v>8820</v>
      </c>
      <c r="C8152" t="s">
        <v>5470</v>
      </c>
      <c r="D8152" t="s">
        <v>4052</v>
      </c>
      <c r="E8152" t="s">
        <v>5617</v>
      </c>
      <c r="F8152" t="s">
        <v>29412</v>
      </c>
      <c r="G8152" t="s">
        <v>12296</v>
      </c>
      <c r="H8152" t="s">
        <v>5474</v>
      </c>
      <c r="I8152" t="s">
        <v>29413</v>
      </c>
      <c r="J8152" t="s">
        <v>5484</v>
      </c>
      <c r="K8152" t="s">
        <v>29414</v>
      </c>
      <c r="L8152" t="s">
        <v>5471</v>
      </c>
      <c r="M8152" t="s">
        <v>5471</v>
      </c>
    </row>
    <row r="8153" spans="1:13" x14ac:dyDescent="0.3">
      <c r="A8153" t="s">
        <v>3388</v>
      </c>
      <c r="B8153" t="s">
        <v>5616</v>
      </c>
      <c r="C8153" t="s">
        <v>5470</v>
      </c>
      <c r="D8153" t="s">
        <v>4058</v>
      </c>
      <c r="E8153" t="s">
        <v>5532</v>
      </c>
      <c r="F8153" t="s">
        <v>29415</v>
      </c>
      <c r="G8153" t="s">
        <v>28910</v>
      </c>
      <c r="H8153" t="s">
        <v>5474</v>
      </c>
      <c r="I8153" t="s">
        <v>29416</v>
      </c>
      <c r="J8153" t="s">
        <v>5484</v>
      </c>
      <c r="K8153" t="s">
        <v>28921</v>
      </c>
      <c r="L8153" t="s">
        <v>5471</v>
      </c>
      <c r="M8153" t="s">
        <v>5471</v>
      </c>
    </row>
    <row r="8154" spans="1:13" x14ac:dyDescent="0.3">
      <c r="A8154" t="s">
        <v>3388</v>
      </c>
      <c r="B8154" t="s">
        <v>5616</v>
      </c>
      <c r="C8154" t="s">
        <v>5470</v>
      </c>
      <c r="D8154" t="s">
        <v>4058</v>
      </c>
      <c r="E8154" t="s">
        <v>5532</v>
      </c>
      <c r="F8154" t="s">
        <v>29417</v>
      </c>
      <c r="G8154" t="s">
        <v>28910</v>
      </c>
      <c r="H8154" t="s">
        <v>5474</v>
      </c>
      <c r="I8154" t="s">
        <v>29418</v>
      </c>
      <c r="J8154" t="s">
        <v>5484</v>
      </c>
      <c r="K8154" t="s">
        <v>28924</v>
      </c>
      <c r="L8154" t="s">
        <v>5471</v>
      </c>
      <c r="M8154" t="s">
        <v>5471</v>
      </c>
    </row>
    <row r="8155" spans="1:13" x14ac:dyDescent="0.3">
      <c r="A8155" t="s">
        <v>3383</v>
      </c>
      <c r="B8155" t="s">
        <v>8820</v>
      </c>
      <c r="C8155" t="s">
        <v>5470</v>
      </c>
      <c r="D8155" t="s">
        <v>4052</v>
      </c>
      <c r="E8155" t="s">
        <v>5532</v>
      </c>
      <c r="F8155" t="s">
        <v>29419</v>
      </c>
      <c r="G8155" t="s">
        <v>8513</v>
      </c>
      <c r="H8155" t="s">
        <v>5474</v>
      </c>
      <c r="I8155" t="s">
        <v>29420</v>
      </c>
      <c r="J8155" t="s">
        <v>5484</v>
      </c>
      <c r="K8155" t="s">
        <v>29421</v>
      </c>
      <c r="L8155" t="s">
        <v>5471</v>
      </c>
      <c r="M8155" t="s">
        <v>5471</v>
      </c>
    </row>
    <row r="8156" spans="1:13" x14ac:dyDescent="0.3">
      <c r="A8156" t="s">
        <v>3388</v>
      </c>
      <c r="B8156" t="s">
        <v>5616</v>
      </c>
      <c r="C8156" t="s">
        <v>5470</v>
      </c>
      <c r="D8156" t="s">
        <v>4058</v>
      </c>
      <c r="E8156" t="s">
        <v>5532</v>
      </c>
      <c r="F8156" t="s">
        <v>29422</v>
      </c>
      <c r="G8156" t="s">
        <v>29423</v>
      </c>
      <c r="H8156" t="s">
        <v>5474</v>
      </c>
      <c r="I8156" t="s">
        <v>29424</v>
      </c>
      <c r="J8156" t="s">
        <v>5484</v>
      </c>
      <c r="K8156" t="s">
        <v>28936</v>
      </c>
      <c r="L8156" t="s">
        <v>5471</v>
      </c>
      <c r="M8156" t="s">
        <v>5471</v>
      </c>
    </row>
    <row r="8157" spans="1:13" x14ac:dyDescent="0.3">
      <c r="A8157" t="s">
        <v>3383</v>
      </c>
      <c r="B8157" t="s">
        <v>8820</v>
      </c>
      <c r="C8157" t="s">
        <v>5470</v>
      </c>
      <c r="D8157" t="s">
        <v>4052</v>
      </c>
      <c r="E8157" t="s">
        <v>5532</v>
      </c>
      <c r="F8157" t="s">
        <v>29425</v>
      </c>
      <c r="G8157" t="s">
        <v>8822</v>
      </c>
      <c r="H8157" t="s">
        <v>5474</v>
      </c>
      <c r="I8157" t="s">
        <v>29426</v>
      </c>
      <c r="J8157" t="s">
        <v>5484</v>
      </c>
      <c r="K8157" t="s">
        <v>29427</v>
      </c>
      <c r="L8157" t="s">
        <v>5471</v>
      </c>
      <c r="M8157" t="s">
        <v>5471</v>
      </c>
    </row>
    <row r="8158" spans="1:13" x14ac:dyDescent="0.3">
      <c r="A8158" t="s">
        <v>3388</v>
      </c>
      <c r="B8158" t="s">
        <v>5616</v>
      </c>
      <c r="C8158" t="s">
        <v>5470</v>
      </c>
      <c r="D8158" t="s">
        <v>4058</v>
      </c>
      <c r="E8158" t="s">
        <v>5532</v>
      </c>
      <c r="F8158" t="s">
        <v>29428</v>
      </c>
      <c r="G8158" t="s">
        <v>29423</v>
      </c>
      <c r="H8158" t="s">
        <v>5474</v>
      </c>
      <c r="I8158" t="s">
        <v>29429</v>
      </c>
      <c r="J8158" t="s">
        <v>5484</v>
      </c>
      <c r="K8158" t="s">
        <v>28939</v>
      </c>
      <c r="L8158" t="s">
        <v>5471</v>
      </c>
      <c r="M8158" t="s">
        <v>5471</v>
      </c>
    </row>
    <row r="8159" spans="1:13" x14ac:dyDescent="0.3">
      <c r="A8159" t="s">
        <v>3383</v>
      </c>
      <c r="B8159" t="s">
        <v>8820</v>
      </c>
      <c r="C8159" t="s">
        <v>5470</v>
      </c>
      <c r="D8159" t="s">
        <v>4052</v>
      </c>
      <c r="E8159" t="s">
        <v>5532</v>
      </c>
      <c r="F8159" t="s">
        <v>29430</v>
      </c>
      <c r="G8159" t="s">
        <v>12301</v>
      </c>
      <c r="H8159" t="s">
        <v>5474</v>
      </c>
      <c r="I8159" t="s">
        <v>29431</v>
      </c>
      <c r="J8159" t="s">
        <v>5484</v>
      </c>
      <c r="K8159" t="s">
        <v>29432</v>
      </c>
      <c r="L8159" t="s">
        <v>5471</v>
      </c>
      <c r="M8159" t="s">
        <v>5471</v>
      </c>
    </row>
    <row r="8160" spans="1:13" x14ac:dyDescent="0.3">
      <c r="A8160" t="s">
        <v>3388</v>
      </c>
      <c r="B8160" t="s">
        <v>5616</v>
      </c>
      <c r="C8160" t="s">
        <v>5470</v>
      </c>
      <c r="D8160" t="s">
        <v>4058</v>
      </c>
      <c r="E8160" t="s">
        <v>5532</v>
      </c>
      <c r="F8160" t="s">
        <v>29433</v>
      </c>
      <c r="G8160" t="s">
        <v>29434</v>
      </c>
      <c r="H8160" t="s">
        <v>5474</v>
      </c>
      <c r="I8160" t="s">
        <v>29435</v>
      </c>
      <c r="J8160" t="s">
        <v>5484</v>
      </c>
      <c r="K8160" t="s">
        <v>29436</v>
      </c>
      <c r="L8160" t="s">
        <v>5471</v>
      </c>
      <c r="M8160" t="s">
        <v>5471</v>
      </c>
    </row>
    <row r="8161" spans="1:13" x14ac:dyDescent="0.3">
      <c r="A8161" t="s">
        <v>3388</v>
      </c>
      <c r="B8161" t="s">
        <v>5616</v>
      </c>
      <c r="C8161" t="s">
        <v>5470</v>
      </c>
      <c r="D8161" t="s">
        <v>4058</v>
      </c>
      <c r="E8161" t="s">
        <v>5532</v>
      </c>
      <c r="F8161" t="s">
        <v>29437</v>
      </c>
      <c r="G8161" t="s">
        <v>29434</v>
      </c>
      <c r="H8161" t="s">
        <v>5474</v>
      </c>
      <c r="I8161" t="s">
        <v>29438</v>
      </c>
      <c r="J8161" t="s">
        <v>5484</v>
      </c>
      <c r="K8161" t="s">
        <v>29439</v>
      </c>
      <c r="L8161" t="s">
        <v>5471</v>
      </c>
      <c r="M8161" t="s">
        <v>5471</v>
      </c>
    </row>
    <row r="8162" spans="1:13" x14ac:dyDescent="0.3">
      <c r="A8162" t="s">
        <v>3388</v>
      </c>
      <c r="B8162" t="s">
        <v>5616</v>
      </c>
      <c r="C8162" t="s">
        <v>5470</v>
      </c>
      <c r="D8162" t="s">
        <v>4058</v>
      </c>
      <c r="E8162" t="s">
        <v>5532</v>
      </c>
      <c r="F8162" t="s">
        <v>29440</v>
      </c>
      <c r="G8162" t="s">
        <v>29434</v>
      </c>
      <c r="H8162" t="s">
        <v>5474</v>
      </c>
      <c r="I8162" t="s">
        <v>29441</v>
      </c>
      <c r="J8162" t="s">
        <v>5484</v>
      </c>
      <c r="K8162" t="s">
        <v>29442</v>
      </c>
      <c r="L8162" t="s">
        <v>5471</v>
      </c>
      <c r="M8162" t="s">
        <v>5471</v>
      </c>
    </row>
    <row r="8163" spans="1:13" x14ac:dyDescent="0.3">
      <c r="A8163" t="s">
        <v>3388</v>
      </c>
      <c r="B8163" t="s">
        <v>5616</v>
      </c>
      <c r="C8163" t="s">
        <v>5470</v>
      </c>
      <c r="D8163" t="s">
        <v>4058</v>
      </c>
      <c r="E8163" t="s">
        <v>5532</v>
      </c>
      <c r="F8163" t="s">
        <v>29443</v>
      </c>
      <c r="G8163" t="s">
        <v>29444</v>
      </c>
      <c r="H8163" t="s">
        <v>5474</v>
      </c>
      <c r="I8163" t="s">
        <v>29445</v>
      </c>
      <c r="J8163" t="s">
        <v>5484</v>
      </c>
      <c r="K8163" t="s">
        <v>29030</v>
      </c>
      <c r="L8163" t="s">
        <v>5471</v>
      </c>
      <c r="M8163" t="s">
        <v>5471</v>
      </c>
    </row>
    <row r="8164" spans="1:13" x14ac:dyDescent="0.3">
      <c r="A8164" t="s">
        <v>3388</v>
      </c>
      <c r="B8164" t="s">
        <v>5616</v>
      </c>
      <c r="C8164" t="s">
        <v>5470</v>
      </c>
      <c r="D8164" t="s">
        <v>4058</v>
      </c>
      <c r="E8164" t="s">
        <v>5532</v>
      </c>
      <c r="F8164" t="s">
        <v>29446</v>
      </c>
      <c r="G8164" t="s">
        <v>29444</v>
      </c>
      <c r="H8164" t="s">
        <v>5474</v>
      </c>
      <c r="I8164" t="s">
        <v>29447</v>
      </c>
      <c r="J8164" t="s">
        <v>5484</v>
      </c>
      <c r="K8164" t="s">
        <v>29037</v>
      </c>
      <c r="L8164" t="s">
        <v>5471</v>
      </c>
      <c r="M8164" t="s">
        <v>5471</v>
      </c>
    </row>
    <row r="8165" spans="1:13" x14ac:dyDescent="0.3">
      <c r="A8165" t="s">
        <v>3388</v>
      </c>
      <c r="B8165" t="s">
        <v>5616</v>
      </c>
      <c r="C8165" t="s">
        <v>5470</v>
      </c>
      <c r="D8165" t="s">
        <v>4058</v>
      </c>
      <c r="E8165" t="s">
        <v>5532</v>
      </c>
      <c r="F8165" t="s">
        <v>29448</v>
      </c>
      <c r="G8165" t="s">
        <v>29444</v>
      </c>
      <c r="H8165" t="s">
        <v>5474</v>
      </c>
      <c r="I8165" t="s">
        <v>29449</v>
      </c>
      <c r="J8165" t="s">
        <v>5484</v>
      </c>
      <c r="K8165" t="s">
        <v>28742</v>
      </c>
      <c r="L8165" t="s">
        <v>5471</v>
      </c>
      <c r="M8165" t="s">
        <v>5471</v>
      </c>
    </row>
    <row r="8166" spans="1:13" x14ac:dyDescent="0.3">
      <c r="A8166" t="s">
        <v>3388</v>
      </c>
      <c r="B8166" t="s">
        <v>5616</v>
      </c>
      <c r="C8166" t="s">
        <v>5470</v>
      </c>
      <c r="D8166" t="s">
        <v>4058</v>
      </c>
      <c r="E8166" t="s">
        <v>5532</v>
      </c>
      <c r="F8166" t="s">
        <v>29450</v>
      </c>
      <c r="G8166" t="s">
        <v>29451</v>
      </c>
      <c r="H8166" t="s">
        <v>5474</v>
      </c>
      <c r="I8166" t="s">
        <v>29452</v>
      </c>
      <c r="J8166" t="s">
        <v>5484</v>
      </c>
      <c r="K8166" t="s">
        <v>29453</v>
      </c>
      <c r="L8166" t="s">
        <v>5471</v>
      </c>
      <c r="M8166" t="s">
        <v>5471</v>
      </c>
    </row>
    <row r="8167" spans="1:13" x14ac:dyDescent="0.3">
      <c r="A8167" t="s">
        <v>3388</v>
      </c>
      <c r="B8167" t="s">
        <v>5616</v>
      </c>
      <c r="C8167" t="s">
        <v>5470</v>
      </c>
      <c r="D8167" t="s">
        <v>4058</v>
      </c>
      <c r="E8167" t="s">
        <v>5532</v>
      </c>
      <c r="F8167" t="s">
        <v>29454</v>
      </c>
      <c r="G8167" t="s">
        <v>22315</v>
      </c>
      <c r="H8167" t="s">
        <v>5474</v>
      </c>
      <c r="I8167" t="s">
        <v>29455</v>
      </c>
      <c r="J8167" t="s">
        <v>5484</v>
      </c>
      <c r="K8167" t="s">
        <v>28704</v>
      </c>
      <c r="L8167" t="s">
        <v>5471</v>
      </c>
      <c r="M8167" t="s">
        <v>5471</v>
      </c>
    </row>
    <row r="8168" spans="1:13" x14ac:dyDescent="0.3">
      <c r="A8168" t="s">
        <v>3388</v>
      </c>
      <c r="B8168" t="s">
        <v>5616</v>
      </c>
      <c r="C8168" t="s">
        <v>5470</v>
      </c>
      <c r="D8168" t="s">
        <v>4058</v>
      </c>
      <c r="E8168" t="s">
        <v>5532</v>
      </c>
      <c r="F8168" t="s">
        <v>29456</v>
      </c>
      <c r="G8168" t="s">
        <v>22315</v>
      </c>
      <c r="H8168" t="s">
        <v>5474</v>
      </c>
      <c r="I8168" t="s">
        <v>29457</v>
      </c>
      <c r="J8168" t="s">
        <v>5484</v>
      </c>
      <c r="K8168" t="s">
        <v>28953</v>
      </c>
      <c r="L8168" t="s">
        <v>5471</v>
      </c>
      <c r="M8168" t="s">
        <v>5471</v>
      </c>
    </row>
    <row r="8169" spans="1:13" x14ac:dyDescent="0.3">
      <c r="A8169" t="s">
        <v>3388</v>
      </c>
      <c r="B8169" t="s">
        <v>5616</v>
      </c>
      <c r="C8169" t="s">
        <v>5470</v>
      </c>
      <c r="D8169" t="s">
        <v>4058</v>
      </c>
      <c r="E8169" t="s">
        <v>5532</v>
      </c>
      <c r="F8169" t="s">
        <v>29458</v>
      </c>
      <c r="G8169" t="s">
        <v>29459</v>
      </c>
      <c r="H8169" t="s">
        <v>5474</v>
      </c>
      <c r="I8169" t="s">
        <v>29460</v>
      </c>
      <c r="J8169" t="s">
        <v>5484</v>
      </c>
      <c r="K8169" t="s">
        <v>29027</v>
      </c>
      <c r="L8169" t="s">
        <v>5471</v>
      </c>
      <c r="M8169" t="s">
        <v>5471</v>
      </c>
    </row>
    <row r="8170" spans="1:13" x14ac:dyDescent="0.3">
      <c r="A8170" t="s">
        <v>3388</v>
      </c>
      <c r="B8170" t="s">
        <v>5616</v>
      </c>
      <c r="C8170" t="s">
        <v>5470</v>
      </c>
      <c r="D8170" t="s">
        <v>4058</v>
      </c>
      <c r="E8170" t="s">
        <v>5532</v>
      </c>
      <c r="F8170" t="s">
        <v>29461</v>
      </c>
      <c r="G8170" t="s">
        <v>29459</v>
      </c>
      <c r="H8170" t="s">
        <v>5474</v>
      </c>
      <c r="I8170" t="s">
        <v>29462</v>
      </c>
      <c r="J8170" t="s">
        <v>5484</v>
      </c>
      <c r="K8170" t="s">
        <v>29197</v>
      </c>
      <c r="L8170" t="s">
        <v>5471</v>
      </c>
      <c r="M8170" t="s">
        <v>5471</v>
      </c>
    </row>
    <row r="8171" spans="1:13" x14ac:dyDescent="0.3">
      <c r="A8171" t="s">
        <v>3388</v>
      </c>
      <c r="B8171" t="s">
        <v>7088</v>
      </c>
      <c r="C8171" t="s">
        <v>5470</v>
      </c>
      <c r="D8171" t="s">
        <v>4058</v>
      </c>
      <c r="E8171" t="s">
        <v>5617</v>
      </c>
      <c r="F8171" t="s">
        <v>29463</v>
      </c>
      <c r="G8171" t="s">
        <v>29464</v>
      </c>
      <c r="H8171" t="s">
        <v>5474</v>
      </c>
      <c r="I8171" t="s">
        <v>29465</v>
      </c>
      <c r="J8171" t="s">
        <v>5484</v>
      </c>
      <c r="K8171" t="s">
        <v>28965</v>
      </c>
      <c r="L8171" t="s">
        <v>5471</v>
      </c>
      <c r="M8171" t="s">
        <v>5471</v>
      </c>
    </row>
    <row r="8172" spans="1:13" x14ac:dyDescent="0.3">
      <c r="A8172" t="s">
        <v>3388</v>
      </c>
      <c r="B8172" t="s">
        <v>7088</v>
      </c>
      <c r="C8172" t="s">
        <v>5470</v>
      </c>
      <c r="D8172" t="s">
        <v>4058</v>
      </c>
      <c r="E8172" t="s">
        <v>5617</v>
      </c>
      <c r="F8172" t="s">
        <v>29466</v>
      </c>
      <c r="G8172" t="s">
        <v>29467</v>
      </c>
      <c r="H8172" t="s">
        <v>5474</v>
      </c>
      <c r="I8172" t="s">
        <v>29468</v>
      </c>
      <c r="J8172" t="s">
        <v>5484</v>
      </c>
      <c r="K8172" t="s">
        <v>28972</v>
      </c>
      <c r="L8172" t="s">
        <v>5471</v>
      </c>
      <c r="M8172" t="s">
        <v>5471</v>
      </c>
    </row>
    <row r="8173" spans="1:13" x14ac:dyDescent="0.3">
      <c r="A8173" t="s">
        <v>3388</v>
      </c>
      <c r="B8173" t="s">
        <v>7088</v>
      </c>
      <c r="C8173" t="s">
        <v>5470</v>
      </c>
      <c r="D8173" t="s">
        <v>4058</v>
      </c>
      <c r="E8173" t="s">
        <v>5617</v>
      </c>
      <c r="F8173" t="s">
        <v>29469</v>
      </c>
      <c r="G8173" t="s">
        <v>29470</v>
      </c>
      <c r="H8173" t="s">
        <v>5474</v>
      </c>
      <c r="I8173" t="s">
        <v>29471</v>
      </c>
      <c r="J8173" t="s">
        <v>5484</v>
      </c>
      <c r="K8173" t="s">
        <v>29066</v>
      </c>
      <c r="L8173" t="s">
        <v>5471</v>
      </c>
      <c r="M8173" t="s">
        <v>5471</v>
      </c>
    </row>
    <row r="8174" spans="1:13" x14ac:dyDescent="0.3">
      <c r="A8174" t="s">
        <v>3388</v>
      </c>
      <c r="B8174" t="s">
        <v>7088</v>
      </c>
      <c r="C8174" t="s">
        <v>5470</v>
      </c>
      <c r="D8174" t="s">
        <v>4058</v>
      </c>
      <c r="E8174" t="s">
        <v>5617</v>
      </c>
      <c r="F8174" t="s">
        <v>29472</v>
      </c>
      <c r="G8174" t="s">
        <v>29473</v>
      </c>
      <c r="H8174" t="s">
        <v>5474</v>
      </c>
      <c r="I8174" t="s">
        <v>29474</v>
      </c>
      <c r="J8174" t="s">
        <v>5484</v>
      </c>
      <c r="K8174" t="s">
        <v>29475</v>
      </c>
      <c r="L8174" t="s">
        <v>5471</v>
      </c>
      <c r="M8174" t="s">
        <v>5471</v>
      </c>
    </row>
    <row r="8175" spans="1:13" x14ac:dyDescent="0.3">
      <c r="A8175" t="s">
        <v>3388</v>
      </c>
      <c r="B8175" t="s">
        <v>7088</v>
      </c>
      <c r="C8175" t="s">
        <v>5470</v>
      </c>
      <c r="D8175" t="s">
        <v>4058</v>
      </c>
      <c r="E8175" t="s">
        <v>5532</v>
      </c>
      <c r="F8175" t="s">
        <v>29476</v>
      </c>
      <c r="G8175" t="s">
        <v>29477</v>
      </c>
      <c r="H8175" t="s">
        <v>5474</v>
      </c>
      <c r="I8175" t="s">
        <v>29478</v>
      </c>
      <c r="J8175" t="s">
        <v>5484</v>
      </c>
      <c r="K8175" t="s">
        <v>29479</v>
      </c>
      <c r="L8175" t="s">
        <v>5471</v>
      </c>
      <c r="M8175" t="s">
        <v>5471</v>
      </c>
    </row>
    <row r="8176" spans="1:13" x14ac:dyDescent="0.3">
      <c r="A8176" t="s">
        <v>3388</v>
      </c>
      <c r="B8176" t="s">
        <v>19024</v>
      </c>
      <c r="C8176" t="s">
        <v>5470</v>
      </c>
      <c r="D8176" t="s">
        <v>4058</v>
      </c>
      <c r="E8176" t="s">
        <v>5617</v>
      </c>
      <c r="F8176" t="s">
        <v>29480</v>
      </c>
      <c r="G8176" t="s">
        <v>29481</v>
      </c>
      <c r="H8176" t="s">
        <v>5474</v>
      </c>
      <c r="I8176" t="s">
        <v>29482</v>
      </c>
      <c r="J8176" t="s">
        <v>5484</v>
      </c>
      <c r="K8176" t="s">
        <v>28581</v>
      </c>
      <c r="L8176" t="s">
        <v>5471</v>
      </c>
      <c r="M8176" t="s">
        <v>5471</v>
      </c>
    </row>
    <row r="8177" spans="1:13" x14ac:dyDescent="0.3">
      <c r="A8177" t="s">
        <v>3388</v>
      </c>
      <c r="B8177" t="s">
        <v>19024</v>
      </c>
      <c r="C8177" t="s">
        <v>5470</v>
      </c>
      <c r="D8177" t="s">
        <v>4058</v>
      </c>
      <c r="E8177" t="s">
        <v>5617</v>
      </c>
      <c r="F8177" t="s">
        <v>29483</v>
      </c>
      <c r="G8177" t="s">
        <v>29481</v>
      </c>
      <c r="H8177" t="s">
        <v>5474</v>
      </c>
      <c r="I8177" t="s">
        <v>29484</v>
      </c>
      <c r="J8177" t="s">
        <v>5484</v>
      </c>
      <c r="K8177" t="s">
        <v>28584</v>
      </c>
      <c r="L8177" t="s">
        <v>5471</v>
      </c>
      <c r="M8177" t="s">
        <v>5471</v>
      </c>
    </row>
    <row r="8178" spans="1:13" x14ac:dyDescent="0.3">
      <c r="A8178" t="s">
        <v>3383</v>
      </c>
      <c r="B8178" t="s">
        <v>5805</v>
      </c>
      <c r="C8178" t="s">
        <v>5470</v>
      </c>
      <c r="D8178" t="s">
        <v>4052</v>
      </c>
      <c r="E8178" t="s">
        <v>5617</v>
      </c>
      <c r="F8178" t="s">
        <v>29485</v>
      </c>
      <c r="G8178" t="s">
        <v>5807</v>
      </c>
      <c r="H8178" t="s">
        <v>5474</v>
      </c>
      <c r="I8178" t="s">
        <v>29486</v>
      </c>
      <c r="J8178" t="s">
        <v>5484</v>
      </c>
      <c r="K8178" t="s">
        <v>29487</v>
      </c>
      <c r="L8178" t="s">
        <v>5471</v>
      </c>
      <c r="M8178" t="s">
        <v>5471</v>
      </c>
    </row>
    <row r="8179" spans="1:13" x14ac:dyDescent="0.3">
      <c r="A8179" t="s">
        <v>3383</v>
      </c>
      <c r="B8179" t="s">
        <v>5805</v>
      </c>
      <c r="C8179" t="s">
        <v>5470</v>
      </c>
      <c r="D8179" t="s">
        <v>4052</v>
      </c>
      <c r="E8179" t="s">
        <v>5617</v>
      </c>
      <c r="F8179" t="s">
        <v>29488</v>
      </c>
      <c r="G8179" t="s">
        <v>29489</v>
      </c>
      <c r="H8179" t="s">
        <v>5474</v>
      </c>
      <c r="I8179" t="s">
        <v>29490</v>
      </c>
      <c r="J8179" t="s">
        <v>5484</v>
      </c>
      <c r="K8179" t="s">
        <v>29491</v>
      </c>
      <c r="L8179" t="s">
        <v>5471</v>
      </c>
      <c r="M8179" t="s">
        <v>5471</v>
      </c>
    </row>
    <row r="8180" spans="1:13" x14ac:dyDescent="0.3">
      <c r="A8180" t="s">
        <v>3388</v>
      </c>
      <c r="B8180" t="s">
        <v>10870</v>
      </c>
      <c r="C8180" t="s">
        <v>5470</v>
      </c>
      <c r="D8180" t="s">
        <v>4058</v>
      </c>
      <c r="E8180" t="s">
        <v>5617</v>
      </c>
      <c r="F8180" t="s">
        <v>29492</v>
      </c>
      <c r="G8180" t="s">
        <v>29493</v>
      </c>
      <c r="H8180" t="s">
        <v>5474</v>
      </c>
      <c r="I8180" t="s">
        <v>29494</v>
      </c>
      <c r="J8180" t="s">
        <v>5484</v>
      </c>
      <c r="K8180" t="s">
        <v>28581</v>
      </c>
      <c r="L8180" t="s">
        <v>5471</v>
      </c>
      <c r="M8180" t="s">
        <v>5471</v>
      </c>
    </row>
    <row r="8181" spans="1:13" x14ac:dyDescent="0.3">
      <c r="A8181" t="s">
        <v>3388</v>
      </c>
      <c r="B8181" t="s">
        <v>10870</v>
      </c>
      <c r="C8181" t="s">
        <v>5470</v>
      </c>
      <c r="D8181" t="s">
        <v>4058</v>
      </c>
      <c r="E8181" t="s">
        <v>5617</v>
      </c>
      <c r="F8181" t="s">
        <v>29495</v>
      </c>
      <c r="G8181" t="s">
        <v>29493</v>
      </c>
      <c r="H8181" t="s">
        <v>5474</v>
      </c>
      <c r="I8181" t="s">
        <v>29496</v>
      </c>
      <c r="J8181" t="s">
        <v>5484</v>
      </c>
      <c r="K8181" t="s">
        <v>28584</v>
      </c>
      <c r="L8181" t="s">
        <v>5471</v>
      </c>
      <c r="M8181" t="s">
        <v>5471</v>
      </c>
    </row>
    <row r="8182" spans="1:13" x14ac:dyDescent="0.3">
      <c r="A8182" t="s">
        <v>3388</v>
      </c>
      <c r="B8182" t="s">
        <v>5310</v>
      </c>
      <c r="C8182" t="s">
        <v>5470</v>
      </c>
      <c r="D8182" t="s">
        <v>4058</v>
      </c>
      <c r="E8182" t="s">
        <v>5617</v>
      </c>
      <c r="F8182" t="s">
        <v>29497</v>
      </c>
      <c r="G8182" t="s">
        <v>29498</v>
      </c>
      <c r="H8182" t="s">
        <v>5474</v>
      </c>
      <c r="I8182" t="s">
        <v>29499</v>
      </c>
      <c r="J8182" t="s">
        <v>5484</v>
      </c>
      <c r="K8182" t="s">
        <v>28972</v>
      </c>
      <c r="L8182" t="s">
        <v>5471</v>
      </c>
      <c r="M8182" t="s">
        <v>5471</v>
      </c>
    </row>
    <row r="8183" spans="1:13" x14ac:dyDescent="0.3">
      <c r="A8183" t="s">
        <v>3388</v>
      </c>
      <c r="B8183" t="s">
        <v>5310</v>
      </c>
      <c r="C8183" t="s">
        <v>5470</v>
      </c>
      <c r="D8183" t="s">
        <v>4058</v>
      </c>
      <c r="E8183" t="s">
        <v>5617</v>
      </c>
      <c r="F8183" t="s">
        <v>29500</v>
      </c>
      <c r="G8183" t="s">
        <v>29501</v>
      </c>
      <c r="H8183" t="s">
        <v>5474</v>
      </c>
      <c r="I8183" t="s">
        <v>29502</v>
      </c>
      <c r="J8183" t="s">
        <v>5484</v>
      </c>
      <c r="K8183" t="s">
        <v>28965</v>
      </c>
      <c r="L8183" t="s">
        <v>5471</v>
      </c>
      <c r="M8183" t="s">
        <v>5471</v>
      </c>
    </row>
    <row r="8184" spans="1:13" x14ac:dyDescent="0.3">
      <c r="A8184" t="s">
        <v>3383</v>
      </c>
      <c r="B8184" t="s">
        <v>5805</v>
      </c>
      <c r="C8184" t="s">
        <v>5470</v>
      </c>
      <c r="D8184" t="s">
        <v>4052</v>
      </c>
      <c r="E8184" t="s">
        <v>5532</v>
      </c>
      <c r="F8184" t="s">
        <v>29503</v>
      </c>
      <c r="G8184" t="s">
        <v>8941</v>
      </c>
      <c r="H8184" t="s">
        <v>5474</v>
      </c>
      <c r="I8184" t="s">
        <v>29504</v>
      </c>
      <c r="J8184" t="s">
        <v>5484</v>
      </c>
      <c r="K8184" t="s">
        <v>29505</v>
      </c>
      <c r="L8184" t="s">
        <v>5471</v>
      </c>
      <c r="M8184" t="s">
        <v>5471</v>
      </c>
    </row>
    <row r="8185" spans="1:13" x14ac:dyDescent="0.3">
      <c r="A8185" t="s">
        <v>3388</v>
      </c>
      <c r="B8185" t="s">
        <v>9921</v>
      </c>
      <c r="C8185" t="s">
        <v>5470</v>
      </c>
      <c r="D8185" t="s">
        <v>4058</v>
      </c>
      <c r="E8185" t="s">
        <v>5532</v>
      </c>
      <c r="F8185" t="s">
        <v>29506</v>
      </c>
      <c r="G8185" t="s">
        <v>17809</v>
      </c>
      <c r="H8185" t="s">
        <v>5474</v>
      </c>
      <c r="I8185" t="s">
        <v>29507</v>
      </c>
      <c r="J8185" t="s">
        <v>5484</v>
      </c>
      <c r="K8185" t="s">
        <v>28769</v>
      </c>
      <c r="L8185" t="s">
        <v>5471</v>
      </c>
      <c r="M8185" t="s">
        <v>5471</v>
      </c>
    </row>
    <row r="8186" spans="1:13" x14ac:dyDescent="0.3">
      <c r="A8186" t="s">
        <v>3388</v>
      </c>
      <c r="B8186" t="s">
        <v>9921</v>
      </c>
      <c r="C8186" t="s">
        <v>5470</v>
      </c>
      <c r="D8186" t="s">
        <v>4058</v>
      </c>
      <c r="E8186" t="s">
        <v>5532</v>
      </c>
      <c r="F8186" t="s">
        <v>29508</v>
      </c>
      <c r="G8186" t="s">
        <v>17809</v>
      </c>
      <c r="H8186" t="s">
        <v>5474</v>
      </c>
      <c r="I8186" t="s">
        <v>29509</v>
      </c>
      <c r="J8186" t="s">
        <v>5484</v>
      </c>
      <c r="K8186" t="s">
        <v>28775</v>
      </c>
      <c r="L8186" t="s">
        <v>5471</v>
      </c>
      <c r="M8186" t="s">
        <v>5471</v>
      </c>
    </row>
    <row r="8187" spans="1:13" x14ac:dyDescent="0.3">
      <c r="A8187" t="s">
        <v>3388</v>
      </c>
      <c r="B8187" t="s">
        <v>5531</v>
      </c>
      <c r="C8187" t="s">
        <v>5470</v>
      </c>
      <c r="D8187" t="s">
        <v>4058</v>
      </c>
      <c r="E8187" t="s">
        <v>5617</v>
      </c>
      <c r="F8187" t="s">
        <v>29510</v>
      </c>
      <c r="G8187" t="s">
        <v>21119</v>
      </c>
      <c r="H8187" t="s">
        <v>5474</v>
      </c>
      <c r="I8187" t="s">
        <v>29511</v>
      </c>
      <c r="J8187" t="s">
        <v>5484</v>
      </c>
      <c r="K8187" t="s">
        <v>28727</v>
      </c>
      <c r="L8187" t="s">
        <v>5471</v>
      </c>
      <c r="M8187" t="s">
        <v>5471</v>
      </c>
    </row>
    <row r="8188" spans="1:13" x14ac:dyDescent="0.3">
      <c r="A8188" t="s">
        <v>3388</v>
      </c>
      <c r="B8188" t="s">
        <v>5296</v>
      </c>
      <c r="C8188" t="s">
        <v>5470</v>
      </c>
      <c r="D8188" t="s">
        <v>4058</v>
      </c>
      <c r="E8188" t="s">
        <v>5617</v>
      </c>
      <c r="F8188" t="s">
        <v>29512</v>
      </c>
      <c r="G8188" t="s">
        <v>29513</v>
      </c>
      <c r="H8188" t="s">
        <v>5474</v>
      </c>
      <c r="I8188" t="s">
        <v>29514</v>
      </c>
      <c r="J8188" t="s">
        <v>5484</v>
      </c>
      <c r="K8188" t="s">
        <v>28992</v>
      </c>
      <c r="L8188" t="s">
        <v>5471</v>
      </c>
      <c r="M8188" t="s">
        <v>5471</v>
      </c>
    </row>
    <row r="8189" spans="1:13" x14ac:dyDescent="0.3">
      <c r="A8189" t="s">
        <v>3388</v>
      </c>
      <c r="B8189" t="s">
        <v>21928</v>
      </c>
      <c r="C8189" t="s">
        <v>5470</v>
      </c>
      <c r="D8189" t="s">
        <v>4058</v>
      </c>
      <c r="E8189" t="s">
        <v>5617</v>
      </c>
      <c r="F8189" t="s">
        <v>29515</v>
      </c>
      <c r="G8189" t="s">
        <v>22286</v>
      </c>
      <c r="H8189" t="s">
        <v>5474</v>
      </c>
      <c r="I8189" t="s">
        <v>29516</v>
      </c>
      <c r="J8189" t="s">
        <v>5484</v>
      </c>
      <c r="K8189" t="s">
        <v>28989</v>
      </c>
      <c r="L8189" t="s">
        <v>5471</v>
      </c>
      <c r="M8189" t="s">
        <v>5471</v>
      </c>
    </row>
    <row r="8190" spans="1:13" x14ac:dyDescent="0.3">
      <c r="A8190" t="s">
        <v>3388</v>
      </c>
      <c r="B8190" t="s">
        <v>21928</v>
      </c>
      <c r="C8190" t="s">
        <v>5470</v>
      </c>
      <c r="D8190" t="s">
        <v>4058</v>
      </c>
      <c r="E8190" t="s">
        <v>5617</v>
      </c>
      <c r="F8190" t="s">
        <v>29517</v>
      </c>
      <c r="G8190" t="s">
        <v>22286</v>
      </c>
      <c r="H8190" t="s">
        <v>5474</v>
      </c>
      <c r="I8190" t="s">
        <v>29518</v>
      </c>
      <c r="J8190" t="s">
        <v>5484</v>
      </c>
      <c r="K8190" t="s">
        <v>28992</v>
      </c>
      <c r="L8190" t="s">
        <v>5471</v>
      </c>
      <c r="M8190" t="s">
        <v>5471</v>
      </c>
    </row>
    <row r="8191" spans="1:13" x14ac:dyDescent="0.3">
      <c r="A8191" t="s">
        <v>3388</v>
      </c>
      <c r="B8191" t="s">
        <v>15942</v>
      </c>
      <c r="C8191" t="s">
        <v>5470</v>
      </c>
      <c r="D8191" t="s">
        <v>4058</v>
      </c>
      <c r="E8191" t="s">
        <v>5617</v>
      </c>
      <c r="F8191" t="s">
        <v>29519</v>
      </c>
      <c r="G8191" t="s">
        <v>29520</v>
      </c>
      <c r="H8191" t="s">
        <v>5474</v>
      </c>
      <c r="I8191" t="s">
        <v>29521</v>
      </c>
      <c r="J8191" t="s">
        <v>5484</v>
      </c>
      <c r="K8191" t="s">
        <v>28828</v>
      </c>
      <c r="L8191" t="s">
        <v>5471</v>
      </c>
      <c r="M8191" t="s">
        <v>5471</v>
      </c>
    </row>
    <row r="8192" spans="1:13" x14ac:dyDescent="0.3">
      <c r="A8192" t="s">
        <v>3388</v>
      </c>
      <c r="B8192" t="s">
        <v>15942</v>
      </c>
      <c r="C8192" t="s">
        <v>5470</v>
      </c>
      <c r="D8192" t="s">
        <v>4058</v>
      </c>
      <c r="E8192" t="s">
        <v>5617</v>
      </c>
      <c r="F8192" t="s">
        <v>29522</v>
      </c>
      <c r="G8192" t="s">
        <v>29520</v>
      </c>
      <c r="H8192" t="s">
        <v>5474</v>
      </c>
      <c r="I8192" t="s">
        <v>29523</v>
      </c>
      <c r="J8192" t="s">
        <v>5484</v>
      </c>
      <c r="K8192" t="s">
        <v>28831</v>
      </c>
      <c r="L8192" t="s">
        <v>5471</v>
      </c>
      <c r="M8192" t="s">
        <v>5471</v>
      </c>
    </row>
    <row r="8193" spans="1:13" x14ac:dyDescent="0.3">
      <c r="A8193" t="s">
        <v>3388</v>
      </c>
      <c r="B8193" t="s">
        <v>15942</v>
      </c>
      <c r="C8193" t="s">
        <v>5470</v>
      </c>
      <c r="D8193" t="s">
        <v>4058</v>
      </c>
      <c r="E8193" t="s">
        <v>5617</v>
      </c>
      <c r="F8193" t="s">
        <v>29524</v>
      </c>
      <c r="G8193" t="s">
        <v>29520</v>
      </c>
      <c r="H8193" t="s">
        <v>5474</v>
      </c>
      <c r="I8193" t="s">
        <v>29525</v>
      </c>
      <c r="J8193" t="s">
        <v>5484</v>
      </c>
      <c r="K8193" t="s">
        <v>28814</v>
      </c>
      <c r="L8193" t="s">
        <v>5471</v>
      </c>
      <c r="M8193" t="s">
        <v>5471</v>
      </c>
    </row>
    <row r="8194" spans="1:13" x14ac:dyDescent="0.3">
      <c r="A8194" t="s">
        <v>3388</v>
      </c>
      <c r="B8194" t="s">
        <v>15942</v>
      </c>
      <c r="C8194" t="s">
        <v>5470</v>
      </c>
      <c r="D8194" t="s">
        <v>4058</v>
      </c>
      <c r="E8194" t="s">
        <v>5617</v>
      </c>
      <c r="F8194" t="s">
        <v>29526</v>
      </c>
      <c r="G8194" t="s">
        <v>29527</v>
      </c>
      <c r="H8194" t="s">
        <v>5474</v>
      </c>
      <c r="I8194" t="s">
        <v>29528</v>
      </c>
      <c r="J8194" t="s">
        <v>5484</v>
      </c>
      <c r="K8194" t="s">
        <v>28837</v>
      </c>
      <c r="L8194" t="s">
        <v>5471</v>
      </c>
      <c r="M8194" t="s">
        <v>5471</v>
      </c>
    </row>
    <row r="8195" spans="1:13" x14ac:dyDescent="0.3">
      <c r="A8195" t="s">
        <v>3388</v>
      </c>
      <c r="B8195" t="s">
        <v>15942</v>
      </c>
      <c r="C8195" t="s">
        <v>5470</v>
      </c>
      <c r="D8195" t="s">
        <v>4058</v>
      </c>
      <c r="E8195" t="s">
        <v>5617</v>
      </c>
      <c r="F8195" t="s">
        <v>29529</v>
      </c>
      <c r="G8195" t="s">
        <v>29527</v>
      </c>
      <c r="H8195" t="s">
        <v>5474</v>
      </c>
      <c r="I8195" t="s">
        <v>29530</v>
      </c>
      <c r="J8195" t="s">
        <v>5484</v>
      </c>
      <c r="K8195" t="s">
        <v>28840</v>
      </c>
      <c r="L8195" t="s">
        <v>5471</v>
      </c>
      <c r="M8195" t="s">
        <v>5471</v>
      </c>
    </row>
    <row r="8196" spans="1:13" x14ac:dyDescent="0.3">
      <c r="A8196" t="s">
        <v>3388</v>
      </c>
      <c r="B8196" t="s">
        <v>15942</v>
      </c>
      <c r="C8196" t="s">
        <v>5470</v>
      </c>
      <c r="D8196" t="s">
        <v>4058</v>
      </c>
      <c r="E8196" t="s">
        <v>5617</v>
      </c>
      <c r="F8196" t="s">
        <v>29531</v>
      </c>
      <c r="G8196" t="s">
        <v>29527</v>
      </c>
      <c r="H8196" t="s">
        <v>5474</v>
      </c>
      <c r="I8196" t="s">
        <v>29532</v>
      </c>
      <c r="J8196" t="s">
        <v>5484</v>
      </c>
      <c r="K8196" t="s">
        <v>28843</v>
      </c>
      <c r="L8196" t="s">
        <v>5471</v>
      </c>
      <c r="M8196" t="s">
        <v>5471</v>
      </c>
    </row>
    <row r="8197" spans="1:13" x14ac:dyDescent="0.3">
      <c r="A8197" t="s">
        <v>3388</v>
      </c>
      <c r="B8197" t="s">
        <v>5316</v>
      </c>
      <c r="C8197" t="s">
        <v>5470</v>
      </c>
      <c r="D8197" t="s">
        <v>4058</v>
      </c>
      <c r="E8197" t="s">
        <v>5617</v>
      </c>
      <c r="F8197" t="s">
        <v>29533</v>
      </c>
      <c r="G8197" t="s">
        <v>28812</v>
      </c>
      <c r="H8197" t="s">
        <v>5474</v>
      </c>
      <c r="I8197" t="s">
        <v>29534</v>
      </c>
      <c r="J8197" t="s">
        <v>5484</v>
      </c>
      <c r="K8197" t="s">
        <v>28828</v>
      </c>
      <c r="L8197" t="s">
        <v>5471</v>
      </c>
      <c r="M8197" t="s">
        <v>5471</v>
      </c>
    </row>
    <row r="8198" spans="1:13" x14ac:dyDescent="0.3">
      <c r="A8198" t="s">
        <v>3388</v>
      </c>
      <c r="B8198" t="s">
        <v>5316</v>
      </c>
      <c r="C8198" t="s">
        <v>5470</v>
      </c>
      <c r="D8198" t="s">
        <v>4058</v>
      </c>
      <c r="E8198" t="s">
        <v>5617</v>
      </c>
      <c r="F8198" t="s">
        <v>29535</v>
      </c>
      <c r="G8198" t="s">
        <v>28812</v>
      </c>
      <c r="H8198" t="s">
        <v>5474</v>
      </c>
      <c r="I8198" t="s">
        <v>29536</v>
      </c>
      <c r="J8198" t="s">
        <v>5484</v>
      </c>
      <c r="K8198" t="s">
        <v>28831</v>
      </c>
      <c r="L8198" t="s">
        <v>5471</v>
      </c>
      <c r="M8198" t="s">
        <v>5471</v>
      </c>
    </row>
    <row r="8199" spans="1:13" x14ac:dyDescent="0.3">
      <c r="A8199" t="s">
        <v>3388</v>
      </c>
      <c r="B8199" t="s">
        <v>5316</v>
      </c>
      <c r="C8199" t="s">
        <v>5470</v>
      </c>
      <c r="D8199" t="s">
        <v>4058</v>
      </c>
      <c r="E8199" t="s">
        <v>5617</v>
      </c>
      <c r="F8199" t="s">
        <v>29537</v>
      </c>
      <c r="G8199" t="s">
        <v>29538</v>
      </c>
      <c r="H8199" t="s">
        <v>5474</v>
      </c>
      <c r="I8199" t="s">
        <v>29539</v>
      </c>
      <c r="J8199" t="s">
        <v>5484</v>
      </c>
      <c r="K8199" t="s">
        <v>28837</v>
      </c>
      <c r="L8199" t="s">
        <v>5471</v>
      </c>
      <c r="M8199" t="s">
        <v>5471</v>
      </c>
    </row>
    <row r="8200" spans="1:13" x14ac:dyDescent="0.3">
      <c r="A8200" t="s">
        <v>3388</v>
      </c>
      <c r="B8200" t="s">
        <v>5316</v>
      </c>
      <c r="C8200" t="s">
        <v>5470</v>
      </c>
      <c r="D8200" t="s">
        <v>4058</v>
      </c>
      <c r="E8200" t="s">
        <v>5617</v>
      </c>
      <c r="F8200" t="s">
        <v>29540</v>
      </c>
      <c r="G8200" t="s">
        <v>29538</v>
      </c>
      <c r="H8200" t="s">
        <v>5474</v>
      </c>
      <c r="I8200" t="s">
        <v>29541</v>
      </c>
      <c r="J8200" t="s">
        <v>5484</v>
      </c>
      <c r="K8200" t="s">
        <v>28840</v>
      </c>
      <c r="L8200" t="s">
        <v>5471</v>
      </c>
      <c r="M8200" t="s">
        <v>5471</v>
      </c>
    </row>
    <row r="8201" spans="1:13" x14ac:dyDescent="0.3">
      <c r="A8201" t="s">
        <v>3388</v>
      </c>
      <c r="B8201" t="s">
        <v>5316</v>
      </c>
      <c r="C8201" t="s">
        <v>5470</v>
      </c>
      <c r="D8201" t="s">
        <v>4058</v>
      </c>
      <c r="E8201" t="s">
        <v>5617</v>
      </c>
      <c r="F8201" t="s">
        <v>29542</v>
      </c>
      <c r="G8201" t="s">
        <v>29538</v>
      </c>
      <c r="H8201" t="s">
        <v>5474</v>
      </c>
      <c r="I8201" t="s">
        <v>29543</v>
      </c>
      <c r="J8201" t="s">
        <v>5484</v>
      </c>
      <c r="K8201" t="s">
        <v>28843</v>
      </c>
      <c r="L8201" t="s">
        <v>5471</v>
      </c>
      <c r="M8201" t="s">
        <v>5471</v>
      </c>
    </row>
    <row r="8202" spans="1:13" x14ac:dyDescent="0.3">
      <c r="A8202" t="s">
        <v>3388</v>
      </c>
      <c r="B8202" t="s">
        <v>5316</v>
      </c>
      <c r="C8202" t="s">
        <v>5470</v>
      </c>
      <c r="D8202" t="s">
        <v>4058</v>
      </c>
      <c r="E8202" t="s">
        <v>5617</v>
      </c>
      <c r="F8202" t="s">
        <v>29544</v>
      </c>
      <c r="G8202" t="s">
        <v>29545</v>
      </c>
      <c r="H8202" t="s">
        <v>5474</v>
      </c>
      <c r="I8202" t="s">
        <v>29546</v>
      </c>
      <c r="J8202" t="s">
        <v>5484</v>
      </c>
      <c r="K8202" t="s">
        <v>28847</v>
      </c>
      <c r="L8202" t="s">
        <v>5471</v>
      </c>
      <c r="M8202" t="s">
        <v>5471</v>
      </c>
    </row>
    <row r="8203" spans="1:13" x14ac:dyDescent="0.3">
      <c r="A8203" t="s">
        <v>3388</v>
      </c>
      <c r="B8203" t="s">
        <v>5316</v>
      </c>
      <c r="C8203" t="s">
        <v>5470</v>
      </c>
      <c r="D8203" t="s">
        <v>4058</v>
      </c>
      <c r="E8203" t="s">
        <v>5617</v>
      </c>
      <c r="F8203" t="s">
        <v>29547</v>
      </c>
      <c r="G8203" t="s">
        <v>29545</v>
      </c>
      <c r="H8203" t="s">
        <v>5474</v>
      </c>
      <c r="I8203" t="s">
        <v>29548</v>
      </c>
      <c r="J8203" t="s">
        <v>5484</v>
      </c>
      <c r="K8203" t="s">
        <v>28850</v>
      </c>
      <c r="L8203" t="s">
        <v>5471</v>
      </c>
      <c r="M8203" t="s">
        <v>5471</v>
      </c>
    </row>
    <row r="8204" spans="1:13" x14ac:dyDescent="0.3">
      <c r="A8204" t="s">
        <v>3388</v>
      </c>
      <c r="B8204" t="s">
        <v>5316</v>
      </c>
      <c r="C8204" t="s">
        <v>5470</v>
      </c>
      <c r="D8204" t="s">
        <v>4058</v>
      </c>
      <c r="E8204" t="s">
        <v>5617</v>
      </c>
      <c r="F8204" t="s">
        <v>29549</v>
      </c>
      <c r="G8204" t="s">
        <v>29545</v>
      </c>
      <c r="H8204" t="s">
        <v>5474</v>
      </c>
      <c r="I8204" t="s">
        <v>29550</v>
      </c>
      <c r="J8204" t="s">
        <v>5484</v>
      </c>
      <c r="K8204" t="s">
        <v>28853</v>
      </c>
      <c r="L8204" t="s">
        <v>5471</v>
      </c>
      <c r="M8204" t="s">
        <v>5471</v>
      </c>
    </row>
    <row r="8205" spans="1:13" x14ac:dyDescent="0.3">
      <c r="A8205" t="s">
        <v>3388</v>
      </c>
      <c r="B8205" t="s">
        <v>5316</v>
      </c>
      <c r="C8205" t="s">
        <v>5470</v>
      </c>
      <c r="D8205" t="s">
        <v>4058</v>
      </c>
      <c r="E8205" t="s">
        <v>5617</v>
      </c>
      <c r="F8205" t="s">
        <v>29551</v>
      </c>
      <c r="G8205" t="s">
        <v>29552</v>
      </c>
      <c r="H8205" t="s">
        <v>5474</v>
      </c>
      <c r="I8205" t="s">
        <v>29553</v>
      </c>
      <c r="J8205" t="s">
        <v>5484</v>
      </c>
      <c r="K8205" t="s">
        <v>28857</v>
      </c>
      <c r="L8205" t="s">
        <v>5471</v>
      </c>
      <c r="M8205" t="s">
        <v>5471</v>
      </c>
    </row>
    <row r="8206" spans="1:13" x14ac:dyDescent="0.3">
      <c r="A8206" t="s">
        <v>3388</v>
      </c>
      <c r="B8206" t="s">
        <v>5316</v>
      </c>
      <c r="C8206" t="s">
        <v>5470</v>
      </c>
      <c r="D8206" t="s">
        <v>4058</v>
      </c>
      <c r="E8206" t="s">
        <v>5617</v>
      </c>
      <c r="F8206" t="s">
        <v>29554</v>
      </c>
      <c r="G8206" t="s">
        <v>29552</v>
      </c>
      <c r="H8206" t="s">
        <v>5474</v>
      </c>
      <c r="I8206" t="s">
        <v>29555</v>
      </c>
      <c r="J8206" t="s">
        <v>5484</v>
      </c>
      <c r="K8206" t="s">
        <v>28860</v>
      </c>
      <c r="L8206" t="s">
        <v>5471</v>
      </c>
      <c r="M8206" t="s">
        <v>5471</v>
      </c>
    </row>
    <row r="8207" spans="1:13" x14ac:dyDescent="0.3">
      <c r="A8207" t="s">
        <v>3388</v>
      </c>
      <c r="B8207" t="s">
        <v>5316</v>
      </c>
      <c r="C8207" t="s">
        <v>5470</v>
      </c>
      <c r="D8207" t="s">
        <v>4058</v>
      </c>
      <c r="E8207" t="s">
        <v>5617</v>
      </c>
      <c r="F8207" t="s">
        <v>29556</v>
      </c>
      <c r="G8207" t="s">
        <v>29552</v>
      </c>
      <c r="H8207" t="s">
        <v>5474</v>
      </c>
      <c r="I8207" t="s">
        <v>29557</v>
      </c>
      <c r="J8207" t="s">
        <v>5484</v>
      </c>
      <c r="K8207" t="s">
        <v>28863</v>
      </c>
      <c r="L8207" t="s">
        <v>5471</v>
      </c>
      <c r="M8207" t="s">
        <v>5471</v>
      </c>
    </row>
    <row r="8208" spans="1:13" x14ac:dyDescent="0.3">
      <c r="A8208" t="s">
        <v>3388</v>
      </c>
      <c r="B8208" t="s">
        <v>5316</v>
      </c>
      <c r="C8208" t="s">
        <v>5470</v>
      </c>
      <c r="D8208" t="s">
        <v>4058</v>
      </c>
      <c r="E8208" t="s">
        <v>5617</v>
      </c>
      <c r="F8208" t="s">
        <v>29558</v>
      </c>
      <c r="G8208" t="s">
        <v>29559</v>
      </c>
      <c r="H8208" t="s">
        <v>5474</v>
      </c>
      <c r="I8208" t="s">
        <v>29560</v>
      </c>
      <c r="J8208" t="s">
        <v>5484</v>
      </c>
      <c r="K8208" t="s">
        <v>28867</v>
      </c>
      <c r="L8208" t="s">
        <v>5471</v>
      </c>
      <c r="M8208" t="s">
        <v>5471</v>
      </c>
    </row>
    <row r="8209" spans="1:13" x14ac:dyDescent="0.3">
      <c r="A8209" t="s">
        <v>3388</v>
      </c>
      <c r="B8209" t="s">
        <v>5316</v>
      </c>
      <c r="C8209" t="s">
        <v>5470</v>
      </c>
      <c r="D8209" t="s">
        <v>4058</v>
      </c>
      <c r="E8209" t="s">
        <v>5617</v>
      </c>
      <c r="F8209" t="s">
        <v>29561</v>
      </c>
      <c r="G8209" t="s">
        <v>29562</v>
      </c>
      <c r="H8209" t="s">
        <v>5474</v>
      </c>
      <c r="I8209" t="s">
        <v>29563</v>
      </c>
      <c r="J8209" t="s">
        <v>5484</v>
      </c>
      <c r="K8209" t="s">
        <v>28877</v>
      </c>
      <c r="L8209" t="s">
        <v>5471</v>
      </c>
      <c r="M8209" t="s">
        <v>5471</v>
      </c>
    </row>
    <row r="8210" spans="1:13" x14ac:dyDescent="0.3">
      <c r="A8210" t="s">
        <v>3388</v>
      </c>
      <c r="B8210" t="s">
        <v>5316</v>
      </c>
      <c r="C8210" t="s">
        <v>5470</v>
      </c>
      <c r="D8210" t="s">
        <v>4058</v>
      </c>
      <c r="E8210" t="s">
        <v>5617</v>
      </c>
      <c r="F8210" t="s">
        <v>29564</v>
      </c>
      <c r="G8210" t="s">
        <v>29562</v>
      </c>
      <c r="H8210" t="s">
        <v>5474</v>
      </c>
      <c r="I8210" t="s">
        <v>29565</v>
      </c>
      <c r="J8210" t="s">
        <v>5484</v>
      </c>
      <c r="K8210" t="s">
        <v>28880</v>
      </c>
      <c r="L8210" t="s">
        <v>5471</v>
      </c>
      <c r="M8210" t="s">
        <v>5471</v>
      </c>
    </row>
    <row r="8211" spans="1:13" x14ac:dyDescent="0.3">
      <c r="A8211" t="s">
        <v>3388</v>
      </c>
      <c r="B8211" t="s">
        <v>5316</v>
      </c>
      <c r="C8211" t="s">
        <v>5470</v>
      </c>
      <c r="D8211" t="s">
        <v>4058</v>
      </c>
      <c r="E8211" t="s">
        <v>5617</v>
      </c>
      <c r="F8211" t="s">
        <v>29566</v>
      </c>
      <c r="G8211" t="s">
        <v>29562</v>
      </c>
      <c r="H8211" t="s">
        <v>5474</v>
      </c>
      <c r="I8211" t="s">
        <v>29567</v>
      </c>
      <c r="J8211" t="s">
        <v>5484</v>
      </c>
      <c r="K8211" t="s">
        <v>28883</v>
      </c>
      <c r="L8211" t="s">
        <v>5471</v>
      </c>
      <c r="M8211" t="s">
        <v>5471</v>
      </c>
    </row>
    <row r="8212" spans="1:13" x14ac:dyDescent="0.3">
      <c r="A8212" t="s">
        <v>3388</v>
      </c>
      <c r="B8212" t="s">
        <v>5316</v>
      </c>
      <c r="C8212" t="s">
        <v>5470</v>
      </c>
      <c r="D8212" t="s">
        <v>4058</v>
      </c>
      <c r="E8212" t="s">
        <v>5617</v>
      </c>
      <c r="F8212" t="s">
        <v>29568</v>
      </c>
      <c r="G8212" t="s">
        <v>29569</v>
      </c>
      <c r="H8212" t="s">
        <v>5474</v>
      </c>
      <c r="I8212" t="s">
        <v>29570</v>
      </c>
      <c r="J8212" t="s">
        <v>5484</v>
      </c>
      <c r="K8212" t="s">
        <v>29571</v>
      </c>
      <c r="L8212" t="s">
        <v>5471</v>
      </c>
      <c r="M8212" t="s">
        <v>5471</v>
      </c>
    </row>
    <row r="8213" spans="1:13" x14ac:dyDescent="0.3">
      <c r="A8213" t="s">
        <v>3388</v>
      </c>
      <c r="B8213" t="s">
        <v>5316</v>
      </c>
      <c r="C8213" t="s">
        <v>5470</v>
      </c>
      <c r="D8213" t="s">
        <v>4058</v>
      </c>
      <c r="E8213" t="s">
        <v>5617</v>
      </c>
      <c r="F8213" t="s">
        <v>29572</v>
      </c>
      <c r="G8213" t="s">
        <v>29569</v>
      </c>
      <c r="H8213" t="s">
        <v>5474</v>
      </c>
      <c r="I8213" t="s">
        <v>29573</v>
      </c>
      <c r="J8213" t="s">
        <v>5484</v>
      </c>
      <c r="K8213" t="s">
        <v>29574</v>
      </c>
      <c r="L8213" t="s">
        <v>5471</v>
      </c>
      <c r="M8213" t="s">
        <v>5471</v>
      </c>
    </row>
    <row r="8214" spans="1:13" x14ac:dyDescent="0.3">
      <c r="A8214" t="s">
        <v>3388</v>
      </c>
      <c r="B8214" t="s">
        <v>5316</v>
      </c>
      <c r="C8214" t="s">
        <v>5470</v>
      </c>
      <c r="D8214" t="s">
        <v>4058</v>
      </c>
      <c r="E8214" t="s">
        <v>5617</v>
      </c>
      <c r="F8214" t="s">
        <v>29575</v>
      </c>
      <c r="G8214" t="s">
        <v>29569</v>
      </c>
      <c r="H8214" t="s">
        <v>5474</v>
      </c>
      <c r="I8214" t="s">
        <v>29576</v>
      </c>
      <c r="J8214" t="s">
        <v>5484</v>
      </c>
      <c r="K8214" t="s">
        <v>28052</v>
      </c>
      <c r="L8214" t="s">
        <v>5471</v>
      </c>
      <c r="M8214" t="s">
        <v>5471</v>
      </c>
    </row>
    <row r="8215" spans="1:13" x14ac:dyDescent="0.3">
      <c r="A8215" t="s">
        <v>3388</v>
      </c>
      <c r="B8215" t="s">
        <v>5316</v>
      </c>
      <c r="C8215" t="s">
        <v>5470</v>
      </c>
      <c r="D8215" t="s">
        <v>4058</v>
      </c>
      <c r="E8215" t="s">
        <v>5617</v>
      </c>
      <c r="F8215" t="s">
        <v>29577</v>
      </c>
      <c r="G8215" t="s">
        <v>29578</v>
      </c>
      <c r="H8215" t="s">
        <v>5474</v>
      </c>
      <c r="I8215" t="s">
        <v>29579</v>
      </c>
      <c r="J8215" t="s">
        <v>5484</v>
      </c>
      <c r="K8215" t="s">
        <v>29580</v>
      </c>
      <c r="L8215" t="s">
        <v>5471</v>
      </c>
      <c r="M8215" t="s">
        <v>5471</v>
      </c>
    </row>
    <row r="8216" spans="1:13" x14ac:dyDescent="0.3">
      <c r="A8216" t="s">
        <v>3388</v>
      </c>
      <c r="B8216" t="s">
        <v>5316</v>
      </c>
      <c r="C8216" t="s">
        <v>5470</v>
      </c>
      <c r="D8216" t="s">
        <v>4058</v>
      </c>
      <c r="E8216" t="s">
        <v>5617</v>
      </c>
      <c r="F8216" t="s">
        <v>29581</v>
      </c>
      <c r="G8216" t="s">
        <v>29582</v>
      </c>
      <c r="H8216" t="s">
        <v>5474</v>
      </c>
      <c r="I8216" t="s">
        <v>29583</v>
      </c>
      <c r="J8216" t="s">
        <v>5484</v>
      </c>
      <c r="K8216" t="s">
        <v>29584</v>
      </c>
      <c r="L8216" t="s">
        <v>5471</v>
      </c>
      <c r="M8216" t="s">
        <v>5471</v>
      </c>
    </row>
    <row r="8217" spans="1:13" x14ac:dyDescent="0.3">
      <c r="A8217" t="s">
        <v>3388</v>
      </c>
      <c r="B8217" t="s">
        <v>5316</v>
      </c>
      <c r="C8217" t="s">
        <v>5470</v>
      </c>
      <c r="D8217" t="s">
        <v>4058</v>
      </c>
      <c r="E8217" t="s">
        <v>5617</v>
      </c>
      <c r="F8217" t="s">
        <v>29585</v>
      </c>
      <c r="G8217" t="s">
        <v>29582</v>
      </c>
      <c r="H8217" t="s">
        <v>5474</v>
      </c>
      <c r="I8217" t="s">
        <v>29586</v>
      </c>
      <c r="J8217" t="s">
        <v>5484</v>
      </c>
      <c r="K8217" t="s">
        <v>29587</v>
      </c>
      <c r="L8217" t="s">
        <v>5471</v>
      </c>
      <c r="M8217" t="s">
        <v>5471</v>
      </c>
    </row>
    <row r="8218" spans="1:13" x14ac:dyDescent="0.3">
      <c r="A8218" t="s">
        <v>3388</v>
      </c>
      <c r="B8218" t="s">
        <v>5316</v>
      </c>
      <c r="C8218" t="s">
        <v>5470</v>
      </c>
      <c r="D8218" t="s">
        <v>4058</v>
      </c>
      <c r="E8218" t="s">
        <v>5617</v>
      </c>
      <c r="F8218" t="s">
        <v>29588</v>
      </c>
      <c r="G8218" t="s">
        <v>29582</v>
      </c>
      <c r="H8218" t="s">
        <v>5474</v>
      </c>
      <c r="I8218" t="s">
        <v>29589</v>
      </c>
      <c r="J8218" t="s">
        <v>5484</v>
      </c>
      <c r="K8218" t="s">
        <v>29590</v>
      </c>
      <c r="L8218" t="s">
        <v>5471</v>
      </c>
      <c r="M8218" t="s">
        <v>5471</v>
      </c>
    </row>
    <row r="8219" spans="1:13" x14ac:dyDescent="0.3">
      <c r="A8219" t="s">
        <v>3388</v>
      </c>
      <c r="B8219" t="s">
        <v>5316</v>
      </c>
      <c r="C8219" t="s">
        <v>5470</v>
      </c>
      <c r="D8219" t="s">
        <v>4058</v>
      </c>
      <c r="E8219" t="s">
        <v>5617</v>
      </c>
      <c r="F8219" t="s">
        <v>29591</v>
      </c>
      <c r="G8219" t="s">
        <v>29592</v>
      </c>
      <c r="H8219" t="s">
        <v>5474</v>
      </c>
      <c r="I8219" t="s">
        <v>29593</v>
      </c>
      <c r="J8219" t="s">
        <v>5484</v>
      </c>
      <c r="K8219" t="s">
        <v>29594</v>
      </c>
      <c r="L8219" t="s">
        <v>5471</v>
      </c>
      <c r="M8219" t="s">
        <v>5471</v>
      </c>
    </row>
    <row r="8220" spans="1:13" x14ac:dyDescent="0.3">
      <c r="A8220" t="s">
        <v>3388</v>
      </c>
      <c r="B8220" t="s">
        <v>5316</v>
      </c>
      <c r="C8220" t="s">
        <v>5470</v>
      </c>
      <c r="D8220" t="s">
        <v>4058</v>
      </c>
      <c r="E8220" t="s">
        <v>5617</v>
      </c>
      <c r="F8220" t="s">
        <v>29595</v>
      </c>
      <c r="G8220" t="s">
        <v>29592</v>
      </c>
      <c r="H8220" t="s">
        <v>5474</v>
      </c>
      <c r="I8220" t="s">
        <v>29596</v>
      </c>
      <c r="J8220" t="s">
        <v>5484</v>
      </c>
      <c r="K8220" t="s">
        <v>29597</v>
      </c>
      <c r="L8220" t="s">
        <v>5471</v>
      </c>
      <c r="M8220" t="s">
        <v>5471</v>
      </c>
    </row>
    <row r="8221" spans="1:13" x14ac:dyDescent="0.3">
      <c r="A8221" t="s">
        <v>3388</v>
      </c>
      <c r="B8221" t="s">
        <v>5316</v>
      </c>
      <c r="C8221" t="s">
        <v>5470</v>
      </c>
      <c r="D8221" t="s">
        <v>4058</v>
      </c>
      <c r="E8221" t="s">
        <v>5617</v>
      </c>
      <c r="F8221" t="s">
        <v>29598</v>
      </c>
      <c r="G8221" t="s">
        <v>29592</v>
      </c>
      <c r="H8221" t="s">
        <v>5474</v>
      </c>
      <c r="I8221" t="s">
        <v>29599</v>
      </c>
      <c r="J8221" t="s">
        <v>5484</v>
      </c>
      <c r="K8221" t="s">
        <v>29600</v>
      </c>
      <c r="L8221" t="s">
        <v>5471</v>
      </c>
      <c r="M8221" t="s">
        <v>5471</v>
      </c>
    </row>
    <row r="8222" spans="1:13" x14ac:dyDescent="0.3">
      <c r="A8222" t="s">
        <v>3388</v>
      </c>
      <c r="B8222" t="s">
        <v>5316</v>
      </c>
      <c r="C8222" t="s">
        <v>5470</v>
      </c>
      <c r="D8222" t="s">
        <v>4058</v>
      </c>
      <c r="E8222" t="s">
        <v>5617</v>
      </c>
      <c r="F8222" t="s">
        <v>29601</v>
      </c>
      <c r="G8222" t="s">
        <v>29602</v>
      </c>
      <c r="H8222" t="s">
        <v>5474</v>
      </c>
      <c r="I8222" t="s">
        <v>29603</v>
      </c>
      <c r="J8222" t="s">
        <v>5484</v>
      </c>
      <c r="K8222" t="s">
        <v>29141</v>
      </c>
      <c r="L8222" t="s">
        <v>5471</v>
      </c>
      <c r="M8222" t="s">
        <v>5471</v>
      </c>
    </row>
    <row r="8223" spans="1:13" x14ac:dyDescent="0.3">
      <c r="A8223" t="s">
        <v>3388</v>
      </c>
      <c r="B8223" t="s">
        <v>5316</v>
      </c>
      <c r="C8223" t="s">
        <v>5470</v>
      </c>
      <c r="D8223" t="s">
        <v>4058</v>
      </c>
      <c r="E8223" t="s">
        <v>5617</v>
      </c>
      <c r="F8223" t="s">
        <v>29604</v>
      </c>
      <c r="G8223" t="s">
        <v>29605</v>
      </c>
      <c r="H8223" t="s">
        <v>5474</v>
      </c>
      <c r="I8223" t="s">
        <v>29606</v>
      </c>
      <c r="J8223" t="s">
        <v>5484</v>
      </c>
      <c r="K8223" t="s">
        <v>29607</v>
      </c>
      <c r="L8223" t="s">
        <v>5471</v>
      </c>
      <c r="M8223" t="s">
        <v>5471</v>
      </c>
    </row>
    <row r="8224" spans="1:13" x14ac:dyDescent="0.3">
      <c r="A8224" t="s">
        <v>3388</v>
      </c>
      <c r="B8224" t="s">
        <v>5316</v>
      </c>
      <c r="C8224" t="s">
        <v>5470</v>
      </c>
      <c r="D8224" t="s">
        <v>4058</v>
      </c>
      <c r="E8224" t="s">
        <v>5617</v>
      </c>
      <c r="F8224" t="s">
        <v>29608</v>
      </c>
      <c r="G8224" t="s">
        <v>29605</v>
      </c>
      <c r="H8224" t="s">
        <v>5474</v>
      </c>
      <c r="I8224" t="s">
        <v>29609</v>
      </c>
      <c r="J8224" t="s">
        <v>5484</v>
      </c>
      <c r="K8224" t="s">
        <v>29610</v>
      </c>
      <c r="L8224" t="s">
        <v>5471</v>
      </c>
      <c r="M8224" t="s">
        <v>5471</v>
      </c>
    </row>
    <row r="8225" spans="1:13" x14ac:dyDescent="0.3">
      <c r="A8225" t="s">
        <v>3388</v>
      </c>
      <c r="B8225" t="s">
        <v>5316</v>
      </c>
      <c r="C8225" t="s">
        <v>5470</v>
      </c>
      <c r="D8225" t="s">
        <v>4058</v>
      </c>
      <c r="E8225" t="s">
        <v>5617</v>
      </c>
      <c r="F8225" t="s">
        <v>29611</v>
      </c>
      <c r="G8225" t="s">
        <v>29605</v>
      </c>
      <c r="H8225" t="s">
        <v>5474</v>
      </c>
      <c r="I8225" t="s">
        <v>29612</v>
      </c>
      <c r="J8225" t="s">
        <v>5484</v>
      </c>
      <c r="K8225" t="s">
        <v>29613</v>
      </c>
      <c r="L8225" t="s">
        <v>5471</v>
      </c>
      <c r="M8225" t="s">
        <v>5471</v>
      </c>
    </row>
    <row r="8226" spans="1:13" x14ac:dyDescent="0.3">
      <c r="A8226" t="s">
        <v>3388</v>
      </c>
      <c r="B8226" t="s">
        <v>21595</v>
      </c>
      <c r="C8226" t="s">
        <v>5470</v>
      </c>
      <c r="D8226" t="s">
        <v>4058</v>
      </c>
      <c r="E8226" t="s">
        <v>5617</v>
      </c>
      <c r="F8226" t="s">
        <v>29614</v>
      </c>
      <c r="G8226" t="s">
        <v>29615</v>
      </c>
      <c r="H8226" t="s">
        <v>5474</v>
      </c>
      <c r="I8226" t="s">
        <v>29616</v>
      </c>
      <c r="J8226" t="s">
        <v>5484</v>
      </c>
      <c r="K8226" t="s">
        <v>29617</v>
      </c>
      <c r="L8226" t="s">
        <v>5471</v>
      </c>
      <c r="M8226" t="s">
        <v>5471</v>
      </c>
    </row>
    <row r="8227" spans="1:13" x14ac:dyDescent="0.3">
      <c r="A8227" t="s">
        <v>3388</v>
      </c>
      <c r="B8227" t="s">
        <v>5299</v>
      </c>
      <c r="C8227" t="s">
        <v>5470</v>
      </c>
      <c r="D8227" t="s">
        <v>4058</v>
      </c>
      <c r="E8227" t="s">
        <v>5617</v>
      </c>
      <c r="F8227" t="s">
        <v>29618</v>
      </c>
      <c r="G8227" t="s">
        <v>29619</v>
      </c>
      <c r="H8227" t="s">
        <v>5474</v>
      </c>
      <c r="I8227" t="s">
        <v>29620</v>
      </c>
      <c r="J8227" t="s">
        <v>5484</v>
      </c>
      <c r="K8227" t="s">
        <v>28814</v>
      </c>
      <c r="L8227" t="s">
        <v>5471</v>
      </c>
      <c r="M8227" t="s">
        <v>5471</v>
      </c>
    </row>
    <row r="8228" spans="1:13" x14ac:dyDescent="0.3">
      <c r="A8228" t="s">
        <v>3388</v>
      </c>
      <c r="B8228" t="s">
        <v>5299</v>
      </c>
      <c r="C8228" t="s">
        <v>5470</v>
      </c>
      <c r="D8228" t="s">
        <v>4058</v>
      </c>
      <c r="E8228" t="s">
        <v>5617</v>
      </c>
      <c r="F8228" t="s">
        <v>29621</v>
      </c>
      <c r="G8228" t="s">
        <v>29622</v>
      </c>
      <c r="H8228" t="s">
        <v>5474</v>
      </c>
      <c r="I8228" t="s">
        <v>29623</v>
      </c>
      <c r="J8228" t="s">
        <v>5484</v>
      </c>
      <c r="K8228" t="s">
        <v>28863</v>
      </c>
      <c r="L8228" t="s">
        <v>5471</v>
      </c>
      <c r="M8228" t="s">
        <v>5471</v>
      </c>
    </row>
    <row r="8229" spans="1:13" x14ac:dyDescent="0.3">
      <c r="A8229" t="s">
        <v>3388</v>
      </c>
      <c r="B8229" t="s">
        <v>5299</v>
      </c>
      <c r="C8229" t="s">
        <v>5470</v>
      </c>
      <c r="D8229" t="s">
        <v>4058</v>
      </c>
      <c r="E8229" t="s">
        <v>5617</v>
      </c>
      <c r="F8229" t="s">
        <v>29624</v>
      </c>
      <c r="G8229" t="s">
        <v>29625</v>
      </c>
      <c r="H8229" t="s">
        <v>5474</v>
      </c>
      <c r="I8229" t="s">
        <v>29626</v>
      </c>
      <c r="J8229" t="s">
        <v>5484</v>
      </c>
      <c r="K8229" t="s">
        <v>28052</v>
      </c>
      <c r="L8229" t="s">
        <v>5471</v>
      </c>
      <c r="M8229" t="s">
        <v>5471</v>
      </c>
    </row>
    <row r="8230" spans="1:13" x14ac:dyDescent="0.3">
      <c r="A8230" t="s">
        <v>3388</v>
      </c>
      <c r="B8230" t="s">
        <v>7101</v>
      </c>
      <c r="C8230" t="s">
        <v>5470</v>
      </c>
      <c r="D8230" t="s">
        <v>4058</v>
      </c>
      <c r="E8230" t="s">
        <v>5617</v>
      </c>
      <c r="F8230" t="s">
        <v>29627</v>
      </c>
      <c r="G8230" t="s">
        <v>29628</v>
      </c>
      <c r="H8230" t="s">
        <v>5474</v>
      </c>
      <c r="I8230" t="s">
        <v>29629</v>
      </c>
      <c r="J8230" t="s">
        <v>5484</v>
      </c>
      <c r="K8230" t="s">
        <v>29630</v>
      </c>
      <c r="L8230" t="s">
        <v>5471</v>
      </c>
      <c r="M8230" t="s">
        <v>5471</v>
      </c>
    </row>
    <row r="8231" spans="1:13" x14ac:dyDescent="0.3">
      <c r="A8231" t="s">
        <v>3388</v>
      </c>
      <c r="B8231" t="s">
        <v>7101</v>
      </c>
      <c r="C8231" t="s">
        <v>5470</v>
      </c>
      <c r="D8231" t="s">
        <v>4058</v>
      </c>
      <c r="E8231" t="s">
        <v>5617</v>
      </c>
      <c r="F8231" t="s">
        <v>29631</v>
      </c>
      <c r="G8231" t="s">
        <v>29628</v>
      </c>
      <c r="H8231" t="s">
        <v>5474</v>
      </c>
      <c r="I8231" t="s">
        <v>29632</v>
      </c>
      <c r="J8231" t="s">
        <v>5484</v>
      </c>
      <c r="K8231" t="s">
        <v>29633</v>
      </c>
      <c r="L8231" t="s">
        <v>5471</v>
      </c>
      <c r="M8231" t="s">
        <v>5471</v>
      </c>
    </row>
    <row r="8232" spans="1:13" x14ac:dyDescent="0.3">
      <c r="A8232" t="s">
        <v>3388</v>
      </c>
      <c r="B8232" t="s">
        <v>7101</v>
      </c>
      <c r="C8232" t="s">
        <v>5470</v>
      </c>
      <c r="D8232" t="s">
        <v>4058</v>
      </c>
      <c r="E8232" t="s">
        <v>5617</v>
      </c>
      <c r="F8232" t="s">
        <v>29634</v>
      </c>
      <c r="G8232" t="s">
        <v>29628</v>
      </c>
      <c r="H8232" t="s">
        <v>5474</v>
      </c>
      <c r="I8232" t="s">
        <v>29635</v>
      </c>
      <c r="J8232" t="s">
        <v>5484</v>
      </c>
      <c r="K8232" t="s">
        <v>29636</v>
      </c>
      <c r="L8232" t="s">
        <v>5471</v>
      </c>
      <c r="M8232" t="s">
        <v>5471</v>
      </c>
    </row>
    <row r="8233" spans="1:13" x14ac:dyDescent="0.3">
      <c r="A8233" t="s">
        <v>3388</v>
      </c>
      <c r="B8233" t="s">
        <v>7101</v>
      </c>
      <c r="C8233" t="s">
        <v>5470</v>
      </c>
      <c r="D8233" t="s">
        <v>4058</v>
      </c>
      <c r="E8233" t="s">
        <v>5617</v>
      </c>
      <c r="F8233" t="s">
        <v>29637</v>
      </c>
      <c r="G8233" t="s">
        <v>29638</v>
      </c>
      <c r="H8233" t="s">
        <v>5474</v>
      </c>
      <c r="I8233" t="s">
        <v>29639</v>
      </c>
      <c r="J8233" t="s">
        <v>5484</v>
      </c>
      <c r="K8233" t="s">
        <v>29640</v>
      </c>
      <c r="L8233" t="s">
        <v>5471</v>
      </c>
      <c r="M8233" t="s">
        <v>5471</v>
      </c>
    </row>
    <row r="8234" spans="1:13" x14ac:dyDescent="0.3">
      <c r="A8234" t="s">
        <v>3388</v>
      </c>
      <c r="B8234" t="s">
        <v>7101</v>
      </c>
      <c r="C8234" t="s">
        <v>5470</v>
      </c>
      <c r="D8234" t="s">
        <v>4058</v>
      </c>
      <c r="E8234" t="s">
        <v>5617</v>
      </c>
      <c r="F8234" t="s">
        <v>29641</v>
      </c>
      <c r="G8234" t="s">
        <v>29638</v>
      </c>
      <c r="H8234" t="s">
        <v>5474</v>
      </c>
      <c r="I8234" t="s">
        <v>29642</v>
      </c>
      <c r="J8234" t="s">
        <v>5484</v>
      </c>
      <c r="K8234" t="s">
        <v>29643</v>
      </c>
      <c r="L8234" t="s">
        <v>5471</v>
      </c>
      <c r="M8234" t="s">
        <v>5471</v>
      </c>
    </row>
    <row r="8235" spans="1:13" x14ac:dyDescent="0.3">
      <c r="A8235" t="s">
        <v>3388</v>
      </c>
      <c r="B8235" t="s">
        <v>7101</v>
      </c>
      <c r="C8235" t="s">
        <v>5470</v>
      </c>
      <c r="D8235" t="s">
        <v>4058</v>
      </c>
      <c r="E8235" t="s">
        <v>5617</v>
      </c>
      <c r="F8235" t="s">
        <v>29644</v>
      </c>
      <c r="G8235" t="s">
        <v>29638</v>
      </c>
      <c r="H8235" t="s">
        <v>5474</v>
      </c>
      <c r="I8235" t="s">
        <v>29645</v>
      </c>
      <c r="J8235" t="s">
        <v>5484</v>
      </c>
      <c r="K8235" t="s">
        <v>29646</v>
      </c>
      <c r="L8235" t="s">
        <v>5471</v>
      </c>
      <c r="M8235" t="s">
        <v>5471</v>
      </c>
    </row>
    <row r="8236" spans="1:13" x14ac:dyDescent="0.3">
      <c r="A8236" t="s">
        <v>3388</v>
      </c>
      <c r="B8236" t="s">
        <v>7101</v>
      </c>
      <c r="C8236" t="s">
        <v>5470</v>
      </c>
      <c r="D8236" t="s">
        <v>4058</v>
      </c>
      <c r="E8236" t="s">
        <v>5617</v>
      </c>
      <c r="F8236" t="s">
        <v>29647</v>
      </c>
      <c r="G8236" t="s">
        <v>29648</v>
      </c>
      <c r="H8236" t="s">
        <v>5474</v>
      </c>
      <c r="I8236" t="s">
        <v>29649</v>
      </c>
      <c r="J8236" t="s">
        <v>5484</v>
      </c>
      <c r="K8236" t="s">
        <v>29594</v>
      </c>
      <c r="L8236" t="s">
        <v>5471</v>
      </c>
      <c r="M8236" t="s">
        <v>5471</v>
      </c>
    </row>
    <row r="8237" spans="1:13" x14ac:dyDescent="0.3">
      <c r="A8237" t="s">
        <v>3388</v>
      </c>
      <c r="B8237" t="s">
        <v>7101</v>
      </c>
      <c r="C8237" t="s">
        <v>5470</v>
      </c>
      <c r="D8237" t="s">
        <v>4058</v>
      </c>
      <c r="E8237" t="s">
        <v>5617</v>
      </c>
      <c r="F8237" t="s">
        <v>29650</v>
      </c>
      <c r="G8237" t="s">
        <v>29648</v>
      </c>
      <c r="H8237" t="s">
        <v>5474</v>
      </c>
      <c r="I8237" t="s">
        <v>29651</v>
      </c>
      <c r="J8237" t="s">
        <v>5484</v>
      </c>
      <c r="K8237" t="s">
        <v>29597</v>
      </c>
      <c r="L8237" t="s">
        <v>5471</v>
      </c>
      <c r="M8237" t="s">
        <v>5471</v>
      </c>
    </row>
    <row r="8238" spans="1:13" x14ac:dyDescent="0.3">
      <c r="A8238" t="s">
        <v>3388</v>
      </c>
      <c r="B8238" t="s">
        <v>7101</v>
      </c>
      <c r="C8238" t="s">
        <v>5470</v>
      </c>
      <c r="D8238" t="s">
        <v>4058</v>
      </c>
      <c r="E8238" t="s">
        <v>5617</v>
      </c>
      <c r="F8238" t="s">
        <v>29652</v>
      </c>
      <c r="G8238" t="s">
        <v>29648</v>
      </c>
      <c r="H8238" t="s">
        <v>5474</v>
      </c>
      <c r="I8238" t="s">
        <v>29653</v>
      </c>
      <c r="J8238" t="s">
        <v>5484</v>
      </c>
      <c r="K8238" t="s">
        <v>29600</v>
      </c>
      <c r="L8238" t="s">
        <v>5471</v>
      </c>
      <c r="M8238" t="s">
        <v>5471</v>
      </c>
    </row>
    <row r="8239" spans="1:13" x14ac:dyDescent="0.3">
      <c r="A8239" t="s">
        <v>3388</v>
      </c>
      <c r="B8239" t="s">
        <v>5263</v>
      </c>
      <c r="C8239" t="s">
        <v>5470</v>
      </c>
      <c r="D8239" t="s">
        <v>4058</v>
      </c>
      <c r="E8239" t="s">
        <v>5617</v>
      </c>
      <c r="F8239" t="s">
        <v>29654</v>
      </c>
      <c r="G8239" t="s">
        <v>29655</v>
      </c>
      <c r="H8239" t="s">
        <v>5474</v>
      </c>
      <c r="I8239" t="s">
        <v>29656</v>
      </c>
      <c r="J8239" t="s">
        <v>5484</v>
      </c>
      <c r="K8239" t="s">
        <v>28710</v>
      </c>
      <c r="L8239" t="s">
        <v>5471</v>
      </c>
      <c r="M8239" t="s">
        <v>5471</v>
      </c>
    </row>
    <row r="8240" spans="1:13" x14ac:dyDescent="0.3">
      <c r="A8240" t="s">
        <v>3388</v>
      </c>
      <c r="B8240" t="s">
        <v>5263</v>
      </c>
      <c r="C8240" t="s">
        <v>5470</v>
      </c>
      <c r="D8240" t="s">
        <v>4058</v>
      </c>
      <c r="E8240" t="s">
        <v>5617</v>
      </c>
      <c r="F8240" t="s">
        <v>29657</v>
      </c>
      <c r="G8240" t="s">
        <v>29658</v>
      </c>
      <c r="H8240" t="s">
        <v>5474</v>
      </c>
      <c r="I8240" t="s">
        <v>29659</v>
      </c>
      <c r="J8240" t="s">
        <v>5484</v>
      </c>
      <c r="K8240" t="s">
        <v>28999</v>
      </c>
      <c r="L8240" t="s">
        <v>5471</v>
      </c>
      <c r="M8240" t="s">
        <v>5471</v>
      </c>
    </row>
    <row r="8241" spans="1:13" x14ac:dyDescent="0.3">
      <c r="A8241" t="s">
        <v>3388</v>
      </c>
      <c r="B8241" t="s">
        <v>5263</v>
      </c>
      <c r="C8241" t="s">
        <v>5470</v>
      </c>
      <c r="D8241" t="s">
        <v>4058</v>
      </c>
      <c r="E8241" t="s">
        <v>5617</v>
      </c>
      <c r="F8241" t="s">
        <v>29660</v>
      </c>
      <c r="G8241" t="s">
        <v>29661</v>
      </c>
      <c r="H8241" t="s">
        <v>5474</v>
      </c>
      <c r="I8241" t="s">
        <v>29662</v>
      </c>
      <c r="J8241" t="s">
        <v>5484</v>
      </c>
      <c r="K8241" t="s">
        <v>28828</v>
      </c>
      <c r="L8241" t="s">
        <v>5471</v>
      </c>
      <c r="M8241" t="s">
        <v>5471</v>
      </c>
    </row>
    <row r="8242" spans="1:13" x14ac:dyDescent="0.3">
      <c r="A8242" t="s">
        <v>3388</v>
      </c>
      <c r="B8242" t="s">
        <v>5263</v>
      </c>
      <c r="C8242" t="s">
        <v>5470</v>
      </c>
      <c r="D8242" t="s">
        <v>4058</v>
      </c>
      <c r="E8242" t="s">
        <v>5617</v>
      </c>
      <c r="F8242" t="s">
        <v>29663</v>
      </c>
      <c r="G8242" t="s">
        <v>29661</v>
      </c>
      <c r="H8242" t="s">
        <v>5474</v>
      </c>
      <c r="I8242" t="s">
        <v>29664</v>
      </c>
      <c r="J8242" t="s">
        <v>5484</v>
      </c>
      <c r="K8242" t="s">
        <v>28831</v>
      </c>
      <c r="L8242" t="s">
        <v>5471</v>
      </c>
      <c r="M8242" t="s">
        <v>5471</v>
      </c>
    </row>
    <row r="8243" spans="1:13" x14ac:dyDescent="0.3">
      <c r="A8243" t="s">
        <v>3388</v>
      </c>
      <c r="B8243" t="s">
        <v>5263</v>
      </c>
      <c r="C8243" t="s">
        <v>5470</v>
      </c>
      <c r="D8243" t="s">
        <v>4058</v>
      </c>
      <c r="E8243" t="s">
        <v>5617</v>
      </c>
      <c r="F8243" t="s">
        <v>29665</v>
      </c>
      <c r="G8243" t="s">
        <v>29661</v>
      </c>
      <c r="H8243" t="s">
        <v>5474</v>
      </c>
      <c r="I8243" t="s">
        <v>29666</v>
      </c>
      <c r="J8243" t="s">
        <v>5484</v>
      </c>
      <c r="K8243" t="s">
        <v>28814</v>
      </c>
      <c r="L8243" t="s">
        <v>5471</v>
      </c>
      <c r="M8243" t="s">
        <v>5471</v>
      </c>
    </row>
    <row r="8244" spans="1:13" x14ac:dyDescent="0.3">
      <c r="A8244" t="s">
        <v>3388</v>
      </c>
      <c r="B8244" t="s">
        <v>5263</v>
      </c>
      <c r="C8244" t="s">
        <v>5470</v>
      </c>
      <c r="D8244" t="s">
        <v>4058</v>
      </c>
      <c r="E8244" t="s">
        <v>5617</v>
      </c>
      <c r="F8244" t="s">
        <v>29667</v>
      </c>
      <c r="G8244" t="s">
        <v>29661</v>
      </c>
      <c r="H8244" t="s">
        <v>5474</v>
      </c>
      <c r="I8244" t="s">
        <v>29668</v>
      </c>
      <c r="J8244" t="s">
        <v>5484</v>
      </c>
      <c r="K8244" t="s">
        <v>29669</v>
      </c>
      <c r="L8244" t="s">
        <v>5471</v>
      </c>
      <c r="M8244" t="s">
        <v>5471</v>
      </c>
    </row>
    <row r="8245" spans="1:13" x14ac:dyDescent="0.3">
      <c r="A8245" t="s">
        <v>3388</v>
      </c>
      <c r="B8245" t="s">
        <v>5263</v>
      </c>
      <c r="C8245" t="s">
        <v>5470</v>
      </c>
      <c r="D8245" t="s">
        <v>4058</v>
      </c>
      <c r="E8245" t="s">
        <v>5617</v>
      </c>
      <c r="F8245" t="s">
        <v>29670</v>
      </c>
      <c r="G8245" t="s">
        <v>29671</v>
      </c>
      <c r="H8245" t="s">
        <v>5474</v>
      </c>
      <c r="I8245" t="s">
        <v>29672</v>
      </c>
      <c r="J8245" t="s">
        <v>5484</v>
      </c>
      <c r="K8245" t="s">
        <v>29571</v>
      </c>
      <c r="L8245" t="s">
        <v>5471</v>
      </c>
      <c r="M8245" t="s">
        <v>5471</v>
      </c>
    </row>
    <row r="8246" spans="1:13" x14ac:dyDescent="0.3">
      <c r="A8246" t="s">
        <v>3388</v>
      </c>
      <c r="B8246" t="s">
        <v>5263</v>
      </c>
      <c r="C8246" t="s">
        <v>5470</v>
      </c>
      <c r="D8246" t="s">
        <v>4058</v>
      </c>
      <c r="E8246" t="s">
        <v>5617</v>
      </c>
      <c r="F8246" t="s">
        <v>29673</v>
      </c>
      <c r="G8246" t="s">
        <v>29671</v>
      </c>
      <c r="H8246" t="s">
        <v>5474</v>
      </c>
      <c r="I8246" t="s">
        <v>29674</v>
      </c>
      <c r="J8246" t="s">
        <v>5484</v>
      </c>
      <c r="K8246" t="s">
        <v>29574</v>
      </c>
      <c r="L8246" t="s">
        <v>5471</v>
      </c>
      <c r="M8246" t="s">
        <v>5471</v>
      </c>
    </row>
    <row r="8247" spans="1:13" x14ac:dyDescent="0.3">
      <c r="A8247" t="s">
        <v>3388</v>
      </c>
      <c r="B8247" t="s">
        <v>5263</v>
      </c>
      <c r="C8247" t="s">
        <v>5470</v>
      </c>
      <c r="D8247" t="s">
        <v>4058</v>
      </c>
      <c r="E8247" t="s">
        <v>5617</v>
      </c>
      <c r="F8247" t="s">
        <v>29675</v>
      </c>
      <c r="G8247" t="s">
        <v>29676</v>
      </c>
      <c r="H8247" t="s">
        <v>5474</v>
      </c>
      <c r="I8247" t="s">
        <v>29677</v>
      </c>
      <c r="J8247" t="s">
        <v>5484</v>
      </c>
      <c r="K8247" t="s">
        <v>29678</v>
      </c>
      <c r="L8247" t="s">
        <v>5471</v>
      </c>
      <c r="M8247" t="s">
        <v>5471</v>
      </c>
    </row>
    <row r="8248" spans="1:13" x14ac:dyDescent="0.3">
      <c r="A8248" t="s">
        <v>3388</v>
      </c>
      <c r="B8248" t="s">
        <v>5263</v>
      </c>
      <c r="C8248" t="s">
        <v>5470</v>
      </c>
      <c r="D8248" t="s">
        <v>4058</v>
      </c>
      <c r="E8248" t="s">
        <v>5617</v>
      </c>
      <c r="F8248" t="s">
        <v>29679</v>
      </c>
      <c r="G8248" t="s">
        <v>29680</v>
      </c>
      <c r="H8248" t="s">
        <v>5474</v>
      </c>
      <c r="I8248" t="s">
        <v>29681</v>
      </c>
      <c r="J8248" t="s">
        <v>5484</v>
      </c>
      <c r="K8248" t="s">
        <v>29682</v>
      </c>
      <c r="L8248" t="s">
        <v>5471</v>
      </c>
      <c r="M8248" t="s">
        <v>5471</v>
      </c>
    </row>
    <row r="8249" spans="1:13" x14ac:dyDescent="0.3">
      <c r="A8249" t="s">
        <v>3388</v>
      </c>
      <c r="B8249" t="s">
        <v>5263</v>
      </c>
      <c r="C8249" t="s">
        <v>5470</v>
      </c>
      <c r="D8249" t="s">
        <v>4058</v>
      </c>
      <c r="E8249" t="s">
        <v>5617</v>
      </c>
      <c r="F8249" t="s">
        <v>29683</v>
      </c>
      <c r="G8249" t="s">
        <v>29680</v>
      </c>
      <c r="H8249" t="s">
        <v>5474</v>
      </c>
      <c r="I8249" t="s">
        <v>29684</v>
      </c>
      <c r="J8249" t="s">
        <v>5484</v>
      </c>
      <c r="K8249" t="s">
        <v>29685</v>
      </c>
      <c r="L8249" t="s">
        <v>5471</v>
      </c>
      <c r="M8249" t="s">
        <v>5471</v>
      </c>
    </row>
    <row r="8250" spans="1:13" x14ac:dyDescent="0.3">
      <c r="A8250" t="s">
        <v>3388</v>
      </c>
      <c r="B8250" t="s">
        <v>5263</v>
      </c>
      <c r="C8250" t="s">
        <v>5470</v>
      </c>
      <c r="D8250" t="s">
        <v>4058</v>
      </c>
      <c r="E8250" t="s">
        <v>5617</v>
      </c>
      <c r="F8250" t="s">
        <v>29686</v>
      </c>
      <c r="G8250" t="s">
        <v>29687</v>
      </c>
      <c r="H8250" t="s">
        <v>5474</v>
      </c>
      <c r="I8250" t="s">
        <v>29688</v>
      </c>
      <c r="J8250" t="s">
        <v>5484</v>
      </c>
      <c r="K8250" t="s">
        <v>29689</v>
      </c>
      <c r="L8250" t="s">
        <v>5471</v>
      </c>
      <c r="M8250" t="s">
        <v>5471</v>
      </c>
    </row>
    <row r="8251" spans="1:13" x14ac:dyDescent="0.3">
      <c r="A8251" t="s">
        <v>3388</v>
      </c>
      <c r="B8251" t="s">
        <v>5263</v>
      </c>
      <c r="C8251" t="s">
        <v>5470</v>
      </c>
      <c r="D8251" t="s">
        <v>4058</v>
      </c>
      <c r="E8251" t="s">
        <v>5617</v>
      </c>
      <c r="F8251" t="s">
        <v>29690</v>
      </c>
      <c r="G8251" t="s">
        <v>29687</v>
      </c>
      <c r="H8251" t="s">
        <v>5474</v>
      </c>
      <c r="I8251" t="s">
        <v>29691</v>
      </c>
      <c r="J8251" t="s">
        <v>5484</v>
      </c>
      <c r="K8251" t="s">
        <v>29692</v>
      </c>
      <c r="L8251" t="s">
        <v>5471</v>
      </c>
      <c r="M8251" t="s">
        <v>5471</v>
      </c>
    </row>
    <row r="8252" spans="1:13" x14ac:dyDescent="0.3">
      <c r="A8252" t="s">
        <v>3388</v>
      </c>
      <c r="B8252" t="s">
        <v>5263</v>
      </c>
      <c r="C8252" t="s">
        <v>5470</v>
      </c>
      <c r="D8252" t="s">
        <v>4058</v>
      </c>
      <c r="E8252" t="s">
        <v>5617</v>
      </c>
      <c r="F8252" t="s">
        <v>29693</v>
      </c>
      <c r="G8252" t="s">
        <v>29687</v>
      </c>
      <c r="H8252" t="s">
        <v>5474</v>
      </c>
      <c r="I8252" t="s">
        <v>29694</v>
      </c>
      <c r="J8252" t="s">
        <v>5484</v>
      </c>
      <c r="K8252" t="s">
        <v>29695</v>
      </c>
      <c r="L8252" t="s">
        <v>5471</v>
      </c>
      <c r="M8252" t="s">
        <v>5471</v>
      </c>
    </row>
    <row r="8253" spans="1:13" x14ac:dyDescent="0.3">
      <c r="A8253" t="s">
        <v>3388</v>
      </c>
      <c r="B8253" t="s">
        <v>5263</v>
      </c>
      <c r="C8253" t="s">
        <v>5470</v>
      </c>
      <c r="D8253" t="s">
        <v>4058</v>
      </c>
      <c r="E8253" t="s">
        <v>5617</v>
      </c>
      <c r="F8253" t="s">
        <v>29696</v>
      </c>
      <c r="G8253" t="s">
        <v>29697</v>
      </c>
      <c r="H8253" t="s">
        <v>5474</v>
      </c>
      <c r="I8253" t="s">
        <v>29698</v>
      </c>
      <c r="J8253" t="s">
        <v>5484</v>
      </c>
      <c r="K8253" t="s">
        <v>29699</v>
      </c>
      <c r="L8253" t="s">
        <v>5471</v>
      </c>
      <c r="M8253" t="s">
        <v>5471</v>
      </c>
    </row>
    <row r="8254" spans="1:13" x14ac:dyDescent="0.3">
      <c r="A8254" t="s">
        <v>3388</v>
      </c>
      <c r="B8254" t="s">
        <v>5263</v>
      </c>
      <c r="C8254" t="s">
        <v>5470</v>
      </c>
      <c r="D8254" t="s">
        <v>4058</v>
      </c>
      <c r="E8254" t="s">
        <v>5617</v>
      </c>
      <c r="F8254" t="s">
        <v>29700</v>
      </c>
      <c r="G8254" t="s">
        <v>29697</v>
      </c>
      <c r="H8254" t="s">
        <v>5474</v>
      </c>
      <c r="I8254" t="s">
        <v>29701</v>
      </c>
      <c r="J8254" t="s">
        <v>5484</v>
      </c>
      <c r="K8254" t="s">
        <v>29702</v>
      </c>
      <c r="L8254" t="s">
        <v>5471</v>
      </c>
      <c r="M8254" t="s">
        <v>5471</v>
      </c>
    </row>
    <row r="8255" spans="1:13" x14ac:dyDescent="0.3">
      <c r="A8255" t="s">
        <v>3388</v>
      </c>
      <c r="B8255" t="s">
        <v>5263</v>
      </c>
      <c r="C8255" t="s">
        <v>5470</v>
      </c>
      <c r="D8255" t="s">
        <v>4058</v>
      </c>
      <c r="E8255" t="s">
        <v>5617</v>
      </c>
      <c r="F8255" t="s">
        <v>29703</v>
      </c>
      <c r="G8255" t="s">
        <v>29697</v>
      </c>
      <c r="H8255" t="s">
        <v>5474</v>
      </c>
      <c r="I8255" t="s">
        <v>29704</v>
      </c>
      <c r="J8255" t="s">
        <v>5484</v>
      </c>
      <c r="K8255" t="s">
        <v>29705</v>
      </c>
      <c r="L8255" t="s">
        <v>5471</v>
      </c>
      <c r="M8255" t="s">
        <v>5471</v>
      </c>
    </row>
    <row r="8256" spans="1:13" x14ac:dyDescent="0.3">
      <c r="A8256" t="s">
        <v>3388</v>
      </c>
      <c r="B8256" t="s">
        <v>17495</v>
      </c>
      <c r="C8256" t="s">
        <v>5470</v>
      </c>
      <c r="D8256" t="s">
        <v>4058</v>
      </c>
      <c r="E8256" t="s">
        <v>5617</v>
      </c>
      <c r="F8256" t="s">
        <v>29706</v>
      </c>
      <c r="G8256" t="s">
        <v>29707</v>
      </c>
      <c r="H8256" t="s">
        <v>5474</v>
      </c>
      <c r="I8256" t="s">
        <v>29708</v>
      </c>
      <c r="J8256" t="s">
        <v>5484</v>
      </c>
      <c r="K8256" t="s">
        <v>28828</v>
      </c>
      <c r="L8256" t="s">
        <v>5471</v>
      </c>
      <c r="M8256" t="s">
        <v>5471</v>
      </c>
    </row>
    <row r="8257" spans="1:13" x14ac:dyDescent="0.3">
      <c r="A8257" t="s">
        <v>3388</v>
      </c>
      <c r="B8257" t="s">
        <v>17495</v>
      </c>
      <c r="C8257" t="s">
        <v>5470</v>
      </c>
      <c r="D8257" t="s">
        <v>4058</v>
      </c>
      <c r="E8257" t="s">
        <v>5617</v>
      </c>
      <c r="F8257" t="s">
        <v>29709</v>
      </c>
      <c r="G8257" t="s">
        <v>29707</v>
      </c>
      <c r="H8257" t="s">
        <v>5474</v>
      </c>
      <c r="I8257" t="s">
        <v>29710</v>
      </c>
      <c r="J8257" t="s">
        <v>5484</v>
      </c>
      <c r="K8257" t="s">
        <v>28831</v>
      </c>
      <c r="L8257" t="s">
        <v>5471</v>
      </c>
      <c r="M8257" t="s">
        <v>5471</v>
      </c>
    </row>
    <row r="8258" spans="1:13" x14ac:dyDescent="0.3">
      <c r="A8258" t="s">
        <v>3388</v>
      </c>
      <c r="B8258" t="s">
        <v>17495</v>
      </c>
      <c r="C8258" t="s">
        <v>5470</v>
      </c>
      <c r="D8258" t="s">
        <v>4058</v>
      </c>
      <c r="E8258" t="s">
        <v>5617</v>
      </c>
      <c r="F8258" t="s">
        <v>29711</v>
      </c>
      <c r="G8258" t="s">
        <v>29712</v>
      </c>
      <c r="H8258" t="s">
        <v>5474</v>
      </c>
      <c r="I8258" t="s">
        <v>29713</v>
      </c>
      <c r="J8258" t="s">
        <v>5484</v>
      </c>
      <c r="K8258" t="s">
        <v>28837</v>
      </c>
      <c r="L8258" t="s">
        <v>5471</v>
      </c>
      <c r="M8258" t="s">
        <v>5471</v>
      </c>
    </row>
    <row r="8259" spans="1:13" x14ac:dyDescent="0.3">
      <c r="A8259" t="s">
        <v>3388</v>
      </c>
      <c r="B8259" t="s">
        <v>17495</v>
      </c>
      <c r="C8259" t="s">
        <v>5470</v>
      </c>
      <c r="D8259" t="s">
        <v>4058</v>
      </c>
      <c r="E8259" t="s">
        <v>5617</v>
      </c>
      <c r="F8259" t="s">
        <v>29714</v>
      </c>
      <c r="G8259" t="s">
        <v>29712</v>
      </c>
      <c r="H8259" t="s">
        <v>5474</v>
      </c>
      <c r="I8259" t="s">
        <v>29715</v>
      </c>
      <c r="J8259" t="s">
        <v>5484</v>
      </c>
      <c r="K8259" t="s">
        <v>28840</v>
      </c>
      <c r="L8259" t="s">
        <v>5471</v>
      </c>
      <c r="M8259" t="s">
        <v>5471</v>
      </c>
    </row>
    <row r="8260" spans="1:13" x14ac:dyDescent="0.3">
      <c r="A8260" t="s">
        <v>3388</v>
      </c>
      <c r="B8260" t="s">
        <v>17495</v>
      </c>
      <c r="C8260" t="s">
        <v>5470</v>
      </c>
      <c r="D8260" t="s">
        <v>4058</v>
      </c>
      <c r="E8260" t="s">
        <v>5617</v>
      </c>
      <c r="F8260" t="s">
        <v>29716</v>
      </c>
      <c r="G8260" t="s">
        <v>29717</v>
      </c>
      <c r="H8260" t="s">
        <v>5474</v>
      </c>
      <c r="I8260" t="s">
        <v>29718</v>
      </c>
      <c r="J8260" t="s">
        <v>5484</v>
      </c>
      <c r="K8260" t="s">
        <v>28847</v>
      </c>
      <c r="L8260" t="s">
        <v>5471</v>
      </c>
      <c r="M8260" t="s">
        <v>5471</v>
      </c>
    </row>
    <row r="8261" spans="1:13" x14ac:dyDescent="0.3">
      <c r="A8261" t="s">
        <v>3388</v>
      </c>
      <c r="B8261" t="s">
        <v>17495</v>
      </c>
      <c r="C8261" t="s">
        <v>5470</v>
      </c>
      <c r="D8261" t="s">
        <v>4058</v>
      </c>
      <c r="E8261" t="s">
        <v>5617</v>
      </c>
      <c r="F8261" t="s">
        <v>29719</v>
      </c>
      <c r="G8261" t="s">
        <v>29717</v>
      </c>
      <c r="H8261" t="s">
        <v>5474</v>
      </c>
      <c r="I8261" t="s">
        <v>29720</v>
      </c>
      <c r="J8261" t="s">
        <v>5484</v>
      </c>
      <c r="K8261" t="s">
        <v>28850</v>
      </c>
      <c r="L8261" t="s">
        <v>5471</v>
      </c>
      <c r="M8261" t="s">
        <v>5471</v>
      </c>
    </row>
    <row r="8262" spans="1:13" x14ac:dyDescent="0.3">
      <c r="A8262" t="s">
        <v>3388</v>
      </c>
      <c r="B8262" t="s">
        <v>5616</v>
      </c>
      <c r="C8262" t="s">
        <v>5470</v>
      </c>
      <c r="D8262" t="s">
        <v>4058</v>
      </c>
      <c r="E8262" t="s">
        <v>5617</v>
      </c>
      <c r="F8262" t="s">
        <v>29721</v>
      </c>
      <c r="G8262" t="s">
        <v>29722</v>
      </c>
      <c r="H8262" t="s">
        <v>5474</v>
      </c>
      <c r="I8262" t="s">
        <v>29723</v>
      </c>
      <c r="J8262" t="s">
        <v>5484</v>
      </c>
      <c r="K8262" t="s">
        <v>29724</v>
      </c>
      <c r="L8262" t="s">
        <v>5471</v>
      </c>
      <c r="M8262" t="s">
        <v>5471</v>
      </c>
    </row>
    <row r="8263" spans="1:13" x14ac:dyDescent="0.3">
      <c r="A8263" t="s">
        <v>3388</v>
      </c>
      <c r="B8263" t="s">
        <v>5616</v>
      </c>
      <c r="C8263" t="s">
        <v>5470</v>
      </c>
      <c r="D8263" t="s">
        <v>4058</v>
      </c>
      <c r="E8263" t="s">
        <v>5617</v>
      </c>
      <c r="F8263" t="s">
        <v>29725</v>
      </c>
      <c r="G8263" t="s">
        <v>23401</v>
      </c>
      <c r="H8263" t="s">
        <v>5474</v>
      </c>
      <c r="I8263" t="s">
        <v>29726</v>
      </c>
      <c r="J8263" t="s">
        <v>5484</v>
      </c>
      <c r="K8263" t="s">
        <v>28837</v>
      </c>
      <c r="L8263" t="s">
        <v>5471</v>
      </c>
      <c r="M8263" t="s">
        <v>5471</v>
      </c>
    </row>
    <row r="8264" spans="1:13" x14ac:dyDescent="0.3">
      <c r="A8264" t="s">
        <v>3388</v>
      </c>
      <c r="B8264" t="s">
        <v>5616</v>
      </c>
      <c r="C8264" t="s">
        <v>5470</v>
      </c>
      <c r="D8264" t="s">
        <v>4058</v>
      </c>
      <c r="E8264" t="s">
        <v>5617</v>
      </c>
      <c r="F8264" t="s">
        <v>29727</v>
      </c>
      <c r="G8264" t="s">
        <v>23401</v>
      </c>
      <c r="H8264" t="s">
        <v>5474</v>
      </c>
      <c r="I8264" t="s">
        <v>29728</v>
      </c>
      <c r="J8264" t="s">
        <v>5484</v>
      </c>
      <c r="K8264" t="s">
        <v>28840</v>
      </c>
      <c r="L8264" t="s">
        <v>5471</v>
      </c>
      <c r="M8264" t="s">
        <v>5471</v>
      </c>
    </row>
    <row r="8265" spans="1:13" x14ac:dyDescent="0.3">
      <c r="A8265" t="s">
        <v>3388</v>
      </c>
      <c r="B8265" t="s">
        <v>5616</v>
      </c>
      <c r="C8265" t="s">
        <v>5470</v>
      </c>
      <c r="D8265" t="s">
        <v>4058</v>
      </c>
      <c r="E8265" t="s">
        <v>5617</v>
      </c>
      <c r="F8265" t="s">
        <v>29729</v>
      </c>
      <c r="G8265" t="s">
        <v>23401</v>
      </c>
      <c r="H8265" t="s">
        <v>5474</v>
      </c>
      <c r="I8265" t="s">
        <v>29730</v>
      </c>
      <c r="J8265" t="s">
        <v>5484</v>
      </c>
      <c r="K8265" t="s">
        <v>28843</v>
      </c>
      <c r="L8265" t="s">
        <v>5471</v>
      </c>
      <c r="M8265" t="s">
        <v>5471</v>
      </c>
    </row>
    <row r="8266" spans="1:13" x14ac:dyDescent="0.3">
      <c r="A8266" t="s">
        <v>3388</v>
      </c>
      <c r="B8266" t="s">
        <v>5616</v>
      </c>
      <c r="C8266" t="s">
        <v>5470</v>
      </c>
      <c r="D8266" t="s">
        <v>4058</v>
      </c>
      <c r="E8266" t="s">
        <v>5617</v>
      </c>
      <c r="F8266" t="s">
        <v>29731</v>
      </c>
      <c r="G8266" t="s">
        <v>19038</v>
      </c>
      <c r="H8266" t="s">
        <v>5474</v>
      </c>
      <c r="I8266" t="s">
        <v>29732</v>
      </c>
      <c r="J8266" t="s">
        <v>5484</v>
      </c>
      <c r="K8266" t="s">
        <v>28857</v>
      </c>
      <c r="L8266" t="s">
        <v>5471</v>
      </c>
      <c r="M8266" t="s">
        <v>5471</v>
      </c>
    </row>
    <row r="8267" spans="1:13" x14ac:dyDescent="0.3">
      <c r="A8267" t="s">
        <v>3388</v>
      </c>
      <c r="B8267" t="s">
        <v>5616</v>
      </c>
      <c r="C8267" t="s">
        <v>5470</v>
      </c>
      <c r="D8267" t="s">
        <v>4058</v>
      </c>
      <c r="E8267" t="s">
        <v>5617</v>
      </c>
      <c r="F8267" t="s">
        <v>29733</v>
      </c>
      <c r="G8267" t="s">
        <v>19038</v>
      </c>
      <c r="H8267" t="s">
        <v>5474</v>
      </c>
      <c r="I8267" t="s">
        <v>29734</v>
      </c>
      <c r="J8267" t="s">
        <v>5484</v>
      </c>
      <c r="K8267" t="s">
        <v>28860</v>
      </c>
      <c r="L8267" t="s">
        <v>5471</v>
      </c>
      <c r="M8267" t="s">
        <v>5471</v>
      </c>
    </row>
    <row r="8268" spans="1:13" x14ac:dyDescent="0.3">
      <c r="A8268" t="s">
        <v>3388</v>
      </c>
      <c r="B8268" t="s">
        <v>5616</v>
      </c>
      <c r="C8268" t="s">
        <v>5470</v>
      </c>
      <c r="D8268" t="s">
        <v>4058</v>
      </c>
      <c r="E8268" t="s">
        <v>5617</v>
      </c>
      <c r="F8268" t="s">
        <v>29735</v>
      </c>
      <c r="G8268" t="s">
        <v>19038</v>
      </c>
      <c r="H8268" t="s">
        <v>5474</v>
      </c>
      <c r="I8268" t="s">
        <v>29736</v>
      </c>
      <c r="J8268" t="s">
        <v>5484</v>
      </c>
      <c r="K8268" t="s">
        <v>28863</v>
      </c>
      <c r="L8268" t="s">
        <v>5471</v>
      </c>
      <c r="M8268" t="s">
        <v>5471</v>
      </c>
    </row>
    <row r="8269" spans="1:13" x14ac:dyDescent="0.3">
      <c r="A8269" t="s">
        <v>3388</v>
      </c>
      <c r="B8269" t="s">
        <v>7088</v>
      </c>
      <c r="C8269" t="s">
        <v>5470</v>
      </c>
      <c r="D8269" t="s">
        <v>4058</v>
      </c>
      <c r="E8269" t="s">
        <v>5617</v>
      </c>
      <c r="F8269" t="s">
        <v>29737</v>
      </c>
      <c r="G8269" t="s">
        <v>23428</v>
      </c>
      <c r="H8269" t="s">
        <v>5474</v>
      </c>
      <c r="I8269" t="s">
        <v>29738</v>
      </c>
      <c r="J8269" t="s">
        <v>5484</v>
      </c>
      <c r="K8269" t="s">
        <v>29580</v>
      </c>
      <c r="L8269" t="s">
        <v>5471</v>
      </c>
      <c r="M8269" t="s">
        <v>5471</v>
      </c>
    </row>
    <row r="8270" spans="1:13" x14ac:dyDescent="0.3">
      <c r="A8270" t="s">
        <v>3388</v>
      </c>
      <c r="B8270" t="s">
        <v>7088</v>
      </c>
      <c r="C8270" t="s">
        <v>5470</v>
      </c>
      <c r="D8270" t="s">
        <v>4058</v>
      </c>
      <c r="E8270" t="s">
        <v>5617</v>
      </c>
      <c r="F8270" t="s">
        <v>29739</v>
      </c>
      <c r="G8270" t="s">
        <v>23432</v>
      </c>
      <c r="H8270" t="s">
        <v>5474</v>
      </c>
      <c r="I8270" t="s">
        <v>29740</v>
      </c>
      <c r="J8270" t="s">
        <v>5484</v>
      </c>
      <c r="K8270" t="s">
        <v>29584</v>
      </c>
      <c r="L8270" t="s">
        <v>5471</v>
      </c>
      <c r="M8270" t="s">
        <v>5471</v>
      </c>
    </row>
    <row r="8271" spans="1:13" x14ac:dyDescent="0.3">
      <c r="A8271" t="s">
        <v>3388</v>
      </c>
      <c r="B8271" t="s">
        <v>7088</v>
      </c>
      <c r="C8271" t="s">
        <v>5470</v>
      </c>
      <c r="D8271" t="s">
        <v>4058</v>
      </c>
      <c r="E8271" t="s">
        <v>5617</v>
      </c>
      <c r="F8271" t="s">
        <v>29741</v>
      </c>
      <c r="G8271" t="s">
        <v>23432</v>
      </c>
      <c r="H8271" t="s">
        <v>5474</v>
      </c>
      <c r="I8271" t="s">
        <v>29742</v>
      </c>
      <c r="J8271" t="s">
        <v>5484</v>
      </c>
      <c r="K8271" t="s">
        <v>29590</v>
      </c>
      <c r="L8271" t="s">
        <v>5471</v>
      </c>
      <c r="M8271" t="s">
        <v>5471</v>
      </c>
    </row>
    <row r="8272" spans="1:13" x14ac:dyDescent="0.3">
      <c r="A8272" t="s">
        <v>3388</v>
      </c>
      <c r="B8272" t="s">
        <v>19024</v>
      </c>
      <c r="C8272" t="s">
        <v>5470</v>
      </c>
      <c r="D8272" t="s">
        <v>4058</v>
      </c>
      <c r="E8272" t="s">
        <v>5617</v>
      </c>
      <c r="F8272" t="s">
        <v>29743</v>
      </c>
      <c r="G8272" t="s">
        <v>29744</v>
      </c>
      <c r="H8272" t="s">
        <v>5474</v>
      </c>
      <c r="I8272" t="s">
        <v>29745</v>
      </c>
      <c r="J8272" t="s">
        <v>5484</v>
      </c>
      <c r="K8272" t="s">
        <v>28814</v>
      </c>
      <c r="L8272" t="s">
        <v>5471</v>
      </c>
      <c r="M8272" t="s">
        <v>5471</v>
      </c>
    </row>
    <row r="8273" spans="1:13" x14ac:dyDescent="0.3">
      <c r="A8273" t="s">
        <v>3388</v>
      </c>
      <c r="B8273" t="s">
        <v>19024</v>
      </c>
      <c r="C8273" t="s">
        <v>5470</v>
      </c>
      <c r="D8273" t="s">
        <v>4058</v>
      </c>
      <c r="E8273" t="s">
        <v>5617</v>
      </c>
      <c r="F8273" t="s">
        <v>29746</v>
      </c>
      <c r="G8273" t="s">
        <v>29747</v>
      </c>
      <c r="H8273" t="s">
        <v>5474</v>
      </c>
      <c r="I8273" t="s">
        <v>29748</v>
      </c>
      <c r="J8273" t="s">
        <v>5484</v>
      </c>
      <c r="K8273" t="s">
        <v>28850</v>
      </c>
      <c r="L8273" t="s">
        <v>5471</v>
      </c>
      <c r="M8273" t="s">
        <v>5471</v>
      </c>
    </row>
    <row r="8274" spans="1:13" x14ac:dyDescent="0.3">
      <c r="A8274" t="s">
        <v>3388</v>
      </c>
      <c r="B8274" t="s">
        <v>19024</v>
      </c>
      <c r="C8274" t="s">
        <v>5470</v>
      </c>
      <c r="D8274" t="s">
        <v>4058</v>
      </c>
      <c r="E8274" t="s">
        <v>5617</v>
      </c>
      <c r="F8274" t="s">
        <v>29749</v>
      </c>
      <c r="G8274" t="s">
        <v>29750</v>
      </c>
      <c r="H8274" t="s">
        <v>5474</v>
      </c>
      <c r="I8274" t="s">
        <v>29751</v>
      </c>
      <c r="J8274" t="s">
        <v>5484</v>
      </c>
      <c r="K8274" t="s">
        <v>28867</v>
      </c>
      <c r="L8274" t="s">
        <v>5471</v>
      </c>
      <c r="M8274" t="s">
        <v>5471</v>
      </c>
    </row>
    <row r="8275" spans="1:13" x14ac:dyDescent="0.3">
      <c r="A8275" t="s">
        <v>3388</v>
      </c>
      <c r="B8275" t="s">
        <v>19024</v>
      </c>
      <c r="C8275" t="s">
        <v>5470</v>
      </c>
      <c r="D8275" t="s">
        <v>4058</v>
      </c>
      <c r="E8275" t="s">
        <v>5617</v>
      </c>
      <c r="F8275" t="s">
        <v>29752</v>
      </c>
      <c r="G8275" t="s">
        <v>29750</v>
      </c>
      <c r="H8275" t="s">
        <v>5474</v>
      </c>
      <c r="I8275" t="s">
        <v>29753</v>
      </c>
      <c r="J8275" t="s">
        <v>5484</v>
      </c>
      <c r="K8275" t="s">
        <v>28870</v>
      </c>
      <c r="L8275" t="s">
        <v>5471</v>
      </c>
      <c r="M8275" t="s">
        <v>5471</v>
      </c>
    </row>
    <row r="8276" spans="1:13" x14ac:dyDescent="0.3">
      <c r="A8276" t="s">
        <v>3388</v>
      </c>
      <c r="B8276" t="s">
        <v>19024</v>
      </c>
      <c r="C8276" t="s">
        <v>5470</v>
      </c>
      <c r="D8276" t="s">
        <v>4058</v>
      </c>
      <c r="E8276" t="s">
        <v>5617</v>
      </c>
      <c r="F8276" t="s">
        <v>29754</v>
      </c>
      <c r="G8276" t="s">
        <v>29750</v>
      </c>
      <c r="H8276" t="s">
        <v>5474</v>
      </c>
      <c r="I8276" t="s">
        <v>29755</v>
      </c>
      <c r="J8276" t="s">
        <v>5484</v>
      </c>
      <c r="K8276" t="s">
        <v>28873</v>
      </c>
      <c r="L8276" t="s">
        <v>5471</v>
      </c>
      <c r="M8276" t="s">
        <v>5471</v>
      </c>
    </row>
    <row r="8277" spans="1:13" x14ac:dyDescent="0.3">
      <c r="A8277" t="s">
        <v>3388</v>
      </c>
      <c r="B8277" t="s">
        <v>19024</v>
      </c>
      <c r="C8277" t="s">
        <v>5470</v>
      </c>
      <c r="D8277" t="s">
        <v>4058</v>
      </c>
      <c r="E8277" t="s">
        <v>5617</v>
      </c>
      <c r="F8277" t="s">
        <v>29756</v>
      </c>
      <c r="G8277" t="s">
        <v>29757</v>
      </c>
      <c r="H8277" t="s">
        <v>5474</v>
      </c>
      <c r="I8277" t="s">
        <v>29758</v>
      </c>
      <c r="J8277" t="s">
        <v>5484</v>
      </c>
      <c r="K8277" t="s">
        <v>28877</v>
      </c>
      <c r="L8277" t="s">
        <v>5471</v>
      </c>
      <c r="M8277" t="s">
        <v>5471</v>
      </c>
    </row>
    <row r="8278" spans="1:13" x14ac:dyDescent="0.3">
      <c r="A8278" t="s">
        <v>3388</v>
      </c>
      <c r="B8278" t="s">
        <v>19024</v>
      </c>
      <c r="C8278" t="s">
        <v>5470</v>
      </c>
      <c r="D8278" t="s">
        <v>4058</v>
      </c>
      <c r="E8278" t="s">
        <v>5617</v>
      </c>
      <c r="F8278" t="s">
        <v>29759</v>
      </c>
      <c r="G8278" t="s">
        <v>29757</v>
      </c>
      <c r="H8278" t="s">
        <v>5474</v>
      </c>
      <c r="I8278" t="s">
        <v>29760</v>
      </c>
      <c r="J8278" t="s">
        <v>5484</v>
      </c>
      <c r="K8278" t="s">
        <v>28880</v>
      </c>
      <c r="L8278" t="s">
        <v>5471</v>
      </c>
      <c r="M8278" t="s">
        <v>5471</v>
      </c>
    </row>
    <row r="8279" spans="1:13" x14ac:dyDescent="0.3">
      <c r="A8279" t="s">
        <v>3388</v>
      </c>
      <c r="B8279" t="s">
        <v>5531</v>
      </c>
      <c r="C8279" t="s">
        <v>5470</v>
      </c>
      <c r="D8279" t="s">
        <v>4058</v>
      </c>
      <c r="E8279" t="s">
        <v>5617</v>
      </c>
      <c r="F8279" t="s">
        <v>29761</v>
      </c>
      <c r="G8279" t="s">
        <v>21123</v>
      </c>
      <c r="H8279" t="s">
        <v>5474</v>
      </c>
      <c r="I8279" t="s">
        <v>29762</v>
      </c>
      <c r="J8279" t="s">
        <v>5484</v>
      </c>
      <c r="K8279" t="s">
        <v>28710</v>
      </c>
      <c r="L8279" t="s">
        <v>5471</v>
      </c>
      <c r="M8279" t="s">
        <v>5471</v>
      </c>
    </row>
    <row r="8280" spans="1:13" x14ac:dyDescent="0.3">
      <c r="A8280" t="s">
        <v>3388</v>
      </c>
      <c r="B8280" t="s">
        <v>5531</v>
      </c>
      <c r="C8280" t="s">
        <v>5470</v>
      </c>
      <c r="D8280" t="s">
        <v>4058</v>
      </c>
      <c r="E8280" t="s">
        <v>5617</v>
      </c>
      <c r="F8280" t="s">
        <v>29763</v>
      </c>
      <c r="G8280" t="s">
        <v>21135</v>
      </c>
      <c r="H8280" t="s">
        <v>5474</v>
      </c>
      <c r="I8280" t="s">
        <v>29764</v>
      </c>
      <c r="J8280" t="s">
        <v>5484</v>
      </c>
      <c r="K8280" t="s">
        <v>28828</v>
      </c>
      <c r="L8280" t="s">
        <v>5471</v>
      </c>
      <c r="M8280" t="s">
        <v>5471</v>
      </c>
    </row>
    <row r="8281" spans="1:13" x14ac:dyDescent="0.3">
      <c r="A8281" t="s">
        <v>3388</v>
      </c>
      <c r="B8281" t="s">
        <v>5531</v>
      </c>
      <c r="C8281" t="s">
        <v>5470</v>
      </c>
      <c r="D8281" t="s">
        <v>4058</v>
      </c>
      <c r="E8281" t="s">
        <v>5617</v>
      </c>
      <c r="F8281" t="s">
        <v>29765</v>
      </c>
      <c r="G8281" t="s">
        <v>21135</v>
      </c>
      <c r="H8281" t="s">
        <v>5474</v>
      </c>
      <c r="I8281" t="s">
        <v>29766</v>
      </c>
      <c r="J8281" t="s">
        <v>5484</v>
      </c>
      <c r="K8281" t="s">
        <v>28831</v>
      </c>
      <c r="L8281" t="s">
        <v>5471</v>
      </c>
      <c r="M8281" t="s">
        <v>5471</v>
      </c>
    </row>
    <row r="8282" spans="1:13" x14ac:dyDescent="0.3">
      <c r="A8282" t="s">
        <v>3388</v>
      </c>
      <c r="B8282" t="s">
        <v>5531</v>
      </c>
      <c r="C8282" t="s">
        <v>5470</v>
      </c>
      <c r="D8282" t="s">
        <v>4058</v>
      </c>
      <c r="E8282" t="s">
        <v>5617</v>
      </c>
      <c r="F8282" t="s">
        <v>29767</v>
      </c>
      <c r="G8282" t="s">
        <v>21135</v>
      </c>
      <c r="H8282" t="s">
        <v>5474</v>
      </c>
      <c r="I8282" t="s">
        <v>29768</v>
      </c>
      <c r="J8282" t="s">
        <v>5484</v>
      </c>
      <c r="K8282" t="s">
        <v>28814</v>
      </c>
      <c r="L8282" t="s">
        <v>5471</v>
      </c>
      <c r="M8282" t="s">
        <v>5471</v>
      </c>
    </row>
    <row r="8283" spans="1:13" x14ac:dyDescent="0.3">
      <c r="A8283" t="s">
        <v>3388</v>
      </c>
      <c r="B8283" t="s">
        <v>5531</v>
      </c>
      <c r="C8283" t="s">
        <v>5470</v>
      </c>
      <c r="D8283" t="s">
        <v>4058</v>
      </c>
      <c r="E8283" t="s">
        <v>5617</v>
      </c>
      <c r="F8283" t="s">
        <v>29769</v>
      </c>
      <c r="G8283" t="s">
        <v>21155</v>
      </c>
      <c r="H8283" t="s">
        <v>5474</v>
      </c>
      <c r="I8283" t="s">
        <v>29770</v>
      </c>
      <c r="J8283" t="s">
        <v>5484</v>
      </c>
      <c r="K8283" t="s">
        <v>28877</v>
      </c>
      <c r="L8283" t="s">
        <v>5471</v>
      </c>
      <c r="M8283" t="s">
        <v>5471</v>
      </c>
    </row>
    <row r="8284" spans="1:13" x14ac:dyDescent="0.3">
      <c r="A8284" t="s">
        <v>3388</v>
      </c>
      <c r="B8284" t="s">
        <v>5531</v>
      </c>
      <c r="C8284" t="s">
        <v>5470</v>
      </c>
      <c r="D8284" t="s">
        <v>4058</v>
      </c>
      <c r="E8284" t="s">
        <v>5617</v>
      </c>
      <c r="F8284" t="s">
        <v>29771</v>
      </c>
      <c r="G8284" t="s">
        <v>21155</v>
      </c>
      <c r="H8284" t="s">
        <v>5474</v>
      </c>
      <c r="I8284" t="s">
        <v>29772</v>
      </c>
      <c r="J8284" t="s">
        <v>5484</v>
      </c>
      <c r="K8284" t="s">
        <v>28880</v>
      </c>
      <c r="L8284" t="s">
        <v>5471</v>
      </c>
      <c r="M8284" t="s">
        <v>5471</v>
      </c>
    </row>
    <row r="8285" spans="1:13" x14ac:dyDescent="0.3">
      <c r="A8285" t="s">
        <v>3388</v>
      </c>
      <c r="B8285" t="s">
        <v>5531</v>
      </c>
      <c r="C8285" t="s">
        <v>5470</v>
      </c>
      <c r="D8285" t="s">
        <v>4058</v>
      </c>
      <c r="E8285" t="s">
        <v>5617</v>
      </c>
      <c r="F8285" t="s">
        <v>29773</v>
      </c>
      <c r="G8285" t="s">
        <v>21155</v>
      </c>
      <c r="H8285" t="s">
        <v>5474</v>
      </c>
      <c r="I8285" t="s">
        <v>29774</v>
      </c>
      <c r="J8285" t="s">
        <v>5484</v>
      </c>
      <c r="K8285" t="s">
        <v>28883</v>
      </c>
      <c r="L8285" t="s">
        <v>5471</v>
      </c>
      <c r="M8285" t="s">
        <v>5471</v>
      </c>
    </row>
    <row r="8286" spans="1:13" x14ac:dyDescent="0.3">
      <c r="A8286" t="s">
        <v>3388</v>
      </c>
      <c r="B8286" t="s">
        <v>5531</v>
      </c>
      <c r="C8286" t="s">
        <v>5470</v>
      </c>
      <c r="D8286" t="s">
        <v>4058</v>
      </c>
      <c r="E8286" t="s">
        <v>5617</v>
      </c>
      <c r="F8286" t="s">
        <v>29775</v>
      </c>
      <c r="G8286" t="s">
        <v>21159</v>
      </c>
      <c r="H8286" t="s">
        <v>5474</v>
      </c>
      <c r="I8286" t="s">
        <v>29776</v>
      </c>
      <c r="J8286" t="s">
        <v>5484</v>
      </c>
      <c r="K8286" t="s">
        <v>29571</v>
      </c>
      <c r="L8286" t="s">
        <v>5471</v>
      </c>
      <c r="M8286" t="s">
        <v>5471</v>
      </c>
    </row>
    <row r="8287" spans="1:13" x14ac:dyDescent="0.3">
      <c r="A8287" t="s">
        <v>3388</v>
      </c>
      <c r="B8287" t="s">
        <v>5531</v>
      </c>
      <c r="C8287" t="s">
        <v>5470</v>
      </c>
      <c r="D8287" t="s">
        <v>4058</v>
      </c>
      <c r="E8287" t="s">
        <v>5617</v>
      </c>
      <c r="F8287" t="s">
        <v>29777</v>
      </c>
      <c r="G8287" t="s">
        <v>21159</v>
      </c>
      <c r="H8287" t="s">
        <v>5474</v>
      </c>
      <c r="I8287" t="s">
        <v>29778</v>
      </c>
      <c r="J8287" t="s">
        <v>5484</v>
      </c>
      <c r="K8287" t="s">
        <v>29574</v>
      </c>
      <c r="L8287" t="s">
        <v>5471</v>
      </c>
      <c r="M8287" t="s">
        <v>5471</v>
      </c>
    </row>
    <row r="8288" spans="1:13" x14ac:dyDescent="0.3">
      <c r="A8288" t="s">
        <v>3388</v>
      </c>
      <c r="B8288" t="s">
        <v>10508</v>
      </c>
      <c r="C8288" t="s">
        <v>5470</v>
      </c>
      <c r="D8288" t="s">
        <v>4119</v>
      </c>
      <c r="E8288" t="s">
        <v>5532</v>
      </c>
      <c r="F8288" t="s">
        <v>29779</v>
      </c>
      <c r="G8288" t="s">
        <v>10510</v>
      </c>
      <c r="H8288" t="s">
        <v>5474</v>
      </c>
      <c r="I8288" t="s">
        <v>29780</v>
      </c>
      <c r="J8288" t="s">
        <v>5484</v>
      </c>
      <c r="K8288" t="s">
        <v>29781</v>
      </c>
      <c r="L8288" t="s">
        <v>5471</v>
      </c>
      <c r="M8288" t="s">
        <v>5471</v>
      </c>
    </row>
    <row r="8289" spans="1:13" x14ac:dyDescent="0.3">
      <c r="A8289" t="s">
        <v>3388</v>
      </c>
      <c r="B8289" t="s">
        <v>10508</v>
      </c>
      <c r="C8289" t="s">
        <v>5470</v>
      </c>
      <c r="D8289" t="s">
        <v>4119</v>
      </c>
      <c r="E8289" t="s">
        <v>5532</v>
      </c>
      <c r="F8289" t="s">
        <v>29782</v>
      </c>
      <c r="G8289" t="s">
        <v>10510</v>
      </c>
      <c r="H8289" t="s">
        <v>5474</v>
      </c>
      <c r="I8289" t="s">
        <v>29783</v>
      </c>
      <c r="J8289" t="s">
        <v>5484</v>
      </c>
      <c r="K8289" t="s">
        <v>29784</v>
      </c>
      <c r="L8289" t="s">
        <v>5471</v>
      </c>
      <c r="M8289" t="s">
        <v>5471</v>
      </c>
    </row>
    <row r="8290" spans="1:13" x14ac:dyDescent="0.3">
      <c r="A8290" t="s">
        <v>3388</v>
      </c>
      <c r="B8290" t="s">
        <v>10508</v>
      </c>
      <c r="C8290" t="s">
        <v>5470</v>
      </c>
      <c r="D8290" t="s">
        <v>4119</v>
      </c>
      <c r="E8290" t="s">
        <v>5532</v>
      </c>
      <c r="F8290" t="s">
        <v>29785</v>
      </c>
      <c r="G8290" t="s">
        <v>10510</v>
      </c>
      <c r="H8290" t="s">
        <v>5474</v>
      </c>
      <c r="I8290" t="s">
        <v>29786</v>
      </c>
      <c r="J8290" t="s">
        <v>5484</v>
      </c>
      <c r="K8290" t="s">
        <v>29787</v>
      </c>
      <c r="L8290" t="s">
        <v>5471</v>
      </c>
      <c r="M8290" t="s">
        <v>5471</v>
      </c>
    </row>
    <row r="8291" spans="1:13" x14ac:dyDescent="0.3">
      <c r="A8291" t="s">
        <v>3388</v>
      </c>
      <c r="B8291" t="s">
        <v>10508</v>
      </c>
      <c r="C8291" t="s">
        <v>5470</v>
      </c>
      <c r="D8291" t="s">
        <v>4119</v>
      </c>
      <c r="E8291" t="s">
        <v>5532</v>
      </c>
      <c r="F8291" t="s">
        <v>29788</v>
      </c>
      <c r="G8291" t="s">
        <v>10510</v>
      </c>
      <c r="H8291" t="s">
        <v>5474</v>
      </c>
      <c r="I8291" t="s">
        <v>29789</v>
      </c>
      <c r="J8291" t="s">
        <v>5484</v>
      </c>
      <c r="K8291" t="s">
        <v>29790</v>
      </c>
      <c r="L8291" t="s">
        <v>5471</v>
      </c>
      <c r="M8291" t="s">
        <v>5471</v>
      </c>
    </row>
    <row r="8292" spans="1:13" x14ac:dyDescent="0.3">
      <c r="A8292" t="s">
        <v>3388</v>
      </c>
      <c r="B8292" t="s">
        <v>10508</v>
      </c>
      <c r="C8292" t="s">
        <v>5470</v>
      </c>
      <c r="D8292" t="s">
        <v>4119</v>
      </c>
      <c r="E8292" t="s">
        <v>5532</v>
      </c>
      <c r="F8292" t="s">
        <v>29791</v>
      </c>
      <c r="G8292" t="s">
        <v>10510</v>
      </c>
      <c r="H8292" t="s">
        <v>5474</v>
      </c>
      <c r="I8292" t="s">
        <v>29792</v>
      </c>
      <c r="J8292" t="s">
        <v>5484</v>
      </c>
      <c r="K8292" t="s">
        <v>29793</v>
      </c>
      <c r="L8292" t="s">
        <v>5471</v>
      </c>
      <c r="M8292" t="s">
        <v>5471</v>
      </c>
    </row>
    <row r="8293" spans="1:13" x14ac:dyDescent="0.3">
      <c r="A8293" t="s">
        <v>3388</v>
      </c>
      <c r="B8293" t="s">
        <v>10508</v>
      </c>
      <c r="C8293" t="s">
        <v>5470</v>
      </c>
      <c r="D8293" t="s">
        <v>4119</v>
      </c>
      <c r="E8293" t="s">
        <v>5532</v>
      </c>
      <c r="F8293" t="s">
        <v>29794</v>
      </c>
      <c r="G8293" t="s">
        <v>10510</v>
      </c>
      <c r="H8293" t="s">
        <v>5474</v>
      </c>
      <c r="I8293" t="s">
        <v>29795</v>
      </c>
      <c r="J8293" t="s">
        <v>5484</v>
      </c>
      <c r="K8293" t="s">
        <v>29796</v>
      </c>
      <c r="L8293" t="s">
        <v>5471</v>
      </c>
      <c r="M8293" t="s">
        <v>5471</v>
      </c>
    </row>
    <row r="8294" spans="1:13" x14ac:dyDescent="0.3">
      <c r="A8294" t="s">
        <v>3388</v>
      </c>
      <c r="B8294" t="s">
        <v>10508</v>
      </c>
      <c r="C8294" t="s">
        <v>5470</v>
      </c>
      <c r="D8294" t="s">
        <v>4119</v>
      </c>
      <c r="E8294" t="s">
        <v>5532</v>
      </c>
      <c r="F8294" t="s">
        <v>29797</v>
      </c>
      <c r="G8294" t="s">
        <v>10510</v>
      </c>
      <c r="H8294" t="s">
        <v>5474</v>
      </c>
      <c r="I8294" t="s">
        <v>29798</v>
      </c>
      <c r="J8294" t="s">
        <v>5484</v>
      </c>
      <c r="K8294" t="s">
        <v>29799</v>
      </c>
      <c r="L8294" t="s">
        <v>5471</v>
      </c>
      <c r="M8294" t="s">
        <v>5471</v>
      </c>
    </row>
    <row r="8295" spans="1:13" x14ac:dyDescent="0.3">
      <c r="A8295" t="s">
        <v>3388</v>
      </c>
      <c r="B8295" t="s">
        <v>10508</v>
      </c>
      <c r="C8295" t="s">
        <v>5470</v>
      </c>
      <c r="D8295" t="s">
        <v>4119</v>
      </c>
      <c r="E8295" t="s">
        <v>5532</v>
      </c>
      <c r="F8295" t="s">
        <v>29800</v>
      </c>
      <c r="G8295" t="s">
        <v>10510</v>
      </c>
      <c r="H8295" t="s">
        <v>5474</v>
      </c>
      <c r="I8295" t="s">
        <v>29801</v>
      </c>
      <c r="J8295" t="s">
        <v>5484</v>
      </c>
      <c r="K8295" t="s">
        <v>29802</v>
      </c>
      <c r="L8295" t="s">
        <v>5471</v>
      </c>
      <c r="M8295" t="s">
        <v>5471</v>
      </c>
    </row>
    <row r="8296" spans="1:13" x14ac:dyDescent="0.3">
      <c r="A8296" t="s">
        <v>3388</v>
      </c>
      <c r="B8296" t="s">
        <v>10508</v>
      </c>
      <c r="C8296" t="s">
        <v>5470</v>
      </c>
      <c r="D8296" t="s">
        <v>4119</v>
      </c>
      <c r="E8296" t="s">
        <v>5532</v>
      </c>
      <c r="F8296" t="s">
        <v>29803</v>
      </c>
      <c r="G8296" t="s">
        <v>10510</v>
      </c>
      <c r="H8296" t="s">
        <v>5474</v>
      </c>
      <c r="I8296" t="s">
        <v>29804</v>
      </c>
      <c r="J8296" t="s">
        <v>5484</v>
      </c>
      <c r="K8296" t="s">
        <v>29805</v>
      </c>
      <c r="L8296" t="s">
        <v>5471</v>
      </c>
      <c r="M8296" t="s">
        <v>5471</v>
      </c>
    </row>
    <row r="8297" spans="1:13" x14ac:dyDescent="0.3">
      <c r="A8297" t="s">
        <v>3388</v>
      </c>
      <c r="B8297" t="s">
        <v>10508</v>
      </c>
      <c r="C8297" t="s">
        <v>5470</v>
      </c>
      <c r="D8297" t="s">
        <v>4119</v>
      </c>
      <c r="E8297" t="s">
        <v>5532</v>
      </c>
      <c r="F8297" t="s">
        <v>29806</v>
      </c>
      <c r="G8297" t="s">
        <v>10510</v>
      </c>
      <c r="H8297" t="s">
        <v>5474</v>
      </c>
      <c r="I8297" t="s">
        <v>29807</v>
      </c>
      <c r="J8297" t="s">
        <v>5484</v>
      </c>
      <c r="K8297" t="s">
        <v>29808</v>
      </c>
      <c r="L8297" t="s">
        <v>5471</v>
      </c>
      <c r="M8297" t="s">
        <v>5471</v>
      </c>
    </row>
    <row r="8298" spans="1:13" x14ac:dyDescent="0.3">
      <c r="A8298" t="s">
        <v>3388</v>
      </c>
      <c r="B8298" t="s">
        <v>10508</v>
      </c>
      <c r="C8298" t="s">
        <v>5470</v>
      </c>
      <c r="D8298" t="s">
        <v>4119</v>
      </c>
      <c r="E8298" t="s">
        <v>5532</v>
      </c>
      <c r="F8298" t="s">
        <v>29809</v>
      </c>
      <c r="G8298" t="s">
        <v>29810</v>
      </c>
      <c r="H8298" t="s">
        <v>5474</v>
      </c>
      <c r="I8298" t="s">
        <v>29811</v>
      </c>
      <c r="J8298" t="s">
        <v>5484</v>
      </c>
      <c r="K8298" t="s">
        <v>29812</v>
      </c>
      <c r="L8298" t="s">
        <v>5471</v>
      </c>
      <c r="M8298" t="s">
        <v>5471</v>
      </c>
    </row>
    <row r="8299" spans="1:13" x14ac:dyDescent="0.3">
      <c r="A8299" t="s">
        <v>3388</v>
      </c>
      <c r="B8299" t="s">
        <v>10508</v>
      </c>
      <c r="C8299" t="s">
        <v>5470</v>
      </c>
      <c r="D8299" t="s">
        <v>4119</v>
      </c>
      <c r="E8299" t="s">
        <v>5532</v>
      </c>
      <c r="F8299" t="s">
        <v>29813</v>
      </c>
      <c r="G8299" t="s">
        <v>29810</v>
      </c>
      <c r="H8299" t="s">
        <v>5474</v>
      </c>
      <c r="I8299" t="s">
        <v>29814</v>
      </c>
      <c r="J8299" t="s">
        <v>5484</v>
      </c>
      <c r="K8299" t="s">
        <v>29815</v>
      </c>
      <c r="L8299" t="s">
        <v>5471</v>
      </c>
      <c r="M8299" t="s">
        <v>5471</v>
      </c>
    </row>
    <row r="8300" spans="1:13" x14ac:dyDescent="0.3">
      <c r="A8300" t="s">
        <v>3388</v>
      </c>
      <c r="B8300" t="s">
        <v>10508</v>
      </c>
      <c r="C8300" t="s">
        <v>5470</v>
      </c>
      <c r="D8300" t="s">
        <v>4119</v>
      </c>
      <c r="E8300" t="s">
        <v>5532</v>
      </c>
      <c r="F8300" t="s">
        <v>29816</v>
      </c>
      <c r="G8300" t="s">
        <v>29810</v>
      </c>
      <c r="H8300" t="s">
        <v>5474</v>
      </c>
      <c r="I8300" t="s">
        <v>29817</v>
      </c>
      <c r="J8300" t="s">
        <v>5484</v>
      </c>
      <c r="K8300" t="s">
        <v>29818</v>
      </c>
      <c r="L8300" t="s">
        <v>5471</v>
      </c>
      <c r="M8300" t="s">
        <v>5471</v>
      </c>
    </row>
    <row r="8301" spans="1:13" x14ac:dyDescent="0.3">
      <c r="A8301" t="s">
        <v>3388</v>
      </c>
      <c r="B8301" t="s">
        <v>10508</v>
      </c>
      <c r="C8301" t="s">
        <v>5470</v>
      </c>
      <c r="D8301" t="s">
        <v>4119</v>
      </c>
      <c r="E8301" t="s">
        <v>5532</v>
      </c>
      <c r="F8301" t="s">
        <v>29819</v>
      </c>
      <c r="G8301" t="s">
        <v>29810</v>
      </c>
      <c r="H8301" t="s">
        <v>5474</v>
      </c>
      <c r="I8301" t="s">
        <v>29820</v>
      </c>
      <c r="J8301" t="s">
        <v>5484</v>
      </c>
      <c r="K8301" t="s">
        <v>29821</v>
      </c>
      <c r="L8301" t="s">
        <v>5471</v>
      </c>
      <c r="M8301" t="s">
        <v>5471</v>
      </c>
    </row>
    <row r="8302" spans="1:13" x14ac:dyDescent="0.3">
      <c r="A8302" t="s">
        <v>3388</v>
      </c>
      <c r="B8302" t="s">
        <v>10508</v>
      </c>
      <c r="C8302" t="s">
        <v>5470</v>
      </c>
      <c r="D8302" t="s">
        <v>4119</v>
      </c>
      <c r="E8302" t="s">
        <v>5532</v>
      </c>
      <c r="F8302" t="s">
        <v>29822</v>
      </c>
      <c r="G8302" t="s">
        <v>29810</v>
      </c>
      <c r="H8302" t="s">
        <v>5474</v>
      </c>
      <c r="I8302" t="s">
        <v>29823</v>
      </c>
      <c r="J8302" t="s">
        <v>5484</v>
      </c>
      <c r="K8302" t="s">
        <v>29824</v>
      </c>
      <c r="L8302" t="s">
        <v>5471</v>
      </c>
      <c r="M8302" t="s">
        <v>5471</v>
      </c>
    </row>
    <row r="8303" spans="1:13" x14ac:dyDescent="0.3">
      <c r="A8303" t="s">
        <v>3388</v>
      </c>
      <c r="B8303" t="s">
        <v>10508</v>
      </c>
      <c r="C8303" t="s">
        <v>5470</v>
      </c>
      <c r="D8303" t="s">
        <v>4119</v>
      </c>
      <c r="E8303" t="s">
        <v>5532</v>
      </c>
      <c r="F8303" t="s">
        <v>29825</v>
      </c>
      <c r="G8303" t="s">
        <v>29810</v>
      </c>
      <c r="H8303" t="s">
        <v>5474</v>
      </c>
      <c r="I8303" t="s">
        <v>29826</v>
      </c>
      <c r="J8303" t="s">
        <v>5484</v>
      </c>
      <c r="K8303" t="s">
        <v>29827</v>
      </c>
      <c r="L8303" t="s">
        <v>5471</v>
      </c>
      <c r="M8303" t="s">
        <v>5471</v>
      </c>
    </row>
    <row r="8304" spans="1:13" x14ac:dyDescent="0.3">
      <c r="A8304" t="s">
        <v>3388</v>
      </c>
      <c r="B8304" t="s">
        <v>10508</v>
      </c>
      <c r="C8304" t="s">
        <v>5470</v>
      </c>
      <c r="D8304" t="s">
        <v>4119</v>
      </c>
      <c r="E8304" t="s">
        <v>5532</v>
      </c>
      <c r="F8304" t="s">
        <v>29828</v>
      </c>
      <c r="G8304" t="s">
        <v>29810</v>
      </c>
      <c r="H8304" t="s">
        <v>5474</v>
      </c>
      <c r="I8304" t="s">
        <v>29829</v>
      </c>
      <c r="J8304" t="s">
        <v>5484</v>
      </c>
      <c r="K8304" t="s">
        <v>29830</v>
      </c>
      <c r="L8304" t="s">
        <v>5471</v>
      </c>
      <c r="M8304" t="s">
        <v>5471</v>
      </c>
    </row>
    <row r="8305" spans="1:13" x14ac:dyDescent="0.3">
      <c r="A8305" t="s">
        <v>3388</v>
      </c>
      <c r="B8305" t="s">
        <v>10508</v>
      </c>
      <c r="C8305" t="s">
        <v>5470</v>
      </c>
      <c r="D8305" t="s">
        <v>4119</v>
      </c>
      <c r="E8305" t="s">
        <v>5532</v>
      </c>
      <c r="F8305" t="s">
        <v>29831</v>
      </c>
      <c r="G8305" t="s">
        <v>29810</v>
      </c>
      <c r="H8305" t="s">
        <v>5474</v>
      </c>
      <c r="I8305" t="s">
        <v>29832</v>
      </c>
      <c r="J8305" t="s">
        <v>5484</v>
      </c>
      <c r="K8305" t="s">
        <v>29833</v>
      </c>
      <c r="L8305" t="s">
        <v>5471</v>
      </c>
      <c r="M8305" t="s">
        <v>5471</v>
      </c>
    </row>
    <row r="8306" spans="1:13" x14ac:dyDescent="0.3">
      <c r="A8306" t="s">
        <v>3388</v>
      </c>
      <c r="B8306" t="s">
        <v>10508</v>
      </c>
      <c r="C8306" t="s">
        <v>5470</v>
      </c>
      <c r="D8306" t="s">
        <v>4119</v>
      </c>
      <c r="E8306" t="s">
        <v>5532</v>
      </c>
      <c r="F8306" t="s">
        <v>29834</v>
      </c>
      <c r="G8306" t="s">
        <v>29810</v>
      </c>
      <c r="H8306" t="s">
        <v>5474</v>
      </c>
      <c r="I8306" t="s">
        <v>29835</v>
      </c>
      <c r="J8306" t="s">
        <v>5484</v>
      </c>
      <c r="K8306" t="s">
        <v>29836</v>
      </c>
      <c r="L8306" t="s">
        <v>5471</v>
      </c>
      <c r="M8306" t="s">
        <v>5471</v>
      </c>
    </row>
    <row r="8307" spans="1:13" x14ac:dyDescent="0.3">
      <c r="A8307" t="s">
        <v>3388</v>
      </c>
      <c r="B8307" t="s">
        <v>10508</v>
      </c>
      <c r="C8307" t="s">
        <v>5470</v>
      </c>
      <c r="D8307" t="s">
        <v>4119</v>
      </c>
      <c r="E8307" t="s">
        <v>5532</v>
      </c>
      <c r="F8307" t="s">
        <v>29837</v>
      </c>
      <c r="G8307" t="s">
        <v>29810</v>
      </c>
      <c r="H8307" t="s">
        <v>5474</v>
      </c>
      <c r="I8307" t="s">
        <v>29838</v>
      </c>
      <c r="J8307" t="s">
        <v>5484</v>
      </c>
      <c r="K8307" t="s">
        <v>29839</v>
      </c>
      <c r="L8307" t="s">
        <v>5471</v>
      </c>
      <c r="M8307" t="s">
        <v>5471</v>
      </c>
    </row>
    <row r="8308" spans="1:13" x14ac:dyDescent="0.3">
      <c r="A8308" t="s">
        <v>3388</v>
      </c>
      <c r="B8308" t="s">
        <v>29840</v>
      </c>
      <c r="C8308" t="s">
        <v>5470</v>
      </c>
      <c r="D8308" t="s">
        <v>4119</v>
      </c>
      <c r="E8308" t="s">
        <v>5532</v>
      </c>
      <c r="F8308" t="s">
        <v>29841</v>
      </c>
      <c r="G8308" t="s">
        <v>5546</v>
      </c>
      <c r="H8308" t="s">
        <v>5474</v>
      </c>
      <c r="I8308" t="s">
        <v>29842</v>
      </c>
      <c r="J8308" t="s">
        <v>5484</v>
      </c>
      <c r="K8308" t="s">
        <v>29843</v>
      </c>
      <c r="L8308" t="s">
        <v>5471</v>
      </c>
      <c r="M8308" t="s">
        <v>5471</v>
      </c>
    </row>
    <row r="8309" spans="1:13" x14ac:dyDescent="0.3">
      <c r="A8309" t="s">
        <v>3388</v>
      </c>
      <c r="B8309" t="s">
        <v>29840</v>
      </c>
      <c r="C8309" t="s">
        <v>5470</v>
      </c>
      <c r="D8309" t="s">
        <v>4119</v>
      </c>
      <c r="E8309" t="s">
        <v>5532</v>
      </c>
      <c r="F8309" t="s">
        <v>29844</v>
      </c>
      <c r="G8309" t="s">
        <v>5546</v>
      </c>
      <c r="H8309" t="s">
        <v>5474</v>
      </c>
      <c r="I8309" t="s">
        <v>29845</v>
      </c>
      <c r="J8309" t="s">
        <v>5484</v>
      </c>
      <c r="K8309" t="s">
        <v>29846</v>
      </c>
      <c r="L8309" t="s">
        <v>5471</v>
      </c>
      <c r="M8309" t="s">
        <v>5471</v>
      </c>
    </row>
    <row r="8310" spans="1:13" x14ac:dyDescent="0.3">
      <c r="A8310" t="s">
        <v>3388</v>
      </c>
      <c r="B8310" t="s">
        <v>29840</v>
      </c>
      <c r="C8310" t="s">
        <v>5470</v>
      </c>
      <c r="D8310" t="s">
        <v>4119</v>
      </c>
      <c r="E8310" t="s">
        <v>5532</v>
      </c>
      <c r="F8310" t="s">
        <v>29847</v>
      </c>
      <c r="G8310" t="s">
        <v>5546</v>
      </c>
      <c r="H8310" t="s">
        <v>5474</v>
      </c>
      <c r="I8310" t="s">
        <v>29848</v>
      </c>
      <c r="J8310" t="s">
        <v>5484</v>
      </c>
      <c r="K8310" t="s">
        <v>29849</v>
      </c>
      <c r="L8310" t="s">
        <v>5471</v>
      </c>
      <c r="M8310" t="s">
        <v>5471</v>
      </c>
    </row>
    <row r="8311" spans="1:13" x14ac:dyDescent="0.3">
      <c r="A8311" t="s">
        <v>3388</v>
      </c>
      <c r="B8311" t="s">
        <v>29840</v>
      </c>
      <c r="C8311" t="s">
        <v>5470</v>
      </c>
      <c r="D8311" t="s">
        <v>4119</v>
      </c>
      <c r="E8311" t="s">
        <v>5532</v>
      </c>
      <c r="F8311" t="s">
        <v>29850</v>
      </c>
      <c r="G8311" t="s">
        <v>5546</v>
      </c>
      <c r="H8311" t="s">
        <v>5474</v>
      </c>
      <c r="I8311" t="s">
        <v>29851</v>
      </c>
      <c r="J8311" t="s">
        <v>5484</v>
      </c>
      <c r="K8311" t="s">
        <v>29852</v>
      </c>
      <c r="L8311" t="s">
        <v>5471</v>
      </c>
      <c r="M8311" t="s">
        <v>5471</v>
      </c>
    </row>
    <row r="8312" spans="1:13" x14ac:dyDescent="0.3">
      <c r="A8312" t="s">
        <v>3388</v>
      </c>
      <c r="B8312" t="s">
        <v>29840</v>
      </c>
      <c r="C8312" t="s">
        <v>5470</v>
      </c>
      <c r="D8312" t="s">
        <v>4119</v>
      </c>
      <c r="E8312" t="s">
        <v>5532</v>
      </c>
      <c r="F8312" t="s">
        <v>29853</v>
      </c>
      <c r="G8312" t="s">
        <v>5554</v>
      </c>
      <c r="H8312" t="s">
        <v>5474</v>
      </c>
      <c r="I8312" t="s">
        <v>29854</v>
      </c>
      <c r="J8312" t="s">
        <v>5484</v>
      </c>
      <c r="K8312" t="s">
        <v>29855</v>
      </c>
      <c r="L8312" t="s">
        <v>5471</v>
      </c>
      <c r="M8312" t="s">
        <v>5471</v>
      </c>
    </row>
    <row r="8313" spans="1:13" x14ac:dyDescent="0.3">
      <c r="A8313" t="s">
        <v>3388</v>
      </c>
      <c r="B8313" t="s">
        <v>29840</v>
      </c>
      <c r="C8313" t="s">
        <v>5470</v>
      </c>
      <c r="D8313" t="s">
        <v>4119</v>
      </c>
      <c r="E8313" t="s">
        <v>5532</v>
      </c>
      <c r="F8313" t="s">
        <v>29856</v>
      </c>
      <c r="G8313" t="s">
        <v>5554</v>
      </c>
      <c r="H8313" t="s">
        <v>5474</v>
      </c>
      <c r="I8313" t="s">
        <v>29857</v>
      </c>
      <c r="J8313" t="s">
        <v>5484</v>
      </c>
      <c r="K8313" t="s">
        <v>29858</v>
      </c>
      <c r="L8313" t="s">
        <v>5471</v>
      </c>
      <c r="M8313" t="s">
        <v>5471</v>
      </c>
    </row>
    <row r="8314" spans="1:13" x14ac:dyDescent="0.3">
      <c r="A8314" t="s">
        <v>3388</v>
      </c>
      <c r="B8314" t="s">
        <v>29840</v>
      </c>
      <c r="C8314" t="s">
        <v>5470</v>
      </c>
      <c r="D8314" t="s">
        <v>4119</v>
      </c>
      <c r="E8314" t="s">
        <v>5532</v>
      </c>
      <c r="F8314" t="s">
        <v>29859</v>
      </c>
      <c r="G8314" t="s">
        <v>5554</v>
      </c>
      <c r="H8314" t="s">
        <v>5474</v>
      </c>
      <c r="I8314" t="s">
        <v>29860</v>
      </c>
      <c r="J8314" t="s">
        <v>5484</v>
      </c>
      <c r="K8314" t="s">
        <v>29861</v>
      </c>
      <c r="L8314" t="s">
        <v>5471</v>
      </c>
      <c r="M8314" t="s">
        <v>5471</v>
      </c>
    </row>
    <row r="8315" spans="1:13" x14ac:dyDescent="0.3">
      <c r="A8315" t="s">
        <v>3388</v>
      </c>
      <c r="B8315" t="s">
        <v>29840</v>
      </c>
      <c r="C8315" t="s">
        <v>5470</v>
      </c>
      <c r="D8315" t="s">
        <v>4119</v>
      </c>
      <c r="E8315" t="s">
        <v>5532</v>
      </c>
      <c r="F8315" t="s">
        <v>29862</v>
      </c>
      <c r="G8315" t="s">
        <v>5554</v>
      </c>
      <c r="H8315" t="s">
        <v>5474</v>
      </c>
      <c r="I8315" t="s">
        <v>29863</v>
      </c>
      <c r="J8315" t="s">
        <v>5484</v>
      </c>
      <c r="K8315" t="s">
        <v>29864</v>
      </c>
      <c r="L8315" t="s">
        <v>5471</v>
      </c>
      <c r="M8315" t="s">
        <v>5471</v>
      </c>
    </row>
    <row r="8316" spans="1:13" x14ac:dyDescent="0.3">
      <c r="A8316" t="s">
        <v>3388</v>
      </c>
      <c r="B8316" t="s">
        <v>29840</v>
      </c>
      <c r="C8316" t="s">
        <v>5470</v>
      </c>
      <c r="D8316" t="s">
        <v>4119</v>
      </c>
      <c r="E8316" t="s">
        <v>5532</v>
      </c>
      <c r="F8316" t="s">
        <v>29865</v>
      </c>
      <c r="G8316" t="s">
        <v>5554</v>
      </c>
      <c r="H8316" t="s">
        <v>5474</v>
      </c>
      <c r="I8316" t="s">
        <v>29866</v>
      </c>
      <c r="J8316" t="s">
        <v>5484</v>
      </c>
      <c r="K8316" t="s">
        <v>29867</v>
      </c>
      <c r="L8316" t="s">
        <v>5471</v>
      </c>
      <c r="M8316" t="s">
        <v>5471</v>
      </c>
    </row>
    <row r="8317" spans="1:13" x14ac:dyDescent="0.3">
      <c r="A8317" t="s">
        <v>3388</v>
      </c>
      <c r="B8317" t="s">
        <v>23640</v>
      </c>
      <c r="C8317" t="s">
        <v>5470</v>
      </c>
      <c r="D8317" t="s">
        <v>4119</v>
      </c>
      <c r="E8317" t="s">
        <v>5532</v>
      </c>
      <c r="F8317" t="s">
        <v>29868</v>
      </c>
      <c r="G8317" t="s">
        <v>23642</v>
      </c>
      <c r="H8317" t="s">
        <v>5474</v>
      </c>
      <c r="I8317" t="s">
        <v>29869</v>
      </c>
      <c r="J8317" t="s">
        <v>5484</v>
      </c>
      <c r="K8317" t="s">
        <v>29870</v>
      </c>
      <c r="L8317" t="s">
        <v>5471</v>
      </c>
      <c r="M8317" t="s">
        <v>5471</v>
      </c>
    </row>
    <row r="8318" spans="1:13" x14ac:dyDescent="0.3">
      <c r="A8318" t="s">
        <v>3388</v>
      </c>
      <c r="B8318" t="s">
        <v>23640</v>
      </c>
      <c r="C8318" t="s">
        <v>5470</v>
      </c>
      <c r="D8318" t="s">
        <v>4119</v>
      </c>
      <c r="E8318" t="s">
        <v>5532</v>
      </c>
      <c r="F8318" t="s">
        <v>29871</v>
      </c>
      <c r="G8318" t="s">
        <v>23642</v>
      </c>
      <c r="H8318" t="s">
        <v>5474</v>
      </c>
      <c r="I8318" t="s">
        <v>29872</v>
      </c>
      <c r="J8318" t="s">
        <v>5484</v>
      </c>
      <c r="K8318" t="s">
        <v>29873</v>
      </c>
      <c r="L8318" t="s">
        <v>5471</v>
      </c>
      <c r="M8318" t="s">
        <v>5471</v>
      </c>
    </row>
    <row r="8319" spans="1:13" x14ac:dyDescent="0.3">
      <c r="A8319" t="s">
        <v>3388</v>
      </c>
      <c r="B8319" t="s">
        <v>23791</v>
      </c>
      <c r="C8319" t="s">
        <v>5470</v>
      </c>
      <c r="D8319" t="s">
        <v>4119</v>
      </c>
      <c r="E8319" t="s">
        <v>5532</v>
      </c>
      <c r="F8319" t="s">
        <v>29874</v>
      </c>
      <c r="G8319" t="s">
        <v>23793</v>
      </c>
      <c r="H8319" t="s">
        <v>5474</v>
      </c>
      <c r="I8319" t="s">
        <v>29875</v>
      </c>
      <c r="J8319" t="s">
        <v>5484</v>
      </c>
      <c r="K8319" t="s">
        <v>29876</v>
      </c>
      <c r="L8319" t="s">
        <v>5471</v>
      </c>
      <c r="M8319" t="s">
        <v>5471</v>
      </c>
    </row>
    <row r="8320" spans="1:13" x14ac:dyDescent="0.3">
      <c r="A8320" t="s">
        <v>3388</v>
      </c>
      <c r="B8320" t="s">
        <v>29877</v>
      </c>
      <c r="C8320" t="s">
        <v>5470</v>
      </c>
      <c r="D8320" t="s">
        <v>4119</v>
      </c>
      <c r="E8320" t="s">
        <v>5532</v>
      </c>
      <c r="F8320" t="s">
        <v>29878</v>
      </c>
      <c r="G8320" t="s">
        <v>29879</v>
      </c>
      <c r="H8320" t="s">
        <v>5474</v>
      </c>
      <c r="I8320" t="s">
        <v>29880</v>
      </c>
      <c r="J8320" t="s">
        <v>5484</v>
      </c>
      <c r="K8320" t="s">
        <v>29881</v>
      </c>
      <c r="L8320" t="s">
        <v>5471</v>
      </c>
      <c r="M8320" t="s">
        <v>5471</v>
      </c>
    </row>
    <row r="8321" spans="1:13" x14ac:dyDescent="0.3">
      <c r="A8321" t="s">
        <v>3388</v>
      </c>
      <c r="B8321" t="s">
        <v>29877</v>
      </c>
      <c r="C8321" t="s">
        <v>5470</v>
      </c>
      <c r="D8321" t="s">
        <v>4119</v>
      </c>
      <c r="E8321" t="s">
        <v>5532</v>
      </c>
      <c r="F8321" t="s">
        <v>29882</v>
      </c>
      <c r="G8321" t="s">
        <v>29879</v>
      </c>
      <c r="H8321" t="s">
        <v>5474</v>
      </c>
      <c r="I8321" t="s">
        <v>29883</v>
      </c>
      <c r="J8321" t="s">
        <v>5484</v>
      </c>
      <c r="K8321" t="s">
        <v>29884</v>
      </c>
      <c r="L8321" t="s">
        <v>5471</v>
      </c>
      <c r="M8321" t="s">
        <v>5471</v>
      </c>
    </row>
    <row r="8322" spans="1:13" x14ac:dyDescent="0.3">
      <c r="A8322" t="s">
        <v>3388</v>
      </c>
      <c r="B8322" t="s">
        <v>29877</v>
      </c>
      <c r="C8322" t="s">
        <v>5470</v>
      </c>
      <c r="D8322" t="s">
        <v>4119</v>
      </c>
      <c r="E8322" t="s">
        <v>5532</v>
      </c>
      <c r="F8322" t="s">
        <v>29885</v>
      </c>
      <c r="G8322" t="s">
        <v>29879</v>
      </c>
      <c r="H8322" t="s">
        <v>5474</v>
      </c>
      <c r="I8322" t="s">
        <v>29886</v>
      </c>
      <c r="J8322" t="s">
        <v>5484</v>
      </c>
      <c r="K8322" t="s">
        <v>29887</v>
      </c>
      <c r="L8322" t="s">
        <v>5471</v>
      </c>
      <c r="M8322" t="s">
        <v>5471</v>
      </c>
    </row>
    <row r="8323" spans="1:13" x14ac:dyDescent="0.3">
      <c r="A8323" t="s">
        <v>3388</v>
      </c>
      <c r="B8323" t="s">
        <v>29877</v>
      </c>
      <c r="C8323" t="s">
        <v>5470</v>
      </c>
      <c r="D8323" t="s">
        <v>4119</v>
      </c>
      <c r="E8323" t="s">
        <v>5532</v>
      </c>
      <c r="F8323" t="s">
        <v>29888</v>
      </c>
      <c r="G8323" t="s">
        <v>21548</v>
      </c>
      <c r="H8323" t="s">
        <v>5474</v>
      </c>
      <c r="I8323" t="s">
        <v>29889</v>
      </c>
      <c r="J8323" t="s">
        <v>5484</v>
      </c>
      <c r="K8323" t="s">
        <v>29890</v>
      </c>
      <c r="L8323" t="s">
        <v>5471</v>
      </c>
      <c r="M8323" t="s">
        <v>5471</v>
      </c>
    </row>
    <row r="8324" spans="1:13" x14ac:dyDescent="0.3">
      <c r="A8324" t="s">
        <v>3388</v>
      </c>
      <c r="B8324" t="s">
        <v>29877</v>
      </c>
      <c r="C8324" t="s">
        <v>5470</v>
      </c>
      <c r="D8324" t="s">
        <v>4119</v>
      </c>
      <c r="E8324" t="s">
        <v>5532</v>
      </c>
      <c r="F8324" t="s">
        <v>29891</v>
      </c>
      <c r="G8324" t="s">
        <v>21548</v>
      </c>
      <c r="H8324" t="s">
        <v>5474</v>
      </c>
      <c r="I8324" t="s">
        <v>29892</v>
      </c>
      <c r="J8324" t="s">
        <v>5484</v>
      </c>
      <c r="K8324" t="s">
        <v>29893</v>
      </c>
      <c r="L8324" t="s">
        <v>5471</v>
      </c>
      <c r="M8324" t="s">
        <v>5471</v>
      </c>
    </row>
    <row r="8325" spans="1:13" x14ac:dyDescent="0.3">
      <c r="A8325" t="s">
        <v>3388</v>
      </c>
      <c r="B8325" t="s">
        <v>29877</v>
      </c>
      <c r="C8325" t="s">
        <v>5470</v>
      </c>
      <c r="D8325" t="s">
        <v>4119</v>
      </c>
      <c r="E8325" t="s">
        <v>5532</v>
      </c>
      <c r="F8325" t="s">
        <v>29894</v>
      </c>
      <c r="G8325" t="s">
        <v>21548</v>
      </c>
      <c r="H8325" t="s">
        <v>5474</v>
      </c>
      <c r="I8325" t="s">
        <v>29895</v>
      </c>
      <c r="J8325" t="s">
        <v>5484</v>
      </c>
      <c r="K8325" t="s">
        <v>29896</v>
      </c>
      <c r="L8325" t="s">
        <v>5471</v>
      </c>
      <c r="M8325" t="s">
        <v>5471</v>
      </c>
    </row>
    <row r="8326" spans="1:13" x14ac:dyDescent="0.3">
      <c r="A8326" t="s">
        <v>3388</v>
      </c>
      <c r="B8326" t="s">
        <v>23818</v>
      </c>
      <c r="C8326" t="s">
        <v>5470</v>
      </c>
      <c r="D8326" t="s">
        <v>4119</v>
      </c>
      <c r="E8326" t="s">
        <v>5532</v>
      </c>
      <c r="F8326" t="s">
        <v>29897</v>
      </c>
      <c r="G8326" t="s">
        <v>23202</v>
      </c>
      <c r="H8326" t="s">
        <v>5474</v>
      </c>
      <c r="I8326" t="s">
        <v>29898</v>
      </c>
      <c r="J8326" t="s">
        <v>5484</v>
      </c>
      <c r="K8326" t="s">
        <v>29899</v>
      </c>
      <c r="L8326" t="s">
        <v>5471</v>
      </c>
      <c r="M8326" t="s">
        <v>5471</v>
      </c>
    </row>
    <row r="8327" spans="1:13" x14ac:dyDescent="0.3">
      <c r="A8327" t="s">
        <v>3388</v>
      </c>
      <c r="B8327" t="s">
        <v>23818</v>
      </c>
      <c r="C8327" t="s">
        <v>5470</v>
      </c>
      <c r="D8327" t="s">
        <v>4119</v>
      </c>
      <c r="E8327" t="s">
        <v>5532</v>
      </c>
      <c r="F8327" t="s">
        <v>29900</v>
      </c>
      <c r="G8327" t="s">
        <v>23202</v>
      </c>
      <c r="H8327" t="s">
        <v>5474</v>
      </c>
      <c r="I8327" t="s">
        <v>29901</v>
      </c>
      <c r="J8327" t="s">
        <v>5484</v>
      </c>
      <c r="K8327" t="s">
        <v>29902</v>
      </c>
      <c r="L8327" t="s">
        <v>5471</v>
      </c>
      <c r="M8327" t="s">
        <v>5471</v>
      </c>
    </row>
    <row r="8328" spans="1:13" x14ac:dyDescent="0.3">
      <c r="A8328" t="s">
        <v>3388</v>
      </c>
      <c r="B8328" t="s">
        <v>23818</v>
      </c>
      <c r="C8328" t="s">
        <v>5470</v>
      </c>
      <c r="D8328" t="s">
        <v>4119</v>
      </c>
      <c r="E8328" t="s">
        <v>5532</v>
      </c>
      <c r="F8328" t="s">
        <v>29903</v>
      </c>
      <c r="G8328" t="s">
        <v>23202</v>
      </c>
      <c r="H8328" t="s">
        <v>5474</v>
      </c>
      <c r="I8328" t="s">
        <v>29904</v>
      </c>
      <c r="J8328" t="s">
        <v>5484</v>
      </c>
      <c r="K8328" t="s">
        <v>29905</v>
      </c>
      <c r="L8328" t="s">
        <v>5471</v>
      </c>
      <c r="M8328" t="s">
        <v>5471</v>
      </c>
    </row>
    <row r="8329" spans="1:13" x14ac:dyDescent="0.3">
      <c r="A8329" t="s">
        <v>3388</v>
      </c>
      <c r="B8329" t="s">
        <v>23818</v>
      </c>
      <c r="C8329" t="s">
        <v>5470</v>
      </c>
      <c r="D8329" t="s">
        <v>4119</v>
      </c>
      <c r="E8329" t="s">
        <v>5532</v>
      </c>
      <c r="F8329" t="s">
        <v>29906</v>
      </c>
      <c r="G8329" t="s">
        <v>23202</v>
      </c>
      <c r="H8329" t="s">
        <v>5474</v>
      </c>
      <c r="I8329" t="s">
        <v>29907</v>
      </c>
      <c r="J8329" t="s">
        <v>5484</v>
      </c>
      <c r="K8329" t="s">
        <v>29908</v>
      </c>
      <c r="L8329" t="s">
        <v>5471</v>
      </c>
      <c r="M8329" t="s">
        <v>5471</v>
      </c>
    </row>
    <row r="8330" spans="1:13" x14ac:dyDescent="0.3">
      <c r="A8330" t="s">
        <v>3388</v>
      </c>
      <c r="B8330" t="s">
        <v>23818</v>
      </c>
      <c r="C8330" t="s">
        <v>5470</v>
      </c>
      <c r="D8330" t="s">
        <v>4119</v>
      </c>
      <c r="E8330" t="s">
        <v>5532</v>
      </c>
      <c r="F8330" t="s">
        <v>29909</v>
      </c>
      <c r="G8330" t="s">
        <v>23202</v>
      </c>
      <c r="H8330" t="s">
        <v>5474</v>
      </c>
      <c r="I8330" t="s">
        <v>29910</v>
      </c>
      <c r="J8330" t="s">
        <v>5484</v>
      </c>
      <c r="K8330" t="s">
        <v>29911</v>
      </c>
      <c r="L8330" t="s">
        <v>5471</v>
      </c>
      <c r="M8330" t="s">
        <v>5471</v>
      </c>
    </row>
    <row r="8331" spans="1:13" x14ac:dyDescent="0.3">
      <c r="A8331" t="s">
        <v>3388</v>
      </c>
      <c r="B8331" t="s">
        <v>23832</v>
      </c>
      <c r="C8331" t="s">
        <v>5470</v>
      </c>
      <c r="D8331" t="s">
        <v>4119</v>
      </c>
      <c r="E8331" t="s">
        <v>5532</v>
      </c>
      <c r="F8331" t="s">
        <v>29912</v>
      </c>
      <c r="G8331" t="s">
        <v>23170</v>
      </c>
      <c r="H8331" t="s">
        <v>5474</v>
      </c>
      <c r="I8331" t="s">
        <v>29913</v>
      </c>
      <c r="J8331" t="s">
        <v>5484</v>
      </c>
      <c r="K8331" t="s">
        <v>29914</v>
      </c>
      <c r="L8331" t="s">
        <v>5471</v>
      </c>
      <c r="M8331" t="s">
        <v>5471</v>
      </c>
    </row>
    <row r="8332" spans="1:13" x14ac:dyDescent="0.3">
      <c r="A8332" t="s">
        <v>3388</v>
      </c>
      <c r="B8332" t="s">
        <v>23832</v>
      </c>
      <c r="C8332" t="s">
        <v>5470</v>
      </c>
      <c r="D8332" t="s">
        <v>4119</v>
      </c>
      <c r="E8332" t="s">
        <v>5532</v>
      </c>
      <c r="F8332" t="s">
        <v>29915</v>
      </c>
      <c r="G8332" t="s">
        <v>23170</v>
      </c>
      <c r="H8332" t="s">
        <v>5474</v>
      </c>
      <c r="I8332" t="s">
        <v>29916</v>
      </c>
      <c r="J8332" t="s">
        <v>5484</v>
      </c>
      <c r="K8332" t="s">
        <v>29917</v>
      </c>
      <c r="L8332" t="s">
        <v>5471</v>
      </c>
      <c r="M8332" t="s">
        <v>5471</v>
      </c>
    </row>
    <row r="8333" spans="1:13" x14ac:dyDescent="0.3">
      <c r="A8333" t="s">
        <v>3388</v>
      </c>
      <c r="B8333" t="s">
        <v>23832</v>
      </c>
      <c r="C8333" t="s">
        <v>5470</v>
      </c>
      <c r="D8333" t="s">
        <v>4119</v>
      </c>
      <c r="E8333" t="s">
        <v>5532</v>
      </c>
      <c r="F8333" t="s">
        <v>29918</v>
      </c>
      <c r="G8333" t="s">
        <v>23834</v>
      </c>
      <c r="H8333" t="s">
        <v>5474</v>
      </c>
      <c r="I8333" t="s">
        <v>29919</v>
      </c>
      <c r="J8333" t="s">
        <v>5484</v>
      </c>
      <c r="K8333" t="s">
        <v>29920</v>
      </c>
      <c r="L8333" t="s">
        <v>5471</v>
      </c>
      <c r="M8333" t="s">
        <v>5471</v>
      </c>
    </row>
    <row r="8334" spans="1:13" x14ac:dyDescent="0.3">
      <c r="A8334" t="s">
        <v>3388</v>
      </c>
      <c r="B8334" t="s">
        <v>23832</v>
      </c>
      <c r="C8334" t="s">
        <v>5470</v>
      </c>
      <c r="D8334" t="s">
        <v>4119</v>
      </c>
      <c r="E8334" t="s">
        <v>5532</v>
      </c>
      <c r="F8334" t="s">
        <v>29921</v>
      </c>
      <c r="G8334" t="s">
        <v>23834</v>
      </c>
      <c r="H8334" t="s">
        <v>5474</v>
      </c>
      <c r="I8334" t="s">
        <v>29922</v>
      </c>
      <c r="J8334" t="s">
        <v>5484</v>
      </c>
      <c r="K8334" t="s">
        <v>29923</v>
      </c>
      <c r="L8334" t="s">
        <v>5471</v>
      </c>
      <c r="M8334" t="s">
        <v>5471</v>
      </c>
    </row>
    <row r="8335" spans="1:13" x14ac:dyDescent="0.3">
      <c r="A8335" t="s">
        <v>3388</v>
      </c>
      <c r="B8335" t="s">
        <v>23832</v>
      </c>
      <c r="C8335" t="s">
        <v>5470</v>
      </c>
      <c r="D8335" t="s">
        <v>4119</v>
      </c>
      <c r="E8335" t="s">
        <v>5532</v>
      </c>
      <c r="F8335" t="s">
        <v>29924</v>
      </c>
      <c r="G8335" t="s">
        <v>23834</v>
      </c>
      <c r="H8335" t="s">
        <v>5474</v>
      </c>
      <c r="I8335" t="s">
        <v>29925</v>
      </c>
      <c r="J8335" t="s">
        <v>5484</v>
      </c>
      <c r="K8335" t="s">
        <v>29926</v>
      </c>
      <c r="L8335" t="s">
        <v>5471</v>
      </c>
      <c r="M8335" t="s">
        <v>5471</v>
      </c>
    </row>
    <row r="8336" spans="1:13" x14ac:dyDescent="0.3">
      <c r="A8336" t="s">
        <v>3388</v>
      </c>
      <c r="B8336" t="s">
        <v>23844</v>
      </c>
      <c r="C8336" t="s">
        <v>5470</v>
      </c>
      <c r="D8336" t="s">
        <v>4119</v>
      </c>
      <c r="E8336" t="s">
        <v>5532</v>
      </c>
      <c r="F8336" t="s">
        <v>29927</v>
      </c>
      <c r="G8336" t="s">
        <v>23092</v>
      </c>
      <c r="H8336" t="s">
        <v>5474</v>
      </c>
      <c r="I8336" t="s">
        <v>29928</v>
      </c>
      <c r="J8336" t="s">
        <v>5484</v>
      </c>
      <c r="K8336" t="s">
        <v>29929</v>
      </c>
      <c r="L8336" t="s">
        <v>5471</v>
      </c>
      <c r="M8336" t="s">
        <v>5471</v>
      </c>
    </row>
    <row r="8337" spans="1:13" x14ac:dyDescent="0.3">
      <c r="A8337" t="s">
        <v>3388</v>
      </c>
      <c r="B8337" t="s">
        <v>23844</v>
      </c>
      <c r="C8337" t="s">
        <v>5470</v>
      </c>
      <c r="D8337" t="s">
        <v>4119</v>
      </c>
      <c r="E8337" t="s">
        <v>5532</v>
      </c>
      <c r="F8337" t="s">
        <v>29930</v>
      </c>
      <c r="G8337" t="s">
        <v>23092</v>
      </c>
      <c r="H8337" t="s">
        <v>5474</v>
      </c>
      <c r="I8337" t="s">
        <v>29931</v>
      </c>
      <c r="J8337" t="s">
        <v>5484</v>
      </c>
      <c r="K8337" t="s">
        <v>29932</v>
      </c>
      <c r="L8337" t="s">
        <v>5471</v>
      </c>
      <c r="M8337" t="s">
        <v>5471</v>
      </c>
    </row>
    <row r="8338" spans="1:13" x14ac:dyDescent="0.3">
      <c r="A8338" t="s">
        <v>3388</v>
      </c>
      <c r="B8338" t="s">
        <v>10501</v>
      </c>
      <c r="C8338" t="s">
        <v>5470</v>
      </c>
      <c r="D8338" t="s">
        <v>4119</v>
      </c>
      <c r="E8338" t="s">
        <v>5532</v>
      </c>
      <c r="F8338" t="s">
        <v>29933</v>
      </c>
      <c r="G8338" t="s">
        <v>10503</v>
      </c>
      <c r="H8338" t="s">
        <v>5474</v>
      </c>
      <c r="I8338" t="s">
        <v>29934</v>
      </c>
      <c r="J8338" t="s">
        <v>5484</v>
      </c>
      <c r="K8338" t="s">
        <v>29935</v>
      </c>
      <c r="L8338" t="s">
        <v>5471</v>
      </c>
      <c r="M8338" t="s">
        <v>5471</v>
      </c>
    </row>
    <row r="8339" spans="1:13" x14ac:dyDescent="0.3">
      <c r="A8339" t="s">
        <v>3388</v>
      </c>
      <c r="B8339" t="s">
        <v>10501</v>
      </c>
      <c r="C8339" t="s">
        <v>5470</v>
      </c>
      <c r="D8339" t="s">
        <v>4119</v>
      </c>
      <c r="E8339" t="s">
        <v>5532</v>
      </c>
      <c r="F8339" t="s">
        <v>29936</v>
      </c>
      <c r="G8339" t="s">
        <v>10503</v>
      </c>
      <c r="H8339" t="s">
        <v>5474</v>
      </c>
      <c r="I8339" t="s">
        <v>29937</v>
      </c>
      <c r="J8339" t="s">
        <v>5484</v>
      </c>
      <c r="K8339" t="s">
        <v>29938</v>
      </c>
      <c r="L8339" t="s">
        <v>5471</v>
      </c>
      <c r="M8339" t="s">
        <v>5471</v>
      </c>
    </row>
    <row r="8340" spans="1:13" x14ac:dyDescent="0.3">
      <c r="A8340" t="s">
        <v>3388</v>
      </c>
      <c r="B8340" t="s">
        <v>29840</v>
      </c>
      <c r="C8340" t="s">
        <v>5470</v>
      </c>
      <c r="D8340" t="s">
        <v>4119</v>
      </c>
      <c r="E8340" t="s">
        <v>5532</v>
      </c>
      <c r="F8340" t="s">
        <v>29939</v>
      </c>
      <c r="G8340" t="s">
        <v>5550</v>
      </c>
      <c r="H8340" t="s">
        <v>5474</v>
      </c>
      <c r="I8340" t="s">
        <v>29940</v>
      </c>
      <c r="J8340" t="s">
        <v>5484</v>
      </c>
      <c r="K8340" t="s">
        <v>29941</v>
      </c>
      <c r="L8340" t="s">
        <v>5471</v>
      </c>
      <c r="M8340" t="s">
        <v>5471</v>
      </c>
    </row>
    <row r="8341" spans="1:13" x14ac:dyDescent="0.3">
      <c r="A8341" t="s">
        <v>3388</v>
      </c>
      <c r="B8341" t="s">
        <v>29840</v>
      </c>
      <c r="C8341" t="s">
        <v>5470</v>
      </c>
      <c r="D8341" t="s">
        <v>4119</v>
      </c>
      <c r="E8341" t="s">
        <v>5532</v>
      </c>
      <c r="F8341" t="s">
        <v>29942</v>
      </c>
      <c r="G8341" t="s">
        <v>5550</v>
      </c>
      <c r="H8341" t="s">
        <v>5474</v>
      </c>
      <c r="I8341" t="s">
        <v>29943</v>
      </c>
      <c r="J8341" t="s">
        <v>5484</v>
      </c>
      <c r="K8341" t="s">
        <v>29944</v>
      </c>
      <c r="L8341" t="s">
        <v>5471</v>
      </c>
      <c r="M8341" t="s">
        <v>5471</v>
      </c>
    </row>
    <row r="8342" spans="1:13" x14ac:dyDescent="0.3">
      <c r="A8342" t="s">
        <v>3388</v>
      </c>
      <c r="B8342" t="s">
        <v>29840</v>
      </c>
      <c r="C8342" t="s">
        <v>5470</v>
      </c>
      <c r="D8342" t="s">
        <v>4119</v>
      </c>
      <c r="E8342" t="s">
        <v>5532</v>
      </c>
      <c r="F8342" t="s">
        <v>29945</v>
      </c>
      <c r="G8342" t="s">
        <v>5550</v>
      </c>
      <c r="H8342" t="s">
        <v>5474</v>
      </c>
      <c r="I8342" t="s">
        <v>29946</v>
      </c>
      <c r="J8342" t="s">
        <v>5484</v>
      </c>
      <c r="K8342" t="s">
        <v>29947</v>
      </c>
      <c r="L8342" t="s">
        <v>5471</v>
      </c>
      <c r="M8342" t="s">
        <v>5471</v>
      </c>
    </row>
    <row r="8343" spans="1:13" x14ac:dyDescent="0.3">
      <c r="A8343" t="s">
        <v>3388</v>
      </c>
      <c r="B8343" t="s">
        <v>29840</v>
      </c>
      <c r="C8343" t="s">
        <v>5470</v>
      </c>
      <c r="D8343" t="s">
        <v>4119</v>
      </c>
      <c r="E8343" t="s">
        <v>5532</v>
      </c>
      <c r="F8343" t="s">
        <v>29948</v>
      </c>
      <c r="G8343" t="s">
        <v>5550</v>
      </c>
      <c r="H8343" t="s">
        <v>5474</v>
      </c>
      <c r="I8343" t="s">
        <v>29949</v>
      </c>
      <c r="J8343" t="s">
        <v>5484</v>
      </c>
      <c r="K8343" t="s">
        <v>29950</v>
      </c>
      <c r="L8343" t="s">
        <v>5471</v>
      </c>
      <c r="M8343" t="s">
        <v>5471</v>
      </c>
    </row>
    <row r="8344" spans="1:13" x14ac:dyDescent="0.3">
      <c r="A8344" t="s">
        <v>3388</v>
      </c>
      <c r="B8344" t="s">
        <v>29840</v>
      </c>
      <c r="C8344" t="s">
        <v>5470</v>
      </c>
      <c r="D8344" t="s">
        <v>4119</v>
      </c>
      <c r="E8344" t="s">
        <v>5532</v>
      </c>
      <c r="F8344" t="s">
        <v>29951</v>
      </c>
      <c r="G8344" t="s">
        <v>5550</v>
      </c>
      <c r="H8344" t="s">
        <v>5474</v>
      </c>
      <c r="I8344" t="s">
        <v>29952</v>
      </c>
      <c r="J8344" t="s">
        <v>5484</v>
      </c>
      <c r="K8344" t="s">
        <v>29953</v>
      </c>
      <c r="L8344" t="s">
        <v>5471</v>
      </c>
      <c r="M8344" t="s">
        <v>5471</v>
      </c>
    </row>
    <row r="8345" spans="1:13" x14ac:dyDescent="0.3">
      <c r="A8345" t="s">
        <v>3388</v>
      </c>
      <c r="B8345" t="s">
        <v>18697</v>
      </c>
      <c r="C8345" t="s">
        <v>5470</v>
      </c>
      <c r="D8345" t="s">
        <v>4119</v>
      </c>
      <c r="E8345" t="s">
        <v>5532</v>
      </c>
      <c r="F8345" t="s">
        <v>29954</v>
      </c>
      <c r="G8345" t="s">
        <v>10175</v>
      </c>
      <c r="H8345" t="s">
        <v>5474</v>
      </c>
      <c r="I8345" t="s">
        <v>29955</v>
      </c>
      <c r="J8345" t="s">
        <v>5484</v>
      </c>
      <c r="K8345" t="s">
        <v>29956</v>
      </c>
      <c r="L8345" t="s">
        <v>5471</v>
      </c>
      <c r="M8345" t="s">
        <v>5471</v>
      </c>
    </row>
    <row r="8346" spans="1:13" x14ac:dyDescent="0.3">
      <c r="A8346" t="s">
        <v>3388</v>
      </c>
      <c r="B8346" t="s">
        <v>18697</v>
      </c>
      <c r="C8346" t="s">
        <v>5470</v>
      </c>
      <c r="D8346" t="s">
        <v>4119</v>
      </c>
      <c r="E8346" t="s">
        <v>5532</v>
      </c>
      <c r="F8346" t="s">
        <v>29957</v>
      </c>
      <c r="G8346" t="s">
        <v>10175</v>
      </c>
      <c r="H8346" t="s">
        <v>5474</v>
      </c>
      <c r="I8346" t="s">
        <v>29958</v>
      </c>
      <c r="J8346" t="s">
        <v>5484</v>
      </c>
      <c r="K8346" t="s">
        <v>29959</v>
      </c>
      <c r="L8346" t="s">
        <v>5471</v>
      </c>
      <c r="M8346" t="s">
        <v>5471</v>
      </c>
    </row>
    <row r="8347" spans="1:13" x14ac:dyDescent="0.3">
      <c r="A8347" t="s">
        <v>3388</v>
      </c>
      <c r="B8347" t="s">
        <v>18697</v>
      </c>
      <c r="C8347" t="s">
        <v>5470</v>
      </c>
      <c r="D8347" t="s">
        <v>4119</v>
      </c>
      <c r="E8347" t="s">
        <v>5532</v>
      </c>
      <c r="F8347" t="s">
        <v>29960</v>
      </c>
      <c r="G8347" t="s">
        <v>10175</v>
      </c>
      <c r="H8347" t="s">
        <v>5474</v>
      </c>
      <c r="I8347" t="s">
        <v>29961</v>
      </c>
      <c r="J8347" t="s">
        <v>5484</v>
      </c>
      <c r="K8347" t="s">
        <v>29962</v>
      </c>
      <c r="L8347" t="s">
        <v>5471</v>
      </c>
      <c r="M8347" t="s">
        <v>5471</v>
      </c>
    </row>
    <row r="8348" spans="1:13" x14ac:dyDescent="0.3">
      <c r="A8348" t="s">
        <v>3388</v>
      </c>
      <c r="B8348" t="s">
        <v>18697</v>
      </c>
      <c r="C8348" t="s">
        <v>5470</v>
      </c>
      <c r="D8348" t="s">
        <v>4119</v>
      </c>
      <c r="E8348" t="s">
        <v>5532</v>
      </c>
      <c r="F8348" t="s">
        <v>29963</v>
      </c>
      <c r="G8348" t="s">
        <v>10175</v>
      </c>
      <c r="H8348" t="s">
        <v>5474</v>
      </c>
      <c r="I8348" t="s">
        <v>29964</v>
      </c>
      <c r="J8348" t="s">
        <v>5484</v>
      </c>
      <c r="K8348" t="s">
        <v>29965</v>
      </c>
      <c r="L8348" t="s">
        <v>5471</v>
      </c>
      <c r="M8348" t="s">
        <v>5471</v>
      </c>
    </row>
    <row r="8349" spans="1:13" x14ac:dyDescent="0.3">
      <c r="A8349" t="s">
        <v>3388</v>
      </c>
      <c r="B8349" t="s">
        <v>18697</v>
      </c>
      <c r="C8349" t="s">
        <v>5470</v>
      </c>
      <c r="D8349" t="s">
        <v>4119</v>
      </c>
      <c r="E8349" t="s">
        <v>5532</v>
      </c>
      <c r="F8349" t="s">
        <v>29966</v>
      </c>
      <c r="G8349" t="s">
        <v>10175</v>
      </c>
      <c r="H8349" t="s">
        <v>5474</v>
      </c>
      <c r="I8349" t="s">
        <v>29967</v>
      </c>
      <c r="J8349" t="s">
        <v>5484</v>
      </c>
      <c r="K8349" t="s">
        <v>29968</v>
      </c>
      <c r="L8349" t="s">
        <v>5471</v>
      </c>
      <c r="M8349" t="s">
        <v>5471</v>
      </c>
    </row>
    <row r="8350" spans="1:13" x14ac:dyDescent="0.3">
      <c r="A8350" t="s">
        <v>3388</v>
      </c>
      <c r="B8350" t="s">
        <v>18697</v>
      </c>
      <c r="C8350" t="s">
        <v>5470</v>
      </c>
      <c r="D8350" t="s">
        <v>4119</v>
      </c>
      <c r="E8350" t="s">
        <v>5532</v>
      </c>
      <c r="F8350" t="s">
        <v>29969</v>
      </c>
      <c r="G8350" t="s">
        <v>10175</v>
      </c>
      <c r="H8350" t="s">
        <v>5474</v>
      </c>
      <c r="I8350" t="s">
        <v>29970</v>
      </c>
      <c r="J8350" t="s">
        <v>5484</v>
      </c>
      <c r="K8350" t="s">
        <v>29971</v>
      </c>
      <c r="L8350" t="s">
        <v>5471</v>
      </c>
      <c r="M8350" t="s">
        <v>5471</v>
      </c>
    </row>
    <row r="8351" spans="1:13" x14ac:dyDescent="0.3">
      <c r="A8351" t="s">
        <v>3388</v>
      </c>
      <c r="B8351" t="s">
        <v>18634</v>
      </c>
      <c r="C8351" t="s">
        <v>5470</v>
      </c>
      <c r="D8351" t="s">
        <v>4119</v>
      </c>
      <c r="E8351" t="s">
        <v>5532</v>
      </c>
      <c r="F8351" t="s">
        <v>29972</v>
      </c>
      <c r="G8351" t="s">
        <v>10178</v>
      </c>
      <c r="H8351" t="s">
        <v>5474</v>
      </c>
      <c r="I8351" t="s">
        <v>29973</v>
      </c>
      <c r="J8351" t="s">
        <v>5484</v>
      </c>
      <c r="K8351" t="s">
        <v>29974</v>
      </c>
      <c r="L8351" t="s">
        <v>5471</v>
      </c>
      <c r="M8351" t="s">
        <v>5471</v>
      </c>
    </row>
    <row r="8352" spans="1:13" x14ac:dyDescent="0.3">
      <c r="A8352" t="s">
        <v>3388</v>
      </c>
      <c r="B8352" t="s">
        <v>18634</v>
      </c>
      <c r="C8352" t="s">
        <v>5470</v>
      </c>
      <c r="D8352" t="s">
        <v>4119</v>
      </c>
      <c r="E8352" t="s">
        <v>5532</v>
      </c>
      <c r="F8352" t="s">
        <v>29975</v>
      </c>
      <c r="G8352" t="s">
        <v>10178</v>
      </c>
      <c r="H8352" t="s">
        <v>5474</v>
      </c>
      <c r="I8352" t="s">
        <v>29976</v>
      </c>
      <c r="J8352" t="s">
        <v>5484</v>
      </c>
      <c r="K8352" t="s">
        <v>29977</v>
      </c>
      <c r="L8352" t="s">
        <v>5471</v>
      </c>
      <c r="M8352" t="s">
        <v>5471</v>
      </c>
    </row>
    <row r="8353" spans="1:13" x14ac:dyDescent="0.3">
      <c r="A8353" t="s">
        <v>3388</v>
      </c>
      <c r="B8353" t="s">
        <v>18634</v>
      </c>
      <c r="C8353" t="s">
        <v>5470</v>
      </c>
      <c r="D8353" t="s">
        <v>4119</v>
      </c>
      <c r="E8353" t="s">
        <v>5532</v>
      </c>
      <c r="F8353" t="s">
        <v>29978</v>
      </c>
      <c r="G8353" t="s">
        <v>10178</v>
      </c>
      <c r="H8353" t="s">
        <v>5474</v>
      </c>
      <c r="I8353" t="s">
        <v>29979</v>
      </c>
      <c r="J8353" t="s">
        <v>5484</v>
      </c>
      <c r="K8353" t="s">
        <v>29980</v>
      </c>
      <c r="L8353" t="s">
        <v>5471</v>
      </c>
      <c r="M8353" t="s">
        <v>5471</v>
      </c>
    </row>
    <row r="8354" spans="1:13" x14ac:dyDescent="0.3">
      <c r="A8354" t="s">
        <v>3388</v>
      </c>
      <c r="B8354" t="s">
        <v>18634</v>
      </c>
      <c r="C8354" t="s">
        <v>5470</v>
      </c>
      <c r="D8354" t="s">
        <v>4119</v>
      </c>
      <c r="E8354" t="s">
        <v>5532</v>
      </c>
      <c r="F8354" t="s">
        <v>29981</v>
      </c>
      <c r="G8354" t="s">
        <v>18654</v>
      </c>
      <c r="H8354" t="s">
        <v>5474</v>
      </c>
      <c r="I8354" t="s">
        <v>29982</v>
      </c>
      <c r="J8354" t="s">
        <v>5484</v>
      </c>
      <c r="K8354" t="s">
        <v>29983</v>
      </c>
      <c r="L8354" t="s">
        <v>5471</v>
      </c>
      <c r="M8354" t="s">
        <v>5471</v>
      </c>
    </row>
    <row r="8355" spans="1:13" x14ac:dyDescent="0.3">
      <c r="A8355" t="s">
        <v>3388</v>
      </c>
      <c r="B8355" t="s">
        <v>18634</v>
      </c>
      <c r="C8355" t="s">
        <v>5470</v>
      </c>
      <c r="D8355" t="s">
        <v>4119</v>
      </c>
      <c r="E8355" t="s">
        <v>5532</v>
      </c>
      <c r="F8355" t="s">
        <v>29984</v>
      </c>
      <c r="G8355" t="s">
        <v>18654</v>
      </c>
      <c r="H8355" t="s">
        <v>5474</v>
      </c>
      <c r="I8355" t="s">
        <v>29985</v>
      </c>
      <c r="J8355" t="s">
        <v>5484</v>
      </c>
      <c r="K8355" t="s">
        <v>29986</v>
      </c>
      <c r="L8355" t="s">
        <v>5471</v>
      </c>
      <c r="M8355" t="s">
        <v>5471</v>
      </c>
    </row>
    <row r="8356" spans="1:13" x14ac:dyDescent="0.3">
      <c r="A8356" t="s">
        <v>3388</v>
      </c>
      <c r="B8356" t="s">
        <v>18634</v>
      </c>
      <c r="C8356" t="s">
        <v>5470</v>
      </c>
      <c r="D8356" t="s">
        <v>4119</v>
      </c>
      <c r="E8356" t="s">
        <v>5532</v>
      </c>
      <c r="F8356" t="s">
        <v>29987</v>
      </c>
      <c r="G8356" t="s">
        <v>18654</v>
      </c>
      <c r="H8356" t="s">
        <v>5474</v>
      </c>
      <c r="I8356" t="s">
        <v>29988</v>
      </c>
      <c r="J8356" t="s">
        <v>5484</v>
      </c>
      <c r="K8356" t="s">
        <v>29989</v>
      </c>
      <c r="L8356" t="s">
        <v>5471</v>
      </c>
      <c r="M8356" t="s">
        <v>5471</v>
      </c>
    </row>
    <row r="8357" spans="1:13" x14ac:dyDescent="0.3">
      <c r="A8357" t="s">
        <v>3388</v>
      </c>
      <c r="B8357" t="s">
        <v>18634</v>
      </c>
      <c r="C8357" t="s">
        <v>5470</v>
      </c>
      <c r="D8357" t="s">
        <v>4119</v>
      </c>
      <c r="E8357" t="s">
        <v>5532</v>
      </c>
      <c r="F8357" t="s">
        <v>29990</v>
      </c>
      <c r="G8357" t="s">
        <v>18654</v>
      </c>
      <c r="H8357" t="s">
        <v>5474</v>
      </c>
      <c r="I8357" t="s">
        <v>29991</v>
      </c>
      <c r="J8357" t="s">
        <v>5484</v>
      </c>
      <c r="K8357" t="s">
        <v>29992</v>
      </c>
      <c r="L8357" t="s">
        <v>5471</v>
      </c>
      <c r="M8357" t="s">
        <v>5471</v>
      </c>
    </row>
    <row r="8358" spans="1:13" x14ac:dyDescent="0.3">
      <c r="A8358" t="s">
        <v>3388</v>
      </c>
      <c r="B8358" t="s">
        <v>18634</v>
      </c>
      <c r="C8358" t="s">
        <v>5470</v>
      </c>
      <c r="D8358" t="s">
        <v>4119</v>
      </c>
      <c r="E8358" t="s">
        <v>5532</v>
      </c>
      <c r="F8358" t="s">
        <v>29993</v>
      </c>
      <c r="G8358" t="s">
        <v>18654</v>
      </c>
      <c r="H8358" t="s">
        <v>5474</v>
      </c>
      <c r="I8358" t="s">
        <v>29994</v>
      </c>
      <c r="J8358" t="s">
        <v>5484</v>
      </c>
      <c r="K8358" t="s">
        <v>29995</v>
      </c>
      <c r="L8358" t="s">
        <v>5471</v>
      </c>
      <c r="M8358" t="s">
        <v>5471</v>
      </c>
    </row>
    <row r="8359" spans="1:13" x14ac:dyDescent="0.3">
      <c r="A8359" t="s">
        <v>3388</v>
      </c>
      <c r="B8359" t="s">
        <v>23818</v>
      </c>
      <c r="C8359" t="s">
        <v>5470</v>
      </c>
      <c r="D8359" t="s">
        <v>4119</v>
      </c>
      <c r="E8359" t="s">
        <v>5532</v>
      </c>
      <c r="F8359" t="s">
        <v>29996</v>
      </c>
      <c r="G8359" t="s">
        <v>23218</v>
      </c>
      <c r="H8359" t="s">
        <v>5474</v>
      </c>
      <c r="I8359" t="s">
        <v>29997</v>
      </c>
      <c r="J8359" t="s">
        <v>5484</v>
      </c>
      <c r="K8359" t="s">
        <v>29998</v>
      </c>
      <c r="L8359" t="s">
        <v>5471</v>
      </c>
      <c r="M8359" t="s">
        <v>5471</v>
      </c>
    </row>
    <row r="8360" spans="1:13" x14ac:dyDescent="0.3">
      <c r="A8360" t="s">
        <v>3388</v>
      </c>
      <c r="B8360" t="s">
        <v>23818</v>
      </c>
      <c r="C8360" t="s">
        <v>5470</v>
      </c>
      <c r="D8360" t="s">
        <v>4119</v>
      </c>
      <c r="E8360" t="s">
        <v>5532</v>
      </c>
      <c r="F8360" t="s">
        <v>29999</v>
      </c>
      <c r="G8360" t="s">
        <v>23218</v>
      </c>
      <c r="H8360" t="s">
        <v>5474</v>
      </c>
      <c r="I8360" t="s">
        <v>30000</v>
      </c>
      <c r="J8360" t="s">
        <v>5484</v>
      </c>
      <c r="K8360" t="s">
        <v>30001</v>
      </c>
      <c r="L8360" t="s">
        <v>5471</v>
      </c>
      <c r="M8360" t="s">
        <v>5471</v>
      </c>
    </row>
    <row r="8361" spans="1:13" x14ac:dyDescent="0.3">
      <c r="A8361" t="s">
        <v>3388</v>
      </c>
      <c r="B8361" t="s">
        <v>23818</v>
      </c>
      <c r="C8361" t="s">
        <v>5470</v>
      </c>
      <c r="D8361" t="s">
        <v>4119</v>
      </c>
      <c r="E8361" t="s">
        <v>5532</v>
      </c>
      <c r="F8361" t="s">
        <v>30002</v>
      </c>
      <c r="G8361" t="s">
        <v>23218</v>
      </c>
      <c r="H8361" t="s">
        <v>5474</v>
      </c>
      <c r="I8361" t="s">
        <v>30003</v>
      </c>
      <c r="J8361" t="s">
        <v>5484</v>
      </c>
      <c r="K8361" t="s">
        <v>30004</v>
      </c>
      <c r="L8361" t="s">
        <v>5471</v>
      </c>
      <c r="M8361" t="s">
        <v>5471</v>
      </c>
    </row>
    <row r="8362" spans="1:13" x14ac:dyDescent="0.3">
      <c r="A8362" t="s">
        <v>3388</v>
      </c>
      <c r="B8362" t="s">
        <v>23818</v>
      </c>
      <c r="C8362" t="s">
        <v>5470</v>
      </c>
      <c r="D8362" t="s">
        <v>4119</v>
      </c>
      <c r="E8362" t="s">
        <v>5532</v>
      </c>
      <c r="F8362" t="s">
        <v>30005</v>
      </c>
      <c r="G8362" t="s">
        <v>23218</v>
      </c>
      <c r="H8362" t="s">
        <v>5474</v>
      </c>
      <c r="I8362" t="s">
        <v>30006</v>
      </c>
      <c r="J8362" t="s">
        <v>5484</v>
      </c>
      <c r="K8362" t="s">
        <v>30007</v>
      </c>
      <c r="L8362" t="s">
        <v>5471</v>
      </c>
      <c r="M8362" t="s">
        <v>5471</v>
      </c>
    </row>
    <row r="8363" spans="1:13" x14ac:dyDescent="0.3">
      <c r="A8363" t="s">
        <v>3388</v>
      </c>
      <c r="B8363" t="s">
        <v>23818</v>
      </c>
      <c r="C8363" t="s">
        <v>5470</v>
      </c>
      <c r="D8363" t="s">
        <v>4119</v>
      </c>
      <c r="E8363" t="s">
        <v>5532</v>
      </c>
      <c r="F8363" t="s">
        <v>30008</v>
      </c>
      <c r="G8363" t="s">
        <v>23218</v>
      </c>
      <c r="H8363" t="s">
        <v>5474</v>
      </c>
      <c r="I8363" t="s">
        <v>30009</v>
      </c>
      <c r="J8363" t="s">
        <v>5484</v>
      </c>
      <c r="K8363" t="s">
        <v>30010</v>
      </c>
      <c r="L8363" t="s">
        <v>5471</v>
      </c>
      <c r="M8363" t="s">
        <v>5471</v>
      </c>
    </row>
    <row r="8364" spans="1:13" x14ac:dyDescent="0.3">
      <c r="A8364" t="s">
        <v>3388</v>
      </c>
      <c r="B8364" t="s">
        <v>23832</v>
      </c>
      <c r="C8364" t="s">
        <v>5470</v>
      </c>
      <c r="D8364" t="s">
        <v>4119</v>
      </c>
      <c r="E8364" t="s">
        <v>5532</v>
      </c>
      <c r="F8364" t="s">
        <v>30011</v>
      </c>
      <c r="G8364" t="s">
        <v>23186</v>
      </c>
      <c r="H8364" t="s">
        <v>5474</v>
      </c>
      <c r="I8364" t="s">
        <v>30012</v>
      </c>
      <c r="J8364" t="s">
        <v>5484</v>
      </c>
      <c r="K8364" t="s">
        <v>30013</v>
      </c>
      <c r="L8364" t="s">
        <v>5471</v>
      </c>
      <c r="M8364" t="s">
        <v>5471</v>
      </c>
    </row>
    <row r="8365" spans="1:13" x14ac:dyDescent="0.3">
      <c r="A8365" t="s">
        <v>3388</v>
      </c>
      <c r="B8365" t="s">
        <v>23832</v>
      </c>
      <c r="C8365" t="s">
        <v>5470</v>
      </c>
      <c r="D8365" t="s">
        <v>4119</v>
      </c>
      <c r="E8365" t="s">
        <v>5532</v>
      </c>
      <c r="F8365" t="s">
        <v>30014</v>
      </c>
      <c r="G8365" t="s">
        <v>23186</v>
      </c>
      <c r="H8365" t="s">
        <v>5474</v>
      </c>
      <c r="I8365" t="s">
        <v>30015</v>
      </c>
      <c r="J8365" t="s">
        <v>5484</v>
      </c>
      <c r="K8365" t="s">
        <v>30016</v>
      </c>
      <c r="L8365" t="s">
        <v>5471</v>
      </c>
      <c r="M8365" t="s">
        <v>5471</v>
      </c>
    </row>
    <row r="8366" spans="1:13" x14ac:dyDescent="0.3">
      <c r="A8366" t="s">
        <v>3388</v>
      </c>
      <c r="B8366" t="s">
        <v>30017</v>
      </c>
      <c r="C8366" t="s">
        <v>5470</v>
      </c>
      <c r="D8366" t="s">
        <v>4119</v>
      </c>
      <c r="E8366" t="s">
        <v>5532</v>
      </c>
      <c r="F8366" t="s">
        <v>30018</v>
      </c>
      <c r="G8366" t="s">
        <v>29434</v>
      </c>
      <c r="H8366" t="s">
        <v>5474</v>
      </c>
      <c r="I8366" t="s">
        <v>30019</v>
      </c>
      <c r="J8366" t="s">
        <v>5484</v>
      </c>
      <c r="K8366" t="s">
        <v>30020</v>
      </c>
      <c r="L8366" t="s">
        <v>5471</v>
      </c>
      <c r="M8366" t="s">
        <v>5471</v>
      </c>
    </row>
    <row r="8367" spans="1:13" x14ac:dyDescent="0.3">
      <c r="A8367" t="s">
        <v>3388</v>
      </c>
      <c r="B8367" t="s">
        <v>30017</v>
      </c>
      <c r="C8367" t="s">
        <v>5470</v>
      </c>
      <c r="D8367" t="s">
        <v>4119</v>
      </c>
      <c r="E8367" t="s">
        <v>5532</v>
      </c>
      <c r="F8367" t="s">
        <v>30021</v>
      </c>
      <c r="G8367" t="s">
        <v>29434</v>
      </c>
      <c r="H8367" t="s">
        <v>5474</v>
      </c>
      <c r="I8367" t="s">
        <v>30022</v>
      </c>
      <c r="J8367" t="s">
        <v>5484</v>
      </c>
      <c r="K8367" t="s">
        <v>30023</v>
      </c>
      <c r="L8367" t="s">
        <v>5471</v>
      </c>
      <c r="M8367" t="s">
        <v>5471</v>
      </c>
    </row>
    <row r="8368" spans="1:13" x14ac:dyDescent="0.3">
      <c r="A8368" t="s">
        <v>3388</v>
      </c>
      <c r="B8368" t="s">
        <v>30017</v>
      </c>
      <c r="C8368" t="s">
        <v>5470</v>
      </c>
      <c r="D8368" t="s">
        <v>4119</v>
      </c>
      <c r="E8368" t="s">
        <v>5532</v>
      </c>
      <c r="F8368" t="s">
        <v>30024</v>
      </c>
      <c r="G8368" t="s">
        <v>29434</v>
      </c>
      <c r="H8368" t="s">
        <v>5474</v>
      </c>
      <c r="I8368" t="s">
        <v>30025</v>
      </c>
      <c r="J8368" t="s">
        <v>5484</v>
      </c>
      <c r="K8368" t="s">
        <v>30026</v>
      </c>
      <c r="L8368" t="s">
        <v>5471</v>
      </c>
      <c r="M8368" t="s">
        <v>5471</v>
      </c>
    </row>
    <row r="8369" spans="1:13" x14ac:dyDescent="0.3">
      <c r="A8369" t="s">
        <v>3388</v>
      </c>
      <c r="B8369" t="s">
        <v>30017</v>
      </c>
      <c r="C8369" t="s">
        <v>5470</v>
      </c>
      <c r="D8369" t="s">
        <v>4119</v>
      </c>
      <c r="E8369" t="s">
        <v>5532</v>
      </c>
      <c r="F8369" t="s">
        <v>30027</v>
      </c>
      <c r="G8369" t="s">
        <v>29434</v>
      </c>
      <c r="H8369" t="s">
        <v>5474</v>
      </c>
      <c r="I8369" t="s">
        <v>30028</v>
      </c>
      <c r="J8369" t="s">
        <v>5484</v>
      </c>
      <c r="K8369" t="s">
        <v>30029</v>
      </c>
      <c r="L8369" t="s">
        <v>5471</v>
      </c>
      <c r="M8369" t="s">
        <v>5471</v>
      </c>
    </row>
    <row r="8370" spans="1:13" x14ac:dyDescent="0.3">
      <c r="A8370" t="s">
        <v>3388</v>
      </c>
      <c r="B8370" t="s">
        <v>30017</v>
      </c>
      <c r="C8370" t="s">
        <v>5470</v>
      </c>
      <c r="D8370" t="s">
        <v>4119</v>
      </c>
      <c r="E8370" t="s">
        <v>5532</v>
      </c>
      <c r="F8370" t="s">
        <v>30030</v>
      </c>
      <c r="G8370" t="s">
        <v>29434</v>
      </c>
      <c r="H8370" t="s">
        <v>5474</v>
      </c>
      <c r="I8370" t="s">
        <v>30031</v>
      </c>
      <c r="J8370" t="s">
        <v>5484</v>
      </c>
      <c r="K8370" t="s">
        <v>30032</v>
      </c>
      <c r="L8370" t="s">
        <v>5471</v>
      </c>
      <c r="M8370" t="s">
        <v>5471</v>
      </c>
    </row>
    <row r="8371" spans="1:13" x14ac:dyDescent="0.3">
      <c r="A8371" t="s">
        <v>3388</v>
      </c>
      <c r="B8371" t="s">
        <v>30017</v>
      </c>
      <c r="C8371" t="s">
        <v>5470</v>
      </c>
      <c r="D8371" t="s">
        <v>4119</v>
      </c>
      <c r="E8371" t="s">
        <v>5532</v>
      </c>
      <c r="F8371" t="s">
        <v>30033</v>
      </c>
      <c r="G8371" t="s">
        <v>29434</v>
      </c>
      <c r="H8371" t="s">
        <v>5474</v>
      </c>
      <c r="I8371" t="s">
        <v>30034</v>
      </c>
      <c r="J8371" t="s">
        <v>5484</v>
      </c>
      <c r="K8371" t="s">
        <v>30035</v>
      </c>
      <c r="L8371" t="s">
        <v>5471</v>
      </c>
      <c r="M8371" t="s">
        <v>5471</v>
      </c>
    </row>
    <row r="8372" spans="1:13" x14ac:dyDescent="0.3">
      <c r="A8372" t="s">
        <v>3388</v>
      </c>
      <c r="B8372" t="s">
        <v>30017</v>
      </c>
      <c r="C8372" t="s">
        <v>5470</v>
      </c>
      <c r="D8372" t="s">
        <v>4119</v>
      </c>
      <c r="E8372" t="s">
        <v>5532</v>
      </c>
      <c r="F8372" t="s">
        <v>30036</v>
      </c>
      <c r="G8372" t="s">
        <v>29434</v>
      </c>
      <c r="H8372" t="s">
        <v>5474</v>
      </c>
      <c r="I8372" t="s">
        <v>30037</v>
      </c>
      <c r="J8372" t="s">
        <v>5484</v>
      </c>
      <c r="K8372" t="s">
        <v>30038</v>
      </c>
      <c r="L8372" t="s">
        <v>5471</v>
      </c>
      <c r="M8372" t="s">
        <v>5471</v>
      </c>
    </row>
    <row r="8373" spans="1:13" x14ac:dyDescent="0.3">
      <c r="A8373" t="s">
        <v>3388</v>
      </c>
      <c r="B8373" t="s">
        <v>30017</v>
      </c>
      <c r="C8373" t="s">
        <v>5470</v>
      </c>
      <c r="D8373" t="s">
        <v>4119</v>
      </c>
      <c r="E8373" t="s">
        <v>5532</v>
      </c>
      <c r="F8373" t="s">
        <v>30039</v>
      </c>
      <c r="G8373" t="s">
        <v>29434</v>
      </c>
      <c r="H8373" t="s">
        <v>5474</v>
      </c>
      <c r="I8373" t="s">
        <v>30040</v>
      </c>
      <c r="J8373" t="s">
        <v>5484</v>
      </c>
      <c r="K8373" t="s">
        <v>30041</v>
      </c>
      <c r="L8373" t="s">
        <v>5471</v>
      </c>
      <c r="M8373" t="s">
        <v>5471</v>
      </c>
    </row>
    <row r="8374" spans="1:13" x14ac:dyDescent="0.3">
      <c r="A8374" t="s">
        <v>3388</v>
      </c>
      <c r="B8374" t="s">
        <v>30017</v>
      </c>
      <c r="C8374" t="s">
        <v>5470</v>
      </c>
      <c r="D8374" t="s">
        <v>4119</v>
      </c>
      <c r="E8374" t="s">
        <v>5532</v>
      </c>
      <c r="F8374" t="s">
        <v>30042</v>
      </c>
      <c r="G8374" t="s">
        <v>30043</v>
      </c>
      <c r="H8374" t="s">
        <v>5474</v>
      </c>
      <c r="I8374" t="s">
        <v>30044</v>
      </c>
      <c r="J8374" t="s">
        <v>5484</v>
      </c>
      <c r="K8374" t="s">
        <v>30045</v>
      </c>
      <c r="L8374" t="s">
        <v>5471</v>
      </c>
      <c r="M8374" t="s">
        <v>5471</v>
      </c>
    </row>
    <row r="8375" spans="1:13" x14ac:dyDescent="0.3">
      <c r="A8375" t="s">
        <v>3388</v>
      </c>
      <c r="B8375" t="s">
        <v>30017</v>
      </c>
      <c r="C8375" t="s">
        <v>5470</v>
      </c>
      <c r="D8375" t="s">
        <v>4119</v>
      </c>
      <c r="E8375" t="s">
        <v>5532</v>
      </c>
      <c r="F8375" t="s">
        <v>30046</v>
      </c>
      <c r="G8375" t="s">
        <v>30043</v>
      </c>
      <c r="H8375" t="s">
        <v>5474</v>
      </c>
      <c r="I8375" t="s">
        <v>30047</v>
      </c>
      <c r="J8375" t="s">
        <v>5484</v>
      </c>
      <c r="K8375" t="s">
        <v>30048</v>
      </c>
      <c r="L8375" t="s">
        <v>5471</v>
      </c>
      <c r="M8375" t="s">
        <v>5471</v>
      </c>
    </row>
    <row r="8376" spans="1:13" x14ac:dyDescent="0.3">
      <c r="A8376" t="s">
        <v>3388</v>
      </c>
      <c r="B8376" t="s">
        <v>30017</v>
      </c>
      <c r="C8376" t="s">
        <v>5470</v>
      </c>
      <c r="D8376" t="s">
        <v>4119</v>
      </c>
      <c r="E8376" t="s">
        <v>5532</v>
      </c>
      <c r="F8376" t="s">
        <v>30049</v>
      </c>
      <c r="G8376" t="s">
        <v>30043</v>
      </c>
      <c r="H8376" t="s">
        <v>5474</v>
      </c>
      <c r="I8376" t="s">
        <v>30050</v>
      </c>
      <c r="J8376" t="s">
        <v>5484</v>
      </c>
      <c r="K8376" t="s">
        <v>30051</v>
      </c>
      <c r="L8376" t="s">
        <v>5471</v>
      </c>
      <c r="M8376" t="s">
        <v>5471</v>
      </c>
    </row>
    <row r="8377" spans="1:13" x14ac:dyDescent="0.3">
      <c r="A8377" t="s">
        <v>3388</v>
      </c>
      <c r="B8377" t="s">
        <v>30017</v>
      </c>
      <c r="C8377" t="s">
        <v>5470</v>
      </c>
      <c r="D8377" t="s">
        <v>4119</v>
      </c>
      <c r="E8377" t="s">
        <v>5532</v>
      </c>
      <c r="F8377" t="s">
        <v>30052</v>
      </c>
      <c r="G8377" t="s">
        <v>30053</v>
      </c>
      <c r="H8377" t="s">
        <v>5474</v>
      </c>
      <c r="I8377" t="s">
        <v>30054</v>
      </c>
      <c r="J8377" t="s">
        <v>5484</v>
      </c>
      <c r="K8377" t="s">
        <v>30055</v>
      </c>
      <c r="L8377" t="s">
        <v>5471</v>
      </c>
      <c r="M8377" t="s">
        <v>5471</v>
      </c>
    </row>
    <row r="8378" spans="1:13" x14ac:dyDescent="0.3">
      <c r="A8378" t="s">
        <v>3388</v>
      </c>
      <c r="B8378" t="s">
        <v>30017</v>
      </c>
      <c r="C8378" t="s">
        <v>5470</v>
      </c>
      <c r="D8378" t="s">
        <v>4119</v>
      </c>
      <c r="E8378" t="s">
        <v>5532</v>
      </c>
      <c r="F8378" t="s">
        <v>30056</v>
      </c>
      <c r="G8378" t="s">
        <v>30053</v>
      </c>
      <c r="H8378" t="s">
        <v>5474</v>
      </c>
      <c r="I8378" t="s">
        <v>30057</v>
      </c>
      <c r="J8378" t="s">
        <v>5484</v>
      </c>
      <c r="K8378" t="s">
        <v>30058</v>
      </c>
      <c r="L8378" t="s">
        <v>5471</v>
      </c>
      <c r="M8378" t="s">
        <v>5471</v>
      </c>
    </row>
    <row r="8379" spans="1:13" x14ac:dyDescent="0.3">
      <c r="A8379" t="s">
        <v>3388</v>
      </c>
      <c r="B8379" t="s">
        <v>30059</v>
      </c>
      <c r="C8379" t="s">
        <v>5470</v>
      </c>
      <c r="D8379" t="s">
        <v>4119</v>
      </c>
      <c r="E8379" t="s">
        <v>5532</v>
      </c>
      <c r="F8379" t="s">
        <v>30060</v>
      </c>
      <c r="G8379" t="s">
        <v>28910</v>
      </c>
      <c r="H8379" t="s">
        <v>5474</v>
      </c>
      <c r="I8379" t="s">
        <v>30061</v>
      </c>
      <c r="J8379" t="s">
        <v>5484</v>
      </c>
      <c r="K8379" t="s">
        <v>30062</v>
      </c>
      <c r="L8379" t="s">
        <v>5471</v>
      </c>
      <c r="M8379" t="s">
        <v>5471</v>
      </c>
    </row>
    <row r="8380" spans="1:13" x14ac:dyDescent="0.3">
      <c r="A8380" t="s">
        <v>3388</v>
      </c>
      <c r="B8380" t="s">
        <v>30059</v>
      </c>
      <c r="C8380" t="s">
        <v>5470</v>
      </c>
      <c r="D8380" t="s">
        <v>4119</v>
      </c>
      <c r="E8380" t="s">
        <v>5532</v>
      </c>
      <c r="F8380" t="s">
        <v>30063</v>
      </c>
      <c r="G8380" t="s">
        <v>28910</v>
      </c>
      <c r="H8380" t="s">
        <v>5474</v>
      </c>
      <c r="I8380" t="s">
        <v>30064</v>
      </c>
      <c r="J8380" t="s">
        <v>5484</v>
      </c>
      <c r="K8380" t="s">
        <v>30065</v>
      </c>
      <c r="L8380" t="s">
        <v>5471</v>
      </c>
      <c r="M8380" t="s">
        <v>5471</v>
      </c>
    </row>
    <row r="8381" spans="1:13" x14ac:dyDescent="0.3">
      <c r="A8381" t="s">
        <v>3388</v>
      </c>
      <c r="B8381" t="s">
        <v>30059</v>
      </c>
      <c r="C8381" t="s">
        <v>5470</v>
      </c>
      <c r="D8381" t="s">
        <v>4119</v>
      </c>
      <c r="E8381" t="s">
        <v>5532</v>
      </c>
      <c r="F8381" t="s">
        <v>30066</v>
      </c>
      <c r="G8381" t="s">
        <v>28910</v>
      </c>
      <c r="H8381" t="s">
        <v>5474</v>
      </c>
      <c r="I8381" t="s">
        <v>30067</v>
      </c>
      <c r="J8381" t="s">
        <v>5484</v>
      </c>
      <c r="K8381" t="s">
        <v>30068</v>
      </c>
      <c r="L8381" t="s">
        <v>5471</v>
      </c>
      <c r="M8381" t="s">
        <v>5471</v>
      </c>
    </row>
    <row r="8382" spans="1:13" x14ac:dyDescent="0.3">
      <c r="A8382" t="s">
        <v>3388</v>
      </c>
      <c r="B8382" t="s">
        <v>30059</v>
      </c>
      <c r="C8382" t="s">
        <v>5470</v>
      </c>
      <c r="D8382" t="s">
        <v>4119</v>
      </c>
      <c r="E8382" t="s">
        <v>5532</v>
      </c>
      <c r="F8382" t="s">
        <v>30069</v>
      </c>
      <c r="G8382" t="s">
        <v>28910</v>
      </c>
      <c r="H8382" t="s">
        <v>5474</v>
      </c>
      <c r="I8382" t="s">
        <v>30070</v>
      </c>
      <c r="J8382" t="s">
        <v>5484</v>
      </c>
      <c r="K8382" t="s">
        <v>30071</v>
      </c>
      <c r="L8382" t="s">
        <v>5471</v>
      </c>
      <c r="M8382" t="s">
        <v>5471</v>
      </c>
    </row>
    <row r="8383" spans="1:13" x14ac:dyDescent="0.3">
      <c r="A8383" t="s">
        <v>3388</v>
      </c>
      <c r="B8383" t="s">
        <v>30072</v>
      </c>
      <c r="C8383" t="s">
        <v>5470</v>
      </c>
      <c r="D8383" t="s">
        <v>4119</v>
      </c>
      <c r="E8383" t="s">
        <v>5532</v>
      </c>
      <c r="F8383" t="s">
        <v>30073</v>
      </c>
      <c r="G8383" t="s">
        <v>29444</v>
      </c>
      <c r="H8383" t="s">
        <v>5474</v>
      </c>
      <c r="I8383" t="s">
        <v>30074</v>
      </c>
      <c r="J8383" t="s">
        <v>5484</v>
      </c>
      <c r="K8383" t="s">
        <v>30075</v>
      </c>
      <c r="L8383" t="s">
        <v>5471</v>
      </c>
      <c r="M8383" t="s">
        <v>5471</v>
      </c>
    </row>
    <row r="8384" spans="1:13" x14ac:dyDescent="0.3">
      <c r="A8384" t="s">
        <v>3388</v>
      </c>
      <c r="B8384" t="s">
        <v>30072</v>
      </c>
      <c r="C8384" t="s">
        <v>5470</v>
      </c>
      <c r="D8384" t="s">
        <v>4119</v>
      </c>
      <c r="E8384" t="s">
        <v>5532</v>
      </c>
      <c r="F8384" t="s">
        <v>30076</v>
      </c>
      <c r="G8384" t="s">
        <v>29444</v>
      </c>
      <c r="H8384" t="s">
        <v>5474</v>
      </c>
      <c r="I8384" t="s">
        <v>30077</v>
      </c>
      <c r="J8384" t="s">
        <v>5484</v>
      </c>
      <c r="K8384" t="s">
        <v>30078</v>
      </c>
      <c r="L8384" t="s">
        <v>5471</v>
      </c>
      <c r="M8384" t="s">
        <v>5471</v>
      </c>
    </row>
    <row r="8385" spans="1:13" x14ac:dyDescent="0.3">
      <c r="A8385" t="s">
        <v>3388</v>
      </c>
      <c r="B8385" t="s">
        <v>30072</v>
      </c>
      <c r="C8385" t="s">
        <v>5470</v>
      </c>
      <c r="D8385" t="s">
        <v>4119</v>
      </c>
      <c r="E8385" t="s">
        <v>5532</v>
      </c>
      <c r="F8385" t="s">
        <v>30079</v>
      </c>
      <c r="G8385" t="s">
        <v>29444</v>
      </c>
      <c r="H8385" t="s">
        <v>5474</v>
      </c>
      <c r="I8385" t="s">
        <v>30080</v>
      </c>
      <c r="J8385" t="s">
        <v>5484</v>
      </c>
      <c r="K8385" t="s">
        <v>30081</v>
      </c>
      <c r="L8385" t="s">
        <v>5471</v>
      </c>
      <c r="M8385" t="s">
        <v>5471</v>
      </c>
    </row>
    <row r="8386" spans="1:13" x14ac:dyDescent="0.3">
      <c r="A8386" t="s">
        <v>3388</v>
      </c>
      <c r="B8386" t="s">
        <v>30072</v>
      </c>
      <c r="C8386" t="s">
        <v>5470</v>
      </c>
      <c r="D8386" t="s">
        <v>4119</v>
      </c>
      <c r="E8386" t="s">
        <v>5532</v>
      </c>
      <c r="F8386" t="s">
        <v>30082</v>
      </c>
      <c r="G8386" t="s">
        <v>29444</v>
      </c>
      <c r="H8386" t="s">
        <v>5474</v>
      </c>
      <c r="I8386" t="s">
        <v>30083</v>
      </c>
      <c r="J8386" t="s">
        <v>5484</v>
      </c>
      <c r="K8386" t="s">
        <v>30084</v>
      </c>
      <c r="L8386" t="s">
        <v>5471</v>
      </c>
      <c r="M8386" t="s">
        <v>5471</v>
      </c>
    </row>
    <row r="8387" spans="1:13" x14ac:dyDescent="0.3">
      <c r="A8387" t="s">
        <v>3388</v>
      </c>
      <c r="B8387" t="s">
        <v>30072</v>
      </c>
      <c r="C8387" t="s">
        <v>5470</v>
      </c>
      <c r="D8387" t="s">
        <v>4119</v>
      </c>
      <c r="E8387" t="s">
        <v>5532</v>
      </c>
      <c r="F8387" t="s">
        <v>30085</v>
      </c>
      <c r="G8387" t="s">
        <v>29444</v>
      </c>
      <c r="H8387" t="s">
        <v>5474</v>
      </c>
      <c r="I8387" t="s">
        <v>30086</v>
      </c>
      <c r="J8387" t="s">
        <v>5484</v>
      </c>
      <c r="K8387" t="s">
        <v>30087</v>
      </c>
      <c r="L8387" t="s">
        <v>5471</v>
      </c>
      <c r="M8387" t="s">
        <v>5471</v>
      </c>
    </row>
    <row r="8388" spans="1:13" x14ac:dyDescent="0.3">
      <c r="A8388" t="s">
        <v>3388</v>
      </c>
      <c r="B8388" t="s">
        <v>30072</v>
      </c>
      <c r="C8388" t="s">
        <v>5470</v>
      </c>
      <c r="D8388" t="s">
        <v>4119</v>
      </c>
      <c r="E8388" t="s">
        <v>5532</v>
      </c>
      <c r="F8388" t="s">
        <v>30088</v>
      </c>
      <c r="G8388" t="s">
        <v>29444</v>
      </c>
      <c r="H8388" t="s">
        <v>5474</v>
      </c>
      <c r="I8388" t="s">
        <v>30089</v>
      </c>
      <c r="J8388" t="s">
        <v>5484</v>
      </c>
      <c r="K8388" t="s">
        <v>30090</v>
      </c>
      <c r="L8388" t="s">
        <v>5471</v>
      </c>
      <c r="M8388" t="s">
        <v>5471</v>
      </c>
    </row>
    <row r="8389" spans="1:13" x14ac:dyDescent="0.3">
      <c r="A8389" t="s">
        <v>3388</v>
      </c>
      <c r="B8389" t="s">
        <v>23832</v>
      </c>
      <c r="C8389" t="s">
        <v>5470</v>
      </c>
      <c r="D8389" t="s">
        <v>4119</v>
      </c>
      <c r="E8389" t="s">
        <v>5532</v>
      </c>
      <c r="F8389" t="s">
        <v>30091</v>
      </c>
      <c r="G8389" t="s">
        <v>23186</v>
      </c>
      <c r="H8389" t="s">
        <v>5474</v>
      </c>
      <c r="I8389" t="s">
        <v>30092</v>
      </c>
      <c r="J8389" t="s">
        <v>5484</v>
      </c>
      <c r="K8389" t="s">
        <v>30093</v>
      </c>
      <c r="L8389" t="s">
        <v>5471</v>
      </c>
      <c r="M8389" t="s">
        <v>5471</v>
      </c>
    </row>
    <row r="8390" spans="1:13" x14ac:dyDescent="0.3">
      <c r="A8390" t="s">
        <v>3388</v>
      </c>
      <c r="B8390" t="s">
        <v>30072</v>
      </c>
      <c r="C8390" t="s">
        <v>5470</v>
      </c>
      <c r="D8390" t="s">
        <v>4119</v>
      </c>
      <c r="E8390" t="s">
        <v>5532</v>
      </c>
      <c r="F8390" t="s">
        <v>30094</v>
      </c>
      <c r="G8390" t="s">
        <v>29444</v>
      </c>
      <c r="H8390" t="s">
        <v>5474</v>
      </c>
      <c r="I8390" t="s">
        <v>30095</v>
      </c>
      <c r="J8390" t="s">
        <v>5484</v>
      </c>
      <c r="K8390" t="s">
        <v>30096</v>
      </c>
      <c r="L8390" t="s">
        <v>5471</v>
      </c>
      <c r="M8390" t="s">
        <v>5471</v>
      </c>
    </row>
    <row r="8391" spans="1:13" x14ac:dyDescent="0.3">
      <c r="A8391" t="s">
        <v>3388</v>
      </c>
      <c r="B8391" t="s">
        <v>30072</v>
      </c>
      <c r="C8391" t="s">
        <v>5470</v>
      </c>
      <c r="D8391" t="s">
        <v>4119</v>
      </c>
      <c r="E8391" t="s">
        <v>5532</v>
      </c>
      <c r="F8391" t="s">
        <v>30097</v>
      </c>
      <c r="G8391" t="s">
        <v>29451</v>
      </c>
      <c r="H8391" t="s">
        <v>5474</v>
      </c>
      <c r="I8391" t="s">
        <v>30098</v>
      </c>
      <c r="J8391" t="s">
        <v>5484</v>
      </c>
      <c r="K8391" t="s">
        <v>30099</v>
      </c>
      <c r="L8391" t="s">
        <v>5471</v>
      </c>
      <c r="M8391" t="s">
        <v>5471</v>
      </c>
    </row>
    <row r="8392" spans="1:13" x14ac:dyDescent="0.3">
      <c r="A8392" t="s">
        <v>3388</v>
      </c>
      <c r="B8392" t="s">
        <v>30072</v>
      </c>
      <c r="C8392" t="s">
        <v>5470</v>
      </c>
      <c r="D8392" t="s">
        <v>4119</v>
      </c>
      <c r="E8392" t="s">
        <v>5532</v>
      </c>
      <c r="F8392" t="s">
        <v>30100</v>
      </c>
      <c r="G8392" t="s">
        <v>29451</v>
      </c>
      <c r="H8392" t="s">
        <v>5474</v>
      </c>
      <c r="I8392" t="s">
        <v>30101</v>
      </c>
      <c r="J8392" t="s">
        <v>5484</v>
      </c>
      <c r="K8392" t="s">
        <v>30102</v>
      </c>
      <c r="L8392" t="s">
        <v>5471</v>
      </c>
      <c r="M8392" t="s">
        <v>5471</v>
      </c>
    </row>
    <row r="8393" spans="1:13" x14ac:dyDescent="0.3">
      <c r="A8393" t="s">
        <v>3388</v>
      </c>
      <c r="B8393" t="s">
        <v>30072</v>
      </c>
      <c r="C8393" t="s">
        <v>5470</v>
      </c>
      <c r="D8393" t="s">
        <v>4119</v>
      </c>
      <c r="E8393" t="s">
        <v>5532</v>
      </c>
      <c r="F8393" t="s">
        <v>30103</v>
      </c>
      <c r="G8393" t="s">
        <v>29451</v>
      </c>
      <c r="H8393" t="s">
        <v>5474</v>
      </c>
      <c r="I8393" t="s">
        <v>30104</v>
      </c>
      <c r="J8393" t="s">
        <v>5484</v>
      </c>
      <c r="K8393" t="s">
        <v>30105</v>
      </c>
      <c r="L8393" t="s">
        <v>5471</v>
      </c>
      <c r="M8393" t="s">
        <v>5471</v>
      </c>
    </row>
    <row r="8394" spans="1:13" x14ac:dyDescent="0.3">
      <c r="A8394" t="s">
        <v>3388</v>
      </c>
      <c r="B8394" t="s">
        <v>30072</v>
      </c>
      <c r="C8394" t="s">
        <v>5470</v>
      </c>
      <c r="D8394" t="s">
        <v>4119</v>
      </c>
      <c r="E8394" t="s">
        <v>5532</v>
      </c>
      <c r="F8394" t="s">
        <v>30106</v>
      </c>
      <c r="G8394" t="s">
        <v>29451</v>
      </c>
      <c r="H8394" t="s">
        <v>5474</v>
      </c>
      <c r="I8394" t="s">
        <v>30107</v>
      </c>
      <c r="J8394" t="s">
        <v>5484</v>
      </c>
      <c r="K8394" t="s">
        <v>30108</v>
      </c>
      <c r="L8394" t="s">
        <v>5471</v>
      </c>
      <c r="M8394" t="s">
        <v>5471</v>
      </c>
    </row>
    <row r="8395" spans="1:13" x14ac:dyDescent="0.3">
      <c r="A8395" t="s">
        <v>3388</v>
      </c>
      <c r="B8395" t="s">
        <v>30072</v>
      </c>
      <c r="C8395" t="s">
        <v>5470</v>
      </c>
      <c r="D8395" t="s">
        <v>4119</v>
      </c>
      <c r="E8395" t="s">
        <v>5532</v>
      </c>
      <c r="F8395" t="s">
        <v>30109</v>
      </c>
      <c r="G8395" t="s">
        <v>29451</v>
      </c>
      <c r="H8395" t="s">
        <v>5474</v>
      </c>
      <c r="I8395" t="s">
        <v>30110</v>
      </c>
      <c r="J8395" t="s">
        <v>5484</v>
      </c>
      <c r="K8395" t="s">
        <v>30111</v>
      </c>
      <c r="L8395" t="s">
        <v>5471</v>
      </c>
      <c r="M8395" t="s">
        <v>5471</v>
      </c>
    </row>
    <row r="8396" spans="1:13" x14ac:dyDescent="0.3">
      <c r="A8396" t="s">
        <v>3388</v>
      </c>
      <c r="B8396" t="s">
        <v>30072</v>
      </c>
      <c r="C8396" t="s">
        <v>5470</v>
      </c>
      <c r="D8396" t="s">
        <v>4119</v>
      </c>
      <c r="E8396" t="s">
        <v>5532</v>
      </c>
      <c r="F8396" t="s">
        <v>30112</v>
      </c>
      <c r="G8396" t="s">
        <v>29451</v>
      </c>
      <c r="H8396" t="s">
        <v>5474</v>
      </c>
      <c r="I8396" t="s">
        <v>30113</v>
      </c>
      <c r="J8396" t="s">
        <v>5484</v>
      </c>
      <c r="K8396" t="s">
        <v>30114</v>
      </c>
      <c r="L8396" t="s">
        <v>5471</v>
      </c>
      <c r="M8396" t="s">
        <v>5471</v>
      </c>
    </row>
    <row r="8397" spans="1:13" x14ac:dyDescent="0.3">
      <c r="A8397" t="s">
        <v>3388</v>
      </c>
      <c r="B8397" t="s">
        <v>30072</v>
      </c>
      <c r="C8397" t="s">
        <v>5470</v>
      </c>
      <c r="D8397" t="s">
        <v>4119</v>
      </c>
      <c r="E8397" t="s">
        <v>5532</v>
      </c>
      <c r="F8397" t="s">
        <v>30115</v>
      </c>
      <c r="G8397" t="s">
        <v>29451</v>
      </c>
      <c r="H8397" t="s">
        <v>5474</v>
      </c>
      <c r="I8397" t="s">
        <v>30116</v>
      </c>
      <c r="J8397" t="s">
        <v>5484</v>
      </c>
      <c r="K8397" t="s">
        <v>30117</v>
      </c>
      <c r="L8397" t="s">
        <v>5471</v>
      </c>
      <c r="M8397" t="s">
        <v>5471</v>
      </c>
    </row>
    <row r="8398" spans="1:13" x14ac:dyDescent="0.3">
      <c r="A8398" t="s">
        <v>3388</v>
      </c>
      <c r="B8398" t="s">
        <v>30072</v>
      </c>
      <c r="C8398" t="s">
        <v>5470</v>
      </c>
      <c r="D8398" t="s">
        <v>4119</v>
      </c>
      <c r="E8398" t="s">
        <v>5532</v>
      </c>
      <c r="F8398" t="s">
        <v>30118</v>
      </c>
      <c r="G8398" t="s">
        <v>29451</v>
      </c>
      <c r="H8398" t="s">
        <v>5474</v>
      </c>
      <c r="I8398" t="s">
        <v>30119</v>
      </c>
      <c r="J8398" t="s">
        <v>5484</v>
      </c>
      <c r="K8398" t="s">
        <v>30120</v>
      </c>
      <c r="L8398" t="s">
        <v>5471</v>
      </c>
      <c r="M8398" t="s">
        <v>5471</v>
      </c>
    </row>
    <row r="8399" spans="1:13" x14ac:dyDescent="0.3">
      <c r="A8399" t="s">
        <v>3388</v>
      </c>
      <c r="B8399" t="s">
        <v>30072</v>
      </c>
      <c r="C8399" t="s">
        <v>5470</v>
      </c>
      <c r="D8399" t="s">
        <v>4119</v>
      </c>
      <c r="E8399" t="s">
        <v>5532</v>
      </c>
      <c r="F8399" t="s">
        <v>30121</v>
      </c>
      <c r="G8399" t="s">
        <v>29451</v>
      </c>
      <c r="H8399" t="s">
        <v>5474</v>
      </c>
      <c r="I8399" t="s">
        <v>30122</v>
      </c>
      <c r="J8399" t="s">
        <v>5484</v>
      </c>
      <c r="K8399" t="s">
        <v>30123</v>
      </c>
      <c r="L8399" t="s">
        <v>5471</v>
      </c>
      <c r="M8399" t="s">
        <v>5471</v>
      </c>
    </row>
    <row r="8400" spans="1:13" x14ac:dyDescent="0.3">
      <c r="A8400" t="s">
        <v>3388</v>
      </c>
      <c r="B8400" t="s">
        <v>30072</v>
      </c>
      <c r="C8400" t="s">
        <v>5470</v>
      </c>
      <c r="D8400" t="s">
        <v>4119</v>
      </c>
      <c r="E8400" t="s">
        <v>5532</v>
      </c>
      <c r="F8400" t="s">
        <v>30124</v>
      </c>
      <c r="G8400" t="s">
        <v>29451</v>
      </c>
      <c r="H8400" t="s">
        <v>5474</v>
      </c>
      <c r="I8400" t="s">
        <v>30125</v>
      </c>
      <c r="J8400" t="s">
        <v>5484</v>
      </c>
      <c r="K8400" t="s">
        <v>30126</v>
      </c>
      <c r="L8400" t="s">
        <v>5471</v>
      </c>
      <c r="M8400" t="s">
        <v>5471</v>
      </c>
    </row>
    <row r="8401" spans="1:13" x14ac:dyDescent="0.3">
      <c r="A8401" t="s">
        <v>3388</v>
      </c>
      <c r="B8401" t="s">
        <v>30072</v>
      </c>
      <c r="C8401" t="s">
        <v>5470</v>
      </c>
      <c r="D8401" t="s">
        <v>4119</v>
      </c>
      <c r="E8401" t="s">
        <v>5532</v>
      </c>
      <c r="F8401" t="s">
        <v>30127</v>
      </c>
      <c r="G8401" t="s">
        <v>29451</v>
      </c>
      <c r="H8401" t="s">
        <v>5474</v>
      </c>
      <c r="I8401" t="s">
        <v>30128</v>
      </c>
      <c r="J8401" t="s">
        <v>5484</v>
      </c>
      <c r="K8401" t="s">
        <v>30129</v>
      </c>
      <c r="L8401" t="s">
        <v>5471</v>
      </c>
      <c r="M8401" t="s">
        <v>5471</v>
      </c>
    </row>
    <row r="8402" spans="1:13" x14ac:dyDescent="0.3">
      <c r="A8402" t="s">
        <v>3388</v>
      </c>
      <c r="B8402" t="s">
        <v>30072</v>
      </c>
      <c r="C8402" t="s">
        <v>5470</v>
      </c>
      <c r="D8402" t="s">
        <v>4119</v>
      </c>
      <c r="E8402" t="s">
        <v>5532</v>
      </c>
      <c r="F8402" t="s">
        <v>30130</v>
      </c>
      <c r="G8402" t="s">
        <v>29451</v>
      </c>
      <c r="H8402" t="s">
        <v>5474</v>
      </c>
      <c r="I8402" t="s">
        <v>30131</v>
      </c>
      <c r="J8402" t="s">
        <v>5484</v>
      </c>
      <c r="K8402" t="s">
        <v>30132</v>
      </c>
      <c r="L8402" t="s">
        <v>5471</v>
      </c>
      <c r="M8402" t="s">
        <v>5471</v>
      </c>
    </row>
    <row r="8403" spans="1:13" x14ac:dyDescent="0.3">
      <c r="A8403" t="s">
        <v>3388</v>
      </c>
      <c r="B8403" t="s">
        <v>30072</v>
      </c>
      <c r="C8403" t="s">
        <v>5470</v>
      </c>
      <c r="D8403" t="s">
        <v>4119</v>
      </c>
      <c r="E8403" t="s">
        <v>5532</v>
      </c>
      <c r="F8403" t="s">
        <v>30133</v>
      </c>
      <c r="G8403" t="s">
        <v>29451</v>
      </c>
      <c r="H8403" t="s">
        <v>5474</v>
      </c>
      <c r="I8403" t="s">
        <v>30134</v>
      </c>
      <c r="J8403" t="s">
        <v>5484</v>
      </c>
      <c r="K8403" t="s">
        <v>30135</v>
      </c>
      <c r="L8403" t="s">
        <v>5471</v>
      </c>
      <c r="M8403" t="s">
        <v>5471</v>
      </c>
    </row>
    <row r="8404" spans="1:13" x14ac:dyDescent="0.3">
      <c r="A8404" t="s">
        <v>3388</v>
      </c>
      <c r="B8404" t="s">
        <v>30072</v>
      </c>
      <c r="C8404" t="s">
        <v>5470</v>
      </c>
      <c r="D8404" t="s">
        <v>4119</v>
      </c>
      <c r="E8404" t="s">
        <v>5532</v>
      </c>
      <c r="F8404" t="s">
        <v>30136</v>
      </c>
      <c r="G8404" t="s">
        <v>29451</v>
      </c>
      <c r="H8404" t="s">
        <v>5474</v>
      </c>
      <c r="I8404" t="s">
        <v>30137</v>
      </c>
      <c r="J8404" t="s">
        <v>5484</v>
      </c>
      <c r="K8404" t="s">
        <v>30138</v>
      </c>
      <c r="L8404" t="s">
        <v>5471</v>
      </c>
      <c r="M8404" t="s">
        <v>5471</v>
      </c>
    </row>
    <row r="8405" spans="1:13" x14ac:dyDescent="0.3">
      <c r="A8405" t="s">
        <v>3388</v>
      </c>
      <c r="B8405" t="s">
        <v>30072</v>
      </c>
      <c r="C8405" t="s">
        <v>5470</v>
      </c>
      <c r="D8405" t="s">
        <v>4119</v>
      </c>
      <c r="E8405" t="s">
        <v>5532</v>
      </c>
      <c r="F8405" t="s">
        <v>30139</v>
      </c>
      <c r="G8405" t="s">
        <v>29451</v>
      </c>
      <c r="H8405" t="s">
        <v>5474</v>
      </c>
      <c r="I8405" t="s">
        <v>30140</v>
      </c>
      <c r="J8405" t="s">
        <v>5484</v>
      </c>
      <c r="K8405" t="s">
        <v>30141</v>
      </c>
      <c r="L8405" t="s">
        <v>5471</v>
      </c>
      <c r="M8405" t="s">
        <v>5471</v>
      </c>
    </row>
    <row r="8406" spans="1:13" x14ac:dyDescent="0.3">
      <c r="A8406" t="s">
        <v>3388</v>
      </c>
      <c r="B8406" t="s">
        <v>30142</v>
      </c>
      <c r="C8406" t="s">
        <v>5470</v>
      </c>
      <c r="D8406" t="s">
        <v>4119</v>
      </c>
      <c r="E8406" t="s">
        <v>5532</v>
      </c>
      <c r="F8406" t="s">
        <v>30143</v>
      </c>
      <c r="G8406" t="s">
        <v>29423</v>
      </c>
      <c r="H8406" t="s">
        <v>5474</v>
      </c>
      <c r="I8406" t="s">
        <v>30144</v>
      </c>
      <c r="J8406" t="s">
        <v>5484</v>
      </c>
      <c r="K8406" t="s">
        <v>30145</v>
      </c>
      <c r="L8406" t="s">
        <v>5471</v>
      </c>
      <c r="M8406" t="s">
        <v>5471</v>
      </c>
    </row>
    <row r="8407" spans="1:13" x14ac:dyDescent="0.3">
      <c r="A8407" t="s">
        <v>3388</v>
      </c>
      <c r="B8407" t="s">
        <v>18899</v>
      </c>
      <c r="C8407" t="s">
        <v>5470</v>
      </c>
      <c r="D8407" t="s">
        <v>4119</v>
      </c>
      <c r="E8407" t="s">
        <v>5532</v>
      </c>
      <c r="F8407" t="s">
        <v>30146</v>
      </c>
      <c r="G8407" t="s">
        <v>18901</v>
      </c>
      <c r="H8407" t="s">
        <v>5474</v>
      </c>
      <c r="I8407" t="s">
        <v>30147</v>
      </c>
      <c r="J8407" t="s">
        <v>5484</v>
      </c>
      <c r="K8407" t="s">
        <v>30148</v>
      </c>
      <c r="L8407" t="s">
        <v>5471</v>
      </c>
      <c r="M8407" t="s">
        <v>5471</v>
      </c>
    </row>
    <row r="8408" spans="1:13" x14ac:dyDescent="0.3">
      <c r="A8408" t="s">
        <v>3388</v>
      </c>
      <c r="B8408" t="s">
        <v>18899</v>
      </c>
      <c r="C8408" t="s">
        <v>5470</v>
      </c>
      <c r="D8408" t="s">
        <v>4119</v>
      </c>
      <c r="E8408" t="s">
        <v>5532</v>
      </c>
      <c r="F8408" t="s">
        <v>30149</v>
      </c>
      <c r="G8408" t="s">
        <v>18901</v>
      </c>
      <c r="H8408" t="s">
        <v>5474</v>
      </c>
      <c r="I8408" t="s">
        <v>30150</v>
      </c>
      <c r="J8408" t="s">
        <v>5484</v>
      </c>
      <c r="K8408" t="s">
        <v>30151</v>
      </c>
      <c r="L8408" t="s">
        <v>5471</v>
      </c>
      <c r="M8408" t="s">
        <v>5471</v>
      </c>
    </row>
    <row r="8409" spans="1:13" x14ac:dyDescent="0.3">
      <c r="A8409" t="s">
        <v>3388</v>
      </c>
      <c r="B8409" t="s">
        <v>18899</v>
      </c>
      <c r="C8409" t="s">
        <v>5470</v>
      </c>
      <c r="D8409" t="s">
        <v>4119</v>
      </c>
      <c r="E8409" t="s">
        <v>5532</v>
      </c>
      <c r="F8409" t="s">
        <v>30152</v>
      </c>
      <c r="G8409" t="s">
        <v>18901</v>
      </c>
      <c r="H8409" t="s">
        <v>5474</v>
      </c>
      <c r="I8409" t="s">
        <v>30153</v>
      </c>
      <c r="J8409" t="s">
        <v>5484</v>
      </c>
      <c r="K8409" t="s">
        <v>30154</v>
      </c>
      <c r="L8409" t="s">
        <v>5471</v>
      </c>
      <c r="M8409" t="s">
        <v>5471</v>
      </c>
    </row>
    <row r="8410" spans="1:13" x14ac:dyDescent="0.3">
      <c r="A8410" t="s">
        <v>3388</v>
      </c>
      <c r="B8410" t="s">
        <v>18899</v>
      </c>
      <c r="C8410" t="s">
        <v>5470</v>
      </c>
      <c r="D8410" t="s">
        <v>4119</v>
      </c>
      <c r="E8410" t="s">
        <v>5532</v>
      </c>
      <c r="F8410" t="s">
        <v>30155</v>
      </c>
      <c r="G8410" t="s">
        <v>18901</v>
      </c>
      <c r="H8410" t="s">
        <v>5474</v>
      </c>
      <c r="I8410" t="s">
        <v>30156</v>
      </c>
      <c r="J8410" t="s">
        <v>5484</v>
      </c>
      <c r="K8410" t="s">
        <v>30157</v>
      </c>
      <c r="L8410" t="s">
        <v>5471</v>
      </c>
      <c r="M8410" t="s">
        <v>5471</v>
      </c>
    </row>
    <row r="8411" spans="1:13" x14ac:dyDescent="0.3">
      <c r="A8411" t="s">
        <v>3388</v>
      </c>
      <c r="B8411" t="s">
        <v>18899</v>
      </c>
      <c r="C8411" t="s">
        <v>5470</v>
      </c>
      <c r="D8411" t="s">
        <v>4119</v>
      </c>
      <c r="E8411" t="s">
        <v>5532</v>
      </c>
      <c r="F8411" t="s">
        <v>30158</v>
      </c>
      <c r="G8411" t="s">
        <v>18901</v>
      </c>
      <c r="H8411" t="s">
        <v>5474</v>
      </c>
      <c r="I8411" t="s">
        <v>30159</v>
      </c>
      <c r="J8411" t="s">
        <v>5484</v>
      </c>
      <c r="K8411" t="s">
        <v>30160</v>
      </c>
      <c r="L8411" t="s">
        <v>5471</v>
      </c>
      <c r="M8411" t="s">
        <v>5471</v>
      </c>
    </row>
    <row r="8412" spans="1:13" x14ac:dyDescent="0.3">
      <c r="A8412" t="s">
        <v>3388</v>
      </c>
      <c r="B8412" t="s">
        <v>18899</v>
      </c>
      <c r="C8412" t="s">
        <v>5470</v>
      </c>
      <c r="D8412" t="s">
        <v>4119</v>
      </c>
      <c r="E8412" t="s">
        <v>5532</v>
      </c>
      <c r="F8412" t="s">
        <v>30161</v>
      </c>
      <c r="G8412" t="s">
        <v>18901</v>
      </c>
      <c r="H8412" t="s">
        <v>5474</v>
      </c>
      <c r="I8412" t="s">
        <v>30162</v>
      </c>
      <c r="J8412" t="s">
        <v>5484</v>
      </c>
      <c r="K8412" t="s">
        <v>30163</v>
      </c>
      <c r="L8412" t="s">
        <v>5471</v>
      </c>
      <c r="M8412" t="s">
        <v>5471</v>
      </c>
    </row>
    <row r="8413" spans="1:13" x14ac:dyDescent="0.3">
      <c r="A8413" t="s">
        <v>3388</v>
      </c>
      <c r="B8413" t="s">
        <v>18912</v>
      </c>
      <c r="C8413" t="s">
        <v>5470</v>
      </c>
      <c r="D8413" t="s">
        <v>4119</v>
      </c>
      <c r="E8413" t="s">
        <v>5532</v>
      </c>
      <c r="F8413" t="s">
        <v>30164</v>
      </c>
      <c r="G8413" t="s">
        <v>18914</v>
      </c>
      <c r="H8413" t="s">
        <v>5474</v>
      </c>
      <c r="I8413" t="s">
        <v>30165</v>
      </c>
      <c r="J8413" t="s">
        <v>5484</v>
      </c>
      <c r="K8413" t="s">
        <v>30166</v>
      </c>
      <c r="L8413" t="s">
        <v>5471</v>
      </c>
      <c r="M8413" t="s">
        <v>5471</v>
      </c>
    </row>
    <row r="8414" spans="1:13" x14ac:dyDescent="0.3">
      <c r="A8414" t="s">
        <v>3388</v>
      </c>
      <c r="B8414" t="s">
        <v>18912</v>
      </c>
      <c r="C8414" t="s">
        <v>5470</v>
      </c>
      <c r="D8414" t="s">
        <v>4119</v>
      </c>
      <c r="E8414" t="s">
        <v>5532</v>
      </c>
      <c r="F8414" t="s">
        <v>30167</v>
      </c>
      <c r="G8414" t="s">
        <v>18914</v>
      </c>
      <c r="H8414" t="s">
        <v>5474</v>
      </c>
      <c r="I8414" t="s">
        <v>30168</v>
      </c>
      <c r="J8414" t="s">
        <v>5484</v>
      </c>
      <c r="K8414" t="s">
        <v>30169</v>
      </c>
      <c r="L8414" t="s">
        <v>5471</v>
      </c>
      <c r="M8414" t="s">
        <v>5471</v>
      </c>
    </row>
    <row r="8415" spans="1:13" x14ac:dyDescent="0.3">
      <c r="A8415" t="s">
        <v>3388</v>
      </c>
      <c r="B8415" t="s">
        <v>18912</v>
      </c>
      <c r="C8415" t="s">
        <v>5470</v>
      </c>
      <c r="D8415" t="s">
        <v>4119</v>
      </c>
      <c r="E8415" t="s">
        <v>5532</v>
      </c>
      <c r="F8415" t="s">
        <v>30170</v>
      </c>
      <c r="G8415" t="s">
        <v>18914</v>
      </c>
      <c r="H8415" t="s">
        <v>5474</v>
      </c>
      <c r="I8415" t="s">
        <v>30171</v>
      </c>
      <c r="J8415" t="s">
        <v>5484</v>
      </c>
      <c r="K8415" t="s">
        <v>30172</v>
      </c>
      <c r="L8415" t="s">
        <v>5471</v>
      </c>
      <c r="M8415" t="s">
        <v>5471</v>
      </c>
    </row>
    <row r="8416" spans="1:13" x14ac:dyDescent="0.3">
      <c r="A8416" t="s">
        <v>3388</v>
      </c>
      <c r="B8416" t="s">
        <v>23818</v>
      </c>
      <c r="C8416" t="s">
        <v>5470</v>
      </c>
      <c r="D8416" t="s">
        <v>4119</v>
      </c>
      <c r="E8416" t="s">
        <v>5532</v>
      </c>
      <c r="F8416" t="s">
        <v>30173</v>
      </c>
      <c r="G8416" t="s">
        <v>23218</v>
      </c>
      <c r="H8416" t="s">
        <v>5474</v>
      </c>
      <c r="I8416" t="s">
        <v>30174</v>
      </c>
      <c r="J8416" t="s">
        <v>5484</v>
      </c>
      <c r="K8416" t="s">
        <v>30175</v>
      </c>
      <c r="L8416" t="s">
        <v>5471</v>
      </c>
      <c r="M8416" t="s">
        <v>5471</v>
      </c>
    </row>
    <row r="8417" spans="1:13" x14ac:dyDescent="0.3">
      <c r="A8417" t="s">
        <v>3388</v>
      </c>
      <c r="B8417" t="s">
        <v>23818</v>
      </c>
      <c r="C8417" t="s">
        <v>5470</v>
      </c>
      <c r="D8417" t="s">
        <v>4119</v>
      </c>
      <c r="E8417" t="s">
        <v>5532</v>
      </c>
      <c r="F8417" t="s">
        <v>30176</v>
      </c>
      <c r="G8417" t="s">
        <v>23202</v>
      </c>
      <c r="H8417" t="s">
        <v>5474</v>
      </c>
      <c r="I8417" t="s">
        <v>30177</v>
      </c>
      <c r="J8417" t="s">
        <v>5484</v>
      </c>
      <c r="K8417" t="s">
        <v>30178</v>
      </c>
      <c r="L8417" t="s">
        <v>5471</v>
      </c>
      <c r="M8417" t="s">
        <v>5471</v>
      </c>
    </row>
    <row r="8418" spans="1:13" x14ac:dyDescent="0.3">
      <c r="A8418" t="s">
        <v>3388</v>
      </c>
      <c r="B8418" t="s">
        <v>30142</v>
      </c>
      <c r="C8418" t="s">
        <v>5470</v>
      </c>
      <c r="D8418" t="s">
        <v>4119</v>
      </c>
      <c r="E8418" t="s">
        <v>5532</v>
      </c>
      <c r="F8418" t="s">
        <v>30179</v>
      </c>
      <c r="G8418" t="s">
        <v>29423</v>
      </c>
      <c r="H8418" t="s">
        <v>5474</v>
      </c>
      <c r="I8418" t="s">
        <v>30180</v>
      </c>
      <c r="J8418" t="s">
        <v>5484</v>
      </c>
      <c r="K8418" t="s">
        <v>30181</v>
      </c>
      <c r="L8418" t="s">
        <v>5471</v>
      </c>
      <c r="M8418" t="s">
        <v>5471</v>
      </c>
    </row>
    <row r="8419" spans="1:13" x14ac:dyDescent="0.3">
      <c r="A8419" t="s">
        <v>3388</v>
      </c>
      <c r="B8419" t="s">
        <v>30142</v>
      </c>
      <c r="C8419" t="s">
        <v>5470</v>
      </c>
      <c r="D8419" t="s">
        <v>4119</v>
      </c>
      <c r="E8419" t="s">
        <v>5532</v>
      </c>
      <c r="F8419" t="s">
        <v>30182</v>
      </c>
      <c r="G8419" t="s">
        <v>29423</v>
      </c>
      <c r="H8419" t="s">
        <v>5474</v>
      </c>
      <c r="I8419" t="s">
        <v>30183</v>
      </c>
      <c r="J8419" t="s">
        <v>5484</v>
      </c>
      <c r="K8419" t="s">
        <v>30184</v>
      </c>
      <c r="L8419" t="s">
        <v>5471</v>
      </c>
      <c r="M8419" t="s">
        <v>5471</v>
      </c>
    </row>
    <row r="8420" spans="1:13" x14ac:dyDescent="0.3">
      <c r="A8420" t="s">
        <v>3388</v>
      </c>
      <c r="B8420" t="s">
        <v>30142</v>
      </c>
      <c r="C8420" t="s">
        <v>5470</v>
      </c>
      <c r="D8420" t="s">
        <v>4119</v>
      </c>
      <c r="E8420" t="s">
        <v>5532</v>
      </c>
      <c r="F8420" t="s">
        <v>30185</v>
      </c>
      <c r="G8420" t="s">
        <v>29423</v>
      </c>
      <c r="H8420" t="s">
        <v>5474</v>
      </c>
      <c r="I8420" t="s">
        <v>30186</v>
      </c>
      <c r="J8420" t="s">
        <v>5484</v>
      </c>
      <c r="K8420" t="s">
        <v>30187</v>
      </c>
      <c r="L8420" t="s">
        <v>5471</v>
      </c>
      <c r="M8420" t="s">
        <v>5471</v>
      </c>
    </row>
    <row r="8421" spans="1:13" x14ac:dyDescent="0.3">
      <c r="A8421" t="s">
        <v>3388</v>
      </c>
      <c r="B8421" t="s">
        <v>30142</v>
      </c>
      <c r="C8421" t="s">
        <v>5470</v>
      </c>
      <c r="D8421" t="s">
        <v>4119</v>
      </c>
      <c r="E8421" t="s">
        <v>5532</v>
      </c>
      <c r="F8421" t="s">
        <v>30188</v>
      </c>
      <c r="G8421" t="s">
        <v>29423</v>
      </c>
      <c r="H8421" t="s">
        <v>5474</v>
      </c>
      <c r="I8421" t="s">
        <v>30189</v>
      </c>
      <c r="J8421" t="s">
        <v>5484</v>
      </c>
      <c r="K8421" t="s">
        <v>30190</v>
      </c>
      <c r="L8421" t="s">
        <v>5471</v>
      </c>
      <c r="M8421" t="s">
        <v>5471</v>
      </c>
    </row>
    <row r="8422" spans="1:13" x14ac:dyDescent="0.3">
      <c r="A8422" t="s">
        <v>3388</v>
      </c>
      <c r="B8422" t="s">
        <v>30142</v>
      </c>
      <c r="C8422" t="s">
        <v>5470</v>
      </c>
      <c r="D8422" t="s">
        <v>4119</v>
      </c>
      <c r="E8422" t="s">
        <v>5532</v>
      </c>
      <c r="F8422" t="s">
        <v>30191</v>
      </c>
      <c r="G8422" t="s">
        <v>29423</v>
      </c>
      <c r="H8422" t="s">
        <v>5474</v>
      </c>
      <c r="I8422" t="s">
        <v>30192</v>
      </c>
      <c r="J8422" t="s">
        <v>5484</v>
      </c>
      <c r="K8422" t="s">
        <v>30193</v>
      </c>
      <c r="L8422" t="s">
        <v>5471</v>
      </c>
      <c r="M8422" t="s">
        <v>5471</v>
      </c>
    </row>
    <row r="8423" spans="1:13" x14ac:dyDescent="0.3">
      <c r="A8423" t="s">
        <v>3388</v>
      </c>
      <c r="B8423" t="s">
        <v>30142</v>
      </c>
      <c r="C8423" t="s">
        <v>5470</v>
      </c>
      <c r="D8423" t="s">
        <v>4119</v>
      </c>
      <c r="E8423" t="s">
        <v>5532</v>
      </c>
      <c r="F8423" t="s">
        <v>30194</v>
      </c>
      <c r="G8423" t="s">
        <v>29423</v>
      </c>
      <c r="H8423" t="s">
        <v>5474</v>
      </c>
      <c r="I8423" t="s">
        <v>30195</v>
      </c>
      <c r="J8423" t="s">
        <v>5484</v>
      </c>
      <c r="K8423" t="s">
        <v>30196</v>
      </c>
      <c r="L8423" t="s">
        <v>5471</v>
      </c>
      <c r="M8423" t="s">
        <v>5471</v>
      </c>
    </row>
    <row r="8424" spans="1:13" x14ac:dyDescent="0.3">
      <c r="A8424" t="s">
        <v>3388</v>
      </c>
      <c r="B8424" t="s">
        <v>30142</v>
      </c>
      <c r="C8424" t="s">
        <v>5470</v>
      </c>
      <c r="D8424" t="s">
        <v>4119</v>
      </c>
      <c r="E8424" t="s">
        <v>5532</v>
      </c>
      <c r="F8424" t="s">
        <v>30197</v>
      </c>
      <c r="G8424" t="s">
        <v>29423</v>
      </c>
      <c r="H8424" t="s">
        <v>5474</v>
      </c>
      <c r="I8424" t="s">
        <v>30198</v>
      </c>
      <c r="J8424" t="s">
        <v>5484</v>
      </c>
      <c r="K8424" t="s">
        <v>30199</v>
      </c>
      <c r="L8424" t="s">
        <v>5471</v>
      </c>
      <c r="M8424" t="s">
        <v>5471</v>
      </c>
    </row>
    <row r="8425" spans="1:13" x14ac:dyDescent="0.3">
      <c r="A8425" t="s">
        <v>3388</v>
      </c>
      <c r="B8425" t="s">
        <v>30142</v>
      </c>
      <c r="C8425" t="s">
        <v>5470</v>
      </c>
      <c r="D8425" t="s">
        <v>4119</v>
      </c>
      <c r="E8425" t="s">
        <v>5532</v>
      </c>
      <c r="F8425" t="s">
        <v>30200</v>
      </c>
      <c r="G8425" t="s">
        <v>29423</v>
      </c>
      <c r="H8425" t="s">
        <v>5474</v>
      </c>
      <c r="I8425" t="s">
        <v>30201</v>
      </c>
      <c r="J8425" t="s">
        <v>5484</v>
      </c>
      <c r="K8425" t="s">
        <v>30202</v>
      </c>
      <c r="L8425" t="s">
        <v>5471</v>
      </c>
      <c r="M8425" t="s">
        <v>5471</v>
      </c>
    </row>
    <row r="8426" spans="1:13" x14ac:dyDescent="0.3">
      <c r="A8426" t="s">
        <v>3388</v>
      </c>
      <c r="B8426" t="s">
        <v>30203</v>
      </c>
      <c r="C8426" t="s">
        <v>5470</v>
      </c>
      <c r="D8426" t="s">
        <v>4119</v>
      </c>
      <c r="E8426" t="s">
        <v>5532</v>
      </c>
      <c r="F8426" t="s">
        <v>30204</v>
      </c>
      <c r="G8426" t="s">
        <v>30205</v>
      </c>
      <c r="H8426" t="s">
        <v>5474</v>
      </c>
      <c r="I8426" t="s">
        <v>30206</v>
      </c>
      <c r="J8426" t="s">
        <v>5484</v>
      </c>
      <c r="K8426" t="s">
        <v>30207</v>
      </c>
      <c r="L8426" t="s">
        <v>5471</v>
      </c>
      <c r="M8426" t="s">
        <v>5471</v>
      </c>
    </row>
    <row r="8427" spans="1:13" x14ac:dyDescent="0.3">
      <c r="A8427" t="s">
        <v>3388</v>
      </c>
      <c r="B8427" t="s">
        <v>23926</v>
      </c>
      <c r="C8427" t="s">
        <v>5470</v>
      </c>
      <c r="D8427" t="s">
        <v>4119</v>
      </c>
      <c r="E8427" t="s">
        <v>5756</v>
      </c>
      <c r="F8427" t="s">
        <v>30208</v>
      </c>
      <c r="G8427" t="s">
        <v>23928</v>
      </c>
      <c r="H8427" t="s">
        <v>5474</v>
      </c>
      <c r="I8427" t="s">
        <v>30209</v>
      </c>
      <c r="J8427" t="s">
        <v>5484</v>
      </c>
      <c r="K8427" t="s">
        <v>30210</v>
      </c>
      <c r="L8427" t="s">
        <v>5471</v>
      </c>
      <c r="M8427" t="s">
        <v>5471</v>
      </c>
    </row>
    <row r="8428" spans="1:13" x14ac:dyDescent="0.3">
      <c r="A8428" t="s">
        <v>3388</v>
      </c>
      <c r="B8428" t="s">
        <v>23926</v>
      </c>
      <c r="C8428" t="s">
        <v>5470</v>
      </c>
      <c r="D8428" t="s">
        <v>4119</v>
      </c>
      <c r="E8428" t="s">
        <v>5756</v>
      </c>
      <c r="F8428" t="s">
        <v>30211</v>
      </c>
      <c r="G8428" t="s">
        <v>23928</v>
      </c>
      <c r="H8428" t="s">
        <v>5474</v>
      </c>
      <c r="I8428" t="s">
        <v>30212</v>
      </c>
      <c r="J8428" t="s">
        <v>5484</v>
      </c>
      <c r="K8428" t="s">
        <v>30213</v>
      </c>
      <c r="L8428" t="s">
        <v>5471</v>
      </c>
      <c r="M8428" t="s">
        <v>5471</v>
      </c>
    </row>
    <row r="8429" spans="1:13" x14ac:dyDescent="0.3">
      <c r="A8429" t="s">
        <v>3388</v>
      </c>
      <c r="B8429" t="s">
        <v>24167</v>
      </c>
      <c r="C8429" t="s">
        <v>5470</v>
      </c>
      <c r="D8429" t="s">
        <v>4119</v>
      </c>
      <c r="E8429" t="s">
        <v>5756</v>
      </c>
      <c r="F8429" t="s">
        <v>30214</v>
      </c>
      <c r="G8429" t="s">
        <v>24169</v>
      </c>
      <c r="H8429" t="s">
        <v>5474</v>
      </c>
      <c r="I8429" t="s">
        <v>30215</v>
      </c>
      <c r="J8429" t="s">
        <v>5484</v>
      </c>
      <c r="K8429" t="s">
        <v>30216</v>
      </c>
      <c r="L8429" t="s">
        <v>5471</v>
      </c>
      <c r="M8429" t="s">
        <v>5471</v>
      </c>
    </row>
    <row r="8430" spans="1:13" x14ac:dyDescent="0.3">
      <c r="A8430" t="s">
        <v>3388</v>
      </c>
      <c r="B8430" t="s">
        <v>18879</v>
      </c>
      <c r="C8430" t="s">
        <v>5470</v>
      </c>
      <c r="D8430" t="s">
        <v>4119</v>
      </c>
      <c r="E8430" t="s">
        <v>5756</v>
      </c>
      <c r="F8430" t="s">
        <v>30217</v>
      </c>
      <c r="G8430" t="s">
        <v>5473</v>
      </c>
      <c r="H8430" t="s">
        <v>5474</v>
      </c>
      <c r="I8430" t="s">
        <v>30218</v>
      </c>
      <c r="J8430" t="s">
        <v>5484</v>
      </c>
      <c r="K8430" t="s">
        <v>30219</v>
      </c>
      <c r="L8430" t="s">
        <v>5471</v>
      </c>
      <c r="M8430" t="s">
        <v>5471</v>
      </c>
    </row>
    <row r="8431" spans="1:13" x14ac:dyDescent="0.3">
      <c r="A8431" t="s">
        <v>3388</v>
      </c>
      <c r="B8431" t="s">
        <v>18879</v>
      </c>
      <c r="C8431" t="s">
        <v>5470</v>
      </c>
      <c r="D8431" t="s">
        <v>4119</v>
      </c>
      <c r="E8431" t="s">
        <v>5756</v>
      </c>
      <c r="F8431" t="s">
        <v>30220</v>
      </c>
      <c r="G8431" t="s">
        <v>5473</v>
      </c>
      <c r="H8431" t="s">
        <v>5474</v>
      </c>
      <c r="I8431" t="s">
        <v>30221</v>
      </c>
      <c r="J8431" t="s">
        <v>5484</v>
      </c>
      <c r="K8431" t="s">
        <v>30222</v>
      </c>
      <c r="L8431" t="s">
        <v>5471</v>
      </c>
      <c r="M8431" t="s">
        <v>5471</v>
      </c>
    </row>
    <row r="8432" spans="1:13" x14ac:dyDescent="0.3">
      <c r="A8432" t="s">
        <v>3388</v>
      </c>
      <c r="B8432" t="s">
        <v>18879</v>
      </c>
      <c r="C8432" t="s">
        <v>5470</v>
      </c>
      <c r="D8432" t="s">
        <v>4119</v>
      </c>
      <c r="E8432" t="s">
        <v>5756</v>
      </c>
      <c r="F8432" t="s">
        <v>30223</v>
      </c>
      <c r="G8432" t="s">
        <v>5473</v>
      </c>
      <c r="H8432" t="s">
        <v>5474</v>
      </c>
      <c r="I8432" t="s">
        <v>30224</v>
      </c>
      <c r="J8432" t="s">
        <v>5484</v>
      </c>
      <c r="K8432" t="s">
        <v>30225</v>
      </c>
      <c r="L8432" t="s">
        <v>5471</v>
      </c>
      <c r="M8432" t="s">
        <v>5471</v>
      </c>
    </row>
    <row r="8433" spans="1:13" x14ac:dyDescent="0.3">
      <c r="A8433" t="s">
        <v>3388</v>
      </c>
      <c r="B8433" t="s">
        <v>30072</v>
      </c>
      <c r="C8433" t="s">
        <v>5470</v>
      </c>
      <c r="D8433" t="s">
        <v>4119</v>
      </c>
      <c r="E8433" t="s">
        <v>5532</v>
      </c>
      <c r="F8433" t="s">
        <v>30226</v>
      </c>
      <c r="G8433" t="s">
        <v>29444</v>
      </c>
      <c r="H8433" t="s">
        <v>5474</v>
      </c>
      <c r="I8433" t="s">
        <v>30227</v>
      </c>
      <c r="J8433" t="s">
        <v>5484</v>
      </c>
      <c r="K8433" t="s">
        <v>30228</v>
      </c>
      <c r="L8433" t="s">
        <v>5471</v>
      </c>
      <c r="M8433" t="s">
        <v>5471</v>
      </c>
    </row>
    <row r="8434" spans="1:13" x14ac:dyDescent="0.3">
      <c r="A8434" t="s">
        <v>3388</v>
      </c>
      <c r="B8434" t="s">
        <v>30072</v>
      </c>
      <c r="C8434" t="s">
        <v>5470</v>
      </c>
      <c r="D8434" t="s">
        <v>4119</v>
      </c>
      <c r="E8434" t="s">
        <v>5532</v>
      </c>
      <c r="F8434" t="s">
        <v>30229</v>
      </c>
      <c r="G8434" t="s">
        <v>29444</v>
      </c>
      <c r="H8434" t="s">
        <v>5474</v>
      </c>
      <c r="I8434" t="s">
        <v>30230</v>
      </c>
      <c r="J8434" t="s">
        <v>5484</v>
      </c>
      <c r="K8434" t="s">
        <v>30231</v>
      </c>
      <c r="L8434" t="s">
        <v>5471</v>
      </c>
      <c r="M8434" t="s">
        <v>5471</v>
      </c>
    </row>
    <row r="8435" spans="1:13" x14ac:dyDescent="0.3">
      <c r="A8435" t="s">
        <v>3388</v>
      </c>
      <c r="B8435" t="s">
        <v>30072</v>
      </c>
      <c r="C8435" t="s">
        <v>5470</v>
      </c>
      <c r="D8435" t="s">
        <v>4119</v>
      </c>
      <c r="E8435" t="s">
        <v>5532</v>
      </c>
      <c r="F8435" t="s">
        <v>30232</v>
      </c>
      <c r="G8435" t="s">
        <v>29444</v>
      </c>
      <c r="H8435" t="s">
        <v>5474</v>
      </c>
      <c r="I8435" t="s">
        <v>30233</v>
      </c>
      <c r="J8435" t="s">
        <v>5484</v>
      </c>
      <c r="K8435" t="s">
        <v>30234</v>
      </c>
      <c r="L8435" t="s">
        <v>5471</v>
      </c>
      <c r="M8435" t="s">
        <v>5471</v>
      </c>
    </row>
    <row r="8436" spans="1:13" x14ac:dyDescent="0.3">
      <c r="A8436" t="s">
        <v>3388</v>
      </c>
      <c r="B8436" t="s">
        <v>30072</v>
      </c>
      <c r="C8436" t="s">
        <v>5470</v>
      </c>
      <c r="D8436" t="s">
        <v>4119</v>
      </c>
      <c r="E8436" t="s">
        <v>5532</v>
      </c>
      <c r="F8436" t="s">
        <v>30235</v>
      </c>
      <c r="G8436" t="s">
        <v>29444</v>
      </c>
      <c r="H8436" t="s">
        <v>5474</v>
      </c>
      <c r="I8436" t="s">
        <v>30236</v>
      </c>
      <c r="J8436" t="s">
        <v>5484</v>
      </c>
      <c r="K8436" t="s">
        <v>30237</v>
      </c>
      <c r="L8436" t="s">
        <v>5471</v>
      </c>
      <c r="M8436" t="s">
        <v>5471</v>
      </c>
    </row>
    <row r="8437" spans="1:13" x14ac:dyDescent="0.3">
      <c r="A8437" t="s">
        <v>3388</v>
      </c>
      <c r="B8437" t="s">
        <v>30072</v>
      </c>
      <c r="C8437" t="s">
        <v>5470</v>
      </c>
      <c r="D8437" t="s">
        <v>4119</v>
      </c>
      <c r="E8437" t="s">
        <v>5532</v>
      </c>
      <c r="F8437" t="s">
        <v>30238</v>
      </c>
      <c r="G8437" t="s">
        <v>29444</v>
      </c>
      <c r="H8437" t="s">
        <v>5474</v>
      </c>
      <c r="I8437" t="s">
        <v>30239</v>
      </c>
      <c r="J8437" t="s">
        <v>5484</v>
      </c>
      <c r="K8437" t="s">
        <v>30240</v>
      </c>
      <c r="L8437" t="s">
        <v>5471</v>
      </c>
      <c r="M8437" t="s">
        <v>5471</v>
      </c>
    </row>
    <row r="8438" spans="1:13" x14ac:dyDescent="0.3">
      <c r="A8438" t="s">
        <v>3388</v>
      </c>
      <c r="B8438" t="s">
        <v>30072</v>
      </c>
      <c r="C8438" t="s">
        <v>5470</v>
      </c>
      <c r="D8438" t="s">
        <v>4119</v>
      </c>
      <c r="E8438" t="s">
        <v>5532</v>
      </c>
      <c r="F8438" t="s">
        <v>30241</v>
      </c>
      <c r="G8438" t="s">
        <v>29444</v>
      </c>
      <c r="H8438" t="s">
        <v>5474</v>
      </c>
      <c r="I8438" t="s">
        <v>30242</v>
      </c>
      <c r="J8438" t="s">
        <v>5484</v>
      </c>
      <c r="K8438" t="s">
        <v>30243</v>
      </c>
      <c r="L8438" t="s">
        <v>5471</v>
      </c>
      <c r="M8438" t="s">
        <v>5471</v>
      </c>
    </row>
    <row r="8439" spans="1:13" x14ac:dyDescent="0.3">
      <c r="A8439" t="s">
        <v>3388</v>
      </c>
      <c r="B8439" t="s">
        <v>30072</v>
      </c>
      <c r="C8439" t="s">
        <v>5470</v>
      </c>
      <c r="D8439" t="s">
        <v>4119</v>
      </c>
      <c r="E8439" t="s">
        <v>5532</v>
      </c>
      <c r="F8439" t="s">
        <v>30244</v>
      </c>
      <c r="G8439" t="s">
        <v>29444</v>
      </c>
      <c r="H8439" t="s">
        <v>5474</v>
      </c>
      <c r="I8439" t="s">
        <v>30245</v>
      </c>
      <c r="J8439" t="s">
        <v>5484</v>
      </c>
      <c r="K8439" t="s">
        <v>30246</v>
      </c>
      <c r="L8439" t="s">
        <v>5471</v>
      </c>
      <c r="M8439" t="s">
        <v>5471</v>
      </c>
    </row>
    <row r="8440" spans="1:13" x14ac:dyDescent="0.3">
      <c r="A8440" t="s">
        <v>3388</v>
      </c>
      <c r="B8440" t="s">
        <v>30072</v>
      </c>
      <c r="C8440" t="s">
        <v>5470</v>
      </c>
      <c r="D8440" t="s">
        <v>4119</v>
      </c>
      <c r="E8440" t="s">
        <v>5532</v>
      </c>
      <c r="F8440" t="s">
        <v>30247</v>
      </c>
      <c r="G8440" t="s">
        <v>29444</v>
      </c>
      <c r="H8440" t="s">
        <v>5474</v>
      </c>
      <c r="I8440" t="s">
        <v>30248</v>
      </c>
      <c r="J8440" t="s">
        <v>5484</v>
      </c>
      <c r="K8440" t="s">
        <v>30249</v>
      </c>
      <c r="L8440" t="s">
        <v>5471</v>
      </c>
      <c r="M8440" t="s">
        <v>5471</v>
      </c>
    </row>
    <row r="8441" spans="1:13" x14ac:dyDescent="0.3">
      <c r="A8441" t="s">
        <v>3388</v>
      </c>
      <c r="B8441" t="s">
        <v>30072</v>
      </c>
      <c r="C8441" t="s">
        <v>5470</v>
      </c>
      <c r="D8441" t="s">
        <v>4119</v>
      </c>
      <c r="E8441" t="s">
        <v>5532</v>
      </c>
      <c r="F8441" t="s">
        <v>30250</v>
      </c>
      <c r="G8441" t="s">
        <v>29444</v>
      </c>
      <c r="H8441" t="s">
        <v>5474</v>
      </c>
      <c r="I8441" t="s">
        <v>30251</v>
      </c>
      <c r="J8441" t="s">
        <v>5484</v>
      </c>
      <c r="K8441" t="s">
        <v>30252</v>
      </c>
      <c r="L8441" t="s">
        <v>5471</v>
      </c>
      <c r="M8441" t="s">
        <v>5471</v>
      </c>
    </row>
    <row r="8442" spans="1:13" x14ac:dyDescent="0.3">
      <c r="A8442" t="s">
        <v>3388</v>
      </c>
      <c r="B8442" t="s">
        <v>30072</v>
      </c>
      <c r="C8442" t="s">
        <v>5470</v>
      </c>
      <c r="D8442" t="s">
        <v>4119</v>
      </c>
      <c r="E8442" t="s">
        <v>5532</v>
      </c>
      <c r="F8442" t="s">
        <v>30253</v>
      </c>
      <c r="G8442" t="s">
        <v>29444</v>
      </c>
      <c r="H8442" t="s">
        <v>5474</v>
      </c>
      <c r="I8442" t="s">
        <v>30254</v>
      </c>
      <c r="J8442" t="s">
        <v>5484</v>
      </c>
      <c r="K8442" t="s">
        <v>30255</v>
      </c>
      <c r="L8442" t="s">
        <v>5471</v>
      </c>
      <c r="M8442" t="s">
        <v>5471</v>
      </c>
    </row>
    <row r="8443" spans="1:13" x14ac:dyDescent="0.3">
      <c r="A8443" t="s">
        <v>3388</v>
      </c>
      <c r="B8443" t="s">
        <v>30072</v>
      </c>
      <c r="C8443" t="s">
        <v>5470</v>
      </c>
      <c r="D8443" t="s">
        <v>4119</v>
      </c>
      <c r="E8443" t="s">
        <v>5532</v>
      </c>
      <c r="F8443" t="s">
        <v>30256</v>
      </c>
      <c r="G8443" t="s">
        <v>29444</v>
      </c>
      <c r="H8443" t="s">
        <v>5474</v>
      </c>
      <c r="I8443" t="s">
        <v>30257</v>
      </c>
      <c r="J8443" t="s">
        <v>5484</v>
      </c>
      <c r="K8443" t="s">
        <v>30258</v>
      </c>
      <c r="L8443" t="s">
        <v>5471</v>
      </c>
      <c r="M8443" t="s">
        <v>5471</v>
      </c>
    </row>
    <row r="8444" spans="1:13" x14ac:dyDescent="0.3">
      <c r="A8444" t="s">
        <v>3388</v>
      </c>
      <c r="B8444" t="s">
        <v>30072</v>
      </c>
      <c r="C8444" t="s">
        <v>5470</v>
      </c>
      <c r="D8444" t="s">
        <v>4119</v>
      </c>
      <c r="E8444" t="s">
        <v>5532</v>
      </c>
      <c r="F8444" t="s">
        <v>30259</v>
      </c>
      <c r="G8444" t="s">
        <v>29444</v>
      </c>
      <c r="H8444" t="s">
        <v>5474</v>
      </c>
      <c r="I8444" t="s">
        <v>30260</v>
      </c>
      <c r="J8444" t="s">
        <v>5484</v>
      </c>
      <c r="K8444" t="s">
        <v>30261</v>
      </c>
      <c r="L8444" t="s">
        <v>5471</v>
      </c>
      <c r="M8444" t="s">
        <v>5471</v>
      </c>
    </row>
    <row r="8445" spans="1:13" x14ac:dyDescent="0.3">
      <c r="A8445" t="s">
        <v>3388</v>
      </c>
      <c r="B8445" t="s">
        <v>30072</v>
      </c>
      <c r="C8445" t="s">
        <v>5470</v>
      </c>
      <c r="D8445" t="s">
        <v>4119</v>
      </c>
      <c r="E8445" t="s">
        <v>5532</v>
      </c>
      <c r="F8445" t="s">
        <v>30262</v>
      </c>
      <c r="G8445" t="s">
        <v>29444</v>
      </c>
      <c r="H8445" t="s">
        <v>5474</v>
      </c>
      <c r="I8445" t="s">
        <v>30263</v>
      </c>
      <c r="J8445" t="s">
        <v>5484</v>
      </c>
      <c r="K8445" t="s">
        <v>30264</v>
      </c>
      <c r="L8445" t="s">
        <v>5471</v>
      </c>
      <c r="M8445" t="s">
        <v>5471</v>
      </c>
    </row>
    <row r="8446" spans="1:13" x14ac:dyDescent="0.3">
      <c r="A8446" t="s">
        <v>3388</v>
      </c>
      <c r="B8446" t="s">
        <v>30072</v>
      </c>
      <c r="C8446" t="s">
        <v>5470</v>
      </c>
      <c r="D8446" t="s">
        <v>4119</v>
      </c>
      <c r="E8446" t="s">
        <v>5532</v>
      </c>
      <c r="F8446" t="s">
        <v>30265</v>
      </c>
      <c r="G8446" t="s">
        <v>29444</v>
      </c>
      <c r="H8446" t="s">
        <v>5474</v>
      </c>
      <c r="I8446" t="s">
        <v>30266</v>
      </c>
      <c r="J8446" t="s">
        <v>5484</v>
      </c>
      <c r="K8446" t="s">
        <v>30267</v>
      </c>
      <c r="L8446" t="s">
        <v>5471</v>
      </c>
      <c r="M8446" t="s">
        <v>5471</v>
      </c>
    </row>
    <row r="8447" spans="1:13" x14ac:dyDescent="0.3">
      <c r="A8447" t="s">
        <v>3388</v>
      </c>
      <c r="B8447" t="s">
        <v>30017</v>
      </c>
      <c r="C8447" t="s">
        <v>5470</v>
      </c>
      <c r="D8447" t="s">
        <v>4119</v>
      </c>
      <c r="E8447" t="s">
        <v>5532</v>
      </c>
      <c r="F8447" t="s">
        <v>30268</v>
      </c>
      <c r="G8447" t="s">
        <v>29434</v>
      </c>
      <c r="H8447" t="s">
        <v>5474</v>
      </c>
      <c r="I8447" t="s">
        <v>30269</v>
      </c>
      <c r="J8447" t="s">
        <v>5484</v>
      </c>
      <c r="K8447" t="s">
        <v>30270</v>
      </c>
      <c r="L8447" t="s">
        <v>5471</v>
      </c>
      <c r="M8447" t="s">
        <v>5471</v>
      </c>
    </row>
    <row r="8448" spans="1:13" x14ac:dyDescent="0.3">
      <c r="A8448" t="s">
        <v>3388</v>
      </c>
      <c r="B8448" t="s">
        <v>30203</v>
      </c>
      <c r="C8448" t="s">
        <v>5470</v>
      </c>
      <c r="D8448" t="s">
        <v>4119</v>
      </c>
      <c r="E8448" t="s">
        <v>5532</v>
      </c>
      <c r="F8448" t="s">
        <v>30271</v>
      </c>
      <c r="G8448" t="s">
        <v>30205</v>
      </c>
      <c r="H8448" t="s">
        <v>5474</v>
      </c>
      <c r="I8448" t="s">
        <v>30272</v>
      </c>
      <c r="J8448" t="s">
        <v>5484</v>
      </c>
      <c r="K8448" t="s">
        <v>30273</v>
      </c>
      <c r="L8448" t="s">
        <v>5471</v>
      </c>
      <c r="M8448" t="s">
        <v>5471</v>
      </c>
    </row>
    <row r="8449" spans="1:13" x14ac:dyDescent="0.3">
      <c r="A8449" t="s">
        <v>3388</v>
      </c>
      <c r="B8449" t="s">
        <v>30203</v>
      </c>
      <c r="C8449" t="s">
        <v>5470</v>
      </c>
      <c r="D8449" t="s">
        <v>4119</v>
      </c>
      <c r="E8449" t="s">
        <v>5532</v>
      </c>
      <c r="F8449" t="s">
        <v>30274</v>
      </c>
      <c r="G8449" t="s">
        <v>30205</v>
      </c>
      <c r="H8449" t="s">
        <v>5474</v>
      </c>
      <c r="I8449" t="s">
        <v>30275</v>
      </c>
      <c r="J8449" t="s">
        <v>5484</v>
      </c>
      <c r="K8449" t="s">
        <v>30276</v>
      </c>
      <c r="L8449" t="s">
        <v>5471</v>
      </c>
      <c r="M8449" t="s">
        <v>5471</v>
      </c>
    </row>
    <row r="8450" spans="1:13" x14ac:dyDescent="0.3">
      <c r="A8450" t="s">
        <v>3388</v>
      </c>
      <c r="B8450" t="s">
        <v>30203</v>
      </c>
      <c r="C8450" t="s">
        <v>5470</v>
      </c>
      <c r="D8450" t="s">
        <v>4119</v>
      </c>
      <c r="E8450" t="s">
        <v>5532</v>
      </c>
      <c r="F8450" t="s">
        <v>30277</v>
      </c>
      <c r="G8450" t="s">
        <v>30205</v>
      </c>
      <c r="H8450" t="s">
        <v>5474</v>
      </c>
      <c r="I8450" t="s">
        <v>30278</v>
      </c>
      <c r="J8450" t="s">
        <v>5484</v>
      </c>
      <c r="K8450" t="s">
        <v>30279</v>
      </c>
      <c r="L8450" t="s">
        <v>5471</v>
      </c>
      <c r="M8450" t="s">
        <v>5471</v>
      </c>
    </row>
    <row r="8451" spans="1:13" x14ac:dyDescent="0.3">
      <c r="A8451" t="s">
        <v>3388</v>
      </c>
      <c r="B8451" t="s">
        <v>18634</v>
      </c>
      <c r="C8451" t="s">
        <v>5470</v>
      </c>
      <c r="D8451" t="s">
        <v>4119</v>
      </c>
      <c r="E8451" t="s">
        <v>5532</v>
      </c>
      <c r="F8451" t="s">
        <v>30280</v>
      </c>
      <c r="G8451" t="s">
        <v>18654</v>
      </c>
      <c r="H8451" t="s">
        <v>5474</v>
      </c>
      <c r="I8451" t="s">
        <v>30281</v>
      </c>
      <c r="J8451" t="s">
        <v>5484</v>
      </c>
      <c r="K8451" t="s">
        <v>30282</v>
      </c>
      <c r="L8451" t="s">
        <v>5471</v>
      </c>
      <c r="M8451" t="s">
        <v>5471</v>
      </c>
    </row>
    <row r="8452" spans="1:13" x14ac:dyDescent="0.3">
      <c r="A8452" t="s">
        <v>3388</v>
      </c>
      <c r="B8452" t="s">
        <v>30017</v>
      </c>
      <c r="C8452" t="s">
        <v>5470</v>
      </c>
      <c r="D8452" t="s">
        <v>4119</v>
      </c>
      <c r="E8452" t="s">
        <v>5532</v>
      </c>
      <c r="F8452" t="s">
        <v>30283</v>
      </c>
      <c r="G8452" t="s">
        <v>29434</v>
      </c>
      <c r="H8452" t="s">
        <v>5474</v>
      </c>
      <c r="I8452" t="s">
        <v>30284</v>
      </c>
      <c r="J8452" t="s">
        <v>5484</v>
      </c>
      <c r="K8452" t="s">
        <v>30285</v>
      </c>
      <c r="L8452" t="s">
        <v>5471</v>
      </c>
      <c r="M8452" t="s">
        <v>5471</v>
      </c>
    </row>
    <row r="8453" spans="1:13" x14ac:dyDescent="0.3">
      <c r="A8453" t="s">
        <v>3388</v>
      </c>
      <c r="B8453" t="s">
        <v>23832</v>
      </c>
      <c r="C8453" t="s">
        <v>5470</v>
      </c>
      <c r="D8453" t="s">
        <v>4119</v>
      </c>
      <c r="E8453" t="s">
        <v>5532</v>
      </c>
      <c r="F8453" t="s">
        <v>30286</v>
      </c>
      <c r="G8453" t="s">
        <v>23170</v>
      </c>
      <c r="H8453" t="s">
        <v>5474</v>
      </c>
      <c r="I8453" t="s">
        <v>30287</v>
      </c>
      <c r="J8453" t="s">
        <v>5484</v>
      </c>
      <c r="K8453" t="s">
        <v>30288</v>
      </c>
      <c r="L8453" t="s">
        <v>5471</v>
      </c>
      <c r="M8453" t="s">
        <v>5471</v>
      </c>
    </row>
    <row r="8454" spans="1:13" x14ac:dyDescent="0.3">
      <c r="A8454" t="s">
        <v>3388</v>
      </c>
      <c r="B8454" t="s">
        <v>30017</v>
      </c>
      <c r="C8454" t="s">
        <v>5470</v>
      </c>
      <c r="D8454" t="s">
        <v>4119</v>
      </c>
      <c r="E8454" t="s">
        <v>5532</v>
      </c>
      <c r="F8454" t="s">
        <v>30289</v>
      </c>
      <c r="G8454" t="s">
        <v>30043</v>
      </c>
      <c r="H8454" t="s">
        <v>5474</v>
      </c>
      <c r="I8454" t="s">
        <v>30290</v>
      </c>
      <c r="J8454" t="s">
        <v>5484</v>
      </c>
      <c r="K8454" t="s">
        <v>30291</v>
      </c>
      <c r="L8454" t="s">
        <v>5471</v>
      </c>
      <c r="M8454" t="s">
        <v>5471</v>
      </c>
    </row>
    <row r="8455" spans="1:13" x14ac:dyDescent="0.3">
      <c r="A8455" t="s">
        <v>3388</v>
      </c>
      <c r="B8455" t="s">
        <v>23818</v>
      </c>
      <c r="C8455" t="s">
        <v>5470</v>
      </c>
      <c r="D8455" t="s">
        <v>4119</v>
      </c>
      <c r="E8455" t="s">
        <v>5532</v>
      </c>
      <c r="F8455" t="s">
        <v>30292</v>
      </c>
      <c r="G8455" t="s">
        <v>23202</v>
      </c>
      <c r="H8455" t="s">
        <v>5474</v>
      </c>
      <c r="I8455" t="s">
        <v>30293</v>
      </c>
      <c r="J8455" t="s">
        <v>5484</v>
      </c>
      <c r="K8455" t="s">
        <v>30294</v>
      </c>
      <c r="L8455" t="s">
        <v>5471</v>
      </c>
      <c r="M8455" t="s">
        <v>5471</v>
      </c>
    </row>
    <row r="8456" spans="1:13" x14ac:dyDescent="0.3">
      <c r="A8456" t="s">
        <v>3388</v>
      </c>
      <c r="B8456" t="s">
        <v>23818</v>
      </c>
      <c r="C8456" t="s">
        <v>5470</v>
      </c>
      <c r="D8456" t="s">
        <v>4119</v>
      </c>
      <c r="E8456" t="s">
        <v>5532</v>
      </c>
      <c r="F8456" t="s">
        <v>30295</v>
      </c>
      <c r="G8456" t="s">
        <v>23202</v>
      </c>
      <c r="H8456" t="s">
        <v>5474</v>
      </c>
      <c r="I8456" t="s">
        <v>30296</v>
      </c>
      <c r="J8456" t="s">
        <v>5484</v>
      </c>
      <c r="K8456" t="s">
        <v>30297</v>
      </c>
      <c r="L8456" t="s">
        <v>5471</v>
      </c>
      <c r="M8456" t="s">
        <v>5471</v>
      </c>
    </row>
    <row r="8457" spans="1:13" x14ac:dyDescent="0.3">
      <c r="A8457" t="s">
        <v>3388</v>
      </c>
      <c r="B8457" t="s">
        <v>30298</v>
      </c>
      <c r="C8457" t="s">
        <v>5470</v>
      </c>
      <c r="D8457" t="s">
        <v>4119</v>
      </c>
      <c r="E8457" t="s">
        <v>5532</v>
      </c>
      <c r="F8457" t="s">
        <v>30299</v>
      </c>
      <c r="G8457" t="s">
        <v>20359</v>
      </c>
      <c r="H8457" t="s">
        <v>5474</v>
      </c>
      <c r="I8457" t="s">
        <v>30300</v>
      </c>
      <c r="J8457" t="s">
        <v>5484</v>
      </c>
      <c r="K8457" t="s">
        <v>30301</v>
      </c>
      <c r="L8457" t="s">
        <v>5471</v>
      </c>
      <c r="M8457" t="s">
        <v>5471</v>
      </c>
    </row>
    <row r="8458" spans="1:13" x14ac:dyDescent="0.3">
      <c r="A8458" t="s">
        <v>3388</v>
      </c>
      <c r="B8458" t="s">
        <v>30302</v>
      </c>
      <c r="C8458" t="s">
        <v>5470</v>
      </c>
      <c r="D8458" t="s">
        <v>4119</v>
      </c>
      <c r="E8458" t="s">
        <v>5532</v>
      </c>
      <c r="F8458" t="s">
        <v>30303</v>
      </c>
      <c r="G8458" t="s">
        <v>20259</v>
      </c>
      <c r="H8458" t="s">
        <v>5474</v>
      </c>
      <c r="I8458" t="s">
        <v>30304</v>
      </c>
      <c r="J8458" t="s">
        <v>5484</v>
      </c>
      <c r="K8458" t="s">
        <v>30305</v>
      </c>
      <c r="L8458" t="s">
        <v>5471</v>
      </c>
      <c r="M8458" t="s">
        <v>5471</v>
      </c>
    </row>
    <row r="8459" spans="1:13" x14ac:dyDescent="0.3">
      <c r="A8459" t="s">
        <v>3388</v>
      </c>
      <c r="B8459" t="s">
        <v>18879</v>
      </c>
      <c r="C8459" t="s">
        <v>5470</v>
      </c>
      <c r="D8459" t="s">
        <v>4119</v>
      </c>
      <c r="E8459" t="s">
        <v>5756</v>
      </c>
      <c r="F8459" t="s">
        <v>30306</v>
      </c>
      <c r="G8459" t="s">
        <v>5473</v>
      </c>
      <c r="H8459" t="s">
        <v>5474</v>
      </c>
      <c r="I8459" t="s">
        <v>30307</v>
      </c>
      <c r="J8459" t="s">
        <v>5484</v>
      </c>
      <c r="K8459" t="s">
        <v>30308</v>
      </c>
      <c r="L8459" t="s">
        <v>5471</v>
      </c>
      <c r="M8459" t="s">
        <v>5471</v>
      </c>
    </row>
    <row r="8460" spans="1:13" x14ac:dyDescent="0.3">
      <c r="A8460" t="s">
        <v>3388</v>
      </c>
      <c r="B8460" t="s">
        <v>18660</v>
      </c>
      <c r="C8460" t="s">
        <v>5470</v>
      </c>
      <c r="D8460" t="s">
        <v>4119</v>
      </c>
      <c r="E8460" t="s">
        <v>5756</v>
      </c>
      <c r="F8460" t="s">
        <v>30309</v>
      </c>
      <c r="G8460" t="s">
        <v>18662</v>
      </c>
      <c r="H8460" t="s">
        <v>5474</v>
      </c>
      <c r="I8460" t="s">
        <v>30310</v>
      </c>
      <c r="J8460" t="s">
        <v>5484</v>
      </c>
      <c r="K8460" t="s">
        <v>30311</v>
      </c>
      <c r="L8460" t="s">
        <v>5471</v>
      </c>
      <c r="M8460" t="s">
        <v>5471</v>
      </c>
    </row>
    <row r="8461" spans="1:13" x14ac:dyDescent="0.3">
      <c r="A8461" t="s">
        <v>3388</v>
      </c>
      <c r="B8461" t="s">
        <v>30312</v>
      </c>
      <c r="C8461" t="s">
        <v>5470</v>
      </c>
      <c r="D8461" t="s">
        <v>4119</v>
      </c>
      <c r="E8461" t="s">
        <v>5617</v>
      </c>
      <c r="F8461" t="s">
        <v>30313</v>
      </c>
      <c r="G8461" t="s">
        <v>30314</v>
      </c>
      <c r="H8461" t="s">
        <v>5474</v>
      </c>
      <c r="I8461" t="s">
        <v>30315</v>
      </c>
      <c r="J8461" t="s">
        <v>5484</v>
      </c>
      <c r="K8461" t="s">
        <v>30316</v>
      </c>
      <c r="L8461" t="s">
        <v>5471</v>
      </c>
      <c r="M8461" t="s">
        <v>5471</v>
      </c>
    </row>
    <row r="8462" spans="1:13" x14ac:dyDescent="0.3">
      <c r="A8462" t="s">
        <v>3388</v>
      </c>
      <c r="B8462" t="s">
        <v>30312</v>
      </c>
      <c r="C8462" t="s">
        <v>5470</v>
      </c>
      <c r="D8462" t="s">
        <v>4119</v>
      </c>
      <c r="E8462" t="s">
        <v>5617</v>
      </c>
      <c r="F8462" t="s">
        <v>30317</v>
      </c>
      <c r="G8462" t="s">
        <v>30314</v>
      </c>
      <c r="H8462" t="s">
        <v>5474</v>
      </c>
      <c r="I8462" t="s">
        <v>30318</v>
      </c>
      <c r="J8462" t="s">
        <v>5484</v>
      </c>
      <c r="K8462" t="s">
        <v>30319</v>
      </c>
      <c r="L8462" t="s">
        <v>5471</v>
      </c>
      <c r="M8462" t="s">
        <v>5471</v>
      </c>
    </row>
    <row r="8463" spans="1:13" x14ac:dyDescent="0.3">
      <c r="A8463" t="s">
        <v>3388</v>
      </c>
      <c r="B8463" t="s">
        <v>18550</v>
      </c>
      <c r="C8463" t="s">
        <v>5470</v>
      </c>
      <c r="D8463" t="s">
        <v>4119</v>
      </c>
      <c r="E8463" t="s">
        <v>5532</v>
      </c>
      <c r="F8463" t="s">
        <v>30320</v>
      </c>
      <c r="G8463" t="s">
        <v>18565</v>
      </c>
      <c r="H8463" t="s">
        <v>5474</v>
      </c>
      <c r="I8463" t="s">
        <v>30321</v>
      </c>
      <c r="J8463" t="s">
        <v>5484</v>
      </c>
      <c r="K8463" t="s">
        <v>30322</v>
      </c>
      <c r="L8463" t="s">
        <v>5471</v>
      </c>
      <c r="M8463" t="s">
        <v>5471</v>
      </c>
    </row>
    <row r="8464" spans="1:13" x14ac:dyDescent="0.3">
      <c r="A8464" t="s">
        <v>3388</v>
      </c>
      <c r="B8464" t="s">
        <v>15942</v>
      </c>
      <c r="C8464" t="s">
        <v>5470</v>
      </c>
      <c r="D8464" t="s">
        <v>4119</v>
      </c>
      <c r="E8464" t="s">
        <v>5756</v>
      </c>
      <c r="F8464" t="s">
        <v>30323</v>
      </c>
      <c r="G8464" t="s">
        <v>19585</v>
      </c>
      <c r="H8464" t="s">
        <v>5474</v>
      </c>
      <c r="I8464" t="s">
        <v>30324</v>
      </c>
      <c r="J8464" t="s">
        <v>5484</v>
      </c>
      <c r="K8464" t="s">
        <v>30325</v>
      </c>
      <c r="L8464" t="s">
        <v>5471</v>
      </c>
      <c r="M8464" t="s">
        <v>5471</v>
      </c>
    </row>
    <row r="8465" spans="1:13" x14ac:dyDescent="0.3">
      <c r="A8465" t="s">
        <v>3388</v>
      </c>
      <c r="B8465" t="s">
        <v>22510</v>
      </c>
      <c r="C8465" t="s">
        <v>5470</v>
      </c>
      <c r="D8465" t="s">
        <v>4119</v>
      </c>
      <c r="E8465" t="s">
        <v>5756</v>
      </c>
      <c r="F8465" t="s">
        <v>30326</v>
      </c>
      <c r="G8465" t="s">
        <v>22512</v>
      </c>
      <c r="H8465" t="s">
        <v>5474</v>
      </c>
      <c r="I8465" t="s">
        <v>30327</v>
      </c>
      <c r="J8465" t="s">
        <v>5484</v>
      </c>
      <c r="K8465" t="s">
        <v>30328</v>
      </c>
      <c r="L8465" t="s">
        <v>5471</v>
      </c>
      <c r="M8465" t="s">
        <v>5471</v>
      </c>
    </row>
    <row r="8466" spans="1:13" x14ac:dyDescent="0.3">
      <c r="A8466" t="s">
        <v>3388</v>
      </c>
      <c r="B8466" t="s">
        <v>7109</v>
      </c>
      <c r="C8466" t="s">
        <v>5470</v>
      </c>
      <c r="D8466" t="s">
        <v>4119</v>
      </c>
      <c r="E8466" t="s">
        <v>5480</v>
      </c>
      <c r="F8466" t="s">
        <v>30329</v>
      </c>
      <c r="G8466" t="s">
        <v>10952</v>
      </c>
      <c r="H8466" t="s">
        <v>5474</v>
      </c>
      <c r="I8466" t="s">
        <v>30330</v>
      </c>
      <c r="J8466" t="s">
        <v>5484</v>
      </c>
      <c r="K8466" t="s">
        <v>30331</v>
      </c>
      <c r="L8466" t="s">
        <v>5471</v>
      </c>
      <c r="M8466" t="s">
        <v>5471</v>
      </c>
    </row>
    <row r="8467" spans="1:13" x14ac:dyDescent="0.3">
      <c r="A8467" t="s">
        <v>3388</v>
      </c>
      <c r="B8467" t="s">
        <v>6540</v>
      </c>
      <c r="C8467" t="s">
        <v>5470</v>
      </c>
      <c r="D8467" t="s">
        <v>4119</v>
      </c>
      <c r="E8467" t="s">
        <v>5480</v>
      </c>
      <c r="F8467" t="s">
        <v>30332</v>
      </c>
      <c r="G8467" t="s">
        <v>19965</v>
      </c>
      <c r="H8467" t="s">
        <v>5474</v>
      </c>
      <c r="I8467" t="s">
        <v>30333</v>
      </c>
      <c r="J8467" t="s">
        <v>5484</v>
      </c>
      <c r="K8467" t="s">
        <v>30334</v>
      </c>
      <c r="L8467" t="s">
        <v>5471</v>
      </c>
      <c r="M8467" t="s">
        <v>5471</v>
      </c>
    </row>
    <row r="8468" spans="1:13" x14ac:dyDescent="0.3">
      <c r="A8468" t="s">
        <v>3388</v>
      </c>
      <c r="B8468" t="s">
        <v>6540</v>
      </c>
      <c r="C8468" t="s">
        <v>5470</v>
      </c>
      <c r="D8468" t="s">
        <v>4119</v>
      </c>
      <c r="E8468" t="s">
        <v>5480</v>
      </c>
      <c r="F8468" t="s">
        <v>30335</v>
      </c>
      <c r="G8468" t="s">
        <v>19965</v>
      </c>
      <c r="H8468" t="s">
        <v>5474</v>
      </c>
      <c r="I8468" t="s">
        <v>30336</v>
      </c>
      <c r="J8468" t="s">
        <v>5484</v>
      </c>
      <c r="K8468" t="s">
        <v>30337</v>
      </c>
      <c r="L8468" t="s">
        <v>5471</v>
      </c>
      <c r="M8468" t="s">
        <v>5471</v>
      </c>
    </row>
    <row r="8469" spans="1:13" x14ac:dyDescent="0.3">
      <c r="A8469" t="s">
        <v>3388</v>
      </c>
      <c r="B8469" t="s">
        <v>2749</v>
      </c>
      <c r="C8469" t="s">
        <v>5470</v>
      </c>
      <c r="D8469" t="s">
        <v>4119</v>
      </c>
      <c r="E8469" t="s">
        <v>5532</v>
      </c>
      <c r="F8469" t="s">
        <v>30338</v>
      </c>
      <c r="G8469" t="s">
        <v>22006</v>
      </c>
      <c r="H8469" t="s">
        <v>5474</v>
      </c>
      <c r="I8469" t="s">
        <v>30339</v>
      </c>
      <c r="J8469" t="s">
        <v>5484</v>
      </c>
      <c r="K8469" t="s">
        <v>30340</v>
      </c>
      <c r="L8469" t="s">
        <v>5471</v>
      </c>
      <c r="M8469" t="s">
        <v>5471</v>
      </c>
    </row>
    <row r="8470" spans="1:13" x14ac:dyDescent="0.3">
      <c r="A8470" t="s">
        <v>3388</v>
      </c>
      <c r="B8470" t="s">
        <v>5531</v>
      </c>
      <c r="C8470" t="s">
        <v>5470</v>
      </c>
      <c r="D8470" t="s">
        <v>4058</v>
      </c>
      <c r="E8470" t="s">
        <v>5617</v>
      </c>
      <c r="F8470" t="s">
        <v>30341</v>
      </c>
      <c r="G8470" t="s">
        <v>21159</v>
      </c>
      <c r="H8470" t="s">
        <v>5474</v>
      </c>
      <c r="I8470" t="s">
        <v>30342</v>
      </c>
      <c r="J8470" t="s">
        <v>5484</v>
      </c>
      <c r="K8470" t="s">
        <v>28052</v>
      </c>
      <c r="L8470" t="s">
        <v>5471</v>
      </c>
      <c r="M8470" t="s">
        <v>5471</v>
      </c>
    </row>
    <row r="8471" spans="1:13" x14ac:dyDescent="0.3">
      <c r="A8471" t="s">
        <v>3388</v>
      </c>
      <c r="B8471" t="s">
        <v>5531</v>
      </c>
      <c r="C8471" t="s">
        <v>5470</v>
      </c>
      <c r="D8471" t="s">
        <v>4058</v>
      </c>
      <c r="E8471" t="s">
        <v>5617</v>
      </c>
      <c r="F8471" t="s">
        <v>30343</v>
      </c>
      <c r="G8471" t="s">
        <v>21139</v>
      </c>
      <c r="H8471" t="s">
        <v>5474</v>
      </c>
      <c r="I8471" t="s">
        <v>30344</v>
      </c>
      <c r="J8471" t="s">
        <v>5484</v>
      </c>
      <c r="K8471" t="s">
        <v>28837</v>
      </c>
      <c r="L8471" t="s">
        <v>5471</v>
      </c>
      <c r="M8471" t="s">
        <v>5471</v>
      </c>
    </row>
    <row r="8472" spans="1:13" x14ac:dyDescent="0.3">
      <c r="A8472" t="s">
        <v>3388</v>
      </c>
      <c r="B8472" t="s">
        <v>5531</v>
      </c>
      <c r="C8472" t="s">
        <v>5470</v>
      </c>
      <c r="D8472" t="s">
        <v>4058</v>
      </c>
      <c r="E8472" t="s">
        <v>5617</v>
      </c>
      <c r="F8472" t="s">
        <v>30345</v>
      </c>
      <c r="G8472" t="s">
        <v>21139</v>
      </c>
      <c r="H8472" t="s">
        <v>5474</v>
      </c>
      <c r="I8472" t="s">
        <v>30346</v>
      </c>
      <c r="J8472" t="s">
        <v>5484</v>
      </c>
      <c r="K8472" t="s">
        <v>28840</v>
      </c>
      <c r="L8472" t="s">
        <v>5471</v>
      </c>
      <c r="M8472" t="s">
        <v>5471</v>
      </c>
    </row>
    <row r="8473" spans="1:13" x14ac:dyDescent="0.3">
      <c r="A8473" t="s">
        <v>3388</v>
      </c>
      <c r="B8473" t="s">
        <v>5531</v>
      </c>
      <c r="C8473" t="s">
        <v>5470</v>
      </c>
      <c r="D8473" t="s">
        <v>4058</v>
      </c>
      <c r="E8473" t="s">
        <v>5617</v>
      </c>
      <c r="F8473" t="s">
        <v>30347</v>
      </c>
      <c r="G8473" t="s">
        <v>21139</v>
      </c>
      <c r="H8473" t="s">
        <v>5474</v>
      </c>
      <c r="I8473" t="s">
        <v>30348</v>
      </c>
      <c r="J8473" t="s">
        <v>5484</v>
      </c>
      <c r="K8473" t="s">
        <v>28843</v>
      </c>
      <c r="L8473" t="s">
        <v>5471</v>
      </c>
      <c r="M8473" t="s">
        <v>5471</v>
      </c>
    </row>
    <row r="8474" spans="1:13" x14ac:dyDescent="0.3">
      <c r="A8474" t="s">
        <v>3388</v>
      </c>
      <c r="B8474" t="s">
        <v>5531</v>
      </c>
      <c r="C8474" t="s">
        <v>5470</v>
      </c>
      <c r="D8474" t="s">
        <v>4058</v>
      </c>
      <c r="E8474" t="s">
        <v>5617</v>
      </c>
      <c r="F8474" t="s">
        <v>30349</v>
      </c>
      <c r="G8474" t="s">
        <v>21147</v>
      </c>
      <c r="H8474" t="s">
        <v>5474</v>
      </c>
      <c r="I8474" t="s">
        <v>30350</v>
      </c>
      <c r="J8474" t="s">
        <v>5484</v>
      </c>
      <c r="K8474" t="s">
        <v>28857</v>
      </c>
      <c r="L8474" t="s">
        <v>5471</v>
      </c>
      <c r="M8474" t="s">
        <v>5471</v>
      </c>
    </row>
    <row r="8475" spans="1:13" x14ac:dyDescent="0.3">
      <c r="A8475" t="s">
        <v>3388</v>
      </c>
      <c r="B8475" t="s">
        <v>5531</v>
      </c>
      <c r="C8475" t="s">
        <v>5470</v>
      </c>
      <c r="D8475" t="s">
        <v>4058</v>
      </c>
      <c r="E8475" t="s">
        <v>5617</v>
      </c>
      <c r="F8475" t="s">
        <v>30351</v>
      </c>
      <c r="G8475" t="s">
        <v>21147</v>
      </c>
      <c r="H8475" t="s">
        <v>5474</v>
      </c>
      <c r="I8475" t="s">
        <v>30352</v>
      </c>
      <c r="J8475" t="s">
        <v>5484</v>
      </c>
      <c r="K8475" t="s">
        <v>28860</v>
      </c>
      <c r="L8475" t="s">
        <v>5471</v>
      </c>
      <c r="M8475" t="s">
        <v>5471</v>
      </c>
    </row>
    <row r="8476" spans="1:13" x14ac:dyDescent="0.3">
      <c r="A8476" t="s">
        <v>3388</v>
      </c>
      <c r="B8476" t="s">
        <v>5531</v>
      </c>
      <c r="C8476" t="s">
        <v>5470</v>
      </c>
      <c r="D8476" t="s">
        <v>4058</v>
      </c>
      <c r="E8476" t="s">
        <v>5617</v>
      </c>
      <c r="F8476" t="s">
        <v>30353</v>
      </c>
      <c r="G8476" t="s">
        <v>21147</v>
      </c>
      <c r="H8476" t="s">
        <v>5474</v>
      </c>
      <c r="I8476" t="s">
        <v>30354</v>
      </c>
      <c r="J8476" t="s">
        <v>5484</v>
      </c>
      <c r="K8476" t="s">
        <v>28863</v>
      </c>
      <c r="L8476" t="s">
        <v>5471</v>
      </c>
      <c r="M8476" t="s">
        <v>5471</v>
      </c>
    </row>
    <row r="8477" spans="1:13" x14ac:dyDescent="0.3">
      <c r="A8477" t="s">
        <v>3388</v>
      </c>
      <c r="B8477" t="s">
        <v>5531</v>
      </c>
      <c r="C8477" t="s">
        <v>5470</v>
      </c>
      <c r="D8477" t="s">
        <v>4058</v>
      </c>
      <c r="E8477" t="s">
        <v>5617</v>
      </c>
      <c r="F8477" t="s">
        <v>30355</v>
      </c>
      <c r="G8477" t="s">
        <v>21143</v>
      </c>
      <c r="H8477" t="s">
        <v>5474</v>
      </c>
      <c r="I8477" t="s">
        <v>30356</v>
      </c>
      <c r="J8477" t="s">
        <v>5484</v>
      </c>
      <c r="K8477" t="s">
        <v>28847</v>
      </c>
      <c r="L8477" t="s">
        <v>5471</v>
      </c>
      <c r="M8477" t="s">
        <v>5471</v>
      </c>
    </row>
    <row r="8478" spans="1:13" x14ac:dyDescent="0.3">
      <c r="A8478" t="s">
        <v>3388</v>
      </c>
      <c r="B8478" t="s">
        <v>5531</v>
      </c>
      <c r="C8478" t="s">
        <v>5470</v>
      </c>
      <c r="D8478" t="s">
        <v>4058</v>
      </c>
      <c r="E8478" t="s">
        <v>5617</v>
      </c>
      <c r="F8478" t="s">
        <v>30357</v>
      </c>
      <c r="G8478" t="s">
        <v>21143</v>
      </c>
      <c r="H8478" t="s">
        <v>5474</v>
      </c>
      <c r="I8478" t="s">
        <v>30358</v>
      </c>
      <c r="J8478" t="s">
        <v>5484</v>
      </c>
      <c r="K8478" t="s">
        <v>28850</v>
      </c>
      <c r="L8478" t="s">
        <v>5471</v>
      </c>
      <c r="M8478" t="s">
        <v>5471</v>
      </c>
    </row>
    <row r="8479" spans="1:13" x14ac:dyDescent="0.3">
      <c r="A8479" t="s">
        <v>3388</v>
      </c>
      <c r="B8479" t="s">
        <v>5531</v>
      </c>
      <c r="C8479" t="s">
        <v>5470</v>
      </c>
      <c r="D8479" t="s">
        <v>4058</v>
      </c>
      <c r="E8479" t="s">
        <v>5617</v>
      </c>
      <c r="F8479" t="s">
        <v>30359</v>
      </c>
      <c r="G8479" t="s">
        <v>21143</v>
      </c>
      <c r="H8479" t="s">
        <v>5474</v>
      </c>
      <c r="I8479" t="s">
        <v>30360</v>
      </c>
      <c r="J8479" t="s">
        <v>5484</v>
      </c>
      <c r="K8479" t="s">
        <v>28853</v>
      </c>
      <c r="L8479" t="s">
        <v>5471</v>
      </c>
      <c r="M8479" t="s">
        <v>5471</v>
      </c>
    </row>
    <row r="8480" spans="1:13" x14ac:dyDescent="0.3">
      <c r="A8480" t="s">
        <v>3388</v>
      </c>
      <c r="B8480" t="s">
        <v>5531</v>
      </c>
      <c r="C8480" t="s">
        <v>5470</v>
      </c>
      <c r="D8480" t="s">
        <v>4058</v>
      </c>
      <c r="E8480" t="s">
        <v>5617</v>
      </c>
      <c r="F8480" t="s">
        <v>30361</v>
      </c>
      <c r="G8480" t="s">
        <v>21151</v>
      </c>
      <c r="H8480" t="s">
        <v>5474</v>
      </c>
      <c r="I8480" t="s">
        <v>30362</v>
      </c>
      <c r="J8480" t="s">
        <v>5484</v>
      </c>
      <c r="K8480" t="s">
        <v>28867</v>
      </c>
      <c r="L8480" t="s">
        <v>5471</v>
      </c>
      <c r="M8480" t="s">
        <v>5471</v>
      </c>
    </row>
    <row r="8481" spans="1:13" x14ac:dyDescent="0.3">
      <c r="A8481" t="s">
        <v>3388</v>
      </c>
      <c r="B8481" t="s">
        <v>5531</v>
      </c>
      <c r="C8481" t="s">
        <v>5470</v>
      </c>
      <c r="D8481" t="s">
        <v>4058</v>
      </c>
      <c r="E8481" t="s">
        <v>5617</v>
      </c>
      <c r="F8481" t="s">
        <v>30363</v>
      </c>
      <c r="G8481" t="s">
        <v>21151</v>
      </c>
      <c r="H8481" t="s">
        <v>5474</v>
      </c>
      <c r="I8481" t="s">
        <v>30364</v>
      </c>
      <c r="J8481" t="s">
        <v>5484</v>
      </c>
      <c r="K8481" t="s">
        <v>28870</v>
      </c>
      <c r="L8481" t="s">
        <v>5471</v>
      </c>
      <c r="M8481" t="s">
        <v>5471</v>
      </c>
    </row>
    <row r="8482" spans="1:13" x14ac:dyDescent="0.3">
      <c r="A8482" t="s">
        <v>3388</v>
      </c>
      <c r="B8482" t="s">
        <v>17483</v>
      </c>
      <c r="C8482" t="s">
        <v>5470</v>
      </c>
      <c r="D8482" t="s">
        <v>4058</v>
      </c>
      <c r="E8482" t="s">
        <v>5617</v>
      </c>
      <c r="F8482" t="s">
        <v>30365</v>
      </c>
      <c r="G8482" t="s">
        <v>30366</v>
      </c>
      <c r="H8482" t="s">
        <v>5474</v>
      </c>
      <c r="I8482" t="s">
        <v>30367</v>
      </c>
      <c r="J8482" t="s">
        <v>5484</v>
      </c>
      <c r="K8482" t="s">
        <v>28710</v>
      </c>
      <c r="L8482" t="s">
        <v>5471</v>
      </c>
      <c r="M8482" t="s">
        <v>5471</v>
      </c>
    </row>
    <row r="8483" spans="1:13" x14ac:dyDescent="0.3">
      <c r="A8483" t="s">
        <v>3388</v>
      </c>
      <c r="B8483" t="s">
        <v>22510</v>
      </c>
      <c r="C8483" t="s">
        <v>5470</v>
      </c>
      <c r="D8483" t="s">
        <v>4052</v>
      </c>
      <c r="E8483" t="s">
        <v>5532</v>
      </c>
      <c r="F8483" t="s">
        <v>30368</v>
      </c>
      <c r="G8483" t="s">
        <v>22512</v>
      </c>
      <c r="H8483" t="s">
        <v>5474</v>
      </c>
      <c r="I8483" t="s">
        <v>30369</v>
      </c>
      <c r="J8483" t="s">
        <v>5484</v>
      </c>
      <c r="K8483" t="s">
        <v>30370</v>
      </c>
      <c r="L8483" t="s">
        <v>5471</v>
      </c>
      <c r="M8483" t="s">
        <v>5471</v>
      </c>
    </row>
    <row r="8484" spans="1:13" x14ac:dyDescent="0.3">
      <c r="A8484" t="s">
        <v>3388</v>
      </c>
      <c r="B8484" t="s">
        <v>22510</v>
      </c>
      <c r="C8484" t="s">
        <v>5470</v>
      </c>
      <c r="D8484" t="s">
        <v>4052</v>
      </c>
      <c r="E8484" t="s">
        <v>5532</v>
      </c>
      <c r="F8484" t="s">
        <v>30371</v>
      </c>
      <c r="G8484" t="s">
        <v>22512</v>
      </c>
      <c r="H8484" t="s">
        <v>5474</v>
      </c>
      <c r="I8484" t="s">
        <v>30372</v>
      </c>
      <c r="J8484" t="s">
        <v>5484</v>
      </c>
      <c r="K8484" t="s">
        <v>30373</v>
      </c>
      <c r="L8484" t="s">
        <v>5471</v>
      </c>
      <c r="M8484" t="s">
        <v>5471</v>
      </c>
    </row>
    <row r="8485" spans="1:13" x14ac:dyDescent="0.3">
      <c r="A8485" t="s">
        <v>3388</v>
      </c>
      <c r="B8485" t="s">
        <v>15942</v>
      </c>
      <c r="C8485" t="s">
        <v>5470</v>
      </c>
      <c r="D8485" t="s">
        <v>4052</v>
      </c>
      <c r="E8485" t="s">
        <v>5532</v>
      </c>
      <c r="F8485" t="s">
        <v>30374</v>
      </c>
      <c r="G8485" t="s">
        <v>19585</v>
      </c>
      <c r="H8485" t="s">
        <v>5474</v>
      </c>
      <c r="I8485" t="s">
        <v>30375</v>
      </c>
      <c r="J8485" t="s">
        <v>5484</v>
      </c>
      <c r="K8485" t="s">
        <v>30370</v>
      </c>
      <c r="L8485" t="s">
        <v>5471</v>
      </c>
      <c r="M8485" t="s">
        <v>5471</v>
      </c>
    </row>
    <row r="8486" spans="1:13" x14ac:dyDescent="0.3">
      <c r="A8486" t="s">
        <v>3388</v>
      </c>
      <c r="B8486" t="s">
        <v>15942</v>
      </c>
      <c r="C8486" t="s">
        <v>5470</v>
      </c>
      <c r="D8486" t="s">
        <v>4052</v>
      </c>
      <c r="E8486" t="s">
        <v>5532</v>
      </c>
      <c r="F8486" t="s">
        <v>30376</v>
      </c>
      <c r="G8486" t="s">
        <v>19585</v>
      </c>
      <c r="H8486" t="s">
        <v>5474</v>
      </c>
      <c r="I8486" t="s">
        <v>30377</v>
      </c>
      <c r="J8486" t="s">
        <v>5484</v>
      </c>
      <c r="K8486" t="s">
        <v>30373</v>
      </c>
      <c r="L8486" t="s">
        <v>5471</v>
      </c>
      <c r="M8486" t="s">
        <v>5471</v>
      </c>
    </row>
    <row r="8487" spans="1:13" x14ac:dyDescent="0.3">
      <c r="A8487" t="s">
        <v>3388</v>
      </c>
      <c r="B8487" t="s">
        <v>15942</v>
      </c>
      <c r="C8487" t="s">
        <v>5470</v>
      </c>
      <c r="D8487" t="s">
        <v>4052</v>
      </c>
      <c r="E8487" t="s">
        <v>5532</v>
      </c>
      <c r="F8487" t="s">
        <v>30378</v>
      </c>
      <c r="G8487" t="s">
        <v>28715</v>
      </c>
      <c r="H8487" t="s">
        <v>5474</v>
      </c>
      <c r="I8487" t="s">
        <v>30379</v>
      </c>
      <c r="J8487" t="s">
        <v>5484</v>
      </c>
      <c r="K8487" t="s">
        <v>30380</v>
      </c>
      <c r="L8487" t="s">
        <v>5471</v>
      </c>
      <c r="M8487" t="s">
        <v>5471</v>
      </c>
    </row>
    <row r="8488" spans="1:13" x14ac:dyDescent="0.3">
      <c r="A8488" t="s">
        <v>3388</v>
      </c>
      <c r="B8488" t="s">
        <v>15942</v>
      </c>
      <c r="C8488" t="s">
        <v>5470</v>
      </c>
      <c r="D8488" t="s">
        <v>4052</v>
      </c>
      <c r="E8488" t="s">
        <v>5532</v>
      </c>
      <c r="F8488" t="s">
        <v>30381</v>
      </c>
      <c r="G8488" t="s">
        <v>28725</v>
      </c>
      <c r="H8488" t="s">
        <v>5474</v>
      </c>
      <c r="I8488" t="s">
        <v>30382</v>
      </c>
      <c r="J8488" t="s">
        <v>5484</v>
      </c>
      <c r="K8488" t="s">
        <v>30383</v>
      </c>
      <c r="L8488" t="s">
        <v>5471</v>
      </c>
      <c r="M8488" t="s">
        <v>5471</v>
      </c>
    </row>
    <row r="8489" spans="1:13" x14ac:dyDescent="0.3">
      <c r="A8489" t="s">
        <v>3388</v>
      </c>
      <c r="B8489" t="s">
        <v>7088</v>
      </c>
      <c r="C8489" t="s">
        <v>5470</v>
      </c>
      <c r="D8489" t="s">
        <v>4052</v>
      </c>
      <c r="E8489" t="s">
        <v>5532</v>
      </c>
      <c r="F8489" t="s">
        <v>30384</v>
      </c>
      <c r="G8489" t="s">
        <v>15665</v>
      </c>
      <c r="H8489" t="s">
        <v>5474</v>
      </c>
      <c r="I8489" t="s">
        <v>30385</v>
      </c>
      <c r="J8489" t="s">
        <v>5484</v>
      </c>
      <c r="K8489" t="s">
        <v>30386</v>
      </c>
      <c r="L8489" t="s">
        <v>5471</v>
      </c>
      <c r="M8489" t="s">
        <v>5471</v>
      </c>
    </row>
    <row r="8490" spans="1:13" x14ac:dyDescent="0.3">
      <c r="A8490" t="s">
        <v>3388</v>
      </c>
      <c r="B8490" t="s">
        <v>7088</v>
      </c>
      <c r="C8490" t="s">
        <v>5470</v>
      </c>
      <c r="D8490" t="s">
        <v>4052</v>
      </c>
      <c r="E8490" t="s">
        <v>5532</v>
      </c>
      <c r="F8490" t="s">
        <v>30387</v>
      </c>
      <c r="G8490" t="s">
        <v>15635</v>
      </c>
      <c r="H8490" t="s">
        <v>5474</v>
      </c>
      <c r="I8490" t="s">
        <v>30388</v>
      </c>
      <c r="J8490" t="s">
        <v>5484</v>
      </c>
      <c r="K8490" t="s">
        <v>30389</v>
      </c>
      <c r="L8490" t="s">
        <v>5471</v>
      </c>
      <c r="M8490" t="s">
        <v>5471</v>
      </c>
    </row>
    <row r="8491" spans="1:13" x14ac:dyDescent="0.3">
      <c r="A8491" t="s">
        <v>3388</v>
      </c>
      <c r="B8491" t="s">
        <v>7088</v>
      </c>
      <c r="C8491" t="s">
        <v>5470</v>
      </c>
      <c r="D8491" t="s">
        <v>4052</v>
      </c>
      <c r="E8491" t="s">
        <v>5532</v>
      </c>
      <c r="F8491" t="s">
        <v>30390</v>
      </c>
      <c r="G8491" t="s">
        <v>15627</v>
      </c>
      <c r="H8491" t="s">
        <v>5474</v>
      </c>
      <c r="I8491" t="s">
        <v>30391</v>
      </c>
      <c r="J8491" t="s">
        <v>5484</v>
      </c>
      <c r="K8491" t="s">
        <v>30392</v>
      </c>
      <c r="L8491" t="s">
        <v>5471</v>
      </c>
      <c r="M8491" t="s">
        <v>5471</v>
      </c>
    </row>
    <row r="8492" spans="1:13" x14ac:dyDescent="0.3">
      <c r="A8492" t="s">
        <v>3388</v>
      </c>
      <c r="B8492" t="s">
        <v>15892</v>
      </c>
      <c r="C8492" t="s">
        <v>5470</v>
      </c>
      <c r="D8492" t="s">
        <v>4052</v>
      </c>
      <c r="E8492" t="s">
        <v>5532</v>
      </c>
      <c r="F8492" t="s">
        <v>30393</v>
      </c>
      <c r="G8492" t="s">
        <v>18914</v>
      </c>
      <c r="H8492" t="s">
        <v>5474</v>
      </c>
      <c r="I8492" t="s">
        <v>30394</v>
      </c>
      <c r="J8492" t="s">
        <v>5484</v>
      </c>
      <c r="K8492" t="s">
        <v>30395</v>
      </c>
      <c r="L8492" t="s">
        <v>5471</v>
      </c>
      <c r="M8492" t="s">
        <v>5471</v>
      </c>
    </row>
    <row r="8493" spans="1:13" x14ac:dyDescent="0.3">
      <c r="A8493" t="s">
        <v>3388</v>
      </c>
      <c r="B8493" t="s">
        <v>15892</v>
      </c>
      <c r="C8493" t="s">
        <v>5470</v>
      </c>
      <c r="D8493" t="s">
        <v>4052</v>
      </c>
      <c r="E8493" t="s">
        <v>5532</v>
      </c>
      <c r="F8493" t="s">
        <v>30396</v>
      </c>
      <c r="G8493" t="s">
        <v>21607</v>
      </c>
      <c r="H8493" t="s">
        <v>5474</v>
      </c>
      <c r="I8493" t="s">
        <v>30397</v>
      </c>
      <c r="J8493" t="s">
        <v>5484</v>
      </c>
      <c r="K8493" t="s">
        <v>30398</v>
      </c>
      <c r="L8493" t="s">
        <v>5471</v>
      </c>
      <c r="M8493" t="s">
        <v>5471</v>
      </c>
    </row>
    <row r="8494" spans="1:13" x14ac:dyDescent="0.3">
      <c r="A8494" t="s">
        <v>3388</v>
      </c>
      <c r="B8494" t="s">
        <v>15892</v>
      </c>
      <c r="C8494" t="s">
        <v>5470</v>
      </c>
      <c r="D8494" t="s">
        <v>4052</v>
      </c>
      <c r="E8494" t="s">
        <v>5532</v>
      </c>
      <c r="F8494" t="s">
        <v>30399</v>
      </c>
      <c r="G8494" t="s">
        <v>28941</v>
      </c>
      <c r="H8494" t="s">
        <v>5474</v>
      </c>
      <c r="I8494" t="s">
        <v>30400</v>
      </c>
      <c r="J8494" t="s">
        <v>5484</v>
      </c>
      <c r="K8494" t="s">
        <v>30401</v>
      </c>
      <c r="L8494" t="s">
        <v>5471</v>
      </c>
      <c r="M8494" t="s">
        <v>5471</v>
      </c>
    </row>
    <row r="8495" spans="1:13" x14ac:dyDescent="0.3">
      <c r="A8495" t="s">
        <v>3388</v>
      </c>
      <c r="B8495" t="s">
        <v>5316</v>
      </c>
      <c r="C8495" t="s">
        <v>5470</v>
      </c>
      <c r="D8495" t="s">
        <v>4052</v>
      </c>
      <c r="E8495" t="s">
        <v>5532</v>
      </c>
      <c r="F8495" t="s">
        <v>30402</v>
      </c>
      <c r="G8495" t="s">
        <v>22121</v>
      </c>
      <c r="H8495" t="s">
        <v>5474</v>
      </c>
      <c r="I8495" t="s">
        <v>30403</v>
      </c>
      <c r="J8495" t="s">
        <v>5484</v>
      </c>
      <c r="K8495" t="s">
        <v>30380</v>
      </c>
      <c r="L8495" t="s">
        <v>5471</v>
      </c>
      <c r="M8495" t="s">
        <v>5471</v>
      </c>
    </row>
    <row r="8496" spans="1:13" x14ac:dyDescent="0.3">
      <c r="A8496" t="s">
        <v>3388</v>
      </c>
      <c r="B8496" t="s">
        <v>7101</v>
      </c>
      <c r="C8496" t="s">
        <v>5470</v>
      </c>
      <c r="D8496" t="s">
        <v>4052</v>
      </c>
      <c r="E8496" t="s">
        <v>5532</v>
      </c>
      <c r="F8496" t="s">
        <v>30404</v>
      </c>
      <c r="G8496" t="s">
        <v>20363</v>
      </c>
      <c r="H8496" t="s">
        <v>5474</v>
      </c>
      <c r="I8496" t="s">
        <v>30405</v>
      </c>
      <c r="J8496" t="s">
        <v>5484</v>
      </c>
      <c r="K8496" t="s">
        <v>30395</v>
      </c>
      <c r="L8496" t="s">
        <v>5471</v>
      </c>
      <c r="M8496" t="s">
        <v>5471</v>
      </c>
    </row>
    <row r="8497" spans="1:13" x14ac:dyDescent="0.3">
      <c r="A8497" t="s">
        <v>3388</v>
      </c>
      <c r="B8497" t="s">
        <v>5616</v>
      </c>
      <c r="C8497" t="s">
        <v>5470</v>
      </c>
      <c r="D8497" t="s">
        <v>4052</v>
      </c>
      <c r="E8497" t="s">
        <v>5617</v>
      </c>
      <c r="F8497" t="s">
        <v>30406</v>
      </c>
      <c r="G8497" t="s">
        <v>29722</v>
      </c>
      <c r="H8497" t="s">
        <v>5474</v>
      </c>
      <c r="I8497" t="s">
        <v>30407</v>
      </c>
      <c r="J8497" t="s">
        <v>5484</v>
      </c>
      <c r="K8497" t="s">
        <v>30408</v>
      </c>
      <c r="L8497" t="s">
        <v>5471</v>
      </c>
      <c r="M8497" t="s">
        <v>5471</v>
      </c>
    </row>
    <row r="8498" spans="1:13" x14ac:dyDescent="0.3">
      <c r="A8498" t="s">
        <v>3380</v>
      </c>
      <c r="B8498" t="s">
        <v>27164</v>
      </c>
      <c r="C8498" t="s">
        <v>6342</v>
      </c>
      <c r="D8498" t="s">
        <v>4056</v>
      </c>
      <c r="E8498" t="s">
        <v>5532</v>
      </c>
      <c r="F8498" t="s">
        <v>30409</v>
      </c>
      <c r="G8498" t="s">
        <v>28427</v>
      </c>
      <c r="H8498" t="s">
        <v>5474</v>
      </c>
      <c r="I8498" t="s">
        <v>30410</v>
      </c>
      <c r="J8498" t="s">
        <v>5476</v>
      </c>
      <c r="K8498" t="s">
        <v>28473</v>
      </c>
      <c r="L8498" t="s">
        <v>5471</v>
      </c>
      <c r="M8498" t="s">
        <v>5471</v>
      </c>
    </row>
    <row r="8499" spans="1:13" x14ac:dyDescent="0.3">
      <c r="A8499" t="s">
        <v>3388</v>
      </c>
      <c r="B8499" t="s">
        <v>15961</v>
      </c>
      <c r="C8499" t="s">
        <v>5470</v>
      </c>
      <c r="D8499" t="s">
        <v>10218</v>
      </c>
      <c r="E8499" t="s">
        <v>5756</v>
      </c>
      <c r="F8499" t="s">
        <v>30411</v>
      </c>
      <c r="G8499" t="s">
        <v>30412</v>
      </c>
      <c r="H8499" t="s">
        <v>5474</v>
      </c>
      <c r="I8499" t="s">
        <v>30413</v>
      </c>
      <c r="J8499" t="s">
        <v>5484</v>
      </c>
      <c r="K8499" t="s">
        <v>30414</v>
      </c>
      <c r="L8499" t="s">
        <v>5471</v>
      </c>
      <c r="M8499" t="s">
        <v>5471</v>
      </c>
    </row>
    <row r="8500" spans="1:13" x14ac:dyDescent="0.3">
      <c r="A8500" t="s">
        <v>3380</v>
      </c>
      <c r="B8500" t="s">
        <v>27164</v>
      </c>
      <c r="C8500" t="s">
        <v>6342</v>
      </c>
      <c r="D8500" t="s">
        <v>4056</v>
      </c>
      <c r="E8500" t="s">
        <v>5532</v>
      </c>
      <c r="F8500" t="s">
        <v>30415</v>
      </c>
      <c r="G8500" t="s">
        <v>28427</v>
      </c>
      <c r="H8500" t="s">
        <v>5474</v>
      </c>
      <c r="I8500" t="s">
        <v>30416</v>
      </c>
      <c r="J8500" t="s">
        <v>5484</v>
      </c>
      <c r="K8500" t="s">
        <v>28467</v>
      </c>
      <c r="L8500" t="s">
        <v>5471</v>
      </c>
      <c r="M8500" t="s">
        <v>5471</v>
      </c>
    </row>
    <row r="8501" spans="1:13" x14ac:dyDescent="0.3">
      <c r="A8501" t="s">
        <v>3388</v>
      </c>
      <c r="B8501" t="s">
        <v>15961</v>
      </c>
      <c r="C8501" t="s">
        <v>5470</v>
      </c>
      <c r="D8501" t="s">
        <v>10218</v>
      </c>
      <c r="E8501" t="s">
        <v>5756</v>
      </c>
      <c r="F8501" t="s">
        <v>30417</v>
      </c>
      <c r="G8501" t="s">
        <v>30412</v>
      </c>
      <c r="H8501" t="s">
        <v>5474</v>
      </c>
      <c r="I8501" t="s">
        <v>30418</v>
      </c>
      <c r="J8501" t="s">
        <v>5484</v>
      </c>
      <c r="K8501" t="s">
        <v>30419</v>
      </c>
      <c r="L8501" t="s">
        <v>5471</v>
      </c>
      <c r="M8501" t="s">
        <v>5471</v>
      </c>
    </row>
    <row r="8502" spans="1:13" x14ac:dyDescent="0.3">
      <c r="A8502" t="s">
        <v>3380</v>
      </c>
      <c r="B8502" t="s">
        <v>27164</v>
      </c>
      <c r="C8502" t="s">
        <v>6342</v>
      </c>
      <c r="D8502" t="s">
        <v>4056</v>
      </c>
      <c r="E8502" t="s">
        <v>5532</v>
      </c>
      <c r="F8502" t="s">
        <v>30420</v>
      </c>
      <c r="G8502" t="s">
        <v>28427</v>
      </c>
      <c r="H8502" t="s">
        <v>5474</v>
      </c>
      <c r="I8502" t="s">
        <v>30421</v>
      </c>
      <c r="J8502" t="s">
        <v>5484</v>
      </c>
      <c r="K8502" t="s">
        <v>28470</v>
      </c>
      <c r="L8502" t="s">
        <v>5471</v>
      </c>
      <c r="M8502" t="s">
        <v>5471</v>
      </c>
    </row>
    <row r="8503" spans="1:13" x14ac:dyDescent="0.3">
      <c r="A8503" t="s">
        <v>3388</v>
      </c>
      <c r="B8503" t="s">
        <v>15961</v>
      </c>
      <c r="C8503" t="s">
        <v>5470</v>
      </c>
      <c r="D8503" t="s">
        <v>10218</v>
      </c>
      <c r="E8503" t="s">
        <v>5756</v>
      </c>
      <c r="F8503" t="s">
        <v>30422</v>
      </c>
      <c r="G8503" t="s">
        <v>30412</v>
      </c>
      <c r="H8503" t="s">
        <v>5474</v>
      </c>
      <c r="I8503" t="s">
        <v>30423</v>
      </c>
      <c r="J8503" t="s">
        <v>5484</v>
      </c>
      <c r="K8503" t="s">
        <v>30424</v>
      </c>
      <c r="L8503" t="s">
        <v>5471</v>
      </c>
      <c r="M8503" t="s">
        <v>5471</v>
      </c>
    </row>
    <row r="8504" spans="1:13" x14ac:dyDescent="0.3">
      <c r="A8504" t="s">
        <v>3388</v>
      </c>
      <c r="B8504" t="s">
        <v>5531</v>
      </c>
      <c r="C8504" t="s">
        <v>5470</v>
      </c>
      <c r="D8504" t="s">
        <v>10218</v>
      </c>
      <c r="E8504" t="s">
        <v>5532</v>
      </c>
      <c r="F8504" t="s">
        <v>30425</v>
      </c>
      <c r="G8504" t="s">
        <v>18472</v>
      </c>
      <c r="H8504" t="s">
        <v>5474</v>
      </c>
      <c r="I8504" t="s">
        <v>30426</v>
      </c>
      <c r="J8504" t="s">
        <v>5484</v>
      </c>
      <c r="K8504" t="s">
        <v>30427</v>
      </c>
      <c r="L8504" t="s">
        <v>5471</v>
      </c>
      <c r="M8504" t="s">
        <v>5471</v>
      </c>
    </row>
    <row r="8505" spans="1:13" x14ac:dyDescent="0.3">
      <c r="A8505" t="s">
        <v>3380</v>
      </c>
      <c r="B8505" t="s">
        <v>5281</v>
      </c>
      <c r="C8505" t="s">
        <v>5487</v>
      </c>
      <c r="D8505" t="s">
        <v>4056</v>
      </c>
      <c r="E8505" t="s">
        <v>5532</v>
      </c>
      <c r="F8505" t="s">
        <v>30428</v>
      </c>
      <c r="G8505" t="s">
        <v>28465</v>
      </c>
      <c r="H8505" t="s">
        <v>5474</v>
      </c>
      <c r="I8505" t="s">
        <v>30429</v>
      </c>
      <c r="J8505" t="s">
        <v>5484</v>
      </c>
      <c r="K8505" t="s">
        <v>28467</v>
      </c>
      <c r="L8505" t="s">
        <v>5471</v>
      </c>
      <c r="M8505" t="s">
        <v>5471</v>
      </c>
    </row>
    <row r="8506" spans="1:13" x14ac:dyDescent="0.3">
      <c r="A8506" t="s">
        <v>3388</v>
      </c>
      <c r="B8506" t="s">
        <v>5531</v>
      </c>
      <c r="C8506" t="s">
        <v>5470</v>
      </c>
      <c r="D8506" t="s">
        <v>10218</v>
      </c>
      <c r="E8506" t="s">
        <v>5532</v>
      </c>
      <c r="F8506" t="s">
        <v>30430</v>
      </c>
      <c r="G8506" t="s">
        <v>18472</v>
      </c>
      <c r="H8506" t="s">
        <v>5474</v>
      </c>
      <c r="I8506" t="s">
        <v>30431</v>
      </c>
      <c r="J8506" t="s">
        <v>5484</v>
      </c>
      <c r="K8506" t="s">
        <v>30432</v>
      </c>
      <c r="L8506" t="s">
        <v>5471</v>
      </c>
      <c r="M8506" t="s">
        <v>5471</v>
      </c>
    </row>
    <row r="8507" spans="1:13" x14ac:dyDescent="0.3">
      <c r="A8507" t="s">
        <v>3380</v>
      </c>
      <c r="B8507" t="s">
        <v>5281</v>
      </c>
      <c r="C8507" t="s">
        <v>5487</v>
      </c>
      <c r="D8507" t="s">
        <v>4056</v>
      </c>
      <c r="E8507" t="s">
        <v>5532</v>
      </c>
      <c r="F8507" t="s">
        <v>30433</v>
      </c>
      <c r="G8507" t="s">
        <v>28465</v>
      </c>
      <c r="H8507" t="s">
        <v>5474</v>
      </c>
      <c r="I8507" t="s">
        <v>30434</v>
      </c>
      <c r="J8507" t="s">
        <v>5484</v>
      </c>
      <c r="K8507" t="s">
        <v>28473</v>
      </c>
      <c r="L8507" t="s">
        <v>5471</v>
      </c>
      <c r="M8507" t="s">
        <v>5471</v>
      </c>
    </row>
    <row r="8508" spans="1:13" x14ac:dyDescent="0.3">
      <c r="A8508" t="s">
        <v>3388</v>
      </c>
      <c r="B8508" t="s">
        <v>5531</v>
      </c>
      <c r="C8508" t="s">
        <v>5470</v>
      </c>
      <c r="D8508" t="s">
        <v>10218</v>
      </c>
      <c r="E8508" t="s">
        <v>5532</v>
      </c>
      <c r="F8508" t="s">
        <v>30435</v>
      </c>
      <c r="G8508" t="s">
        <v>18472</v>
      </c>
      <c r="H8508" t="s">
        <v>5474</v>
      </c>
      <c r="I8508" t="s">
        <v>30436</v>
      </c>
      <c r="J8508" t="s">
        <v>5484</v>
      </c>
      <c r="K8508" t="s">
        <v>30437</v>
      </c>
      <c r="L8508" t="s">
        <v>5471</v>
      </c>
      <c r="M8508" t="s">
        <v>5471</v>
      </c>
    </row>
    <row r="8509" spans="1:13" x14ac:dyDescent="0.3">
      <c r="A8509" t="s">
        <v>3380</v>
      </c>
      <c r="B8509" t="s">
        <v>5281</v>
      </c>
      <c r="C8509" t="s">
        <v>5487</v>
      </c>
      <c r="D8509" t="s">
        <v>4056</v>
      </c>
      <c r="E8509" t="s">
        <v>5532</v>
      </c>
      <c r="F8509" t="s">
        <v>30438</v>
      </c>
      <c r="G8509" t="s">
        <v>28465</v>
      </c>
      <c r="H8509" t="s">
        <v>5474</v>
      </c>
      <c r="I8509" t="s">
        <v>30439</v>
      </c>
      <c r="J8509" t="s">
        <v>5484</v>
      </c>
      <c r="K8509" t="s">
        <v>28470</v>
      </c>
      <c r="L8509" t="s">
        <v>5471</v>
      </c>
      <c r="M8509" t="s">
        <v>5471</v>
      </c>
    </row>
    <row r="8510" spans="1:13" x14ac:dyDescent="0.3">
      <c r="A8510" t="s">
        <v>3388</v>
      </c>
      <c r="B8510" t="s">
        <v>6478</v>
      </c>
      <c r="C8510" t="s">
        <v>5470</v>
      </c>
      <c r="D8510" t="s">
        <v>10218</v>
      </c>
      <c r="E8510" t="s">
        <v>5532</v>
      </c>
      <c r="F8510" t="s">
        <v>30440</v>
      </c>
      <c r="G8510" t="s">
        <v>23937</v>
      </c>
      <c r="H8510" t="s">
        <v>5474</v>
      </c>
      <c r="I8510" t="s">
        <v>30441</v>
      </c>
      <c r="J8510" t="s">
        <v>5484</v>
      </c>
      <c r="K8510" t="s">
        <v>30442</v>
      </c>
      <c r="L8510" t="s">
        <v>5471</v>
      </c>
      <c r="M8510" t="s">
        <v>5471</v>
      </c>
    </row>
    <row r="8511" spans="1:13" x14ac:dyDescent="0.3">
      <c r="A8511" t="s">
        <v>3380</v>
      </c>
      <c r="B8511" t="s">
        <v>9934</v>
      </c>
      <c r="C8511" t="s">
        <v>6342</v>
      </c>
      <c r="D8511" t="s">
        <v>4056</v>
      </c>
      <c r="E8511" t="s">
        <v>9935</v>
      </c>
      <c r="F8511" t="s">
        <v>30443</v>
      </c>
      <c r="G8511" t="s">
        <v>10016</v>
      </c>
      <c r="H8511" t="s">
        <v>5474</v>
      </c>
      <c r="I8511" t="s">
        <v>30444</v>
      </c>
      <c r="J8511" t="s">
        <v>5484</v>
      </c>
      <c r="K8511" t="s">
        <v>28473</v>
      </c>
      <c r="L8511" t="s">
        <v>5471</v>
      </c>
      <c r="M8511" t="s">
        <v>5471</v>
      </c>
    </row>
    <row r="8512" spans="1:13" x14ac:dyDescent="0.3">
      <c r="A8512" t="s">
        <v>3380</v>
      </c>
      <c r="B8512" t="s">
        <v>9934</v>
      </c>
      <c r="C8512" t="s">
        <v>6342</v>
      </c>
      <c r="D8512" t="s">
        <v>4056</v>
      </c>
      <c r="E8512" t="s">
        <v>9935</v>
      </c>
      <c r="F8512" t="s">
        <v>30445</v>
      </c>
      <c r="G8512" t="s">
        <v>9937</v>
      </c>
      <c r="H8512" t="s">
        <v>5474</v>
      </c>
      <c r="I8512" t="s">
        <v>30446</v>
      </c>
      <c r="J8512" t="s">
        <v>5484</v>
      </c>
      <c r="K8512" t="s">
        <v>28467</v>
      </c>
      <c r="L8512" t="s">
        <v>5471</v>
      </c>
      <c r="M8512" t="s">
        <v>5471</v>
      </c>
    </row>
    <row r="8513" spans="1:13" x14ac:dyDescent="0.3">
      <c r="A8513" t="s">
        <v>3380</v>
      </c>
      <c r="B8513" t="s">
        <v>9934</v>
      </c>
      <c r="C8513" t="s">
        <v>6342</v>
      </c>
      <c r="D8513" t="s">
        <v>4056</v>
      </c>
      <c r="E8513" t="s">
        <v>9935</v>
      </c>
      <c r="F8513" t="s">
        <v>30447</v>
      </c>
      <c r="G8513" t="s">
        <v>9937</v>
      </c>
      <c r="H8513" t="s">
        <v>5474</v>
      </c>
      <c r="I8513" t="s">
        <v>30448</v>
      </c>
      <c r="J8513" t="s">
        <v>5484</v>
      </c>
      <c r="K8513" t="s">
        <v>28473</v>
      </c>
      <c r="L8513" t="s">
        <v>5471</v>
      </c>
      <c r="M8513" t="s">
        <v>5471</v>
      </c>
    </row>
    <row r="8514" spans="1:13" x14ac:dyDescent="0.3">
      <c r="A8514" t="s">
        <v>3380</v>
      </c>
      <c r="B8514" t="s">
        <v>9934</v>
      </c>
      <c r="C8514" t="s">
        <v>6342</v>
      </c>
      <c r="D8514" t="s">
        <v>4056</v>
      </c>
      <c r="E8514" t="s">
        <v>9935</v>
      </c>
      <c r="F8514" t="s">
        <v>30449</v>
      </c>
      <c r="G8514" t="s">
        <v>10930</v>
      </c>
      <c r="H8514" t="s">
        <v>5474</v>
      </c>
      <c r="I8514" t="s">
        <v>30450</v>
      </c>
      <c r="J8514" t="s">
        <v>5484</v>
      </c>
      <c r="K8514" t="s">
        <v>28473</v>
      </c>
      <c r="L8514" t="s">
        <v>5471</v>
      </c>
      <c r="M8514" t="s">
        <v>5471</v>
      </c>
    </row>
    <row r="8515" spans="1:13" x14ac:dyDescent="0.3">
      <c r="A8515" t="s">
        <v>3388</v>
      </c>
      <c r="B8515" t="s">
        <v>6478</v>
      </c>
      <c r="C8515" t="s">
        <v>5470</v>
      </c>
      <c r="D8515" t="s">
        <v>10218</v>
      </c>
      <c r="E8515" t="s">
        <v>5532</v>
      </c>
      <c r="F8515" t="s">
        <v>30451</v>
      </c>
      <c r="G8515" t="s">
        <v>23937</v>
      </c>
      <c r="H8515" t="s">
        <v>5474</v>
      </c>
      <c r="I8515" t="s">
        <v>30452</v>
      </c>
      <c r="J8515" t="s">
        <v>5484</v>
      </c>
      <c r="K8515" t="s">
        <v>30453</v>
      </c>
      <c r="L8515" t="s">
        <v>5471</v>
      </c>
      <c r="M8515" t="s">
        <v>5471</v>
      </c>
    </row>
    <row r="8516" spans="1:13" x14ac:dyDescent="0.3">
      <c r="A8516" t="s">
        <v>3380</v>
      </c>
      <c r="B8516" t="s">
        <v>9934</v>
      </c>
      <c r="C8516" t="s">
        <v>6342</v>
      </c>
      <c r="D8516" t="s">
        <v>4056</v>
      </c>
      <c r="E8516" t="s">
        <v>9935</v>
      </c>
      <c r="F8516" t="s">
        <v>30454</v>
      </c>
      <c r="G8516" t="s">
        <v>10930</v>
      </c>
      <c r="H8516" t="s">
        <v>5474</v>
      </c>
      <c r="I8516" t="s">
        <v>30455</v>
      </c>
      <c r="J8516" t="s">
        <v>5484</v>
      </c>
      <c r="K8516" t="s">
        <v>28467</v>
      </c>
      <c r="L8516" t="s">
        <v>5471</v>
      </c>
      <c r="M8516" t="s">
        <v>5471</v>
      </c>
    </row>
    <row r="8517" spans="1:13" x14ac:dyDescent="0.3">
      <c r="A8517" t="s">
        <v>3388</v>
      </c>
      <c r="B8517" t="s">
        <v>17483</v>
      </c>
      <c r="C8517" t="s">
        <v>5470</v>
      </c>
      <c r="D8517" t="s">
        <v>10218</v>
      </c>
      <c r="E8517" t="s">
        <v>5843</v>
      </c>
      <c r="F8517" t="s">
        <v>30456</v>
      </c>
      <c r="G8517" t="s">
        <v>28566</v>
      </c>
      <c r="H8517" t="s">
        <v>5474</v>
      </c>
      <c r="I8517" t="s">
        <v>30457</v>
      </c>
      <c r="J8517" t="s">
        <v>5484</v>
      </c>
      <c r="K8517" t="s">
        <v>30458</v>
      </c>
      <c r="L8517" t="s">
        <v>5471</v>
      </c>
      <c r="M8517" t="s">
        <v>5471</v>
      </c>
    </row>
    <row r="8518" spans="1:13" x14ac:dyDescent="0.3">
      <c r="A8518" t="s">
        <v>3380</v>
      </c>
      <c r="B8518" t="s">
        <v>9934</v>
      </c>
      <c r="C8518" t="s">
        <v>6342</v>
      </c>
      <c r="D8518" t="s">
        <v>4056</v>
      </c>
      <c r="E8518" t="s">
        <v>9935</v>
      </c>
      <c r="F8518" t="s">
        <v>30459</v>
      </c>
      <c r="G8518" t="s">
        <v>10930</v>
      </c>
      <c r="H8518" t="s">
        <v>5474</v>
      </c>
      <c r="I8518" t="s">
        <v>30460</v>
      </c>
      <c r="J8518" t="s">
        <v>5484</v>
      </c>
      <c r="K8518" t="s">
        <v>28470</v>
      </c>
      <c r="L8518" t="s">
        <v>5471</v>
      </c>
      <c r="M8518" t="s">
        <v>5471</v>
      </c>
    </row>
    <row r="8519" spans="1:13" x14ac:dyDescent="0.3">
      <c r="A8519" t="s">
        <v>3388</v>
      </c>
      <c r="B8519" t="s">
        <v>17483</v>
      </c>
      <c r="C8519" t="s">
        <v>5470</v>
      </c>
      <c r="D8519" t="s">
        <v>10218</v>
      </c>
      <c r="E8519" t="s">
        <v>5843</v>
      </c>
      <c r="F8519" t="s">
        <v>30461</v>
      </c>
      <c r="G8519" t="s">
        <v>28566</v>
      </c>
      <c r="H8519" t="s">
        <v>5474</v>
      </c>
      <c r="I8519" t="s">
        <v>30462</v>
      </c>
      <c r="J8519" t="s">
        <v>5484</v>
      </c>
      <c r="K8519" t="s">
        <v>30463</v>
      </c>
      <c r="L8519" t="s">
        <v>5471</v>
      </c>
      <c r="M8519" t="s">
        <v>5471</v>
      </c>
    </row>
    <row r="8520" spans="1:13" x14ac:dyDescent="0.3">
      <c r="A8520" t="s">
        <v>3380</v>
      </c>
      <c r="B8520" t="s">
        <v>9934</v>
      </c>
      <c r="C8520" t="s">
        <v>6342</v>
      </c>
      <c r="D8520" t="s">
        <v>4056</v>
      </c>
      <c r="E8520" t="s">
        <v>9935</v>
      </c>
      <c r="F8520" t="s">
        <v>30464</v>
      </c>
      <c r="G8520" t="s">
        <v>10016</v>
      </c>
      <c r="H8520" t="s">
        <v>5474</v>
      </c>
      <c r="I8520" t="s">
        <v>30465</v>
      </c>
      <c r="J8520" t="s">
        <v>5484</v>
      </c>
      <c r="K8520" t="s">
        <v>28470</v>
      </c>
      <c r="L8520" t="s">
        <v>5471</v>
      </c>
      <c r="M8520" t="s">
        <v>5471</v>
      </c>
    </row>
    <row r="8521" spans="1:13" x14ac:dyDescent="0.3">
      <c r="A8521" t="s">
        <v>3388</v>
      </c>
      <c r="B8521" t="s">
        <v>5531</v>
      </c>
      <c r="C8521" t="s">
        <v>5470</v>
      </c>
      <c r="D8521" t="s">
        <v>30466</v>
      </c>
      <c r="E8521" t="s">
        <v>5532</v>
      </c>
      <c r="F8521" t="s">
        <v>30467</v>
      </c>
      <c r="G8521" t="s">
        <v>10191</v>
      </c>
      <c r="H8521" t="s">
        <v>5474</v>
      </c>
      <c r="I8521" t="s">
        <v>30468</v>
      </c>
      <c r="J8521" t="s">
        <v>5484</v>
      </c>
      <c r="K8521" t="s">
        <v>30469</v>
      </c>
      <c r="L8521" t="s">
        <v>5471</v>
      </c>
      <c r="M8521" t="s">
        <v>5471</v>
      </c>
    </row>
    <row r="8522" spans="1:13" x14ac:dyDescent="0.3">
      <c r="A8522" t="s">
        <v>3380</v>
      </c>
      <c r="B8522" t="s">
        <v>9934</v>
      </c>
      <c r="C8522" t="s">
        <v>6342</v>
      </c>
      <c r="D8522" t="s">
        <v>4056</v>
      </c>
      <c r="E8522" t="s">
        <v>9935</v>
      </c>
      <c r="F8522" t="s">
        <v>30470</v>
      </c>
      <c r="G8522" t="s">
        <v>9937</v>
      </c>
      <c r="H8522" t="s">
        <v>5474</v>
      </c>
      <c r="I8522" t="s">
        <v>30471</v>
      </c>
      <c r="J8522" t="s">
        <v>5484</v>
      </c>
      <c r="K8522" t="s">
        <v>28470</v>
      </c>
      <c r="L8522" t="s">
        <v>5471</v>
      </c>
      <c r="M8522" t="s">
        <v>5471</v>
      </c>
    </row>
    <row r="8523" spans="1:13" x14ac:dyDescent="0.3">
      <c r="A8523" t="s">
        <v>3380</v>
      </c>
      <c r="B8523" t="s">
        <v>9934</v>
      </c>
      <c r="C8523" t="s">
        <v>6342</v>
      </c>
      <c r="D8523" t="s">
        <v>4056</v>
      </c>
      <c r="E8523" t="s">
        <v>9935</v>
      </c>
      <c r="F8523" t="s">
        <v>30472</v>
      </c>
      <c r="G8523" t="s">
        <v>10016</v>
      </c>
      <c r="H8523" t="s">
        <v>5474</v>
      </c>
      <c r="I8523" t="s">
        <v>30473</v>
      </c>
      <c r="J8523" t="s">
        <v>5484</v>
      </c>
      <c r="K8523" t="s">
        <v>28467</v>
      </c>
      <c r="L8523" t="s">
        <v>5471</v>
      </c>
      <c r="M8523" t="s">
        <v>5471</v>
      </c>
    </row>
    <row r="8524" spans="1:13" x14ac:dyDescent="0.3">
      <c r="A8524" t="s">
        <v>3380</v>
      </c>
      <c r="B8524" t="s">
        <v>10105</v>
      </c>
      <c r="C8524" t="s">
        <v>6342</v>
      </c>
      <c r="D8524" t="s">
        <v>4056</v>
      </c>
      <c r="E8524" t="s">
        <v>5532</v>
      </c>
      <c r="F8524" t="s">
        <v>30474</v>
      </c>
      <c r="G8524" t="s">
        <v>10107</v>
      </c>
      <c r="H8524" t="s">
        <v>5474</v>
      </c>
      <c r="I8524" t="s">
        <v>30475</v>
      </c>
      <c r="J8524" t="s">
        <v>5484</v>
      </c>
      <c r="K8524" t="s">
        <v>28467</v>
      </c>
      <c r="L8524" t="s">
        <v>5471</v>
      </c>
      <c r="M8524" t="s">
        <v>5471</v>
      </c>
    </row>
    <row r="8525" spans="1:13" x14ac:dyDescent="0.3">
      <c r="A8525" t="s">
        <v>3380</v>
      </c>
      <c r="B8525" t="s">
        <v>10105</v>
      </c>
      <c r="C8525" t="s">
        <v>6342</v>
      </c>
      <c r="D8525" t="s">
        <v>4056</v>
      </c>
      <c r="E8525" t="s">
        <v>5532</v>
      </c>
      <c r="F8525" t="s">
        <v>30476</v>
      </c>
      <c r="G8525" t="s">
        <v>10107</v>
      </c>
      <c r="H8525" t="s">
        <v>5474</v>
      </c>
      <c r="I8525" t="s">
        <v>30477</v>
      </c>
      <c r="J8525" t="s">
        <v>5484</v>
      </c>
      <c r="K8525" t="s">
        <v>28470</v>
      </c>
      <c r="L8525" t="s">
        <v>5471</v>
      </c>
      <c r="M8525" t="s">
        <v>5471</v>
      </c>
    </row>
    <row r="8526" spans="1:13" x14ac:dyDescent="0.3">
      <c r="A8526" t="s">
        <v>3380</v>
      </c>
      <c r="B8526" t="s">
        <v>10105</v>
      </c>
      <c r="C8526" t="s">
        <v>6342</v>
      </c>
      <c r="D8526" t="s">
        <v>4056</v>
      </c>
      <c r="E8526" t="s">
        <v>5532</v>
      </c>
      <c r="F8526" t="s">
        <v>30478</v>
      </c>
      <c r="G8526" t="s">
        <v>28383</v>
      </c>
      <c r="H8526" t="s">
        <v>5474</v>
      </c>
      <c r="I8526" t="s">
        <v>30479</v>
      </c>
      <c r="J8526" t="s">
        <v>5484</v>
      </c>
      <c r="K8526" t="s">
        <v>28470</v>
      </c>
      <c r="L8526" t="s">
        <v>5471</v>
      </c>
      <c r="M8526" t="s">
        <v>5471</v>
      </c>
    </row>
    <row r="8527" spans="1:13" x14ac:dyDescent="0.3">
      <c r="A8527" t="s">
        <v>3380</v>
      </c>
      <c r="B8527" t="s">
        <v>10105</v>
      </c>
      <c r="C8527" t="s">
        <v>6342</v>
      </c>
      <c r="D8527" t="s">
        <v>4056</v>
      </c>
      <c r="E8527" t="s">
        <v>5532</v>
      </c>
      <c r="F8527" t="s">
        <v>30480</v>
      </c>
      <c r="G8527" t="s">
        <v>28383</v>
      </c>
      <c r="H8527" t="s">
        <v>5474</v>
      </c>
      <c r="I8527" t="s">
        <v>30481</v>
      </c>
      <c r="J8527" t="s">
        <v>5484</v>
      </c>
      <c r="K8527" t="s">
        <v>28473</v>
      </c>
      <c r="L8527" t="s">
        <v>5471</v>
      </c>
      <c r="M8527" t="s">
        <v>5471</v>
      </c>
    </row>
    <row r="8528" spans="1:13" x14ac:dyDescent="0.3">
      <c r="A8528" t="s">
        <v>3380</v>
      </c>
      <c r="B8528" t="s">
        <v>10105</v>
      </c>
      <c r="C8528" t="s">
        <v>6342</v>
      </c>
      <c r="D8528" t="s">
        <v>4056</v>
      </c>
      <c r="E8528" t="s">
        <v>5532</v>
      </c>
      <c r="F8528" t="s">
        <v>30482</v>
      </c>
      <c r="G8528" t="s">
        <v>28383</v>
      </c>
      <c r="H8528" t="s">
        <v>5474</v>
      </c>
      <c r="I8528" t="s">
        <v>30483</v>
      </c>
      <c r="J8528" t="s">
        <v>5484</v>
      </c>
      <c r="K8528" t="s">
        <v>28467</v>
      </c>
      <c r="L8528" t="s">
        <v>5471</v>
      </c>
      <c r="M8528" t="s">
        <v>5471</v>
      </c>
    </row>
    <row r="8529" spans="1:13" x14ac:dyDescent="0.3">
      <c r="A8529" t="s">
        <v>3388</v>
      </c>
      <c r="B8529" t="s">
        <v>19024</v>
      </c>
      <c r="C8529" t="s">
        <v>5470</v>
      </c>
      <c r="D8529" t="s">
        <v>30466</v>
      </c>
      <c r="E8529" t="s">
        <v>5532</v>
      </c>
      <c r="F8529" t="s">
        <v>30484</v>
      </c>
      <c r="G8529" t="s">
        <v>30485</v>
      </c>
      <c r="H8529" t="s">
        <v>5474</v>
      </c>
      <c r="I8529" t="s">
        <v>30486</v>
      </c>
      <c r="J8529" t="s">
        <v>5484</v>
      </c>
      <c r="K8529" t="s">
        <v>30487</v>
      </c>
      <c r="L8529" t="s">
        <v>5471</v>
      </c>
      <c r="M8529" t="s">
        <v>5471</v>
      </c>
    </row>
    <row r="8530" spans="1:13" x14ac:dyDescent="0.3">
      <c r="A8530" t="s">
        <v>3388</v>
      </c>
      <c r="B8530" t="s">
        <v>7105</v>
      </c>
      <c r="C8530" t="s">
        <v>5470</v>
      </c>
      <c r="D8530" t="s">
        <v>30466</v>
      </c>
      <c r="E8530" t="s">
        <v>5532</v>
      </c>
      <c r="F8530" t="s">
        <v>30488</v>
      </c>
      <c r="G8530" t="s">
        <v>20429</v>
      </c>
      <c r="H8530" t="s">
        <v>5474</v>
      </c>
      <c r="I8530" t="s">
        <v>30489</v>
      </c>
      <c r="J8530" t="s">
        <v>5484</v>
      </c>
      <c r="K8530" t="s">
        <v>30490</v>
      </c>
      <c r="L8530" t="s">
        <v>5471</v>
      </c>
      <c r="M8530" t="s">
        <v>5471</v>
      </c>
    </row>
    <row r="8531" spans="1:13" x14ac:dyDescent="0.3">
      <c r="A8531" t="s">
        <v>3388</v>
      </c>
      <c r="B8531" t="s">
        <v>5678</v>
      </c>
      <c r="C8531" t="s">
        <v>5470</v>
      </c>
      <c r="D8531" t="s">
        <v>30466</v>
      </c>
      <c r="E8531" t="s">
        <v>5532</v>
      </c>
      <c r="F8531" t="s">
        <v>30491</v>
      </c>
      <c r="G8531" t="s">
        <v>18042</v>
      </c>
      <c r="H8531" t="s">
        <v>5474</v>
      </c>
      <c r="I8531" t="s">
        <v>30492</v>
      </c>
      <c r="J8531" t="s">
        <v>5484</v>
      </c>
      <c r="K8531" t="s">
        <v>30493</v>
      </c>
      <c r="L8531" t="s">
        <v>5471</v>
      </c>
      <c r="M8531" t="s">
        <v>5471</v>
      </c>
    </row>
    <row r="8532" spans="1:13" x14ac:dyDescent="0.3">
      <c r="A8532" t="s">
        <v>3388</v>
      </c>
      <c r="B8532" t="s">
        <v>6128</v>
      </c>
      <c r="C8532" t="s">
        <v>5470</v>
      </c>
      <c r="D8532" t="s">
        <v>30466</v>
      </c>
      <c r="E8532" t="s">
        <v>5532</v>
      </c>
      <c r="F8532" t="s">
        <v>30494</v>
      </c>
      <c r="G8532" t="s">
        <v>18565</v>
      </c>
      <c r="H8532" t="s">
        <v>5474</v>
      </c>
      <c r="I8532" t="s">
        <v>30495</v>
      </c>
      <c r="J8532" t="s">
        <v>5484</v>
      </c>
      <c r="K8532" t="s">
        <v>30496</v>
      </c>
      <c r="L8532" t="s">
        <v>5471</v>
      </c>
      <c r="M8532" t="s">
        <v>5471</v>
      </c>
    </row>
    <row r="8533" spans="1:13" x14ac:dyDescent="0.3">
      <c r="A8533" t="s">
        <v>3388</v>
      </c>
      <c r="B8533" t="s">
        <v>6540</v>
      </c>
      <c r="C8533" t="s">
        <v>5470</v>
      </c>
      <c r="D8533" t="s">
        <v>30466</v>
      </c>
      <c r="E8533" t="s">
        <v>5532</v>
      </c>
      <c r="F8533" t="s">
        <v>30497</v>
      </c>
      <c r="G8533" t="s">
        <v>18019</v>
      </c>
      <c r="H8533" t="s">
        <v>5474</v>
      </c>
      <c r="I8533" t="s">
        <v>30498</v>
      </c>
      <c r="J8533" t="s">
        <v>5484</v>
      </c>
      <c r="K8533" t="s">
        <v>30499</v>
      </c>
      <c r="L8533" t="s">
        <v>5471</v>
      </c>
      <c r="M8533" t="s">
        <v>5471</v>
      </c>
    </row>
    <row r="8534" spans="1:13" x14ac:dyDescent="0.3">
      <c r="A8534" t="s">
        <v>3388</v>
      </c>
      <c r="B8534" t="s">
        <v>6540</v>
      </c>
      <c r="C8534" t="s">
        <v>5470</v>
      </c>
      <c r="D8534" t="s">
        <v>30466</v>
      </c>
      <c r="E8534" t="s">
        <v>5532</v>
      </c>
      <c r="F8534" t="s">
        <v>30500</v>
      </c>
      <c r="G8534" t="s">
        <v>22799</v>
      </c>
      <c r="H8534" t="s">
        <v>5474</v>
      </c>
      <c r="I8534" t="s">
        <v>30501</v>
      </c>
      <c r="J8534" t="s">
        <v>5484</v>
      </c>
      <c r="K8534" t="s">
        <v>30502</v>
      </c>
      <c r="L8534" t="s">
        <v>5471</v>
      </c>
      <c r="M8534" t="s">
        <v>5471</v>
      </c>
    </row>
    <row r="8535" spans="1:13" x14ac:dyDescent="0.3">
      <c r="A8535" t="s">
        <v>3388</v>
      </c>
      <c r="B8535" t="s">
        <v>6540</v>
      </c>
      <c r="C8535" t="s">
        <v>5470</v>
      </c>
      <c r="D8535" t="s">
        <v>30466</v>
      </c>
      <c r="E8535" t="s">
        <v>5532</v>
      </c>
      <c r="F8535" t="s">
        <v>30503</v>
      </c>
      <c r="G8535" t="s">
        <v>30504</v>
      </c>
      <c r="H8535" t="s">
        <v>5474</v>
      </c>
      <c r="I8535" t="s">
        <v>30505</v>
      </c>
      <c r="J8535" t="s">
        <v>5484</v>
      </c>
      <c r="K8535" t="s">
        <v>30506</v>
      </c>
      <c r="L8535" t="s">
        <v>5471</v>
      </c>
      <c r="M8535" t="s">
        <v>5471</v>
      </c>
    </row>
    <row r="8536" spans="1:13" x14ac:dyDescent="0.3">
      <c r="A8536" t="s">
        <v>3388</v>
      </c>
      <c r="B8536" t="s">
        <v>6540</v>
      </c>
      <c r="C8536" t="s">
        <v>5470</v>
      </c>
      <c r="D8536" t="s">
        <v>30466</v>
      </c>
      <c r="E8536" t="s">
        <v>5532</v>
      </c>
      <c r="F8536" t="s">
        <v>30507</v>
      </c>
      <c r="G8536" t="s">
        <v>6542</v>
      </c>
      <c r="H8536" t="s">
        <v>5474</v>
      </c>
      <c r="I8536" t="s">
        <v>30508</v>
      </c>
      <c r="J8536" t="s">
        <v>5484</v>
      </c>
      <c r="K8536" t="s">
        <v>30509</v>
      </c>
      <c r="L8536" t="s">
        <v>5471</v>
      </c>
      <c r="M8536" t="s">
        <v>5471</v>
      </c>
    </row>
    <row r="8537" spans="1:13" x14ac:dyDescent="0.3">
      <c r="A8537" t="s">
        <v>3380</v>
      </c>
      <c r="B8537" t="s">
        <v>16940</v>
      </c>
      <c r="C8537" t="s">
        <v>6342</v>
      </c>
      <c r="D8537" t="s">
        <v>4056</v>
      </c>
      <c r="E8537" t="s">
        <v>5532</v>
      </c>
      <c r="F8537" t="s">
        <v>30510</v>
      </c>
      <c r="G8537" t="s">
        <v>25776</v>
      </c>
      <c r="H8537" t="s">
        <v>5474</v>
      </c>
      <c r="I8537" t="s">
        <v>30511</v>
      </c>
      <c r="J8537" t="s">
        <v>5484</v>
      </c>
      <c r="K8537" t="s">
        <v>28467</v>
      </c>
      <c r="L8537" t="s">
        <v>5471</v>
      </c>
      <c r="M8537" t="s">
        <v>5471</v>
      </c>
    </row>
    <row r="8538" spans="1:13" x14ac:dyDescent="0.3">
      <c r="A8538" t="s">
        <v>3380</v>
      </c>
      <c r="B8538" t="s">
        <v>16940</v>
      </c>
      <c r="C8538" t="s">
        <v>6342</v>
      </c>
      <c r="D8538" t="s">
        <v>4056</v>
      </c>
      <c r="E8538" t="s">
        <v>5532</v>
      </c>
      <c r="F8538" t="s">
        <v>30512</v>
      </c>
      <c r="G8538" t="s">
        <v>25776</v>
      </c>
      <c r="H8538" t="s">
        <v>5474</v>
      </c>
      <c r="I8538" t="s">
        <v>30513</v>
      </c>
      <c r="J8538" t="s">
        <v>5484</v>
      </c>
      <c r="K8538" t="s">
        <v>28470</v>
      </c>
      <c r="L8538" t="s">
        <v>5471</v>
      </c>
      <c r="M8538" t="s">
        <v>5471</v>
      </c>
    </row>
    <row r="8539" spans="1:13" x14ac:dyDescent="0.3">
      <c r="A8539" t="s">
        <v>3380</v>
      </c>
      <c r="B8539" t="s">
        <v>16940</v>
      </c>
      <c r="C8539" t="s">
        <v>6342</v>
      </c>
      <c r="D8539" t="s">
        <v>4056</v>
      </c>
      <c r="E8539" t="s">
        <v>5532</v>
      </c>
      <c r="F8539" t="s">
        <v>30514</v>
      </c>
      <c r="G8539" t="s">
        <v>25776</v>
      </c>
      <c r="H8539" t="s">
        <v>5474</v>
      </c>
      <c r="I8539" t="s">
        <v>30515</v>
      </c>
      <c r="J8539" t="s">
        <v>5484</v>
      </c>
      <c r="K8539" t="s">
        <v>30516</v>
      </c>
      <c r="L8539" t="s">
        <v>5471</v>
      </c>
      <c r="M8539" t="s">
        <v>5471</v>
      </c>
    </row>
    <row r="8540" spans="1:13" x14ac:dyDescent="0.3">
      <c r="A8540" t="s">
        <v>3388</v>
      </c>
      <c r="B8540" t="s">
        <v>8799</v>
      </c>
      <c r="C8540" t="s">
        <v>5470</v>
      </c>
      <c r="D8540" t="s">
        <v>30466</v>
      </c>
      <c r="E8540" t="s">
        <v>5532</v>
      </c>
      <c r="F8540" t="s">
        <v>30517</v>
      </c>
      <c r="G8540" t="s">
        <v>30518</v>
      </c>
      <c r="H8540" t="s">
        <v>5474</v>
      </c>
      <c r="I8540" t="s">
        <v>30519</v>
      </c>
      <c r="J8540" t="s">
        <v>5484</v>
      </c>
      <c r="K8540" t="s">
        <v>30520</v>
      </c>
      <c r="L8540" t="s">
        <v>5471</v>
      </c>
      <c r="M8540" t="s">
        <v>5471</v>
      </c>
    </row>
    <row r="8541" spans="1:13" x14ac:dyDescent="0.3">
      <c r="A8541" t="s">
        <v>3388</v>
      </c>
      <c r="B8541" t="s">
        <v>8799</v>
      </c>
      <c r="C8541" t="s">
        <v>5470</v>
      </c>
      <c r="D8541" t="s">
        <v>30466</v>
      </c>
      <c r="E8541" t="s">
        <v>5532</v>
      </c>
      <c r="F8541" t="s">
        <v>30521</v>
      </c>
      <c r="G8541" t="s">
        <v>29444</v>
      </c>
      <c r="H8541" t="s">
        <v>5474</v>
      </c>
      <c r="I8541" t="s">
        <v>30522</v>
      </c>
      <c r="J8541" t="s">
        <v>5484</v>
      </c>
      <c r="K8541" t="s">
        <v>30523</v>
      </c>
      <c r="L8541" t="s">
        <v>5471</v>
      </c>
      <c r="M8541" t="s">
        <v>5471</v>
      </c>
    </row>
    <row r="8542" spans="1:13" x14ac:dyDescent="0.3">
      <c r="A8542" t="s">
        <v>3388</v>
      </c>
      <c r="B8542" t="s">
        <v>8799</v>
      </c>
      <c r="C8542" t="s">
        <v>5470</v>
      </c>
      <c r="D8542" t="s">
        <v>30466</v>
      </c>
      <c r="E8542" t="s">
        <v>5532</v>
      </c>
      <c r="F8542" t="s">
        <v>30524</v>
      </c>
      <c r="G8542" t="s">
        <v>18927</v>
      </c>
      <c r="H8542" t="s">
        <v>5474</v>
      </c>
      <c r="I8542" t="s">
        <v>30525</v>
      </c>
      <c r="J8542" t="s">
        <v>5484</v>
      </c>
      <c r="K8542" t="s">
        <v>30526</v>
      </c>
      <c r="L8542" t="s">
        <v>5471</v>
      </c>
      <c r="M8542" t="s">
        <v>5471</v>
      </c>
    </row>
    <row r="8543" spans="1:13" x14ac:dyDescent="0.3">
      <c r="A8543" t="s">
        <v>3388</v>
      </c>
      <c r="B8543" t="s">
        <v>23640</v>
      </c>
      <c r="C8543" t="s">
        <v>5470</v>
      </c>
      <c r="D8543" t="s">
        <v>10210</v>
      </c>
      <c r="E8543" t="s">
        <v>5532</v>
      </c>
      <c r="F8543" t="s">
        <v>30527</v>
      </c>
      <c r="G8543" t="s">
        <v>23642</v>
      </c>
      <c r="H8543" t="s">
        <v>5474</v>
      </c>
      <c r="I8543" t="s">
        <v>30528</v>
      </c>
      <c r="J8543" t="s">
        <v>5484</v>
      </c>
      <c r="K8543" t="s">
        <v>30529</v>
      </c>
      <c r="L8543" t="s">
        <v>5471</v>
      </c>
      <c r="M8543" t="s">
        <v>5471</v>
      </c>
    </row>
    <row r="8544" spans="1:13" x14ac:dyDescent="0.3">
      <c r="A8544" t="s">
        <v>3388</v>
      </c>
      <c r="B8544" t="s">
        <v>29840</v>
      </c>
      <c r="C8544" t="s">
        <v>5470</v>
      </c>
      <c r="D8544" t="s">
        <v>10210</v>
      </c>
      <c r="E8544" t="s">
        <v>5532</v>
      </c>
      <c r="F8544" t="s">
        <v>30530</v>
      </c>
      <c r="G8544" t="s">
        <v>5546</v>
      </c>
      <c r="H8544" t="s">
        <v>5474</v>
      </c>
      <c r="I8544" t="s">
        <v>30531</v>
      </c>
      <c r="J8544" t="s">
        <v>5484</v>
      </c>
      <c r="K8544" t="s">
        <v>30532</v>
      </c>
      <c r="L8544" t="s">
        <v>5471</v>
      </c>
      <c r="M8544" t="s">
        <v>5471</v>
      </c>
    </row>
    <row r="8545" spans="1:13" x14ac:dyDescent="0.3">
      <c r="A8545" t="s">
        <v>3388</v>
      </c>
      <c r="B8545" t="s">
        <v>29840</v>
      </c>
      <c r="C8545" t="s">
        <v>5470</v>
      </c>
      <c r="D8545" t="s">
        <v>10210</v>
      </c>
      <c r="E8545" t="s">
        <v>5532</v>
      </c>
      <c r="F8545" t="s">
        <v>30533</v>
      </c>
      <c r="G8545" t="s">
        <v>5550</v>
      </c>
      <c r="H8545" t="s">
        <v>5474</v>
      </c>
      <c r="I8545" t="s">
        <v>30534</v>
      </c>
      <c r="J8545" t="s">
        <v>5484</v>
      </c>
      <c r="K8545" t="s">
        <v>30535</v>
      </c>
      <c r="L8545" t="s">
        <v>5471</v>
      </c>
      <c r="M8545" t="s">
        <v>5471</v>
      </c>
    </row>
    <row r="8546" spans="1:13" x14ac:dyDescent="0.3">
      <c r="A8546" t="s">
        <v>3388</v>
      </c>
      <c r="B8546" t="s">
        <v>29840</v>
      </c>
      <c r="C8546" t="s">
        <v>5470</v>
      </c>
      <c r="D8546" t="s">
        <v>10210</v>
      </c>
      <c r="E8546" t="s">
        <v>5532</v>
      </c>
      <c r="F8546" t="s">
        <v>30536</v>
      </c>
      <c r="G8546" t="s">
        <v>5554</v>
      </c>
      <c r="H8546" t="s">
        <v>5474</v>
      </c>
      <c r="I8546" t="s">
        <v>30537</v>
      </c>
      <c r="J8546" t="s">
        <v>5484</v>
      </c>
      <c r="K8546" t="s">
        <v>30538</v>
      </c>
      <c r="L8546" t="s">
        <v>5471</v>
      </c>
      <c r="M8546" t="s">
        <v>5471</v>
      </c>
    </row>
    <row r="8547" spans="1:13" x14ac:dyDescent="0.3">
      <c r="A8547" t="s">
        <v>3388</v>
      </c>
      <c r="B8547" t="s">
        <v>23999</v>
      </c>
      <c r="C8547" t="s">
        <v>5470</v>
      </c>
      <c r="D8547" t="s">
        <v>10210</v>
      </c>
      <c r="E8547" t="s">
        <v>5756</v>
      </c>
      <c r="F8547" t="s">
        <v>30539</v>
      </c>
      <c r="G8547" t="s">
        <v>17601</v>
      </c>
      <c r="H8547" t="s">
        <v>5474</v>
      </c>
      <c r="I8547" t="s">
        <v>30540</v>
      </c>
      <c r="J8547" t="s">
        <v>5484</v>
      </c>
      <c r="K8547" t="s">
        <v>30541</v>
      </c>
      <c r="L8547" t="s">
        <v>5471</v>
      </c>
      <c r="M8547" t="s">
        <v>5471</v>
      </c>
    </row>
    <row r="8548" spans="1:13" x14ac:dyDescent="0.3">
      <c r="A8548" t="s">
        <v>3388</v>
      </c>
      <c r="B8548" t="s">
        <v>18484</v>
      </c>
      <c r="C8548" t="s">
        <v>5470</v>
      </c>
      <c r="D8548" t="s">
        <v>10210</v>
      </c>
      <c r="E8548" t="s">
        <v>5756</v>
      </c>
      <c r="F8548" t="s">
        <v>30542</v>
      </c>
      <c r="G8548" t="s">
        <v>18486</v>
      </c>
      <c r="H8548" t="s">
        <v>5474</v>
      </c>
      <c r="I8548" t="s">
        <v>30543</v>
      </c>
      <c r="J8548" t="s">
        <v>5484</v>
      </c>
      <c r="K8548" t="s">
        <v>30544</v>
      </c>
      <c r="L8548" t="s">
        <v>5471</v>
      </c>
      <c r="M8548" t="s">
        <v>5471</v>
      </c>
    </row>
    <row r="8549" spans="1:13" x14ac:dyDescent="0.3">
      <c r="A8549" t="s">
        <v>3388</v>
      </c>
      <c r="B8549" t="s">
        <v>10421</v>
      </c>
      <c r="C8549" t="s">
        <v>5470</v>
      </c>
      <c r="D8549" t="s">
        <v>10210</v>
      </c>
      <c r="E8549" t="s">
        <v>5532</v>
      </c>
      <c r="F8549" t="s">
        <v>30545</v>
      </c>
      <c r="G8549" t="s">
        <v>10423</v>
      </c>
      <c r="H8549" t="s">
        <v>5474</v>
      </c>
      <c r="I8549" t="s">
        <v>30546</v>
      </c>
      <c r="J8549" t="s">
        <v>5484</v>
      </c>
      <c r="K8549" t="s">
        <v>30547</v>
      </c>
      <c r="L8549" t="s">
        <v>5471</v>
      </c>
      <c r="M8549" t="s">
        <v>5471</v>
      </c>
    </row>
    <row r="8550" spans="1:13" x14ac:dyDescent="0.3">
      <c r="A8550" t="s">
        <v>3388</v>
      </c>
      <c r="B8550" t="s">
        <v>24167</v>
      </c>
      <c r="C8550" t="s">
        <v>5470</v>
      </c>
      <c r="D8550" t="s">
        <v>10210</v>
      </c>
      <c r="E8550" t="s">
        <v>5756</v>
      </c>
      <c r="F8550" t="s">
        <v>30548</v>
      </c>
      <c r="G8550" t="s">
        <v>24169</v>
      </c>
      <c r="H8550" t="s">
        <v>5474</v>
      </c>
      <c r="I8550" t="s">
        <v>30549</v>
      </c>
      <c r="J8550" t="s">
        <v>5484</v>
      </c>
      <c r="K8550" t="s">
        <v>30550</v>
      </c>
      <c r="L8550" t="s">
        <v>5471</v>
      </c>
      <c r="M8550" t="s">
        <v>5471</v>
      </c>
    </row>
    <row r="8551" spans="1:13" x14ac:dyDescent="0.3">
      <c r="A8551" t="s">
        <v>3388</v>
      </c>
      <c r="B8551" t="s">
        <v>10474</v>
      </c>
      <c r="C8551" t="s">
        <v>5470</v>
      </c>
      <c r="D8551" t="s">
        <v>10210</v>
      </c>
      <c r="E8551" t="s">
        <v>5756</v>
      </c>
      <c r="F8551" t="s">
        <v>30551</v>
      </c>
      <c r="G8551" t="s">
        <v>10476</v>
      </c>
      <c r="H8551" t="s">
        <v>5474</v>
      </c>
      <c r="I8551" t="s">
        <v>30552</v>
      </c>
      <c r="J8551" t="s">
        <v>5484</v>
      </c>
      <c r="K8551" t="s">
        <v>30553</v>
      </c>
      <c r="L8551" t="s">
        <v>5471</v>
      </c>
      <c r="M8551" t="s">
        <v>5471</v>
      </c>
    </row>
    <row r="8552" spans="1:13" x14ac:dyDescent="0.3">
      <c r="A8552" t="s">
        <v>3388</v>
      </c>
      <c r="B8552" t="s">
        <v>10452</v>
      </c>
      <c r="C8552" t="s">
        <v>5470</v>
      </c>
      <c r="D8552" t="s">
        <v>10210</v>
      </c>
      <c r="E8552" t="s">
        <v>5756</v>
      </c>
      <c r="F8552" t="s">
        <v>30554</v>
      </c>
      <c r="G8552" t="s">
        <v>10454</v>
      </c>
      <c r="H8552" t="s">
        <v>5474</v>
      </c>
      <c r="I8552" t="s">
        <v>30555</v>
      </c>
      <c r="J8552" t="s">
        <v>5484</v>
      </c>
      <c r="K8552" t="s">
        <v>30556</v>
      </c>
      <c r="L8552" t="s">
        <v>5471</v>
      </c>
      <c r="M8552" t="s">
        <v>5471</v>
      </c>
    </row>
    <row r="8553" spans="1:13" x14ac:dyDescent="0.3">
      <c r="A8553" t="s">
        <v>3388</v>
      </c>
      <c r="B8553" t="s">
        <v>23889</v>
      </c>
      <c r="C8553" t="s">
        <v>5470</v>
      </c>
      <c r="D8553" t="s">
        <v>10210</v>
      </c>
      <c r="E8553" t="s">
        <v>5532</v>
      </c>
      <c r="F8553" t="s">
        <v>30557</v>
      </c>
      <c r="G8553" t="s">
        <v>30558</v>
      </c>
      <c r="H8553" t="s">
        <v>5474</v>
      </c>
      <c r="I8553" t="s">
        <v>30559</v>
      </c>
      <c r="J8553" t="s">
        <v>5484</v>
      </c>
      <c r="K8553" t="s">
        <v>30560</v>
      </c>
      <c r="L8553" t="s">
        <v>5471</v>
      </c>
      <c r="M8553" t="s">
        <v>5471</v>
      </c>
    </row>
    <row r="8554" spans="1:13" x14ac:dyDescent="0.3">
      <c r="A8554" t="s">
        <v>3388</v>
      </c>
      <c r="B8554" t="s">
        <v>10464</v>
      </c>
      <c r="C8554" t="s">
        <v>5470</v>
      </c>
      <c r="D8554" t="s">
        <v>10210</v>
      </c>
      <c r="E8554" t="s">
        <v>5532</v>
      </c>
      <c r="F8554" t="s">
        <v>30561</v>
      </c>
      <c r="G8554" t="s">
        <v>11685</v>
      </c>
      <c r="H8554" t="s">
        <v>5474</v>
      </c>
      <c r="I8554" t="s">
        <v>30562</v>
      </c>
      <c r="J8554" t="s">
        <v>5484</v>
      </c>
      <c r="K8554" t="s">
        <v>30563</v>
      </c>
      <c r="L8554" t="s">
        <v>5471</v>
      </c>
      <c r="M8554" t="s">
        <v>5471</v>
      </c>
    </row>
    <row r="8555" spans="1:13" x14ac:dyDescent="0.3">
      <c r="A8555" t="s">
        <v>3388</v>
      </c>
      <c r="B8555" t="s">
        <v>23818</v>
      </c>
      <c r="C8555" t="s">
        <v>5470</v>
      </c>
      <c r="D8555" t="s">
        <v>10210</v>
      </c>
      <c r="E8555" t="s">
        <v>5532</v>
      </c>
      <c r="F8555" t="s">
        <v>30564</v>
      </c>
      <c r="G8555" t="s">
        <v>23202</v>
      </c>
      <c r="H8555" t="s">
        <v>5474</v>
      </c>
      <c r="I8555" t="s">
        <v>30565</v>
      </c>
      <c r="J8555" t="s">
        <v>5484</v>
      </c>
      <c r="K8555" t="s">
        <v>30566</v>
      </c>
      <c r="L8555" t="s">
        <v>5471</v>
      </c>
      <c r="M8555" t="s">
        <v>5471</v>
      </c>
    </row>
    <row r="8556" spans="1:13" x14ac:dyDescent="0.3">
      <c r="A8556" t="s">
        <v>3388</v>
      </c>
      <c r="B8556" t="s">
        <v>23818</v>
      </c>
      <c r="C8556" t="s">
        <v>5470</v>
      </c>
      <c r="D8556" t="s">
        <v>10210</v>
      </c>
      <c r="E8556" t="s">
        <v>5532</v>
      </c>
      <c r="F8556" t="s">
        <v>30567</v>
      </c>
      <c r="G8556" t="s">
        <v>23202</v>
      </c>
      <c r="H8556" t="s">
        <v>5474</v>
      </c>
      <c r="I8556" t="s">
        <v>30568</v>
      </c>
      <c r="J8556" t="s">
        <v>5484</v>
      </c>
      <c r="K8556" t="s">
        <v>30569</v>
      </c>
      <c r="L8556" t="s">
        <v>5471</v>
      </c>
      <c r="M8556" t="s">
        <v>5471</v>
      </c>
    </row>
    <row r="8557" spans="1:13" x14ac:dyDescent="0.3">
      <c r="A8557" t="s">
        <v>3388</v>
      </c>
      <c r="B8557" t="s">
        <v>30298</v>
      </c>
      <c r="C8557" t="s">
        <v>5470</v>
      </c>
      <c r="D8557" t="s">
        <v>10210</v>
      </c>
      <c r="E8557" t="s">
        <v>5532</v>
      </c>
      <c r="F8557" t="s">
        <v>30570</v>
      </c>
      <c r="G8557" t="s">
        <v>20359</v>
      </c>
      <c r="H8557" t="s">
        <v>5474</v>
      </c>
      <c r="I8557" t="s">
        <v>30571</v>
      </c>
      <c r="J8557" t="s">
        <v>5484</v>
      </c>
      <c r="K8557" t="s">
        <v>30572</v>
      </c>
      <c r="L8557" t="s">
        <v>5471</v>
      </c>
      <c r="M8557" t="s">
        <v>5471</v>
      </c>
    </row>
    <row r="8558" spans="1:13" x14ac:dyDescent="0.3">
      <c r="A8558" t="s">
        <v>3388</v>
      </c>
      <c r="B8558" t="s">
        <v>30298</v>
      </c>
      <c r="C8558" t="s">
        <v>5470</v>
      </c>
      <c r="D8558" t="s">
        <v>10210</v>
      </c>
      <c r="E8558" t="s">
        <v>5532</v>
      </c>
      <c r="F8558" t="s">
        <v>30573</v>
      </c>
      <c r="G8558" t="s">
        <v>20359</v>
      </c>
      <c r="H8558" t="s">
        <v>5474</v>
      </c>
      <c r="I8558" t="s">
        <v>30574</v>
      </c>
      <c r="J8558" t="s">
        <v>5484</v>
      </c>
      <c r="K8558" t="s">
        <v>30575</v>
      </c>
      <c r="L8558" t="s">
        <v>5471</v>
      </c>
      <c r="M8558" t="s">
        <v>5471</v>
      </c>
    </row>
    <row r="8559" spans="1:13" x14ac:dyDescent="0.3">
      <c r="A8559" t="s">
        <v>3388</v>
      </c>
      <c r="B8559" t="s">
        <v>30298</v>
      </c>
      <c r="C8559" t="s">
        <v>5470</v>
      </c>
      <c r="D8559" t="s">
        <v>10210</v>
      </c>
      <c r="E8559" t="s">
        <v>5532</v>
      </c>
      <c r="F8559" t="s">
        <v>30576</v>
      </c>
      <c r="G8559" t="s">
        <v>20359</v>
      </c>
      <c r="H8559" t="s">
        <v>5474</v>
      </c>
      <c r="I8559" t="s">
        <v>30577</v>
      </c>
      <c r="J8559" t="s">
        <v>5484</v>
      </c>
      <c r="K8559" t="s">
        <v>30578</v>
      </c>
      <c r="L8559" t="s">
        <v>5471</v>
      </c>
      <c r="M8559" t="s">
        <v>5471</v>
      </c>
    </row>
    <row r="8560" spans="1:13" x14ac:dyDescent="0.3">
      <c r="A8560" t="s">
        <v>3388</v>
      </c>
      <c r="B8560" t="s">
        <v>30298</v>
      </c>
      <c r="C8560" t="s">
        <v>5470</v>
      </c>
      <c r="D8560" t="s">
        <v>10210</v>
      </c>
      <c r="E8560" t="s">
        <v>5532</v>
      </c>
      <c r="F8560" t="s">
        <v>30579</v>
      </c>
      <c r="G8560" t="s">
        <v>20359</v>
      </c>
      <c r="H8560" t="s">
        <v>5474</v>
      </c>
      <c r="I8560" t="s">
        <v>30580</v>
      </c>
      <c r="J8560" t="s">
        <v>5484</v>
      </c>
      <c r="K8560" t="s">
        <v>30581</v>
      </c>
      <c r="L8560" t="s">
        <v>5471</v>
      </c>
      <c r="M8560" t="s">
        <v>5471</v>
      </c>
    </row>
    <row r="8561" spans="1:13" x14ac:dyDescent="0.3">
      <c r="A8561" t="s">
        <v>3380</v>
      </c>
      <c r="B8561" t="s">
        <v>16102</v>
      </c>
      <c r="C8561" t="s">
        <v>6342</v>
      </c>
      <c r="D8561" t="s">
        <v>4119</v>
      </c>
      <c r="E8561" t="s">
        <v>5532</v>
      </c>
      <c r="F8561" t="s">
        <v>30582</v>
      </c>
      <c r="G8561" t="s">
        <v>16104</v>
      </c>
      <c r="H8561" t="s">
        <v>5474</v>
      </c>
      <c r="I8561" t="s">
        <v>30583</v>
      </c>
      <c r="J8561" t="s">
        <v>5476</v>
      </c>
      <c r="K8561" t="s">
        <v>11581</v>
      </c>
      <c r="L8561" t="s">
        <v>5471</v>
      </c>
      <c r="M8561" t="s">
        <v>5471</v>
      </c>
    </row>
    <row r="8562" spans="1:13" x14ac:dyDescent="0.3">
      <c r="A8562" t="s">
        <v>3388</v>
      </c>
      <c r="B8562" t="s">
        <v>30298</v>
      </c>
      <c r="C8562" t="s">
        <v>5470</v>
      </c>
      <c r="D8562" t="s">
        <v>10210</v>
      </c>
      <c r="E8562" t="s">
        <v>5532</v>
      </c>
      <c r="F8562" t="s">
        <v>30584</v>
      </c>
      <c r="G8562" t="s">
        <v>20359</v>
      </c>
      <c r="H8562" t="s">
        <v>5474</v>
      </c>
      <c r="I8562" t="s">
        <v>30585</v>
      </c>
      <c r="J8562" t="s">
        <v>5484</v>
      </c>
      <c r="K8562" t="s">
        <v>30586</v>
      </c>
      <c r="L8562" t="s">
        <v>5471</v>
      </c>
      <c r="M8562" t="s">
        <v>5471</v>
      </c>
    </row>
    <row r="8563" spans="1:13" x14ac:dyDescent="0.3">
      <c r="A8563" t="s">
        <v>3380</v>
      </c>
      <c r="B8563" t="s">
        <v>16102</v>
      </c>
      <c r="C8563" t="s">
        <v>6342</v>
      </c>
      <c r="D8563" t="s">
        <v>4119</v>
      </c>
      <c r="E8563" t="s">
        <v>5532</v>
      </c>
      <c r="F8563" t="s">
        <v>30587</v>
      </c>
      <c r="G8563" t="s">
        <v>16104</v>
      </c>
      <c r="H8563" t="s">
        <v>5474</v>
      </c>
      <c r="I8563" t="s">
        <v>30588</v>
      </c>
      <c r="J8563" t="s">
        <v>5476</v>
      </c>
      <c r="K8563" t="s">
        <v>30589</v>
      </c>
      <c r="L8563" t="s">
        <v>5471</v>
      </c>
      <c r="M8563" t="s">
        <v>5471</v>
      </c>
    </row>
    <row r="8564" spans="1:13" x14ac:dyDescent="0.3">
      <c r="A8564" t="s">
        <v>3380</v>
      </c>
      <c r="B8564" t="s">
        <v>16102</v>
      </c>
      <c r="C8564" t="s">
        <v>6342</v>
      </c>
      <c r="D8564" t="s">
        <v>4119</v>
      </c>
      <c r="E8564" t="s">
        <v>5532</v>
      </c>
      <c r="F8564" t="s">
        <v>30590</v>
      </c>
      <c r="G8564" t="s">
        <v>22731</v>
      </c>
      <c r="H8564" t="s">
        <v>5474</v>
      </c>
      <c r="I8564" t="s">
        <v>30591</v>
      </c>
      <c r="J8564" t="s">
        <v>5476</v>
      </c>
      <c r="K8564" t="s">
        <v>30592</v>
      </c>
      <c r="L8564" t="s">
        <v>5471</v>
      </c>
      <c r="M8564" t="s">
        <v>5471</v>
      </c>
    </row>
    <row r="8565" spans="1:13" x14ac:dyDescent="0.3">
      <c r="A8565" t="s">
        <v>3380</v>
      </c>
      <c r="B8565" t="s">
        <v>16102</v>
      </c>
      <c r="C8565" t="s">
        <v>6342</v>
      </c>
      <c r="D8565" t="s">
        <v>4119</v>
      </c>
      <c r="E8565" t="s">
        <v>5532</v>
      </c>
      <c r="F8565" t="s">
        <v>30593</v>
      </c>
      <c r="G8565" t="s">
        <v>22754</v>
      </c>
      <c r="H8565" t="s">
        <v>5474</v>
      </c>
      <c r="I8565" t="s">
        <v>30594</v>
      </c>
      <c r="J8565" t="s">
        <v>5476</v>
      </c>
      <c r="K8565" t="s">
        <v>30595</v>
      </c>
      <c r="L8565" t="s">
        <v>5471</v>
      </c>
      <c r="M8565" t="s">
        <v>5471</v>
      </c>
    </row>
    <row r="8566" spans="1:13" x14ac:dyDescent="0.3">
      <c r="A8566" t="s">
        <v>3383</v>
      </c>
      <c r="B8566" t="s">
        <v>6051</v>
      </c>
      <c r="C8566" t="s">
        <v>5470</v>
      </c>
      <c r="D8566" t="s">
        <v>4058</v>
      </c>
      <c r="E8566" t="s">
        <v>5480</v>
      </c>
      <c r="F8566" t="s">
        <v>30596</v>
      </c>
      <c r="G8566" t="s">
        <v>7487</v>
      </c>
      <c r="H8566" t="s">
        <v>5474</v>
      </c>
      <c r="I8566" t="s">
        <v>30597</v>
      </c>
      <c r="J8566" t="s">
        <v>5484</v>
      </c>
      <c r="K8566" t="s">
        <v>30598</v>
      </c>
      <c r="L8566" t="s">
        <v>5471</v>
      </c>
      <c r="M8566" t="s">
        <v>5471</v>
      </c>
    </row>
    <row r="8567" spans="1:13" x14ac:dyDescent="0.3">
      <c r="A8567" t="s">
        <v>3380</v>
      </c>
      <c r="B8567" t="s">
        <v>16102</v>
      </c>
      <c r="C8567" t="s">
        <v>6342</v>
      </c>
      <c r="D8567" t="s">
        <v>4119</v>
      </c>
      <c r="E8567" t="s">
        <v>5532</v>
      </c>
      <c r="F8567" t="s">
        <v>30599</v>
      </c>
      <c r="G8567" t="s">
        <v>22731</v>
      </c>
      <c r="H8567" t="s">
        <v>5474</v>
      </c>
      <c r="I8567" t="s">
        <v>30600</v>
      </c>
      <c r="J8567" t="s">
        <v>5476</v>
      </c>
      <c r="K8567" t="s">
        <v>30601</v>
      </c>
      <c r="L8567" t="s">
        <v>5471</v>
      </c>
      <c r="M8567" t="s">
        <v>5471</v>
      </c>
    </row>
    <row r="8568" spans="1:13" x14ac:dyDescent="0.3">
      <c r="A8568" t="s">
        <v>3388</v>
      </c>
      <c r="B8568" t="s">
        <v>30302</v>
      </c>
      <c r="C8568" t="s">
        <v>5470</v>
      </c>
      <c r="D8568" t="s">
        <v>10210</v>
      </c>
      <c r="E8568" t="s">
        <v>5532</v>
      </c>
      <c r="F8568" t="s">
        <v>30602</v>
      </c>
      <c r="G8568" t="s">
        <v>20259</v>
      </c>
      <c r="H8568" t="s">
        <v>5474</v>
      </c>
      <c r="I8568" t="s">
        <v>30603</v>
      </c>
      <c r="J8568" t="s">
        <v>5484</v>
      </c>
      <c r="K8568" t="s">
        <v>30604</v>
      </c>
      <c r="L8568" t="s">
        <v>5471</v>
      </c>
      <c r="M8568" t="s">
        <v>5471</v>
      </c>
    </row>
    <row r="8569" spans="1:13" x14ac:dyDescent="0.3">
      <c r="A8569" t="s">
        <v>3380</v>
      </c>
      <c r="B8569" t="s">
        <v>16102</v>
      </c>
      <c r="C8569" t="s">
        <v>6342</v>
      </c>
      <c r="D8569" t="s">
        <v>4119</v>
      </c>
      <c r="E8569" t="s">
        <v>5532</v>
      </c>
      <c r="F8569" t="s">
        <v>30605</v>
      </c>
      <c r="G8569" t="s">
        <v>22754</v>
      </c>
      <c r="H8569" t="s">
        <v>5474</v>
      </c>
      <c r="I8569" t="s">
        <v>30606</v>
      </c>
      <c r="J8569" t="s">
        <v>5476</v>
      </c>
      <c r="K8569" t="s">
        <v>30607</v>
      </c>
      <c r="L8569" t="s">
        <v>5471</v>
      </c>
      <c r="M8569" t="s">
        <v>5471</v>
      </c>
    </row>
    <row r="8570" spans="1:13" x14ac:dyDescent="0.3">
      <c r="A8570" t="s">
        <v>3380</v>
      </c>
      <c r="B8570" t="s">
        <v>16102</v>
      </c>
      <c r="C8570" t="s">
        <v>6342</v>
      </c>
      <c r="D8570" t="s">
        <v>4119</v>
      </c>
      <c r="E8570" t="s">
        <v>5532</v>
      </c>
      <c r="F8570" t="s">
        <v>30608</v>
      </c>
      <c r="G8570" t="s">
        <v>22763</v>
      </c>
      <c r="H8570" t="s">
        <v>5474</v>
      </c>
      <c r="I8570" t="s">
        <v>30609</v>
      </c>
      <c r="J8570" t="s">
        <v>5476</v>
      </c>
      <c r="K8570" t="s">
        <v>30610</v>
      </c>
      <c r="L8570" t="s">
        <v>5471</v>
      </c>
      <c r="M8570" t="s">
        <v>5471</v>
      </c>
    </row>
    <row r="8571" spans="1:13" x14ac:dyDescent="0.3">
      <c r="A8571" t="s">
        <v>3388</v>
      </c>
      <c r="B8571" t="s">
        <v>30302</v>
      </c>
      <c r="C8571" t="s">
        <v>5470</v>
      </c>
      <c r="D8571" t="s">
        <v>10210</v>
      </c>
      <c r="E8571" t="s">
        <v>5532</v>
      </c>
      <c r="F8571" t="s">
        <v>30611</v>
      </c>
      <c r="G8571" t="s">
        <v>20259</v>
      </c>
      <c r="H8571" t="s">
        <v>5474</v>
      </c>
      <c r="I8571" t="s">
        <v>30612</v>
      </c>
      <c r="J8571" t="s">
        <v>5484</v>
      </c>
      <c r="K8571" t="s">
        <v>30613</v>
      </c>
      <c r="L8571" t="s">
        <v>5471</v>
      </c>
      <c r="M8571" t="s">
        <v>5471</v>
      </c>
    </row>
    <row r="8572" spans="1:13" x14ac:dyDescent="0.3">
      <c r="A8572" t="s">
        <v>3380</v>
      </c>
      <c r="B8572" t="s">
        <v>16102</v>
      </c>
      <c r="C8572" t="s">
        <v>6342</v>
      </c>
      <c r="D8572" t="s">
        <v>4119</v>
      </c>
      <c r="E8572" t="s">
        <v>5532</v>
      </c>
      <c r="F8572" t="s">
        <v>30614</v>
      </c>
      <c r="G8572" t="s">
        <v>22766</v>
      </c>
      <c r="H8572" t="s">
        <v>5474</v>
      </c>
      <c r="I8572" t="s">
        <v>30615</v>
      </c>
      <c r="J8572" t="s">
        <v>5476</v>
      </c>
      <c r="K8572" t="s">
        <v>30616</v>
      </c>
      <c r="L8572" t="s">
        <v>5471</v>
      </c>
      <c r="M8572" t="s">
        <v>5471</v>
      </c>
    </row>
    <row r="8573" spans="1:13" x14ac:dyDescent="0.3">
      <c r="A8573" t="s">
        <v>3388</v>
      </c>
      <c r="B8573" t="s">
        <v>30302</v>
      </c>
      <c r="C8573" t="s">
        <v>5470</v>
      </c>
      <c r="D8573" t="s">
        <v>10210</v>
      </c>
      <c r="E8573" t="s">
        <v>5532</v>
      </c>
      <c r="F8573" t="s">
        <v>30617</v>
      </c>
      <c r="G8573" t="s">
        <v>20259</v>
      </c>
      <c r="H8573" t="s">
        <v>5474</v>
      </c>
      <c r="I8573" t="s">
        <v>30618</v>
      </c>
      <c r="J8573" t="s">
        <v>5484</v>
      </c>
      <c r="K8573" t="s">
        <v>30619</v>
      </c>
      <c r="L8573" t="s">
        <v>5471</v>
      </c>
      <c r="M8573" t="s">
        <v>5471</v>
      </c>
    </row>
    <row r="8574" spans="1:13" x14ac:dyDescent="0.3">
      <c r="A8574" t="s">
        <v>3380</v>
      </c>
      <c r="B8574" t="s">
        <v>16102</v>
      </c>
      <c r="C8574" t="s">
        <v>6342</v>
      </c>
      <c r="D8574" t="s">
        <v>4119</v>
      </c>
      <c r="E8574" t="s">
        <v>5532</v>
      </c>
      <c r="F8574" t="s">
        <v>30620</v>
      </c>
      <c r="G8574" t="s">
        <v>16104</v>
      </c>
      <c r="H8574" t="s">
        <v>5474</v>
      </c>
      <c r="I8574" t="s">
        <v>30621</v>
      </c>
      <c r="J8574" t="s">
        <v>5476</v>
      </c>
      <c r="K8574" t="s">
        <v>30622</v>
      </c>
      <c r="L8574" t="s">
        <v>5471</v>
      </c>
      <c r="M8574" t="s">
        <v>5471</v>
      </c>
    </row>
    <row r="8575" spans="1:13" x14ac:dyDescent="0.3">
      <c r="A8575" t="s">
        <v>3388</v>
      </c>
      <c r="B8575" t="s">
        <v>30302</v>
      </c>
      <c r="C8575" t="s">
        <v>5470</v>
      </c>
      <c r="D8575" t="s">
        <v>10210</v>
      </c>
      <c r="E8575" t="s">
        <v>5532</v>
      </c>
      <c r="F8575" t="s">
        <v>30623</v>
      </c>
      <c r="G8575" t="s">
        <v>20259</v>
      </c>
      <c r="H8575" t="s">
        <v>5474</v>
      </c>
      <c r="I8575" t="s">
        <v>30624</v>
      </c>
      <c r="J8575" t="s">
        <v>5484</v>
      </c>
      <c r="K8575" t="s">
        <v>30625</v>
      </c>
      <c r="L8575" t="s">
        <v>5471</v>
      </c>
      <c r="M8575" t="s">
        <v>5471</v>
      </c>
    </row>
    <row r="8576" spans="1:13" x14ac:dyDescent="0.3">
      <c r="A8576" t="s">
        <v>3380</v>
      </c>
      <c r="B8576" t="s">
        <v>16102</v>
      </c>
      <c r="C8576" t="s">
        <v>6342</v>
      </c>
      <c r="D8576" t="s">
        <v>4119</v>
      </c>
      <c r="E8576" t="s">
        <v>5532</v>
      </c>
      <c r="F8576" t="s">
        <v>30626</v>
      </c>
      <c r="G8576" t="s">
        <v>27943</v>
      </c>
      <c r="H8576" t="s">
        <v>5474</v>
      </c>
      <c r="I8576" t="s">
        <v>30627</v>
      </c>
      <c r="J8576" t="s">
        <v>5476</v>
      </c>
      <c r="K8576" t="s">
        <v>30628</v>
      </c>
      <c r="L8576" t="s">
        <v>5471</v>
      </c>
      <c r="M8576" t="s">
        <v>5471</v>
      </c>
    </row>
    <row r="8577" spans="1:13" x14ac:dyDescent="0.3">
      <c r="A8577" t="s">
        <v>3388</v>
      </c>
      <c r="B8577" t="s">
        <v>30302</v>
      </c>
      <c r="C8577" t="s">
        <v>5470</v>
      </c>
      <c r="D8577" t="s">
        <v>10210</v>
      </c>
      <c r="E8577" t="s">
        <v>5532</v>
      </c>
      <c r="F8577" t="s">
        <v>30629</v>
      </c>
      <c r="G8577" t="s">
        <v>20259</v>
      </c>
      <c r="H8577" t="s">
        <v>5474</v>
      </c>
      <c r="I8577" t="s">
        <v>30630</v>
      </c>
      <c r="J8577" t="s">
        <v>5484</v>
      </c>
      <c r="K8577" t="s">
        <v>30631</v>
      </c>
      <c r="L8577" t="s">
        <v>5471</v>
      </c>
      <c r="M8577" t="s">
        <v>5471</v>
      </c>
    </row>
    <row r="8578" spans="1:13" x14ac:dyDescent="0.3">
      <c r="A8578" t="s">
        <v>3380</v>
      </c>
      <c r="B8578" t="s">
        <v>15592</v>
      </c>
      <c r="C8578" t="s">
        <v>5487</v>
      </c>
      <c r="D8578" t="s">
        <v>4119</v>
      </c>
      <c r="E8578" t="s">
        <v>5843</v>
      </c>
      <c r="F8578" t="s">
        <v>30632</v>
      </c>
      <c r="G8578" t="s">
        <v>16418</v>
      </c>
      <c r="H8578" t="s">
        <v>5474</v>
      </c>
      <c r="I8578" t="s">
        <v>30633</v>
      </c>
      <c r="J8578" t="s">
        <v>5484</v>
      </c>
      <c r="K8578" t="s">
        <v>11039</v>
      </c>
      <c r="L8578" t="s">
        <v>5471</v>
      </c>
      <c r="M8578" t="s">
        <v>5471</v>
      </c>
    </row>
    <row r="8579" spans="1:13" x14ac:dyDescent="0.3">
      <c r="A8579" t="s">
        <v>3388</v>
      </c>
      <c r="B8579" t="s">
        <v>30302</v>
      </c>
      <c r="C8579" t="s">
        <v>5470</v>
      </c>
      <c r="D8579" t="s">
        <v>10210</v>
      </c>
      <c r="E8579" t="s">
        <v>5532</v>
      </c>
      <c r="F8579" t="s">
        <v>30634</v>
      </c>
      <c r="G8579" t="s">
        <v>20259</v>
      </c>
      <c r="H8579" t="s">
        <v>5474</v>
      </c>
      <c r="I8579" t="s">
        <v>30635</v>
      </c>
      <c r="J8579" t="s">
        <v>5484</v>
      </c>
      <c r="K8579" t="s">
        <v>30636</v>
      </c>
      <c r="L8579" t="s">
        <v>5471</v>
      </c>
      <c r="M8579" t="s">
        <v>5471</v>
      </c>
    </row>
    <row r="8580" spans="1:13" x14ac:dyDescent="0.3">
      <c r="A8580" t="s">
        <v>3380</v>
      </c>
      <c r="B8580" t="s">
        <v>15592</v>
      </c>
      <c r="C8580" t="s">
        <v>5487</v>
      </c>
      <c r="D8580" t="s">
        <v>4119</v>
      </c>
      <c r="E8580" t="s">
        <v>5843</v>
      </c>
      <c r="F8580" t="s">
        <v>30637</v>
      </c>
      <c r="G8580" t="s">
        <v>16418</v>
      </c>
      <c r="H8580" t="s">
        <v>5474</v>
      </c>
      <c r="I8580" t="s">
        <v>30638</v>
      </c>
      <c r="J8580" t="s">
        <v>5484</v>
      </c>
      <c r="K8580" t="s">
        <v>30639</v>
      </c>
      <c r="L8580" t="s">
        <v>5471</v>
      </c>
      <c r="M8580" t="s">
        <v>5471</v>
      </c>
    </row>
    <row r="8581" spans="1:13" x14ac:dyDescent="0.3">
      <c r="A8581" t="s">
        <v>3388</v>
      </c>
      <c r="B8581" t="s">
        <v>30302</v>
      </c>
      <c r="C8581" t="s">
        <v>5470</v>
      </c>
      <c r="D8581" t="s">
        <v>10210</v>
      </c>
      <c r="E8581" t="s">
        <v>5532</v>
      </c>
      <c r="F8581" t="s">
        <v>30640</v>
      </c>
      <c r="G8581" t="s">
        <v>20259</v>
      </c>
      <c r="H8581" t="s">
        <v>5474</v>
      </c>
      <c r="I8581" t="s">
        <v>30641</v>
      </c>
      <c r="J8581" t="s">
        <v>5484</v>
      </c>
      <c r="K8581" t="s">
        <v>30642</v>
      </c>
      <c r="L8581" t="s">
        <v>5471</v>
      </c>
      <c r="M8581" t="s">
        <v>5471</v>
      </c>
    </row>
    <row r="8582" spans="1:13" x14ac:dyDescent="0.3">
      <c r="A8582" t="s">
        <v>3380</v>
      </c>
      <c r="B8582" t="s">
        <v>15592</v>
      </c>
      <c r="C8582" t="s">
        <v>5487</v>
      </c>
      <c r="D8582" t="s">
        <v>4119</v>
      </c>
      <c r="E8582" t="s">
        <v>5843</v>
      </c>
      <c r="F8582" t="s">
        <v>30643</v>
      </c>
      <c r="G8582" t="s">
        <v>16522</v>
      </c>
      <c r="H8582" t="s">
        <v>5474</v>
      </c>
      <c r="I8582" t="s">
        <v>30644</v>
      </c>
      <c r="J8582" t="s">
        <v>5484</v>
      </c>
      <c r="K8582" t="s">
        <v>30645</v>
      </c>
      <c r="L8582" t="s">
        <v>5471</v>
      </c>
      <c r="M8582" t="s">
        <v>5471</v>
      </c>
    </row>
    <row r="8583" spans="1:13" x14ac:dyDescent="0.3">
      <c r="A8583" t="s">
        <v>3388</v>
      </c>
      <c r="B8583" t="s">
        <v>30302</v>
      </c>
      <c r="C8583" t="s">
        <v>5470</v>
      </c>
      <c r="D8583" t="s">
        <v>10210</v>
      </c>
      <c r="E8583" t="s">
        <v>5532</v>
      </c>
      <c r="F8583" t="s">
        <v>30646</v>
      </c>
      <c r="G8583" t="s">
        <v>20259</v>
      </c>
      <c r="H8583" t="s">
        <v>5474</v>
      </c>
      <c r="I8583" t="s">
        <v>30647</v>
      </c>
      <c r="J8583" t="s">
        <v>5484</v>
      </c>
      <c r="K8583" t="s">
        <v>30648</v>
      </c>
      <c r="L8583" t="s">
        <v>5471</v>
      </c>
      <c r="M8583" t="s">
        <v>5471</v>
      </c>
    </row>
    <row r="8584" spans="1:13" x14ac:dyDescent="0.3">
      <c r="A8584" t="s">
        <v>3380</v>
      </c>
      <c r="B8584" t="s">
        <v>15592</v>
      </c>
      <c r="C8584" t="s">
        <v>5487</v>
      </c>
      <c r="D8584" t="s">
        <v>4119</v>
      </c>
      <c r="E8584" t="s">
        <v>5843</v>
      </c>
      <c r="F8584" t="s">
        <v>30649</v>
      </c>
      <c r="G8584" t="s">
        <v>30650</v>
      </c>
      <c r="H8584" t="s">
        <v>5474</v>
      </c>
      <c r="I8584" t="s">
        <v>30651</v>
      </c>
      <c r="J8584" t="s">
        <v>5484</v>
      </c>
      <c r="K8584" t="s">
        <v>30652</v>
      </c>
      <c r="L8584" t="s">
        <v>5471</v>
      </c>
      <c r="M8584" t="s">
        <v>5471</v>
      </c>
    </row>
    <row r="8585" spans="1:13" x14ac:dyDescent="0.3">
      <c r="A8585" t="s">
        <v>3380</v>
      </c>
      <c r="B8585" t="s">
        <v>15592</v>
      </c>
      <c r="C8585" t="s">
        <v>5487</v>
      </c>
      <c r="D8585" t="s">
        <v>4119</v>
      </c>
      <c r="E8585" t="s">
        <v>5843</v>
      </c>
      <c r="F8585" t="s">
        <v>30653</v>
      </c>
      <c r="G8585" t="s">
        <v>30654</v>
      </c>
      <c r="H8585" t="s">
        <v>5474</v>
      </c>
      <c r="I8585" t="s">
        <v>30655</v>
      </c>
      <c r="J8585" t="s">
        <v>5484</v>
      </c>
      <c r="K8585" t="s">
        <v>30656</v>
      </c>
      <c r="L8585" t="s">
        <v>5471</v>
      </c>
      <c r="M8585" t="s">
        <v>5471</v>
      </c>
    </row>
    <row r="8586" spans="1:13" x14ac:dyDescent="0.3">
      <c r="A8586" t="s">
        <v>3388</v>
      </c>
      <c r="B8586" t="s">
        <v>30302</v>
      </c>
      <c r="C8586" t="s">
        <v>5470</v>
      </c>
      <c r="D8586" t="s">
        <v>10210</v>
      </c>
      <c r="E8586" t="s">
        <v>5532</v>
      </c>
      <c r="F8586" t="s">
        <v>30657</v>
      </c>
      <c r="G8586" t="s">
        <v>20259</v>
      </c>
      <c r="H8586" t="s">
        <v>5474</v>
      </c>
      <c r="I8586" t="s">
        <v>30658</v>
      </c>
      <c r="J8586" t="s">
        <v>5484</v>
      </c>
      <c r="K8586" t="s">
        <v>30659</v>
      </c>
      <c r="L8586" t="s">
        <v>5471</v>
      </c>
      <c r="M8586" t="s">
        <v>5471</v>
      </c>
    </row>
    <row r="8587" spans="1:13" x14ac:dyDescent="0.3">
      <c r="A8587" t="s">
        <v>3380</v>
      </c>
      <c r="B8587" t="s">
        <v>15592</v>
      </c>
      <c r="C8587" t="s">
        <v>5487</v>
      </c>
      <c r="D8587" t="s">
        <v>4119</v>
      </c>
      <c r="E8587" t="s">
        <v>5843</v>
      </c>
      <c r="F8587" t="s">
        <v>30660</v>
      </c>
      <c r="G8587" t="s">
        <v>30661</v>
      </c>
      <c r="H8587" t="s">
        <v>5474</v>
      </c>
      <c r="I8587" t="s">
        <v>30662</v>
      </c>
      <c r="J8587" t="s">
        <v>5484</v>
      </c>
      <c r="K8587" t="s">
        <v>30663</v>
      </c>
      <c r="L8587" t="s">
        <v>5471</v>
      </c>
      <c r="M8587" t="s">
        <v>5471</v>
      </c>
    </row>
    <row r="8588" spans="1:13" x14ac:dyDescent="0.3">
      <c r="A8588" t="s">
        <v>3388</v>
      </c>
      <c r="B8588" t="s">
        <v>30302</v>
      </c>
      <c r="C8588" t="s">
        <v>5470</v>
      </c>
      <c r="D8588" t="s">
        <v>10210</v>
      </c>
      <c r="E8588" t="s">
        <v>5532</v>
      </c>
      <c r="F8588" t="s">
        <v>30664</v>
      </c>
      <c r="G8588" t="s">
        <v>20259</v>
      </c>
      <c r="H8588" t="s">
        <v>5474</v>
      </c>
      <c r="I8588" t="s">
        <v>30665</v>
      </c>
      <c r="J8588" t="s">
        <v>5484</v>
      </c>
      <c r="K8588" t="s">
        <v>30666</v>
      </c>
      <c r="L8588" t="s">
        <v>5471</v>
      </c>
      <c r="M8588" t="s">
        <v>5471</v>
      </c>
    </row>
    <row r="8589" spans="1:13" x14ac:dyDescent="0.3">
      <c r="A8589" t="s">
        <v>3380</v>
      </c>
      <c r="B8589" t="s">
        <v>15592</v>
      </c>
      <c r="C8589" t="s">
        <v>5487</v>
      </c>
      <c r="D8589" t="s">
        <v>4119</v>
      </c>
      <c r="E8589" t="s">
        <v>5843</v>
      </c>
      <c r="F8589" t="s">
        <v>30667</v>
      </c>
      <c r="G8589" t="s">
        <v>16514</v>
      </c>
      <c r="H8589" t="s">
        <v>5474</v>
      </c>
      <c r="I8589" t="s">
        <v>30668</v>
      </c>
      <c r="J8589" t="s">
        <v>5484</v>
      </c>
      <c r="K8589" t="s">
        <v>30669</v>
      </c>
      <c r="L8589" t="s">
        <v>5471</v>
      </c>
      <c r="M8589" t="s">
        <v>5471</v>
      </c>
    </row>
    <row r="8590" spans="1:13" x14ac:dyDescent="0.3">
      <c r="A8590" t="s">
        <v>3388</v>
      </c>
      <c r="B8590" t="s">
        <v>30302</v>
      </c>
      <c r="C8590" t="s">
        <v>5470</v>
      </c>
      <c r="D8590" t="s">
        <v>10210</v>
      </c>
      <c r="E8590" t="s">
        <v>5532</v>
      </c>
      <c r="F8590" t="s">
        <v>30670</v>
      </c>
      <c r="G8590" t="s">
        <v>20259</v>
      </c>
      <c r="H8590" t="s">
        <v>5474</v>
      </c>
      <c r="I8590" t="s">
        <v>30671</v>
      </c>
      <c r="J8590" t="s">
        <v>5484</v>
      </c>
      <c r="K8590" t="s">
        <v>30672</v>
      </c>
      <c r="L8590" t="s">
        <v>5471</v>
      </c>
      <c r="M8590" t="s">
        <v>5471</v>
      </c>
    </row>
    <row r="8591" spans="1:13" x14ac:dyDescent="0.3">
      <c r="A8591" t="s">
        <v>3380</v>
      </c>
      <c r="B8591" t="s">
        <v>15592</v>
      </c>
      <c r="C8591" t="s">
        <v>5487</v>
      </c>
      <c r="D8591" t="s">
        <v>4119</v>
      </c>
      <c r="E8591" t="s">
        <v>5843</v>
      </c>
      <c r="F8591" t="s">
        <v>30673</v>
      </c>
      <c r="G8591" t="s">
        <v>16511</v>
      </c>
      <c r="H8591" t="s">
        <v>5474</v>
      </c>
      <c r="I8591" t="s">
        <v>30674</v>
      </c>
      <c r="J8591" t="s">
        <v>5484</v>
      </c>
      <c r="K8591" t="s">
        <v>30675</v>
      </c>
      <c r="L8591" t="s">
        <v>5471</v>
      </c>
      <c r="M8591" t="s">
        <v>5471</v>
      </c>
    </row>
    <row r="8592" spans="1:13" x14ac:dyDescent="0.3">
      <c r="A8592" t="s">
        <v>3388</v>
      </c>
      <c r="B8592" t="s">
        <v>30302</v>
      </c>
      <c r="C8592" t="s">
        <v>5470</v>
      </c>
      <c r="D8592" t="s">
        <v>10210</v>
      </c>
      <c r="E8592" t="s">
        <v>5532</v>
      </c>
      <c r="F8592" t="s">
        <v>30676</v>
      </c>
      <c r="G8592" t="s">
        <v>20259</v>
      </c>
      <c r="H8592" t="s">
        <v>5474</v>
      </c>
      <c r="I8592" t="s">
        <v>30677</v>
      </c>
      <c r="J8592" t="s">
        <v>5484</v>
      </c>
      <c r="K8592" t="s">
        <v>30678</v>
      </c>
      <c r="L8592" t="s">
        <v>5471</v>
      </c>
      <c r="M8592" t="s">
        <v>5471</v>
      </c>
    </row>
    <row r="8593" spans="1:13" x14ac:dyDescent="0.3">
      <c r="A8593" t="s">
        <v>3380</v>
      </c>
      <c r="B8593" t="s">
        <v>15592</v>
      </c>
      <c r="C8593" t="s">
        <v>5487</v>
      </c>
      <c r="D8593" t="s">
        <v>4119</v>
      </c>
      <c r="E8593" t="s">
        <v>5843</v>
      </c>
      <c r="F8593" t="s">
        <v>30679</v>
      </c>
      <c r="G8593" t="s">
        <v>15594</v>
      </c>
      <c r="H8593" t="s">
        <v>5474</v>
      </c>
      <c r="I8593" t="s">
        <v>30680</v>
      </c>
      <c r="J8593" t="s">
        <v>5484</v>
      </c>
      <c r="K8593" t="s">
        <v>24560</v>
      </c>
      <c r="L8593" t="s">
        <v>5471</v>
      </c>
      <c r="M8593" t="s">
        <v>5471</v>
      </c>
    </row>
    <row r="8594" spans="1:13" x14ac:dyDescent="0.3">
      <c r="A8594" t="s">
        <v>3380</v>
      </c>
      <c r="B8594" t="s">
        <v>15592</v>
      </c>
      <c r="C8594" t="s">
        <v>5487</v>
      </c>
      <c r="D8594" t="s">
        <v>4119</v>
      </c>
      <c r="E8594" t="s">
        <v>5843</v>
      </c>
      <c r="F8594" t="s">
        <v>30681</v>
      </c>
      <c r="G8594" t="s">
        <v>16522</v>
      </c>
      <c r="H8594" t="s">
        <v>5474</v>
      </c>
      <c r="I8594" t="s">
        <v>30682</v>
      </c>
      <c r="J8594" t="s">
        <v>5484</v>
      </c>
      <c r="K8594" t="s">
        <v>30683</v>
      </c>
      <c r="L8594" t="s">
        <v>5471</v>
      </c>
      <c r="M8594" t="s">
        <v>5471</v>
      </c>
    </row>
    <row r="8595" spans="1:13" x14ac:dyDescent="0.3">
      <c r="A8595" t="s">
        <v>3388</v>
      </c>
      <c r="B8595" t="s">
        <v>30302</v>
      </c>
      <c r="C8595" t="s">
        <v>5470</v>
      </c>
      <c r="D8595" t="s">
        <v>10210</v>
      </c>
      <c r="E8595" t="s">
        <v>5532</v>
      </c>
      <c r="F8595" t="s">
        <v>30684</v>
      </c>
      <c r="G8595" t="s">
        <v>20259</v>
      </c>
      <c r="H8595" t="s">
        <v>5474</v>
      </c>
      <c r="I8595" t="s">
        <v>30685</v>
      </c>
      <c r="J8595" t="s">
        <v>5484</v>
      </c>
      <c r="K8595" t="s">
        <v>30686</v>
      </c>
      <c r="L8595" t="s">
        <v>5471</v>
      </c>
      <c r="M8595" t="s">
        <v>5471</v>
      </c>
    </row>
    <row r="8596" spans="1:13" x14ac:dyDescent="0.3">
      <c r="A8596" t="s">
        <v>3380</v>
      </c>
      <c r="B8596" t="s">
        <v>15592</v>
      </c>
      <c r="C8596" t="s">
        <v>5487</v>
      </c>
      <c r="D8596" t="s">
        <v>4119</v>
      </c>
      <c r="E8596" t="s">
        <v>5843</v>
      </c>
      <c r="F8596" t="s">
        <v>30687</v>
      </c>
      <c r="G8596" t="s">
        <v>30650</v>
      </c>
      <c r="H8596" t="s">
        <v>5474</v>
      </c>
      <c r="I8596" t="s">
        <v>30688</v>
      </c>
      <c r="J8596" t="s">
        <v>5484</v>
      </c>
      <c r="K8596" t="s">
        <v>30689</v>
      </c>
      <c r="L8596" t="s">
        <v>5471</v>
      </c>
      <c r="M8596" t="s">
        <v>5471</v>
      </c>
    </row>
    <row r="8597" spans="1:13" x14ac:dyDescent="0.3">
      <c r="A8597" t="s">
        <v>3388</v>
      </c>
      <c r="B8597" t="s">
        <v>30302</v>
      </c>
      <c r="C8597" t="s">
        <v>5470</v>
      </c>
      <c r="D8597" t="s">
        <v>10210</v>
      </c>
      <c r="E8597" t="s">
        <v>5532</v>
      </c>
      <c r="F8597" t="s">
        <v>30690</v>
      </c>
      <c r="G8597" t="s">
        <v>20259</v>
      </c>
      <c r="H8597" t="s">
        <v>5474</v>
      </c>
      <c r="I8597" t="s">
        <v>30691</v>
      </c>
      <c r="J8597" t="s">
        <v>5484</v>
      </c>
      <c r="K8597" t="s">
        <v>30692</v>
      </c>
      <c r="L8597" t="s">
        <v>5471</v>
      </c>
      <c r="M8597" t="s">
        <v>5471</v>
      </c>
    </row>
    <row r="8598" spans="1:13" x14ac:dyDescent="0.3">
      <c r="A8598" t="s">
        <v>3380</v>
      </c>
      <c r="B8598" t="s">
        <v>15592</v>
      </c>
      <c r="C8598" t="s">
        <v>5487</v>
      </c>
      <c r="D8598" t="s">
        <v>4119</v>
      </c>
      <c r="E8598" t="s">
        <v>5843</v>
      </c>
      <c r="F8598" t="s">
        <v>30693</v>
      </c>
      <c r="G8598" t="s">
        <v>30654</v>
      </c>
      <c r="H8598" t="s">
        <v>5474</v>
      </c>
      <c r="I8598" t="s">
        <v>30694</v>
      </c>
      <c r="J8598" t="s">
        <v>5484</v>
      </c>
      <c r="K8598" t="s">
        <v>30695</v>
      </c>
      <c r="L8598" t="s">
        <v>5471</v>
      </c>
      <c r="M8598" t="s">
        <v>5471</v>
      </c>
    </row>
    <row r="8599" spans="1:13" x14ac:dyDescent="0.3">
      <c r="A8599" t="s">
        <v>3388</v>
      </c>
      <c r="B8599" t="s">
        <v>18879</v>
      </c>
      <c r="C8599" t="s">
        <v>5470</v>
      </c>
      <c r="D8599" t="s">
        <v>10210</v>
      </c>
      <c r="E8599" t="s">
        <v>5756</v>
      </c>
      <c r="F8599" t="s">
        <v>30696</v>
      </c>
      <c r="G8599" t="s">
        <v>5473</v>
      </c>
      <c r="H8599" t="s">
        <v>5474</v>
      </c>
      <c r="I8599" t="s">
        <v>30697</v>
      </c>
      <c r="J8599" t="s">
        <v>5484</v>
      </c>
      <c r="K8599" t="s">
        <v>30698</v>
      </c>
      <c r="L8599" t="s">
        <v>5471</v>
      </c>
      <c r="M8599" t="s">
        <v>5471</v>
      </c>
    </row>
    <row r="8600" spans="1:13" x14ac:dyDescent="0.3">
      <c r="A8600" t="s">
        <v>3380</v>
      </c>
      <c r="B8600" t="s">
        <v>15592</v>
      </c>
      <c r="C8600" t="s">
        <v>5487</v>
      </c>
      <c r="D8600" t="s">
        <v>4119</v>
      </c>
      <c r="E8600" t="s">
        <v>5843</v>
      </c>
      <c r="F8600" t="s">
        <v>30699</v>
      </c>
      <c r="G8600" t="s">
        <v>30661</v>
      </c>
      <c r="H8600" t="s">
        <v>5474</v>
      </c>
      <c r="I8600" t="s">
        <v>30700</v>
      </c>
      <c r="J8600" t="s">
        <v>5484</v>
      </c>
      <c r="K8600" t="s">
        <v>30701</v>
      </c>
      <c r="L8600" t="s">
        <v>5471</v>
      </c>
      <c r="M8600" t="s">
        <v>5471</v>
      </c>
    </row>
    <row r="8601" spans="1:13" x14ac:dyDescent="0.3">
      <c r="A8601" t="s">
        <v>3388</v>
      </c>
      <c r="B8601" t="s">
        <v>30702</v>
      </c>
      <c r="C8601" t="s">
        <v>5470</v>
      </c>
      <c r="D8601" t="s">
        <v>10210</v>
      </c>
      <c r="E8601" t="s">
        <v>5756</v>
      </c>
      <c r="F8601" t="s">
        <v>30703</v>
      </c>
      <c r="G8601" t="s">
        <v>30704</v>
      </c>
      <c r="H8601" t="s">
        <v>5474</v>
      </c>
      <c r="I8601" t="s">
        <v>30705</v>
      </c>
      <c r="J8601" t="s">
        <v>5484</v>
      </c>
      <c r="K8601" t="s">
        <v>30706</v>
      </c>
      <c r="L8601" t="s">
        <v>5471</v>
      </c>
      <c r="M8601" t="s">
        <v>5471</v>
      </c>
    </row>
    <row r="8602" spans="1:13" x14ac:dyDescent="0.3">
      <c r="A8602" t="s">
        <v>3380</v>
      </c>
      <c r="B8602" t="s">
        <v>15592</v>
      </c>
      <c r="C8602" t="s">
        <v>5487</v>
      </c>
      <c r="D8602" t="s">
        <v>4119</v>
      </c>
      <c r="E8602" t="s">
        <v>5843</v>
      </c>
      <c r="F8602" t="s">
        <v>30707</v>
      </c>
      <c r="G8602" t="s">
        <v>30708</v>
      </c>
      <c r="H8602" t="s">
        <v>5474</v>
      </c>
      <c r="I8602" t="s">
        <v>30709</v>
      </c>
      <c r="J8602" t="s">
        <v>5484</v>
      </c>
      <c r="K8602" t="s">
        <v>30710</v>
      </c>
      <c r="L8602" t="s">
        <v>5471</v>
      </c>
      <c r="M8602" t="s">
        <v>5471</v>
      </c>
    </row>
    <row r="8603" spans="1:13" x14ac:dyDescent="0.3">
      <c r="A8603" t="s">
        <v>3388</v>
      </c>
      <c r="B8603" t="s">
        <v>10496</v>
      </c>
      <c r="C8603" t="s">
        <v>5470</v>
      </c>
      <c r="D8603" t="s">
        <v>10210</v>
      </c>
      <c r="E8603" t="s">
        <v>5532</v>
      </c>
      <c r="F8603" t="s">
        <v>30711</v>
      </c>
      <c r="G8603" t="s">
        <v>10498</v>
      </c>
      <c r="H8603" t="s">
        <v>5474</v>
      </c>
      <c r="I8603" t="s">
        <v>30712</v>
      </c>
      <c r="J8603" t="s">
        <v>5484</v>
      </c>
      <c r="K8603" t="s">
        <v>30713</v>
      </c>
      <c r="L8603" t="s">
        <v>5471</v>
      </c>
      <c r="M8603" t="s">
        <v>5471</v>
      </c>
    </row>
    <row r="8604" spans="1:13" x14ac:dyDescent="0.3">
      <c r="A8604" t="s">
        <v>3380</v>
      </c>
      <c r="B8604" t="s">
        <v>15592</v>
      </c>
      <c r="C8604" t="s">
        <v>5487</v>
      </c>
      <c r="D8604" t="s">
        <v>4119</v>
      </c>
      <c r="E8604" t="s">
        <v>5843</v>
      </c>
      <c r="F8604" t="s">
        <v>30714</v>
      </c>
      <c r="G8604" t="s">
        <v>30715</v>
      </c>
      <c r="H8604" t="s">
        <v>5474</v>
      </c>
      <c r="I8604" t="s">
        <v>30716</v>
      </c>
      <c r="J8604" t="s">
        <v>5484</v>
      </c>
      <c r="K8604" t="s">
        <v>30717</v>
      </c>
      <c r="L8604" t="s">
        <v>5471</v>
      </c>
      <c r="M8604" t="s">
        <v>5471</v>
      </c>
    </row>
    <row r="8605" spans="1:13" x14ac:dyDescent="0.3">
      <c r="A8605" t="s">
        <v>3388</v>
      </c>
      <c r="B8605" t="s">
        <v>10496</v>
      </c>
      <c r="C8605" t="s">
        <v>5470</v>
      </c>
      <c r="D8605" t="s">
        <v>10210</v>
      </c>
      <c r="E8605" t="s">
        <v>5532</v>
      </c>
      <c r="F8605" t="s">
        <v>30718</v>
      </c>
      <c r="G8605" t="s">
        <v>10498</v>
      </c>
      <c r="H8605" t="s">
        <v>5474</v>
      </c>
      <c r="I8605" t="s">
        <v>30719</v>
      </c>
      <c r="J8605" t="s">
        <v>5484</v>
      </c>
      <c r="K8605" t="s">
        <v>30720</v>
      </c>
      <c r="L8605" t="s">
        <v>5471</v>
      </c>
      <c r="M8605" t="s">
        <v>5471</v>
      </c>
    </row>
    <row r="8606" spans="1:13" x14ac:dyDescent="0.3">
      <c r="A8606" t="s">
        <v>3380</v>
      </c>
      <c r="B8606" t="s">
        <v>15592</v>
      </c>
      <c r="C8606" t="s">
        <v>5487</v>
      </c>
      <c r="D8606" t="s">
        <v>4119</v>
      </c>
      <c r="E8606" t="s">
        <v>5843</v>
      </c>
      <c r="F8606" t="s">
        <v>30721</v>
      </c>
      <c r="G8606" t="s">
        <v>28182</v>
      </c>
      <c r="H8606" t="s">
        <v>5474</v>
      </c>
      <c r="I8606" t="s">
        <v>30722</v>
      </c>
      <c r="J8606" t="s">
        <v>5484</v>
      </c>
      <c r="K8606" t="s">
        <v>30723</v>
      </c>
      <c r="L8606" t="s">
        <v>5471</v>
      </c>
      <c r="M8606" t="s">
        <v>5471</v>
      </c>
    </row>
    <row r="8607" spans="1:13" x14ac:dyDescent="0.3">
      <c r="A8607" t="s">
        <v>3388</v>
      </c>
      <c r="B8607" t="s">
        <v>30312</v>
      </c>
      <c r="C8607" t="s">
        <v>5470</v>
      </c>
      <c r="D8607" t="s">
        <v>10210</v>
      </c>
      <c r="E8607" t="s">
        <v>5617</v>
      </c>
      <c r="F8607" t="s">
        <v>30724</v>
      </c>
      <c r="G8607" t="s">
        <v>30314</v>
      </c>
      <c r="H8607" t="s">
        <v>5474</v>
      </c>
      <c r="I8607" t="s">
        <v>30725</v>
      </c>
      <c r="J8607" t="s">
        <v>5484</v>
      </c>
      <c r="K8607" t="s">
        <v>30726</v>
      </c>
      <c r="L8607" t="s">
        <v>5471</v>
      </c>
      <c r="M8607" t="s">
        <v>5471</v>
      </c>
    </row>
    <row r="8608" spans="1:13" x14ac:dyDescent="0.3">
      <c r="A8608" t="s">
        <v>3380</v>
      </c>
      <c r="B8608" t="s">
        <v>15592</v>
      </c>
      <c r="C8608" t="s">
        <v>5487</v>
      </c>
      <c r="D8608" t="s">
        <v>4119</v>
      </c>
      <c r="E8608" t="s">
        <v>5843</v>
      </c>
      <c r="F8608" t="s">
        <v>30727</v>
      </c>
      <c r="G8608" t="s">
        <v>16514</v>
      </c>
      <c r="H8608" t="s">
        <v>5474</v>
      </c>
      <c r="I8608" t="s">
        <v>30728</v>
      </c>
      <c r="J8608" t="s">
        <v>5484</v>
      </c>
      <c r="K8608" t="s">
        <v>30729</v>
      </c>
      <c r="L8608" t="s">
        <v>5471</v>
      </c>
      <c r="M8608" t="s">
        <v>5471</v>
      </c>
    </row>
    <row r="8609" spans="1:13" x14ac:dyDescent="0.3">
      <c r="A8609" t="s">
        <v>3388</v>
      </c>
      <c r="B8609" t="s">
        <v>30730</v>
      </c>
      <c r="C8609" t="s">
        <v>5470</v>
      </c>
      <c r="D8609" t="s">
        <v>10210</v>
      </c>
      <c r="E8609" t="s">
        <v>5532</v>
      </c>
      <c r="F8609" t="s">
        <v>30731</v>
      </c>
      <c r="G8609" t="s">
        <v>19330</v>
      </c>
      <c r="H8609" t="s">
        <v>5474</v>
      </c>
      <c r="I8609" t="s">
        <v>30732</v>
      </c>
      <c r="J8609" t="s">
        <v>5484</v>
      </c>
      <c r="K8609" t="s">
        <v>30733</v>
      </c>
      <c r="L8609" t="s">
        <v>5471</v>
      </c>
      <c r="M8609" t="s">
        <v>5471</v>
      </c>
    </row>
    <row r="8610" spans="1:13" x14ac:dyDescent="0.3">
      <c r="A8610" t="s">
        <v>3380</v>
      </c>
      <c r="B8610" t="s">
        <v>15592</v>
      </c>
      <c r="C8610" t="s">
        <v>5487</v>
      </c>
      <c r="D8610" t="s">
        <v>4119</v>
      </c>
      <c r="E8610" t="s">
        <v>5843</v>
      </c>
      <c r="F8610" t="s">
        <v>30734</v>
      </c>
      <c r="G8610" t="s">
        <v>16511</v>
      </c>
      <c r="H8610" t="s">
        <v>5474</v>
      </c>
      <c r="I8610" t="s">
        <v>30735</v>
      </c>
      <c r="J8610" t="s">
        <v>5484</v>
      </c>
      <c r="K8610" t="s">
        <v>30736</v>
      </c>
      <c r="L8610" t="s">
        <v>5471</v>
      </c>
      <c r="M8610" t="s">
        <v>5471</v>
      </c>
    </row>
    <row r="8611" spans="1:13" x14ac:dyDescent="0.3">
      <c r="A8611" t="s">
        <v>3388</v>
      </c>
      <c r="B8611" t="s">
        <v>10447</v>
      </c>
      <c r="C8611" t="s">
        <v>5470</v>
      </c>
      <c r="D8611" t="s">
        <v>10210</v>
      </c>
      <c r="E8611" t="s">
        <v>5756</v>
      </c>
      <c r="F8611" t="s">
        <v>30737</v>
      </c>
      <c r="G8611" t="s">
        <v>10449</v>
      </c>
      <c r="H8611" t="s">
        <v>5474</v>
      </c>
      <c r="I8611" t="s">
        <v>30738</v>
      </c>
      <c r="J8611" t="s">
        <v>5484</v>
      </c>
      <c r="K8611" t="s">
        <v>30739</v>
      </c>
      <c r="L8611" t="s">
        <v>5471</v>
      </c>
      <c r="M8611" t="s">
        <v>5471</v>
      </c>
    </row>
    <row r="8612" spans="1:13" x14ac:dyDescent="0.3">
      <c r="A8612" t="s">
        <v>3380</v>
      </c>
      <c r="B8612" t="s">
        <v>15592</v>
      </c>
      <c r="C8612" t="s">
        <v>5487</v>
      </c>
      <c r="D8612" t="s">
        <v>4119</v>
      </c>
      <c r="E8612" t="s">
        <v>5843</v>
      </c>
      <c r="F8612" t="s">
        <v>30740</v>
      </c>
      <c r="G8612" t="s">
        <v>15594</v>
      </c>
      <c r="H8612" t="s">
        <v>5474</v>
      </c>
      <c r="I8612" t="s">
        <v>30741</v>
      </c>
      <c r="J8612" t="s">
        <v>5484</v>
      </c>
      <c r="K8612" t="s">
        <v>24573</v>
      </c>
      <c r="L8612" t="s">
        <v>5471</v>
      </c>
      <c r="M8612" t="s">
        <v>5471</v>
      </c>
    </row>
    <row r="8613" spans="1:13" x14ac:dyDescent="0.3">
      <c r="A8613" t="s">
        <v>3388</v>
      </c>
      <c r="B8613" t="s">
        <v>30742</v>
      </c>
      <c r="C8613" t="s">
        <v>5470</v>
      </c>
      <c r="D8613" t="s">
        <v>10210</v>
      </c>
      <c r="E8613" t="s">
        <v>5532</v>
      </c>
      <c r="F8613" t="s">
        <v>30743</v>
      </c>
      <c r="G8613" t="s">
        <v>19334</v>
      </c>
      <c r="H8613" t="s">
        <v>5474</v>
      </c>
      <c r="I8613" t="s">
        <v>30744</v>
      </c>
      <c r="J8613" t="s">
        <v>5484</v>
      </c>
      <c r="K8613" t="s">
        <v>30745</v>
      </c>
      <c r="L8613" t="s">
        <v>5471</v>
      </c>
      <c r="M8613" t="s">
        <v>5471</v>
      </c>
    </row>
    <row r="8614" spans="1:13" x14ac:dyDescent="0.3">
      <c r="A8614" t="s">
        <v>3380</v>
      </c>
      <c r="B8614" t="s">
        <v>15592</v>
      </c>
      <c r="C8614" t="s">
        <v>5487</v>
      </c>
      <c r="D8614" t="s">
        <v>4119</v>
      </c>
      <c r="E8614" t="s">
        <v>5843</v>
      </c>
      <c r="F8614" t="s">
        <v>30746</v>
      </c>
      <c r="G8614" t="s">
        <v>16418</v>
      </c>
      <c r="H8614" t="s">
        <v>5474</v>
      </c>
      <c r="I8614" t="s">
        <v>30747</v>
      </c>
      <c r="J8614" t="s">
        <v>5484</v>
      </c>
      <c r="K8614" t="s">
        <v>30748</v>
      </c>
      <c r="L8614" t="s">
        <v>5471</v>
      </c>
      <c r="M8614" t="s">
        <v>5471</v>
      </c>
    </row>
    <row r="8615" spans="1:13" x14ac:dyDescent="0.3">
      <c r="A8615" t="s">
        <v>3388</v>
      </c>
      <c r="B8615" t="s">
        <v>30742</v>
      </c>
      <c r="C8615" t="s">
        <v>5470</v>
      </c>
      <c r="D8615" t="s">
        <v>10210</v>
      </c>
      <c r="E8615" t="s">
        <v>5532</v>
      </c>
      <c r="F8615" t="s">
        <v>30749</v>
      </c>
      <c r="G8615" t="s">
        <v>19334</v>
      </c>
      <c r="H8615" t="s">
        <v>5474</v>
      </c>
      <c r="I8615" t="s">
        <v>30750</v>
      </c>
      <c r="J8615" t="s">
        <v>5484</v>
      </c>
      <c r="K8615" t="s">
        <v>30751</v>
      </c>
      <c r="L8615" t="s">
        <v>5471</v>
      </c>
      <c r="M8615" t="s">
        <v>5471</v>
      </c>
    </row>
    <row r="8616" spans="1:13" x14ac:dyDescent="0.3">
      <c r="A8616" t="s">
        <v>3380</v>
      </c>
      <c r="B8616" t="s">
        <v>15592</v>
      </c>
      <c r="C8616" t="s">
        <v>5487</v>
      </c>
      <c r="D8616" t="s">
        <v>4119</v>
      </c>
      <c r="E8616" t="s">
        <v>5843</v>
      </c>
      <c r="F8616" t="s">
        <v>30752</v>
      </c>
      <c r="G8616" t="s">
        <v>16418</v>
      </c>
      <c r="H8616" t="s">
        <v>5474</v>
      </c>
      <c r="I8616" t="s">
        <v>30753</v>
      </c>
      <c r="J8616" t="s">
        <v>5484</v>
      </c>
      <c r="K8616" t="s">
        <v>22724</v>
      </c>
      <c r="L8616" t="s">
        <v>5471</v>
      </c>
      <c r="M8616" t="s">
        <v>5471</v>
      </c>
    </row>
    <row r="8617" spans="1:13" x14ac:dyDescent="0.3">
      <c r="A8617" t="s">
        <v>3388</v>
      </c>
      <c r="B8617" t="s">
        <v>30742</v>
      </c>
      <c r="C8617" t="s">
        <v>5470</v>
      </c>
      <c r="D8617" t="s">
        <v>10210</v>
      </c>
      <c r="E8617" t="s">
        <v>5532</v>
      </c>
      <c r="F8617" t="s">
        <v>30754</v>
      </c>
      <c r="G8617" t="s">
        <v>19334</v>
      </c>
      <c r="H8617" t="s">
        <v>5474</v>
      </c>
      <c r="I8617" t="s">
        <v>30755</v>
      </c>
      <c r="J8617" t="s">
        <v>5484</v>
      </c>
      <c r="K8617" t="s">
        <v>30756</v>
      </c>
      <c r="L8617" t="s">
        <v>5471</v>
      </c>
      <c r="M8617" t="s">
        <v>5471</v>
      </c>
    </row>
    <row r="8618" spans="1:13" x14ac:dyDescent="0.3">
      <c r="A8618" t="s">
        <v>3380</v>
      </c>
      <c r="B8618" t="s">
        <v>16268</v>
      </c>
      <c r="C8618" t="s">
        <v>6342</v>
      </c>
      <c r="D8618" t="s">
        <v>4119</v>
      </c>
      <c r="E8618" t="s">
        <v>5532</v>
      </c>
      <c r="F8618" t="s">
        <v>30757</v>
      </c>
      <c r="G8618" t="s">
        <v>16270</v>
      </c>
      <c r="H8618" t="s">
        <v>5474</v>
      </c>
      <c r="I8618" t="s">
        <v>30758</v>
      </c>
      <c r="J8618" t="s">
        <v>5484</v>
      </c>
      <c r="K8618" t="s">
        <v>11581</v>
      </c>
      <c r="L8618" t="s">
        <v>5471</v>
      </c>
      <c r="M8618" t="s">
        <v>5471</v>
      </c>
    </row>
    <row r="8619" spans="1:13" x14ac:dyDescent="0.3">
      <c r="A8619" t="s">
        <v>3388</v>
      </c>
      <c r="B8619" t="s">
        <v>30742</v>
      </c>
      <c r="C8619" t="s">
        <v>5470</v>
      </c>
      <c r="D8619" t="s">
        <v>10210</v>
      </c>
      <c r="E8619" t="s">
        <v>5532</v>
      </c>
      <c r="F8619" t="s">
        <v>30759</v>
      </c>
      <c r="G8619" t="s">
        <v>19334</v>
      </c>
      <c r="H8619" t="s">
        <v>5474</v>
      </c>
      <c r="I8619" t="s">
        <v>30760</v>
      </c>
      <c r="J8619" t="s">
        <v>5484</v>
      </c>
      <c r="K8619" t="s">
        <v>30761</v>
      </c>
      <c r="L8619" t="s">
        <v>5471</v>
      </c>
      <c r="M8619" t="s">
        <v>5471</v>
      </c>
    </row>
    <row r="8620" spans="1:13" x14ac:dyDescent="0.3">
      <c r="A8620" t="s">
        <v>3380</v>
      </c>
      <c r="B8620" t="s">
        <v>16268</v>
      </c>
      <c r="C8620" t="s">
        <v>6342</v>
      </c>
      <c r="D8620" t="s">
        <v>4119</v>
      </c>
      <c r="E8620" t="s">
        <v>5532</v>
      </c>
      <c r="F8620" t="s">
        <v>30762</v>
      </c>
      <c r="G8620" t="s">
        <v>16270</v>
      </c>
      <c r="H8620" t="s">
        <v>5474</v>
      </c>
      <c r="I8620" t="s">
        <v>30763</v>
      </c>
      <c r="J8620" t="s">
        <v>5484</v>
      </c>
      <c r="K8620" t="s">
        <v>30764</v>
      </c>
      <c r="L8620" t="s">
        <v>5471</v>
      </c>
      <c r="M8620" t="s">
        <v>5471</v>
      </c>
    </row>
    <row r="8621" spans="1:13" x14ac:dyDescent="0.3">
      <c r="A8621" t="s">
        <v>3388</v>
      </c>
      <c r="B8621" t="s">
        <v>30742</v>
      </c>
      <c r="C8621" t="s">
        <v>5470</v>
      </c>
      <c r="D8621" t="s">
        <v>10210</v>
      </c>
      <c r="E8621" t="s">
        <v>5532</v>
      </c>
      <c r="F8621" t="s">
        <v>30765</v>
      </c>
      <c r="G8621" t="s">
        <v>19334</v>
      </c>
      <c r="H8621" t="s">
        <v>5474</v>
      </c>
      <c r="I8621" t="s">
        <v>30766</v>
      </c>
      <c r="J8621" t="s">
        <v>5484</v>
      </c>
      <c r="K8621" t="s">
        <v>30767</v>
      </c>
      <c r="L8621" t="s">
        <v>5471</v>
      </c>
      <c r="M8621" t="s">
        <v>5471</v>
      </c>
    </row>
    <row r="8622" spans="1:13" x14ac:dyDescent="0.3">
      <c r="A8622" t="s">
        <v>3380</v>
      </c>
      <c r="B8622" t="s">
        <v>16268</v>
      </c>
      <c r="C8622" t="s">
        <v>6342</v>
      </c>
      <c r="D8622" t="s">
        <v>4119</v>
      </c>
      <c r="E8622" t="s">
        <v>5532</v>
      </c>
      <c r="F8622" t="s">
        <v>30768</v>
      </c>
      <c r="G8622" t="s">
        <v>16296</v>
      </c>
      <c r="H8622" t="s">
        <v>5474</v>
      </c>
      <c r="I8622" t="s">
        <v>30769</v>
      </c>
      <c r="J8622" t="s">
        <v>5484</v>
      </c>
      <c r="K8622" t="s">
        <v>23533</v>
      </c>
      <c r="L8622" t="s">
        <v>5471</v>
      </c>
      <c r="M8622" t="s">
        <v>5471</v>
      </c>
    </row>
    <row r="8623" spans="1:13" x14ac:dyDescent="0.3">
      <c r="A8623" t="s">
        <v>3388</v>
      </c>
      <c r="B8623" t="s">
        <v>30742</v>
      </c>
      <c r="C8623" t="s">
        <v>5470</v>
      </c>
      <c r="D8623" t="s">
        <v>10210</v>
      </c>
      <c r="E8623" t="s">
        <v>5532</v>
      </c>
      <c r="F8623" t="s">
        <v>30770</v>
      </c>
      <c r="G8623" t="s">
        <v>19334</v>
      </c>
      <c r="H8623" t="s">
        <v>5474</v>
      </c>
      <c r="I8623" t="s">
        <v>30771</v>
      </c>
      <c r="J8623" t="s">
        <v>5484</v>
      </c>
      <c r="K8623" t="s">
        <v>30772</v>
      </c>
      <c r="L8623" t="s">
        <v>5471</v>
      </c>
      <c r="M8623" t="s">
        <v>5471</v>
      </c>
    </row>
    <row r="8624" spans="1:13" x14ac:dyDescent="0.3">
      <c r="A8624" t="s">
        <v>3380</v>
      </c>
      <c r="B8624" t="s">
        <v>16268</v>
      </c>
      <c r="C8624" t="s">
        <v>6342</v>
      </c>
      <c r="D8624" t="s">
        <v>4119</v>
      </c>
      <c r="E8624" t="s">
        <v>5532</v>
      </c>
      <c r="F8624" t="s">
        <v>30773</v>
      </c>
      <c r="G8624" t="s">
        <v>16296</v>
      </c>
      <c r="H8624" t="s">
        <v>5474</v>
      </c>
      <c r="I8624" t="s">
        <v>30774</v>
      </c>
      <c r="J8624" t="s">
        <v>5484</v>
      </c>
      <c r="K8624" t="s">
        <v>23536</v>
      </c>
      <c r="L8624" t="s">
        <v>5471</v>
      </c>
      <c r="M8624" t="s">
        <v>5471</v>
      </c>
    </row>
    <row r="8625" spans="1:13" x14ac:dyDescent="0.3">
      <c r="A8625" t="s">
        <v>3380</v>
      </c>
      <c r="B8625" t="s">
        <v>16268</v>
      </c>
      <c r="C8625" t="s">
        <v>6342</v>
      </c>
      <c r="D8625" t="s">
        <v>4119</v>
      </c>
      <c r="E8625" t="s">
        <v>5532</v>
      </c>
      <c r="F8625" t="s">
        <v>30775</v>
      </c>
      <c r="G8625" t="s">
        <v>16270</v>
      </c>
      <c r="H8625" t="s">
        <v>5474</v>
      </c>
      <c r="I8625" t="s">
        <v>30776</v>
      </c>
      <c r="J8625" t="s">
        <v>5484</v>
      </c>
      <c r="K8625" t="s">
        <v>30777</v>
      </c>
      <c r="L8625" t="s">
        <v>5471</v>
      </c>
      <c r="M8625" t="s">
        <v>5471</v>
      </c>
    </row>
    <row r="8626" spans="1:13" x14ac:dyDescent="0.3">
      <c r="A8626" t="s">
        <v>3388</v>
      </c>
      <c r="B8626" t="s">
        <v>30778</v>
      </c>
      <c r="C8626" t="s">
        <v>5470</v>
      </c>
      <c r="D8626" t="s">
        <v>10210</v>
      </c>
      <c r="E8626" t="s">
        <v>5532</v>
      </c>
      <c r="F8626" t="s">
        <v>30779</v>
      </c>
      <c r="G8626" t="s">
        <v>30780</v>
      </c>
      <c r="H8626" t="s">
        <v>5474</v>
      </c>
      <c r="I8626" t="s">
        <v>30781</v>
      </c>
      <c r="J8626" t="s">
        <v>5484</v>
      </c>
      <c r="K8626" t="s">
        <v>30782</v>
      </c>
      <c r="L8626" t="s">
        <v>5471</v>
      </c>
      <c r="M8626" t="s">
        <v>5471</v>
      </c>
    </row>
    <row r="8627" spans="1:13" x14ac:dyDescent="0.3">
      <c r="A8627" t="s">
        <v>3380</v>
      </c>
      <c r="B8627" t="s">
        <v>16268</v>
      </c>
      <c r="C8627" t="s">
        <v>6342</v>
      </c>
      <c r="D8627" t="s">
        <v>4119</v>
      </c>
      <c r="E8627" t="s">
        <v>5532</v>
      </c>
      <c r="F8627" t="s">
        <v>30783</v>
      </c>
      <c r="G8627" t="s">
        <v>28357</v>
      </c>
      <c r="H8627" t="s">
        <v>5474</v>
      </c>
      <c r="I8627" t="s">
        <v>30784</v>
      </c>
      <c r="J8627" t="s">
        <v>5484</v>
      </c>
      <c r="K8627" t="s">
        <v>30785</v>
      </c>
      <c r="L8627" t="s">
        <v>5471</v>
      </c>
      <c r="M8627" t="s">
        <v>5471</v>
      </c>
    </row>
    <row r="8628" spans="1:13" x14ac:dyDescent="0.3">
      <c r="A8628" t="s">
        <v>3388</v>
      </c>
      <c r="B8628" t="s">
        <v>30730</v>
      </c>
      <c r="C8628" t="s">
        <v>5470</v>
      </c>
      <c r="D8628" t="s">
        <v>10210</v>
      </c>
      <c r="E8628" t="s">
        <v>5532</v>
      </c>
      <c r="F8628" t="s">
        <v>30786</v>
      </c>
      <c r="G8628" t="s">
        <v>19330</v>
      </c>
      <c r="H8628" t="s">
        <v>5474</v>
      </c>
      <c r="I8628" t="s">
        <v>30787</v>
      </c>
      <c r="J8628" t="s">
        <v>5484</v>
      </c>
      <c r="K8628" t="s">
        <v>30788</v>
      </c>
      <c r="L8628" t="s">
        <v>5471</v>
      </c>
      <c r="M8628" t="s">
        <v>5471</v>
      </c>
    </row>
    <row r="8629" spans="1:13" x14ac:dyDescent="0.3">
      <c r="A8629" t="s">
        <v>3380</v>
      </c>
      <c r="B8629" t="s">
        <v>16268</v>
      </c>
      <c r="C8629" t="s">
        <v>6342</v>
      </c>
      <c r="D8629" t="s">
        <v>4119</v>
      </c>
      <c r="E8629" t="s">
        <v>5532</v>
      </c>
      <c r="F8629" t="s">
        <v>30789</v>
      </c>
      <c r="G8629" t="s">
        <v>30790</v>
      </c>
      <c r="H8629" t="s">
        <v>5474</v>
      </c>
      <c r="I8629" t="s">
        <v>30791</v>
      </c>
      <c r="J8629" t="s">
        <v>5484</v>
      </c>
      <c r="K8629" t="s">
        <v>30792</v>
      </c>
      <c r="L8629" t="s">
        <v>5471</v>
      </c>
      <c r="M8629" t="s">
        <v>5471</v>
      </c>
    </row>
    <row r="8630" spans="1:13" x14ac:dyDescent="0.3">
      <c r="A8630" t="s">
        <v>3388</v>
      </c>
      <c r="B8630" t="s">
        <v>30730</v>
      </c>
      <c r="C8630" t="s">
        <v>5470</v>
      </c>
      <c r="D8630" t="s">
        <v>10210</v>
      </c>
      <c r="E8630" t="s">
        <v>5532</v>
      </c>
      <c r="F8630" t="s">
        <v>30793</v>
      </c>
      <c r="G8630" t="s">
        <v>19330</v>
      </c>
      <c r="H8630" t="s">
        <v>5474</v>
      </c>
      <c r="I8630" t="s">
        <v>30794</v>
      </c>
      <c r="J8630" t="s">
        <v>5484</v>
      </c>
      <c r="K8630" t="s">
        <v>30795</v>
      </c>
      <c r="L8630" t="s">
        <v>5471</v>
      </c>
      <c r="M8630" t="s">
        <v>5471</v>
      </c>
    </row>
    <row r="8631" spans="1:13" x14ac:dyDescent="0.3">
      <c r="A8631" t="s">
        <v>3380</v>
      </c>
      <c r="B8631" t="s">
        <v>16268</v>
      </c>
      <c r="C8631" t="s">
        <v>6342</v>
      </c>
      <c r="D8631" t="s">
        <v>4119</v>
      </c>
      <c r="E8631" t="s">
        <v>5532</v>
      </c>
      <c r="F8631" t="s">
        <v>30796</v>
      </c>
      <c r="G8631" t="s">
        <v>28354</v>
      </c>
      <c r="H8631" t="s">
        <v>5474</v>
      </c>
      <c r="I8631" t="s">
        <v>30797</v>
      </c>
      <c r="J8631" t="s">
        <v>5484</v>
      </c>
      <c r="K8631" t="s">
        <v>30798</v>
      </c>
      <c r="L8631" t="s">
        <v>5471</v>
      </c>
      <c r="M8631" t="s">
        <v>5471</v>
      </c>
    </row>
    <row r="8632" spans="1:13" x14ac:dyDescent="0.3">
      <c r="A8632" t="s">
        <v>3388</v>
      </c>
      <c r="B8632" t="s">
        <v>30730</v>
      </c>
      <c r="C8632" t="s">
        <v>5470</v>
      </c>
      <c r="D8632" t="s">
        <v>10210</v>
      </c>
      <c r="E8632" t="s">
        <v>5532</v>
      </c>
      <c r="F8632" t="s">
        <v>30799</v>
      </c>
      <c r="G8632" t="s">
        <v>19330</v>
      </c>
      <c r="H8632" t="s">
        <v>5474</v>
      </c>
      <c r="I8632" t="s">
        <v>30800</v>
      </c>
      <c r="J8632" t="s">
        <v>5484</v>
      </c>
      <c r="K8632" t="s">
        <v>30801</v>
      </c>
      <c r="L8632" t="s">
        <v>5471</v>
      </c>
      <c r="M8632" t="s">
        <v>5471</v>
      </c>
    </row>
    <row r="8633" spans="1:13" x14ac:dyDescent="0.3">
      <c r="A8633" t="s">
        <v>3380</v>
      </c>
      <c r="B8633" t="s">
        <v>16268</v>
      </c>
      <c r="C8633" t="s">
        <v>6342</v>
      </c>
      <c r="D8633" t="s">
        <v>4119</v>
      </c>
      <c r="E8633" t="s">
        <v>5532</v>
      </c>
      <c r="F8633" t="s">
        <v>30802</v>
      </c>
      <c r="G8633" t="s">
        <v>16270</v>
      </c>
      <c r="H8633" t="s">
        <v>5474</v>
      </c>
      <c r="I8633" t="s">
        <v>30803</v>
      </c>
      <c r="J8633" t="s">
        <v>5484</v>
      </c>
      <c r="K8633" t="s">
        <v>22724</v>
      </c>
      <c r="L8633" t="s">
        <v>5471</v>
      </c>
      <c r="M8633" t="s">
        <v>5471</v>
      </c>
    </row>
    <row r="8634" spans="1:13" x14ac:dyDescent="0.3">
      <c r="A8634" t="s">
        <v>3388</v>
      </c>
      <c r="B8634" t="s">
        <v>30730</v>
      </c>
      <c r="C8634" t="s">
        <v>5470</v>
      </c>
      <c r="D8634" t="s">
        <v>10210</v>
      </c>
      <c r="E8634" t="s">
        <v>5532</v>
      </c>
      <c r="F8634" t="s">
        <v>30804</v>
      </c>
      <c r="G8634" t="s">
        <v>19330</v>
      </c>
      <c r="H8634" t="s">
        <v>5474</v>
      </c>
      <c r="I8634" t="s">
        <v>30805</v>
      </c>
      <c r="J8634" t="s">
        <v>5484</v>
      </c>
      <c r="K8634" t="s">
        <v>30806</v>
      </c>
      <c r="L8634" t="s">
        <v>5471</v>
      </c>
      <c r="M8634" t="s">
        <v>5471</v>
      </c>
    </row>
    <row r="8635" spans="1:13" x14ac:dyDescent="0.3">
      <c r="A8635" t="s">
        <v>3380</v>
      </c>
      <c r="B8635" t="s">
        <v>27164</v>
      </c>
      <c r="C8635" t="s">
        <v>6342</v>
      </c>
      <c r="D8635" t="s">
        <v>4119</v>
      </c>
      <c r="E8635" t="s">
        <v>5532</v>
      </c>
      <c r="F8635" t="s">
        <v>30807</v>
      </c>
      <c r="G8635" t="s">
        <v>27166</v>
      </c>
      <c r="H8635" t="s">
        <v>5474</v>
      </c>
      <c r="I8635" t="s">
        <v>30808</v>
      </c>
      <c r="J8635" t="s">
        <v>5484</v>
      </c>
      <c r="K8635" t="s">
        <v>11581</v>
      </c>
      <c r="L8635" t="s">
        <v>5471</v>
      </c>
      <c r="M8635" t="s">
        <v>5471</v>
      </c>
    </row>
    <row r="8636" spans="1:13" x14ac:dyDescent="0.3">
      <c r="A8636" t="s">
        <v>3388</v>
      </c>
      <c r="B8636" t="s">
        <v>30730</v>
      </c>
      <c r="C8636" t="s">
        <v>5470</v>
      </c>
      <c r="D8636" t="s">
        <v>10210</v>
      </c>
      <c r="E8636" t="s">
        <v>5532</v>
      </c>
      <c r="F8636" t="s">
        <v>30809</v>
      </c>
      <c r="G8636" t="s">
        <v>19330</v>
      </c>
      <c r="H8636" t="s">
        <v>5474</v>
      </c>
      <c r="I8636" t="s">
        <v>30810</v>
      </c>
      <c r="J8636" t="s">
        <v>5484</v>
      </c>
      <c r="K8636" t="s">
        <v>30811</v>
      </c>
      <c r="L8636" t="s">
        <v>5471</v>
      </c>
      <c r="M8636" t="s">
        <v>5471</v>
      </c>
    </row>
    <row r="8637" spans="1:13" x14ac:dyDescent="0.3">
      <c r="A8637" t="s">
        <v>3380</v>
      </c>
      <c r="B8637" t="s">
        <v>27164</v>
      </c>
      <c r="C8637" t="s">
        <v>6342</v>
      </c>
      <c r="D8637" t="s">
        <v>4119</v>
      </c>
      <c r="E8637" t="s">
        <v>5532</v>
      </c>
      <c r="F8637" t="s">
        <v>30812</v>
      </c>
      <c r="G8637" t="s">
        <v>27166</v>
      </c>
      <c r="H8637" t="s">
        <v>5474</v>
      </c>
      <c r="I8637" t="s">
        <v>30813</v>
      </c>
      <c r="J8637" t="s">
        <v>5484</v>
      </c>
      <c r="K8637" t="s">
        <v>30814</v>
      </c>
      <c r="L8637" t="s">
        <v>5471</v>
      </c>
      <c r="M8637" t="s">
        <v>5471</v>
      </c>
    </row>
    <row r="8638" spans="1:13" x14ac:dyDescent="0.3">
      <c r="A8638" t="s">
        <v>3388</v>
      </c>
      <c r="B8638" t="s">
        <v>30730</v>
      </c>
      <c r="C8638" t="s">
        <v>5470</v>
      </c>
      <c r="D8638" t="s">
        <v>10210</v>
      </c>
      <c r="E8638" t="s">
        <v>5532</v>
      </c>
      <c r="F8638" t="s">
        <v>30815</v>
      </c>
      <c r="G8638" t="s">
        <v>19330</v>
      </c>
      <c r="H8638" t="s">
        <v>5474</v>
      </c>
      <c r="I8638" t="s">
        <v>30816</v>
      </c>
      <c r="J8638" t="s">
        <v>5484</v>
      </c>
      <c r="K8638" t="s">
        <v>30817</v>
      </c>
      <c r="L8638" t="s">
        <v>5471</v>
      </c>
      <c r="M8638" t="s">
        <v>5471</v>
      </c>
    </row>
    <row r="8639" spans="1:13" x14ac:dyDescent="0.3">
      <c r="A8639" t="s">
        <v>3380</v>
      </c>
      <c r="B8639" t="s">
        <v>27164</v>
      </c>
      <c r="C8639" t="s">
        <v>6342</v>
      </c>
      <c r="D8639" t="s">
        <v>4119</v>
      </c>
      <c r="E8639" t="s">
        <v>9935</v>
      </c>
      <c r="F8639" t="s">
        <v>30818</v>
      </c>
      <c r="G8639" t="s">
        <v>27166</v>
      </c>
      <c r="H8639" t="s">
        <v>5474</v>
      </c>
      <c r="I8639" t="s">
        <v>30819</v>
      </c>
      <c r="J8639" t="s">
        <v>5484</v>
      </c>
      <c r="K8639" t="s">
        <v>10555</v>
      </c>
      <c r="L8639" t="s">
        <v>5471</v>
      </c>
      <c r="M8639" t="s">
        <v>5471</v>
      </c>
    </row>
    <row r="8640" spans="1:13" x14ac:dyDescent="0.3">
      <c r="A8640" t="s">
        <v>3388</v>
      </c>
      <c r="B8640" t="s">
        <v>30730</v>
      </c>
      <c r="C8640" t="s">
        <v>5470</v>
      </c>
      <c r="D8640" t="s">
        <v>10210</v>
      </c>
      <c r="E8640" t="s">
        <v>5532</v>
      </c>
      <c r="F8640" t="s">
        <v>30820</v>
      </c>
      <c r="G8640" t="s">
        <v>19330</v>
      </c>
      <c r="H8640" t="s">
        <v>5474</v>
      </c>
      <c r="I8640" t="s">
        <v>30821</v>
      </c>
      <c r="J8640" t="s">
        <v>5484</v>
      </c>
      <c r="K8640" t="s">
        <v>30822</v>
      </c>
      <c r="L8640" t="s">
        <v>5471</v>
      </c>
      <c r="M8640" t="s">
        <v>5471</v>
      </c>
    </row>
    <row r="8641" spans="1:13" x14ac:dyDescent="0.3">
      <c r="A8641" t="s">
        <v>3380</v>
      </c>
      <c r="B8641" t="s">
        <v>27164</v>
      </c>
      <c r="C8641" t="s">
        <v>6342</v>
      </c>
      <c r="D8641" t="s">
        <v>4119</v>
      </c>
      <c r="E8641" t="s">
        <v>9935</v>
      </c>
      <c r="F8641" t="s">
        <v>30823</v>
      </c>
      <c r="G8641" t="s">
        <v>27166</v>
      </c>
      <c r="H8641" t="s">
        <v>5474</v>
      </c>
      <c r="I8641" t="s">
        <v>30824</v>
      </c>
      <c r="J8641" t="s">
        <v>5484</v>
      </c>
      <c r="K8641" t="s">
        <v>10804</v>
      </c>
      <c r="L8641" t="s">
        <v>5471</v>
      </c>
      <c r="M8641" t="s">
        <v>5471</v>
      </c>
    </row>
    <row r="8642" spans="1:13" x14ac:dyDescent="0.3">
      <c r="A8642" t="s">
        <v>3388</v>
      </c>
      <c r="B8642" t="s">
        <v>30730</v>
      </c>
      <c r="C8642" t="s">
        <v>5470</v>
      </c>
      <c r="D8642" t="s">
        <v>10210</v>
      </c>
      <c r="E8642" t="s">
        <v>5532</v>
      </c>
      <c r="F8642" t="s">
        <v>30825</v>
      </c>
      <c r="G8642" t="s">
        <v>19330</v>
      </c>
      <c r="H8642" t="s">
        <v>5474</v>
      </c>
      <c r="I8642" t="s">
        <v>30826</v>
      </c>
      <c r="J8642" t="s">
        <v>5484</v>
      </c>
      <c r="K8642" t="s">
        <v>30827</v>
      </c>
      <c r="L8642" t="s">
        <v>5471</v>
      </c>
      <c r="M8642" t="s">
        <v>5471</v>
      </c>
    </row>
    <row r="8643" spans="1:13" x14ac:dyDescent="0.3">
      <c r="A8643" t="s">
        <v>3380</v>
      </c>
      <c r="B8643" t="s">
        <v>27164</v>
      </c>
      <c r="C8643" t="s">
        <v>6342</v>
      </c>
      <c r="D8643" t="s">
        <v>4119</v>
      </c>
      <c r="E8643" t="s">
        <v>9935</v>
      </c>
      <c r="F8643" t="s">
        <v>30828</v>
      </c>
      <c r="G8643" t="s">
        <v>27166</v>
      </c>
      <c r="H8643" t="s">
        <v>5474</v>
      </c>
      <c r="I8643" t="s">
        <v>30829</v>
      </c>
      <c r="J8643" t="s">
        <v>5484</v>
      </c>
      <c r="K8643" t="s">
        <v>10558</v>
      </c>
      <c r="L8643" t="s">
        <v>5471</v>
      </c>
      <c r="M8643" t="s">
        <v>5471</v>
      </c>
    </row>
    <row r="8644" spans="1:13" x14ac:dyDescent="0.3">
      <c r="A8644" t="s">
        <v>3388</v>
      </c>
      <c r="B8644" t="s">
        <v>30730</v>
      </c>
      <c r="C8644" t="s">
        <v>5470</v>
      </c>
      <c r="D8644" t="s">
        <v>10210</v>
      </c>
      <c r="E8644" t="s">
        <v>5532</v>
      </c>
      <c r="F8644" t="s">
        <v>30830</v>
      </c>
      <c r="G8644" t="s">
        <v>19330</v>
      </c>
      <c r="H8644" t="s">
        <v>5474</v>
      </c>
      <c r="I8644" t="s">
        <v>30831</v>
      </c>
      <c r="J8644" t="s">
        <v>5484</v>
      </c>
      <c r="K8644" t="s">
        <v>30832</v>
      </c>
      <c r="L8644" t="s">
        <v>5471</v>
      </c>
      <c r="M8644" t="s">
        <v>5471</v>
      </c>
    </row>
    <row r="8645" spans="1:13" x14ac:dyDescent="0.3">
      <c r="A8645" t="s">
        <v>3380</v>
      </c>
      <c r="B8645" t="s">
        <v>27164</v>
      </c>
      <c r="C8645" t="s">
        <v>6342</v>
      </c>
      <c r="D8645" t="s">
        <v>4119</v>
      </c>
      <c r="E8645" t="s">
        <v>9935</v>
      </c>
      <c r="F8645" t="s">
        <v>30833</v>
      </c>
      <c r="G8645" t="s">
        <v>27166</v>
      </c>
      <c r="H8645" t="s">
        <v>5474</v>
      </c>
      <c r="I8645" t="s">
        <v>30834</v>
      </c>
      <c r="J8645" t="s">
        <v>5484</v>
      </c>
      <c r="K8645" t="s">
        <v>10811</v>
      </c>
      <c r="L8645" t="s">
        <v>5471</v>
      </c>
      <c r="M8645" t="s">
        <v>5471</v>
      </c>
    </row>
    <row r="8646" spans="1:13" x14ac:dyDescent="0.3">
      <c r="A8646" t="s">
        <v>3380</v>
      </c>
      <c r="B8646" t="s">
        <v>27164</v>
      </c>
      <c r="C8646" t="s">
        <v>6342</v>
      </c>
      <c r="D8646" t="s">
        <v>4119</v>
      </c>
      <c r="E8646" t="s">
        <v>5532</v>
      </c>
      <c r="F8646" t="s">
        <v>30835</v>
      </c>
      <c r="G8646" t="s">
        <v>30836</v>
      </c>
      <c r="H8646" t="s">
        <v>5474</v>
      </c>
      <c r="I8646" t="s">
        <v>30837</v>
      </c>
      <c r="J8646" t="s">
        <v>5476</v>
      </c>
      <c r="K8646" t="s">
        <v>30838</v>
      </c>
      <c r="L8646" t="s">
        <v>5471</v>
      </c>
      <c r="M8646" t="s">
        <v>5471</v>
      </c>
    </row>
    <row r="8647" spans="1:13" x14ac:dyDescent="0.3">
      <c r="A8647" t="s">
        <v>3380</v>
      </c>
      <c r="B8647" t="s">
        <v>27164</v>
      </c>
      <c r="C8647" t="s">
        <v>6342</v>
      </c>
      <c r="D8647" t="s">
        <v>4119</v>
      </c>
      <c r="E8647" t="s">
        <v>9935</v>
      </c>
      <c r="F8647" t="s">
        <v>30839</v>
      </c>
      <c r="G8647" t="s">
        <v>30840</v>
      </c>
      <c r="H8647" t="s">
        <v>5474</v>
      </c>
      <c r="I8647" t="s">
        <v>30841</v>
      </c>
      <c r="J8647" t="s">
        <v>5484</v>
      </c>
      <c r="K8647" t="s">
        <v>23483</v>
      </c>
      <c r="L8647" t="s">
        <v>5471</v>
      </c>
      <c r="M8647" t="s">
        <v>5471</v>
      </c>
    </row>
    <row r="8648" spans="1:13" x14ac:dyDescent="0.3">
      <c r="A8648" t="s">
        <v>3388</v>
      </c>
      <c r="B8648" t="s">
        <v>30730</v>
      </c>
      <c r="C8648" t="s">
        <v>5470</v>
      </c>
      <c r="D8648" t="s">
        <v>10210</v>
      </c>
      <c r="E8648" t="s">
        <v>5532</v>
      </c>
      <c r="F8648" t="s">
        <v>30842</v>
      </c>
      <c r="G8648" t="s">
        <v>19330</v>
      </c>
      <c r="H8648" t="s">
        <v>5474</v>
      </c>
      <c r="I8648" t="s">
        <v>30843</v>
      </c>
      <c r="J8648" t="s">
        <v>5484</v>
      </c>
      <c r="K8648" t="s">
        <v>30844</v>
      </c>
      <c r="L8648" t="s">
        <v>5471</v>
      </c>
      <c r="M8648" t="s">
        <v>5471</v>
      </c>
    </row>
    <row r="8649" spans="1:13" x14ac:dyDescent="0.3">
      <c r="A8649" t="s">
        <v>3380</v>
      </c>
      <c r="B8649" t="s">
        <v>27164</v>
      </c>
      <c r="C8649" t="s">
        <v>6342</v>
      </c>
      <c r="D8649" t="s">
        <v>4119</v>
      </c>
      <c r="E8649" t="s">
        <v>9935</v>
      </c>
      <c r="F8649" t="s">
        <v>30845</v>
      </c>
      <c r="G8649" t="s">
        <v>30846</v>
      </c>
      <c r="H8649" t="s">
        <v>5474</v>
      </c>
      <c r="I8649" t="s">
        <v>30847</v>
      </c>
      <c r="J8649" t="s">
        <v>5484</v>
      </c>
      <c r="K8649" t="s">
        <v>30848</v>
      </c>
      <c r="L8649" t="s">
        <v>5471</v>
      </c>
      <c r="M8649" t="s">
        <v>5471</v>
      </c>
    </row>
    <row r="8650" spans="1:13" x14ac:dyDescent="0.3">
      <c r="A8650" t="s">
        <v>3388</v>
      </c>
      <c r="B8650" t="s">
        <v>30730</v>
      </c>
      <c r="C8650" t="s">
        <v>5470</v>
      </c>
      <c r="D8650" t="s">
        <v>10210</v>
      </c>
      <c r="E8650" t="s">
        <v>5532</v>
      </c>
      <c r="F8650" t="s">
        <v>30849</v>
      </c>
      <c r="G8650" t="s">
        <v>19330</v>
      </c>
      <c r="H8650" t="s">
        <v>5474</v>
      </c>
      <c r="I8650" t="s">
        <v>30850</v>
      </c>
      <c r="J8650" t="s">
        <v>5484</v>
      </c>
      <c r="K8650" t="s">
        <v>30851</v>
      </c>
      <c r="L8650" t="s">
        <v>5471</v>
      </c>
      <c r="M8650" t="s">
        <v>5471</v>
      </c>
    </row>
    <row r="8651" spans="1:13" x14ac:dyDescent="0.3">
      <c r="A8651" t="s">
        <v>3380</v>
      </c>
      <c r="B8651" t="s">
        <v>27164</v>
      </c>
      <c r="C8651" t="s">
        <v>6342</v>
      </c>
      <c r="D8651" t="s">
        <v>4119</v>
      </c>
      <c r="E8651" t="s">
        <v>9935</v>
      </c>
      <c r="F8651" t="s">
        <v>30852</v>
      </c>
      <c r="G8651" t="s">
        <v>28427</v>
      </c>
      <c r="H8651" t="s">
        <v>5474</v>
      </c>
      <c r="I8651" t="s">
        <v>30853</v>
      </c>
      <c r="J8651" t="s">
        <v>5484</v>
      </c>
      <c r="K8651" t="s">
        <v>30854</v>
      </c>
      <c r="L8651" t="s">
        <v>5471</v>
      </c>
      <c r="M8651" t="s">
        <v>5471</v>
      </c>
    </row>
    <row r="8652" spans="1:13" x14ac:dyDescent="0.3">
      <c r="A8652" t="s">
        <v>3380</v>
      </c>
      <c r="B8652" t="s">
        <v>27164</v>
      </c>
      <c r="C8652" t="s">
        <v>6342</v>
      </c>
      <c r="D8652" t="s">
        <v>4119</v>
      </c>
      <c r="E8652" t="s">
        <v>9935</v>
      </c>
      <c r="F8652" t="s">
        <v>30855</v>
      </c>
      <c r="G8652" t="s">
        <v>30856</v>
      </c>
      <c r="H8652" t="s">
        <v>5474</v>
      </c>
      <c r="I8652" t="s">
        <v>30857</v>
      </c>
      <c r="J8652" t="s">
        <v>5484</v>
      </c>
      <c r="K8652" t="s">
        <v>30858</v>
      </c>
      <c r="L8652" t="s">
        <v>5471</v>
      </c>
      <c r="M8652" t="s">
        <v>5471</v>
      </c>
    </row>
    <row r="8653" spans="1:13" x14ac:dyDescent="0.3">
      <c r="A8653" t="s">
        <v>3388</v>
      </c>
      <c r="B8653" t="s">
        <v>30859</v>
      </c>
      <c r="C8653" t="s">
        <v>5470</v>
      </c>
      <c r="D8653" t="s">
        <v>10210</v>
      </c>
      <c r="E8653" t="s">
        <v>5532</v>
      </c>
      <c r="F8653" t="s">
        <v>30860</v>
      </c>
      <c r="G8653" t="s">
        <v>30861</v>
      </c>
      <c r="H8653" t="s">
        <v>5474</v>
      </c>
      <c r="I8653" t="s">
        <v>30862</v>
      </c>
      <c r="J8653" t="s">
        <v>5484</v>
      </c>
      <c r="K8653" t="s">
        <v>30863</v>
      </c>
      <c r="L8653" t="s">
        <v>5471</v>
      </c>
      <c r="M8653" t="s">
        <v>5471</v>
      </c>
    </row>
    <row r="8654" spans="1:13" x14ac:dyDescent="0.3">
      <c r="A8654" t="s">
        <v>3380</v>
      </c>
      <c r="B8654" t="s">
        <v>27164</v>
      </c>
      <c r="C8654" t="s">
        <v>6342</v>
      </c>
      <c r="D8654" t="s">
        <v>4119</v>
      </c>
      <c r="E8654" t="s">
        <v>5532</v>
      </c>
      <c r="F8654" t="s">
        <v>30864</v>
      </c>
      <c r="G8654" t="s">
        <v>30836</v>
      </c>
      <c r="H8654" t="s">
        <v>5474</v>
      </c>
      <c r="I8654" t="s">
        <v>30865</v>
      </c>
      <c r="J8654" t="s">
        <v>5476</v>
      </c>
      <c r="K8654" t="s">
        <v>30866</v>
      </c>
      <c r="L8654" t="s">
        <v>5471</v>
      </c>
      <c r="M8654" t="s">
        <v>5471</v>
      </c>
    </row>
    <row r="8655" spans="1:13" x14ac:dyDescent="0.3">
      <c r="A8655" t="s">
        <v>3388</v>
      </c>
      <c r="B8655" t="s">
        <v>24112</v>
      </c>
      <c r="C8655" t="s">
        <v>5470</v>
      </c>
      <c r="D8655" t="s">
        <v>10210</v>
      </c>
      <c r="E8655" t="s">
        <v>5532</v>
      </c>
      <c r="F8655" t="s">
        <v>30867</v>
      </c>
      <c r="G8655" t="s">
        <v>24114</v>
      </c>
      <c r="H8655" t="s">
        <v>5474</v>
      </c>
      <c r="I8655" t="s">
        <v>30868</v>
      </c>
      <c r="J8655" t="s">
        <v>5484</v>
      </c>
      <c r="K8655" t="s">
        <v>30869</v>
      </c>
      <c r="L8655" t="s">
        <v>5471</v>
      </c>
      <c r="M8655" t="s">
        <v>5471</v>
      </c>
    </row>
    <row r="8656" spans="1:13" x14ac:dyDescent="0.3">
      <c r="A8656" t="s">
        <v>3380</v>
      </c>
      <c r="B8656" t="s">
        <v>27164</v>
      </c>
      <c r="C8656" t="s">
        <v>6342</v>
      </c>
      <c r="D8656" t="s">
        <v>4119</v>
      </c>
      <c r="E8656" t="s">
        <v>9935</v>
      </c>
      <c r="F8656" t="s">
        <v>30870</v>
      </c>
      <c r="G8656" t="s">
        <v>30871</v>
      </c>
      <c r="H8656" t="s">
        <v>5474</v>
      </c>
      <c r="I8656" t="s">
        <v>30872</v>
      </c>
      <c r="J8656" t="s">
        <v>5484</v>
      </c>
      <c r="K8656" t="s">
        <v>22770</v>
      </c>
      <c r="L8656" t="s">
        <v>5471</v>
      </c>
      <c r="M8656" t="s">
        <v>5471</v>
      </c>
    </row>
    <row r="8657" spans="1:13" x14ac:dyDescent="0.3">
      <c r="A8657" t="s">
        <v>3388</v>
      </c>
      <c r="B8657" t="s">
        <v>18555</v>
      </c>
      <c r="C8657" t="s">
        <v>5470</v>
      </c>
      <c r="D8657" t="s">
        <v>10210</v>
      </c>
      <c r="E8657" t="s">
        <v>5756</v>
      </c>
      <c r="F8657" t="s">
        <v>30873</v>
      </c>
      <c r="G8657" t="s">
        <v>15840</v>
      </c>
      <c r="H8657" t="s">
        <v>5474</v>
      </c>
      <c r="I8657" t="s">
        <v>30874</v>
      </c>
      <c r="J8657" t="s">
        <v>5484</v>
      </c>
      <c r="K8657" t="s">
        <v>30875</v>
      </c>
      <c r="L8657" t="s">
        <v>5471</v>
      </c>
      <c r="M8657" t="s">
        <v>5471</v>
      </c>
    </row>
    <row r="8658" spans="1:13" x14ac:dyDescent="0.3">
      <c r="A8658" t="s">
        <v>3380</v>
      </c>
      <c r="B8658" t="s">
        <v>27164</v>
      </c>
      <c r="C8658" t="s">
        <v>6342</v>
      </c>
      <c r="D8658" t="s">
        <v>4119</v>
      </c>
      <c r="E8658" t="s">
        <v>9935</v>
      </c>
      <c r="F8658" t="s">
        <v>30876</v>
      </c>
      <c r="G8658" t="s">
        <v>28494</v>
      </c>
      <c r="H8658" t="s">
        <v>5474</v>
      </c>
      <c r="I8658" t="s">
        <v>30877</v>
      </c>
      <c r="J8658" t="s">
        <v>5484</v>
      </c>
      <c r="K8658" t="s">
        <v>30878</v>
      </c>
      <c r="L8658" t="s">
        <v>5471</v>
      </c>
      <c r="M8658" t="s">
        <v>5471</v>
      </c>
    </row>
    <row r="8659" spans="1:13" x14ac:dyDescent="0.3">
      <c r="A8659" t="s">
        <v>3388</v>
      </c>
      <c r="B8659" t="s">
        <v>18555</v>
      </c>
      <c r="C8659" t="s">
        <v>5470</v>
      </c>
      <c r="D8659" t="s">
        <v>10210</v>
      </c>
      <c r="E8659" t="s">
        <v>5756</v>
      </c>
      <c r="F8659" t="s">
        <v>30879</v>
      </c>
      <c r="G8659" t="s">
        <v>15840</v>
      </c>
      <c r="H8659" t="s">
        <v>5474</v>
      </c>
      <c r="I8659" t="s">
        <v>30880</v>
      </c>
      <c r="J8659" t="s">
        <v>5484</v>
      </c>
      <c r="K8659" t="s">
        <v>30881</v>
      </c>
      <c r="L8659" t="s">
        <v>5471</v>
      </c>
      <c r="M8659" t="s">
        <v>5471</v>
      </c>
    </row>
    <row r="8660" spans="1:13" x14ac:dyDescent="0.3">
      <c r="A8660" t="s">
        <v>3380</v>
      </c>
      <c r="B8660" t="s">
        <v>27164</v>
      </c>
      <c r="C8660" t="s">
        <v>6342</v>
      </c>
      <c r="D8660" t="s">
        <v>4119</v>
      </c>
      <c r="E8660" t="s">
        <v>9935</v>
      </c>
      <c r="F8660" t="s">
        <v>30882</v>
      </c>
      <c r="G8660" t="s">
        <v>30883</v>
      </c>
      <c r="H8660" t="s">
        <v>5474</v>
      </c>
      <c r="I8660" t="s">
        <v>30884</v>
      </c>
      <c r="J8660" t="s">
        <v>5484</v>
      </c>
      <c r="K8660" t="s">
        <v>10843</v>
      </c>
      <c r="L8660" t="s">
        <v>5471</v>
      </c>
      <c r="M8660" t="s">
        <v>5471</v>
      </c>
    </row>
    <row r="8661" spans="1:13" x14ac:dyDescent="0.3">
      <c r="A8661" t="s">
        <v>3388</v>
      </c>
      <c r="B8661" t="s">
        <v>18555</v>
      </c>
      <c r="C8661" t="s">
        <v>5470</v>
      </c>
      <c r="D8661" t="s">
        <v>10210</v>
      </c>
      <c r="E8661" t="s">
        <v>5756</v>
      </c>
      <c r="F8661" t="s">
        <v>30885</v>
      </c>
      <c r="G8661" t="s">
        <v>15840</v>
      </c>
      <c r="H8661" t="s">
        <v>5474</v>
      </c>
      <c r="I8661" t="s">
        <v>30886</v>
      </c>
      <c r="J8661" t="s">
        <v>5484</v>
      </c>
      <c r="K8661" t="s">
        <v>30887</v>
      </c>
      <c r="L8661" t="s">
        <v>5471</v>
      </c>
      <c r="M8661" t="s">
        <v>5471</v>
      </c>
    </row>
    <row r="8662" spans="1:13" x14ac:dyDescent="0.3">
      <c r="A8662" t="s">
        <v>3380</v>
      </c>
      <c r="B8662" t="s">
        <v>27164</v>
      </c>
      <c r="C8662" t="s">
        <v>6342</v>
      </c>
      <c r="D8662" t="s">
        <v>4119</v>
      </c>
      <c r="E8662" t="s">
        <v>5532</v>
      </c>
      <c r="F8662" t="s">
        <v>30888</v>
      </c>
      <c r="G8662" t="s">
        <v>27166</v>
      </c>
      <c r="H8662" t="s">
        <v>5474</v>
      </c>
      <c r="I8662" t="s">
        <v>30889</v>
      </c>
      <c r="J8662" t="s">
        <v>5484</v>
      </c>
      <c r="K8662" t="s">
        <v>30890</v>
      </c>
      <c r="L8662" t="s">
        <v>5471</v>
      </c>
      <c r="M8662" t="s">
        <v>5471</v>
      </c>
    </row>
    <row r="8663" spans="1:13" x14ac:dyDescent="0.3">
      <c r="A8663" t="s">
        <v>3388</v>
      </c>
      <c r="B8663" t="s">
        <v>18550</v>
      </c>
      <c r="C8663" t="s">
        <v>5470</v>
      </c>
      <c r="D8663" t="s">
        <v>10210</v>
      </c>
      <c r="E8663" t="s">
        <v>5532</v>
      </c>
      <c r="F8663" t="s">
        <v>30891</v>
      </c>
      <c r="G8663" t="s">
        <v>18565</v>
      </c>
      <c r="H8663" t="s">
        <v>5474</v>
      </c>
      <c r="I8663" t="s">
        <v>30892</v>
      </c>
      <c r="J8663" t="s">
        <v>5484</v>
      </c>
      <c r="K8663" t="s">
        <v>30893</v>
      </c>
      <c r="L8663" t="s">
        <v>5471</v>
      </c>
      <c r="M8663" t="s">
        <v>5471</v>
      </c>
    </row>
    <row r="8664" spans="1:13" x14ac:dyDescent="0.3">
      <c r="A8664" t="s">
        <v>3380</v>
      </c>
      <c r="B8664" t="s">
        <v>27164</v>
      </c>
      <c r="C8664" t="s">
        <v>6342</v>
      </c>
      <c r="D8664" t="s">
        <v>4119</v>
      </c>
      <c r="E8664" t="s">
        <v>9935</v>
      </c>
      <c r="F8664" t="s">
        <v>30894</v>
      </c>
      <c r="G8664" t="s">
        <v>27166</v>
      </c>
      <c r="H8664" t="s">
        <v>5474</v>
      </c>
      <c r="I8664" t="s">
        <v>30895</v>
      </c>
      <c r="J8664" t="s">
        <v>5484</v>
      </c>
      <c r="K8664" t="s">
        <v>10591</v>
      </c>
      <c r="L8664" t="s">
        <v>5471</v>
      </c>
      <c r="M8664" t="s">
        <v>5471</v>
      </c>
    </row>
    <row r="8665" spans="1:13" x14ac:dyDescent="0.3">
      <c r="A8665" t="s">
        <v>3388</v>
      </c>
      <c r="B8665" t="s">
        <v>18550</v>
      </c>
      <c r="C8665" t="s">
        <v>5470</v>
      </c>
      <c r="D8665" t="s">
        <v>10210</v>
      </c>
      <c r="E8665" t="s">
        <v>5532</v>
      </c>
      <c r="F8665" t="s">
        <v>30896</v>
      </c>
      <c r="G8665" t="s">
        <v>18565</v>
      </c>
      <c r="H8665" t="s">
        <v>5474</v>
      </c>
      <c r="I8665" t="s">
        <v>30897</v>
      </c>
      <c r="J8665" t="s">
        <v>5484</v>
      </c>
      <c r="K8665" t="s">
        <v>30898</v>
      </c>
      <c r="L8665" t="s">
        <v>5471</v>
      </c>
      <c r="M8665" t="s">
        <v>5471</v>
      </c>
    </row>
    <row r="8666" spans="1:13" x14ac:dyDescent="0.3">
      <c r="A8666" t="s">
        <v>3380</v>
      </c>
      <c r="B8666" t="s">
        <v>27164</v>
      </c>
      <c r="C8666" t="s">
        <v>6342</v>
      </c>
      <c r="D8666" t="s">
        <v>4119</v>
      </c>
      <c r="E8666" t="s">
        <v>9935</v>
      </c>
      <c r="F8666" t="s">
        <v>30899</v>
      </c>
      <c r="G8666" t="s">
        <v>27166</v>
      </c>
      <c r="H8666" t="s">
        <v>5474</v>
      </c>
      <c r="I8666" t="s">
        <v>30900</v>
      </c>
      <c r="J8666" t="s">
        <v>5484</v>
      </c>
      <c r="K8666" t="s">
        <v>10600</v>
      </c>
      <c r="L8666" t="s">
        <v>5471</v>
      </c>
      <c r="M8666" t="s">
        <v>5471</v>
      </c>
    </row>
    <row r="8667" spans="1:13" x14ac:dyDescent="0.3">
      <c r="A8667" t="s">
        <v>3380</v>
      </c>
      <c r="B8667" t="s">
        <v>27164</v>
      </c>
      <c r="C8667" t="s">
        <v>6342</v>
      </c>
      <c r="D8667" t="s">
        <v>4119</v>
      </c>
      <c r="E8667" t="s">
        <v>9935</v>
      </c>
      <c r="F8667" t="s">
        <v>30901</v>
      </c>
      <c r="G8667" t="s">
        <v>27166</v>
      </c>
      <c r="H8667" t="s">
        <v>5474</v>
      </c>
      <c r="I8667" t="s">
        <v>30902</v>
      </c>
      <c r="J8667" t="s">
        <v>5484</v>
      </c>
      <c r="K8667" t="s">
        <v>10603</v>
      </c>
      <c r="L8667" t="s">
        <v>5471</v>
      </c>
      <c r="M8667" t="s">
        <v>5471</v>
      </c>
    </row>
    <row r="8668" spans="1:13" x14ac:dyDescent="0.3">
      <c r="A8668" t="s">
        <v>3388</v>
      </c>
      <c r="B8668" t="s">
        <v>18550</v>
      </c>
      <c r="C8668" t="s">
        <v>5470</v>
      </c>
      <c r="D8668" t="s">
        <v>10210</v>
      </c>
      <c r="E8668" t="s">
        <v>5532</v>
      </c>
      <c r="F8668" t="s">
        <v>30903</v>
      </c>
      <c r="G8668" t="s">
        <v>18565</v>
      </c>
      <c r="H8668" t="s">
        <v>5474</v>
      </c>
      <c r="I8668" t="s">
        <v>30904</v>
      </c>
      <c r="J8668" t="s">
        <v>5484</v>
      </c>
      <c r="K8668" t="s">
        <v>30905</v>
      </c>
      <c r="L8668" t="s">
        <v>5471</v>
      </c>
      <c r="M8668" t="s">
        <v>5471</v>
      </c>
    </row>
    <row r="8669" spans="1:13" x14ac:dyDescent="0.3">
      <c r="A8669" t="s">
        <v>3380</v>
      </c>
      <c r="B8669" t="s">
        <v>27164</v>
      </c>
      <c r="C8669" t="s">
        <v>6342</v>
      </c>
      <c r="D8669" t="s">
        <v>4119</v>
      </c>
      <c r="E8669" t="s">
        <v>9935</v>
      </c>
      <c r="F8669" t="s">
        <v>30906</v>
      </c>
      <c r="G8669" t="s">
        <v>27166</v>
      </c>
      <c r="H8669" t="s">
        <v>5474</v>
      </c>
      <c r="I8669" t="s">
        <v>30907</v>
      </c>
      <c r="J8669" t="s">
        <v>5484</v>
      </c>
      <c r="K8669" t="s">
        <v>10848</v>
      </c>
      <c r="L8669" t="s">
        <v>5471</v>
      </c>
      <c r="M8669" t="s">
        <v>5471</v>
      </c>
    </row>
    <row r="8670" spans="1:13" x14ac:dyDescent="0.3">
      <c r="A8670" t="s">
        <v>3388</v>
      </c>
      <c r="B8670" t="s">
        <v>18550</v>
      </c>
      <c r="C8670" t="s">
        <v>5470</v>
      </c>
      <c r="D8670" t="s">
        <v>10210</v>
      </c>
      <c r="E8670" t="s">
        <v>5532</v>
      </c>
      <c r="F8670" t="s">
        <v>30908</v>
      </c>
      <c r="G8670" t="s">
        <v>18565</v>
      </c>
      <c r="H8670" t="s">
        <v>5474</v>
      </c>
      <c r="I8670" t="s">
        <v>30909</v>
      </c>
      <c r="J8670" t="s">
        <v>5484</v>
      </c>
      <c r="K8670" t="s">
        <v>30910</v>
      </c>
      <c r="L8670" t="s">
        <v>5471</v>
      </c>
      <c r="M8670" t="s">
        <v>5471</v>
      </c>
    </row>
    <row r="8671" spans="1:13" x14ac:dyDescent="0.3">
      <c r="A8671" t="s">
        <v>3380</v>
      </c>
      <c r="B8671" t="s">
        <v>27164</v>
      </c>
      <c r="C8671" t="s">
        <v>6342</v>
      </c>
      <c r="D8671" t="s">
        <v>4119</v>
      </c>
      <c r="E8671" t="s">
        <v>9935</v>
      </c>
      <c r="F8671" t="s">
        <v>30911</v>
      </c>
      <c r="G8671" t="s">
        <v>30840</v>
      </c>
      <c r="H8671" t="s">
        <v>5474</v>
      </c>
      <c r="I8671" t="s">
        <v>30912</v>
      </c>
      <c r="J8671" t="s">
        <v>5484</v>
      </c>
      <c r="K8671" t="s">
        <v>23486</v>
      </c>
      <c r="L8671" t="s">
        <v>5471</v>
      </c>
      <c r="M8671" t="s">
        <v>5471</v>
      </c>
    </row>
    <row r="8672" spans="1:13" x14ac:dyDescent="0.3">
      <c r="A8672" t="s">
        <v>3388</v>
      </c>
      <c r="B8672" t="s">
        <v>18550</v>
      </c>
      <c r="C8672" t="s">
        <v>5470</v>
      </c>
      <c r="D8672" t="s">
        <v>10210</v>
      </c>
      <c r="E8672" t="s">
        <v>5532</v>
      </c>
      <c r="F8672" t="s">
        <v>30913</v>
      </c>
      <c r="G8672" t="s">
        <v>18565</v>
      </c>
      <c r="H8672" t="s">
        <v>5474</v>
      </c>
      <c r="I8672" t="s">
        <v>30914</v>
      </c>
      <c r="J8672" t="s">
        <v>5484</v>
      </c>
      <c r="K8672" t="s">
        <v>30915</v>
      </c>
      <c r="L8672" t="s">
        <v>5471</v>
      </c>
      <c r="M8672" t="s">
        <v>5471</v>
      </c>
    </row>
    <row r="8673" spans="1:13" x14ac:dyDescent="0.3">
      <c r="A8673" t="s">
        <v>3380</v>
      </c>
      <c r="B8673" t="s">
        <v>27164</v>
      </c>
      <c r="C8673" t="s">
        <v>6342</v>
      </c>
      <c r="D8673" t="s">
        <v>4119</v>
      </c>
      <c r="E8673" t="s">
        <v>9935</v>
      </c>
      <c r="F8673" t="s">
        <v>30916</v>
      </c>
      <c r="G8673" t="s">
        <v>30917</v>
      </c>
      <c r="H8673" t="s">
        <v>5474</v>
      </c>
      <c r="I8673" t="s">
        <v>30918</v>
      </c>
      <c r="J8673" t="s">
        <v>5484</v>
      </c>
      <c r="K8673" t="s">
        <v>30919</v>
      </c>
      <c r="L8673" t="s">
        <v>5471</v>
      </c>
      <c r="M8673" t="s">
        <v>5471</v>
      </c>
    </row>
    <row r="8674" spans="1:13" x14ac:dyDescent="0.3">
      <c r="A8674" t="s">
        <v>3388</v>
      </c>
      <c r="B8674" t="s">
        <v>18550</v>
      </c>
      <c r="C8674" t="s">
        <v>5470</v>
      </c>
      <c r="D8674" t="s">
        <v>10210</v>
      </c>
      <c r="E8674" t="s">
        <v>5532</v>
      </c>
      <c r="F8674" t="s">
        <v>30920</v>
      </c>
      <c r="G8674" t="s">
        <v>18565</v>
      </c>
      <c r="H8674" t="s">
        <v>5474</v>
      </c>
      <c r="I8674" t="s">
        <v>30921</v>
      </c>
      <c r="J8674" t="s">
        <v>5484</v>
      </c>
      <c r="K8674" t="s">
        <v>30922</v>
      </c>
      <c r="L8674" t="s">
        <v>5471</v>
      </c>
      <c r="M8674" t="s">
        <v>5471</v>
      </c>
    </row>
    <row r="8675" spans="1:13" x14ac:dyDescent="0.3">
      <c r="A8675" t="s">
        <v>3380</v>
      </c>
      <c r="B8675" t="s">
        <v>27164</v>
      </c>
      <c r="C8675" t="s">
        <v>6342</v>
      </c>
      <c r="D8675" t="s">
        <v>4119</v>
      </c>
      <c r="E8675" t="s">
        <v>9935</v>
      </c>
      <c r="F8675" t="s">
        <v>30923</v>
      </c>
      <c r="G8675" t="s">
        <v>30846</v>
      </c>
      <c r="H8675" t="s">
        <v>5474</v>
      </c>
      <c r="I8675" t="s">
        <v>30924</v>
      </c>
      <c r="J8675" t="s">
        <v>5484</v>
      </c>
      <c r="K8675" t="s">
        <v>30785</v>
      </c>
      <c r="L8675" t="s">
        <v>5471</v>
      </c>
      <c r="M8675" t="s">
        <v>5471</v>
      </c>
    </row>
    <row r="8676" spans="1:13" x14ac:dyDescent="0.3">
      <c r="A8676" t="s">
        <v>3388</v>
      </c>
      <c r="B8676" t="s">
        <v>18550</v>
      </c>
      <c r="C8676" t="s">
        <v>5470</v>
      </c>
      <c r="D8676" t="s">
        <v>10210</v>
      </c>
      <c r="E8676" t="s">
        <v>5532</v>
      </c>
      <c r="F8676" t="s">
        <v>30925</v>
      </c>
      <c r="G8676" t="s">
        <v>18565</v>
      </c>
      <c r="H8676" t="s">
        <v>5474</v>
      </c>
      <c r="I8676" t="s">
        <v>30926</v>
      </c>
      <c r="J8676" t="s">
        <v>5484</v>
      </c>
      <c r="K8676" t="s">
        <v>30927</v>
      </c>
      <c r="L8676" t="s">
        <v>5471</v>
      </c>
      <c r="M8676" t="s">
        <v>5471</v>
      </c>
    </row>
    <row r="8677" spans="1:13" x14ac:dyDescent="0.3">
      <c r="A8677" t="s">
        <v>3380</v>
      </c>
      <c r="B8677" t="s">
        <v>27164</v>
      </c>
      <c r="C8677" t="s">
        <v>6342</v>
      </c>
      <c r="D8677" t="s">
        <v>4119</v>
      </c>
      <c r="E8677" t="s">
        <v>9935</v>
      </c>
      <c r="F8677" t="s">
        <v>30928</v>
      </c>
      <c r="G8677" t="s">
        <v>28427</v>
      </c>
      <c r="H8677" t="s">
        <v>5474</v>
      </c>
      <c r="I8677" t="s">
        <v>30929</v>
      </c>
      <c r="J8677" t="s">
        <v>5484</v>
      </c>
      <c r="K8677" t="s">
        <v>30792</v>
      </c>
      <c r="L8677" t="s">
        <v>5471</v>
      </c>
      <c r="M8677" t="s">
        <v>5471</v>
      </c>
    </row>
    <row r="8678" spans="1:13" x14ac:dyDescent="0.3">
      <c r="A8678" t="s">
        <v>3380</v>
      </c>
      <c r="B8678" t="s">
        <v>27164</v>
      </c>
      <c r="C8678" t="s">
        <v>6342</v>
      </c>
      <c r="D8678" t="s">
        <v>4119</v>
      </c>
      <c r="E8678" t="s">
        <v>9935</v>
      </c>
      <c r="F8678" t="s">
        <v>30930</v>
      </c>
      <c r="G8678" t="s">
        <v>30856</v>
      </c>
      <c r="H8678" t="s">
        <v>5474</v>
      </c>
      <c r="I8678" t="s">
        <v>30931</v>
      </c>
      <c r="J8678" t="s">
        <v>5484</v>
      </c>
      <c r="K8678" t="s">
        <v>30798</v>
      </c>
      <c r="L8678" t="s">
        <v>5471</v>
      </c>
      <c r="M8678" t="s">
        <v>5471</v>
      </c>
    </row>
    <row r="8679" spans="1:13" x14ac:dyDescent="0.3">
      <c r="A8679" t="s">
        <v>3388</v>
      </c>
      <c r="B8679" t="s">
        <v>18550</v>
      </c>
      <c r="C8679" t="s">
        <v>5470</v>
      </c>
      <c r="D8679" t="s">
        <v>10210</v>
      </c>
      <c r="E8679" t="s">
        <v>5532</v>
      </c>
      <c r="F8679" t="s">
        <v>30932</v>
      </c>
      <c r="G8679" t="s">
        <v>18565</v>
      </c>
      <c r="H8679" t="s">
        <v>5474</v>
      </c>
      <c r="I8679" t="s">
        <v>30933</v>
      </c>
      <c r="J8679" t="s">
        <v>5484</v>
      </c>
      <c r="K8679" t="s">
        <v>30934</v>
      </c>
      <c r="L8679" t="s">
        <v>5471</v>
      </c>
      <c r="M8679" t="s">
        <v>5471</v>
      </c>
    </row>
    <row r="8680" spans="1:13" x14ac:dyDescent="0.3">
      <c r="A8680" t="s">
        <v>3380</v>
      </c>
      <c r="B8680" t="s">
        <v>27164</v>
      </c>
      <c r="C8680" t="s">
        <v>6342</v>
      </c>
      <c r="D8680" t="s">
        <v>4119</v>
      </c>
      <c r="E8680" t="s">
        <v>9935</v>
      </c>
      <c r="F8680" t="s">
        <v>30935</v>
      </c>
      <c r="G8680" t="s">
        <v>30936</v>
      </c>
      <c r="H8680" t="s">
        <v>5474</v>
      </c>
      <c r="I8680" t="s">
        <v>30937</v>
      </c>
      <c r="J8680" t="s">
        <v>5484</v>
      </c>
      <c r="K8680" t="s">
        <v>30938</v>
      </c>
      <c r="L8680" t="s">
        <v>5471</v>
      </c>
      <c r="M8680" t="s">
        <v>5471</v>
      </c>
    </row>
    <row r="8681" spans="1:13" x14ac:dyDescent="0.3">
      <c r="A8681" t="s">
        <v>3388</v>
      </c>
      <c r="B8681" t="s">
        <v>18550</v>
      </c>
      <c r="C8681" t="s">
        <v>5470</v>
      </c>
      <c r="D8681" t="s">
        <v>10210</v>
      </c>
      <c r="E8681" t="s">
        <v>5532</v>
      </c>
      <c r="F8681" t="s">
        <v>30939</v>
      </c>
      <c r="G8681" t="s">
        <v>18565</v>
      </c>
      <c r="H8681" t="s">
        <v>5474</v>
      </c>
      <c r="I8681" t="s">
        <v>30940</v>
      </c>
      <c r="J8681" t="s">
        <v>5484</v>
      </c>
      <c r="K8681" t="s">
        <v>30941</v>
      </c>
      <c r="L8681" t="s">
        <v>5471</v>
      </c>
      <c r="M8681" t="s">
        <v>5471</v>
      </c>
    </row>
    <row r="8682" spans="1:13" x14ac:dyDescent="0.3">
      <c r="A8682" t="s">
        <v>3380</v>
      </c>
      <c r="B8682" t="s">
        <v>27164</v>
      </c>
      <c r="C8682" t="s">
        <v>6342</v>
      </c>
      <c r="D8682" t="s">
        <v>4119</v>
      </c>
      <c r="E8682" t="s">
        <v>5532</v>
      </c>
      <c r="F8682" t="s">
        <v>30942</v>
      </c>
      <c r="G8682" t="s">
        <v>27166</v>
      </c>
      <c r="H8682" t="s">
        <v>5474</v>
      </c>
      <c r="I8682" t="s">
        <v>30943</v>
      </c>
      <c r="J8682" t="s">
        <v>5484</v>
      </c>
      <c r="K8682" t="s">
        <v>30944</v>
      </c>
      <c r="L8682" t="s">
        <v>5471</v>
      </c>
      <c r="M8682" t="s">
        <v>5471</v>
      </c>
    </row>
    <row r="8683" spans="1:13" x14ac:dyDescent="0.3">
      <c r="A8683" t="s">
        <v>3388</v>
      </c>
      <c r="B8683" t="s">
        <v>18550</v>
      </c>
      <c r="C8683" t="s">
        <v>5470</v>
      </c>
      <c r="D8683" t="s">
        <v>10210</v>
      </c>
      <c r="E8683" t="s">
        <v>5532</v>
      </c>
      <c r="F8683" t="s">
        <v>30945</v>
      </c>
      <c r="G8683" t="s">
        <v>18565</v>
      </c>
      <c r="H8683" t="s">
        <v>5474</v>
      </c>
      <c r="I8683" t="s">
        <v>30946</v>
      </c>
      <c r="J8683" t="s">
        <v>5484</v>
      </c>
      <c r="K8683" t="s">
        <v>30947</v>
      </c>
      <c r="L8683" t="s">
        <v>5471</v>
      </c>
      <c r="M8683" t="s">
        <v>5471</v>
      </c>
    </row>
    <row r="8684" spans="1:13" x14ac:dyDescent="0.3">
      <c r="A8684" t="s">
        <v>3380</v>
      </c>
      <c r="B8684" t="s">
        <v>27164</v>
      </c>
      <c r="C8684" t="s">
        <v>6342</v>
      </c>
      <c r="D8684" t="s">
        <v>4119</v>
      </c>
      <c r="E8684" t="s">
        <v>9935</v>
      </c>
      <c r="F8684" t="s">
        <v>30948</v>
      </c>
      <c r="G8684" t="s">
        <v>27166</v>
      </c>
      <c r="H8684" t="s">
        <v>5474</v>
      </c>
      <c r="I8684" t="s">
        <v>30949</v>
      </c>
      <c r="J8684" t="s">
        <v>5484</v>
      </c>
      <c r="K8684" t="s">
        <v>30950</v>
      </c>
      <c r="L8684" t="s">
        <v>5471</v>
      </c>
      <c r="M8684" t="s">
        <v>5471</v>
      </c>
    </row>
    <row r="8685" spans="1:13" x14ac:dyDescent="0.3">
      <c r="A8685" t="s">
        <v>3388</v>
      </c>
      <c r="B8685" t="s">
        <v>18550</v>
      </c>
      <c r="C8685" t="s">
        <v>5470</v>
      </c>
      <c r="D8685" t="s">
        <v>10210</v>
      </c>
      <c r="E8685" t="s">
        <v>5532</v>
      </c>
      <c r="F8685" t="s">
        <v>30951</v>
      </c>
      <c r="G8685" t="s">
        <v>18565</v>
      </c>
      <c r="H8685" t="s">
        <v>5474</v>
      </c>
      <c r="I8685" t="s">
        <v>30952</v>
      </c>
      <c r="J8685" t="s">
        <v>5484</v>
      </c>
      <c r="K8685" t="s">
        <v>30953</v>
      </c>
      <c r="L8685" t="s">
        <v>5471</v>
      </c>
      <c r="M8685" t="s">
        <v>5471</v>
      </c>
    </row>
    <row r="8686" spans="1:13" x14ac:dyDescent="0.3">
      <c r="A8686" t="s">
        <v>3388</v>
      </c>
      <c r="B8686" t="s">
        <v>18550</v>
      </c>
      <c r="C8686" t="s">
        <v>5470</v>
      </c>
      <c r="D8686" t="s">
        <v>10210</v>
      </c>
      <c r="E8686" t="s">
        <v>5532</v>
      </c>
      <c r="F8686" t="s">
        <v>30954</v>
      </c>
      <c r="G8686" t="s">
        <v>18565</v>
      </c>
      <c r="H8686" t="s">
        <v>5474</v>
      </c>
      <c r="I8686" t="s">
        <v>30955</v>
      </c>
      <c r="J8686" t="s">
        <v>5484</v>
      </c>
      <c r="K8686" t="s">
        <v>30956</v>
      </c>
      <c r="L8686" t="s">
        <v>5471</v>
      </c>
      <c r="M8686" t="s">
        <v>5471</v>
      </c>
    </row>
    <row r="8687" spans="1:13" x14ac:dyDescent="0.3">
      <c r="A8687" t="s">
        <v>3388</v>
      </c>
      <c r="B8687" t="s">
        <v>18550</v>
      </c>
      <c r="C8687" t="s">
        <v>5470</v>
      </c>
      <c r="D8687" t="s">
        <v>10210</v>
      </c>
      <c r="E8687" t="s">
        <v>5532</v>
      </c>
      <c r="F8687" t="s">
        <v>30957</v>
      </c>
      <c r="G8687" t="s">
        <v>18565</v>
      </c>
      <c r="H8687" t="s">
        <v>5474</v>
      </c>
      <c r="I8687" t="s">
        <v>30958</v>
      </c>
      <c r="J8687" t="s">
        <v>5484</v>
      </c>
      <c r="K8687" t="s">
        <v>30959</v>
      </c>
      <c r="L8687" t="s">
        <v>5471</v>
      </c>
      <c r="M8687" t="s">
        <v>5471</v>
      </c>
    </row>
    <row r="8688" spans="1:13" x14ac:dyDescent="0.3">
      <c r="A8688" t="s">
        <v>3388</v>
      </c>
      <c r="B8688" t="s">
        <v>18550</v>
      </c>
      <c r="C8688" t="s">
        <v>5470</v>
      </c>
      <c r="D8688" t="s">
        <v>10210</v>
      </c>
      <c r="E8688" t="s">
        <v>5532</v>
      </c>
      <c r="F8688" t="s">
        <v>30960</v>
      </c>
      <c r="G8688" t="s">
        <v>18565</v>
      </c>
      <c r="H8688" t="s">
        <v>5474</v>
      </c>
      <c r="I8688" t="s">
        <v>30961</v>
      </c>
      <c r="J8688" t="s">
        <v>5484</v>
      </c>
      <c r="K8688" t="s">
        <v>30962</v>
      </c>
      <c r="L8688" t="s">
        <v>5471</v>
      </c>
      <c r="M8688" t="s">
        <v>5471</v>
      </c>
    </row>
    <row r="8689" spans="1:13" x14ac:dyDescent="0.3">
      <c r="A8689" t="s">
        <v>3388</v>
      </c>
      <c r="B8689" t="s">
        <v>18550</v>
      </c>
      <c r="C8689" t="s">
        <v>5470</v>
      </c>
      <c r="D8689" t="s">
        <v>10210</v>
      </c>
      <c r="E8689" t="s">
        <v>5532</v>
      </c>
      <c r="F8689" t="s">
        <v>30963</v>
      </c>
      <c r="G8689" t="s">
        <v>18565</v>
      </c>
      <c r="H8689" t="s">
        <v>5474</v>
      </c>
      <c r="I8689" t="s">
        <v>30964</v>
      </c>
      <c r="J8689" t="s">
        <v>5484</v>
      </c>
      <c r="K8689" t="s">
        <v>30965</v>
      </c>
      <c r="L8689" t="s">
        <v>5471</v>
      </c>
      <c r="M8689" t="s">
        <v>5471</v>
      </c>
    </row>
    <row r="8690" spans="1:13" x14ac:dyDescent="0.3">
      <c r="A8690" t="s">
        <v>3388</v>
      </c>
      <c r="B8690" t="s">
        <v>18550</v>
      </c>
      <c r="C8690" t="s">
        <v>5470</v>
      </c>
      <c r="D8690" t="s">
        <v>10210</v>
      </c>
      <c r="E8690" t="s">
        <v>5532</v>
      </c>
      <c r="F8690" t="s">
        <v>30966</v>
      </c>
      <c r="G8690" t="s">
        <v>18565</v>
      </c>
      <c r="H8690" t="s">
        <v>5474</v>
      </c>
      <c r="I8690" t="s">
        <v>30967</v>
      </c>
      <c r="J8690" t="s">
        <v>5484</v>
      </c>
      <c r="K8690" t="s">
        <v>30968</v>
      </c>
      <c r="L8690" t="s">
        <v>5471</v>
      </c>
      <c r="M8690" t="s">
        <v>5471</v>
      </c>
    </row>
    <row r="8691" spans="1:13" x14ac:dyDescent="0.3">
      <c r="A8691" t="s">
        <v>3388</v>
      </c>
      <c r="B8691" t="s">
        <v>18550</v>
      </c>
      <c r="C8691" t="s">
        <v>5470</v>
      </c>
      <c r="D8691" t="s">
        <v>10210</v>
      </c>
      <c r="E8691" t="s">
        <v>5532</v>
      </c>
      <c r="F8691" t="s">
        <v>30969</v>
      </c>
      <c r="G8691" t="s">
        <v>18565</v>
      </c>
      <c r="H8691" t="s">
        <v>5474</v>
      </c>
      <c r="I8691" t="s">
        <v>30970</v>
      </c>
      <c r="J8691" t="s">
        <v>5484</v>
      </c>
      <c r="K8691" t="s">
        <v>30971</v>
      </c>
      <c r="L8691" t="s">
        <v>5471</v>
      </c>
      <c r="M8691" t="s">
        <v>5471</v>
      </c>
    </row>
    <row r="8692" spans="1:13" x14ac:dyDescent="0.3">
      <c r="A8692" t="s">
        <v>3380</v>
      </c>
      <c r="B8692" t="s">
        <v>5276</v>
      </c>
      <c r="C8692" t="s">
        <v>6342</v>
      </c>
      <c r="D8692" t="s">
        <v>4119</v>
      </c>
      <c r="E8692" t="s">
        <v>5532</v>
      </c>
      <c r="F8692" t="s">
        <v>30972</v>
      </c>
      <c r="G8692" t="s">
        <v>9699</v>
      </c>
      <c r="H8692" t="s">
        <v>5474</v>
      </c>
      <c r="I8692" t="s">
        <v>30973</v>
      </c>
      <c r="J8692" t="s">
        <v>5476</v>
      </c>
      <c r="K8692" t="s">
        <v>23539</v>
      </c>
      <c r="L8692" t="s">
        <v>5471</v>
      </c>
      <c r="M8692" t="s">
        <v>5471</v>
      </c>
    </row>
    <row r="8693" spans="1:13" x14ac:dyDescent="0.3">
      <c r="A8693" t="s">
        <v>3388</v>
      </c>
      <c r="B8693" t="s">
        <v>18550</v>
      </c>
      <c r="C8693" t="s">
        <v>5470</v>
      </c>
      <c r="D8693" t="s">
        <v>10210</v>
      </c>
      <c r="E8693" t="s">
        <v>5532</v>
      </c>
      <c r="F8693" t="s">
        <v>30974</v>
      </c>
      <c r="G8693" t="s">
        <v>18565</v>
      </c>
      <c r="H8693" t="s">
        <v>5474</v>
      </c>
      <c r="I8693" t="s">
        <v>30975</v>
      </c>
      <c r="J8693" t="s">
        <v>5484</v>
      </c>
      <c r="K8693" t="s">
        <v>30976</v>
      </c>
      <c r="L8693" t="s">
        <v>5471</v>
      </c>
      <c r="M8693" t="s">
        <v>5471</v>
      </c>
    </row>
    <row r="8694" spans="1:13" x14ac:dyDescent="0.3">
      <c r="A8694" t="s">
        <v>3380</v>
      </c>
      <c r="B8694" t="s">
        <v>5276</v>
      </c>
      <c r="C8694" t="s">
        <v>6342</v>
      </c>
      <c r="D8694" t="s">
        <v>4119</v>
      </c>
      <c r="E8694" t="s">
        <v>5532</v>
      </c>
      <c r="F8694" t="s">
        <v>30977</v>
      </c>
      <c r="G8694" t="s">
        <v>30836</v>
      </c>
      <c r="H8694" t="s">
        <v>5474</v>
      </c>
      <c r="I8694" t="s">
        <v>30978</v>
      </c>
      <c r="J8694" t="s">
        <v>5476</v>
      </c>
      <c r="K8694" t="s">
        <v>30979</v>
      </c>
      <c r="L8694" t="s">
        <v>5471</v>
      </c>
      <c r="M8694" t="s">
        <v>5471</v>
      </c>
    </row>
    <row r="8695" spans="1:13" x14ac:dyDescent="0.3">
      <c r="A8695" t="s">
        <v>3388</v>
      </c>
      <c r="B8695" t="s">
        <v>18550</v>
      </c>
      <c r="C8695" t="s">
        <v>5470</v>
      </c>
      <c r="D8695" t="s">
        <v>10210</v>
      </c>
      <c r="E8695" t="s">
        <v>5532</v>
      </c>
      <c r="F8695" t="s">
        <v>30980</v>
      </c>
      <c r="G8695" t="s">
        <v>18565</v>
      </c>
      <c r="H8695" t="s">
        <v>5474</v>
      </c>
      <c r="I8695" t="s">
        <v>30981</v>
      </c>
      <c r="J8695" t="s">
        <v>5484</v>
      </c>
      <c r="K8695" t="s">
        <v>30982</v>
      </c>
      <c r="L8695" t="s">
        <v>5471</v>
      </c>
      <c r="M8695" t="s">
        <v>5471</v>
      </c>
    </row>
    <row r="8696" spans="1:13" x14ac:dyDescent="0.3">
      <c r="A8696" t="s">
        <v>3380</v>
      </c>
      <c r="B8696" t="s">
        <v>5276</v>
      </c>
      <c r="C8696" t="s">
        <v>6342</v>
      </c>
      <c r="D8696" t="s">
        <v>4119</v>
      </c>
      <c r="E8696" t="s">
        <v>5532</v>
      </c>
      <c r="F8696" t="s">
        <v>30983</v>
      </c>
      <c r="G8696" t="s">
        <v>25999</v>
      </c>
      <c r="H8696" t="s">
        <v>5474</v>
      </c>
      <c r="I8696" t="s">
        <v>30984</v>
      </c>
      <c r="J8696" t="s">
        <v>5476</v>
      </c>
      <c r="K8696" t="s">
        <v>30854</v>
      </c>
      <c r="L8696" t="s">
        <v>5471</v>
      </c>
      <c r="M8696" t="s">
        <v>5471</v>
      </c>
    </row>
    <row r="8697" spans="1:13" x14ac:dyDescent="0.3">
      <c r="A8697" t="s">
        <v>3388</v>
      </c>
      <c r="B8697" t="s">
        <v>18550</v>
      </c>
      <c r="C8697" t="s">
        <v>5470</v>
      </c>
      <c r="D8697" t="s">
        <v>10210</v>
      </c>
      <c r="E8697" t="s">
        <v>5532</v>
      </c>
      <c r="F8697" t="s">
        <v>30985</v>
      </c>
      <c r="G8697" t="s">
        <v>18565</v>
      </c>
      <c r="H8697" t="s">
        <v>5474</v>
      </c>
      <c r="I8697" t="s">
        <v>30986</v>
      </c>
      <c r="J8697" t="s">
        <v>5484</v>
      </c>
      <c r="K8697" t="s">
        <v>30987</v>
      </c>
      <c r="L8697" t="s">
        <v>5471</v>
      </c>
      <c r="M8697" t="s">
        <v>5471</v>
      </c>
    </row>
    <row r="8698" spans="1:13" x14ac:dyDescent="0.3">
      <c r="A8698" t="s">
        <v>3380</v>
      </c>
      <c r="B8698" t="s">
        <v>5276</v>
      </c>
      <c r="C8698" t="s">
        <v>6342</v>
      </c>
      <c r="D8698" t="s">
        <v>4119</v>
      </c>
      <c r="E8698" t="s">
        <v>5532</v>
      </c>
      <c r="F8698" t="s">
        <v>30988</v>
      </c>
      <c r="G8698" t="s">
        <v>30836</v>
      </c>
      <c r="H8698" t="s">
        <v>5474</v>
      </c>
      <c r="I8698" t="s">
        <v>30989</v>
      </c>
      <c r="J8698" t="s">
        <v>5476</v>
      </c>
      <c r="K8698" t="s">
        <v>30990</v>
      </c>
      <c r="L8698" t="s">
        <v>5471</v>
      </c>
      <c r="M8698" t="s">
        <v>5471</v>
      </c>
    </row>
    <row r="8699" spans="1:13" x14ac:dyDescent="0.3">
      <c r="A8699" t="s">
        <v>3388</v>
      </c>
      <c r="B8699" t="s">
        <v>18550</v>
      </c>
      <c r="C8699" t="s">
        <v>5470</v>
      </c>
      <c r="D8699" t="s">
        <v>10210</v>
      </c>
      <c r="E8699" t="s">
        <v>5532</v>
      </c>
      <c r="F8699" t="s">
        <v>30991</v>
      </c>
      <c r="G8699" t="s">
        <v>18565</v>
      </c>
      <c r="H8699" t="s">
        <v>5474</v>
      </c>
      <c r="I8699" t="s">
        <v>30992</v>
      </c>
      <c r="J8699" t="s">
        <v>5484</v>
      </c>
      <c r="K8699" t="s">
        <v>30993</v>
      </c>
      <c r="L8699" t="s">
        <v>5471</v>
      </c>
      <c r="M8699" t="s">
        <v>5471</v>
      </c>
    </row>
    <row r="8700" spans="1:13" x14ac:dyDescent="0.3">
      <c r="A8700" t="s">
        <v>3380</v>
      </c>
      <c r="B8700" t="s">
        <v>5276</v>
      </c>
      <c r="C8700" t="s">
        <v>6342</v>
      </c>
      <c r="D8700" t="s">
        <v>4119</v>
      </c>
      <c r="E8700" t="s">
        <v>5532</v>
      </c>
      <c r="F8700" t="s">
        <v>30994</v>
      </c>
      <c r="G8700" t="s">
        <v>25995</v>
      </c>
      <c r="H8700" t="s">
        <v>5474</v>
      </c>
      <c r="I8700" t="s">
        <v>30995</v>
      </c>
      <c r="J8700" t="s">
        <v>5476</v>
      </c>
      <c r="K8700" t="s">
        <v>30996</v>
      </c>
      <c r="L8700" t="s">
        <v>5471</v>
      </c>
      <c r="M8700" t="s">
        <v>5471</v>
      </c>
    </row>
    <row r="8701" spans="1:13" x14ac:dyDescent="0.3">
      <c r="A8701" t="s">
        <v>3388</v>
      </c>
      <c r="B8701" t="s">
        <v>18550</v>
      </c>
      <c r="C8701" t="s">
        <v>5470</v>
      </c>
      <c r="D8701" t="s">
        <v>10210</v>
      </c>
      <c r="E8701" t="s">
        <v>5532</v>
      </c>
      <c r="F8701" t="s">
        <v>30997</v>
      </c>
      <c r="G8701" t="s">
        <v>18565</v>
      </c>
      <c r="H8701" t="s">
        <v>5474</v>
      </c>
      <c r="I8701" t="s">
        <v>30998</v>
      </c>
      <c r="J8701" t="s">
        <v>5484</v>
      </c>
      <c r="K8701" t="s">
        <v>30999</v>
      </c>
      <c r="L8701" t="s">
        <v>5471</v>
      </c>
      <c r="M8701" t="s">
        <v>5471</v>
      </c>
    </row>
    <row r="8702" spans="1:13" x14ac:dyDescent="0.3">
      <c r="A8702" t="s">
        <v>3380</v>
      </c>
      <c r="B8702" t="s">
        <v>5276</v>
      </c>
      <c r="C8702" t="s">
        <v>6342</v>
      </c>
      <c r="D8702" t="s">
        <v>4119</v>
      </c>
      <c r="E8702" t="s">
        <v>5532</v>
      </c>
      <c r="F8702" t="s">
        <v>31000</v>
      </c>
      <c r="G8702" t="s">
        <v>9699</v>
      </c>
      <c r="H8702" t="s">
        <v>5474</v>
      </c>
      <c r="I8702" t="s">
        <v>31001</v>
      </c>
      <c r="J8702" t="s">
        <v>5476</v>
      </c>
      <c r="K8702" t="s">
        <v>23542</v>
      </c>
      <c r="L8702" t="s">
        <v>5471</v>
      </c>
      <c r="M8702" t="s">
        <v>5471</v>
      </c>
    </row>
    <row r="8703" spans="1:13" x14ac:dyDescent="0.3">
      <c r="A8703" t="s">
        <v>3388</v>
      </c>
      <c r="B8703" t="s">
        <v>18550</v>
      </c>
      <c r="C8703" t="s">
        <v>5470</v>
      </c>
      <c r="D8703" t="s">
        <v>10210</v>
      </c>
      <c r="E8703" t="s">
        <v>5532</v>
      </c>
      <c r="F8703" t="s">
        <v>31002</v>
      </c>
      <c r="G8703" t="s">
        <v>18565</v>
      </c>
      <c r="H8703" t="s">
        <v>5474</v>
      </c>
      <c r="I8703" t="s">
        <v>31003</v>
      </c>
      <c r="J8703" t="s">
        <v>5484</v>
      </c>
      <c r="K8703" t="s">
        <v>31004</v>
      </c>
      <c r="L8703" t="s">
        <v>5471</v>
      </c>
      <c r="M8703" t="s">
        <v>5471</v>
      </c>
    </row>
    <row r="8704" spans="1:13" x14ac:dyDescent="0.3">
      <c r="A8704" t="s">
        <v>3380</v>
      </c>
      <c r="B8704" t="s">
        <v>5276</v>
      </c>
      <c r="C8704" t="s">
        <v>6342</v>
      </c>
      <c r="D8704" t="s">
        <v>4119</v>
      </c>
      <c r="E8704" t="s">
        <v>5532</v>
      </c>
      <c r="F8704" t="s">
        <v>31005</v>
      </c>
      <c r="G8704" t="s">
        <v>25999</v>
      </c>
      <c r="H8704" t="s">
        <v>5474</v>
      </c>
      <c r="I8704" t="s">
        <v>31006</v>
      </c>
      <c r="J8704" t="s">
        <v>5476</v>
      </c>
      <c r="K8704" t="s">
        <v>30792</v>
      </c>
      <c r="L8704" t="s">
        <v>5471</v>
      </c>
      <c r="M8704" t="s">
        <v>5471</v>
      </c>
    </row>
    <row r="8705" spans="1:13" x14ac:dyDescent="0.3">
      <c r="A8705" t="s">
        <v>3388</v>
      </c>
      <c r="B8705" t="s">
        <v>18550</v>
      </c>
      <c r="C8705" t="s">
        <v>5470</v>
      </c>
      <c r="D8705" t="s">
        <v>10210</v>
      </c>
      <c r="E8705" t="s">
        <v>5532</v>
      </c>
      <c r="F8705" t="s">
        <v>31007</v>
      </c>
      <c r="G8705" t="s">
        <v>18565</v>
      </c>
      <c r="H8705" t="s">
        <v>5474</v>
      </c>
      <c r="I8705" t="s">
        <v>31008</v>
      </c>
      <c r="J8705" t="s">
        <v>5484</v>
      </c>
      <c r="K8705" t="s">
        <v>31009</v>
      </c>
      <c r="L8705" t="s">
        <v>5471</v>
      </c>
      <c r="M8705" t="s">
        <v>5471</v>
      </c>
    </row>
    <row r="8706" spans="1:13" x14ac:dyDescent="0.3">
      <c r="A8706" t="s">
        <v>3380</v>
      </c>
      <c r="B8706" t="s">
        <v>5276</v>
      </c>
      <c r="C8706" t="s">
        <v>6342</v>
      </c>
      <c r="D8706" t="s">
        <v>4119</v>
      </c>
      <c r="E8706" t="s">
        <v>5480</v>
      </c>
      <c r="F8706" t="s">
        <v>31010</v>
      </c>
      <c r="G8706" t="s">
        <v>9699</v>
      </c>
      <c r="H8706" t="s">
        <v>5474</v>
      </c>
      <c r="I8706" t="s">
        <v>31011</v>
      </c>
      <c r="J8706" t="s">
        <v>5476</v>
      </c>
      <c r="K8706" t="s">
        <v>31012</v>
      </c>
      <c r="L8706" t="s">
        <v>5471</v>
      </c>
      <c r="M8706" t="s">
        <v>5471</v>
      </c>
    </row>
    <row r="8707" spans="1:13" x14ac:dyDescent="0.3">
      <c r="A8707" t="s">
        <v>3388</v>
      </c>
      <c r="B8707" t="s">
        <v>18550</v>
      </c>
      <c r="C8707" t="s">
        <v>5470</v>
      </c>
      <c r="D8707" t="s">
        <v>10210</v>
      </c>
      <c r="E8707" t="s">
        <v>5532</v>
      </c>
      <c r="F8707" t="s">
        <v>31013</v>
      </c>
      <c r="G8707" t="s">
        <v>18565</v>
      </c>
      <c r="H8707" t="s">
        <v>5474</v>
      </c>
      <c r="I8707" t="s">
        <v>31014</v>
      </c>
      <c r="J8707" t="s">
        <v>5484</v>
      </c>
      <c r="K8707" t="s">
        <v>31015</v>
      </c>
      <c r="L8707" t="s">
        <v>5471</v>
      </c>
      <c r="M8707" t="s">
        <v>5471</v>
      </c>
    </row>
    <row r="8708" spans="1:13" x14ac:dyDescent="0.3">
      <c r="A8708" t="s">
        <v>3380</v>
      </c>
      <c r="B8708" t="s">
        <v>5276</v>
      </c>
      <c r="C8708" t="s">
        <v>6342</v>
      </c>
      <c r="D8708" t="s">
        <v>4119</v>
      </c>
      <c r="E8708" t="s">
        <v>5480</v>
      </c>
      <c r="F8708" t="s">
        <v>31016</v>
      </c>
      <c r="G8708" t="s">
        <v>9699</v>
      </c>
      <c r="H8708" t="s">
        <v>5474</v>
      </c>
      <c r="I8708" t="s">
        <v>31017</v>
      </c>
      <c r="J8708" t="s">
        <v>5476</v>
      </c>
      <c r="K8708" t="s">
        <v>31018</v>
      </c>
      <c r="L8708" t="s">
        <v>5471</v>
      </c>
      <c r="M8708" t="s">
        <v>5471</v>
      </c>
    </row>
    <row r="8709" spans="1:13" x14ac:dyDescent="0.3">
      <c r="A8709" t="s">
        <v>3380</v>
      </c>
      <c r="B8709" t="s">
        <v>5276</v>
      </c>
      <c r="C8709" t="s">
        <v>6342</v>
      </c>
      <c r="D8709" t="s">
        <v>4119</v>
      </c>
      <c r="E8709" t="s">
        <v>5480</v>
      </c>
      <c r="F8709" t="s">
        <v>31019</v>
      </c>
      <c r="G8709" t="s">
        <v>9699</v>
      </c>
      <c r="H8709" t="s">
        <v>5474</v>
      </c>
      <c r="I8709" t="s">
        <v>31020</v>
      </c>
      <c r="J8709" t="s">
        <v>5476</v>
      </c>
      <c r="K8709" t="s">
        <v>22724</v>
      </c>
      <c r="L8709" t="s">
        <v>5471</v>
      </c>
      <c r="M8709" t="s">
        <v>5471</v>
      </c>
    </row>
    <row r="8710" spans="1:13" x14ac:dyDescent="0.3">
      <c r="A8710" t="s">
        <v>3388</v>
      </c>
      <c r="B8710" t="s">
        <v>18550</v>
      </c>
      <c r="C8710" t="s">
        <v>5470</v>
      </c>
      <c r="D8710" t="s">
        <v>10210</v>
      </c>
      <c r="E8710" t="s">
        <v>5532</v>
      </c>
      <c r="F8710" t="s">
        <v>31021</v>
      </c>
      <c r="G8710" t="s">
        <v>18565</v>
      </c>
      <c r="H8710" t="s">
        <v>5474</v>
      </c>
      <c r="I8710" t="s">
        <v>31022</v>
      </c>
      <c r="J8710" t="s">
        <v>5484</v>
      </c>
      <c r="K8710" t="s">
        <v>31023</v>
      </c>
      <c r="L8710" t="s">
        <v>5471</v>
      </c>
      <c r="M8710" t="s">
        <v>5471</v>
      </c>
    </row>
    <row r="8711" spans="1:13" x14ac:dyDescent="0.3">
      <c r="A8711" t="s">
        <v>3380</v>
      </c>
      <c r="B8711" t="s">
        <v>5276</v>
      </c>
      <c r="C8711" t="s">
        <v>6342</v>
      </c>
      <c r="D8711" t="s">
        <v>4119</v>
      </c>
      <c r="E8711" t="s">
        <v>5480</v>
      </c>
      <c r="F8711" t="s">
        <v>31024</v>
      </c>
      <c r="G8711" t="s">
        <v>31025</v>
      </c>
      <c r="H8711" t="s">
        <v>5474</v>
      </c>
      <c r="I8711" t="s">
        <v>31026</v>
      </c>
      <c r="J8711" t="s">
        <v>5476</v>
      </c>
      <c r="K8711" t="s">
        <v>31027</v>
      </c>
      <c r="L8711" t="s">
        <v>5471</v>
      </c>
      <c r="M8711" t="s">
        <v>5471</v>
      </c>
    </row>
    <row r="8712" spans="1:13" x14ac:dyDescent="0.3">
      <c r="A8712" t="s">
        <v>3380</v>
      </c>
      <c r="B8712" t="s">
        <v>5276</v>
      </c>
      <c r="C8712" t="s">
        <v>6342</v>
      </c>
      <c r="D8712" t="s">
        <v>4119</v>
      </c>
      <c r="E8712" t="s">
        <v>5480</v>
      </c>
      <c r="F8712" t="s">
        <v>31028</v>
      </c>
      <c r="G8712" t="s">
        <v>31029</v>
      </c>
      <c r="H8712" t="s">
        <v>5474</v>
      </c>
      <c r="I8712" t="s">
        <v>31030</v>
      </c>
      <c r="J8712" t="s">
        <v>5476</v>
      </c>
      <c r="K8712" t="s">
        <v>31031</v>
      </c>
      <c r="L8712" t="s">
        <v>5471</v>
      </c>
      <c r="M8712" t="s">
        <v>5471</v>
      </c>
    </row>
    <row r="8713" spans="1:13" x14ac:dyDescent="0.3">
      <c r="A8713" t="s">
        <v>3380</v>
      </c>
      <c r="B8713" t="s">
        <v>5276</v>
      </c>
      <c r="C8713" t="s">
        <v>6342</v>
      </c>
      <c r="D8713" t="s">
        <v>4119</v>
      </c>
      <c r="E8713" t="s">
        <v>5480</v>
      </c>
      <c r="F8713" t="s">
        <v>31032</v>
      </c>
      <c r="G8713" t="s">
        <v>31033</v>
      </c>
      <c r="H8713" t="s">
        <v>5474</v>
      </c>
      <c r="I8713" t="s">
        <v>31034</v>
      </c>
      <c r="J8713" t="s">
        <v>5476</v>
      </c>
      <c r="K8713" t="s">
        <v>31035</v>
      </c>
      <c r="L8713" t="s">
        <v>5471</v>
      </c>
      <c r="M8713" t="s">
        <v>5471</v>
      </c>
    </row>
    <row r="8714" spans="1:13" x14ac:dyDescent="0.3">
      <c r="A8714" t="s">
        <v>3388</v>
      </c>
      <c r="B8714" t="s">
        <v>10426</v>
      </c>
      <c r="C8714" t="s">
        <v>5470</v>
      </c>
      <c r="D8714" t="s">
        <v>4119</v>
      </c>
      <c r="E8714" t="s">
        <v>5532</v>
      </c>
      <c r="F8714" t="s">
        <v>31036</v>
      </c>
      <c r="G8714" t="s">
        <v>31037</v>
      </c>
      <c r="H8714" t="s">
        <v>5474</v>
      </c>
      <c r="I8714" t="s">
        <v>31038</v>
      </c>
      <c r="J8714" t="s">
        <v>5484</v>
      </c>
      <c r="K8714" t="s">
        <v>31039</v>
      </c>
      <c r="L8714" t="s">
        <v>5471</v>
      </c>
      <c r="M8714" t="s">
        <v>5471</v>
      </c>
    </row>
    <row r="8715" spans="1:13" x14ac:dyDescent="0.3">
      <c r="A8715" t="s">
        <v>3380</v>
      </c>
      <c r="B8715" t="s">
        <v>5276</v>
      </c>
      <c r="C8715" t="s">
        <v>6342</v>
      </c>
      <c r="D8715" t="s">
        <v>4119</v>
      </c>
      <c r="E8715" t="s">
        <v>5480</v>
      </c>
      <c r="F8715" t="s">
        <v>31040</v>
      </c>
      <c r="G8715" t="s">
        <v>31041</v>
      </c>
      <c r="H8715" t="s">
        <v>5474</v>
      </c>
      <c r="I8715" t="s">
        <v>31042</v>
      </c>
      <c r="J8715" t="s">
        <v>5476</v>
      </c>
      <c r="K8715" t="s">
        <v>31043</v>
      </c>
      <c r="L8715" t="s">
        <v>5471</v>
      </c>
      <c r="M8715" t="s">
        <v>5471</v>
      </c>
    </row>
    <row r="8716" spans="1:13" x14ac:dyDescent="0.3">
      <c r="A8716" t="s">
        <v>3388</v>
      </c>
      <c r="B8716" t="s">
        <v>10496</v>
      </c>
      <c r="C8716" t="s">
        <v>5470</v>
      </c>
      <c r="D8716" t="s">
        <v>4119</v>
      </c>
      <c r="E8716" t="s">
        <v>5532</v>
      </c>
      <c r="F8716" t="s">
        <v>31044</v>
      </c>
      <c r="G8716" t="s">
        <v>10498</v>
      </c>
      <c r="H8716" t="s">
        <v>5474</v>
      </c>
      <c r="I8716" t="s">
        <v>31045</v>
      </c>
      <c r="J8716" t="s">
        <v>5484</v>
      </c>
      <c r="K8716" t="s">
        <v>31046</v>
      </c>
      <c r="L8716" t="s">
        <v>5471</v>
      </c>
      <c r="M8716" t="s">
        <v>5471</v>
      </c>
    </row>
    <row r="8717" spans="1:13" x14ac:dyDescent="0.3">
      <c r="A8717" t="s">
        <v>3380</v>
      </c>
      <c r="B8717" t="s">
        <v>5276</v>
      </c>
      <c r="C8717" t="s">
        <v>6342</v>
      </c>
      <c r="D8717" t="s">
        <v>4119</v>
      </c>
      <c r="E8717" t="s">
        <v>5480</v>
      </c>
      <c r="F8717" t="s">
        <v>31047</v>
      </c>
      <c r="G8717" t="s">
        <v>31048</v>
      </c>
      <c r="H8717" t="s">
        <v>5474</v>
      </c>
      <c r="I8717" t="s">
        <v>31049</v>
      </c>
      <c r="J8717" t="s">
        <v>5476</v>
      </c>
      <c r="K8717" t="s">
        <v>31050</v>
      </c>
      <c r="L8717" t="s">
        <v>5471</v>
      </c>
      <c r="M8717" t="s">
        <v>5471</v>
      </c>
    </row>
    <row r="8718" spans="1:13" x14ac:dyDescent="0.3">
      <c r="A8718" t="s">
        <v>3388</v>
      </c>
      <c r="B8718" t="s">
        <v>10496</v>
      </c>
      <c r="C8718" t="s">
        <v>5470</v>
      </c>
      <c r="D8718" t="s">
        <v>4119</v>
      </c>
      <c r="E8718" t="s">
        <v>5532</v>
      </c>
      <c r="F8718" t="s">
        <v>31051</v>
      </c>
      <c r="G8718" t="s">
        <v>10498</v>
      </c>
      <c r="H8718" t="s">
        <v>5474</v>
      </c>
      <c r="I8718" t="s">
        <v>31052</v>
      </c>
      <c r="J8718" t="s">
        <v>5484</v>
      </c>
      <c r="K8718" t="s">
        <v>31053</v>
      </c>
      <c r="L8718" t="s">
        <v>5471</v>
      </c>
      <c r="M8718" t="s">
        <v>5471</v>
      </c>
    </row>
    <row r="8719" spans="1:13" x14ac:dyDescent="0.3">
      <c r="A8719" t="s">
        <v>3380</v>
      </c>
      <c r="B8719" t="s">
        <v>5276</v>
      </c>
      <c r="C8719" t="s">
        <v>6342</v>
      </c>
      <c r="D8719" t="s">
        <v>4119</v>
      </c>
      <c r="E8719" t="s">
        <v>5480</v>
      </c>
      <c r="F8719" t="s">
        <v>31054</v>
      </c>
      <c r="G8719" t="s">
        <v>31055</v>
      </c>
      <c r="H8719" t="s">
        <v>5474</v>
      </c>
      <c r="I8719" t="s">
        <v>31056</v>
      </c>
      <c r="J8719" t="s">
        <v>5476</v>
      </c>
      <c r="K8719" t="s">
        <v>31057</v>
      </c>
      <c r="L8719" t="s">
        <v>5471</v>
      </c>
      <c r="M8719" t="s">
        <v>5471</v>
      </c>
    </row>
    <row r="8720" spans="1:13" x14ac:dyDescent="0.3">
      <c r="A8720" t="s">
        <v>3380</v>
      </c>
      <c r="B8720" t="s">
        <v>5276</v>
      </c>
      <c r="C8720" t="s">
        <v>6342</v>
      </c>
      <c r="D8720" t="s">
        <v>4119</v>
      </c>
      <c r="E8720" t="s">
        <v>5480</v>
      </c>
      <c r="F8720" t="s">
        <v>31058</v>
      </c>
      <c r="G8720" t="s">
        <v>31059</v>
      </c>
      <c r="H8720" t="s">
        <v>5474</v>
      </c>
      <c r="I8720" t="s">
        <v>31060</v>
      </c>
      <c r="J8720" t="s">
        <v>5476</v>
      </c>
      <c r="K8720" t="s">
        <v>31061</v>
      </c>
      <c r="L8720" t="s">
        <v>5471</v>
      </c>
      <c r="M8720" t="s">
        <v>5471</v>
      </c>
    </row>
    <row r="8721" spans="1:13" x14ac:dyDescent="0.3">
      <c r="A8721" t="s">
        <v>3388</v>
      </c>
      <c r="B8721" t="s">
        <v>10496</v>
      </c>
      <c r="C8721" t="s">
        <v>5470</v>
      </c>
      <c r="D8721" t="s">
        <v>4119</v>
      </c>
      <c r="E8721" t="s">
        <v>5532</v>
      </c>
      <c r="F8721" t="s">
        <v>31062</v>
      </c>
      <c r="G8721" t="s">
        <v>10498</v>
      </c>
      <c r="H8721" t="s">
        <v>5474</v>
      </c>
      <c r="I8721" t="s">
        <v>31063</v>
      </c>
      <c r="J8721" t="s">
        <v>5484</v>
      </c>
      <c r="K8721" t="s">
        <v>31064</v>
      </c>
      <c r="L8721" t="s">
        <v>5471</v>
      </c>
      <c r="M8721" t="s">
        <v>5471</v>
      </c>
    </row>
    <row r="8722" spans="1:13" x14ac:dyDescent="0.3">
      <c r="A8722" t="s">
        <v>3380</v>
      </c>
      <c r="B8722" t="s">
        <v>5276</v>
      </c>
      <c r="C8722" t="s">
        <v>6342</v>
      </c>
      <c r="D8722" t="s">
        <v>4119</v>
      </c>
      <c r="E8722" t="s">
        <v>5480</v>
      </c>
      <c r="F8722" t="s">
        <v>31065</v>
      </c>
      <c r="G8722" t="s">
        <v>31066</v>
      </c>
      <c r="H8722" t="s">
        <v>5474</v>
      </c>
      <c r="I8722" t="s">
        <v>31067</v>
      </c>
      <c r="J8722" t="s">
        <v>5476</v>
      </c>
      <c r="K8722" t="s">
        <v>31068</v>
      </c>
      <c r="L8722" t="s">
        <v>5471</v>
      </c>
      <c r="M8722" t="s">
        <v>5471</v>
      </c>
    </row>
    <row r="8723" spans="1:13" x14ac:dyDescent="0.3">
      <c r="A8723" t="s">
        <v>3380</v>
      </c>
      <c r="B8723" t="s">
        <v>5276</v>
      </c>
      <c r="C8723" t="s">
        <v>6342</v>
      </c>
      <c r="D8723" t="s">
        <v>4119</v>
      </c>
      <c r="E8723" t="s">
        <v>5480</v>
      </c>
      <c r="F8723" t="s">
        <v>31069</v>
      </c>
      <c r="G8723" t="s">
        <v>31070</v>
      </c>
      <c r="H8723" t="s">
        <v>5474</v>
      </c>
      <c r="I8723" t="s">
        <v>31071</v>
      </c>
      <c r="J8723" t="s">
        <v>5476</v>
      </c>
      <c r="K8723" t="s">
        <v>31072</v>
      </c>
      <c r="L8723" t="s">
        <v>5471</v>
      </c>
      <c r="M8723" t="s">
        <v>5471</v>
      </c>
    </row>
    <row r="8724" spans="1:13" x14ac:dyDescent="0.3">
      <c r="A8724" t="s">
        <v>3380</v>
      </c>
      <c r="B8724" t="s">
        <v>16336</v>
      </c>
      <c r="C8724" t="s">
        <v>5487</v>
      </c>
      <c r="D8724" t="s">
        <v>4119</v>
      </c>
      <c r="E8724" t="s">
        <v>5843</v>
      </c>
      <c r="F8724" t="s">
        <v>31073</v>
      </c>
      <c r="G8724" t="s">
        <v>16856</v>
      </c>
      <c r="H8724" t="s">
        <v>5474</v>
      </c>
      <c r="I8724" t="s">
        <v>31074</v>
      </c>
      <c r="J8724" t="s">
        <v>5484</v>
      </c>
      <c r="K8724" t="s">
        <v>31075</v>
      </c>
      <c r="L8724" t="s">
        <v>5471</v>
      </c>
      <c r="M8724" t="s">
        <v>5471</v>
      </c>
    </row>
    <row r="8725" spans="1:13" x14ac:dyDescent="0.3">
      <c r="A8725" t="s">
        <v>3388</v>
      </c>
      <c r="B8725" t="s">
        <v>7109</v>
      </c>
      <c r="C8725" t="s">
        <v>5470</v>
      </c>
      <c r="D8725" t="s">
        <v>4200</v>
      </c>
      <c r="E8725" t="s">
        <v>5756</v>
      </c>
      <c r="F8725" t="s">
        <v>31076</v>
      </c>
      <c r="G8725" t="s">
        <v>10493</v>
      </c>
      <c r="H8725" t="s">
        <v>5474</v>
      </c>
      <c r="I8725" t="s">
        <v>31077</v>
      </c>
      <c r="J8725" t="s">
        <v>5484</v>
      </c>
      <c r="K8725" t="s">
        <v>31078</v>
      </c>
      <c r="L8725" t="s">
        <v>5471</v>
      </c>
      <c r="M8725" t="s">
        <v>5471</v>
      </c>
    </row>
    <row r="8726" spans="1:13" x14ac:dyDescent="0.3">
      <c r="A8726" t="s">
        <v>3380</v>
      </c>
      <c r="B8726" t="s">
        <v>16336</v>
      </c>
      <c r="C8726" t="s">
        <v>5487</v>
      </c>
      <c r="D8726" t="s">
        <v>4119</v>
      </c>
      <c r="E8726" t="s">
        <v>5843</v>
      </c>
      <c r="F8726" t="s">
        <v>31079</v>
      </c>
      <c r="G8726" t="s">
        <v>31080</v>
      </c>
      <c r="H8726" t="s">
        <v>5474</v>
      </c>
      <c r="I8726" t="s">
        <v>31081</v>
      </c>
      <c r="J8726" t="s">
        <v>5484</v>
      </c>
      <c r="K8726" t="s">
        <v>31082</v>
      </c>
      <c r="L8726" t="s">
        <v>5471</v>
      </c>
      <c r="M8726" t="s">
        <v>5471</v>
      </c>
    </row>
    <row r="8727" spans="1:13" x14ac:dyDescent="0.3">
      <c r="A8727" t="s">
        <v>3380</v>
      </c>
      <c r="B8727" t="s">
        <v>16336</v>
      </c>
      <c r="C8727" t="s">
        <v>5487</v>
      </c>
      <c r="D8727" t="s">
        <v>4119</v>
      </c>
      <c r="E8727" t="s">
        <v>5843</v>
      </c>
      <c r="F8727" t="s">
        <v>31083</v>
      </c>
      <c r="G8727" t="s">
        <v>31084</v>
      </c>
      <c r="H8727" t="s">
        <v>5474</v>
      </c>
      <c r="I8727" t="s">
        <v>31085</v>
      </c>
      <c r="J8727" t="s">
        <v>5484</v>
      </c>
      <c r="K8727" t="s">
        <v>31086</v>
      </c>
      <c r="L8727" t="s">
        <v>5471</v>
      </c>
      <c r="M8727" t="s">
        <v>5471</v>
      </c>
    </row>
    <row r="8728" spans="1:13" x14ac:dyDescent="0.3">
      <c r="A8728" t="s">
        <v>3380</v>
      </c>
      <c r="B8728" t="s">
        <v>16336</v>
      </c>
      <c r="C8728" t="s">
        <v>5487</v>
      </c>
      <c r="D8728" t="s">
        <v>4119</v>
      </c>
      <c r="E8728" t="s">
        <v>5843</v>
      </c>
      <c r="F8728" t="s">
        <v>31087</v>
      </c>
      <c r="G8728" t="s">
        <v>16856</v>
      </c>
      <c r="H8728" t="s">
        <v>5474</v>
      </c>
      <c r="I8728" t="s">
        <v>31088</v>
      </c>
      <c r="J8728" t="s">
        <v>5484</v>
      </c>
      <c r="K8728" t="s">
        <v>31089</v>
      </c>
      <c r="L8728" t="s">
        <v>5471</v>
      </c>
      <c r="M8728" t="s">
        <v>5471</v>
      </c>
    </row>
    <row r="8729" spans="1:13" x14ac:dyDescent="0.3">
      <c r="A8729" t="s">
        <v>3380</v>
      </c>
      <c r="B8729" t="s">
        <v>16336</v>
      </c>
      <c r="C8729" t="s">
        <v>5487</v>
      </c>
      <c r="D8729" t="s">
        <v>4119</v>
      </c>
      <c r="E8729" t="s">
        <v>5843</v>
      </c>
      <c r="F8729" t="s">
        <v>31090</v>
      </c>
      <c r="G8729" t="s">
        <v>31080</v>
      </c>
      <c r="H8729" t="s">
        <v>5474</v>
      </c>
      <c r="I8729" t="s">
        <v>31091</v>
      </c>
      <c r="J8729" t="s">
        <v>5484</v>
      </c>
      <c r="K8729" t="s">
        <v>31092</v>
      </c>
      <c r="L8729" t="s">
        <v>5471</v>
      </c>
      <c r="M8729" t="s">
        <v>5471</v>
      </c>
    </row>
    <row r="8730" spans="1:13" x14ac:dyDescent="0.3">
      <c r="A8730" t="s">
        <v>3388</v>
      </c>
      <c r="B8730" t="s">
        <v>30017</v>
      </c>
      <c r="C8730" t="s">
        <v>5470</v>
      </c>
      <c r="D8730" t="s">
        <v>4119</v>
      </c>
      <c r="E8730" t="s">
        <v>5532</v>
      </c>
      <c r="F8730" t="s">
        <v>31093</v>
      </c>
      <c r="G8730" t="s">
        <v>29434</v>
      </c>
      <c r="H8730" t="s">
        <v>5474</v>
      </c>
      <c r="I8730" t="s">
        <v>31094</v>
      </c>
      <c r="J8730" t="s">
        <v>5484</v>
      </c>
      <c r="K8730" t="s">
        <v>31095</v>
      </c>
      <c r="L8730" t="s">
        <v>5471</v>
      </c>
      <c r="M8730" t="s">
        <v>5471</v>
      </c>
    </row>
    <row r="8731" spans="1:13" x14ac:dyDescent="0.3">
      <c r="A8731" t="s">
        <v>3380</v>
      </c>
      <c r="B8731" t="s">
        <v>16336</v>
      </c>
      <c r="C8731" t="s">
        <v>5487</v>
      </c>
      <c r="D8731" t="s">
        <v>4119</v>
      </c>
      <c r="E8731" t="s">
        <v>5843</v>
      </c>
      <c r="F8731" t="s">
        <v>31096</v>
      </c>
      <c r="G8731" t="s">
        <v>31084</v>
      </c>
      <c r="H8731" t="s">
        <v>5474</v>
      </c>
      <c r="I8731" t="s">
        <v>31097</v>
      </c>
      <c r="J8731" t="s">
        <v>5484</v>
      </c>
      <c r="K8731" t="s">
        <v>31098</v>
      </c>
      <c r="L8731" t="s">
        <v>5471</v>
      </c>
      <c r="M8731" t="s">
        <v>5471</v>
      </c>
    </row>
    <row r="8732" spans="1:13" x14ac:dyDescent="0.3">
      <c r="A8732" t="s">
        <v>3388</v>
      </c>
      <c r="B8732" t="s">
        <v>30017</v>
      </c>
      <c r="C8732" t="s">
        <v>5470</v>
      </c>
      <c r="D8732" t="s">
        <v>4119</v>
      </c>
      <c r="E8732" t="s">
        <v>5532</v>
      </c>
      <c r="F8732" t="s">
        <v>31099</v>
      </c>
      <c r="G8732" t="s">
        <v>30043</v>
      </c>
      <c r="H8732" t="s">
        <v>5474</v>
      </c>
      <c r="I8732" t="s">
        <v>31100</v>
      </c>
      <c r="J8732" t="s">
        <v>5484</v>
      </c>
      <c r="K8732" t="s">
        <v>31101</v>
      </c>
      <c r="L8732" t="s">
        <v>5471</v>
      </c>
      <c r="M8732" t="s">
        <v>5471</v>
      </c>
    </row>
    <row r="8733" spans="1:13" x14ac:dyDescent="0.3">
      <c r="A8733" t="s">
        <v>3380</v>
      </c>
      <c r="B8733" t="s">
        <v>16336</v>
      </c>
      <c r="C8733" t="s">
        <v>5487</v>
      </c>
      <c r="D8733" t="s">
        <v>4119</v>
      </c>
      <c r="E8733" t="s">
        <v>5843</v>
      </c>
      <c r="F8733" t="s">
        <v>31102</v>
      </c>
      <c r="G8733" t="s">
        <v>31103</v>
      </c>
      <c r="H8733" t="s">
        <v>5474</v>
      </c>
      <c r="I8733" t="s">
        <v>31104</v>
      </c>
      <c r="J8733" t="s">
        <v>5484</v>
      </c>
      <c r="K8733" t="s">
        <v>30723</v>
      </c>
      <c r="L8733" t="s">
        <v>5471</v>
      </c>
      <c r="M8733" t="s">
        <v>5471</v>
      </c>
    </row>
    <row r="8734" spans="1:13" x14ac:dyDescent="0.3">
      <c r="A8734" t="s">
        <v>3388</v>
      </c>
      <c r="B8734" t="s">
        <v>5272</v>
      </c>
      <c r="C8734" t="s">
        <v>5470</v>
      </c>
      <c r="D8734" t="s">
        <v>4200</v>
      </c>
      <c r="E8734" t="s">
        <v>5532</v>
      </c>
      <c r="F8734" t="s">
        <v>31105</v>
      </c>
      <c r="G8734" t="s">
        <v>20034</v>
      </c>
      <c r="H8734" t="s">
        <v>5474</v>
      </c>
      <c r="I8734" t="s">
        <v>31106</v>
      </c>
      <c r="J8734" t="s">
        <v>5484</v>
      </c>
      <c r="K8734" t="s">
        <v>31107</v>
      </c>
      <c r="L8734" t="s">
        <v>5471</v>
      </c>
      <c r="M8734" t="s">
        <v>5471</v>
      </c>
    </row>
    <row r="8735" spans="1:13" x14ac:dyDescent="0.3">
      <c r="A8735" t="s">
        <v>3388</v>
      </c>
      <c r="B8735" t="s">
        <v>30017</v>
      </c>
      <c r="C8735" t="s">
        <v>5470</v>
      </c>
      <c r="D8735" t="s">
        <v>4119</v>
      </c>
      <c r="E8735" t="s">
        <v>5532</v>
      </c>
      <c r="F8735" t="s">
        <v>31108</v>
      </c>
      <c r="G8735" t="s">
        <v>30043</v>
      </c>
      <c r="H8735" t="s">
        <v>5474</v>
      </c>
      <c r="I8735" t="s">
        <v>31109</v>
      </c>
      <c r="J8735" t="s">
        <v>5484</v>
      </c>
      <c r="K8735" t="s">
        <v>31110</v>
      </c>
      <c r="L8735" t="s">
        <v>5471</v>
      </c>
      <c r="M8735" t="s">
        <v>5471</v>
      </c>
    </row>
    <row r="8736" spans="1:13" x14ac:dyDescent="0.3">
      <c r="A8736" t="s">
        <v>3388</v>
      </c>
      <c r="B8736" t="s">
        <v>2749</v>
      </c>
      <c r="C8736" t="s">
        <v>5470</v>
      </c>
      <c r="D8736" t="s">
        <v>4200</v>
      </c>
      <c r="E8736" t="s">
        <v>5843</v>
      </c>
      <c r="F8736" t="s">
        <v>31111</v>
      </c>
      <c r="G8736" t="s">
        <v>31112</v>
      </c>
      <c r="H8736" t="s">
        <v>5474</v>
      </c>
      <c r="I8736" t="s">
        <v>31113</v>
      </c>
      <c r="J8736" t="s">
        <v>5484</v>
      </c>
      <c r="K8736" t="s">
        <v>31114</v>
      </c>
      <c r="L8736" t="s">
        <v>5471</v>
      </c>
      <c r="M8736" t="s">
        <v>5471</v>
      </c>
    </row>
    <row r="8737" spans="1:13" x14ac:dyDescent="0.3">
      <c r="A8737" t="s">
        <v>3388</v>
      </c>
      <c r="B8737" t="s">
        <v>30017</v>
      </c>
      <c r="C8737" t="s">
        <v>5470</v>
      </c>
      <c r="D8737" t="s">
        <v>4119</v>
      </c>
      <c r="E8737" t="s">
        <v>5532</v>
      </c>
      <c r="F8737" t="s">
        <v>31115</v>
      </c>
      <c r="G8737" t="s">
        <v>30043</v>
      </c>
      <c r="H8737" t="s">
        <v>5474</v>
      </c>
      <c r="I8737" t="s">
        <v>31116</v>
      </c>
      <c r="J8737" t="s">
        <v>5484</v>
      </c>
      <c r="K8737" t="s">
        <v>31117</v>
      </c>
      <c r="L8737" t="s">
        <v>5471</v>
      </c>
      <c r="M8737" t="s">
        <v>5471</v>
      </c>
    </row>
    <row r="8738" spans="1:13" x14ac:dyDescent="0.3">
      <c r="A8738" t="s">
        <v>3388</v>
      </c>
      <c r="B8738" t="s">
        <v>30017</v>
      </c>
      <c r="C8738" t="s">
        <v>5470</v>
      </c>
      <c r="D8738" t="s">
        <v>4119</v>
      </c>
      <c r="E8738" t="s">
        <v>5532</v>
      </c>
      <c r="F8738" t="s">
        <v>31118</v>
      </c>
      <c r="G8738" t="s">
        <v>30043</v>
      </c>
      <c r="H8738" t="s">
        <v>5474</v>
      </c>
      <c r="I8738" t="s">
        <v>31119</v>
      </c>
      <c r="J8738" t="s">
        <v>5484</v>
      </c>
      <c r="K8738" t="s">
        <v>31120</v>
      </c>
      <c r="L8738" t="s">
        <v>5471</v>
      </c>
      <c r="M8738" t="s">
        <v>5471</v>
      </c>
    </row>
    <row r="8739" spans="1:13" x14ac:dyDescent="0.3">
      <c r="A8739" t="s">
        <v>3388</v>
      </c>
      <c r="B8739" t="s">
        <v>2749</v>
      </c>
      <c r="C8739" t="s">
        <v>5470</v>
      </c>
      <c r="D8739" t="s">
        <v>4200</v>
      </c>
      <c r="E8739" t="s">
        <v>5843</v>
      </c>
      <c r="F8739" t="s">
        <v>31121</v>
      </c>
      <c r="G8739" t="s">
        <v>31112</v>
      </c>
      <c r="H8739" t="s">
        <v>5474</v>
      </c>
      <c r="I8739" t="s">
        <v>31122</v>
      </c>
      <c r="J8739" t="s">
        <v>5484</v>
      </c>
      <c r="K8739" t="s">
        <v>31123</v>
      </c>
      <c r="L8739" t="s">
        <v>5471</v>
      </c>
      <c r="M8739" t="s">
        <v>5471</v>
      </c>
    </row>
    <row r="8740" spans="1:13" x14ac:dyDescent="0.3">
      <c r="A8740" t="s">
        <v>3388</v>
      </c>
      <c r="B8740" t="s">
        <v>2749</v>
      </c>
      <c r="C8740" t="s">
        <v>5470</v>
      </c>
      <c r="D8740" t="s">
        <v>4200</v>
      </c>
      <c r="E8740" t="s">
        <v>5843</v>
      </c>
      <c r="F8740" t="s">
        <v>31124</v>
      </c>
      <c r="G8740" t="s">
        <v>31112</v>
      </c>
      <c r="H8740" t="s">
        <v>5474</v>
      </c>
      <c r="I8740" t="s">
        <v>31125</v>
      </c>
      <c r="J8740" t="s">
        <v>5484</v>
      </c>
      <c r="K8740" t="s">
        <v>31126</v>
      </c>
      <c r="L8740" t="s">
        <v>5471</v>
      </c>
      <c r="M8740" t="s">
        <v>5471</v>
      </c>
    </row>
    <row r="8741" spans="1:13" x14ac:dyDescent="0.3">
      <c r="A8741" t="s">
        <v>3388</v>
      </c>
      <c r="B8741" t="s">
        <v>30017</v>
      </c>
      <c r="C8741" t="s">
        <v>5470</v>
      </c>
      <c r="D8741" t="s">
        <v>4119</v>
      </c>
      <c r="E8741" t="s">
        <v>5532</v>
      </c>
      <c r="F8741" t="s">
        <v>31127</v>
      </c>
      <c r="G8741" t="s">
        <v>30043</v>
      </c>
      <c r="H8741" t="s">
        <v>5474</v>
      </c>
      <c r="I8741" t="s">
        <v>31128</v>
      </c>
      <c r="J8741" t="s">
        <v>5484</v>
      </c>
      <c r="K8741" t="s">
        <v>31129</v>
      </c>
      <c r="L8741" t="s">
        <v>5471</v>
      </c>
      <c r="M8741" t="s">
        <v>5471</v>
      </c>
    </row>
    <row r="8742" spans="1:13" x14ac:dyDescent="0.3">
      <c r="A8742" t="s">
        <v>3388</v>
      </c>
      <c r="B8742" t="s">
        <v>30017</v>
      </c>
      <c r="C8742" t="s">
        <v>5470</v>
      </c>
      <c r="D8742" t="s">
        <v>4119</v>
      </c>
      <c r="E8742" t="s">
        <v>5532</v>
      </c>
      <c r="F8742" t="s">
        <v>31130</v>
      </c>
      <c r="G8742" t="s">
        <v>30043</v>
      </c>
      <c r="H8742" t="s">
        <v>5474</v>
      </c>
      <c r="I8742" t="s">
        <v>31131</v>
      </c>
      <c r="J8742" t="s">
        <v>5484</v>
      </c>
      <c r="K8742" t="s">
        <v>31132</v>
      </c>
      <c r="L8742" t="s">
        <v>5471</v>
      </c>
      <c r="M8742" t="s">
        <v>5471</v>
      </c>
    </row>
    <row r="8743" spans="1:13" x14ac:dyDescent="0.3">
      <c r="A8743" t="s">
        <v>3388</v>
      </c>
      <c r="B8743" t="s">
        <v>5296</v>
      </c>
      <c r="C8743" t="s">
        <v>5470</v>
      </c>
      <c r="D8743" t="s">
        <v>4200</v>
      </c>
      <c r="E8743" t="s">
        <v>5843</v>
      </c>
      <c r="F8743" t="s">
        <v>31133</v>
      </c>
      <c r="G8743" t="s">
        <v>31134</v>
      </c>
      <c r="H8743" t="s">
        <v>5474</v>
      </c>
      <c r="I8743" t="s">
        <v>31135</v>
      </c>
      <c r="J8743" t="s">
        <v>5484</v>
      </c>
      <c r="K8743" t="s">
        <v>31136</v>
      </c>
      <c r="L8743" t="s">
        <v>5471</v>
      </c>
      <c r="M8743" t="s">
        <v>5471</v>
      </c>
    </row>
    <row r="8744" spans="1:13" x14ac:dyDescent="0.3">
      <c r="A8744" t="s">
        <v>3397</v>
      </c>
      <c r="B8744" t="s">
        <v>5269</v>
      </c>
      <c r="C8744" t="s">
        <v>5487</v>
      </c>
      <c r="D8744" t="s">
        <v>4058</v>
      </c>
      <c r="E8744" t="s">
        <v>5595</v>
      </c>
      <c r="F8744" t="s">
        <v>31137</v>
      </c>
      <c r="G8744" t="s">
        <v>28026</v>
      </c>
      <c r="H8744" t="s">
        <v>5474</v>
      </c>
      <c r="I8744" t="s">
        <v>31138</v>
      </c>
      <c r="J8744" t="s">
        <v>5476</v>
      </c>
      <c r="K8744" t="s">
        <v>31139</v>
      </c>
      <c r="L8744" t="s">
        <v>5471</v>
      </c>
      <c r="M8744" t="s">
        <v>5471</v>
      </c>
    </row>
    <row r="8745" spans="1:13" x14ac:dyDescent="0.3">
      <c r="A8745" t="s">
        <v>3397</v>
      </c>
      <c r="B8745" t="s">
        <v>5269</v>
      </c>
      <c r="C8745" t="s">
        <v>5487</v>
      </c>
      <c r="D8745" t="s">
        <v>4058</v>
      </c>
      <c r="E8745" t="s">
        <v>5595</v>
      </c>
      <c r="F8745" t="s">
        <v>31140</v>
      </c>
      <c r="G8745" t="s">
        <v>31141</v>
      </c>
      <c r="H8745" t="s">
        <v>5474</v>
      </c>
      <c r="I8745" t="s">
        <v>31142</v>
      </c>
      <c r="J8745" t="s">
        <v>5476</v>
      </c>
      <c r="K8745" t="s">
        <v>31143</v>
      </c>
      <c r="L8745" t="s">
        <v>5471</v>
      </c>
      <c r="M8745" t="s">
        <v>5471</v>
      </c>
    </row>
    <row r="8746" spans="1:13" x14ac:dyDescent="0.3">
      <c r="A8746" t="s">
        <v>3388</v>
      </c>
      <c r="B8746" t="s">
        <v>30017</v>
      </c>
      <c r="C8746" t="s">
        <v>5470</v>
      </c>
      <c r="D8746" t="s">
        <v>4119</v>
      </c>
      <c r="E8746" t="s">
        <v>5532</v>
      </c>
      <c r="F8746" t="s">
        <v>31144</v>
      </c>
      <c r="G8746" t="s">
        <v>30043</v>
      </c>
      <c r="H8746" t="s">
        <v>5474</v>
      </c>
      <c r="I8746" t="s">
        <v>31145</v>
      </c>
      <c r="J8746" t="s">
        <v>5484</v>
      </c>
      <c r="K8746" t="s">
        <v>31146</v>
      </c>
      <c r="L8746" t="s">
        <v>5471</v>
      </c>
      <c r="M8746" t="s">
        <v>5471</v>
      </c>
    </row>
    <row r="8747" spans="1:13" x14ac:dyDescent="0.3">
      <c r="A8747" t="s">
        <v>3388</v>
      </c>
      <c r="B8747" t="s">
        <v>5296</v>
      </c>
      <c r="C8747" t="s">
        <v>5470</v>
      </c>
      <c r="D8747" t="s">
        <v>4200</v>
      </c>
      <c r="E8747" t="s">
        <v>5843</v>
      </c>
      <c r="F8747" t="s">
        <v>31147</v>
      </c>
      <c r="G8747" t="s">
        <v>31134</v>
      </c>
      <c r="H8747" t="s">
        <v>5474</v>
      </c>
      <c r="I8747" t="s">
        <v>31148</v>
      </c>
      <c r="J8747" t="s">
        <v>5484</v>
      </c>
      <c r="K8747" t="s">
        <v>31149</v>
      </c>
      <c r="L8747" t="s">
        <v>5471</v>
      </c>
      <c r="M8747" t="s">
        <v>5471</v>
      </c>
    </row>
    <row r="8748" spans="1:13" x14ac:dyDescent="0.3">
      <c r="A8748" t="s">
        <v>3397</v>
      </c>
      <c r="B8748" t="s">
        <v>5269</v>
      </c>
      <c r="C8748" t="s">
        <v>5487</v>
      </c>
      <c r="D8748" t="s">
        <v>4058</v>
      </c>
      <c r="E8748" t="s">
        <v>5595</v>
      </c>
      <c r="F8748" t="s">
        <v>31150</v>
      </c>
      <c r="G8748" t="s">
        <v>28026</v>
      </c>
      <c r="H8748" t="s">
        <v>5474</v>
      </c>
      <c r="I8748" t="s">
        <v>31151</v>
      </c>
      <c r="J8748" t="s">
        <v>5476</v>
      </c>
      <c r="K8748" t="s">
        <v>31152</v>
      </c>
      <c r="L8748" t="s">
        <v>5471</v>
      </c>
      <c r="M8748" t="s">
        <v>5471</v>
      </c>
    </row>
    <row r="8749" spans="1:13" x14ac:dyDescent="0.3">
      <c r="A8749" t="s">
        <v>3397</v>
      </c>
      <c r="B8749" t="s">
        <v>5269</v>
      </c>
      <c r="C8749" t="s">
        <v>5487</v>
      </c>
      <c r="D8749" t="s">
        <v>4058</v>
      </c>
      <c r="E8749" t="s">
        <v>5595</v>
      </c>
      <c r="F8749" t="s">
        <v>31153</v>
      </c>
      <c r="G8749" t="s">
        <v>28026</v>
      </c>
      <c r="H8749" t="s">
        <v>5474</v>
      </c>
      <c r="I8749" t="s">
        <v>31154</v>
      </c>
      <c r="J8749" t="s">
        <v>5476</v>
      </c>
      <c r="K8749" t="s">
        <v>31155</v>
      </c>
      <c r="L8749" t="s">
        <v>5471</v>
      </c>
      <c r="M8749" t="s">
        <v>5471</v>
      </c>
    </row>
    <row r="8750" spans="1:13" x14ac:dyDescent="0.3">
      <c r="A8750" t="s">
        <v>3388</v>
      </c>
      <c r="B8750" t="s">
        <v>30017</v>
      </c>
      <c r="C8750" t="s">
        <v>5470</v>
      </c>
      <c r="D8750" t="s">
        <v>4119</v>
      </c>
      <c r="E8750" t="s">
        <v>5532</v>
      </c>
      <c r="F8750" t="s">
        <v>31156</v>
      </c>
      <c r="G8750" t="s">
        <v>30043</v>
      </c>
      <c r="H8750" t="s">
        <v>5474</v>
      </c>
      <c r="I8750" t="s">
        <v>31157</v>
      </c>
      <c r="J8750" t="s">
        <v>5484</v>
      </c>
      <c r="K8750" t="s">
        <v>31158</v>
      </c>
      <c r="L8750" t="s">
        <v>5471</v>
      </c>
      <c r="M8750" t="s">
        <v>5471</v>
      </c>
    </row>
    <row r="8751" spans="1:13" x14ac:dyDescent="0.3">
      <c r="A8751" t="s">
        <v>3388</v>
      </c>
      <c r="B8751" t="s">
        <v>5296</v>
      </c>
      <c r="C8751" t="s">
        <v>5470</v>
      </c>
      <c r="D8751" t="s">
        <v>4200</v>
      </c>
      <c r="E8751" t="s">
        <v>5843</v>
      </c>
      <c r="F8751" t="s">
        <v>31159</v>
      </c>
      <c r="G8751" t="s">
        <v>31134</v>
      </c>
      <c r="H8751" t="s">
        <v>5474</v>
      </c>
      <c r="I8751" t="s">
        <v>31160</v>
      </c>
      <c r="J8751" t="s">
        <v>5484</v>
      </c>
      <c r="K8751" t="s">
        <v>31161</v>
      </c>
      <c r="L8751" t="s">
        <v>5471</v>
      </c>
      <c r="M8751" t="s">
        <v>5471</v>
      </c>
    </row>
    <row r="8752" spans="1:13" x14ac:dyDescent="0.3">
      <c r="A8752" t="s">
        <v>3397</v>
      </c>
      <c r="B8752" t="s">
        <v>5269</v>
      </c>
      <c r="C8752" t="s">
        <v>5487</v>
      </c>
      <c r="D8752" t="s">
        <v>4058</v>
      </c>
      <c r="E8752" t="s">
        <v>5595</v>
      </c>
      <c r="F8752" t="s">
        <v>31162</v>
      </c>
      <c r="G8752" t="s">
        <v>28026</v>
      </c>
      <c r="H8752" t="s">
        <v>5474</v>
      </c>
      <c r="I8752" t="s">
        <v>31163</v>
      </c>
      <c r="J8752" t="s">
        <v>5476</v>
      </c>
      <c r="K8752" t="s">
        <v>31164</v>
      </c>
      <c r="L8752" t="s">
        <v>5471</v>
      </c>
      <c r="M8752" t="s">
        <v>5471</v>
      </c>
    </row>
    <row r="8753" spans="1:13" x14ac:dyDescent="0.3">
      <c r="A8753" t="s">
        <v>3388</v>
      </c>
      <c r="B8753" t="s">
        <v>30017</v>
      </c>
      <c r="C8753" t="s">
        <v>5470</v>
      </c>
      <c r="D8753" t="s">
        <v>4119</v>
      </c>
      <c r="E8753" t="s">
        <v>5532</v>
      </c>
      <c r="F8753" t="s">
        <v>31165</v>
      </c>
      <c r="G8753" t="s">
        <v>30043</v>
      </c>
      <c r="H8753" t="s">
        <v>5474</v>
      </c>
      <c r="I8753" t="s">
        <v>31166</v>
      </c>
      <c r="J8753" t="s">
        <v>5484</v>
      </c>
      <c r="K8753" t="s">
        <v>31167</v>
      </c>
      <c r="L8753" t="s">
        <v>5471</v>
      </c>
      <c r="M8753" t="s">
        <v>5471</v>
      </c>
    </row>
    <row r="8754" spans="1:13" x14ac:dyDescent="0.3">
      <c r="A8754" t="s">
        <v>3397</v>
      </c>
      <c r="B8754" t="s">
        <v>5269</v>
      </c>
      <c r="C8754" t="s">
        <v>5487</v>
      </c>
      <c r="D8754" t="s">
        <v>4058</v>
      </c>
      <c r="E8754" t="s">
        <v>5595</v>
      </c>
      <c r="F8754" t="s">
        <v>31168</v>
      </c>
      <c r="G8754" t="s">
        <v>27805</v>
      </c>
      <c r="H8754" t="s">
        <v>5474</v>
      </c>
      <c r="I8754" t="s">
        <v>31169</v>
      </c>
      <c r="J8754" t="s">
        <v>5476</v>
      </c>
      <c r="K8754" t="s">
        <v>31170</v>
      </c>
      <c r="L8754" t="s">
        <v>5471</v>
      </c>
      <c r="M8754" t="s">
        <v>5471</v>
      </c>
    </row>
    <row r="8755" spans="1:13" x14ac:dyDescent="0.3">
      <c r="A8755" t="s">
        <v>3397</v>
      </c>
      <c r="B8755" t="s">
        <v>5269</v>
      </c>
      <c r="C8755" t="s">
        <v>5487</v>
      </c>
      <c r="D8755" t="s">
        <v>4058</v>
      </c>
      <c r="E8755" t="s">
        <v>5595</v>
      </c>
      <c r="F8755" t="s">
        <v>31171</v>
      </c>
      <c r="G8755" t="s">
        <v>27805</v>
      </c>
      <c r="H8755" t="s">
        <v>5474</v>
      </c>
      <c r="I8755" t="s">
        <v>31172</v>
      </c>
      <c r="J8755" t="s">
        <v>5476</v>
      </c>
      <c r="K8755" t="s">
        <v>31173</v>
      </c>
      <c r="L8755" t="s">
        <v>5471</v>
      </c>
      <c r="M8755" t="s">
        <v>5471</v>
      </c>
    </row>
    <row r="8756" spans="1:13" x14ac:dyDescent="0.3">
      <c r="A8756" t="s">
        <v>3397</v>
      </c>
      <c r="B8756" t="s">
        <v>5269</v>
      </c>
      <c r="C8756" t="s">
        <v>5487</v>
      </c>
      <c r="D8756" t="s">
        <v>4058</v>
      </c>
      <c r="E8756" t="s">
        <v>5595</v>
      </c>
      <c r="F8756" t="s">
        <v>31174</v>
      </c>
      <c r="G8756" t="s">
        <v>27805</v>
      </c>
      <c r="H8756" t="s">
        <v>5474</v>
      </c>
      <c r="I8756" t="s">
        <v>31175</v>
      </c>
      <c r="J8756" t="s">
        <v>5476</v>
      </c>
      <c r="K8756" t="s">
        <v>31176</v>
      </c>
      <c r="L8756" t="s">
        <v>5471</v>
      </c>
      <c r="M8756" t="s">
        <v>5471</v>
      </c>
    </row>
    <row r="8757" spans="1:13" x14ac:dyDescent="0.3">
      <c r="A8757" t="s">
        <v>3397</v>
      </c>
      <c r="B8757" t="s">
        <v>5269</v>
      </c>
      <c r="C8757" t="s">
        <v>5487</v>
      </c>
      <c r="D8757" t="s">
        <v>4058</v>
      </c>
      <c r="E8757" t="s">
        <v>5595</v>
      </c>
      <c r="F8757" t="s">
        <v>31177</v>
      </c>
      <c r="G8757" t="s">
        <v>27805</v>
      </c>
      <c r="H8757" t="s">
        <v>5474</v>
      </c>
      <c r="I8757" t="s">
        <v>31178</v>
      </c>
      <c r="J8757" t="s">
        <v>5476</v>
      </c>
      <c r="K8757" t="s">
        <v>31179</v>
      </c>
      <c r="L8757" t="s">
        <v>5471</v>
      </c>
      <c r="M8757" t="s">
        <v>5471</v>
      </c>
    </row>
    <row r="8758" spans="1:13" x14ac:dyDescent="0.3">
      <c r="A8758" t="s">
        <v>3397</v>
      </c>
      <c r="B8758" t="s">
        <v>5269</v>
      </c>
      <c r="C8758" t="s">
        <v>5487</v>
      </c>
      <c r="D8758" t="s">
        <v>4058</v>
      </c>
      <c r="E8758" t="s">
        <v>5595</v>
      </c>
      <c r="F8758" t="s">
        <v>31180</v>
      </c>
      <c r="G8758" t="s">
        <v>31181</v>
      </c>
      <c r="H8758" t="s">
        <v>5474</v>
      </c>
      <c r="I8758" t="s">
        <v>31182</v>
      </c>
      <c r="J8758" t="s">
        <v>5476</v>
      </c>
      <c r="K8758" t="s">
        <v>31183</v>
      </c>
      <c r="L8758" t="s">
        <v>5471</v>
      </c>
      <c r="M8758" t="s">
        <v>5471</v>
      </c>
    </row>
    <row r="8759" spans="1:13" x14ac:dyDescent="0.3">
      <c r="A8759" t="s">
        <v>3388</v>
      </c>
      <c r="B8759" t="s">
        <v>30017</v>
      </c>
      <c r="C8759" t="s">
        <v>5470</v>
      </c>
      <c r="D8759" t="s">
        <v>4119</v>
      </c>
      <c r="E8759" t="s">
        <v>5532</v>
      </c>
      <c r="F8759" t="s">
        <v>31184</v>
      </c>
      <c r="G8759" t="s">
        <v>30053</v>
      </c>
      <c r="H8759" t="s">
        <v>5474</v>
      </c>
      <c r="I8759" t="s">
        <v>31185</v>
      </c>
      <c r="J8759" t="s">
        <v>5484</v>
      </c>
      <c r="K8759" t="s">
        <v>31186</v>
      </c>
      <c r="L8759" t="s">
        <v>5471</v>
      </c>
      <c r="M8759" t="s">
        <v>5471</v>
      </c>
    </row>
    <row r="8760" spans="1:13" x14ac:dyDescent="0.3">
      <c r="A8760" t="s">
        <v>3397</v>
      </c>
      <c r="B8760" t="s">
        <v>5269</v>
      </c>
      <c r="C8760" t="s">
        <v>5487</v>
      </c>
      <c r="D8760" t="s">
        <v>4056</v>
      </c>
      <c r="E8760" t="s">
        <v>5595</v>
      </c>
      <c r="F8760" t="s">
        <v>31187</v>
      </c>
      <c r="G8760" t="s">
        <v>28026</v>
      </c>
      <c r="H8760" t="s">
        <v>5474</v>
      </c>
      <c r="I8760" t="s">
        <v>31188</v>
      </c>
      <c r="J8760" t="s">
        <v>5476</v>
      </c>
      <c r="K8760" t="s">
        <v>31189</v>
      </c>
      <c r="L8760" t="s">
        <v>5471</v>
      </c>
      <c r="M8760" t="s">
        <v>5471</v>
      </c>
    </row>
    <row r="8761" spans="1:13" x14ac:dyDescent="0.3">
      <c r="A8761" t="s">
        <v>3388</v>
      </c>
      <c r="B8761" t="s">
        <v>8573</v>
      </c>
      <c r="C8761" t="s">
        <v>5470</v>
      </c>
      <c r="D8761" t="s">
        <v>4200</v>
      </c>
      <c r="E8761" t="s">
        <v>5532</v>
      </c>
      <c r="F8761" t="s">
        <v>31190</v>
      </c>
      <c r="G8761" t="s">
        <v>31191</v>
      </c>
      <c r="H8761" t="s">
        <v>5474</v>
      </c>
      <c r="I8761" t="s">
        <v>31192</v>
      </c>
      <c r="J8761" t="s">
        <v>5484</v>
      </c>
      <c r="K8761" t="s">
        <v>31193</v>
      </c>
      <c r="L8761" t="s">
        <v>5471</v>
      </c>
      <c r="M8761" t="s">
        <v>5471</v>
      </c>
    </row>
    <row r="8762" spans="1:13" x14ac:dyDescent="0.3">
      <c r="A8762" t="s">
        <v>3397</v>
      </c>
      <c r="B8762" t="s">
        <v>5269</v>
      </c>
      <c r="C8762" t="s">
        <v>5487</v>
      </c>
      <c r="D8762" t="s">
        <v>4056</v>
      </c>
      <c r="E8762" t="s">
        <v>5595</v>
      </c>
      <c r="F8762" t="s">
        <v>31194</v>
      </c>
      <c r="G8762" t="s">
        <v>28026</v>
      </c>
      <c r="H8762" t="s">
        <v>5474</v>
      </c>
      <c r="I8762" t="s">
        <v>31195</v>
      </c>
      <c r="J8762" t="s">
        <v>5476</v>
      </c>
      <c r="K8762" t="s">
        <v>31196</v>
      </c>
      <c r="L8762" t="s">
        <v>5471</v>
      </c>
      <c r="M8762" t="s">
        <v>5471</v>
      </c>
    </row>
    <row r="8763" spans="1:13" x14ac:dyDescent="0.3">
      <c r="A8763" t="s">
        <v>3388</v>
      </c>
      <c r="B8763" t="s">
        <v>30017</v>
      </c>
      <c r="C8763" t="s">
        <v>5470</v>
      </c>
      <c r="D8763" t="s">
        <v>4119</v>
      </c>
      <c r="E8763" t="s">
        <v>5532</v>
      </c>
      <c r="F8763" t="s">
        <v>31197</v>
      </c>
      <c r="G8763" t="s">
        <v>30053</v>
      </c>
      <c r="H8763" t="s">
        <v>5474</v>
      </c>
      <c r="I8763" t="s">
        <v>31198</v>
      </c>
      <c r="J8763" t="s">
        <v>5484</v>
      </c>
      <c r="K8763" t="s">
        <v>31199</v>
      </c>
      <c r="L8763" t="s">
        <v>5471</v>
      </c>
      <c r="M8763" t="s">
        <v>5471</v>
      </c>
    </row>
    <row r="8764" spans="1:13" x14ac:dyDescent="0.3">
      <c r="A8764" t="s">
        <v>3397</v>
      </c>
      <c r="B8764" t="s">
        <v>5269</v>
      </c>
      <c r="C8764" t="s">
        <v>5487</v>
      </c>
      <c r="D8764" t="s">
        <v>4056</v>
      </c>
      <c r="E8764" t="s">
        <v>5595</v>
      </c>
      <c r="F8764" t="s">
        <v>31200</v>
      </c>
      <c r="G8764" t="s">
        <v>28026</v>
      </c>
      <c r="H8764" t="s">
        <v>5474</v>
      </c>
      <c r="I8764" t="s">
        <v>31201</v>
      </c>
      <c r="J8764" t="s">
        <v>5476</v>
      </c>
      <c r="K8764" t="s">
        <v>31202</v>
      </c>
      <c r="L8764" t="s">
        <v>5471</v>
      </c>
      <c r="M8764" t="s">
        <v>5471</v>
      </c>
    </row>
    <row r="8765" spans="1:13" x14ac:dyDescent="0.3">
      <c r="A8765" t="s">
        <v>3388</v>
      </c>
      <c r="B8765" t="s">
        <v>8573</v>
      </c>
      <c r="C8765" t="s">
        <v>5470</v>
      </c>
      <c r="D8765" t="s">
        <v>4200</v>
      </c>
      <c r="E8765" t="s">
        <v>5532</v>
      </c>
      <c r="F8765" t="s">
        <v>31203</v>
      </c>
      <c r="G8765" t="s">
        <v>31191</v>
      </c>
      <c r="H8765" t="s">
        <v>5474</v>
      </c>
      <c r="I8765" t="s">
        <v>31204</v>
      </c>
      <c r="J8765" t="s">
        <v>5484</v>
      </c>
      <c r="K8765" t="s">
        <v>31205</v>
      </c>
      <c r="L8765" t="s">
        <v>5471</v>
      </c>
      <c r="M8765" t="s">
        <v>5471</v>
      </c>
    </row>
    <row r="8766" spans="1:13" x14ac:dyDescent="0.3">
      <c r="A8766" t="s">
        <v>3397</v>
      </c>
      <c r="B8766" t="s">
        <v>5269</v>
      </c>
      <c r="C8766" t="s">
        <v>5487</v>
      </c>
      <c r="D8766" t="s">
        <v>4200</v>
      </c>
      <c r="E8766" t="s">
        <v>5843</v>
      </c>
      <c r="F8766" t="s">
        <v>31206</v>
      </c>
      <c r="G8766" t="s">
        <v>5787</v>
      </c>
      <c r="H8766" t="s">
        <v>5474</v>
      </c>
      <c r="I8766" t="s">
        <v>31207</v>
      </c>
      <c r="J8766" t="s">
        <v>5476</v>
      </c>
      <c r="K8766" t="s">
        <v>31208</v>
      </c>
      <c r="L8766" t="s">
        <v>5471</v>
      </c>
      <c r="M8766" t="s">
        <v>5471</v>
      </c>
    </row>
    <row r="8767" spans="1:13" x14ac:dyDescent="0.3">
      <c r="A8767" t="s">
        <v>3388</v>
      </c>
      <c r="B8767" t="s">
        <v>30017</v>
      </c>
      <c r="C8767" t="s">
        <v>5470</v>
      </c>
      <c r="D8767" t="s">
        <v>4119</v>
      </c>
      <c r="E8767" t="s">
        <v>5532</v>
      </c>
      <c r="F8767" t="s">
        <v>31209</v>
      </c>
      <c r="G8767" t="s">
        <v>30053</v>
      </c>
      <c r="H8767" t="s">
        <v>5474</v>
      </c>
      <c r="I8767" t="s">
        <v>31210</v>
      </c>
      <c r="J8767" t="s">
        <v>5484</v>
      </c>
      <c r="K8767" t="s">
        <v>31211</v>
      </c>
      <c r="L8767" t="s">
        <v>5471</v>
      </c>
      <c r="M8767" t="s">
        <v>5471</v>
      </c>
    </row>
    <row r="8768" spans="1:13" x14ac:dyDescent="0.3">
      <c r="A8768" t="s">
        <v>3397</v>
      </c>
      <c r="B8768" t="s">
        <v>5269</v>
      </c>
      <c r="C8768" t="s">
        <v>5487</v>
      </c>
      <c r="D8768" t="s">
        <v>4200</v>
      </c>
      <c r="E8768" t="s">
        <v>5843</v>
      </c>
      <c r="F8768" t="s">
        <v>31212</v>
      </c>
      <c r="G8768" t="s">
        <v>5787</v>
      </c>
      <c r="H8768" t="s">
        <v>5474</v>
      </c>
      <c r="I8768" t="s">
        <v>31213</v>
      </c>
      <c r="J8768" t="s">
        <v>5476</v>
      </c>
      <c r="K8768" t="s">
        <v>31214</v>
      </c>
      <c r="L8768" t="s">
        <v>5471</v>
      </c>
      <c r="M8768" t="s">
        <v>5471</v>
      </c>
    </row>
    <row r="8769" spans="1:13" x14ac:dyDescent="0.3">
      <c r="A8769" t="s">
        <v>3388</v>
      </c>
      <c r="B8769" t="s">
        <v>8573</v>
      </c>
      <c r="C8769" t="s">
        <v>5470</v>
      </c>
      <c r="D8769" t="s">
        <v>4200</v>
      </c>
      <c r="E8769" t="s">
        <v>5532</v>
      </c>
      <c r="F8769" t="s">
        <v>31215</v>
      </c>
      <c r="G8769" t="s">
        <v>15619</v>
      </c>
      <c r="H8769" t="s">
        <v>5474</v>
      </c>
      <c r="I8769" t="s">
        <v>31216</v>
      </c>
      <c r="J8769" t="s">
        <v>5484</v>
      </c>
      <c r="K8769" t="s">
        <v>31217</v>
      </c>
      <c r="L8769" t="s">
        <v>5471</v>
      </c>
      <c r="M8769" t="s">
        <v>5471</v>
      </c>
    </row>
    <row r="8770" spans="1:13" x14ac:dyDescent="0.3">
      <c r="A8770" t="s">
        <v>3397</v>
      </c>
      <c r="B8770" t="s">
        <v>5269</v>
      </c>
      <c r="C8770" t="s">
        <v>5487</v>
      </c>
      <c r="D8770" t="s">
        <v>4200</v>
      </c>
      <c r="E8770" t="s">
        <v>5843</v>
      </c>
      <c r="F8770" t="s">
        <v>31212</v>
      </c>
      <c r="G8770" t="s">
        <v>5787</v>
      </c>
      <c r="H8770" t="s">
        <v>5474</v>
      </c>
      <c r="I8770" t="s">
        <v>31218</v>
      </c>
      <c r="J8770" t="s">
        <v>5476</v>
      </c>
      <c r="K8770" t="s">
        <v>31219</v>
      </c>
      <c r="L8770" t="s">
        <v>5471</v>
      </c>
      <c r="M8770" t="s">
        <v>5471</v>
      </c>
    </row>
    <row r="8771" spans="1:13" x14ac:dyDescent="0.3">
      <c r="A8771" t="s">
        <v>3388</v>
      </c>
      <c r="B8771" t="s">
        <v>30017</v>
      </c>
      <c r="C8771" t="s">
        <v>5470</v>
      </c>
      <c r="D8771" t="s">
        <v>4119</v>
      </c>
      <c r="E8771" t="s">
        <v>5532</v>
      </c>
      <c r="F8771" t="s">
        <v>31220</v>
      </c>
      <c r="G8771" t="s">
        <v>30053</v>
      </c>
      <c r="H8771" t="s">
        <v>5474</v>
      </c>
      <c r="I8771" t="s">
        <v>31221</v>
      </c>
      <c r="J8771" t="s">
        <v>5484</v>
      </c>
      <c r="K8771" t="s">
        <v>31222</v>
      </c>
      <c r="L8771" t="s">
        <v>5471</v>
      </c>
      <c r="M8771" t="s">
        <v>5471</v>
      </c>
    </row>
    <row r="8772" spans="1:13" x14ac:dyDescent="0.3">
      <c r="A8772" t="s">
        <v>3397</v>
      </c>
      <c r="B8772" t="s">
        <v>5269</v>
      </c>
      <c r="C8772" t="s">
        <v>5487</v>
      </c>
      <c r="D8772" t="s">
        <v>4200</v>
      </c>
      <c r="E8772" t="s">
        <v>5843</v>
      </c>
      <c r="F8772" t="s">
        <v>31223</v>
      </c>
      <c r="G8772" t="s">
        <v>31224</v>
      </c>
      <c r="H8772" t="s">
        <v>5474</v>
      </c>
      <c r="I8772" t="s">
        <v>31225</v>
      </c>
      <c r="J8772" t="s">
        <v>5476</v>
      </c>
      <c r="K8772" t="s">
        <v>31226</v>
      </c>
      <c r="L8772" t="s">
        <v>5471</v>
      </c>
      <c r="M8772" t="s">
        <v>5471</v>
      </c>
    </row>
    <row r="8773" spans="1:13" x14ac:dyDescent="0.3">
      <c r="A8773" t="s">
        <v>3388</v>
      </c>
      <c r="B8773" t="s">
        <v>8573</v>
      </c>
      <c r="C8773" t="s">
        <v>5470</v>
      </c>
      <c r="D8773" t="s">
        <v>4200</v>
      </c>
      <c r="E8773" t="s">
        <v>5532</v>
      </c>
      <c r="F8773" t="s">
        <v>31227</v>
      </c>
      <c r="G8773" t="s">
        <v>15619</v>
      </c>
      <c r="H8773" t="s">
        <v>5474</v>
      </c>
      <c r="I8773" t="s">
        <v>31228</v>
      </c>
      <c r="J8773" t="s">
        <v>5484</v>
      </c>
      <c r="K8773" t="s">
        <v>31229</v>
      </c>
      <c r="L8773" t="s">
        <v>5471</v>
      </c>
      <c r="M8773" t="s">
        <v>5471</v>
      </c>
    </row>
    <row r="8774" spans="1:13" x14ac:dyDescent="0.3">
      <c r="A8774" t="s">
        <v>3388</v>
      </c>
      <c r="B8774" t="s">
        <v>30017</v>
      </c>
      <c r="C8774" t="s">
        <v>5470</v>
      </c>
      <c r="D8774" t="s">
        <v>4119</v>
      </c>
      <c r="E8774" t="s">
        <v>5532</v>
      </c>
      <c r="F8774" t="s">
        <v>31230</v>
      </c>
      <c r="G8774" t="s">
        <v>30053</v>
      </c>
      <c r="H8774" t="s">
        <v>5474</v>
      </c>
      <c r="I8774" t="s">
        <v>31231</v>
      </c>
      <c r="J8774" t="s">
        <v>5484</v>
      </c>
      <c r="K8774" t="s">
        <v>31232</v>
      </c>
      <c r="L8774" t="s">
        <v>5471</v>
      </c>
      <c r="M8774" t="s">
        <v>5471</v>
      </c>
    </row>
    <row r="8775" spans="1:13" x14ac:dyDescent="0.3">
      <c r="A8775" t="s">
        <v>3397</v>
      </c>
      <c r="B8775" t="s">
        <v>5269</v>
      </c>
      <c r="C8775" t="s">
        <v>5487</v>
      </c>
      <c r="D8775" t="s">
        <v>4200</v>
      </c>
      <c r="E8775" t="s">
        <v>5843</v>
      </c>
      <c r="F8775" t="s">
        <v>31223</v>
      </c>
      <c r="G8775" t="s">
        <v>5773</v>
      </c>
      <c r="H8775" t="s">
        <v>5474</v>
      </c>
      <c r="I8775" t="s">
        <v>31233</v>
      </c>
      <c r="J8775" t="s">
        <v>5476</v>
      </c>
      <c r="K8775" t="s">
        <v>31234</v>
      </c>
      <c r="L8775" t="s">
        <v>5471</v>
      </c>
      <c r="M8775" t="s">
        <v>5471</v>
      </c>
    </row>
    <row r="8776" spans="1:13" x14ac:dyDescent="0.3">
      <c r="A8776" t="s">
        <v>3397</v>
      </c>
      <c r="B8776" t="s">
        <v>5269</v>
      </c>
      <c r="C8776" t="s">
        <v>5487</v>
      </c>
      <c r="D8776" t="s">
        <v>4200</v>
      </c>
      <c r="E8776" t="s">
        <v>5843</v>
      </c>
      <c r="F8776" t="s">
        <v>31235</v>
      </c>
      <c r="G8776" t="s">
        <v>5773</v>
      </c>
      <c r="H8776" t="s">
        <v>5474</v>
      </c>
      <c r="I8776" t="s">
        <v>31236</v>
      </c>
      <c r="J8776" t="s">
        <v>5476</v>
      </c>
      <c r="K8776" t="s">
        <v>31237</v>
      </c>
      <c r="L8776" t="s">
        <v>5471</v>
      </c>
      <c r="M8776" t="s">
        <v>5471</v>
      </c>
    </row>
    <row r="8777" spans="1:13" x14ac:dyDescent="0.3">
      <c r="A8777" t="s">
        <v>3388</v>
      </c>
      <c r="B8777" t="s">
        <v>30017</v>
      </c>
      <c r="C8777" t="s">
        <v>5470</v>
      </c>
      <c r="D8777" t="s">
        <v>4119</v>
      </c>
      <c r="E8777" t="s">
        <v>5532</v>
      </c>
      <c r="F8777" t="s">
        <v>31238</v>
      </c>
      <c r="G8777" t="s">
        <v>30053</v>
      </c>
      <c r="H8777" t="s">
        <v>5474</v>
      </c>
      <c r="I8777" t="s">
        <v>31239</v>
      </c>
      <c r="J8777" t="s">
        <v>5484</v>
      </c>
      <c r="K8777" t="s">
        <v>31240</v>
      </c>
      <c r="L8777" t="s">
        <v>5471</v>
      </c>
      <c r="M8777" t="s">
        <v>5471</v>
      </c>
    </row>
    <row r="8778" spans="1:13" x14ac:dyDescent="0.3">
      <c r="A8778" t="s">
        <v>3397</v>
      </c>
      <c r="B8778" t="s">
        <v>5269</v>
      </c>
      <c r="C8778" t="s">
        <v>5487</v>
      </c>
      <c r="D8778" t="s">
        <v>4200</v>
      </c>
      <c r="E8778" t="s">
        <v>5843</v>
      </c>
      <c r="F8778" t="s">
        <v>31241</v>
      </c>
      <c r="G8778" t="s">
        <v>5787</v>
      </c>
      <c r="H8778" t="s">
        <v>5474</v>
      </c>
      <c r="I8778" t="s">
        <v>31242</v>
      </c>
      <c r="J8778" t="s">
        <v>5476</v>
      </c>
      <c r="K8778" t="s">
        <v>31243</v>
      </c>
      <c r="L8778" t="s">
        <v>5471</v>
      </c>
      <c r="M8778" t="s">
        <v>5471</v>
      </c>
    </row>
    <row r="8779" spans="1:13" x14ac:dyDescent="0.3">
      <c r="A8779" t="s">
        <v>3397</v>
      </c>
      <c r="B8779" t="s">
        <v>5269</v>
      </c>
      <c r="C8779" t="s">
        <v>5487</v>
      </c>
      <c r="D8779" t="s">
        <v>4200</v>
      </c>
      <c r="E8779" t="s">
        <v>5756</v>
      </c>
      <c r="F8779" t="s">
        <v>31244</v>
      </c>
      <c r="G8779" t="s">
        <v>12421</v>
      </c>
      <c r="H8779" t="s">
        <v>5474</v>
      </c>
      <c r="I8779" t="s">
        <v>31245</v>
      </c>
      <c r="J8779" t="s">
        <v>5476</v>
      </c>
      <c r="K8779" t="s">
        <v>31246</v>
      </c>
      <c r="L8779" t="s">
        <v>5471</v>
      </c>
      <c r="M8779" t="s">
        <v>5471</v>
      </c>
    </row>
    <row r="8780" spans="1:13" x14ac:dyDescent="0.3">
      <c r="A8780" t="s">
        <v>3397</v>
      </c>
      <c r="B8780" t="s">
        <v>5269</v>
      </c>
      <c r="C8780" t="s">
        <v>5487</v>
      </c>
      <c r="D8780" t="s">
        <v>4200</v>
      </c>
      <c r="E8780" t="s">
        <v>5756</v>
      </c>
      <c r="F8780" t="s">
        <v>31247</v>
      </c>
      <c r="G8780" t="s">
        <v>12421</v>
      </c>
      <c r="H8780" t="s">
        <v>5474</v>
      </c>
      <c r="I8780" t="s">
        <v>31248</v>
      </c>
      <c r="J8780" t="s">
        <v>5476</v>
      </c>
      <c r="K8780" t="s">
        <v>31249</v>
      </c>
      <c r="L8780" t="s">
        <v>5471</v>
      </c>
      <c r="M8780" t="s">
        <v>5471</v>
      </c>
    </row>
    <row r="8781" spans="1:13" x14ac:dyDescent="0.3">
      <c r="A8781" t="s">
        <v>3397</v>
      </c>
      <c r="B8781" t="s">
        <v>5269</v>
      </c>
      <c r="C8781" t="s">
        <v>5487</v>
      </c>
      <c r="D8781" t="s">
        <v>4200</v>
      </c>
      <c r="E8781" t="s">
        <v>5756</v>
      </c>
      <c r="F8781" t="s">
        <v>31250</v>
      </c>
      <c r="G8781" t="s">
        <v>12421</v>
      </c>
      <c r="H8781" t="s">
        <v>5474</v>
      </c>
      <c r="I8781" t="s">
        <v>31251</v>
      </c>
      <c r="J8781" t="s">
        <v>5476</v>
      </c>
      <c r="K8781" t="s">
        <v>31252</v>
      </c>
      <c r="L8781" t="s">
        <v>5471</v>
      </c>
      <c r="M8781" t="s">
        <v>5471</v>
      </c>
    </row>
    <row r="8782" spans="1:13" x14ac:dyDescent="0.3">
      <c r="A8782" t="s">
        <v>3388</v>
      </c>
      <c r="B8782" t="s">
        <v>30017</v>
      </c>
      <c r="C8782" t="s">
        <v>5470</v>
      </c>
      <c r="D8782" t="s">
        <v>4119</v>
      </c>
      <c r="E8782" t="s">
        <v>5532</v>
      </c>
      <c r="F8782" t="s">
        <v>31253</v>
      </c>
      <c r="G8782" t="s">
        <v>30053</v>
      </c>
      <c r="H8782" t="s">
        <v>5474</v>
      </c>
      <c r="I8782" t="s">
        <v>31254</v>
      </c>
      <c r="J8782" t="s">
        <v>5484</v>
      </c>
      <c r="K8782" t="s">
        <v>31255</v>
      </c>
      <c r="L8782" t="s">
        <v>5471</v>
      </c>
      <c r="M8782" t="s">
        <v>5471</v>
      </c>
    </row>
    <row r="8783" spans="1:13" x14ac:dyDescent="0.3">
      <c r="A8783" t="s">
        <v>3397</v>
      </c>
      <c r="B8783" t="s">
        <v>5269</v>
      </c>
      <c r="C8783" t="s">
        <v>5487</v>
      </c>
      <c r="D8783" t="s">
        <v>4200</v>
      </c>
      <c r="E8783" t="s">
        <v>5756</v>
      </c>
      <c r="F8783" t="s">
        <v>31256</v>
      </c>
      <c r="G8783" t="s">
        <v>31257</v>
      </c>
      <c r="H8783" t="s">
        <v>5474</v>
      </c>
      <c r="I8783" t="s">
        <v>31258</v>
      </c>
      <c r="J8783" t="s">
        <v>5476</v>
      </c>
      <c r="K8783" t="s">
        <v>31259</v>
      </c>
      <c r="L8783" t="s">
        <v>5471</v>
      </c>
      <c r="M8783" t="s">
        <v>5471</v>
      </c>
    </row>
    <row r="8784" spans="1:13" x14ac:dyDescent="0.3">
      <c r="A8784" t="s">
        <v>3397</v>
      </c>
      <c r="B8784" t="s">
        <v>5269</v>
      </c>
      <c r="C8784" t="s">
        <v>5487</v>
      </c>
      <c r="D8784" t="s">
        <v>4200</v>
      </c>
      <c r="E8784" t="s">
        <v>5756</v>
      </c>
      <c r="F8784" t="s">
        <v>31260</v>
      </c>
      <c r="G8784" t="s">
        <v>31261</v>
      </c>
      <c r="H8784" t="s">
        <v>5474</v>
      </c>
      <c r="I8784" t="s">
        <v>31262</v>
      </c>
      <c r="J8784" t="s">
        <v>5476</v>
      </c>
      <c r="K8784" t="s">
        <v>31263</v>
      </c>
      <c r="L8784" t="s">
        <v>5471</v>
      </c>
      <c r="M8784" t="s">
        <v>5471</v>
      </c>
    </row>
    <row r="8785" spans="1:13" x14ac:dyDescent="0.3">
      <c r="A8785" t="s">
        <v>3388</v>
      </c>
      <c r="B8785" t="s">
        <v>30017</v>
      </c>
      <c r="C8785" t="s">
        <v>5470</v>
      </c>
      <c r="D8785" t="s">
        <v>4119</v>
      </c>
      <c r="E8785" t="s">
        <v>5532</v>
      </c>
      <c r="F8785" t="s">
        <v>31264</v>
      </c>
      <c r="G8785" t="s">
        <v>30053</v>
      </c>
      <c r="H8785" t="s">
        <v>5474</v>
      </c>
      <c r="I8785" t="s">
        <v>31265</v>
      </c>
      <c r="J8785" t="s">
        <v>5484</v>
      </c>
      <c r="K8785" t="s">
        <v>31266</v>
      </c>
      <c r="L8785" t="s">
        <v>5471</v>
      </c>
      <c r="M8785" t="s">
        <v>5471</v>
      </c>
    </row>
    <row r="8786" spans="1:13" x14ac:dyDescent="0.3">
      <c r="A8786" t="s">
        <v>3397</v>
      </c>
      <c r="B8786" t="s">
        <v>5269</v>
      </c>
      <c r="C8786" t="s">
        <v>5487</v>
      </c>
      <c r="D8786" t="s">
        <v>4200</v>
      </c>
      <c r="E8786" t="s">
        <v>5756</v>
      </c>
      <c r="F8786" t="s">
        <v>31267</v>
      </c>
      <c r="G8786" t="s">
        <v>31261</v>
      </c>
      <c r="H8786" t="s">
        <v>5474</v>
      </c>
      <c r="I8786" t="s">
        <v>31268</v>
      </c>
      <c r="J8786" t="s">
        <v>5476</v>
      </c>
      <c r="K8786" t="s">
        <v>31269</v>
      </c>
      <c r="L8786" t="s">
        <v>5471</v>
      </c>
      <c r="M8786" t="s">
        <v>5471</v>
      </c>
    </row>
    <row r="8787" spans="1:13" x14ac:dyDescent="0.3">
      <c r="A8787" t="s">
        <v>3397</v>
      </c>
      <c r="B8787" t="s">
        <v>5269</v>
      </c>
      <c r="C8787" t="s">
        <v>5487</v>
      </c>
      <c r="D8787" t="s">
        <v>4200</v>
      </c>
      <c r="E8787" t="s">
        <v>5756</v>
      </c>
      <c r="F8787" t="s">
        <v>31270</v>
      </c>
      <c r="G8787" t="s">
        <v>31261</v>
      </c>
      <c r="H8787" t="s">
        <v>5474</v>
      </c>
      <c r="I8787" t="s">
        <v>31271</v>
      </c>
      <c r="J8787" t="s">
        <v>5476</v>
      </c>
      <c r="K8787" t="s">
        <v>31272</v>
      </c>
      <c r="L8787" t="s">
        <v>5471</v>
      </c>
      <c r="M8787" t="s">
        <v>5471</v>
      </c>
    </row>
    <row r="8788" spans="1:13" x14ac:dyDescent="0.3">
      <c r="A8788" t="s">
        <v>3388</v>
      </c>
      <c r="B8788" t="s">
        <v>30017</v>
      </c>
      <c r="C8788" t="s">
        <v>5470</v>
      </c>
      <c r="D8788" t="s">
        <v>4119</v>
      </c>
      <c r="E8788" t="s">
        <v>5532</v>
      </c>
      <c r="F8788" t="s">
        <v>31273</v>
      </c>
      <c r="G8788" t="s">
        <v>30053</v>
      </c>
      <c r="H8788" t="s">
        <v>5474</v>
      </c>
      <c r="I8788" t="s">
        <v>31274</v>
      </c>
      <c r="J8788" t="s">
        <v>5484</v>
      </c>
      <c r="K8788" t="s">
        <v>31275</v>
      </c>
      <c r="L8788" t="s">
        <v>5471</v>
      </c>
      <c r="M8788" t="s">
        <v>5471</v>
      </c>
    </row>
    <row r="8789" spans="1:13" x14ac:dyDescent="0.3">
      <c r="A8789" t="s">
        <v>3397</v>
      </c>
      <c r="B8789" t="s">
        <v>5269</v>
      </c>
      <c r="C8789" t="s">
        <v>5487</v>
      </c>
      <c r="D8789" t="s">
        <v>4200</v>
      </c>
      <c r="E8789" t="s">
        <v>5756</v>
      </c>
      <c r="F8789" t="s">
        <v>31276</v>
      </c>
      <c r="G8789" t="s">
        <v>31261</v>
      </c>
      <c r="H8789" t="s">
        <v>5474</v>
      </c>
      <c r="I8789" t="s">
        <v>31277</v>
      </c>
      <c r="J8789" t="s">
        <v>5476</v>
      </c>
      <c r="K8789" t="s">
        <v>31278</v>
      </c>
      <c r="L8789" t="s">
        <v>5471</v>
      </c>
      <c r="M8789" t="s">
        <v>5471</v>
      </c>
    </row>
    <row r="8790" spans="1:13" x14ac:dyDescent="0.3">
      <c r="A8790" t="s">
        <v>3380</v>
      </c>
      <c r="B8790" t="s">
        <v>5281</v>
      </c>
      <c r="C8790" t="s">
        <v>5487</v>
      </c>
      <c r="D8790" t="s">
        <v>4058</v>
      </c>
      <c r="E8790" t="s">
        <v>5532</v>
      </c>
      <c r="F8790" t="s">
        <v>31279</v>
      </c>
      <c r="G8790" t="s">
        <v>16799</v>
      </c>
      <c r="H8790" t="s">
        <v>5474</v>
      </c>
      <c r="I8790" t="s">
        <v>31280</v>
      </c>
      <c r="J8790" t="s">
        <v>5476</v>
      </c>
      <c r="K8790" t="s">
        <v>14778</v>
      </c>
      <c r="L8790" t="s">
        <v>5471</v>
      </c>
      <c r="M8790" t="s">
        <v>5471</v>
      </c>
    </row>
    <row r="8791" spans="1:13" x14ac:dyDescent="0.3">
      <c r="A8791" t="s">
        <v>3388</v>
      </c>
      <c r="B8791" t="s">
        <v>30059</v>
      </c>
      <c r="C8791" t="s">
        <v>5470</v>
      </c>
      <c r="D8791" t="s">
        <v>4119</v>
      </c>
      <c r="E8791" t="s">
        <v>5532</v>
      </c>
      <c r="F8791" t="s">
        <v>31281</v>
      </c>
      <c r="G8791" t="s">
        <v>28910</v>
      </c>
      <c r="H8791" t="s">
        <v>5474</v>
      </c>
      <c r="I8791" t="s">
        <v>31282</v>
      </c>
      <c r="J8791" t="s">
        <v>5484</v>
      </c>
      <c r="K8791" t="s">
        <v>31283</v>
      </c>
      <c r="L8791" t="s">
        <v>5471</v>
      </c>
      <c r="M8791" t="s">
        <v>5471</v>
      </c>
    </row>
    <row r="8792" spans="1:13" x14ac:dyDescent="0.3">
      <c r="A8792" t="s">
        <v>3380</v>
      </c>
      <c r="B8792" t="s">
        <v>5281</v>
      </c>
      <c r="C8792" t="s">
        <v>5487</v>
      </c>
      <c r="D8792" t="s">
        <v>4058</v>
      </c>
      <c r="E8792" t="s">
        <v>5532</v>
      </c>
      <c r="F8792" t="s">
        <v>31284</v>
      </c>
      <c r="G8792" t="s">
        <v>16799</v>
      </c>
      <c r="H8792" t="s">
        <v>5474</v>
      </c>
      <c r="I8792" t="s">
        <v>31285</v>
      </c>
      <c r="J8792" t="s">
        <v>5476</v>
      </c>
      <c r="K8792" t="s">
        <v>28282</v>
      </c>
      <c r="L8792" t="s">
        <v>5471</v>
      </c>
      <c r="M8792" t="s">
        <v>5471</v>
      </c>
    </row>
    <row r="8793" spans="1:13" x14ac:dyDescent="0.3">
      <c r="A8793" t="s">
        <v>3380</v>
      </c>
      <c r="B8793" t="s">
        <v>5281</v>
      </c>
      <c r="C8793" t="s">
        <v>5487</v>
      </c>
      <c r="D8793" t="s">
        <v>4058</v>
      </c>
      <c r="E8793" t="s">
        <v>5532</v>
      </c>
      <c r="F8793" t="s">
        <v>31286</v>
      </c>
      <c r="G8793" t="s">
        <v>31287</v>
      </c>
      <c r="H8793" t="s">
        <v>5474</v>
      </c>
      <c r="I8793" t="s">
        <v>31288</v>
      </c>
      <c r="J8793" t="s">
        <v>5476</v>
      </c>
      <c r="K8793" t="s">
        <v>16319</v>
      </c>
      <c r="L8793" t="s">
        <v>5471</v>
      </c>
      <c r="M8793" t="s">
        <v>5471</v>
      </c>
    </row>
    <row r="8794" spans="1:13" x14ac:dyDescent="0.3">
      <c r="A8794" t="s">
        <v>3388</v>
      </c>
      <c r="B8794" t="s">
        <v>30072</v>
      </c>
      <c r="C8794" t="s">
        <v>5470</v>
      </c>
      <c r="D8794" t="s">
        <v>4119</v>
      </c>
      <c r="E8794" t="s">
        <v>5532</v>
      </c>
      <c r="F8794" t="s">
        <v>31289</v>
      </c>
      <c r="G8794" t="s">
        <v>29451</v>
      </c>
      <c r="H8794" t="s">
        <v>5474</v>
      </c>
      <c r="I8794" t="s">
        <v>31290</v>
      </c>
      <c r="J8794" t="s">
        <v>5484</v>
      </c>
      <c r="K8794" t="s">
        <v>31291</v>
      </c>
      <c r="L8794" t="s">
        <v>5471</v>
      </c>
      <c r="M8794" t="s">
        <v>5471</v>
      </c>
    </row>
    <row r="8795" spans="1:13" x14ac:dyDescent="0.3">
      <c r="A8795" t="s">
        <v>3380</v>
      </c>
      <c r="B8795" t="s">
        <v>5281</v>
      </c>
      <c r="C8795" t="s">
        <v>5487</v>
      </c>
      <c r="D8795" t="s">
        <v>4058</v>
      </c>
      <c r="E8795" t="s">
        <v>5532</v>
      </c>
      <c r="F8795" t="s">
        <v>31292</v>
      </c>
      <c r="G8795" t="s">
        <v>16799</v>
      </c>
      <c r="H8795" t="s">
        <v>5474</v>
      </c>
      <c r="I8795" t="s">
        <v>31293</v>
      </c>
      <c r="J8795" t="s">
        <v>5476</v>
      </c>
      <c r="K8795" t="s">
        <v>16322</v>
      </c>
      <c r="L8795" t="s">
        <v>5471</v>
      </c>
      <c r="M8795" t="s">
        <v>5471</v>
      </c>
    </row>
    <row r="8796" spans="1:13" x14ac:dyDescent="0.3">
      <c r="A8796" t="s">
        <v>3380</v>
      </c>
      <c r="B8796" t="s">
        <v>5281</v>
      </c>
      <c r="C8796" t="s">
        <v>5487</v>
      </c>
      <c r="D8796" t="s">
        <v>10218</v>
      </c>
      <c r="E8796" t="s">
        <v>5532</v>
      </c>
      <c r="F8796" t="s">
        <v>31294</v>
      </c>
      <c r="G8796" t="s">
        <v>16799</v>
      </c>
      <c r="H8796" t="s">
        <v>5474</v>
      </c>
      <c r="I8796" t="s">
        <v>31295</v>
      </c>
      <c r="J8796" t="s">
        <v>5476</v>
      </c>
      <c r="K8796" t="s">
        <v>28148</v>
      </c>
      <c r="L8796" t="s">
        <v>5471</v>
      </c>
      <c r="M8796" t="s">
        <v>5471</v>
      </c>
    </row>
    <row r="8797" spans="1:13" x14ac:dyDescent="0.3">
      <c r="A8797" t="s">
        <v>3388</v>
      </c>
      <c r="B8797" t="s">
        <v>30778</v>
      </c>
      <c r="C8797" t="s">
        <v>5470</v>
      </c>
      <c r="D8797" t="s">
        <v>4119</v>
      </c>
      <c r="E8797" t="s">
        <v>5532</v>
      </c>
      <c r="F8797" t="s">
        <v>31296</v>
      </c>
      <c r="G8797" t="s">
        <v>30780</v>
      </c>
      <c r="H8797" t="s">
        <v>5474</v>
      </c>
      <c r="I8797" t="s">
        <v>31297</v>
      </c>
      <c r="J8797" t="s">
        <v>5484</v>
      </c>
      <c r="K8797" t="s">
        <v>31298</v>
      </c>
      <c r="L8797" t="s">
        <v>5471</v>
      </c>
      <c r="M8797" t="s">
        <v>5471</v>
      </c>
    </row>
    <row r="8798" spans="1:13" x14ac:dyDescent="0.3">
      <c r="A8798" t="s">
        <v>3388</v>
      </c>
      <c r="B8798" t="s">
        <v>6540</v>
      </c>
      <c r="C8798" t="s">
        <v>5470</v>
      </c>
      <c r="D8798" t="s">
        <v>4200</v>
      </c>
      <c r="E8798" t="s">
        <v>5532</v>
      </c>
      <c r="F8798" t="s">
        <v>31299</v>
      </c>
      <c r="G8798" t="s">
        <v>22799</v>
      </c>
      <c r="H8798" t="s">
        <v>5474</v>
      </c>
      <c r="I8798" t="s">
        <v>31300</v>
      </c>
      <c r="J8798" t="s">
        <v>5484</v>
      </c>
      <c r="K8798" t="s">
        <v>31301</v>
      </c>
      <c r="L8798" t="s">
        <v>5471</v>
      </c>
      <c r="M8798" t="s">
        <v>5471</v>
      </c>
    </row>
    <row r="8799" spans="1:13" x14ac:dyDescent="0.3">
      <c r="A8799" t="s">
        <v>3380</v>
      </c>
      <c r="B8799" t="s">
        <v>5281</v>
      </c>
      <c r="C8799" t="s">
        <v>5487</v>
      </c>
      <c r="D8799" t="s">
        <v>10218</v>
      </c>
      <c r="E8799" t="s">
        <v>5532</v>
      </c>
      <c r="F8799" t="s">
        <v>31302</v>
      </c>
      <c r="G8799" t="s">
        <v>16799</v>
      </c>
      <c r="H8799" t="s">
        <v>5474</v>
      </c>
      <c r="I8799" t="s">
        <v>31303</v>
      </c>
      <c r="J8799" t="s">
        <v>5476</v>
      </c>
      <c r="K8799" t="s">
        <v>28159</v>
      </c>
      <c r="L8799" t="s">
        <v>5471</v>
      </c>
      <c r="M8799" t="s">
        <v>5471</v>
      </c>
    </row>
    <row r="8800" spans="1:13" x14ac:dyDescent="0.3">
      <c r="A8800" t="s">
        <v>3380</v>
      </c>
      <c r="B8800" t="s">
        <v>5281</v>
      </c>
      <c r="C8800" t="s">
        <v>5487</v>
      </c>
      <c r="D8800" t="s">
        <v>10218</v>
      </c>
      <c r="E8800" t="s">
        <v>5532</v>
      </c>
      <c r="F8800" t="s">
        <v>31304</v>
      </c>
      <c r="G8800" t="s">
        <v>16799</v>
      </c>
      <c r="H8800" t="s">
        <v>5474</v>
      </c>
      <c r="I8800" t="s">
        <v>31305</v>
      </c>
      <c r="J8800" t="s">
        <v>5476</v>
      </c>
      <c r="K8800" t="s">
        <v>28151</v>
      </c>
      <c r="L8800" t="s">
        <v>5471</v>
      </c>
      <c r="M8800" t="s">
        <v>5471</v>
      </c>
    </row>
    <row r="8801" spans="1:13" x14ac:dyDescent="0.3">
      <c r="A8801" t="s">
        <v>3388</v>
      </c>
      <c r="B8801" t="s">
        <v>30778</v>
      </c>
      <c r="C8801" t="s">
        <v>5470</v>
      </c>
      <c r="D8801" t="s">
        <v>4119</v>
      </c>
      <c r="E8801" t="s">
        <v>5532</v>
      </c>
      <c r="F8801" t="s">
        <v>31306</v>
      </c>
      <c r="G8801" t="s">
        <v>30780</v>
      </c>
      <c r="H8801" t="s">
        <v>5474</v>
      </c>
      <c r="I8801" t="s">
        <v>31307</v>
      </c>
      <c r="J8801" t="s">
        <v>5484</v>
      </c>
      <c r="K8801" t="s">
        <v>31308</v>
      </c>
      <c r="L8801" t="s">
        <v>5471</v>
      </c>
      <c r="M8801" t="s">
        <v>5471</v>
      </c>
    </row>
    <row r="8802" spans="1:13" x14ac:dyDescent="0.3">
      <c r="A8802" t="s">
        <v>3388</v>
      </c>
      <c r="B8802" t="s">
        <v>5296</v>
      </c>
      <c r="C8802" t="s">
        <v>5470</v>
      </c>
      <c r="D8802" t="s">
        <v>4200</v>
      </c>
      <c r="E8802" t="s">
        <v>5532</v>
      </c>
      <c r="F8802" t="s">
        <v>31309</v>
      </c>
      <c r="G8802" t="s">
        <v>18360</v>
      </c>
      <c r="H8802" t="s">
        <v>5474</v>
      </c>
      <c r="I8802" t="s">
        <v>31310</v>
      </c>
      <c r="J8802" t="s">
        <v>5484</v>
      </c>
      <c r="K8802" t="s">
        <v>31311</v>
      </c>
      <c r="L8802" t="s">
        <v>5471</v>
      </c>
      <c r="M8802" t="s">
        <v>5471</v>
      </c>
    </row>
    <row r="8803" spans="1:13" x14ac:dyDescent="0.3">
      <c r="A8803" t="s">
        <v>3380</v>
      </c>
      <c r="B8803" t="s">
        <v>5281</v>
      </c>
      <c r="C8803" t="s">
        <v>5487</v>
      </c>
      <c r="D8803" t="s">
        <v>4052</v>
      </c>
      <c r="E8803" t="s">
        <v>5532</v>
      </c>
      <c r="F8803" t="s">
        <v>31312</v>
      </c>
      <c r="G8803" t="s">
        <v>16799</v>
      </c>
      <c r="H8803" t="s">
        <v>5474</v>
      </c>
      <c r="I8803" t="s">
        <v>31313</v>
      </c>
      <c r="J8803" t="s">
        <v>5476</v>
      </c>
      <c r="K8803" t="s">
        <v>16689</v>
      </c>
      <c r="L8803" t="s">
        <v>5471</v>
      </c>
      <c r="M8803" t="s">
        <v>5471</v>
      </c>
    </row>
    <row r="8804" spans="1:13" x14ac:dyDescent="0.3">
      <c r="A8804" t="s">
        <v>3388</v>
      </c>
      <c r="B8804" t="s">
        <v>30778</v>
      </c>
      <c r="C8804" t="s">
        <v>5470</v>
      </c>
      <c r="D8804" t="s">
        <v>4119</v>
      </c>
      <c r="E8804" t="s">
        <v>5532</v>
      </c>
      <c r="F8804" t="s">
        <v>31314</v>
      </c>
      <c r="G8804" t="s">
        <v>30780</v>
      </c>
      <c r="H8804" t="s">
        <v>5474</v>
      </c>
      <c r="I8804" t="s">
        <v>31315</v>
      </c>
      <c r="J8804" t="s">
        <v>5484</v>
      </c>
      <c r="K8804" t="s">
        <v>31316</v>
      </c>
      <c r="L8804" t="s">
        <v>5471</v>
      </c>
      <c r="M8804" t="s">
        <v>5471</v>
      </c>
    </row>
    <row r="8805" spans="1:13" x14ac:dyDescent="0.3">
      <c r="A8805" t="s">
        <v>3380</v>
      </c>
      <c r="B8805" t="s">
        <v>11061</v>
      </c>
      <c r="C8805" t="s">
        <v>6342</v>
      </c>
      <c r="D8805" t="s">
        <v>4052</v>
      </c>
      <c r="E8805" t="s">
        <v>5843</v>
      </c>
      <c r="F8805" t="s">
        <v>31317</v>
      </c>
      <c r="G8805" t="s">
        <v>11063</v>
      </c>
      <c r="H8805" t="s">
        <v>5474</v>
      </c>
      <c r="I8805" t="s">
        <v>31318</v>
      </c>
      <c r="J8805" t="s">
        <v>5476</v>
      </c>
      <c r="K8805" t="s">
        <v>16502</v>
      </c>
      <c r="L8805" t="s">
        <v>5471</v>
      </c>
      <c r="M8805" t="s">
        <v>5471</v>
      </c>
    </row>
    <row r="8806" spans="1:13" x14ac:dyDescent="0.3">
      <c r="A8806" t="s">
        <v>3388</v>
      </c>
      <c r="B8806" t="s">
        <v>20072</v>
      </c>
      <c r="C8806" t="s">
        <v>5470</v>
      </c>
      <c r="D8806" t="s">
        <v>4200</v>
      </c>
      <c r="E8806" t="s">
        <v>5532</v>
      </c>
      <c r="F8806" t="s">
        <v>31319</v>
      </c>
      <c r="G8806" t="s">
        <v>31320</v>
      </c>
      <c r="H8806" t="s">
        <v>5474</v>
      </c>
      <c r="I8806" t="s">
        <v>31321</v>
      </c>
      <c r="J8806" t="s">
        <v>5484</v>
      </c>
      <c r="K8806" t="s">
        <v>31322</v>
      </c>
      <c r="L8806" t="s">
        <v>5471</v>
      </c>
      <c r="M8806" t="s">
        <v>5471</v>
      </c>
    </row>
    <row r="8807" spans="1:13" x14ac:dyDescent="0.3">
      <c r="A8807" t="s">
        <v>3380</v>
      </c>
      <c r="B8807" t="s">
        <v>11061</v>
      </c>
      <c r="C8807" t="s">
        <v>6342</v>
      </c>
      <c r="D8807" t="s">
        <v>4058</v>
      </c>
      <c r="E8807" t="s">
        <v>5843</v>
      </c>
      <c r="F8807" t="s">
        <v>31323</v>
      </c>
      <c r="G8807" t="s">
        <v>31324</v>
      </c>
      <c r="H8807" t="s">
        <v>5474</v>
      </c>
      <c r="I8807" t="s">
        <v>31325</v>
      </c>
      <c r="J8807" t="s">
        <v>5476</v>
      </c>
      <c r="K8807" t="s">
        <v>16998</v>
      </c>
      <c r="L8807" t="s">
        <v>5471</v>
      </c>
      <c r="M8807" t="s">
        <v>5471</v>
      </c>
    </row>
    <row r="8808" spans="1:13" x14ac:dyDescent="0.3">
      <c r="A8808" t="s">
        <v>3388</v>
      </c>
      <c r="B8808" t="s">
        <v>20072</v>
      </c>
      <c r="C8808" t="s">
        <v>5470</v>
      </c>
      <c r="D8808" t="s">
        <v>4200</v>
      </c>
      <c r="E8808" t="s">
        <v>5532</v>
      </c>
      <c r="F8808" t="s">
        <v>31326</v>
      </c>
      <c r="G8808" t="s">
        <v>31320</v>
      </c>
      <c r="H8808" t="s">
        <v>5474</v>
      </c>
      <c r="I8808" t="s">
        <v>31327</v>
      </c>
      <c r="J8808" t="s">
        <v>5484</v>
      </c>
      <c r="K8808" t="s">
        <v>31328</v>
      </c>
      <c r="L8808" t="s">
        <v>5471</v>
      </c>
      <c r="M8808" t="s">
        <v>5471</v>
      </c>
    </row>
    <row r="8809" spans="1:13" x14ac:dyDescent="0.3">
      <c r="A8809" t="s">
        <v>3380</v>
      </c>
      <c r="B8809" t="s">
        <v>11061</v>
      </c>
      <c r="C8809" t="s">
        <v>6342</v>
      </c>
      <c r="D8809" t="s">
        <v>4058</v>
      </c>
      <c r="E8809" t="s">
        <v>5843</v>
      </c>
      <c r="F8809" t="s">
        <v>31329</v>
      </c>
      <c r="G8809" t="s">
        <v>11063</v>
      </c>
      <c r="H8809" t="s">
        <v>5474</v>
      </c>
      <c r="I8809" t="s">
        <v>31330</v>
      </c>
      <c r="J8809" t="s">
        <v>5476</v>
      </c>
      <c r="K8809" t="s">
        <v>17006</v>
      </c>
      <c r="L8809" t="s">
        <v>5471</v>
      </c>
      <c r="M8809" t="s">
        <v>5471</v>
      </c>
    </row>
    <row r="8810" spans="1:13" x14ac:dyDescent="0.3">
      <c r="A8810" t="s">
        <v>3380</v>
      </c>
      <c r="B8810" t="s">
        <v>11061</v>
      </c>
      <c r="C8810" t="s">
        <v>6342</v>
      </c>
      <c r="D8810" t="s">
        <v>4056</v>
      </c>
      <c r="E8810" t="s">
        <v>5843</v>
      </c>
      <c r="F8810" t="s">
        <v>31331</v>
      </c>
      <c r="G8810" t="s">
        <v>11063</v>
      </c>
      <c r="H8810" t="s">
        <v>5474</v>
      </c>
      <c r="I8810" t="s">
        <v>31332</v>
      </c>
      <c r="J8810" t="s">
        <v>5476</v>
      </c>
      <c r="K8810" t="s">
        <v>28467</v>
      </c>
      <c r="L8810" t="s">
        <v>5471</v>
      </c>
      <c r="M8810" t="s">
        <v>5471</v>
      </c>
    </row>
    <row r="8811" spans="1:13" x14ac:dyDescent="0.3">
      <c r="A8811" t="s">
        <v>3388</v>
      </c>
      <c r="B8811" t="s">
        <v>23931</v>
      </c>
      <c r="C8811" t="s">
        <v>5470</v>
      </c>
      <c r="D8811" t="s">
        <v>4119</v>
      </c>
      <c r="E8811" t="s">
        <v>5756</v>
      </c>
      <c r="F8811" t="s">
        <v>31333</v>
      </c>
      <c r="G8811" t="s">
        <v>16923</v>
      </c>
      <c r="H8811" t="s">
        <v>5474</v>
      </c>
      <c r="I8811" t="s">
        <v>31334</v>
      </c>
      <c r="J8811" t="s">
        <v>5484</v>
      </c>
      <c r="K8811" t="s">
        <v>31335</v>
      </c>
      <c r="L8811" t="s">
        <v>5471</v>
      </c>
      <c r="M8811" t="s">
        <v>5471</v>
      </c>
    </row>
    <row r="8812" spans="1:13" x14ac:dyDescent="0.3">
      <c r="A8812" t="s">
        <v>3388</v>
      </c>
      <c r="B8812" t="s">
        <v>7101</v>
      </c>
      <c r="C8812" t="s">
        <v>5470</v>
      </c>
      <c r="D8812" t="s">
        <v>4200</v>
      </c>
      <c r="E8812" t="s">
        <v>5532</v>
      </c>
      <c r="F8812" t="s">
        <v>31336</v>
      </c>
      <c r="G8812" t="s">
        <v>20399</v>
      </c>
      <c r="H8812" t="s">
        <v>5474</v>
      </c>
      <c r="I8812" t="s">
        <v>31337</v>
      </c>
      <c r="J8812" t="s">
        <v>5484</v>
      </c>
      <c r="K8812" t="s">
        <v>31338</v>
      </c>
      <c r="L8812" t="s">
        <v>5471</v>
      </c>
      <c r="M8812" t="s">
        <v>5471</v>
      </c>
    </row>
    <row r="8813" spans="1:13" x14ac:dyDescent="0.3">
      <c r="A8813" t="s">
        <v>3380</v>
      </c>
      <c r="B8813" t="s">
        <v>11061</v>
      </c>
      <c r="C8813" t="s">
        <v>6342</v>
      </c>
      <c r="D8813" t="s">
        <v>4056</v>
      </c>
      <c r="E8813" t="s">
        <v>5843</v>
      </c>
      <c r="F8813" t="s">
        <v>31339</v>
      </c>
      <c r="G8813" t="s">
        <v>11063</v>
      </c>
      <c r="H8813" t="s">
        <v>5474</v>
      </c>
      <c r="I8813" t="s">
        <v>31340</v>
      </c>
      <c r="J8813" t="s">
        <v>5476</v>
      </c>
      <c r="K8813" t="s">
        <v>28473</v>
      </c>
      <c r="L8813" t="s">
        <v>5471</v>
      </c>
      <c r="M8813" t="s">
        <v>5471</v>
      </c>
    </row>
    <row r="8814" spans="1:13" x14ac:dyDescent="0.3">
      <c r="A8814" t="s">
        <v>3380</v>
      </c>
      <c r="B8814" t="s">
        <v>11061</v>
      </c>
      <c r="C8814" t="s">
        <v>6342</v>
      </c>
      <c r="D8814" t="s">
        <v>4056</v>
      </c>
      <c r="E8814" t="s">
        <v>5843</v>
      </c>
      <c r="F8814" t="s">
        <v>31341</v>
      </c>
      <c r="G8814" t="s">
        <v>11063</v>
      </c>
      <c r="H8814" t="s">
        <v>5474</v>
      </c>
      <c r="I8814" t="s">
        <v>31342</v>
      </c>
      <c r="J8814" t="s">
        <v>5476</v>
      </c>
      <c r="K8814" t="s">
        <v>28470</v>
      </c>
      <c r="L8814" t="s">
        <v>5471</v>
      </c>
      <c r="M8814" t="s">
        <v>5471</v>
      </c>
    </row>
    <row r="8815" spans="1:13" x14ac:dyDescent="0.3">
      <c r="A8815" t="s">
        <v>3388</v>
      </c>
      <c r="B8815" t="s">
        <v>23931</v>
      </c>
      <c r="C8815" t="s">
        <v>5470</v>
      </c>
      <c r="D8815" t="s">
        <v>4119</v>
      </c>
      <c r="E8815" t="s">
        <v>5756</v>
      </c>
      <c r="F8815" t="s">
        <v>31343</v>
      </c>
      <c r="G8815" t="s">
        <v>16923</v>
      </c>
      <c r="H8815" t="s">
        <v>5474</v>
      </c>
      <c r="I8815" t="s">
        <v>31344</v>
      </c>
      <c r="J8815" t="s">
        <v>5484</v>
      </c>
      <c r="K8815" t="s">
        <v>31345</v>
      </c>
      <c r="L8815" t="s">
        <v>5471</v>
      </c>
      <c r="M8815" t="s">
        <v>5471</v>
      </c>
    </row>
    <row r="8816" spans="1:13" x14ac:dyDescent="0.3">
      <c r="A8816" t="s">
        <v>3388</v>
      </c>
      <c r="B8816" t="s">
        <v>7109</v>
      </c>
      <c r="C8816" t="s">
        <v>5470</v>
      </c>
      <c r="D8816" t="s">
        <v>4200</v>
      </c>
      <c r="E8816" t="s">
        <v>5756</v>
      </c>
      <c r="F8816" t="s">
        <v>31346</v>
      </c>
      <c r="G8816" t="s">
        <v>10493</v>
      </c>
      <c r="H8816" t="s">
        <v>5474</v>
      </c>
      <c r="I8816" t="s">
        <v>31347</v>
      </c>
      <c r="J8816" t="s">
        <v>5484</v>
      </c>
      <c r="K8816" t="s">
        <v>31348</v>
      </c>
      <c r="L8816" t="s">
        <v>5471</v>
      </c>
      <c r="M8816" t="s">
        <v>5471</v>
      </c>
    </row>
    <row r="8817" spans="1:13" x14ac:dyDescent="0.3">
      <c r="A8817" t="s">
        <v>3388</v>
      </c>
      <c r="B8817" t="s">
        <v>23931</v>
      </c>
      <c r="C8817" t="s">
        <v>5470</v>
      </c>
      <c r="D8817" t="s">
        <v>4119</v>
      </c>
      <c r="E8817" t="s">
        <v>5756</v>
      </c>
      <c r="F8817" t="s">
        <v>31349</v>
      </c>
      <c r="G8817" t="s">
        <v>16923</v>
      </c>
      <c r="H8817" t="s">
        <v>5474</v>
      </c>
      <c r="I8817" t="s">
        <v>31350</v>
      </c>
      <c r="J8817" t="s">
        <v>5484</v>
      </c>
      <c r="K8817" t="s">
        <v>31351</v>
      </c>
      <c r="L8817" t="s">
        <v>5471</v>
      </c>
      <c r="M8817" t="s">
        <v>5471</v>
      </c>
    </row>
    <row r="8818" spans="1:13" x14ac:dyDescent="0.3">
      <c r="A8818" t="s">
        <v>3388</v>
      </c>
      <c r="B8818" t="s">
        <v>7109</v>
      </c>
      <c r="C8818" t="s">
        <v>5470</v>
      </c>
      <c r="D8818" t="s">
        <v>4200</v>
      </c>
      <c r="E8818" t="s">
        <v>5756</v>
      </c>
      <c r="F8818" t="s">
        <v>31352</v>
      </c>
      <c r="G8818" t="s">
        <v>10493</v>
      </c>
      <c r="H8818" t="s">
        <v>5474</v>
      </c>
      <c r="I8818" t="s">
        <v>31353</v>
      </c>
      <c r="J8818" t="s">
        <v>5484</v>
      </c>
      <c r="K8818" t="s">
        <v>31354</v>
      </c>
      <c r="L8818" t="s">
        <v>5471</v>
      </c>
      <c r="M8818" t="s">
        <v>5471</v>
      </c>
    </row>
    <row r="8819" spans="1:13" x14ac:dyDescent="0.3">
      <c r="A8819" t="s">
        <v>3380</v>
      </c>
      <c r="B8819" t="s">
        <v>11061</v>
      </c>
      <c r="C8819" t="s">
        <v>6342</v>
      </c>
      <c r="D8819" t="s">
        <v>4119</v>
      </c>
      <c r="E8819" t="s">
        <v>5532</v>
      </c>
      <c r="F8819" t="s">
        <v>31355</v>
      </c>
      <c r="G8819" t="s">
        <v>11063</v>
      </c>
      <c r="H8819" t="s">
        <v>5474</v>
      </c>
      <c r="I8819" t="s">
        <v>31356</v>
      </c>
      <c r="J8819" t="s">
        <v>5476</v>
      </c>
      <c r="K8819" t="s">
        <v>31357</v>
      </c>
      <c r="L8819" t="s">
        <v>5471</v>
      </c>
      <c r="M8819" t="s">
        <v>5471</v>
      </c>
    </row>
    <row r="8820" spans="1:13" x14ac:dyDescent="0.3">
      <c r="A8820" t="s">
        <v>3380</v>
      </c>
      <c r="B8820" t="s">
        <v>11061</v>
      </c>
      <c r="C8820" t="s">
        <v>6342</v>
      </c>
      <c r="D8820" t="s">
        <v>4119</v>
      </c>
      <c r="E8820" t="s">
        <v>5532</v>
      </c>
      <c r="F8820" t="s">
        <v>31358</v>
      </c>
      <c r="G8820" t="s">
        <v>11063</v>
      </c>
      <c r="H8820" t="s">
        <v>5474</v>
      </c>
      <c r="I8820" t="s">
        <v>31359</v>
      </c>
      <c r="J8820" t="s">
        <v>5476</v>
      </c>
      <c r="K8820" t="s">
        <v>31360</v>
      </c>
      <c r="L8820" t="s">
        <v>5471</v>
      </c>
      <c r="M8820" t="s">
        <v>5471</v>
      </c>
    </row>
    <row r="8821" spans="1:13" x14ac:dyDescent="0.3">
      <c r="A8821" t="s">
        <v>3380</v>
      </c>
      <c r="B8821" t="s">
        <v>11061</v>
      </c>
      <c r="C8821" t="s">
        <v>6342</v>
      </c>
      <c r="D8821" t="s">
        <v>4119</v>
      </c>
      <c r="E8821" t="s">
        <v>5843</v>
      </c>
      <c r="F8821" t="s">
        <v>31361</v>
      </c>
      <c r="G8821" t="s">
        <v>11063</v>
      </c>
      <c r="H8821" t="s">
        <v>5474</v>
      </c>
      <c r="I8821" t="s">
        <v>31362</v>
      </c>
      <c r="J8821" t="s">
        <v>5476</v>
      </c>
      <c r="K8821" t="s">
        <v>31363</v>
      </c>
      <c r="L8821" t="s">
        <v>5471</v>
      </c>
      <c r="M8821" t="s">
        <v>5471</v>
      </c>
    </row>
    <row r="8822" spans="1:13" x14ac:dyDescent="0.3">
      <c r="A8822" t="s">
        <v>3380</v>
      </c>
      <c r="B8822" t="s">
        <v>11061</v>
      </c>
      <c r="C8822" t="s">
        <v>6342</v>
      </c>
      <c r="D8822" t="s">
        <v>4119</v>
      </c>
      <c r="E8822" t="s">
        <v>5617</v>
      </c>
      <c r="F8822" t="s">
        <v>31364</v>
      </c>
      <c r="G8822" t="s">
        <v>11063</v>
      </c>
      <c r="H8822" t="s">
        <v>5474</v>
      </c>
      <c r="I8822" t="s">
        <v>31365</v>
      </c>
      <c r="J8822" t="s">
        <v>5476</v>
      </c>
      <c r="K8822" t="s">
        <v>31366</v>
      </c>
      <c r="L8822" t="s">
        <v>5471</v>
      </c>
      <c r="M8822" t="s">
        <v>5471</v>
      </c>
    </row>
    <row r="8823" spans="1:13" x14ac:dyDescent="0.3">
      <c r="A8823" t="s">
        <v>3380</v>
      </c>
      <c r="B8823" t="s">
        <v>11061</v>
      </c>
      <c r="C8823" t="s">
        <v>6342</v>
      </c>
      <c r="D8823" t="s">
        <v>4119</v>
      </c>
      <c r="E8823" t="s">
        <v>5617</v>
      </c>
      <c r="F8823" t="s">
        <v>31367</v>
      </c>
      <c r="G8823" t="s">
        <v>11063</v>
      </c>
      <c r="H8823" t="s">
        <v>5474</v>
      </c>
      <c r="I8823" t="s">
        <v>31368</v>
      </c>
      <c r="J8823" t="s">
        <v>5476</v>
      </c>
      <c r="K8823" t="s">
        <v>31369</v>
      </c>
      <c r="L8823" t="s">
        <v>5471</v>
      </c>
      <c r="M8823" t="s">
        <v>5471</v>
      </c>
    </row>
    <row r="8824" spans="1:13" x14ac:dyDescent="0.3">
      <c r="A8824" t="s">
        <v>3380</v>
      </c>
      <c r="B8824" t="s">
        <v>11061</v>
      </c>
      <c r="C8824" t="s">
        <v>6342</v>
      </c>
      <c r="D8824" t="s">
        <v>4119</v>
      </c>
      <c r="E8824" t="s">
        <v>5617</v>
      </c>
      <c r="F8824" t="s">
        <v>31370</v>
      </c>
      <c r="G8824" t="s">
        <v>11063</v>
      </c>
      <c r="H8824" t="s">
        <v>5474</v>
      </c>
      <c r="I8824" t="s">
        <v>31371</v>
      </c>
      <c r="J8824" t="s">
        <v>5476</v>
      </c>
      <c r="K8824" t="s">
        <v>31372</v>
      </c>
      <c r="L8824" t="s">
        <v>5471</v>
      </c>
      <c r="M8824" t="s">
        <v>5471</v>
      </c>
    </row>
    <row r="8825" spans="1:13" x14ac:dyDescent="0.3">
      <c r="A8825" t="s">
        <v>3380</v>
      </c>
      <c r="B8825" t="s">
        <v>11061</v>
      </c>
      <c r="C8825" t="s">
        <v>6342</v>
      </c>
      <c r="D8825" t="s">
        <v>4119</v>
      </c>
      <c r="E8825" t="s">
        <v>5843</v>
      </c>
      <c r="F8825" t="s">
        <v>31373</v>
      </c>
      <c r="G8825" t="s">
        <v>11063</v>
      </c>
      <c r="H8825" t="s">
        <v>5474</v>
      </c>
      <c r="I8825" t="s">
        <v>31374</v>
      </c>
      <c r="J8825" t="s">
        <v>5476</v>
      </c>
      <c r="K8825" t="s">
        <v>31375</v>
      </c>
      <c r="L8825" t="s">
        <v>5471</v>
      </c>
      <c r="M8825" t="s">
        <v>5471</v>
      </c>
    </row>
    <row r="8826" spans="1:13" x14ac:dyDescent="0.3">
      <c r="A8826" t="s">
        <v>3380</v>
      </c>
      <c r="B8826" t="s">
        <v>11061</v>
      </c>
      <c r="C8826" t="s">
        <v>6342</v>
      </c>
      <c r="D8826" t="s">
        <v>4119</v>
      </c>
      <c r="E8826" t="s">
        <v>5843</v>
      </c>
      <c r="F8826" t="s">
        <v>31376</v>
      </c>
      <c r="G8826" t="s">
        <v>31377</v>
      </c>
      <c r="H8826" t="s">
        <v>5474</v>
      </c>
      <c r="I8826" t="s">
        <v>31378</v>
      </c>
      <c r="J8826" t="s">
        <v>5476</v>
      </c>
      <c r="K8826" t="s">
        <v>31379</v>
      </c>
      <c r="L8826" t="s">
        <v>5471</v>
      </c>
      <c r="M8826" t="s">
        <v>5471</v>
      </c>
    </row>
    <row r="8827" spans="1:13" x14ac:dyDescent="0.3">
      <c r="A8827" t="s">
        <v>3380</v>
      </c>
      <c r="B8827" t="s">
        <v>11061</v>
      </c>
      <c r="C8827" t="s">
        <v>6342</v>
      </c>
      <c r="D8827" t="s">
        <v>4119</v>
      </c>
      <c r="E8827" t="s">
        <v>5843</v>
      </c>
      <c r="F8827" t="s">
        <v>31380</v>
      </c>
      <c r="G8827" t="s">
        <v>11063</v>
      </c>
      <c r="H8827" t="s">
        <v>5474</v>
      </c>
      <c r="I8827" t="s">
        <v>31381</v>
      </c>
      <c r="J8827" t="s">
        <v>5476</v>
      </c>
      <c r="K8827" t="s">
        <v>31382</v>
      </c>
      <c r="L8827" t="s">
        <v>5471</v>
      </c>
      <c r="M8827" t="s">
        <v>5471</v>
      </c>
    </row>
    <row r="8828" spans="1:13" x14ac:dyDescent="0.3">
      <c r="A8828" t="s">
        <v>3380</v>
      </c>
      <c r="B8828" t="s">
        <v>11061</v>
      </c>
      <c r="C8828" t="s">
        <v>6342</v>
      </c>
      <c r="D8828" t="s">
        <v>4119</v>
      </c>
      <c r="E8828" t="s">
        <v>5843</v>
      </c>
      <c r="F8828" t="s">
        <v>31383</v>
      </c>
      <c r="G8828" t="s">
        <v>11063</v>
      </c>
      <c r="H8828" t="s">
        <v>5474</v>
      </c>
      <c r="I8828" t="s">
        <v>31384</v>
      </c>
      <c r="J8828" t="s">
        <v>5476</v>
      </c>
      <c r="K8828" t="s">
        <v>31385</v>
      </c>
      <c r="L8828" t="s">
        <v>5471</v>
      </c>
      <c r="M8828" t="s">
        <v>5471</v>
      </c>
    </row>
    <row r="8829" spans="1:13" x14ac:dyDescent="0.3">
      <c r="A8829" t="s">
        <v>3380</v>
      </c>
      <c r="B8829" t="s">
        <v>11061</v>
      </c>
      <c r="C8829" t="s">
        <v>6342</v>
      </c>
      <c r="D8829" t="s">
        <v>4119</v>
      </c>
      <c r="E8829" t="s">
        <v>5532</v>
      </c>
      <c r="F8829" t="s">
        <v>31386</v>
      </c>
      <c r="G8829" t="s">
        <v>11063</v>
      </c>
      <c r="H8829" t="s">
        <v>5474</v>
      </c>
      <c r="I8829" t="s">
        <v>31387</v>
      </c>
      <c r="J8829" t="s">
        <v>5476</v>
      </c>
      <c r="K8829" t="s">
        <v>31388</v>
      </c>
      <c r="L8829" t="s">
        <v>5471</v>
      </c>
      <c r="M8829" t="s">
        <v>5471</v>
      </c>
    </row>
    <row r="8830" spans="1:13" x14ac:dyDescent="0.3">
      <c r="A8830" t="s">
        <v>3380</v>
      </c>
      <c r="B8830" t="s">
        <v>11061</v>
      </c>
      <c r="C8830" t="s">
        <v>6342</v>
      </c>
      <c r="D8830" t="s">
        <v>4119</v>
      </c>
      <c r="E8830" t="s">
        <v>5532</v>
      </c>
      <c r="F8830" t="s">
        <v>31389</v>
      </c>
      <c r="G8830" t="s">
        <v>11063</v>
      </c>
      <c r="H8830" t="s">
        <v>5474</v>
      </c>
      <c r="I8830" t="s">
        <v>31390</v>
      </c>
      <c r="J8830" t="s">
        <v>5476</v>
      </c>
      <c r="K8830" t="s">
        <v>31391</v>
      </c>
      <c r="L8830" t="s">
        <v>5471</v>
      </c>
      <c r="M8830" t="s">
        <v>5471</v>
      </c>
    </row>
    <row r="8831" spans="1:13" x14ac:dyDescent="0.3">
      <c r="A8831" t="s">
        <v>3380</v>
      </c>
      <c r="B8831" t="s">
        <v>11061</v>
      </c>
      <c r="C8831" t="s">
        <v>6342</v>
      </c>
      <c r="D8831" t="s">
        <v>4119</v>
      </c>
      <c r="E8831" t="s">
        <v>5532</v>
      </c>
      <c r="F8831" t="s">
        <v>31392</v>
      </c>
      <c r="G8831" t="s">
        <v>17442</v>
      </c>
      <c r="H8831" t="s">
        <v>5474</v>
      </c>
      <c r="I8831" t="s">
        <v>31393</v>
      </c>
      <c r="J8831" t="s">
        <v>5476</v>
      </c>
      <c r="K8831" t="s">
        <v>31394</v>
      </c>
      <c r="L8831" t="s">
        <v>5471</v>
      </c>
      <c r="M8831" t="s">
        <v>5471</v>
      </c>
    </row>
    <row r="8832" spans="1:13" x14ac:dyDescent="0.3">
      <c r="A8832" t="s">
        <v>3380</v>
      </c>
      <c r="B8832" t="s">
        <v>11061</v>
      </c>
      <c r="C8832" t="s">
        <v>6342</v>
      </c>
      <c r="D8832" t="s">
        <v>4119</v>
      </c>
      <c r="E8832" t="s">
        <v>5532</v>
      </c>
      <c r="F8832" t="s">
        <v>31395</v>
      </c>
      <c r="G8832" t="s">
        <v>31396</v>
      </c>
      <c r="H8832" t="s">
        <v>5474</v>
      </c>
      <c r="I8832" t="s">
        <v>31397</v>
      </c>
      <c r="J8832" t="s">
        <v>5476</v>
      </c>
      <c r="K8832" t="s">
        <v>31398</v>
      </c>
      <c r="L8832" t="s">
        <v>5471</v>
      </c>
      <c r="M8832" t="s">
        <v>5471</v>
      </c>
    </row>
    <row r="8833" spans="1:13" x14ac:dyDescent="0.3">
      <c r="A8833" t="s">
        <v>3380</v>
      </c>
      <c r="B8833" t="s">
        <v>11061</v>
      </c>
      <c r="C8833" t="s">
        <v>6342</v>
      </c>
      <c r="D8833" t="s">
        <v>4119</v>
      </c>
      <c r="E8833" t="s">
        <v>5532</v>
      </c>
      <c r="F8833" t="s">
        <v>31399</v>
      </c>
      <c r="G8833" t="s">
        <v>17099</v>
      </c>
      <c r="H8833" t="s">
        <v>5474</v>
      </c>
      <c r="I8833" t="s">
        <v>31400</v>
      </c>
      <c r="J8833" t="s">
        <v>5476</v>
      </c>
      <c r="K8833" t="s">
        <v>31401</v>
      </c>
      <c r="L8833" t="s">
        <v>5471</v>
      </c>
      <c r="M8833" t="s">
        <v>5471</v>
      </c>
    </row>
    <row r="8834" spans="1:13" x14ac:dyDescent="0.3">
      <c r="A8834" t="s">
        <v>3388</v>
      </c>
      <c r="B8834" t="s">
        <v>6540</v>
      </c>
      <c r="C8834" t="s">
        <v>5470</v>
      </c>
      <c r="D8834" t="s">
        <v>30466</v>
      </c>
      <c r="E8834" t="s">
        <v>5532</v>
      </c>
      <c r="F8834" t="s">
        <v>31402</v>
      </c>
      <c r="G8834" t="s">
        <v>18056</v>
      </c>
      <c r="H8834" t="s">
        <v>5474</v>
      </c>
      <c r="I8834" t="s">
        <v>31403</v>
      </c>
      <c r="J8834" t="s">
        <v>5484</v>
      </c>
      <c r="K8834" t="s">
        <v>31404</v>
      </c>
      <c r="L8834" t="s">
        <v>5471</v>
      </c>
      <c r="M8834" t="s">
        <v>5471</v>
      </c>
    </row>
    <row r="8835" spans="1:13" x14ac:dyDescent="0.3">
      <c r="A8835" t="s">
        <v>3380</v>
      </c>
      <c r="B8835" t="s">
        <v>11061</v>
      </c>
      <c r="C8835" t="s">
        <v>6342</v>
      </c>
      <c r="D8835" t="s">
        <v>4119</v>
      </c>
      <c r="E8835" t="s">
        <v>5532</v>
      </c>
      <c r="F8835" t="s">
        <v>31405</v>
      </c>
      <c r="G8835" t="s">
        <v>31406</v>
      </c>
      <c r="H8835" t="s">
        <v>5474</v>
      </c>
      <c r="I8835" t="s">
        <v>31407</v>
      </c>
      <c r="J8835" t="s">
        <v>5476</v>
      </c>
      <c r="K8835" t="s">
        <v>31408</v>
      </c>
      <c r="L8835" t="s">
        <v>5471</v>
      </c>
      <c r="M8835" t="s">
        <v>5471</v>
      </c>
    </row>
    <row r="8836" spans="1:13" x14ac:dyDescent="0.3">
      <c r="A8836" t="s">
        <v>3380</v>
      </c>
      <c r="B8836" t="s">
        <v>11061</v>
      </c>
      <c r="C8836" t="s">
        <v>6342</v>
      </c>
      <c r="D8836" t="s">
        <v>4119</v>
      </c>
      <c r="E8836" t="s">
        <v>5532</v>
      </c>
      <c r="F8836" t="s">
        <v>31409</v>
      </c>
      <c r="G8836" t="s">
        <v>31410</v>
      </c>
      <c r="H8836" t="s">
        <v>5474</v>
      </c>
      <c r="I8836" t="s">
        <v>31411</v>
      </c>
      <c r="J8836" t="s">
        <v>5476</v>
      </c>
      <c r="K8836" t="s">
        <v>31412</v>
      </c>
      <c r="L8836" t="s">
        <v>5471</v>
      </c>
      <c r="M8836" t="s">
        <v>5471</v>
      </c>
    </row>
    <row r="8837" spans="1:13" x14ac:dyDescent="0.3">
      <c r="A8837" t="s">
        <v>3388</v>
      </c>
      <c r="B8837" t="s">
        <v>6540</v>
      </c>
      <c r="C8837" t="s">
        <v>5470</v>
      </c>
      <c r="D8837" t="s">
        <v>30466</v>
      </c>
      <c r="E8837" t="s">
        <v>5532</v>
      </c>
      <c r="F8837" t="s">
        <v>31413</v>
      </c>
      <c r="G8837" t="s">
        <v>23379</v>
      </c>
      <c r="H8837" t="s">
        <v>5474</v>
      </c>
      <c r="I8837" t="s">
        <v>31414</v>
      </c>
      <c r="J8837" t="s">
        <v>5484</v>
      </c>
      <c r="K8837" t="s">
        <v>31415</v>
      </c>
      <c r="L8837" t="s">
        <v>5471</v>
      </c>
      <c r="M8837" t="s">
        <v>5471</v>
      </c>
    </row>
    <row r="8838" spans="1:13" x14ac:dyDescent="0.3">
      <c r="A8838" t="s">
        <v>3380</v>
      </c>
      <c r="B8838" t="s">
        <v>11061</v>
      </c>
      <c r="C8838" t="s">
        <v>6342</v>
      </c>
      <c r="D8838" t="s">
        <v>4119</v>
      </c>
      <c r="E8838" t="s">
        <v>5532</v>
      </c>
      <c r="F8838" t="s">
        <v>31416</v>
      </c>
      <c r="G8838" t="s">
        <v>31417</v>
      </c>
      <c r="H8838" t="s">
        <v>5474</v>
      </c>
      <c r="I8838" t="s">
        <v>31418</v>
      </c>
      <c r="J8838" t="s">
        <v>5476</v>
      </c>
      <c r="K8838" t="s">
        <v>31419</v>
      </c>
      <c r="L8838" t="s">
        <v>5471</v>
      </c>
      <c r="M8838" t="s">
        <v>5471</v>
      </c>
    </row>
    <row r="8839" spans="1:13" x14ac:dyDescent="0.3">
      <c r="A8839" t="s">
        <v>3380</v>
      </c>
      <c r="B8839" t="s">
        <v>11061</v>
      </c>
      <c r="C8839" t="s">
        <v>6342</v>
      </c>
      <c r="D8839" t="s">
        <v>4119</v>
      </c>
      <c r="E8839" t="s">
        <v>5532</v>
      </c>
      <c r="F8839" t="s">
        <v>31420</v>
      </c>
      <c r="G8839" t="s">
        <v>31421</v>
      </c>
      <c r="H8839" t="s">
        <v>5474</v>
      </c>
      <c r="I8839" t="s">
        <v>31422</v>
      </c>
      <c r="J8839" t="s">
        <v>5476</v>
      </c>
      <c r="K8839" t="s">
        <v>31423</v>
      </c>
      <c r="L8839" t="s">
        <v>5471</v>
      </c>
      <c r="M8839" t="s">
        <v>5471</v>
      </c>
    </row>
    <row r="8840" spans="1:13" x14ac:dyDescent="0.3">
      <c r="A8840" t="s">
        <v>3388</v>
      </c>
      <c r="B8840" t="s">
        <v>6540</v>
      </c>
      <c r="C8840" t="s">
        <v>5470</v>
      </c>
      <c r="D8840" t="s">
        <v>30466</v>
      </c>
      <c r="E8840" t="s">
        <v>5756</v>
      </c>
      <c r="F8840" t="s">
        <v>31424</v>
      </c>
      <c r="G8840" t="s">
        <v>30704</v>
      </c>
      <c r="H8840" t="s">
        <v>5474</v>
      </c>
      <c r="I8840" t="s">
        <v>31425</v>
      </c>
      <c r="J8840" t="s">
        <v>5484</v>
      </c>
      <c r="K8840" t="s">
        <v>31426</v>
      </c>
      <c r="L8840" t="s">
        <v>5471</v>
      </c>
      <c r="M8840" t="s">
        <v>5471</v>
      </c>
    </row>
    <row r="8841" spans="1:13" x14ac:dyDescent="0.3">
      <c r="A8841" t="s">
        <v>3380</v>
      </c>
      <c r="B8841" t="s">
        <v>11061</v>
      </c>
      <c r="C8841" t="s">
        <v>6342</v>
      </c>
      <c r="D8841" t="s">
        <v>4119</v>
      </c>
      <c r="E8841" t="s">
        <v>5532</v>
      </c>
      <c r="F8841" t="s">
        <v>31427</v>
      </c>
      <c r="G8841" t="s">
        <v>17442</v>
      </c>
      <c r="H8841" t="s">
        <v>5474</v>
      </c>
      <c r="I8841" t="s">
        <v>31428</v>
      </c>
      <c r="J8841" t="s">
        <v>5476</v>
      </c>
      <c r="K8841" t="s">
        <v>31429</v>
      </c>
      <c r="L8841" t="s">
        <v>5471</v>
      </c>
      <c r="M8841" t="s">
        <v>5471</v>
      </c>
    </row>
    <row r="8842" spans="1:13" x14ac:dyDescent="0.3">
      <c r="A8842" t="s">
        <v>3380</v>
      </c>
      <c r="B8842" t="s">
        <v>11061</v>
      </c>
      <c r="C8842" t="s">
        <v>6342</v>
      </c>
      <c r="D8842" t="s">
        <v>4119</v>
      </c>
      <c r="E8842" t="s">
        <v>5532</v>
      </c>
      <c r="F8842" t="s">
        <v>31430</v>
      </c>
      <c r="G8842" t="s">
        <v>31396</v>
      </c>
      <c r="H8842" t="s">
        <v>5474</v>
      </c>
      <c r="I8842" t="s">
        <v>31431</v>
      </c>
      <c r="J8842" t="s">
        <v>5476</v>
      </c>
      <c r="K8842" t="s">
        <v>31432</v>
      </c>
      <c r="L8842" t="s">
        <v>5471</v>
      </c>
      <c r="M8842" t="s">
        <v>5471</v>
      </c>
    </row>
    <row r="8843" spans="1:13" x14ac:dyDescent="0.3">
      <c r="A8843" t="s">
        <v>3388</v>
      </c>
      <c r="B8843" t="s">
        <v>6540</v>
      </c>
      <c r="C8843" t="s">
        <v>5470</v>
      </c>
      <c r="D8843" t="s">
        <v>30466</v>
      </c>
      <c r="E8843" t="s">
        <v>5756</v>
      </c>
      <c r="F8843" t="s">
        <v>31433</v>
      </c>
      <c r="G8843" t="s">
        <v>8298</v>
      </c>
      <c r="H8843" t="s">
        <v>5474</v>
      </c>
      <c r="I8843" t="s">
        <v>31434</v>
      </c>
      <c r="J8843" t="s">
        <v>5484</v>
      </c>
      <c r="K8843" t="s">
        <v>31435</v>
      </c>
      <c r="L8843" t="s">
        <v>5471</v>
      </c>
      <c r="M8843" t="s">
        <v>5471</v>
      </c>
    </row>
    <row r="8844" spans="1:13" x14ac:dyDescent="0.3">
      <c r="A8844" t="s">
        <v>3380</v>
      </c>
      <c r="B8844" t="s">
        <v>11061</v>
      </c>
      <c r="C8844" t="s">
        <v>6342</v>
      </c>
      <c r="D8844" t="s">
        <v>4119</v>
      </c>
      <c r="E8844" t="s">
        <v>5843</v>
      </c>
      <c r="F8844" t="s">
        <v>31436</v>
      </c>
      <c r="G8844" t="s">
        <v>31437</v>
      </c>
      <c r="H8844" t="s">
        <v>5474</v>
      </c>
      <c r="I8844" t="s">
        <v>31438</v>
      </c>
      <c r="J8844" t="s">
        <v>5476</v>
      </c>
      <c r="K8844" t="s">
        <v>31439</v>
      </c>
      <c r="L8844" t="s">
        <v>5471</v>
      </c>
      <c r="M8844" t="s">
        <v>5471</v>
      </c>
    </row>
    <row r="8845" spans="1:13" x14ac:dyDescent="0.3">
      <c r="A8845" t="s">
        <v>3380</v>
      </c>
      <c r="B8845" t="s">
        <v>11061</v>
      </c>
      <c r="C8845" t="s">
        <v>6342</v>
      </c>
      <c r="D8845" t="s">
        <v>4119</v>
      </c>
      <c r="E8845" t="s">
        <v>5843</v>
      </c>
      <c r="F8845" t="s">
        <v>31440</v>
      </c>
      <c r="G8845" t="s">
        <v>31441</v>
      </c>
      <c r="H8845" t="s">
        <v>5474</v>
      </c>
      <c r="I8845" t="s">
        <v>31442</v>
      </c>
      <c r="J8845" t="s">
        <v>5476</v>
      </c>
      <c r="K8845" t="s">
        <v>31443</v>
      </c>
      <c r="L8845" t="s">
        <v>5471</v>
      </c>
      <c r="M8845" t="s">
        <v>5471</v>
      </c>
    </row>
    <row r="8846" spans="1:13" x14ac:dyDescent="0.3">
      <c r="A8846" t="s">
        <v>3388</v>
      </c>
      <c r="B8846" t="s">
        <v>6540</v>
      </c>
      <c r="C8846" t="s">
        <v>5470</v>
      </c>
      <c r="D8846" t="s">
        <v>30466</v>
      </c>
      <c r="E8846" t="s">
        <v>5756</v>
      </c>
      <c r="F8846" t="s">
        <v>31444</v>
      </c>
      <c r="G8846" t="s">
        <v>31445</v>
      </c>
      <c r="H8846" t="s">
        <v>5474</v>
      </c>
      <c r="I8846" t="s">
        <v>31446</v>
      </c>
      <c r="J8846" t="s">
        <v>5484</v>
      </c>
      <c r="K8846" t="s">
        <v>31447</v>
      </c>
      <c r="L8846" t="s">
        <v>5471</v>
      </c>
      <c r="M8846" t="s">
        <v>5471</v>
      </c>
    </row>
    <row r="8847" spans="1:13" x14ac:dyDescent="0.3">
      <c r="A8847" t="s">
        <v>3380</v>
      </c>
      <c r="B8847" t="s">
        <v>11061</v>
      </c>
      <c r="C8847" t="s">
        <v>6342</v>
      </c>
      <c r="D8847" t="s">
        <v>4119</v>
      </c>
      <c r="E8847" t="s">
        <v>5843</v>
      </c>
      <c r="F8847" t="s">
        <v>31448</v>
      </c>
      <c r="G8847" t="s">
        <v>31377</v>
      </c>
      <c r="H8847" t="s">
        <v>5474</v>
      </c>
      <c r="I8847" t="s">
        <v>31449</v>
      </c>
      <c r="J8847" t="s">
        <v>5476</v>
      </c>
      <c r="K8847" t="s">
        <v>31450</v>
      </c>
      <c r="L8847" t="s">
        <v>5471</v>
      </c>
      <c r="M8847" t="s">
        <v>5471</v>
      </c>
    </row>
    <row r="8848" spans="1:13" x14ac:dyDescent="0.3">
      <c r="A8848" t="s">
        <v>3388</v>
      </c>
      <c r="B8848" t="s">
        <v>7109</v>
      </c>
      <c r="C8848" t="s">
        <v>5470</v>
      </c>
      <c r="D8848" t="s">
        <v>30466</v>
      </c>
      <c r="E8848" t="s">
        <v>5532</v>
      </c>
      <c r="F8848" t="s">
        <v>31451</v>
      </c>
      <c r="G8848" t="s">
        <v>23170</v>
      </c>
      <c r="H8848" t="s">
        <v>5474</v>
      </c>
      <c r="I8848" t="s">
        <v>31452</v>
      </c>
      <c r="J8848" t="s">
        <v>5484</v>
      </c>
      <c r="K8848" t="s">
        <v>31453</v>
      </c>
      <c r="L8848" t="s">
        <v>5471</v>
      </c>
      <c r="M8848" t="s">
        <v>5471</v>
      </c>
    </row>
    <row r="8849" spans="1:13" x14ac:dyDescent="0.3">
      <c r="A8849" t="s">
        <v>3380</v>
      </c>
      <c r="B8849" t="s">
        <v>11061</v>
      </c>
      <c r="C8849" t="s">
        <v>6342</v>
      </c>
      <c r="D8849" t="s">
        <v>4119</v>
      </c>
      <c r="E8849" t="s">
        <v>5843</v>
      </c>
      <c r="F8849" t="s">
        <v>31454</v>
      </c>
      <c r="G8849" t="s">
        <v>31455</v>
      </c>
      <c r="H8849" t="s">
        <v>5474</v>
      </c>
      <c r="I8849" t="s">
        <v>31456</v>
      </c>
      <c r="J8849" t="s">
        <v>5476</v>
      </c>
      <c r="K8849" t="s">
        <v>31457</v>
      </c>
      <c r="L8849" t="s">
        <v>5471</v>
      </c>
      <c r="M8849" t="s">
        <v>5471</v>
      </c>
    </row>
    <row r="8850" spans="1:13" x14ac:dyDescent="0.3">
      <c r="A8850" t="s">
        <v>3380</v>
      </c>
      <c r="B8850" t="s">
        <v>11061</v>
      </c>
      <c r="C8850" t="s">
        <v>6342</v>
      </c>
      <c r="D8850" t="s">
        <v>4119</v>
      </c>
      <c r="E8850" t="s">
        <v>5843</v>
      </c>
      <c r="F8850" t="s">
        <v>31458</v>
      </c>
      <c r="G8850" t="s">
        <v>31459</v>
      </c>
      <c r="H8850" t="s">
        <v>5474</v>
      </c>
      <c r="I8850" t="s">
        <v>31460</v>
      </c>
      <c r="J8850" t="s">
        <v>5476</v>
      </c>
      <c r="K8850" t="s">
        <v>31461</v>
      </c>
      <c r="L8850" t="s">
        <v>5471</v>
      </c>
      <c r="M8850" t="s">
        <v>5471</v>
      </c>
    </row>
    <row r="8851" spans="1:13" x14ac:dyDescent="0.3">
      <c r="A8851" t="s">
        <v>3388</v>
      </c>
      <c r="B8851" t="s">
        <v>7109</v>
      </c>
      <c r="C8851" t="s">
        <v>5470</v>
      </c>
      <c r="D8851" t="s">
        <v>30466</v>
      </c>
      <c r="E8851" t="s">
        <v>5532</v>
      </c>
      <c r="F8851" t="s">
        <v>31462</v>
      </c>
      <c r="G8851" t="s">
        <v>18561</v>
      </c>
      <c r="H8851" t="s">
        <v>5474</v>
      </c>
      <c r="I8851" t="s">
        <v>31463</v>
      </c>
      <c r="J8851" t="s">
        <v>5484</v>
      </c>
      <c r="K8851" t="s">
        <v>31464</v>
      </c>
      <c r="L8851" t="s">
        <v>5471</v>
      </c>
      <c r="M8851" t="s">
        <v>5471</v>
      </c>
    </row>
    <row r="8852" spans="1:13" x14ac:dyDescent="0.3">
      <c r="A8852" t="s">
        <v>3380</v>
      </c>
      <c r="B8852" t="s">
        <v>11061</v>
      </c>
      <c r="C8852" t="s">
        <v>6342</v>
      </c>
      <c r="D8852" t="s">
        <v>4119</v>
      </c>
      <c r="E8852" t="s">
        <v>5617</v>
      </c>
      <c r="F8852" t="s">
        <v>31465</v>
      </c>
      <c r="G8852" t="s">
        <v>31466</v>
      </c>
      <c r="H8852" t="s">
        <v>5474</v>
      </c>
      <c r="I8852" t="s">
        <v>31467</v>
      </c>
      <c r="J8852" t="s">
        <v>5476</v>
      </c>
      <c r="K8852" t="s">
        <v>31468</v>
      </c>
      <c r="L8852" t="s">
        <v>5471</v>
      </c>
      <c r="M8852" t="s">
        <v>5471</v>
      </c>
    </row>
    <row r="8853" spans="1:13" x14ac:dyDescent="0.3">
      <c r="A8853" t="s">
        <v>3380</v>
      </c>
      <c r="B8853" t="s">
        <v>11061</v>
      </c>
      <c r="C8853" t="s">
        <v>6342</v>
      </c>
      <c r="D8853" t="s">
        <v>4119</v>
      </c>
      <c r="E8853" t="s">
        <v>5617</v>
      </c>
      <c r="F8853" t="s">
        <v>31469</v>
      </c>
      <c r="G8853" t="s">
        <v>31470</v>
      </c>
      <c r="H8853" t="s">
        <v>5474</v>
      </c>
      <c r="I8853" t="s">
        <v>31471</v>
      </c>
      <c r="J8853" t="s">
        <v>5476</v>
      </c>
      <c r="K8853" t="s">
        <v>31472</v>
      </c>
      <c r="L8853" t="s">
        <v>5471</v>
      </c>
      <c r="M8853" t="s">
        <v>5471</v>
      </c>
    </row>
    <row r="8854" spans="1:13" x14ac:dyDescent="0.3">
      <c r="A8854" t="s">
        <v>3388</v>
      </c>
      <c r="B8854" t="s">
        <v>7109</v>
      </c>
      <c r="C8854" t="s">
        <v>5470</v>
      </c>
      <c r="D8854" t="s">
        <v>30466</v>
      </c>
      <c r="E8854" t="s">
        <v>5756</v>
      </c>
      <c r="F8854" t="s">
        <v>31473</v>
      </c>
      <c r="G8854" t="s">
        <v>10493</v>
      </c>
      <c r="H8854" t="s">
        <v>5474</v>
      </c>
      <c r="I8854" t="s">
        <v>31474</v>
      </c>
      <c r="J8854" t="s">
        <v>5484</v>
      </c>
      <c r="K8854" t="s">
        <v>31475</v>
      </c>
      <c r="L8854" t="s">
        <v>5471</v>
      </c>
      <c r="M8854" t="s">
        <v>5471</v>
      </c>
    </row>
    <row r="8855" spans="1:13" x14ac:dyDescent="0.3">
      <c r="A8855" t="s">
        <v>3380</v>
      </c>
      <c r="B8855" t="s">
        <v>11061</v>
      </c>
      <c r="C8855" t="s">
        <v>6342</v>
      </c>
      <c r="D8855" t="s">
        <v>4119</v>
      </c>
      <c r="E8855" t="s">
        <v>5617</v>
      </c>
      <c r="F8855" t="s">
        <v>31476</v>
      </c>
      <c r="G8855" t="s">
        <v>31477</v>
      </c>
      <c r="H8855" t="s">
        <v>5474</v>
      </c>
      <c r="I8855" t="s">
        <v>31478</v>
      </c>
      <c r="J8855" t="s">
        <v>5476</v>
      </c>
      <c r="K8855" t="s">
        <v>31479</v>
      </c>
      <c r="L8855" t="s">
        <v>5471</v>
      </c>
      <c r="M8855" t="s">
        <v>5471</v>
      </c>
    </row>
    <row r="8856" spans="1:13" x14ac:dyDescent="0.3">
      <c r="A8856" t="s">
        <v>3380</v>
      </c>
      <c r="B8856" t="s">
        <v>11061</v>
      </c>
      <c r="C8856" t="s">
        <v>6342</v>
      </c>
      <c r="D8856" t="s">
        <v>4119</v>
      </c>
      <c r="E8856" t="s">
        <v>5843</v>
      </c>
      <c r="F8856" t="s">
        <v>31480</v>
      </c>
      <c r="G8856" t="s">
        <v>31481</v>
      </c>
      <c r="H8856" t="s">
        <v>5474</v>
      </c>
      <c r="I8856" t="s">
        <v>31482</v>
      </c>
      <c r="J8856" t="s">
        <v>5476</v>
      </c>
      <c r="K8856" t="s">
        <v>31483</v>
      </c>
      <c r="L8856" t="s">
        <v>5471</v>
      </c>
      <c r="M8856" t="s">
        <v>5471</v>
      </c>
    </row>
    <row r="8857" spans="1:13" x14ac:dyDescent="0.3">
      <c r="A8857" t="s">
        <v>3388</v>
      </c>
      <c r="B8857" t="s">
        <v>7109</v>
      </c>
      <c r="C8857" t="s">
        <v>5470</v>
      </c>
      <c r="D8857" t="s">
        <v>30466</v>
      </c>
      <c r="E8857" t="s">
        <v>5756</v>
      </c>
      <c r="F8857" t="s">
        <v>31484</v>
      </c>
      <c r="G8857" t="s">
        <v>10488</v>
      </c>
      <c r="H8857" t="s">
        <v>5474</v>
      </c>
      <c r="I8857" t="s">
        <v>31485</v>
      </c>
      <c r="J8857" t="s">
        <v>5484</v>
      </c>
      <c r="K8857" t="s">
        <v>31486</v>
      </c>
      <c r="L8857" t="s">
        <v>5471</v>
      </c>
      <c r="M8857" t="s">
        <v>5471</v>
      </c>
    </row>
    <row r="8858" spans="1:13" x14ac:dyDescent="0.3">
      <c r="A8858" t="s">
        <v>3380</v>
      </c>
      <c r="B8858" t="s">
        <v>11061</v>
      </c>
      <c r="C8858" t="s">
        <v>6342</v>
      </c>
      <c r="D8858" t="s">
        <v>4119</v>
      </c>
      <c r="E8858" t="s">
        <v>5532</v>
      </c>
      <c r="F8858" t="s">
        <v>31487</v>
      </c>
      <c r="G8858" t="s">
        <v>31488</v>
      </c>
      <c r="H8858" t="s">
        <v>5474</v>
      </c>
      <c r="I8858" t="s">
        <v>31489</v>
      </c>
      <c r="J8858" t="s">
        <v>5476</v>
      </c>
      <c r="K8858" t="s">
        <v>31490</v>
      </c>
      <c r="L8858" t="s">
        <v>5471</v>
      </c>
      <c r="M8858" t="s">
        <v>5471</v>
      </c>
    </row>
    <row r="8859" spans="1:13" x14ac:dyDescent="0.3">
      <c r="A8859" t="s">
        <v>3380</v>
      </c>
      <c r="B8859" t="s">
        <v>11061</v>
      </c>
      <c r="C8859" t="s">
        <v>6342</v>
      </c>
      <c r="D8859" t="s">
        <v>4119</v>
      </c>
      <c r="E8859" t="s">
        <v>5532</v>
      </c>
      <c r="F8859" t="s">
        <v>31491</v>
      </c>
      <c r="G8859" t="s">
        <v>31488</v>
      </c>
      <c r="H8859" t="s">
        <v>5474</v>
      </c>
      <c r="I8859" t="s">
        <v>31492</v>
      </c>
      <c r="J8859" t="s">
        <v>5476</v>
      </c>
      <c r="K8859" t="s">
        <v>31493</v>
      </c>
      <c r="L8859" t="s">
        <v>5471</v>
      </c>
      <c r="M8859" t="s">
        <v>5471</v>
      </c>
    </row>
    <row r="8860" spans="1:13" x14ac:dyDescent="0.3">
      <c r="A8860" t="s">
        <v>3388</v>
      </c>
      <c r="B8860" t="s">
        <v>5316</v>
      </c>
      <c r="C8860" t="s">
        <v>5470</v>
      </c>
      <c r="D8860" t="s">
        <v>30466</v>
      </c>
      <c r="E8860" t="s">
        <v>5532</v>
      </c>
      <c r="F8860" t="s">
        <v>31494</v>
      </c>
      <c r="G8860" t="s">
        <v>23092</v>
      </c>
      <c r="H8860" t="s">
        <v>5474</v>
      </c>
      <c r="I8860" t="s">
        <v>31495</v>
      </c>
      <c r="J8860" t="s">
        <v>5484</v>
      </c>
      <c r="K8860" t="s">
        <v>31496</v>
      </c>
      <c r="L8860" t="s">
        <v>5471</v>
      </c>
      <c r="M8860" t="s">
        <v>5471</v>
      </c>
    </row>
    <row r="8861" spans="1:13" x14ac:dyDescent="0.3">
      <c r="A8861" t="s">
        <v>3380</v>
      </c>
      <c r="B8861" t="s">
        <v>11061</v>
      </c>
      <c r="C8861" t="s">
        <v>6342</v>
      </c>
      <c r="D8861" t="s">
        <v>4119</v>
      </c>
      <c r="E8861" t="s">
        <v>5843</v>
      </c>
      <c r="F8861" t="s">
        <v>31497</v>
      </c>
      <c r="G8861" t="s">
        <v>31498</v>
      </c>
      <c r="H8861" t="s">
        <v>5474</v>
      </c>
      <c r="I8861" t="s">
        <v>31499</v>
      </c>
      <c r="J8861" t="s">
        <v>5476</v>
      </c>
      <c r="K8861" t="s">
        <v>31500</v>
      </c>
      <c r="L8861" t="s">
        <v>5471</v>
      </c>
      <c r="M8861" t="s">
        <v>5471</v>
      </c>
    </row>
    <row r="8862" spans="1:13" x14ac:dyDescent="0.3">
      <c r="A8862" t="s">
        <v>3380</v>
      </c>
      <c r="B8862" t="s">
        <v>11061</v>
      </c>
      <c r="C8862" t="s">
        <v>6342</v>
      </c>
      <c r="D8862" t="s">
        <v>4119</v>
      </c>
      <c r="E8862" t="s">
        <v>5617</v>
      </c>
      <c r="F8862" t="s">
        <v>31501</v>
      </c>
      <c r="G8862" t="s">
        <v>31502</v>
      </c>
      <c r="H8862" t="s">
        <v>5474</v>
      </c>
      <c r="I8862" t="s">
        <v>31503</v>
      </c>
      <c r="J8862" t="s">
        <v>5476</v>
      </c>
      <c r="K8862" t="s">
        <v>31504</v>
      </c>
      <c r="L8862" t="s">
        <v>5471</v>
      </c>
      <c r="M8862" t="s">
        <v>5471</v>
      </c>
    </row>
    <row r="8863" spans="1:13" x14ac:dyDescent="0.3">
      <c r="A8863" t="s">
        <v>3388</v>
      </c>
      <c r="B8863" t="s">
        <v>8577</v>
      </c>
      <c r="C8863" t="s">
        <v>5470</v>
      </c>
      <c r="D8863" t="s">
        <v>30466</v>
      </c>
      <c r="E8863" t="s">
        <v>5532</v>
      </c>
      <c r="F8863" t="s">
        <v>31505</v>
      </c>
      <c r="G8863" t="s">
        <v>10503</v>
      </c>
      <c r="H8863" t="s">
        <v>5474</v>
      </c>
      <c r="I8863" t="s">
        <v>31506</v>
      </c>
      <c r="J8863" t="s">
        <v>5484</v>
      </c>
      <c r="K8863" t="s">
        <v>31507</v>
      </c>
      <c r="L8863" t="s">
        <v>5471</v>
      </c>
      <c r="M8863" t="s">
        <v>5471</v>
      </c>
    </row>
    <row r="8864" spans="1:13" x14ac:dyDescent="0.3">
      <c r="A8864" t="s">
        <v>3388</v>
      </c>
      <c r="B8864" t="s">
        <v>19207</v>
      </c>
      <c r="C8864" t="s">
        <v>5470</v>
      </c>
      <c r="D8864" t="s">
        <v>30466</v>
      </c>
      <c r="E8864" t="s">
        <v>5532</v>
      </c>
      <c r="F8864" t="s">
        <v>31508</v>
      </c>
      <c r="G8864" t="s">
        <v>18561</v>
      </c>
      <c r="H8864" t="s">
        <v>5474</v>
      </c>
      <c r="I8864" t="s">
        <v>31509</v>
      </c>
      <c r="J8864" t="s">
        <v>5484</v>
      </c>
      <c r="K8864" t="s">
        <v>31510</v>
      </c>
      <c r="L8864" t="s">
        <v>5471</v>
      </c>
      <c r="M8864" t="s">
        <v>5471</v>
      </c>
    </row>
    <row r="8865" spans="1:13" x14ac:dyDescent="0.3">
      <c r="A8865" t="s">
        <v>3388</v>
      </c>
      <c r="B8865" t="s">
        <v>19207</v>
      </c>
      <c r="C8865" t="s">
        <v>5470</v>
      </c>
      <c r="D8865" t="s">
        <v>30466</v>
      </c>
      <c r="E8865" t="s">
        <v>5532</v>
      </c>
      <c r="F8865" t="s">
        <v>31511</v>
      </c>
      <c r="G8865" t="s">
        <v>18572</v>
      </c>
      <c r="H8865" t="s">
        <v>5474</v>
      </c>
      <c r="I8865" t="s">
        <v>31512</v>
      </c>
      <c r="J8865" t="s">
        <v>5484</v>
      </c>
      <c r="K8865" t="s">
        <v>31513</v>
      </c>
      <c r="L8865" t="s">
        <v>5471</v>
      </c>
      <c r="M8865" t="s">
        <v>5471</v>
      </c>
    </row>
    <row r="8866" spans="1:13" x14ac:dyDescent="0.3">
      <c r="A8866" t="s">
        <v>3388</v>
      </c>
      <c r="B8866" t="s">
        <v>19207</v>
      </c>
      <c r="C8866" t="s">
        <v>5470</v>
      </c>
      <c r="D8866" t="s">
        <v>30466</v>
      </c>
      <c r="E8866" t="s">
        <v>5532</v>
      </c>
      <c r="F8866" t="s">
        <v>31514</v>
      </c>
      <c r="G8866" t="s">
        <v>18582</v>
      </c>
      <c r="H8866" t="s">
        <v>5474</v>
      </c>
      <c r="I8866" t="s">
        <v>31515</v>
      </c>
      <c r="J8866" t="s">
        <v>5484</v>
      </c>
      <c r="K8866" t="s">
        <v>31516</v>
      </c>
      <c r="L8866" t="s">
        <v>5471</v>
      </c>
      <c r="M8866" t="s">
        <v>5471</v>
      </c>
    </row>
    <row r="8867" spans="1:13" x14ac:dyDescent="0.3">
      <c r="A8867" t="s">
        <v>3388</v>
      </c>
      <c r="B8867" t="s">
        <v>8799</v>
      </c>
      <c r="C8867" t="s">
        <v>5470</v>
      </c>
      <c r="D8867" t="s">
        <v>30466</v>
      </c>
      <c r="E8867" t="s">
        <v>5532</v>
      </c>
      <c r="F8867" t="s">
        <v>31517</v>
      </c>
      <c r="G8867" t="s">
        <v>31518</v>
      </c>
      <c r="H8867" t="s">
        <v>5474</v>
      </c>
      <c r="I8867" t="s">
        <v>31519</v>
      </c>
      <c r="J8867" t="s">
        <v>5484</v>
      </c>
      <c r="K8867" t="s">
        <v>31520</v>
      </c>
      <c r="L8867" t="s">
        <v>5471</v>
      </c>
      <c r="M8867" t="s">
        <v>5471</v>
      </c>
    </row>
    <row r="8868" spans="1:13" x14ac:dyDescent="0.3">
      <c r="A8868" t="s">
        <v>3388</v>
      </c>
      <c r="B8868" t="s">
        <v>8799</v>
      </c>
      <c r="C8868" t="s">
        <v>5470</v>
      </c>
      <c r="D8868" t="s">
        <v>30466</v>
      </c>
      <c r="E8868" t="s">
        <v>5532</v>
      </c>
      <c r="F8868" t="s">
        <v>31521</v>
      </c>
      <c r="G8868" t="s">
        <v>18759</v>
      </c>
      <c r="H8868" t="s">
        <v>5474</v>
      </c>
      <c r="I8868" t="s">
        <v>31522</v>
      </c>
      <c r="J8868" t="s">
        <v>5484</v>
      </c>
      <c r="K8868" t="s">
        <v>31523</v>
      </c>
      <c r="L8868" t="s">
        <v>5471</v>
      </c>
      <c r="M8868" t="s">
        <v>5471</v>
      </c>
    </row>
    <row r="8869" spans="1:13" x14ac:dyDescent="0.3">
      <c r="A8869" t="s">
        <v>3388</v>
      </c>
      <c r="B8869" t="s">
        <v>8799</v>
      </c>
      <c r="C8869" t="s">
        <v>5470</v>
      </c>
      <c r="D8869" t="s">
        <v>30466</v>
      </c>
      <c r="E8869" t="s">
        <v>5532</v>
      </c>
      <c r="F8869" t="s">
        <v>31524</v>
      </c>
      <c r="G8869" t="s">
        <v>18769</v>
      </c>
      <c r="H8869" t="s">
        <v>5474</v>
      </c>
      <c r="I8869" t="s">
        <v>31525</v>
      </c>
      <c r="J8869" t="s">
        <v>5484</v>
      </c>
      <c r="K8869" t="s">
        <v>31526</v>
      </c>
      <c r="L8869" t="s">
        <v>5471</v>
      </c>
      <c r="M8869" t="s">
        <v>5471</v>
      </c>
    </row>
    <row r="8870" spans="1:13" x14ac:dyDescent="0.3">
      <c r="A8870" t="s">
        <v>3388</v>
      </c>
      <c r="B8870" t="s">
        <v>8799</v>
      </c>
      <c r="C8870" t="s">
        <v>5470</v>
      </c>
      <c r="D8870" t="s">
        <v>30466</v>
      </c>
      <c r="E8870" t="s">
        <v>5756</v>
      </c>
      <c r="F8870" t="s">
        <v>31527</v>
      </c>
      <c r="G8870" t="s">
        <v>8370</v>
      </c>
      <c r="H8870" t="s">
        <v>5474</v>
      </c>
      <c r="I8870" t="s">
        <v>31528</v>
      </c>
      <c r="J8870" t="s">
        <v>5484</v>
      </c>
      <c r="K8870" t="s">
        <v>31529</v>
      </c>
      <c r="L8870" t="s">
        <v>5471</v>
      </c>
      <c r="M8870" t="s">
        <v>5471</v>
      </c>
    </row>
    <row r="8871" spans="1:13" x14ac:dyDescent="0.3">
      <c r="A8871" t="s">
        <v>3388</v>
      </c>
      <c r="B8871" t="s">
        <v>8656</v>
      </c>
      <c r="C8871" t="s">
        <v>5470</v>
      </c>
      <c r="D8871" t="s">
        <v>30466</v>
      </c>
      <c r="E8871" t="s">
        <v>5532</v>
      </c>
      <c r="F8871" t="s">
        <v>31530</v>
      </c>
      <c r="G8871" t="s">
        <v>18769</v>
      </c>
      <c r="H8871" t="s">
        <v>5474</v>
      </c>
      <c r="I8871" t="s">
        <v>31531</v>
      </c>
      <c r="J8871" t="s">
        <v>5484</v>
      </c>
      <c r="K8871" t="s">
        <v>31532</v>
      </c>
      <c r="L8871" t="s">
        <v>5471</v>
      </c>
      <c r="M8871" t="s">
        <v>5471</v>
      </c>
    </row>
    <row r="8872" spans="1:13" x14ac:dyDescent="0.3">
      <c r="A8872" t="s">
        <v>3388</v>
      </c>
      <c r="B8872" t="s">
        <v>15863</v>
      </c>
      <c r="C8872" t="s">
        <v>5470</v>
      </c>
      <c r="D8872" t="s">
        <v>30466</v>
      </c>
      <c r="E8872" t="s">
        <v>5532</v>
      </c>
      <c r="F8872" t="s">
        <v>31533</v>
      </c>
      <c r="G8872" t="s">
        <v>31534</v>
      </c>
      <c r="H8872" t="s">
        <v>5474</v>
      </c>
      <c r="I8872" t="s">
        <v>31535</v>
      </c>
      <c r="J8872" t="s">
        <v>5484</v>
      </c>
      <c r="K8872" t="s">
        <v>31536</v>
      </c>
      <c r="L8872" t="s">
        <v>5471</v>
      </c>
      <c r="M8872" t="s">
        <v>5471</v>
      </c>
    </row>
    <row r="8873" spans="1:13" x14ac:dyDescent="0.3">
      <c r="A8873" t="s">
        <v>3388</v>
      </c>
      <c r="B8873" t="s">
        <v>5616</v>
      </c>
      <c r="C8873" t="s">
        <v>5470</v>
      </c>
      <c r="D8873" t="s">
        <v>30466</v>
      </c>
      <c r="E8873" t="s">
        <v>5532</v>
      </c>
      <c r="F8873" t="s">
        <v>31537</v>
      </c>
      <c r="G8873" t="s">
        <v>29423</v>
      </c>
      <c r="H8873" t="s">
        <v>5474</v>
      </c>
      <c r="I8873" t="s">
        <v>31538</v>
      </c>
      <c r="J8873" t="s">
        <v>5484</v>
      </c>
      <c r="K8873" t="s">
        <v>31539</v>
      </c>
      <c r="L8873" t="s">
        <v>5471</v>
      </c>
      <c r="M8873" t="s">
        <v>5471</v>
      </c>
    </row>
    <row r="8874" spans="1:13" x14ac:dyDescent="0.3">
      <c r="A8874" t="s">
        <v>3388</v>
      </c>
      <c r="B8874" t="s">
        <v>5616</v>
      </c>
      <c r="C8874" t="s">
        <v>5470</v>
      </c>
      <c r="D8874" t="s">
        <v>30466</v>
      </c>
      <c r="E8874" t="s">
        <v>5532</v>
      </c>
      <c r="F8874" t="s">
        <v>31540</v>
      </c>
      <c r="G8874" t="s">
        <v>31541</v>
      </c>
      <c r="H8874" t="s">
        <v>5474</v>
      </c>
      <c r="I8874" t="s">
        <v>31542</v>
      </c>
      <c r="J8874" t="s">
        <v>5484</v>
      </c>
      <c r="K8874" t="s">
        <v>31543</v>
      </c>
      <c r="L8874" t="s">
        <v>5471</v>
      </c>
      <c r="M8874" t="s">
        <v>5471</v>
      </c>
    </row>
    <row r="8875" spans="1:13" x14ac:dyDescent="0.3">
      <c r="A8875" t="s">
        <v>3388</v>
      </c>
      <c r="B8875" t="s">
        <v>5616</v>
      </c>
      <c r="C8875" t="s">
        <v>5470</v>
      </c>
      <c r="D8875" t="s">
        <v>30466</v>
      </c>
      <c r="E8875" t="s">
        <v>5532</v>
      </c>
      <c r="F8875" t="s">
        <v>31544</v>
      </c>
      <c r="G8875" t="s">
        <v>31545</v>
      </c>
      <c r="H8875" t="s">
        <v>5474</v>
      </c>
      <c r="I8875" t="s">
        <v>31546</v>
      </c>
      <c r="J8875" t="s">
        <v>5484</v>
      </c>
      <c r="K8875" t="s">
        <v>31547</v>
      </c>
      <c r="L8875" t="s">
        <v>5471</v>
      </c>
      <c r="M8875" t="s">
        <v>5471</v>
      </c>
    </row>
    <row r="8876" spans="1:13" x14ac:dyDescent="0.3">
      <c r="A8876" t="s">
        <v>3388</v>
      </c>
      <c r="B8876" t="s">
        <v>5616</v>
      </c>
      <c r="C8876" t="s">
        <v>5470</v>
      </c>
      <c r="D8876" t="s">
        <v>30466</v>
      </c>
      <c r="E8876" t="s">
        <v>5532</v>
      </c>
      <c r="F8876" t="s">
        <v>31548</v>
      </c>
      <c r="G8876" t="s">
        <v>29444</v>
      </c>
      <c r="H8876" t="s">
        <v>5474</v>
      </c>
      <c r="I8876" t="s">
        <v>31549</v>
      </c>
      <c r="J8876" t="s">
        <v>5484</v>
      </c>
      <c r="K8876" t="s">
        <v>31550</v>
      </c>
      <c r="L8876" t="s">
        <v>5471</v>
      </c>
      <c r="M8876" t="s">
        <v>5471</v>
      </c>
    </row>
    <row r="8877" spans="1:13" x14ac:dyDescent="0.3">
      <c r="A8877" t="s">
        <v>3388</v>
      </c>
      <c r="B8877" t="s">
        <v>19988</v>
      </c>
      <c r="C8877" t="s">
        <v>5470</v>
      </c>
      <c r="D8877" t="s">
        <v>30466</v>
      </c>
      <c r="E8877" t="s">
        <v>5532</v>
      </c>
      <c r="F8877" t="s">
        <v>31551</v>
      </c>
      <c r="G8877" t="s">
        <v>29423</v>
      </c>
      <c r="H8877" t="s">
        <v>5474</v>
      </c>
      <c r="I8877" t="s">
        <v>31552</v>
      </c>
      <c r="J8877" t="s">
        <v>5484</v>
      </c>
      <c r="K8877" t="s">
        <v>31553</v>
      </c>
      <c r="L8877" t="s">
        <v>5471</v>
      </c>
      <c r="M8877" t="s">
        <v>5471</v>
      </c>
    </row>
    <row r="8878" spans="1:13" x14ac:dyDescent="0.3">
      <c r="A8878" t="s">
        <v>3388</v>
      </c>
      <c r="B8878" t="s">
        <v>6632</v>
      </c>
      <c r="C8878" t="s">
        <v>5470</v>
      </c>
      <c r="D8878" t="s">
        <v>30466</v>
      </c>
      <c r="E8878" t="s">
        <v>5532</v>
      </c>
      <c r="F8878" t="s">
        <v>31554</v>
      </c>
      <c r="G8878" t="s">
        <v>31555</v>
      </c>
      <c r="H8878" t="s">
        <v>5474</v>
      </c>
      <c r="I8878" t="s">
        <v>31556</v>
      </c>
      <c r="J8878" t="s">
        <v>5484</v>
      </c>
      <c r="K8878" t="s">
        <v>31557</v>
      </c>
      <c r="L8878" t="s">
        <v>5471</v>
      </c>
      <c r="M8878" t="s">
        <v>5471</v>
      </c>
    </row>
    <row r="8879" spans="1:13" x14ac:dyDescent="0.3">
      <c r="A8879" t="s">
        <v>3388</v>
      </c>
      <c r="B8879" t="s">
        <v>6632</v>
      </c>
      <c r="C8879" t="s">
        <v>5470</v>
      </c>
      <c r="D8879" t="s">
        <v>30466</v>
      </c>
      <c r="E8879" t="s">
        <v>5532</v>
      </c>
      <c r="F8879" t="s">
        <v>31558</v>
      </c>
      <c r="G8879" t="s">
        <v>31559</v>
      </c>
      <c r="H8879" t="s">
        <v>5474</v>
      </c>
      <c r="I8879" t="s">
        <v>31560</v>
      </c>
      <c r="J8879" t="s">
        <v>5484</v>
      </c>
      <c r="K8879" t="s">
        <v>31561</v>
      </c>
      <c r="L8879" t="s">
        <v>5471</v>
      </c>
      <c r="M8879" t="s">
        <v>5471</v>
      </c>
    </row>
    <row r="8880" spans="1:13" x14ac:dyDescent="0.3">
      <c r="A8880" t="s">
        <v>3388</v>
      </c>
      <c r="B8880" t="s">
        <v>10865</v>
      </c>
      <c r="C8880" t="s">
        <v>5470</v>
      </c>
      <c r="D8880" t="s">
        <v>4119</v>
      </c>
      <c r="E8880" t="s">
        <v>5756</v>
      </c>
      <c r="F8880" t="s">
        <v>31562</v>
      </c>
      <c r="G8880" t="s">
        <v>15824</v>
      </c>
      <c r="H8880" t="s">
        <v>5474</v>
      </c>
      <c r="I8880" t="s">
        <v>31563</v>
      </c>
      <c r="J8880" t="s">
        <v>5484</v>
      </c>
      <c r="K8880" t="s">
        <v>31564</v>
      </c>
      <c r="L8880" t="s">
        <v>5471</v>
      </c>
      <c r="M8880" t="s">
        <v>5471</v>
      </c>
    </row>
    <row r="8881" spans="1:13" x14ac:dyDescent="0.3">
      <c r="A8881" t="s">
        <v>3388</v>
      </c>
      <c r="B8881" t="s">
        <v>6632</v>
      </c>
      <c r="C8881" t="s">
        <v>5470</v>
      </c>
      <c r="D8881" t="s">
        <v>30466</v>
      </c>
      <c r="E8881" t="s">
        <v>5532</v>
      </c>
      <c r="F8881" t="s">
        <v>31565</v>
      </c>
      <c r="G8881" t="s">
        <v>24353</v>
      </c>
      <c r="H8881" t="s">
        <v>5474</v>
      </c>
      <c r="I8881" t="s">
        <v>31566</v>
      </c>
      <c r="J8881" t="s">
        <v>5484</v>
      </c>
      <c r="K8881" t="s">
        <v>31567</v>
      </c>
      <c r="L8881" t="s">
        <v>5471</v>
      </c>
      <c r="M8881" t="s">
        <v>5471</v>
      </c>
    </row>
    <row r="8882" spans="1:13" x14ac:dyDescent="0.3">
      <c r="A8882" t="s">
        <v>3388</v>
      </c>
      <c r="B8882" t="s">
        <v>17321</v>
      </c>
      <c r="C8882" t="s">
        <v>5470</v>
      </c>
      <c r="D8882" t="s">
        <v>30466</v>
      </c>
      <c r="E8882" t="s">
        <v>5532</v>
      </c>
      <c r="F8882" t="s">
        <v>31568</v>
      </c>
      <c r="G8882" t="s">
        <v>18019</v>
      </c>
      <c r="H8882" t="s">
        <v>5474</v>
      </c>
      <c r="I8882" t="s">
        <v>31569</v>
      </c>
      <c r="J8882" t="s">
        <v>5484</v>
      </c>
      <c r="K8882" t="s">
        <v>31570</v>
      </c>
      <c r="L8882" t="s">
        <v>5471</v>
      </c>
      <c r="M8882" t="s">
        <v>5471</v>
      </c>
    </row>
    <row r="8883" spans="1:13" x14ac:dyDescent="0.3">
      <c r="A8883" t="s">
        <v>3388</v>
      </c>
      <c r="B8883" t="s">
        <v>17321</v>
      </c>
      <c r="C8883" t="s">
        <v>5470</v>
      </c>
      <c r="D8883" t="s">
        <v>30466</v>
      </c>
      <c r="E8883" t="s">
        <v>5532</v>
      </c>
      <c r="F8883" t="s">
        <v>31571</v>
      </c>
      <c r="G8883" t="s">
        <v>31572</v>
      </c>
      <c r="H8883" t="s">
        <v>5474</v>
      </c>
      <c r="I8883" t="s">
        <v>31573</v>
      </c>
      <c r="J8883" t="s">
        <v>5484</v>
      </c>
      <c r="K8883" t="s">
        <v>31574</v>
      </c>
      <c r="L8883" t="s">
        <v>5471</v>
      </c>
      <c r="M8883" t="s">
        <v>5471</v>
      </c>
    </row>
    <row r="8884" spans="1:13" x14ac:dyDescent="0.3">
      <c r="A8884" t="s">
        <v>3388</v>
      </c>
      <c r="B8884" t="s">
        <v>17321</v>
      </c>
      <c r="C8884" t="s">
        <v>5470</v>
      </c>
      <c r="D8884" t="s">
        <v>30466</v>
      </c>
      <c r="E8884" t="s">
        <v>5532</v>
      </c>
      <c r="F8884" t="s">
        <v>31575</v>
      </c>
      <c r="G8884" t="s">
        <v>31576</v>
      </c>
      <c r="H8884" t="s">
        <v>5474</v>
      </c>
      <c r="I8884" t="s">
        <v>31577</v>
      </c>
      <c r="J8884" t="s">
        <v>5484</v>
      </c>
      <c r="K8884" t="s">
        <v>31578</v>
      </c>
      <c r="L8884" t="s">
        <v>5471</v>
      </c>
      <c r="M8884" t="s">
        <v>5471</v>
      </c>
    </row>
    <row r="8885" spans="1:13" x14ac:dyDescent="0.3">
      <c r="A8885" t="s">
        <v>3388</v>
      </c>
      <c r="B8885" t="s">
        <v>17321</v>
      </c>
      <c r="C8885" t="s">
        <v>5470</v>
      </c>
      <c r="D8885" t="s">
        <v>30466</v>
      </c>
      <c r="E8885" t="s">
        <v>5532</v>
      </c>
      <c r="F8885" t="s">
        <v>31579</v>
      </c>
      <c r="G8885" t="s">
        <v>31580</v>
      </c>
      <c r="H8885" t="s">
        <v>5474</v>
      </c>
      <c r="I8885" t="s">
        <v>31581</v>
      </c>
      <c r="J8885" t="s">
        <v>5484</v>
      </c>
      <c r="K8885" t="s">
        <v>31582</v>
      </c>
      <c r="L8885" t="s">
        <v>5471</v>
      </c>
      <c r="M8885" t="s">
        <v>5471</v>
      </c>
    </row>
    <row r="8886" spans="1:13" x14ac:dyDescent="0.3">
      <c r="A8886" t="s">
        <v>3388</v>
      </c>
      <c r="B8886" t="s">
        <v>5296</v>
      </c>
      <c r="C8886" t="s">
        <v>5470</v>
      </c>
      <c r="D8886" t="s">
        <v>30466</v>
      </c>
      <c r="E8886" t="s">
        <v>5532</v>
      </c>
      <c r="F8886" t="s">
        <v>31583</v>
      </c>
      <c r="G8886" t="s">
        <v>18360</v>
      </c>
      <c r="H8886" t="s">
        <v>5474</v>
      </c>
      <c r="I8886" t="s">
        <v>31584</v>
      </c>
      <c r="J8886" t="s">
        <v>5484</v>
      </c>
      <c r="K8886" t="s">
        <v>31585</v>
      </c>
      <c r="L8886" t="s">
        <v>5471</v>
      </c>
      <c r="M8886" t="s">
        <v>5471</v>
      </c>
    </row>
    <row r="8887" spans="1:13" x14ac:dyDescent="0.3">
      <c r="A8887" t="s">
        <v>3388</v>
      </c>
      <c r="B8887" t="s">
        <v>5296</v>
      </c>
      <c r="C8887" t="s">
        <v>5470</v>
      </c>
      <c r="D8887" t="s">
        <v>30466</v>
      </c>
      <c r="E8887" t="s">
        <v>5843</v>
      </c>
      <c r="F8887" t="s">
        <v>31586</v>
      </c>
      <c r="G8887" t="s">
        <v>31134</v>
      </c>
      <c r="H8887" t="s">
        <v>5474</v>
      </c>
      <c r="I8887" t="s">
        <v>31587</v>
      </c>
      <c r="J8887" t="s">
        <v>5484</v>
      </c>
      <c r="K8887" t="s">
        <v>31588</v>
      </c>
      <c r="L8887" t="s">
        <v>5471</v>
      </c>
      <c r="M8887" t="s">
        <v>5471</v>
      </c>
    </row>
    <row r="8888" spans="1:13" x14ac:dyDescent="0.3">
      <c r="A8888" t="s">
        <v>3388</v>
      </c>
      <c r="B8888" t="s">
        <v>5616</v>
      </c>
      <c r="C8888" t="s">
        <v>5470</v>
      </c>
      <c r="D8888" t="s">
        <v>4119</v>
      </c>
      <c r="E8888" t="s">
        <v>5532</v>
      </c>
      <c r="F8888" t="s">
        <v>31589</v>
      </c>
      <c r="G8888" t="s">
        <v>31590</v>
      </c>
      <c r="H8888" t="s">
        <v>5474</v>
      </c>
      <c r="I8888" t="s">
        <v>31591</v>
      </c>
      <c r="J8888" t="s">
        <v>5484</v>
      </c>
      <c r="K8888" t="s">
        <v>31592</v>
      </c>
      <c r="L8888" t="s">
        <v>5471</v>
      </c>
      <c r="M8888" t="s">
        <v>5471</v>
      </c>
    </row>
    <row r="8889" spans="1:13" x14ac:dyDescent="0.3">
      <c r="A8889" t="s">
        <v>3388</v>
      </c>
      <c r="B8889" t="s">
        <v>6632</v>
      </c>
      <c r="C8889" t="s">
        <v>5470</v>
      </c>
      <c r="D8889" t="s">
        <v>4119</v>
      </c>
      <c r="E8889" t="s">
        <v>5617</v>
      </c>
      <c r="F8889" t="s">
        <v>31593</v>
      </c>
      <c r="G8889" t="s">
        <v>22942</v>
      </c>
      <c r="H8889" t="s">
        <v>5474</v>
      </c>
      <c r="I8889" t="s">
        <v>31594</v>
      </c>
      <c r="J8889" t="s">
        <v>5484</v>
      </c>
      <c r="K8889" t="s">
        <v>31595</v>
      </c>
      <c r="L8889" t="s">
        <v>5471</v>
      </c>
      <c r="M8889" t="s">
        <v>5471</v>
      </c>
    </row>
    <row r="8890" spans="1:13" x14ac:dyDescent="0.3">
      <c r="A8890" t="s">
        <v>3388</v>
      </c>
      <c r="B8890" t="s">
        <v>6478</v>
      </c>
      <c r="C8890" t="s">
        <v>5470</v>
      </c>
      <c r="D8890" t="s">
        <v>30466</v>
      </c>
      <c r="E8890" t="s">
        <v>5843</v>
      </c>
      <c r="F8890" t="s">
        <v>31596</v>
      </c>
      <c r="G8890" t="s">
        <v>18338</v>
      </c>
      <c r="H8890" t="s">
        <v>5474</v>
      </c>
      <c r="I8890" t="s">
        <v>31597</v>
      </c>
      <c r="J8890" t="s">
        <v>5484</v>
      </c>
      <c r="K8890" t="s">
        <v>31598</v>
      </c>
      <c r="L8890" t="s">
        <v>5471</v>
      </c>
      <c r="M8890" t="s">
        <v>5471</v>
      </c>
    </row>
    <row r="8891" spans="1:13" x14ac:dyDescent="0.3">
      <c r="A8891" t="s">
        <v>3388</v>
      </c>
      <c r="B8891" t="s">
        <v>6632</v>
      </c>
      <c r="C8891" t="s">
        <v>5470</v>
      </c>
      <c r="D8891" t="s">
        <v>4119</v>
      </c>
      <c r="E8891" t="s">
        <v>5532</v>
      </c>
      <c r="F8891" t="s">
        <v>31599</v>
      </c>
      <c r="G8891" t="s">
        <v>21938</v>
      </c>
      <c r="H8891" t="s">
        <v>5474</v>
      </c>
      <c r="I8891" t="s">
        <v>31600</v>
      </c>
      <c r="J8891" t="s">
        <v>5484</v>
      </c>
      <c r="K8891" t="s">
        <v>31601</v>
      </c>
      <c r="L8891" t="s">
        <v>5471</v>
      </c>
      <c r="M8891" t="s">
        <v>5471</v>
      </c>
    </row>
    <row r="8892" spans="1:13" x14ac:dyDescent="0.3">
      <c r="A8892" t="s">
        <v>3388</v>
      </c>
      <c r="B8892" t="s">
        <v>6478</v>
      </c>
      <c r="C8892" t="s">
        <v>5470</v>
      </c>
      <c r="D8892" t="s">
        <v>30466</v>
      </c>
      <c r="E8892" t="s">
        <v>5843</v>
      </c>
      <c r="F8892" t="s">
        <v>31602</v>
      </c>
      <c r="G8892" t="s">
        <v>21094</v>
      </c>
      <c r="H8892" t="s">
        <v>5474</v>
      </c>
      <c r="I8892" t="s">
        <v>31603</v>
      </c>
      <c r="J8892" t="s">
        <v>5484</v>
      </c>
      <c r="K8892" t="s">
        <v>31604</v>
      </c>
      <c r="L8892" t="s">
        <v>5471</v>
      </c>
      <c r="M8892" t="s">
        <v>5471</v>
      </c>
    </row>
    <row r="8893" spans="1:13" x14ac:dyDescent="0.3">
      <c r="A8893" t="s">
        <v>3388</v>
      </c>
      <c r="B8893" t="s">
        <v>17321</v>
      </c>
      <c r="C8893" t="s">
        <v>5470</v>
      </c>
      <c r="D8893" t="s">
        <v>4119</v>
      </c>
      <c r="E8893" t="s">
        <v>5617</v>
      </c>
      <c r="F8893" t="s">
        <v>31605</v>
      </c>
      <c r="G8893" t="s">
        <v>31606</v>
      </c>
      <c r="H8893" t="s">
        <v>5474</v>
      </c>
      <c r="I8893" t="s">
        <v>31607</v>
      </c>
      <c r="J8893" t="s">
        <v>5484</v>
      </c>
      <c r="K8893" t="s">
        <v>31608</v>
      </c>
      <c r="L8893" t="s">
        <v>5471</v>
      </c>
      <c r="M8893" t="s">
        <v>5471</v>
      </c>
    </row>
    <row r="8894" spans="1:13" x14ac:dyDescent="0.3">
      <c r="A8894" t="s">
        <v>3388</v>
      </c>
      <c r="B8894" t="s">
        <v>6478</v>
      </c>
      <c r="C8894" t="s">
        <v>5470</v>
      </c>
      <c r="D8894" t="s">
        <v>30466</v>
      </c>
      <c r="E8894" t="s">
        <v>5843</v>
      </c>
      <c r="F8894" t="s">
        <v>31609</v>
      </c>
      <c r="G8894" t="s">
        <v>21098</v>
      </c>
      <c r="H8894" t="s">
        <v>5474</v>
      </c>
      <c r="I8894" t="s">
        <v>31610</v>
      </c>
      <c r="J8894" t="s">
        <v>5484</v>
      </c>
      <c r="K8894" t="s">
        <v>31611</v>
      </c>
      <c r="L8894" t="s">
        <v>5471</v>
      </c>
      <c r="M8894" t="s">
        <v>5471</v>
      </c>
    </row>
    <row r="8895" spans="1:13" x14ac:dyDescent="0.3">
      <c r="A8895" t="s">
        <v>3388</v>
      </c>
      <c r="B8895" t="s">
        <v>5335</v>
      </c>
      <c r="C8895" t="s">
        <v>5470</v>
      </c>
      <c r="D8895" t="s">
        <v>4119</v>
      </c>
      <c r="E8895" t="s">
        <v>5532</v>
      </c>
      <c r="F8895" t="s">
        <v>31612</v>
      </c>
      <c r="G8895" t="s">
        <v>17323</v>
      </c>
      <c r="H8895" t="s">
        <v>5474</v>
      </c>
      <c r="I8895" t="s">
        <v>31613</v>
      </c>
      <c r="J8895" t="s">
        <v>5484</v>
      </c>
      <c r="K8895" t="s">
        <v>31614</v>
      </c>
      <c r="L8895" t="s">
        <v>5471</v>
      </c>
      <c r="M8895" t="s">
        <v>5471</v>
      </c>
    </row>
    <row r="8896" spans="1:13" x14ac:dyDescent="0.3">
      <c r="A8896" t="s">
        <v>3388</v>
      </c>
      <c r="B8896" t="s">
        <v>6128</v>
      </c>
      <c r="C8896" t="s">
        <v>5470</v>
      </c>
      <c r="D8896" t="s">
        <v>30466</v>
      </c>
      <c r="E8896" t="s">
        <v>5532</v>
      </c>
      <c r="F8896" t="s">
        <v>31615</v>
      </c>
      <c r="G8896" t="s">
        <v>18450</v>
      </c>
      <c r="H8896" t="s">
        <v>5474</v>
      </c>
      <c r="I8896" t="s">
        <v>31616</v>
      </c>
      <c r="J8896" t="s">
        <v>5484</v>
      </c>
      <c r="K8896" t="s">
        <v>31617</v>
      </c>
      <c r="L8896" t="s">
        <v>5471</v>
      </c>
      <c r="M8896" t="s">
        <v>5471</v>
      </c>
    </row>
    <row r="8897" spans="1:13" x14ac:dyDescent="0.3">
      <c r="A8897" t="s">
        <v>3388</v>
      </c>
      <c r="B8897" t="s">
        <v>5335</v>
      </c>
      <c r="C8897" t="s">
        <v>5470</v>
      </c>
      <c r="D8897" t="s">
        <v>4119</v>
      </c>
      <c r="E8897" t="s">
        <v>5532</v>
      </c>
      <c r="F8897" t="s">
        <v>31618</v>
      </c>
      <c r="G8897" t="s">
        <v>31619</v>
      </c>
      <c r="H8897" t="s">
        <v>5474</v>
      </c>
      <c r="I8897" t="s">
        <v>31620</v>
      </c>
      <c r="J8897" t="s">
        <v>5484</v>
      </c>
      <c r="K8897" t="s">
        <v>31621</v>
      </c>
      <c r="L8897" t="s">
        <v>5471</v>
      </c>
      <c r="M8897" t="s">
        <v>5471</v>
      </c>
    </row>
    <row r="8898" spans="1:13" x14ac:dyDescent="0.3">
      <c r="A8898" t="s">
        <v>3388</v>
      </c>
      <c r="B8898" t="s">
        <v>6128</v>
      </c>
      <c r="C8898" t="s">
        <v>5470</v>
      </c>
      <c r="D8898" t="s">
        <v>30466</v>
      </c>
      <c r="E8898" t="s">
        <v>5532</v>
      </c>
      <c r="F8898" t="s">
        <v>31622</v>
      </c>
      <c r="G8898" t="s">
        <v>18495</v>
      </c>
      <c r="H8898" t="s">
        <v>5474</v>
      </c>
      <c r="I8898" t="s">
        <v>31623</v>
      </c>
      <c r="J8898" t="s">
        <v>5484</v>
      </c>
      <c r="K8898" t="s">
        <v>31624</v>
      </c>
      <c r="L8898" t="s">
        <v>5471</v>
      </c>
      <c r="M8898" t="s">
        <v>5471</v>
      </c>
    </row>
    <row r="8899" spans="1:13" x14ac:dyDescent="0.3">
      <c r="A8899" t="s">
        <v>3388</v>
      </c>
      <c r="B8899" t="s">
        <v>5335</v>
      </c>
      <c r="C8899" t="s">
        <v>5470</v>
      </c>
      <c r="D8899" t="s">
        <v>4119</v>
      </c>
      <c r="E8899" t="s">
        <v>5532</v>
      </c>
      <c r="F8899" t="s">
        <v>31625</v>
      </c>
      <c r="G8899" t="s">
        <v>31626</v>
      </c>
      <c r="H8899" t="s">
        <v>5474</v>
      </c>
      <c r="I8899" t="s">
        <v>31627</v>
      </c>
      <c r="J8899" t="s">
        <v>5484</v>
      </c>
      <c r="K8899" t="s">
        <v>31628</v>
      </c>
      <c r="L8899" t="s">
        <v>5471</v>
      </c>
      <c r="M8899" t="s">
        <v>5471</v>
      </c>
    </row>
    <row r="8900" spans="1:13" x14ac:dyDescent="0.3">
      <c r="A8900" t="s">
        <v>3388</v>
      </c>
      <c r="B8900" t="s">
        <v>6128</v>
      </c>
      <c r="C8900" t="s">
        <v>5470</v>
      </c>
      <c r="D8900" t="s">
        <v>30466</v>
      </c>
      <c r="E8900" t="s">
        <v>5532</v>
      </c>
      <c r="F8900" t="s">
        <v>31629</v>
      </c>
      <c r="G8900" t="s">
        <v>18937</v>
      </c>
      <c r="H8900" t="s">
        <v>5474</v>
      </c>
      <c r="I8900" t="s">
        <v>31630</v>
      </c>
      <c r="J8900" t="s">
        <v>5484</v>
      </c>
      <c r="K8900" t="s">
        <v>31631</v>
      </c>
      <c r="L8900" t="s">
        <v>5471</v>
      </c>
      <c r="M8900" t="s">
        <v>5471</v>
      </c>
    </row>
    <row r="8901" spans="1:13" x14ac:dyDescent="0.3">
      <c r="A8901" t="s">
        <v>3388</v>
      </c>
      <c r="B8901" t="s">
        <v>5296</v>
      </c>
      <c r="C8901" t="s">
        <v>5470</v>
      </c>
      <c r="D8901" t="s">
        <v>4119</v>
      </c>
      <c r="E8901" t="s">
        <v>5480</v>
      </c>
      <c r="F8901" t="s">
        <v>31632</v>
      </c>
      <c r="G8901" t="s">
        <v>31633</v>
      </c>
      <c r="H8901" t="s">
        <v>5474</v>
      </c>
      <c r="I8901" t="s">
        <v>31634</v>
      </c>
      <c r="J8901" t="s">
        <v>5484</v>
      </c>
      <c r="K8901" t="s">
        <v>31635</v>
      </c>
      <c r="L8901" t="s">
        <v>5471</v>
      </c>
      <c r="M8901" t="s">
        <v>5471</v>
      </c>
    </row>
    <row r="8902" spans="1:13" x14ac:dyDescent="0.3">
      <c r="A8902" t="s">
        <v>3388</v>
      </c>
      <c r="B8902" t="s">
        <v>6128</v>
      </c>
      <c r="C8902" t="s">
        <v>5470</v>
      </c>
      <c r="D8902" t="s">
        <v>30466</v>
      </c>
      <c r="E8902" t="s">
        <v>5532</v>
      </c>
      <c r="F8902" t="s">
        <v>31636</v>
      </c>
      <c r="G8902" t="s">
        <v>31637</v>
      </c>
      <c r="H8902" t="s">
        <v>5474</v>
      </c>
      <c r="I8902" t="s">
        <v>31638</v>
      </c>
      <c r="J8902" t="s">
        <v>5484</v>
      </c>
      <c r="K8902" t="s">
        <v>31639</v>
      </c>
      <c r="L8902" t="s">
        <v>5471</v>
      </c>
      <c r="M8902" t="s">
        <v>5471</v>
      </c>
    </row>
    <row r="8903" spans="1:13" x14ac:dyDescent="0.3">
      <c r="A8903" t="s">
        <v>3388</v>
      </c>
      <c r="B8903" t="s">
        <v>5296</v>
      </c>
      <c r="C8903" t="s">
        <v>5470</v>
      </c>
      <c r="D8903" t="s">
        <v>4119</v>
      </c>
      <c r="E8903" t="s">
        <v>5617</v>
      </c>
      <c r="F8903" t="s">
        <v>31640</v>
      </c>
      <c r="G8903" t="s">
        <v>31641</v>
      </c>
      <c r="H8903" t="s">
        <v>5474</v>
      </c>
      <c r="I8903" t="s">
        <v>31642</v>
      </c>
      <c r="J8903" t="s">
        <v>5484</v>
      </c>
      <c r="K8903" t="s">
        <v>31643</v>
      </c>
      <c r="L8903" t="s">
        <v>5471</v>
      </c>
      <c r="M8903" t="s">
        <v>5471</v>
      </c>
    </row>
    <row r="8904" spans="1:13" x14ac:dyDescent="0.3">
      <c r="A8904" t="s">
        <v>3388</v>
      </c>
      <c r="B8904" t="s">
        <v>6128</v>
      </c>
      <c r="C8904" t="s">
        <v>5470</v>
      </c>
      <c r="D8904" t="s">
        <v>30466</v>
      </c>
      <c r="E8904" t="s">
        <v>5532</v>
      </c>
      <c r="F8904" t="s">
        <v>31644</v>
      </c>
      <c r="G8904" t="s">
        <v>23742</v>
      </c>
      <c r="H8904" t="s">
        <v>5474</v>
      </c>
      <c r="I8904" t="s">
        <v>31645</v>
      </c>
      <c r="J8904" t="s">
        <v>5484</v>
      </c>
      <c r="K8904" t="s">
        <v>31646</v>
      </c>
      <c r="L8904" t="s">
        <v>5471</v>
      </c>
      <c r="M8904" t="s">
        <v>5471</v>
      </c>
    </row>
    <row r="8905" spans="1:13" x14ac:dyDescent="0.3">
      <c r="A8905" t="s">
        <v>3388</v>
      </c>
      <c r="B8905" t="s">
        <v>5296</v>
      </c>
      <c r="C8905" t="s">
        <v>5470</v>
      </c>
      <c r="D8905" t="s">
        <v>4119</v>
      </c>
      <c r="E8905" t="s">
        <v>5617</v>
      </c>
      <c r="F8905" t="s">
        <v>31647</v>
      </c>
      <c r="G8905" t="s">
        <v>23443</v>
      </c>
      <c r="H8905" t="s">
        <v>5474</v>
      </c>
      <c r="I8905" t="s">
        <v>31648</v>
      </c>
      <c r="J8905" t="s">
        <v>5484</v>
      </c>
      <c r="K8905" t="s">
        <v>31649</v>
      </c>
      <c r="L8905" t="s">
        <v>5471</v>
      </c>
      <c r="M8905" t="s">
        <v>5471</v>
      </c>
    </row>
    <row r="8906" spans="1:13" x14ac:dyDescent="0.3">
      <c r="A8906" t="s">
        <v>3388</v>
      </c>
      <c r="B8906" t="s">
        <v>6128</v>
      </c>
      <c r="C8906" t="s">
        <v>5470</v>
      </c>
      <c r="D8906" t="s">
        <v>30466</v>
      </c>
      <c r="E8906" t="s">
        <v>5532</v>
      </c>
      <c r="F8906" t="s">
        <v>31650</v>
      </c>
      <c r="G8906" t="s">
        <v>31651</v>
      </c>
      <c r="H8906" t="s">
        <v>5474</v>
      </c>
      <c r="I8906" t="s">
        <v>31652</v>
      </c>
      <c r="J8906" t="s">
        <v>5484</v>
      </c>
      <c r="K8906" t="s">
        <v>31653</v>
      </c>
      <c r="L8906" t="s">
        <v>5471</v>
      </c>
      <c r="M8906" t="s">
        <v>5471</v>
      </c>
    </row>
    <row r="8907" spans="1:13" x14ac:dyDescent="0.3">
      <c r="A8907" t="s">
        <v>3388</v>
      </c>
      <c r="B8907" t="s">
        <v>5296</v>
      </c>
      <c r="C8907" t="s">
        <v>5470</v>
      </c>
      <c r="D8907" t="s">
        <v>4119</v>
      </c>
      <c r="E8907" t="s">
        <v>5617</v>
      </c>
      <c r="F8907" t="s">
        <v>31654</v>
      </c>
      <c r="G8907" t="s">
        <v>31655</v>
      </c>
      <c r="H8907" t="s">
        <v>5474</v>
      </c>
      <c r="I8907" t="s">
        <v>31656</v>
      </c>
      <c r="J8907" t="s">
        <v>5484</v>
      </c>
      <c r="K8907" t="s">
        <v>31657</v>
      </c>
      <c r="L8907" t="s">
        <v>5471</v>
      </c>
      <c r="M8907" t="s">
        <v>5471</v>
      </c>
    </row>
    <row r="8908" spans="1:13" x14ac:dyDescent="0.3">
      <c r="A8908" t="s">
        <v>3388</v>
      </c>
      <c r="B8908" t="s">
        <v>5341</v>
      </c>
      <c r="C8908" t="s">
        <v>5470</v>
      </c>
      <c r="D8908" t="s">
        <v>30466</v>
      </c>
      <c r="E8908" t="s">
        <v>5532</v>
      </c>
      <c r="F8908" t="s">
        <v>31658</v>
      </c>
      <c r="G8908" t="s">
        <v>18450</v>
      </c>
      <c r="H8908" t="s">
        <v>5474</v>
      </c>
      <c r="I8908" t="s">
        <v>31659</v>
      </c>
      <c r="J8908" t="s">
        <v>5484</v>
      </c>
      <c r="K8908" t="s">
        <v>31660</v>
      </c>
      <c r="L8908" t="s">
        <v>5471</v>
      </c>
      <c r="M8908" t="s">
        <v>5471</v>
      </c>
    </row>
    <row r="8909" spans="1:13" x14ac:dyDescent="0.3">
      <c r="A8909" t="s">
        <v>3388</v>
      </c>
      <c r="B8909" t="s">
        <v>5296</v>
      </c>
      <c r="C8909" t="s">
        <v>5470</v>
      </c>
      <c r="D8909" t="s">
        <v>4119</v>
      </c>
      <c r="E8909" t="s">
        <v>5617</v>
      </c>
      <c r="F8909" t="s">
        <v>31661</v>
      </c>
      <c r="G8909" t="s">
        <v>31662</v>
      </c>
      <c r="H8909" t="s">
        <v>5474</v>
      </c>
      <c r="I8909" t="s">
        <v>31663</v>
      </c>
      <c r="J8909" t="s">
        <v>5484</v>
      </c>
      <c r="K8909" t="s">
        <v>31664</v>
      </c>
      <c r="L8909" t="s">
        <v>5471</v>
      </c>
      <c r="M8909" t="s">
        <v>5471</v>
      </c>
    </row>
    <row r="8910" spans="1:13" x14ac:dyDescent="0.3">
      <c r="A8910" t="s">
        <v>3388</v>
      </c>
      <c r="B8910" t="s">
        <v>5341</v>
      </c>
      <c r="C8910" t="s">
        <v>5470</v>
      </c>
      <c r="D8910" t="s">
        <v>30466</v>
      </c>
      <c r="E8910" t="s">
        <v>5532</v>
      </c>
      <c r="F8910" t="s">
        <v>31665</v>
      </c>
      <c r="G8910" t="s">
        <v>18495</v>
      </c>
      <c r="H8910" t="s">
        <v>5474</v>
      </c>
      <c r="I8910" t="s">
        <v>31666</v>
      </c>
      <c r="J8910" t="s">
        <v>5484</v>
      </c>
      <c r="K8910" t="s">
        <v>31667</v>
      </c>
      <c r="L8910" t="s">
        <v>5471</v>
      </c>
      <c r="M8910" t="s">
        <v>5471</v>
      </c>
    </row>
    <row r="8911" spans="1:13" x14ac:dyDescent="0.3">
      <c r="A8911" t="s">
        <v>3388</v>
      </c>
      <c r="B8911" t="s">
        <v>5296</v>
      </c>
      <c r="C8911" t="s">
        <v>5470</v>
      </c>
      <c r="D8911" t="s">
        <v>4119</v>
      </c>
      <c r="E8911" t="s">
        <v>5617</v>
      </c>
      <c r="F8911" t="s">
        <v>31668</v>
      </c>
      <c r="G8911" t="s">
        <v>17782</v>
      </c>
      <c r="H8911" t="s">
        <v>5474</v>
      </c>
      <c r="I8911" t="s">
        <v>31669</v>
      </c>
      <c r="J8911" t="s">
        <v>5484</v>
      </c>
      <c r="K8911" t="s">
        <v>31670</v>
      </c>
      <c r="L8911" t="s">
        <v>5471</v>
      </c>
      <c r="M8911" t="s">
        <v>5471</v>
      </c>
    </row>
    <row r="8912" spans="1:13" x14ac:dyDescent="0.3">
      <c r="A8912" t="s">
        <v>3388</v>
      </c>
      <c r="B8912" t="s">
        <v>31671</v>
      </c>
      <c r="C8912" t="s">
        <v>5470</v>
      </c>
      <c r="D8912" t="s">
        <v>30466</v>
      </c>
      <c r="E8912" t="s">
        <v>5532</v>
      </c>
      <c r="F8912" t="s">
        <v>31672</v>
      </c>
      <c r="G8912" t="s">
        <v>18937</v>
      </c>
      <c r="H8912" t="s">
        <v>5474</v>
      </c>
      <c r="I8912" t="s">
        <v>31673</v>
      </c>
      <c r="J8912" t="s">
        <v>5484</v>
      </c>
      <c r="K8912" t="s">
        <v>31674</v>
      </c>
      <c r="L8912" t="s">
        <v>5471</v>
      </c>
      <c r="M8912" t="s">
        <v>5471</v>
      </c>
    </row>
    <row r="8913" spans="1:13" x14ac:dyDescent="0.3">
      <c r="A8913" t="s">
        <v>3388</v>
      </c>
      <c r="B8913" t="s">
        <v>5296</v>
      </c>
      <c r="C8913" t="s">
        <v>5470</v>
      </c>
      <c r="D8913" t="s">
        <v>4119</v>
      </c>
      <c r="E8913" t="s">
        <v>5843</v>
      </c>
      <c r="F8913" t="s">
        <v>31675</v>
      </c>
      <c r="G8913" t="s">
        <v>31134</v>
      </c>
      <c r="H8913" t="s">
        <v>5474</v>
      </c>
      <c r="I8913" t="s">
        <v>31676</v>
      </c>
      <c r="J8913" t="s">
        <v>5484</v>
      </c>
      <c r="K8913" t="s">
        <v>31677</v>
      </c>
      <c r="L8913" t="s">
        <v>5471</v>
      </c>
      <c r="M8913" t="s">
        <v>5471</v>
      </c>
    </row>
    <row r="8914" spans="1:13" x14ac:dyDescent="0.3">
      <c r="A8914" t="s">
        <v>3388</v>
      </c>
      <c r="B8914" t="s">
        <v>15946</v>
      </c>
      <c r="C8914" t="s">
        <v>5470</v>
      </c>
      <c r="D8914" t="s">
        <v>30466</v>
      </c>
      <c r="E8914" t="s">
        <v>5532</v>
      </c>
      <c r="F8914" t="s">
        <v>31678</v>
      </c>
      <c r="G8914" t="s">
        <v>18552</v>
      </c>
      <c r="H8914" t="s">
        <v>5474</v>
      </c>
      <c r="I8914" t="s">
        <v>31679</v>
      </c>
      <c r="J8914" t="s">
        <v>5484</v>
      </c>
      <c r="K8914" t="s">
        <v>31680</v>
      </c>
      <c r="L8914" t="s">
        <v>5471</v>
      </c>
      <c r="M8914" t="s">
        <v>5471</v>
      </c>
    </row>
    <row r="8915" spans="1:13" x14ac:dyDescent="0.3">
      <c r="A8915" t="s">
        <v>3388</v>
      </c>
      <c r="B8915" t="s">
        <v>5296</v>
      </c>
      <c r="C8915" t="s">
        <v>5470</v>
      </c>
      <c r="D8915" t="s">
        <v>4119</v>
      </c>
      <c r="E8915" t="s">
        <v>5532</v>
      </c>
      <c r="F8915" t="s">
        <v>31681</v>
      </c>
      <c r="G8915" t="s">
        <v>17789</v>
      </c>
      <c r="H8915" t="s">
        <v>5474</v>
      </c>
      <c r="I8915" t="s">
        <v>31682</v>
      </c>
      <c r="J8915" t="s">
        <v>5484</v>
      </c>
      <c r="K8915" t="s">
        <v>31683</v>
      </c>
      <c r="L8915" t="s">
        <v>5471</v>
      </c>
      <c r="M8915" t="s">
        <v>5471</v>
      </c>
    </row>
    <row r="8916" spans="1:13" x14ac:dyDescent="0.3">
      <c r="A8916" t="s">
        <v>3388</v>
      </c>
      <c r="B8916" t="s">
        <v>22076</v>
      </c>
      <c r="C8916" t="s">
        <v>5470</v>
      </c>
      <c r="D8916" t="s">
        <v>30466</v>
      </c>
      <c r="E8916" t="s">
        <v>5532</v>
      </c>
      <c r="F8916" t="s">
        <v>31684</v>
      </c>
      <c r="G8916" t="s">
        <v>23742</v>
      </c>
      <c r="H8916" t="s">
        <v>5474</v>
      </c>
      <c r="I8916" t="s">
        <v>31685</v>
      </c>
      <c r="J8916" t="s">
        <v>5484</v>
      </c>
      <c r="K8916" t="s">
        <v>31686</v>
      </c>
      <c r="L8916" t="s">
        <v>5471</v>
      </c>
      <c r="M8916" t="s">
        <v>5471</v>
      </c>
    </row>
    <row r="8917" spans="1:13" x14ac:dyDescent="0.3">
      <c r="A8917" t="s">
        <v>3388</v>
      </c>
      <c r="B8917" t="s">
        <v>5296</v>
      </c>
      <c r="C8917" t="s">
        <v>5470</v>
      </c>
      <c r="D8917" t="s">
        <v>4119</v>
      </c>
      <c r="E8917" t="s">
        <v>5532</v>
      </c>
      <c r="F8917" t="s">
        <v>31687</v>
      </c>
      <c r="G8917" t="s">
        <v>31688</v>
      </c>
      <c r="H8917" t="s">
        <v>5474</v>
      </c>
      <c r="I8917" t="s">
        <v>31689</v>
      </c>
      <c r="J8917" t="s">
        <v>5484</v>
      </c>
      <c r="K8917" t="s">
        <v>31690</v>
      </c>
      <c r="L8917" t="s">
        <v>5471</v>
      </c>
      <c r="M8917" t="s">
        <v>5471</v>
      </c>
    </row>
    <row r="8918" spans="1:13" x14ac:dyDescent="0.3">
      <c r="A8918" t="s">
        <v>3388</v>
      </c>
      <c r="B8918" t="s">
        <v>22076</v>
      </c>
      <c r="C8918" t="s">
        <v>5470</v>
      </c>
      <c r="D8918" t="s">
        <v>30466</v>
      </c>
      <c r="E8918" t="s">
        <v>5532</v>
      </c>
      <c r="F8918" t="s">
        <v>31691</v>
      </c>
      <c r="G8918" t="s">
        <v>31651</v>
      </c>
      <c r="H8918" t="s">
        <v>5474</v>
      </c>
      <c r="I8918" t="s">
        <v>31692</v>
      </c>
      <c r="J8918" t="s">
        <v>5484</v>
      </c>
      <c r="K8918" t="s">
        <v>31693</v>
      </c>
      <c r="L8918" t="s">
        <v>5471</v>
      </c>
      <c r="M8918" t="s">
        <v>5471</v>
      </c>
    </row>
    <row r="8919" spans="1:13" x14ac:dyDescent="0.3">
      <c r="A8919" t="s">
        <v>3388</v>
      </c>
      <c r="B8919" t="s">
        <v>5296</v>
      </c>
      <c r="C8919" t="s">
        <v>5470</v>
      </c>
      <c r="D8919" t="s">
        <v>4119</v>
      </c>
      <c r="E8919" t="s">
        <v>5532</v>
      </c>
      <c r="F8919" t="s">
        <v>31694</v>
      </c>
      <c r="G8919" t="s">
        <v>18091</v>
      </c>
      <c r="H8919" t="s">
        <v>5474</v>
      </c>
      <c r="I8919" t="s">
        <v>31695</v>
      </c>
      <c r="J8919" t="s">
        <v>5484</v>
      </c>
      <c r="K8919" t="s">
        <v>31696</v>
      </c>
      <c r="L8919" t="s">
        <v>5471</v>
      </c>
      <c r="M8919" t="s">
        <v>5471</v>
      </c>
    </row>
    <row r="8920" spans="1:13" x14ac:dyDescent="0.3">
      <c r="A8920" t="s">
        <v>3388</v>
      </c>
      <c r="B8920" t="s">
        <v>6540</v>
      </c>
      <c r="C8920" t="s">
        <v>5470</v>
      </c>
      <c r="D8920" t="s">
        <v>30466</v>
      </c>
      <c r="E8920" t="s">
        <v>5532</v>
      </c>
      <c r="F8920" t="s">
        <v>31697</v>
      </c>
      <c r="G8920" t="s">
        <v>24348</v>
      </c>
      <c r="H8920" t="s">
        <v>5474</v>
      </c>
      <c r="I8920" t="s">
        <v>31698</v>
      </c>
      <c r="J8920" t="s">
        <v>5484</v>
      </c>
      <c r="K8920" t="s">
        <v>31699</v>
      </c>
      <c r="L8920" t="s">
        <v>5471</v>
      </c>
      <c r="M8920" t="s">
        <v>5471</v>
      </c>
    </row>
    <row r="8921" spans="1:13" x14ac:dyDescent="0.3">
      <c r="A8921" t="s">
        <v>3388</v>
      </c>
      <c r="B8921" t="s">
        <v>6128</v>
      </c>
      <c r="C8921" t="s">
        <v>5470</v>
      </c>
      <c r="D8921" t="s">
        <v>4119</v>
      </c>
      <c r="E8921" t="s">
        <v>5532</v>
      </c>
      <c r="F8921" t="s">
        <v>31700</v>
      </c>
      <c r="G8921" t="s">
        <v>23646</v>
      </c>
      <c r="H8921" t="s">
        <v>5474</v>
      </c>
      <c r="I8921" t="s">
        <v>31701</v>
      </c>
      <c r="J8921" t="s">
        <v>5484</v>
      </c>
      <c r="K8921" t="s">
        <v>31702</v>
      </c>
      <c r="L8921" t="s">
        <v>5471</v>
      </c>
      <c r="M8921" t="s">
        <v>5471</v>
      </c>
    </row>
    <row r="8922" spans="1:13" x14ac:dyDescent="0.3">
      <c r="A8922" t="s">
        <v>3388</v>
      </c>
      <c r="B8922" t="s">
        <v>15596</v>
      </c>
      <c r="C8922" t="s">
        <v>5470</v>
      </c>
      <c r="D8922" t="s">
        <v>30466</v>
      </c>
      <c r="E8922" t="s">
        <v>5756</v>
      </c>
      <c r="F8922" t="s">
        <v>31703</v>
      </c>
      <c r="G8922" t="s">
        <v>30704</v>
      </c>
      <c r="H8922" t="s">
        <v>5474</v>
      </c>
      <c r="I8922" t="s">
        <v>31704</v>
      </c>
      <c r="J8922" t="s">
        <v>5484</v>
      </c>
      <c r="K8922" t="s">
        <v>31705</v>
      </c>
      <c r="L8922" t="s">
        <v>5471</v>
      </c>
      <c r="M8922" t="s">
        <v>5471</v>
      </c>
    </row>
    <row r="8923" spans="1:13" x14ac:dyDescent="0.3">
      <c r="A8923" t="s">
        <v>3388</v>
      </c>
      <c r="B8923" t="s">
        <v>6128</v>
      </c>
      <c r="C8923" t="s">
        <v>5470</v>
      </c>
      <c r="D8923" t="s">
        <v>4119</v>
      </c>
      <c r="E8923" t="s">
        <v>5532</v>
      </c>
      <c r="F8923" t="s">
        <v>31706</v>
      </c>
      <c r="G8923" t="s">
        <v>22047</v>
      </c>
      <c r="H8923" t="s">
        <v>5474</v>
      </c>
      <c r="I8923" t="s">
        <v>31707</v>
      </c>
      <c r="J8923" t="s">
        <v>5484</v>
      </c>
      <c r="K8923" t="s">
        <v>31708</v>
      </c>
      <c r="L8923" t="s">
        <v>5471</v>
      </c>
      <c r="M8923" t="s">
        <v>5471</v>
      </c>
    </row>
    <row r="8924" spans="1:13" x14ac:dyDescent="0.3">
      <c r="A8924" t="s">
        <v>3388</v>
      </c>
      <c r="B8924" t="s">
        <v>15596</v>
      </c>
      <c r="C8924" t="s">
        <v>5470</v>
      </c>
      <c r="D8924" t="s">
        <v>30466</v>
      </c>
      <c r="E8924" t="s">
        <v>5756</v>
      </c>
      <c r="F8924" t="s">
        <v>31709</v>
      </c>
      <c r="G8924" t="s">
        <v>8298</v>
      </c>
      <c r="H8924" t="s">
        <v>5474</v>
      </c>
      <c r="I8924" t="s">
        <v>31710</v>
      </c>
      <c r="J8924" t="s">
        <v>5484</v>
      </c>
      <c r="K8924" t="s">
        <v>31711</v>
      </c>
      <c r="L8924" t="s">
        <v>5471</v>
      </c>
      <c r="M8924" t="s">
        <v>5471</v>
      </c>
    </row>
    <row r="8925" spans="1:13" x14ac:dyDescent="0.3">
      <c r="A8925" t="s">
        <v>3388</v>
      </c>
      <c r="B8925" t="s">
        <v>6128</v>
      </c>
      <c r="C8925" t="s">
        <v>5470</v>
      </c>
      <c r="D8925" t="s">
        <v>4119</v>
      </c>
      <c r="E8925" t="s">
        <v>5532</v>
      </c>
      <c r="F8925" t="s">
        <v>31712</v>
      </c>
      <c r="G8925" t="s">
        <v>31713</v>
      </c>
      <c r="H8925" t="s">
        <v>5474</v>
      </c>
      <c r="I8925" t="s">
        <v>31714</v>
      </c>
      <c r="J8925" t="s">
        <v>5484</v>
      </c>
      <c r="K8925" t="s">
        <v>31715</v>
      </c>
      <c r="L8925" t="s">
        <v>5471</v>
      </c>
      <c r="M8925" t="s">
        <v>5471</v>
      </c>
    </row>
    <row r="8926" spans="1:13" x14ac:dyDescent="0.3">
      <c r="A8926" t="s">
        <v>3388</v>
      </c>
      <c r="B8926" t="s">
        <v>20040</v>
      </c>
      <c r="C8926" t="s">
        <v>5470</v>
      </c>
      <c r="D8926" t="s">
        <v>30466</v>
      </c>
      <c r="E8926" t="s">
        <v>5756</v>
      </c>
      <c r="F8926" t="s">
        <v>31716</v>
      </c>
      <c r="G8926" t="s">
        <v>31445</v>
      </c>
      <c r="H8926" t="s">
        <v>5474</v>
      </c>
      <c r="I8926" t="s">
        <v>31717</v>
      </c>
      <c r="J8926" t="s">
        <v>5484</v>
      </c>
      <c r="K8926" t="s">
        <v>31718</v>
      </c>
      <c r="L8926" t="s">
        <v>5471</v>
      </c>
      <c r="M8926" t="s">
        <v>5471</v>
      </c>
    </row>
    <row r="8927" spans="1:13" x14ac:dyDescent="0.3">
      <c r="A8927" t="s">
        <v>3388</v>
      </c>
      <c r="B8927" t="s">
        <v>11094</v>
      </c>
      <c r="C8927" t="s">
        <v>5470</v>
      </c>
      <c r="D8927" t="s">
        <v>30466</v>
      </c>
      <c r="E8927" t="s">
        <v>5756</v>
      </c>
      <c r="F8927" t="s">
        <v>31719</v>
      </c>
      <c r="G8927" t="s">
        <v>10493</v>
      </c>
      <c r="H8927" t="s">
        <v>5474</v>
      </c>
      <c r="I8927" t="s">
        <v>31720</v>
      </c>
      <c r="J8927" t="s">
        <v>5484</v>
      </c>
      <c r="K8927" t="s">
        <v>31721</v>
      </c>
      <c r="L8927" t="s">
        <v>5471</v>
      </c>
      <c r="M8927" t="s">
        <v>5471</v>
      </c>
    </row>
    <row r="8928" spans="1:13" x14ac:dyDescent="0.3">
      <c r="A8928" t="s">
        <v>3388</v>
      </c>
      <c r="B8928" t="s">
        <v>6128</v>
      </c>
      <c r="C8928" t="s">
        <v>5470</v>
      </c>
      <c r="D8928" t="s">
        <v>4119</v>
      </c>
      <c r="E8928" t="s">
        <v>5532</v>
      </c>
      <c r="F8928" t="s">
        <v>31722</v>
      </c>
      <c r="G8928" t="s">
        <v>31637</v>
      </c>
      <c r="H8928" t="s">
        <v>5474</v>
      </c>
      <c r="I8928" t="s">
        <v>31723</v>
      </c>
      <c r="J8928" t="s">
        <v>5484</v>
      </c>
      <c r="K8928" t="s">
        <v>31724</v>
      </c>
      <c r="L8928" t="s">
        <v>5471</v>
      </c>
      <c r="M8928" t="s">
        <v>5471</v>
      </c>
    </row>
    <row r="8929" spans="1:13" x14ac:dyDescent="0.3">
      <c r="A8929" t="s">
        <v>3388</v>
      </c>
      <c r="B8929" t="s">
        <v>11089</v>
      </c>
      <c r="C8929" t="s">
        <v>5470</v>
      </c>
      <c r="D8929" t="s">
        <v>30466</v>
      </c>
      <c r="E8929" t="s">
        <v>5756</v>
      </c>
      <c r="F8929" t="s">
        <v>31725</v>
      </c>
      <c r="G8929" t="s">
        <v>10488</v>
      </c>
      <c r="H8929" t="s">
        <v>5474</v>
      </c>
      <c r="I8929" t="s">
        <v>31726</v>
      </c>
      <c r="J8929" t="s">
        <v>5484</v>
      </c>
      <c r="K8929" t="s">
        <v>31727</v>
      </c>
      <c r="L8929" t="s">
        <v>5471</v>
      </c>
      <c r="M8929" t="s">
        <v>5471</v>
      </c>
    </row>
    <row r="8930" spans="1:13" x14ac:dyDescent="0.3">
      <c r="A8930" t="s">
        <v>3388</v>
      </c>
      <c r="B8930" t="s">
        <v>6128</v>
      </c>
      <c r="C8930" t="s">
        <v>5470</v>
      </c>
      <c r="D8930" t="s">
        <v>4119</v>
      </c>
      <c r="E8930" t="s">
        <v>5532</v>
      </c>
      <c r="F8930" t="s">
        <v>31728</v>
      </c>
      <c r="G8930" t="s">
        <v>18565</v>
      </c>
      <c r="H8930" t="s">
        <v>5474</v>
      </c>
      <c r="I8930" t="s">
        <v>31729</v>
      </c>
      <c r="J8930" t="s">
        <v>5484</v>
      </c>
      <c r="K8930" t="s">
        <v>31730</v>
      </c>
      <c r="L8930" t="s">
        <v>5471</v>
      </c>
      <c r="M8930" t="s">
        <v>5471</v>
      </c>
    </row>
    <row r="8931" spans="1:13" x14ac:dyDescent="0.3">
      <c r="A8931" t="s">
        <v>3388</v>
      </c>
      <c r="B8931" t="s">
        <v>8799</v>
      </c>
      <c r="C8931" t="s">
        <v>5470</v>
      </c>
      <c r="D8931" t="s">
        <v>30466</v>
      </c>
      <c r="E8931" t="s">
        <v>5532</v>
      </c>
      <c r="F8931" t="s">
        <v>31731</v>
      </c>
      <c r="G8931" t="s">
        <v>31732</v>
      </c>
      <c r="H8931" t="s">
        <v>5474</v>
      </c>
      <c r="I8931" t="s">
        <v>31733</v>
      </c>
      <c r="J8931" t="s">
        <v>5484</v>
      </c>
      <c r="K8931" t="s">
        <v>31734</v>
      </c>
      <c r="L8931" t="s">
        <v>5471</v>
      </c>
      <c r="M8931" t="s">
        <v>5471</v>
      </c>
    </row>
    <row r="8932" spans="1:13" x14ac:dyDescent="0.3">
      <c r="A8932" t="s">
        <v>3388</v>
      </c>
      <c r="B8932" t="s">
        <v>15946</v>
      </c>
      <c r="C8932" t="s">
        <v>5470</v>
      </c>
      <c r="D8932" t="s">
        <v>4119</v>
      </c>
      <c r="E8932" t="s">
        <v>5532</v>
      </c>
      <c r="F8932" t="s">
        <v>31735</v>
      </c>
      <c r="G8932" t="s">
        <v>18565</v>
      </c>
      <c r="H8932" t="s">
        <v>5474</v>
      </c>
      <c r="I8932" t="s">
        <v>31736</v>
      </c>
      <c r="J8932" t="s">
        <v>5484</v>
      </c>
      <c r="K8932" t="s">
        <v>31737</v>
      </c>
      <c r="L8932" t="s">
        <v>5471</v>
      </c>
      <c r="M8932" t="s">
        <v>5471</v>
      </c>
    </row>
    <row r="8933" spans="1:13" x14ac:dyDescent="0.3">
      <c r="A8933" t="s">
        <v>3388</v>
      </c>
      <c r="B8933" t="s">
        <v>6540</v>
      </c>
      <c r="C8933" t="s">
        <v>5470</v>
      </c>
      <c r="D8933" t="s">
        <v>4119</v>
      </c>
      <c r="E8933" t="s">
        <v>5617</v>
      </c>
      <c r="F8933" t="s">
        <v>31738</v>
      </c>
      <c r="G8933" t="s">
        <v>24480</v>
      </c>
      <c r="H8933" t="s">
        <v>5474</v>
      </c>
      <c r="I8933" t="s">
        <v>31739</v>
      </c>
      <c r="J8933" t="s">
        <v>5484</v>
      </c>
      <c r="K8933" t="s">
        <v>31740</v>
      </c>
      <c r="L8933" t="s">
        <v>5471</v>
      </c>
      <c r="M8933" t="s">
        <v>5471</v>
      </c>
    </row>
    <row r="8934" spans="1:13" x14ac:dyDescent="0.3">
      <c r="A8934" t="s">
        <v>3388</v>
      </c>
      <c r="B8934" t="s">
        <v>8656</v>
      </c>
      <c r="C8934" t="s">
        <v>5470</v>
      </c>
      <c r="D8934" t="s">
        <v>30466</v>
      </c>
      <c r="E8934" t="s">
        <v>5532</v>
      </c>
      <c r="F8934" t="s">
        <v>31741</v>
      </c>
      <c r="G8934" t="s">
        <v>18759</v>
      </c>
      <c r="H8934" t="s">
        <v>5474</v>
      </c>
      <c r="I8934" t="s">
        <v>31742</v>
      </c>
      <c r="J8934" t="s">
        <v>5484</v>
      </c>
      <c r="K8934" t="s">
        <v>31743</v>
      </c>
      <c r="L8934" t="s">
        <v>5471</v>
      </c>
      <c r="M8934" t="s">
        <v>5471</v>
      </c>
    </row>
    <row r="8935" spans="1:13" x14ac:dyDescent="0.3">
      <c r="A8935" t="s">
        <v>3388</v>
      </c>
      <c r="B8935" t="s">
        <v>6540</v>
      </c>
      <c r="C8935" t="s">
        <v>5470</v>
      </c>
      <c r="D8935" t="s">
        <v>4119</v>
      </c>
      <c r="E8935" t="s">
        <v>5617</v>
      </c>
      <c r="F8935" t="s">
        <v>31744</v>
      </c>
      <c r="G8935" t="s">
        <v>24484</v>
      </c>
      <c r="H8935" t="s">
        <v>5474</v>
      </c>
      <c r="I8935" t="s">
        <v>31745</v>
      </c>
      <c r="J8935" t="s">
        <v>5484</v>
      </c>
      <c r="K8935" t="s">
        <v>31746</v>
      </c>
      <c r="L8935" t="s">
        <v>5471</v>
      </c>
      <c r="M8935" t="s">
        <v>5471</v>
      </c>
    </row>
    <row r="8936" spans="1:13" x14ac:dyDescent="0.3">
      <c r="A8936" t="s">
        <v>3388</v>
      </c>
      <c r="B8936" t="s">
        <v>15822</v>
      </c>
      <c r="C8936" t="s">
        <v>5470</v>
      </c>
      <c r="D8936" t="s">
        <v>30466</v>
      </c>
      <c r="E8936" t="s">
        <v>5756</v>
      </c>
      <c r="F8936" t="s">
        <v>31747</v>
      </c>
      <c r="G8936" t="s">
        <v>8370</v>
      </c>
      <c r="H8936" t="s">
        <v>5474</v>
      </c>
      <c r="I8936" t="s">
        <v>31748</v>
      </c>
      <c r="J8936" t="s">
        <v>5484</v>
      </c>
      <c r="K8936" t="s">
        <v>31749</v>
      </c>
      <c r="L8936" t="s">
        <v>5471</v>
      </c>
      <c r="M8936" t="s">
        <v>5471</v>
      </c>
    </row>
    <row r="8937" spans="1:13" x14ac:dyDescent="0.3">
      <c r="A8937" t="s">
        <v>3388</v>
      </c>
      <c r="B8937" t="s">
        <v>7109</v>
      </c>
      <c r="C8937" t="s">
        <v>5470</v>
      </c>
      <c r="D8937" t="s">
        <v>4119</v>
      </c>
      <c r="E8937" t="s">
        <v>5617</v>
      </c>
      <c r="F8937" t="s">
        <v>31750</v>
      </c>
      <c r="G8937" t="s">
        <v>31751</v>
      </c>
      <c r="H8937" t="s">
        <v>5474</v>
      </c>
      <c r="I8937" t="s">
        <v>31752</v>
      </c>
      <c r="J8937" t="s">
        <v>5484</v>
      </c>
      <c r="K8937" t="s">
        <v>31753</v>
      </c>
      <c r="L8937" t="s">
        <v>5471</v>
      </c>
      <c r="M8937" t="s">
        <v>5471</v>
      </c>
    </row>
    <row r="8938" spans="1:13" x14ac:dyDescent="0.3">
      <c r="A8938" t="s">
        <v>3388</v>
      </c>
      <c r="B8938" t="s">
        <v>7109</v>
      </c>
      <c r="C8938" t="s">
        <v>5470</v>
      </c>
      <c r="D8938" t="s">
        <v>4119</v>
      </c>
      <c r="E8938" t="s">
        <v>5617</v>
      </c>
      <c r="F8938" t="s">
        <v>31754</v>
      </c>
      <c r="G8938" t="s">
        <v>19195</v>
      </c>
      <c r="H8938" t="s">
        <v>5474</v>
      </c>
      <c r="I8938" t="s">
        <v>31755</v>
      </c>
      <c r="J8938" t="s">
        <v>5484</v>
      </c>
      <c r="K8938" t="s">
        <v>31756</v>
      </c>
      <c r="L8938" t="s">
        <v>5471</v>
      </c>
      <c r="M8938" t="s">
        <v>5471</v>
      </c>
    </row>
    <row r="8939" spans="1:13" x14ac:dyDescent="0.3">
      <c r="A8939" t="s">
        <v>3388</v>
      </c>
      <c r="B8939" t="s">
        <v>7109</v>
      </c>
      <c r="C8939" t="s">
        <v>5470</v>
      </c>
      <c r="D8939" t="s">
        <v>4119</v>
      </c>
      <c r="E8939" t="s">
        <v>5617</v>
      </c>
      <c r="F8939" t="s">
        <v>31757</v>
      </c>
      <c r="G8939" t="s">
        <v>19195</v>
      </c>
      <c r="H8939" t="s">
        <v>5474</v>
      </c>
      <c r="I8939" t="s">
        <v>31758</v>
      </c>
      <c r="J8939" t="s">
        <v>5484</v>
      </c>
      <c r="K8939" t="s">
        <v>31759</v>
      </c>
      <c r="L8939" t="s">
        <v>5471</v>
      </c>
      <c r="M8939" t="s">
        <v>5471</v>
      </c>
    </row>
    <row r="8940" spans="1:13" x14ac:dyDescent="0.3">
      <c r="A8940" t="s">
        <v>3388</v>
      </c>
      <c r="B8940" t="s">
        <v>7109</v>
      </c>
      <c r="C8940" t="s">
        <v>5470</v>
      </c>
      <c r="D8940" t="s">
        <v>4119</v>
      </c>
      <c r="E8940" t="s">
        <v>5532</v>
      </c>
      <c r="F8940" t="s">
        <v>31760</v>
      </c>
      <c r="G8940" t="s">
        <v>19195</v>
      </c>
      <c r="H8940" t="s">
        <v>5474</v>
      </c>
      <c r="I8940" t="s">
        <v>31761</v>
      </c>
      <c r="J8940" t="s">
        <v>5484</v>
      </c>
      <c r="K8940" t="s">
        <v>31762</v>
      </c>
      <c r="L8940" t="s">
        <v>5471</v>
      </c>
      <c r="M8940" t="s">
        <v>5471</v>
      </c>
    </row>
    <row r="8941" spans="1:13" x14ac:dyDescent="0.3">
      <c r="A8941" t="s">
        <v>3388</v>
      </c>
      <c r="B8941" t="s">
        <v>7109</v>
      </c>
      <c r="C8941" t="s">
        <v>5470</v>
      </c>
      <c r="D8941" t="s">
        <v>4119</v>
      </c>
      <c r="E8941" t="s">
        <v>5756</v>
      </c>
      <c r="F8941" t="s">
        <v>31763</v>
      </c>
      <c r="G8941" t="s">
        <v>19195</v>
      </c>
      <c r="H8941" t="s">
        <v>5474</v>
      </c>
      <c r="I8941" t="s">
        <v>31764</v>
      </c>
      <c r="J8941" t="s">
        <v>5484</v>
      </c>
      <c r="K8941" t="s">
        <v>31765</v>
      </c>
      <c r="L8941" t="s">
        <v>5471</v>
      </c>
      <c r="M8941" t="s">
        <v>5471</v>
      </c>
    </row>
    <row r="8942" spans="1:13" x14ac:dyDescent="0.3">
      <c r="A8942" t="s">
        <v>3388</v>
      </c>
      <c r="B8942" t="s">
        <v>7109</v>
      </c>
      <c r="C8942" t="s">
        <v>5470</v>
      </c>
      <c r="D8942" t="s">
        <v>4119</v>
      </c>
      <c r="E8942" t="s">
        <v>5532</v>
      </c>
      <c r="F8942" t="s">
        <v>31766</v>
      </c>
      <c r="G8942" t="s">
        <v>23092</v>
      </c>
      <c r="H8942" t="s">
        <v>5474</v>
      </c>
      <c r="I8942" t="s">
        <v>31767</v>
      </c>
      <c r="J8942" t="s">
        <v>5484</v>
      </c>
      <c r="K8942" t="s">
        <v>31768</v>
      </c>
      <c r="L8942" t="s">
        <v>5471</v>
      </c>
      <c r="M8942" t="s">
        <v>5471</v>
      </c>
    </row>
    <row r="8943" spans="1:13" x14ac:dyDescent="0.3">
      <c r="A8943" t="s">
        <v>3388</v>
      </c>
      <c r="B8943" t="s">
        <v>7109</v>
      </c>
      <c r="C8943" t="s">
        <v>5470</v>
      </c>
      <c r="D8943" t="s">
        <v>4119</v>
      </c>
      <c r="E8943" t="s">
        <v>5756</v>
      </c>
      <c r="F8943" t="s">
        <v>31769</v>
      </c>
      <c r="G8943" t="s">
        <v>19195</v>
      </c>
      <c r="H8943" t="s">
        <v>5474</v>
      </c>
      <c r="I8943" t="s">
        <v>31770</v>
      </c>
      <c r="J8943" t="s">
        <v>5484</v>
      </c>
      <c r="K8943" t="s">
        <v>31771</v>
      </c>
      <c r="L8943" t="s">
        <v>5471</v>
      </c>
      <c r="M8943" t="s">
        <v>5471</v>
      </c>
    </row>
    <row r="8944" spans="1:13" x14ac:dyDescent="0.3">
      <c r="A8944" t="s">
        <v>3388</v>
      </c>
      <c r="B8944" t="s">
        <v>7109</v>
      </c>
      <c r="C8944" t="s">
        <v>5470</v>
      </c>
      <c r="D8944" t="s">
        <v>4119</v>
      </c>
      <c r="E8944" t="s">
        <v>5756</v>
      </c>
      <c r="F8944" t="s">
        <v>31772</v>
      </c>
      <c r="G8944" t="s">
        <v>19195</v>
      </c>
      <c r="H8944" t="s">
        <v>5474</v>
      </c>
      <c r="I8944" t="s">
        <v>31773</v>
      </c>
      <c r="J8944" t="s">
        <v>5484</v>
      </c>
      <c r="K8944" t="s">
        <v>31774</v>
      </c>
      <c r="L8944" t="s">
        <v>5471</v>
      </c>
      <c r="M8944" t="s">
        <v>5471</v>
      </c>
    </row>
    <row r="8945" spans="1:13" x14ac:dyDescent="0.3">
      <c r="A8945" t="s">
        <v>3388</v>
      </c>
      <c r="B8945" t="s">
        <v>5316</v>
      </c>
      <c r="C8945" t="s">
        <v>5470</v>
      </c>
      <c r="D8945" t="s">
        <v>4119</v>
      </c>
      <c r="E8945" t="s">
        <v>5532</v>
      </c>
      <c r="F8945" t="s">
        <v>31775</v>
      </c>
      <c r="G8945" t="s">
        <v>23092</v>
      </c>
      <c r="H8945" t="s">
        <v>5474</v>
      </c>
      <c r="I8945" t="s">
        <v>31776</v>
      </c>
      <c r="J8945" t="s">
        <v>5484</v>
      </c>
      <c r="K8945" t="s">
        <v>31777</v>
      </c>
      <c r="L8945" t="s">
        <v>5471</v>
      </c>
      <c r="M8945" t="s">
        <v>5471</v>
      </c>
    </row>
    <row r="8946" spans="1:13" x14ac:dyDescent="0.3">
      <c r="A8946" t="s">
        <v>3388</v>
      </c>
      <c r="B8946" t="s">
        <v>7109</v>
      </c>
      <c r="C8946" t="s">
        <v>5470</v>
      </c>
      <c r="D8946" t="s">
        <v>4119</v>
      </c>
      <c r="E8946" t="s">
        <v>5532</v>
      </c>
      <c r="F8946" t="s">
        <v>31778</v>
      </c>
      <c r="G8946" t="s">
        <v>23186</v>
      </c>
      <c r="H8946" t="s">
        <v>5474</v>
      </c>
      <c r="I8946" t="s">
        <v>31779</v>
      </c>
      <c r="J8946" t="s">
        <v>5484</v>
      </c>
      <c r="K8946" t="s">
        <v>31780</v>
      </c>
      <c r="L8946" t="s">
        <v>5471</v>
      </c>
      <c r="M8946" t="s">
        <v>5471</v>
      </c>
    </row>
    <row r="8947" spans="1:13" x14ac:dyDescent="0.3">
      <c r="A8947" t="s">
        <v>3388</v>
      </c>
      <c r="B8947" t="s">
        <v>19207</v>
      </c>
      <c r="C8947" t="s">
        <v>5470</v>
      </c>
      <c r="D8947" t="s">
        <v>4119</v>
      </c>
      <c r="E8947" t="s">
        <v>5532</v>
      </c>
      <c r="F8947" t="s">
        <v>31781</v>
      </c>
      <c r="G8947" t="s">
        <v>18561</v>
      </c>
      <c r="H8947" t="s">
        <v>5474</v>
      </c>
      <c r="I8947" t="s">
        <v>31782</v>
      </c>
      <c r="J8947" t="s">
        <v>5484</v>
      </c>
      <c r="K8947" t="s">
        <v>31783</v>
      </c>
      <c r="L8947" t="s">
        <v>5471</v>
      </c>
      <c r="M8947" t="s">
        <v>5471</v>
      </c>
    </row>
    <row r="8948" spans="1:13" x14ac:dyDescent="0.3">
      <c r="A8948" t="s">
        <v>3388</v>
      </c>
      <c r="B8948" t="s">
        <v>8799</v>
      </c>
      <c r="C8948" t="s">
        <v>5470</v>
      </c>
      <c r="D8948" t="s">
        <v>4119</v>
      </c>
      <c r="E8948" t="s">
        <v>5480</v>
      </c>
      <c r="F8948" t="s">
        <v>31784</v>
      </c>
      <c r="G8948" t="s">
        <v>31785</v>
      </c>
      <c r="H8948" t="s">
        <v>5474</v>
      </c>
      <c r="I8948" t="s">
        <v>31786</v>
      </c>
      <c r="J8948" t="s">
        <v>5484</v>
      </c>
      <c r="K8948" t="s">
        <v>31787</v>
      </c>
      <c r="L8948" t="s">
        <v>5471</v>
      </c>
      <c r="M8948" t="s">
        <v>5471</v>
      </c>
    </row>
    <row r="8949" spans="1:13" x14ac:dyDescent="0.3">
      <c r="A8949" t="s">
        <v>3388</v>
      </c>
      <c r="B8949" t="s">
        <v>8799</v>
      </c>
      <c r="C8949" t="s">
        <v>5470</v>
      </c>
      <c r="D8949" t="s">
        <v>4119</v>
      </c>
      <c r="E8949" t="s">
        <v>5617</v>
      </c>
      <c r="F8949" t="s">
        <v>31788</v>
      </c>
      <c r="G8949" t="s">
        <v>31789</v>
      </c>
      <c r="H8949" t="s">
        <v>5474</v>
      </c>
      <c r="I8949" t="s">
        <v>31790</v>
      </c>
      <c r="J8949" t="s">
        <v>5484</v>
      </c>
      <c r="K8949" t="s">
        <v>31791</v>
      </c>
      <c r="L8949" t="s">
        <v>5471</v>
      </c>
      <c r="M8949" t="s">
        <v>5471</v>
      </c>
    </row>
    <row r="8950" spans="1:13" x14ac:dyDescent="0.3">
      <c r="A8950" t="s">
        <v>3388</v>
      </c>
      <c r="B8950" t="s">
        <v>8799</v>
      </c>
      <c r="C8950" t="s">
        <v>5470</v>
      </c>
      <c r="D8950" t="s">
        <v>4119</v>
      </c>
      <c r="E8950" t="s">
        <v>5617</v>
      </c>
      <c r="F8950" t="s">
        <v>31792</v>
      </c>
      <c r="G8950" t="s">
        <v>31793</v>
      </c>
      <c r="H8950" t="s">
        <v>5474</v>
      </c>
      <c r="I8950" t="s">
        <v>31794</v>
      </c>
      <c r="J8950" t="s">
        <v>5484</v>
      </c>
      <c r="K8950" t="s">
        <v>31795</v>
      </c>
      <c r="L8950" t="s">
        <v>5471</v>
      </c>
      <c r="M8950" t="s">
        <v>5471</v>
      </c>
    </row>
    <row r="8951" spans="1:13" x14ac:dyDescent="0.3">
      <c r="A8951" t="s">
        <v>3388</v>
      </c>
      <c r="B8951" t="s">
        <v>8799</v>
      </c>
      <c r="C8951" t="s">
        <v>5470</v>
      </c>
      <c r="D8951" t="s">
        <v>4119</v>
      </c>
      <c r="E8951" t="s">
        <v>5617</v>
      </c>
      <c r="F8951" t="s">
        <v>31796</v>
      </c>
      <c r="G8951" t="s">
        <v>31797</v>
      </c>
      <c r="H8951" t="s">
        <v>5474</v>
      </c>
      <c r="I8951" t="s">
        <v>31798</v>
      </c>
      <c r="J8951" t="s">
        <v>5484</v>
      </c>
      <c r="K8951" t="s">
        <v>31799</v>
      </c>
      <c r="L8951" t="s">
        <v>5471</v>
      </c>
      <c r="M8951" t="s">
        <v>5471</v>
      </c>
    </row>
    <row r="8952" spans="1:13" x14ac:dyDescent="0.3">
      <c r="A8952" t="s">
        <v>3388</v>
      </c>
      <c r="B8952" t="s">
        <v>8799</v>
      </c>
      <c r="C8952" t="s">
        <v>5470</v>
      </c>
      <c r="D8952" t="s">
        <v>4119</v>
      </c>
      <c r="E8952" t="s">
        <v>5617</v>
      </c>
      <c r="F8952" t="s">
        <v>31800</v>
      </c>
      <c r="G8952" t="s">
        <v>31801</v>
      </c>
      <c r="H8952" t="s">
        <v>5474</v>
      </c>
      <c r="I8952" t="s">
        <v>31802</v>
      </c>
      <c r="J8952" t="s">
        <v>5484</v>
      </c>
      <c r="K8952" t="s">
        <v>31803</v>
      </c>
      <c r="L8952" t="s">
        <v>5471</v>
      </c>
      <c r="M8952" t="s">
        <v>5471</v>
      </c>
    </row>
    <row r="8953" spans="1:13" x14ac:dyDescent="0.3">
      <c r="A8953" t="s">
        <v>3388</v>
      </c>
      <c r="B8953" t="s">
        <v>8799</v>
      </c>
      <c r="C8953" t="s">
        <v>5470</v>
      </c>
      <c r="D8953" t="s">
        <v>4119</v>
      </c>
      <c r="E8953" t="s">
        <v>5532</v>
      </c>
      <c r="F8953" t="s">
        <v>31804</v>
      </c>
      <c r="G8953" t="s">
        <v>31518</v>
      </c>
      <c r="H8953" t="s">
        <v>5474</v>
      </c>
      <c r="I8953" t="s">
        <v>31805</v>
      </c>
      <c r="J8953" t="s">
        <v>5484</v>
      </c>
      <c r="K8953" t="s">
        <v>31806</v>
      </c>
      <c r="L8953" t="s">
        <v>5471</v>
      </c>
      <c r="M8953" t="s">
        <v>5471</v>
      </c>
    </row>
    <row r="8954" spans="1:13" x14ac:dyDescent="0.3">
      <c r="A8954" t="s">
        <v>3388</v>
      </c>
      <c r="B8954" t="s">
        <v>8799</v>
      </c>
      <c r="C8954" t="s">
        <v>5470</v>
      </c>
      <c r="D8954" t="s">
        <v>4119</v>
      </c>
      <c r="E8954" t="s">
        <v>5532</v>
      </c>
      <c r="F8954" t="s">
        <v>31807</v>
      </c>
      <c r="G8954" t="s">
        <v>18759</v>
      </c>
      <c r="H8954" t="s">
        <v>5474</v>
      </c>
      <c r="I8954" t="s">
        <v>31808</v>
      </c>
      <c r="J8954" t="s">
        <v>5484</v>
      </c>
      <c r="K8954" t="s">
        <v>31809</v>
      </c>
      <c r="L8954" t="s">
        <v>5471</v>
      </c>
      <c r="M8954" t="s">
        <v>5471</v>
      </c>
    </row>
    <row r="8955" spans="1:13" x14ac:dyDescent="0.3">
      <c r="A8955" t="s">
        <v>3388</v>
      </c>
      <c r="B8955" t="s">
        <v>7109</v>
      </c>
      <c r="C8955" t="s">
        <v>5470</v>
      </c>
      <c r="D8955" t="s">
        <v>4119</v>
      </c>
      <c r="E8955" t="s">
        <v>5756</v>
      </c>
      <c r="F8955" t="s">
        <v>31810</v>
      </c>
      <c r="G8955" t="s">
        <v>22368</v>
      </c>
      <c r="H8955" t="s">
        <v>5474</v>
      </c>
      <c r="I8955" t="s">
        <v>31811</v>
      </c>
      <c r="J8955" t="s">
        <v>5484</v>
      </c>
      <c r="K8955" t="s">
        <v>31812</v>
      </c>
      <c r="L8955" t="s">
        <v>5471</v>
      </c>
      <c r="M8955" t="s">
        <v>5471</v>
      </c>
    </row>
    <row r="8956" spans="1:13" x14ac:dyDescent="0.3">
      <c r="A8956" t="s">
        <v>3388</v>
      </c>
      <c r="B8956" t="s">
        <v>8799</v>
      </c>
      <c r="C8956" t="s">
        <v>5470</v>
      </c>
      <c r="D8956" t="s">
        <v>4119</v>
      </c>
      <c r="E8956" t="s">
        <v>5756</v>
      </c>
      <c r="F8956" t="s">
        <v>31813</v>
      </c>
      <c r="G8956" t="s">
        <v>31814</v>
      </c>
      <c r="H8956" t="s">
        <v>5474</v>
      </c>
      <c r="I8956" t="s">
        <v>31815</v>
      </c>
      <c r="J8956" t="s">
        <v>5484</v>
      </c>
      <c r="K8956" t="s">
        <v>31816</v>
      </c>
      <c r="L8956" t="s">
        <v>5471</v>
      </c>
      <c r="M8956" t="s">
        <v>5471</v>
      </c>
    </row>
    <row r="8957" spans="1:13" x14ac:dyDescent="0.3">
      <c r="A8957" t="s">
        <v>3388</v>
      </c>
      <c r="B8957" t="s">
        <v>7109</v>
      </c>
      <c r="C8957" t="s">
        <v>5470</v>
      </c>
      <c r="D8957" t="s">
        <v>4119</v>
      </c>
      <c r="E8957" t="s">
        <v>5756</v>
      </c>
      <c r="F8957" t="s">
        <v>31817</v>
      </c>
      <c r="G8957" t="s">
        <v>22372</v>
      </c>
      <c r="H8957" t="s">
        <v>5474</v>
      </c>
      <c r="I8957" t="s">
        <v>31818</v>
      </c>
      <c r="J8957" t="s">
        <v>5484</v>
      </c>
      <c r="K8957" t="s">
        <v>31819</v>
      </c>
      <c r="L8957" t="s">
        <v>5471</v>
      </c>
      <c r="M8957" t="s">
        <v>5471</v>
      </c>
    </row>
    <row r="8958" spans="1:13" x14ac:dyDescent="0.3">
      <c r="A8958" t="s">
        <v>3388</v>
      </c>
      <c r="B8958" t="s">
        <v>8799</v>
      </c>
      <c r="C8958" t="s">
        <v>5470</v>
      </c>
      <c r="D8958" t="s">
        <v>4119</v>
      </c>
      <c r="E8958" t="s">
        <v>5756</v>
      </c>
      <c r="F8958" t="s">
        <v>31820</v>
      </c>
      <c r="G8958" t="s">
        <v>8370</v>
      </c>
      <c r="H8958" t="s">
        <v>5474</v>
      </c>
      <c r="I8958" t="s">
        <v>31821</v>
      </c>
      <c r="J8958" t="s">
        <v>5484</v>
      </c>
      <c r="K8958" t="s">
        <v>31822</v>
      </c>
      <c r="L8958" t="s">
        <v>5471</v>
      </c>
      <c r="M8958" t="s">
        <v>5471</v>
      </c>
    </row>
    <row r="8959" spans="1:13" x14ac:dyDescent="0.3">
      <c r="A8959" t="s">
        <v>3388</v>
      </c>
      <c r="B8959" t="s">
        <v>7109</v>
      </c>
      <c r="C8959" t="s">
        <v>5470</v>
      </c>
      <c r="D8959" t="s">
        <v>4119</v>
      </c>
      <c r="E8959" t="s">
        <v>5756</v>
      </c>
      <c r="F8959" t="s">
        <v>31823</v>
      </c>
      <c r="G8959" t="s">
        <v>21840</v>
      </c>
      <c r="H8959" t="s">
        <v>5474</v>
      </c>
      <c r="I8959" t="s">
        <v>31824</v>
      </c>
      <c r="J8959" t="s">
        <v>5484</v>
      </c>
      <c r="K8959" t="s">
        <v>31825</v>
      </c>
      <c r="L8959" t="s">
        <v>5471</v>
      </c>
      <c r="M8959" t="s">
        <v>5471</v>
      </c>
    </row>
    <row r="8960" spans="1:13" x14ac:dyDescent="0.3">
      <c r="A8960" t="s">
        <v>3388</v>
      </c>
      <c r="B8960" t="s">
        <v>8799</v>
      </c>
      <c r="C8960" t="s">
        <v>5470</v>
      </c>
      <c r="D8960" t="s">
        <v>4119</v>
      </c>
      <c r="E8960" t="s">
        <v>5756</v>
      </c>
      <c r="F8960" t="s">
        <v>31826</v>
      </c>
      <c r="G8960" t="s">
        <v>15977</v>
      </c>
      <c r="H8960" t="s">
        <v>5474</v>
      </c>
      <c r="I8960" t="s">
        <v>31827</v>
      </c>
      <c r="J8960" t="s">
        <v>5484</v>
      </c>
      <c r="K8960" t="s">
        <v>31828</v>
      </c>
      <c r="L8960" t="s">
        <v>5471</v>
      </c>
      <c r="M8960" t="s">
        <v>5471</v>
      </c>
    </row>
    <row r="8961" spans="1:13" x14ac:dyDescent="0.3">
      <c r="A8961" t="s">
        <v>3388</v>
      </c>
      <c r="B8961" t="s">
        <v>7109</v>
      </c>
      <c r="C8961" t="s">
        <v>5470</v>
      </c>
      <c r="D8961" t="s">
        <v>4119</v>
      </c>
      <c r="E8961" t="s">
        <v>5756</v>
      </c>
      <c r="F8961" t="s">
        <v>31829</v>
      </c>
      <c r="G8961" t="s">
        <v>21836</v>
      </c>
      <c r="H8961" t="s">
        <v>5474</v>
      </c>
      <c r="I8961" t="s">
        <v>31830</v>
      </c>
      <c r="J8961" t="s">
        <v>5484</v>
      </c>
      <c r="K8961" t="s">
        <v>31831</v>
      </c>
      <c r="L8961" t="s">
        <v>5471</v>
      </c>
      <c r="M8961" t="s">
        <v>5471</v>
      </c>
    </row>
    <row r="8962" spans="1:13" x14ac:dyDescent="0.3">
      <c r="A8962" t="s">
        <v>3388</v>
      </c>
      <c r="B8962" t="s">
        <v>5296</v>
      </c>
      <c r="C8962" t="s">
        <v>5470</v>
      </c>
      <c r="D8962" t="s">
        <v>4119</v>
      </c>
      <c r="E8962" t="s">
        <v>5532</v>
      </c>
      <c r="F8962" t="s">
        <v>31832</v>
      </c>
      <c r="G8962" t="s">
        <v>22544</v>
      </c>
      <c r="H8962" t="s">
        <v>5474</v>
      </c>
      <c r="I8962" t="s">
        <v>31833</v>
      </c>
      <c r="J8962" t="s">
        <v>5476</v>
      </c>
      <c r="K8962" t="s">
        <v>31834</v>
      </c>
      <c r="L8962" t="s">
        <v>5471</v>
      </c>
      <c r="M8962" t="s">
        <v>5471</v>
      </c>
    </row>
    <row r="8963" spans="1:13" x14ac:dyDescent="0.3">
      <c r="A8963" t="s">
        <v>3388</v>
      </c>
      <c r="B8963" t="s">
        <v>7109</v>
      </c>
      <c r="C8963" t="s">
        <v>5470</v>
      </c>
      <c r="D8963" t="s">
        <v>4119</v>
      </c>
      <c r="E8963" t="s">
        <v>5756</v>
      </c>
      <c r="F8963" t="s">
        <v>31835</v>
      </c>
      <c r="G8963" t="s">
        <v>19195</v>
      </c>
      <c r="H8963" t="s">
        <v>5474</v>
      </c>
      <c r="I8963" t="s">
        <v>31836</v>
      </c>
      <c r="J8963" t="s">
        <v>5484</v>
      </c>
      <c r="K8963" t="s">
        <v>31837</v>
      </c>
      <c r="L8963" t="s">
        <v>5471</v>
      </c>
      <c r="M8963" t="s">
        <v>5471</v>
      </c>
    </row>
    <row r="8964" spans="1:13" x14ac:dyDescent="0.3">
      <c r="A8964" t="s">
        <v>3388</v>
      </c>
      <c r="B8964" t="s">
        <v>5531</v>
      </c>
      <c r="C8964" t="s">
        <v>5470</v>
      </c>
      <c r="D8964" t="s">
        <v>4119</v>
      </c>
      <c r="E8964" t="s">
        <v>5480</v>
      </c>
      <c r="F8964" t="s">
        <v>31838</v>
      </c>
      <c r="G8964" t="s">
        <v>31839</v>
      </c>
      <c r="H8964" t="s">
        <v>5474</v>
      </c>
      <c r="I8964" t="s">
        <v>31840</v>
      </c>
      <c r="J8964" t="s">
        <v>5484</v>
      </c>
      <c r="K8964" t="s">
        <v>31841</v>
      </c>
      <c r="L8964" t="s">
        <v>5471</v>
      </c>
      <c r="M8964" t="s">
        <v>5471</v>
      </c>
    </row>
    <row r="8965" spans="1:13" x14ac:dyDescent="0.3">
      <c r="A8965" t="s">
        <v>3388</v>
      </c>
      <c r="B8965" t="s">
        <v>8577</v>
      </c>
      <c r="C8965" t="s">
        <v>5470</v>
      </c>
      <c r="D8965" t="s">
        <v>4119</v>
      </c>
      <c r="E8965" t="s">
        <v>5532</v>
      </c>
      <c r="F8965" t="s">
        <v>31842</v>
      </c>
      <c r="G8965" t="s">
        <v>10503</v>
      </c>
      <c r="H8965" t="s">
        <v>5474</v>
      </c>
      <c r="I8965" t="s">
        <v>31843</v>
      </c>
      <c r="J8965" t="s">
        <v>5484</v>
      </c>
      <c r="K8965" t="s">
        <v>31844</v>
      </c>
      <c r="L8965" t="s">
        <v>5471</v>
      </c>
      <c r="M8965" t="s">
        <v>5471</v>
      </c>
    </row>
    <row r="8966" spans="1:13" x14ac:dyDescent="0.3">
      <c r="A8966" t="s">
        <v>3388</v>
      </c>
      <c r="B8966" t="s">
        <v>5531</v>
      </c>
      <c r="C8966" t="s">
        <v>5470</v>
      </c>
      <c r="D8966" t="s">
        <v>4119</v>
      </c>
      <c r="E8966" t="s">
        <v>5532</v>
      </c>
      <c r="F8966" t="s">
        <v>31845</v>
      </c>
      <c r="G8966" t="s">
        <v>10194</v>
      </c>
      <c r="H8966" t="s">
        <v>5474</v>
      </c>
      <c r="I8966" t="s">
        <v>31846</v>
      </c>
      <c r="J8966" t="s">
        <v>5484</v>
      </c>
      <c r="K8966" t="s">
        <v>31847</v>
      </c>
      <c r="L8966" t="s">
        <v>5471</v>
      </c>
      <c r="M8966" t="s">
        <v>5471</v>
      </c>
    </row>
    <row r="8967" spans="1:13" x14ac:dyDescent="0.3">
      <c r="A8967" t="s">
        <v>3388</v>
      </c>
      <c r="B8967" t="s">
        <v>5310</v>
      </c>
      <c r="C8967" t="s">
        <v>5470</v>
      </c>
      <c r="D8967" t="s">
        <v>4119</v>
      </c>
      <c r="E8967" t="s">
        <v>5532</v>
      </c>
      <c r="F8967" t="s">
        <v>31848</v>
      </c>
      <c r="G8967" t="s">
        <v>23170</v>
      </c>
      <c r="H8967" t="s">
        <v>5474</v>
      </c>
      <c r="I8967" t="s">
        <v>31849</v>
      </c>
      <c r="J8967" t="s">
        <v>5484</v>
      </c>
      <c r="K8967" t="s">
        <v>31850</v>
      </c>
      <c r="L8967" t="s">
        <v>5471</v>
      </c>
      <c r="M8967" t="s">
        <v>5471</v>
      </c>
    </row>
    <row r="8968" spans="1:13" x14ac:dyDescent="0.3">
      <c r="A8968" t="s">
        <v>3388</v>
      </c>
      <c r="B8968" t="s">
        <v>5531</v>
      </c>
      <c r="C8968" t="s">
        <v>5470</v>
      </c>
      <c r="D8968" t="s">
        <v>4119</v>
      </c>
      <c r="E8968" t="s">
        <v>5532</v>
      </c>
      <c r="F8968" t="s">
        <v>31851</v>
      </c>
      <c r="G8968" t="s">
        <v>10191</v>
      </c>
      <c r="H8968" t="s">
        <v>5474</v>
      </c>
      <c r="I8968" t="s">
        <v>31852</v>
      </c>
      <c r="J8968" t="s">
        <v>5484</v>
      </c>
      <c r="K8968" t="s">
        <v>31853</v>
      </c>
      <c r="L8968" t="s">
        <v>5471</v>
      </c>
      <c r="M8968" t="s">
        <v>5471</v>
      </c>
    </row>
    <row r="8969" spans="1:13" x14ac:dyDescent="0.3">
      <c r="A8969" t="s">
        <v>3388</v>
      </c>
      <c r="B8969" t="s">
        <v>5310</v>
      </c>
      <c r="C8969" t="s">
        <v>5470</v>
      </c>
      <c r="D8969" t="s">
        <v>4119</v>
      </c>
      <c r="E8969" t="s">
        <v>5532</v>
      </c>
      <c r="F8969" t="s">
        <v>31854</v>
      </c>
      <c r="G8969" t="s">
        <v>23834</v>
      </c>
      <c r="H8969" t="s">
        <v>5474</v>
      </c>
      <c r="I8969" t="s">
        <v>31855</v>
      </c>
      <c r="J8969" t="s">
        <v>5484</v>
      </c>
      <c r="K8969" t="s">
        <v>31856</v>
      </c>
      <c r="L8969" t="s">
        <v>5471</v>
      </c>
      <c r="M8969" t="s">
        <v>5471</v>
      </c>
    </row>
    <row r="8970" spans="1:13" x14ac:dyDescent="0.3">
      <c r="A8970" t="s">
        <v>3388</v>
      </c>
      <c r="B8970" t="s">
        <v>5272</v>
      </c>
      <c r="C8970" t="s">
        <v>5470</v>
      </c>
      <c r="D8970" t="s">
        <v>4119</v>
      </c>
      <c r="E8970" t="s">
        <v>5480</v>
      </c>
      <c r="F8970" t="s">
        <v>31857</v>
      </c>
      <c r="G8970" t="s">
        <v>31858</v>
      </c>
      <c r="H8970" t="s">
        <v>5474</v>
      </c>
      <c r="I8970" t="s">
        <v>31859</v>
      </c>
      <c r="J8970" t="s">
        <v>5484</v>
      </c>
      <c r="K8970" t="s">
        <v>31860</v>
      </c>
      <c r="L8970" t="s">
        <v>5471</v>
      </c>
      <c r="M8970" t="s">
        <v>5471</v>
      </c>
    </row>
    <row r="8971" spans="1:13" x14ac:dyDescent="0.3">
      <c r="A8971" t="s">
        <v>3388</v>
      </c>
      <c r="B8971" t="s">
        <v>5310</v>
      </c>
      <c r="C8971" t="s">
        <v>5470</v>
      </c>
      <c r="D8971" t="s">
        <v>4119</v>
      </c>
      <c r="E8971" t="s">
        <v>5532</v>
      </c>
      <c r="F8971" t="s">
        <v>31861</v>
      </c>
      <c r="G8971" t="s">
        <v>23186</v>
      </c>
      <c r="H8971" t="s">
        <v>5474</v>
      </c>
      <c r="I8971" t="s">
        <v>31862</v>
      </c>
      <c r="J8971" t="s">
        <v>5484</v>
      </c>
      <c r="K8971" t="s">
        <v>31863</v>
      </c>
      <c r="L8971" t="s">
        <v>5471</v>
      </c>
      <c r="M8971" t="s">
        <v>5471</v>
      </c>
    </row>
    <row r="8972" spans="1:13" x14ac:dyDescent="0.3">
      <c r="A8972" t="s">
        <v>3388</v>
      </c>
      <c r="B8972" t="s">
        <v>5272</v>
      </c>
      <c r="C8972" t="s">
        <v>5470</v>
      </c>
      <c r="D8972" t="s">
        <v>4119</v>
      </c>
      <c r="E8972" t="s">
        <v>5480</v>
      </c>
      <c r="F8972" t="s">
        <v>31864</v>
      </c>
      <c r="G8972" t="s">
        <v>31865</v>
      </c>
      <c r="H8972" t="s">
        <v>5474</v>
      </c>
      <c r="I8972" t="s">
        <v>31866</v>
      </c>
      <c r="J8972" t="s">
        <v>5484</v>
      </c>
      <c r="K8972" t="s">
        <v>31867</v>
      </c>
      <c r="L8972" t="s">
        <v>5471</v>
      </c>
      <c r="M8972" t="s">
        <v>5471</v>
      </c>
    </row>
    <row r="8973" spans="1:13" x14ac:dyDescent="0.3">
      <c r="A8973" t="s">
        <v>3388</v>
      </c>
      <c r="B8973" t="s">
        <v>19207</v>
      </c>
      <c r="C8973" t="s">
        <v>5470</v>
      </c>
      <c r="D8973" t="s">
        <v>4119</v>
      </c>
      <c r="E8973" t="s">
        <v>5532</v>
      </c>
      <c r="F8973" t="s">
        <v>31868</v>
      </c>
      <c r="G8973" t="s">
        <v>18572</v>
      </c>
      <c r="H8973" t="s">
        <v>5474</v>
      </c>
      <c r="I8973" t="s">
        <v>31869</v>
      </c>
      <c r="J8973" t="s">
        <v>5484</v>
      </c>
      <c r="K8973" t="s">
        <v>31870</v>
      </c>
      <c r="L8973" t="s">
        <v>5471</v>
      </c>
      <c r="M8973" t="s">
        <v>5471</v>
      </c>
    </row>
    <row r="8974" spans="1:13" x14ac:dyDescent="0.3">
      <c r="A8974" t="s">
        <v>3388</v>
      </c>
      <c r="B8974" t="s">
        <v>5272</v>
      </c>
      <c r="C8974" t="s">
        <v>5470</v>
      </c>
      <c r="D8974" t="s">
        <v>4119</v>
      </c>
      <c r="E8974" t="s">
        <v>5532</v>
      </c>
      <c r="F8974" t="s">
        <v>31871</v>
      </c>
      <c r="G8974" t="s">
        <v>24390</v>
      </c>
      <c r="H8974" t="s">
        <v>5474</v>
      </c>
      <c r="I8974" t="s">
        <v>31872</v>
      </c>
      <c r="J8974" t="s">
        <v>5484</v>
      </c>
      <c r="K8974" t="s">
        <v>31873</v>
      </c>
      <c r="L8974" t="s">
        <v>5471</v>
      </c>
      <c r="M8974" t="s">
        <v>5471</v>
      </c>
    </row>
    <row r="8975" spans="1:13" x14ac:dyDescent="0.3">
      <c r="A8975" t="s">
        <v>3388</v>
      </c>
      <c r="B8975" t="s">
        <v>19207</v>
      </c>
      <c r="C8975" t="s">
        <v>5470</v>
      </c>
      <c r="D8975" t="s">
        <v>4119</v>
      </c>
      <c r="E8975" t="s">
        <v>5532</v>
      </c>
      <c r="F8975" t="s">
        <v>31874</v>
      </c>
      <c r="G8975" t="s">
        <v>18582</v>
      </c>
      <c r="H8975" t="s">
        <v>5474</v>
      </c>
      <c r="I8975" t="s">
        <v>31875</v>
      </c>
      <c r="J8975" t="s">
        <v>5484</v>
      </c>
      <c r="K8975" t="s">
        <v>31876</v>
      </c>
      <c r="L8975" t="s">
        <v>5471</v>
      </c>
      <c r="M8975" t="s">
        <v>5471</v>
      </c>
    </row>
    <row r="8976" spans="1:13" x14ac:dyDescent="0.3">
      <c r="A8976" t="s">
        <v>3388</v>
      </c>
      <c r="B8976" t="s">
        <v>5272</v>
      </c>
      <c r="C8976" t="s">
        <v>5470</v>
      </c>
      <c r="D8976" t="s">
        <v>4119</v>
      </c>
      <c r="E8976" t="s">
        <v>5532</v>
      </c>
      <c r="F8976" t="s">
        <v>31877</v>
      </c>
      <c r="G8976" t="s">
        <v>24394</v>
      </c>
      <c r="H8976" t="s">
        <v>5474</v>
      </c>
      <c r="I8976" t="s">
        <v>31878</v>
      </c>
      <c r="J8976" t="s">
        <v>5484</v>
      </c>
      <c r="K8976" t="s">
        <v>31879</v>
      </c>
      <c r="L8976" t="s">
        <v>5471</v>
      </c>
      <c r="M8976" t="s">
        <v>5471</v>
      </c>
    </row>
    <row r="8977" spans="1:13" x14ac:dyDescent="0.3">
      <c r="A8977" t="s">
        <v>3388</v>
      </c>
      <c r="B8977" t="s">
        <v>11094</v>
      </c>
      <c r="C8977" t="s">
        <v>5470</v>
      </c>
      <c r="D8977" t="s">
        <v>4119</v>
      </c>
      <c r="E8977" t="s">
        <v>5756</v>
      </c>
      <c r="F8977" t="s">
        <v>31880</v>
      </c>
      <c r="G8977" t="s">
        <v>10493</v>
      </c>
      <c r="H8977" t="s">
        <v>5474</v>
      </c>
      <c r="I8977" t="s">
        <v>31881</v>
      </c>
      <c r="J8977" t="s">
        <v>5484</v>
      </c>
      <c r="K8977" t="s">
        <v>31882</v>
      </c>
      <c r="L8977" t="s">
        <v>5471</v>
      </c>
      <c r="M8977" t="s">
        <v>5471</v>
      </c>
    </row>
    <row r="8978" spans="1:13" x14ac:dyDescent="0.3">
      <c r="A8978" t="s">
        <v>3388</v>
      </c>
      <c r="B8978" t="s">
        <v>20040</v>
      </c>
      <c r="C8978" t="s">
        <v>5470</v>
      </c>
      <c r="D8978" t="s">
        <v>4119</v>
      </c>
      <c r="E8978" t="s">
        <v>5756</v>
      </c>
      <c r="F8978" t="s">
        <v>31883</v>
      </c>
      <c r="G8978" t="s">
        <v>20042</v>
      </c>
      <c r="H8978" t="s">
        <v>5474</v>
      </c>
      <c r="I8978" t="s">
        <v>31884</v>
      </c>
      <c r="J8978" t="s">
        <v>5484</v>
      </c>
      <c r="K8978" t="s">
        <v>31885</v>
      </c>
      <c r="L8978" t="s">
        <v>5471</v>
      </c>
      <c r="M8978" t="s">
        <v>5471</v>
      </c>
    </row>
    <row r="8979" spans="1:13" x14ac:dyDescent="0.3">
      <c r="A8979" t="s">
        <v>3388</v>
      </c>
      <c r="B8979" t="s">
        <v>11089</v>
      </c>
      <c r="C8979" t="s">
        <v>5470</v>
      </c>
      <c r="D8979" t="s">
        <v>4119</v>
      </c>
      <c r="E8979" t="s">
        <v>5756</v>
      </c>
      <c r="F8979" t="s">
        <v>31886</v>
      </c>
      <c r="G8979" t="s">
        <v>10488</v>
      </c>
      <c r="H8979" t="s">
        <v>5474</v>
      </c>
      <c r="I8979" t="s">
        <v>31887</v>
      </c>
      <c r="J8979" t="s">
        <v>5484</v>
      </c>
      <c r="K8979" t="s">
        <v>31888</v>
      </c>
      <c r="L8979" t="s">
        <v>5471</v>
      </c>
      <c r="M8979" t="s">
        <v>5471</v>
      </c>
    </row>
    <row r="8980" spans="1:13" x14ac:dyDescent="0.3">
      <c r="A8980" t="s">
        <v>3388</v>
      </c>
      <c r="B8980" t="s">
        <v>8799</v>
      </c>
      <c r="C8980" t="s">
        <v>5470</v>
      </c>
      <c r="D8980" t="s">
        <v>4119</v>
      </c>
      <c r="E8980" t="s">
        <v>5756</v>
      </c>
      <c r="F8980" t="s">
        <v>31889</v>
      </c>
      <c r="G8980" t="s">
        <v>15977</v>
      </c>
      <c r="H8980" t="s">
        <v>5474</v>
      </c>
      <c r="I8980" t="s">
        <v>31890</v>
      </c>
      <c r="J8980" t="s">
        <v>5484</v>
      </c>
      <c r="K8980" t="s">
        <v>31891</v>
      </c>
      <c r="L8980" t="s">
        <v>5471</v>
      </c>
      <c r="M8980" t="s">
        <v>5471</v>
      </c>
    </row>
    <row r="8981" spans="1:13" x14ac:dyDescent="0.3">
      <c r="A8981" t="s">
        <v>3388</v>
      </c>
      <c r="B8981" t="s">
        <v>5616</v>
      </c>
      <c r="C8981" t="s">
        <v>5470</v>
      </c>
      <c r="D8981" t="s">
        <v>4119</v>
      </c>
      <c r="E8981" t="s">
        <v>5532</v>
      </c>
      <c r="F8981" t="s">
        <v>31892</v>
      </c>
      <c r="G8981" t="s">
        <v>29444</v>
      </c>
      <c r="H8981" t="s">
        <v>5474</v>
      </c>
      <c r="I8981" t="s">
        <v>31893</v>
      </c>
      <c r="J8981" t="s">
        <v>5484</v>
      </c>
      <c r="K8981" t="s">
        <v>31894</v>
      </c>
      <c r="L8981" t="s">
        <v>5471</v>
      </c>
      <c r="M8981" t="s">
        <v>5471</v>
      </c>
    </row>
    <row r="8982" spans="1:13" x14ac:dyDescent="0.3">
      <c r="A8982" t="s">
        <v>3388</v>
      </c>
      <c r="B8982" t="s">
        <v>8799</v>
      </c>
      <c r="C8982" t="s">
        <v>5470</v>
      </c>
      <c r="D8982" t="s">
        <v>4119</v>
      </c>
      <c r="E8982" t="s">
        <v>5756</v>
      </c>
      <c r="F8982" t="s">
        <v>31895</v>
      </c>
      <c r="G8982" t="s">
        <v>15977</v>
      </c>
      <c r="H8982" t="s">
        <v>5474</v>
      </c>
      <c r="I8982" t="s">
        <v>31896</v>
      </c>
      <c r="J8982" t="s">
        <v>5484</v>
      </c>
      <c r="K8982" t="s">
        <v>31897</v>
      </c>
      <c r="L8982" t="s">
        <v>5471</v>
      </c>
      <c r="M8982" t="s">
        <v>5471</v>
      </c>
    </row>
    <row r="8983" spans="1:13" x14ac:dyDescent="0.3">
      <c r="A8983" t="s">
        <v>3388</v>
      </c>
      <c r="B8983" t="s">
        <v>5616</v>
      </c>
      <c r="C8983" t="s">
        <v>5470</v>
      </c>
      <c r="D8983" t="s">
        <v>4119</v>
      </c>
      <c r="E8983" t="s">
        <v>5532</v>
      </c>
      <c r="F8983" t="s">
        <v>31898</v>
      </c>
      <c r="G8983" t="s">
        <v>31541</v>
      </c>
      <c r="H8983" t="s">
        <v>5474</v>
      </c>
      <c r="I8983" t="s">
        <v>31899</v>
      </c>
      <c r="J8983" t="s">
        <v>5484</v>
      </c>
      <c r="K8983" t="s">
        <v>31900</v>
      </c>
      <c r="L8983" t="s">
        <v>5471</v>
      </c>
      <c r="M8983" t="s">
        <v>5471</v>
      </c>
    </row>
    <row r="8984" spans="1:13" x14ac:dyDescent="0.3">
      <c r="A8984" t="s">
        <v>3388</v>
      </c>
      <c r="B8984" t="s">
        <v>8799</v>
      </c>
      <c r="C8984" t="s">
        <v>5470</v>
      </c>
      <c r="D8984" t="s">
        <v>4119</v>
      </c>
      <c r="E8984" t="s">
        <v>5756</v>
      </c>
      <c r="F8984" t="s">
        <v>31901</v>
      </c>
      <c r="G8984" t="s">
        <v>15977</v>
      </c>
      <c r="H8984" t="s">
        <v>5474</v>
      </c>
      <c r="I8984" t="s">
        <v>31902</v>
      </c>
      <c r="J8984" t="s">
        <v>5484</v>
      </c>
      <c r="K8984" t="s">
        <v>31903</v>
      </c>
      <c r="L8984" t="s">
        <v>5471</v>
      </c>
      <c r="M8984" t="s">
        <v>5471</v>
      </c>
    </row>
    <row r="8985" spans="1:13" x14ac:dyDescent="0.3">
      <c r="A8985" t="s">
        <v>3388</v>
      </c>
      <c r="B8985" t="s">
        <v>5616</v>
      </c>
      <c r="C8985" t="s">
        <v>5470</v>
      </c>
      <c r="D8985" t="s">
        <v>4119</v>
      </c>
      <c r="E8985" t="s">
        <v>5532</v>
      </c>
      <c r="F8985" t="s">
        <v>31904</v>
      </c>
      <c r="G8985" t="s">
        <v>31545</v>
      </c>
      <c r="H8985" t="s">
        <v>5474</v>
      </c>
      <c r="I8985" t="s">
        <v>31905</v>
      </c>
      <c r="J8985" t="s">
        <v>5484</v>
      </c>
      <c r="K8985" t="s">
        <v>31906</v>
      </c>
      <c r="L8985" t="s">
        <v>5471</v>
      </c>
      <c r="M8985" t="s">
        <v>5471</v>
      </c>
    </row>
    <row r="8986" spans="1:13" x14ac:dyDescent="0.3">
      <c r="A8986" t="s">
        <v>3388</v>
      </c>
      <c r="B8986" t="s">
        <v>8799</v>
      </c>
      <c r="C8986" t="s">
        <v>5470</v>
      </c>
      <c r="D8986" t="s">
        <v>4119</v>
      </c>
      <c r="E8986" t="s">
        <v>5480</v>
      </c>
      <c r="F8986" t="s">
        <v>31907</v>
      </c>
      <c r="G8986" t="s">
        <v>31908</v>
      </c>
      <c r="H8986" t="s">
        <v>5474</v>
      </c>
      <c r="I8986" t="s">
        <v>31909</v>
      </c>
      <c r="J8986" t="s">
        <v>5484</v>
      </c>
      <c r="K8986" t="s">
        <v>31910</v>
      </c>
      <c r="L8986" t="s">
        <v>5471</v>
      </c>
      <c r="M8986" t="s">
        <v>5471</v>
      </c>
    </row>
    <row r="8987" spans="1:13" x14ac:dyDescent="0.3">
      <c r="A8987" t="s">
        <v>3388</v>
      </c>
      <c r="B8987" t="s">
        <v>5616</v>
      </c>
      <c r="C8987" t="s">
        <v>5470</v>
      </c>
      <c r="D8987" t="s">
        <v>4119</v>
      </c>
      <c r="E8987" t="s">
        <v>5532</v>
      </c>
      <c r="F8987" t="s">
        <v>31911</v>
      </c>
      <c r="G8987" t="s">
        <v>29434</v>
      </c>
      <c r="H8987" t="s">
        <v>5474</v>
      </c>
      <c r="I8987" t="s">
        <v>31912</v>
      </c>
      <c r="J8987" t="s">
        <v>5484</v>
      </c>
      <c r="K8987" t="s">
        <v>31913</v>
      </c>
      <c r="L8987" t="s">
        <v>5471</v>
      </c>
      <c r="M8987" t="s">
        <v>5471</v>
      </c>
    </row>
    <row r="8988" spans="1:13" x14ac:dyDescent="0.3">
      <c r="A8988" t="s">
        <v>3388</v>
      </c>
      <c r="B8988" t="s">
        <v>8799</v>
      </c>
      <c r="C8988" t="s">
        <v>5470</v>
      </c>
      <c r="D8988" t="s">
        <v>4119</v>
      </c>
      <c r="E8988" t="s">
        <v>5480</v>
      </c>
      <c r="F8988" t="s">
        <v>31914</v>
      </c>
      <c r="G8988" t="s">
        <v>31915</v>
      </c>
      <c r="H8988" t="s">
        <v>5474</v>
      </c>
      <c r="I8988" t="s">
        <v>31916</v>
      </c>
      <c r="J8988" t="s">
        <v>5484</v>
      </c>
      <c r="K8988" t="s">
        <v>31917</v>
      </c>
      <c r="L8988" t="s">
        <v>5471</v>
      </c>
      <c r="M8988" t="s">
        <v>5471</v>
      </c>
    </row>
    <row r="8989" spans="1:13" x14ac:dyDescent="0.3">
      <c r="A8989" t="s">
        <v>3388</v>
      </c>
      <c r="B8989" t="s">
        <v>5616</v>
      </c>
      <c r="C8989" t="s">
        <v>5470</v>
      </c>
      <c r="D8989" t="s">
        <v>4119</v>
      </c>
      <c r="E8989" t="s">
        <v>5532</v>
      </c>
      <c r="F8989" t="s">
        <v>31918</v>
      </c>
      <c r="G8989" t="s">
        <v>21502</v>
      </c>
      <c r="H8989" t="s">
        <v>5474</v>
      </c>
      <c r="I8989" t="s">
        <v>31919</v>
      </c>
      <c r="J8989" t="s">
        <v>5484</v>
      </c>
      <c r="K8989" t="s">
        <v>31920</v>
      </c>
      <c r="L8989" t="s">
        <v>5471</v>
      </c>
      <c r="M8989" t="s">
        <v>5471</v>
      </c>
    </row>
    <row r="8990" spans="1:13" x14ac:dyDescent="0.3">
      <c r="A8990" t="s">
        <v>3388</v>
      </c>
      <c r="B8990" t="s">
        <v>8799</v>
      </c>
      <c r="C8990" t="s">
        <v>5470</v>
      </c>
      <c r="D8990" t="s">
        <v>4119</v>
      </c>
      <c r="E8990" t="s">
        <v>5480</v>
      </c>
      <c r="F8990" t="s">
        <v>31921</v>
      </c>
      <c r="G8990" t="s">
        <v>31922</v>
      </c>
      <c r="H8990" t="s">
        <v>5474</v>
      </c>
      <c r="I8990" t="s">
        <v>31923</v>
      </c>
      <c r="J8990" t="s">
        <v>5484</v>
      </c>
      <c r="K8990" t="s">
        <v>31924</v>
      </c>
      <c r="L8990" t="s">
        <v>5471</v>
      </c>
      <c r="M8990" t="s">
        <v>5471</v>
      </c>
    </row>
    <row r="8991" spans="1:13" x14ac:dyDescent="0.3">
      <c r="A8991" t="s">
        <v>3388</v>
      </c>
      <c r="B8991" t="s">
        <v>19988</v>
      </c>
      <c r="C8991" t="s">
        <v>5470</v>
      </c>
      <c r="D8991" t="s">
        <v>4119</v>
      </c>
      <c r="E8991" t="s">
        <v>5532</v>
      </c>
      <c r="F8991" t="s">
        <v>31925</v>
      </c>
      <c r="G8991" t="s">
        <v>29423</v>
      </c>
      <c r="H8991" t="s">
        <v>5474</v>
      </c>
      <c r="I8991" t="s">
        <v>31926</v>
      </c>
      <c r="J8991" t="s">
        <v>5484</v>
      </c>
      <c r="K8991" t="s">
        <v>31927</v>
      </c>
      <c r="L8991" t="s">
        <v>5471</v>
      </c>
      <c r="M8991" t="s">
        <v>5471</v>
      </c>
    </row>
    <row r="8992" spans="1:13" x14ac:dyDescent="0.3">
      <c r="A8992" t="s">
        <v>3388</v>
      </c>
      <c r="B8992" t="s">
        <v>8799</v>
      </c>
      <c r="C8992" t="s">
        <v>5470</v>
      </c>
      <c r="D8992" t="s">
        <v>4119</v>
      </c>
      <c r="E8992" t="s">
        <v>5617</v>
      </c>
      <c r="F8992" t="s">
        <v>31928</v>
      </c>
      <c r="G8992" t="s">
        <v>31929</v>
      </c>
      <c r="H8992" t="s">
        <v>5474</v>
      </c>
      <c r="I8992" t="s">
        <v>31930</v>
      </c>
      <c r="J8992" t="s">
        <v>5484</v>
      </c>
      <c r="K8992" t="s">
        <v>31931</v>
      </c>
      <c r="L8992" t="s">
        <v>5471</v>
      </c>
      <c r="M8992" t="s">
        <v>5471</v>
      </c>
    </row>
    <row r="8993" spans="1:13" x14ac:dyDescent="0.3">
      <c r="A8993" t="s">
        <v>3388</v>
      </c>
      <c r="B8993" t="s">
        <v>19024</v>
      </c>
      <c r="C8993" t="s">
        <v>5470</v>
      </c>
      <c r="D8993" t="s">
        <v>4119</v>
      </c>
      <c r="E8993" t="s">
        <v>5532</v>
      </c>
      <c r="F8993" t="s">
        <v>31932</v>
      </c>
      <c r="G8993" t="s">
        <v>30485</v>
      </c>
      <c r="H8993" t="s">
        <v>5474</v>
      </c>
      <c r="I8993" t="s">
        <v>31933</v>
      </c>
      <c r="J8993" t="s">
        <v>5484</v>
      </c>
      <c r="K8993" t="s">
        <v>31934</v>
      </c>
      <c r="L8993" t="s">
        <v>5471</v>
      </c>
      <c r="M8993" t="s">
        <v>5471</v>
      </c>
    </row>
    <row r="8994" spans="1:13" x14ac:dyDescent="0.3">
      <c r="A8994" t="s">
        <v>3388</v>
      </c>
      <c r="B8994" t="s">
        <v>8799</v>
      </c>
      <c r="C8994" t="s">
        <v>5470</v>
      </c>
      <c r="D8994" t="s">
        <v>4119</v>
      </c>
      <c r="E8994" t="s">
        <v>5617</v>
      </c>
      <c r="F8994" t="s">
        <v>31935</v>
      </c>
      <c r="G8994" t="s">
        <v>31936</v>
      </c>
      <c r="H8994" t="s">
        <v>5474</v>
      </c>
      <c r="I8994" t="s">
        <v>31937</v>
      </c>
      <c r="J8994" t="s">
        <v>5484</v>
      </c>
      <c r="K8994" t="s">
        <v>31938</v>
      </c>
      <c r="L8994" t="s">
        <v>5471</v>
      </c>
      <c r="M8994" t="s">
        <v>5471</v>
      </c>
    </row>
    <row r="8995" spans="1:13" x14ac:dyDescent="0.3">
      <c r="A8995" t="s">
        <v>3388</v>
      </c>
      <c r="B8995" t="s">
        <v>8799</v>
      </c>
      <c r="C8995" t="s">
        <v>5470</v>
      </c>
      <c r="D8995" t="s">
        <v>4119</v>
      </c>
      <c r="E8995" t="s">
        <v>5617</v>
      </c>
      <c r="F8995" t="s">
        <v>31939</v>
      </c>
      <c r="G8995" t="s">
        <v>31940</v>
      </c>
      <c r="H8995" t="s">
        <v>5474</v>
      </c>
      <c r="I8995" t="s">
        <v>31941</v>
      </c>
      <c r="J8995" t="s">
        <v>5484</v>
      </c>
      <c r="K8995" t="s">
        <v>31942</v>
      </c>
      <c r="L8995" t="s">
        <v>5471</v>
      </c>
      <c r="M8995" t="s">
        <v>5471</v>
      </c>
    </row>
    <row r="8996" spans="1:13" x14ac:dyDescent="0.3">
      <c r="A8996" t="s">
        <v>3388</v>
      </c>
      <c r="B8996" t="s">
        <v>24923</v>
      </c>
      <c r="C8996" t="s">
        <v>5470</v>
      </c>
      <c r="D8996" t="s">
        <v>4119</v>
      </c>
      <c r="E8996" t="s">
        <v>5532</v>
      </c>
      <c r="F8996" t="s">
        <v>31943</v>
      </c>
      <c r="G8996" t="s">
        <v>29434</v>
      </c>
      <c r="H8996" t="s">
        <v>5474</v>
      </c>
      <c r="I8996" t="s">
        <v>31944</v>
      </c>
      <c r="J8996" t="s">
        <v>5484</v>
      </c>
      <c r="K8996" t="s">
        <v>31945</v>
      </c>
      <c r="L8996" t="s">
        <v>5471</v>
      </c>
      <c r="M8996" t="s">
        <v>5471</v>
      </c>
    </row>
    <row r="8997" spans="1:13" x14ac:dyDescent="0.3">
      <c r="A8997" t="s">
        <v>3388</v>
      </c>
      <c r="B8997" t="s">
        <v>8799</v>
      </c>
      <c r="C8997" t="s">
        <v>5470</v>
      </c>
      <c r="D8997" t="s">
        <v>4119</v>
      </c>
      <c r="E8997" t="s">
        <v>5617</v>
      </c>
      <c r="F8997" t="s">
        <v>31946</v>
      </c>
      <c r="G8997" t="s">
        <v>31947</v>
      </c>
      <c r="H8997" t="s">
        <v>5474</v>
      </c>
      <c r="I8997" t="s">
        <v>31948</v>
      </c>
      <c r="J8997" t="s">
        <v>5484</v>
      </c>
      <c r="K8997" t="s">
        <v>31949</v>
      </c>
      <c r="L8997" t="s">
        <v>5471</v>
      </c>
      <c r="M8997" t="s">
        <v>5471</v>
      </c>
    </row>
    <row r="8998" spans="1:13" x14ac:dyDescent="0.3">
      <c r="A8998" t="s">
        <v>3388</v>
      </c>
      <c r="B8998" t="s">
        <v>8799</v>
      </c>
      <c r="C8998" t="s">
        <v>5470</v>
      </c>
      <c r="D8998" t="s">
        <v>4119</v>
      </c>
      <c r="E8998" t="s">
        <v>5617</v>
      </c>
      <c r="F8998" t="s">
        <v>31950</v>
      </c>
      <c r="G8998" t="s">
        <v>31951</v>
      </c>
      <c r="H8998" t="s">
        <v>5474</v>
      </c>
      <c r="I8998" t="s">
        <v>31952</v>
      </c>
      <c r="J8998" t="s">
        <v>5484</v>
      </c>
      <c r="K8998" t="s">
        <v>31953</v>
      </c>
      <c r="L8998" t="s">
        <v>5471</v>
      </c>
      <c r="M8998" t="s">
        <v>5471</v>
      </c>
    </row>
    <row r="8999" spans="1:13" x14ac:dyDescent="0.3">
      <c r="A8999" t="s">
        <v>3388</v>
      </c>
      <c r="B8999" t="s">
        <v>6632</v>
      </c>
      <c r="C8999" t="s">
        <v>5470</v>
      </c>
      <c r="D8999" t="s">
        <v>4119</v>
      </c>
      <c r="E8999" t="s">
        <v>5617</v>
      </c>
      <c r="F8999" t="s">
        <v>31954</v>
      </c>
      <c r="G8999" t="s">
        <v>31955</v>
      </c>
      <c r="H8999" t="s">
        <v>5474</v>
      </c>
      <c r="I8999" t="s">
        <v>31956</v>
      </c>
      <c r="J8999" t="s">
        <v>5484</v>
      </c>
      <c r="K8999" t="s">
        <v>31957</v>
      </c>
      <c r="L8999" t="s">
        <v>5471</v>
      </c>
      <c r="M8999" t="s">
        <v>5471</v>
      </c>
    </row>
    <row r="9000" spans="1:13" x14ac:dyDescent="0.3">
      <c r="A9000" t="s">
        <v>3388</v>
      </c>
      <c r="B9000" t="s">
        <v>8799</v>
      </c>
      <c r="C9000" t="s">
        <v>5470</v>
      </c>
      <c r="D9000" t="s">
        <v>4119</v>
      </c>
      <c r="E9000" t="s">
        <v>5617</v>
      </c>
      <c r="F9000" t="s">
        <v>31958</v>
      </c>
      <c r="G9000" t="s">
        <v>31959</v>
      </c>
      <c r="H9000" t="s">
        <v>5474</v>
      </c>
      <c r="I9000" t="s">
        <v>31960</v>
      </c>
      <c r="J9000" t="s">
        <v>5484</v>
      </c>
      <c r="K9000" t="s">
        <v>31961</v>
      </c>
      <c r="L9000" t="s">
        <v>5471</v>
      </c>
      <c r="M9000" t="s">
        <v>5471</v>
      </c>
    </row>
    <row r="9001" spans="1:13" x14ac:dyDescent="0.3">
      <c r="A9001" t="s">
        <v>3388</v>
      </c>
      <c r="B9001" t="s">
        <v>6632</v>
      </c>
      <c r="C9001" t="s">
        <v>5470</v>
      </c>
      <c r="D9001" t="s">
        <v>4119</v>
      </c>
      <c r="E9001" t="s">
        <v>5617</v>
      </c>
      <c r="F9001" t="s">
        <v>31962</v>
      </c>
      <c r="G9001" t="s">
        <v>22922</v>
      </c>
      <c r="H9001" t="s">
        <v>5474</v>
      </c>
      <c r="I9001" t="s">
        <v>31963</v>
      </c>
      <c r="J9001" t="s">
        <v>5484</v>
      </c>
      <c r="K9001" t="s">
        <v>31964</v>
      </c>
      <c r="L9001" t="s">
        <v>5471</v>
      </c>
      <c r="M9001" t="s">
        <v>5471</v>
      </c>
    </row>
    <row r="9002" spans="1:13" x14ac:dyDescent="0.3">
      <c r="A9002" t="s">
        <v>3388</v>
      </c>
      <c r="B9002" t="s">
        <v>8799</v>
      </c>
      <c r="C9002" t="s">
        <v>5470</v>
      </c>
      <c r="D9002" t="s">
        <v>4119</v>
      </c>
      <c r="E9002" t="s">
        <v>5617</v>
      </c>
      <c r="F9002" t="s">
        <v>31965</v>
      </c>
      <c r="G9002" t="s">
        <v>31966</v>
      </c>
      <c r="H9002" t="s">
        <v>5474</v>
      </c>
      <c r="I9002" t="s">
        <v>31967</v>
      </c>
      <c r="J9002" t="s">
        <v>5484</v>
      </c>
      <c r="K9002" t="s">
        <v>31968</v>
      </c>
      <c r="L9002" t="s">
        <v>5471</v>
      </c>
      <c r="M9002" t="s">
        <v>5471</v>
      </c>
    </row>
    <row r="9003" spans="1:13" x14ac:dyDescent="0.3">
      <c r="A9003" t="s">
        <v>3388</v>
      </c>
      <c r="B9003" t="s">
        <v>6632</v>
      </c>
      <c r="C9003" t="s">
        <v>5470</v>
      </c>
      <c r="D9003" t="s">
        <v>4119</v>
      </c>
      <c r="E9003" t="s">
        <v>5617</v>
      </c>
      <c r="F9003" t="s">
        <v>31969</v>
      </c>
      <c r="G9003" t="s">
        <v>22932</v>
      </c>
      <c r="H9003" t="s">
        <v>5474</v>
      </c>
      <c r="I9003" t="s">
        <v>31970</v>
      </c>
      <c r="J9003" t="s">
        <v>5484</v>
      </c>
      <c r="K9003" t="s">
        <v>31971</v>
      </c>
      <c r="L9003" t="s">
        <v>5471</v>
      </c>
      <c r="M9003" t="s">
        <v>5471</v>
      </c>
    </row>
    <row r="9004" spans="1:13" x14ac:dyDescent="0.3">
      <c r="A9004" t="s">
        <v>3388</v>
      </c>
      <c r="B9004" t="s">
        <v>8799</v>
      </c>
      <c r="C9004" t="s">
        <v>5470</v>
      </c>
      <c r="D9004" t="s">
        <v>4119</v>
      </c>
      <c r="E9004" t="s">
        <v>5617</v>
      </c>
      <c r="F9004" t="s">
        <v>31972</v>
      </c>
      <c r="G9004" t="s">
        <v>31973</v>
      </c>
      <c r="H9004" t="s">
        <v>5474</v>
      </c>
      <c r="I9004" t="s">
        <v>31974</v>
      </c>
      <c r="J9004" t="s">
        <v>5484</v>
      </c>
      <c r="K9004" t="s">
        <v>31975</v>
      </c>
      <c r="L9004" t="s">
        <v>5471</v>
      </c>
      <c r="M9004" t="s">
        <v>5471</v>
      </c>
    </row>
    <row r="9005" spans="1:13" x14ac:dyDescent="0.3">
      <c r="A9005" t="s">
        <v>3388</v>
      </c>
      <c r="B9005" t="s">
        <v>8799</v>
      </c>
      <c r="C9005" t="s">
        <v>5470</v>
      </c>
      <c r="D9005" t="s">
        <v>4119</v>
      </c>
      <c r="E9005" t="s">
        <v>5532</v>
      </c>
      <c r="F9005" t="s">
        <v>31976</v>
      </c>
      <c r="G9005" t="s">
        <v>30518</v>
      </c>
      <c r="H9005" t="s">
        <v>5474</v>
      </c>
      <c r="I9005" t="s">
        <v>31977</v>
      </c>
      <c r="J9005" t="s">
        <v>5484</v>
      </c>
      <c r="K9005" t="s">
        <v>31978</v>
      </c>
      <c r="L9005" t="s">
        <v>5471</v>
      </c>
      <c r="M9005" t="s">
        <v>5471</v>
      </c>
    </row>
    <row r="9006" spans="1:13" x14ac:dyDescent="0.3">
      <c r="A9006" t="s">
        <v>3388</v>
      </c>
      <c r="B9006" t="s">
        <v>6632</v>
      </c>
      <c r="C9006" t="s">
        <v>5470</v>
      </c>
      <c r="D9006" t="s">
        <v>4119</v>
      </c>
      <c r="E9006" t="s">
        <v>5617</v>
      </c>
      <c r="F9006" t="s">
        <v>31979</v>
      </c>
      <c r="G9006" t="s">
        <v>31980</v>
      </c>
      <c r="H9006" t="s">
        <v>5474</v>
      </c>
      <c r="I9006" t="s">
        <v>31981</v>
      </c>
      <c r="J9006" t="s">
        <v>5484</v>
      </c>
      <c r="K9006" t="s">
        <v>31982</v>
      </c>
      <c r="L9006" t="s">
        <v>5471</v>
      </c>
      <c r="M9006" t="s">
        <v>5471</v>
      </c>
    </row>
    <row r="9007" spans="1:13" x14ac:dyDescent="0.3">
      <c r="A9007" t="s">
        <v>3388</v>
      </c>
      <c r="B9007" t="s">
        <v>8799</v>
      </c>
      <c r="C9007" t="s">
        <v>5470</v>
      </c>
      <c r="D9007" t="s">
        <v>4119</v>
      </c>
      <c r="E9007" t="s">
        <v>5532</v>
      </c>
      <c r="F9007" t="s">
        <v>31983</v>
      </c>
      <c r="G9007" t="s">
        <v>29444</v>
      </c>
      <c r="H9007" t="s">
        <v>5474</v>
      </c>
      <c r="I9007" t="s">
        <v>31984</v>
      </c>
      <c r="J9007" t="s">
        <v>5484</v>
      </c>
      <c r="K9007" t="s">
        <v>31985</v>
      </c>
      <c r="L9007" t="s">
        <v>5471</v>
      </c>
      <c r="M9007" t="s">
        <v>5471</v>
      </c>
    </row>
    <row r="9008" spans="1:13" x14ac:dyDescent="0.3">
      <c r="A9008" t="s">
        <v>3388</v>
      </c>
      <c r="B9008" t="s">
        <v>6632</v>
      </c>
      <c r="C9008" t="s">
        <v>5470</v>
      </c>
      <c r="D9008" t="s">
        <v>4119</v>
      </c>
      <c r="E9008" t="s">
        <v>5617</v>
      </c>
      <c r="F9008" t="s">
        <v>31986</v>
      </c>
      <c r="G9008" t="s">
        <v>31987</v>
      </c>
      <c r="H9008" t="s">
        <v>5474</v>
      </c>
      <c r="I9008" t="s">
        <v>31988</v>
      </c>
      <c r="J9008" t="s">
        <v>5484</v>
      </c>
      <c r="K9008" t="s">
        <v>31989</v>
      </c>
      <c r="L9008" t="s">
        <v>5471</v>
      </c>
      <c r="M9008" t="s">
        <v>5471</v>
      </c>
    </row>
    <row r="9009" spans="1:13" x14ac:dyDescent="0.3">
      <c r="A9009" t="s">
        <v>3388</v>
      </c>
      <c r="B9009" t="s">
        <v>8799</v>
      </c>
      <c r="C9009" t="s">
        <v>5470</v>
      </c>
      <c r="D9009" t="s">
        <v>4119</v>
      </c>
      <c r="E9009" t="s">
        <v>5532</v>
      </c>
      <c r="F9009" t="s">
        <v>31990</v>
      </c>
      <c r="G9009" t="s">
        <v>18927</v>
      </c>
      <c r="H9009" t="s">
        <v>5474</v>
      </c>
      <c r="I9009" t="s">
        <v>31991</v>
      </c>
      <c r="J9009" t="s">
        <v>5484</v>
      </c>
      <c r="K9009" t="s">
        <v>31992</v>
      </c>
      <c r="L9009" t="s">
        <v>5471</v>
      </c>
      <c r="M9009" t="s">
        <v>5471</v>
      </c>
    </row>
    <row r="9010" spans="1:13" x14ac:dyDescent="0.3">
      <c r="A9010" t="s">
        <v>3388</v>
      </c>
      <c r="B9010" t="s">
        <v>6632</v>
      </c>
      <c r="C9010" t="s">
        <v>5470</v>
      </c>
      <c r="D9010" t="s">
        <v>4119</v>
      </c>
      <c r="E9010" t="s">
        <v>5617</v>
      </c>
      <c r="F9010" t="s">
        <v>31993</v>
      </c>
      <c r="G9010" t="s">
        <v>31994</v>
      </c>
      <c r="H9010" t="s">
        <v>5474</v>
      </c>
      <c r="I9010" t="s">
        <v>31995</v>
      </c>
      <c r="J9010" t="s">
        <v>5484</v>
      </c>
      <c r="K9010" t="s">
        <v>31996</v>
      </c>
      <c r="L9010" t="s">
        <v>5471</v>
      </c>
      <c r="M9010" t="s">
        <v>5471</v>
      </c>
    </row>
    <row r="9011" spans="1:13" x14ac:dyDescent="0.3">
      <c r="A9011" t="s">
        <v>3388</v>
      </c>
      <c r="B9011" t="s">
        <v>8799</v>
      </c>
      <c r="C9011" t="s">
        <v>5470</v>
      </c>
      <c r="D9011" t="s">
        <v>4119</v>
      </c>
      <c r="E9011" t="s">
        <v>5532</v>
      </c>
      <c r="F9011" t="s">
        <v>31997</v>
      </c>
      <c r="G9011" t="s">
        <v>18769</v>
      </c>
      <c r="H9011" t="s">
        <v>5474</v>
      </c>
      <c r="I9011" t="s">
        <v>31998</v>
      </c>
      <c r="J9011" t="s">
        <v>5484</v>
      </c>
      <c r="K9011" t="s">
        <v>31999</v>
      </c>
      <c r="L9011" t="s">
        <v>5471</v>
      </c>
      <c r="M9011" t="s">
        <v>5471</v>
      </c>
    </row>
    <row r="9012" spans="1:13" x14ac:dyDescent="0.3">
      <c r="A9012" t="s">
        <v>3388</v>
      </c>
      <c r="B9012" t="s">
        <v>6632</v>
      </c>
      <c r="C9012" t="s">
        <v>5470</v>
      </c>
      <c r="D9012" t="s">
        <v>4119</v>
      </c>
      <c r="E9012" t="s">
        <v>5617</v>
      </c>
      <c r="F9012" t="s">
        <v>32000</v>
      </c>
      <c r="G9012" t="s">
        <v>22963</v>
      </c>
      <c r="H9012" t="s">
        <v>5474</v>
      </c>
      <c r="I9012" t="s">
        <v>32001</v>
      </c>
      <c r="J9012" t="s">
        <v>5484</v>
      </c>
      <c r="K9012" t="s">
        <v>32002</v>
      </c>
      <c r="L9012" t="s">
        <v>5471</v>
      </c>
      <c r="M9012" t="s">
        <v>5471</v>
      </c>
    </row>
    <row r="9013" spans="1:13" x14ac:dyDescent="0.3">
      <c r="A9013" t="s">
        <v>3388</v>
      </c>
      <c r="B9013" t="s">
        <v>8799</v>
      </c>
      <c r="C9013" t="s">
        <v>5470</v>
      </c>
      <c r="D9013" t="s">
        <v>4119</v>
      </c>
      <c r="E9013" t="s">
        <v>5532</v>
      </c>
      <c r="F9013" t="s">
        <v>32003</v>
      </c>
      <c r="G9013" t="s">
        <v>31732</v>
      </c>
      <c r="H9013" t="s">
        <v>5474</v>
      </c>
      <c r="I9013" t="s">
        <v>32004</v>
      </c>
      <c r="J9013" t="s">
        <v>5484</v>
      </c>
      <c r="K9013" t="s">
        <v>32005</v>
      </c>
      <c r="L9013" t="s">
        <v>5471</v>
      </c>
      <c r="M9013" t="s">
        <v>5471</v>
      </c>
    </row>
    <row r="9014" spans="1:13" x14ac:dyDescent="0.3">
      <c r="A9014" t="s">
        <v>3388</v>
      </c>
      <c r="B9014" t="s">
        <v>6632</v>
      </c>
      <c r="C9014" t="s">
        <v>5470</v>
      </c>
      <c r="D9014" t="s">
        <v>4119</v>
      </c>
      <c r="E9014" t="s">
        <v>5617</v>
      </c>
      <c r="F9014" t="s">
        <v>32006</v>
      </c>
      <c r="G9014" t="s">
        <v>22983</v>
      </c>
      <c r="H9014" t="s">
        <v>5474</v>
      </c>
      <c r="I9014" t="s">
        <v>32007</v>
      </c>
      <c r="J9014" t="s">
        <v>5484</v>
      </c>
      <c r="K9014" t="s">
        <v>32008</v>
      </c>
      <c r="L9014" t="s">
        <v>5471</v>
      </c>
      <c r="M9014" t="s">
        <v>5471</v>
      </c>
    </row>
    <row r="9015" spans="1:13" x14ac:dyDescent="0.3">
      <c r="A9015" t="s">
        <v>3388</v>
      </c>
      <c r="B9015" t="s">
        <v>8799</v>
      </c>
      <c r="C9015" t="s">
        <v>5470</v>
      </c>
      <c r="D9015" t="s">
        <v>4119</v>
      </c>
      <c r="E9015" t="s">
        <v>5532</v>
      </c>
      <c r="F9015" t="s">
        <v>32009</v>
      </c>
      <c r="G9015" t="s">
        <v>32010</v>
      </c>
      <c r="H9015" t="s">
        <v>5474</v>
      </c>
      <c r="I9015" t="s">
        <v>32011</v>
      </c>
      <c r="J9015" t="s">
        <v>5484</v>
      </c>
      <c r="K9015" t="s">
        <v>32012</v>
      </c>
      <c r="L9015" t="s">
        <v>5471</v>
      </c>
      <c r="M9015" t="s">
        <v>5471</v>
      </c>
    </row>
    <row r="9016" spans="1:13" x14ac:dyDescent="0.3">
      <c r="A9016" t="s">
        <v>3388</v>
      </c>
      <c r="B9016" t="s">
        <v>6632</v>
      </c>
      <c r="C9016" t="s">
        <v>5470</v>
      </c>
      <c r="D9016" t="s">
        <v>4119</v>
      </c>
      <c r="E9016" t="s">
        <v>5617</v>
      </c>
      <c r="F9016" t="s">
        <v>32013</v>
      </c>
      <c r="G9016" t="s">
        <v>22993</v>
      </c>
      <c r="H9016" t="s">
        <v>5474</v>
      </c>
      <c r="I9016" t="s">
        <v>32014</v>
      </c>
      <c r="J9016" t="s">
        <v>5484</v>
      </c>
      <c r="K9016" t="s">
        <v>32015</v>
      </c>
      <c r="L9016" t="s">
        <v>5471</v>
      </c>
      <c r="M9016" t="s">
        <v>5471</v>
      </c>
    </row>
    <row r="9017" spans="1:13" x14ac:dyDescent="0.3">
      <c r="A9017" t="s">
        <v>3388</v>
      </c>
      <c r="B9017" t="s">
        <v>8799</v>
      </c>
      <c r="C9017" t="s">
        <v>5470</v>
      </c>
      <c r="D9017" t="s">
        <v>4119</v>
      </c>
      <c r="E9017" t="s">
        <v>5532</v>
      </c>
      <c r="F9017" t="s">
        <v>32016</v>
      </c>
      <c r="G9017" t="s">
        <v>21565</v>
      </c>
      <c r="H9017" t="s">
        <v>5474</v>
      </c>
      <c r="I9017" t="s">
        <v>32017</v>
      </c>
      <c r="J9017" t="s">
        <v>5484</v>
      </c>
      <c r="K9017" t="s">
        <v>32018</v>
      </c>
      <c r="L9017" t="s">
        <v>5471</v>
      </c>
      <c r="M9017" t="s">
        <v>5471</v>
      </c>
    </row>
    <row r="9018" spans="1:13" x14ac:dyDescent="0.3">
      <c r="A9018" t="s">
        <v>3388</v>
      </c>
      <c r="B9018" t="s">
        <v>6632</v>
      </c>
      <c r="C9018" t="s">
        <v>5470</v>
      </c>
      <c r="D9018" t="s">
        <v>4119</v>
      </c>
      <c r="E9018" t="s">
        <v>5617</v>
      </c>
      <c r="F9018" t="s">
        <v>32019</v>
      </c>
      <c r="G9018" t="s">
        <v>22997</v>
      </c>
      <c r="H9018" t="s">
        <v>5474</v>
      </c>
      <c r="I9018" t="s">
        <v>32020</v>
      </c>
      <c r="J9018" t="s">
        <v>5484</v>
      </c>
      <c r="K9018" t="s">
        <v>32021</v>
      </c>
      <c r="L9018" t="s">
        <v>5471</v>
      </c>
      <c r="M9018" t="s">
        <v>5471</v>
      </c>
    </row>
    <row r="9019" spans="1:13" x14ac:dyDescent="0.3">
      <c r="A9019" t="s">
        <v>3388</v>
      </c>
      <c r="B9019" t="s">
        <v>8799</v>
      </c>
      <c r="C9019" t="s">
        <v>5470</v>
      </c>
      <c r="D9019" t="s">
        <v>4119</v>
      </c>
      <c r="E9019" t="s">
        <v>5756</v>
      </c>
      <c r="F9019" t="s">
        <v>32022</v>
      </c>
      <c r="G9019" t="s">
        <v>15977</v>
      </c>
      <c r="H9019" t="s">
        <v>5474</v>
      </c>
      <c r="I9019" t="s">
        <v>32023</v>
      </c>
      <c r="J9019" t="s">
        <v>5484</v>
      </c>
      <c r="K9019" t="s">
        <v>32024</v>
      </c>
      <c r="L9019" t="s">
        <v>5471</v>
      </c>
      <c r="M9019" t="s">
        <v>5471</v>
      </c>
    </row>
    <row r="9020" spans="1:13" x14ac:dyDescent="0.3">
      <c r="A9020" t="s">
        <v>3388</v>
      </c>
      <c r="B9020" t="s">
        <v>6632</v>
      </c>
      <c r="C9020" t="s">
        <v>5470</v>
      </c>
      <c r="D9020" t="s">
        <v>4119</v>
      </c>
      <c r="E9020" t="s">
        <v>5617</v>
      </c>
      <c r="F9020" t="s">
        <v>32025</v>
      </c>
      <c r="G9020" t="s">
        <v>23001</v>
      </c>
      <c r="H9020" t="s">
        <v>5474</v>
      </c>
      <c r="I9020" t="s">
        <v>32026</v>
      </c>
      <c r="J9020" t="s">
        <v>5484</v>
      </c>
      <c r="K9020" t="s">
        <v>32027</v>
      </c>
      <c r="L9020" t="s">
        <v>5471</v>
      </c>
      <c r="M9020" t="s">
        <v>5471</v>
      </c>
    </row>
    <row r="9021" spans="1:13" x14ac:dyDescent="0.3">
      <c r="A9021" t="s">
        <v>3388</v>
      </c>
      <c r="B9021" t="s">
        <v>8799</v>
      </c>
      <c r="C9021" t="s">
        <v>5470</v>
      </c>
      <c r="D9021" t="s">
        <v>4119</v>
      </c>
      <c r="E9021" t="s">
        <v>5756</v>
      </c>
      <c r="F9021" t="s">
        <v>32028</v>
      </c>
      <c r="G9021" t="s">
        <v>8370</v>
      </c>
      <c r="H9021" t="s">
        <v>5474</v>
      </c>
      <c r="I9021" t="s">
        <v>32029</v>
      </c>
      <c r="J9021" t="s">
        <v>5484</v>
      </c>
      <c r="K9021" t="s">
        <v>32030</v>
      </c>
      <c r="L9021" t="s">
        <v>5471</v>
      </c>
      <c r="M9021" t="s">
        <v>5471</v>
      </c>
    </row>
    <row r="9022" spans="1:13" x14ac:dyDescent="0.3">
      <c r="A9022" t="s">
        <v>3388</v>
      </c>
      <c r="B9022" t="s">
        <v>6632</v>
      </c>
      <c r="C9022" t="s">
        <v>5470</v>
      </c>
      <c r="D9022" t="s">
        <v>4119</v>
      </c>
      <c r="E9022" t="s">
        <v>5617</v>
      </c>
      <c r="F9022" t="s">
        <v>32031</v>
      </c>
      <c r="G9022" t="s">
        <v>32032</v>
      </c>
      <c r="H9022" t="s">
        <v>5474</v>
      </c>
      <c r="I9022" t="s">
        <v>32033</v>
      </c>
      <c r="J9022" t="s">
        <v>5484</v>
      </c>
      <c r="K9022" t="s">
        <v>32034</v>
      </c>
      <c r="L9022" t="s">
        <v>5471</v>
      </c>
      <c r="M9022" t="s">
        <v>5471</v>
      </c>
    </row>
    <row r="9023" spans="1:13" x14ac:dyDescent="0.3">
      <c r="A9023" t="s">
        <v>3388</v>
      </c>
      <c r="B9023" t="s">
        <v>6632</v>
      </c>
      <c r="C9023" t="s">
        <v>5470</v>
      </c>
      <c r="D9023" t="s">
        <v>4119</v>
      </c>
      <c r="E9023" t="s">
        <v>5617</v>
      </c>
      <c r="F9023" t="s">
        <v>32035</v>
      </c>
      <c r="G9023" t="s">
        <v>32036</v>
      </c>
      <c r="H9023" t="s">
        <v>5474</v>
      </c>
      <c r="I9023" t="s">
        <v>32037</v>
      </c>
      <c r="J9023" t="s">
        <v>5484</v>
      </c>
      <c r="K9023" t="s">
        <v>32038</v>
      </c>
      <c r="L9023" t="s">
        <v>5471</v>
      </c>
      <c r="M9023" t="s">
        <v>5471</v>
      </c>
    </row>
    <row r="9024" spans="1:13" x14ac:dyDescent="0.3">
      <c r="A9024" t="s">
        <v>3388</v>
      </c>
      <c r="B9024" t="s">
        <v>8799</v>
      </c>
      <c r="C9024" t="s">
        <v>5470</v>
      </c>
      <c r="D9024" t="s">
        <v>4119</v>
      </c>
      <c r="E9024" t="s">
        <v>5756</v>
      </c>
      <c r="F9024" t="s">
        <v>32039</v>
      </c>
      <c r="G9024" t="s">
        <v>32040</v>
      </c>
      <c r="H9024" t="s">
        <v>5474</v>
      </c>
      <c r="I9024" t="s">
        <v>32041</v>
      </c>
      <c r="J9024" t="s">
        <v>5484</v>
      </c>
      <c r="K9024" t="s">
        <v>32042</v>
      </c>
      <c r="L9024" t="s">
        <v>5471</v>
      </c>
      <c r="M9024" t="s">
        <v>5471</v>
      </c>
    </row>
    <row r="9025" spans="1:13" x14ac:dyDescent="0.3">
      <c r="A9025" t="s">
        <v>3388</v>
      </c>
      <c r="B9025" t="s">
        <v>6632</v>
      </c>
      <c r="C9025" t="s">
        <v>5470</v>
      </c>
      <c r="D9025" t="s">
        <v>4119</v>
      </c>
      <c r="E9025" t="s">
        <v>5617</v>
      </c>
      <c r="F9025" t="s">
        <v>32043</v>
      </c>
      <c r="G9025" t="s">
        <v>22949</v>
      </c>
      <c r="H9025" t="s">
        <v>5474</v>
      </c>
      <c r="I9025" t="s">
        <v>32044</v>
      </c>
      <c r="J9025" t="s">
        <v>5484</v>
      </c>
      <c r="K9025" t="s">
        <v>32045</v>
      </c>
      <c r="L9025" t="s">
        <v>5471</v>
      </c>
      <c r="M9025" t="s">
        <v>5471</v>
      </c>
    </row>
    <row r="9026" spans="1:13" x14ac:dyDescent="0.3">
      <c r="A9026" t="s">
        <v>3388</v>
      </c>
      <c r="B9026" t="s">
        <v>8799</v>
      </c>
      <c r="C9026" t="s">
        <v>5470</v>
      </c>
      <c r="D9026" t="s">
        <v>4119</v>
      </c>
      <c r="E9026" t="s">
        <v>5756</v>
      </c>
      <c r="F9026" t="s">
        <v>32046</v>
      </c>
      <c r="G9026" t="s">
        <v>15977</v>
      </c>
      <c r="H9026" t="s">
        <v>5474</v>
      </c>
      <c r="I9026" t="s">
        <v>32047</v>
      </c>
      <c r="J9026" t="s">
        <v>5484</v>
      </c>
      <c r="K9026" t="s">
        <v>32048</v>
      </c>
      <c r="L9026" t="s">
        <v>5471</v>
      </c>
      <c r="M9026" t="s">
        <v>5471</v>
      </c>
    </row>
    <row r="9027" spans="1:13" x14ac:dyDescent="0.3">
      <c r="A9027" t="s">
        <v>3388</v>
      </c>
      <c r="B9027" t="s">
        <v>6632</v>
      </c>
      <c r="C9027" t="s">
        <v>5470</v>
      </c>
      <c r="D9027" t="s">
        <v>4119</v>
      </c>
      <c r="E9027" t="s">
        <v>5617</v>
      </c>
      <c r="F9027" t="s">
        <v>32049</v>
      </c>
      <c r="G9027" t="s">
        <v>22956</v>
      </c>
      <c r="H9027" t="s">
        <v>5474</v>
      </c>
      <c r="I9027" t="s">
        <v>32050</v>
      </c>
      <c r="J9027" t="s">
        <v>5484</v>
      </c>
      <c r="K9027" t="s">
        <v>32051</v>
      </c>
      <c r="L9027" t="s">
        <v>5471</v>
      </c>
      <c r="M9027" t="s">
        <v>5471</v>
      </c>
    </row>
    <row r="9028" spans="1:13" x14ac:dyDescent="0.3">
      <c r="A9028" t="s">
        <v>3388</v>
      </c>
      <c r="B9028" t="s">
        <v>19988</v>
      </c>
      <c r="C9028" t="s">
        <v>5470</v>
      </c>
      <c r="D9028" t="s">
        <v>4119</v>
      </c>
      <c r="E9028" t="s">
        <v>5532</v>
      </c>
      <c r="F9028" t="s">
        <v>32052</v>
      </c>
      <c r="G9028" t="s">
        <v>18927</v>
      </c>
      <c r="H9028" t="s">
        <v>5474</v>
      </c>
      <c r="I9028" t="s">
        <v>32053</v>
      </c>
      <c r="J9028" t="s">
        <v>5484</v>
      </c>
      <c r="K9028" t="s">
        <v>32054</v>
      </c>
      <c r="L9028" t="s">
        <v>5471</v>
      </c>
      <c r="M9028" t="s">
        <v>5471</v>
      </c>
    </row>
    <row r="9029" spans="1:13" x14ac:dyDescent="0.3">
      <c r="A9029" t="s">
        <v>3388</v>
      </c>
      <c r="B9029" t="s">
        <v>6632</v>
      </c>
      <c r="C9029" t="s">
        <v>5470</v>
      </c>
      <c r="D9029" t="s">
        <v>4119</v>
      </c>
      <c r="E9029" t="s">
        <v>5617</v>
      </c>
      <c r="F9029" t="s">
        <v>32055</v>
      </c>
      <c r="G9029" t="s">
        <v>20172</v>
      </c>
      <c r="H9029" t="s">
        <v>5474</v>
      </c>
      <c r="I9029" t="s">
        <v>32056</v>
      </c>
      <c r="J9029" t="s">
        <v>5484</v>
      </c>
      <c r="K9029" t="s">
        <v>32057</v>
      </c>
      <c r="L9029" t="s">
        <v>5471</v>
      </c>
      <c r="M9029" t="s">
        <v>5471</v>
      </c>
    </row>
    <row r="9030" spans="1:13" x14ac:dyDescent="0.3">
      <c r="A9030" t="s">
        <v>3388</v>
      </c>
      <c r="B9030" t="s">
        <v>8656</v>
      </c>
      <c r="C9030" t="s">
        <v>5470</v>
      </c>
      <c r="D9030" t="s">
        <v>4119</v>
      </c>
      <c r="E9030" t="s">
        <v>5532</v>
      </c>
      <c r="F9030" t="s">
        <v>32058</v>
      </c>
      <c r="G9030" t="s">
        <v>18759</v>
      </c>
      <c r="H9030" t="s">
        <v>5474</v>
      </c>
      <c r="I9030" t="s">
        <v>32059</v>
      </c>
      <c r="J9030" t="s">
        <v>5484</v>
      </c>
      <c r="K9030" t="s">
        <v>32060</v>
      </c>
      <c r="L9030" t="s">
        <v>5471</v>
      </c>
      <c r="M9030" t="s">
        <v>5471</v>
      </c>
    </row>
    <row r="9031" spans="1:13" x14ac:dyDescent="0.3">
      <c r="A9031" t="s">
        <v>3388</v>
      </c>
      <c r="B9031" t="s">
        <v>6632</v>
      </c>
      <c r="C9031" t="s">
        <v>5470</v>
      </c>
      <c r="D9031" t="s">
        <v>4119</v>
      </c>
      <c r="E9031" t="s">
        <v>5617</v>
      </c>
      <c r="F9031" t="s">
        <v>32061</v>
      </c>
      <c r="G9031" t="s">
        <v>32062</v>
      </c>
      <c r="H9031" t="s">
        <v>5474</v>
      </c>
      <c r="I9031" t="s">
        <v>32063</v>
      </c>
      <c r="J9031" t="s">
        <v>5484</v>
      </c>
      <c r="K9031" t="s">
        <v>32064</v>
      </c>
      <c r="L9031" t="s">
        <v>5471</v>
      </c>
      <c r="M9031" t="s">
        <v>5471</v>
      </c>
    </row>
    <row r="9032" spans="1:13" x14ac:dyDescent="0.3">
      <c r="A9032" t="s">
        <v>3388</v>
      </c>
      <c r="B9032" t="s">
        <v>8656</v>
      </c>
      <c r="C9032" t="s">
        <v>5470</v>
      </c>
      <c r="D9032" t="s">
        <v>4119</v>
      </c>
      <c r="E9032" t="s">
        <v>5532</v>
      </c>
      <c r="F9032" t="s">
        <v>32065</v>
      </c>
      <c r="G9032" t="s">
        <v>18769</v>
      </c>
      <c r="H9032" t="s">
        <v>5474</v>
      </c>
      <c r="I9032" t="s">
        <v>32066</v>
      </c>
      <c r="J9032" t="s">
        <v>5484</v>
      </c>
      <c r="K9032" t="s">
        <v>32067</v>
      </c>
      <c r="L9032" t="s">
        <v>5471</v>
      </c>
      <c r="M9032" t="s">
        <v>5471</v>
      </c>
    </row>
    <row r="9033" spans="1:13" x14ac:dyDescent="0.3">
      <c r="A9033" t="s">
        <v>3388</v>
      </c>
      <c r="B9033" t="s">
        <v>6632</v>
      </c>
      <c r="C9033" t="s">
        <v>5470</v>
      </c>
      <c r="D9033" t="s">
        <v>4119</v>
      </c>
      <c r="E9033" t="s">
        <v>5532</v>
      </c>
      <c r="F9033" t="s">
        <v>32068</v>
      </c>
      <c r="G9033" t="s">
        <v>31555</v>
      </c>
      <c r="H9033" t="s">
        <v>5474</v>
      </c>
      <c r="I9033" t="s">
        <v>32069</v>
      </c>
      <c r="J9033" t="s">
        <v>5484</v>
      </c>
      <c r="K9033" t="s">
        <v>32070</v>
      </c>
      <c r="L9033" t="s">
        <v>5471</v>
      </c>
      <c r="M9033" t="s">
        <v>5471</v>
      </c>
    </row>
    <row r="9034" spans="1:13" x14ac:dyDescent="0.3">
      <c r="A9034" t="s">
        <v>3388</v>
      </c>
      <c r="B9034" t="s">
        <v>15822</v>
      </c>
      <c r="C9034" t="s">
        <v>5470</v>
      </c>
      <c r="D9034" t="s">
        <v>4119</v>
      </c>
      <c r="E9034" t="s">
        <v>5756</v>
      </c>
      <c r="F9034" t="s">
        <v>32071</v>
      </c>
      <c r="G9034" t="s">
        <v>8370</v>
      </c>
      <c r="H9034" t="s">
        <v>5474</v>
      </c>
      <c r="I9034" t="s">
        <v>32072</v>
      </c>
      <c r="J9034" t="s">
        <v>5484</v>
      </c>
      <c r="K9034" t="s">
        <v>32073</v>
      </c>
      <c r="L9034" t="s">
        <v>5471</v>
      </c>
      <c r="M9034" t="s">
        <v>5471</v>
      </c>
    </row>
    <row r="9035" spans="1:13" x14ac:dyDescent="0.3">
      <c r="A9035" t="s">
        <v>3388</v>
      </c>
      <c r="B9035" t="s">
        <v>6632</v>
      </c>
      <c r="C9035" t="s">
        <v>5470</v>
      </c>
      <c r="D9035" t="s">
        <v>4119</v>
      </c>
      <c r="E9035" t="s">
        <v>5532</v>
      </c>
      <c r="F9035" t="s">
        <v>32074</v>
      </c>
      <c r="G9035" t="s">
        <v>31559</v>
      </c>
      <c r="H9035" t="s">
        <v>5474</v>
      </c>
      <c r="I9035" t="s">
        <v>32075</v>
      </c>
      <c r="J9035" t="s">
        <v>5484</v>
      </c>
      <c r="K9035" t="s">
        <v>32076</v>
      </c>
      <c r="L9035" t="s">
        <v>5471</v>
      </c>
      <c r="M9035" t="s">
        <v>5471</v>
      </c>
    </row>
    <row r="9036" spans="1:13" x14ac:dyDescent="0.3">
      <c r="A9036" t="s">
        <v>3388</v>
      </c>
      <c r="B9036" t="s">
        <v>15822</v>
      </c>
      <c r="C9036" t="s">
        <v>5470</v>
      </c>
      <c r="D9036" t="s">
        <v>4119</v>
      </c>
      <c r="E9036" t="s">
        <v>5756</v>
      </c>
      <c r="F9036" t="s">
        <v>32077</v>
      </c>
      <c r="G9036" t="s">
        <v>8370</v>
      </c>
      <c r="H9036" t="s">
        <v>5474</v>
      </c>
      <c r="I9036" t="s">
        <v>32078</v>
      </c>
      <c r="J9036" t="s">
        <v>5484</v>
      </c>
      <c r="K9036" t="s">
        <v>32079</v>
      </c>
      <c r="L9036" t="s">
        <v>5471</v>
      </c>
      <c r="M9036" t="s">
        <v>5471</v>
      </c>
    </row>
    <row r="9037" spans="1:13" x14ac:dyDescent="0.3">
      <c r="A9037" t="s">
        <v>3388</v>
      </c>
      <c r="B9037" t="s">
        <v>6632</v>
      </c>
      <c r="C9037" t="s">
        <v>5470</v>
      </c>
      <c r="D9037" t="s">
        <v>4119</v>
      </c>
      <c r="E9037" t="s">
        <v>5532</v>
      </c>
      <c r="F9037" t="s">
        <v>32080</v>
      </c>
      <c r="G9037" t="s">
        <v>20429</v>
      </c>
      <c r="H9037" t="s">
        <v>5474</v>
      </c>
      <c r="I9037" t="s">
        <v>32081</v>
      </c>
      <c r="J9037" t="s">
        <v>5484</v>
      </c>
      <c r="K9037" t="s">
        <v>32082</v>
      </c>
      <c r="L9037" t="s">
        <v>5471</v>
      </c>
      <c r="M9037" t="s">
        <v>5471</v>
      </c>
    </row>
    <row r="9038" spans="1:13" x14ac:dyDescent="0.3">
      <c r="A9038" t="s">
        <v>3388</v>
      </c>
      <c r="B9038" t="s">
        <v>6632</v>
      </c>
      <c r="C9038" t="s">
        <v>5470</v>
      </c>
      <c r="D9038" t="s">
        <v>4119</v>
      </c>
      <c r="E9038" t="s">
        <v>5532</v>
      </c>
      <c r="F9038" t="s">
        <v>32083</v>
      </c>
      <c r="G9038" t="s">
        <v>18042</v>
      </c>
      <c r="H9038" t="s">
        <v>5474</v>
      </c>
      <c r="I9038" t="s">
        <v>32084</v>
      </c>
      <c r="J9038" t="s">
        <v>5484</v>
      </c>
      <c r="K9038" t="s">
        <v>32085</v>
      </c>
      <c r="L9038" t="s">
        <v>5471</v>
      </c>
      <c r="M9038" t="s">
        <v>5471</v>
      </c>
    </row>
    <row r="9039" spans="1:13" x14ac:dyDescent="0.3">
      <c r="A9039" t="s">
        <v>3388</v>
      </c>
      <c r="B9039" t="s">
        <v>6632</v>
      </c>
      <c r="C9039" t="s">
        <v>5470</v>
      </c>
      <c r="D9039" t="s">
        <v>4119</v>
      </c>
      <c r="E9039" t="s">
        <v>5532</v>
      </c>
      <c r="F9039" t="s">
        <v>32086</v>
      </c>
      <c r="G9039" t="s">
        <v>6542</v>
      </c>
      <c r="H9039" t="s">
        <v>5474</v>
      </c>
      <c r="I9039" t="s">
        <v>32087</v>
      </c>
      <c r="J9039" t="s">
        <v>5484</v>
      </c>
      <c r="K9039" t="s">
        <v>32088</v>
      </c>
      <c r="L9039" t="s">
        <v>5471</v>
      </c>
      <c r="M9039" t="s">
        <v>5471</v>
      </c>
    </row>
    <row r="9040" spans="1:13" x14ac:dyDescent="0.3">
      <c r="A9040" t="s">
        <v>3388</v>
      </c>
      <c r="B9040" t="s">
        <v>6632</v>
      </c>
      <c r="C9040" t="s">
        <v>5470</v>
      </c>
      <c r="D9040" t="s">
        <v>4119</v>
      </c>
      <c r="E9040" t="s">
        <v>5532</v>
      </c>
      <c r="F9040" t="s">
        <v>32089</v>
      </c>
      <c r="G9040" t="s">
        <v>24353</v>
      </c>
      <c r="H9040" t="s">
        <v>5474</v>
      </c>
      <c r="I9040" t="s">
        <v>32090</v>
      </c>
      <c r="J9040" t="s">
        <v>5484</v>
      </c>
      <c r="K9040" t="s">
        <v>32091</v>
      </c>
      <c r="L9040" t="s">
        <v>5471</v>
      </c>
      <c r="M9040" t="s">
        <v>5471</v>
      </c>
    </row>
    <row r="9041" spans="1:13" x14ac:dyDescent="0.3">
      <c r="A9041" t="s">
        <v>3388</v>
      </c>
      <c r="B9041" t="s">
        <v>6632</v>
      </c>
      <c r="C9041" t="s">
        <v>5470</v>
      </c>
      <c r="D9041" t="s">
        <v>4119</v>
      </c>
      <c r="E9041" t="s">
        <v>5532</v>
      </c>
      <c r="F9041" t="s">
        <v>32092</v>
      </c>
      <c r="G9041" t="s">
        <v>22282</v>
      </c>
      <c r="H9041" t="s">
        <v>5474</v>
      </c>
      <c r="I9041" t="s">
        <v>32093</v>
      </c>
      <c r="J9041" t="s">
        <v>5484</v>
      </c>
      <c r="K9041" t="s">
        <v>32094</v>
      </c>
      <c r="L9041" t="s">
        <v>5471</v>
      </c>
      <c r="M9041" t="s">
        <v>5471</v>
      </c>
    </row>
    <row r="9042" spans="1:13" x14ac:dyDescent="0.3">
      <c r="A9042" t="s">
        <v>3388</v>
      </c>
      <c r="B9042" t="s">
        <v>6632</v>
      </c>
      <c r="C9042" t="s">
        <v>5470</v>
      </c>
      <c r="D9042" t="s">
        <v>4119</v>
      </c>
      <c r="E9042" t="s">
        <v>5532</v>
      </c>
      <c r="F9042" t="s">
        <v>32095</v>
      </c>
      <c r="G9042" t="s">
        <v>20172</v>
      </c>
      <c r="H9042" t="s">
        <v>5474</v>
      </c>
      <c r="I9042" t="s">
        <v>32096</v>
      </c>
      <c r="J9042" t="s">
        <v>5484</v>
      </c>
      <c r="K9042" t="s">
        <v>32097</v>
      </c>
      <c r="L9042" t="s">
        <v>5471</v>
      </c>
      <c r="M9042" t="s">
        <v>5471</v>
      </c>
    </row>
    <row r="9043" spans="1:13" x14ac:dyDescent="0.3">
      <c r="A9043" t="s">
        <v>3388</v>
      </c>
      <c r="B9043" t="s">
        <v>7105</v>
      </c>
      <c r="C9043" t="s">
        <v>5470</v>
      </c>
      <c r="D9043" t="s">
        <v>4119</v>
      </c>
      <c r="E9043" t="s">
        <v>5532</v>
      </c>
      <c r="F9043" t="s">
        <v>32098</v>
      </c>
      <c r="G9043" t="s">
        <v>20429</v>
      </c>
      <c r="H9043" t="s">
        <v>5474</v>
      </c>
      <c r="I9043" t="s">
        <v>32099</v>
      </c>
      <c r="J9043" t="s">
        <v>5484</v>
      </c>
      <c r="K9043" t="s">
        <v>32100</v>
      </c>
      <c r="L9043" t="s">
        <v>5471</v>
      </c>
      <c r="M9043" t="s">
        <v>5471</v>
      </c>
    </row>
    <row r="9044" spans="1:13" x14ac:dyDescent="0.3">
      <c r="A9044" t="s">
        <v>3388</v>
      </c>
      <c r="B9044" t="s">
        <v>5678</v>
      </c>
      <c r="C9044" t="s">
        <v>5470</v>
      </c>
      <c r="D9044" t="s">
        <v>4119</v>
      </c>
      <c r="E9044" t="s">
        <v>5532</v>
      </c>
      <c r="F9044" t="s">
        <v>32101</v>
      </c>
      <c r="G9044" t="s">
        <v>18042</v>
      </c>
      <c r="H9044" t="s">
        <v>5474</v>
      </c>
      <c r="I9044" t="s">
        <v>32102</v>
      </c>
      <c r="J9044" t="s">
        <v>5484</v>
      </c>
      <c r="K9044" t="s">
        <v>32103</v>
      </c>
      <c r="L9044" t="s">
        <v>5471</v>
      </c>
      <c r="M9044" t="s">
        <v>5471</v>
      </c>
    </row>
    <row r="9045" spans="1:13" x14ac:dyDescent="0.3">
      <c r="A9045" t="s">
        <v>3388</v>
      </c>
      <c r="B9045" t="s">
        <v>10870</v>
      </c>
      <c r="C9045" t="s">
        <v>5470</v>
      </c>
      <c r="D9045" t="s">
        <v>4119</v>
      </c>
      <c r="E9045" t="s">
        <v>5617</v>
      </c>
      <c r="F9045" t="s">
        <v>32104</v>
      </c>
      <c r="G9045" t="s">
        <v>32105</v>
      </c>
      <c r="H9045" t="s">
        <v>5474</v>
      </c>
      <c r="I9045" t="s">
        <v>32106</v>
      </c>
      <c r="J9045" t="s">
        <v>5484</v>
      </c>
      <c r="K9045" t="s">
        <v>32107</v>
      </c>
      <c r="L9045" t="s">
        <v>5471</v>
      </c>
      <c r="M9045" t="s">
        <v>5471</v>
      </c>
    </row>
    <row r="9046" spans="1:13" x14ac:dyDescent="0.3">
      <c r="A9046" t="s">
        <v>3388</v>
      </c>
      <c r="B9046" t="s">
        <v>10870</v>
      </c>
      <c r="C9046" t="s">
        <v>5470</v>
      </c>
      <c r="D9046" t="s">
        <v>4119</v>
      </c>
      <c r="E9046" t="s">
        <v>5617</v>
      </c>
      <c r="F9046" t="s">
        <v>32108</v>
      </c>
      <c r="G9046" t="s">
        <v>32109</v>
      </c>
      <c r="H9046" t="s">
        <v>5474</v>
      </c>
      <c r="I9046" t="s">
        <v>32110</v>
      </c>
      <c r="J9046" t="s">
        <v>5484</v>
      </c>
      <c r="K9046" t="s">
        <v>32111</v>
      </c>
      <c r="L9046" t="s">
        <v>5471</v>
      </c>
      <c r="M9046" t="s">
        <v>5471</v>
      </c>
    </row>
    <row r="9047" spans="1:13" x14ac:dyDescent="0.3">
      <c r="A9047" t="s">
        <v>3388</v>
      </c>
      <c r="B9047" t="s">
        <v>10870</v>
      </c>
      <c r="C9047" t="s">
        <v>5470</v>
      </c>
      <c r="D9047" t="s">
        <v>4119</v>
      </c>
      <c r="E9047" t="s">
        <v>5617</v>
      </c>
      <c r="F9047" t="s">
        <v>32112</v>
      </c>
      <c r="G9047" t="s">
        <v>32113</v>
      </c>
      <c r="H9047" t="s">
        <v>5474</v>
      </c>
      <c r="I9047" t="s">
        <v>32114</v>
      </c>
      <c r="J9047" t="s">
        <v>5484</v>
      </c>
      <c r="K9047" t="s">
        <v>32115</v>
      </c>
      <c r="L9047" t="s">
        <v>5471</v>
      </c>
      <c r="M9047" t="s">
        <v>5471</v>
      </c>
    </row>
    <row r="9048" spans="1:13" x14ac:dyDescent="0.3">
      <c r="A9048" t="s">
        <v>3388</v>
      </c>
      <c r="B9048" t="s">
        <v>10870</v>
      </c>
      <c r="C9048" t="s">
        <v>5470</v>
      </c>
      <c r="D9048" t="s">
        <v>4119</v>
      </c>
      <c r="E9048" t="s">
        <v>5617</v>
      </c>
      <c r="F9048" t="s">
        <v>32116</v>
      </c>
      <c r="G9048" t="s">
        <v>32117</v>
      </c>
      <c r="H9048" t="s">
        <v>5474</v>
      </c>
      <c r="I9048" t="s">
        <v>32118</v>
      </c>
      <c r="J9048" t="s">
        <v>5484</v>
      </c>
      <c r="K9048" t="s">
        <v>32119</v>
      </c>
      <c r="L9048" t="s">
        <v>5471</v>
      </c>
      <c r="M9048" t="s">
        <v>5471</v>
      </c>
    </row>
    <row r="9049" spans="1:13" x14ac:dyDescent="0.3">
      <c r="A9049" t="s">
        <v>3388</v>
      </c>
      <c r="B9049" t="s">
        <v>10870</v>
      </c>
      <c r="C9049" t="s">
        <v>5470</v>
      </c>
      <c r="D9049" t="s">
        <v>4119</v>
      </c>
      <c r="E9049" t="s">
        <v>5617</v>
      </c>
      <c r="F9049" t="s">
        <v>32120</v>
      </c>
      <c r="G9049" t="s">
        <v>32121</v>
      </c>
      <c r="H9049" t="s">
        <v>5474</v>
      </c>
      <c r="I9049" t="s">
        <v>32122</v>
      </c>
      <c r="J9049" t="s">
        <v>5484</v>
      </c>
      <c r="K9049" t="s">
        <v>32123</v>
      </c>
      <c r="L9049" t="s">
        <v>5471</v>
      </c>
      <c r="M9049" t="s">
        <v>5471</v>
      </c>
    </row>
    <row r="9050" spans="1:13" x14ac:dyDescent="0.3">
      <c r="A9050" t="s">
        <v>3388</v>
      </c>
      <c r="B9050" t="s">
        <v>10870</v>
      </c>
      <c r="C9050" t="s">
        <v>5470</v>
      </c>
      <c r="D9050" t="s">
        <v>4119</v>
      </c>
      <c r="E9050" t="s">
        <v>5532</v>
      </c>
      <c r="F9050" t="s">
        <v>32124</v>
      </c>
      <c r="G9050" t="s">
        <v>32125</v>
      </c>
      <c r="H9050" t="s">
        <v>5474</v>
      </c>
      <c r="I9050" t="s">
        <v>32126</v>
      </c>
      <c r="J9050" t="s">
        <v>5484</v>
      </c>
      <c r="K9050" t="s">
        <v>32127</v>
      </c>
      <c r="L9050" t="s">
        <v>5471</v>
      </c>
      <c r="M9050" t="s">
        <v>5471</v>
      </c>
    </row>
    <row r="9051" spans="1:13" x14ac:dyDescent="0.3">
      <c r="A9051" t="s">
        <v>3388</v>
      </c>
      <c r="B9051" t="s">
        <v>10870</v>
      </c>
      <c r="C9051" t="s">
        <v>5470</v>
      </c>
      <c r="D9051" t="s">
        <v>4119</v>
      </c>
      <c r="E9051" t="s">
        <v>5532</v>
      </c>
      <c r="F9051" t="s">
        <v>32128</v>
      </c>
      <c r="G9051" t="s">
        <v>32129</v>
      </c>
      <c r="H9051" t="s">
        <v>5474</v>
      </c>
      <c r="I9051" t="s">
        <v>32130</v>
      </c>
      <c r="J9051" t="s">
        <v>5484</v>
      </c>
      <c r="K9051" t="s">
        <v>32131</v>
      </c>
      <c r="L9051" t="s">
        <v>5471</v>
      </c>
      <c r="M9051" t="s">
        <v>5471</v>
      </c>
    </row>
    <row r="9052" spans="1:13" x14ac:dyDescent="0.3">
      <c r="A9052" t="s">
        <v>3380</v>
      </c>
      <c r="B9052" t="s">
        <v>32132</v>
      </c>
      <c r="C9052" t="s">
        <v>5487</v>
      </c>
      <c r="D9052" t="s">
        <v>4119</v>
      </c>
      <c r="E9052" t="s">
        <v>5843</v>
      </c>
      <c r="F9052" t="s">
        <v>32133</v>
      </c>
      <c r="G9052" t="s">
        <v>32134</v>
      </c>
      <c r="H9052" t="s">
        <v>5474</v>
      </c>
      <c r="I9052" t="s">
        <v>32135</v>
      </c>
      <c r="J9052" t="s">
        <v>5484</v>
      </c>
      <c r="K9052" t="s">
        <v>18308</v>
      </c>
      <c r="L9052" t="s">
        <v>5471</v>
      </c>
      <c r="M9052" t="s">
        <v>5471</v>
      </c>
    </row>
    <row r="9053" spans="1:13" x14ac:dyDescent="0.3">
      <c r="A9053" t="s">
        <v>3388</v>
      </c>
      <c r="B9053" t="s">
        <v>10870</v>
      </c>
      <c r="C9053" t="s">
        <v>5470</v>
      </c>
      <c r="D9053" t="s">
        <v>4119</v>
      </c>
      <c r="E9053" t="s">
        <v>5532</v>
      </c>
      <c r="F9053" t="s">
        <v>32136</v>
      </c>
      <c r="G9053" t="s">
        <v>10872</v>
      </c>
      <c r="H9053" t="s">
        <v>5474</v>
      </c>
      <c r="I9053" t="s">
        <v>32137</v>
      </c>
      <c r="J9053" t="s">
        <v>5484</v>
      </c>
      <c r="K9053" t="s">
        <v>32138</v>
      </c>
      <c r="L9053" t="s">
        <v>5471</v>
      </c>
      <c r="M9053" t="s">
        <v>5471</v>
      </c>
    </row>
    <row r="9054" spans="1:13" x14ac:dyDescent="0.3">
      <c r="A9054" t="s">
        <v>3380</v>
      </c>
      <c r="B9054" t="s">
        <v>32132</v>
      </c>
      <c r="C9054" t="s">
        <v>5487</v>
      </c>
      <c r="D9054" t="s">
        <v>4119</v>
      </c>
      <c r="E9054" t="s">
        <v>5843</v>
      </c>
      <c r="F9054" t="s">
        <v>32139</v>
      </c>
      <c r="G9054" t="s">
        <v>32134</v>
      </c>
      <c r="H9054" t="s">
        <v>5474</v>
      </c>
      <c r="I9054" t="s">
        <v>32140</v>
      </c>
      <c r="J9054" t="s">
        <v>5484</v>
      </c>
      <c r="K9054" t="s">
        <v>18311</v>
      </c>
      <c r="L9054" t="s">
        <v>5471</v>
      </c>
      <c r="M9054" t="s">
        <v>5471</v>
      </c>
    </row>
    <row r="9055" spans="1:13" x14ac:dyDescent="0.3">
      <c r="A9055" t="s">
        <v>3388</v>
      </c>
      <c r="B9055" t="s">
        <v>17321</v>
      </c>
      <c r="C9055" t="s">
        <v>5470</v>
      </c>
      <c r="D9055" t="s">
        <v>4119</v>
      </c>
      <c r="E9055" t="s">
        <v>5617</v>
      </c>
      <c r="F9055" t="s">
        <v>32141</v>
      </c>
      <c r="G9055" t="s">
        <v>32142</v>
      </c>
      <c r="H9055" t="s">
        <v>5474</v>
      </c>
      <c r="I9055" t="s">
        <v>32143</v>
      </c>
      <c r="J9055" t="s">
        <v>5484</v>
      </c>
      <c r="K9055" t="s">
        <v>32144</v>
      </c>
      <c r="L9055" t="s">
        <v>5471</v>
      </c>
      <c r="M9055" t="s">
        <v>5471</v>
      </c>
    </row>
    <row r="9056" spans="1:13" x14ac:dyDescent="0.3">
      <c r="A9056" t="s">
        <v>3380</v>
      </c>
      <c r="B9056" t="s">
        <v>32132</v>
      </c>
      <c r="C9056" t="s">
        <v>5487</v>
      </c>
      <c r="D9056" t="s">
        <v>4119</v>
      </c>
      <c r="E9056" t="s">
        <v>5843</v>
      </c>
      <c r="F9056" t="s">
        <v>32145</v>
      </c>
      <c r="G9056" t="s">
        <v>32134</v>
      </c>
      <c r="H9056" t="s">
        <v>5474</v>
      </c>
      <c r="I9056" t="s">
        <v>32146</v>
      </c>
      <c r="J9056" t="s">
        <v>5484</v>
      </c>
      <c r="K9056" t="s">
        <v>16110</v>
      </c>
      <c r="L9056" t="s">
        <v>5471</v>
      </c>
      <c r="M9056" t="s">
        <v>5471</v>
      </c>
    </row>
    <row r="9057" spans="1:13" x14ac:dyDescent="0.3">
      <c r="A9057" t="s">
        <v>3388</v>
      </c>
      <c r="B9057" t="s">
        <v>17321</v>
      </c>
      <c r="C9057" t="s">
        <v>5470</v>
      </c>
      <c r="D9057" t="s">
        <v>4119</v>
      </c>
      <c r="E9057" t="s">
        <v>5617</v>
      </c>
      <c r="F9057" t="s">
        <v>32147</v>
      </c>
      <c r="G9057" t="s">
        <v>23439</v>
      </c>
      <c r="H9057" t="s">
        <v>5474</v>
      </c>
      <c r="I9057" t="s">
        <v>32148</v>
      </c>
      <c r="J9057" t="s">
        <v>5484</v>
      </c>
      <c r="K9057" t="s">
        <v>32149</v>
      </c>
      <c r="L9057" t="s">
        <v>5471</v>
      </c>
      <c r="M9057" t="s">
        <v>5471</v>
      </c>
    </row>
    <row r="9058" spans="1:13" x14ac:dyDescent="0.3">
      <c r="A9058" t="s">
        <v>3380</v>
      </c>
      <c r="B9058" t="s">
        <v>5249</v>
      </c>
      <c r="C9058" t="s">
        <v>6342</v>
      </c>
      <c r="D9058" t="s">
        <v>4119</v>
      </c>
      <c r="E9058" t="s">
        <v>5532</v>
      </c>
      <c r="F9058" t="s">
        <v>32150</v>
      </c>
      <c r="G9058" t="s">
        <v>17261</v>
      </c>
      <c r="H9058" t="s">
        <v>5474</v>
      </c>
      <c r="I9058" t="s">
        <v>32151</v>
      </c>
      <c r="J9058" t="s">
        <v>5484</v>
      </c>
      <c r="K9058" t="s">
        <v>18301</v>
      </c>
      <c r="L9058" t="s">
        <v>5471</v>
      </c>
      <c r="M9058" t="s">
        <v>5471</v>
      </c>
    </row>
    <row r="9059" spans="1:13" x14ac:dyDescent="0.3">
      <c r="A9059" t="s">
        <v>3388</v>
      </c>
      <c r="B9059" t="s">
        <v>17321</v>
      </c>
      <c r="C9059" t="s">
        <v>5470</v>
      </c>
      <c r="D9059" t="s">
        <v>4119</v>
      </c>
      <c r="E9059" t="s">
        <v>5617</v>
      </c>
      <c r="F9059" t="s">
        <v>32152</v>
      </c>
      <c r="G9059" t="s">
        <v>32153</v>
      </c>
      <c r="H9059" t="s">
        <v>5474</v>
      </c>
      <c r="I9059" t="s">
        <v>32154</v>
      </c>
      <c r="J9059" t="s">
        <v>5484</v>
      </c>
      <c r="K9059" t="s">
        <v>32155</v>
      </c>
      <c r="L9059" t="s">
        <v>5471</v>
      </c>
      <c r="M9059" t="s">
        <v>5471</v>
      </c>
    </row>
    <row r="9060" spans="1:13" x14ac:dyDescent="0.3">
      <c r="A9060" t="s">
        <v>3380</v>
      </c>
      <c r="B9060" t="s">
        <v>5249</v>
      </c>
      <c r="C9060" t="s">
        <v>6342</v>
      </c>
      <c r="D9060" t="s">
        <v>4119</v>
      </c>
      <c r="E9060" t="s">
        <v>5532</v>
      </c>
      <c r="F9060" t="s">
        <v>32156</v>
      </c>
      <c r="G9060" t="s">
        <v>17261</v>
      </c>
      <c r="H9060" t="s">
        <v>5474</v>
      </c>
      <c r="I9060" t="s">
        <v>32157</v>
      </c>
      <c r="J9060" t="s">
        <v>5484</v>
      </c>
      <c r="K9060" t="s">
        <v>18298</v>
      </c>
      <c r="L9060" t="s">
        <v>5471</v>
      </c>
      <c r="M9060" t="s">
        <v>5471</v>
      </c>
    </row>
    <row r="9061" spans="1:13" x14ac:dyDescent="0.3">
      <c r="A9061" t="s">
        <v>3388</v>
      </c>
      <c r="B9061" t="s">
        <v>17321</v>
      </c>
      <c r="C9061" t="s">
        <v>5470</v>
      </c>
      <c r="D9061" t="s">
        <v>4119</v>
      </c>
      <c r="E9061" t="s">
        <v>5617</v>
      </c>
      <c r="F9061" t="s">
        <v>32158</v>
      </c>
      <c r="G9061" t="s">
        <v>32159</v>
      </c>
      <c r="H9061" t="s">
        <v>5474</v>
      </c>
      <c r="I9061" t="s">
        <v>32160</v>
      </c>
      <c r="J9061" t="s">
        <v>5484</v>
      </c>
      <c r="K9061" t="s">
        <v>32161</v>
      </c>
      <c r="L9061" t="s">
        <v>5471</v>
      </c>
      <c r="M9061" t="s">
        <v>5471</v>
      </c>
    </row>
    <row r="9062" spans="1:13" x14ac:dyDescent="0.3">
      <c r="A9062" t="s">
        <v>3380</v>
      </c>
      <c r="B9062" t="s">
        <v>5249</v>
      </c>
      <c r="C9062" t="s">
        <v>6342</v>
      </c>
      <c r="D9062" t="s">
        <v>4119</v>
      </c>
      <c r="E9062" t="s">
        <v>5532</v>
      </c>
      <c r="F9062" t="s">
        <v>32162</v>
      </c>
      <c r="G9062" t="s">
        <v>17261</v>
      </c>
      <c r="H9062" t="s">
        <v>5474</v>
      </c>
      <c r="I9062" t="s">
        <v>32163</v>
      </c>
      <c r="J9062" t="s">
        <v>5484</v>
      </c>
      <c r="K9062" t="s">
        <v>18308</v>
      </c>
      <c r="L9062" t="s">
        <v>5471</v>
      </c>
      <c r="M9062" t="s">
        <v>5471</v>
      </c>
    </row>
    <row r="9063" spans="1:13" x14ac:dyDescent="0.3">
      <c r="A9063" t="s">
        <v>3388</v>
      </c>
      <c r="B9063" t="s">
        <v>17321</v>
      </c>
      <c r="C9063" t="s">
        <v>5470</v>
      </c>
      <c r="D9063" t="s">
        <v>4119</v>
      </c>
      <c r="E9063" t="s">
        <v>5617</v>
      </c>
      <c r="F9063" t="s">
        <v>32164</v>
      </c>
      <c r="G9063" t="s">
        <v>32165</v>
      </c>
      <c r="H9063" t="s">
        <v>5474</v>
      </c>
      <c r="I9063" t="s">
        <v>32166</v>
      </c>
      <c r="J9063" t="s">
        <v>5484</v>
      </c>
      <c r="K9063" t="s">
        <v>32167</v>
      </c>
      <c r="L9063" t="s">
        <v>5471</v>
      </c>
      <c r="M9063" t="s">
        <v>5471</v>
      </c>
    </row>
    <row r="9064" spans="1:13" x14ac:dyDescent="0.3">
      <c r="A9064" t="s">
        <v>3380</v>
      </c>
      <c r="B9064" t="s">
        <v>5249</v>
      </c>
      <c r="C9064" t="s">
        <v>6342</v>
      </c>
      <c r="D9064" t="s">
        <v>4119</v>
      </c>
      <c r="E9064" t="s">
        <v>5532</v>
      </c>
      <c r="F9064" t="s">
        <v>32168</v>
      </c>
      <c r="G9064" t="s">
        <v>17261</v>
      </c>
      <c r="H9064" t="s">
        <v>5474</v>
      </c>
      <c r="I9064" t="s">
        <v>32169</v>
      </c>
      <c r="J9064" t="s">
        <v>5484</v>
      </c>
      <c r="K9064" t="s">
        <v>18311</v>
      </c>
      <c r="L9064" t="s">
        <v>5471</v>
      </c>
      <c r="M9064" t="s">
        <v>5471</v>
      </c>
    </row>
    <row r="9065" spans="1:13" x14ac:dyDescent="0.3">
      <c r="A9065" t="s">
        <v>3388</v>
      </c>
      <c r="B9065" t="s">
        <v>17321</v>
      </c>
      <c r="C9065" t="s">
        <v>5470</v>
      </c>
      <c r="D9065" t="s">
        <v>4119</v>
      </c>
      <c r="E9065" t="s">
        <v>5617</v>
      </c>
      <c r="F9065" t="s">
        <v>32170</v>
      </c>
      <c r="G9065" t="s">
        <v>32171</v>
      </c>
      <c r="H9065" t="s">
        <v>5474</v>
      </c>
      <c r="I9065" t="s">
        <v>32172</v>
      </c>
      <c r="J9065" t="s">
        <v>5484</v>
      </c>
      <c r="K9065" t="s">
        <v>32173</v>
      </c>
      <c r="L9065" t="s">
        <v>5471</v>
      </c>
      <c r="M9065" t="s">
        <v>5471</v>
      </c>
    </row>
    <row r="9066" spans="1:13" x14ac:dyDescent="0.3">
      <c r="A9066" t="s">
        <v>3380</v>
      </c>
      <c r="B9066" t="s">
        <v>5249</v>
      </c>
      <c r="C9066" t="s">
        <v>6342</v>
      </c>
      <c r="D9066" t="s">
        <v>4119</v>
      </c>
      <c r="E9066" t="s">
        <v>5532</v>
      </c>
      <c r="F9066" t="s">
        <v>32174</v>
      </c>
      <c r="G9066" t="s">
        <v>17261</v>
      </c>
      <c r="H9066" t="s">
        <v>5474</v>
      </c>
      <c r="I9066" t="s">
        <v>32175</v>
      </c>
      <c r="J9066" t="s">
        <v>5484</v>
      </c>
      <c r="K9066" t="s">
        <v>16098</v>
      </c>
      <c r="L9066" t="s">
        <v>5471</v>
      </c>
      <c r="M9066" t="s">
        <v>5471</v>
      </c>
    </row>
    <row r="9067" spans="1:13" x14ac:dyDescent="0.3">
      <c r="A9067" t="s">
        <v>3388</v>
      </c>
      <c r="B9067" t="s">
        <v>17321</v>
      </c>
      <c r="C9067" t="s">
        <v>5470</v>
      </c>
      <c r="D9067" t="s">
        <v>4119</v>
      </c>
      <c r="E9067" t="s">
        <v>5617</v>
      </c>
      <c r="F9067" t="s">
        <v>32176</v>
      </c>
      <c r="G9067" t="s">
        <v>32177</v>
      </c>
      <c r="H9067" t="s">
        <v>5474</v>
      </c>
      <c r="I9067" t="s">
        <v>32178</v>
      </c>
      <c r="J9067" t="s">
        <v>5484</v>
      </c>
      <c r="K9067" t="s">
        <v>32179</v>
      </c>
      <c r="L9067" t="s">
        <v>5471</v>
      </c>
      <c r="M9067" t="s">
        <v>5471</v>
      </c>
    </row>
    <row r="9068" spans="1:13" x14ac:dyDescent="0.3">
      <c r="A9068" t="s">
        <v>3388</v>
      </c>
      <c r="B9068" t="s">
        <v>6128</v>
      </c>
      <c r="C9068" t="s">
        <v>5470</v>
      </c>
      <c r="D9068" t="s">
        <v>4119</v>
      </c>
      <c r="E9068" t="s">
        <v>5532</v>
      </c>
      <c r="F9068" t="s">
        <v>32180</v>
      </c>
      <c r="G9068" t="s">
        <v>18450</v>
      </c>
      <c r="H9068" t="s">
        <v>5474</v>
      </c>
      <c r="I9068" t="s">
        <v>32181</v>
      </c>
      <c r="J9068" t="s">
        <v>5484</v>
      </c>
      <c r="K9068" t="s">
        <v>32182</v>
      </c>
      <c r="L9068" t="s">
        <v>5471</v>
      </c>
      <c r="M9068" t="s">
        <v>5471</v>
      </c>
    </row>
    <row r="9069" spans="1:13" x14ac:dyDescent="0.3">
      <c r="A9069" t="s">
        <v>3388</v>
      </c>
      <c r="B9069" t="s">
        <v>6128</v>
      </c>
      <c r="C9069" t="s">
        <v>5470</v>
      </c>
      <c r="D9069" t="s">
        <v>4119</v>
      </c>
      <c r="E9069" t="s">
        <v>5532</v>
      </c>
      <c r="F9069" t="s">
        <v>32183</v>
      </c>
      <c r="G9069" t="s">
        <v>18495</v>
      </c>
      <c r="H9069" t="s">
        <v>5474</v>
      </c>
      <c r="I9069" t="s">
        <v>32184</v>
      </c>
      <c r="J9069" t="s">
        <v>5484</v>
      </c>
      <c r="K9069" t="s">
        <v>32185</v>
      </c>
      <c r="L9069" t="s">
        <v>5471</v>
      </c>
      <c r="M9069" t="s">
        <v>5471</v>
      </c>
    </row>
    <row r="9070" spans="1:13" x14ac:dyDescent="0.3">
      <c r="A9070" t="s">
        <v>3388</v>
      </c>
      <c r="B9070" t="s">
        <v>6128</v>
      </c>
      <c r="C9070" t="s">
        <v>5470</v>
      </c>
      <c r="D9070" t="s">
        <v>4119</v>
      </c>
      <c r="E9070" t="s">
        <v>5532</v>
      </c>
      <c r="F9070" t="s">
        <v>32186</v>
      </c>
      <c r="G9070" t="s">
        <v>18937</v>
      </c>
      <c r="H9070" t="s">
        <v>5474</v>
      </c>
      <c r="I9070" t="s">
        <v>32187</v>
      </c>
      <c r="J9070" t="s">
        <v>5484</v>
      </c>
      <c r="K9070" t="s">
        <v>32188</v>
      </c>
      <c r="L9070" t="s">
        <v>5471</v>
      </c>
      <c r="M9070" t="s">
        <v>5471</v>
      </c>
    </row>
    <row r="9071" spans="1:13" x14ac:dyDescent="0.3">
      <c r="A9071" t="s">
        <v>3388</v>
      </c>
      <c r="B9071" t="s">
        <v>6128</v>
      </c>
      <c r="C9071" t="s">
        <v>5470</v>
      </c>
      <c r="D9071" t="s">
        <v>4119</v>
      </c>
      <c r="E9071" t="s">
        <v>5532</v>
      </c>
      <c r="F9071" t="s">
        <v>32189</v>
      </c>
      <c r="G9071" t="s">
        <v>18552</v>
      </c>
      <c r="H9071" t="s">
        <v>5474</v>
      </c>
      <c r="I9071" t="s">
        <v>32190</v>
      </c>
      <c r="J9071" t="s">
        <v>5484</v>
      </c>
      <c r="K9071" t="s">
        <v>32191</v>
      </c>
      <c r="L9071" t="s">
        <v>5471</v>
      </c>
      <c r="M9071" t="s">
        <v>5471</v>
      </c>
    </row>
    <row r="9072" spans="1:13" x14ac:dyDescent="0.3">
      <c r="A9072" t="s">
        <v>3388</v>
      </c>
      <c r="B9072" t="s">
        <v>6128</v>
      </c>
      <c r="C9072" t="s">
        <v>5470</v>
      </c>
      <c r="D9072" t="s">
        <v>4119</v>
      </c>
      <c r="E9072" t="s">
        <v>5532</v>
      </c>
      <c r="F9072" t="s">
        <v>32192</v>
      </c>
      <c r="G9072" t="s">
        <v>23742</v>
      </c>
      <c r="H9072" t="s">
        <v>5474</v>
      </c>
      <c r="I9072" t="s">
        <v>32193</v>
      </c>
      <c r="J9072" t="s">
        <v>5484</v>
      </c>
      <c r="K9072" t="s">
        <v>32194</v>
      </c>
      <c r="L9072" t="s">
        <v>5471</v>
      </c>
      <c r="M9072" t="s">
        <v>5471</v>
      </c>
    </row>
    <row r="9073" spans="1:13" x14ac:dyDescent="0.3">
      <c r="A9073" t="s">
        <v>3388</v>
      </c>
      <c r="B9073" t="s">
        <v>6128</v>
      </c>
      <c r="C9073" t="s">
        <v>5470</v>
      </c>
      <c r="D9073" t="s">
        <v>4119</v>
      </c>
      <c r="E9073" t="s">
        <v>5532</v>
      </c>
      <c r="F9073" t="s">
        <v>32195</v>
      </c>
      <c r="G9073" t="s">
        <v>31651</v>
      </c>
      <c r="H9073" t="s">
        <v>5474</v>
      </c>
      <c r="I9073" t="s">
        <v>32196</v>
      </c>
      <c r="J9073" t="s">
        <v>5484</v>
      </c>
      <c r="K9073" t="s">
        <v>32197</v>
      </c>
      <c r="L9073" t="s">
        <v>5471</v>
      </c>
      <c r="M9073" t="s">
        <v>5471</v>
      </c>
    </row>
    <row r="9074" spans="1:13" x14ac:dyDescent="0.3">
      <c r="A9074" t="s">
        <v>3388</v>
      </c>
      <c r="B9074" t="s">
        <v>6128</v>
      </c>
      <c r="C9074" t="s">
        <v>5470</v>
      </c>
      <c r="D9074" t="s">
        <v>4119</v>
      </c>
      <c r="E9074" t="s">
        <v>5532</v>
      </c>
      <c r="F9074" t="s">
        <v>32198</v>
      </c>
      <c r="G9074" t="s">
        <v>22051</v>
      </c>
      <c r="H9074" t="s">
        <v>5474</v>
      </c>
      <c r="I9074" t="s">
        <v>32199</v>
      </c>
      <c r="J9074" t="s">
        <v>5484</v>
      </c>
      <c r="K9074" t="s">
        <v>32200</v>
      </c>
      <c r="L9074" t="s">
        <v>5471</v>
      </c>
      <c r="M9074" t="s">
        <v>5471</v>
      </c>
    </row>
    <row r="9075" spans="1:13" x14ac:dyDescent="0.3">
      <c r="A9075" t="s">
        <v>3388</v>
      </c>
      <c r="B9075" t="s">
        <v>6128</v>
      </c>
      <c r="C9075" t="s">
        <v>5470</v>
      </c>
      <c r="D9075" t="s">
        <v>4119</v>
      </c>
      <c r="E9075" t="s">
        <v>5532</v>
      </c>
      <c r="F9075" t="s">
        <v>32201</v>
      </c>
      <c r="G9075" t="s">
        <v>24897</v>
      </c>
      <c r="H9075" t="s">
        <v>5474</v>
      </c>
      <c r="I9075" t="s">
        <v>32202</v>
      </c>
      <c r="J9075" t="s">
        <v>5484</v>
      </c>
      <c r="K9075" t="s">
        <v>32203</v>
      </c>
      <c r="L9075" t="s">
        <v>5471</v>
      </c>
      <c r="M9075" t="s">
        <v>5471</v>
      </c>
    </row>
    <row r="9076" spans="1:13" x14ac:dyDescent="0.3">
      <c r="A9076" t="s">
        <v>3388</v>
      </c>
      <c r="B9076" t="s">
        <v>5341</v>
      </c>
      <c r="C9076" t="s">
        <v>5470</v>
      </c>
      <c r="D9076" t="s">
        <v>4119</v>
      </c>
      <c r="E9076" t="s">
        <v>5532</v>
      </c>
      <c r="F9076" t="s">
        <v>32204</v>
      </c>
      <c r="G9076" t="s">
        <v>18450</v>
      </c>
      <c r="H9076" t="s">
        <v>5474</v>
      </c>
      <c r="I9076" t="s">
        <v>32205</v>
      </c>
      <c r="J9076" t="s">
        <v>5484</v>
      </c>
      <c r="K9076" t="s">
        <v>32206</v>
      </c>
      <c r="L9076" t="s">
        <v>5471</v>
      </c>
      <c r="M9076" t="s">
        <v>5471</v>
      </c>
    </row>
    <row r="9077" spans="1:13" x14ac:dyDescent="0.3">
      <c r="A9077" t="s">
        <v>3388</v>
      </c>
      <c r="B9077" t="s">
        <v>5341</v>
      </c>
      <c r="C9077" t="s">
        <v>5470</v>
      </c>
      <c r="D9077" t="s">
        <v>4119</v>
      </c>
      <c r="E9077" t="s">
        <v>5532</v>
      </c>
      <c r="F9077" t="s">
        <v>32207</v>
      </c>
      <c r="G9077" t="s">
        <v>18495</v>
      </c>
      <c r="H9077" t="s">
        <v>5474</v>
      </c>
      <c r="I9077" t="s">
        <v>32208</v>
      </c>
      <c r="J9077" t="s">
        <v>5484</v>
      </c>
      <c r="K9077" t="s">
        <v>32209</v>
      </c>
      <c r="L9077" t="s">
        <v>5471</v>
      </c>
      <c r="M9077" t="s">
        <v>5471</v>
      </c>
    </row>
    <row r="9078" spans="1:13" x14ac:dyDescent="0.3">
      <c r="A9078" t="s">
        <v>3388</v>
      </c>
      <c r="B9078" t="s">
        <v>31671</v>
      </c>
      <c r="C9078" t="s">
        <v>5470</v>
      </c>
      <c r="D9078" t="s">
        <v>4119</v>
      </c>
      <c r="E9078" t="s">
        <v>5532</v>
      </c>
      <c r="F9078" t="s">
        <v>32210</v>
      </c>
      <c r="G9078" t="s">
        <v>18937</v>
      </c>
      <c r="H9078" t="s">
        <v>5474</v>
      </c>
      <c r="I9078" t="s">
        <v>32211</v>
      </c>
      <c r="J9078" t="s">
        <v>5484</v>
      </c>
      <c r="K9078" t="s">
        <v>32212</v>
      </c>
      <c r="L9078" t="s">
        <v>5471</v>
      </c>
      <c r="M9078" t="s">
        <v>5471</v>
      </c>
    </row>
    <row r="9079" spans="1:13" x14ac:dyDescent="0.3">
      <c r="A9079" t="s">
        <v>3388</v>
      </c>
      <c r="B9079" t="s">
        <v>15946</v>
      </c>
      <c r="C9079" t="s">
        <v>5470</v>
      </c>
      <c r="D9079" t="s">
        <v>4119</v>
      </c>
      <c r="E9079" t="s">
        <v>5532</v>
      </c>
      <c r="F9079" t="s">
        <v>32213</v>
      </c>
      <c r="G9079" t="s">
        <v>18552</v>
      </c>
      <c r="H9079" t="s">
        <v>5474</v>
      </c>
      <c r="I9079" t="s">
        <v>32214</v>
      </c>
      <c r="J9079" t="s">
        <v>5484</v>
      </c>
      <c r="K9079" t="s">
        <v>32215</v>
      </c>
      <c r="L9079" t="s">
        <v>5471</v>
      </c>
      <c r="M9079" t="s">
        <v>5471</v>
      </c>
    </row>
    <row r="9080" spans="1:13" x14ac:dyDescent="0.3">
      <c r="A9080" t="s">
        <v>3388</v>
      </c>
      <c r="B9080" t="s">
        <v>22076</v>
      </c>
      <c r="C9080" t="s">
        <v>5470</v>
      </c>
      <c r="D9080" t="s">
        <v>4119</v>
      </c>
      <c r="E9080" t="s">
        <v>5532</v>
      </c>
      <c r="F9080" t="s">
        <v>32216</v>
      </c>
      <c r="G9080" t="s">
        <v>23742</v>
      </c>
      <c r="H9080" t="s">
        <v>5474</v>
      </c>
      <c r="I9080" t="s">
        <v>32217</v>
      </c>
      <c r="J9080" t="s">
        <v>5484</v>
      </c>
      <c r="K9080" t="s">
        <v>32218</v>
      </c>
      <c r="L9080" t="s">
        <v>5471</v>
      </c>
      <c r="M9080" t="s">
        <v>5471</v>
      </c>
    </row>
    <row r="9081" spans="1:13" x14ac:dyDescent="0.3">
      <c r="A9081" t="s">
        <v>3388</v>
      </c>
      <c r="B9081" t="s">
        <v>6540</v>
      </c>
      <c r="C9081" t="s">
        <v>5470</v>
      </c>
      <c r="D9081" t="s">
        <v>4119</v>
      </c>
      <c r="E9081" t="s">
        <v>5480</v>
      </c>
      <c r="F9081" t="s">
        <v>32219</v>
      </c>
      <c r="G9081" t="s">
        <v>9695</v>
      </c>
      <c r="H9081" t="s">
        <v>5474</v>
      </c>
      <c r="I9081" t="s">
        <v>32220</v>
      </c>
      <c r="J9081" t="s">
        <v>5484</v>
      </c>
      <c r="K9081" t="s">
        <v>32221</v>
      </c>
      <c r="L9081" t="s">
        <v>5471</v>
      </c>
      <c r="M9081" t="s">
        <v>5471</v>
      </c>
    </row>
    <row r="9082" spans="1:13" x14ac:dyDescent="0.3">
      <c r="A9082" t="s">
        <v>3388</v>
      </c>
      <c r="B9082" t="s">
        <v>6540</v>
      </c>
      <c r="C9082" t="s">
        <v>5470</v>
      </c>
      <c r="D9082" t="s">
        <v>4119</v>
      </c>
      <c r="E9082" t="s">
        <v>5756</v>
      </c>
      <c r="F9082" t="s">
        <v>32222</v>
      </c>
      <c r="G9082" t="s">
        <v>9695</v>
      </c>
      <c r="H9082" t="s">
        <v>5474</v>
      </c>
      <c r="I9082" t="s">
        <v>32223</v>
      </c>
      <c r="J9082" t="s">
        <v>5484</v>
      </c>
      <c r="K9082" t="s">
        <v>32224</v>
      </c>
      <c r="L9082" t="s">
        <v>5471</v>
      </c>
      <c r="M9082" t="s">
        <v>5471</v>
      </c>
    </row>
    <row r="9083" spans="1:13" x14ac:dyDescent="0.3">
      <c r="A9083" t="s">
        <v>3388</v>
      </c>
      <c r="B9083" t="s">
        <v>6540</v>
      </c>
      <c r="C9083" t="s">
        <v>5470</v>
      </c>
      <c r="D9083" t="s">
        <v>4119</v>
      </c>
      <c r="E9083" t="s">
        <v>5617</v>
      </c>
      <c r="F9083" t="s">
        <v>32225</v>
      </c>
      <c r="G9083" t="s">
        <v>9695</v>
      </c>
      <c r="H9083" t="s">
        <v>5474</v>
      </c>
      <c r="I9083" t="s">
        <v>32226</v>
      </c>
      <c r="J9083" t="s">
        <v>5484</v>
      </c>
      <c r="K9083" t="s">
        <v>32227</v>
      </c>
      <c r="L9083" t="s">
        <v>5471</v>
      </c>
      <c r="M9083" t="s">
        <v>5471</v>
      </c>
    </row>
    <row r="9084" spans="1:13" x14ac:dyDescent="0.3">
      <c r="A9084" t="s">
        <v>3388</v>
      </c>
      <c r="B9084" t="s">
        <v>6540</v>
      </c>
      <c r="C9084" t="s">
        <v>5470</v>
      </c>
      <c r="D9084" t="s">
        <v>4119</v>
      </c>
      <c r="E9084" t="s">
        <v>5532</v>
      </c>
      <c r="F9084" t="s">
        <v>32228</v>
      </c>
      <c r="G9084" t="s">
        <v>30504</v>
      </c>
      <c r="H9084" t="s">
        <v>5474</v>
      </c>
      <c r="I9084" t="s">
        <v>32229</v>
      </c>
      <c r="J9084" t="s">
        <v>5484</v>
      </c>
      <c r="K9084" t="s">
        <v>32230</v>
      </c>
      <c r="L9084" t="s">
        <v>5471</v>
      </c>
      <c r="M9084" t="s">
        <v>5471</v>
      </c>
    </row>
    <row r="9085" spans="1:13" x14ac:dyDescent="0.3">
      <c r="A9085" t="s">
        <v>3388</v>
      </c>
      <c r="B9085" t="s">
        <v>6540</v>
      </c>
      <c r="C9085" t="s">
        <v>5470</v>
      </c>
      <c r="D9085" t="s">
        <v>4119</v>
      </c>
      <c r="E9085" t="s">
        <v>5532</v>
      </c>
      <c r="F9085" t="s">
        <v>32231</v>
      </c>
      <c r="G9085" t="s">
        <v>6542</v>
      </c>
      <c r="H9085" t="s">
        <v>5474</v>
      </c>
      <c r="I9085" t="s">
        <v>32232</v>
      </c>
      <c r="J9085" t="s">
        <v>5484</v>
      </c>
      <c r="K9085" t="s">
        <v>32233</v>
      </c>
      <c r="L9085" t="s">
        <v>5471</v>
      </c>
      <c r="M9085" t="s">
        <v>5471</v>
      </c>
    </row>
    <row r="9086" spans="1:13" x14ac:dyDescent="0.3">
      <c r="A9086" t="s">
        <v>3388</v>
      </c>
      <c r="B9086" t="s">
        <v>6540</v>
      </c>
      <c r="C9086" t="s">
        <v>5470</v>
      </c>
      <c r="D9086" t="s">
        <v>4119</v>
      </c>
      <c r="E9086" t="s">
        <v>5532</v>
      </c>
      <c r="F9086" t="s">
        <v>32234</v>
      </c>
      <c r="G9086" t="s">
        <v>18056</v>
      </c>
      <c r="H9086" t="s">
        <v>5474</v>
      </c>
      <c r="I9086" t="s">
        <v>32235</v>
      </c>
      <c r="J9086" t="s">
        <v>5484</v>
      </c>
      <c r="K9086" t="s">
        <v>32236</v>
      </c>
      <c r="L9086" t="s">
        <v>5471</v>
      </c>
      <c r="M9086" t="s">
        <v>5471</v>
      </c>
    </row>
    <row r="9087" spans="1:13" x14ac:dyDescent="0.3">
      <c r="A9087" t="s">
        <v>3388</v>
      </c>
      <c r="B9087" t="s">
        <v>6540</v>
      </c>
      <c r="C9087" t="s">
        <v>5470</v>
      </c>
      <c r="D9087" t="s">
        <v>4119</v>
      </c>
      <c r="E9087" t="s">
        <v>5532</v>
      </c>
      <c r="F9087" t="s">
        <v>32237</v>
      </c>
      <c r="G9087" t="s">
        <v>24348</v>
      </c>
      <c r="H9087" t="s">
        <v>5474</v>
      </c>
      <c r="I9087" t="s">
        <v>32238</v>
      </c>
      <c r="J9087" t="s">
        <v>5484</v>
      </c>
      <c r="K9087" t="s">
        <v>32239</v>
      </c>
      <c r="L9087" t="s">
        <v>5471</v>
      </c>
      <c r="M9087" t="s">
        <v>5471</v>
      </c>
    </row>
    <row r="9088" spans="1:13" x14ac:dyDescent="0.3">
      <c r="A9088" t="s">
        <v>3388</v>
      </c>
      <c r="B9088" t="s">
        <v>6540</v>
      </c>
      <c r="C9088" t="s">
        <v>5470</v>
      </c>
      <c r="D9088" t="s">
        <v>4119</v>
      </c>
      <c r="E9088" t="s">
        <v>5532</v>
      </c>
      <c r="F9088" t="s">
        <v>32240</v>
      </c>
      <c r="G9088" t="s">
        <v>22836</v>
      </c>
      <c r="H9088" t="s">
        <v>5474</v>
      </c>
      <c r="I9088" t="s">
        <v>32241</v>
      </c>
      <c r="J9088" t="s">
        <v>5484</v>
      </c>
      <c r="K9088" t="s">
        <v>32242</v>
      </c>
      <c r="L9088" t="s">
        <v>5471</v>
      </c>
      <c r="M9088" t="s">
        <v>5471</v>
      </c>
    </row>
    <row r="9089" spans="1:13" x14ac:dyDescent="0.3">
      <c r="A9089" t="s">
        <v>3388</v>
      </c>
      <c r="B9089" t="s">
        <v>6540</v>
      </c>
      <c r="C9089" t="s">
        <v>5470</v>
      </c>
      <c r="D9089" t="s">
        <v>4119</v>
      </c>
      <c r="E9089" t="s">
        <v>5532</v>
      </c>
      <c r="F9089" t="s">
        <v>32243</v>
      </c>
      <c r="G9089" t="s">
        <v>23379</v>
      </c>
      <c r="H9089" t="s">
        <v>5474</v>
      </c>
      <c r="I9089" t="s">
        <v>32244</v>
      </c>
      <c r="J9089" t="s">
        <v>5484</v>
      </c>
      <c r="K9089" t="s">
        <v>32245</v>
      </c>
      <c r="L9089" t="s">
        <v>5471</v>
      </c>
      <c r="M9089" t="s">
        <v>5471</v>
      </c>
    </row>
    <row r="9090" spans="1:13" x14ac:dyDescent="0.3">
      <c r="A9090" t="s">
        <v>3388</v>
      </c>
      <c r="B9090" t="s">
        <v>6540</v>
      </c>
      <c r="C9090" t="s">
        <v>5470</v>
      </c>
      <c r="D9090" t="s">
        <v>4119</v>
      </c>
      <c r="E9090" t="s">
        <v>5532</v>
      </c>
      <c r="F9090" t="s">
        <v>32246</v>
      </c>
      <c r="G9090" t="s">
        <v>22903</v>
      </c>
      <c r="H9090" t="s">
        <v>5474</v>
      </c>
      <c r="I9090" t="s">
        <v>32247</v>
      </c>
      <c r="J9090" t="s">
        <v>5484</v>
      </c>
      <c r="K9090" t="s">
        <v>32248</v>
      </c>
      <c r="L9090" t="s">
        <v>5471</v>
      </c>
      <c r="M9090" t="s">
        <v>5471</v>
      </c>
    </row>
    <row r="9091" spans="1:13" x14ac:dyDescent="0.3">
      <c r="A9091" t="s">
        <v>3388</v>
      </c>
      <c r="B9091" t="s">
        <v>6540</v>
      </c>
      <c r="C9091" t="s">
        <v>5470</v>
      </c>
      <c r="D9091" t="s">
        <v>4119</v>
      </c>
      <c r="E9091" t="s">
        <v>5532</v>
      </c>
      <c r="F9091" t="s">
        <v>32249</v>
      </c>
      <c r="G9091" t="s">
        <v>9695</v>
      </c>
      <c r="H9091" t="s">
        <v>5474</v>
      </c>
      <c r="I9091" t="s">
        <v>32250</v>
      </c>
      <c r="J9091" t="s">
        <v>5484</v>
      </c>
      <c r="K9091" t="s">
        <v>32251</v>
      </c>
      <c r="L9091" t="s">
        <v>5471</v>
      </c>
      <c r="M9091" t="s">
        <v>5471</v>
      </c>
    </row>
    <row r="9092" spans="1:13" x14ac:dyDescent="0.3">
      <c r="A9092" t="s">
        <v>3388</v>
      </c>
      <c r="B9092" t="s">
        <v>6540</v>
      </c>
      <c r="C9092" t="s">
        <v>5470</v>
      </c>
      <c r="D9092" t="s">
        <v>4119</v>
      </c>
      <c r="E9092" t="s">
        <v>5532</v>
      </c>
      <c r="F9092" t="s">
        <v>32252</v>
      </c>
      <c r="G9092" t="s">
        <v>9695</v>
      </c>
      <c r="H9092" t="s">
        <v>5474</v>
      </c>
      <c r="I9092" t="s">
        <v>32253</v>
      </c>
      <c r="J9092" t="s">
        <v>5484</v>
      </c>
      <c r="K9092" t="s">
        <v>32254</v>
      </c>
      <c r="L9092" t="s">
        <v>5471</v>
      </c>
      <c r="M9092" t="s">
        <v>5471</v>
      </c>
    </row>
    <row r="9093" spans="1:13" x14ac:dyDescent="0.3">
      <c r="A9093" t="s">
        <v>3388</v>
      </c>
      <c r="B9093" t="s">
        <v>6540</v>
      </c>
      <c r="C9093" t="s">
        <v>5470</v>
      </c>
      <c r="D9093" t="s">
        <v>4119</v>
      </c>
      <c r="E9093" t="s">
        <v>5756</v>
      </c>
      <c r="F9093" t="s">
        <v>32255</v>
      </c>
      <c r="G9093" t="s">
        <v>9695</v>
      </c>
      <c r="H9093" t="s">
        <v>5474</v>
      </c>
      <c r="I9093" t="s">
        <v>32256</v>
      </c>
      <c r="J9093" t="s">
        <v>5484</v>
      </c>
      <c r="K9093" t="s">
        <v>32257</v>
      </c>
      <c r="L9093" t="s">
        <v>5471</v>
      </c>
      <c r="M9093" t="s">
        <v>5471</v>
      </c>
    </row>
    <row r="9094" spans="1:13" x14ac:dyDescent="0.3">
      <c r="A9094" t="s">
        <v>3388</v>
      </c>
      <c r="B9094" t="s">
        <v>6540</v>
      </c>
      <c r="C9094" t="s">
        <v>5470</v>
      </c>
      <c r="D9094" t="s">
        <v>4119</v>
      </c>
      <c r="E9094" t="s">
        <v>5756</v>
      </c>
      <c r="F9094" t="s">
        <v>32258</v>
      </c>
      <c r="G9094" t="s">
        <v>32259</v>
      </c>
      <c r="H9094" t="s">
        <v>5474</v>
      </c>
      <c r="I9094" t="s">
        <v>32260</v>
      </c>
      <c r="J9094" t="s">
        <v>5484</v>
      </c>
      <c r="K9094" t="s">
        <v>32261</v>
      </c>
      <c r="L9094" t="s">
        <v>5471</v>
      </c>
      <c r="M9094" t="s">
        <v>5471</v>
      </c>
    </row>
    <row r="9095" spans="1:13" x14ac:dyDescent="0.3">
      <c r="A9095" t="s">
        <v>3388</v>
      </c>
      <c r="B9095" t="s">
        <v>6540</v>
      </c>
      <c r="C9095" t="s">
        <v>5470</v>
      </c>
      <c r="D9095" t="s">
        <v>4119</v>
      </c>
      <c r="E9095" t="s">
        <v>5756</v>
      </c>
      <c r="F9095" t="s">
        <v>32262</v>
      </c>
      <c r="G9095" t="s">
        <v>30704</v>
      </c>
      <c r="H9095" t="s">
        <v>5474</v>
      </c>
      <c r="I9095" t="s">
        <v>32263</v>
      </c>
      <c r="J9095" t="s">
        <v>5484</v>
      </c>
      <c r="K9095" t="s">
        <v>32264</v>
      </c>
      <c r="L9095" t="s">
        <v>5471</v>
      </c>
      <c r="M9095" t="s">
        <v>5471</v>
      </c>
    </row>
    <row r="9096" spans="1:13" x14ac:dyDescent="0.3">
      <c r="A9096" t="s">
        <v>3388</v>
      </c>
      <c r="B9096" t="s">
        <v>6540</v>
      </c>
      <c r="C9096" t="s">
        <v>5470</v>
      </c>
      <c r="D9096" t="s">
        <v>4119</v>
      </c>
      <c r="E9096" t="s">
        <v>5756</v>
      </c>
      <c r="F9096" t="s">
        <v>32265</v>
      </c>
      <c r="G9096" t="s">
        <v>8298</v>
      </c>
      <c r="H9096" t="s">
        <v>5474</v>
      </c>
      <c r="I9096" t="s">
        <v>32266</v>
      </c>
      <c r="J9096" t="s">
        <v>5484</v>
      </c>
      <c r="K9096" t="s">
        <v>32267</v>
      </c>
      <c r="L9096" t="s">
        <v>5471</v>
      </c>
      <c r="M9096" t="s">
        <v>5471</v>
      </c>
    </row>
    <row r="9097" spans="1:13" x14ac:dyDescent="0.3">
      <c r="A9097" t="s">
        <v>3388</v>
      </c>
      <c r="B9097" t="s">
        <v>6540</v>
      </c>
      <c r="C9097" t="s">
        <v>5470</v>
      </c>
      <c r="D9097" t="s">
        <v>4119</v>
      </c>
      <c r="E9097" t="s">
        <v>5756</v>
      </c>
      <c r="F9097" t="s">
        <v>32268</v>
      </c>
      <c r="G9097" t="s">
        <v>31445</v>
      </c>
      <c r="H9097" t="s">
        <v>5474</v>
      </c>
      <c r="I9097" t="s">
        <v>32269</v>
      </c>
      <c r="J9097" t="s">
        <v>5484</v>
      </c>
      <c r="K9097" t="s">
        <v>32270</v>
      </c>
      <c r="L9097" t="s">
        <v>5471</v>
      </c>
      <c r="M9097" t="s">
        <v>5471</v>
      </c>
    </row>
    <row r="9098" spans="1:13" x14ac:dyDescent="0.3">
      <c r="A9098" t="s">
        <v>3388</v>
      </c>
      <c r="B9098" t="s">
        <v>6540</v>
      </c>
      <c r="C9098" t="s">
        <v>5470</v>
      </c>
      <c r="D9098" t="s">
        <v>4119</v>
      </c>
      <c r="E9098" t="s">
        <v>5756</v>
      </c>
      <c r="F9098" t="s">
        <v>32271</v>
      </c>
      <c r="G9098" t="s">
        <v>21907</v>
      </c>
      <c r="H9098" t="s">
        <v>5474</v>
      </c>
      <c r="I9098" t="s">
        <v>32272</v>
      </c>
      <c r="J9098" t="s">
        <v>5484</v>
      </c>
      <c r="K9098" t="s">
        <v>32273</v>
      </c>
      <c r="L9098" t="s">
        <v>5471</v>
      </c>
      <c r="M9098" t="s">
        <v>5471</v>
      </c>
    </row>
    <row r="9099" spans="1:13" x14ac:dyDescent="0.3">
      <c r="A9099" t="s">
        <v>3388</v>
      </c>
      <c r="B9099" t="s">
        <v>6540</v>
      </c>
      <c r="C9099" t="s">
        <v>5470</v>
      </c>
      <c r="D9099" t="s">
        <v>4119</v>
      </c>
      <c r="E9099" t="s">
        <v>5756</v>
      </c>
      <c r="F9099" t="s">
        <v>32274</v>
      </c>
      <c r="G9099" t="s">
        <v>22454</v>
      </c>
      <c r="H9099" t="s">
        <v>5474</v>
      </c>
      <c r="I9099" t="s">
        <v>32275</v>
      </c>
      <c r="J9099" t="s">
        <v>5484</v>
      </c>
      <c r="K9099" t="s">
        <v>32276</v>
      </c>
      <c r="L9099" t="s">
        <v>5471</v>
      </c>
      <c r="M9099" t="s">
        <v>5471</v>
      </c>
    </row>
    <row r="9100" spans="1:13" x14ac:dyDescent="0.3">
      <c r="A9100" t="s">
        <v>3388</v>
      </c>
      <c r="B9100" t="s">
        <v>6540</v>
      </c>
      <c r="C9100" t="s">
        <v>5470</v>
      </c>
      <c r="D9100" t="s">
        <v>4119</v>
      </c>
      <c r="E9100" t="s">
        <v>5756</v>
      </c>
      <c r="F9100" t="s">
        <v>32277</v>
      </c>
      <c r="G9100" t="s">
        <v>22471</v>
      </c>
      <c r="H9100" t="s">
        <v>5474</v>
      </c>
      <c r="I9100" t="s">
        <v>32278</v>
      </c>
      <c r="J9100" t="s">
        <v>5484</v>
      </c>
      <c r="K9100" t="s">
        <v>32279</v>
      </c>
      <c r="L9100" t="s">
        <v>5471</v>
      </c>
      <c r="M9100" t="s">
        <v>5471</v>
      </c>
    </row>
    <row r="9101" spans="1:13" x14ac:dyDescent="0.3">
      <c r="A9101" t="s">
        <v>3380</v>
      </c>
      <c r="B9101" t="s">
        <v>5249</v>
      </c>
      <c r="C9101" t="s">
        <v>6342</v>
      </c>
      <c r="D9101" t="s">
        <v>4119</v>
      </c>
      <c r="E9101" t="s">
        <v>5532</v>
      </c>
      <c r="F9101" t="s">
        <v>32280</v>
      </c>
      <c r="G9101" t="s">
        <v>17261</v>
      </c>
      <c r="H9101" t="s">
        <v>5474</v>
      </c>
      <c r="I9101" t="s">
        <v>32281</v>
      </c>
      <c r="J9101" t="s">
        <v>5484</v>
      </c>
      <c r="K9101" t="s">
        <v>16101</v>
      </c>
      <c r="L9101" t="s">
        <v>5471</v>
      </c>
      <c r="M9101" t="s">
        <v>5471</v>
      </c>
    </row>
    <row r="9102" spans="1:13" x14ac:dyDescent="0.3">
      <c r="A9102" t="s">
        <v>3380</v>
      </c>
      <c r="B9102" t="s">
        <v>16745</v>
      </c>
      <c r="C9102" t="s">
        <v>6342</v>
      </c>
      <c r="D9102" t="s">
        <v>4119</v>
      </c>
      <c r="E9102" t="s">
        <v>9935</v>
      </c>
      <c r="F9102" t="s">
        <v>32282</v>
      </c>
      <c r="G9102" t="s">
        <v>16747</v>
      </c>
      <c r="H9102" t="s">
        <v>5474</v>
      </c>
      <c r="I9102" t="s">
        <v>32283</v>
      </c>
      <c r="J9102" t="s">
        <v>5484</v>
      </c>
      <c r="K9102" t="s">
        <v>16098</v>
      </c>
      <c r="L9102" t="s">
        <v>5471</v>
      </c>
      <c r="M9102" t="s">
        <v>5471</v>
      </c>
    </row>
    <row r="9103" spans="1:13" x14ac:dyDescent="0.3">
      <c r="A9103" t="s">
        <v>3380</v>
      </c>
      <c r="B9103" t="s">
        <v>16745</v>
      </c>
      <c r="C9103" t="s">
        <v>6342</v>
      </c>
      <c r="D9103" t="s">
        <v>4119</v>
      </c>
      <c r="E9103" t="s">
        <v>9935</v>
      </c>
      <c r="F9103" t="s">
        <v>32284</v>
      </c>
      <c r="G9103" t="s">
        <v>16747</v>
      </c>
      <c r="H9103" t="s">
        <v>5474</v>
      </c>
      <c r="I9103" t="s">
        <v>32285</v>
      </c>
      <c r="J9103" t="s">
        <v>5484</v>
      </c>
      <c r="K9103" t="s">
        <v>16101</v>
      </c>
      <c r="L9103" t="s">
        <v>5471</v>
      </c>
      <c r="M9103" t="s">
        <v>5471</v>
      </c>
    </row>
    <row r="9104" spans="1:13" x14ac:dyDescent="0.3">
      <c r="A9104" t="s">
        <v>3380</v>
      </c>
      <c r="B9104" t="s">
        <v>5261</v>
      </c>
      <c r="C9104" t="s">
        <v>6342</v>
      </c>
      <c r="D9104" t="s">
        <v>4119</v>
      </c>
      <c r="E9104" t="s">
        <v>9935</v>
      </c>
      <c r="F9104" t="s">
        <v>32286</v>
      </c>
      <c r="G9104" t="s">
        <v>16694</v>
      </c>
      <c r="H9104" t="s">
        <v>5474</v>
      </c>
      <c r="I9104" t="s">
        <v>32287</v>
      </c>
      <c r="J9104" t="s">
        <v>5484</v>
      </c>
      <c r="K9104" t="s">
        <v>18311</v>
      </c>
      <c r="L9104" t="s">
        <v>5471</v>
      </c>
      <c r="M9104" t="s">
        <v>5471</v>
      </c>
    </row>
    <row r="9105" spans="1:13" x14ac:dyDescent="0.3">
      <c r="A9105" t="s">
        <v>3380</v>
      </c>
      <c r="B9105" t="s">
        <v>9713</v>
      </c>
      <c r="C9105" t="s">
        <v>6342</v>
      </c>
      <c r="D9105" t="s">
        <v>4119</v>
      </c>
      <c r="E9105" t="s">
        <v>9935</v>
      </c>
      <c r="F9105" t="s">
        <v>32288</v>
      </c>
      <c r="G9105" t="s">
        <v>9715</v>
      </c>
      <c r="H9105" t="s">
        <v>5474</v>
      </c>
      <c r="I9105" t="s">
        <v>32289</v>
      </c>
      <c r="J9105" t="s">
        <v>5484</v>
      </c>
      <c r="K9105" t="s">
        <v>32290</v>
      </c>
      <c r="L9105" t="s">
        <v>5471</v>
      </c>
      <c r="M9105" t="s">
        <v>5471</v>
      </c>
    </row>
    <row r="9106" spans="1:13" x14ac:dyDescent="0.3">
      <c r="A9106" t="s">
        <v>3380</v>
      </c>
      <c r="B9106" t="s">
        <v>9713</v>
      </c>
      <c r="C9106" t="s">
        <v>6342</v>
      </c>
      <c r="D9106" t="s">
        <v>4119</v>
      </c>
      <c r="E9106" t="s">
        <v>9935</v>
      </c>
      <c r="F9106" t="s">
        <v>32291</v>
      </c>
      <c r="G9106" t="s">
        <v>9715</v>
      </c>
      <c r="H9106" t="s">
        <v>5474</v>
      </c>
      <c r="I9106" t="s">
        <v>32292</v>
      </c>
      <c r="J9106" t="s">
        <v>5484</v>
      </c>
      <c r="K9106" t="s">
        <v>32293</v>
      </c>
      <c r="L9106" t="s">
        <v>5471</v>
      </c>
      <c r="M9106" t="s">
        <v>5471</v>
      </c>
    </row>
    <row r="9107" spans="1:13" x14ac:dyDescent="0.3">
      <c r="A9107" t="s">
        <v>3380</v>
      </c>
      <c r="B9107" t="s">
        <v>27164</v>
      </c>
      <c r="C9107" t="s">
        <v>6342</v>
      </c>
      <c r="D9107" t="s">
        <v>4119</v>
      </c>
      <c r="E9107" t="s">
        <v>9935</v>
      </c>
      <c r="F9107" t="s">
        <v>32294</v>
      </c>
      <c r="G9107" t="s">
        <v>27166</v>
      </c>
      <c r="H9107" t="s">
        <v>5474</v>
      </c>
      <c r="I9107" t="s">
        <v>32295</v>
      </c>
      <c r="J9107" t="s">
        <v>5484</v>
      </c>
      <c r="K9107" t="s">
        <v>16110</v>
      </c>
      <c r="L9107" t="s">
        <v>5471</v>
      </c>
      <c r="M9107" t="s">
        <v>5471</v>
      </c>
    </row>
    <row r="9108" spans="1:13" x14ac:dyDescent="0.3">
      <c r="A9108" t="s">
        <v>3380</v>
      </c>
      <c r="B9108" t="s">
        <v>26275</v>
      </c>
      <c r="C9108" t="s">
        <v>6342</v>
      </c>
      <c r="D9108" t="s">
        <v>4119</v>
      </c>
      <c r="E9108" t="s">
        <v>5532</v>
      </c>
      <c r="F9108" t="s">
        <v>32296</v>
      </c>
      <c r="G9108" t="s">
        <v>26277</v>
      </c>
      <c r="H9108" t="s">
        <v>5474</v>
      </c>
      <c r="I9108" t="s">
        <v>32297</v>
      </c>
      <c r="J9108" t="s">
        <v>5484</v>
      </c>
      <c r="K9108" t="s">
        <v>18298</v>
      </c>
      <c r="L9108" t="s">
        <v>5471</v>
      </c>
      <c r="M9108" t="s">
        <v>5471</v>
      </c>
    </row>
    <row r="9109" spans="1:13" x14ac:dyDescent="0.3">
      <c r="A9109" t="s">
        <v>3380</v>
      </c>
      <c r="B9109" t="s">
        <v>26275</v>
      </c>
      <c r="C9109" t="s">
        <v>6342</v>
      </c>
      <c r="D9109" t="s">
        <v>4119</v>
      </c>
      <c r="E9109" t="s">
        <v>5532</v>
      </c>
      <c r="F9109" t="s">
        <v>32298</v>
      </c>
      <c r="G9109" t="s">
        <v>26277</v>
      </c>
      <c r="H9109" t="s">
        <v>5474</v>
      </c>
      <c r="I9109" t="s">
        <v>32299</v>
      </c>
      <c r="J9109" t="s">
        <v>5484</v>
      </c>
      <c r="K9109" t="s">
        <v>18311</v>
      </c>
      <c r="L9109" t="s">
        <v>5471</v>
      </c>
      <c r="M9109" t="s">
        <v>5471</v>
      </c>
    </row>
    <row r="9110" spans="1:13" x14ac:dyDescent="0.3">
      <c r="A9110" t="s">
        <v>3380</v>
      </c>
      <c r="B9110" t="s">
        <v>10137</v>
      </c>
      <c r="C9110" t="s">
        <v>6342</v>
      </c>
      <c r="D9110" t="s">
        <v>4119</v>
      </c>
      <c r="E9110" t="s">
        <v>9935</v>
      </c>
      <c r="F9110" t="s">
        <v>32300</v>
      </c>
      <c r="G9110" t="s">
        <v>10145</v>
      </c>
      <c r="H9110" t="s">
        <v>5474</v>
      </c>
      <c r="I9110" t="s">
        <v>32301</v>
      </c>
      <c r="J9110" t="s">
        <v>5484</v>
      </c>
      <c r="K9110" t="s">
        <v>32302</v>
      </c>
      <c r="L9110" t="s">
        <v>5471</v>
      </c>
      <c r="M9110" t="s">
        <v>5471</v>
      </c>
    </row>
    <row r="9111" spans="1:13" x14ac:dyDescent="0.3">
      <c r="A9111" t="s">
        <v>3380</v>
      </c>
      <c r="B9111" t="s">
        <v>26261</v>
      </c>
      <c r="C9111" t="s">
        <v>6342</v>
      </c>
      <c r="D9111" t="s">
        <v>4119</v>
      </c>
      <c r="E9111" t="s">
        <v>5532</v>
      </c>
      <c r="F9111" t="s">
        <v>32303</v>
      </c>
      <c r="G9111" t="s">
        <v>26263</v>
      </c>
      <c r="H9111" t="s">
        <v>5474</v>
      </c>
      <c r="I9111" t="s">
        <v>32304</v>
      </c>
      <c r="J9111" t="s">
        <v>5484</v>
      </c>
      <c r="K9111" t="s">
        <v>16098</v>
      </c>
      <c r="L9111" t="s">
        <v>5471</v>
      </c>
      <c r="M9111" t="s">
        <v>5471</v>
      </c>
    </row>
    <row r="9112" spans="1:13" x14ac:dyDescent="0.3">
      <c r="A9112" t="s">
        <v>3380</v>
      </c>
      <c r="B9112" t="s">
        <v>26261</v>
      </c>
      <c r="C9112" t="s">
        <v>6342</v>
      </c>
      <c r="D9112" t="s">
        <v>4119</v>
      </c>
      <c r="E9112" t="s">
        <v>5532</v>
      </c>
      <c r="F9112" t="s">
        <v>32305</v>
      </c>
      <c r="G9112" t="s">
        <v>26263</v>
      </c>
      <c r="H9112" t="s">
        <v>5474</v>
      </c>
      <c r="I9112" t="s">
        <v>32306</v>
      </c>
      <c r="J9112" t="s">
        <v>5484</v>
      </c>
      <c r="K9112" t="s">
        <v>16101</v>
      </c>
      <c r="L9112" t="s">
        <v>5471</v>
      </c>
      <c r="M9112" t="s">
        <v>5471</v>
      </c>
    </row>
    <row r="9113" spans="1:13" x14ac:dyDescent="0.3">
      <c r="A9113" t="s">
        <v>3380</v>
      </c>
      <c r="B9113" t="s">
        <v>26261</v>
      </c>
      <c r="C9113" t="s">
        <v>6342</v>
      </c>
      <c r="D9113" t="s">
        <v>4119</v>
      </c>
      <c r="E9113" t="s">
        <v>5532</v>
      </c>
      <c r="F9113" t="s">
        <v>32307</v>
      </c>
      <c r="G9113" t="s">
        <v>26263</v>
      </c>
      <c r="H9113" t="s">
        <v>5474</v>
      </c>
      <c r="I9113" t="s">
        <v>32308</v>
      </c>
      <c r="J9113" t="s">
        <v>5484</v>
      </c>
      <c r="K9113" t="s">
        <v>16110</v>
      </c>
      <c r="L9113" t="s">
        <v>5471</v>
      </c>
      <c r="M9113" t="s">
        <v>5471</v>
      </c>
    </row>
    <row r="9114" spans="1:13" x14ac:dyDescent="0.3">
      <c r="A9114" t="s">
        <v>3380</v>
      </c>
      <c r="B9114" t="s">
        <v>32309</v>
      </c>
      <c r="C9114" t="s">
        <v>6342</v>
      </c>
      <c r="D9114" t="s">
        <v>4119</v>
      </c>
      <c r="E9114" t="s">
        <v>5532</v>
      </c>
      <c r="F9114" t="s">
        <v>32310</v>
      </c>
      <c r="G9114" t="s">
        <v>32311</v>
      </c>
      <c r="H9114" t="s">
        <v>5474</v>
      </c>
      <c r="I9114" t="s">
        <v>32312</v>
      </c>
      <c r="J9114" t="s">
        <v>5484</v>
      </c>
      <c r="K9114" t="s">
        <v>18301</v>
      </c>
      <c r="L9114" t="s">
        <v>5471</v>
      </c>
      <c r="M9114" t="s">
        <v>5471</v>
      </c>
    </row>
    <row r="9115" spans="1:13" x14ac:dyDescent="0.3">
      <c r="A9115" t="s">
        <v>3380</v>
      </c>
      <c r="B9115" t="s">
        <v>32309</v>
      </c>
      <c r="C9115" t="s">
        <v>6342</v>
      </c>
      <c r="D9115" t="s">
        <v>4119</v>
      </c>
      <c r="E9115" t="s">
        <v>5532</v>
      </c>
      <c r="F9115" t="s">
        <v>32313</v>
      </c>
      <c r="G9115" t="s">
        <v>32311</v>
      </c>
      <c r="H9115" t="s">
        <v>5474</v>
      </c>
      <c r="I9115" t="s">
        <v>32314</v>
      </c>
      <c r="J9115" t="s">
        <v>5484</v>
      </c>
      <c r="K9115" t="s">
        <v>18298</v>
      </c>
      <c r="L9115" t="s">
        <v>5471</v>
      </c>
      <c r="M9115" t="s">
        <v>5471</v>
      </c>
    </row>
    <row r="9116" spans="1:13" x14ac:dyDescent="0.3">
      <c r="A9116" t="s">
        <v>3380</v>
      </c>
      <c r="B9116" t="s">
        <v>32309</v>
      </c>
      <c r="C9116" t="s">
        <v>6342</v>
      </c>
      <c r="D9116" t="s">
        <v>4119</v>
      </c>
      <c r="E9116" t="s">
        <v>5532</v>
      </c>
      <c r="F9116" t="s">
        <v>32315</v>
      </c>
      <c r="G9116" t="s">
        <v>32311</v>
      </c>
      <c r="H9116" t="s">
        <v>5474</v>
      </c>
      <c r="I9116" t="s">
        <v>32316</v>
      </c>
      <c r="J9116" t="s">
        <v>5484</v>
      </c>
      <c r="K9116" t="s">
        <v>18308</v>
      </c>
      <c r="L9116" t="s">
        <v>5471</v>
      </c>
      <c r="M9116" t="s">
        <v>5471</v>
      </c>
    </row>
    <row r="9117" spans="1:13" x14ac:dyDescent="0.3">
      <c r="A9117" t="s">
        <v>3388</v>
      </c>
      <c r="B9117" t="s">
        <v>6540</v>
      </c>
      <c r="C9117" t="s">
        <v>5470</v>
      </c>
      <c r="D9117" t="s">
        <v>4119</v>
      </c>
      <c r="E9117" t="s">
        <v>5756</v>
      </c>
      <c r="F9117" t="s">
        <v>32317</v>
      </c>
      <c r="G9117" t="s">
        <v>9695</v>
      </c>
      <c r="H9117" t="s">
        <v>5474</v>
      </c>
      <c r="I9117" t="s">
        <v>32318</v>
      </c>
      <c r="J9117" t="s">
        <v>5484</v>
      </c>
      <c r="K9117" t="s">
        <v>32319</v>
      </c>
      <c r="L9117" t="s">
        <v>5471</v>
      </c>
      <c r="M9117" t="s">
        <v>5471</v>
      </c>
    </row>
    <row r="9118" spans="1:13" x14ac:dyDescent="0.3">
      <c r="A9118" t="s">
        <v>3388</v>
      </c>
      <c r="B9118" t="s">
        <v>6540</v>
      </c>
      <c r="C9118" t="s">
        <v>5470</v>
      </c>
      <c r="D9118" t="s">
        <v>4119</v>
      </c>
      <c r="E9118" t="s">
        <v>5756</v>
      </c>
      <c r="F9118" t="s">
        <v>32320</v>
      </c>
      <c r="G9118" t="s">
        <v>9695</v>
      </c>
      <c r="H9118" t="s">
        <v>5474</v>
      </c>
      <c r="I9118" t="s">
        <v>32321</v>
      </c>
      <c r="J9118" t="s">
        <v>5484</v>
      </c>
      <c r="K9118" t="s">
        <v>32322</v>
      </c>
      <c r="L9118" t="s">
        <v>5471</v>
      </c>
      <c r="M9118" t="s">
        <v>5471</v>
      </c>
    </row>
    <row r="9119" spans="1:13" x14ac:dyDescent="0.3">
      <c r="A9119" t="s">
        <v>3388</v>
      </c>
      <c r="B9119" t="s">
        <v>5678</v>
      </c>
      <c r="C9119" t="s">
        <v>5470</v>
      </c>
      <c r="D9119" t="s">
        <v>4119</v>
      </c>
      <c r="E9119" t="s">
        <v>5532</v>
      </c>
      <c r="F9119" t="s">
        <v>32323</v>
      </c>
      <c r="G9119" t="s">
        <v>18056</v>
      </c>
      <c r="H9119" t="s">
        <v>5474</v>
      </c>
      <c r="I9119" t="s">
        <v>32324</v>
      </c>
      <c r="J9119" t="s">
        <v>5484</v>
      </c>
      <c r="K9119" t="s">
        <v>32325</v>
      </c>
      <c r="L9119" t="s">
        <v>5471</v>
      </c>
      <c r="M9119" t="s">
        <v>5471</v>
      </c>
    </row>
    <row r="9120" spans="1:13" x14ac:dyDescent="0.3">
      <c r="A9120" t="s">
        <v>3388</v>
      </c>
      <c r="B9120" t="s">
        <v>21928</v>
      </c>
      <c r="C9120" t="s">
        <v>5470</v>
      </c>
      <c r="D9120" t="s">
        <v>4119</v>
      </c>
      <c r="E9120" t="s">
        <v>5532</v>
      </c>
      <c r="F9120" t="s">
        <v>32326</v>
      </c>
      <c r="G9120" t="s">
        <v>24348</v>
      </c>
      <c r="H9120" t="s">
        <v>5474</v>
      </c>
      <c r="I9120" t="s">
        <v>32327</v>
      </c>
      <c r="J9120" t="s">
        <v>5484</v>
      </c>
      <c r="K9120" t="s">
        <v>32328</v>
      </c>
      <c r="L9120" t="s">
        <v>5471</v>
      </c>
      <c r="M9120" t="s">
        <v>5471</v>
      </c>
    </row>
    <row r="9121" spans="1:13" x14ac:dyDescent="0.3">
      <c r="A9121" t="s">
        <v>3388</v>
      </c>
      <c r="B9121" t="s">
        <v>15596</v>
      </c>
      <c r="C9121" t="s">
        <v>5470</v>
      </c>
      <c r="D9121" t="s">
        <v>4119</v>
      </c>
      <c r="E9121" t="s">
        <v>5756</v>
      </c>
      <c r="F9121" t="s">
        <v>32329</v>
      </c>
      <c r="G9121" t="s">
        <v>30704</v>
      </c>
      <c r="H9121" t="s">
        <v>5474</v>
      </c>
      <c r="I9121" t="s">
        <v>32330</v>
      </c>
      <c r="J9121" t="s">
        <v>5484</v>
      </c>
      <c r="K9121" t="s">
        <v>32331</v>
      </c>
      <c r="L9121" t="s">
        <v>5471</v>
      </c>
      <c r="M9121" t="s">
        <v>5471</v>
      </c>
    </row>
    <row r="9122" spans="1:13" x14ac:dyDescent="0.3">
      <c r="A9122" t="s">
        <v>3388</v>
      </c>
      <c r="B9122" t="s">
        <v>15596</v>
      </c>
      <c r="C9122" t="s">
        <v>5470</v>
      </c>
      <c r="D9122" t="s">
        <v>4119</v>
      </c>
      <c r="E9122" t="s">
        <v>5756</v>
      </c>
      <c r="F9122" t="s">
        <v>32332</v>
      </c>
      <c r="G9122" t="s">
        <v>8298</v>
      </c>
      <c r="H9122" t="s">
        <v>5474</v>
      </c>
      <c r="I9122" t="s">
        <v>32333</v>
      </c>
      <c r="J9122" t="s">
        <v>5484</v>
      </c>
      <c r="K9122" t="s">
        <v>32334</v>
      </c>
      <c r="L9122" t="s">
        <v>5471</v>
      </c>
      <c r="M9122" t="s">
        <v>5471</v>
      </c>
    </row>
    <row r="9123" spans="1:13" x14ac:dyDescent="0.3">
      <c r="A9123" t="s">
        <v>3388</v>
      </c>
      <c r="B9123" t="s">
        <v>17483</v>
      </c>
      <c r="C9123" t="s">
        <v>5470</v>
      </c>
      <c r="D9123" t="s">
        <v>30466</v>
      </c>
      <c r="E9123" t="s">
        <v>5843</v>
      </c>
      <c r="F9123" t="s">
        <v>32335</v>
      </c>
      <c r="G9123" t="s">
        <v>32336</v>
      </c>
      <c r="H9123" t="s">
        <v>5474</v>
      </c>
      <c r="I9123" t="s">
        <v>32337</v>
      </c>
      <c r="J9123" t="s">
        <v>5484</v>
      </c>
      <c r="K9123" t="s">
        <v>32338</v>
      </c>
      <c r="L9123" t="s">
        <v>5471</v>
      </c>
      <c r="M9123" t="s">
        <v>5471</v>
      </c>
    </row>
    <row r="9124" spans="1:13" x14ac:dyDescent="0.3">
      <c r="A9124" t="s">
        <v>3388</v>
      </c>
      <c r="B9124" t="s">
        <v>20040</v>
      </c>
      <c r="C9124" t="s">
        <v>5470</v>
      </c>
      <c r="D9124" t="s">
        <v>4119</v>
      </c>
      <c r="E9124" t="s">
        <v>5756</v>
      </c>
      <c r="F9124" t="s">
        <v>32339</v>
      </c>
      <c r="G9124" t="s">
        <v>31445</v>
      </c>
      <c r="H9124" t="s">
        <v>5474</v>
      </c>
      <c r="I9124" t="s">
        <v>32340</v>
      </c>
      <c r="J9124" t="s">
        <v>5484</v>
      </c>
      <c r="K9124" t="s">
        <v>32341</v>
      </c>
      <c r="L9124" t="s">
        <v>5471</v>
      </c>
      <c r="M9124" t="s">
        <v>5471</v>
      </c>
    </row>
    <row r="9125" spans="1:13" x14ac:dyDescent="0.3">
      <c r="A9125" t="s">
        <v>3388</v>
      </c>
      <c r="B9125" t="s">
        <v>15580</v>
      </c>
      <c r="C9125" t="s">
        <v>5470</v>
      </c>
      <c r="D9125" t="s">
        <v>30466</v>
      </c>
      <c r="E9125" t="s">
        <v>5756</v>
      </c>
      <c r="F9125" t="s">
        <v>32342</v>
      </c>
      <c r="G9125" t="s">
        <v>17601</v>
      </c>
      <c r="H9125" t="s">
        <v>5474</v>
      </c>
      <c r="I9125" t="s">
        <v>32343</v>
      </c>
      <c r="J9125" t="s">
        <v>5484</v>
      </c>
      <c r="K9125" t="s">
        <v>32344</v>
      </c>
      <c r="L9125" t="s">
        <v>5471</v>
      </c>
      <c r="M9125" t="s">
        <v>5471</v>
      </c>
    </row>
    <row r="9126" spans="1:13" x14ac:dyDescent="0.3">
      <c r="A9126" t="s">
        <v>3388</v>
      </c>
      <c r="B9126" t="s">
        <v>15580</v>
      </c>
      <c r="C9126" t="s">
        <v>5470</v>
      </c>
      <c r="D9126" t="s">
        <v>30466</v>
      </c>
      <c r="E9126" t="s">
        <v>5756</v>
      </c>
      <c r="F9126" t="s">
        <v>32345</v>
      </c>
      <c r="G9126" t="s">
        <v>10459</v>
      </c>
      <c r="H9126" t="s">
        <v>5474</v>
      </c>
      <c r="I9126" t="s">
        <v>32346</v>
      </c>
      <c r="J9126" t="s">
        <v>5484</v>
      </c>
      <c r="K9126" t="s">
        <v>32347</v>
      </c>
      <c r="L9126" t="s">
        <v>5471</v>
      </c>
      <c r="M9126" t="s">
        <v>5471</v>
      </c>
    </row>
    <row r="9127" spans="1:13" x14ac:dyDescent="0.3">
      <c r="A9127" t="s">
        <v>3388</v>
      </c>
      <c r="B9127" t="s">
        <v>15580</v>
      </c>
      <c r="C9127" t="s">
        <v>5470</v>
      </c>
      <c r="D9127" t="s">
        <v>30466</v>
      </c>
      <c r="E9127" t="s">
        <v>5756</v>
      </c>
      <c r="F9127" t="s">
        <v>32348</v>
      </c>
      <c r="G9127" t="s">
        <v>18662</v>
      </c>
      <c r="H9127" t="s">
        <v>5474</v>
      </c>
      <c r="I9127" t="s">
        <v>32349</v>
      </c>
      <c r="J9127" t="s">
        <v>5484</v>
      </c>
      <c r="K9127" t="s">
        <v>32350</v>
      </c>
      <c r="L9127" t="s">
        <v>5471</v>
      </c>
      <c r="M9127" t="s">
        <v>5471</v>
      </c>
    </row>
    <row r="9128" spans="1:13" x14ac:dyDescent="0.3">
      <c r="A9128" t="s">
        <v>3388</v>
      </c>
      <c r="B9128" t="s">
        <v>5531</v>
      </c>
      <c r="C9128" t="s">
        <v>5470</v>
      </c>
      <c r="D9128" t="s">
        <v>30466</v>
      </c>
      <c r="E9128" t="s">
        <v>5532</v>
      </c>
      <c r="F9128" t="s">
        <v>32351</v>
      </c>
      <c r="G9128" t="s">
        <v>10178</v>
      </c>
      <c r="H9128" t="s">
        <v>5474</v>
      </c>
      <c r="I9128" t="s">
        <v>32352</v>
      </c>
      <c r="J9128" t="s">
        <v>5484</v>
      </c>
      <c r="K9128" t="s">
        <v>32353</v>
      </c>
      <c r="L9128" t="s">
        <v>5471</v>
      </c>
      <c r="M9128" t="s">
        <v>5471</v>
      </c>
    </row>
    <row r="9129" spans="1:13" x14ac:dyDescent="0.3">
      <c r="A9129" t="s">
        <v>3380</v>
      </c>
      <c r="B9129" t="s">
        <v>32309</v>
      </c>
      <c r="C9129" t="s">
        <v>6342</v>
      </c>
      <c r="D9129" t="s">
        <v>4119</v>
      </c>
      <c r="E9129" t="s">
        <v>5532</v>
      </c>
      <c r="F9129" t="s">
        <v>32354</v>
      </c>
      <c r="G9129" t="s">
        <v>32311</v>
      </c>
      <c r="H9129" t="s">
        <v>5474</v>
      </c>
      <c r="I9129" t="s">
        <v>32355</v>
      </c>
      <c r="J9129" t="s">
        <v>5484</v>
      </c>
      <c r="K9129" t="s">
        <v>18311</v>
      </c>
      <c r="L9129" t="s">
        <v>5471</v>
      </c>
      <c r="M9129" t="s">
        <v>5471</v>
      </c>
    </row>
    <row r="9130" spans="1:13" x14ac:dyDescent="0.3">
      <c r="A9130" t="s">
        <v>3388</v>
      </c>
      <c r="B9130" t="s">
        <v>22510</v>
      </c>
      <c r="C9130" t="s">
        <v>5470</v>
      </c>
      <c r="D9130" t="s">
        <v>30466</v>
      </c>
      <c r="E9130" t="s">
        <v>5756</v>
      </c>
      <c r="F9130" t="s">
        <v>32356</v>
      </c>
      <c r="G9130" t="s">
        <v>32357</v>
      </c>
      <c r="H9130" t="s">
        <v>5474</v>
      </c>
      <c r="I9130" t="s">
        <v>32358</v>
      </c>
      <c r="J9130" t="s">
        <v>5484</v>
      </c>
      <c r="K9130" t="s">
        <v>32359</v>
      </c>
      <c r="L9130" t="s">
        <v>5471</v>
      </c>
      <c r="M9130" t="s">
        <v>5471</v>
      </c>
    </row>
    <row r="9131" spans="1:13" x14ac:dyDescent="0.3">
      <c r="A9131" t="s">
        <v>3380</v>
      </c>
      <c r="B9131" t="s">
        <v>32360</v>
      </c>
      <c r="C9131" t="s">
        <v>6342</v>
      </c>
      <c r="D9131" t="s">
        <v>4119</v>
      </c>
      <c r="E9131" t="s">
        <v>5532</v>
      </c>
      <c r="F9131" t="s">
        <v>32361</v>
      </c>
      <c r="G9131" t="s">
        <v>32362</v>
      </c>
      <c r="H9131" t="s">
        <v>5474</v>
      </c>
      <c r="I9131" t="s">
        <v>32363</v>
      </c>
      <c r="J9131" t="s">
        <v>5484</v>
      </c>
      <c r="K9131" t="s">
        <v>16098</v>
      </c>
      <c r="L9131" t="s">
        <v>5471</v>
      </c>
      <c r="M9131" t="s">
        <v>5471</v>
      </c>
    </row>
    <row r="9132" spans="1:13" x14ac:dyDescent="0.3">
      <c r="A9132" t="s">
        <v>3388</v>
      </c>
      <c r="B9132" t="s">
        <v>22510</v>
      </c>
      <c r="C9132" t="s">
        <v>5470</v>
      </c>
      <c r="D9132" t="s">
        <v>30466</v>
      </c>
      <c r="E9132" t="s">
        <v>5756</v>
      </c>
      <c r="F9132" t="s">
        <v>32364</v>
      </c>
      <c r="G9132" t="s">
        <v>6369</v>
      </c>
      <c r="H9132" t="s">
        <v>5474</v>
      </c>
      <c r="I9132" t="s">
        <v>32365</v>
      </c>
      <c r="J9132" t="s">
        <v>5484</v>
      </c>
      <c r="K9132" t="s">
        <v>32366</v>
      </c>
      <c r="L9132" t="s">
        <v>5471</v>
      </c>
      <c r="M9132" t="s">
        <v>5471</v>
      </c>
    </row>
    <row r="9133" spans="1:13" x14ac:dyDescent="0.3">
      <c r="A9133" t="s">
        <v>3380</v>
      </c>
      <c r="B9133" t="s">
        <v>32360</v>
      </c>
      <c r="C9133" t="s">
        <v>6342</v>
      </c>
      <c r="D9133" t="s">
        <v>4119</v>
      </c>
      <c r="E9133" t="s">
        <v>5532</v>
      </c>
      <c r="F9133" t="s">
        <v>32367</v>
      </c>
      <c r="G9133" t="s">
        <v>32362</v>
      </c>
      <c r="H9133" t="s">
        <v>5474</v>
      </c>
      <c r="I9133" t="s">
        <v>32368</v>
      </c>
      <c r="J9133" t="s">
        <v>5484</v>
      </c>
      <c r="K9133" t="s">
        <v>16101</v>
      </c>
      <c r="L9133" t="s">
        <v>5471</v>
      </c>
      <c r="M9133" t="s">
        <v>5471</v>
      </c>
    </row>
    <row r="9134" spans="1:13" x14ac:dyDescent="0.3">
      <c r="A9134" t="s">
        <v>3388</v>
      </c>
      <c r="B9134" t="s">
        <v>5263</v>
      </c>
      <c r="C9134" t="s">
        <v>5470</v>
      </c>
      <c r="D9134" t="s">
        <v>30466</v>
      </c>
      <c r="E9134" t="s">
        <v>5532</v>
      </c>
      <c r="F9134" t="s">
        <v>32369</v>
      </c>
      <c r="G9134" t="s">
        <v>29233</v>
      </c>
      <c r="H9134" t="s">
        <v>5474</v>
      </c>
      <c r="I9134" t="s">
        <v>32370</v>
      </c>
      <c r="J9134" t="s">
        <v>5484</v>
      </c>
      <c r="K9134" t="s">
        <v>32371</v>
      </c>
      <c r="L9134" t="s">
        <v>5471</v>
      </c>
      <c r="M9134" t="s">
        <v>5471</v>
      </c>
    </row>
    <row r="9135" spans="1:13" x14ac:dyDescent="0.3">
      <c r="A9135" t="s">
        <v>3380</v>
      </c>
      <c r="B9135" t="s">
        <v>32360</v>
      </c>
      <c r="C9135" t="s">
        <v>6342</v>
      </c>
      <c r="D9135" t="s">
        <v>4119</v>
      </c>
      <c r="E9135" t="s">
        <v>5532</v>
      </c>
      <c r="F9135" t="s">
        <v>32372</v>
      </c>
      <c r="G9135" t="s">
        <v>32362</v>
      </c>
      <c r="H9135" t="s">
        <v>5474</v>
      </c>
      <c r="I9135" t="s">
        <v>32373</v>
      </c>
      <c r="J9135" t="s">
        <v>5484</v>
      </c>
      <c r="K9135" t="s">
        <v>16110</v>
      </c>
      <c r="L9135" t="s">
        <v>5471</v>
      </c>
      <c r="M9135" t="s">
        <v>5471</v>
      </c>
    </row>
    <row r="9136" spans="1:13" x14ac:dyDescent="0.3">
      <c r="A9136" t="s">
        <v>3388</v>
      </c>
      <c r="B9136" t="s">
        <v>5263</v>
      </c>
      <c r="C9136" t="s">
        <v>5470</v>
      </c>
      <c r="D9136" t="s">
        <v>30466</v>
      </c>
      <c r="E9136" t="s">
        <v>5532</v>
      </c>
      <c r="F9136" t="s">
        <v>32374</v>
      </c>
      <c r="G9136" t="s">
        <v>18533</v>
      </c>
      <c r="H9136" t="s">
        <v>5474</v>
      </c>
      <c r="I9136" t="s">
        <v>32375</v>
      </c>
      <c r="J9136" t="s">
        <v>5484</v>
      </c>
      <c r="K9136" t="s">
        <v>32376</v>
      </c>
      <c r="L9136" t="s">
        <v>5471</v>
      </c>
      <c r="M9136" t="s">
        <v>5471</v>
      </c>
    </row>
    <row r="9137" spans="1:13" x14ac:dyDescent="0.3">
      <c r="A9137" t="s">
        <v>3380</v>
      </c>
      <c r="B9137" t="s">
        <v>9934</v>
      </c>
      <c r="C9137" t="s">
        <v>6342</v>
      </c>
      <c r="D9137" t="s">
        <v>4119</v>
      </c>
      <c r="E9137" t="s">
        <v>9935</v>
      </c>
      <c r="F9137" t="s">
        <v>32377</v>
      </c>
      <c r="G9137" t="s">
        <v>10930</v>
      </c>
      <c r="H9137" t="s">
        <v>5474</v>
      </c>
      <c r="I9137" t="s">
        <v>32378</v>
      </c>
      <c r="J9137" t="s">
        <v>5484</v>
      </c>
      <c r="K9137" t="s">
        <v>18298</v>
      </c>
      <c r="L9137" t="s">
        <v>5471</v>
      </c>
      <c r="M9137" t="s">
        <v>5471</v>
      </c>
    </row>
    <row r="9138" spans="1:13" x14ac:dyDescent="0.3">
      <c r="A9138" t="s">
        <v>3388</v>
      </c>
      <c r="B9138" t="s">
        <v>5263</v>
      </c>
      <c r="C9138" t="s">
        <v>5470</v>
      </c>
      <c r="D9138" t="s">
        <v>30466</v>
      </c>
      <c r="E9138" t="s">
        <v>5532</v>
      </c>
      <c r="F9138" t="s">
        <v>32379</v>
      </c>
      <c r="G9138" t="s">
        <v>18540</v>
      </c>
      <c r="H9138" t="s">
        <v>5474</v>
      </c>
      <c r="I9138" t="s">
        <v>32380</v>
      </c>
      <c r="J9138" t="s">
        <v>5484</v>
      </c>
      <c r="K9138" t="s">
        <v>32381</v>
      </c>
      <c r="L9138" t="s">
        <v>5471</v>
      </c>
      <c r="M9138" t="s">
        <v>5471</v>
      </c>
    </row>
    <row r="9139" spans="1:13" x14ac:dyDescent="0.3">
      <c r="A9139" t="s">
        <v>3380</v>
      </c>
      <c r="B9139" t="s">
        <v>9934</v>
      </c>
      <c r="C9139" t="s">
        <v>6342</v>
      </c>
      <c r="D9139" t="s">
        <v>4119</v>
      </c>
      <c r="E9139" t="s">
        <v>9935</v>
      </c>
      <c r="F9139" t="s">
        <v>32382</v>
      </c>
      <c r="G9139" t="s">
        <v>10930</v>
      </c>
      <c r="H9139" t="s">
        <v>5474</v>
      </c>
      <c r="I9139" t="s">
        <v>32383</v>
      </c>
      <c r="J9139" t="s">
        <v>5484</v>
      </c>
      <c r="K9139" t="s">
        <v>18311</v>
      </c>
      <c r="L9139" t="s">
        <v>5471</v>
      </c>
      <c r="M9139" t="s">
        <v>5471</v>
      </c>
    </row>
    <row r="9140" spans="1:13" x14ac:dyDescent="0.3">
      <c r="A9140" t="s">
        <v>3388</v>
      </c>
      <c r="B9140" t="s">
        <v>5263</v>
      </c>
      <c r="C9140" t="s">
        <v>5470</v>
      </c>
      <c r="D9140" t="s">
        <v>30466</v>
      </c>
      <c r="E9140" t="s">
        <v>5532</v>
      </c>
      <c r="F9140" t="s">
        <v>32384</v>
      </c>
      <c r="G9140" t="s">
        <v>18547</v>
      </c>
      <c r="H9140" t="s">
        <v>5474</v>
      </c>
      <c r="I9140" t="s">
        <v>32385</v>
      </c>
      <c r="J9140" t="s">
        <v>5484</v>
      </c>
      <c r="K9140" t="s">
        <v>32386</v>
      </c>
      <c r="L9140" t="s">
        <v>5471</v>
      </c>
      <c r="M9140" t="s">
        <v>5471</v>
      </c>
    </row>
    <row r="9141" spans="1:13" x14ac:dyDescent="0.3">
      <c r="A9141" t="s">
        <v>3380</v>
      </c>
      <c r="B9141" t="s">
        <v>16094</v>
      </c>
      <c r="C9141" t="s">
        <v>6342</v>
      </c>
      <c r="D9141" t="s">
        <v>4119</v>
      </c>
      <c r="E9141" t="s">
        <v>5532</v>
      </c>
      <c r="F9141" t="s">
        <v>32387</v>
      </c>
      <c r="G9141" t="s">
        <v>16096</v>
      </c>
      <c r="H9141" t="s">
        <v>5474</v>
      </c>
      <c r="I9141" t="s">
        <v>32388</v>
      </c>
      <c r="J9141" t="s">
        <v>5484</v>
      </c>
      <c r="K9141" t="s">
        <v>18311</v>
      </c>
      <c r="L9141" t="s">
        <v>5471</v>
      </c>
      <c r="M9141" t="s">
        <v>5471</v>
      </c>
    </row>
    <row r="9142" spans="1:13" x14ac:dyDescent="0.3">
      <c r="A9142" t="s">
        <v>3388</v>
      </c>
      <c r="B9142" t="s">
        <v>21853</v>
      </c>
      <c r="C9142" t="s">
        <v>5470</v>
      </c>
      <c r="D9142" t="s">
        <v>30466</v>
      </c>
      <c r="E9142" t="s">
        <v>5617</v>
      </c>
      <c r="F9142" t="s">
        <v>32389</v>
      </c>
      <c r="G9142" t="s">
        <v>32390</v>
      </c>
      <c r="H9142" t="s">
        <v>5474</v>
      </c>
      <c r="I9142" t="s">
        <v>32391</v>
      </c>
      <c r="J9142" t="s">
        <v>5484</v>
      </c>
      <c r="K9142" t="s">
        <v>32392</v>
      </c>
      <c r="L9142" t="s">
        <v>5471</v>
      </c>
      <c r="M9142" t="s">
        <v>5471</v>
      </c>
    </row>
    <row r="9143" spans="1:13" x14ac:dyDescent="0.3">
      <c r="A9143" t="s">
        <v>3380</v>
      </c>
      <c r="B9143" t="s">
        <v>10966</v>
      </c>
      <c r="C9143" t="s">
        <v>6342</v>
      </c>
      <c r="D9143" t="s">
        <v>4119</v>
      </c>
      <c r="E9143" t="s">
        <v>5532</v>
      </c>
      <c r="F9143" t="s">
        <v>32393</v>
      </c>
      <c r="G9143" t="s">
        <v>11034</v>
      </c>
      <c r="H9143" t="s">
        <v>5474</v>
      </c>
      <c r="I9143" t="s">
        <v>32394</v>
      </c>
      <c r="J9143" t="s">
        <v>5484</v>
      </c>
      <c r="K9143" t="s">
        <v>18298</v>
      </c>
      <c r="L9143" t="s">
        <v>5471</v>
      </c>
      <c r="M9143" t="s">
        <v>5471</v>
      </c>
    </row>
    <row r="9144" spans="1:13" x14ac:dyDescent="0.3">
      <c r="A9144" t="s">
        <v>3388</v>
      </c>
      <c r="B9144" t="s">
        <v>21853</v>
      </c>
      <c r="C9144" t="s">
        <v>5470</v>
      </c>
      <c r="D9144" t="s">
        <v>30466</v>
      </c>
      <c r="E9144" t="s">
        <v>5617</v>
      </c>
      <c r="F9144" t="s">
        <v>32395</v>
      </c>
      <c r="G9144" t="s">
        <v>32396</v>
      </c>
      <c r="H9144" t="s">
        <v>5474</v>
      </c>
      <c r="I9144" t="s">
        <v>32397</v>
      </c>
      <c r="J9144" t="s">
        <v>5484</v>
      </c>
      <c r="K9144" t="s">
        <v>32398</v>
      </c>
      <c r="L9144" t="s">
        <v>5471</v>
      </c>
      <c r="M9144" t="s">
        <v>5471</v>
      </c>
    </row>
    <row r="9145" spans="1:13" x14ac:dyDescent="0.3">
      <c r="A9145" t="s">
        <v>3380</v>
      </c>
      <c r="B9145" t="s">
        <v>10966</v>
      </c>
      <c r="C9145" t="s">
        <v>6342</v>
      </c>
      <c r="D9145" t="s">
        <v>4119</v>
      </c>
      <c r="E9145" t="s">
        <v>5532</v>
      </c>
      <c r="F9145" t="s">
        <v>32399</v>
      </c>
      <c r="G9145" t="s">
        <v>11034</v>
      </c>
      <c r="H9145" t="s">
        <v>5474</v>
      </c>
      <c r="I9145" t="s">
        <v>32400</v>
      </c>
      <c r="J9145" t="s">
        <v>5484</v>
      </c>
      <c r="K9145" t="s">
        <v>18311</v>
      </c>
      <c r="L9145" t="s">
        <v>5471</v>
      </c>
      <c r="M9145" t="s">
        <v>5471</v>
      </c>
    </row>
    <row r="9146" spans="1:13" x14ac:dyDescent="0.3">
      <c r="A9146" t="s">
        <v>3388</v>
      </c>
      <c r="B9146" t="s">
        <v>21853</v>
      </c>
      <c r="C9146" t="s">
        <v>5470</v>
      </c>
      <c r="D9146" t="s">
        <v>30466</v>
      </c>
      <c r="E9146" t="s">
        <v>5532</v>
      </c>
      <c r="F9146" t="s">
        <v>32401</v>
      </c>
      <c r="G9146" t="s">
        <v>32402</v>
      </c>
      <c r="H9146" t="s">
        <v>5474</v>
      </c>
      <c r="I9146" t="s">
        <v>32403</v>
      </c>
      <c r="J9146" t="s">
        <v>5484</v>
      </c>
      <c r="K9146" t="s">
        <v>32404</v>
      </c>
      <c r="L9146" t="s">
        <v>5471</v>
      </c>
      <c r="M9146" t="s">
        <v>5471</v>
      </c>
    </row>
    <row r="9147" spans="1:13" x14ac:dyDescent="0.3">
      <c r="A9147" t="s">
        <v>3380</v>
      </c>
      <c r="B9147" t="s">
        <v>10966</v>
      </c>
      <c r="C9147" t="s">
        <v>6342</v>
      </c>
      <c r="D9147" t="s">
        <v>4119</v>
      </c>
      <c r="E9147" t="s">
        <v>5532</v>
      </c>
      <c r="F9147" t="s">
        <v>32405</v>
      </c>
      <c r="G9147" t="s">
        <v>11034</v>
      </c>
      <c r="H9147" t="s">
        <v>5474</v>
      </c>
      <c r="I9147" t="s">
        <v>32406</v>
      </c>
      <c r="J9147" t="s">
        <v>5484</v>
      </c>
      <c r="K9147" t="s">
        <v>16098</v>
      </c>
      <c r="L9147" t="s">
        <v>5471</v>
      </c>
      <c r="M9147" t="s">
        <v>5471</v>
      </c>
    </row>
    <row r="9148" spans="1:13" x14ac:dyDescent="0.3">
      <c r="A9148" t="s">
        <v>3388</v>
      </c>
      <c r="B9148" t="s">
        <v>5284</v>
      </c>
      <c r="C9148" t="s">
        <v>5470</v>
      </c>
      <c r="D9148" t="s">
        <v>30466</v>
      </c>
      <c r="E9148" t="s">
        <v>5843</v>
      </c>
      <c r="F9148" t="s">
        <v>32407</v>
      </c>
      <c r="G9148" t="s">
        <v>32408</v>
      </c>
      <c r="H9148" t="s">
        <v>5474</v>
      </c>
      <c r="I9148" t="s">
        <v>32409</v>
      </c>
      <c r="J9148" t="s">
        <v>5484</v>
      </c>
      <c r="K9148" t="s">
        <v>32410</v>
      </c>
      <c r="L9148" t="s">
        <v>5471</v>
      </c>
      <c r="M9148" t="s">
        <v>5471</v>
      </c>
    </row>
    <row r="9149" spans="1:13" x14ac:dyDescent="0.3">
      <c r="A9149" t="s">
        <v>3380</v>
      </c>
      <c r="B9149" t="s">
        <v>10966</v>
      </c>
      <c r="C9149" t="s">
        <v>6342</v>
      </c>
      <c r="D9149" t="s">
        <v>4119</v>
      </c>
      <c r="E9149" t="s">
        <v>5532</v>
      </c>
      <c r="F9149" t="s">
        <v>32411</v>
      </c>
      <c r="G9149" t="s">
        <v>11034</v>
      </c>
      <c r="H9149" t="s">
        <v>5474</v>
      </c>
      <c r="I9149" t="s">
        <v>32412</v>
      </c>
      <c r="J9149" t="s">
        <v>5484</v>
      </c>
      <c r="K9149" t="s">
        <v>16101</v>
      </c>
      <c r="L9149" t="s">
        <v>5471</v>
      </c>
      <c r="M9149" t="s">
        <v>5471</v>
      </c>
    </row>
    <row r="9150" spans="1:13" x14ac:dyDescent="0.3">
      <c r="A9150" t="s">
        <v>3388</v>
      </c>
      <c r="B9150" t="s">
        <v>2749</v>
      </c>
      <c r="C9150" t="s">
        <v>5470</v>
      </c>
      <c r="D9150" t="s">
        <v>30466</v>
      </c>
      <c r="E9150" t="s">
        <v>5843</v>
      </c>
      <c r="F9150" t="s">
        <v>32413</v>
      </c>
      <c r="G9150" t="s">
        <v>32414</v>
      </c>
      <c r="H9150" t="s">
        <v>5474</v>
      </c>
      <c r="I9150" t="s">
        <v>32415</v>
      </c>
      <c r="J9150" t="s">
        <v>5484</v>
      </c>
      <c r="K9150" t="s">
        <v>32416</v>
      </c>
      <c r="L9150" t="s">
        <v>5471</v>
      </c>
      <c r="M9150" t="s">
        <v>5471</v>
      </c>
    </row>
    <row r="9151" spans="1:13" x14ac:dyDescent="0.3">
      <c r="A9151" t="s">
        <v>3380</v>
      </c>
      <c r="B9151" t="s">
        <v>16257</v>
      </c>
      <c r="C9151" t="s">
        <v>6342</v>
      </c>
      <c r="D9151" t="s">
        <v>4119</v>
      </c>
      <c r="E9151" t="s">
        <v>5532</v>
      </c>
      <c r="F9151" t="s">
        <v>32417</v>
      </c>
      <c r="G9151" t="s">
        <v>16259</v>
      </c>
      <c r="H9151" t="s">
        <v>5474</v>
      </c>
      <c r="I9151" t="s">
        <v>32418</v>
      </c>
      <c r="J9151" t="s">
        <v>5484</v>
      </c>
      <c r="K9151" t="s">
        <v>16098</v>
      </c>
      <c r="L9151" t="s">
        <v>5471</v>
      </c>
      <c r="M9151" t="s">
        <v>5471</v>
      </c>
    </row>
    <row r="9152" spans="1:13" x14ac:dyDescent="0.3">
      <c r="A9152" t="s">
        <v>3388</v>
      </c>
      <c r="B9152" t="s">
        <v>2749</v>
      </c>
      <c r="C9152" t="s">
        <v>5470</v>
      </c>
      <c r="D9152" t="s">
        <v>30466</v>
      </c>
      <c r="E9152" t="s">
        <v>5843</v>
      </c>
      <c r="F9152" t="s">
        <v>32419</v>
      </c>
      <c r="G9152" t="s">
        <v>32420</v>
      </c>
      <c r="H9152" t="s">
        <v>5474</v>
      </c>
      <c r="I9152" t="s">
        <v>32421</v>
      </c>
      <c r="J9152" t="s">
        <v>5484</v>
      </c>
      <c r="K9152" t="s">
        <v>32422</v>
      </c>
      <c r="L9152" t="s">
        <v>5471</v>
      </c>
      <c r="M9152" t="s">
        <v>5471</v>
      </c>
    </row>
    <row r="9153" spans="1:13" x14ac:dyDescent="0.3">
      <c r="A9153" t="s">
        <v>3380</v>
      </c>
      <c r="B9153" t="s">
        <v>16257</v>
      </c>
      <c r="C9153" t="s">
        <v>6342</v>
      </c>
      <c r="D9153" t="s">
        <v>4119</v>
      </c>
      <c r="E9153" t="s">
        <v>5532</v>
      </c>
      <c r="F9153" t="s">
        <v>32423</v>
      </c>
      <c r="G9153" t="s">
        <v>16259</v>
      </c>
      <c r="H9153" t="s">
        <v>5474</v>
      </c>
      <c r="I9153" t="s">
        <v>32424</v>
      </c>
      <c r="J9153" t="s">
        <v>5484</v>
      </c>
      <c r="K9153" t="s">
        <v>16101</v>
      </c>
      <c r="L9153" t="s">
        <v>5471</v>
      </c>
      <c r="M9153" t="s">
        <v>5471</v>
      </c>
    </row>
    <row r="9154" spans="1:13" x14ac:dyDescent="0.3">
      <c r="A9154" t="s">
        <v>3388</v>
      </c>
      <c r="B9154" t="s">
        <v>5253</v>
      </c>
      <c r="C9154" t="s">
        <v>5470</v>
      </c>
      <c r="D9154" t="s">
        <v>4052</v>
      </c>
      <c r="E9154" t="s">
        <v>5480</v>
      </c>
      <c r="F9154" t="s">
        <v>32425</v>
      </c>
      <c r="G9154" t="s">
        <v>32426</v>
      </c>
      <c r="H9154" t="s">
        <v>5474</v>
      </c>
      <c r="I9154" t="s">
        <v>32427</v>
      </c>
      <c r="J9154" t="s">
        <v>5484</v>
      </c>
      <c r="K9154" t="s">
        <v>32428</v>
      </c>
      <c r="L9154" t="s">
        <v>5471</v>
      </c>
      <c r="M9154" t="s">
        <v>5471</v>
      </c>
    </row>
    <row r="9155" spans="1:13" x14ac:dyDescent="0.3">
      <c r="A9155" t="s">
        <v>3388</v>
      </c>
      <c r="B9155" t="s">
        <v>2749</v>
      </c>
      <c r="C9155" t="s">
        <v>5470</v>
      </c>
      <c r="D9155" t="s">
        <v>30466</v>
      </c>
      <c r="E9155" t="s">
        <v>5532</v>
      </c>
      <c r="F9155" t="s">
        <v>32429</v>
      </c>
      <c r="G9155" t="s">
        <v>10510</v>
      </c>
      <c r="H9155" t="s">
        <v>5474</v>
      </c>
      <c r="I9155" t="s">
        <v>32430</v>
      </c>
      <c r="J9155" t="s">
        <v>5484</v>
      </c>
      <c r="K9155" t="s">
        <v>32431</v>
      </c>
      <c r="L9155" t="s">
        <v>5471</v>
      </c>
      <c r="M9155" t="s">
        <v>5471</v>
      </c>
    </row>
    <row r="9156" spans="1:13" x14ac:dyDescent="0.3">
      <c r="A9156" t="s">
        <v>3380</v>
      </c>
      <c r="B9156" t="s">
        <v>32432</v>
      </c>
      <c r="C9156" t="s">
        <v>6342</v>
      </c>
      <c r="D9156" t="s">
        <v>4119</v>
      </c>
      <c r="E9156" t="s">
        <v>5532</v>
      </c>
      <c r="F9156" t="s">
        <v>32433</v>
      </c>
      <c r="G9156" t="s">
        <v>32434</v>
      </c>
      <c r="H9156" t="s">
        <v>5474</v>
      </c>
      <c r="I9156" t="s">
        <v>32435</v>
      </c>
      <c r="J9156" t="s">
        <v>5484</v>
      </c>
      <c r="K9156" t="s">
        <v>16098</v>
      </c>
      <c r="L9156" t="s">
        <v>5471</v>
      </c>
      <c r="M9156" t="s">
        <v>5471</v>
      </c>
    </row>
    <row r="9157" spans="1:13" x14ac:dyDescent="0.3">
      <c r="A9157" t="s">
        <v>3388</v>
      </c>
      <c r="B9157" t="s">
        <v>5299</v>
      </c>
      <c r="C9157" t="s">
        <v>5470</v>
      </c>
      <c r="D9157" t="s">
        <v>30466</v>
      </c>
      <c r="E9157" t="s">
        <v>5532</v>
      </c>
      <c r="F9157" t="s">
        <v>32436</v>
      </c>
      <c r="G9157" t="s">
        <v>31320</v>
      </c>
      <c r="H9157" t="s">
        <v>5474</v>
      </c>
      <c r="I9157" t="s">
        <v>32437</v>
      </c>
      <c r="J9157" t="s">
        <v>5484</v>
      </c>
      <c r="K9157" t="s">
        <v>32438</v>
      </c>
      <c r="L9157" t="s">
        <v>5471</v>
      </c>
      <c r="M9157" t="s">
        <v>5471</v>
      </c>
    </row>
    <row r="9158" spans="1:13" x14ac:dyDescent="0.3">
      <c r="A9158" t="s">
        <v>3388</v>
      </c>
      <c r="B9158" t="s">
        <v>5253</v>
      </c>
      <c r="C9158" t="s">
        <v>5470</v>
      </c>
      <c r="D9158" t="s">
        <v>4052</v>
      </c>
      <c r="E9158" t="s">
        <v>5480</v>
      </c>
      <c r="F9158" t="s">
        <v>32439</v>
      </c>
      <c r="G9158" t="s">
        <v>32426</v>
      </c>
      <c r="H9158" t="s">
        <v>5474</v>
      </c>
      <c r="I9158" t="s">
        <v>32440</v>
      </c>
      <c r="J9158" t="s">
        <v>5484</v>
      </c>
      <c r="K9158" t="s">
        <v>32441</v>
      </c>
      <c r="L9158" t="s">
        <v>5471</v>
      </c>
      <c r="M9158" t="s">
        <v>5471</v>
      </c>
    </row>
    <row r="9159" spans="1:13" x14ac:dyDescent="0.3">
      <c r="A9159" t="s">
        <v>3380</v>
      </c>
      <c r="B9159" t="s">
        <v>32432</v>
      </c>
      <c r="C9159" t="s">
        <v>6342</v>
      </c>
      <c r="D9159" t="s">
        <v>4119</v>
      </c>
      <c r="E9159" t="s">
        <v>5532</v>
      </c>
      <c r="F9159" t="s">
        <v>32442</v>
      </c>
      <c r="G9159" t="s">
        <v>32434</v>
      </c>
      <c r="H9159" t="s">
        <v>5474</v>
      </c>
      <c r="I9159" t="s">
        <v>32443</v>
      </c>
      <c r="J9159" t="s">
        <v>5484</v>
      </c>
      <c r="K9159" t="s">
        <v>16101</v>
      </c>
      <c r="L9159" t="s">
        <v>5471</v>
      </c>
      <c r="M9159" t="s">
        <v>5471</v>
      </c>
    </row>
    <row r="9160" spans="1:13" x14ac:dyDescent="0.3">
      <c r="A9160" t="s">
        <v>3388</v>
      </c>
      <c r="B9160" t="s">
        <v>20072</v>
      </c>
      <c r="C9160" t="s">
        <v>5470</v>
      </c>
      <c r="D9160" t="s">
        <v>30466</v>
      </c>
      <c r="E9160" t="s">
        <v>5532</v>
      </c>
      <c r="F9160" t="s">
        <v>32444</v>
      </c>
      <c r="G9160" t="s">
        <v>31320</v>
      </c>
      <c r="H9160" t="s">
        <v>5474</v>
      </c>
      <c r="I9160" t="s">
        <v>32445</v>
      </c>
      <c r="J9160" t="s">
        <v>5484</v>
      </c>
      <c r="K9160" t="s">
        <v>32446</v>
      </c>
      <c r="L9160" t="s">
        <v>5471</v>
      </c>
      <c r="M9160" t="s">
        <v>5471</v>
      </c>
    </row>
    <row r="9161" spans="1:13" x14ac:dyDescent="0.3">
      <c r="A9161" t="s">
        <v>3388</v>
      </c>
      <c r="B9161" t="s">
        <v>21862</v>
      </c>
      <c r="C9161" t="s">
        <v>5470</v>
      </c>
      <c r="D9161" t="s">
        <v>4052</v>
      </c>
      <c r="E9161" t="s">
        <v>5532</v>
      </c>
      <c r="F9161" t="s">
        <v>32447</v>
      </c>
      <c r="G9161" t="s">
        <v>32448</v>
      </c>
      <c r="H9161" t="s">
        <v>5474</v>
      </c>
      <c r="I9161" t="s">
        <v>32449</v>
      </c>
      <c r="J9161" t="s">
        <v>5484</v>
      </c>
      <c r="K9161" t="s">
        <v>32450</v>
      </c>
      <c r="L9161" t="s">
        <v>5471</v>
      </c>
      <c r="M9161" t="s">
        <v>5471</v>
      </c>
    </row>
    <row r="9162" spans="1:13" x14ac:dyDescent="0.3">
      <c r="A9162" t="s">
        <v>3388</v>
      </c>
      <c r="B9162" t="s">
        <v>7105</v>
      </c>
      <c r="C9162" t="s">
        <v>5470</v>
      </c>
      <c r="D9162" t="s">
        <v>30466</v>
      </c>
      <c r="E9162" t="s">
        <v>5532</v>
      </c>
      <c r="F9162" t="s">
        <v>32451</v>
      </c>
      <c r="G9162" t="s">
        <v>32452</v>
      </c>
      <c r="H9162" t="s">
        <v>5474</v>
      </c>
      <c r="I9162" t="s">
        <v>32453</v>
      </c>
      <c r="J9162" t="s">
        <v>5484</v>
      </c>
      <c r="K9162" t="s">
        <v>32454</v>
      </c>
      <c r="L9162" t="s">
        <v>5471</v>
      </c>
      <c r="M9162" t="s">
        <v>5471</v>
      </c>
    </row>
    <row r="9163" spans="1:13" x14ac:dyDescent="0.3">
      <c r="A9163" t="s">
        <v>3388</v>
      </c>
      <c r="B9163" t="s">
        <v>15942</v>
      </c>
      <c r="C9163" t="s">
        <v>5470</v>
      </c>
      <c r="D9163" t="s">
        <v>4052</v>
      </c>
      <c r="E9163" t="s">
        <v>5532</v>
      </c>
      <c r="F9163" t="s">
        <v>32455</v>
      </c>
      <c r="G9163" t="s">
        <v>15968</v>
      </c>
      <c r="H9163" t="s">
        <v>5474</v>
      </c>
      <c r="I9163" t="s">
        <v>32456</v>
      </c>
      <c r="J9163" t="s">
        <v>5484</v>
      </c>
      <c r="K9163" t="s">
        <v>30398</v>
      </c>
      <c r="L9163" t="s">
        <v>5471</v>
      </c>
      <c r="M9163" t="s">
        <v>5471</v>
      </c>
    </row>
    <row r="9164" spans="1:13" x14ac:dyDescent="0.3">
      <c r="A9164" t="s">
        <v>3388</v>
      </c>
      <c r="B9164" t="s">
        <v>7105</v>
      </c>
      <c r="C9164" t="s">
        <v>5470</v>
      </c>
      <c r="D9164" t="s">
        <v>30466</v>
      </c>
      <c r="E9164" t="s">
        <v>5532</v>
      </c>
      <c r="F9164" t="s">
        <v>32457</v>
      </c>
      <c r="G9164" t="s">
        <v>32458</v>
      </c>
      <c r="H9164" t="s">
        <v>5474</v>
      </c>
      <c r="I9164" t="s">
        <v>32459</v>
      </c>
      <c r="J9164" t="s">
        <v>5484</v>
      </c>
      <c r="K9164" t="s">
        <v>32460</v>
      </c>
      <c r="L9164" t="s">
        <v>5471</v>
      </c>
      <c r="M9164" t="s">
        <v>5471</v>
      </c>
    </row>
    <row r="9165" spans="1:13" x14ac:dyDescent="0.3">
      <c r="A9165" t="s">
        <v>3388</v>
      </c>
      <c r="B9165" t="s">
        <v>15702</v>
      </c>
      <c r="C9165" t="s">
        <v>5470</v>
      </c>
      <c r="D9165" t="s">
        <v>4052</v>
      </c>
      <c r="E9165" t="s">
        <v>5532</v>
      </c>
      <c r="F9165" t="s">
        <v>32461</v>
      </c>
      <c r="G9165" t="s">
        <v>29283</v>
      </c>
      <c r="H9165" t="s">
        <v>5474</v>
      </c>
      <c r="I9165" t="s">
        <v>32462</v>
      </c>
      <c r="J9165" t="s">
        <v>5484</v>
      </c>
      <c r="K9165" t="s">
        <v>32463</v>
      </c>
      <c r="L9165" t="s">
        <v>5471</v>
      </c>
      <c r="M9165" t="s">
        <v>5471</v>
      </c>
    </row>
    <row r="9166" spans="1:13" x14ac:dyDescent="0.3">
      <c r="A9166" t="s">
        <v>3388</v>
      </c>
      <c r="B9166" t="s">
        <v>19207</v>
      </c>
      <c r="C9166" t="s">
        <v>5470</v>
      </c>
      <c r="D9166" t="s">
        <v>30466</v>
      </c>
      <c r="E9166" t="s">
        <v>5532</v>
      </c>
      <c r="F9166" t="s">
        <v>32464</v>
      </c>
      <c r="G9166" t="s">
        <v>18533</v>
      </c>
      <c r="H9166" t="s">
        <v>5474</v>
      </c>
      <c r="I9166" t="s">
        <v>32465</v>
      </c>
      <c r="J9166" t="s">
        <v>5484</v>
      </c>
      <c r="K9166" t="s">
        <v>32466</v>
      </c>
      <c r="L9166" t="s">
        <v>5471</v>
      </c>
      <c r="M9166" t="s">
        <v>5471</v>
      </c>
    </row>
    <row r="9167" spans="1:13" x14ac:dyDescent="0.3">
      <c r="A9167" t="s">
        <v>3380</v>
      </c>
      <c r="B9167" t="s">
        <v>32467</v>
      </c>
      <c r="C9167" t="s">
        <v>6342</v>
      </c>
      <c r="D9167" t="s">
        <v>4119</v>
      </c>
      <c r="E9167" t="s">
        <v>5532</v>
      </c>
      <c r="F9167" t="s">
        <v>32468</v>
      </c>
      <c r="G9167" t="s">
        <v>32469</v>
      </c>
      <c r="H9167" t="s">
        <v>5474</v>
      </c>
      <c r="I9167" t="s">
        <v>32470</v>
      </c>
      <c r="J9167" t="s">
        <v>5484</v>
      </c>
      <c r="K9167" t="s">
        <v>18308</v>
      </c>
      <c r="L9167" t="s">
        <v>5471</v>
      </c>
      <c r="M9167" t="s">
        <v>5471</v>
      </c>
    </row>
    <row r="9168" spans="1:13" x14ac:dyDescent="0.3">
      <c r="A9168" t="s">
        <v>3388</v>
      </c>
      <c r="B9168" t="s">
        <v>15702</v>
      </c>
      <c r="C9168" t="s">
        <v>5470</v>
      </c>
      <c r="D9168" t="s">
        <v>4052</v>
      </c>
      <c r="E9168" t="s">
        <v>5532</v>
      </c>
      <c r="F9168" t="s">
        <v>32471</v>
      </c>
      <c r="G9168" t="s">
        <v>28797</v>
      </c>
      <c r="H9168" t="s">
        <v>5474</v>
      </c>
      <c r="I9168" t="s">
        <v>32472</v>
      </c>
      <c r="J9168" t="s">
        <v>5484</v>
      </c>
      <c r="K9168" t="s">
        <v>30380</v>
      </c>
      <c r="L9168" t="s">
        <v>5471</v>
      </c>
      <c r="M9168" t="s">
        <v>5471</v>
      </c>
    </row>
    <row r="9169" spans="1:13" x14ac:dyDescent="0.3">
      <c r="A9169" t="s">
        <v>3388</v>
      </c>
      <c r="B9169" t="s">
        <v>19207</v>
      </c>
      <c r="C9169" t="s">
        <v>5470</v>
      </c>
      <c r="D9169" t="s">
        <v>30466</v>
      </c>
      <c r="E9169" t="s">
        <v>5532</v>
      </c>
      <c r="F9169" t="s">
        <v>32473</v>
      </c>
      <c r="G9169" t="s">
        <v>18540</v>
      </c>
      <c r="H9169" t="s">
        <v>5474</v>
      </c>
      <c r="I9169" t="s">
        <v>32474</v>
      </c>
      <c r="J9169" t="s">
        <v>5484</v>
      </c>
      <c r="K9169" t="s">
        <v>32475</v>
      </c>
      <c r="L9169" t="s">
        <v>5471</v>
      </c>
      <c r="M9169" t="s">
        <v>5471</v>
      </c>
    </row>
    <row r="9170" spans="1:13" x14ac:dyDescent="0.3">
      <c r="A9170" t="s">
        <v>3380</v>
      </c>
      <c r="B9170" t="s">
        <v>32467</v>
      </c>
      <c r="C9170" t="s">
        <v>6342</v>
      </c>
      <c r="D9170" t="s">
        <v>4119</v>
      </c>
      <c r="E9170" t="s">
        <v>5532</v>
      </c>
      <c r="F9170" t="s">
        <v>32476</v>
      </c>
      <c r="G9170" t="s">
        <v>32469</v>
      </c>
      <c r="H9170" t="s">
        <v>5474</v>
      </c>
      <c r="I9170" t="s">
        <v>32477</v>
      </c>
      <c r="J9170" t="s">
        <v>5484</v>
      </c>
      <c r="K9170" t="s">
        <v>18311</v>
      </c>
      <c r="L9170" t="s">
        <v>5471</v>
      </c>
      <c r="M9170" t="s">
        <v>5471</v>
      </c>
    </row>
    <row r="9171" spans="1:13" x14ac:dyDescent="0.3">
      <c r="A9171" t="s">
        <v>3388</v>
      </c>
      <c r="B9171" t="s">
        <v>19207</v>
      </c>
      <c r="C9171" t="s">
        <v>5470</v>
      </c>
      <c r="D9171" t="s">
        <v>30466</v>
      </c>
      <c r="E9171" t="s">
        <v>5532</v>
      </c>
      <c r="F9171" t="s">
        <v>32478</v>
      </c>
      <c r="G9171" t="s">
        <v>18547</v>
      </c>
      <c r="H9171" t="s">
        <v>5474</v>
      </c>
      <c r="I9171" t="s">
        <v>32479</v>
      </c>
      <c r="J9171" t="s">
        <v>5484</v>
      </c>
      <c r="K9171" t="s">
        <v>32480</v>
      </c>
      <c r="L9171" t="s">
        <v>5471</v>
      </c>
      <c r="M9171" t="s">
        <v>5471</v>
      </c>
    </row>
    <row r="9172" spans="1:13" x14ac:dyDescent="0.3">
      <c r="A9172" t="s">
        <v>3388</v>
      </c>
      <c r="B9172" t="s">
        <v>7088</v>
      </c>
      <c r="C9172" t="s">
        <v>5470</v>
      </c>
      <c r="D9172" t="s">
        <v>4052</v>
      </c>
      <c r="E9172" t="s">
        <v>5532</v>
      </c>
      <c r="F9172" t="s">
        <v>32481</v>
      </c>
      <c r="G9172" t="s">
        <v>31037</v>
      </c>
      <c r="H9172" t="s">
        <v>5474</v>
      </c>
      <c r="I9172" t="s">
        <v>32482</v>
      </c>
      <c r="J9172" t="s">
        <v>5484</v>
      </c>
      <c r="K9172" t="s">
        <v>32483</v>
      </c>
      <c r="L9172" t="s">
        <v>5471</v>
      </c>
      <c r="M9172" t="s">
        <v>5471</v>
      </c>
    </row>
    <row r="9173" spans="1:13" x14ac:dyDescent="0.3">
      <c r="A9173" t="s">
        <v>3380</v>
      </c>
      <c r="B9173" t="s">
        <v>32467</v>
      </c>
      <c r="C9173" t="s">
        <v>6342</v>
      </c>
      <c r="D9173" t="s">
        <v>4119</v>
      </c>
      <c r="E9173" t="s">
        <v>5532</v>
      </c>
      <c r="F9173" t="s">
        <v>32484</v>
      </c>
      <c r="G9173" t="s">
        <v>32469</v>
      </c>
      <c r="H9173" t="s">
        <v>5474</v>
      </c>
      <c r="I9173" t="s">
        <v>32485</v>
      </c>
      <c r="J9173" t="s">
        <v>5484</v>
      </c>
      <c r="K9173" t="s">
        <v>16098</v>
      </c>
      <c r="L9173" t="s">
        <v>5471</v>
      </c>
      <c r="M9173" t="s">
        <v>5471</v>
      </c>
    </row>
    <row r="9174" spans="1:13" x14ac:dyDescent="0.3">
      <c r="A9174" t="s">
        <v>3388</v>
      </c>
      <c r="B9174" t="s">
        <v>21568</v>
      </c>
      <c r="C9174" t="s">
        <v>5470</v>
      </c>
      <c r="D9174" t="s">
        <v>30466</v>
      </c>
      <c r="E9174" t="s">
        <v>5532</v>
      </c>
      <c r="F9174" t="s">
        <v>32486</v>
      </c>
      <c r="G9174" t="s">
        <v>24255</v>
      </c>
      <c r="H9174" t="s">
        <v>5474</v>
      </c>
      <c r="I9174" t="s">
        <v>32487</v>
      </c>
      <c r="J9174" t="s">
        <v>5484</v>
      </c>
      <c r="K9174" t="s">
        <v>32488</v>
      </c>
      <c r="L9174" t="s">
        <v>5471</v>
      </c>
      <c r="M9174" t="s">
        <v>5471</v>
      </c>
    </row>
    <row r="9175" spans="1:13" x14ac:dyDescent="0.3">
      <c r="A9175" t="s">
        <v>3380</v>
      </c>
      <c r="B9175" t="s">
        <v>32467</v>
      </c>
      <c r="C9175" t="s">
        <v>6342</v>
      </c>
      <c r="D9175" t="s">
        <v>4119</v>
      </c>
      <c r="E9175" t="s">
        <v>5532</v>
      </c>
      <c r="F9175" t="s">
        <v>32489</v>
      </c>
      <c r="G9175" t="s">
        <v>32469</v>
      </c>
      <c r="H9175" t="s">
        <v>5474</v>
      </c>
      <c r="I9175" t="s">
        <v>32490</v>
      </c>
      <c r="J9175" t="s">
        <v>5484</v>
      </c>
      <c r="K9175" t="s">
        <v>16101</v>
      </c>
      <c r="L9175" t="s">
        <v>5471</v>
      </c>
      <c r="M9175" t="s">
        <v>5471</v>
      </c>
    </row>
    <row r="9176" spans="1:13" x14ac:dyDescent="0.3">
      <c r="A9176" t="s">
        <v>3388</v>
      </c>
      <c r="B9176" t="s">
        <v>15892</v>
      </c>
      <c r="C9176" t="s">
        <v>5470</v>
      </c>
      <c r="D9176" t="s">
        <v>4052</v>
      </c>
      <c r="E9176" t="s">
        <v>5532</v>
      </c>
      <c r="F9176" t="s">
        <v>32491</v>
      </c>
      <c r="G9176" t="s">
        <v>28910</v>
      </c>
      <c r="H9176" t="s">
        <v>5474</v>
      </c>
      <c r="I9176" t="s">
        <v>32492</v>
      </c>
      <c r="J9176" t="s">
        <v>5484</v>
      </c>
      <c r="K9176" t="s">
        <v>32493</v>
      </c>
      <c r="L9176" t="s">
        <v>5471</v>
      </c>
      <c r="M9176" t="s">
        <v>5471</v>
      </c>
    </row>
    <row r="9177" spans="1:13" x14ac:dyDescent="0.3">
      <c r="A9177" t="s">
        <v>3388</v>
      </c>
      <c r="B9177" t="s">
        <v>11311</v>
      </c>
      <c r="C9177" t="s">
        <v>5470</v>
      </c>
      <c r="D9177" t="s">
        <v>30466</v>
      </c>
      <c r="E9177" t="s">
        <v>5756</v>
      </c>
      <c r="F9177" t="s">
        <v>32494</v>
      </c>
      <c r="G9177" t="s">
        <v>10476</v>
      </c>
      <c r="H9177" t="s">
        <v>5474</v>
      </c>
      <c r="I9177" t="s">
        <v>32495</v>
      </c>
      <c r="J9177" t="s">
        <v>5484</v>
      </c>
      <c r="K9177" t="s">
        <v>32496</v>
      </c>
      <c r="L9177" t="s">
        <v>5471</v>
      </c>
      <c r="M9177" t="s">
        <v>5471</v>
      </c>
    </row>
    <row r="9178" spans="1:13" x14ac:dyDescent="0.3">
      <c r="A9178" t="s">
        <v>3380</v>
      </c>
      <c r="B9178" t="s">
        <v>26503</v>
      </c>
      <c r="C9178" t="s">
        <v>6342</v>
      </c>
      <c r="D9178" t="s">
        <v>4119</v>
      </c>
      <c r="E9178" t="s">
        <v>5532</v>
      </c>
      <c r="F9178" t="s">
        <v>32497</v>
      </c>
      <c r="G9178" t="s">
        <v>26505</v>
      </c>
      <c r="H9178" t="s">
        <v>5474</v>
      </c>
      <c r="I9178" t="s">
        <v>32498</v>
      </c>
      <c r="J9178" t="s">
        <v>5484</v>
      </c>
      <c r="K9178" t="s">
        <v>18298</v>
      </c>
      <c r="L9178" t="s">
        <v>5471</v>
      </c>
      <c r="M9178" t="s">
        <v>5471</v>
      </c>
    </row>
    <row r="9179" spans="1:13" x14ac:dyDescent="0.3">
      <c r="A9179" t="s">
        <v>3388</v>
      </c>
      <c r="B9179" t="s">
        <v>15892</v>
      </c>
      <c r="C9179" t="s">
        <v>5470</v>
      </c>
      <c r="D9179" t="s">
        <v>4052</v>
      </c>
      <c r="E9179" t="s">
        <v>5532</v>
      </c>
      <c r="F9179" t="s">
        <v>32499</v>
      </c>
      <c r="G9179" t="s">
        <v>21974</v>
      </c>
      <c r="H9179" t="s">
        <v>5474</v>
      </c>
      <c r="I9179" t="s">
        <v>32500</v>
      </c>
      <c r="J9179" t="s">
        <v>5484</v>
      </c>
      <c r="K9179" t="s">
        <v>30380</v>
      </c>
      <c r="L9179" t="s">
        <v>5471</v>
      </c>
      <c r="M9179" t="s">
        <v>5471</v>
      </c>
    </row>
    <row r="9180" spans="1:13" x14ac:dyDescent="0.3">
      <c r="A9180" t="s">
        <v>3388</v>
      </c>
      <c r="B9180" t="s">
        <v>11311</v>
      </c>
      <c r="C9180" t="s">
        <v>5470</v>
      </c>
      <c r="D9180" t="s">
        <v>30466</v>
      </c>
      <c r="E9180" t="s">
        <v>5756</v>
      </c>
      <c r="F9180" t="s">
        <v>32501</v>
      </c>
      <c r="G9180" t="s">
        <v>18486</v>
      </c>
      <c r="H9180" t="s">
        <v>5474</v>
      </c>
      <c r="I9180" t="s">
        <v>32502</v>
      </c>
      <c r="J9180" t="s">
        <v>5484</v>
      </c>
      <c r="K9180" t="s">
        <v>32503</v>
      </c>
      <c r="L9180" t="s">
        <v>5471</v>
      </c>
      <c r="M9180" t="s">
        <v>5471</v>
      </c>
    </row>
    <row r="9181" spans="1:13" x14ac:dyDescent="0.3">
      <c r="A9181" t="s">
        <v>3380</v>
      </c>
      <c r="B9181" t="s">
        <v>26503</v>
      </c>
      <c r="C9181" t="s">
        <v>6342</v>
      </c>
      <c r="D9181" t="s">
        <v>4119</v>
      </c>
      <c r="E9181" t="s">
        <v>5532</v>
      </c>
      <c r="F9181" t="s">
        <v>32504</v>
      </c>
      <c r="G9181" t="s">
        <v>26505</v>
      </c>
      <c r="H9181" t="s">
        <v>5474</v>
      </c>
      <c r="I9181" t="s">
        <v>32505</v>
      </c>
      <c r="J9181" t="s">
        <v>5484</v>
      </c>
      <c r="K9181" t="s">
        <v>18311</v>
      </c>
      <c r="L9181" t="s">
        <v>5471</v>
      </c>
      <c r="M9181" t="s">
        <v>5471</v>
      </c>
    </row>
    <row r="9182" spans="1:13" x14ac:dyDescent="0.3">
      <c r="A9182" t="s">
        <v>3388</v>
      </c>
      <c r="B9182" t="s">
        <v>10870</v>
      </c>
      <c r="C9182" t="s">
        <v>5470</v>
      </c>
      <c r="D9182" t="s">
        <v>4052</v>
      </c>
      <c r="E9182" t="s">
        <v>5532</v>
      </c>
      <c r="F9182" t="s">
        <v>32506</v>
      </c>
      <c r="G9182" t="s">
        <v>31637</v>
      </c>
      <c r="H9182" t="s">
        <v>5474</v>
      </c>
      <c r="I9182" t="s">
        <v>32507</v>
      </c>
      <c r="J9182" t="s">
        <v>5484</v>
      </c>
      <c r="K9182" t="s">
        <v>32508</v>
      </c>
      <c r="L9182" t="s">
        <v>5471</v>
      </c>
      <c r="M9182" t="s">
        <v>5471</v>
      </c>
    </row>
    <row r="9183" spans="1:13" x14ac:dyDescent="0.3">
      <c r="A9183" t="s">
        <v>3388</v>
      </c>
      <c r="B9183" t="s">
        <v>11311</v>
      </c>
      <c r="C9183" t="s">
        <v>5470</v>
      </c>
      <c r="D9183" t="s">
        <v>30466</v>
      </c>
      <c r="E9183" t="s">
        <v>5756</v>
      </c>
      <c r="F9183" t="s">
        <v>32509</v>
      </c>
      <c r="G9183" t="s">
        <v>5473</v>
      </c>
      <c r="H9183" t="s">
        <v>5474</v>
      </c>
      <c r="I9183" t="s">
        <v>32510</v>
      </c>
      <c r="J9183" t="s">
        <v>5484</v>
      </c>
      <c r="K9183" t="s">
        <v>32511</v>
      </c>
      <c r="L9183" t="s">
        <v>5471</v>
      </c>
      <c r="M9183" t="s">
        <v>5471</v>
      </c>
    </row>
    <row r="9184" spans="1:13" x14ac:dyDescent="0.3">
      <c r="A9184" t="s">
        <v>3380</v>
      </c>
      <c r="B9184" t="s">
        <v>9677</v>
      </c>
      <c r="C9184" t="s">
        <v>6342</v>
      </c>
      <c r="D9184" t="s">
        <v>4119</v>
      </c>
      <c r="E9184" t="s">
        <v>9935</v>
      </c>
      <c r="F9184" t="s">
        <v>32512</v>
      </c>
      <c r="G9184" t="s">
        <v>26150</v>
      </c>
      <c r="H9184" t="s">
        <v>5474</v>
      </c>
      <c r="I9184" t="s">
        <v>32513</v>
      </c>
      <c r="J9184" t="s">
        <v>5484</v>
      </c>
      <c r="K9184" t="s">
        <v>16113</v>
      </c>
      <c r="L9184" t="s">
        <v>5471</v>
      </c>
      <c r="M9184" t="s">
        <v>5471</v>
      </c>
    </row>
    <row r="9185" spans="1:13" x14ac:dyDescent="0.3">
      <c r="A9185" t="s">
        <v>3388</v>
      </c>
      <c r="B9185" t="s">
        <v>5310</v>
      </c>
      <c r="C9185" t="s">
        <v>5470</v>
      </c>
      <c r="D9185" t="s">
        <v>4052</v>
      </c>
      <c r="E9185" t="s">
        <v>5532</v>
      </c>
      <c r="F9185" t="s">
        <v>32514</v>
      </c>
      <c r="G9185" t="s">
        <v>11081</v>
      </c>
      <c r="H9185" t="s">
        <v>5474</v>
      </c>
      <c r="I9185" t="s">
        <v>32515</v>
      </c>
      <c r="J9185" t="s">
        <v>5484</v>
      </c>
      <c r="K9185" t="s">
        <v>30398</v>
      </c>
      <c r="L9185" t="s">
        <v>5471</v>
      </c>
      <c r="M9185" t="s">
        <v>5471</v>
      </c>
    </row>
    <row r="9186" spans="1:13" x14ac:dyDescent="0.3">
      <c r="A9186" t="s">
        <v>3388</v>
      </c>
      <c r="B9186" t="s">
        <v>11311</v>
      </c>
      <c r="C9186" t="s">
        <v>5470</v>
      </c>
      <c r="D9186" t="s">
        <v>30466</v>
      </c>
      <c r="E9186" t="s">
        <v>5756</v>
      </c>
      <c r="F9186" t="s">
        <v>32516</v>
      </c>
      <c r="G9186" t="s">
        <v>10444</v>
      </c>
      <c r="H9186" t="s">
        <v>5474</v>
      </c>
      <c r="I9186" t="s">
        <v>32517</v>
      </c>
      <c r="J9186" t="s">
        <v>5484</v>
      </c>
      <c r="K9186" t="s">
        <v>32518</v>
      </c>
      <c r="L9186" t="s">
        <v>5471</v>
      </c>
      <c r="M9186" t="s">
        <v>5471</v>
      </c>
    </row>
    <row r="9187" spans="1:13" x14ac:dyDescent="0.3">
      <c r="A9187" t="s">
        <v>3380</v>
      </c>
      <c r="B9187" t="s">
        <v>9677</v>
      </c>
      <c r="C9187" t="s">
        <v>6342</v>
      </c>
      <c r="D9187" t="s">
        <v>4119</v>
      </c>
      <c r="E9187" t="s">
        <v>9935</v>
      </c>
      <c r="F9187" t="s">
        <v>32519</v>
      </c>
      <c r="G9187" t="s">
        <v>26150</v>
      </c>
      <c r="H9187" t="s">
        <v>5474</v>
      </c>
      <c r="I9187" t="s">
        <v>32520</v>
      </c>
      <c r="J9187" t="s">
        <v>5484</v>
      </c>
      <c r="K9187" t="s">
        <v>16110</v>
      </c>
      <c r="L9187" t="s">
        <v>5471</v>
      </c>
      <c r="M9187" t="s">
        <v>5471</v>
      </c>
    </row>
    <row r="9188" spans="1:13" x14ac:dyDescent="0.3">
      <c r="A9188" t="s">
        <v>3380</v>
      </c>
      <c r="B9188" t="s">
        <v>9677</v>
      </c>
      <c r="C9188" t="s">
        <v>6342</v>
      </c>
      <c r="D9188" t="s">
        <v>4119</v>
      </c>
      <c r="E9188" t="s">
        <v>9935</v>
      </c>
      <c r="F9188" t="s">
        <v>32521</v>
      </c>
      <c r="G9188" t="s">
        <v>26150</v>
      </c>
      <c r="H9188" t="s">
        <v>5474</v>
      </c>
      <c r="I9188" t="s">
        <v>32522</v>
      </c>
      <c r="J9188" t="s">
        <v>5484</v>
      </c>
      <c r="K9188" t="s">
        <v>25110</v>
      </c>
      <c r="L9188" t="s">
        <v>5471</v>
      </c>
      <c r="M9188" t="s">
        <v>5471</v>
      </c>
    </row>
    <row r="9189" spans="1:13" x14ac:dyDescent="0.3">
      <c r="A9189" t="s">
        <v>3388</v>
      </c>
      <c r="B9189" t="s">
        <v>8799</v>
      </c>
      <c r="C9189" t="s">
        <v>5470</v>
      </c>
      <c r="D9189" t="s">
        <v>30466</v>
      </c>
      <c r="E9189" t="s">
        <v>5532</v>
      </c>
      <c r="F9189" t="s">
        <v>32523</v>
      </c>
      <c r="G9189" t="s">
        <v>11058</v>
      </c>
      <c r="H9189" t="s">
        <v>5474</v>
      </c>
      <c r="I9189" t="s">
        <v>32524</v>
      </c>
      <c r="J9189" t="s">
        <v>5484</v>
      </c>
      <c r="K9189" t="s">
        <v>32525</v>
      </c>
      <c r="L9189" t="s">
        <v>5471</v>
      </c>
      <c r="M9189" t="s">
        <v>5471</v>
      </c>
    </row>
    <row r="9190" spans="1:13" x14ac:dyDescent="0.3">
      <c r="A9190" t="s">
        <v>3388</v>
      </c>
      <c r="B9190" t="s">
        <v>8799</v>
      </c>
      <c r="C9190" t="s">
        <v>5470</v>
      </c>
      <c r="D9190" t="s">
        <v>30466</v>
      </c>
      <c r="E9190" t="s">
        <v>5532</v>
      </c>
      <c r="F9190" t="s">
        <v>32526</v>
      </c>
      <c r="G9190" t="s">
        <v>10483</v>
      </c>
      <c r="H9190" t="s">
        <v>5474</v>
      </c>
      <c r="I9190" t="s">
        <v>32527</v>
      </c>
      <c r="J9190" t="s">
        <v>5484</v>
      </c>
      <c r="K9190" t="s">
        <v>32528</v>
      </c>
      <c r="L9190" t="s">
        <v>5471</v>
      </c>
      <c r="M9190" t="s">
        <v>5471</v>
      </c>
    </row>
    <row r="9191" spans="1:13" x14ac:dyDescent="0.3">
      <c r="A9191" t="s">
        <v>3388</v>
      </c>
      <c r="B9191" t="s">
        <v>7109</v>
      </c>
      <c r="C9191" t="s">
        <v>5470</v>
      </c>
      <c r="D9191" t="s">
        <v>4052</v>
      </c>
      <c r="E9191" t="s">
        <v>5617</v>
      </c>
      <c r="F9191" t="s">
        <v>32529</v>
      </c>
      <c r="G9191" t="s">
        <v>31751</v>
      </c>
      <c r="H9191" t="s">
        <v>5474</v>
      </c>
      <c r="I9191" t="s">
        <v>32530</v>
      </c>
      <c r="J9191" t="s">
        <v>5484</v>
      </c>
      <c r="K9191" t="s">
        <v>32531</v>
      </c>
      <c r="L9191" t="s">
        <v>5471</v>
      </c>
      <c r="M9191" t="s">
        <v>5471</v>
      </c>
    </row>
    <row r="9192" spans="1:13" x14ac:dyDescent="0.3">
      <c r="A9192" t="s">
        <v>3388</v>
      </c>
      <c r="B9192" t="s">
        <v>8799</v>
      </c>
      <c r="C9192" t="s">
        <v>5470</v>
      </c>
      <c r="D9192" t="s">
        <v>30466</v>
      </c>
      <c r="E9192" t="s">
        <v>5532</v>
      </c>
      <c r="F9192" t="s">
        <v>32532</v>
      </c>
      <c r="G9192" t="s">
        <v>29451</v>
      </c>
      <c r="H9192" t="s">
        <v>5474</v>
      </c>
      <c r="I9192" t="s">
        <v>32533</v>
      </c>
      <c r="J9192" t="s">
        <v>5484</v>
      </c>
      <c r="K9192" t="s">
        <v>32534</v>
      </c>
      <c r="L9192" t="s">
        <v>5471</v>
      </c>
      <c r="M9192" t="s">
        <v>5471</v>
      </c>
    </row>
    <row r="9193" spans="1:13" x14ac:dyDescent="0.3">
      <c r="A9193" t="s">
        <v>3388</v>
      </c>
      <c r="B9193" t="s">
        <v>8799</v>
      </c>
      <c r="C9193" t="s">
        <v>5470</v>
      </c>
      <c r="D9193" t="s">
        <v>30466</v>
      </c>
      <c r="E9193" t="s">
        <v>5756</v>
      </c>
      <c r="F9193" t="s">
        <v>32535</v>
      </c>
      <c r="G9193" t="s">
        <v>10444</v>
      </c>
      <c r="H9193" t="s">
        <v>5474</v>
      </c>
      <c r="I9193" t="s">
        <v>32536</v>
      </c>
      <c r="J9193" t="s">
        <v>5484</v>
      </c>
      <c r="K9193" t="s">
        <v>32537</v>
      </c>
      <c r="L9193" t="s">
        <v>5471</v>
      </c>
      <c r="M9193" t="s">
        <v>5471</v>
      </c>
    </row>
    <row r="9194" spans="1:13" x14ac:dyDescent="0.3">
      <c r="A9194" t="s">
        <v>3388</v>
      </c>
      <c r="B9194" t="s">
        <v>8573</v>
      </c>
      <c r="C9194" t="s">
        <v>5470</v>
      </c>
      <c r="D9194" t="s">
        <v>30466</v>
      </c>
      <c r="E9194" t="s">
        <v>5756</v>
      </c>
      <c r="F9194" t="s">
        <v>32538</v>
      </c>
      <c r="G9194" t="s">
        <v>18437</v>
      </c>
      <c r="H9194" t="s">
        <v>5474</v>
      </c>
      <c r="I9194" t="s">
        <v>32539</v>
      </c>
      <c r="J9194" t="s">
        <v>5484</v>
      </c>
      <c r="K9194" t="s">
        <v>32540</v>
      </c>
      <c r="L9194" t="s">
        <v>5471</v>
      </c>
      <c r="M9194" t="s">
        <v>5471</v>
      </c>
    </row>
    <row r="9195" spans="1:13" x14ac:dyDescent="0.3">
      <c r="A9195" t="s">
        <v>3388</v>
      </c>
      <c r="B9195" t="s">
        <v>8573</v>
      </c>
      <c r="C9195" t="s">
        <v>5470</v>
      </c>
      <c r="D9195" t="s">
        <v>30466</v>
      </c>
      <c r="E9195" t="s">
        <v>5756</v>
      </c>
      <c r="F9195" t="s">
        <v>32541</v>
      </c>
      <c r="G9195" t="s">
        <v>8015</v>
      </c>
      <c r="H9195" t="s">
        <v>5474</v>
      </c>
      <c r="I9195" t="s">
        <v>32542</v>
      </c>
      <c r="J9195" t="s">
        <v>5484</v>
      </c>
      <c r="K9195" t="s">
        <v>32543</v>
      </c>
      <c r="L9195" t="s">
        <v>5471</v>
      </c>
      <c r="M9195" t="s">
        <v>5471</v>
      </c>
    </row>
    <row r="9196" spans="1:13" x14ac:dyDescent="0.3">
      <c r="A9196" t="s">
        <v>3388</v>
      </c>
      <c r="B9196" t="s">
        <v>8573</v>
      </c>
      <c r="C9196" t="s">
        <v>5470</v>
      </c>
      <c r="D9196" t="s">
        <v>30466</v>
      </c>
      <c r="E9196" t="s">
        <v>5532</v>
      </c>
      <c r="F9196" t="s">
        <v>32544</v>
      </c>
      <c r="G9196" t="s">
        <v>21691</v>
      </c>
      <c r="H9196" t="s">
        <v>5474</v>
      </c>
      <c r="I9196" t="s">
        <v>32545</v>
      </c>
      <c r="J9196" t="s">
        <v>5484</v>
      </c>
      <c r="K9196" t="s">
        <v>32546</v>
      </c>
      <c r="L9196" t="s">
        <v>5471</v>
      </c>
      <c r="M9196" t="s">
        <v>5471</v>
      </c>
    </row>
    <row r="9197" spans="1:13" x14ac:dyDescent="0.3">
      <c r="A9197" t="s">
        <v>3388</v>
      </c>
      <c r="B9197" t="s">
        <v>11186</v>
      </c>
      <c r="C9197" t="s">
        <v>5470</v>
      </c>
      <c r="D9197" t="s">
        <v>30466</v>
      </c>
      <c r="E9197" t="s">
        <v>5532</v>
      </c>
      <c r="F9197" t="s">
        <v>32547</v>
      </c>
      <c r="G9197" t="s">
        <v>23896</v>
      </c>
      <c r="H9197" t="s">
        <v>5474</v>
      </c>
      <c r="I9197" t="s">
        <v>32548</v>
      </c>
      <c r="J9197" t="s">
        <v>5484</v>
      </c>
      <c r="K9197" t="s">
        <v>32549</v>
      </c>
      <c r="L9197" t="s">
        <v>5471</v>
      </c>
      <c r="M9197" t="s">
        <v>5471</v>
      </c>
    </row>
    <row r="9198" spans="1:13" x14ac:dyDescent="0.3">
      <c r="A9198" t="s">
        <v>3388</v>
      </c>
      <c r="B9198" t="s">
        <v>8577</v>
      </c>
      <c r="C9198" t="s">
        <v>5470</v>
      </c>
      <c r="D9198" t="s">
        <v>4056</v>
      </c>
      <c r="E9198" t="s">
        <v>5532</v>
      </c>
      <c r="F9198" t="s">
        <v>32550</v>
      </c>
      <c r="G9198" t="s">
        <v>10503</v>
      </c>
      <c r="H9198" t="s">
        <v>5474</v>
      </c>
      <c r="I9198" t="s">
        <v>32551</v>
      </c>
      <c r="J9198" t="s">
        <v>5484</v>
      </c>
      <c r="K9198" t="s">
        <v>32552</v>
      </c>
      <c r="L9198" t="s">
        <v>5471</v>
      </c>
      <c r="M9198" t="s">
        <v>5471</v>
      </c>
    </row>
    <row r="9199" spans="1:13" x14ac:dyDescent="0.3">
      <c r="A9199" t="s">
        <v>3388</v>
      </c>
      <c r="B9199" t="s">
        <v>11186</v>
      </c>
      <c r="C9199" t="s">
        <v>5470</v>
      </c>
      <c r="D9199" t="s">
        <v>30466</v>
      </c>
      <c r="E9199" t="s">
        <v>5532</v>
      </c>
      <c r="F9199" t="s">
        <v>32553</v>
      </c>
      <c r="G9199" t="s">
        <v>10471</v>
      </c>
      <c r="H9199" t="s">
        <v>5474</v>
      </c>
      <c r="I9199" t="s">
        <v>32554</v>
      </c>
      <c r="J9199" t="s">
        <v>5484</v>
      </c>
      <c r="K9199" t="s">
        <v>32555</v>
      </c>
      <c r="L9199" t="s">
        <v>5471</v>
      </c>
      <c r="M9199" t="s">
        <v>5471</v>
      </c>
    </row>
    <row r="9200" spans="1:13" x14ac:dyDescent="0.3">
      <c r="A9200" t="s">
        <v>3388</v>
      </c>
      <c r="B9200" t="s">
        <v>11186</v>
      </c>
      <c r="C9200" t="s">
        <v>5470</v>
      </c>
      <c r="D9200" t="s">
        <v>30466</v>
      </c>
      <c r="E9200" t="s">
        <v>5532</v>
      </c>
      <c r="F9200" t="s">
        <v>32556</v>
      </c>
      <c r="G9200" t="s">
        <v>32557</v>
      </c>
      <c r="H9200" t="s">
        <v>5474</v>
      </c>
      <c r="I9200" t="s">
        <v>32558</v>
      </c>
      <c r="J9200" t="s">
        <v>5484</v>
      </c>
      <c r="K9200" t="s">
        <v>32559</v>
      </c>
      <c r="L9200" t="s">
        <v>5471</v>
      </c>
      <c r="M9200" t="s">
        <v>5471</v>
      </c>
    </row>
    <row r="9201" spans="1:13" x14ac:dyDescent="0.3">
      <c r="A9201" t="s">
        <v>3388</v>
      </c>
      <c r="B9201" t="s">
        <v>11186</v>
      </c>
      <c r="C9201" t="s">
        <v>5470</v>
      </c>
      <c r="D9201" t="s">
        <v>30466</v>
      </c>
      <c r="E9201" t="s">
        <v>5532</v>
      </c>
      <c r="F9201" t="s">
        <v>32560</v>
      </c>
      <c r="G9201" t="s">
        <v>32561</v>
      </c>
      <c r="H9201" t="s">
        <v>5474</v>
      </c>
      <c r="I9201" t="s">
        <v>32562</v>
      </c>
      <c r="J9201" t="s">
        <v>5484</v>
      </c>
      <c r="K9201" t="s">
        <v>32563</v>
      </c>
      <c r="L9201" t="s">
        <v>5471</v>
      </c>
      <c r="M9201" t="s">
        <v>5471</v>
      </c>
    </row>
    <row r="9202" spans="1:13" x14ac:dyDescent="0.3">
      <c r="A9202" t="s">
        <v>3388</v>
      </c>
      <c r="B9202" t="s">
        <v>17483</v>
      </c>
      <c r="C9202" t="s">
        <v>5470</v>
      </c>
      <c r="D9202" t="s">
        <v>4056</v>
      </c>
      <c r="E9202" t="s">
        <v>5480</v>
      </c>
      <c r="F9202" t="s">
        <v>32564</v>
      </c>
      <c r="G9202" t="s">
        <v>32565</v>
      </c>
      <c r="H9202" t="s">
        <v>5474</v>
      </c>
      <c r="I9202" t="s">
        <v>32566</v>
      </c>
      <c r="J9202" t="s">
        <v>5484</v>
      </c>
      <c r="K9202" t="s">
        <v>32567</v>
      </c>
      <c r="L9202" t="s">
        <v>5471</v>
      </c>
      <c r="M9202" t="s">
        <v>5471</v>
      </c>
    </row>
    <row r="9203" spans="1:13" x14ac:dyDescent="0.3">
      <c r="A9203" t="s">
        <v>3388</v>
      </c>
      <c r="B9203" t="s">
        <v>11186</v>
      </c>
      <c r="C9203" t="s">
        <v>5470</v>
      </c>
      <c r="D9203" t="s">
        <v>30466</v>
      </c>
      <c r="E9203" t="s">
        <v>5532</v>
      </c>
      <c r="F9203" t="s">
        <v>32568</v>
      </c>
      <c r="G9203" t="s">
        <v>21589</v>
      </c>
      <c r="H9203" t="s">
        <v>5474</v>
      </c>
      <c r="I9203" t="s">
        <v>32569</v>
      </c>
      <c r="J9203" t="s">
        <v>5484</v>
      </c>
      <c r="K9203" t="s">
        <v>32570</v>
      </c>
      <c r="L9203" t="s">
        <v>5471</v>
      </c>
      <c r="M9203" t="s">
        <v>5471</v>
      </c>
    </row>
    <row r="9204" spans="1:13" x14ac:dyDescent="0.3">
      <c r="A9204" t="s">
        <v>3388</v>
      </c>
      <c r="B9204" t="s">
        <v>11186</v>
      </c>
      <c r="C9204" t="s">
        <v>5470</v>
      </c>
      <c r="D9204" t="s">
        <v>30466</v>
      </c>
      <c r="E9204" t="s">
        <v>5532</v>
      </c>
      <c r="F9204" t="s">
        <v>32571</v>
      </c>
      <c r="G9204" t="s">
        <v>32572</v>
      </c>
      <c r="H9204" t="s">
        <v>5474</v>
      </c>
      <c r="I9204" t="s">
        <v>32573</v>
      </c>
      <c r="J9204" t="s">
        <v>5484</v>
      </c>
      <c r="K9204" t="s">
        <v>32574</v>
      </c>
      <c r="L9204" t="s">
        <v>5471</v>
      </c>
      <c r="M9204" t="s">
        <v>5471</v>
      </c>
    </row>
    <row r="9205" spans="1:13" x14ac:dyDescent="0.3">
      <c r="A9205" t="s">
        <v>3388</v>
      </c>
      <c r="B9205" t="s">
        <v>17483</v>
      </c>
      <c r="C9205" t="s">
        <v>5470</v>
      </c>
      <c r="D9205" t="s">
        <v>4056</v>
      </c>
      <c r="E9205" t="s">
        <v>5480</v>
      </c>
      <c r="F9205" t="s">
        <v>32575</v>
      </c>
      <c r="G9205" t="s">
        <v>17558</v>
      </c>
      <c r="H9205" t="s">
        <v>5474</v>
      </c>
      <c r="I9205" t="s">
        <v>32576</v>
      </c>
      <c r="J9205" t="s">
        <v>5484</v>
      </c>
      <c r="K9205" t="s">
        <v>32577</v>
      </c>
      <c r="L9205" t="s">
        <v>5471</v>
      </c>
      <c r="M9205" t="s">
        <v>5471</v>
      </c>
    </row>
    <row r="9206" spans="1:13" x14ac:dyDescent="0.3">
      <c r="A9206" t="s">
        <v>3388</v>
      </c>
      <c r="B9206" t="s">
        <v>11186</v>
      </c>
      <c r="C9206" t="s">
        <v>5470</v>
      </c>
      <c r="D9206" t="s">
        <v>30466</v>
      </c>
      <c r="E9206" t="s">
        <v>5532</v>
      </c>
      <c r="F9206" t="s">
        <v>32578</v>
      </c>
      <c r="G9206" t="s">
        <v>23901</v>
      </c>
      <c r="H9206" t="s">
        <v>5474</v>
      </c>
      <c r="I9206" t="s">
        <v>32579</v>
      </c>
      <c r="J9206" t="s">
        <v>5484</v>
      </c>
      <c r="K9206" t="s">
        <v>32580</v>
      </c>
      <c r="L9206" t="s">
        <v>5471</v>
      </c>
      <c r="M9206" t="s">
        <v>5471</v>
      </c>
    </row>
    <row r="9207" spans="1:13" x14ac:dyDescent="0.3">
      <c r="A9207" t="s">
        <v>3388</v>
      </c>
      <c r="B9207" t="s">
        <v>17483</v>
      </c>
      <c r="C9207" t="s">
        <v>5470</v>
      </c>
      <c r="D9207" t="s">
        <v>4056</v>
      </c>
      <c r="E9207" t="s">
        <v>5480</v>
      </c>
      <c r="F9207" t="s">
        <v>32581</v>
      </c>
      <c r="G9207" t="s">
        <v>17558</v>
      </c>
      <c r="H9207" t="s">
        <v>5474</v>
      </c>
      <c r="I9207" t="s">
        <v>32582</v>
      </c>
      <c r="J9207" t="s">
        <v>5484</v>
      </c>
      <c r="K9207" t="s">
        <v>32583</v>
      </c>
      <c r="L9207" t="s">
        <v>5471</v>
      </c>
      <c r="M9207" t="s">
        <v>5471</v>
      </c>
    </row>
    <row r="9208" spans="1:13" x14ac:dyDescent="0.3">
      <c r="A9208" t="s">
        <v>3388</v>
      </c>
      <c r="B9208" t="s">
        <v>11186</v>
      </c>
      <c r="C9208" t="s">
        <v>5470</v>
      </c>
      <c r="D9208" t="s">
        <v>30466</v>
      </c>
      <c r="E9208" t="s">
        <v>5532</v>
      </c>
      <c r="F9208" t="s">
        <v>32584</v>
      </c>
      <c r="G9208" t="s">
        <v>23905</v>
      </c>
      <c r="H9208" t="s">
        <v>5474</v>
      </c>
      <c r="I9208" t="s">
        <v>32585</v>
      </c>
      <c r="J9208" t="s">
        <v>5484</v>
      </c>
      <c r="K9208" t="s">
        <v>32586</v>
      </c>
      <c r="L9208" t="s">
        <v>5471</v>
      </c>
      <c r="M9208" t="s">
        <v>5471</v>
      </c>
    </row>
    <row r="9209" spans="1:13" x14ac:dyDescent="0.3">
      <c r="A9209" t="s">
        <v>3388</v>
      </c>
      <c r="B9209" t="s">
        <v>17483</v>
      </c>
      <c r="C9209" t="s">
        <v>5470</v>
      </c>
      <c r="D9209" t="s">
        <v>4056</v>
      </c>
      <c r="E9209" t="s">
        <v>5480</v>
      </c>
      <c r="F9209" t="s">
        <v>32587</v>
      </c>
      <c r="G9209" t="s">
        <v>17558</v>
      </c>
      <c r="H9209" t="s">
        <v>5474</v>
      </c>
      <c r="I9209" t="s">
        <v>32588</v>
      </c>
      <c r="J9209" t="s">
        <v>5484</v>
      </c>
      <c r="K9209" t="s">
        <v>32589</v>
      </c>
      <c r="L9209" t="s">
        <v>5471</v>
      </c>
      <c r="M9209" t="s">
        <v>5471</v>
      </c>
    </row>
    <row r="9210" spans="1:13" x14ac:dyDescent="0.3">
      <c r="A9210" t="s">
        <v>3388</v>
      </c>
      <c r="B9210" t="s">
        <v>11186</v>
      </c>
      <c r="C9210" t="s">
        <v>5470</v>
      </c>
      <c r="D9210" t="s">
        <v>30466</v>
      </c>
      <c r="E9210" t="s">
        <v>5532</v>
      </c>
      <c r="F9210" t="s">
        <v>32590</v>
      </c>
      <c r="G9210" t="s">
        <v>23891</v>
      </c>
      <c r="H9210" t="s">
        <v>5474</v>
      </c>
      <c r="I9210" t="s">
        <v>32591</v>
      </c>
      <c r="J9210" t="s">
        <v>5484</v>
      </c>
      <c r="K9210" t="s">
        <v>32592</v>
      </c>
      <c r="L9210" t="s">
        <v>5471</v>
      </c>
      <c r="M9210" t="s">
        <v>5471</v>
      </c>
    </row>
    <row r="9211" spans="1:13" x14ac:dyDescent="0.3">
      <c r="A9211" t="s">
        <v>3388</v>
      </c>
      <c r="B9211" t="s">
        <v>17483</v>
      </c>
      <c r="C9211" t="s">
        <v>5470</v>
      </c>
      <c r="D9211" t="s">
        <v>4056</v>
      </c>
      <c r="E9211" t="s">
        <v>5480</v>
      </c>
      <c r="F9211" t="s">
        <v>32593</v>
      </c>
      <c r="G9211" t="s">
        <v>17579</v>
      </c>
      <c r="H9211" t="s">
        <v>5474</v>
      </c>
      <c r="I9211" t="s">
        <v>32594</v>
      </c>
      <c r="J9211" t="s">
        <v>5484</v>
      </c>
      <c r="K9211" t="s">
        <v>32595</v>
      </c>
      <c r="L9211" t="s">
        <v>5471</v>
      </c>
      <c r="M9211" t="s">
        <v>5471</v>
      </c>
    </row>
    <row r="9212" spans="1:13" x14ac:dyDescent="0.3">
      <c r="A9212" t="s">
        <v>3388</v>
      </c>
      <c r="B9212" t="s">
        <v>11186</v>
      </c>
      <c r="C9212" t="s">
        <v>5470</v>
      </c>
      <c r="D9212" t="s">
        <v>30466</v>
      </c>
      <c r="E9212" t="s">
        <v>5532</v>
      </c>
      <c r="F9212" t="s">
        <v>32596</v>
      </c>
      <c r="G9212" t="s">
        <v>30558</v>
      </c>
      <c r="H9212" t="s">
        <v>5474</v>
      </c>
      <c r="I9212" t="s">
        <v>32597</v>
      </c>
      <c r="J9212" t="s">
        <v>5484</v>
      </c>
      <c r="K9212" t="s">
        <v>32598</v>
      </c>
      <c r="L9212" t="s">
        <v>5471</v>
      </c>
      <c r="M9212" t="s">
        <v>5471</v>
      </c>
    </row>
    <row r="9213" spans="1:13" x14ac:dyDescent="0.3">
      <c r="A9213" t="s">
        <v>3388</v>
      </c>
      <c r="B9213" t="s">
        <v>17483</v>
      </c>
      <c r="C9213" t="s">
        <v>5470</v>
      </c>
      <c r="D9213" t="s">
        <v>4056</v>
      </c>
      <c r="E9213" t="s">
        <v>5480</v>
      </c>
      <c r="F9213" t="s">
        <v>32599</v>
      </c>
      <c r="G9213" t="s">
        <v>17579</v>
      </c>
      <c r="H9213" t="s">
        <v>5474</v>
      </c>
      <c r="I9213" t="s">
        <v>32600</v>
      </c>
      <c r="J9213" t="s">
        <v>5484</v>
      </c>
      <c r="K9213" t="s">
        <v>32601</v>
      </c>
      <c r="L9213" t="s">
        <v>5471</v>
      </c>
      <c r="M9213" t="s">
        <v>5471</v>
      </c>
    </row>
    <row r="9214" spans="1:13" x14ac:dyDescent="0.3">
      <c r="A9214" t="s">
        <v>3388</v>
      </c>
      <c r="B9214" t="s">
        <v>10852</v>
      </c>
      <c r="C9214" t="s">
        <v>5470</v>
      </c>
      <c r="D9214" t="s">
        <v>30466</v>
      </c>
      <c r="E9214" t="s">
        <v>5756</v>
      </c>
      <c r="F9214" t="s">
        <v>32602</v>
      </c>
      <c r="G9214" t="s">
        <v>10459</v>
      </c>
      <c r="H9214" t="s">
        <v>5474</v>
      </c>
      <c r="I9214" t="s">
        <v>32603</v>
      </c>
      <c r="J9214" t="s">
        <v>5484</v>
      </c>
      <c r="K9214" t="s">
        <v>32604</v>
      </c>
      <c r="L9214" t="s">
        <v>5471</v>
      </c>
      <c r="M9214" t="s">
        <v>5471</v>
      </c>
    </row>
    <row r="9215" spans="1:13" x14ac:dyDescent="0.3">
      <c r="A9215" t="s">
        <v>3388</v>
      </c>
      <c r="B9215" t="s">
        <v>17483</v>
      </c>
      <c r="C9215" t="s">
        <v>5470</v>
      </c>
      <c r="D9215" t="s">
        <v>4056</v>
      </c>
      <c r="E9215" t="s">
        <v>5480</v>
      </c>
      <c r="F9215" t="s">
        <v>32605</v>
      </c>
      <c r="G9215" t="s">
        <v>17579</v>
      </c>
      <c r="H9215" t="s">
        <v>5474</v>
      </c>
      <c r="I9215" t="s">
        <v>32606</v>
      </c>
      <c r="J9215" t="s">
        <v>5484</v>
      </c>
      <c r="K9215" t="s">
        <v>32607</v>
      </c>
      <c r="L9215" t="s">
        <v>5471</v>
      </c>
      <c r="M9215" t="s">
        <v>5471</v>
      </c>
    </row>
    <row r="9216" spans="1:13" x14ac:dyDescent="0.3">
      <c r="A9216" t="s">
        <v>3388</v>
      </c>
      <c r="B9216" t="s">
        <v>10852</v>
      </c>
      <c r="C9216" t="s">
        <v>5470</v>
      </c>
      <c r="D9216" t="s">
        <v>30466</v>
      </c>
      <c r="E9216" t="s">
        <v>5756</v>
      </c>
      <c r="F9216" t="s">
        <v>32608</v>
      </c>
      <c r="G9216" t="s">
        <v>16923</v>
      </c>
      <c r="H9216" t="s">
        <v>5474</v>
      </c>
      <c r="I9216" t="s">
        <v>32609</v>
      </c>
      <c r="J9216" t="s">
        <v>5484</v>
      </c>
      <c r="K9216" t="s">
        <v>32610</v>
      </c>
      <c r="L9216" t="s">
        <v>5471</v>
      </c>
      <c r="M9216" t="s">
        <v>5471</v>
      </c>
    </row>
    <row r="9217" spans="1:13" x14ac:dyDescent="0.3">
      <c r="A9217" t="s">
        <v>3388</v>
      </c>
      <c r="B9217" t="s">
        <v>20014</v>
      </c>
      <c r="C9217" t="s">
        <v>5470</v>
      </c>
      <c r="D9217" t="s">
        <v>30466</v>
      </c>
      <c r="E9217" t="s">
        <v>5532</v>
      </c>
      <c r="F9217" t="s">
        <v>32611</v>
      </c>
      <c r="G9217" t="s">
        <v>20165</v>
      </c>
      <c r="H9217" t="s">
        <v>5474</v>
      </c>
      <c r="I9217" t="s">
        <v>32612</v>
      </c>
      <c r="J9217" t="s">
        <v>5484</v>
      </c>
      <c r="K9217" t="s">
        <v>32613</v>
      </c>
      <c r="L9217" t="s">
        <v>5471</v>
      </c>
      <c r="M9217" t="s">
        <v>5471</v>
      </c>
    </row>
    <row r="9218" spans="1:13" x14ac:dyDescent="0.3">
      <c r="A9218" t="s">
        <v>3388</v>
      </c>
      <c r="B9218" t="s">
        <v>5299</v>
      </c>
      <c r="C9218" t="s">
        <v>5470</v>
      </c>
      <c r="D9218" t="s">
        <v>4056</v>
      </c>
      <c r="E9218" t="s">
        <v>5617</v>
      </c>
      <c r="F9218" t="s">
        <v>32614</v>
      </c>
      <c r="G9218" t="s">
        <v>32615</v>
      </c>
      <c r="H9218" t="s">
        <v>5474</v>
      </c>
      <c r="I9218" t="s">
        <v>32616</v>
      </c>
      <c r="J9218" t="s">
        <v>5484</v>
      </c>
      <c r="K9218" t="s">
        <v>32617</v>
      </c>
      <c r="L9218" t="s">
        <v>5471</v>
      </c>
      <c r="M9218" t="s">
        <v>5471</v>
      </c>
    </row>
    <row r="9219" spans="1:13" x14ac:dyDescent="0.3">
      <c r="A9219" t="s">
        <v>3388</v>
      </c>
      <c r="B9219" t="s">
        <v>5316</v>
      </c>
      <c r="C9219" t="s">
        <v>5470</v>
      </c>
      <c r="D9219" t="s">
        <v>30466</v>
      </c>
      <c r="E9219" t="s">
        <v>5532</v>
      </c>
      <c r="F9219" t="s">
        <v>32618</v>
      </c>
      <c r="G9219" t="s">
        <v>23115</v>
      </c>
      <c r="H9219" t="s">
        <v>5474</v>
      </c>
      <c r="I9219" t="s">
        <v>32619</v>
      </c>
      <c r="J9219" t="s">
        <v>5484</v>
      </c>
      <c r="K9219" t="s">
        <v>32620</v>
      </c>
      <c r="L9219" t="s">
        <v>5471</v>
      </c>
      <c r="M9219" t="s">
        <v>5471</v>
      </c>
    </row>
    <row r="9220" spans="1:13" x14ac:dyDescent="0.3">
      <c r="A9220" t="s">
        <v>3388</v>
      </c>
      <c r="B9220" t="s">
        <v>5299</v>
      </c>
      <c r="C9220" t="s">
        <v>5470</v>
      </c>
      <c r="D9220" t="s">
        <v>4056</v>
      </c>
      <c r="E9220" t="s">
        <v>5617</v>
      </c>
      <c r="F9220" t="s">
        <v>32621</v>
      </c>
      <c r="G9220" t="s">
        <v>32615</v>
      </c>
      <c r="H9220" t="s">
        <v>5474</v>
      </c>
      <c r="I9220" t="s">
        <v>32622</v>
      </c>
      <c r="J9220" t="s">
        <v>5484</v>
      </c>
      <c r="K9220" t="s">
        <v>32623</v>
      </c>
      <c r="L9220" t="s">
        <v>5471</v>
      </c>
      <c r="M9220" t="s">
        <v>5471</v>
      </c>
    </row>
    <row r="9221" spans="1:13" x14ac:dyDescent="0.3">
      <c r="A9221" t="s">
        <v>3388</v>
      </c>
      <c r="B9221" t="s">
        <v>21862</v>
      </c>
      <c r="C9221" t="s">
        <v>5470</v>
      </c>
      <c r="D9221" t="s">
        <v>30466</v>
      </c>
      <c r="E9221" t="s">
        <v>5843</v>
      </c>
      <c r="F9221" t="s">
        <v>32624</v>
      </c>
      <c r="G9221" t="s">
        <v>32625</v>
      </c>
      <c r="H9221" t="s">
        <v>5474</v>
      </c>
      <c r="I9221" t="s">
        <v>32626</v>
      </c>
      <c r="J9221" t="s">
        <v>5484</v>
      </c>
      <c r="K9221" t="s">
        <v>32627</v>
      </c>
      <c r="L9221" t="s">
        <v>5471</v>
      </c>
      <c r="M9221" t="s">
        <v>5471</v>
      </c>
    </row>
    <row r="9222" spans="1:13" x14ac:dyDescent="0.3">
      <c r="A9222" t="s">
        <v>3388</v>
      </c>
      <c r="B9222" t="s">
        <v>5299</v>
      </c>
      <c r="C9222" t="s">
        <v>5470</v>
      </c>
      <c r="D9222" t="s">
        <v>4056</v>
      </c>
      <c r="E9222" t="s">
        <v>5617</v>
      </c>
      <c r="F9222" t="s">
        <v>32628</v>
      </c>
      <c r="G9222" t="s">
        <v>32615</v>
      </c>
      <c r="H9222" t="s">
        <v>5474</v>
      </c>
      <c r="I9222" t="s">
        <v>32629</v>
      </c>
      <c r="J9222" t="s">
        <v>5484</v>
      </c>
      <c r="K9222" t="s">
        <v>32630</v>
      </c>
      <c r="L9222" t="s">
        <v>5471</v>
      </c>
      <c r="M9222" t="s">
        <v>5471</v>
      </c>
    </row>
    <row r="9223" spans="1:13" x14ac:dyDescent="0.3">
      <c r="A9223" t="s">
        <v>3388</v>
      </c>
      <c r="B9223" t="s">
        <v>19343</v>
      </c>
      <c r="C9223" t="s">
        <v>5470</v>
      </c>
      <c r="D9223" t="s">
        <v>30466</v>
      </c>
      <c r="E9223" t="s">
        <v>5532</v>
      </c>
      <c r="F9223" t="s">
        <v>32631</v>
      </c>
      <c r="G9223" t="s">
        <v>32632</v>
      </c>
      <c r="H9223" t="s">
        <v>5474</v>
      </c>
      <c r="I9223" t="s">
        <v>32633</v>
      </c>
      <c r="J9223" t="s">
        <v>5484</v>
      </c>
      <c r="K9223" t="s">
        <v>32634</v>
      </c>
      <c r="L9223" t="s">
        <v>5471</v>
      </c>
      <c r="M9223" t="s">
        <v>5471</v>
      </c>
    </row>
    <row r="9224" spans="1:13" x14ac:dyDescent="0.3">
      <c r="A9224" t="s">
        <v>3388</v>
      </c>
      <c r="B9224" t="s">
        <v>19343</v>
      </c>
      <c r="C9224" t="s">
        <v>5470</v>
      </c>
      <c r="D9224" t="s">
        <v>30466</v>
      </c>
      <c r="E9224" t="s">
        <v>5532</v>
      </c>
      <c r="F9224" t="s">
        <v>32635</v>
      </c>
      <c r="G9224" t="s">
        <v>21691</v>
      </c>
      <c r="H9224" t="s">
        <v>5474</v>
      </c>
      <c r="I9224" t="s">
        <v>32636</v>
      </c>
      <c r="J9224" t="s">
        <v>5484</v>
      </c>
      <c r="K9224" t="s">
        <v>32637</v>
      </c>
      <c r="L9224" t="s">
        <v>5471</v>
      </c>
      <c r="M9224" t="s">
        <v>5471</v>
      </c>
    </row>
    <row r="9225" spans="1:13" x14ac:dyDescent="0.3">
      <c r="A9225" t="s">
        <v>3388</v>
      </c>
      <c r="B9225" t="s">
        <v>19343</v>
      </c>
      <c r="C9225" t="s">
        <v>5470</v>
      </c>
      <c r="D9225" t="s">
        <v>30466</v>
      </c>
      <c r="E9225" t="s">
        <v>5532</v>
      </c>
      <c r="F9225" t="s">
        <v>32638</v>
      </c>
      <c r="G9225" t="s">
        <v>31191</v>
      </c>
      <c r="H9225" t="s">
        <v>5474</v>
      </c>
      <c r="I9225" t="s">
        <v>32639</v>
      </c>
      <c r="J9225" t="s">
        <v>5484</v>
      </c>
      <c r="K9225" t="s">
        <v>32640</v>
      </c>
      <c r="L9225" t="s">
        <v>5471</v>
      </c>
      <c r="M9225" t="s">
        <v>5471</v>
      </c>
    </row>
    <row r="9226" spans="1:13" x14ac:dyDescent="0.3">
      <c r="A9226" t="s">
        <v>3388</v>
      </c>
      <c r="B9226" t="s">
        <v>19343</v>
      </c>
      <c r="C9226" t="s">
        <v>5470</v>
      </c>
      <c r="D9226" t="s">
        <v>30466</v>
      </c>
      <c r="E9226" t="s">
        <v>5532</v>
      </c>
      <c r="F9226" t="s">
        <v>32641</v>
      </c>
      <c r="G9226" t="s">
        <v>28628</v>
      </c>
      <c r="H9226" t="s">
        <v>5474</v>
      </c>
      <c r="I9226" t="s">
        <v>32642</v>
      </c>
      <c r="J9226" t="s">
        <v>5484</v>
      </c>
      <c r="K9226" t="s">
        <v>32643</v>
      </c>
      <c r="L9226" t="s">
        <v>5471</v>
      </c>
      <c r="M9226" t="s">
        <v>5471</v>
      </c>
    </row>
    <row r="9227" spans="1:13" x14ac:dyDescent="0.3">
      <c r="A9227" t="s">
        <v>3388</v>
      </c>
      <c r="B9227" t="s">
        <v>11423</v>
      </c>
      <c r="C9227" t="s">
        <v>5470</v>
      </c>
      <c r="D9227" t="s">
        <v>30466</v>
      </c>
      <c r="E9227" t="s">
        <v>5532</v>
      </c>
      <c r="F9227" t="s">
        <v>32644</v>
      </c>
      <c r="G9227" t="s">
        <v>32645</v>
      </c>
      <c r="H9227" t="s">
        <v>5474</v>
      </c>
      <c r="I9227" t="s">
        <v>32646</v>
      </c>
      <c r="J9227" t="s">
        <v>5484</v>
      </c>
      <c r="K9227" t="s">
        <v>32647</v>
      </c>
      <c r="L9227" t="s">
        <v>5471</v>
      </c>
      <c r="M9227" t="s">
        <v>5471</v>
      </c>
    </row>
    <row r="9228" spans="1:13" x14ac:dyDescent="0.3">
      <c r="A9228" t="s">
        <v>3388</v>
      </c>
      <c r="B9228" t="s">
        <v>11423</v>
      </c>
      <c r="C9228" t="s">
        <v>5470</v>
      </c>
      <c r="D9228" t="s">
        <v>30466</v>
      </c>
      <c r="E9228" t="s">
        <v>5532</v>
      </c>
      <c r="F9228" t="s">
        <v>32648</v>
      </c>
      <c r="G9228" t="s">
        <v>32649</v>
      </c>
      <c r="H9228" t="s">
        <v>5474</v>
      </c>
      <c r="I9228" t="s">
        <v>32650</v>
      </c>
      <c r="J9228" t="s">
        <v>5484</v>
      </c>
      <c r="K9228" t="s">
        <v>32651</v>
      </c>
      <c r="L9228" t="s">
        <v>5471</v>
      </c>
      <c r="M9228" t="s">
        <v>5471</v>
      </c>
    </row>
    <row r="9229" spans="1:13" x14ac:dyDescent="0.3">
      <c r="A9229" t="s">
        <v>3388</v>
      </c>
      <c r="B9229" t="s">
        <v>10857</v>
      </c>
      <c r="C9229" t="s">
        <v>5470</v>
      </c>
      <c r="D9229" t="s">
        <v>30466</v>
      </c>
      <c r="E9229" t="s">
        <v>5532</v>
      </c>
      <c r="F9229" t="s">
        <v>32652</v>
      </c>
      <c r="G9229" t="s">
        <v>32645</v>
      </c>
      <c r="H9229" t="s">
        <v>5474</v>
      </c>
      <c r="I9229" t="s">
        <v>32653</v>
      </c>
      <c r="J9229" t="s">
        <v>5484</v>
      </c>
      <c r="K9229" t="s">
        <v>32654</v>
      </c>
      <c r="L9229" t="s">
        <v>5471</v>
      </c>
      <c r="M9229" t="s">
        <v>5471</v>
      </c>
    </row>
    <row r="9230" spans="1:13" x14ac:dyDescent="0.3">
      <c r="A9230" t="s">
        <v>3388</v>
      </c>
      <c r="B9230" t="s">
        <v>25002</v>
      </c>
      <c r="C9230" t="s">
        <v>5470</v>
      </c>
      <c r="D9230" t="s">
        <v>4052</v>
      </c>
      <c r="E9230" t="s">
        <v>5532</v>
      </c>
      <c r="F9230" t="s">
        <v>32655</v>
      </c>
      <c r="G9230" t="s">
        <v>25004</v>
      </c>
      <c r="H9230" t="s">
        <v>5474</v>
      </c>
      <c r="I9230" t="s">
        <v>32656</v>
      </c>
      <c r="J9230" t="s">
        <v>5484</v>
      </c>
      <c r="K9230" t="s">
        <v>30398</v>
      </c>
      <c r="L9230" t="s">
        <v>5471</v>
      </c>
      <c r="M9230" t="s">
        <v>5471</v>
      </c>
    </row>
    <row r="9231" spans="1:13" x14ac:dyDescent="0.3">
      <c r="A9231" t="s">
        <v>3388</v>
      </c>
      <c r="B9231" t="s">
        <v>10857</v>
      </c>
      <c r="C9231" t="s">
        <v>5470</v>
      </c>
      <c r="D9231" t="s">
        <v>30466</v>
      </c>
      <c r="E9231" t="s">
        <v>5532</v>
      </c>
      <c r="F9231" t="s">
        <v>32657</v>
      </c>
      <c r="G9231" t="s">
        <v>32649</v>
      </c>
      <c r="H9231" t="s">
        <v>5474</v>
      </c>
      <c r="I9231" t="s">
        <v>32658</v>
      </c>
      <c r="J9231" t="s">
        <v>5484</v>
      </c>
      <c r="K9231" t="s">
        <v>32659</v>
      </c>
      <c r="L9231" t="s">
        <v>5471</v>
      </c>
      <c r="M9231" t="s">
        <v>5471</v>
      </c>
    </row>
    <row r="9232" spans="1:13" x14ac:dyDescent="0.3">
      <c r="A9232" t="s">
        <v>3388</v>
      </c>
      <c r="B9232" t="s">
        <v>15942</v>
      </c>
      <c r="C9232" t="s">
        <v>5470</v>
      </c>
      <c r="D9232" t="s">
        <v>30466</v>
      </c>
      <c r="E9232" t="s">
        <v>5532</v>
      </c>
      <c r="F9232" t="s">
        <v>32660</v>
      </c>
      <c r="G9232" t="s">
        <v>28692</v>
      </c>
      <c r="H9232" t="s">
        <v>5474</v>
      </c>
      <c r="I9232" t="s">
        <v>32661</v>
      </c>
      <c r="J9232" t="s">
        <v>5484</v>
      </c>
      <c r="K9232" t="s">
        <v>32662</v>
      </c>
      <c r="L9232" t="s">
        <v>5471</v>
      </c>
      <c r="M9232" t="s">
        <v>5471</v>
      </c>
    </row>
    <row r="9233" spans="1:13" x14ac:dyDescent="0.3">
      <c r="A9233" t="s">
        <v>3388</v>
      </c>
      <c r="B9233" t="s">
        <v>15942</v>
      </c>
      <c r="C9233" t="s">
        <v>5470</v>
      </c>
      <c r="D9233" t="s">
        <v>30466</v>
      </c>
      <c r="E9233" t="s">
        <v>5756</v>
      </c>
      <c r="F9233" t="s">
        <v>32663</v>
      </c>
      <c r="G9233" t="s">
        <v>8286</v>
      </c>
      <c r="H9233" t="s">
        <v>5474</v>
      </c>
      <c r="I9233" t="s">
        <v>32664</v>
      </c>
      <c r="J9233" t="s">
        <v>5484</v>
      </c>
      <c r="K9233" t="s">
        <v>32665</v>
      </c>
      <c r="L9233" t="s">
        <v>5471</v>
      </c>
      <c r="M9233" t="s">
        <v>5471</v>
      </c>
    </row>
    <row r="9234" spans="1:13" x14ac:dyDescent="0.3">
      <c r="A9234" t="s">
        <v>3388</v>
      </c>
      <c r="B9234" t="s">
        <v>15942</v>
      </c>
      <c r="C9234" t="s">
        <v>5470</v>
      </c>
      <c r="D9234" t="s">
        <v>30466</v>
      </c>
      <c r="E9234" t="s">
        <v>5756</v>
      </c>
      <c r="F9234" t="s">
        <v>32666</v>
      </c>
      <c r="G9234" t="s">
        <v>32357</v>
      </c>
      <c r="H9234" t="s">
        <v>5474</v>
      </c>
      <c r="I9234" t="s">
        <v>32667</v>
      </c>
      <c r="J9234" t="s">
        <v>5484</v>
      </c>
      <c r="K9234" t="s">
        <v>32668</v>
      </c>
      <c r="L9234" t="s">
        <v>5471</v>
      </c>
      <c r="M9234" t="s">
        <v>5471</v>
      </c>
    </row>
    <row r="9235" spans="1:13" x14ac:dyDescent="0.3">
      <c r="A9235" t="s">
        <v>3388</v>
      </c>
      <c r="B9235" t="s">
        <v>8577</v>
      </c>
      <c r="C9235" t="s">
        <v>5470</v>
      </c>
      <c r="D9235" t="s">
        <v>4056</v>
      </c>
      <c r="E9235" t="s">
        <v>5532</v>
      </c>
      <c r="F9235" t="s">
        <v>32669</v>
      </c>
      <c r="G9235" t="s">
        <v>10503</v>
      </c>
      <c r="H9235" t="s">
        <v>5474</v>
      </c>
      <c r="I9235" t="s">
        <v>32670</v>
      </c>
      <c r="J9235" t="s">
        <v>5484</v>
      </c>
      <c r="K9235" t="s">
        <v>32671</v>
      </c>
      <c r="L9235" t="s">
        <v>5471</v>
      </c>
      <c r="M9235" t="s">
        <v>5471</v>
      </c>
    </row>
    <row r="9236" spans="1:13" x14ac:dyDescent="0.3">
      <c r="A9236" t="s">
        <v>3388</v>
      </c>
      <c r="B9236" t="s">
        <v>15961</v>
      </c>
      <c r="C9236" t="s">
        <v>5470</v>
      </c>
      <c r="D9236" t="s">
        <v>30466</v>
      </c>
      <c r="E9236" t="s">
        <v>5756</v>
      </c>
      <c r="F9236" t="s">
        <v>32672</v>
      </c>
      <c r="G9236" t="s">
        <v>32673</v>
      </c>
      <c r="H9236" t="s">
        <v>5474</v>
      </c>
      <c r="I9236" t="s">
        <v>32674</v>
      </c>
      <c r="J9236" t="s">
        <v>5484</v>
      </c>
      <c r="K9236" t="s">
        <v>32675</v>
      </c>
      <c r="L9236" t="s">
        <v>5471</v>
      </c>
      <c r="M9236" t="s">
        <v>5471</v>
      </c>
    </row>
    <row r="9237" spans="1:13" x14ac:dyDescent="0.3">
      <c r="A9237" t="s">
        <v>3388</v>
      </c>
      <c r="B9237" t="s">
        <v>15961</v>
      </c>
      <c r="C9237" t="s">
        <v>5470</v>
      </c>
      <c r="D9237" t="s">
        <v>30466</v>
      </c>
      <c r="E9237" t="s">
        <v>5756</v>
      </c>
      <c r="F9237" t="s">
        <v>32676</v>
      </c>
      <c r="G9237" t="s">
        <v>8286</v>
      </c>
      <c r="H9237" t="s">
        <v>5474</v>
      </c>
      <c r="I9237" t="s">
        <v>32677</v>
      </c>
      <c r="J9237" t="s">
        <v>5484</v>
      </c>
      <c r="K9237" t="s">
        <v>32678</v>
      </c>
      <c r="L9237" t="s">
        <v>5471</v>
      </c>
      <c r="M9237" t="s">
        <v>5471</v>
      </c>
    </row>
    <row r="9238" spans="1:13" x14ac:dyDescent="0.3">
      <c r="A9238" t="s">
        <v>3388</v>
      </c>
      <c r="B9238" t="s">
        <v>15957</v>
      </c>
      <c r="C9238" t="s">
        <v>5470</v>
      </c>
      <c r="D9238" t="s">
        <v>30466</v>
      </c>
      <c r="E9238" t="s">
        <v>5532</v>
      </c>
      <c r="F9238" t="s">
        <v>32679</v>
      </c>
      <c r="G9238" t="s">
        <v>10510</v>
      </c>
      <c r="H9238" t="s">
        <v>5474</v>
      </c>
      <c r="I9238" t="s">
        <v>32680</v>
      </c>
      <c r="J9238" t="s">
        <v>5484</v>
      </c>
      <c r="K9238" t="s">
        <v>32681</v>
      </c>
      <c r="L9238" t="s">
        <v>5471</v>
      </c>
      <c r="M9238" t="s">
        <v>5471</v>
      </c>
    </row>
    <row r="9239" spans="1:13" x14ac:dyDescent="0.3">
      <c r="A9239" t="s">
        <v>3388</v>
      </c>
      <c r="B9239" t="s">
        <v>8577</v>
      </c>
      <c r="C9239" t="s">
        <v>5470</v>
      </c>
      <c r="D9239" t="s">
        <v>4056</v>
      </c>
      <c r="E9239" t="s">
        <v>5532</v>
      </c>
      <c r="F9239" t="s">
        <v>32682</v>
      </c>
      <c r="G9239" t="s">
        <v>10503</v>
      </c>
      <c r="H9239" t="s">
        <v>5474</v>
      </c>
      <c r="I9239" t="s">
        <v>32683</v>
      </c>
      <c r="J9239" t="s">
        <v>5484</v>
      </c>
      <c r="K9239" t="s">
        <v>32684</v>
      </c>
      <c r="L9239" t="s">
        <v>5471</v>
      </c>
      <c r="M9239" t="s">
        <v>5471</v>
      </c>
    </row>
    <row r="9240" spans="1:13" x14ac:dyDescent="0.3">
      <c r="A9240" t="s">
        <v>3388</v>
      </c>
      <c r="B9240" t="s">
        <v>32685</v>
      </c>
      <c r="C9240" t="s">
        <v>5470</v>
      </c>
      <c r="D9240" t="s">
        <v>30466</v>
      </c>
      <c r="E9240" t="s">
        <v>5617</v>
      </c>
      <c r="F9240" t="s">
        <v>32686</v>
      </c>
      <c r="G9240" t="s">
        <v>32687</v>
      </c>
      <c r="H9240" t="s">
        <v>5474</v>
      </c>
      <c r="I9240" t="s">
        <v>32688</v>
      </c>
      <c r="J9240" t="s">
        <v>5484</v>
      </c>
      <c r="K9240" t="s">
        <v>32689</v>
      </c>
      <c r="L9240" t="s">
        <v>5471</v>
      </c>
      <c r="M9240" t="s">
        <v>5471</v>
      </c>
    </row>
    <row r="9241" spans="1:13" x14ac:dyDescent="0.3">
      <c r="A9241" t="s">
        <v>3388</v>
      </c>
      <c r="B9241" t="s">
        <v>17483</v>
      </c>
      <c r="C9241" t="s">
        <v>5470</v>
      </c>
      <c r="D9241" t="s">
        <v>4056</v>
      </c>
      <c r="E9241" t="s">
        <v>5480</v>
      </c>
      <c r="F9241" t="s">
        <v>32690</v>
      </c>
      <c r="G9241" t="s">
        <v>32691</v>
      </c>
      <c r="H9241" t="s">
        <v>5474</v>
      </c>
      <c r="I9241" t="s">
        <v>32692</v>
      </c>
      <c r="J9241" t="s">
        <v>5484</v>
      </c>
      <c r="K9241" t="s">
        <v>32693</v>
      </c>
      <c r="L9241" t="s">
        <v>5471</v>
      </c>
      <c r="M9241" t="s">
        <v>5471</v>
      </c>
    </row>
    <row r="9242" spans="1:13" x14ac:dyDescent="0.3">
      <c r="A9242" t="s">
        <v>3388</v>
      </c>
      <c r="B9242" t="s">
        <v>5616</v>
      </c>
      <c r="C9242" t="s">
        <v>5470</v>
      </c>
      <c r="D9242" t="s">
        <v>30466</v>
      </c>
      <c r="E9242" t="s">
        <v>5532</v>
      </c>
      <c r="F9242" t="s">
        <v>32694</v>
      </c>
      <c r="G9242" t="s">
        <v>29434</v>
      </c>
      <c r="H9242" t="s">
        <v>5474</v>
      </c>
      <c r="I9242" t="s">
        <v>32695</v>
      </c>
      <c r="J9242" t="s">
        <v>5484</v>
      </c>
      <c r="K9242" t="s">
        <v>32696</v>
      </c>
      <c r="L9242" t="s">
        <v>5471</v>
      </c>
      <c r="M9242" t="s">
        <v>5471</v>
      </c>
    </row>
    <row r="9243" spans="1:13" x14ac:dyDescent="0.3">
      <c r="A9243" t="s">
        <v>3388</v>
      </c>
      <c r="B9243" t="s">
        <v>17483</v>
      </c>
      <c r="C9243" t="s">
        <v>5470</v>
      </c>
      <c r="D9243" t="s">
        <v>30466</v>
      </c>
      <c r="E9243" t="s">
        <v>5532</v>
      </c>
      <c r="F9243" t="s">
        <v>32697</v>
      </c>
      <c r="G9243" t="s">
        <v>32698</v>
      </c>
      <c r="H9243" t="s">
        <v>5474</v>
      </c>
      <c r="I9243" t="s">
        <v>32699</v>
      </c>
      <c r="J9243" t="s">
        <v>5484</v>
      </c>
      <c r="K9243" t="s">
        <v>32700</v>
      </c>
      <c r="L9243" t="s">
        <v>5471</v>
      </c>
      <c r="M9243" t="s">
        <v>5471</v>
      </c>
    </row>
    <row r="9244" spans="1:13" x14ac:dyDescent="0.3">
      <c r="A9244" t="s">
        <v>3388</v>
      </c>
      <c r="B9244" t="s">
        <v>22510</v>
      </c>
      <c r="C9244" t="s">
        <v>5470</v>
      </c>
      <c r="D9244" t="s">
        <v>30466</v>
      </c>
      <c r="E9244" t="s">
        <v>5532</v>
      </c>
      <c r="F9244" t="s">
        <v>32701</v>
      </c>
      <c r="G9244" t="s">
        <v>29283</v>
      </c>
      <c r="H9244" t="s">
        <v>5474</v>
      </c>
      <c r="I9244" t="s">
        <v>32702</v>
      </c>
      <c r="J9244" t="s">
        <v>5484</v>
      </c>
      <c r="K9244" t="s">
        <v>32703</v>
      </c>
      <c r="L9244" t="s">
        <v>5471</v>
      </c>
      <c r="M9244" t="s">
        <v>5471</v>
      </c>
    </row>
    <row r="9245" spans="1:13" x14ac:dyDescent="0.3">
      <c r="A9245" t="s">
        <v>3388</v>
      </c>
      <c r="B9245" t="s">
        <v>5257</v>
      </c>
      <c r="C9245" t="s">
        <v>5470</v>
      </c>
      <c r="D9245" t="s">
        <v>30466</v>
      </c>
      <c r="E9245" t="s">
        <v>5843</v>
      </c>
      <c r="F9245" t="s">
        <v>32704</v>
      </c>
      <c r="G9245" t="s">
        <v>32705</v>
      </c>
      <c r="H9245" t="s">
        <v>5474</v>
      </c>
      <c r="I9245" t="s">
        <v>32706</v>
      </c>
      <c r="J9245" t="s">
        <v>5484</v>
      </c>
      <c r="K9245" t="s">
        <v>32707</v>
      </c>
      <c r="L9245" t="s">
        <v>5471</v>
      </c>
      <c r="M9245" t="s">
        <v>5471</v>
      </c>
    </row>
    <row r="9246" spans="1:13" x14ac:dyDescent="0.3">
      <c r="A9246" t="s">
        <v>3388</v>
      </c>
      <c r="B9246" t="s">
        <v>2749</v>
      </c>
      <c r="C9246" t="s">
        <v>5470</v>
      </c>
      <c r="D9246" t="s">
        <v>30466</v>
      </c>
      <c r="E9246" t="s">
        <v>5843</v>
      </c>
      <c r="F9246" t="s">
        <v>32708</v>
      </c>
      <c r="G9246" t="s">
        <v>32709</v>
      </c>
      <c r="H9246" t="s">
        <v>5474</v>
      </c>
      <c r="I9246" t="s">
        <v>32710</v>
      </c>
      <c r="J9246" t="s">
        <v>5484</v>
      </c>
      <c r="K9246" t="s">
        <v>32711</v>
      </c>
      <c r="L9246" t="s">
        <v>5471</v>
      </c>
      <c r="M9246" t="s">
        <v>5471</v>
      </c>
    </row>
    <row r="9247" spans="1:13" x14ac:dyDescent="0.3">
      <c r="A9247" t="s">
        <v>3388</v>
      </c>
      <c r="B9247" t="s">
        <v>10852</v>
      </c>
      <c r="C9247" t="s">
        <v>5470</v>
      </c>
      <c r="D9247" t="s">
        <v>4119</v>
      </c>
      <c r="E9247" t="s">
        <v>5756</v>
      </c>
      <c r="F9247" t="s">
        <v>32712</v>
      </c>
      <c r="G9247" t="s">
        <v>10854</v>
      </c>
      <c r="H9247" t="s">
        <v>5474</v>
      </c>
      <c r="I9247" t="s">
        <v>32713</v>
      </c>
      <c r="J9247" t="s">
        <v>5484</v>
      </c>
      <c r="K9247" t="s">
        <v>32714</v>
      </c>
      <c r="L9247" t="s">
        <v>5471</v>
      </c>
      <c r="M9247" t="s">
        <v>5471</v>
      </c>
    </row>
    <row r="9248" spans="1:13" x14ac:dyDescent="0.3">
      <c r="A9248" t="s">
        <v>3388</v>
      </c>
      <c r="B9248" t="s">
        <v>21595</v>
      </c>
      <c r="C9248" t="s">
        <v>5470</v>
      </c>
      <c r="D9248" t="s">
        <v>30466</v>
      </c>
      <c r="E9248" t="s">
        <v>5532</v>
      </c>
      <c r="F9248" t="s">
        <v>32715</v>
      </c>
      <c r="G9248" t="s">
        <v>24021</v>
      </c>
      <c r="H9248" t="s">
        <v>5474</v>
      </c>
      <c r="I9248" t="s">
        <v>32716</v>
      </c>
      <c r="J9248" t="s">
        <v>5484</v>
      </c>
      <c r="K9248" t="s">
        <v>32717</v>
      </c>
      <c r="L9248" t="s">
        <v>5471</v>
      </c>
      <c r="M9248" t="s">
        <v>5471</v>
      </c>
    </row>
    <row r="9249" spans="1:13" x14ac:dyDescent="0.3">
      <c r="A9249" t="s">
        <v>3388</v>
      </c>
      <c r="B9249" t="s">
        <v>10852</v>
      </c>
      <c r="C9249" t="s">
        <v>5470</v>
      </c>
      <c r="D9249" t="s">
        <v>4119</v>
      </c>
      <c r="E9249" t="s">
        <v>5756</v>
      </c>
      <c r="F9249" t="s">
        <v>32718</v>
      </c>
      <c r="G9249" t="s">
        <v>10854</v>
      </c>
      <c r="H9249" t="s">
        <v>5474</v>
      </c>
      <c r="I9249" t="s">
        <v>32719</v>
      </c>
      <c r="J9249" t="s">
        <v>5484</v>
      </c>
      <c r="K9249" t="s">
        <v>32720</v>
      </c>
      <c r="L9249" t="s">
        <v>5471</v>
      </c>
      <c r="M9249" t="s">
        <v>5471</v>
      </c>
    </row>
    <row r="9250" spans="1:13" x14ac:dyDescent="0.3">
      <c r="A9250" t="s">
        <v>3388</v>
      </c>
      <c r="B9250" t="s">
        <v>10852</v>
      </c>
      <c r="C9250" t="s">
        <v>5470</v>
      </c>
      <c r="D9250" t="s">
        <v>4119</v>
      </c>
      <c r="E9250" t="s">
        <v>5756</v>
      </c>
      <c r="F9250" t="s">
        <v>32721</v>
      </c>
      <c r="G9250" t="s">
        <v>10854</v>
      </c>
      <c r="H9250" t="s">
        <v>5474</v>
      </c>
      <c r="I9250" t="s">
        <v>32722</v>
      </c>
      <c r="J9250" t="s">
        <v>5484</v>
      </c>
      <c r="K9250" t="s">
        <v>32723</v>
      </c>
      <c r="L9250" t="s">
        <v>5471</v>
      </c>
      <c r="M9250" t="s">
        <v>5471</v>
      </c>
    </row>
    <row r="9251" spans="1:13" x14ac:dyDescent="0.3">
      <c r="A9251" t="s">
        <v>3388</v>
      </c>
      <c r="B9251" t="s">
        <v>10852</v>
      </c>
      <c r="C9251" t="s">
        <v>5470</v>
      </c>
      <c r="D9251" t="s">
        <v>4119</v>
      </c>
      <c r="E9251" t="s">
        <v>5756</v>
      </c>
      <c r="F9251" t="s">
        <v>32724</v>
      </c>
      <c r="G9251" t="s">
        <v>10854</v>
      </c>
      <c r="H9251" t="s">
        <v>5474</v>
      </c>
      <c r="I9251" t="s">
        <v>32725</v>
      </c>
      <c r="J9251" t="s">
        <v>5484</v>
      </c>
      <c r="K9251" t="s">
        <v>32726</v>
      </c>
      <c r="L9251" t="s">
        <v>5471</v>
      </c>
      <c r="M9251" t="s">
        <v>5471</v>
      </c>
    </row>
    <row r="9252" spans="1:13" x14ac:dyDescent="0.3">
      <c r="A9252" t="s">
        <v>3388</v>
      </c>
      <c r="B9252" t="s">
        <v>10852</v>
      </c>
      <c r="C9252" t="s">
        <v>5470</v>
      </c>
      <c r="D9252" t="s">
        <v>4119</v>
      </c>
      <c r="E9252" t="s">
        <v>5756</v>
      </c>
      <c r="F9252" t="s">
        <v>32727</v>
      </c>
      <c r="G9252" t="s">
        <v>10854</v>
      </c>
      <c r="H9252" t="s">
        <v>5474</v>
      </c>
      <c r="I9252" t="s">
        <v>32728</v>
      </c>
      <c r="J9252" t="s">
        <v>5484</v>
      </c>
      <c r="K9252" t="s">
        <v>32729</v>
      </c>
      <c r="L9252" t="s">
        <v>5471</v>
      </c>
      <c r="M9252" t="s">
        <v>5471</v>
      </c>
    </row>
    <row r="9253" spans="1:13" x14ac:dyDescent="0.3">
      <c r="A9253" t="s">
        <v>3388</v>
      </c>
      <c r="B9253" t="s">
        <v>10852</v>
      </c>
      <c r="C9253" t="s">
        <v>5470</v>
      </c>
      <c r="D9253" t="s">
        <v>4119</v>
      </c>
      <c r="E9253" t="s">
        <v>5756</v>
      </c>
      <c r="F9253" t="s">
        <v>32730</v>
      </c>
      <c r="G9253" t="s">
        <v>10854</v>
      </c>
      <c r="H9253" t="s">
        <v>5474</v>
      </c>
      <c r="I9253" t="s">
        <v>32731</v>
      </c>
      <c r="J9253" t="s">
        <v>5484</v>
      </c>
      <c r="K9253" t="s">
        <v>32732</v>
      </c>
      <c r="L9253" t="s">
        <v>5471</v>
      </c>
      <c r="M9253" t="s">
        <v>5471</v>
      </c>
    </row>
    <row r="9254" spans="1:13" x14ac:dyDescent="0.3">
      <c r="A9254" t="s">
        <v>3388</v>
      </c>
      <c r="B9254" t="s">
        <v>21595</v>
      </c>
      <c r="C9254" t="s">
        <v>5470</v>
      </c>
      <c r="D9254" t="s">
        <v>30466</v>
      </c>
      <c r="E9254" t="s">
        <v>5532</v>
      </c>
      <c r="F9254" t="s">
        <v>32733</v>
      </c>
      <c r="G9254" t="s">
        <v>24017</v>
      </c>
      <c r="H9254" t="s">
        <v>5474</v>
      </c>
      <c r="I9254" t="s">
        <v>32734</v>
      </c>
      <c r="J9254" t="s">
        <v>5484</v>
      </c>
      <c r="K9254" t="s">
        <v>32735</v>
      </c>
      <c r="L9254" t="s">
        <v>5471</v>
      </c>
      <c r="M9254" t="s">
        <v>5471</v>
      </c>
    </row>
    <row r="9255" spans="1:13" x14ac:dyDescent="0.3">
      <c r="A9255" t="s">
        <v>3388</v>
      </c>
      <c r="B9255" t="s">
        <v>10852</v>
      </c>
      <c r="C9255" t="s">
        <v>5470</v>
      </c>
      <c r="D9255" t="s">
        <v>4119</v>
      </c>
      <c r="E9255" t="s">
        <v>5756</v>
      </c>
      <c r="F9255" t="s">
        <v>32736</v>
      </c>
      <c r="G9255" t="s">
        <v>10854</v>
      </c>
      <c r="H9255" t="s">
        <v>5474</v>
      </c>
      <c r="I9255" t="s">
        <v>32737</v>
      </c>
      <c r="J9255" t="s">
        <v>5484</v>
      </c>
      <c r="K9255" t="s">
        <v>32738</v>
      </c>
      <c r="L9255" t="s">
        <v>5471</v>
      </c>
      <c r="M9255" t="s">
        <v>5471</v>
      </c>
    </row>
    <row r="9256" spans="1:13" x14ac:dyDescent="0.3">
      <c r="A9256" t="s">
        <v>3388</v>
      </c>
      <c r="B9256" t="s">
        <v>21595</v>
      </c>
      <c r="C9256" t="s">
        <v>5470</v>
      </c>
      <c r="D9256" t="s">
        <v>30466</v>
      </c>
      <c r="E9256" t="s">
        <v>5532</v>
      </c>
      <c r="F9256" t="s">
        <v>32739</v>
      </c>
      <c r="G9256" t="s">
        <v>10525</v>
      </c>
      <c r="H9256" t="s">
        <v>5474</v>
      </c>
      <c r="I9256" t="s">
        <v>32740</v>
      </c>
      <c r="J9256" t="s">
        <v>5484</v>
      </c>
      <c r="K9256" t="s">
        <v>32741</v>
      </c>
      <c r="L9256" t="s">
        <v>5471</v>
      </c>
      <c r="M9256" t="s">
        <v>5471</v>
      </c>
    </row>
    <row r="9257" spans="1:13" x14ac:dyDescent="0.3">
      <c r="A9257" t="s">
        <v>3388</v>
      </c>
      <c r="B9257" t="s">
        <v>10852</v>
      </c>
      <c r="C9257" t="s">
        <v>5470</v>
      </c>
      <c r="D9257" t="s">
        <v>4119</v>
      </c>
      <c r="E9257" t="s">
        <v>5756</v>
      </c>
      <c r="F9257" t="s">
        <v>32742</v>
      </c>
      <c r="G9257" t="s">
        <v>10854</v>
      </c>
      <c r="H9257" t="s">
        <v>5474</v>
      </c>
      <c r="I9257" t="s">
        <v>32743</v>
      </c>
      <c r="J9257" t="s">
        <v>5484</v>
      </c>
      <c r="K9257" t="s">
        <v>32744</v>
      </c>
      <c r="L9257" t="s">
        <v>5471</v>
      </c>
      <c r="M9257" t="s">
        <v>5471</v>
      </c>
    </row>
    <row r="9258" spans="1:13" x14ac:dyDescent="0.3">
      <c r="A9258" t="s">
        <v>3388</v>
      </c>
      <c r="B9258" t="s">
        <v>21595</v>
      </c>
      <c r="C9258" t="s">
        <v>5470</v>
      </c>
      <c r="D9258" t="s">
        <v>30466</v>
      </c>
      <c r="E9258" t="s">
        <v>5532</v>
      </c>
      <c r="F9258" t="s">
        <v>32745</v>
      </c>
      <c r="G9258" t="s">
        <v>18586</v>
      </c>
      <c r="H9258" t="s">
        <v>5474</v>
      </c>
      <c r="I9258" t="s">
        <v>32746</v>
      </c>
      <c r="J9258" t="s">
        <v>5484</v>
      </c>
      <c r="K9258" t="s">
        <v>32747</v>
      </c>
      <c r="L9258" t="s">
        <v>5471</v>
      </c>
      <c r="M9258" t="s">
        <v>5471</v>
      </c>
    </row>
    <row r="9259" spans="1:13" x14ac:dyDescent="0.3">
      <c r="A9259" t="s">
        <v>3388</v>
      </c>
      <c r="B9259" t="s">
        <v>15961</v>
      </c>
      <c r="C9259" t="s">
        <v>5470</v>
      </c>
      <c r="D9259" t="s">
        <v>4119</v>
      </c>
      <c r="E9259" t="s">
        <v>5756</v>
      </c>
      <c r="F9259" t="s">
        <v>32748</v>
      </c>
      <c r="G9259" t="s">
        <v>15963</v>
      </c>
      <c r="H9259" t="s">
        <v>5474</v>
      </c>
      <c r="I9259" t="s">
        <v>32749</v>
      </c>
      <c r="J9259" t="s">
        <v>5484</v>
      </c>
      <c r="K9259" t="s">
        <v>32750</v>
      </c>
      <c r="L9259" t="s">
        <v>5471</v>
      </c>
      <c r="M9259" t="s">
        <v>5471</v>
      </c>
    </row>
    <row r="9260" spans="1:13" x14ac:dyDescent="0.3">
      <c r="A9260" t="s">
        <v>3388</v>
      </c>
      <c r="B9260" t="s">
        <v>15596</v>
      </c>
      <c r="C9260" t="s">
        <v>5470</v>
      </c>
      <c r="D9260" t="s">
        <v>30466</v>
      </c>
      <c r="E9260" t="s">
        <v>5756</v>
      </c>
      <c r="F9260" t="s">
        <v>32751</v>
      </c>
      <c r="G9260" t="s">
        <v>5473</v>
      </c>
      <c r="H9260" t="s">
        <v>5474</v>
      </c>
      <c r="I9260" t="s">
        <v>32752</v>
      </c>
      <c r="J9260" t="s">
        <v>5484</v>
      </c>
      <c r="K9260" t="s">
        <v>32753</v>
      </c>
      <c r="L9260" t="s">
        <v>5471</v>
      </c>
      <c r="M9260" t="s">
        <v>5471</v>
      </c>
    </row>
    <row r="9261" spans="1:13" x14ac:dyDescent="0.3">
      <c r="A9261" t="s">
        <v>3388</v>
      </c>
      <c r="B9261" t="s">
        <v>15961</v>
      </c>
      <c r="C9261" t="s">
        <v>5470</v>
      </c>
      <c r="D9261" t="s">
        <v>4119</v>
      </c>
      <c r="E9261" t="s">
        <v>5756</v>
      </c>
      <c r="F9261" t="s">
        <v>32754</v>
      </c>
      <c r="G9261" t="s">
        <v>15963</v>
      </c>
      <c r="H9261" t="s">
        <v>5474</v>
      </c>
      <c r="I9261" t="s">
        <v>32755</v>
      </c>
      <c r="J9261" t="s">
        <v>5484</v>
      </c>
      <c r="K9261" t="s">
        <v>32756</v>
      </c>
      <c r="L9261" t="s">
        <v>5471</v>
      </c>
      <c r="M9261" t="s">
        <v>5471</v>
      </c>
    </row>
    <row r="9262" spans="1:13" x14ac:dyDescent="0.3">
      <c r="A9262" t="s">
        <v>3388</v>
      </c>
      <c r="B9262" t="s">
        <v>11186</v>
      </c>
      <c r="C9262" t="s">
        <v>5470</v>
      </c>
      <c r="D9262" t="s">
        <v>30466</v>
      </c>
      <c r="E9262" t="s">
        <v>5532</v>
      </c>
      <c r="F9262" t="s">
        <v>32757</v>
      </c>
      <c r="G9262" t="s">
        <v>32758</v>
      </c>
      <c r="H9262" t="s">
        <v>5474</v>
      </c>
      <c r="I9262" t="s">
        <v>32759</v>
      </c>
      <c r="J9262" t="s">
        <v>5484</v>
      </c>
      <c r="K9262" t="s">
        <v>32760</v>
      </c>
      <c r="L9262" t="s">
        <v>5471</v>
      </c>
      <c r="M9262" t="s">
        <v>5471</v>
      </c>
    </row>
    <row r="9263" spans="1:13" x14ac:dyDescent="0.3">
      <c r="A9263" t="s">
        <v>3388</v>
      </c>
      <c r="B9263" t="s">
        <v>15580</v>
      </c>
      <c r="C9263" t="s">
        <v>5470</v>
      </c>
      <c r="D9263" t="s">
        <v>4119</v>
      </c>
      <c r="E9263" t="s">
        <v>5756</v>
      </c>
      <c r="F9263" t="s">
        <v>32761</v>
      </c>
      <c r="G9263" t="s">
        <v>17591</v>
      </c>
      <c r="H9263" t="s">
        <v>5474</v>
      </c>
      <c r="I9263" t="s">
        <v>32762</v>
      </c>
      <c r="J9263" t="s">
        <v>5484</v>
      </c>
      <c r="K9263" t="s">
        <v>32763</v>
      </c>
      <c r="L9263" t="s">
        <v>5471</v>
      </c>
      <c r="M9263" t="s">
        <v>5471</v>
      </c>
    </row>
    <row r="9264" spans="1:13" x14ac:dyDescent="0.3">
      <c r="A9264" t="s">
        <v>3388</v>
      </c>
      <c r="B9264" t="s">
        <v>11186</v>
      </c>
      <c r="C9264" t="s">
        <v>5470</v>
      </c>
      <c r="D9264" t="s">
        <v>30466</v>
      </c>
      <c r="E9264" t="s">
        <v>5532</v>
      </c>
      <c r="F9264" t="s">
        <v>32764</v>
      </c>
      <c r="G9264" t="s">
        <v>32765</v>
      </c>
      <c r="H9264" t="s">
        <v>5474</v>
      </c>
      <c r="I9264" t="s">
        <v>32766</v>
      </c>
      <c r="J9264" t="s">
        <v>5484</v>
      </c>
      <c r="K9264" t="s">
        <v>32767</v>
      </c>
      <c r="L9264" t="s">
        <v>5471</v>
      </c>
      <c r="M9264" t="s">
        <v>5471</v>
      </c>
    </row>
    <row r="9265" spans="1:13" x14ac:dyDescent="0.3">
      <c r="A9265" t="s">
        <v>3388</v>
      </c>
      <c r="B9265" t="s">
        <v>15580</v>
      </c>
      <c r="C9265" t="s">
        <v>5470</v>
      </c>
      <c r="D9265" t="s">
        <v>4119</v>
      </c>
      <c r="E9265" t="s">
        <v>5756</v>
      </c>
      <c r="F9265" t="s">
        <v>32768</v>
      </c>
      <c r="G9265" t="s">
        <v>17591</v>
      </c>
      <c r="H9265" t="s">
        <v>5474</v>
      </c>
      <c r="I9265" t="s">
        <v>32769</v>
      </c>
      <c r="J9265" t="s">
        <v>5484</v>
      </c>
      <c r="K9265" t="s">
        <v>32770</v>
      </c>
      <c r="L9265" t="s">
        <v>5471</v>
      </c>
      <c r="M9265" t="s">
        <v>5471</v>
      </c>
    </row>
    <row r="9266" spans="1:13" x14ac:dyDescent="0.3">
      <c r="A9266" t="s">
        <v>3388</v>
      </c>
      <c r="B9266" t="s">
        <v>32771</v>
      </c>
      <c r="C9266" t="s">
        <v>5470</v>
      </c>
      <c r="D9266" t="s">
        <v>30466</v>
      </c>
      <c r="E9266" t="s">
        <v>5843</v>
      </c>
      <c r="F9266" t="s">
        <v>32772</v>
      </c>
      <c r="G9266" t="s">
        <v>32773</v>
      </c>
      <c r="H9266" t="s">
        <v>5474</v>
      </c>
      <c r="I9266" t="s">
        <v>32774</v>
      </c>
      <c r="J9266" t="s">
        <v>5484</v>
      </c>
      <c r="K9266" t="s">
        <v>32775</v>
      </c>
      <c r="L9266" t="s">
        <v>5471</v>
      </c>
      <c r="M9266" t="s">
        <v>5471</v>
      </c>
    </row>
    <row r="9267" spans="1:13" x14ac:dyDescent="0.3">
      <c r="A9267" t="s">
        <v>3388</v>
      </c>
      <c r="B9267" t="s">
        <v>7109</v>
      </c>
      <c r="C9267" t="s">
        <v>5470</v>
      </c>
      <c r="D9267" t="s">
        <v>4119</v>
      </c>
      <c r="E9267" t="s">
        <v>5756</v>
      </c>
      <c r="F9267" t="s">
        <v>32776</v>
      </c>
      <c r="G9267" t="s">
        <v>19195</v>
      </c>
      <c r="H9267" t="s">
        <v>5474</v>
      </c>
      <c r="I9267" t="s">
        <v>32777</v>
      </c>
      <c r="J9267" t="s">
        <v>5484</v>
      </c>
      <c r="K9267" t="s">
        <v>32778</v>
      </c>
      <c r="L9267" t="s">
        <v>5471</v>
      </c>
      <c r="M9267" t="s">
        <v>5471</v>
      </c>
    </row>
    <row r="9268" spans="1:13" x14ac:dyDescent="0.3">
      <c r="A9268" t="s">
        <v>3388</v>
      </c>
      <c r="B9268" t="s">
        <v>32771</v>
      </c>
      <c r="C9268" t="s">
        <v>5470</v>
      </c>
      <c r="D9268" t="s">
        <v>30466</v>
      </c>
      <c r="E9268" t="s">
        <v>5843</v>
      </c>
      <c r="F9268" t="s">
        <v>32779</v>
      </c>
      <c r="G9268" t="s">
        <v>32780</v>
      </c>
      <c r="H9268" t="s">
        <v>5474</v>
      </c>
      <c r="I9268" t="s">
        <v>32781</v>
      </c>
      <c r="J9268" t="s">
        <v>5484</v>
      </c>
      <c r="K9268" t="s">
        <v>32782</v>
      </c>
      <c r="L9268" t="s">
        <v>5471</v>
      </c>
      <c r="M9268" t="s">
        <v>5471</v>
      </c>
    </row>
    <row r="9269" spans="1:13" x14ac:dyDescent="0.3">
      <c r="A9269" t="s">
        <v>3388</v>
      </c>
      <c r="B9269" t="s">
        <v>7109</v>
      </c>
      <c r="C9269" t="s">
        <v>5470</v>
      </c>
      <c r="D9269" t="s">
        <v>4119</v>
      </c>
      <c r="E9269" t="s">
        <v>5756</v>
      </c>
      <c r="F9269" t="s">
        <v>32783</v>
      </c>
      <c r="G9269" t="s">
        <v>19195</v>
      </c>
      <c r="H9269" t="s">
        <v>5474</v>
      </c>
      <c r="I9269" t="s">
        <v>32784</v>
      </c>
      <c r="J9269" t="s">
        <v>5484</v>
      </c>
      <c r="K9269" t="s">
        <v>32785</v>
      </c>
      <c r="L9269" t="s">
        <v>5471</v>
      </c>
      <c r="M9269" t="s">
        <v>5471</v>
      </c>
    </row>
    <row r="9270" spans="1:13" x14ac:dyDescent="0.3">
      <c r="A9270" t="s">
        <v>3388</v>
      </c>
      <c r="B9270" t="s">
        <v>15946</v>
      </c>
      <c r="C9270" t="s">
        <v>5470</v>
      </c>
      <c r="D9270" t="s">
        <v>30466</v>
      </c>
      <c r="E9270" t="s">
        <v>5532</v>
      </c>
      <c r="F9270" t="s">
        <v>32786</v>
      </c>
      <c r="G9270" t="s">
        <v>24017</v>
      </c>
      <c r="H9270" t="s">
        <v>5474</v>
      </c>
      <c r="I9270" t="s">
        <v>32787</v>
      </c>
      <c r="J9270" t="s">
        <v>5484</v>
      </c>
      <c r="K9270" t="s">
        <v>32788</v>
      </c>
      <c r="L9270" t="s">
        <v>5471</v>
      </c>
      <c r="M9270" t="s">
        <v>5471</v>
      </c>
    </row>
    <row r="9271" spans="1:13" x14ac:dyDescent="0.3">
      <c r="A9271" t="s">
        <v>3388</v>
      </c>
      <c r="B9271" t="s">
        <v>8799</v>
      </c>
      <c r="C9271" t="s">
        <v>5470</v>
      </c>
      <c r="D9271" t="s">
        <v>4119</v>
      </c>
      <c r="E9271" t="s">
        <v>5756</v>
      </c>
      <c r="F9271" t="s">
        <v>32789</v>
      </c>
      <c r="G9271" t="s">
        <v>15977</v>
      </c>
      <c r="H9271" t="s">
        <v>5474</v>
      </c>
      <c r="I9271" t="s">
        <v>32790</v>
      </c>
      <c r="J9271" t="s">
        <v>5484</v>
      </c>
      <c r="K9271" t="s">
        <v>32791</v>
      </c>
      <c r="L9271" t="s">
        <v>5471</v>
      </c>
      <c r="M9271" t="s">
        <v>5471</v>
      </c>
    </row>
    <row r="9272" spans="1:13" x14ac:dyDescent="0.3">
      <c r="A9272" t="s">
        <v>3388</v>
      </c>
      <c r="B9272" t="s">
        <v>15946</v>
      </c>
      <c r="C9272" t="s">
        <v>5470</v>
      </c>
      <c r="D9272" t="s">
        <v>30466</v>
      </c>
      <c r="E9272" t="s">
        <v>5532</v>
      </c>
      <c r="F9272" t="s">
        <v>32792</v>
      </c>
      <c r="G9272" t="s">
        <v>32698</v>
      </c>
      <c r="H9272" t="s">
        <v>5474</v>
      </c>
      <c r="I9272" t="s">
        <v>32793</v>
      </c>
      <c r="J9272" t="s">
        <v>5484</v>
      </c>
      <c r="K9272" t="s">
        <v>32794</v>
      </c>
      <c r="L9272" t="s">
        <v>5471</v>
      </c>
      <c r="M9272" t="s">
        <v>5471</v>
      </c>
    </row>
    <row r="9273" spans="1:13" x14ac:dyDescent="0.3">
      <c r="A9273" t="s">
        <v>3388</v>
      </c>
      <c r="B9273" t="s">
        <v>8799</v>
      </c>
      <c r="C9273" t="s">
        <v>5470</v>
      </c>
      <c r="D9273" t="s">
        <v>4119</v>
      </c>
      <c r="E9273" t="s">
        <v>5756</v>
      </c>
      <c r="F9273" t="s">
        <v>32795</v>
      </c>
      <c r="G9273" t="s">
        <v>15977</v>
      </c>
      <c r="H9273" t="s">
        <v>5474</v>
      </c>
      <c r="I9273" t="s">
        <v>32796</v>
      </c>
      <c r="J9273" t="s">
        <v>5484</v>
      </c>
      <c r="K9273" t="s">
        <v>32797</v>
      </c>
      <c r="L9273" t="s">
        <v>5471</v>
      </c>
      <c r="M9273" t="s">
        <v>5471</v>
      </c>
    </row>
    <row r="9274" spans="1:13" x14ac:dyDescent="0.3">
      <c r="A9274" t="s">
        <v>3388</v>
      </c>
      <c r="B9274" t="s">
        <v>15942</v>
      </c>
      <c r="C9274" t="s">
        <v>5470</v>
      </c>
      <c r="D9274" t="s">
        <v>30466</v>
      </c>
      <c r="E9274" t="s">
        <v>5532</v>
      </c>
      <c r="F9274" t="s">
        <v>32798</v>
      </c>
      <c r="G9274" t="s">
        <v>32402</v>
      </c>
      <c r="H9274" t="s">
        <v>5474</v>
      </c>
      <c r="I9274" t="s">
        <v>32799</v>
      </c>
      <c r="J9274" t="s">
        <v>5484</v>
      </c>
      <c r="K9274" t="s">
        <v>32800</v>
      </c>
      <c r="L9274" t="s">
        <v>5471</v>
      </c>
      <c r="M9274" t="s">
        <v>5471</v>
      </c>
    </row>
    <row r="9275" spans="1:13" x14ac:dyDescent="0.3">
      <c r="A9275" t="s">
        <v>3388</v>
      </c>
      <c r="B9275" t="s">
        <v>15942</v>
      </c>
      <c r="C9275" t="s">
        <v>5470</v>
      </c>
      <c r="D9275" t="s">
        <v>4119</v>
      </c>
      <c r="E9275" t="s">
        <v>5756</v>
      </c>
      <c r="F9275" t="s">
        <v>32801</v>
      </c>
      <c r="G9275" t="s">
        <v>15968</v>
      </c>
      <c r="H9275" t="s">
        <v>5474</v>
      </c>
      <c r="I9275" t="s">
        <v>32802</v>
      </c>
      <c r="J9275" t="s">
        <v>5484</v>
      </c>
      <c r="K9275" t="s">
        <v>32803</v>
      </c>
      <c r="L9275" t="s">
        <v>5471</v>
      </c>
      <c r="M9275" t="s">
        <v>5471</v>
      </c>
    </row>
    <row r="9276" spans="1:13" x14ac:dyDescent="0.3">
      <c r="A9276" t="s">
        <v>3388</v>
      </c>
      <c r="B9276" t="s">
        <v>15953</v>
      </c>
      <c r="C9276" t="s">
        <v>5470</v>
      </c>
      <c r="D9276" t="s">
        <v>30466</v>
      </c>
      <c r="E9276" t="s">
        <v>5843</v>
      </c>
      <c r="F9276" t="s">
        <v>32804</v>
      </c>
      <c r="G9276" t="s">
        <v>32805</v>
      </c>
      <c r="H9276" t="s">
        <v>5474</v>
      </c>
      <c r="I9276" t="s">
        <v>32806</v>
      </c>
      <c r="J9276" t="s">
        <v>5484</v>
      </c>
      <c r="K9276" t="s">
        <v>32807</v>
      </c>
      <c r="L9276" t="s">
        <v>5471</v>
      </c>
      <c r="M9276" t="s">
        <v>5471</v>
      </c>
    </row>
    <row r="9277" spans="1:13" x14ac:dyDescent="0.3">
      <c r="A9277" t="s">
        <v>3388</v>
      </c>
      <c r="B9277" t="s">
        <v>15942</v>
      </c>
      <c r="C9277" t="s">
        <v>5470</v>
      </c>
      <c r="D9277" t="s">
        <v>4119</v>
      </c>
      <c r="E9277" t="s">
        <v>5756</v>
      </c>
      <c r="F9277" t="s">
        <v>32808</v>
      </c>
      <c r="G9277" t="s">
        <v>15968</v>
      </c>
      <c r="H9277" t="s">
        <v>5474</v>
      </c>
      <c r="I9277" t="s">
        <v>32809</v>
      </c>
      <c r="J9277" t="s">
        <v>5484</v>
      </c>
      <c r="K9277" t="s">
        <v>32810</v>
      </c>
      <c r="L9277" t="s">
        <v>5471</v>
      </c>
      <c r="M9277" t="s">
        <v>5471</v>
      </c>
    </row>
    <row r="9278" spans="1:13" x14ac:dyDescent="0.3">
      <c r="A9278" t="s">
        <v>3388</v>
      </c>
      <c r="B9278" t="s">
        <v>20175</v>
      </c>
      <c r="C9278" t="s">
        <v>5470</v>
      </c>
      <c r="D9278" t="s">
        <v>30466</v>
      </c>
      <c r="E9278" t="s">
        <v>5532</v>
      </c>
      <c r="F9278" t="s">
        <v>32811</v>
      </c>
      <c r="G9278" t="s">
        <v>20165</v>
      </c>
      <c r="H9278" t="s">
        <v>5474</v>
      </c>
      <c r="I9278" t="s">
        <v>32812</v>
      </c>
      <c r="J9278" t="s">
        <v>5484</v>
      </c>
      <c r="K9278" t="s">
        <v>32813</v>
      </c>
      <c r="L9278" t="s">
        <v>5471</v>
      </c>
      <c r="M9278" t="s">
        <v>5471</v>
      </c>
    </row>
    <row r="9279" spans="1:13" x14ac:dyDescent="0.3">
      <c r="A9279" t="s">
        <v>3388</v>
      </c>
      <c r="B9279" t="s">
        <v>11311</v>
      </c>
      <c r="C9279" t="s">
        <v>5470</v>
      </c>
      <c r="D9279" t="s">
        <v>4119</v>
      </c>
      <c r="E9279" t="s">
        <v>5756</v>
      </c>
      <c r="F9279" t="s">
        <v>32814</v>
      </c>
      <c r="G9279" t="s">
        <v>32815</v>
      </c>
      <c r="H9279" t="s">
        <v>5474</v>
      </c>
      <c r="I9279" t="s">
        <v>32816</v>
      </c>
      <c r="J9279" t="s">
        <v>5484</v>
      </c>
      <c r="K9279" t="s">
        <v>32817</v>
      </c>
      <c r="L9279" t="s">
        <v>5471</v>
      </c>
      <c r="M9279" t="s">
        <v>5471</v>
      </c>
    </row>
    <row r="9280" spans="1:13" x14ac:dyDescent="0.3">
      <c r="A9280" t="s">
        <v>3388</v>
      </c>
      <c r="B9280" t="s">
        <v>20175</v>
      </c>
      <c r="C9280" t="s">
        <v>5470</v>
      </c>
      <c r="D9280" t="s">
        <v>30466</v>
      </c>
      <c r="E9280" t="s">
        <v>5532</v>
      </c>
      <c r="F9280" t="s">
        <v>32818</v>
      </c>
      <c r="G9280" t="s">
        <v>24158</v>
      </c>
      <c r="H9280" t="s">
        <v>5474</v>
      </c>
      <c r="I9280" t="s">
        <v>32819</v>
      </c>
      <c r="J9280" t="s">
        <v>5484</v>
      </c>
      <c r="K9280" t="s">
        <v>32820</v>
      </c>
      <c r="L9280" t="s">
        <v>5471</v>
      </c>
      <c r="M9280" t="s">
        <v>5471</v>
      </c>
    </row>
    <row r="9281" spans="1:13" x14ac:dyDescent="0.3">
      <c r="A9281" t="s">
        <v>3388</v>
      </c>
      <c r="B9281" t="s">
        <v>11311</v>
      </c>
      <c r="C9281" t="s">
        <v>5470</v>
      </c>
      <c r="D9281" t="s">
        <v>4119</v>
      </c>
      <c r="E9281" t="s">
        <v>5756</v>
      </c>
      <c r="F9281" t="s">
        <v>32821</v>
      </c>
      <c r="G9281" t="s">
        <v>32815</v>
      </c>
      <c r="H9281" t="s">
        <v>5474</v>
      </c>
      <c r="I9281" t="s">
        <v>32822</v>
      </c>
      <c r="J9281" t="s">
        <v>5484</v>
      </c>
      <c r="K9281" t="s">
        <v>32823</v>
      </c>
      <c r="L9281" t="s">
        <v>5471</v>
      </c>
      <c r="M9281" t="s">
        <v>5471</v>
      </c>
    </row>
    <row r="9282" spans="1:13" x14ac:dyDescent="0.3">
      <c r="A9282" t="s">
        <v>3388</v>
      </c>
      <c r="B9282" t="s">
        <v>15596</v>
      </c>
      <c r="C9282" t="s">
        <v>5470</v>
      </c>
      <c r="D9282" t="s">
        <v>4119</v>
      </c>
      <c r="E9282" t="s">
        <v>5756</v>
      </c>
      <c r="F9282" t="s">
        <v>32824</v>
      </c>
      <c r="G9282" t="s">
        <v>17747</v>
      </c>
      <c r="H9282" t="s">
        <v>5474</v>
      </c>
      <c r="I9282" t="s">
        <v>32825</v>
      </c>
      <c r="J9282" t="s">
        <v>5484</v>
      </c>
      <c r="K9282" t="s">
        <v>32826</v>
      </c>
      <c r="L9282" t="s">
        <v>5471</v>
      </c>
      <c r="M9282" t="s">
        <v>5471</v>
      </c>
    </row>
    <row r="9283" spans="1:13" x14ac:dyDescent="0.3">
      <c r="A9283" t="s">
        <v>3388</v>
      </c>
      <c r="B9283" t="s">
        <v>15596</v>
      </c>
      <c r="C9283" t="s">
        <v>5470</v>
      </c>
      <c r="D9283" t="s">
        <v>4119</v>
      </c>
      <c r="E9283" t="s">
        <v>5756</v>
      </c>
      <c r="F9283" t="s">
        <v>32827</v>
      </c>
      <c r="G9283" t="s">
        <v>17747</v>
      </c>
      <c r="H9283" t="s">
        <v>5474</v>
      </c>
      <c r="I9283" t="s">
        <v>32828</v>
      </c>
      <c r="J9283" t="s">
        <v>5484</v>
      </c>
      <c r="K9283" t="s">
        <v>32829</v>
      </c>
      <c r="L9283" t="s">
        <v>5471</v>
      </c>
      <c r="M9283" t="s">
        <v>5471</v>
      </c>
    </row>
    <row r="9284" spans="1:13" x14ac:dyDescent="0.3">
      <c r="A9284" t="s">
        <v>3388</v>
      </c>
      <c r="B9284" t="s">
        <v>6540</v>
      </c>
      <c r="C9284" t="s">
        <v>5470</v>
      </c>
      <c r="D9284" t="s">
        <v>4119</v>
      </c>
      <c r="E9284" t="s">
        <v>5756</v>
      </c>
      <c r="F9284" t="s">
        <v>32830</v>
      </c>
      <c r="G9284" t="s">
        <v>9695</v>
      </c>
      <c r="H9284" t="s">
        <v>5474</v>
      </c>
      <c r="I9284" t="s">
        <v>32831</v>
      </c>
      <c r="J9284" t="s">
        <v>5484</v>
      </c>
      <c r="K9284" t="s">
        <v>32832</v>
      </c>
      <c r="L9284" t="s">
        <v>5471</v>
      </c>
      <c r="M9284" t="s">
        <v>5471</v>
      </c>
    </row>
    <row r="9285" spans="1:13" x14ac:dyDescent="0.3">
      <c r="A9285" t="s">
        <v>3388</v>
      </c>
      <c r="B9285" t="s">
        <v>6540</v>
      </c>
      <c r="C9285" t="s">
        <v>5470</v>
      </c>
      <c r="D9285" t="s">
        <v>4119</v>
      </c>
      <c r="E9285" t="s">
        <v>5756</v>
      </c>
      <c r="F9285" t="s">
        <v>32833</v>
      </c>
      <c r="G9285" t="s">
        <v>9695</v>
      </c>
      <c r="H9285" t="s">
        <v>5474</v>
      </c>
      <c r="I9285" t="s">
        <v>32834</v>
      </c>
      <c r="J9285" t="s">
        <v>5484</v>
      </c>
      <c r="K9285" t="s">
        <v>32835</v>
      </c>
      <c r="L9285" t="s">
        <v>5471</v>
      </c>
      <c r="M9285" t="s">
        <v>5471</v>
      </c>
    </row>
    <row r="9286" spans="1:13" x14ac:dyDescent="0.3">
      <c r="A9286" t="s">
        <v>3388</v>
      </c>
      <c r="B9286" t="s">
        <v>7109</v>
      </c>
      <c r="C9286" t="s">
        <v>5470</v>
      </c>
      <c r="D9286" t="s">
        <v>4119</v>
      </c>
      <c r="E9286" t="s">
        <v>5756</v>
      </c>
      <c r="F9286" t="s">
        <v>32836</v>
      </c>
      <c r="G9286" t="s">
        <v>19195</v>
      </c>
      <c r="H9286" t="s">
        <v>5474</v>
      </c>
      <c r="I9286" t="s">
        <v>32837</v>
      </c>
      <c r="J9286" t="s">
        <v>5484</v>
      </c>
      <c r="K9286" t="s">
        <v>32838</v>
      </c>
      <c r="L9286" t="s">
        <v>5471</v>
      </c>
      <c r="M9286" t="s">
        <v>5471</v>
      </c>
    </row>
    <row r="9287" spans="1:13" x14ac:dyDescent="0.3">
      <c r="A9287" t="s">
        <v>3388</v>
      </c>
      <c r="B9287" t="s">
        <v>7109</v>
      </c>
      <c r="C9287" t="s">
        <v>5470</v>
      </c>
      <c r="D9287" t="s">
        <v>4119</v>
      </c>
      <c r="E9287" t="s">
        <v>5756</v>
      </c>
      <c r="F9287" t="s">
        <v>32839</v>
      </c>
      <c r="G9287" t="s">
        <v>19195</v>
      </c>
      <c r="H9287" t="s">
        <v>5474</v>
      </c>
      <c r="I9287" t="s">
        <v>32840</v>
      </c>
      <c r="J9287" t="s">
        <v>5484</v>
      </c>
      <c r="K9287" t="s">
        <v>32841</v>
      </c>
      <c r="L9287" t="s">
        <v>5471</v>
      </c>
      <c r="M9287" t="s">
        <v>5471</v>
      </c>
    </row>
    <row r="9288" spans="1:13" x14ac:dyDescent="0.3">
      <c r="A9288" t="s">
        <v>3388</v>
      </c>
      <c r="B9288" t="s">
        <v>5678</v>
      </c>
      <c r="C9288" t="s">
        <v>5470</v>
      </c>
      <c r="D9288" t="s">
        <v>30466</v>
      </c>
      <c r="E9288" t="s">
        <v>32842</v>
      </c>
      <c r="F9288" t="s">
        <v>32843</v>
      </c>
      <c r="G9288" t="s">
        <v>32844</v>
      </c>
      <c r="H9288" t="s">
        <v>5474</v>
      </c>
      <c r="I9288" t="s">
        <v>32845</v>
      </c>
      <c r="J9288" t="s">
        <v>5484</v>
      </c>
      <c r="K9288" t="s">
        <v>32846</v>
      </c>
      <c r="L9288" t="s">
        <v>5471</v>
      </c>
      <c r="M9288" t="s">
        <v>5471</v>
      </c>
    </row>
    <row r="9289" spans="1:13" x14ac:dyDescent="0.3">
      <c r="A9289" t="s">
        <v>3388</v>
      </c>
      <c r="B9289" t="s">
        <v>7109</v>
      </c>
      <c r="C9289" t="s">
        <v>5470</v>
      </c>
      <c r="D9289" t="s">
        <v>4119</v>
      </c>
      <c r="E9289" t="s">
        <v>5756</v>
      </c>
      <c r="F9289" t="s">
        <v>32847</v>
      </c>
      <c r="G9289" t="s">
        <v>19195</v>
      </c>
      <c r="H9289" t="s">
        <v>5474</v>
      </c>
      <c r="I9289" t="s">
        <v>32848</v>
      </c>
      <c r="J9289" t="s">
        <v>5484</v>
      </c>
      <c r="K9289" t="s">
        <v>32849</v>
      </c>
      <c r="L9289" t="s">
        <v>5471</v>
      </c>
      <c r="M9289" t="s">
        <v>5471</v>
      </c>
    </row>
    <row r="9290" spans="1:13" x14ac:dyDescent="0.3">
      <c r="A9290" t="s">
        <v>3388</v>
      </c>
      <c r="B9290" t="s">
        <v>7109</v>
      </c>
      <c r="C9290" t="s">
        <v>5470</v>
      </c>
      <c r="D9290" t="s">
        <v>4119</v>
      </c>
      <c r="E9290" t="s">
        <v>5756</v>
      </c>
      <c r="F9290" t="s">
        <v>32850</v>
      </c>
      <c r="G9290" t="s">
        <v>19195</v>
      </c>
      <c r="H9290" t="s">
        <v>5474</v>
      </c>
      <c r="I9290" t="s">
        <v>32851</v>
      </c>
      <c r="J9290" t="s">
        <v>5484</v>
      </c>
      <c r="K9290" t="s">
        <v>32852</v>
      </c>
      <c r="L9290" t="s">
        <v>5471</v>
      </c>
      <c r="M9290" t="s">
        <v>5471</v>
      </c>
    </row>
    <row r="9291" spans="1:13" x14ac:dyDescent="0.3">
      <c r="A9291" t="s">
        <v>3388</v>
      </c>
      <c r="B9291" t="s">
        <v>15596</v>
      </c>
      <c r="C9291" t="s">
        <v>5470</v>
      </c>
      <c r="D9291" t="s">
        <v>4119</v>
      </c>
      <c r="E9291" t="s">
        <v>5756</v>
      </c>
      <c r="F9291" t="s">
        <v>32853</v>
      </c>
      <c r="G9291" t="s">
        <v>17747</v>
      </c>
      <c r="H9291" t="s">
        <v>5474</v>
      </c>
      <c r="I9291" t="s">
        <v>32854</v>
      </c>
      <c r="J9291" t="s">
        <v>5484</v>
      </c>
      <c r="K9291" t="s">
        <v>32855</v>
      </c>
      <c r="L9291" t="s">
        <v>5471</v>
      </c>
      <c r="M9291" t="s">
        <v>5471</v>
      </c>
    </row>
    <row r="9292" spans="1:13" x14ac:dyDescent="0.3">
      <c r="A9292" t="s">
        <v>3388</v>
      </c>
      <c r="B9292" t="s">
        <v>15596</v>
      </c>
      <c r="C9292" t="s">
        <v>5470</v>
      </c>
      <c r="D9292" t="s">
        <v>4119</v>
      </c>
      <c r="E9292" t="s">
        <v>5756</v>
      </c>
      <c r="F9292" t="s">
        <v>32856</v>
      </c>
      <c r="G9292" t="s">
        <v>17747</v>
      </c>
      <c r="H9292" t="s">
        <v>5474</v>
      </c>
      <c r="I9292" t="s">
        <v>32857</v>
      </c>
      <c r="J9292" t="s">
        <v>5484</v>
      </c>
      <c r="K9292" t="s">
        <v>32858</v>
      </c>
      <c r="L9292" t="s">
        <v>5471</v>
      </c>
      <c r="M9292" t="s">
        <v>5471</v>
      </c>
    </row>
    <row r="9293" spans="1:13" x14ac:dyDescent="0.3">
      <c r="A9293" t="s">
        <v>3388</v>
      </c>
      <c r="B9293" t="s">
        <v>6540</v>
      </c>
      <c r="C9293" t="s">
        <v>5470</v>
      </c>
      <c r="D9293" t="s">
        <v>4119</v>
      </c>
      <c r="E9293" t="s">
        <v>5756</v>
      </c>
      <c r="F9293" t="s">
        <v>32859</v>
      </c>
      <c r="G9293" t="s">
        <v>9695</v>
      </c>
      <c r="H9293" t="s">
        <v>5474</v>
      </c>
      <c r="I9293" t="s">
        <v>32860</v>
      </c>
      <c r="J9293" t="s">
        <v>5484</v>
      </c>
      <c r="K9293" t="s">
        <v>32861</v>
      </c>
      <c r="L9293" t="s">
        <v>5471</v>
      </c>
      <c r="M9293" t="s">
        <v>5471</v>
      </c>
    </row>
    <row r="9294" spans="1:13" x14ac:dyDescent="0.3">
      <c r="A9294" t="s">
        <v>3388</v>
      </c>
      <c r="B9294" t="s">
        <v>24770</v>
      </c>
      <c r="C9294" t="s">
        <v>5470</v>
      </c>
      <c r="D9294" t="s">
        <v>4119</v>
      </c>
      <c r="E9294" t="s">
        <v>5532</v>
      </c>
      <c r="F9294" t="s">
        <v>32862</v>
      </c>
      <c r="G9294" t="s">
        <v>24772</v>
      </c>
      <c r="H9294" t="s">
        <v>5474</v>
      </c>
      <c r="I9294" t="s">
        <v>32863</v>
      </c>
      <c r="J9294" t="s">
        <v>5484</v>
      </c>
      <c r="K9294" t="s">
        <v>32864</v>
      </c>
      <c r="L9294" t="s">
        <v>5471</v>
      </c>
      <c r="M9294" t="s">
        <v>5471</v>
      </c>
    </row>
    <row r="9295" spans="1:13" x14ac:dyDescent="0.3">
      <c r="A9295" t="s">
        <v>3388</v>
      </c>
      <c r="B9295" t="s">
        <v>6540</v>
      </c>
      <c r="C9295" t="s">
        <v>5470</v>
      </c>
      <c r="D9295" t="s">
        <v>4119</v>
      </c>
      <c r="E9295" t="s">
        <v>5756</v>
      </c>
      <c r="F9295" t="s">
        <v>32865</v>
      </c>
      <c r="G9295" t="s">
        <v>9695</v>
      </c>
      <c r="H9295" t="s">
        <v>5474</v>
      </c>
      <c r="I9295" t="s">
        <v>32866</v>
      </c>
      <c r="J9295" t="s">
        <v>5484</v>
      </c>
      <c r="K9295" t="s">
        <v>32867</v>
      </c>
      <c r="L9295" t="s">
        <v>5471</v>
      </c>
      <c r="M9295" t="s">
        <v>5471</v>
      </c>
    </row>
    <row r="9296" spans="1:13" x14ac:dyDescent="0.3">
      <c r="A9296" t="s">
        <v>3388</v>
      </c>
      <c r="B9296" t="s">
        <v>32868</v>
      </c>
      <c r="C9296" t="s">
        <v>5470</v>
      </c>
      <c r="D9296" t="s">
        <v>4119</v>
      </c>
      <c r="E9296" t="s">
        <v>5617</v>
      </c>
      <c r="F9296" t="s">
        <v>32869</v>
      </c>
      <c r="G9296" t="s">
        <v>32870</v>
      </c>
      <c r="H9296" t="s">
        <v>5474</v>
      </c>
      <c r="I9296" t="s">
        <v>32871</v>
      </c>
      <c r="J9296" t="s">
        <v>5484</v>
      </c>
      <c r="K9296" t="s">
        <v>32872</v>
      </c>
      <c r="L9296" t="s">
        <v>5471</v>
      </c>
      <c r="M9296" t="s">
        <v>5471</v>
      </c>
    </row>
    <row r="9297" spans="1:13" x14ac:dyDescent="0.3">
      <c r="A9297" t="s">
        <v>3388</v>
      </c>
      <c r="B9297" t="s">
        <v>6540</v>
      </c>
      <c r="C9297" t="s">
        <v>5470</v>
      </c>
      <c r="D9297" t="s">
        <v>4119</v>
      </c>
      <c r="E9297" t="s">
        <v>5756</v>
      </c>
      <c r="F9297" t="s">
        <v>32873</v>
      </c>
      <c r="G9297" t="s">
        <v>9695</v>
      </c>
      <c r="H9297" t="s">
        <v>5474</v>
      </c>
      <c r="I9297" t="s">
        <v>32874</v>
      </c>
      <c r="J9297" t="s">
        <v>5484</v>
      </c>
      <c r="K9297" t="s">
        <v>32875</v>
      </c>
      <c r="L9297" t="s">
        <v>5471</v>
      </c>
      <c r="M9297" t="s">
        <v>5471</v>
      </c>
    </row>
    <row r="9298" spans="1:13" x14ac:dyDescent="0.3">
      <c r="A9298" t="s">
        <v>3388</v>
      </c>
      <c r="B9298" t="s">
        <v>32876</v>
      </c>
      <c r="C9298" t="s">
        <v>5470</v>
      </c>
      <c r="D9298" t="s">
        <v>4058</v>
      </c>
      <c r="E9298" t="s">
        <v>5532</v>
      </c>
      <c r="F9298" t="s">
        <v>32877</v>
      </c>
      <c r="G9298" t="s">
        <v>32878</v>
      </c>
      <c r="H9298" t="s">
        <v>5474</v>
      </c>
      <c r="I9298" t="s">
        <v>32879</v>
      </c>
      <c r="J9298" t="s">
        <v>5484</v>
      </c>
      <c r="K9298" t="s">
        <v>5471</v>
      </c>
      <c r="L9298" t="s">
        <v>5471</v>
      </c>
      <c r="M9298" t="s">
        <v>5471</v>
      </c>
    </row>
    <row r="9299" spans="1:13" x14ac:dyDescent="0.3">
      <c r="A9299" t="s">
        <v>3388</v>
      </c>
      <c r="B9299" t="s">
        <v>6540</v>
      </c>
      <c r="C9299" t="s">
        <v>5470</v>
      </c>
      <c r="D9299" t="s">
        <v>4119</v>
      </c>
      <c r="E9299" t="s">
        <v>5756</v>
      </c>
      <c r="F9299" t="s">
        <v>32880</v>
      </c>
      <c r="G9299" t="s">
        <v>9695</v>
      </c>
      <c r="H9299" t="s">
        <v>5474</v>
      </c>
      <c r="I9299" t="s">
        <v>32881</v>
      </c>
      <c r="J9299" t="s">
        <v>5484</v>
      </c>
      <c r="K9299" t="s">
        <v>32882</v>
      </c>
      <c r="L9299" t="s">
        <v>5471</v>
      </c>
      <c r="M9299" t="s">
        <v>5471</v>
      </c>
    </row>
    <row r="9300" spans="1:13" x14ac:dyDescent="0.3">
      <c r="A9300" t="s">
        <v>3388</v>
      </c>
      <c r="B9300" t="s">
        <v>32876</v>
      </c>
      <c r="C9300" t="s">
        <v>5470</v>
      </c>
      <c r="D9300" t="s">
        <v>4058</v>
      </c>
      <c r="E9300" t="s">
        <v>5532</v>
      </c>
      <c r="F9300" t="s">
        <v>32883</v>
      </c>
      <c r="G9300" t="s">
        <v>32878</v>
      </c>
      <c r="H9300" t="s">
        <v>5474</v>
      </c>
      <c r="I9300" t="s">
        <v>32884</v>
      </c>
      <c r="J9300" t="s">
        <v>5484</v>
      </c>
      <c r="K9300" t="s">
        <v>5471</v>
      </c>
      <c r="L9300" t="s">
        <v>5471</v>
      </c>
      <c r="M9300" t="s">
        <v>5471</v>
      </c>
    </row>
    <row r="9301" spans="1:13" x14ac:dyDescent="0.3">
      <c r="A9301" t="s">
        <v>3388</v>
      </c>
      <c r="B9301" t="s">
        <v>15580</v>
      </c>
      <c r="C9301" t="s">
        <v>5470</v>
      </c>
      <c r="D9301" t="s">
        <v>4119</v>
      </c>
      <c r="E9301" t="s">
        <v>5756</v>
      </c>
      <c r="F9301" t="s">
        <v>32885</v>
      </c>
      <c r="G9301" t="s">
        <v>17591</v>
      </c>
      <c r="H9301" t="s">
        <v>5474</v>
      </c>
      <c r="I9301" t="s">
        <v>32886</v>
      </c>
      <c r="J9301" t="s">
        <v>5484</v>
      </c>
      <c r="K9301" t="s">
        <v>32887</v>
      </c>
      <c r="L9301" t="s">
        <v>5471</v>
      </c>
      <c r="M9301" t="s">
        <v>5471</v>
      </c>
    </row>
    <row r="9302" spans="1:13" x14ac:dyDescent="0.3">
      <c r="A9302" t="s">
        <v>3388</v>
      </c>
      <c r="B9302" t="s">
        <v>32876</v>
      </c>
      <c r="C9302" t="s">
        <v>5470</v>
      </c>
      <c r="D9302" t="s">
        <v>4058</v>
      </c>
      <c r="E9302" t="s">
        <v>5532</v>
      </c>
      <c r="F9302" t="s">
        <v>32888</v>
      </c>
      <c r="G9302" t="s">
        <v>32878</v>
      </c>
      <c r="H9302" t="s">
        <v>5474</v>
      </c>
      <c r="I9302" t="s">
        <v>32889</v>
      </c>
      <c r="J9302" t="s">
        <v>5484</v>
      </c>
      <c r="K9302" t="s">
        <v>5471</v>
      </c>
      <c r="L9302" t="s">
        <v>5471</v>
      </c>
      <c r="M9302" t="s">
        <v>5471</v>
      </c>
    </row>
    <row r="9303" spans="1:13" x14ac:dyDescent="0.3">
      <c r="A9303" t="s">
        <v>3388</v>
      </c>
      <c r="B9303" t="s">
        <v>15580</v>
      </c>
      <c r="C9303" t="s">
        <v>5470</v>
      </c>
      <c r="D9303" t="s">
        <v>4119</v>
      </c>
      <c r="E9303" t="s">
        <v>5756</v>
      </c>
      <c r="F9303" t="s">
        <v>32890</v>
      </c>
      <c r="G9303" t="s">
        <v>17591</v>
      </c>
      <c r="H9303" t="s">
        <v>5474</v>
      </c>
      <c r="I9303" t="s">
        <v>32891</v>
      </c>
      <c r="J9303" t="s">
        <v>5484</v>
      </c>
      <c r="K9303" t="s">
        <v>32892</v>
      </c>
      <c r="L9303" t="s">
        <v>5471</v>
      </c>
      <c r="M9303" t="s">
        <v>5471</v>
      </c>
    </row>
    <row r="9304" spans="1:13" x14ac:dyDescent="0.3">
      <c r="A9304" t="s">
        <v>3388</v>
      </c>
      <c r="B9304" t="s">
        <v>32876</v>
      </c>
      <c r="C9304" t="s">
        <v>5470</v>
      </c>
      <c r="D9304" t="s">
        <v>4058</v>
      </c>
      <c r="E9304" t="s">
        <v>5532</v>
      </c>
      <c r="F9304" t="s">
        <v>32893</v>
      </c>
      <c r="G9304" t="s">
        <v>32878</v>
      </c>
      <c r="H9304" t="s">
        <v>5474</v>
      </c>
      <c r="I9304" t="s">
        <v>32894</v>
      </c>
      <c r="J9304" t="s">
        <v>5484</v>
      </c>
      <c r="K9304" t="s">
        <v>5471</v>
      </c>
      <c r="L9304" t="s">
        <v>5471</v>
      </c>
      <c r="M9304" t="s">
        <v>5471</v>
      </c>
    </row>
    <row r="9305" spans="1:13" x14ac:dyDescent="0.3">
      <c r="A9305" t="s">
        <v>3388</v>
      </c>
      <c r="B9305" t="s">
        <v>15596</v>
      </c>
      <c r="C9305" t="s">
        <v>5470</v>
      </c>
      <c r="D9305" t="s">
        <v>4119</v>
      </c>
      <c r="E9305" t="s">
        <v>5756</v>
      </c>
      <c r="F9305" t="s">
        <v>32895</v>
      </c>
      <c r="G9305" t="s">
        <v>17747</v>
      </c>
      <c r="H9305" t="s">
        <v>5474</v>
      </c>
      <c r="I9305" t="s">
        <v>32896</v>
      </c>
      <c r="J9305" t="s">
        <v>5484</v>
      </c>
      <c r="K9305" t="s">
        <v>32897</v>
      </c>
      <c r="L9305" t="s">
        <v>5471</v>
      </c>
      <c r="M9305" t="s">
        <v>5471</v>
      </c>
    </row>
    <row r="9306" spans="1:13" x14ac:dyDescent="0.3">
      <c r="A9306" t="s">
        <v>3388</v>
      </c>
      <c r="B9306" t="s">
        <v>32898</v>
      </c>
      <c r="C9306" t="s">
        <v>5470</v>
      </c>
      <c r="D9306" t="s">
        <v>10218</v>
      </c>
      <c r="E9306" t="s">
        <v>5532</v>
      </c>
      <c r="F9306" t="s">
        <v>32899</v>
      </c>
      <c r="G9306" t="s">
        <v>32900</v>
      </c>
      <c r="H9306" t="s">
        <v>5474</v>
      </c>
      <c r="I9306" t="s">
        <v>32901</v>
      </c>
      <c r="J9306" t="s">
        <v>5484</v>
      </c>
      <c r="K9306" t="s">
        <v>5471</v>
      </c>
      <c r="L9306" t="s">
        <v>5471</v>
      </c>
      <c r="M9306" t="s">
        <v>5471</v>
      </c>
    </row>
    <row r="9307" spans="1:13" x14ac:dyDescent="0.3">
      <c r="A9307" t="s">
        <v>3388</v>
      </c>
      <c r="B9307" t="s">
        <v>15596</v>
      </c>
      <c r="C9307" t="s">
        <v>5470</v>
      </c>
      <c r="D9307" t="s">
        <v>4119</v>
      </c>
      <c r="E9307" t="s">
        <v>5756</v>
      </c>
      <c r="F9307" t="s">
        <v>32902</v>
      </c>
      <c r="G9307" t="s">
        <v>17747</v>
      </c>
      <c r="H9307" t="s">
        <v>5474</v>
      </c>
      <c r="I9307" t="s">
        <v>32903</v>
      </c>
      <c r="J9307" t="s">
        <v>5484</v>
      </c>
      <c r="K9307" t="s">
        <v>32904</v>
      </c>
      <c r="L9307" t="s">
        <v>5471</v>
      </c>
      <c r="M9307" t="s">
        <v>5471</v>
      </c>
    </row>
    <row r="9308" spans="1:13" x14ac:dyDescent="0.3">
      <c r="A9308" t="s">
        <v>3388</v>
      </c>
      <c r="B9308" t="s">
        <v>32898</v>
      </c>
      <c r="C9308" t="s">
        <v>5470</v>
      </c>
      <c r="D9308" t="s">
        <v>10218</v>
      </c>
      <c r="E9308" t="s">
        <v>5532</v>
      </c>
      <c r="F9308" t="s">
        <v>32905</v>
      </c>
      <c r="G9308" t="s">
        <v>32900</v>
      </c>
      <c r="H9308" t="s">
        <v>5474</v>
      </c>
      <c r="I9308" t="s">
        <v>32906</v>
      </c>
      <c r="J9308" t="s">
        <v>5484</v>
      </c>
      <c r="K9308" t="s">
        <v>5471</v>
      </c>
      <c r="L9308" t="s">
        <v>5471</v>
      </c>
      <c r="M9308" t="s">
        <v>5471</v>
      </c>
    </row>
    <row r="9309" spans="1:13" x14ac:dyDescent="0.3">
      <c r="A9309" t="s">
        <v>3388</v>
      </c>
      <c r="B9309" t="s">
        <v>6540</v>
      </c>
      <c r="C9309" t="s">
        <v>5470</v>
      </c>
      <c r="D9309" t="s">
        <v>4119</v>
      </c>
      <c r="E9309" t="s">
        <v>5756</v>
      </c>
      <c r="F9309" t="s">
        <v>32907</v>
      </c>
      <c r="G9309" t="s">
        <v>9695</v>
      </c>
      <c r="H9309" t="s">
        <v>5474</v>
      </c>
      <c r="I9309" t="s">
        <v>32908</v>
      </c>
      <c r="J9309" t="s">
        <v>5484</v>
      </c>
      <c r="K9309" t="s">
        <v>32909</v>
      </c>
      <c r="L9309" t="s">
        <v>5471</v>
      </c>
      <c r="M9309" t="s">
        <v>5471</v>
      </c>
    </row>
    <row r="9310" spans="1:13" x14ac:dyDescent="0.3">
      <c r="A9310" t="s">
        <v>3388</v>
      </c>
      <c r="B9310" t="s">
        <v>32898</v>
      </c>
      <c r="C9310" t="s">
        <v>5470</v>
      </c>
      <c r="D9310" t="s">
        <v>10218</v>
      </c>
      <c r="E9310" t="s">
        <v>5532</v>
      </c>
      <c r="F9310" t="s">
        <v>32910</v>
      </c>
      <c r="G9310" t="s">
        <v>32900</v>
      </c>
      <c r="H9310" t="s">
        <v>5474</v>
      </c>
      <c r="I9310" t="s">
        <v>32911</v>
      </c>
      <c r="J9310" t="s">
        <v>5484</v>
      </c>
      <c r="K9310" t="s">
        <v>5471</v>
      </c>
      <c r="L9310" t="s">
        <v>5471</v>
      </c>
      <c r="M9310" t="s">
        <v>5471</v>
      </c>
    </row>
    <row r="9311" spans="1:13" x14ac:dyDescent="0.3">
      <c r="A9311" t="s">
        <v>3388</v>
      </c>
      <c r="B9311" t="s">
        <v>6540</v>
      </c>
      <c r="C9311" t="s">
        <v>5470</v>
      </c>
      <c r="D9311" t="s">
        <v>4119</v>
      </c>
      <c r="E9311" t="s">
        <v>5756</v>
      </c>
      <c r="F9311" t="s">
        <v>32912</v>
      </c>
      <c r="G9311" t="s">
        <v>9695</v>
      </c>
      <c r="H9311" t="s">
        <v>5474</v>
      </c>
      <c r="I9311" t="s">
        <v>32913</v>
      </c>
      <c r="J9311" t="s">
        <v>5484</v>
      </c>
      <c r="K9311" t="s">
        <v>32914</v>
      </c>
      <c r="L9311" t="s">
        <v>5471</v>
      </c>
      <c r="M9311" t="s">
        <v>5471</v>
      </c>
    </row>
    <row r="9312" spans="1:13" x14ac:dyDescent="0.3">
      <c r="A9312" t="s">
        <v>3388</v>
      </c>
      <c r="B9312" t="s">
        <v>32898</v>
      </c>
      <c r="C9312" t="s">
        <v>5470</v>
      </c>
      <c r="D9312" t="s">
        <v>10218</v>
      </c>
      <c r="E9312" t="s">
        <v>5532</v>
      </c>
      <c r="F9312" t="s">
        <v>32915</v>
      </c>
      <c r="G9312" t="s">
        <v>32900</v>
      </c>
      <c r="H9312" t="s">
        <v>5474</v>
      </c>
      <c r="I9312" t="s">
        <v>32916</v>
      </c>
      <c r="J9312" t="s">
        <v>5484</v>
      </c>
      <c r="K9312" t="s">
        <v>5471</v>
      </c>
      <c r="L9312" t="s">
        <v>5471</v>
      </c>
      <c r="M9312" t="s">
        <v>5471</v>
      </c>
    </row>
    <row r="9313" spans="1:13" x14ac:dyDescent="0.3">
      <c r="A9313" t="s">
        <v>3388</v>
      </c>
      <c r="B9313" t="s">
        <v>6540</v>
      </c>
      <c r="C9313" t="s">
        <v>5470</v>
      </c>
      <c r="D9313" t="s">
        <v>4119</v>
      </c>
      <c r="E9313" t="s">
        <v>5756</v>
      </c>
      <c r="F9313" t="s">
        <v>32917</v>
      </c>
      <c r="G9313" t="s">
        <v>9695</v>
      </c>
      <c r="H9313" t="s">
        <v>5474</v>
      </c>
      <c r="I9313" t="s">
        <v>32918</v>
      </c>
      <c r="J9313" t="s">
        <v>5484</v>
      </c>
      <c r="K9313" t="s">
        <v>32919</v>
      </c>
      <c r="L9313" t="s">
        <v>5471</v>
      </c>
      <c r="M9313" t="s">
        <v>5471</v>
      </c>
    </row>
    <row r="9314" spans="1:13" x14ac:dyDescent="0.3">
      <c r="A9314" t="s">
        <v>3388</v>
      </c>
      <c r="B9314" t="s">
        <v>32898</v>
      </c>
      <c r="C9314" t="s">
        <v>5470</v>
      </c>
      <c r="D9314" t="s">
        <v>10218</v>
      </c>
      <c r="E9314" t="s">
        <v>5532</v>
      </c>
      <c r="F9314" t="s">
        <v>32920</v>
      </c>
      <c r="G9314" t="s">
        <v>32900</v>
      </c>
      <c r="H9314" t="s">
        <v>5474</v>
      </c>
      <c r="I9314" t="s">
        <v>32921</v>
      </c>
      <c r="J9314" t="s">
        <v>5484</v>
      </c>
      <c r="K9314" t="s">
        <v>5471</v>
      </c>
      <c r="L9314" t="s">
        <v>5471</v>
      </c>
      <c r="M9314" t="s">
        <v>5471</v>
      </c>
    </row>
    <row r="9315" spans="1:13" x14ac:dyDescent="0.3">
      <c r="A9315" t="s">
        <v>3388</v>
      </c>
      <c r="B9315" t="s">
        <v>6540</v>
      </c>
      <c r="C9315" t="s">
        <v>5470</v>
      </c>
      <c r="D9315" t="s">
        <v>4119</v>
      </c>
      <c r="E9315" t="s">
        <v>5756</v>
      </c>
      <c r="F9315" t="s">
        <v>32922</v>
      </c>
      <c r="G9315" t="s">
        <v>9695</v>
      </c>
      <c r="H9315" t="s">
        <v>5474</v>
      </c>
      <c r="I9315" t="s">
        <v>32923</v>
      </c>
      <c r="J9315" t="s">
        <v>5484</v>
      </c>
      <c r="K9315" t="s">
        <v>32924</v>
      </c>
      <c r="L9315" t="s">
        <v>5471</v>
      </c>
      <c r="M9315" t="s">
        <v>5471</v>
      </c>
    </row>
    <row r="9316" spans="1:13" x14ac:dyDescent="0.3">
      <c r="A9316" t="s">
        <v>3388</v>
      </c>
      <c r="B9316" t="s">
        <v>32898</v>
      </c>
      <c r="C9316" t="s">
        <v>5470</v>
      </c>
      <c r="D9316" t="s">
        <v>10218</v>
      </c>
      <c r="E9316" t="s">
        <v>5532</v>
      </c>
      <c r="F9316" t="s">
        <v>32925</v>
      </c>
      <c r="G9316" t="s">
        <v>32900</v>
      </c>
      <c r="H9316" t="s">
        <v>5474</v>
      </c>
      <c r="I9316" t="s">
        <v>32926</v>
      </c>
      <c r="J9316" t="s">
        <v>5484</v>
      </c>
      <c r="K9316" t="s">
        <v>5471</v>
      </c>
      <c r="L9316" t="s">
        <v>5471</v>
      </c>
      <c r="M9316" t="s">
        <v>5471</v>
      </c>
    </row>
    <row r="9317" spans="1:13" x14ac:dyDescent="0.3">
      <c r="A9317" t="s">
        <v>3388</v>
      </c>
      <c r="B9317" t="s">
        <v>6540</v>
      </c>
      <c r="C9317" t="s">
        <v>5470</v>
      </c>
      <c r="D9317" t="s">
        <v>4119</v>
      </c>
      <c r="E9317" t="s">
        <v>5756</v>
      </c>
      <c r="F9317" t="s">
        <v>32927</v>
      </c>
      <c r="G9317" t="s">
        <v>9695</v>
      </c>
      <c r="H9317" t="s">
        <v>5474</v>
      </c>
      <c r="I9317" t="s">
        <v>32928</v>
      </c>
      <c r="J9317" t="s">
        <v>5484</v>
      </c>
      <c r="K9317" t="s">
        <v>32929</v>
      </c>
      <c r="L9317" t="s">
        <v>5471</v>
      </c>
      <c r="M9317" t="s">
        <v>5471</v>
      </c>
    </row>
    <row r="9318" spans="1:13" x14ac:dyDescent="0.3">
      <c r="A9318" t="s">
        <v>3388</v>
      </c>
      <c r="B9318" t="s">
        <v>6540</v>
      </c>
      <c r="C9318" t="s">
        <v>5470</v>
      </c>
      <c r="D9318" t="s">
        <v>4119</v>
      </c>
      <c r="E9318" t="s">
        <v>5756</v>
      </c>
      <c r="F9318" t="s">
        <v>32930</v>
      </c>
      <c r="G9318" t="s">
        <v>9695</v>
      </c>
      <c r="H9318" t="s">
        <v>5474</v>
      </c>
      <c r="I9318" t="s">
        <v>32931</v>
      </c>
      <c r="J9318" t="s">
        <v>5484</v>
      </c>
      <c r="K9318" t="s">
        <v>32932</v>
      </c>
      <c r="L9318" t="s">
        <v>5471</v>
      </c>
      <c r="M9318" t="s">
        <v>5471</v>
      </c>
    </row>
    <row r="9319" spans="1:13" x14ac:dyDescent="0.3">
      <c r="A9319" t="s">
        <v>3388</v>
      </c>
      <c r="B9319" t="s">
        <v>6540</v>
      </c>
      <c r="C9319" t="s">
        <v>5470</v>
      </c>
      <c r="D9319" t="s">
        <v>4119</v>
      </c>
      <c r="E9319" t="s">
        <v>5756</v>
      </c>
      <c r="F9319" t="s">
        <v>32933</v>
      </c>
      <c r="G9319" t="s">
        <v>9695</v>
      </c>
      <c r="H9319" t="s">
        <v>5474</v>
      </c>
      <c r="I9319" t="s">
        <v>32934</v>
      </c>
      <c r="J9319" t="s">
        <v>5484</v>
      </c>
      <c r="K9319" t="s">
        <v>32935</v>
      </c>
      <c r="L9319" t="s">
        <v>5471</v>
      </c>
      <c r="M9319" t="s">
        <v>5471</v>
      </c>
    </row>
    <row r="9320" spans="1:13" x14ac:dyDescent="0.3">
      <c r="A9320" t="s">
        <v>3388</v>
      </c>
      <c r="B9320" t="s">
        <v>6540</v>
      </c>
      <c r="C9320" t="s">
        <v>5470</v>
      </c>
      <c r="D9320" t="s">
        <v>4119</v>
      </c>
      <c r="E9320" t="s">
        <v>5756</v>
      </c>
      <c r="F9320" t="s">
        <v>32936</v>
      </c>
      <c r="G9320" t="s">
        <v>9695</v>
      </c>
      <c r="H9320" t="s">
        <v>5474</v>
      </c>
      <c r="I9320" t="s">
        <v>32937</v>
      </c>
      <c r="J9320" t="s">
        <v>5484</v>
      </c>
      <c r="K9320" t="s">
        <v>32938</v>
      </c>
      <c r="L9320" t="s">
        <v>5471</v>
      </c>
      <c r="M9320" t="s">
        <v>5471</v>
      </c>
    </row>
    <row r="9321" spans="1:13" x14ac:dyDescent="0.3">
      <c r="A9321" t="s">
        <v>3388</v>
      </c>
      <c r="B9321" t="s">
        <v>11311</v>
      </c>
      <c r="C9321" t="s">
        <v>5470</v>
      </c>
      <c r="D9321" t="s">
        <v>4119</v>
      </c>
      <c r="E9321" t="s">
        <v>5756</v>
      </c>
      <c r="F9321" t="s">
        <v>32939</v>
      </c>
      <c r="G9321" t="s">
        <v>32815</v>
      </c>
      <c r="H9321" t="s">
        <v>5474</v>
      </c>
      <c r="I9321" t="s">
        <v>32940</v>
      </c>
      <c r="J9321" t="s">
        <v>5484</v>
      </c>
      <c r="K9321" t="s">
        <v>32941</v>
      </c>
      <c r="L9321" t="s">
        <v>5471</v>
      </c>
      <c r="M9321" t="s">
        <v>5471</v>
      </c>
    </row>
    <row r="9322" spans="1:13" x14ac:dyDescent="0.3">
      <c r="A9322" t="s">
        <v>3388</v>
      </c>
      <c r="B9322" t="s">
        <v>11311</v>
      </c>
      <c r="C9322" t="s">
        <v>5470</v>
      </c>
      <c r="D9322" t="s">
        <v>4119</v>
      </c>
      <c r="E9322" t="s">
        <v>5756</v>
      </c>
      <c r="F9322" t="s">
        <v>32942</v>
      </c>
      <c r="G9322" t="s">
        <v>32815</v>
      </c>
      <c r="H9322" t="s">
        <v>5474</v>
      </c>
      <c r="I9322" t="s">
        <v>32943</v>
      </c>
      <c r="J9322" t="s">
        <v>5484</v>
      </c>
      <c r="K9322" t="s">
        <v>32944</v>
      </c>
      <c r="L9322" t="s">
        <v>5471</v>
      </c>
      <c r="M9322" t="s">
        <v>5471</v>
      </c>
    </row>
    <row r="9323" spans="1:13" x14ac:dyDescent="0.3">
      <c r="A9323" t="s">
        <v>3388</v>
      </c>
      <c r="B9323" t="s">
        <v>11311</v>
      </c>
      <c r="C9323" t="s">
        <v>5470</v>
      </c>
      <c r="D9323" t="s">
        <v>4119</v>
      </c>
      <c r="E9323" t="s">
        <v>5756</v>
      </c>
      <c r="F9323" t="s">
        <v>32945</v>
      </c>
      <c r="G9323" t="s">
        <v>32815</v>
      </c>
      <c r="H9323" t="s">
        <v>5474</v>
      </c>
      <c r="I9323" t="s">
        <v>32946</v>
      </c>
      <c r="J9323" t="s">
        <v>5484</v>
      </c>
      <c r="K9323" t="s">
        <v>32947</v>
      </c>
      <c r="L9323" t="s">
        <v>5471</v>
      </c>
      <c r="M9323" t="s">
        <v>5471</v>
      </c>
    </row>
    <row r="9324" spans="1:13" x14ac:dyDescent="0.3">
      <c r="A9324" t="s">
        <v>3388</v>
      </c>
      <c r="B9324" t="s">
        <v>11311</v>
      </c>
      <c r="C9324" t="s">
        <v>5470</v>
      </c>
      <c r="D9324" t="s">
        <v>4119</v>
      </c>
      <c r="E9324" t="s">
        <v>5756</v>
      </c>
      <c r="F9324" t="s">
        <v>32948</v>
      </c>
      <c r="G9324" t="s">
        <v>32815</v>
      </c>
      <c r="H9324" t="s">
        <v>5474</v>
      </c>
      <c r="I9324" t="s">
        <v>32949</v>
      </c>
      <c r="J9324" t="s">
        <v>5484</v>
      </c>
      <c r="K9324" t="s">
        <v>32950</v>
      </c>
      <c r="L9324" t="s">
        <v>5471</v>
      </c>
      <c r="M9324" t="s">
        <v>5471</v>
      </c>
    </row>
    <row r="9325" spans="1:13" x14ac:dyDescent="0.3">
      <c r="A9325" t="s">
        <v>3388</v>
      </c>
      <c r="B9325" t="s">
        <v>11311</v>
      </c>
      <c r="C9325" t="s">
        <v>5470</v>
      </c>
      <c r="D9325" t="s">
        <v>4119</v>
      </c>
      <c r="E9325" t="s">
        <v>5756</v>
      </c>
      <c r="F9325" t="s">
        <v>32951</v>
      </c>
      <c r="G9325" t="s">
        <v>32815</v>
      </c>
      <c r="H9325" t="s">
        <v>5474</v>
      </c>
      <c r="I9325" t="s">
        <v>32952</v>
      </c>
      <c r="J9325" t="s">
        <v>5484</v>
      </c>
      <c r="K9325" t="s">
        <v>32953</v>
      </c>
      <c r="L9325" t="s">
        <v>5471</v>
      </c>
      <c r="M9325" t="s">
        <v>5471</v>
      </c>
    </row>
    <row r="9326" spans="1:13" x14ac:dyDescent="0.3">
      <c r="A9326" t="s">
        <v>3388</v>
      </c>
      <c r="B9326" t="s">
        <v>11311</v>
      </c>
      <c r="C9326" t="s">
        <v>5470</v>
      </c>
      <c r="D9326" t="s">
        <v>4119</v>
      </c>
      <c r="E9326" t="s">
        <v>5756</v>
      </c>
      <c r="F9326" t="s">
        <v>32954</v>
      </c>
      <c r="G9326" t="s">
        <v>32815</v>
      </c>
      <c r="H9326" t="s">
        <v>5474</v>
      </c>
      <c r="I9326" t="s">
        <v>32955</v>
      </c>
      <c r="J9326" t="s">
        <v>5484</v>
      </c>
      <c r="K9326" t="s">
        <v>32956</v>
      </c>
      <c r="L9326" t="s">
        <v>5471</v>
      </c>
      <c r="M9326" t="s">
        <v>5471</v>
      </c>
    </row>
    <row r="9327" spans="1:13" x14ac:dyDescent="0.3">
      <c r="A9327" t="s">
        <v>3388</v>
      </c>
      <c r="B9327" t="s">
        <v>7109</v>
      </c>
      <c r="C9327" t="s">
        <v>5470</v>
      </c>
      <c r="D9327" t="s">
        <v>4119</v>
      </c>
      <c r="E9327" t="s">
        <v>5756</v>
      </c>
      <c r="F9327" t="s">
        <v>32957</v>
      </c>
      <c r="G9327" t="s">
        <v>19195</v>
      </c>
      <c r="H9327" t="s">
        <v>5474</v>
      </c>
      <c r="I9327" t="s">
        <v>32958</v>
      </c>
      <c r="J9327" t="s">
        <v>5484</v>
      </c>
      <c r="K9327" t="s">
        <v>32959</v>
      </c>
      <c r="L9327" t="s">
        <v>5471</v>
      </c>
      <c r="M9327" t="s">
        <v>5471</v>
      </c>
    </row>
    <row r="9328" spans="1:13" x14ac:dyDescent="0.3">
      <c r="A9328" t="s">
        <v>3388</v>
      </c>
      <c r="B9328" t="s">
        <v>7109</v>
      </c>
      <c r="C9328" t="s">
        <v>5470</v>
      </c>
      <c r="D9328" t="s">
        <v>4119</v>
      </c>
      <c r="E9328" t="s">
        <v>5756</v>
      </c>
      <c r="F9328" t="s">
        <v>32960</v>
      </c>
      <c r="G9328" t="s">
        <v>19195</v>
      </c>
      <c r="H9328" t="s">
        <v>5474</v>
      </c>
      <c r="I9328" t="s">
        <v>32961</v>
      </c>
      <c r="J9328" t="s">
        <v>5484</v>
      </c>
      <c r="K9328" t="s">
        <v>32962</v>
      </c>
      <c r="L9328" t="s">
        <v>5471</v>
      </c>
      <c r="M9328" t="s">
        <v>5471</v>
      </c>
    </row>
    <row r="9329" spans="1:13" x14ac:dyDescent="0.3">
      <c r="A9329" t="s">
        <v>3388</v>
      </c>
      <c r="B9329" t="s">
        <v>7109</v>
      </c>
      <c r="C9329" t="s">
        <v>5470</v>
      </c>
      <c r="D9329" t="s">
        <v>4119</v>
      </c>
      <c r="E9329" t="s">
        <v>5756</v>
      </c>
      <c r="F9329" t="s">
        <v>32963</v>
      </c>
      <c r="G9329" t="s">
        <v>19195</v>
      </c>
      <c r="H9329" t="s">
        <v>5474</v>
      </c>
      <c r="I9329" t="s">
        <v>32964</v>
      </c>
      <c r="J9329" t="s">
        <v>5484</v>
      </c>
      <c r="K9329" t="s">
        <v>32965</v>
      </c>
      <c r="L9329" t="s">
        <v>5471</v>
      </c>
      <c r="M9329" t="s">
        <v>5471</v>
      </c>
    </row>
    <row r="9330" spans="1:13" x14ac:dyDescent="0.3">
      <c r="A9330" t="s">
        <v>3388</v>
      </c>
      <c r="B9330" t="s">
        <v>7109</v>
      </c>
      <c r="C9330" t="s">
        <v>5470</v>
      </c>
      <c r="D9330" t="s">
        <v>4119</v>
      </c>
      <c r="E9330" t="s">
        <v>5756</v>
      </c>
      <c r="F9330" t="s">
        <v>32966</v>
      </c>
      <c r="G9330" t="s">
        <v>19195</v>
      </c>
      <c r="H9330" t="s">
        <v>5474</v>
      </c>
      <c r="I9330" t="s">
        <v>32967</v>
      </c>
      <c r="J9330" t="s">
        <v>5484</v>
      </c>
      <c r="K9330" t="s">
        <v>32968</v>
      </c>
      <c r="L9330" t="s">
        <v>5471</v>
      </c>
      <c r="M9330" t="s">
        <v>5471</v>
      </c>
    </row>
    <row r="9331" spans="1:13" x14ac:dyDescent="0.3">
      <c r="A9331" t="s">
        <v>3388</v>
      </c>
      <c r="B9331" t="s">
        <v>7109</v>
      </c>
      <c r="C9331" t="s">
        <v>5470</v>
      </c>
      <c r="D9331" t="s">
        <v>4119</v>
      </c>
      <c r="E9331" t="s">
        <v>5756</v>
      </c>
      <c r="F9331" t="s">
        <v>32969</v>
      </c>
      <c r="G9331" t="s">
        <v>19195</v>
      </c>
      <c r="H9331" t="s">
        <v>5474</v>
      </c>
      <c r="I9331" t="s">
        <v>32970</v>
      </c>
      <c r="J9331" t="s">
        <v>5484</v>
      </c>
      <c r="K9331" t="s">
        <v>32971</v>
      </c>
      <c r="L9331" t="s">
        <v>5471</v>
      </c>
      <c r="M9331" t="s">
        <v>5471</v>
      </c>
    </row>
    <row r="9332" spans="1:13" x14ac:dyDescent="0.3">
      <c r="A9332" t="s">
        <v>3388</v>
      </c>
      <c r="B9332" t="s">
        <v>7109</v>
      </c>
      <c r="C9332" t="s">
        <v>5470</v>
      </c>
      <c r="D9332" t="s">
        <v>4119</v>
      </c>
      <c r="E9332" t="s">
        <v>5756</v>
      </c>
      <c r="F9332" t="s">
        <v>32972</v>
      </c>
      <c r="G9332" t="s">
        <v>19195</v>
      </c>
      <c r="H9332" t="s">
        <v>5474</v>
      </c>
      <c r="I9332" t="s">
        <v>32973</v>
      </c>
      <c r="J9332" t="s">
        <v>5484</v>
      </c>
      <c r="K9332" t="s">
        <v>32974</v>
      </c>
      <c r="L9332" t="s">
        <v>5471</v>
      </c>
      <c r="M9332" t="s">
        <v>5471</v>
      </c>
    </row>
    <row r="9333" spans="1:13" x14ac:dyDescent="0.3">
      <c r="A9333" t="s">
        <v>3388</v>
      </c>
      <c r="B9333" t="s">
        <v>15961</v>
      </c>
      <c r="C9333" t="s">
        <v>5470</v>
      </c>
      <c r="D9333" t="s">
        <v>4119</v>
      </c>
      <c r="E9333" t="s">
        <v>5756</v>
      </c>
      <c r="F9333" t="s">
        <v>32975</v>
      </c>
      <c r="G9333" t="s">
        <v>15963</v>
      </c>
      <c r="H9333" t="s">
        <v>5474</v>
      </c>
      <c r="I9333" t="s">
        <v>32976</v>
      </c>
      <c r="J9333" t="s">
        <v>5484</v>
      </c>
      <c r="K9333" t="s">
        <v>32977</v>
      </c>
      <c r="L9333" t="s">
        <v>5471</v>
      </c>
      <c r="M9333" t="s">
        <v>5471</v>
      </c>
    </row>
    <row r="9334" spans="1:13" x14ac:dyDescent="0.3">
      <c r="A9334" t="s">
        <v>3388</v>
      </c>
      <c r="B9334" t="s">
        <v>32978</v>
      </c>
      <c r="C9334" t="s">
        <v>5470</v>
      </c>
      <c r="D9334" t="s">
        <v>10210</v>
      </c>
      <c r="E9334" t="s">
        <v>5532</v>
      </c>
      <c r="F9334" t="s">
        <v>32979</v>
      </c>
      <c r="G9334" t="s">
        <v>10194</v>
      </c>
      <c r="H9334" t="s">
        <v>5474</v>
      </c>
      <c r="I9334" t="s">
        <v>32980</v>
      </c>
      <c r="J9334" t="s">
        <v>5484</v>
      </c>
      <c r="K9334" t="s">
        <v>32981</v>
      </c>
      <c r="L9334" t="s">
        <v>5471</v>
      </c>
      <c r="M9334" t="s">
        <v>5471</v>
      </c>
    </row>
    <row r="9335" spans="1:13" x14ac:dyDescent="0.3">
      <c r="A9335" t="s">
        <v>3388</v>
      </c>
      <c r="B9335" t="s">
        <v>15961</v>
      </c>
      <c r="C9335" t="s">
        <v>5470</v>
      </c>
      <c r="D9335" t="s">
        <v>4119</v>
      </c>
      <c r="E9335" t="s">
        <v>5756</v>
      </c>
      <c r="F9335" t="s">
        <v>32982</v>
      </c>
      <c r="G9335" t="s">
        <v>15963</v>
      </c>
      <c r="H9335" t="s">
        <v>5474</v>
      </c>
      <c r="I9335" t="s">
        <v>32983</v>
      </c>
      <c r="J9335" t="s">
        <v>5484</v>
      </c>
      <c r="K9335" t="s">
        <v>32984</v>
      </c>
      <c r="L9335" t="s">
        <v>5471</v>
      </c>
      <c r="M9335" t="s">
        <v>5471</v>
      </c>
    </row>
    <row r="9336" spans="1:13" x14ac:dyDescent="0.3">
      <c r="A9336" t="s">
        <v>3388</v>
      </c>
      <c r="B9336" t="s">
        <v>32978</v>
      </c>
      <c r="C9336" t="s">
        <v>5470</v>
      </c>
      <c r="D9336" t="s">
        <v>10210</v>
      </c>
      <c r="E9336" t="s">
        <v>5532</v>
      </c>
      <c r="F9336" t="s">
        <v>32985</v>
      </c>
      <c r="G9336" t="s">
        <v>32986</v>
      </c>
      <c r="H9336" t="s">
        <v>5474</v>
      </c>
      <c r="I9336" t="s">
        <v>32987</v>
      </c>
      <c r="J9336" t="s">
        <v>5484</v>
      </c>
      <c r="K9336" t="s">
        <v>32988</v>
      </c>
      <c r="L9336" t="s">
        <v>5471</v>
      </c>
      <c r="M9336" t="s">
        <v>5471</v>
      </c>
    </row>
    <row r="9337" spans="1:13" x14ac:dyDescent="0.3">
      <c r="A9337" t="s">
        <v>3388</v>
      </c>
      <c r="B9337" t="s">
        <v>15961</v>
      </c>
      <c r="C9337" t="s">
        <v>5470</v>
      </c>
      <c r="D9337" t="s">
        <v>4119</v>
      </c>
      <c r="E9337" t="s">
        <v>5756</v>
      </c>
      <c r="F9337" t="s">
        <v>32989</v>
      </c>
      <c r="G9337" t="s">
        <v>15963</v>
      </c>
      <c r="H9337" t="s">
        <v>5474</v>
      </c>
      <c r="I9337" t="s">
        <v>32990</v>
      </c>
      <c r="J9337" t="s">
        <v>5484</v>
      </c>
      <c r="K9337" t="s">
        <v>32991</v>
      </c>
      <c r="L9337" t="s">
        <v>5471</v>
      </c>
      <c r="M9337" t="s">
        <v>5471</v>
      </c>
    </row>
    <row r="9338" spans="1:13" x14ac:dyDescent="0.3">
      <c r="A9338" t="s">
        <v>3388</v>
      </c>
      <c r="B9338" t="s">
        <v>30298</v>
      </c>
      <c r="C9338" t="s">
        <v>5470</v>
      </c>
      <c r="D9338" t="s">
        <v>10210</v>
      </c>
      <c r="E9338" t="s">
        <v>5532</v>
      </c>
      <c r="F9338" t="s">
        <v>32992</v>
      </c>
      <c r="G9338" t="s">
        <v>20359</v>
      </c>
      <c r="H9338" t="s">
        <v>5474</v>
      </c>
      <c r="I9338" t="s">
        <v>32993</v>
      </c>
      <c r="J9338" t="s">
        <v>5484</v>
      </c>
      <c r="K9338" t="s">
        <v>32994</v>
      </c>
      <c r="L9338" t="s">
        <v>5471</v>
      </c>
      <c r="M9338" t="s">
        <v>5471</v>
      </c>
    </row>
    <row r="9339" spans="1:13" x14ac:dyDescent="0.3">
      <c r="A9339" t="s">
        <v>3388</v>
      </c>
      <c r="B9339" t="s">
        <v>15961</v>
      </c>
      <c r="C9339" t="s">
        <v>5470</v>
      </c>
      <c r="D9339" t="s">
        <v>4119</v>
      </c>
      <c r="E9339" t="s">
        <v>5756</v>
      </c>
      <c r="F9339" t="s">
        <v>32995</v>
      </c>
      <c r="G9339" t="s">
        <v>15963</v>
      </c>
      <c r="H9339" t="s">
        <v>5474</v>
      </c>
      <c r="I9339" t="s">
        <v>32996</v>
      </c>
      <c r="J9339" t="s">
        <v>5484</v>
      </c>
      <c r="K9339" t="s">
        <v>32997</v>
      </c>
      <c r="L9339" t="s">
        <v>5471</v>
      </c>
      <c r="M9339" t="s">
        <v>5471</v>
      </c>
    </row>
    <row r="9340" spans="1:13" x14ac:dyDescent="0.3">
      <c r="A9340" t="s">
        <v>3388</v>
      </c>
      <c r="B9340" t="s">
        <v>30302</v>
      </c>
      <c r="C9340" t="s">
        <v>5470</v>
      </c>
      <c r="D9340" t="s">
        <v>10210</v>
      </c>
      <c r="E9340" t="s">
        <v>5532</v>
      </c>
      <c r="F9340" t="s">
        <v>32998</v>
      </c>
      <c r="G9340" t="s">
        <v>20259</v>
      </c>
      <c r="H9340" t="s">
        <v>5474</v>
      </c>
      <c r="I9340" t="s">
        <v>32999</v>
      </c>
      <c r="J9340" t="s">
        <v>5484</v>
      </c>
      <c r="K9340" t="s">
        <v>33000</v>
      </c>
      <c r="L9340" t="s">
        <v>5471</v>
      </c>
      <c r="M9340" t="s">
        <v>5471</v>
      </c>
    </row>
    <row r="9341" spans="1:13" x14ac:dyDescent="0.3">
      <c r="A9341" t="s">
        <v>3388</v>
      </c>
      <c r="B9341" t="s">
        <v>15961</v>
      </c>
      <c r="C9341" t="s">
        <v>5470</v>
      </c>
      <c r="D9341" t="s">
        <v>4119</v>
      </c>
      <c r="E9341" t="s">
        <v>5756</v>
      </c>
      <c r="F9341" t="s">
        <v>33001</v>
      </c>
      <c r="G9341" t="s">
        <v>15963</v>
      </c>
      <c r="H9341" t="s">
        <v>5474</v>
      </c>
      <c r="I9341" t="s">
        <v>33002</v>
      </c>
      <c r="J9341" t="s">
        <v>5484</v>
      </c>
      <c r="K9341" t="s">
        <v>33003</v>
      </c>
      <c r="L9341" t="s">
        <v>5471</v>
      </c>
      <c r="M9341" t="s">
        <v>5471</v>
      </c>
    </row>
    <row r="9342" spans="1:13" x14ac:dyDescent="0.3">
      <c r="A9342" t="s">
        <v>3388</v>
      </c>
      <c r="B9342" t="s">
        <v>30302</v>
      </c>
      <c r="C9342" t="s">
        <v>5470</v>
      </c>
      <c r="D9342" t="s">
        <v>10210</v>
      </c>
      <c r="E9342" t="s">
        <v>5532</v>
      </c>
      <c r="F9342" t="s">
        <v>33004</v>
      </c>
      <c r="G9342" t="s">
        <v>20259</v>
      </c>
      <c r="H9342" t="s">
        <v>5474</v>
      </c>
      <c r="I9342" t="s">
        <v>33005</v>
      </c>
      <c r="J9342" t="s">
        <v>5484</v>
      </c>
      <c r="K9342" t="s">
        <v>33006</v>
      </c>
      <c r="L9342" t="s">
        <v>5471</v>
      </c>
      <c r="M9342" t="s">
        <v>5471</v>
      </c>
    </row>
    <row r="9343" spans="1:13" x14ac:dyDescent="0.3">
      <c r="A9343" t="s">
        <v>3388</v>
      </c>
      <c r="B9343" t="s">
        <v>15961</v>
      </c>
      <c r="C9343" t="s">
        <v>5470</v>
      </c>
      <c r="D9343" t="s">
        <v>4119</v>
      </c>
      <c r="E9343" t="s">
        <v>5756</v>
      </c>
      <c r="F9343" t="s">
        <v>33007</v>
      </c>
      <c r="G9343" t="s">
        <v>15963</v>
      </c>
      <c r="H9343" t="s">
        <v>5474</v>
      </c>
      <c r="I9343" t="s">
        <v>33008</v>
      </c>
      <c r="J9343" t="s">
        <v>5484</v>
      </c>
      <c r="K9343" t="s">
        <v>33009</v>
      </c>
      <c r="L9343" t="s">
        <v>5471</v>
      </c>
      <c r="M9343" t="s">
        <v>5471</v>
      </c>
    </row>
    <row r="9344" spans="1:13" x14ac:dyDescent="0.3">
      <c r="A9344" t="s">
        <v>3388</v>
      </c>
      <c r="B9344" t="s">
        <v>15961</v>
      </c>
      <c r="C9344" t="s">
        <v>5470</v>
      </c>
      <c r="D9344" t="s">
        <v>4119</v>
      </c>
      <c r="E9344" t="s">
        <v>5756</v>
      </c>
      <c r="F9344" t="s">
        <v>33010</v>
      </c>
      <c r="G9344" t="s">
        <v>15963</v>
      </c>
      <c r="H9344" t="s">
        <v>5474</v>
      </c>
      <c r="I9344" t="s">
        <v>33011</v>
      </c>
      <c r="J9344" t="s">
        <v>5484</v>
      </c>
      <c r="K9344" t="s">
        <v>33012</v>
      </c>
      <c r="L9344" t="s">
        <v>5471</v>
      </c>
      <c r="M9344" t="s">
        <v>5471</v>
      </c>
    </row>
    <row r="9345" spans="1:13" x14ac:dyDescent="0.3">
      <c r="A9345" t="s">
        <v>3388</v>
      </c>
      <c r="B9345" t="s">
        <v>30302</v>
      </c>
      <c r="C9345" t="s">
        <v>5470</v>
      </c>
      <c r="D9345" t="s">
        <v>10210</v>
      </c>
      <c r="E9345" t="s">
        <v>5532</v>
      </c>
      <c r="F9345" t="s">
        <v>33013</v>
      </c>
      <c r="G9345" t="s">
        <v>20259</v>
      </c>
      <c r="H9345" t="s">
        <v>5474</v>
      </c>
      <c r="I9345" t="s">
        <v>33014</v>
      </c>
      <c r="J9345" t="s">
        <v>5484</v>
      </c>
      <c r="K9345" t="s">
        <v>33015</v>
      </c>
      <c r="L9345" t="s">
        <v>5471</v>
      </c>
      <c r="M9345" t="s">
        <v>5471</v>
      </c>
    </row>
    <row r="9346" spans="1:13" x14ac:dyDescent="0.3">
      <c r="A9346" t="s">
        <v>3388</v>
      </c>
      <c r="B9346" t="s">
        <v>15961</v>
      </c>
      <c r="C9346" t="s">
        <v>5470</v>
      </c>
      <c r="D9346" t="s">
        <v>4119</v>
      </c>
      <c r="E9346" t="s">
        <v>5756</v>
      </c>
      <c r="F9346" t="s">
        <v>33016</v>
      </c>
      <c r="G9346" t="s">
        <v>15963</v>
      </c>
      <c r="H9346" t="s">
        <v>5474</v>
      </c>
      <c r="I9346" t="s">
        <v>33017</v>
      </c>
      <c r="J9346" t="s">
        <v>5484</v>
      </c>
      <c r="K9346" t="s">
        <v>33018</v>
      </c>
      <c r="L9346" t="s">
        <v>5471</v>
      </c>
      <c r="M9346" t="s">
        <v>5471</v>
      </c>
    </row>
    <row r="9347" spans="1:13" x14ac:dyDescent="0.3">
      <c r="A9347" t="s">
        <v>3388</v>
      </c>
      <c r="B9347" t="s">
        <v>30302</v>
      </c>
      <c r="C9347" t="s">
        <v>5470</v>
      </c>
      <c r="D9347" t="s">
        <v>10210</v>
      </c>
      <c r="E9347" t="s">
        <v>5532</v>
      </c>
      <c r="F9347" t="s">
        <v>33019</v>
      </c>
      <c r="G9347" t="s">
        <v>20259</v>
      </c>
      <c r="H9347" t="s">
        <v>5474</v>
      </c>
      <c r="I9347" t="s">
        <v>33020</v>
      </c>
      <c r="J9347" t="s">
        <v>5484</v>
      </c>
      <c r="K9347" t="s">
        <v>33021</v>
      </c>
      <c r="L9347" t="s">
        <v>5471</v>
      </c>
      <c r="M9347" t="s">
        <v>5471</v>
      </c>
    </row>
    <row r="9348" spans="1:13" x14ac:dyDescent="0.3">
      <c r="A9348" t="s">
        <v>3388</v>
      </c>
      <c r="B9348" t="s">
        <v>15961</v>
      </c>
      <c r="C9348" t="s">
        <v>5470</v>
      </c>
      <c r="D9348" t="s">
        <v>4119</v>
      </c>
      <c r="E9348" t="s">
        <v>5756</v>
      </c>
      <c r="F9348" t="s">
        <v>33022</v>
      </c>
      <c r="G9348" t="s">
        <v>15963</v>
      </c>
      <c r="H9348" t="s">
        <v>5474</v>
      </c>
      <c r="I9348" t="s">
        <v>33023</v>
      </c>
      <c r="J9348" t="s">
        <v>5484</v>
      </c>
      <c r="K9348" t="s">
        <v>33024</v>
      </c>
      <c r="L9348" t="s">
        <v>5471</v>
      </c>
      <c r="M9348" t="s">
        <v>5471</v>
      </c>
    </row>
    <row r="9349" spans="1:13" x14ac:dyDescent="0.3">
      <c r="A9349" t="s">
        <v>3388</v>
      </c>
      <c r="B9349" t="s">
        <v>30302</v>
      </c>
      <c r="C9349" t="s">
        <v>5470</v>
      </c>
      <c r="D9349" t="s">
        <v>10210</v>
      </c>
      <c r="E9349" t="s">
        <v>5532</v>
      </c>
      <c r="F9349" t="s">
        <v>33025</v>
      </c>
      <c r="G9349" t="s">
        <v>20259</v>
      </c>
      <c r="H9349" t="s">
        <v>5474</v>
      </c>
      <c r="I9349" t="s">
        <v>33026</v>
      </c>
      <c r="J9349" t="s">
        <v>5484</v>
      </c>
      <c r="K9349" t="s">
        <v>33027</v>
      </c>
      <c r="L9349" t="s">
        <v>5471</v>
      </c>
      <c r="M9349" t="s">
        <v>5471</v>
      </c>
    </row>
    <row r="9350" spans="1:13" x14ac:dyDescent="0.3">
      <c r="A9350" t="s">
        <v>3388</v>
      </c>
      <c r="B9350" t="s">
        <v>15961</v>
      </c>
      <c r="C9350" t="s">
        <v>5470</v>
      </c>
      <c r="D9350" t="s">
        <v>4119</v>
      </c>
      <c r="E9350" t="s">
        <v>5756</v>
      </c>
      <c r="F9350" t="s">
        <v>33028</v>
      </c>
      <c r="G9350" t="s">
        <v>15963</v>
      </c>
      <c r="H9350" t="s">
        <v>5474</v>
      </c>
      <c r="I9350" t="s">
        <v>33029</v>
      </c>
      <c r="J9350" t="s">
        <v>5484</v>
      </c>
      <c r="K9350" t="s">
        <v>33030</v>
      </c>
      <c r="L9350" t="s">
        <v>5471</v>
      </c>
      <c r="M9350" t="s">
        <v>5471</v>
      </c>
    </row>
    <row r="9351" spans="1:13" x14ac:dyDescent="0.3">
      <c r="A9351" t="s">
        <v>3388</v>
      </c>
      <c r="B9351" t="s">
        <v>30730</v>
      </c>
      <c r="C9351" t="s">
        <v>5470</v>
      </c>
      <c r="D9351" t="s">
        <v>10210</v>
      </c>
      <c r="E9351" t="s">
        <v>5532</v>
      </c>
      <c r="F9351" t="s">
        <v>33031</v>
      </c>
      <c r="G9351" t="s">
        <v>19330</v>
      </c>
      <c r="H9351" t="s">
        <v>5474</v>
      </c>
      <c r="I9351" t="s">
        <v>33032</v>
      </c>
      <c r="J9351" t="s">
        <v>5484</v>
      </c>
      <c r="K9351" t="s">
        <v>33033</v>
      </c>
      <c r="L9351" t="s">
        <v>5471</v>
      </c>
      <c r="M9351" t="s">
        <v>5471</v>
      </c>
    </row>
    <row r="9352" spans="1:13" x14ac:dyDescent="0.3">
      <c r="A9352" t="s">
        <v>3388</v>
      </c>
      <c r="B9352" t="s">
        <v>15942</v>
      </c>
      <c r="C9352" t="s">
        <v>5470</v>
      </c>
      <c r="D9352" t="s">
        <v>4119</v>
      </c>
      <c r="E9352" t="s">
        <v>5756</v>
      </c>
      <c r="F9352" t="s">
        <v>33034</v>
      </c>
      <c r="G9352" t="s">
        <v>15968</v>
      </c>
      <c r="H9352" t="s">
        <v>5474</v>
      </c>
      <c r="I9352" t="s">
        <v>33035</v>
      </c>
      <c r="J9352" t="s">
        <v>5484</v>
      </c>
      <c r="K9352" t="s">
        <v>33036</v>
      </c>
      <c r="L9352" t="s">
        <v>5471</v>
      </c>
      <c r="M9352" t="s">
        <v>5471</v>
      </c>
    </row>
    <row r="9353" spans="1:13" x14ac:dyDescent="0.3">
      <c r="A9353" t="s">
        <v>3388</v>
      </c>
      <c r="B9353" t="s">
        <v>30730</v>
      </c>
      <c r="C9353" t="s">
        <v>5470</v>
      </c>
      <c r="D9353" t="s">
        <v>10210</v>
      </c>
      <c r="E9353" t="s">
        <v>5532</v>
      </c>
      <c r="F9353" t="s">
        <v>33037</v>
      </c>
      <c r="G9353" t="s">
        <v>19330</v>
      </c>
      <c r="H9353" t="s">
        <v>5474</v>
      </c>
      <c r="I9353" t="s">
        <v>33038</v>
      </c>
      <c r="J9353" t="s">
        <v>5484</v>
      </c>
      <c r="K9353" t="s">
        <v>33039</v>
      </c>
      <c r="L9353" t="s">
        <v>5471</v>
      </c>
      <c r="M9353" t="s">
        <v>5471</v>
      </c>
    </row>
    <row r="9354" spans="1:13" x14ac:dyDescent="0.3">
      <c r="A9354" t="s">
        <v>3388</v>
      </c>
      <c r="B9354" t="s">
        <v>15942</v>
      </c>
      <c r="C9354" t="s">
        <v>5470</v>
      </c>
      <c r="D9354" t="s">
        <v>4119</v>
      </c>
      <c r="E9354" t="s">
        <v>5756</v>
      </c>
      <c r="F9354" t="s">
        <v>33040</v>
      </c>
      <c r="G9354" t="s">
        <v>15968</v>
      </c>
      <c r="H9354" t="s">
        <v>5474</v>
      </c>
      <c r="I9354" t="s">
        <v>33041</v>
      </c>
      <c r="J9354" t="s">
        <v>5484</v>
      </c>
      <c r="K9354" t="s">
        <v>33042</v>
      </c>
      <c r="L9354" t="s">
        <v>5471</v>
      </c>
      <c r="M9354" t="s">
        <v>5471</v>
      </c>
    </row>
    <row r="9355" spans="1:13" x14ac:dyDescent="0.3">
      <c r="A9355" t="s">
        <v>3388</v>
      </c>
      <c r="B9355" t="s">
        <v>30730</v>
      </c>
      <c r="C9355" t="s">
        <v>5470</v>
      </c>
      <c r="D9355" t="s">
        <v>10210</v>
      </c>
      <c r="E9355" t="s">
        <v>5532</v>
      </c>
      <c r="F9355" t="s">
        <v>33043</v>
      </c>
      <c r="G9355" t="s">
        <v>19330</v>
      </c>
      <c r="H9355" t="s">
        <v>5474</v>
      </c>
      <c r="I9355" t="s">
        <v>33044</v>
      </c>
      <c r="J9355" t="s">
        <v>5484</v>
      </c>
      <c r="K9355" t="s">
        <v>33045</v>
      </c>
      <c r="L9355" t="s">
        <v>5471</v>
      </c>
      <c r="M9355" t="s">
        <v>5471</v>
      </c>
    </row>
    <row r="9356" spans="1:13" x14ac:dyDescent="0.3">
      <c r="A9356" t="s">
        <v>3388</v>
      </c>
      <c r="B9356" t="s">
        <v>15942</v>
      </c>
      <c r="C9356" t="s">
        <v>5470</v>
      </c>
      <c r="D9356" t="s">
        <v>4119</v>
      </c>
      <c r="E9356" t="s">
        <v>5756</v>
      </c>
      <c r="F9356" t="s">
        <v>33046</v>
      </c>
      <c r="G9356" t="s">
        <v>15968</v>
      </c>
      <c r="H9356" t="s">
        <v>5474</v>
      </c>
      <c r="I9356" t="s">
        <v>33047</v>
      </c>
      <c r="J9356" t="s">
        <v>5484</v>
      </c>
      <c r="K9356" t="s">
        <v>33048</v>
      </c>
      <c r="L9356" t="s">
        <v>5471</v>
      </c>
      <c r="M9356" t="s">
        <v>5471</v>
      </c>
    </row>
    <row r="9357" spans="1:13" x14ac:dyDescent="0.3">
      <c r="A9357" t="s">
        <v>3388</v>
      </c>
      <c r="B9357" t="s">
        <v>15942</v>
      </c>
      <c r="C9357" t="s">
        <v>5470</v>
      </c>
      <c r="D9357" t="s">
        <v>4119</v>
      </c>
      <c r="E9357" t="s">
        <v>5756</v>
      </c>
      <c r="F9357" t="s">
        <v>33049</v>
      </c>
      <c r="G9357" t="s">
        <v>15968</v>
      </c>
      <c r="H9357" t="s">
        <v>5474</v>
      </c>
      <c r="I9357" t="s">
        <v>33050</v>
      </c>
      <c r="J9357" t="s">
        <v>5484</v>
      </c>
      <c r="K9357" t="s">
        <v>33051</v>
      </c>
      <c r="L9357" t="s">
        <v>5471</v>
      </c>
      <c r="M9357" t="s">
        <v>5471</v>
      </c>
    </row>
    <row r="9358" spans="1:13" x14ac:dyDescent="0.3">
      <c r="A9358" t="s">
        <v>3388</v>
      </c>
      <c r="B9358" t="s">
        <v>7101</v>
      </c>
      <c r="C9358" t="s">
        <v>5470</v>
      </c>
      <c r="D9358" t="s">
        <v>4119</v>
      </c>
      <c r="E9358" t="s">
        <v>5756</v>
      </c>
      <c r="F9358" t="s">
        <v>33052</v>
      </c>
      <c r="G9358" t="s">
        <v>20348</v>
      </c>
      <c r="H9358" t="s">
        <v>5474</v>
      </c>
      <c r="I9358" t="s">
        <v>33053</v>
      </c>
      <c r="J9358" t="s">
        <v>5484</v>
      </c>
      <c r="K9358" t="s">
        <v>33054</v>
      </c>
      <c r="L9358" t="s">
        <v>5471</v>
      </c>
      <c r="M9358" t="s">
        <v>5471</v>
      </c>
    </row>
    <row r="9359" spans="1:13" x14ac:dyDescent="0.3">
      <c r="A9359" t="s">
        <v>3388</v>
      </c>
      <c r="B9359" t="s">
        <v>7101</v>
      </c>
      <c r="C9359" t="s">
        <v>5470</v>
      </c>
      <c r="D9359" t="s">
        <v>4119</v>
      </c>
      <c r="E9359" t="s">
        <v>5756</v>
      </c>
      <c r="F9359" t="s">
        <v>33055</v>
      </c>
      <c r="G9359" t="s">
        <v>20348</v>
      </c>
      <c r="H9359" t="s">
        <v>5474</v>
      </c>
      <c r="I9359" t="s">
        <v>33056</v>
      </c>
      <c r="J9359" t="s">
        <v>5484</v>
      </c>
      <c r="K9359" t="s">
        <v>33057</v>
      </c>
      <c r="L9359" t="s">
        <v>5471</v>
      </c>
      <c r="M9359" t="s">
        <v>5471</v>
      </c>
    </row>
    <row r="9360" spans="1:13" x14ac:dyDescent="0.3">
      <c r="A9360" t="s">
        <v>3388</v>
      </c>
      <c r="B9360" t="s">
        <v>5616</v>
      </c>
      <c r="C9360" t="s">
        <v>5470</v>
      </c>
      <c r="D9360" t="s">
        <v>4119</v>
      </c>
      <c r="E9360" t="s">
        <v>5480</v>
      </c>
      <c r="F9360" t="s">
        <v>33058</v>
      </c>
      <c r="G9360" t="s">
        <v>33059</v>
      </c>
      <c r="H9360" t="s">
        <v>5474</v>
      </c>
      <c r="I9360" t="s">
        <v>33060</v>
      </c>
      <c r="J9360" t="s">
        <v>5484</v>
      </c>
      <c r="K9360" t="s">
        <v>33061</v>
      </c>
      <c r="L9360" t="s">
        <v>5471</v>
      </c>
      <c r="M9360" t="s">
        <v>5471</v>
      </c>
    </row>
    <row r="9361" spans="1:13" x14ac:dyDescent="0.3">
      <c r="A9361" t="s">
        <v>3388</v>
      </c>
      <c r="B9361" t="s">
        <v>5616</v>
      </c>
      <c r="C9361" t="s">
        <v>5470</v>
      </c>
      <c r="D9361" t="s">
        <v>4119</v>
      </c>
      <c r="E9361" t="s">
        <v>5617</v>
      </c>
      <c r="F9361" t="s">
        <v>33062</v>
      </c>
      <c r="G9361" t="s">
        <v>33063</v>
      </c>
      <c r="H9361" t="s">
        <v>5474</v>
      </c>
      <c r="I9361" t="s">
        <v>33064</v>
      </c>
      <c r="J9361" t="s">
        <v>5484</v>
      </c>
      <c r="K9361" t="s">
        <v>33065</v>
      </c>
      <c r="L9361" t="s">
        <v>5471</v>
      </c>
      <c r="M9361" t="s">
        <v>5471</v>
      </c>
    </row>
    <row r="9362" spans="1:13" x14ac:dyDescent="0.3">
      <c r="A9362" t="s">
        <v>3388</v>
      </c>
      <c r="B9362" t="s">
        <v>5296</v>
      </c>
      <c r="C9362" t="s">
        <v>5470</v>
      </c>
      <c r="D9362" t="s">
        <v>4119</v>
      </c>
      <c r="E9362" t="s">
        <v>5532</v>
      </c>
      <c r="F9362" t="s">
        <v>33066</v>
      </c>
      <c r="G9362" t="s">
        <v>18091</v>
      </c>
      <c r="H9362" t="s">
        <v>5474</v>
      </c>
      <c r="I9362" t="s">
        <v>33067</v>
      </c>
      <c r="J9362" t="s">
        <v>5484</v>
      </c>
      <c r="K9362" t="s">
        <v>33068</v>
      </c>
      <c r="L9362" t="s">
        <v>5471</v>
      </c>
      <c r="M9362" t="s">
        <v>5471</v>
      </c>
    </row>
    <row r="9363" spans="1:13" x14ac:dyDescent="0.3">
      <c r="A9363" t="s">
        <v>3388</v>
      </c>
      <c r="B9363" t="s">
        <v>6540</v>
      </c>
      <c r="C9363" t="s">
        <v>5470</v>
      </c>
      <c r="D9363" t="s">
        <v>4119</v>
      </c>
      <c r="E9363" t="s">
        <v>5480</v>
      </c>
      <c r="F9363" t="s">
        <v>33069</v>
      </c>
      <c r="G9363" t="s">
        <v>9695</v>
      </c>
      <c r="H9363" t="s">
        <v>5474</v>
      </c>
      <c r="I9363" t="s">
        <v>33070</v>
      </c>
      <c r="J9363" t="s">
        <v>5484</v>
      </c>
      <c r="K9363" t="s">
        <v>33071</v>
      </c>
      <c r="L9363" t="s">
        <v>5471</v>
      </c>
      <c r="M9363" t="s">
        <v>5471</v>
      </c>
    </row>
    <row r="9364" spans="1:13" x14ac:dyDescent="0.3">
      <c r="A9364" t="s">
        <v>3388</v>
      </c>
      <c r="B9364" t="s">
        <v>7109</v>
      </c>
      <c r="C9364" t="s">
        <v>5470</v>
      </c>
      <c r="D9364" t="s">
        <v>4119</v>
      </c>
      <c r="E9364" t="s">
        <v>5617</v>
      </c>
      <c r="F9364" t="s">
        <v>33072</v>
      </c>
      <c r="G9364" t="s">
        <v>33073</v>
      </c>
      <c r="H9364" t="s">
        <v>5474</v>
      </c>
      <c r="I9364" t="s">
        <v>33074</v>
      </c>
      <c r="J9364" t="s">
        <v>5484</v>
      </c>
      <c r="K9364" t="s">
        <v>33075</v>
      </c>
      <c r="L9364" t="s">
        <v>5471</v>
      </c>
      <c r="M9364" t="s">
        <v>5471</v>
      </c>
    </row>
    <row r="9365" spans="1:13" x14ac:dyDescent="0.3">
      <c r="A9365" t="s">
        <v>3388</v>
      </c>
      <c r="B9365" t="s">
        <v>20040</v>
      </c>
      <c r="C9365" t="s">
        <v>5470</v>
      </c>
      <c r="D9365" t="s">
        <v>4119</v>
      </c>
      <c r="E9365" t="s">
        <v>5756</v>
      </c>
      <c r="F9365" t="s">
        <v>33076</v>
      </c>
      <c r="G9365" t="s">
        <v>33077</v>
      </c>
      <c r="H9365" t="s">
        <v>5474</v>
      </c>
      <c r="I9365" t="s">
        <v>33078</v>
      </c>
      <c r="J9365" t="s">
        <v>5484</v>
      </c>
      <c r="K9365" t="s">
        <v>33079</v>
      </c>
      <c r="L9365" t="s">
        <v>5471</v>
      </c>
      <c r="M9365" t="s">
        <v>5471</v>
      </c>
    </row>
    <row r="9366" spans="1:13" x14ac:dyDescent="0.3">
      <c r="A9366" t="s">
        <v>3388</v>
      </c>
      <c r="B9366" t="s">
        <v>5616</v>
      </c>
      <c r="C9366" t="s">
        <v>5470</v>
      </c>
      <c r="D9366" t="s">
        <v>4119</v>
      </c>
      <c r="E9366" t="s">
        <v>5617</v>
      </c>
      <c r="F9366" t="s">
        <v>33080</v>
      </c>
      <c r="G9366" t="s">
        <v>33081</v>
      </c>
      <c r="H9366" t="s">
        <v>5474</v>
      </c>
      <c r="I9366" t="s">
        <v>33082</v>
      </c>
      <c r="J9366" t="s">
        <v>5484</v>
      </c>
      <c r="K9366" t="s">
        <v>33083</v>
      </c>
      <c r="L9366" t="s">
        <v>5471</v>
      </c>
      <c r="M9366" t="s">
        <v>5471</v>
      </c>
    </row>
    <row r="9367" spans="1:13" x14ac:dyDescent="0.3">
      <c r="A9367" t="s">
        <v>3388</v>
      </c>
      <c r="B9367" t="s">
        <v>6478</v>
      </c>
      <c r="C9367" t="s">
        <v>5470</v>
      </c>
      <c r="D9367" t="s">
        <v>10218</v>
      </c>
      <c r="E9367" t="s">
        <v>5532</v>
      </c>
      <c r="F9367" t="s">
        <v>33084</v>
      </c>
      <c r="G9367" t="s">
        <v>23937</v>
      </c>
      <c r="H9367" t="s">
        <v>5474</v>
      </c>
      <c r="I9367" t="s">
        <v>33085</v>
      </c>
      <c r="J9367" t="s">
        <v>5484</v>
      </c>
      <c r="K9367" t="s">
        <v>33086</v>
      </c>
      <c r="L9367" t="s">
        <v>5471</v>
      </c>
      <c r="M9367" t="s">
        <v>5471</v>
      </c>
    </row>
    <row r="9368" spans="1:13" x14ac:dyDescent="0.3">
      <c r="A9368" t="s">
        <v>3388</v>
      </c>
      <c r="B9368" t="s">
        <v>9921</v>
      </c>
      <c r="C9368" t="s">
        <v>5470</v>
      </c>
      <c r="D9368" t="s">
        <v>4052</v>
      </c>
      <c r="E9368" t="s">
        <v>5617</v>
      </c>
      <c r="F9368" t="s">
        <v>33087</v>
      </c>
      <c r="G9368" t="s">
        <v>17809</v>
      </c>
      <c r="H9368" t="s">
        <v>5474</v>
      </c>
      <c r="I9368" t="s">
        <v>33088</v>
      </c>
      <c r="J9368" t="s">
        <v>5484</v>
      </c>
      <c r="K9368" t="s">
        <v>33089</v>
      </c>
      <c r="L9368" t="s">
        <v>5471</v>
      </c>
      <c r="M9368" t="s">
        <v>5471</v>
      </c>
    </row>
    <row r="9369" spans="1:13" x14ac:dyDescent="0.3">
      <c r="A9369" t="s">
        <v>3388</v>
      </c>
      <c r="B9369" t="s">
        <v>10870</v>
      </c>
      <c r="C9369" t="s">
        <v>5470</v>
      </c>
      <c r="D9369" t="s">
        <v>4119</v>
      </c>
      <c r="E9369" t="s">
        <v>5617</v>
      </c>
      <c r="F9369" t="s">
        <v>33090</v>
      </c>
      <c r="G9369" t="s">
        <v>33091</v>
      </c>
      <c r="H9369" t="s">
        <v>5474</v>
      </c>
      <c r="I9369" t="s">
        <v>33092</v>
      </c>
      <c r="J9369" t="s">
        <v>5484</v>
      </c>
      <c r="K9369" t="s">
        <v>33093</v>
      </c>
      <c r="L9369" t="s">
        <v>5471</v>
      </c>
      <c r="M9369" t="s">
        <v>5471</v>
      </c>
    </row>
    <row r="9370" spans="1:13" x14ac:dyDescent="0.3">
      <c r="A9370" t="s">
        <v>3388</v>
      </c>
      <c r="B9370" t="s">
        <v>10870</v>
      </c>
      <c r="C9370" t="s">
        <v>5470</v>
      </c>
      <c r="D9370" t="s">
        <v>4119</v>
      </c>
      <c r="E9370" t="s">
        <v>5617</v>
      </c>
      <c r="F9370" t="s">
        <v>33094</v>
      </c>
      <c r="G9370" t="s">
        <v>33095</v>
      </c>
      <c r="H9370" t="s">
        <v>5474</v>
      </c>
      <c r="I9370" t="s">
        <v>33096</v>
      </c>
      <c r="J9370" t="s">
        <v>5484</v>
      </c>
      <c r="K9370" t="s">
        <v>33097</v>
      </c>
      <c r="L9370" t="s">
        <v>5471</v>
      </c>
      <c r="M9370" t="s">
        <v>5471</v>
      </c>
    </row>
    <row r="9371" spans="1:13" x14ac:dyDescent="0.3">
      <c r="A9371" t="s">
        <v>3388</v>
      </c>
      <c r="B9371" t="s">
        <v>15892</v>
      </c>
      <c r="C9371" t="s">
        <v>5470</v>
      </c>
      <c r="D9371" t="s">
        <v>4052</v>
      </c>
      <c r="E9371" t="s">
        <v>5617</v>
      </c>
      <c r="F9371" t="s">
        <v>33098</v>
      </c>
      <c r="G9371" t="s">
        <v>28892</v>
      </c>
      <c r="H9371" t="s">
        <v>5474</v>
      </c>
      <c r="I9371" t="s">
        <v>33099</v>
      </c>
      <c r="J9371" t="s">
        <v>5484</v>
      </c>
      <c r="K9371" t="s">
        <v>33100</v>
      </c>
      <c r="L9371" t="s">
        <v>5471</v>
      </c>
      <c r="M9371" t="s">
        <v>5471</v>
      </c>
    </row>
    <row r="9372" spans="1:13" x14ac:dyDescent="0.3">
      <c r="A9372" t="s">
        <v>3388</v>
      </c>
      <c r="B9372" t="s">
        <v>10870</v>
      </c>
      <c r="C9372" t="s">
        <v>5470</v>
      </c>
      <c r="D9372" t="s">
        <v>4119</v>
      </c>
      <c r="E9372" t="s">
        <v>5617</v>
      </c>
      <c r="F9372" t="s">
        <v>33101</v>
      </c>
      <c r="G9372" t="s">
        <v>29493</v>
      </c>
      <c r="H9372" t="s">
        <v>5474</v>
      </c>
      <c r="I9372" t="s">
        <v>33102</v>
      </c>
      <c r="J9372" t="s">
        <v>5484</v>
      </c>
      <c r="K9372" t="s">
        <v>33103</v>
      </c>
      <c r="L9372" t="s">
        <v>5471</v>
      </c>
      <c r="M9372" t="s">
        <v>5471</v>
      </c>
    </row>
    <row r="9373" spans="1:13" x14ac:dyDescent="0.3">
      <c r="A9373" t="s">
        <v>3388</v>
      </c>
      <c r="B9373" t="s">
        <v>15892</v>
      </c>
      <c r="C9373" t="s">
        <v>5470</v>
      </c>
      <c r="D9373" t="s">
        <v>4052</v>
      </c>
      <c r="E9373" t="s">
        <v>5617</v>
      </c>
      <c r="F9373" t="s">
        <v>33104</v>
      </c>
      <c r="G9373" t="s">
        <v>28900</v>
      </c>
      <c r="H9373" t="s">
        <v>5474</v>
      </c>
      <c r="I9373" t="s">
        <v>33105</v>
      </c>
      <c r="J9373" t="s">
        <v>5484</v>
      </c>
      <c r="K9373" t="s">
        <v>33106</v>
      </c>
      <c r="L9373" t="s">
        <v>5471</v>
      </c>
      <c r="M9373" t="s">
        <v>5471</v>
      </c>
    </row>
    <row r="9374" spans="1:13" x14ac:dyDescent="0.3">
      <c r="A9374" t="s">
        <v>3388</v>
      </c>
      <c r="B9374" t="s">
        <v>10870</v>
      </c>
      <c r="C9374" t="s">
        <v>5470</v>
      </c>
      <c r="D9374" t="s">
        <v>4119</v>
      </c>
      <c r="E9374" t="s">
        <v>5532</v>
      </c>
      <c r="F9374" t="s">
        <v>33107</v>
      </c>
      <c r="G9374" t="s">
        <v>33108</v>
      </c>
      <c r="H9374" t="s">
        <v>5474</v>
      </c>
      <c r="I9374" t="s">
        <v>33109</v>
      </c>
      <c r="J9374" t="s">
        <v>5484</v>
      </c>
      <c r="K9374" t="s">
        <v>33110</v>
      </c>
      <c r="L9374" t="s">
        <v>5471</v>
      </c>
      <c r="M9374" t="s">
        <v>5471</v>
      </c>
    </row>
    <row r="9375" spans="1:13" x14ac:dyDescent="0.3">
      <c r="A9375" t="s">
        <v>3388</v>
      </c>
      <c r="B9375" t="s">
        <v>20014</v>
      </c>
      <c r="C9375" t="s">
        <v>5470</v>
      </c>
      <c r="D9375" t="s">
        <v>4052</v>
      </c>
      <c r="E9375" t="s">
        <v>5617</v>
      </c>
      <c r="F9375" t="s">
        <v>33111</v>
      </c>
      <c r="G9375" t="s">
        <v>33112</v>
      </c>
      <c r="H9375" t="s">
        <v>5474</v>
      </c>
      <c r="I9375" t="s">
        <v>33113</v>
      </c>
      <c r="J9375" t="s">
        <v>5484</v>
      </c>
      <c r="K9375" t="s">
        <v>33114</v>
      </c>
      <c r="L9375" t="s">
        <v>5471</v>
      </c>
      <c r="M9375" t="s">
        <v>5471</v>
      </c>
    </row>
    <row r="9376" spans="1:13" x14ac:dyDescent="0.3">
      <c r="A9376" t="s">
        <v>3388</v>
      </c>
      <c r="B9376" t="s">
        <v>10870</v>
      </c>
      <c r="C9376" t="s">
        <v>5470</v>
      </c>
      <c r="D9376" t="s">
        <v>4119</v>
      </c>
      <c r="E9376" t="s">
        <v>5532</v>
      </c>
      <c r="F9376" t="s">
        <v>33115</v>
      </c>
      <c r="G9376" t="s">
        <v>23202</v>
      </c>
      <c r="H9376" t="s">
        <v>5474</v>
      </c>
      <c r="I9376" t="s">
        <v>33116</v>
      </c>
      <c r="J9376" t="s">
        <v>5484</v>
      </c>
      <c r="K9376" t="s">
        <v>33117</v>
      </c>
      <c r="L9376" t="s">
        <v>5471</v>
      </c>
      <c r="M9376" t="s">
        <v>5471</v>
      </c>
    </row>
    <row r="9377" spans="1:13" x14ac:dyDescent="0.3">
      <c r="A9377" t="s">
        <v>3388</v>
      </c>
      <c r="B9377" t="s">
        <v>20014</v>
      </c>
      <c r="C9377" t="s">
        <v>5470</v>
      </c>
      <c r="D9377" t="s">
        <v>4052</v>
      </c>
      <c r="E9377" t="s">
        <v>5617</v>
      </c>
      <c r="F9377" t="s">
        <v>33118</v>
      </c>
      <c r="G9377" t="s">
        <v>33119</v>
      </c>
      <c r="H9377" t="s">
        <v>5474</v>
      </c>
      <c r="I9377" t="s">
        <v>33120</v>
      </c>
      <c r="J9377" t="s">
        <v>5484</v>
      </c>
      <c r="K9377" t="s">
        <v>33121</v>
      </c>
      <c r="L9377" t="s">
        <v>5471</v>
      </c>
      <c r="M9377" t="s">
        <v>5471</v>
      </c>
    </row>
    <row r="9378" spans="1:13" x14ac:dyDescent="0.3">
      <c r="A9378" t="s">
        <v>3388</v>
      </c>
      <c r="B9378" t="s">
        <v>10870</v>
      </c>
      <c r="C9378" t="s">
        <v>5470</v>
      </c>
      <c r="D9378" t="s">
        <v>4119</v>
      </c>
      <c r="E9378" t="s">
        <v>5532</v>
      </c>
      <c r="F9378" t="s">
        <v>33122</v>
      </c>
      <c r="G9378" t="s">
        <v>23218</v>
      </c>
      <c r="H9378" t="s">
        <v>5474</v>
      </c>
      <c r="I9378" t="s">
        <v>33123</v>
      </c>
      <c r="J9378" t="s">
        <v>5484</v>
      </c>
      <c r="K9378" t="s">
        <v>33124</v>
      </c>
      <c r="L9378" t="s">
        <v>5471</v>
      </c>
      <c r="M9378" t="s">
        <v>5471</v>
      </c>
    </row>
    <row r="9379" spans="1:13" x14ac:dyDescent="0.3">
      <c r="A9379" t="s">
        <v>3388</v>
      </c>
      <c r="B9379" t="s">
        <v>15702</v>
      </c>
      <c r="C9379" t="s">
        <v>5470</v>
      </c>
      <c r="D9379" t="s">
        <v>4052</v>
      </c>
      <c r="E9379" t="s">
        <v>5617</v>
      </c>
      <c r="F9379" t="s">
        <v>33125</v>
      </c>
      <c r="G9379" t="s">
        <v>28826</v>
      </c>
      <c r="H9379" t="s">
        <v>5474</v>
      </c>
      <c r="I9379" t="s">
        <v>33126</v>
      </c>
      <c r="J9379" t="s">
        <v>5484</v>
      </c>
      <c r="K9379" t="s">
        <v>30408</v>
      </c>
      <c r="L9379" t="s">
        <v>5471</v>
      </c>
      <c r="M9379" t="s">
        <v>5471</v>
      </c>
    </row>
    <row r="9380" spans="1:13" x14ac:dyDescent="0.3">
      <c r="A9380" t="s">
        <v>3388</v>
      </c>
      <c r="B9380" t="s">
        <v>10870</v>
      </c>
      <c r="C9380" t="s">
        <v>5470</v>
      </c>
      <c r="D9380" t="s">
        <v>4119</v>
      </c>
      <c r="E9380" t="s">
        <v>5532</v>
      </c>
      <c r="F9380" t="s">
        <v>33127</v>
      </c>
      <c r="G9380" t="s">
        <v>31637</v>
      </c>
      <c r="H9380" t="s">
        <v>5474</v>
      </c>
      <c r="I9380" t="s">
        <v>33128</v>
      </c>
      <c r="J9380" t="s">
        <v>5484</v>
      </c>
      <c r="K9380" t="s">
        <v>33129</v>
      </c>
      <c r="L9380" t="s">
        <v>5471</v>
      </c>
      <c r="M9380" t="s">
        <v>5471</v>
      </c>
    </row>
    <row r="9381" spans="1:13" x14ac:dyDescent="0.3">
      <c r="A9381" t="s">
        <v>3388</v>
      </c>
      <c r="B9381" t="s">
        <v>7088</v>
      </c>
      <c r="C9381" t="s">
        <v>5470</v>
      </c>
      <c r="D9381" t="s">
        <v>4052</v>
      </c>
      <c r="E9381" t="s">
        <v>5617</v>
      </c>
      <c r="F9381" t="s">
        <v>33130</v>
      </c>
      <c r="G9381" t="s">
        <v>33131</v>
      </c>
      <c r="H9381" t="s">
        <v>5474</v>
      </c>
      <c r="I9381" t="s">
        <v>33132</v>
      </c>
      <c r="J9381" t="s">
        <v>5484</v>
      </c>
      <c r="K9381" t="s">
        <v>33100</v>
      </c>
      <c r="L9381" t="s">
        <v>5471</v>
      </c>
      <c r="M9381" t="s">
        <v>5471</v>
      </c>
    </row>
    <row r="9382" spans="1:13" x14ac:dyDescent="0.3">
      <c r="A9382" t="s">
        <v>3388</v>
      </c>
      <c r="B9382" t="s">
        <v>10870</v>
      </c>
      <c r="C9382" t="s">
        <v>5470</v>
      </c>
      <c r="D9382" t="s">
        <v>4119</v>
      </c>
      <c r="E9382" t="s">
        <v>5532</v>
      </c>
      <c r="F9382" t="s">
        <v>33133</v>
      </c>
      <c r="G9382" t="s">
        <v>33134</v>
      </c>
      <c r="H9382" t="s">
        <v>5474</v>
      </c>
      <c r="I9382" t="s">
        <v>33135</v>
      </c>
      <c r="J9382" t="s">
        <v>5484</v>
      </c>
      <c r="K9382" t="s">
        <v>33136</v>
      </c>
      <c r="L9382" t="s">
        <v>5471</v>
      </c>
      <c r="M9382" t="s">
        <v>5471</v>
      </c>
    </row>
    <row r="9383" spans="1:13" x14ac:dyDescent="0.3">
      <c r="A9383" t="s">
        <v>3388</v>
      </c>
      <c r="B9383" t="s">
        <v>17321</v>
      </c>
      <c r="C9383" t="s">
        <v>5470</v>
      </c>
      <c r="D9383" t="s">
        <v>4119</v>
      </c>
      <c r="E9383" t="s">
        <v>5532</v>
      </c>
      <c r="F9383" t="s">
        <v>33137</v>
      </c>
      <c r="G9383" t="s">
        <v>17323</v>
      </c>
      <c r="H9383" t="s">
        <v>5474</v>
      </c>
      <c r="I9383" t="s">
        <v>33138</v>
      </c>
      <c r="J9383" t="s">
        <v>5484</v>
      </c>
      <c r="K9383" t="s">
        <v>33139</v>
      </c>
      <c r="L9383" t="s">
        <v>5471</v>
      </c>
      <c r="M9383" t="s">
        <v>5471</v>
      </c>
    </row>
    <row r="9384" spans="1:13" x14ac:dyDescent="0.3">
      <c r="A9384" t="s">
        <v>3388</v>
      </c>
      <c r="B9384" t="s">
        <v>17321</v>
      </c>
      <c r="C9384" t="s">
        <v>5470</v>
      </c>
      <c r="D9384" t="s">
        <v>4119</v>
      </c>
      <c r="E9384" t="s">
        <v>5532</v>
      </c>
      <c r="F9384" t="s">
        <v>33140</v>
      </c>
      <c r="G9384" t="s">
        <v>31619</v>
      </c>
      <c r="H9384" t="s">
        <v>5474</v>
      </c>
      <c r="I9384" t="s">
        <v>33141</v>
      </c>
      <c r="J9384" t="s">
        <v>5484</v>
      </c>
      <c r="K9384" t="s">
        <v>33142</v>
      </c>
      <c r="L9384" t="s">
        <v>5471</v>
      </c>
      <c r="M9384" t="s">
        <v>5471</v>
      </c>
    </row>
    <row r="9385" spans="1:13" x14ac:dyDescent="0.3">
      <c r="A9385" t="s">
        <v>3388</v>
      </c>
      <c r="B9385" t="s">
        <v>7088</v>
      </c>
      <c r="C9385" t="s">
        <v>5470</v>
      </c>
      <c r="D9385" t="s">
        <v>4052</v>
      </c>
      <c r="E9385" t="s">
        <v>5617</v>
      </c>
      <c r="F9385" t="s">
        <v>33143</v>
      </c>
      <c r="G9385" t="s">
        <v>33144</v>
      </c>
      <c r="H9385" t="s">
        <v>5474</v>
      </c>
      <c r="I9385" t="s">
        <v>33145</v>
      </c>
      <c r="J9385" t="s">
        <v>5484</v>
      </c>
      <c r="K9385" t="s">
        <v>33146</v>
      </c>
      <c r="L9385" t="s">
        <v>5471</v>
      </c>
      <c r="M9385" t="s">
        <v>5471</v>
      </c>
    </row>
    <row r="9386" spans="1:13" x14ac:dyDescent="0.3">
      <c r="A9386" t="s">
        <v>3388</v>
      </c>
      <c r="B9386" t="s">
        <v>17321</v>
      </c>
      <c r="C9386" t="s">
        <v>5470</v>
      </c>
      <c r="D9386" t="s">
        <v>4119</v>
      </c>
      <c r="E9386" t="s">
        <v>5532</v>
      </c>
      <c r="F9386" t="s">
        <v>33147</v>
      </c>
      <c r="G9386" t="s">
        <v>31626</v>
      </c>
      <c r="H9386" t="s">
        <v>5474</v>
      </c>
      <c r="I9386" t="s">
        <v>33148</v>
      </c>
      <c r="J9386" t="s">
        <v>5484</v>
      </c>
      <c r="K9386" t="s">
        <v>33149</v>
      </c>
      <c r="L9386" t="s">
        <v>5471</v>
      </c>
      <c r="M9386" t="s">
        <v>5471</v>
      </c>
    </row>
    <row r="9387" spans="1:13" x14ac:dyDescent="0.3">
      <c r="A9387" t="s">
        <v>3388</v>
      </c>
      <c r="B9387" t="s">
        <v>7088</v>
      </c>
      <c r="C9387" t="s">
        <v>5470</v>
      </c>
      <c r="D9387" t="s">
        <v>4052</v>
      </c>
      <c r="E9387" t="s">
        <v>5617</v>
      </c>
      <c r="F9387" t="s">
        <v>33150</v>
      </c>
      <c r="G9387" t="s">
        <v>33151</v>
      </c>
      <c r="H9387" t="s">
        <v>5474</v>
      </c>
      <c r="I9387" t="s">
        <v>33152</v>
      </c>
      <c r="J9387" t="s">
        <v>5484</v>
      </c>
      <c r="K9387" t="s">
        <v>5621</v>
      </c>
      <c r="L9387" t="s">
        <v>5471</v>
      </c>
      <c r="M9387" t="s">
        <v>5471</v>
      </c>
    </row>
    <row r="9388" spans="1:13" x14ac:dyDescent="0.3">
      <c r="A9388" t="s">
        <v>3388</v>
      </c>
      <c r="B9388" t="s">
        <v>17321</v>
      </c>
      <c r="C9388" t="s">
        <v>5470</v>
      </c>
      <c r="D9388" t="s">
        <v>4119</v>
      </c>
      <c r="E9388" t="s">
        <v>5532</v>
      </c>
      <c r="F9388" t="s">
        <v>33153</v>
      </c>
      <c r="G9388" t="s">
        <v>18019</v>
      </c>
      <c r="H9388" t="s">
        <v>5474</v>
      </c>
      <c r="I9388" t="s">
        <v>33154</v>
      </c>
      <c r="J9388" t="s">
        <v>5484</v>
      </c>
      <c r="K9388" t="s">
        <v>33155</v>
      </c>
      <c r="L9388" t="s">
        <v>5471</v>
      </c>
      <c r="M9388" t="s">
        <v>5471</v>
      </c>
    </row>
    <row r="9389" spans="1:13" x14ac:dyDescent="0.3">
      <c r="A9389" t="s">
        <v>3388</v>
      </c>
      <c r="B9389" t="s">
        <v>7088</v>
      </c>
      <c r="C9389" t="s">
        <v>5470</v>
      </c>
      <c r="D9389" t="s">
        <v>4052</v>
      </c>
      <c r="E9389" t="s">
        <v>5617</v>
      </c>
      <c r="F9389" t="s">
        <v>33156</v>
      </c>
      <c r="G9389" t="s">
        <v>33157</v>
      </c>
      <c r="H9389" t="s">
        <v>5474</v>
      </c>
      <c r="I9389" t="s">
        <v>33158</v>
      </c>
      <c r="J9389" t="s">
        <v>5484</v>
      </c>
      <c r="K9389" t="s">
        <v>33106</v>
      </c>
      <c r="L9389" t="s">
        <v>5471</v>
      </c>
      <c r="M9389" t="s">
        <v>5471</v>
      </c>
    </row>
    <row r="9390" spans="1:13" x14ac:dyDescent="0.3">
      <c r="A9390" t="s">
        <v>3388</v>
      </c>
      <c r="B9390" t="s">
        <v>17321</v>
      </c>
      <c r="C9390" t="s">
        <v>5470</v>
      </c>
      <c r="D9390" t="s">
        <v>4119</v>
      </c>
      <c r="E9390" t="s">
        <v>5532</v>
      </c>
      <c r="F9390" t="s">
        <v>33159</v>
      </c>
      <c r="G9390" t="s">
        <v>31572</v>
      </c>
      <c r="H9390" t="s">
        <v>5474</v>
      </c>
      <c r="I9390" t="s">
        <v>33160</v>
      </c>
      <c r="J9390" t="s">
        <v>5484</v>
      </c>
      <c r="K9390" t="s">
        <v>33161</v>
      </c>
      <c r="L9390" t="s">
        <v>5471</v>
      </c>
      <c r="M9390" t="s">
        <v>5471</v>
      </c>
    </row>
    <row r="9391" spans="1:13" x14ac:dyDescent="0.3">
      <c r="A9391" t="s">
        <v>3388</v>
      </c>
      <c r="B9391" t="s">
        <v>7088</v>
      </c>
      <c r="C9391" t="s">
        <v>5470</v>
      </c>
      <c r="D9391" t="s">
        <v>4052</v>
      </c>
      <c r="E9391" t="s">
        <v>5617</v>
      </c>
      <c r="F9391" t="s">
        <v>33162</v>
      </c>
      <c r="G9391" t="s">
        <v>33163</v>
      </c>
      <c r="H9391" t="s">
        <v>5474</v>
      </c>
      <c r="I9391" t="s">
        <v>33164</v>
      </c>
      <c r="J9391" t="s">
        <v>5484</v>
      </c>
      <c r="K9391" t="s">
        <v>33165</v>
      </c>
      <c r="L9391" t="s">
        <v>5471</v>
      </c>
      <c r="M9391" t="s">
        <v>5471</v>
      </c>
    </row>
    <row r="9392" spans="1:13" x14ac:dyDescent="0.3">
      <c r="A9392" t="s">
        <v>3388</v>
      </c>
      <c r="B9392" t="s">
        <v>17321</v>
      </c>
      <c r="C9392" t="s">
        <v>5470</v>
      </c>
      <c r="D9392" t="s">
        <v>4119</v>
      </c>
      <c r="E9392" t="s">
        <v>5532</v>
      </c>
      <c r="F9392" t="s">
        <v>33166</v>
      </c>
      <c r="G9392" t="s">
        <v>31576</v>
      </c>
      <c r="H9392" t="s">
        <v>5474</v>
      </c>
      <c r="I9392" t="s">
        <v>33167</v>
      </c>
      <c r="J9392" t="s">
        <v>5484</v>
      </c>
      <c r="K9392" t="s">
        <v>33168</v>
      </c>
      <c r="L9392" t="s">
        <v>5471</v>
      </c>
      <c r="M9392" t="s">
        <v>5471</v>
      </c>
    </row>
    <row r="9393" spans="1:13" x14ac:dyDescent="0.3">
      <c r="A9393" t="s">
        <v>3388</v>
      </c>
      <c r="B9393" t="s">
        <v>7088</v>
      </c>
      <c r="C9393" t="s">
        <v>5470</v>
      </c>
      <c r="D9393" t="s">
        <v>4052</v>
      </c>
      <c r="E9393" t="s">
        <v>5617</v>
      </c>
      <c r="F9393" t="s">
        <v>33169</v>
      </c>
      <c r="G9393" t="s">
        <v>23428</v>
      </c>
      <c r="H9393" t="s">
        <v>5474</v>
      </c>
      <c r="I9393" t="s">
        <v>33170</v>
      </c>
      <c r="J9393" t="s">
        <v>5484</v>
      </c>
      <c r="K9393" t="s">
        <v>33171</v>
      </c>
      <c r="L9393" t="s">
        <v>5471</v>
      </c>
      <c r="M9393" t="s">
        <v>5471</v>
      </c>
    </row>
    <row r="9394" spans="1:13" x14ac:dyDescent="0.3">
      <c r="A9394" t="s">
        <v>3388</v>
      </c>
      <c r="B9394" t="s">
        <v>17321</v>
      </c>
      <c r="C9394" t="s">
        <v>5470</v>
      </c>
      <c r="D9394" t="s">
        <v>4119</v>
      </c>
      <c r="E9394" t="s">
        <v>5532</v>
      </c>
      <c r="F9394" t="s">
        <v>33172</v>
      </c>
      <c r="G9394" t="s">
        <v>31580</v>
      </c>
      <c r="H9394" t="s">
        <v>5474</v>
      </c>
      <c r="I9394" t="s">
        <v>33173</v>
      </c>
      <c r="J9394" t="s">
        <v>5484</v>
      </c>
      <c r="K9394" t="s">
        <v>33174</v>
      </c>
      <c r="L9394" t="s">
        <v>5471</v>
      </c>
      <c r="M9394" t="s">
        <v>5471</v>
      </c>
    </row>
    <row r="9395" spans="1:13" x14ac:dyDescent="0.3">
      <c r="A9395" t="s">
        <v>3388</v>
      </c>
      <c r="B9395" t="s">
        <v>17321</v>
      </c>
      <c r="C9395" t="s">
        <v>5470</v>
      </c>
      <c r="D9395" t="s">
        <v>4119</v>
      </c>
      <c r="E9395" t="s">
        <v>5532</v>
      </c>
      <c r="F9395" t="s">
        <v>33175</v>
      </c>
      <c r="G9395" t="s">
        <v>20025</v>
      </c>
      <c r="H9395" t="s">
        <v>5474</v>
      </c>
      <c r="I9395" t="s">
        <v>33176</v>
      </c>
      <c r="J9395" t="s">
        <v>5484</v>
      </c>
      <c r="K9395" t="s">
        <v>33177</v>
      </c>
      <c r="L9395" t="s">
        <v>5471</v>
      </c>
      <c r="M9395" t="s">
        <v>5471</v>
      </c>
    </row>
    <row r="9396" spans="1:13" x14ac:dyDescent="0.3">
      <c r="A9396" t="s">
        <v>3388</v>
      </c>
      <c r="B9396" t="s">
        <v>7088</v>
      </c>
      <c r="C9396" t="s">
        <v>5470</v>
      </c>
      <c r="D9396" t="s">
        <v>4052</v>
      </c>
      <c r="E9396" t="s">
        <v>5617</v>
      </c>
      <c r="F9396" t="s">
        <v>33178</v>
      </c>
      <c r="G9396" t="s">
        <v>23432</v>
      </c>
      <c r="H9396" t="s">
        <v>5474</v>
      </c>
      <c r="I9396" t="s">
        <v>33179</v>
      </c>
      <c r="J9396" t="s">
        <v>5484</v>
      </c>
      <c r="K9396" t="s">
        <v>33180</v>
      </c>
      <c r="L9396" t="s">
        <v>5471</v>
      </c>
      <c r="M9396" t="s">
        <v>5471</v>
      </c>
    </row>
    <row r="9397" spans="1:13" x14ac:dyDescent="0.3">
      <c r="A9397" t="s">
        <v>3388</v>
      </c>
      <c r="B9397" t="s">
        <v>21928</v>
      </c>
      <c r="C9397" t="s">
        <v>5470</v>
      </c>
      <c r="D9397" t="s">
        <v>4119</v>
      </c>
      <c r="E9397" t="s">
        <v>5532</v>
      </c>
      <c r="F9397" t="s">
        <v>33181</v>
      </c>
      <c r="G9397" t="s">
        <v>33182</v>
      </c>
      <c r="H9397" t="s">
        <v>5474</v>
      </c>
      <c r="I9397" t="s">
        <v>33183</v>
      </c>
      <c r="J9397" t="s">
        <v>5484</v>
      </c>
      <c r="K9397" t="s">
        <v>33184</v>
      </c>
      <c r="L9397" t="s">
        <v>5471</v>
      </c>
      <c r="M9397" t="s">
        <v>5471</v>
      </c>
    </row>
    <row r="9398" spans="1:13" x14ac:dyDescent="0.3">
      <c r="A9398" t="s">
        <v>3388</v>
      </c>
      <c r="B9398" t="s">
        <v>7088</v>
      </c>
      <c r="C9398" t="s">
        <v>5470</v>
      </c>
      <c r="D9398" t="s">
        <v>4052</v>
      </c>
      <c r="E9398" t="s">
        <v>5617</v>
      </c>
      <c r="F9398" t="s">
        <v>33185</v>
      </c>
      <c r="G9398" t="s">
        <v>33186</v>
      </c>
      <c r="H9398" t="s">
        <v>5474</v>
      </c>
      <c r="I9398" t="s">
        <v>33187</v>
      </c>
      <c r="J9398" t="s">
        <v>5484</v>
      </c>
      <c r="K9398" t="s">
        <v>33188</v>
      </c>
      <c r="L9398" t="s">
        <v>5471</v>
      </c>
      <c r="M9398" t="s">
        <v>5471</v>
      </c>
    </row>
    <row r="9399" spans="1:13" x14ac:dyDescent="0.3">
      <c r="A9399" t="s">
        <v>3388</v>
      </c>
      <c r="B9399" t="s">
        <v>5296</v>
      </c>
      <c r="C9399" t="s">
        <v>5470</v>
      </c>
      <c r="D9399" t="s">
        <v>4119</v>
      </c>
      <c r="E9399" t="s">
        <v>5480</v>
      </c>
      <c r="F9399" t="s">
        <v>33189</v>
      </c>
      <c r="G9399" t="s">
        <v>33190</v>
      </c>
      <c r="H9399" t="s">
        <v>5474</v>
      </c>
      <c r="I9399" t="s">
        <v>33191</v>
      </c>
      <c r="J9399" t="s">
        <v>5484</v>
      </c>
      <c r="K9399" t="s">
        <v>33192</v>
      </c>
      <c r="L9399" t="s">
        <v>5471</v>
      </c>
      <c r="M9399" t="s">
        <v>5471</v>
      </c>
    </row>
    <row r="9400" spans="1:13" x14ac:dyDescent="0.3">
      <c r="A9400" t="s">
        <v>3388</v>
      </c>
      <c r="B9400" t="s">
        <v>8577</v>
      </c>
      <c r="C9400" t="s">
        <v>5470</v>
      </c>
      <c r="D9400" t="s">
        <v>4052</v>
      </c>
      <c r="E9400" t="s">
        <v>5532</v>
      </c>
      <c r="F9400" t="s">
        <v>33193</v>
      </c>
      <c r="G9400" t="s">
        <v>10503</v>
      </c>
      <c r="H9400" t="s">
        <v>5474</v>
      </c>
      <c r="I9400" t="s">
        <v>33194</v>
      </c>
      <c r="J9400" t="s">
        <v>5484</v>
      </c>
      <c r="K9400" t="s">
        <v>33195</v>
      </c>
      <c r="L9400" t="s">
        <v>5471</v>
      </c>
      <c r="M9400" t="s">
        <v>5471</v>
      </c>
    </row>
    <row r="9401" spans="1:13" x14ac:dyDescent="0.3">
      <c r="A9401" t="s">
        <v>3388</v>
      </c>
      <c r="B9401" t="s">
        <v>5296</v>
      </c>
      <c r="C9401" t="s">
        <v>5470</v>
      </c>
      <c r="D9401" t="s">
        <v>4119</v>
      </c>
      <c r="E9401" t="s">
        <v>5617</v>
      </c>
      <c r="F9401" t="s">
        <v>33196</v>
      </c>
      <c r="G9401" t="s">
        <v>33197</v>
      </c>
      <c r="H9401" t="s">
        <v>5474</v>
      </c>
      <c r="I9401" t="s">
        <v>33198</v>
      </c>
      <c r="J9401" t="s">
        <v>5484</v>
      </c>
      <c r="K9401" t="s">
        <v>33199</v>
      </c>
      <c r="L9401" t="s">
        <v>5471</v>
      </c>
      <c r="M9401" t="s">
        <v>5471</v>
      </c>
    </row>
    <row r="9402" spans="1:13" x14ac:dyDescent="0.3">
      <c r="A9402" t="s">
        <v>3388</v>
      </c>
      <c r="B9402" t="s">
        <v>7101</v>
      </c>
      <c r="C9402" t="s">
        <v>5470</v>
      </c>
      <c r="D9402" t="s">
        <v>4052</v>
      </c>
      <c r="E9402" t="s">
        <v>5532</v>
      </c>
      <c r="F9402" t="s">
        <v>33200</v>
      </c>
      <c r="G9402" t="s">
        <v>20359</v>
      </c>
      <c r="H9402" t="s">
        <v>5474</v>
      </c>
      <c r="I9402" t="s">
        <v>33201</v>
      </c>
      <c r="J9402" t="s">
        <v>5484</v>
      </c>
      <c r="K9402" t="s">
        <v>32493</v>
      </c>
      <c r="L9402" t="s">
        <v>5471</v>
      </c>
      <c r="M9402" t="s">
        <v>5471</v>
      </c>
    </row>
    <row r="9403" spans="1:13" x14ac:dyDescent="0.3">
      <c r="A9403" t="s">
        <v>3388</v>
      </c>
      <c r="B9403" t="s">
        <v>5296</v>
      </c>
      <c r="C9403" t="s">
        <v>5470</v>
      </c>
      <c r="D9403" t="s">
        <v>4119</v>
      </c>
      <c r="E9403" t="s">
        <v>5843</v>
      </c>
      <c r="F9403" t="s">
        <v>33202</v>
      </c>
      <c r="G9403" t="s">
        <v>33203</v>
      </c>
      <c r="H9403" t="s">
        <v>5474</v>
      </c>
      <c r="I9403" t="s">
        <v>33204</v>
      </c>
      <c r="J9403" t="s">
        <v>5484</v>
      </c>
      <c r="K9403" t="s">
        <v>33205</v>
      </c>
      <c r="L9403" t="s">
        <v>5471</v>
      </c>
      <c r="M9403" t="s">
        <v>5471</v>
      </c>
    </row>
    <row r="9404" spans="1:13" x14ac:dyDescent="0.3">
      <c r="A9404" t="s">
        <v>3388</v>
      </c>
      <c r="B9404" t="s">
        <v>2749</v>
      </c>
      <c r="C9404" t="s">
        <v>5470</v>
      </c>
      <c r="D9404" t="s">
        <v>4056</v>
      </c>
      <c r="E9404" t="s">
        <v>5532</v>
      </c>
      <c r="F9404" t="s">
        <v>33206</v>
      </c>
      <c r="G9404" t="s">
        <v>21656</v>
      </c>
      <c r="H9404" t="s">
        <v>5474</v>
      </c>
      <c r="I9404" t="s">
        <v>33207</v>
      </c>
      <c r="J9404" t="s">
        <v>5484</v>
      </c>
      <c r="K9404" t="s">
        <v>33208</v>
      </c>
      <c r="L9404" t="s">
        <v>5471</v>
      </c>
      <c r="M9404" t="s">
        <v>5471</v>
      </c>
    </row>
    <row r="9405" spans="1:13" x14ac:dyDescent="0.3">
      <c r="A9405" t="s">
        <v>3388</v>
      </c>
      <c r="B9405" t="s">
        <v>5296</v>
      </c>
      <c r="C9405" t="s">
        <v>5470</v>
      </c>
      <c r="D9405" t="s">
        <v>4119</v>
      </c>
      <c r="E9405" t="s">
        <v>5843</v>
      </c>
      <c r="F9405" t="s">
        <v>33209</v>
      </c>
      <c r="G9405" t="s">
        <v>33210</v>
      </c>
      <c r="H9405" t="s">
        <v>5474</v>
      </c>
      <c r="I9405" t="s">
        <v>33211</v>
      </c>
      <c r="J9405" t="s">
        <v>5484</v>
      </c>
      <c r="K9405" t="s">
        <v>33212</v>
      </c>
      <c r="L9405" t="s">
        <v>5471</v>
      </c>
      <c r="M9405" t="s">
        <v>5471</v>
      </c>
    </row>
    <row r="9406" spans="1:13" x14ac:dyDescent="0.3">
      <c r="A9406" t="s">
        <v>3388</v>
      </c>
      <c r="B9406" t="s">
        <v>2749</v>
      </c>
      <c r="C9406" t="s">
        <v>5470</v>
      </c>
      <c r="D9406" t="s">
        <v>4056</v>
      </c>
      <c r="E9406" t="s">
        <v>5532</v>
      </c>
      <c r="F9406" t="s">
        <v>33213</v>
      </c>
      <c r="G9406" t="s">
        <v>21656</v>
      </c>
      <c r="H9406" t="s">
        <v>5474</v>
      </c>
      <c r="I9406" t="s">
        <v>33214</v>
      </c>
      <c r="J9406" t="s">
        <v>5484</v>
      </c>
      <c r="K9406" t="s">
        <v>33215</v>
      </c>
      <c r="L9406" t="s">
        <v>5471</v>
      </c>
      <c r="M9406" t="s">
        <v>5471</v>
      </c>
    </row>
    <row r="9407" spans="1:13" x14ac:dyDescent="0.3">
      <c r="A9407" t="s">
        <v>3388</v>
      </c>
      <c r="B9407" t="s">
        <v>5296</v>
      </c>
      <c r="C9407" t="s">
        <v>5470</v>
      </c>
      <c r="D9407" t="s">
        <v>4119</v>
      </c>
      <c r="E9407" t="s">
        <v>5532</v>
      </c>
      <c r="F9407" t="s">
        <v>33216</v>
      </c>
      <c r="G9407" t="s">
        <v>29513</v>
      </c>
      <c r="H9407" t="s">
        <v>5474</v>
      </c>
      <c r="I9407" t="s">
        <v>33217</v>
      </c>
      <c r="J9407" t="s">
        <v>5484</v>
      </c>
      <c r="K9407" t="s">
        <v>33218</v>
      </c>
      <c r="L9407" t="s">
        <v>5471</v>
      </c>
      <c r="M9407" t="s">
        <v>5471</v>
      </c>
    </row>
    <row r="9408" spans="1:13" x14ac:dyDescent="0.3">
      <c r="A9408" t="s">
        <v>3388</v>
      </c>
      <c r="B9408" t="s">
        <v>2749</v>
      </c>
      <c r="C9408" t="s">
        <v>5470</v>
      </c>
      <c r="D9408" t="s">
        <v>4056</v>
      </c>
      <c r="E9408" t="s">
        <v>5532</v>
      </c>
      <c r="F9408" t="s">
        <v>33219</v>
      </c>
      <c r="G9408" t="s">
        <v>10510</v>
      </c>
      <c r="H9408" t="s">
        <v>5474</v>
      </c>
      <c r="I9408" t="s">
        <v>33220</v>
      </c>
      <c r="J9408" t="s">
        <v>5484</v>
      </c>
      <c r="K9408" t="s">
        <v>33221</v>
      </c>
      <c r="L9408" t="s">
        <v>5471</v>
      </c>
      <c r="M9408" t="s">
        <v>5471</v>
      </c>
    </row>
    <row r="9409" spans="1:13" x14ac:dyDescent="0.3">
      <c r="A9409" t="s">
        <v>3388</v>
      </c>
      <c r="B9409" t="s">
        <v>5296</v>
      </c>
      <c r="C9409" t="s">
        <v>5470</v>
      </c>
      <c r="D9409" t="s">
        <v>4119</v>
      </c>
      <c r="E9409" t="s">
        <v>5532</v>
      </c>
      <c r="F9409" t="s">
        <v>33222</v>
      </c>
      <c r="G9409" t="s">
        <v>11321</v>
      </c>
      <c r="H9409" t="s">
        <v>5474</v>
      </c>
      <c r="I9409" t="s">
        <v>33223</v>
      </c>
      <c r="J9409" t="s">
        <v>5484</v>
      </c>
      <c r="K9409" t="s">
        <v>33224</v>
      </c>
      <c r="L9409" t="s">
        <v>5471</v>
      </c>
      <c r="M9409" t="s">
        <v>5471</v>
      </c>
    </row>
    <row r="9410" spans="1:13" x14ac:dyDescent="0.3">
      <c r="A9410" t="s">
        <v>3388</v>
      </c>
      <c r="B9410" t="s">
        <v>2749</v>
      </c>
      <c r="C9410" t="s">
        <v>5470</v>
      </c>
      <c r="D9410" t="s">
        <v>4056</v>
      </c>
      <c r="E9410" t="s">
        <v>5532</v>
      </c>
      <c r="F9410" t="s">
        <v>33225</v>
      </c>
      <c r="G9410" t="s">
        <v>10510</v>
      </c>
      <c r="H9410" t="s">
        <v>5474</v>
      </c>
      <c r="I9410" t="s">
        <v>33226</v>
      </c>
      <c r="J9410" t="s">
        <v>5484</v>
      </c>
      <c r="K9410" t="s">
        <v>33227</v>
      </c>
      <c r="L9410" t="s">
        <v>5471</v>
      </c>
      <c r="M9410" t="s">
        <v>5471</v>
      </c>
    </row>
    <row r="9411" spans="1:13" x14ac:dyDescent="0.3">
      <c r="A9411" t="s">
        <v>3388</v>
      </c>
      <c r="B9411" t="s">
        <v>5296</v>
      </c>
      <c r="C9411" t="s">
        <v>5470</v>
      </c>
      <c r="D9411" t="s">
        <v>4119</v>
      </c>
      <c r="E9411" t="s">
        <v>5532</v>
      </c>
      <c r="F9411" t="s">
        <v>33228</v>
      </c>
      <c r="G9411" t="s">
        <v>33229</v>
      </c>
      <c r="H9411" t="s">
        <v>5474</v>
      </c>
      <c r="I9411" t="s">
        <v>33230</v>
      </c>
      <c r="J9411" t="s">
        <v>5484</v>
      </c>
      <c r="K9411" t="s">
        <v>33231</v>
      </c>
      <c r="L9411" t="s">
        <v>5471</v>
      </c>
      <c r="M9411" t="s">
        <v>5471</v>
      </c>
    </row>
    <row r="9412" spans="1:13" x14ac:dyDescent="0.3">
      <c r="A9412" t="s">
        <v>3388</v>
      </c>
      <c r="B9412" t="s">
        <v>6540</v>
      </c>
      <c r="C9412" t="s">
        <v>5470</v>
      </c>
      <c r="D9412" t="s">
        <v>4119</v>
      </c>
      <c r="E9412" t="s">
        <v>5532</v>
      </c>
      <c r="F9412" t="s">
        <v>33232</v>
      </c>
      <c r="G9412" t="s">
        <v>22799</v>
      </c>
      <c r="H9412" t="s">
        <v>5474</v>
      </c>
      <c r="I9412" t="s">
        <v>33233</v>
      </c>
      <c r="J9412" t="s">
        <v>5484</v>
      </c>
      <c r="K9412" t="s">
        <v>33234</v>
      </c>
      <c r="L9412" t="s">
        <v>5471</v>
      </c>
      <c r="M9412" t="s">
        <v>5471</v>
      </c>
    </row>
    <row r="9413" spans="1:13" x14ac:dyDescent="0.3">
      <c r="A9413" t="s">
        <v>3388</v>
      </c>
      <c r="B9413" t="s">
        <v>2749</v>
      </c>
      <c r="C9413" t="s">
        <v>5470</v>
      </c>
      <c r="D9413" t="s">
        <v>4056</v>
      </c>
      <c r="E9413" t="s">
        <v>5532</v>
      </c>
      <c r="F9413" t="s">
        <v>33235</v>
      </c>
      <c r="G9413" t="s">
        <v>10510</v>
      </c>
      <c r="H9413" t="s">
        <v>5474</v>
      </c>
      <c r="I9413" t="s">
        <v>33236</v>
      </c>
      <c r="J9413" t="s">
        <v>5484</v>
      </c>
      <c r="K9413" t="s">
        <v>33237</v>
      </c>
      <c r="L9413" t="s">
        <v>5471</v>
      </c>
      <c r="M9413" t="s">
        <v>5471</v>
      </c>
    </row>
    <row r="9414" spans="1:13" x14ac:dyDescent="0.3">
      <c r="A9414" t="s">
        <v>3388</v>
      </c>
      <c r="B9414" t="s">
        <v>2749</v>
      </c>
      <c r="C9414" t="s">
        <v>5470</v>
      </c>
      <c r="D9414" t="s">
        <v>4056</v>
      </c>
      <c r="E9414" t="s">
        <v>5532</v>
      </c>
      <c r="F9414" t="s">
        <v>33238</v>
      </c>
      <c r="G9414" t="s">
        <v>22006</v>
      </c>
      <c r="H9414" t="s">
        <v>5474</v>
      </c>
      <c r="I9414" t="s">
        <v>33239</v>
      </c>
      <c r="J9414" t="s">
        <v>5484</v>
      </c>
      <c r="K9414" t="s">
        <v>33240</v>
      </c>
      <c r="L9414" t="s">
        <v>5471</v>
      </c>
      <c r="M9414" t="s">
        <v>5471</v>
      </c>
    </row>
    <row r="9415" spans="1:13" x14ac:dyDescent="0.3">
      <c r="A9415" t="s">
        <v>3388</v>
      </c>
      <c r="B9415" t="s">
        <v>6540</v>
      </c>
      <c r="C9415" t="s">
        <v>5470</v>
      </c>
      <c r="D9415" t="s">
        <v>4119</v>
      </c>
      <c r="E9415" t="s">
        <v>5756</v>
      </c>
      <c r="F9415" t="s">
        <v>33241</v>
      </c>
      <c r="G9415" t="s">
        <v>9695</v>
      </c>
      <c r="H9415" t="s">
        <v>5474</v>
      </c>
      <c r="I9415" t="s">
        <v>33242</v>
      </c>
      <c r="J9415" t="s">
        <v>5484</v>
      </c>
      <c r="K9415" t="s">
        <v>33243</v>
      </c>
      <c r="L9415" t="s">
        <v>5471</v>
      </c>
      <c r="M9415" t="s">
        <v>5471</v>
      </c>
    </row>
    <row r="9416" spans="1:13" x14ac:dyDescent="0.3">
      <c r="A9416" t="s">
        <v>3388</v>
      </c>
      <c r="B9416" t="s">
        <v>2749</v>
      </c>
      <c r="C9416" t="s">
        <v>5470</v>
      </c>
      <c r="D9416" t="s">
        <v>4056</v>
      </c>
      <c r="E9416" t="s">
        <v>5532</v>
      </c>
      <c r="F9416" t="s">
        <v>33244</v>
      </c>
      <c r="G9416" t="s">
        <v>22006</v>
      </c>
      <c r="H9416" t="s">
        <v>5474</v>
      </c>
      <c r="I9416" t="s">
        <v>33245</v>
      </c>
      <c r="J9416" t="s">
        <v>5484</v>
      </c>
      <c r="K9416" t="s">
        <v>33246</v>
      </c>
      <c r="L9416" t="s">
        <v>5471</v>
      </c>
      <c r="M9416" t="s">
        <v>5471</v>
      </c>
    </row>
    <row r="9417" spans="1:13" x14ac:dyDescent="0.3">
      <c r="A9417" t="s">
        <v>3388</v>
      </c>
      <c r="B9417" t="s">
        <v>7109</v>
      </c>
      <c r="C9417" t="s">
        <v>5470</v>
      </c>
      <c r="D9417" t="s">
        <v>4119</v>
      </c>
      <c r="E9417" t="s">
        <v>5532</v>
      </c>
      <c r="F9417" t="s">
        <v>33247</v>
      </c>
      <c r="G9417" t="s">
        <v>23170</v>
      </c>
      <c r="H9417" t="s">
        <v>5474</v>
      </c>
      <c r="I9417" t="s">
        <v>33248</v>
      </c>
      <c r="J9417" t="s">
        <v>5484</v>
      </c>
      <c r="K9417" t="s">
        <v>33249</v>
      </c>
      <c r="L9417" t="s">
        <v>5471</v>
      </c>
      <c r="M9417" t="s">
        <v>5471</v>
      </c>
    </row>
    <row r="9418" spans="1:13" x14ac:dyDescent="0.3">
      <c r="A9418" t="s">
        <v>3388</v>
      </c>
      <c r="B9418" t="s">
        <v>2749</v>
      </c>
      <c r="C9418" t="s">
        <v>5470</v>
      </c>
      <c r="D9418" t="s">
        <v>4056</v>
      </c>
      <c r="E9418" t="s">
        <v>5532</v>
      </c>
      <c r="F9418" t="s">
        <v>33250</v>
      </c>
      <c r="G9418" t="s">
        <v>22006</v>
      </c>
      <c r="H9418" t="s">
        <v>5474</v>
      </c>
      <c r="I9418" t="s">
        <v>33251</v>
      </c>
      <c r="J9418" t="s">
        <v>5484</v>
      </c>
      <c r="K9418" t="s">
        <v>33252</v>
      </c>
      <c r="L9418" t="s">
        <v>5471</v>
      </c>
      <c r="M9418" t="s">
        <v>5471</v>
      </c>
    </row>
    <row r="9419" spans="1:13" x14ac:dyDescent="0.3">
      <c r="A9419" t="s">
        <v>3388</v>
      </c>
      <c r="B9419" t="s">
        <v>7109</v>
      </c>
      <c r="C9419" t="s">
        <v>5470</v>
      </c>
      <c r="D9419" t="s">
        <v>4119</v>
      </c>
      <c r="E9419" t="s">
        <v>5532</v>
      </c>
      <c r="F9419" t="s">
        <v>33253</v>
      </c>
      <c r="G9419" t="s">
        <v>23834</v>
      </c>
      <c r="H9419" t="s">
        <v>5474</v>
      </c>
      <c r="I9419" t="s">
        <v>33254</v>
      </c>
      <c r="J9419" t="s">
        <v>5484</v>
      </c>
      <c r="K9419" t="s">
        <v>33255</v>
      </c>
      <c r="L9419" t="s">
        <v>5471</v>
      </c>
      <c r="M9419" t="s">
        <v>5471</v>
      </c>
    </row>
    <row r="9420" spans="1:13" x14ac:dyDescent="0.3">
      <c r="A9420" t="s">
        <v>3388</v>
      </c>
      <c r="B9420" t="s">
        <v>2749</v>
      </c>
      <c r="C9420" t="s">
        <v>5470</v>
      </c>
      <c r="D9420" t="s">
        <v>4056</v>
      </c>
      <c r="E9420" t="s">
        <v>5532</v>
      </c>
      <c r="F9420" t="s">
        <v>33256</v>
      </c>
      <c r="G9420" t="s">
        <v>22252</v>
      </c>
      <c r="H9420" t="s">
        <v>5474</v>
      </c>
      <c r="I9420" t="s">
        <v>33257</v>
      </c>
      <c r="J9420" t="s">
        <v>5484</v>
      </c>
      <c r="K9420" t="s">
        <v>33258</v>
      </c>
      <c r="L9420" t="s">
        <v>5471</v>
      </c>
      <c r="M9420" t="s">
        <v>5471</v>
      </c>
    </row>
    <row r="9421" spans="1:13" x14ac:dyDescent="0.3">
      <c r="A9421" t="s">
        <v>3388</v>
      </c>
      <c r="B9421" t="s">
        <v>7109</v>
      </c>
      <c r="C9421" t="s">
        <v>5470</v>
      </c>
      <c r="D9421" t="s">
        <v>4119</v>
      </c>
      <c r="E9421" t="s">
        <v>5532</v>
      </c>
      <c r="F9421" t="s">
        <v>33259</v>
      </c>
      <c r="G9421" t="s">
        <v>23202</v>
      </c>
      <c r="H9421" t="s">
        <v>5474</v>
      </c>
      <c r="I9421" t="s">
        <v>33260</v>
      </c>
      <c r="J9421" t="s">
        <v>5484</v>
      </c>
      <c r="K9421" t="s">
        <v>33261</v>
      </c>
      <c r="L9421" t="s">
        <v>5471</v>
      </c>
      <c r="M9421" t="s">
        <v>5471</v>
      </c>
    </row>
    <row r="9422" spans="1:13" x14ac:dyDescent="0.3">
      <c r="A9422" t="s">
        <v>3388</v>
      </c>
      <c r="B9422" t="s">
        <v>7109</v>
      </c>
      <c r="C9422" t="s">
        <v>5470</v>
      </c>
      <c r="D9422" t="s">
        <v>4119</v>
      </c>
      <c r="E9422" t="s">
        <v>5532</v>
      </c>
      <c r="F9422" t="s">
        <v>33262</v>
      </c>
      <c r="G9422" t="s">
        <v>23218</v>
      </c>
      <c r="H9422" t="s">
        <v>5474</v>
      </c>
      <c r="I9422" t="s">
        <v>33263</v>
      </c>
      <c r="J9422" t="s">
        <v>5484</v>
      </c>
      <c r="K9422" t="s">
        <v>33264</v>
      </c>
      <c r="L9422" t="s">
        <v>5471</v>
      </c>
      <c r="M9422" t="s">
        <v>5471</v>
      </c>
    </row>
    <row r="9423" spans="1:13" x14ac:dyDescent="0.3">
      <c r="A9423" t="s">
        <v>3388</v>
      </c>
      <c r="B9423" t="s">
        <v>2749</v>
      </c>
      <c r="C9423" t="s">
        <v>5470</v>
      </c>
      <c r="D9423" t="s">
        <v>4056</v>
      </c>
      <c r="E9423" t="s">
        <v>5532</v>
      </c>
      <c r="F9423" t="s">
        <v>33265</v>
      </c>
      <c r="G9423" t="s">
        <v>22252</v>
      </c>
      <c r="H9423" t="s">
        <v>5474</v>
      </c>
      <c r="I9423" t="s">
        <v>33266</v>
      </c>
      <c r="J9423" t="s">
        <v>5484</v>
      </c>
      <c r="K9423" t="s">
        <v>33267</v>
      </c>
      <c r="L9423" t="s">
        <v>5471</v>
      </c>
      <c r="M9423" t="s">
        <v>5471</v>
      </c>
    </row>
    <row r="9424" spans="1:13" x14ac:dyDescent="0.3">
      <c r="A9424" t="s">
        <v>3388</v>
      </c>
      <c r="B9424" t="s">
        <v>7109</v>
      </c>
      <c r="C9424" t="s">
        <v>5470</v>
      </c>
      <c r="D9424" t="s">
        <v>4119</v>
      </c>
      <c r="E9424" t="s">
        <v>5532</v>
      </c>
      <c r="F9424" t="s">
        <v>33268</v>
      </c>
      <c r="G9424" t="s">
        <v>10503</v>
      </c>
      <c r="H9424" t="s">
        <v>5474</v>
      </c>
      <c r="I9424" t="s">
        <v>33269</v>
      </c>
      <c r="J9424" t="s">
        <v>5484</v>
      </c>
      <c r="K9424" t="s">
        <v>33270</v>
      </c>
      <c r="L9424" t="s">
        <v>5471</v>
      </c>
      <c r="M9424" t="s">
        <v>5471</v>
      </c>
    </row>
    <row r="9425" spans="1:13" x14ac:dyDescent="0.3">
      <c r="A9425" t="s">
        <v>3388</v>
      </c>
      <c r="B9425" t="s">
        <v>2749</v>
      </c>
      <c r="C9425" t="s">
        <v>5470</v>
      </c>
      <c r="D9425" t="s">
        <v>4056</v>
      </c>
      <c r="E9425" t="s">
        <v>5532</v>
      </c>
      <c r="F9425" t="s">
        <v>33271</v>
      </c>
      <c r="G9425" t="s">
        <v>33272</v>
      </c>
      <c r="H9425" t="s">
        <v>5474</v>
      </c>
      <c r="I9425" t="s">
        <v>33273</v>
      </c>
      <c r="J9425" t="s">
        <v>5484</v>
      </c>
      <c r="K9425" t="s">
        <v>33274</v>
      </c>
      <c r="L9425" t="s">
        <v>5471</v>
      </c>
      <c r="M9425" t="s">
        <v>5471</v>
      </c>
    </row>
    <row r="9426" spans="1:13" x14ac:dyDescent="0.3">
      <c r="A9426" t="s">
        <v>3388</v>
      </c>
      <c r="B9426" t="s">
        <v>7109</v>
      </c>
      <c r="C9426" t="s">
        <v>5470</v>
      </c>
      <c r="D9426" t="s">
        <v>4119</v>
      </c>
      <c r="E9426" t="s">
        <v>5532</v>
      </c>
      <c r="F9426" t="s">
        <v>33275</v>
      </c>
      <c r="G9426" t="s">
        <v>18561</v>
      </c>
      <c r="H9426" t="s">
        <v>5474</v>
      </c>
      <c r="I9426" t="s">
        <v>33276</v>
      </c>
      <c r="J9426" t="s">
        <v>5484</v>
      </c>
      <c r="K9426" t="s">
        <v>33277</v>
      </c>
      <c r="L9426" t="s">
        <v>5471</v>
      </c>
      <c r="M9426" t="s">
        <v>5471</v>
      </c>
    </row>
    <row r="9427" spans="1:13" x14ac:dyDescent="0.3">
      <c r="A9427" t="s">
        <v>3388</v>
      </c>
      <c r="B9427" t="s">
        <v>2749</v>
      </c>
      <c r="C9427" t="s">
        <v>5470</v>
      </c>
      <c r="D9427" t="s">
        <v>4056</v>
      </c>
      <c r="E9427" t="s">
        <v>5532</v>
      </c>
      <c r="F9427" t="s">
        <v>33278</v>
      </c>
      <c r="G9427" t="s">
        <v>33272</v>
      </c>
      <c r="H9427" t="s">
        <v>5474</v>
      </c>
      <c r="I9427" t="s">
        <v>33279</v>
      </c>
      <c r="J9427" t="s">
        <v>5484</v>
      </c>
      <c r="K9427" t="s">
        <v>33280</v>
      </c>
      <c r="L9427" t="s">
        <v>5471</v>
      </c>
      <c r="M9427" t="s">
        <v>5471</v>
      </c>
    </row>
    <row r="9428" spans="1:13" x14ac:dyDescent="0.3">
      <c r="A9428" t="s">
        <v>3388</v>
      </c>
      <c r="B9428" t="s">
        <v>7109</v>
      </c>
      <c r="C9428" t="s">
        <v>5470</v>
      </c>
      <c r="D9428" t="s">
        <v>4119</v>
      </c>
      <c r="E9428" t="s">
        <v>5532</v>
      </c>
      <c r="F9428" t="s">
        <v>33281</v>
      </c>
      <c r="G9428" t="s">
        <v>18572</v>
      </c>
      <c r="H9428" t="s">
        <v>5474</v>
      </c>
      <c r="I9428" t="s">
        <v>33282</v>
      </c>
      <c r="J9428" t="s">
        <v>5484</v>
      </c>
      <c r="K9428" t="s">
        <v>33283</v>
      </c>
      <c r="L9428" t="s">
        <v>5471</v>
      </c>
      <c r="M9428" t="s">
        <v>5471</v>
      </c>
    </row>
    <row r="9429" spans="1:13" x14ac:dyDescent="0.3">
      <c r="A9429" t="s">
        <v>3388</v>
      </c>
      <c r="B9429" t="s">
        <v>2749</v>
      </c>
      <c r="C9429" t="s">
        <v>5470</v>
      </c>
      <c r="D9429" t="s">
        <v>4056</v>
      </c>
      <c r="E9429" t="s">
        <v>5532</v>
      </c>
      <c r="F9429" t="s">
        <v>33284</v>
      </c>
      <c r="G9429" t="s">
        <v>33272</v>
      </c>
      <c r="H9429" t="s">
        <v>5474</v>
      </c>
      <c r="I9429" t="s">
        <v>33285</v>
      </c>
      <c r="J9429" t="s">
        <v>5484</v>
      </c>
      <c r="K9429" t="s">
        <v>33286</v>
      </c>
      <c r="L9429" t="s">
        <v>5471</v>
      </c>
      <c r="M9429" t="s">
        <v>5471</v>
      </c>
    </row>
    <row r="9430" spans="1:13" x14ac:dyDescent="0.3">
      <c r="A9430" t="s">
        <v>3388</v>
      </c>
      <c r="B9430" t="s">
        <v>7109</v>
      </c>
      <c r="C9430" t="s">
        <v>5470</v>
      </c>
      <c r="D9430" t="s">
        <v>4119</v>
      </c>
      <c r="E9430" t="s">
        <v>5532</v>
      </c>
      <c r="F9430" t="s">
        <v>33287</v>
      </c>
      <c r="G9430" t="s">
        <v>18582</v>
      </c>
      <c r="H9430" t="s">
        <v>5474</v>
      </c>
      <c r="I9430" t="s">
        <v>33288</v>
      </c>
      <c r="J9430" t="s">
        <v>5484</v>
      </c>
      <c r="K9430" t="s">
        <v>33289</v>
      </c>
      <c r="L9430" t="s">
        <v>5471</v>
      </c>
      <c r="M9430" t="s">
        <v>5471</v>
      </c>
    </row>
    <row r="9431" spans="1:13" x14ac:dyDescent="0.3">
      <c r="A9431" t="s">
        <v>3388</v>
      </c>
      <c r="B9431" t="s">
        <v>2749</v>
      </c>
      <c r="C9431" t="s">
        <v>5470</v>
      </c>
      <c r="D9431" t="s">
        <v>4056</v>
      </c>
      <c r="E9431" t="s">
        <v>5843</v>
      </c>
      <c r="F9431" t="s">
        <v>33290</v>
      </c>
      <c r="G9431" t="s">
        <v>22002</v>
      </c>
      <c r="H9431" t="s">
        <v>5474</v>
      </c>
      <c r="I9431" t="s">
        <v>33291</v>
      </c>
      <c r="J9431" t="s">
        <v>5484</v>
      </c>
      <c r="K9431" t="s">
        <v>33292</v>
      </c>
      <c r="L9431" t="s">
        <v>5471</v>
      </c>
      <c r="M9431" t="s">
        <v>5471</v>
      </c>
    </row>
    <row r="9432" spans="1:13" x14ac:dyDescent="0.3">
      <c r="A9432" t="s">
        <v>3388</v>
      </c>
      <c r="B9432" t="s">
        <v>7109</v>
      </c>
      <c r="C9432" t="s">
        <v>5470</v>
      </c>
      <c r="D9432" t="s">
        <v>4119</v>
      </c>
      <c r="E9432" t="s">
        <v>5532</v>
      </c>
      <c r="F9432" t="s">
        <v>33293</v>
      </c>
      <c r="G9432" t="s">
        <v>33294</v>
      </c>
      <c r="H9432" t="s">
        <v>5474</v>
      </c>
      <c r="I9432" t="s">
        <v>33295</v>
      </c>
      <c r="J9432" t="s">
        <v>5484</v>
      </c>
      <c r="K9432" t="s">
        <v>33296</v>
      </c>
      <c r="L9432" t="s">
        <v>5471</v>
      </c>
      <c r="M9432" t="s">
        <v>5471</v>
      </c>
    </row>
    <row r="9433" spans="1:13" x14ac:dyDescent="0.3">
      <c r="A9433" t="s">
        <v>3388</v>
      </c>
      <c r="B9433" t="s">
        <v>2749</v>
      </c>
      <c r="C9433" t="s">
        <v>5470</v>
      </c>
      <c r="D9433" t="s">
        <v>4056</v>
      </c>
      <c r="E9433" t="s">
        <v>5843</v>
      </c>
      <c r="F9433" t="s">
        <v>33297</v>
      </c>
      <c r="G9433" t="s">
        <v>22252</v>
      </c>
      <c r="H9433" t="s">
        <v>5474</v>
      </c>
      <c r="I9433" t="s">
        <v>33298</v>
      </c>
      <c r="J9433" t="s">
        <v>5484</v>
      </c>
      <c r="K9433" t="s">
        <v>33299</v>
      </c>
      <c r="L9433" t="s">
        <v>5471</v>
      </c>
      <c r="M9433" t="s">
        <v>5471</v>
      </c>
    </row>
    <row r="9434" spans="1:13" x14ac:dyDescent="0.3">
      <c r="A9434" t="s">
        <v>3388</v>
      </c>
      <c r="B9434" t="s">
        <v>7109</v>
      </c>
      <c r="C9434" t="s">
        <v>5470</v>
      </c>
      <c r="D9434" t="s">
        <v>4119</v>
      </c>
      <c r="E9434" t="s">
        <v>5532</v>
      </c>
      <c r="F9434" t="s">
        <v>33300</v>
      </c>
      <c r="G9434" t="s">
        <v>33301</v>
      </c>
      <c r="H9434" t="s">
        <v>5474</v>
      </c>
      <c r="I9434" t="s">
        <v>33302</v>
      </c>
      <c r="J9434" t="s">
        <v>5484</v>
      </c>
      <c r="K9434" t="s">
        <v>33303</v>
      </c>
      <c r="L9434" t="s">
        <v>5471</v>
      </c>
      <c r="M9434" t="s">
        <v>5471</v>
      </c>
    </row>
    <row r="9435" spans="1:13" x14ac:dyDescent="0.3">
      <c r="A9435" t="s">
        <v>3388</v>
      </c>
      <c r="B9435" t="s">
        <v>7109</v>
      </c>
      <c r="C9435" t="s">
        <v>5470</v>
      </c>
      <c r="D9435" t="s">
        <v>4119</v>
      </c>
      <c r="E9435" t="s">
        <v>5532</v>
      </c>
      <c r="F9435" t="s">
        <v>33304</v>
      </c>
      <c r="G9435" t="s">
        <v>19195</v>
      </c>
      <c r="H9435" t="s">
        <v>5474</v>
      </c>
      <c r="I9435" t="s">
        <v>33305</v>
      </c>
      <c r="J9435" t="s">
        <v>5484</v>
      </c>
      <c r="K9435" t="s">
        <v>33306</v>
      </c>
      <c r="L9435" t="s">
        <v>5471</v>
      </c>
      <c r="M9435" t="s">
        <v>5471</v>
      </c>
    </row>
    <row r="9436" spans="1:13" x14ac:dyDescent="0.3">
      <c r="A9436" t="s">
        <v>3388</v>
      </c>
      <c r="B9436" t="s">
        <v>7109</v>
      </c>
      <c r="C9436" t="s">
        <v>5470</v>
      </c>
      <c r="D9436" t="s">
        <v>4119</v>
      </c>
      <c r="E9436" t="s">
        <v>5756</v>
      </c>
      <c r="F9436" t="s">
        <v>33307</v>
      </c>
      <c r="G9436" t="s">
        <v>19195</v>
      </c>
      <c r="H9436" t="s">
        <v>5474</v>
      </c>
      <c r="I9436" t="s">
        <v>33308</v>
      </c>
      <c r="J9436" t="s">
        <v>5484</v>
      </c>
      <c r="K9436" t="s">
        <v>33309</v>
      </c>
      <c r="L9436" t="s">
        <v>5471</v>
      </c>
      <c r="M9436" t="s">
        <v>5471</v>
      </c>
    </row>
    <row r="9437" spans="1:13" x14ac:dyDescent="0.3">
      <c r="A9437" t="s">
        <v>3388</v>
      </c>
      <c r="B9437" t="s">
        <v>7109</v>
      </c>
      <c r="C9437" t="s">
        <v>5470</v>
      </c>
      <c r="D9437" t="s">
        <v>4119</v>
      </c>
      <c r="E9437" t="s">
        <v>5756</v>
      </c>
      <c r="F9437" t="s">
        <v>33310</v>
      </c>
      <c r="G9437" t="s">
        <v>33311</v>
      </c>
      <c r="H9437" t="s">
        <v>5474</v>
      </c>
      <c r="I9437" t="s">
        <v>33312</v>
      </c>
      <c r="J9437" t="s">
        <v>5484</v>
      </c>
      <c r="K9437" t="s">
        <v>33313</v>
      </c>
      <c r="L9437" t="s">
        <v>5471</v>
      </c>
      <c r="M9437" t="s">
        <v>5471</v>
      </c>
    </row>
    <row r="9438" spans="1:13" x14ac:dyDescent="0.3">
      <c r="A9438" t="s">
        <v>3388</v>
      </c>
      <c r="B9438" t="s">
        <v>7109</v>
      </c>
      <c r="C9438" t="s">
        <v>5470</v>
      </c>
      <c r="D9438" t="s">
        <v>4119</v>
      </c>
      <c r="E9438" t="s">
        <v>5756</v>
      </c>
      <c r="F9438" t="s">
        <v>33314</v>
      </c>
      <c r="G9438" t="s">
        <v>10493</v>
      </c>
      <c r="H9438" t="s">
        <v>5474</v>
      </c>
      <c r="I9438" t="s">
        <v>33315</v>
      </c>
      <c r="J9438" t="s">
        <v>5484</v>
      </c>
      <c r="K9438" t="s">
        <v>33316</v>
      </c>
      <c r="L9438" t="s">
        <v>5471</v>
      </c>
      <c r="M9438" t="s">
        <v>5471</v>
      </c>
    </row>
    <row r="9439" spans="1:13" x14ac:dyDescent="0.3">
      <c r="A9439" t="s">
        <v>3388</v>
      </c>
      <c r="B9439" t="s">
        <v>7109</v>
      </c>
      <c r="C9439" t="s">
        <v>5470</v>
      </c>
      <c r="D9439" t="s">
        <v>4119</v>
      </c>
      <c r="E9439" t="s">
        <v>5756</v>
      </c>
      <c r="F9439" t="s">
        <v>33317</v>
      </c>
      <c r="G9439" t="s">
        <v>10488</v>
      </c>
      <c r="H9439" t="s">
        <v>5474</v>
      </c>
      <c r="I9439" t="s">
        <v>33318</v>
      </c>
      <c r="J9439" t="s">
        <v>5484</v>
      </c>
      <c r="K9439" t="s">
        <v>33319</v>
      </c>
      <c r="L9439" t="s">
        <v>5471</v>
      </c>
      <c r="M9439" t="s">
        <v>5471</v>
      </c>
    </row>
    <row r="9440" spans="1:13" x14ac:dyDescent="0.3">
      <c r="A9440" t="s">
        <v>3388</v>
      </c>
      <c r="B9440" t="s">
        <v>8799</v>
      </c>
      <c r="C9440" t="s">
        <v>5470</v>
      </c>
      <c r="D9440" t="s">
        <v>4119</v>
      </c>
      <c r="E9440" t="s">
        <v>5756</v>
      </c>
      <c r="F9440" t="s">
        <v>33320</v>
      </c>
      <c r="G9440" t="s">
        <v>33321</v>
      </c>
      <c r="H9440" t="s">
        <v>5474</v>
      </c>
      <c r="I9440" t="s">
        <v>33322</v>
      </c>
      <c r="J9440" t="s">
        <v>5484</v>
      </c>
      <c r="K9440" t="s">
        <v>33323</v>
      </c>
      <c r="L9440" t="s">
        <v>5471</v>
      </c>
      <c r="M9440" t="s">
        <v>5471</v>
      </c>
    </row>
    <row r="9441" spans="1:13" x14ac:dyDescent="0.3">
      <c r="A9441" t="s">
        <v>3388</v>
      </c>
      <c r="B9441" t="s">
        <v>7101</v>
      </c>
      <c r="C9441" t="s">
        <v>5470</v>
      </c>
      <c r="D9441" t="s">
        <v>4058</v>
      </c>
      <c r="E9441" t="s">
        <v>5532</v>
      </c>
      <c r="F9441" t="s">
        <v>33324</v>
      </c>
      <c r="G9441" t="s">
        <v>20359</v>
      </c>
      <c r="H9441" t="s">
        <v>5474</v>
      </c>
      <c r="I9441" t="s">
        <v>33325</v>
      </c>
      <c r="J9441" t="s">
        <v>5484</v>
      </c>
      <c r="K9441" t="s">
        <v>28912</v>
      </c>
      <c r="L9441" t="s">
        <v>5471</v>
      </c>
      <c r="M9441" t="s">
        <v>5471</v>
      </c>
    </row>
    <row r="9442" spans="1:13" x14ac:dyDescent="0.3">
      <c r="A9442" t="s">
        <v>3388</v>
      </c>
      <c r="B9442" t="s">
        <v>5296</v>
      </c>
      <c r="C9442" t="s">
        <v>5470</v>
      </c>
      <c r="D9442" t="s">
        <v>4058</v>
      </c>
      <c r="E9442" t="s">
        <v>5480</v>
      </c>
      <c r="F9442" t="s">
        <v>33326</v>
      </c>
      <c r="G9442" t="s">
        <v>22544</v>
      </c>
      <c r="H9442" t="s">
        <v>5474</v>
      </c>
      <c r="I9442" t="s">
        <v>33327</v>
      </c>
      <c r="J9442" t="s">
        <v>5484</v>
      </c>
      <c r="K9442" t="s">
        <v>33328</v>
      </c>
      <c r="L9442" t="s">
        <v>5471</v>
      </c>
      <c r="M9442" t="s">
        <v>5471</v>
      </c>
    </row>
    <row r="9443" spans="1:13" x14ac:dyDescent="0.3">
      <c r="A9443" t="s">
        <v>3388</v>
      </c>
      <c r="B9443" t="s">
        <v>5296</v>
      </c>
      <c r="C9443" t="s">
        <v>5470</v>
      </c>
      <c r="D9443" t="s">
        <v>4058</v>
      </c>
      <c r="E9443" t="s">
        <v>5480</v>
      </c>
      <c r="F9443" t="s">
        <v>33329</v>
      </c>
      <c r="G9443" t="s">
        <v>22544</v>
      </c>
      <c r="H9443" t="s">
        <v>5474</v>
      </c>
      <c r="I9443" t="s">
        <v>33330</v>
      </c>
      <c r="J9443" t="s">
        <v>5484</v>
      </c>
      <c r="K9443" t="s">
        <v>33331</v>
      </c>
      <c r="L9443" t="s">
        <v>5471</v>
      </c>
      <c r="M9443" t="s">
        <v>5471</v>
      </c>
    </row>
    <row r="9444" spans="1:13" x14ac:dyDescent="0.3">
      <c r="A9444" t="s">
        <v>3388</v>
      </c>
      <c r="B9444" t="s">
        <v>5263</v>
      </c>
      <c r="C9444" t="s">
        <v>5470</v>
      </c>
      <c r="D9444" t="s">
        <v>4058</v>
      </c>
      <c r="E9444" t="s">
        <v>5617</v>
      </c>
      <c r="F9444" t="s">
        <v>33332</v>
      </c>
      <c r="G9444" t="s">
        <v>33333</v>
      </c>
      <c r="H9444" t="s">
        <v>5474</v>
      </c>
      <c r="I9444" t="s">
        <v>33334</v>
      </c>
      <c r="J9444" t="s">
        <v>5484</v>
      </c>
      <c r="K9444" t="s">
        <v>28837</v>
      </c>
      <c r="L9444" t="s">
        <v>5471</v>
      </c>
      <c r="M9444" t="s">
        <v>5471</v>
      </c>
    </row>
    <row r="9445" spans="1:13" x14ac:dyDescent="0.3">
      <c r="A9445" t="s">
        <v>3388</v>
      </c>
      <c r="B9445" t="s">
        <v>5263</v>
      </c>
      <c r="C9445" t="s">
        <v>5470</v>
      </c>
      <c r="D9445" t="s">
        <v>4058</v>
      </c>
      <c r="E9445" t="s">
        <v>5617</v>
      </c>
      <c r="F9445" t="s">
        <v>33335</v>
      </c>
      <c r="G9445" t="s">
        <v>33333</v>
      </c>
      <c r="H9445" t="s">
        <v>5474</v>
      </c>
      <c r="I9445" t="s">
        <v>33336</v>
      </c>
      <c r="J9445" t="s">
        <v>5484</v>
      </c>
      <c r="K9445" t="s">
        <v>28840</v>
      </c>
      <c r="L9445" t="s">
        <v>5471</v>
      </c>
      <c r="M9445" t="s">
        <v>5471</v>
      </c>
    </row>
    <row r="9446" spans="1:13" x14ac:dyDescent="0.3">
      <c r="A9446" t="s">
        <v>3388</v>
      </c>
      <c r="B9446" t="s">
        <v>5263</v>
      </c>
      <c r="C9446" t="s">
        <v>5470</v>
      </c>
      <c r="D9446" t="s">
        <v>4058</v>
      </c>
      <c r="E9446" t="s">
        <v>5617</v>
      </c>
      <c r="F9446" t="s">
        <v>33337</v>
      </c>
      <c r="G9446" t="s">
        <v>33333</v>
      </c>
      <c r="H9446" t="s">
        <v>5474</v>
      </c>
      <c r="I9446" t="s">
        <v>33338</v>
      </c>
      <c r="J9446" t="s">
        <v>5484</v>
      </c>
      <c r="K9446" t="s">
        <v>33339</v>
      </c>
      <c r="L9446" t="s">
        <v>5471</v>
      </c>
      <c r="M9446" t="s">
        <v>5471</v>
      </c>
    </row>
    <row r="9447" spans="1:13" x14ac:dyDescent="0.3">
      <c r="A9447" t="s">
        <v>3388</v>
      </c>
      <c r="B9447" t="s">
        <v>7101</v>
      </c>
      <c r="C9447" t="s">
        <v>5470</v>
      </c>
      <c r="D9447" t="s">
        <v>4058</v>
      </c>
      <c r="E9447" t="s">
        <v>5617</v>
      </c>
      <c r="F9447" t="s">
        <v>33340</v>
      </c>
      <c r="G9447" t="s">
        <v>22186</v>
      </c>
      <c r="H9447" t="s">
        <v>5474</v>
      </c>
      <c r="I9447" t="s">
        <v>33341</v>
      </c>
      <c r="J9447" t="s">
        <v>5484</v>
      </c>
      <c r="K9447" t="s">
        <v>28720</v>
      </c>
      <c r="L9447" t="s">
        <v>5471</v>
      </c>
      <c r="M9447" t="s">
        <v>5471</v>
      </c>
    </row>
    <row r="9448" spans="1:13" x14ac:dyDescent="0.3">
      <c r="A9448" t="s">
        <v>3388</v>
      </c>
      <c r="B9448" t="s">
        <v>21928</v>
      </c>
      <c r="C9448" t="s">
        <v>5470</v>
      </c>
      <c r="D9448" t="s">
        <v>4058</v>
      </c>
      <c r="E9448" t="s">
        <v>5617</v>
      </c>
      <c r="F9448" t="s">
        <v>33342</v>
      </c>
      <c r="G9448" t="s">
        <v>33343</v>
      </c>
      <c r="H9448" t="s">
        <v>5474</v>
      </c>
      <c r="I9448" t="s">
        <v>33344</v>
      </c>
      <c r="J9448" t="s">
        <v>5484</v>
      </c>
      <c r="K9448" t="s">
        <v>33345</v>
      </c>
      <c r="L9448" t="s">
        <v>5471</v>
      </c>
      <c r="M9448" t="s">
        <v>5471</v>
      </c>
    </row>
    <row r="9449" spans="1:13" x14ac:dyDescent="0.3">
      <c r="A9449" t="s">
        <v>3388</v>
      </c>
      <c r="B9449" t="s">
        <v>21928</v>
      </c>
      <c r="C9449" t="s">
        <v>5470</v>
      </c>
      <c r="D9449" t="s">
        <v>4058</v>
      </c>
      <c r="E9449" t="s">
        <v>5617</v>
      </c>
      <c r="F9449" t="s">
        <v>33346</v>
      </c>
      <c r="G9449" t="s">
        <v>33343</v>
      </c>
      <c r="H9449" t="s">
        <v>5474</v>
      </c>
      <c r="I9449" t="s">
        <v>33347</v>
      </c>
      <c r="J9449" t="s">
        <v>5484</v>
      </c>
      <c r="K9449" t="s">
        <v>29580</v>
      </c>
      <c r="L9449" t="s">
        <v>5471</v>
      </c>
      <c r="M9449" t="s">
        <v>5471</v>
      </c>
    </row>
    <row r="9450" spans="1:13" x14ac:dyDescent="0.3">
      <c r="A9450" t="s">
        <v>3388</v>
      </c>
      <c r="B9450" t="s">
        <v>17585</v>
      </c>
      <c r="C9450" t="s">
        <v>5470</v>
      </c>
      <c r="D9450" t="s">
        <v>30466</v>
      </c>
      <c r="E9450" t="s">
        <v>5532</v>
      </c>
      <c r="F9450" t="s">
        <v>33348</v>
      </c>
      <c r="G9450" t="s">
        <v>17587</v>
      </c>
      <c r="H9450" t="s">
        <v>5474</v>
      </c>
      <c r="I9450" t="s">
        <v>33349</v>
      </c>
      <c r="J9450" t="s">
        <v>5484</v>
      </c>
      <c r="K9450" t="s">
        <v>33350</v>
      </c>
      <c r="L9450" t="s">
        <v>5471</v>
      </c>
      <c r="M9450" t="s">
        <v>5471</v>
      </c>
    </row>
    <row r="9451" spans="1:13" x14ac:dyDescent="0.3">
      <c r="A9451" t="s">
        <v>3388</v>
      </c>
      <c r="B9451" t="s">
        <v>5531</v>
      </c>
      <c r="C9451" t="s">
        <v>5470</v>
      </c>
      <c r="D9451" t="s">
        <v>30466</v>
      </c>
      <c r="E9451" t="s">
        <v>5532</v>
      </c>
      <c r="F9451" t="s">
        <v>33351</v>
      </c>
      <c r="G9451" t="s">
        <v>9069</v>
      </c>
      <c r="H9451" t="s">
        <v>5474</v>
      </c>
      <c r="I9451" t="s">
        <v>33352</v>
      </c>
      <c r="J9451" t="s">
        <v>5484</v>
      </c>
      <c r="K9451" t="s">
        <v>33353</v>
      </c>
      <c r="L9451" t="s">
        <v>5471</v>
      </c>
      <c r="M9451" t="s">
        <v>5471</v>
      </c>
    </row>
    <row r="9452" spans="1:13" x14ac:dyDescent="0.3">
      <c r="A9452" t="s">
        <v>3388</v>
      </c>
      <c r="B9452" t="s">
        <v>5296</v>
      </c>
      <c r="C9452" t="s">
        <v>5470</v>
      </c>
      <c r="D9452" t="s">
        <v>30466</v>
      </c>
      <c r="E9452" t="s">
        <v>5480</v>
      </c>
      <c r="F9452" t="s">
        <v>33354</v>
      </c>
      <c r="G9452" t="s">
        <v>22544</v>
      </c>
      <c r="H9452" t="s">
        <v>5474</v>
      </c>
      <c r="I9452" t="s">
        <v>33355</v>
      </c>
      <c r="J9452" t="s">
        <v>5484</v>
      </c>
      <c r="K9452" t="s">
        <v>33356</v>
      </c>
      <c r="L9452" t="s">
        <v>5471</v>
      </c>
      <c r="M9452" t="s">
        <v>5471</v>
      </c>
    </row>
    <row r="9453" spans="1:13" x14ac:dyDescent="0.3">
      <c r="A9453" t="s">
        <v>3388</v>
      </c>
      <c r="B9453" t="s">
        <v>10417</v>
      </c>
      <c r="C9453" t="s">
        <v>5470</v>
      </c>
      <c r="D9453" t="s">
        <v>30466</v>
      </c>
      <c r="E9453" t="s">
        <v>5756</v>
      </c>
      <c r="F9453" t="s">
        <v>33357</v>
      </c>
      <c r="G9453" t="s">
        <v>33358</v>
      </c>
      <c r="H9453" t="s">
        <v>5474</v>
      </c>
      <c r="I9453" t="s">
        <v>33359</v>
      </c>
      <c r="J9453" t="s">
        <v>5484</v>
      </c>
      <c r="K9453" t="s">
        <v>33360</v>
      </c>
      <c r="L9453" t="s">
        <v>5471</v>
      </c>
      <c r="M9453" t="s">
        <v>5471</v>
      </c>
    </row>
    <row r="9454" spans="1:13" x14ac:dyDescent="0.3">
      <c r="A9454" t="s">
        <v>3388</v>
      </c>
      <c r="B9454" t="s">
        <v>8799</v>
      </c>
      <c r="C9454" t="s">
        <v>5470</v>
      </c>
      <c r="D9454" t="s">
        <v>30466</v>
      </c>
      <c r="E9454" t="s">
        <v>5756</v>
      </c>
      <c r="F9454" t="s">
        <v>33361</v>
      </c>
      <c r="G9454" t="s">
        <v>33321</v>
      </c>
      <c r="H9454" t="s">
        <v>5474</v>
      </c>
      <c r="I9454" t="s">
        <v>33362</v>
      </c>
      <c r="J9454" t="s">
        <v>5484</v>
      </c>
      <c r="K9454" t="s">
        <v>33363</v>
      </c>
      <c r="L9454" t="s">
        <v>5471</v>
      </c>
      <c r="M9454" t="s">
        <v>5471</v>
      </c>
    </row>
    <row r="9455" spans="1:13" x14ac:dyDescent="0.3">
      <c r="A9455" t="s">
        <v>3388</v>
      </c>
      <c r="B9455" t="s">
        <v>8799</v>
      </c>
      <c r="C9455" t="s">
        <v>5470</v>
      </c>
      <c r="D9455" t="s">
        <v>30466</v>
      </c>
      <c r="E9455" t="s">
        <v>5756</v>
      </c>
      <c r="F9455" t="s">
        <v>33364</v>
      </c>
      <c r="G9455" t="s">
        <v>31814</v>
      </c>
      <c r="H9455" t="s">
        <v>5474</v>
      </c>
      <c r="I9455" t="s">
        <v>33365</v>
      </c>
      <c r="J9455" t="s">
        <v>5484</v>
      </c>
      <c r="K9455" t="s">
        <v>33366</v>
      </c>
      <c r="L9455" t="s">
        <v>5471</v>
      </c>
      <c r="M9455" t="s">
        <v>5471</v>
      </c>
    </row>
    <row r="9456" spans="1:13" x14ac:dyDescent="0.3">
      <c r="A9456" t="s">
        <v>3388</v>
      </c>
      <c r="B9456" t="s">
        <v>19988</v>
      </c>
      <c r="C9456" t="s">
        <v>5470</v>
      </c>
      <c r="D9456" t="s">
        <v>30466</v>
      </c>
      <c r="E9456" t="s">
        <v>5532</v>
      </c>
      <c r="F9456" t="s">
        <v>33367</v>
      </c>
      <c r="G9456" t="s">
        <v>18927</v>
      </c>
      <c r="H9456" t="s">
        <v>5474</v>
      </c>
      <c r="I9456" t="s">
        <v>33368</v>
      </c>
      <c r="J9456" t="s">
        <v>5484</v>
      </c>
      <c r="K9456" t="s">
        <v>33369</v>
      </c>
      <c r="L9456" t="s">
        <v>5471</v>
      </c>
      <c r="M9456" t="s">
        <v>5471</v>
      </c>
    </row>
    <row r="9457" spans="1:13" x14ac:dyDescent="0.3">
      <c r="A9457" t="s">
        <v>3388</v>
      </c>
      <c r="B9457" t="s">
        <v>10496</v>
      </c>
      <c r="C9457" t="s">
        <v>5470</v>
      </c>
      <c r="D9457" t="s">
        <v>4119</v>
      </c>
      <c r="E9457" t="s">
        <v>5532</v>
      </c>
      <c r="F9457" t="s">
        <v>33370</v>
      </c>
      <c r="G9457" t="s">
        <v>10498</v>
      </c>
      <c r="H9457" t="s">
        <v>5474</v>
      </c>
      <c r="I9457" t="s">
        <v>33371</v>
      </c>
      <c r="J9457" t="s">
        <v>5484</v>
      </c>
      <c r="K9457" t="s">
        <v>33372</v>
      </c>
      <c r="L9457" t="s">
        <v>5471</v>
      </c>
      <c r="M9457" t="s">
        <v>5471</v>
      </c>
    </row>
    <row r="9458" spans="1:13" x14ac:dyDescent="0.3">
      <c r="A9458" t="s">
        <v>3388</v>
      </c>
      <c r="B9458" t="s">
        <v>10496</v>
      </c>
      <c r="C9458" t="s">
        <v>5470</v>
      </c>
      <c r="D9458" t="s">
        <v>4119</v>
      </c>
      <c r="E9458" t="s">
        <v>5532</v>
      </c>
      <c r="F9458" t="s">
        <v>33373</v>
      </c>
      <c r="G9458" t="s">
        <v>10498</v>
      </c>
      <c r="H9458" t="s">
        <v>5474</v>
      </c>
      <c r="I9458" t="s">
        <v>33374</v>
      </c>
      <c r="J9458" t="s">
        <v>5484</v>
      </c>
      <c r="K9458" t="s">
        <v>33375</v>
      </c>
      <c r="L9458" t="s">
        <v>5471</v>
      </c>
      <c r="M9458" t="s">
        <v>5471</v>
      </c>
    </row>
    <row r="9459" spans="1:13" x14ac:dyDescent="0.3">
      <c r="A9459" t="s">
        <v>3388</v>
      </c>
      <c r="B9459" t="s">
        <v>10496</v>
      </c>
      <c r="C9459" t="s">
        <v>5470</v>
      </c>
      <c r="D9459" t="s">
        <v>4119</v>
      </c>
      <c r="E9459" t="s">
        <v>5532</v>
      </c>
      <c r="F9459" t="s">
        <v>33376</v>
      </c>
      <c r="G9459" t="s">
        <v>10498</v>
      </c>
      <c r="H9459" t="s">
        <v>5474</v>
      </c>
      <c r="I9459" t="s">
        <v>33377</v>
      </c>
      <c r="J9459" t="s">
        <v>5484</v>
      </c>
      <c r="K9459" t="s">
        <v>33378</v>
      </c>
      <c r="L9459" t="s">
        <v>5471</v>
      </c>
      <c r="M9459" t="s">
        <v>5471</v>
      </c>
    </row>
    <row r="9460" spans="1:13" x14ac:dyDescent="0.3">
      <c r="A9460" t="s">
        <v>3388</v>
      </c>
      <c r="B9460" t="s">
        <v>10496</v>
      </c>
      <c r="C9460" t="s">
        <v>5470</v>
      </c>
      <c r="D9460" t="s">
        <v>4119</v>
      </c>
      <c r="E9460" t="s">
        <v>5532</v>
      </c>
      <c r="F9460" t="s">
        <v>33379</v>
      </c>
      <c r="G9460" t="s">
        <v>10498</v>
      </c>
      <c r="H9460" t="s">
        <v>5474</v>
      </c>
      <c r="I9460" t="s">
        <v>33380</v>
      </c>
      <c r="J9460" t="s">
        <v>5484</v>
      </c>
      <c r="K9460" t="s">
        <v>33381</v>
      </c>
      <c r="L9460" t="s">
        <v>5471</v>
      </c>
      <c r="M9460" t="s">
        <v>5471</v>
      </c>
    </row>
    <row r="9461" spans="1:13" x14ac:dyDescent="0.3">
      <c r="A9461" t="s">
        <v>3388</v>
      </c>
      <c r="B9461" t="s">
        <v>10496</v>
      </c>
      <c r="C9461" t="s">
        <v>5470</v>
      </c>
      <c r="D9461" t="s">
        <v>4119</v>
      </c>
      <c r="E9461" t="s">
        <v>5532</v>
      </c>
      <c r="F9461" t="s">
        <v>33382</v>
      </c>
      <c r="G9461" t="s">
        <v>10498</v>
      </c>
      <c r="H9461" t="s">
        <v>5474</v>
      </c>
      <c r="I9461" t="s">
        <v>33383</v>
      </c>
      <c r="J9461" t="s">
        <v>5484</v>
      </c>
      <c r="K9461" t="s">
        <v>33384</v>
      </c>
      <c r="L9461" t="s">
        <v>5471</v>
      </c>
      <c r="M9461" t="s">
        <v>5471</v>
      </c>
    </row>
    <row r="9462" spans="1:13" x14ac:dyDescent="0.3">
      <c r="A9462" t="s">
        <v>3388</v>
      </c>
      <c r="B9462" t="s">
        <v>10496</v>
      </c>
      <c r="C9462" t="s">
        <v>5470</v>
      </c>
      <c r="D9462" t="s">
        <v>4119</v>
      </c>
      <c r="E9462" t="s">
        <v>5532</v>
      </c>
      <c r="F9462" t="s">
        <v>33385</v>
      </c>
      <c r="G9462" t="s">
        <v>10498</v>
      </c>
      <c r="H9462" t="s">
        <v>5474</v>
      </c>
      <c r="I9462" t="s">
        <v>33386</v>
      </c>
      <c r="J9462" t="s">
        <v>5484</v>
      </c>
      <c r="K9462" t="s">
        <v>33387</v>
      </c>
      <c r="L9462" t="s">
        <v>5471</v>
      </c>
      <c r="M9462" t="s">
        <v>5471</v>
      </c>
    </row>
    <row r="9463" spans="1:13" x14ac:dyDescent="0.3">
      <c r="A9463" t="s">
        <v>3380</v>
      </c>
      <c r="B9463" t="s">
        <v>9702</v>
      </c>
      <c r="C9463" t="s">
        <v>6342</v>
      </c>
      <c r="D9463" t="s">
        <v>4200</v>
      </c>
      <c r="E9463" t="s">
        <v>5532</v>
      </c>
      <c r="F9463" t="s">
        <v>33388</v>
      </c>
      <c r="G9463" t="s">
        <v>33389</v>
      </c>
      <c r="H9463" t="s">
        <v>5474</v>
      </c>
      <c r="I9463" t="s">
        <v>33390</v>
      </c>
      <c r="J9463" t="s">
        <v>5476</v>
      </c>
      <c r="K9463" t="s">
        <v>28320</v>
      </c>
      <c r="L9463" t="s">
        <v>5471</v>
      </c>
      <c r="M9463" t="s">
        <v>5471</v>
      </c>
    </row>
    <row r="9464" spans="1:13" x14ac:dyDescent="0.3">
      <c r="A9464" t="s">
        <v>3388</v>
      </c>
      <c r="B9464" t="s">
        <v>10496</v>
      </c>
      <c r="C9464" t="s">
        <v>5470</v>
      </c>
      <c r="D9464" t="s">
        <v>4119</v>
      </c>
      <c r="E9464" t="s">
        <v>5532</v>
      </c>
      <c r="F9464" t="s">
        <v>33391</v>
      </c>
      <c r="G9464" t="s">
        <v>10498</v>
      </c>
      <c r="H9464" t="s">
        <v>5474</v>
      </c>
      <c r="I9464" t="s">
        <v>33392</v>
      </c>
      <c r="J9464" t="s">
        <v>5484</v>
      </c>
      <c r="K9464" t="s">
        <v>33393</v>
      </c>
      <c r="L9464" t="s">
        <v>5471</v>
      </c>
      <c r="M9464" t="s">
        <v>5471</v>
      </c>
    </row>
    <row r="9465" spans="1:13" x14ac:dyDescent="0.3">
      <c r="A9465" t="s">
        <v>3388</v>
      </c>
      <c r="B9465" t="s">
        <v>29840</v>
      </c>
      <c r="C9465" t="s">
        <v>5470</v>
      </c>
      <c r="D9465" t="s">
        <v>4119</v>
      </c>
      <c r="E9465" t="s">
        <v>5532</v>
      </c>
      <c r="F9465" t="s">
        <v>33394</v>
      </c>
      <c r="G9465" t="s">
        <v>5546</v>
      </c>
      <c r="H9465" t="s">
        <v>5474</v>
      </c>
      <c r="I9465" t="s">
        <v>33395</v>
      </c>
      <c r="J9465" t="s">
        <v>5484</v>
      </c>
      <c r="K9465" t="s">
        <v>33396</v>
      </c>
      <c r="L9465" t="s">
        <v>5471</v>
      </c>
      <c r="M9465" t="s">
        <v>5471</v>
      </c>
    </row>
    <row r="9466" spans="1:13" x14ac:dyDescent="0.3">
      <c r="A9466" t="s">
        <v>3397</v>
      </c>
      <c r="B9466" t="s">
        <v>5269</v>
      </c>
      <c r="C9466" t="s">
        <v>5487</v>
      </c>
      <c r="D9466" t="s">
        <v>4058</v>
      </c>
      <c r="E9466" t="s">
        <v>5595</v>
      </c>
      <c r="F9466" t="s">
        <v>33397</v>
      </c>
      <c r="G9466" t="s">
        <v>9135</v>
      </c>
      <c r="H9466" t="s">
        <v>5474</v>
      </c>
      <c r="I9466" t="s">
        <v>33398</v>
      </c>
      <c r="J9466" t="s">
        <v>5484</v>
      </c>
      <c r="K9466" t="s">
        <v>33399</v>
      </c>
      <c r="L9466" t="s">
        <v>5471</v>
      </c>
      <c r="M9466" t="s">
        <v>5471</v>
      </c>
    </row>
    <row r="9467" spans="1:13" x14ac:dyDescent="0.3">
      <c r="A9467" t="s">
        <v>3388</v>
      </c>
      <c r="B9467" t="s">
        <v>33400</v>
      </c>
      <c r="C9467" t="s">
        <v>5470</v>
      </c>
      <c r="D9467" t="s">
        <v>4119</v>
      </c>
      <c r="E9467" t="s">
        <v>5532</v>
      </c>
      <c r="F9467" t="s">
        <v>33401</v>
      </c>
      <c r="G9467" t="s">
        <v>33402</v>
      </c>
      <c r="H9467" t="s">
        <v>5474</v>
      </c>
      <c r="I9467" t="s">
        <v>33403</v>
      </c>
      <c r="J9467" t="s">
        <v>5484</v>
      </c>
      <c r="K9467" t="s">
        <v>33404</v>
      </c>
      <c r="L9467" t="s">
        <v>5471</v>
      </c>
      <c r="M9467" t="s">
        <v>5471</v>
      </c>
    </row>
    <row r="9468" spans="1:13" x14ac:dyDescent="0.3">
      <c r="A9468" t="s">
        <v>3388</v>
      </c>
      <c r="B9468" t="s">
        <v>33405</v>
      </c>
      <c r="C9468" t="s">
        <v>5470</v>
      </c>
      <c r="D9468" t="s">
        <v>4119</v>
      </c>
      <c r="E9468" t="s">
        <v>5617</v>
      </c>
      <c r="F9468" t="s">
        <v>33406</v>
      </c>
      <c r="G9468" t="s">
        <v>33407</v>
      </c>
      <c r="H9468" t="s">
        <v>5474</v>
      </c>
      <c r="I9468" t="s">
        <v>33408</v>
      </c>
      <c r="J9468" t="s">
        <v>5484</v>
      </c>
      <c r="K9468" t="s">
        <v>33409</v>
      </c>
      <c r="L9468" t="s">
        <v>5471</v>
      </c>
      <c r="M9468" t="s">
        <v>5471</v>
      </c>
    </row>
    <row r="9469" spans="1:13" x14ac:dyDescent="0.3">
      <c r="A9469" t="s">
        <v>3388</v>
      </c>
      <c r="B9469" t="s">
        <v>33405</v>
      </c>
      <c r="C9469" t="s">
        <v>5470</v>
      </c>
      <c r="D9469" t="s">
        <v>4119</v>
      </c>
      <c r="E9469" t="s">
        <v>5617</v>
      </c>
      <c r="F9469" t="s">
        <v>33410</v>
      </c>
      <c r="G9469" t="s">
        <v>33407</v>
      </c>
      <c r="H9469" t="s">
        <v>5474</v>
      </c>
      <c r="I9469" t="s">
        <v>33411</v>
      </c>
      <c r="J9469" t="s">
        <v>5484</v>
      </c>
      <c r="K9469" t="s">
        <v>33412</v>
      </c>
      <c r="L9469" t="s">
        <v>5471</v>
      </c>
      <c r="M9469" t="s">
        <v>5471</v>
      </c>
    </row>
    <row r="9470" spans="1:13" x14ac:dyDescent="0.3">
      <c r="A9470" t="s">
        <v>3388</v>
      </c>
      <c r="B9470" t="s">
        <v>33400</v>
      </c>
      <c r="C9470" t="s">
        <v>5470</v>
      </c>
      <c r="D9470" t="s">
        <v>4119</v>
      </c>
      <c r="E9470" t="s">
        <v>5532</v>
      </c>
      <c r="F9470" t="s">
        <v>33413</v>
      </c>
      <c r="G9470" t="s">
        <v>33414</v>
      </c>
      <c r="H9470" t="s">
        <v>5474</v>
      </c>
      <c r="I9470" t="s">
        <v>33415</v>
      </c>
      <c r="J9470" t="s">
        <v>5484</v>
      </c>
      <c r="K9470" t="s">
        <v>33416</v>
      </c>
      <c r="L9470" t="s">
        <v>5471</v>
      </c>
      <c r="M9470" t="s">
        <v>5471</v>
      </c>
    </row>
    <row r="9471" spans="1:13" x14ac:dyDescent="0.3">
      <c r="A9471" t="s">
        <v>3397</v>
      </c>
      <c r="B9471" t="s">
        <v>5269</v>
      </c>
      <c r="C9471" t="s">
        <v>5487</v>
      </c>
      <c r="D9471" t="s">
        <v>4058</v>
      </c>
      <c r="E9471" t="s">
        <v>5595</v>
      </c>
      <c r="F9471" t="s">
        <v>33417</v>
      </c>
      <c r="G9471" t="s">
        <v>9135</v>
      </c>
      <c r="H9471" t="s">
        <v>5474</v>
      </c>
      <c r="I9471" t="s">
        <v>33418</v>
      </c>
      <c r="J9471" t="s">
        <v>5484</v>
      </c>
      <c r="K9471" t="s">
        <v>33419</v>
      </c>
      <c r="L9471" t="s">
        <v>5471</v>
      </c>
      <c r="M9471" t="s">
        <v>5471</v>
      </c>
    </row>
    <row r="9472" spans="1:13" x14ac:dyDescent="0.3">
      <c r="A9472" t="s">
        <v>3380</v>
      </c>
      <c r="B9472" t="s">
        <v>10051</v>
      </c>
      <c r="C9472" t="s">
        <v>6342</v>
      </c>
      <c r="D9472" t="s">
        <v>4347</v>
      </c>
      <c r="E9472" t="s">
        <v>5480</v>
      </c>
      <c r="F9472" t="s">
        <v>33420</v>
      </c>
      <c r="G9472" t="s">
        <v>33421</v>
      </c>
      <c r="H9472" t="s">
        <v>5474</v>
      </c>
      <c r="I9472" t="s">
        <v>33422</v>
      </c>
      <c r="J9472" t="s">
        <v>5476</v>
      </c>
      <c r="K9472" t="s">
        <v>33423</v>
      </c>
      <c r="L9472" t="s">
        <v>5471</v>
      </c>
      <c r="M9472" t="s">
        <v>5471</v>
      </c>
    </row>
    <row r="9473" spans="1:13" x14ac:dyDescent="0.3">
      <c r="A9473" t="s">
        <v>3388</v>
      </c>
      <c r="B9473" t="s">
        <v>30017</v>
      </c>
      <c r="C9473" t="s">
        <v>5470</v>
      </c>
      <c r="D9473" t="s">
        <v>4119</v>
      </c>
      <c r="E9473" t="s">
        <v>5532</v>
      </c>
      <c r="F9473" t="s">
        <v>33424</v>
      </c>
      <c r="G9473" t="s">
        <v>29434</v>
      </c>
      <c r="H9473" t="s">
        <v>5474</v>
      </c>
      <c r="I9473" t="s">
        <v>33425</v>
      </c>
      <c r="J9473" t="s">
        <v>5484</v>
      </c>
      <c r="K9473" t="s">
        <v>33426</v>
      </c>
      <c r="L9473" t="s">
        <v>5471</v>
      </c>
      <c r="M9473" t="s">
        <v>5471</v>
      </c>
    </row>
    <row r="9474" spans="1:13" x14ac:dyDescent="0.3">
      <c r="A9474" t="s">
        <v>3380</v>
      </c>
      <c r="B9474" t="s">
        <v>10105</v>
      </c>
      <c r="C9474" t="s">
        <v>6342</v>
      </c>
      <c r="D9474" t="s">
        <v>4056</v>
      </c>
      <c r="E9474" t="s">
        <v>5532</v>
      </c>
      <c r="F9474" t="s">
        <v>33427</v>
      </c>
      <c r="G9474" t="s">
        <v>10107</v>
      </c>
      <c r="H9474" t="s">
        <v>5474</v>
      </c>
      <c r="I9474" t="s">
        <v>33428</v>
      </c>
      <c r="J9474" t="s">
        <v>5484</v>
      </c>
      <c r="K9474" t="s">
        <v>28473</v>
      </c>
      <c r="L9474" t="s">
        <v>5471</v>
      </c>
      <c r="M9474" t="s">
        <v>5471</v>
      </c>
    </row>
    <row r="9475" spans="1:13" x14ac:dyDescent="0.3">
      <c r="A9475" t="s">
        <v>3388</v>
      </c>
      <c r="B9475" t="s">
        <v>30017</v>
      </c>
      <c r="C9475" t="s">
        <v>5470</v>
      </c>
      <c r="D9475" t="s">
        <v>4119</v>
      </c>
      <c r="E9475" t="s">
        <v>5532</v>
      </c>
      <c r="F9475" t="s">
        <v>33429</v>
      </c>
      <c r="G9475" t="s">
        <v>30043</v>
      </c>
      <c r="H9475" t="s">
        <v>5474</v>
      </c>
      <c r="I9475" t="s">
        <v>33430</v>
      </c>
      <c r="J9475" t="s">
        <v>5484</v>
      </c>
      <c r="K9475" t="s">
        <v>33431</v>
      </c>
      <c r="L9475" t="s">
        <v>5471</v>
      </c>
      <c r="M9475" t="s">
        <v>5471</v>
      </c>
    </row>
    <row r="9476" spans="1:13" x14ac:dyDescent="0.3">
      <c r="A9476" t="s">
        <v>3388</v>
      </c>
      <c r="B9476" t="s">
        <v>30017</v>
      </c>
      <c r="C9476" t="s">
        <v>5470</v>
      </c>
      <c r="D9476" t="s">
        <v>4119</v>
      </c>
      <c r="E9476" t="s">
        <v>5532</v>
      </c>
      <c r="F9476" t="s">
        <v>33432</v>
      </c>
      <c r="G9476" t="s">
        <v>30043</v>
      </c>
      <c r="H9476" t="s">
        <v>5474</v>
      </c>
      <c r="I9476" t="s">
        <v>33433</v>
      </c>
      <c r="J9476" t="s">
        <v>5484</v>
      </c>
      <c r="K9476" t="s">
        <v>33434</v>
      </c>
      <c r="L9476" t="s">
        <v>5471</v>
      </c>
      <c r="M9476" t="s">
        <v>5471</v>
      </c>
    </row>
    <row r="9477" spans="1:13" x14ac:dyDescent="0.3">
      <c r="A9477" t="s">
        <v>3380</v>
      </c>
      <c r="B9477" t="s">
        <v>16336</v>
      </c>
      <c r="C9477" t="s">
        <v>5487</v>
      </c>
      <c r="D9477" t="s">
        <v>30466</v>
      </c>
      <c r="E9477" t="s">
        <v>5843</v>
      </c>
      <c r="F9477" t="s">
        <v>33435</v>
      </c>
      <c r="G9477" t="s">
        <v>33436</v>
      </c>
      <c r="H9477" t="s">
        <v>5474</v>
      </c>
      <c r="I9477" t="s">
        <v>33437</v>
      </c>
      <c r="J9477" t="s">
        <v>5484</v>
      </c>
      <c r="K9477" t="s">
        <v>26265</v>
      </c>
      <c r="L9477" t="s">
        <v>5471</v>
      </c>
      <c r="M9477" t="s">
        <v>5471</v>
      </c>
    </row>
    <row r="9478" spans="1:13" x14ac:dyDescent="0.3">
      <c r="A9478" t="s">
        <v>3388</v>
      </c>
      <c r="B9478" t="s">
        <v>30017</v>
      </c>
      <c r="C9478" t="s">
        <v>5470</v>
      </c>
      <c r="D9478" t="s">
        <v>4119</v>
      </c>
      <c r="E9478" t="s">
        <v>5532</v>
      </c>
      <c r="F9478" t="s">
        <v>33438</v>
      </c>
      <c r="G9478" t="s">
        <v>30043</v>
      </c>
      <c r="H9478" t="s">
        <v>5474</v>
      </c>
      <c r="I9478" t="s">
        <v>33439</v>
      </c>
      <c r="J9478" t="s">
        <v>5484</v>
      </c>
      <c r="K9478" t="s">
        <v>33440</v>
      </c>
      <c r="L9478" t="s">
        <v>5471</v>
      </c>
      <c r="M9478" t="s">
        <v>5471</v>
      </c>
    </row>
    <row r="9479" spans="1:13" x14ac:dyDescent="0.3">
      <c r="A9479" t="s">
        <v>3380</v>
      </c>
      <c r="B9479" t="s">
        <v>16336</v>
      </c>
      <c r="C9479" t="s">
        <v>5487</v>
      </c>
      <c r="D9479" t="s">
        <v>30466</v>
      </c>
      <c r="E9479" t="s">
        <v>5843</v>
      </c>
      <c r="F9479" t="s">
        <v>33441</v>
      </c>
      <c r="G9479" t="s">
        <v>16856</v>
      </c>
      <c r="H9479" t="s">
        <v>5474</v>
      </c>
      <c r="I9479" t="s">
        <v>33442</v>
      </c>
      <c r="J9479" t="s">
        <v>5484</v>
      </c>
      <c r="K9479" t="s">
        <v>33443</v>
      </c>
      <c r="L9479" t="s">
        <v>5471</v>
      </c>
      <c r="M9479" t="s">
        <v>5471</v>
      </c>
    </row>
    <row r="9480" spans="1:13" x14ac:dyDescent="0.3">
      <c r="A9480" t="s">
        <v>3388</v>
      </c>
      <c r="B9480" t="s">
        <v>30017</v>
      </c>
      <c r="C9480" t="s">
        <v>5470</v>
      </c>
      <c r="D9480" t="s">
        <v>4119</v>
      </c>
      <c r="E9480" t="s">
        <v>5532</v>
      </c>
      <c r="F9480" t="s">
        <v>33444</v>
      </c>
      <c r="G9480" t="s">
        <v>30053</v>
      </c>
      <c r="H9480" t="s">
        <v>5474</v>
      </c>
      <c r="I9480" t="s">
        <v>33445</v>
      </c>
      <c r="J9480" t="s">
        <v>5484</v>
      </c>
      <c r="K9480" t="s">
        <v>33446</v>
      </c>
      <c r="L9480" t="s">
        <v>5471</v>
      </c>
      <c r="M9480" t="s">
        <v>5471</v>
      </c>
    </row>
    <row r="9481" spans="1:13" x14ac:dyDescent="0.3">
      <c r="A9481" t="s">
        <v>3380</v>
      </c>
      <c r="B9481" t="s">
        <v>10051</v>
      </c>
      <c r="C9481" t="s">
        <v>6342</v>
      </c>
      <c r="D9481" t="s">
        <v>4347</v>
      </c>
      <c r="E9481" t="s">
        <v>5480</v>
      </c>
      <c r="F9481" t="s">
        <v>33447</v>
      </c>
      <c r="G9481" t="s">
        <v>16085</v>
      </c>
      <c r="H9481" t="s">
        <v>5474</v>
      </c>
      <c r="I9481" t="s">
        <v>33448</v>
      </c>
      <c r="J9481" t="s">
        <v>5476</v>
      </c>
      <c r="K9481" t="s">
        <v>33449</v>
      </c>
      <c r="L9481" t="s">
        <v>5471</v>
      </c>
      <c r="M9481" t="s">
        <v>5471</v>
      </c>
    </row>
    <row r="9482" spans="1:13" x14ac:dyDescent="0.3">
      <c r="A9482" t="s">
        <v>3388</v>
      </c>
      <c r="B9482" t="s">
        <v>33405</v>
      </c>
      <c r="C9482" t="s">
        <v>5470</v>
      </c>
      <c r="D9482" t="s">
        <v>4119</v>
      </c>
      <c r="E9482" t="s">
        <v>5617</v>
      </c>
      <c r="F9482" t="s">
        <v>33450</v>
      </c>
      <c r="G9482" t="s">
        <v>33407</v>
      </c>
      <c r="H9482" t="s">
        <v>5474</v>
      </c>
      <c r="I9482" t="s">
        <v>33451</v>
      </c>
      <c r="J9482" t="s">
        <v>5484</v>
      </c>
      <c r="K9482" t="s">
        <v>33452</v>
      </c>
      <c r="L9482" t="s">
        <v>5471</v>
      </c>
      <c r="M9482" t="s">
        <v>5471</v>
      </c>
    </row>
    <row r="9483" spans="1:13" x14ac:dyDescent="0.3">
      <c r="A9483" t="s">
        <v>3388</v>
      </c>
      <c r="B9483" t="s">
        <v>23931</v>
      </c>
      <c r="C9483" t="s">
        <v>5470</v>
      </c>
      <c r="D9483" t="s">
        <v>4119</v>
      </c>
      <c r="E9483" t="s">
        <v>5756</v>
      </c>
      <c r="F9483" t="s">
        <v>33453</v>
      </c>
      <c r="G9483" t="s">
        <v>16923</v>
      </c>
      <c r="H9483" t="s">
        <v>5474</v>
      </c>
      <c r="I9483" t="s">
        <v>33454</v>
      </c>
      <c r="J9483" t="s">
        <v>5484</v>
      </c>
      <c r="K9483" t="s">
        <v>33455</v>
      </c>
      <c r="L9483" t="s">
        <v>5471</v>
      </c>
      <c r="M9483" t="s">
        <v>5471</v>
      </c>
    </row>
    <row r="9484" spans="1:13" x14ac:dyDescent="0.3">
      <c r="A9484" t="s">
        <v>3380</v>
      </c>
      <c r="B9484" t="s">
        <v>10051</v>
      </c>
      <c r="C9484" t="s">
        <v>6342</v>
      </c>
      <c r="D9484" t="s">
        <v>4347</v>
      </c>
      <c r="E9484" t="s">
        <v>5480</v>
      </c>
      <c r="F9484" t="s">
        <v>33456</v>
      </c>
      <c r="G9484" t="s">
        <v>16085</v>
      </c>
      <c r="H9484" t="s">
        <v>5474</v>
      </c>
      <c r="I9484" t="s">
        <v>33457</v>
      </c>
      <c r="J9484" t="s">
        <v>5476</v>
      </c>
      <c r="K9484" t="s">
        <v>33458</v>
      </c>
      <c r="L9484" t="s">
        <v>5471</v>
      </c>
      <c r="M9484" t="s">
        <v>5471</v>
      </c>
    </row>
    <row r="9485" spans="1:13" x14ac:dyDescent="0.3">
      <c r="A9485" t="s">
        <v>3388</v>
      </c>
      <c r="B9485" t="s">
        <v>30742</v>
      </c>
      <c r="C9485" t="s">
        <v>5470</v>
      </c>
      <c r="D9485" t="s">
        <v>4119</v>
      </c>
      <c r="E9485" t="s">
        <v>5532</v>
      </c>
      <c r="F9485" t="s">
        <v>33459</v>
      </c>
      <c r="G9485" t="s">
        <v>19334</v>
      </c>
      <c r="H9485" t="s">
        <v>5474</v>
      </c>
      <c r="I9485" t="s">
        <v>33460</v>
      </c>
      <c r="J9485" t="s">
        <v>5484</v>
      </c>
      <c r="K9485" t="s">
        <v>33461</v>
      </c>
      <c r="L9485" t="s">
        <v>5471</v>
      </c>
      <c r="M9485" t="s">
        <v>5471</v>
      </c>
    </row>
    <row r="9486" spans="1:13" x14ac:dyDescent="0.3">
      <c r="A9486" t="s">
        <v>3380</v>
      </c>
      <c r="B9486" t="s">
        <v>16336</v>
      </c>
      <c r="C9486" t="s">
        <v>5487</v>
      </c>
      <c r="D9486" t="s">
        <v>30466</v>
      </c>
      <c r="E9486" t="s">
        <v>5843</v>
      </c>
      <c r="F9486" t="s">
        <v>33462</v>
      </c>
      <c r="G9486" t="s">
        <v>31080</v>
      </c>
      <c r="H9486" t="s">
        <v>5474</v>
      </c>
      <c r="I9486" t="s">
        <v>33463</v>
      </c>
      <c r="J9486" t="s">
        <v>5484</v>
      </c>
      <c r="K9486" t="s">
        <v>33464</v>
      </c>
      <c r="L9486" t="s">
        <v>5471</v>
      </c>
      <c r="M9486" t="s">
        <v>5471</v>
      </c>
    </row>
    <row r="9487" spans="1:13" x14ac:dyDescent="0.3">
      <c r="A9487" t="s">
        <v>3388</v>
      </c>
      <c r="B9487" t="s">
        <v>30730</v>
      </c>
      <c r="C9487" t="s">
        <v>5470</v>
      </c>
      <c r="D9487" t="s">
        <v>4119</v>
      </c>
      <c r="E9487" t="s">
        <v>5532</v>
      </c>
      <c r="F9487" t="s">
        <v>33465</v>
      </c>
      <c r="G9487" t="s">
        <v>19330</v>
      </c>
      <c r="H9487" t="s">
        <v>5474</v>
      </c>
      <c r="I9487" t="s">
        <v>33466</v>
      </c>
      <c r="J9487" t="s">
        <v>5484</v>
      </c>
      <c r="K9487" t="s">
        <v>33467</v>
      </c>
      <c r="L9487" t="s">
        <v>5471</v>
      </c>
      <c r="M9487" t="s">
        <v>5471</v>
      </c>
    </row>
    <row r="9488" spans="1:13" x14ac:dyDescent="0.3">
      <c r="A9488" t="s">
        <v>3380</v>
      </c>
      <c r="B9488" t="s">
        <v>16336</v>
      </c>
      <c r="C9488" t="s">
        <v>5487</v>
      </c>
      <c r="D9488" t="s">
        <v>30466</v>
      </c>
      <c r="E9488" t="s">
        <v>5843</v>
      </c>
      <c r="F9488" t="s">
        <v>33468</v>
      </c>
      <c r="G9488" t="s">
        <v>31084</v>
      </c>
      <c r="H9488" t="s">
        <v>5474</v>
      </c>
      <c r="I9488" t="s">
        <v>33469</v>
      </c>
      <c r="J9488" t="s">
        <v>5484</v>
      </c>
      <c r="K9488" t="s">
        <v>33470</v>
      </c>
      <c r="L9488" t="s">
        <v>5471</v>
      </c>
      <c r="M9488" t="s">
        <v>5471</v>
      </c>
    </row>
    <row r="9489" spans="1:13" x14ac:dyDescent="0.3">
      <c r="A9489" t="s">
        <v>3388</v>
      </c>
      <c r="B9489" t="s">
        <v>18555</v>
      </c>
      <c r="C9489" t="s">
        <v>5470</v>
      </c>
      <c r="D9489" t="s">
        <v>4119</v>
      </c>
      <c r="E9489" t="s">
        <v>5756</v>
      </c>
      <c r="F9489" t="s">
        <v>33471</v>
      </c>
      <c r="G9489" t="s">
        <v>15840</v>
      </c>
      <c r="H9489" t="s">
        <v>5474</v>
      </c>
      <c r="I9489" t="s">
        <v>33472</v>
      </c>
      <c r="J9489" t="s">
        <v>5484</v>
      </c>
      <c r="K9489" t="s">
        <v>33473</v>
      </c>
      <c r="L9489" t="s">
        <v>5471</v>
      </c>
      <c r="M9489" t="s">
        <v>5471</v>
      </c>
    </row>
    <row r="9490" spans="1:13" x14ac:dyDescent="0.3">
      <c r="A9490" t="s">
        <v>3380</v>
      </c>
      <c r="B9490" t="s">
        <v>16336</v>
      </c>
      <c r="C9490" t="s">
        <v>5487</v>
      </c>
      <c r="D9490" t="s">
        <v>30466</v>
      </c>
      <c r="E9490" t="s">
        <v>5843</v>
      </c>
      <c r="F9490" t="s">
        <v>33474</v>
      </c>
      <c r="G9490" t="s">
        <v>31103</v>
      </c>
      <c r="H9490" t="s">
        <v>5474</v>
      </c>
      <c r="I9490" t="s">
        <v>33475</v>
      </c>
      <c r="J9490" t="s">
        <v>5484</v>
      </c>
      <c r="K9490" t="s">
        <v>33476</v>
      </c>
      <c r="L9490" t="s">
        <v>5471</v>
      </c>
      <c r="M9490" t="s">
        <v>5471</v>
      </c>
    </row>
    <row r="9491" spans="1:13" x14ac:dyDescent="0.3">
      <c r="A9491" t="s">
        <v>3388</v>
      </c>
      <c r="B9491" t="s">
        <v>18460</v>
      </c>
      <c r="C9491" t="s">
        <v>5470</v>
      </c>
      <c r="D9491" t="s">
        <v>4119</v>
      </c>
      <c r="E9491" t="s">
        <v>5756</v>
      </c>
      <c r="F9491" t="s">
        <v>33477</v>
      </c>
      <c r="G9491" t="s">
        <v>8370</v>
      </c>
      <c r="H9491" t="s">
        <v>5474</v>
      </c>
      <c r="I9491" t="s">
        <v>33478</v>
      </c>
      <c r="J9491" t="s">
        <v>5484</v>
      </c>
      <c r="K9491" t="s">
        <v>33479</v>
      </c>
      <c r="L9491" t="s">
        <v>5471</v>
      </c>
      <c r="M9491" t="s">
        <v>5471</v>
      </c>
    </row>
    <row r="9492" spans="1:13" x14ac:dyDescent="0.3">
      <c r="A9492" t="s">
        <v>3380</v>
      </c>
      <c r="B9492" t="s">
        <v>10051</v>
      </c>
      <c r="C9492" t="s">
        <v>6342</v>
      </c>
      <c r="D9492" t="s">
        <v>4347</v>
      </c>
      <c r="E9492" t="s">
        <v>5480</v>
      </c>
      <c r="F9492" t="s">
        <v>33480</v>
      </c>
      <c r="G9492" t="s">
        <v>16085</v>
      </c>
      <c r="H9492" t="s">
        <v>5474</v>
      </c>
      <c r="I9492" t="s">
        <v>33481</v>
      </c>
      <c r="J9492" t="s">
        <v>5476</v>
      </c>
      <c r="K9492" t="s">
        <v>33482</v>
      </c>
      <c r="L9492" t="s">
        <v>5471</v>
      </c>
      <c r="M9492" t="s">
        <v>5471</v>
      </c>
    </row>
    <row r="9493" spans="1:13" x14ac:dyDescent="0.3">
      <c r="A9493" t="s">
        <v>3388</v>
      </c>
      <c r="B9493" t="s">
        <v>5299</v>
      </c>
      <c r="C9493" t="s">
        <v>5470</v>
      </c>
      <c r="D9493" t="s">
        <v>4119</v>
      </c>
      <c r="E9493" t="s">
        <v>5532</v>
      </c>
      <c r="F9493" t="s">
        <v>33483</v>
      </c>
      <c r="G9493" t="s">
        <v>21561</v>
      </c>
      <c r="H9493" t="s">
        <v>5474</v>
      </c>
      <c r="I9493" t="s">
        <v>33484</v>
      </c>
      <c r="J9493" t="s">
        <v>5484</v>
      </c>
      <c r="K9493" t="s">
        <v>33485</v>
      </c>
      <c r="L9493" t="s">
        <v>5471</v>
      </c>
      <c r="M9493" t="s">
        <v>5471</v>
      </c>
    </row>
    <row r="9494" spans="1:13" x14ac:dyDescent="0.3">
      <c r="A9494" t="s">
        <v>3380</v>
      </c>
      <c r="B9494" t="s">
        <v>33486</v>
      </c>
      <c r="C9494" t="s">
        <v>6342</v>
      </c>
      <c r="D9494" t="s">
        <v>30466</v>
      </c>
      <c r="E9494" t="s">
        <v>9935</v>
      </c>
      <c r="F9494" t="s">
        <v>33487</v>
      </c>
      <c r="G9494" t="s">
        <v>33488</v>
      </c>
      <c r="H9494" t="s">
        <v>5474</v>
      </c>
      <c r="I9494" t="s">
        <v>33489</v>
      </c>
      <c r="J9494" t="s">
        <v>5476</v>
      </c>
      <c r="K9494" t="s">
        <v>26265</v>
      </c>
      <c r="L9494" t="s">
        <v>5471</v>
      </c>
      <c r="M9494" t="s">
        <v>5471</v>
      </c>
    </row>
    <row r="9495" spans="1:13" x14ac:dyDescent="0.3">
      <c r="A9495" t="s">
        <v>3388</v>
      </c>
      <c r="B9495" t="s">
        <v>9921</v>
      </c>
      <c r="C9495" t="s">
        <v>5470</v>
      </c>
      <c r="D9495" t="s">
        <v>4119</v>
      </c>
      <c r="E9495" t="s">
        <v>5532</v>
      </c>
      <c r="F9495" t="s">
        <v>33490</v>
      </c>
      <c r="G9495" t="s">
        <v>9931</v>
      </c>
      <c r="H9495" t="s">
        <v>5474</v>
      </c>
      <c r="I9495" t="s">
        <v>33491</v>
      </c>
      <c r="J9495" t="s">
        <v>5484</v>
      </c>
      <c r="K9495" t="s">
        <v>33492</v>
      </c>
      <c r="L9495" t="s">
        <v>5471</v>
      </c>
      <c r="M9495" t="s">
        <v>5471</v>
      </c>
    </row>
    <row r="9496" spans="1:13" x14ac:dyDescent="0.3">
      <c r="A9496" t="s">
        <v>3380</v>
      </c>
      <c r="B9496" t="s">
        <v>33486</v>
      </c>
      <c r="C9496" t="s">
        <v>6342</v>
      </c>
      <c r="D9496" t="s">
        <v>30466</v>
      </c>
      <c r="E9496" t="s">
        <v>9935</v>
      </c>
      <c r="F9496" t="s">
        <v>33493</v>
      </c>
      <c r="G9496" t="s">
        <v>10007</v>
      </c>
      <c r="H9496" t="s">
        <v>5474</v>
      </c>
      <c r="I9496" t="s">
        <v>33494</v>
      </c>
      <c r="J9496" t="s">
        <v>5476</v>
      </c>
      <c r="K9496" t="s">
        <v>33495</v>
      </c>
      <c r="L9496" t="s">
        <v>5471</v>
      </c>
      <c r="M9496" t="s">
        <v>5471</v>
      </c>
    </row>
    <row r="9497" spans="1:13" x14ac:dyDescent="0.3">
      <c r="A9497" t="s">
        <v>3388</v>
      </c>
      <c r="B9497" t="s">
        <v>9921</v>
      </c>
      <c r="C9497" t="s">
        <v>5470</v>
      </c>
      <c r="D9497" t="s">
        <v>4119</v>
      </c>
      <c r="E9497" t="s">
        <v>5532</v>
      </c>
      <c r="F9497" t="s">
        <v>33496</v>
      </c>
      <c r="G9497" t="s">
        <v>9931</v>
      </c>
      <c r="H9497" t="s">
        <v>5474</v>
      </c>
      <c r="I9497" t="s">
        <v>33497</v>
      </c>
      <c r="J9497" t="s">
        <v>5484</v>
      </c>
      <c r="K9497" t="s">
        <v>33498</v>
      </c>
      <c r="L9497" t="s">
        <v>5471</v>
      </c>
      <c r="M9497" t="s">
        <v>5471</v>
      </c>
    </row>
    <row r="9498" spans="1:13" x14ac:dyDescent="0.3">
      <c r="A9498" t="s">
        <v>3380</v>
      </c>
      <c r="B9498" t="s">
        <v>33486</v>
      </c>
      <c r="C9498" t="s">
        <v>6342</v>
      </c>
      <c r="D9498" t="s">
        <v>30466</v>
      </c>
      <c r="E9498" t="s">
        <v>9935</v>
      </c>
      <c r="F9498" t="s">
        <v>33499</v>
      </c>
      <c r="G9498" t="s">
        <v>25315</v>
      </c>
      <c r="H9498" t="s">
        <v>5474</v>
      </c>
      <c r="I9498" t="s">
        <v>33500</v>
      </c>
      <c r="J9498" t="s">
        <v>5476</v>
      </c>
      <c r="K9498" t="s">
        <v>33501</v>
      </c>
      <c r="L9498" t="s">
        <v>5471</v>
      </c>
      <c r="M9498" t="s">
        <v>5471</v>
      </c>
    </row>
    <row r="9499" spans="1:13" x14ac:dyDescent="0.3">
      <c r="A9499" t="s">
        <v>3388</v>
      </c>
      <c r="B9499" t="s">
        <v>9921</v>
      </c>
      <c r="C9499" t="s">
        <v>5470</v>
      </c>
      <c r="D9499" t="s">
        <v>4119</v>
      </c>
      <c r="E9499" t="s">
        <v>5532</v>
      </c>
      <c r="F9499" t="s">
        <v>33502</v>
      </c>
      <c r="G9499" t="s">
        <v>9931</v>
      </c>
      <c r="H9499" t="s">
        <v>5474</v>
      </c>
      <c r="I9499" t="s">
        <v>33503</v>
      </c>
      <c r="J9499" t="s">
        <v>5484</v>
      </c>
      <c r="K9499" t="s">
        <v>33504</v>
      </c>
      <c r="L9499" t="s">
        <v>5471</v>
      </c>
      <c r="M9499" t="s">
        <v>5471</v>
      </c>
    </row>
    <row r="9500" spans="1:13" x14ac:dyDescent="0.3">
      <c r="A9500" t="s">
        <v>3380</v>
      </c>
      <c r="B9500" t="s">
        <v>33486</v>
      </c>
      <c r="C9500" t="s">
        <v>6342</v>
      </c>
      <c r="D9500" t="s">
        <v>30466</v>
      </c>
      <c r="E9500" t="s">
        <v>9935</v>
      </c>
      <c r="F9500" t="s">
        <v>33505</v>
      </c>
      <c r="G9500" t="s">
        <v>33488</v>
      </c>
      <c r="H9500" t="s">
        <v>5474</v>
      </c>
      <c r="I9500" t="s">
        <v>33506</v>
      </c>
      <c r="J9500" t="s">
        <v>5476</v>
      </c>
      <c r="K9500" t="s">
        <v>33507</v>
      </c>
      <c r="L9500" t="s">
        <v>5471</v>
      </c>
      <c r="M9500" t="s">
        <v>5471</v>
      </c>
    </row>
    <row r="9501" spans="1:13" x14ac:dyDescent="0.3">
      <c r="A9501" t="s">
        <v>3388</v>
      </c>
      <c r="B9501" t="s">
        <v>9921</v>
      </c>
      <c r="C9501" t="s">
        <v>5470</v>
      </c>
      <c r="D9501" t="s">
        <v>4119</v>
      </c>
      <c r="E9501" t="s">
        <v>5532</v>
      </c>
      <c r="F9501" t="s">
        <v>33508</v>
      </c>
      <c r="G9501" t="s">
        <v>9931</v>
      </c>
      <c r="H9501" t="s">
        <v>5474</v>
      </c>
      <c r="I9501" t="s">
        <v>33509</v>
      </c>
      <c r="J9501" t="s">
        <v>5484</v>
      </c>
      <c r="K9501" t="s">
        <v>33510</v>
      </c>
      <c r="L9501" t="s">
        <v>5471</v>
      </c>
      <c r="M9501" t="s">
        <v>5471</v>
      </c>
    </row>
    <row r="9502" spans="1:13" x14ac:dyDescent="0.3">
      <c r="A9502" t="s">
        <v>3388</v>
      </c>
      <c r="B9502" t="s">
        <v>6128</v>
      </c>
      <c r="C9502" t="s">
        <v>5470</v>
      </c>
      <c r="D9502" t="s">
        <v>4119</v>
      </c>
      <c r="E9502" t="s">
        <v>5532</v>
      </c>
      <c r="F9502" t="s">
        <v>33511</v>
      </c>
      <c r="G9502" t="s">
        <v>24897</v>
      </c>
      <c r="H9502" t="s">
        <v>5474</v>
      </c>
      <c r="I9502" t="s">
        <v>33512</v>
      </c>
      <c r="J9502" t="s">
        <v>5484</v>
      </c>
      <c r="K9502" t="s">
        <v>33513</v>
      </c>
      <c r="L9502" t="s">
        <v>5471</v>
      </c>
      <c r="M9502" t="s">
        <v>5471</v>
      </c>
    </row>
    <row r="9503" spans="1:13" x14ac:dyDescent="0.3">
      <c r="A9503" t="s">
        <v>3380</v>
      </c>
      <c r="B9503" t="s">
        <v>10051</v>
      </c>
      <c r="C9503" t="s">
        <v>6342</v>
      </c>
      <c r="D9503" t="s">
        <v>4119</v>
      </c>
      <c r="E9503" t="s">
        <v>5480</v>
      </c>
      <c r="F9503" t="s">
        <v>33514</v>
      </c>
      <c r="G9503" t="s">
        <v>16085</v>
      </c>
      <c r="H9503" t="s">
        <v>5474</v>
      </c>
      <c r="I9503" t="s">
        <v>33515</v>
      </c>
      <c r="J9503" t="s">
        <v>5476</v>
      </c>
      <c r="K9503" t="s">
        <v>33516</v>
      </c>
      <c r="L9503" t="s">
        <v>5471</v>
      </c>
      <c r="M9503" t="s">
        <v>5471</v>
      </c>
    </row>
    <row r="9504" spans="1:13" x14ac:dyDescent="0.3">
      <c r="A9504" t="s">
        <v>3380</v>
      </c>
      <c r="B9504" t="s">
        <v>9702</v>
      </c>
      <c r="C9504" t="s">
        <v>6342</v>
      </c>
      <c r="D9504" t="s">
        <v>4200</v>
      </c>
      <c r="E9504" t="s">
        <v>5532</v>
      </c>
      <c r="F9504" t="s">
        <v>33517</v>
      </c>
      <c r="G9504" t="s">
        <v>33389</v>
      </c>
      <c r="H9504" t="s">
        <v>5474</v>
      </c>
      <c r="I9504" t="s">
        <v>33518</v>
      </c>
      <c r="J9504" t="s">
        <v>5476</v>
      </c>
      <c r="K9504" t="s">
        <v>16381</v>
      </c>
      <c r="L9504" t="s">
        <v>5471</v>
      </c>
      <c r="M9504" t="s">
        <v>5471</v>
      </c>
    </row>
    <row r="9505" spans="1:13" x14ac:dyDescent="0.3">
      <c r="A9505" t="s">
        <v>3388</v>
      </c>
      <c r="B9505" t="s">
        <v>6128</v>
      </c>
      <c r="C9505" t="s">
        <v>5470</v>
      </c>
      <c r="D9505" t="s">
        <v>4119</v>
      </c>
      <c r="E9505" t="s">
        <v>5532</v>
      </c>
      <c r="F9505" t="s">
        <v>33519</v>
      </c>
      <c r="G9505" t="s">
        <v>24897</v>
      </c>
      <c r="H9505" t="s">
        <v>5474</v>
      </c>
      <c r="I9505" t="s">
        <v>33520</v>
      </c>
      <c r="J9505" t="s">
        <v>5484</v>
      </c>
      <c r="K9505" t="s">
        <v>33521</v>
      </c>
      <c r="L9505" t="s">
        <v>5471</v>
      </c>
      <c r="M9505" t="s">
        <v>5471</v>
      </c>
    </row>
    <row r="9506" spans="1:13" x14ac:dyDescent="0.3">
      <c r="A9506" t="s">
        <v>3380</v>
      </c>
      <c r="B9506" t="s">
        <v>33522</v>
      </c>
      <c r="C9506" t="s">
        <v>6342</v>
      </c>
      <c r="D9506" t="s">
        <v>4119</v>
      </c>
      <c r="E9506" t="s">
        <v>5532</v>
      </c>
      <c r="F9506" t="s">
        <v>33523</v>
      </c>
      <c r="G9506" t="s">
        <v>33524</v>
      </c>
      <c r="H9506" t="s">
        <v>5474</v>
      </c>
      <c r="I9506" t="s">
        <v>33525</v>
      </c>
      <c r="J9506" t="s">
        <v>5484</v>
      </c>
      <c r="K9506" t="s">
        <v>19267</v>
      </c>
      <c r="L9506" t="s">
        <v>5471</v>
      </c>
      <c r="M9506" t="s">
        <v>5471</v>
      </c>
    </row>
    <row r="9507" spans="1:13" x14ac:dyDescent="0.3">
      <c r="A9507" t="s">
        <v>3388</v>
      </c>
      <c r="B9507" t="s">
        <v>6128</v>
      </c>
      <c r="C9507" t="s">
        <v>5470</v>
      </c>
      <c r="D9507" t="s">
        <v>4119</v>
      </c>
      <c r="E9507" t="s">
        <v>5532</v>
      </c>
      <c r="F9507" t="s">
        <v>33526</v>
      </c>
      <c r="G9507" t="s">
        <v>24897</v>
      </c>
      <c r="H9507" t="s">
        <v>5474</v>
      </c>
      <c r="I9507" t="s">
        <v>33527</v>
      </c>
      <c r="J9507" t="s">
        <v>5484</v>
      </c>
      <c r="K9507" t="s">
        <v>33528</v>
      </c>
      <c r="L9507" t="s">
        <v>5471</v>
      </c>
      <c r="M9507" t="s">
        <v>5471</v>
      </c>
    </row>
    <row r="9508" spans="1:13" x14ac:dyDescent="0.3">
      <c r="A9508" t="s">
        <v>3380</v>
      </c>
      <c r="B9508" t="s">
        <v>33529</v>
      </c>
      <c r="C9508" t="s">
        <v>6342</v>
      </c>
      <c r="D9508" t="s">
        <v>4119</v>
      </c>
      <c r="E9508" t="s">
        <v>5532</v>
      </c>
      <c r="F9508" t="s">
        <v>33530</v>
      </c>
      <c r="G9508" t="s">
        <v>33531</v>
      </c>
      <c r="H9508" t="s">
        <v>5474</v>
      </c>
      <c r="I9508" t="s">
        <v>33532</v>
      </c>
      <c r="J9508" t="s">
        <v>5484</v>
      </c>
      <c r="K9508" t="s">
        <v>19267</v>
      </c>
      <c r="L9508" t="s">
        <v>5471</v>
      </c>
      <c r="M9508" t="s">
        <v>5471</v>
      </c>
    </row>
    <row r="9509" spans="1:13" x14ac:dyDescent="0.3">
      <c r="A9509" t="s">
        <v>3388</v>
      </c>
      <c r="B9509" t="s">
        <v>6128</v>
      </c>
      <c r="C9509" t="s">
        <v>5470</v>
      </c>
      <c r="D9509" t="s">
        <v>4119</v>
      </c>
      <c r="E9509" t="s">
        <v>5532</v>
      </c>
      <c r="F9509" t="s">
        <v>33533</v>
      </c>
      <c r="G9509" t="s">
        <v>24897</v>
      </c>
      <c r="H9509" t="s">
        <v>5474</v>
      </c>
      <c r="I9509" t="s">
        <v>33534</v>
      </c>
      <c r="J9509" t="s">
        <v>5484</v>
      </c>
      <c r="K9509" t="s">
        <v>33535</v>
      </c>
      <c r="L9509" t="s">
        <v>5471</v>
      </c>
      <c r="M9509" t="s">
        <v>5471</v>
      </c>
    </row>
    <row r="9510" spans="1:13" x14ac:dyDescent="0.3">
      <c r="A9510" t="s">
        <v>3380</v>
      </c>
      <c r="B9510" t="s">
        <v>10051</v>
      </c>
      <c r="C9510" t="s">
        <v>6342</v>
      </c>
      <c r="D9510" t="s">
        <v>4347</v>
      </c>
      <c r="E9510" t="s">
        <v>5480</v>
      </c>
      <c r="F9510" t="s">
        <v>33536</v>
      </c>
      <c r="G9510" t="s">
        <v>16085</v>
      </c>
      <c r="H9510" t="s">
        <v>5474</v>
      </c>
      <c r="I9510" t="s">
        <v>33537</v>
      </c>
      <c r="J9510" t="s">
        <v>5476</v>
      </c>
      <c r="K9510" t="s">
        <v>33538</v>
      </c>
      <c r="L9510" t="s">
        <v>5471</v>
      </c>
      <c r="M9510" t="s">
        <v>5471</v>
      </c>
    </row>
    <row r="9511" spans="1:13" x14ac:dyDescent="0.3">
      <c r="A9511" t="s">
        <v>3388</v>
      </c>
      <c r="B9511" t="s">
        <v>7101</v>
      </c>
      <c r="C9511" t="s">
        <v>5470</v>
      </c>
      <c r="D9511" t="s">
        <v>4119</v>
      </c>
      <c r="E9511" t="s">
        <v>5756</v>
      </c>
      <c r="F9511" t="s">
        <v>33539</v>
      </c>
      <c r="G9511" t="s">
        <v>20348</v>
      </c>
      <c r="H9511" t="s">
        <v>5474</v>
      </c>
      <c r="I9511" t="s">
        <v>33540</v>
      </c>
      <c r="J9511" t="s">
        <v>5484</v>
      </c>
      <c r="K9511" t="s">
        <v>33541</v>
      </c>
      <c r="L9511" t="s">
        <v>5471</v>
      </c>
      <c r="M9511" t="s">
        <v>5471</v>
      </c>
    </row>
    <row r="9512" spans="1:13" x14ac:dyDescent="0.3">
      <c r="A9512" t="s">
        <v>3388</v>
      </c>
      <c r="B9512" t="s">
        <v>7101</v>
      </c>
      <c r="C9512" t="s">
        <v>5470</v>
      </c>
      <c r="D9512" t="s">
        <v>4119</v>
      </c>
      <c r="E9512" t="s">
        <v>5756</v>
      </c>
      <c r="F9512" t="s">
        <v>33542</v>
      </c>
      <c r="G9512" t="s">
        <v>20348</v>
      </c>
      <c r="H9512" t="s">
        <v>5474</v>
      </c>
      <c r="I9512" t="s">
        <v>33543</v>
      </c>
      <c r="J9512" t="s">
        <v>5484</v>
      </c>
      <c r="K9512" t="s">
        <v>33544</v>
      </c>
      <c r="L9512" t="s">
        <v>5471</v>
      </c>
      <c r="M9512" t="s">
        <v>5471</v>
      </c>
    </row>
    <row r="9513" spans="1:13" x14ac:dyDescent="0.3">
      <c r="A9513" t="s">
        <v>3380</v>
      </c>
      <c r="B9513" t="s">
        <v>9677</v>
      </c>
      <c r="C9513" t="s">
        <v>6342</v>
      </c>
      <c r="D9513" t="s">
        <v>4119</v>
      </c>
      <c r="E9513" t="s">
        <v>9935</v>
      </c>
      <c r="F9513" t="s">
        <v>33545</v>
      </c>
      <c r="G9513" t="s">
        <v>26150</v>
      </c>
      <c r="H9513" t="s">
        <v>5474</v>
      </c>
      <c r="I9513" t="s">
        <v>33546</v>
      </c>
      <c r="J9513" t="s">
        <v>5484</v>
      </c>
      <c r="K9513" t="s">
        <v>33547</v>
      </c>
      <c r="L9513" t="s">
        <v>5471</v>
      </c>
      <c r="M9513" t="s">
        <v>5471</v>
      </c>
    </row>
    <row r="9514" spans="1:13" x14ac:dyDescent="0.3">
      <c r="A9514" t="s">
        <v>3388</v>
      </c>
      <c r="B9514" t="s">
        <v>7101</v>
      </c>
      <c r="C9514" t="s">
        <v>5470</v>
      </c>
      <c r="D9514" t="s">
        <v>4119</v>
      </c>
      <c r="E9514" t="s">
        <v>5756</v>
      </c>
      <c r="F9514" t="s">
        <v>33548</v>
      </c>
      <c r="G9514" t="s">
        <v>20348</v>
      </c>
      <c r="H9514" t="s">
        <v>5474</v>
      </c>
      <c r="I9514" t="s">
        <v>33549</v>
      </c>
      <c r="J9514" t="s">
        <v>5484</v>
      </c>
      <c r="K9514" t="s">
        <v>33550</v>
      </c>
      <c r="L9514" t="s">
        <v>5471</v>
      </c>
      <c r="M9514" t="s">
        <v>5471</v>
      </c>
    </row>
    <row r="9515" spans="1:13" x14ac:dyDescent="0.3">
      <c r="A9515" t="s">
        <v>3380</v>
      </c>
      <c r="B9515" t="s">
        <v>10051</v>
      </c>
      <c r="C9515" t="s">
        <v>6342</v>
      </c>
      <c r="D9515" t="s">
        <v>4347</v>
      </c>
      <c r="E9515" t="s">
        <v>5480</v>
      </c>
      <c r="F9515" t="s">
        <v>33551</v>
      </c>
      <c r="G9515" t="s">
        <v>16085</v>
      </c>
      <c r="H9515" t="s">
        <v>5474</v>
      </c>
      <c r="I9515" t="s">
        <v>33552</v>
      </c>
      <c r="J9515" t="s">
        <v>5476</v>
      </c>
      <c r="K9515" t="s">
        <v>33553</v>
      </c>
      <c r="L9515" t="s">
        <v>5471</v>
      </c>
      <c r="M9515" t="s">
        <v>5471</v>
      </c>
    </row>
    <row r="9516" spans="1:13" x14ac:dyDescent="0.3">
      <c r="A9516" t="s">
        <v>3388</v>
      </c>
      <c r="B9516" t="s">
        <v>7101</v>
      </c>
      <c r="C9516" t="s">
        <v>5470</v>
      </c>
      <c r="D9516" t="s">
        <v>4119</v>
      </c>
      <c r="E9516" t="s">
        <v>5756</v>
      </c>
      <c r="F9516" t="s">
        <v>33554</v>
      </c>
      <c r="G9516" t="s">
        <v>20348</v>
      </c>
      <c r="H9516" t="s">
        <v>5474</v>
      </c>
      <c r="I9516" t="s">
        <v>33555</v>
      </c>
      <c r="J9516" t="s">
        <v>5484</v>
      </c>
      <c r="K9516" t="s">
        <v>33556</v>
      </c>
      <c r="L9516" t="s">
        <v>5471</v>
      </c>
      <c r="M9516" t="s">
        <v>5471</v>
      </c>
    </row>
    <row r="9517" spans="1:13" x14ac:dyDescent="0.3">
      <c r="A9517" t="s">
        <v>3380</v>
      </c>
      <c r="B9517" t="s">
        <v>9677</v>
      </c>
      <c r="C9517" t="s">
        <v>6342</v>
      </c>
      <c r="D9517" t="s">
        <v>4119</v>
      </c>
      <c r="E9517" t="s">
        <v>9935</v>
      </c>
      <c r="F9517" t="s">
        <v>33557</v>
      </c>
      <c r="G9517" t="s">
        <v>26150</v>
      </c>
      <c r="H9517" t="s">
        <v>5474</v>
      </c>
      <c r="I9517" t="s">
        <v>33558</v>
      </c>
      <c r="J9517" t="s">
        <v>5484</v>
      </c>
      <c r="K9517" t="s">
        <v>11006</v>
      </c>
      <c r="L9517" t="s">
        <v>5471</v>
      </c>
      <c r="M9517" t="s">
        <v>5471</v>
      </c>
    </row>
    <row r="9518" spans="1:13" x14ac:dyDescent="0.3">
      <c r="A9518" t="s">
        <v>3380</v>
      </c>
      <c r="B9518" t="s">
        <v>9677</v>
      </c>
      <c r="C9518" t="s">
        <v>6342</v>
      </c>
      <c r="D9518" t="s">
        <v>4119</v>
      </c>
      <c r="E9518" t="s">
        <v>9935</v>
      </c>
      <c r="F9518" t="s">
        <v>33559</v>
      </c>
      <c r="G9518" t="s">
        <v>26150</v>
      </c>
      <c r="H9518" t="s">
        <v>5474</v>
      </c>
      <c r="I9518" t="s">
        <v>33560</v>
      </c>
      <c r="J9518" t="s">
        <v>5484</v>
      </c>
      <c r="K9518" t="s">
        <v>16413</v>
      </c>
      <c r="L9518" t="s">
        <v>5471</v>
      </c>
      <c r="M9518" t="s">
        <v>5471</v>
      </c>
    </row>
    <row r="9519" spans="1:13" x14ac:dyDescent="0.3">
      <c r="A9519" t="s">
        <v>3380</v>
      </c>
      <c r="B9519" t="s">
        <v>10051</v>
      </c>
      <c r="C9519" t="s">
        <v>6342</v>
      </c>
      <c r="D9519" t="s">
        <v>4347</v>
      </c>
      <c r="E9519" t="s">
        <v>5480</v>
      </c>
      <c r="F9519" t="s">
        <v>33561</v>
      </c>
      <c r="G9519" t="s">
        <v>16085</v>
      </c>
      <c r="H9519" t="s">
        <v>5474</v>
      </c>
      <c r="I9519" t="s">
        <v>33562</v>
      </c>
      <c r="J9519" t="s">
        <v>5476</v>
      </c>
      <c r="K9519" t="s">
        <v>33563</v>
      </c>
      <c r="L9519" t="s">
        <v>5471</v>
      </c>
      <c r="M9519" t="s">
        <v>5471</v>
      </c>
    </row>
    <row r="9520" spans="1:13" x14ac:dyDescent="0.3">
      <c r="A9520" t="s">
        <v>3388</v>
      </c>
      <c r="B9520" t="s">
        <v>21595</v>
      </c>
      <c r="C9520" t="s">
        <v>5470</v>
      </c>
      <c r="D9520" t="s">
        <v>4119</v>
      </c>
      <c r="E9520" t="s">
        <v>5480</v>
      </c>
      <c r="F9520" t="s">
        <v>33564</v>
      </c>
      <c r="G9520" t="s">
        <v>33565</v>
      </c>
      <c r="H9520" t="s">
        <v>5474</v>
      </c>
      <c r="I9520" t="s">
        <v>33566</v>
      </c>
      <c r="J9520" t="s">
        <v>5484</v>
      </c>
      <c r="K9520" t="s">
        <v>33567</v>
      </c>
      <c r="L9520" t="s">
        <v>5471</v>
      </c>
      <c r="M9520" t="s">
        <v>5471</v>
      </c>
    </row>
    <row r="9521" spans="1:13" x14ac:dyDescent="0.3">
      <c r="A9521" t="s">
        <v>3397</v>
      </c>
      <c r="B9521" t="s">
        <v>5269</v>
      </c>
      <c r="C9521" t="s">
        <v>5487</v>
      </c>
      <c r="D9521" t="s">
        <v>4058</v>
      </c>
      <c r="E9521" t="s">
        <v>5595</v>
      </c>
      <c r="F9521" t="s">
        <v>33568</v>
      </c>
      <c r="G9521" t="s">
        <v>9135</v>
      </c>
      <c r="H9521" t="s">
        <v>5474</v>
      </c>
      <c r="I9521" t="s">
        <v>33569</v>
      </c>
      <c r="J9521" t="s">
        <v>5484</v>
      </c>
      <c r="K9521" t="s">
        <v>33570</v>
      </c>
      <c r="L9521" t="s">
        <v>5471</v>
      </c>
      <c r="M9521" t="s">
        <v>5471</v>
      </c>
    </row>
    <row r="9522" spans="1:13" x14ac:dyDescent="0.3">
      <c r="A9522" t="s">
        <v>3388</v>
      </c>
      <c r="B9522" t="s">
        <v>21595</v>
      </c>
      <c r="C9522" t="s">
        <v>5470</v>
      </c>
      <c r="D9522" t="s">
        <v>4119</v>
      </c>
      <c r="E9522" t="s">
        <v>5480</v>
      </c>
      <c r="F9522" t="s">
        <v>33571</v>
      </c>
      <c r="G9522" t="s">
        <v>33565</v>
      </c>
      <c r="H9522" t="s">
        <v>5474</v>
      </c>
      <c r="I9522" t="s">
        <v>33572</v>
      </c>
      <c r="J9522" t="s">
        <v>5484</v>
      </c>
      <c r="K9522" t="s">
        <v>33573</v>
      </c>
      <c r="L9522" t="s">
        <v>5471</v>
      </c>
      <c r="M9522" t="s">
        <v>5471</v>
      </c>
    </row>
    <row r="9523" spans="1:13" x14ac:dyDescent="0.3">
      <c r="A9523" t="s">
        <v>3388</v>
      </c>
      <c r="B9523" t="s">
        <v>17585</v>
      </c>
      <c r="C9523" t="s">
        <v>5470</v>
      </c>
      <c r="D9523" t="s">
        <v>30466</v>
      </c>
      <c r="E9523" t="s">
        <v>5532</v>
      </c>
      <c r="F9523" t="s">
        <v>33574</v>
      </c>
      <c r="G9523" t="s">
        <v>17587</v>
      </c>
      <c r="H9523" t="s">
        <v>5474</v>
      </c>
      <c r="I9523" t="s">
        <v>33575</v>
      </c>
      <c r="J9523" t="s">
        <v>5484</v>
      </c>
      <c r="K9523" t="s">
        <v>33576</v>
      </c>
      <c r="L9523" t="s">
        <v>5471</v>
      </c>
      <c r="M9523" t="s">
        <v>5471</v>
      </c>
    </row>
    <row r="9524" spans="1:13" x14ac:dyDescent="0.3">
      <c r="A9524" t="s">
        <v>3397</v>
      </c>
      <c r="B9524" t="s">
        <v>5269</v>
      </c>
      <c r="C9524" t="s">
        <v>5487</v>
      </c>
      <c r="D9524" t="s">
        <v>4058</v>
      </c>
      <c r="E9524" t="s">
        <v>5595</v>
      </c>
      <c r="F9524" t="s">
        <v>33577</v>
      </c>
      <c r="G9524" t="s">
        <v>9135</v>
      </c>
      <c r="H9524" t="s">
        <v>5474</v>
      </c>
      <c r="I9524" t="s">
        <v>33578</v>
      </c>
      <c r="J9524" t="s">
        <v>5484</v>
      </c>
      <c r="K9524" t="s">
        <v>33579</v>
      </c>
      <c r="L9524" t="s">
        <v>5471</v>
      </c>
      <c r="M9524" t="s">
        <v>5471</v>
      </c>
    </row>
    <row r="9525" spans="1:13" x14ac:dyDescent="0.3">
      <c r="A9525" t="s">
        <v>3388</v>
      </c>
      <c r="B9525" t="s">
        <v>17483</v>
      </c>
      <c r="C9525" t="s">
        <v>5470</v>
      </c>
      <c r="D9525" t="s">
        <v>30466</v>
      </c>
      <c r="E9525" t="s">
        <v>5532</v>
      </c>
      <c r="F9525" t="s">
        <v>33580</v>
      </c>
      <c r="G9525" t="s">
        <v>17492</v>
      </c>
      <c r="H9525" t="s">
        <v>5474</v>
      </c>
      <c r="I9525" t="s">
        <v>33581</v>
      </c>
      <c r="J9525" t="s">
        <v>5484</v>
      </c>
      <c r="K9525" t="s">
        <v>33582</v>
      </c>
      <c r="L9525" t="s">
        <v>5471</v>
      </c>
      <c r="M9525" t="s">
        <v>5471</v>
      </c>
    </row>
    <row r="9526" spans="1:13" x14ac:dyDescent="0.3">
      <c r="A9526" t="s">
        <v>3397</v>
      </c>
      <c r="B9526" t="s">
        <v>5269</v>
      </c>
      <c r="C9526" t="s">
        <v>5487</v>
      </c>
      <c r="D9526" t="s">
        <v>4058</v>
      </c>
      <c r="E9526" t="s">
        <v>5595</v>
      </c>
      <c r="F9526" t="s">
        <v>33583</v>
      </c>
      <c r="G9526" t="s">
        <v>9135</v>
      </c>
      <c r="H9526" t="s">
        <v>5474</v>
      </c>
      <c r="I9526" t="s">
        <v>33584</v>
      </c>
      <c r="J9526" t="s">
        <v>5484</v>
      </c>
      <c r="K9526" t="s">
        <v>33585</v>
      </c>
      <c r="L9526" t="s">
        <v>5471</v>
      </c>
      <c r="M9526" t="s">
        <v>5471</v>
      </c>
    </row>
    <row r="9527" spans="1:13" x14ac:dyDescent="0.3">
      <c r="A9527" t="s">
        <v>3388</v>
      </c>
      <c r="B9527" t="s">
        <v>21595</v>
      </c>
      <c r="C9527" t="s">
        <v>5470</v>
      </c>
      <c r="D9527" t="s">
        <v>4119</v>
      </c>
      <c r="E9527" t="s">
        <v>5480</v>
      </c>
      <c r="F9527" t="s">
        <v>33586</v>
      </c>
      <c r="G9527" t="s">
        <v>33565</v>
      </c>
      <c r="H9527" t="s">
        <v>5474</v>
      </c>
      <c r="I9527" t="s">
        <v>33587</v>
      </c>
      <c r="J9527" t="s">
        <v>5484</v>
      </c>
      <c r="K9527" t="s">
        <v>33588</v>
      </c>
      <c r="L9527" t="s">
        <v>5471</v>
      </c>
      <c r="M9527" t="s">
        <v>5471</v>
      </c>
    </row>
    <row r="9528" spans="1:13" x14ac:dyDescent="0.3">
      <c r="A9528" t="s">
        <v>3380</v>
      </c>
      <c r="B9528" t="s">
        <v>10051</v>
      </c>
      <c r="C9528" t="s">
        <v>6342</v>
      </c>
      <c r="D9528" t="s">
        <v>4119</v>
      </c>
      <c r="E9528" t="s">
        <v>5480</v>
      </c>
      <c r="F9528" t="s">
        <v>33589</v>
      </c>
      <c r="G9528" t="s">
        <v>33590</v>
      </c>
      <c r="H9528" t="s">
        <v>5474</v>
      </c>
      <c r="I9528" t="s">
        <v>33591</v>
      </c>
      <c r="J9528" t="s">
        <v>5476</v>
      </c>
      <c r="K9528" t="s">
        <v>4177</v>
      </c>
      <c r="L9528" t="s">
        <v>5471</v>
      </c>
      <c r="M9528" t="s">
        <v>5471</v>
      </c>
    </row>
    <row r="9529" spans="1:13" x14ac:dyDescent="0.3">
      <c r="A9529" t="s">
        <v>3388</v>
      </c>
      <c r="B9529" t="s">
        <v>21595</v>
      </c>
      <c r="C9529" t="s">
        <v>5470</v>
      </c>
      <c r="D9529" t="s">
        <v>4119</v>
      </c>
      <c r="E9529" t="s">
        <v>5480</v>
      </c>
      <c r="F9529" t="s">
        <v>33592</v>
      </c>
      <c r="G9529" t="s">
        <v>33565</v>
      </c>
      <c r="H9529" t="s">
        <v>5474</v>
      </c>
      <c r="I9529" t="s">
        <v>33593</v>
      </c>
      <c r="J9529" t="s">
        <v>5484</v>
      </c>
      <c r="K9529" t="s">
        <v>33594</v>
      </c>
      <c r="L9529" t="s">
        <v>5471</v>
      </c>
      <c r="M9529" t="s">
        <v>5471</v>
      </c>
    </row>
    <row r="9530" spans="1:13" x14ac:dyDescent="0.3">
      <c r="A9530" t="s">
        <v>3388</v>
      </c>
      <c r="B9530" t="s">
        <v>21595</v>
      </c>
      <c r="C9530" t="s">
        <v>5470</v>
      </c>
      <c r="D9530" t="s">
        <v>4119</v>
      </c>
      <c r="E9530" t="s">
        <v>5480</v>
      </c>
      <c r="F9530" t="s">
        <v>33595</v>
      </c>
      <c r="G9530" t="s">
        <v>33565</v>
      </c>
      <c r="H9530" t="s">
        <v>5474</v>
      </c>
      <c r="I9530" t="s">
        <v>33596</v>
      </c>
      <c r="J9530" t="s">
        <v>5484</v>
      </c>
      <c r="K9530" t="s">
        <v>33597</v>
      </c>
      <c r="L9530" t="s">
        <v>5471</v>
      </c>
      <c r="M9530" t="s">
        <v>5471</v>
      </c>
    </row>
    <row r="9531" spans="1:13" x14ac:dyDescent="0.3">
      <c r="A9531" t="s">
        <v>3388</v>
      </c>
      <c r="B9531" t="s">
        <v>21595</v>
      </c>
      <c r="C9531" t="s">
        <v>5470</v>
      </c>
      <c r="D9531" t="s">
        <v>4119</v>
      </c>
      <c r="E9531" t="s">
        <v>5480</v>
      </c>
      <c r="F9531" t="s">
        <v>33598</v>
      </c>
      <c r="G9531" t="s">
        <v>33565</v>
      </c>
      <c r="H9531" t="s">
        <v>5474</v>
      </c>
      <c r="I9531" t="s">
        <v>33599</v>
      </c>
      <c r="J9531" t="s">
        <v>5484</v>
      </c>
      <c r="K9531" t="s">
        <v>33600</v>
      </c>
      <c r="L9531" t="s">
        <v>5471</v>
      </c>
      <c r="M9531" t="s">
        <v>5471</v>
      </c>
    </row>
    <row r="9532" spans="1:13" x14ac:dyDescent="0.3">
      <c r="A9532" t="s">
        <v>3388</v>
      </c>
      <c r="B9532" t="s">
        <v>32771</v>
      </c>
      <c r="C9532" t="s">
        <v>5470</v>
      </c>
      <c r="D9532" t="s">
        <v>30466</v>
      </c>
      <c r="E9532" t="s">
        <v>5843</v>
      </c>
      <c r="F9532" t="s">
        <v>33601</v>
      </c>
      <c r="G9532" t="s">
        <v>33602</v>
      </c>
      <c r="H9532" t="s">
        <v>5474</v>
      </c>
      <c r="I9532" t="s">
        <v>33603</v>
      </c>
      <c r="J9532" t="s">
        <v>5484</v>
      </c>
      <c r="K9532" t="s">
        <v>33604</v>
      </c>
      <c r="L9532" t="s">
        <v>5471</v>
      </c>
      <c r="M9532" t="s">
        <v>5471</v>
      </c>
    </row>
    <row r="9533" spans="1:13" x14ac:dyDescent="0.3">
      <c r="A9533" t="s">
        <v>3388</v>
      </c>
      <c r="B9533" t="s">
        <v>21595</v>
      </c>
      <c r="C9533" t="s">
        <v>5470</v>
      </c>
      <c r="D9533" t="s">
        <v>4119</v>
      </c>
      <c r="E9533" t="s">
        <v>5480</v>
      </c>
      <c r="F9533" t="s">
        <v>33605</v>
      </c>
      <c r="G9533" t="s">
        <v>33565</v>
      </c>
      <c r="H9533" t="s">
        <v>5474</v>
      </c>
      <c r="I9533" t="s">
        <v>33606</v>
      </c>
      <c r="J9533" t="s">
        <v>5484</v>
      </c>
      <c r="K9533" t="s">
        <v>33607</v>
      </c>
      <c r="L9533" t="s">
        <v>5471</v>
      </c>
      <c r="M9533" t="s">
        <v>5471</v>
      </c>
    </row>
    <row r="9534" spans="1:13" x14ac:dyDescent="0.3">
      <c r="A9534" t="s">
        <v>3388</v>
      </c>
      <c r="B9534" t="s">
        <v>21595</v>
      </c>
      <c r="C9534" t="s">
        <v>5470</v>
      </c>
      <c r="D9534" t="s">
        <v>4119</v>
      </c>
      <c r="E9534" t="s">
        <v>5480</v>
      </c>
      <c r="F9534" t="s">
        <v>33608</v>
      </c>
      <c r="G9534" t="s">
        <v>33609</v>
      </c>
      <c r="H9534" t="s">
        <v>5474</v>
      </c>
      <c r="I9534" t="s">
        <v>33610</v>
      </c>
      <c r="J9534" t="s">
        <v>5484</v>
      </c>
      <c r="K9534" t="s">
        <v>33611</v>
      </c>
      <c r="L9534" t="s">
        <v>5471</v>
      </c>
      <c r="M9534" t="s">
        <v>5471</v>
      </c>
    </row>
    <row r="9535" spans="1:13" x14ac:dyDescent="0.3">
      <c r="A9535" t="s">
        <v>3388</v>
      </c>
      <c r="B9535" t="s">
        <v>21595</v>
      </c>
      <c r="C9535" t="s">
        <v>5470</v>
      </c>
      <c r="D9535" t="s">
        <v>4119</v>
      </c>
      <c r="E9535" t="s">
        <v>5480</v>
      </c>
      <c r="F9535" t="s">
        <v>33612</v>
      </c>
      <c r="G9535" t="s">
        <v>33609</v>
      </c>
      <c r="H9535" t="s">
        <v>5474</v>
      </c>
      <c r="I9535" t="s">
        <v>33613</v>
      </c>
      <c r="J9535" t="s">
        <v>5484</v>
      </c>
      <c r="K9535" t="s">
        <v>33614</v>
      </c>
      <c r="L9535" t="s">
        <v>5471</v>
      </c>
      <c r="M9535" t="s">
        <v>5471</v>
      </c>
    </row>
    <row r="9536" spans="1:13" x14ac:dyDescent="0.3">
      <c r="A9536" t="s">
        <v>3383</v>
      </c>
      <c r="B9536" t="s">
        <v>6113</v>
      </c>
      <c r="C9536" t="s">
        <v>5487</v>
      </c>
      <c r="D9536" t="s">
        <v>33615</v>
      </c>
      <c r="E9536" t="s">
        <v>5532</v>
      </c>
      <c r="F9536" t="s">
        <v>33616</v>
      </c>
      <c r="G9536" t="s">
        <v>11224</v>
      </c>
      <c r="H9536" t="s">
        <v>5474</v>
      </c>
      <c r="I9536" t="s">
        <v>33617</v>
      </c>
      <c r="J9536" t="s">
        <v>5484</v>
      </c>
      <c r="K9536" t="s">
        <v>33618</v>
      </c>
      <c r="L9536" t="s">
        <v>5471</v>
      </c>
      <c r="M9536" t="s">
        <v>5471</v>
      </c>
    </row>
    <row r="9537" spans="1:13" x14ac:dyDescent="0.3">
      <c r="A9537" t="s">
        <v>3380</v>
      </c>
      <c r="B9537" t="s">
        <v>15695</v>
      </c>
      <c r="C9537" t="s">
        <v>6342</v>
      </c>
      <c r="D9537" t="s">
        <v>4119</v>
      </c>
      <c r="E9537" t="s">
        <v>9935</v>
      </c>
      <c r="F9537" t="s">
        <v>33619</v>
      </c>
      <c r="G9537" t="s">
        <v>16813</v>
      </c>
      <c r="H9537" t="s">
        <v>5474</v>
      </c>
      <c r="I9537" t="s">
        <v>33620</v>
      </c>
      <c r="J9537" t="s">
        <v>5484</v>
      </c>
      <c r="K9537" t="s">
        <v>32302</v>
      </c>
      <c r="L9537" t="s">
        <v>5471</v>
      </c>
      <c r="M9537" t="s">
        <v>5471</v>
      </c>
    </row>
    <row r="9538" spans="1:13" x14ac:dyDescent="0.3">
      <c r="A9538" t="s">
        <v>3383</v>
      </c>
      <c r="B9538" t="s">
        <v>6022</v>
      </c>
      <c r="C9538" t="s">
        <v>5487</v>
      </c>
      <c r="D9538" t="s">
        <v>30466</v>
      </c>
      <c r="E9538" t="s">
        <v>5532</v>
      </c>
      <c r="F9538" t="s">
        <v>33621</v>
      </c>
      <c r="G9538" t="s">
        <v>33622</v>
      </c>
      <c r="H9538" t="s">
        <v>5474</v>
      </c>
      <c r="I9538" t="s">
        <v>33623</v>
      </c>
      <c r="J9538" t="s">
        <v>5484</v>
      </c>
      <c r="K9538" t="s">
        <v>33624</v>
      </c>
      <c r="L9538" t="s">
        <v>5471</v>
      </c>
      <c r="M9538" t="s">
        <v>5471</v>
      </c>
    </row>
    <row r="9539" spans="1:13" x14ac:dyDescent="0.3">
      <c r="A9539" t="s">
        <v>3388</v>
      </c>
      <c r="B9539" t="s">
        <v>21595</v>
      </c>
      <c r="C9539" t="s">
        <v>5470</v>
      </c>
      <c r="D9539" t="s">
        <v>4119</v>
      </c>
      <c r="E9539" t="s">
        <v>5480</v>
      </c>
      <c r="F9539" t="s">
        <v>33625</v>
      </c>
      <c r="G9539" t="s">
        <v>33609</v>
      </c>
      <c r="H9539" t="s">
        <v>5474</v>
      </c>
      <c r="I9539" t="s">
        <v>33626</v>
      </c>
      <c r="J9539" t="s">
        <v>5484</v>
      </c>
      <c r="K9539" t="s">
        <v>33627</v>
      </c>
      <c r="L9539" t="s">
        <v>5471</v>
      </c>
      <c r="M9539" t="s">
        <v>5471</v>
      </c>
    </row>
    <row r="9540" spans="1:13" x14ac:dyDescent="0.3">
      <c r="A9540" t="s">
        <v>3383</v>
      </c>
      <c r="B9540" t="s">
        <v>5304</v>
      </c>
      <c r="C9540" t="s">
        <v>5487</v>
      </c>
      <c r="D9540" t="s">
        <v>33615</v>
      </c>
      <c r="E9540" t="s">
        <v>5532</v>
      </c>
      <c r="F9540" t="s">
        <v>33628</v>
      </c>
      <c r="G9540" t="s">
        <v>11827</v>
      </c>
      <c r="H9540" t="s">
        <v>5474</v>
      </c>
      <c r="I9540" t="s">
        <v>33629</v>
      </c>
      <c r="J9540" t="s">
        <v>5484</v>
      </c>
      <c r="K9540" t="s">
        <v>33630</v>
      </c>
      <c r="L9540" t="s">
        <v>5471</v>
      </c>
      <c r="M9540" t="s">
        <v>5471</v>
      </c>
    </row>
    <row r="9541" spans="1:13" x14ac:dyDescent="0.3">
      <c r="A9541" t="s">
        <v>3383</v>
      </c>
      <c r="B9541" t="s">
        <v>5304</v>
      </c>
      <c r="C9541" t="s">
        <v>5487</v>
      </c>
      <c r="D9541" t="s">
        <v>33615</v>
      </c>
      <c r="E9541" t="s">
        <v>5532</v>
      </c>
      <c r="F9541" t="s">
        <v>33631</v>
      </c>
      <c r="G9541" t="s">
        <v>11827</v>
      </c>
      <c r="H9541" t="s">
        <v>5474</v>
      </c>
      <c r="I9541" t="s">
        <v>33632</v>
      </c>
      <c r="J9541" t="s">
        <v>5484</v>
      </c>
      <c r="K9541" t="s">
        <v>33630</v>
      </c>
      <c r="L9541" t="s">
        <v>5471</v>
      </c>
      <c r="M9541" t="s">
        <v>5471</v>
      </c>
    </row>
    <row r="9542" spans="1:13" x14ac:dyDescent="0.3">
      <c r="A9542" t="s">
        <v>3380</v>
      </c>
      <c r="B9542" t="s">
        <v>5337</v>
      </c>
      <c r="C9542" t="s">
        <v>6342</v>
      </c>
      <c r="D9542" t="s">
        <v>4119</v>
      </c>
      <c r="E9542" t="s">
        <v>5532</v>
      </c>
      <c r="F9542" t="s">
        <v>33633</v>
      </c>
      <c r="G9542" t="s">
        <v>16847</v>
      </c>
      <c r="H9542" t="s">
        <v>5474</v>
      </c>
      <c r="I9542" t="s">
        <v>33634</v>
      </c>
      <c r="J9542" t="s">
        <v>5484</v>
      </c>
      <c r="K9542" t="s">
        <v>18308</v>
      </c>
      <c r="L9542" t="s">
        <v>5471</v>
      </c>
      <c r="M9542" t="s">
        <v>5471</v>
      </c>
    </row>
    <row r="9543" spans="1:13" x14ac:dyDescent="0.3">
      <c r="A9543" t="s">
        <v>3388</v>
      </c>
      <c r="B9543" t="s">
        <v>21595</v>
      </c>
      <c r="C9543" t="s">
        <v>5470</v>
      </c>
      <c r="D9543" t="s">
        <v>4119</v>
      </c>
      <c r="E9543" t="s">
        <v>5480</v>
      </c>
      <c r="F9543" t="s">
        <v>33635</v>
      </c>
      <c r="G9543" t="s">
        <v>33609</v>
      </c>
      <c r="H9543" t="s">
        <v>5474</v>
      </c>
      <c r="I9543" t="s">
        <v>33636</v>
      </c>
      <c r="J9543" t="s">
        <v>5484</v>
      </c>
      <c r="K9543" t="s">
        <v>33637</v>
      </c>
      <c r="L9543" t="s">
        <v>5471</v>
      </c>
      <c r="M9543" t="s">
        <v>5471</v>
      </c>
    </row>
    <row r="9544" spans="1:13" x14ac:dyDescent="0.3">
      <c r="A9544" t="s">
        <v>3383</v>
      </c>
      <c r="B9544" t="s">
        <v>5304</v>
      </c>
      <c r="C9544" t="s">
        <v>5487</v>
      </c>
      <c r="D9544" t="s">
        <v>33615</v>
      </c>
      <c r="E9544" t="s">
        <v>5532</v>
      </c>
      <c r="F9544" t="s">
        <v>33638</v>
      </c>
      <c r="G9544" t="s">
        <v>11827</v>
      </c>
      <c r="H9544" t="s">
        <v>5474</v>
      </c>
      <c r="I9544" t="s">
        <v>33639</v>
      </c>
      <c r="J9544" t="s">
        <v>5484</v>
      </c>
      <c r="K9544" t="s">
        <v>33630</v>
      </c>
      <c r="L9544" t="s">
        <v>5471</v>
      </c>
      <c r="M9544" t="s">
        <v>5471</v>
      </c>
    </row>
    <row r="9545" spans="1:13" x14ac:dyDescent="0.3">
      <c r="A9545" t="s">
        <v>3383</v>
      </c>
      <c r="B9545" t="s">
        <v>6113</v>
      </c>
      <c r="C9545" t="s">
        <v>5487</v>
      </c>
      <c r="D9545" t="s">
        <v>33615</v>
      </c>
      <c r="E9545" t="s">
        <v>5532</v>
      </c>
      <c r="F9545" t="s">
        <v>33640</v>
      </c>
      <c r="G9545" t="s">
        <v>33641</v>
      </c>
      <c r="H9545" t="s">
        <v>5474</v>
      </c>
      <c r="I9545" t="s">
        <v>33642</v>
      </c>
      <c r="J9545" t="s">
        <v>5484</v>
      </c>
      <c r="K9545" t="s">
        <v>33643</v>
      </c>
      <c r="L9545" t="s">
        <v>5471</v>
      </c>
      <c r="M9545" t="s">
        <v>5471</v>
      </c>
    </row>
    <row r="9546" spans="1:13" x14ac:dyDescent="0.3">
      <c r="A9546" t="s">
        <v>3380</v>
      </c>
      <c r="B9546" t="s">
        <v>5337</v>
      </c>
      <c r="C9546" t="s">
        <v>6342</v>
      </c>
      <c r="D9546" t="s">
        <v>4119</v>
      </c>
      <c r="E9546" t="s">
        <v>5532</v>
      </c>
      <c r="F9546" t="s">
        <v>33644</v>
      </c>
      <c r="G9546" t="s">
        <v>16847</v>
      </c>
      <c r="H9546" t="s">
        <v>5474</v>
      </c>
      <c r="I9546" t="s">
        <v>33645</v>
      </c>
      <c r="J9546" t="s">
        <v>5484</v>
      </c>
      <c r="K9546" t="s">
        <v>18311</v>
      </c>
      <c r="L9546" t="s">
        <v>5471</v>
      </c>
      <c r="M9546" t="s">
        <v>5471</v>
      </c>
    </row>
    <row r="9547" spans="1:13" x14ac:dyDescent="0.3">
      <c r="A9547" t="s">
        <v>3383</v>
      </c>
      <c r="B9547" t="s">
        <v>6113</v>
      </c>
      <c r="C9547" t="s">
        <v>5487</v>
      </c>
      <c r="D9547" t="s">
        <v>33615</v>
      </c>
      <c r="E9547" t="s">
        <v>5532</v>
      </c>
      <c r="F9547" t="s">
        <v>33646</v>
      </c>
      <c r="G9547" t="s">
        <v>10409</v>
      </c>
      <c r="H9547" t="s">
        <v>5474</v>
      </c>
      <c r="I9547" t="s">
        <v>33647</v>
      </c>
      <c r="J9547" t="s">
        <v>5484</v>
      </c>
      <c r="K9547" t="s">
        <v>33648</v>
      </c>
      <c r="L9547" t="s">
        <v>5471</v>
      </c>
      <c r="M9547" t="s">
        <v>5471</v>
      </c>
    </row>
    <row r="9548" spans="1:13" x14ac:dyDescent="0.3">
      <c r="A9548" t="s">
        <v>3388</v>
      </c>
      <c r="B9548" t="s">
        <v>21595</v>
      </c>
      <c r="C9548" t="s">
        <v>5470</v>
      </c>
      <c r="D9548" t="s">
        <v>4119</v>
      </c>
      <c r="E9548" t="s">
        <v>5480</v>
      </c>
      <c r="F9548" t="s">
        <v>33649</v>
      </c>
      <c r="G9548" t="s">
        <v>33609</v>
      </c>
      <c r="H9548" t="s">
        <v>5474</v>
      </c>
      <c r="I9548" t="s">
        <v>33650</v>
      </c>
      <c r="J9548" t="s">
        <v>5484</v>
      </c>
      <c r="K9548" t="s">
        <v>33651</v>
      </c>
      <c r="L9548" t="s">
        <v>5471</v>
      </c>
      <c r="M9548" t="s">
        <v>5471</v>
      </c>
    </row>
    <row r="9549" spans="1:13" x14ac:dyDescent="0.3">
      <c r="A9549" t="s">
        <v>3383</v>
      </c>
      <c r="B9549" t="s">
        <v>6113</v>
      </c>
      <c r="C9549" t="s">
        <v>5487</v>
      </c>
      <c r="D9549" t="s">
        <v>33615</v>
      </c>
      <c r="E9549" t="s">
        <v>5532</v>
      </c>
      <c r="F9549" t="s">
        <v>33652</v>
      </c>
      <c r="G9549" t="s">
        <v>11224</v>
      </c>
      <c r="H9549" t="s">
        <v>5474</v>
      </c>
      <c r="I9549" t="s">
        <v>33653</v>
      </c>
      <c r="J9549" t="s">
        <v>5484</v>
      </c>
      <c r="K9549" t="s">
        <v>33654</v>
      </c>
      <c r="L9549" t="s">
        <v>5471</v>
      </c>
      <c r="M9549" t="s">
        <v>5471</v>
      </c>
    </row>
    <row r="9550" spans="1:13" x14ac:dyDescent="0.3">
      <c r="A9550" t="s">
        <v>3388</v>
      </c>
      <c r="B9550" t="s">
        <v>22510</v>
      </c>
      <c r="C9550" t="s">
        <v>5470</v>
      </c>
      <c r="D9550" t="s">
        <v>4119</v>
      </c>
      <c r="E9550" t="s">
        <v>5756</v>
      </c>
      <c r="F9550" t="s">
        <v>33655</v>
      </c>
      <c r="G9550" t="s">
        <v>29278</v>
      </c>
      <c r="H9550" t="s">
        <v>5474</v>
      </c>
      <c r="I9550" t="s">
        <v>33656</v>
      </c>
      <c r="J9550" t="s">
        <v>5484</v>
      </c>
      <c r="K9550" t="s">
        <v>33657</v>
      </c>
      <c r="L9550" t="s">
        <v>5471</v>
      </c>
      <c r="M9550" t="s">
        <v>5471</v>
      </c>
    </row>
    <row r="9551" spans="1:13" x14ac:dyDescent="0.3">
      <c r="A9551" t="s">
        <v>3383</v>
      </c>
      <c r="B9551" t="s">
        <v>5986</v>
      </c>
      <c r="C9551" t="s">
        <v>5487</v>
      </c>
      <c r="D9551" t="s">
        <v>33615</v>
      </c>
      <c r="E9551" t="s">
        <v>5532</v>
      </c>
      <c r="F9551" t="s">
        <v>33658</v>
      </c>
      <c r="G9551" t="s">
        <v>12264</v>
      </c>
      <c r="H9551" t="s">
        <v>5474</v>
      </c>
      <c r="I9551" t="s">
        <v>33659</v>
      </c>
      <c r="J9551" t="s">
        <v>5484</v>
      </c>
      <c r="K9551" t="s">
        <v>33660</v>
      </c>
      <c r="L9551" t="s">
        <v>5471</v>
      </c>
      <c r="M9551" t="s">
        <v>5471</v>
      </c>
    </row>
    <row r="9552" spans="1:13" x14ac:dyDescent="0.3">
      <c r="A9552" t="s">
        <v>3380</v>
      </c>
      <c r="B9552" t="s">
        <v>25809</v>
      </c>
      <c r="C9552" t="s">
        <v>6342</v>
      </c>
      <c r="D9552" t="s">
        <v>4119</v>
      </c>
      <c r="E9552" t="s">
        <v>9935</v>
      </c>
      <c r="F9552" t="s">
        <v>33661</v>
      </c>
      <c r="G9552" t="s">
        <v>25811</v>
      </c>
      <c r="H9552" t="s">
        <v>5474</v>
      </c>
      <c r="I9552" t="s">
        <v>33662</v>
      </c>
      <c r="J9552" t="s">
        <v>5484</v>
      </c>
      <c r="K9552" t="s">
        <v>18298</v>
      </c>
      <c r="L9552" t="s">
        <v>5471</v>
      </c>
      <c r="M9552" t="s">
        <v>5471</v>
      </c>
    </row>
    <row r="9553" spans="1:13" x14ac:dyDescent="0.3">
      <c r="A9553" t="s">
        <v>3383</v>
      </c>
      <c r="B9553" t="s">
        <v>6005</v>
      </c>
      <c r="C9553" t="s">
        <v>5487</v>
      </c>
      <c r="D9553" t="s">
        <v>30466</v>
      </c>
      <c r="E9553" t="s">
        <v>5532</v>
      </c>
      <c r="F9553" t="s">
        <v>33663</v>
      </c>
      <c r="G9553" t="s">
        <v>33664</v>
      </c>
      <c r="H9553" t="s">
        <v>5474</v>
      </c>
      <c r="I9553" t="s">
        <v>33665</v>
      </c>
      <c r="J9553" t="s">
        <v>5484</v>
      </c>
      <c r="K9553" t="s">
        <v>33666</v>
      </c>
      <c r="L9553" t="s">
        <v>5471</v>
      </c>
      <c r="M9553" t="s">
        <v>5471</v>
      </c>
    </row>
    <row r="9554" spans="1:13" x14ac:dyDescent="0.3">
      <c r="A9554" t="s">
        <v>3388</v>
      </c>
      <c r="B9554" t="s">
        <v>21595</v>
      </c>
      <c r="C9554" t="s">
        <v>5470</v>
      </c>
      <c r="D9554" t="s">
        <v>4119</v>
      </c>
      <c r="E9554" t="s">
        <v>5480</v>
      </c>
      <c r="F9554" t="s">
        <v>33667</v>
      </c>
      <c r="G9554" t="s">
        <v>33609</v>
      </c>
      <c r="H9554" t="s">
        <v>5474</v>
      </c>
      <c r="I9554" t="s">
        <v>33668</v>
      </c>
      <c r="J9554" t="s">
        <v>5484</v>
      </c>
      <c r="K9554" t="s">
        <v>33669</v>
      </c>
      <c r="L9554" t="s">
        <v>5471</v>
      </c>
      <c r="M9554" t="s">
        <v>5471</v>
      </c>
    </row>
    <row r="9555" spans="1:13" x14ac:dyDescent="0.3">
      <c r="A9555" t="s">
        <v>3383</v>
      </c>
      <c r="B9555" t="s">
        <v>6022</v>
      </c>
      <c r="C9555" t="s">
        <v>5487</v>
      </c>
      <c r="D9555" t="s">
        <v>30466</v>
      </c>
      <c r="E9555" t="s">
        <v>5532</v>
      </c>
      <c r="F9555" t="s">
        <v>33670</v>
      </c>
      <c r="G9555" t="s">
        <v>11374</v>
      </c>
      <c r="H9555" t="s">
        <v>5474</v>
      </c>
      <c r="I9555" t="s">
        <v>33671</v>
      </c>
      <c r="J9555" t="s">
        <v>5484</v>
      </c>
      <c r="K9555" t="s">
        <v>33672</v>
      </c>
      <c r="L9555" t="s">
        <v>5471</v>
      </c>
      <c r="M9555" t="s">
        <v>5471</v>
      </c>
    </row>
    <row r="9556" spans="1:13" x14ac:dyDescent="0.3">
      <c r="A9556" t="s">
        <v>3388</v>
      </c>
      <c r="B9556" t="s">
        <v>10961</v>
      </c>
      <c r="C9556" t="s">
        <v>5470</v>
      </c>
      <c r="D9556" t="s">
        <v>4119</v>
      </c>
      <c r="E9556" t="s">
        <v>5532</v>
      </c>
      <c r="F9556" t="s">
        <v>33673</v>
      </c>
      <c r="G9556" t="s">
        <v>10963</v>
      </c>
      <c r="H9556" t="s">
        <v>5474</v>
      </c>
      <c r="I9556" t="s">
        <v>33674</v>
      </c>
      <c r="J9556" t="s">
        <v>5484</v>
      </c>
      <c r="K9556" t="s">
        <v>33675</v>
      </c>
      <c r="L9556" t="s">
        <v>5471</v>
      </c>
      <c r="M9556" t="s">
        <v>5471</v>
      </c>
    </row>
    <row r="9557" spans="1:13" x14ac:dyDescent="0.3">
      <c r="A9557" t="s">
        <v>3380</v>
      </c>
      <c r="B9557" t="s">
        <v>25809</v>
      </c>
      <c r="C9557" t="s">
        <v>6342</v>
      </c>
      <c r="D9557" t="s">
        <v>4119</v>
      </c>
      <c r="E9557" t="s">
        <v>9935</v>
      </c>
      <c r="F9557" t="s">
        <v>33676</v>
      </c>
      <c r="G9557" t="s">
        <v>25811</v>
      </c>
      <c r="H9557" t="s">
        <v>5474</v>
      </c>
      <c r="I9557" t="s">
        <v>33677</v>
      </c>
      <c r="J9557" t="s">
        <v>5484</v>
      </c>
      <c r="K9557" t="s">
        <v>18311</v>
      </c>
      <c r="L9557" t="s">
        <v>5471</v>
      </c>
      <c r="M9557" t="s">
        <v>5471</v>
      </c>
    </row>
    <row r="9558" spans="1:13" x14ac:dyDescent="0.3">
      <c r="A9558" t="s">
        <v>3388</v>
      </c>
      <c r="B9558" t="s">
        <v>21595</v>
      </c>
      <c r="C9558" t="s">
        <v>5470</v>
      </c>
      <c r="D9558" t="s">
        <v>4119</v>
      </c>
      <c r="E9558" t="s">
        <v>5480</v>
      </c>
      <c r="F9558" t="s">
        <v>33678</v>
      </c>
      <c r="G9558" t="s">
        <v>33609</v>
      </c>
      <c r="H9558" t="s">
        <v>5474</v>
      </c>
      <c r="I9558" t="s">
        <v>33679</v>
      </c>
      <c r="J9558" t="s">
        <v>5484</v>
      </c>
      <c r="K9558" t="s">
        <v>33680</v>
      </c>
      <c r="L9558" t="s">
        <v>5471</v>
      </c>
      <c r="M9558" t="s">
        <v>5471</v>
      </c>
    </row>
    <row r="9559" spans="1:13" x14ac:dyDescent="0.3">
      <c r="A9559" t="s">
        <v>3383</v>
      </c>
      <c r="B9559" t="s">
        <v>6022</v>
      </c>
      <c r="C9559" t="s">
        <v>5487</v>
      </c>
      <c r="D9559" t="s">
        <v>30466</v>
      </c>
      <c r="E9559" t="s">
        <v>5532</v>
      </c>
      <c r="F9559" t="s">
        <v>33681</v>
      </c>
      <c r="G9559" t="s">
        <v>10937</v>
      </c>
      <c r="H9559" t="s">
        <v>5474</v>
      </c>
      <c r="I9559" t="s">
        <v>33682</v>
      </c>
      <c r="J9559" t="s">
        <v>5484</v>
      </c>
      <c r="K9559" t="s">
        <v>33683</v>
      </c>
      <c r="L9559" t="s">
        <v>5471</v>
      </c>
      <c r="M9559" t="s">
        <v>5471</v>
      </c>
    </row>
    <row r="9560" spans="1:13" x14ac:dyDescent="0.3">
      <c r="A9560" t="s">
        <v>3388</v>
      </c>
      <c r="B9560" t="s">
        <v>15957</v>
      </c>
      <c r="C9560" t="s">
        <v>5470</v>
      </c>
      <c r="D9560" t="s">
        <v>4119</v>
      </c>
      <c r="E9560" t="s">
        <v>5532</v>
      </c>
      <c r="F9560" t="s">
        <v>33684</v>
      </c>
      <c r="G9560" t="s">
        <v>20002</v>
      </c>
      <c r="H9560" t="s">
        <v>5474</v>
      </c>
      <c r="I9560" t="s">
        <v>33685</v>
      </c>
      <c r="J9560" t="s">
        <v>5484</v>
      </c>
      <c r="K9560" t="s">
        <v>33686</v>
      </c>
      <c r="L9560" t="s">
        <v>5471</v>
      </c>
      <c r="M9560" t="s">
        <v>5471</v>
      </c>
    </row>
    <row r="9561" spans="1:13" x14ac:dyDescent="0.3">
      <c r="A9561" t="s">
        <v>3383</v>
      </c>
      <c r="B9561" t="s">
        <v>6022</v>
      </c>
      <c r="C9561" t="s">
        <v>5487</v>
      </c>
      <c r="D9561" t="s">
        <v>30466</v>
      </c>
      <c r="E9561" t="s">
        <v>5532</v>
      </c>
      <c r="F9561" t="s">
        <v>33687</v>
      </c>
      <c r="G9561" t="s">
        <v>15575</v>
      </c>
      <c r="H9561" t="s">
        <v>5474</v>
      </c>
      <c r="I9561" t="s">
        <v>33688</v>
      </c>
      <c r="J9561" t="s">
        <v>5484</v>
      </c>
      <c r="K9561" t="s">
        <v>33689</v>
      </c>
      <c r="L9561" t="s">
        <v>5471</v>
      </c>
      <c r="M9561" t="s">
        <v>5471</v>
      </c>
    </row>
    <row r="9562" spans="1:13" x14ac:dyDescent="0.3">
      <c r="A9562" t="s">
        <v>3380</v>
      </c>
      <c r="B9562" t="s">
        <v>16820</v>
      </c>
      <c r="C9562" t="s">
        <v>6342</v>
      </c>
      <c r="D9562" t="s">
        <v>4119</v>
      </c>
      <c r="E9562" t="s">
        <v>5532</v>
      </c>
      <c r="F9562" t="s">
        <v>33690</v>
      </c>
      <c r="G9562" t="s">
        <v>16822</v>
      </c>
      <c r="H9562" t="s">
        <v>5474</v>
      </c>
      <c r="I9562" t="s">
        <v>33691</v>
      </c>
      <c r="J9562" t="s">
        <v>5484</v>
      </c>
      <c r="K9562" t="s">
        <v>18311</v>
      </c>
      <c r="L9562" t="s">
        <v>5471</v>
      </c>
      <c r="M9562" t="s">
        <v>5471</v>
      </c>
    </row>
    <row r="9563" spans="1:13" x14ac:dyDescent="0.3">
      <c r="A9563" t="s">
        <v>3383</v>
      </c>
      <c r="B9563" t="s">
        <v>6034</v>
      </c>
      <c r="C9563" t="s">
        <v>5487</v>
      </c>
      <c r="D9563" t="s">
        <v>30466</v>
      </c>
      <c r="E9563" t="s">
        <v>5532</v>
      </c>
      <c r="F9563" t="s">
        <v>33692</v>
      </c>
      <c r="G9563" t="s">
        <v>11386</v>
      </c>
      <c r="H9563" t="s">
        <v>5474</v>
      </c>
      <c r="I9563" t="s">
        <v>33693</v>
      </c>
      <c r="J9563" t="s">
        <v>5484</v>
      </c>
      <c r="K9563" t="s">
        <v>33694</v>
      </c>
      <c r="L9563" t="s">
        <v>5471</v>
      </c>
      <c r="M9563" t="s">
        <v>5471</v>
      </c>
    </row>
    <row r="9564" spans="1:13" x14ac:dyDescent="0.3">
      <c r="A9564" t="s">
        <v>3388</v>
      </c>
      <c r="B9564" t="s">
        <v>21595</v>
      </c>
      <c r="C9564" t="s">
        <v>5470</v>
      </c>
      <c r="D9564" t="s">
        <v>4119</v>
      </c>
      <c r="E9564" t="s">
        <v>5480</v>
      </c>
      <c r="F9564" t="s">
        <v>33695</v>
      </c>
      <c r="G9564" t="s">
        <v>33609</v>
      </c>
      <c r="H9564" t="s">
        <v>5474</v>
      </c>
      <c r="I9564" t="s">
        <v>33696</v>
      </c>
      <c r="J9564" t="s">
        <v>5484</v>
      </c>
      <c r="K9564" t="s">
        <v>33697</v>
      </c>
      <c r="L9564" t="s">
        <v>5471</v>
      </c>
      <c r="M9564" t="s">
        <v>5471</v>
      </c>
    </row>
    <row r="9565" spans="1:13" x14ac:dyDescent="0.3">
      <c r="A9565" t="s">
        <v>3383</v>
      </c>
      <c r="B9565" t="s">
        <v>6034</v>
      </c>
      <c r="C9565" t="s">
        <v>5487</v>
      </c>
      <c r="D9565" t="s">
        <v>30466</v>
      </c>
      <c r="E9565" t="s">
        <v>5532</v>
      </c>
      <c r="F9565" t="s">
        <v>33698</v>
      </c>
      <c r="G9565" t="s">
        <v>11383</v>
      </c>
      <c r="H9565" t="s">
        <v>5474</v>
      </c>
      <c r="I9565" t="s">
        <v>33699</v>
      </c>
      <c r="J9565" t="s">
        <v>5484</v>
      </c>
      <c r="K9565" t="s">
        <v>33700</v>
      </c>
      <c r="L9565" t="s">
        <v>5471</v>
      </c>
      <c r="M9565" t="s">
        <v>5471</v>
      </c>
    </row>
    <row r="9566" spans="1:13" x14ac:dyDescent="0.3">
      <c r="A9566" t="s">
        <v>3388</v>
      </c>
      <c r="B9566" t="s">
        <v>5284</v>
      </c>
      <c r="C9566" t="s">
        <v>5470</v>
      </c>
      <c r="D9566" t="s">
        <v>4119</v>
      </c>
      <c r="E9566" t="s">
        <v>5532</v>
      </c>
      <c r="F9566" t="s">
        <v>33701</v>
      </c>
      <c r="G9566" t="s">
        <v>25096</v>
      </c>
      <c r="H9566" t="s">
        <v>5474</v>
      </c>
      <c r="I9566" t="s">
        <v>33702</v>
      </c>
      <c r="J9566" t="s">
        <v>5484</v>
      </c>
      <c r="K9566" t="s">
        <v>33703</v>
      </c>
      <c r="L9566" t="s">
        <v>5471</v>
      </c>
      <c r="M9566" t="s">
        <v>5471</v>
      </c>
    </row>
    <row r="9567" spans="1:13" x14ac:dyDescent="0.3">
      <c r="A9567" t="s">
        <v>3380</v>
      </c>
      <c r="B9567" t="s">
        <v>16820</v>
      </c>
      <c r="C9567" t="s">
        <v>6342</v>
      </c>
      <c r="D9567" t="s">
        <v>4119</v>
      </c>
      <c r="E9567" t="s">
        <v>5532</v>
      </c>
      <c r="F9567" t="s">
        <v>33704</v>
      </c>
      <c r="G9567" t="s">
        <v>16822</v>
      </c>
      <c r="H9567" t="s">
        <v>5474</v>
      </c>
      <c r="I9567" t="s">
        <v>33705</v>
      </c>
      <c r="J9567" t="s">
        <v>5484</v>
      </c>
      <c r="K9567" t="s">
        <v>16098</v>
      </c>
      <c r="L9567" t="s">
        <v>5471</v>
      </c>
      <c r="M9567" t="s">
        <v>5471</v>
      </c>
    </row>
    <row r="9568" spans="1:13" x14ac:dyDescent="0.3">
      <c r="A9568" t="s">
        <v>3383</v>
      </c>
      <c r="B9568" t="s">
        <v>6067</v>
      </c>
      <c r="C9568" t="s">
        <v>5487</v>
      </c>
      <c r="D9568" t="s">
        <v>33615</v>
      </c>
      <c r="E9568" t="s">
        <v>5532</v>
      </c>
      <c r="F9568" t="s">
        <v>33706</v>
      </c>
      <c r="G9568" t="s">
        <v>33707</v>
      </c>
      <c r="H9568" t="s">
        <v>5474</v>
      </c>
      <c r="I9568" t="s">
        <v>33708</v>
      </c>
      <c r="J9568" t="s">
        <v>5484</v>
      </c>
      <c r="K9568" t="s">
        <v>33709</v>
      </c>
      <c r="L9568" t="s">
        <v>5471</v>
      </c>
      <c r="M9568" t="s">
        <v>5471</v>
      </c>
    </row>
    <row r="9569" spans="1:13" x14ac:dyDescent="0.3">
      <c r="A9569" t="s">
        <v>3388</v>
      </c>
      <c r="B9569" t="s">
        <v>5296</v>
      </c>
      <c r="C9569" t="s">
        <v>5470</v>
      </c>
      <c r="D9569" t="s">
        <v>4119</v>
      </c>
      <c r="E9569" t="s">
        <v>5480</v>
      </c>
      <c r="F9569" t="s">
        <v>33710</v>
      </c>
      <c r="G9569" t="s">
        <v>22544</v>
      </c>
      <c r="H9569" t="s">
        <v>5474</v>
      </c>
      <c r="I9569" t="s">
        <v>33711</v>
      </c>
      <c r="J9569" t="s">
        <v>5484</v>
      </c>
      <c r="K9569" t="s">
        <v>33712</v>
      </c>
      <c r="L9569" t="s">
        <v>5471</v>
      </c>
      <c r="M9569" t="s">
        <v>5471</v>
      </c>
    </row>
    <row r="9570" spans="1:13" x14ac:dyDescent="0.3">
      <c r="A9570" t="s">
        <v>3383</v>
      </c>
      <c r="B9570" t="s">
        <v>5997</v>
      </c>
      <c r="C9570" t="s">
        <v>5487</v>
      </c>
      <c r="D9570" t="s">
        <v>30466</v>
      </c>
      <c r="E9570" t="s">
        <v>5532</v>
      </c>
      <c r="F9570" t="s">
        <v>33713</v>
      </c>
      <c r="G9570" t="s">
        <v>33714</v>
      </c>
      <c r="H9570" t="s">
        <v>5474</v>
      </c>
      <c r="I9570" t="s">
        <v>33715</v>
      </c>
      <c r="J9570" t="s">
        <v>5484</v>
      </c>
      <c r="K9570" t="s">
        <v>33716</v>
      </c>
      <c r="L9570" t="s">
        <v>5471</v>
      </c>
      <c r="M9570" t="s">
        <v>5471</v>
      </c>
    </row>
    <row r="9571" spans="1:13" x14ac:dyDescent="0.3">
      <c r="A9571" t="s">
        <v>3383</v>
      </c>
      <c r="B9571" t="s">
        <v>5997</v>
      </c>
      <c r="C9571" t="s">
        <v>5487</v>
      </c>
      <c r="D9571" t="s">
        <v>30466</v>
      </c>
      <c r="E9571" t="s">
        <v>5532</v>
      </c>
      <c r="F9571" t="s">
        <v>33717</v>
      </c>
      <c r="G9571" t="s">
        <v>33714</v>
      </c>
      <c r="H9571" t="s">
        <v>5474</v>
      </c>
      <c r="I9571" t="s">
        <v>33718</v>
      </c>
      <c r="J9571" t="s">
        <v>5484</v>
      </c>
      <c r="K9571" t="s">
        <v>33719</v>
      </c>
      <c r="L9571" t="s">
        <v>5471</v>
      </c>
      <c r="M9571" t="s">
        <v>5471</v>
      </c>
    </row>
    <row r="9572" spans="1:13" x14ac:dyDescent="0.3">
      <c r="A9572" t="s">
        <v>3380</v>
      </c>
      <c r="B9572" t="s">
        <v>16820</v>
      </c>
      <c r="C9572" t="s">
        <v>6342</v>
      </c>
      <c r="D9572" t="s">
        <v>4119</v>
      </c>
      <c r="E9572" t="s">
        <v>5532</v>
      </c>
      <c r="F9572" t="s">
        <v>33720</v>
      </c>
      <c r="G9572" t="s">
        <v>16822</v>
      </c>
      <c r="H9572" t="s">
        <v>5474</v>
      </c>
      <c r="I9572" t="s">
        <v>33721</v>
      </c>
      <c r="J9572" t="s">
        <v>5484</v>
      </c>
      <c r="K9572" t="s">
        <v>16101</v>
      </c>
      <c r="L9572" t="s">
        <v>5471</v>
      </c>
      <c r="M9572" t="s">
        <v>5471</v>
      </c>
    </row>
    <row r="9573" spans="1:13" x14ac:dyDescent="0.3">
      <c r="A9573" t="s">
        <v>3383</v>
      </c>
      <c r="B9573" t="s">
        <v>5997</v>
      </c>
      <c r="C9573" t="s">
        <v>5487</v>
      </c>
      <c r="D9573" t="s">
        <v>30466</v>
      </c>
      <c r="E9573" t="s">
        <v>5532</v>
      </c>
      <c r="F9573" t="s">
        <v>33722</v>
      </c>
      <c r="G9573" t="s">
        <v>33714</v>
      </c>
      <c r="H9573" t="s">
        <v>5474</v>
      </c>
      <c r="I9573" t="s">
        <v>33723</v>
      </c>
      <c r="J9573" t="s">
        <v>5484</v>
      </c>
      <c r="K9573" t="s">
        <v>33724</v>
      </c>
      <c r="L9573" t="s">
        <v>5471</v>
      </c>
      <c r="M9573" t="s">
        <v>5471</v>
      </c>
    </row>
    <row r="9574" spans="1:13" x14ac:dyDescent="0.3">
      <c r="A9574" t="s">
        <v>3388</v>
      </c>
      <c r="B9574" t="s">
        <v>5296</v>
      </c>
      <c r="C9574" t="s">
        <v>5470</v>
      </c>
      <c r="D9574" t="s">
        <v>4119</v>
      </c>
      <c r="E9574" t="s">
        <v>5480</v>
      </c>
      <c r="F9574" t="s">
        <v>33725</v>
      </c>
      <c r="G9574" t="s">
        <v>22544</v>
      </c>
      <c r="H9574" t="s">
        <v>5474</v>
      </c>
      <c r="I9574" t="s">
        <v>33726</v>
      </c>
      <c r="J9574" t="s">
        <v>5484</v>
      </c>
      <c r="K9574" t="s">
        <v>33727</v>
      </c>
      <c r="L9574" t="s">
        <v>5471</v>
      </c>
      <c r="M9574" t="s">
        <v>5471</v>
      </c>
    </row>
    <row r="9575" spans="1:13" x14ac:dyDescent="0.3">
      <c r="A9575" t="s">
        <v>3383</v>
      </c>
      <c r="B9575" t="s">
        <v>5304</v>
      </c>
      <c r="C9575" t="s">
        <v>5487</v>
      </c>
      <c r="D9575" t="s">
        <v>33615</v>
      </c>
      <c r="E9575" t="s">
        <v>5532</v>
      </c>
      <c r="F9575" t="s">
        <v>33728</v>
      </c>
      <c r="G9575" t="s">
        <v>11406</v>
      </c>
      <c r="H9575" t="s">
        <v>5474</v>
      </c>
      <c r="I9575" t="s">
        <v>33729</v>
      </c>
      <c r="J9575" t="s">
        <v>5484</v>
      </c>
      <c r="K9575" t="s">
        <v>33730</v>
      </c>
      <c r="L9575" t="s">
        <v>5471</v>
      </c>
      <c r="M9575" t="s">
        <v>5471</v>
      </c>
    </row>
    <row r="9576" spans="1:13" x14ac:dyDescent="0.3">
      <c r="A9576" t="s">
        <v>3383</v>
      </c>
      <c r="B9576" t="s">
        <v>7643</v>
      </c>
      <c r="C9576" t="s">
        <v>5487</v>
      </c>
      <c r="D9576" t="s">
        <v>33615</v>
      </c>
      <c r="E9576" t="s">
        <v>5532</v>
      </c>
      <c r="F9576" t="s">
        <v>33731</v>
      </c>
      <c r="G9576" t="s">
        <v>33732</v>
      </c>
      <c r="H9576" t="s">
        <v>5474</v>
      </c>
      <c r="I9576" t="s">
        <v>33733</v>
      </c>
      <c r="J9576" t="s">
        <v>5484</v>
      </c>
      <c r="K9576" t="s">
        <v>33734</v>
      </c>
      <c r="L9576" t="s">
        <v>5471</v>
      </c>
      <c r="M9576" t="s">
        <v>5471</v>
      </c>
    </row>
    <row r="9577" spans="1:13" x14ac:dyDescent="0.3">
      <c r="A9577" t="s">
        <v>3388</v>
      </c>
      <c r="B9577" t="s">
        <v>5296</v>
      </c>
      <c r="C9577" t="s">
        <v>5470</v>
      </c>
      <c r="D9577" t="s">
        <v>4119</v>
      </c>
      <c r="E9577" t="s">
        <v>5480</v>
      </c>
      <c r="F9577" t="s">
        <v>33735</v>
      </c>
      <c r="G9577" t="s">
        <v>22544</v>
      </c>
      <c r="H9577" t="s">
        <v>5474</v>
      </c>
      <c r="I9577" t="s">
        <v>33736</v>
      </c>
      <c r="J9577" t="s">
        <v>5484</v>
      </c>
      <c r="K9577" t="s">
        <v>33737</v>
      </c>
      <c r="L9577" t="s">
        <v>5471</v>
      </c>
      <c r="M9577" t="s">
        <v>5471</v>
      </c>
    </row>
    <row r="9578" spans="1:13" x14ac:dyDescent="0.3">
      <c r="A9578" t="s">
        <v>3383</v>
      </c>
      <c r="B9578" t="s">
        <v>5986</v>
      </c>
      <c r="C9578" t="s">
        <v>5487</v>
      </c>
      <c r="D9578" t="s">
        <v>33615</v>
      </c>
      <c r="E9578" t="s">
        <v>5532</v>
      </c>
      <c r="F9578" t="s">
        <v>33738</v>
      </c>
      <c r="G9578" t="s">
        <v>8147</v>
      </c>
      <c r="H9578" t="s">
        <v>5474</v>
      </c>
      <c r="I9578" t="s">
        <v>33739</v>
      </c>
      <c r="J9578" t="s">
        <v>5484</v>
      </c>
      <c r="K9578" t="s">
        <v>33740</v>
      </c>
      <c r="L9578" t="s">
        <v>5471</v>
      </c>
      <c r="M9578" t="s">
        <v>5471</v>
      </c>
    </row>
    <row r="9579" spans="1:13" x14ac:dyDescent="0.3">
      <c r="A9579" t="s">
        <v>3383</v>
      </c>
      <c r="B9579" t="s">
        <v>5986</v>
      </c>
      <c r="C9579" t="s">
        <v>5487</v>
      </c>
      <c r="D9579" t="s">
        <v>33615</v>
      </c>
      <c r="E9579" t="s">
        <v>5532</v>
      </c>
      <c r="F9579" t="s">
        <v>33741</v>
      </c>
      <c r="G9579" t="s">
        <v>8147</v>
      </c>
      <c r="H9579" t="s">
        <v>5474</v>
      </c>
      <c r="I9579" t="s">
        <v>33742</v>
      </c>
      <c r="J9579" t="s">
        <v>5484</v>
      </c>
      <c r="K9579" t="s">
        <v>33743</v>
      </c>
      <c r="L9579" t="s">
        <v>5471</v>
      </c>
      <c r="M9579" t="s">
        <v>5471</v>
      </c>
    </row>
    <row r="9580" spans="1:13" x14ac:dyDescent="0.3">
      <c r="A9580" t="s">
        <v>3383</v>
      </c>
      <c r="B9580" t="s">
        <v>5986</v>
      </c>
      <c r="C9580" t="s">
        <v>5487</v>
      </c>
      <c r="D9580" t="s">
        <v>33615</v>
      </c>
      <c r="E9580" t="s">
        <v>5532</v>
      </c>
      <c r="F9580" t="s">
        <v>33744</v>
      </c>
      <c r="G9580" t="s">
        <v>8147</v>
      </c>
      <c r="H9580" t="s">
        <v>5474</v>
      </c>
      <c r="I9580" t="s">
        <v>33745</v>
      </c>
      <c r="J9580" t="s">
        <v>5484</v>
      </c>
      <c r="K9580" t="s">
        <v>33746</v>
      </c>
      <c r="L9580" t="s">
        <v>5471</v>
      </c>
      <c r="M9580" t="s">
        <v>5471</v>
      </c>
    </row>
    <row r="9581" spans="1:13" x14ac:dyDescent="0.3">
      <c r="A9581" t="s">
        <v>3388</v>
      </c>
      <c r="B9581" t="s">
        <v>5296</v>
      </c>
      <c r="C9581" t="s">
        <v>5470</v>
      </c>
      <c r="D9581" t="s">
        <v>4119</v>
      </c>
      <c r="E9581" t="s">
        <v>5480</v>
      </c>
      <c r="F9581" t="s">
        <v>33747</v>
      </c>
      <c r="G9581" t="s">
        <v>22544</v>
      </c>
      <c r="H9581" t="s">
        <v>5474</v>
      </c>
      <c r="I9581" t="s">
        <v>33748</v>
      </c>
      <c r="J9581" t="s">
        <v>5484</v>
      </c>
      <c r="K9581" t="s">
        <v>33749</v>
      </c>
      <c r="L9581" t="s">
        <v>5471</v>
      </c>
      <c r="M9581" t="s">
        <v>5471</v>
      </c>
    </row>
    <row r="9582" spans="1:13" x14ac:dyDescent="0.3">
      <c r="A9582" t="s">
        <v>3380</v>
      </c>
      <c r="B9582" t="s">
        <v>16336</v>
      </c>
      <c r="C9582" t="s">
        <v>5487</v>
      </c>
      <c r="D9582" t="s">
        <v>4119</v>
      </c>
      <c r="E9582" t="s">
        <v>5843</v>
      </c>
      <c r="F9582" t="s">
        <v>33750</v>
      </c>
      <c r="G9582" t="s">
        <v>16511</v>
      </c>
      <c r="H9582" t="s">
        <v>5474</v>
      </c>
      <c r="I9582" t="s">
        <v>33751</v>
      </c>
      <c r="J9582" t="s">
        <v>5484</v>
      </c>
      <c r="K9582" t="s">
        <v>18298</v>
      </c>
      <c r="L9582" t="s">
        <v>5471</v>
      </c>
      <c r="M9582" t="s">
        <v>5471</v>
      </c>
    </row>
    <row r="9583" spans="1:13" x14ac:dyDescent="0.3">
      <c r="A9583" t="s">
        <v>3383</v>
      </c>
      <c r="B9583" t="s">
        <v>5997</v>
      </c>
      <c r="C9583" t="s">
        <v>5487</v>
      </c>
      <c r="D9583" t="s">
        <v>33615</v>
      </c>
      <c r="E9583" t="s">
        <v>5532</v>
      </c>
      <c r="F9583" t="s">
        <v>33752</v>
      </c>
      <c r="G9583" t="s">
        <v>33714</v>
      </c>
      <c r="H9583" t="s">
        <v>5474</v>
      </c>
      <c r="I9583" t="s">
        <v>33753</v>
      </c>
      <c r="J9583" t="s">
        <v>5484</v>
      </c>
      <c r="K9583" t="s">
        <v>33754</v>
      </c>
      <c r="L9583" t="s">
        <v>5471</v>
      </c>
      <c r="M9583" t="s">
        <v>5471</v>
      </c>
    </row>
    <row r="9584" spans="1:13" x14ac:dyDescent="0.3">
      <c r="A9584" t="s">
        <v>3388</v>
      </c>
      <c r="B9584" t="s">
        <v>20010</v>
      </c>
      <c r="C9584" t="s">
        <v>5470</v>
      </c>
      <c r="D9584" t="s">
        <v>30466</v>
      </c>
      <c r="E9584" t="s">
        <v>5532</v>
      </c>
      <c r="F9584" t="s">
        <v>33755</v>
      </c>
      <c r="G9584" t="s">
        <v>33756</v>
      </c>
      <c r="H9584" t="s">
        <v>5474</v>
      </c>
      <c r="I9584" t="s">
        <v>33757</v>
      </c>
      <c r="J9584" t="s">
        <v>5484</v>
      </c>
      <c r="K9584" t="s">
        <v>33758</v>
      </c>
      <c r="L9584" t="s">
        <v>5471</v>
      </c>
      <c r="M9584" t="s">
        <v>5471</v>
      </c>
    </row>
    <row r="9585" spans="1:13" x14ac:dyDescent="0.3">
      <c r="A9585" t="s">
        <v>3383</v>
      </c>
      <c r="B9585" t="s">
        <v>6009</v>
      </c>
      <c r="C9585" t="s">
        <v>5470</v>
      </c>
      <c r="D9585" t="s">
        <v>33615</v>
      </c>
      <c r="E9585" t="s">
        <v>5532</v>
      </c>
      <c r="F9585" t="s">
        <v>33759</v>
      </c>
      <c r="G9585" t="s">
        <v>8449</v>
      </c>
      <c r="H9585" t="s">
        <v>5474</v>
      </c>
      <c r="I9585" t="s">
        <v>33760</v>
      </c>
      <c r="J9585" t="s">
        <v>5484</v>
      </c>
      <c r="K9585" t="s">
        <v>33761</v>
      </c>
      <c r="L9585" t="s">
        <v>5471</v>
      </c>
      <c r="M9585" t="s">
        <v>5471</v>
      </c>
    </row>
    <row r="9586" spans="1:13" x14ac:dyDescent="0.3">
      <c r="A9586" t="s">
        <v>3388</v>
      </c>
      <c r="B9586" t="s">
        <v>5296</v>
      </c>
      <c r="C9586" t="s">
        <v>5470</v>
      </c>
      <c r="D9586" t="s">
        <v>4119</v>
      </c>
      <c r="E9586" t="s">
        <v>5480</v>
      </c>
      <c r="F9586" t="s">
        <v>33762</v>
      </c>
      <c r="G9586" t="s">
        <v>22544</v>
      </c>
      <c r="H9586" t="s">
        <v>5474</v>
      </c>
      <c r="I9586" t="s">
        <v>33763</v>
      </c>
      <c r="J9586" t="s">
        <v>5484</v>
      </c>
      <c r="K9586" t="s">
        <v>33764</v>
      </c>
      <c r="L9586" t="s">
        <v>5471</v>
      </c>
      <c r="M9586" t="s">
        <v>5471</v>
      </c>
    </row>
    <row r="9587" spans="1:13" x14ac:dyDescent="0.3">
      <c r="A9587" t="s">
        <v>3383</v>
      </c>
      <c r="B9587" t="s">
        <v>6026</v>
      </c>
      <c r="C9587" t="s">
        <v>5487</v>
      </c>
      <c r="D9587" t="s">
        <v>33615</v>
      </c>
      <c r="E9587" t="s">
        <v>5532</v>
      </c>
      <c r="F9587" t="s">
        <v>33765</v>
      </c>
      <c r="G9587" t="s">
        <v>33766</v>
      </c>
      <c r="H9587" t="s">
        <v>5474</v>
      </c>
      <c r="I9587" t="s">
        <v>33767</v>
      </c>
      <c r="J9587" t="s">
        <v>5484</v>
      </c>
      <c r="K9587" t="s">
        <v>33768</v>
      </c>
      <c r="L9587" t="s">
        <v>5471</v>
      </c>
      <c r="M9587" t="s">
        <v>5471</v>
      </c>
    </row>
    <row r="9588" spans="1:13" x14ac:dyDescent="0.3">
      <c r="A9588" t="s">
        <v>3380</v>
      </c>
      <c r="B9588" t="s">
        <v>16336</v>
      </c>
      <c r="C9588" t="s">
        <v>5487</v>
      </c>
      <c r="D9588" t="s">
        <v>4119</v>
      </c>
      <c r="E9588" t="s">
        <v>5843</v>
      </c>
      <c r="F9588" t="s">
        <v>33769</v>
      </c>
      <c r="G9588" t="s">
        <v>16511</v>
      </c>
      <c r="H9588" t="s">
        <v>5474</v>
      </c>
      <c r="I9588" t="s">
        <v>33770</v>
      </c>
      <c r="J9588" t="s">
        <v>5484</v>
      </c>
      <c r="K9588" t="s">
        <v>18308</v>
      </c>
      <c r="L9588" t="s">
        <v>5471</v>
      </c>
      <c r="M9588" t="s">
        <v>5471</v>
      </c>
    </row>
    <row r="9589" spans="1:13" x14ac:dyDescent="0.3">
      <c r="A9589" t="s">
        <v>3383</v>
      </c>
      <c r="B9589" t="s">
        <v>6034</v>
      </c>
      <c r="C9589" t="s">
        <v>5487</v>
      </c>
      <c r="D9589" t="s">
        <v>33615</v>
      </c>
      <c r="E9589" t="s">
        <v>5532</v>
      </c>
      <c r="F9589" t="s">
        <v>33771</v>
      </c>
      <c r="G9589" t="s">
        <v>8193</v>
      </c>
      <c r="H9589" t="s">
        <v>5474</v>
      </c>
      <c r="I9589" t="s">
        <v>33772</v>
      </c>
      <c r="J9589" t="s">
        <v>5484</v>
      </c>
      <c r="K9589" t="s">
        <v>33773</v>
      </c>
      <c r="L9589" t="s">
        <v>5471</v>
      </c>
      <c r="M9589" t="s">
        <v>5471</v>
      </c>
    </row>
    <row r="9590" spans="1:13" x14ac:dyDescent="0.3">
      <c r="A9590" t="s">
        <v>3388</v>
      </c>
      <c r="B9590" t="s">
        <v>8573</v>
      </c>
      <c r="C9590" t="s">
        <v>5470</v>
      </c>
      <c r="D9590" t="s">
        <v>30466</v>
      </c>
      <c r="E9590" t="s">
        <v>5532</v>
      </c>
      <c r="F9590" t="s">
        <v>33774</v>
      </c>
      <c r="G9590" t="s">
        <v>31191</v>
      </c>
      <c r="H9590" t="s">
        <v>5474</v>
      </c>
      <c r="I9590" t="s">
        <v>33775</v>
      </c>
      <c r="J9590" t="s">
        <v>5484</v>
      </c>
      <c r="K9590" t="s">
        <v>33776</v>
      </c>
      <c r="L9590" t="s">
        <v>5471</v>
      </c>
      <c r="M9590" t="s">
        <v>5471</v>
      </c>
    </row>
    <row r="9591" spans="1:13" x14ac:dyDescent="0.3">
      <c r="A9591" t="s">
        <v>3383</v>
      </c>
      <c r="B9591" t="s">
        <v>6034</v>
      </c>
      <c r="C9591" t="s">
        <v>5487</v>
      </c>
      <c r="D9591" t="s">
        <v>33615</v>
      </c>
      <c r="E9591" t="s">
        <v>5532</v>
      </c>
      <c r="F9591" t="s">
        <v>33777</v>
      </c>
      <c r="G9591" t="s">
        <v>8193</v>
      </c>
      <c r="H9591" t="s">
        <v>5474</v>
      </c>
      <c r="I9591" t="s">
        <v>33778</v>
      </c>
      <c r="J9591" t="s">
        <v>5484</v>
      </c>
      <c r="K9591" t="s">
        <v>33779</v>
      </c>
      <c r="L9591" t="s">
        <v>5471</v>
      </c>
      <c r="M9591" t="s">
        <v>5471</v>
      </c>
    </row>
    <row r="9592" spans="1:13" x14ac:dyDescent="0.3">
      <c r="A9592" t="s">
        <v>3388</v>
      </c>
      <c r="B9592" t="s">
        <v>5296</v>
      </c>
      <c r="C9592" t="s">
        <v>5470</v>
      </c>
      <c r="D9592" t="s">
        <v>4119</v>
      </c>
      <c r="E9592" t="s">
        <v>5480</v>
      </c>
      <c r="F9592" t="s">
        <v>33780</v>
      </c>
      <c r="G9592" t="s">
        <v>22544</v>
      </c>
      <c r="H9592" t="s">
        <v>5474</v>
      </c>
      <c r="I9592" t="s">
        <v>33781</v>
      </c>
      <c r="J9592" t="s">
        <v>5484</v>
      </c>
      <c r="K9592" t="s">
        <v>33782</v>
      </c>
      <c r="L9592" t="s">
        <v>5471</v>
      </c>
      <c r="M9592" t="s">
        <v>5471</v>
      </c>
    </row>
    <row r="9593" spans="1:13" x14ac:dyDescent="0.3">
      <c r="A9593" t="s">
        <v>3383</v>
      </c>
      <c r="B9593" t="s">
        <v>6034</v>
      </c>
      <c r="C9593" t="s">
        <v>5487</v>
      </c>
      <c r="D9593" t="s">
        <v>33615</v>
      </c>
      <c r="E9593" t="s">
        <v>5532</v>
      </c>
      <c r="F9593" t="s">
        <v>33783</v>
      </c>
      <c r="G9593" t="s">
        <v>8193</v>
      </c>
      <c r="H9593" t="s">
        <v>5474</v>
      </c>
      <c r="I9593" t="s">
        <v>33784</v>
      </c>
      <c r="J9593" t="s">
        <v>5484</v>
      </c>
      <c r="K9593" t="s">
        <v>33785</v>
      </c>
      <c r="L9593" t="s">
        <v>5471</v>
      </c>
      <c r="M9593" t="s">
        <v>5471</v>
      </c>
    </row>
    <row r="9594" spans="1:13" x14ac:dyDescent="0.3">
      <c r="A9594" t="s">
        <v>3380</v>
      </c>
      <c r="B9594" t="s">
        <v>16336</v>
      </c>
      <c r="C9594" t="s">
        <v>5487</v>
      </c>
      <c r="D9594" t="s">
        <v>4119</v>
      </c>
      <c r="E9594" t="s">
        <v>5843</v>
      </c>
      <c r="F9594" t="s">
        <v>33786</v>
      </c>
      <c r="G9594" t="s">
        <v>16511</v>
      </c>
      <c r="H9594" t="s">
        <v>5474</v>
      </c>
      <c r="I9594" t="s">
        <v>33787</v>
      </c>
      <c r="J9594" t="s">
        <v>5484</v>
      </c>
      <c r="K9594" t="s">
        <v>18311</v>
      </c>
      <c r="L9594" t="s">
        <v>5471</v>
      </c>
      <c r="M9594" t="s">
        <v>5471</v>
      </c>
    </row>
    <row r="9595" spans="1:13" x14ac:dyDescent="0.3">
      <c r="A9595" t="s">
        <v>3388</v>
      </c>
      <c r="B9595" t="s">
        <v>5531</v>
      </c>
      <c r="C9595" t="s">
        <v>5470</v>
      </c>
      <c r="D9595" t="s">
        <v>30466</v>
      </c>
      <c r="E9595" t="s">
        <v>5532</v>
      </c>
      <c r="F9595" t="s">
        <v>33788</v>
      </c>
      <c r="G9595" t="s">
        <v>10194</v>
      </c>
      <c r="H9595" t="s">
        <v>5474</v>
      </c>
      <c r="I9595" t="s">
        <v>33789</v>
      </c>
      <c r="J9595" t="s">
        <v>5484</v>
      </c>
      <c r="K9595" t="s">
        <v>33790</v>
      </c>
      <c r="L9595" t="s">
        <v>5471</v>
      </c>
      <c r="M9595" t="s">
        <v>5471</v>
      </c>
    </row>
    <row r="9596" spans="1:13" x14ac:dyDescent="0.3">
      <c r="A9596" t="s">
        <v>3383</v>
      </c>
      <c r="B9596" t="s">
        <v>5304</v>
      </c>
      <c r="C9596" t="s">
        <v>5487</v>
      </c>
      <c r="D9596" t="s">
        <v>33615</v>
      </c>
      <c r="E9596" t="s">
        <v>5532</v>
      </c>
      <c r="F9596" t="s">
        <v>33791</v>
      </c>
      <c r="G9596" t="s">
        <v>11406</v>
      </c>
      <c r="H9596" t="s">
        <v>5474</v>
      </c>
      <c r="I9596" t="s">
        <v>33792</v>
      </c>
      <c r="J9596" t="s">
        <v>5484</v>
      </c>
      <c r="K9596" t="s">
        <v>33793</v>
      </c>
      <c r="L9596" t="s">
        <v>5471</v>
      </c>
      <c r="M9596" t="s">
        <v>5471</v>
      </c>
    </row>
    <row r="9597" spans="1:13" x14ac:dyDescent="0.3">
      <c r="A9597" t="s">
        <v>3388</v>
      </c>
      <c r="B9597" t="s">
        <v>5296</v>
      </c>
      <c r="C9597" t="s">
        <v>5470</v>
      </c>
      <c r="D9597" t="s">
        <v>4119</v>
      </c>
      <c r="E9597" t="s">
        <v>5480</v>
      </c>
      <c r="F9597" t="s">
        <v>33794</v>
      </c>
      <c r="G9597" t="s">
        <v>22544</v>
      </c>
      <c r="H9597" t="s">
        <v>5474</v>
      </c>
      <c r="I9597" t="s">
        <v>33795</v>
      </c>
      <c r="J9597" t="s">
        <v>5484</v>
      </c>
      <c r="K9597" t="s">
        <v>33796</v>
      </c>
      <c r="L9597" t="s">
        <v>5471</v>
      </c>
      <c r="M9597" t="s">
        <v>5471</v>
      </c>
    </row>
    <row r="9598" spans="1:13" x14ac:dyDescent="0.3">
      <c r="A9598" t="s">
        <v>3383</v>
      </c>
      <c r="B9598" t="s">
        <v>5304</v>
      </c>
      <c r="C9598" t="s">
        <v>5487</v>
      </c>
      <c r="D9598" t="s">
        <v>33615</v>
      </c>
      <c r="E9598" t="s">
        <v>5532</v>
      </c>
      <c r="F9598" t="s">
        <v>33797</v>
      </c>
      <c r="G9598" t="s">
        <v>11406</v>
      </c>
      <c r="H9598" t="s">
        <v>5474</v>
      </c>
      <c r="I9598" t="s">
        <v>33798</v>
      </c>
      <c r="J9598" t="s">
        <v>5484</v>
      </c>
      <c r="K9598" t="s">
        <v>33793</v>
      </c>
      <c r="L9598" t="s">
        <v>5471</v>
      </c>
      <c r="M9598" t="s">
        <v>5471</v>
      </c>
    </row>
    <row r="9599" spans="1:13" x14ac:dyDescent="0.3">
      <c r="A9599" t="s">
        <v>3380</v>
      </c>
      <c r="B9599" t="s">
        <v>16940</v>
      </c>
      <c r="C9599" t="s">
        <v>6342</v>
      </c>
      <c r="D9599" t="s">
        <v>4119</v>
      </c>
      <c r="E9599" t="s">
        <v>5532</v>
      </c>
      <c r="F9599" t="s">
        <v>26237</v>
      </c>
      <c r="G9599" t="s">
        <v>16942</v>
      </c>
      <c r="H9599" t="s">
        <v>5474</v>
      </c>
      <c r="I9599" t="s">
        <v>33799</v>
      </c>
      <c r="J9599" t="s">
        <v>5484</v>
      </c>
      <c r="K9599" t="s">
        <v>16110</v>
      </c>
      <c r="L9599" t="s">
        <v>5471</v>
      </c>
      <c r="M9599" t="s">
        <v>5471</v>
      </c>
    </row>
    <row r="9600" spans="1:13" x14ac:dyDescent="0.3">
      <c r="A9600" t="s">
        <v>3383</v>
      </c>
      <c r="B9600" t="s">
        <v>5304</v>
      </c>
      <c r="C9600" t="s">
        <v>5487</v>
      </c>
      <c r="D9600" t="s">
        <v>33615</v>
      </c>
      <c r="E9600" t="s">
        <v>5532</v>
      </c>
      <c r="F9600" t="s">
        <v>33800</v>
      </c>
      <c r="G9600" t="s">
        <v>11406</v>
      </c>
      <c r="H9600" t="s">
        <v>5474</v>
      </c>
      <c r="I9600" t="s">
        <v>33801</v>
      </c>
      <c r="J9600" t="s">
        <v>5484</v>
      </c>
      <c r="K9600" t="s">
        <v>33802</v>
      </c>
      <c r="L9600" t="s">
        <v>5471</v>
      </c>
      <c r="M9600" t="s">
        <v>5471</v>
      </c>
    </row>
    <row r="9601" spans="1:13" x14ac:dyDescent="0.3">
      <c r="A9601" t="s">
        <v>3388</v>
      </c>
      <c r="B9601" t="s">
        <v>5272</v>
      </c>
      <c r="C9601" t="s">
        <v>5470</v>
      </c>
      <c r="D9601" t="s">
        <v>30466</v>
      </c>
      <c r="E9601" t="s">
        <v>5532</v>
      </c>
      <c r="F9601" t="s">
        <v>33803</v>
      </c>
      <c r="G9601" t="s">
        <v>24390</v>
      </c>
      <c r="H9601" t="s">
        <v>5474</v>
      </c>
      <c r="I9601" t="s">
        <v>33804</v>
      </c>
      <c r="J9601" t="s">
        <v>5484</v>
      </c>
      <c r="K9601" t="s">
        <v>33805</v>
      </c>
      <c r="L9601" t="s">
        <v>5471</v>
      </c>
      <c r="M9601" t="s">
        <v>5471</v>
      </c>
    </row>
    <row r="9602" spans="1:13" x14ac:dyDescent="0.3">
      <c r="A9602" t="s">
        <v>3383</v>
      </c>
      <c r="B9602" t="s">
        <v>5304</v>
      </c>
      <c r="C9602" t="s">
        <v>5487</v>
      </c>
      <c r="D9602" t="s">
        <v>33615</v>
      </c>
      <c r="E9602" t="s">
        <v>5532</v>
      </c>
      <c r="F9602" t="s">
        <v>33806</v>
      </c>
      <c r="G9602" t="s">
        <v>11406</v>
      </c>
      <c r="H9602" t="s">
        <v>5474</v>
      </c>
      <c r="I9602" t="s">
        <v>33807</v>
      </c>
      <c r="J9602" t="s">
        <v>5484</v>
      </c>
      <c r="K9602" t="s">
        <v>33808</v>
      </c>
      <c r="L9602" t="s">
        <v>5471</v>
      </c>
      <c r="M9602" t="s">
        <v>5471</v>
      </c>
    </row>
    <row r="9603" spans="1:13" x14ac:dyDescent="0.3">
      <c r="A9603" t="s">
        <v>3388</v>
      </c>
      <c r="B9603" t="s">
        <v>5296</v>
      </c>
      <c r="C9603" t="s">
        <v>5470</v>
      </c>
      <c r="D9603" t="s">
        <v>4119</v>
      </c>
      <c r="E9603" t="s">
        <v>5480</v>
      </c>
      <c r="F9603" t="s">
        <v>33809</v>
      </c>
      <c r="G9603" t="s">
        <v>22544</v>
      </c>
      <c r="H9603" t="s">
        <v>5474</v>
      </c>
      <c r="I9603" t="s">
        <v>33810</v>
      </c>
      <c r="J9603" t="s">
        <v>5484</v>
      </c>
      <c r="K9603" t="s">
        <v>33811</v>
      </c>
      <c r="L9603" t="s">
        <v>5471</v>
      </c>
      <c r="M9603" t="s">
        <v>5471</v>
      </c>
    </row>
    <row r="9604" spans="1:13" x14ac:dyDescent="0.3">
      <c r="A9604" t="s">
        <v>3383</v>
      </c>
      <c r="B9604" t="s">
        <v>5304</v>
      </c>
      <c r="C9604" t="s">
        <v>5487</v>
      </c>
      <c r="D9604" t="s">
        <v>33615</v>
      </c>
      <c r="E9604" t="s">
        <v>5532</v>
      </c>
      <c r="F9604" t="s">
        <v>33812</v>
      </c>
      <c r="G9604" t="s">
        <v>11406</v>
      </c>
      <c r="H9604" t="s">
        <v>5474</v>
      </c>
      <c r="I9604" t="s">
        <v>33813</v>
      </c>
      <c r="J9604" t="s">
        <v>5484</v>
      </c>
      <c r="K9604" t="s">
        <v>33793</v>
      </c>
      <c r="L9604" t="s">
        <v>5471</v>
      </c>
      <c r="M9604" t="s">
        <v>5471</v>
      </c>
    </row>
    <row r="9605" spans="1:13" x14ac:dyDescent="0.3">
      <c r="A9605" t="s">
        <v>3383</v>
      </c>
      <c r="B9605" t="s">
        <v>8176</v>
      </c>
      <c r="C9605" t="s">
        <v>5487</v>
      </c>
      <c r="D9605" t="s">
        <v>33615</v>
      </c>
      <c r="E9605" t="s">
        <v>5532</v>
      </c>
      <c r="F9605" t="s">
        <v>33814</v>
      </c>
      <c r="G9605" t="s">
        <v>11393</v>
      </c>
      <c r="H9605" t="s">
        <v>5474</v>
      </c>
      <c r="I9605" t="s">
        <v>33815</v>
      </c>
      <c r="J9605" t="s">
        <v>5484</v>
      </c>
      <c r="K9605" t="s">
        <v>33816</v>
      </c>
      <c r="L9605" t="s">
        <v>5471</v>
      </c>
      <c r="M9605" t="s">
        <v>5471</v>
      </c>
    </row>
    <row r="9606" spans="1:13" x14ac:dyDescent="0.3">
      <c r="A9606" t="s">
        <v>3388</v>
      </c>
      <c r="B9606" t="s">
        <v>5272</v>
      </c>
      <c r="C9606" t="s">
        <v>5470</v>
      </c>
      <c r="D9606" t="s">
        <v>30466</v>
      </c>
      <c r="E9606" t="s">
        <v>5532</v>
      </c>
      <c r="F9606" t="s">
        <v>33817</v>
      </c>
      <c r="G9606" t="s">
        <v>24394</v>
      </c>
      <c r="H9606" t="s">
        <v>5474</v>
      </c>
      <c r="I9606" t="s">
        <v>33818</v>
      </c>
      <c r="J9606" t="s">
        <v>5484</v>
      </c>
      <c r="K9606" t="s">
        <v>33819</v>
      </c>
      <c r="L9606" t="s">
        <v>5471</v>
      </c>
      <c r="M9606" t="s">
        <v>5471</v>
      </c>
    </row>
    <row r="9607" spans="1:13" x14ac:dyDescent="0.3">
      <c r="A9607" t="s">
        <v>3388</v>
      </c>
      <c r="B9607" t="s">
        <v>5296</v>
      </c>
      <c r="C9607" t="s">
        <v>5470</v>
      </c>
      <c r="D9607" t="s">
        <v>4119</v>
      </c>
      <c r="E9607" t="s">
        <v>5480</v>
      </c>
      <c r="F9607" t="s">
        <v>33820</v>
      </c>
      <c r="G9607" t="s">
        <v>22544</v>
      </c>
      <c r="H9607" t="s">
        <v>5474</v>
      </c>
      <c r="I9607" t="s">
        <v>33821</v>
      </c>
      <c r="J9607" t="s">
        <v>5484</v>
      </c>
      <c r="K9607" t="s">
        <v>33822</v>
      </c>
      <c r="L9607" t="s">
        <v>5471</v>
      </c>
      <c r="M9607" t="s">
        <v>5471</v>
      </c>
    </row>
    <row r="9608" spans="1:13" x14ac:dyDescent="0.3">
      <c r="A9608" t="s">
        <v>3383</v>
      </c>
      <c r="B9608" t="s">
        <v>7643</v>
      </c>
      <c r="C9608" t="s">
        <v>5487</v>
      </c>
      <c r="D9608" t="s">
        <v>33615</v>
      </c>
      <c r="E9608" t="s">
        <v>5532</v>
      </c>
      <c r="F9608" t="s">
        <v>33823</v>
      </c>
      <c r="G9608" t="s">
        <v>33732</v>
      </c>
      <c r="H9608" t="s">
        <v>5474</v>
      </c>
      <c r="I9608" t="s">
        <v>33824</v>
      </c>
      <c r="J9608" t="s">
        <v>5484</v>
      </c>
      <c r="K9608" t="s">
        <v>33825</v>
      </c>
      <c r="L9608" t="s">
        <v>5471</v>
      </c>
      <c r="M9608" t="s">
        <v>5471</v>
      </c>
    </row>
    <row r="9609" spans="1:13" x14ac:dyDescent="0.3">
      <c r="A9609" t="s">
        <v>3383</v>
      </c>
      <c r="B9609" t="s">
        <v>7643</v>
      </c>
      <c r="C9609" t="s">
        <v>5487</v>
      </c>
      <c r="D9609" t="s">
        <v>33615</v>
      </c>
      <c r="E9609" t="s">
        <v>5532</v>
      </c>
      <c r="F9609" t="s">
        <v>33826</v>
      </c>
      <c r="G9609" t="s">
        <v>33732</v>
      </c>
      <c r="H9609" t="s">
        <v>5474</v>
      </c>
      <c r="I9609" t="s">
        <v>33827</v>
      </c>
      <c r="J9609" t="s">
        <v>5484</v>
      </c>
      <c r="K9609" t="s">
        <v>33828</v>
      </c>
      <c r="L9609" t="s">
        <v>5471</v>
      </c>
      <c r="M9609" t="s">
        <v>5471</v>
      </c>
    </row>
    <row r="9610" spans="1:13" x14ac:dyDescent="0.3">
      <c r="A9610" t="s">
        <v>3388</v>
      </c>
      <c r="B9610" t="s">
        <v>20040</v>
      </c>
      <c r="C9610" t="s">
        <v>5470</v>
      </c>
      <c r="D9610" t="s">
        <v>30466</v>
      </c>
      <c r="E9610" t="s">
        <v>5532</v>
      </c>
      <c r="F9610" t="s">
        <v>33829</v>
      </c>
      <c r="G9610" t="s">
        <v>24390</v>
      </c>
      <c r="H9610" t="s">
        <v>5474</v>
      </c>
      <c r="I9610" t="s">
        <v>33830</v>
      </c>
      <c r="J9610" t="s">
        <v>5484</v>
      </c>
      <c r="K9610" t="s">
        <v>33831</v>
      </c>
      <c r="L9610" t="s">
        <v>5471</v>
      </c>
      <c r="M9610" t="s">
        <v>5471</v>
      </c>
    </row>
    <row r="9611" spans="1:13" x14ac:dyDescent="0.3">
      <c r="A9611" t="s">
        <v>3388</v>
      </c>
      <c r="B9611" t="s">
        <v>5296</v>
      </c>
      <c r="C9611" t="s">
        <v>5470</v>
      </c>
      <c r="D9611" t="s">
        <v>4119</v>
      </c>
      <c r="E9611" t="s">
        <v>5480</v>
      </c>
      <c r="F9611" t="s">
        <v>33832</v>
      </c>
      <c r="G9611" t="s">
        <v>22544</v>
      </c>
      <c r="H9611" t="s">
        <v>5474</v>
      </c>
      <c r="I9611" t="s">
        <v>33833</v>
      </c>
      <c r="J9611" t="s">
        <v>5484</v>
      </c>
      <c r="K9611" t="s">
        <v>33834</v>
      </c>
      <c r="L9611" t="s">
        <v>5471</v>
      </c>
      <c r="M9611" t="s">
        <v>5471</v>
      </c>
    </row>
    <row r="9612" spans="1:13" x14ac:dyDescent="0.3">
      <c r="A9612" t="s">
        <v>3383</v>
      </c>
      <c r="B9612" t="s">
        <v>7643</v>
      </c>
      <c r="C9612" t="s">
        <v>5487</v>
      </c>
      <c r="D9612" t="s">
        <v>33615</v>
      </c>
      <c r="E9612" t="s">
        <v>5532</v>
      </c>
      <c r="F9612" t="s">
        <v>33835</v>
      </c>
      <c r="G9612" t="s">
        <v>33732</v>
      </c>
      <c r="H9612" t="s">
        <v>5474</v>
      </c>
      <c r="I9612" t="s">
        <v>33836</v>
      </c>
      <c r="J9612" t="s">
        <v>5484</v>
      </c>
      <c r="K9612" t="s">
        <v>33828</v>
      </c>
      <c r="L9612" t="s">
        <v>5471</v>
      </c>
      <c r="M9612" t="s">
        <v>5471</v>
      </c>
    </row>
    <row r="9613" spans="1:13" x14ac:dyDescent="0.3">
      <c r="A9613" t="s">
        <v>3383</v>
      </c>
      <c r="B9613" t="s">
        <v>5586</v>
      </c>
      <c r="C9613" t="s">
        <v>5487</v>
      </c>
      <c r="D9613" t="s">
        <v>33615</v>
      </c>
      <c r="E9613" t="s">
        <v>5532</v>
      </c>
      <c r="F9613" t="s">
        <v>33837</v>
      </c>
      <c r="G9613" t="s">
        <v>7661</v>
      </c>
      <c r="H9613" t="s">
        <v>5474</v>
      </c>
      <c r="I9613" t="s">
        <v>33838</v>
      </c>
      <c r="J9613" t="s">
        <v>5484</v>
      </c>
      <c r="K9613" t="s">
        <v>33839</v>
      </c>
      <c r="L9613" t="s">
        <v>5471</v>
      </c>
      <c r="M9613" t="s">
        <v>5471</v>
      </c>
    </row>
    <row r="9614" spans="1:13" x14ac:dyDescent="0.3">
      <c r="A9614" t="s">
        <v>3383</v>
      </c>
      <c r="B9614" t="s">
        <v>5586</v>
      </c>
      <c r="C9614" t="s">
        <v>5487</v>
      </c>
      <c r="D9614" t="s">
        <v>33615</v>
      </c>
      <c r="E9614" t="s">
        <v>5532</v>
      </c>
      <c r="F9614" t="s">
        <v>33840</v>
      </c>
      <c r="G9614" t="s">
        <v>7661</v>
      </c>
      <c r="H9614" t="s">
        <v>5474</v>
      </c>
      <c r="I9614" t="s">
        <v>33841</v>
      </c>
      <c r="J9614" t="s">
        <v>5484</v>
      </c>
      <c r="K9614" t="s">
        <v>33842</v>
      </c>
      <c r="L9614" t="s">
        <v>5471</v>
      </c>
      <c r="M9614" t="s">
        <v>5471</v>
      </c>
    </row>
    <row r="9615" spans="1:13" x14ac:dyDescent="0.3">
      <c r="A9615" t="s">
        <v>3388</v>
      </c>
      <c r="B9615" t="s">
        <v>5296</v>
      </c>
      <c r="C9615" t="s">
        <v>5470</v>
      </c>
      <c r="D9615" t="s">
        <v>4119</v>
      </c>
      <c r="E9615" t="s">
        <v>5480</v>
      </c>
      <c r="F9615" t="s">
        <v>33843</v>
      </c>
      <c r="G9615" t="s">
        <v>22544</v>
      </c>
      <c r="H9615" t="s">
        <v>5474</v>
      </c>
      <c r="I9615" t="s">
        <v>33844</v>
      </c>
      <c r="J9615" t="s">
        <v>5484</v>
      </c>
      <c r="K9615" t="s">
        <v>33845</v>
      </c>
      <c r="L9615" t="s">
        <v>5471</v>
      </c>
      <c r="M9615" t="s">
        <v>5471</v>
      </c>
    </row>
    <row r="9616" spans="1:13" x14ac:dyDescent="0.3">
      <c r="A9616" t="s">
        <v>3388</v>
      </c>
      <c r="B9616" t="s">
        <v>20040</v>
      </c>
      <c r="C9616" t="s">
        <v>5470</v>
      </c>
      <c r="D9616" t="s">
        <v>30466</v>
      </c>
      <c r="E9616" t="s">
        <v>5532</v>
      </c>
      <c r="F9616" t="s">
        <v>33846</v>
      </c>
      <c r="G9616" t="s">
        <v>24394</v>
      </c>
      <c r="H9616" t="s">
        <v>5474</v>
      </c>
      <c r="I9616" t="s">
        <v>33847</v>
      </c>
      <c r="J9616" t="s">
        <v>5484</v>
      </c>
      <c r="K9616" t="s">
        <v>33848</v>
      </c>
      <c r="L9616" t="s">
        <v>5471</v>
      </c>
      <c r="M9616" t="s">
        <v>5471</v>
      </c>
    </row>
    <row r="9617" spans="1:13" x14ac:dyDescent="0.3">
      <c r="A9617" t="s">
        <v>3383</v>
      </c>
      <c r="B9617" t="s">
        <v>5586</v>
      </c>
      <c r="C9617" t="s">
        <v>5487</v>
      </c>
      <c r="D9617" t="s">
        <v>33615</v>
      </c>
      <c r="E9617" t="s">
        <v>5532</v>
      </c>
      <c r="F9617" t="s">
        <v>33849</v>
      </c>
      <c r="G9617" t="s">
        <v>7661</v>
      </c>
      <c r="H9617" t="s">
        <v>5474</v>
      </c>
      <c r="I9617" t="s">
        <v>33850</v>
      </c>
      <c r="J9617" t="s">
        <v>5484</v>
      </c>
      <c r="K9617" t="s">
        <v>33851</v>
      </c>
      <c r="L9617" t="s">
        <v>5471</v>
      </c>
      <c r="M9617" t="s">
        <v>5471</v>
      </c>
    </row>
    <row r="9618" spans="1:13" x14ac:dyDescent="0.3">
      <c r="A9618" t="s">
        <v>3383</v>
      </c>
      <c r="B9618" t="s">
        <v>5586</v>
      </c>
      <c r="C9618" t="s">
        <v>5487</v>
      </c>
      <c r="D9618" t="s">
        <v>33615</v>
      </c>
      <c r="E9618" t="s">
        <v>5532</v>
      </c>
      <c r="F9618" t="s">
        <v>33852</v>
      </c>
      <c r="G9618" t="s">
        <v>7661</v>
      </c>
      <c r="H9618" t="s">
        <v>5474</v>
      </c>
      <c r="I9618" t="s">
        <v>33853</v>
      </c>
      <c r="J9618" t="s">
        <v>5484</v>
      </c>
      <c r="K9618" t="s">
        <v>33839</v>
      </c>
      <c r="L9618" t="s">
        <v>5471</v>
      </c>
      <c r="M9618" t="s">
        <v>5471</v>
      </c>
    </row>
    <row r="9619" spans="1:13" x14ac:dyDescent="0.3">
      <c r="A9619" t="s">
        <v>3388</v>
      </c>
      <c r="B9619" t="s">
        <v>5296</v>
      </c>
      <c r="C9619" t="s">
        <v>5470</v>
      </c>
      <c r="D9619" t="s">
        <v>4119</v>
      </c>
      <c r="E9619" t="s">
        <v>5480</v>
      </c>
      <c r="F9619" t="s">
        <v>33854</v>
      </c>
      <c r="G9619" t="s">
        <v>22544</v>
      </c>
      <c r="H9619" t="s">
        <v>5474</v>
      </c>
      <c r="I9619" t="s">
        <v>33855</v>
      </c>
      <c r="J9619" t="s">
        <v>5484</v>
      </c>
      <c r="K9619" t="s">
        <v>33856</v>
      </c>
      <c r="L9619" t="s">
        <v>5471</v>
      </c>
      <c r="M9619" t="s">
        <v>5471</v>
      </c>
    </row>
    <row r="9620" spans="1:13" x14ac:dyDescent="0.3">
      <c r="A9620" t="s">
        <v>3383</v>
      </c>
      <c r="B9620" t="s">
        <v>5586</v>
      </c>
      <c r="C9620" t="s">
        <v>5487</v>
      </c>
      <c r="D9620" t="s">
        <v>33615</v>
      </c>
      <c r="E9620" t="s">
        <v>5532</v>
      </c>
      <c r="F9620" t="s">
        <v>33857</v>
      </c>
      <c r="G9620" t="s">
        <v>7661</v>
      </c>
      <c r="H9620" t="s">
        <v>5474</v>
      </c>
      <c r="I9620" t="s">
        <v>33858</v>
      </c>
      <c r="J9620" t="s">
        <v>5484</v>
      </c>
      <c r="K9620" t="s">
        <v>33839</v>
      </c>
      <c r="L9620" t="s">
        <v>5471</v>
      </c>
      <c r="M9620" t="s">
        <v>5471</v>
      </c>
    </row>
    <row r="9621" spans="1:13" x14ac:dyDescent="0.3">
      <c r="A9621" t="s">
        <v>3383</v>
      </c>
      <c r="B9621" t="s">
        <v>8062</v>
      </c>
      <c r="C9621" t="s">
        <v>5487</v>
      </c>
      <c r="D9621" t="s">
        <v>33615</v>
      </c>
      <c r="E9621" t="s">
        <v>5532</v>
      </c>
      <c r="F9621" t="s">
        <v>33859</v>
      </c>
      <c r="G9621" t="s">
        <v>22697</v>
      </c>
      <c r="H9621" t="s">
        <v>5474</v>
      </c>
      <c r="I9621" t="s">
        <v>33860</v>
      </c>
      <c r="J9621" t="s">
        <v>5484</v>
      </c>
      <c r="K9621" t="s">
        <v>33861</v>
      </c>
      <c r="L9621" t="s">
        <v>5471</v>
      </c>
      <c r="M9621" t="s">
        <v>5471</v>
      </c>
    </row>
    <row r="9622" spans="1:13" x14ac:dyDescent="0.3">
      <c r="A9622" t="s">
        <v>3383</v>
      </c>
      <c r="B9622" t="s">
        <v>6113</v>
      </c>
      <c r="C9622" t="s">
        <v>5487</v>
      </c>
      <c r="D9622" t="s">
        <v>33615</v>
      </c>
      <c r="E9622" t="s">
        <v>5532</v>
      </c>
      <c r="F9622" t="s">
        <v>33862</v>
      </c>
      <c r="G9622" t="s">
        <v>33863</v>
      </c>
      <c r="H9622" t="s">
        <v>5474</v>
      </c>
      <c r="I9622" t="s">
        <v>33864</v>
      </c>
      <c r="J9622" t="s">
        <v>5484</v>
      </c>
      <c r="K9622" t="s">
        <v>33865</v>
      </c>
      <c r="L9622" t="s">
        <v>5471</v>
      </c>
      <c r="M9622" t="s">
        <v>5471</v>
      </c>
    </row>
    <row r="9623" spans="1:13" x14ac:dyDescent="0.3">
      <c r="A9623" t="s">
        <v>3388</v>
      </c>
      <c r="B9623" t="s">
        <v>5296</v>
      </c>
      <c r="C9623" t="s">
        <v>5470</v>
      </c>
      <c r="D9623" t="s">
        <v>4119</v>
      </c>
      <c r="E9623" t="s">
        <v>5480</v>
      </c>
      <c r="F9623" t="s">
        <v>33866</v>
      </c>
      <c r="G9623" t="s">
        <v>22544</v>
      </c>
      <c r="H9623" t="s">
        <v>5474</v>
      </c>
      <c r="I9623" t="s">
        <v>33867</v>
      </c>
      <c r="J9623" t="s">
        <v>5484</v>
      </c>
      <c r="K9623" t="s">
        <v>33868</v>
      </c>
      <c r="L9623" t="s">
        <v>5471</v>
      </c>
      <c r="M9623" t="s">
        <v>5471</v>
      </c>
    </row>
    <row r="9624" spans="1:13" x14ac:dyDescent="0.3">
      <c r="A9624" t="s">
        <v>3388</v>
      </c>
      <c r="B9624" t="s">
        <v>5296</v>
      </c>
      <c r="C9624" t="s">
        <v>5470</v>
      </c>
      <c r="D9624" t="s">
        <v>4119</v>
      </c>
      <c r="E9624" t="s">
        <v>5480</v>
      </c>
      <c r="F9624" t="s">
        <v>33869</v>
      </c>
      <c r="G9624" t="s">
        <v>22544</v>
      </c>
      <c r="H9624" t="s">
        <v>5474</v>
      </c>
      <c r="I9624" t="s">
        <v>33870</v>
      </c>
      <c r="J9624" t="s">
        <v>5484</v>
      </c>
      <c r="K9624" t="s">
        <v>33871</v>
      </c>
      <c r="L9624" t="s">
        <v>5471</v>
      </c>
      <c r="M9624" t="s">
        <v>5471</v>
      </c>
    </row>
    <row r="9625" spans="1:13" x14ac:dyDescent="0.3">
      <c r="A9625" t="s">
        <v>3388</v>
      </c>
      <c r="B9625" t="s">
        <v>6632</v>
      </c>
      <c r="C9625" t="s">
        <v>5470</v>
      </c>
      <c r="D9625" t="s">
        <v>30466</v>
      </c>
      <c r="E9625" t="s">
        <v>5532</v>
      </c>
      <c r="F9625" t="s">
        <v>33872</v>
      </c>
      <c r="G9625" t="s">
        <v>20429</v>
      </c>
      <c r="H9625" t="s">
        <v>5474</v>
      </c>
      <c r="I9625" t="s">
        <v>33873</v>
      </c>
      <c r="J9625" t="s">
        <v>5484</v>
      </c>
      <c r="K9625" t="s">
        <v>33874</v>
      </c>
      <c r="L9625" t="s">
        <v>5471</v>
      </c>
      <c r="M9625" t="s">
        <v>5471</v>
      </c>
    </row>
    <row r="9626" spans="1:13" x14ac:dyDescent="0.3">
      <c r="A9626" t="s">
        <v>3388</v>
      </c>
      <c r="B9626" t="s">
        <v>5296</v>
      </c>
      <c r="C9626" t="s">
        <v>5470</v>
      </c>
      <c r="D9626" t="s">
        <v>4119</v>
      </c>
      <c r="E9626" t="s">
        <v>5480</v>
      </c>
      <c r="F9626" t="s">
        <v>33875</v>
      </c>
      <c r="G9626" t="s">
        <v>22544</v>
      </c>
      <c r="H9626" t="s">
        <v>5474</v>
      </c>
      <c r="I9626" t="s">
        <v>33876</v>
      </c>
      <c r="J9626" t="s">
        <v>5484</v>
      </c>
      <c r="K9626" t="s">
        <v>33877</v>
      </c>
      <c r="L9626" t="s">
        <v>5471</v>
      </c>
      <c r="M9626" t="s">
        <v>5471</v>
      </c>
    </row>
    <row r="9627" spans="1:13" x14ac:dyDescent="0.3">
      <c r="A9627" t="s">
        <v>3388</v>
      </c>
      <c r="B9627" t="s">
        <v>6632</v>
      </c>
      <c r="C9627" t="s">
        <v>5470</v>
      </c>
      <c r="D9627" t="s">
        <v>30466</v>
      </c>
      <c r="E9627" t="s">
        <v>5532</v>
      </c>
      <c r="F9627" t="s">
        <v>33878</v>
      </c>
      <c r="G9627" t="s">
        <v>18042</v>
      </c>
      <c r="H9627" t="s">
        <v>5474</v>
      </c>
      <c r="I9627" t="s">
        <v>33879</v>
      </c>
      <c r="J9627" t="s">
        <v>5484</v>
      </c>
      <c r="K9627" t="s">
        <v>33880</v>
      </c>
      <c r="L9627" t="s">
        <v>5471</v>
      </c>
      <c r="M9627" t="s">
        <v>5471</v>
      </c>
    </row>
    <row r="9628" spans="1:13" x14ac:dyDescent="0.3">
      <c r="A9628" t="s">
        <v>3388</v>
      </c>
      <c r="B9628" t="s">
        <v>5296</v>
      </c>
      <c r="C9628" t="s">
        <v>5470</v>
      </c>
      <c r="D9628" t="s">
        <v>4119</v>
      </c>
      <c r="E9628" t="s">
        <v>5480</v>
      </c>
      <c r="F9628" t="s">
        <v>33881</v>
      </c>
      <c r="G9628" t="s">
        <v>22544</v>
      </c>
      <c r="H9628" t="s">
        <v>5474</v>
      </c>
      <c r="I9628" t="s">
        <v>33882</v>
      </c>
      <c r="J9628" t="s">
        <v>5484</v>
      </c>
      <c r="K9628" t="s">
        <v>33883</v>
      </c>
      <c r="L9628" t="s">
        <v>5471</v>
      </c>
      <c r="M9628" t="s">
        <v>5471</v>
      </c>
    </row>
    <row r="9629" spans="1:13" x14ac:dyDescent="0.3">
      <c r="A9629" t="s">
        <v>3388</v>
      </c>
      <c r="B9629" t="s">
        <v>6632</v>
      </c>
      <c r="C9629" t="s">
        <v>5470</v>
      </c>
      <c r="D9629" t="s">
        <v>30466</v>
      </c>
      <c r="E9629" t="s">
        <v>5532</v>
      </c>
      <c r="F9629" t="s">
        <v>33884</v>
      </c>
      <c r="G9629" t="s">
        <v>6542</v>
      </c>
      <c r="H9629" t="s">
        <v>5474</v>
      </c>
      <c r="I9629" t="s">
        <v>33885</v>
      </c>
      <c r="J9629" t="s">
        <v>5484</v>
      </c>
      <c r="K9629" t="s">
        <v>33886</v>
      </c>
      <c r="L9629" t="s">
        <v>5471</v>
      </c>
      <c r="M9629" t="s">
        <v>5471</v>
      </c>
    </row>
    <row r="9630" spans="1:13" x14ac:dyDescent="0.3">
      <c r="A9630" t="s">
        <v>3380</v>
      </c>
      <c r="B9630" t="s">
        <v>10051</v>
      </c>
      <c r="C9630" t="s">
        <v>6342</v>
      </c>
      <c r="D9630" t="s">
        <v>4119</v>
      </c>
      <c r="E9630" t="s">
        <v>5480</v>
      </c>
      <c r="F9630" t="s">
        <v>33887</v>
      </c>
      <c r="G9630" t="s">
        <v>16085</v>
      </c>
      <c r="H9630" t="s">
        <v>5474</v>
      </c>
      <c r="I9630" t="s">
        <v>33888</v>
      </c>
      <c r="J9630" t="s">
        <v>5476</v>
      </c>
      <c r="K9630" t="s">
        <v>33889</v>
      </c>
      <c r="L9630" t="s">
        <v>5471</v>
      </c>
      <c r="M9630" t="s">
        <v>5471</v>
      </c>
    </row>
    <row r="9631" spans="1:13" x14ac:dyDescent="0.3">
      <c r="A9631" t="s">
        <v>3383</v>
      </c>
      <c r="B9631" t="s">
        <v>6113</v>
      </c>
      <c r="C9631" t="s">
        <v>5487</v>
      </c>
      <c r="D9631" t="s">
        <v>33615</v>
      </c>
      <c r="E9631" t="s">
        <v>5532</v>
      </c>
      <c r="F9631" t="s">
        <v>33890</v>
      </c>
      <c r="G9631" t="s">
        <v>33863</v>
      </c>
      <c r="H9631" t="s">
        <v>5474</v>
      </c>
      <c r="I9631" t="s">
        <v>33891</v>
      </c>
      <c r="J9631" t="s">
        <v>5484</v>
      </c>
      <c r="K9631" t="s">
        <v>33892</v>
      </c>
      <c r="L9631" t="s">
        <v>5471</v>
      </c>
      <c r="M9631" t="s">
        <v>5471</v>
      </c>
    </row>
    <row r="9632" spans="1:13" x14ac:dyDescent="0.3">
      <c r="A9632" t="s">
        <v>3388</v>
      </c>
      <c r="B9632" t="s">
        <v>5296</v>
      </c>
      <c r="C9632" t="s">
        <v>5470</v>
      </c>
      <c r="D9632" t="s">
        <v>4119</v>
      </c>
      <c r="E9632" t="s">
        <v>5480</v>
      </c>
      <c r="F9632" t="s">
        <v>33893</v>
      </c>
      <c r="G9632" t="s">
        <v>22544</v>
      </c>
      <c r="H9632" t="s">
        <v>5474</v>
      </c>
      <c r="I9632" t="s">
        <v>33894</v>
      </c>
      <c r="J9632" t="s">
        <v>5484</v>
      </c>
      <c r="K9632" t="s">
        <v>33895</v>
      </c>
      <c r="L9632" t="s">
        <v>5471</v>
      </c>
      <c r="M9632" t="s">
        <v>5471</v>
      </c>
    </row>
    <row r="9633" spans="1:13" x14ac:dyDescent="0.3">
      <c r="A9633" t="s">
        <v>3388</v>
      </c>
      <c r="B9633" t="s">
        <v>20040</v>
      </c>
      <c r="C9633" t="s">
        <v>5470</v>
      </c>
      <c r="D9633" t="s">
        <v>30466</v>
      </c>
      <c r="E9633" t="s">
        <v>5532</v>
      </c>
      <c r="F9633" t="s">
        <v>33896</v>
      </c>
      <c r="G9633" t="s">
        <v>24353</v>
      </c>
      <c r="H9633" t="s">
        <v>5474</v>
      </c>
      <c r="I9633" t="s">
        <v>33897</v>
      </c>
      <c r="J9633" t="s">
        <v>5484</v>
      </c>
      <c r="K9633" t="s">
        <v>33898</v>
      </c>
      <c r="L9633" t="s">
        <v>5471</v>
      </c>
      <c r="M9633" t="s">
        <v>5471</v>
      </c>
    </row>
    <row r="9634" spans="1:13" x14ac:dyDescent="0.3">
      <c r="A9634" t="s">
        <v>3383</v>
      </c>
      <c r="B9634" t="s">
        <v>6083</v>
      </c>
      <c r="C9634" t="s">
        <v>5487</v>
      </c>
      <c r="D9634" t="s">
        <v>33615</v>
      </c>
      <c r="E9634" t="s">
        <v>5532</v>
      </c>
      <c r="F9634" t="s">
        <v>33899</v>
      </c>
      <c r="G9634" t="s">
        <v>33900</v>
      </c>
      <c r="H9634" t="s">
        <v>5474</v>
      </c>
      <c r="I9634" t="s">
        <v>33901</v>
      </c>
      <c r="J9634" t="s">
        <v>5484</v>
      </c>
      <c r="K9634" t="s">
        <v>33902</v>
      </c>
      <c r="L9634" t="s">
        <v>5471</v>
      </c>
      <c r="M9634" t="s">
        <v>5471</v>
      </c>
    </row>
    <row r="9635" spans="1:13" x14ac:dyDescent="0.3">
      <c r="A9635" t="s">
        <v>3380</v>
      </c>
      <c r="B9635" t="s">
        <v>9677</v>
      </c>
      <c r="C9635" t="s">
        <v>6342</v>
      </c>
      <c r="D9635" t="s">
        <v>4119</v>
      </c>
      <c r="E9635" t="s">
        <v>9935</v>
      </c>
      <c r="F9635" t="s">
        <v>33903</v>
      </c>
      <c r="G9635" t="s">
        <v>26150</v>
      </c>
      <c r="H9635" t="s">
        <v>5474</v>
      </c>
      <c r="I9635" t="s">
        <v>33904</v>
      </c>
      <c r="J9635" t="s">
        <v>5484</v>
      </c>
      <c r="K9635" t="s">
        <v>16416</v>
      </c>
      <c r="L9635" t="s">
        <v>5471</v>
      </c>
      <c r="M9635" t="s">
        <v>5471</v>
      </c>
    </row>
    <row r="9636" spans="1:13" x14ac:dyDescent="0.3">
      <c r="A9636" t="s">
        <v>3383</v>
      </c>
      <c r="B9636" t="s">
        <v>6113</v>
      </c>
      <c r="C9636" t="s">
        <v>5487</v>
      </c>
      <c r="D9636" t="s">
        <v>33615</v>
      </c>
      <c r="E9636" t="s">
        <v>5532</v>
      </c>
      <c r="F9636" t="s">
        <v>33905</v>
      </c>
      <c r="G9636" t="s">
        <v>10880</v>
      </c>
      <c r="H9636" t="s">
        <v>5474</v>
      </c>
      <c r="I9636" t="s">
        <v>33906</v>
      </c>
      <c r="J9636" t="s">
        <v>5484</v>
      </c>
      <c r="K9636" t="s">
        <v>33907</v>
      </c>
      <c r="L9636" t="s">
        <v>5471</v>
      </c>
      <c r="M9636" t="s">
        <v>5471</v>
      </c>
    </row>
    <row r="9637" spans="1:13" x14ac:dyDescent="0.3">
      <c r="A9637" t="s">
        <v>3388</v>
      </c>
      <c r="B9637" t="s">
        <v>5296</v>
      </c>
      <c r="C9637" t="s">
        <v>5470</v>
      </c>
      <c r="D9637" t="s">
        <v>4119</v>
      </c>
      <c r="E9637" t="s">
        <v>5480</v>
      </c>
      <c r="F9637" t="s">
        <v>33908</v>
      </c>
      <c r="G9637" t="s">
        <v>22544</v>
      </c>
      <c r="H9637" t="s">
        <v>5474</v>
      </c>
      <c r="I9637" t="s">
        <v>33909</v>
      </c>
      <c r="J9637" t="s">
        <v>5484</v>
      </c>
      <c r="K9637" t="s">
        <v>33910</v>
      </c>
      <c r="L9637" t="s">
        <v>5471</v>
      </c>
      <c r="M9637" t="s">
        <v>5471</v>
      </c>
    </row>
    <row r="9638" spans="1:13" x14ac:dyDescent="0.3">
      <c r="A9638" t="s">
        <v>3397</v>
      </c>
      <c r="B9638" t="s">
        <v>5269</v>
      </c>
      <c r="C9638" t="s">
        <v>5487</v>
      </c>
      <c r="D9638" t="s">
        <v>10218</v>
      </c>
      <c r="E9638" t="s">
        <v>5843</v>
      </c>
      <c r="F9638" t="s">
        <v>33911</v>
      </c>
      <c r="G9638" t="s">
        <v>27759</v>
      </c>
      <c r="H9638" t="s">
        <v>5474</v>
      </c>
      <c r="I9638" t="s">
        <v>33912</v>
      </c>
      <c r="J9638" t="s">
        <v>5476</v>
      </c>
      <c r="K9638" t="s">
        <v>33913</v>
      </c>
      <c r="L9638" t="s">
        <v>5471</v>
      </c>
      <c r="M9638" t="s">
        <v>5471</v>
      </c>
    </row>
    <row r="9639" spans="1:13" x14ac:dyDescent="0.3">
      <c r="A9639" t="s">
        <v>3383</v>
      </c>
      <c r="B9639" t="s">
        <v>6113</v>
      </c>
      <c r="C9639" t="s">
        <v>5487</v>
      </c>
      <c r="D9639" t="s">
        <v>33615</v>
      </c>
      <c r="E9639" t="s">
        <v>5532</v>
      </c>
      <c r="F9639" t="s">
        <v>33914</v>
      </c>
      <c r="G9639" t="s">
        <v>10880</v>
      </c>
      <c r="H9639" t="s">
        <v>5474</v>
      </c>
      <c r="I9639" t="s">
        <v>33915</v>
      </c>
      <c r="J9639" t="s">
        <v>5484</v>
      </c>
      <c r="K9639" t="s">
        <v>33916</v>
      </c>
      <c r="L9639" t="s">
        <v>5471</v>
      </c>
      <c r="M9639" t="s">
        <v>5471</v>
      </c>
    </row>
    <row r="9640" spans="1:13" x14ac:dyDescent="0.3">
      <c r="A9640" t="s">
        <v>3388</v>
      </c>
      <c r="B9640" t="s">
        <v>10870</v>
      </c>
      <c r="C9640" t="s">
        <v>5470</v>
      </c>
      <c r="D9640" t="s">
        <v>30466</v>
      </c>
      <c r="E9640" t="s">
        <v>5532</v>
      </c>
      <c r="F9640" t="s">
        <v>33917</v>
      </c>
      <c r="G9640" t="s">
        <v>32129</v>
      </c>
      <c r="H9640" t="s">
        <v>5474</v>
      </c>
      <c r="I9640" t="s">
        <v>33918</v>
      </c>
      <c r="J9640" t="s">
        <v>5484</v>
      </c>
      <c r="K9640" t="s">
        <v>33919</v>
      </c>
      <c r="L9640" t="s">
        <v>5471</v>
      </c>
      <c r="M9640" t="s">
        <v>5471</v>
      </c>
    </row>
    <row r="9641" spans="1:13" x14ac:dyDescent="0.3">
      <c r="A9641" t="s">
        <v>3383</v>
      </c>
      <c r="B9641" t="s">
        <v>5986</v>
      </c>
      <c r="C9641" t="s">
        <v>5487</v>
      </c>
      <c r="D9641" t="s">
        <v>33615</v>
      </c>
      <c r="E9641" t="s">
        <v>5532</v>
      </c>
      <c r="F9641" t="s">
        <v>33920</v>
      </c>
      <c r="G9641" t="s">
        <v>29146</v>
      </c>
      <c r="H9641" t="s">
        <v>5474</v>
      </c>
      <c r="I9641" t="s">
        <v>33921</v>
      </c>
      <c r="J9641" t="s">
        <v>5484</v>
      </c>
      <c r="K9641" t="s">
        <v>33922</v>
      </c>
      <c r="L9641" t="s">
        <v>5471</v>
      </c>
      <c r="M9641" t="s">
        <v>5471</v>
      </c>
    </row>
    <row r="9642" spans="1:13" x14ac:dyDescent="0.3">
      <c r="A9642" t="s">
        <v>3380</v>
      </c>
      <c r="B9642" t="s">
        <v>18327</v>
      </c>
      <c r="C9642" t="s">
        <v>6342</v>
      </c>
      <c r="D9642" t="s">
        <v>4119</v>
      </c>
      <c r="E9642" t="s">
        <v>5532</v>
      </c>
      <c r="F9642" t="s">
        <v>33923</v>
      </c>
      <c r="G9642" t="s">
        <v>18329</v>
      </c>
      <c r="H9642" t="s">
        <v>5474</v>
      </c>
      <c r="I9642" t="s">
        <v>33924</v>
      </c>
      <c r="J9642" t="s">
        <v>5484</v>
      </c>
      <c r="K9642" t="s">
        <v>16110</v>
      </c>
      <c r="L9642" t="s">
        <v>5471</v>
      </c>
      <c r="M9642" t="s">
        <v>5471</v>
      </c>
    </row>
    <row r="9643" spans="1:13" x14ac:dyDescent="0.3">
      <c r="A9643" t="s">
        <v>3383</v>
      </c>
      <c r="B9643" t="s">
        <v>5304</v>
      </c>
      <c r="C9643" t="s">
        <v>5487</v>
      </c>
      <c r="D9643" t="s">
        <v>33615</v>
      </c>
      <c r="E9643" t="s">
        <v>5532</v>
      </c>
      <c r="F9643" t="s">
        <v>33925</v>
      </c>
      <c r="G9643" t="s">
        <v>22709</v>
      </c>
      <c r="H9643" t="s">
        <v>5474</v>
      </c>
      <c r="I9643" t="s">
        <v>33926</v>
      </c>
      <c r="J9643" t="s">
        <v>5484</v>
      </c>
      <c r="K9643" t="s">
        <v>33927</v>
      </c>
      <c r="L9643" t="s">
        <v>5471</v>
      </c>
      <c r="M9643" t="s">
        <v>5471</v>
      </c>
    </row>
    <row r="9644" spans="1:13" x14ac:dyDescent="0.3">
      <c r="A9644" t="s">
        <v>3388</v>
      </c>
      <c r="B9644" t="s">
        <v>5296</v>
      </c>
      <c r="C9644" t="s">
        <v>5470</v>
      </c>
      <c r="D9644" t="s">
        <v>4119</v>
      </c>
      <c r="E9644" t="s">
        <v>5480</v>
      </c>
      <c r="F9644" t="s">
        <v>33928</v>
      </c>
      <c r="G9644" t="s">
        <v>22544</v>
      </c>
      <c r="H9644" t="s">
        <v>5474</v>
      </c>
      <c r="I9644" t="s">
        <v>33929</v>
      </c>
      <c r="J9644" t="s">
        <v>5484</v>
      </c>
      <c r="K9644" t="s">
        <v>33930</v>
      </c>
      <c r="L9644" t="s">
        <v>5471</v>
      </c>
      <c r="M9644" t="s">
        <v>5471</v>
      </c>
    </row>
    <row r="9645" spans="1:13" x14ac:dyDescent="0.3">
      <c r="A9645" t="s">
        <v>3388</v>
      </c>
      <c r="B9645" t="s">
        <v>11089</v>
      </c>
      <c r="C9645" t="s">
        <v>5470</v>
      </c>
      <c r="D9645" t="s">
        <v>30466</v>
      </c>
      <c r="E9645" t="s">
        <v>5532</v>
      </c>
      <c r="F9645" t="s">
        <v>33931</v>
      </c>
      <c r="G9645" t="s">
        <v>30780</v>
      </c>
      <c r="H9645" t="s">
        <v>5474</v>
      </c>
      <c r="I9645" t="s">
        <v>33932</v>
      </c>
      <c r="J9645" t="s">
        <v>5484</v>
      </c>
      <c r="K9645" t="s">
        <v>33933</v>
      </c>
      <c r="L9645" t="s">
        <v>5471</v>
      </c>
      <c r="M9645" t="s">
        <v>5471</v>
      </c>
    </row>
    <row r="9646" spans="1:13" x14ac:dyDescent="0.3">
      <c r="A9646" t="s">
        <v>3383</v>
      </c>
      <c r="B9646" t="s">
        <v>6113</v>
      </c>
      <c r="C9646" t="s">
        <v>5487</v>
      </c>
      <c r="D9646" t="s">
        <v>33615</v>
      </c>
      <c r="E9646" t="s">
        <v>5532</v>
      </c>
      <c r="F9646" t="s">
        <v>33934</v>
      </c>
      <c r="G9646" t="s">
        <v>33935</v>
      </c>
      <c r="H9646" t="s">
        <v>5474</v>
      </c>
      <c r="I9646" t="s">
        <v>33936</v>
      </c>
      <c r="J9646" t="s">
        <v>5484</v>
      </c>
      <c r="K9646" t="s">
        <v>33937</v>
      </c>
      <c r="L9646" t="s">
        <v>5471</v>
      </c>
      <c r="M9646" t="s">
        <v>5471</v>
      </c>
    </row>
    <row r="9647" spans="1:13" x14ac:dyDescent="0.3">
      <c r="A9647" t="s">
        <v>3397</v>
      </c>
      <c r="B9647" t="s">
        <v>5269</v>
      </c>
      <c r="C9647" t="s">
        <v>5487</v>
      </c>
      <c r="D9647" t="s">
        <v>10218</v>
      </c>
      <c r="E9647" t="s">
        <v>5843</v>
      </c>
      <c r="F9647" t="s">
        <v>33938</v>
      </c>
      <c r="G9647" t="s">
        <v>27759</v>
      </c>
      <c r="H9647" t="s">
        <v>5474</v>
      </c>
      <c r="I9647" t="s">
        <v>33939</v>
      </c>
      <c r="J9647" t="s">
        <v>5476</v>
      </c>
      <c r="K9647" t="s">
        <v>33940</v>
      </c>
      <c r="L9647" t="s">
        <v>5471</v>
      </c>
      <c r="M9647" t="s">
        <v>5471</v>
      </c>
    </row>
    <row r="9648" spans="1:13" x14ac:dyDescent="0.3">
      <c r="A9648" t="s">
        <v>3380</v>
      </c>
      <c r="B9648" t="s">
        <v>18327</v>
      </c>
      <c r="C9648" t="s">
        <v>6342</v>
      </c>
      <c r="D9648" t="s">
        <v>4119</v>
      </c>
      <c r="E9648" t="s">
        <v>5532</v>
      </c>
      <c r="F9648" t="s">
        <v>33941</v>
      </c>
      <c r="G9648" t="s">
        <v>18329</v>
      </c>
      <c r="H9648" t="s">
        <v>5474</v>
      </c>
      <c r="I9648" t="s">
        <v>33942</v>
      </c>
      <c r="J9648" t="s">
        <v>5484</v>
      </c>
      <c r="K9648" t="s">
        <v>16098</v>
      </c>
      <c r="L9648" t="s">
        <v>5471</v>
      </c>
      <c r="M9648" t="s">
        <v>5471</v>
      </c>
    </row>
    <row r="9649" spans="1:13" x14ac:dyDescent="0.3">
      <c r="A9649" t="s">
        <v>3383</v>
      </c>
      <c r="B9649" t="s">
        <v>6067</v>
      </c>
      <c r="C9649" t="s">
        <v>5487</v>
      </c>
      <c r="D9649" t="s">
        <v>33615</v>
      </c>
      <c r="E9649" t="s">
        <v>5532</v>
      </c>
      <c r="F9649" t="s">
        <v>33943</v>
      </c>
      <c r="G9649" t="s">
        <v>11235</v>
      </c>
      <c r="H9649" t="s">
        <v>5474</v>
      </c>
      <c r="I9649" t="s">
        <v>33944</v>
      </c>
      <c r="J9649" t="s">
        <v>5484</v>
      </c>
      <c r="K9649" t="s">
        <v>33945</v>
      </c>
      <c r="L9649" t="s">
        <v>5471</v>
      </c>
      <c r="M9649" t="s">
        <v>5471</v>
      </c>
    </row>
    <row r="9650" spans="1:13" x14ac:dyDescent="0.3">
      <c r="A9650" t="s">
        <v>3388</v>
      </c>
      <c r="B9650" t="s">
        <v>5296</v>
      </c>
      <c r="C9650" t="s">
        <v>5470</v>
      </c>
      <c r="D9650" t="s">
        <v>4119</v>
      </c>
      <c r="E9650" t="s">
        <v>5480</v>
      </c>
      <c r="F9650" t="s">
        <v>33946</v>
      </c>
      <c r="G9650" t="s">
        <v>22544</v>
      </c>
      <c r="H9650" t="s">
        <v>5474</v>
      </c>
      <c r="I9650" t="s">
        <v>33947</v>
      </c>
      <c r="J9650" t="s">
        <v>5484</v>
      </c>
      <c r="K9650" t="s">
        <v>33948</v>
      </c>
      <c r="L9650" t="s">
        <v>5471</v>
      </c>
      <c r="M9650" t="s">
        <v>5471</v>
      </c>
    </row>
    <row r="9651" spans="1:13" x14ac:dyDescent="0.3">
      <c r="A9651" t="s">
        <v>3397</v>
      </c>
      <c r="B9651" t="s">
        <v>9743</v>
      </c>
      <c r="C9651" t="s">
        <v>5487</v>
      </c>
      <c r="D9651" t="s">
        <v>4119</v>
      </c>
      <c r="E9651" t="s">
        <v>5756</v>
      </c>
      <c r="F9651" t="s">
        <v>33949</v>
      </c>
      <c r="G9651" t="s">
        <v>33950</v>
      </c>
      <c r="H9651" t="s">
        <v>5474</v>
      </c>
      <c r="I9651" t="s">
        <v>33951</v>
      </c>
      <c r="J9651" t="s">
        <v>5476</v>
      </c>
      <c r="K9651" t="s">
        <v>33952</v>
      </c>
      <c r="L9651" t="s">
        <v>5471</v>
      </c>
      <c r="M9651" t="s">
        <v>5471</v>
      </c>
    </row>
    <row r="9652" spans="1:13" x14ac:dyDescent="0.3">
      <c r="A9652" t="s">
        <v>3388</v>
      </c>
      <c r="B9652" t="s">
        <v>17321</v>
      </c>
      <c r="C9652" t="s">
        <v>5470</v>
      </c>
      <c r="D9652" t="s">
        <v>30466</v>
      </c>
      <c r="E9652" t="s">
        <v>5532</v>
      </c>
      <c r="F9652" t="s">
        <v>33953</v>
      </c>
      <c r="G9652" t="s">
        <v>17323</v>
      </c>
      <c r="H9652" t="s">
        <v>5474</v>
      </c>
      <c r="I9652" t="s">
        <v>33954</v>
      </c>
      <c r="J9652" t="s">
        <v>5484</v>
      </c>
      <c r="K9652" t="s">
        <v>33955</v>
      </c>
      <c r="L9652" t="s">
        <v>5471</v>
      </c>
      <c r="M9652" t="s">
        <v>5471</v>
      </c>
    </row>
    <row r="9653" spans="1:13" x14ac:dyDescent="0.3">
      <c r="A9653" t="s">
        <v>3383</v>
      </c>
      <c r="B9653" t="s">
        <v>6067</v>
      </c>
      <c r="C9653" t="s">
        <v>5487</v>
      </c>
      <c r="D9653" t="s">
        <v>33615</v>
      </c>
      <c r="E9653" t="s">
        <v>5532</v>
      </c>
      <c r="F9653" t="s">
        <v>33956</v>
      </c>
      <c r="G9653" t="s">
        <v>11235</v>
      </c>
      <c r="H9653" t="s">
        <v>5474</v>
      </c>
      <c r="I9653" t="s">
        <v>33957</v>
      </c>
      <c r="J9653" t="s">
        <v>5484</v>
      </c>
      <c r="K9653" t="s">
        <v>33958</v>
      </c>
      <c r="L9653" t="s">
        <v>5471</v>
      </c>
      <c r="M9653" t="s">
        <v>5471</v>
      </c>
    </row>
    <row r="9654" spans="1:13" x14ac:dyDescent="0.3">
      <c r="A9654" t="s">
        <v>3380</v>
      </c>
      <c r="B9654" t="s">
        <v>18327</v>
      </c>
      <c r="C9654" t="s">
        <v>6342</v>
      </c>
      <c r="D9654" t="s">
        <v>4119</v>
      </c>
      <c r="E9654" t="s">
        <v>5532</v>
      </c>
      <c r="F9654" t="s">
        <v>33959</v>
      </c>
      <c r="G9654" t="s">
        <v>18329</v>
      </c>
      <c r="H9654" t="s">
        <v>5474</v>
      </c>
      <c r="I9654" t="s">
        <v>33960</v>
      </c>
      <c r="J9654" t="s">
        <v>5484</v>
      </c>
      <c r="K9654" t="s">
        <v>16101</v>
      </c>
      <c r="L9654" t="s">
        <v>5471</v>
      </c>
      <c r="M9654" t="s">
        <v>5471</v>
      </c>
    </row>
    <row r="9655" spans="1:13" x14ac:dyDescent="0.3">
      <c r="A9655" t="s">
        <v>3383</v>
      </c>
      <c r="B9655" t="s">
        <v>5456</v>
      </c>
      <c r="C9655" t="s">
        <v>5487</v>
      </c>
      <c r="D9655" t="s">
        <v>33615</v>
      </c>
      <c r="E9655" t="s">
        <v>5532</v>
      </c>
      <c r="F9655" t="s">
        <v>33961</v>
      </c>
      <c r="G9655" t="s">
        <v>33962</v>
      </c>
      <c r="H9655" t="s">
        <v>5474</v>
      </c>
      <c r="I9655" t="s">
        <v>33963</v>
      </c>
      <c r="J9655" t="s">
        <v>5484</v>
      </c>
      <c r="K9655" t="s">
        <v>33964</v>
      </c>
      <c r="L9655" t="s">
        <v>5471</v>
      </c>
      <c r="M9655" t="s">
        <v>5471</v>
      </c>
    </row>
    <row r="9656" spans="1:13" x14ac:dyDescent="0.3">
      <c r="A9656" t="s">
        <v>3388</v>
      </c>
      <c r="B9656" t="s">
        <v>5296</v>
      </c>
      <c r="C9656" t="s">
        <v>5470</v>
      </c>
      <c r="D9656" t="s">
        <v>4119</v>
      </c>
      <c r="E9656" t="s">
        <v>5480</v>
      </c>
      <c r="F9656" t="s">
        <v>33965</v>
      </c>
      <c r="G9656" t="s">
        <v>22544</v>
      </c>
      <c r="H9656" t="s">
        <v>5474</v>
      </c>
      <c r="I9656" t="s">
        <v>33966</v>
      </c>
      <c r="J9656" t="s">
        <v>5484</v>
      </c>
      <c r="K9656" t="s">
        <v>33967</v>
      </c>
      <c r="L9656" t="s">
        <v>5471</v>
      </c>
      <c r="M9656" t="s">
        <v>5471</v>
      </c>
    </row>
    <row r="9657" spans="1:13" x14ac:dyDescent="0.3">
      <c r="A9657" t="s">
        <v>3383</v>
      </c>
      <c r="B9657" t="s">
        <v>5339</v>
      </c>
      <c r="C9657" t="s">
        <v>5487</v>
      </c>
      <c r="D9657" t="s">
        <v>33615</v>
      </c>
      <c r="E9657" t="s">
        <v>5532</v>
      </c>
      <c r="F9657" t="s">
        <v>33968</v>
      </c>
      <c r="G9657" t="s">
        <v>33969</v>
      </c>
      <c r="H9657" t="s">
        <v>5474</v>
      </c>
      <c r="I9657" t="s">
        <v>33970</v>
      </c>
      <c r="J9657" t="s">
        <v>5484</v>
      </c>
      <c r="K9657" t="s">
        <v>33971</v>
      </c>
      <c r="L9657" t="s">
        <v>5471</v>
      </c>
      <c r="M9657" t="s">
        <v>5471</v>
      </c>
    </row>
    <row r="9658" spans="1:13" x14ac:dyDescent="0.3">
      <c r="A9658" t="s">
        <v>3380</v>
      </c>
      <c r="B9658" t="s">
        <v>10051</v>
      </c>
      <c r="C9658" t="s">
        <v>6342</v>
      </c>
      <c r="D9658" t="s">
        <v>4347</v>
      </c>
      <c r="E9658" t="s">
        <v>5480</v>
      </c>
      <c r="F9658" t="s">
        <v>33972</v>
      </c>
      <c r="G9658" t="s">
        <v>16085</v>
      </c>
      <c r="H9658" t="s">
        <v>5474</v>
      </c>
      <c r="I9658" t="s">
        <v>33973</v>
      </c>
      <c r="J9658" t="s">
        <v>5476</v>
      </c>
      <c r="K9658" t="s">
        <v>33974</v>
      </c>
      <c r="L9658" t="s">
        <v>5471</v>
      </c>
      <c r="M9658" t="s">
        <v>5471</v>
      </c>
    </row>
    <row r="9659" spans="1:13" x14ac:dyDescent="0.3">
      <c r="A9659" t="s">
        <v>3388</v>
      </c>
      <c r="B9659" t="s">
        <v>17321</v>
      </c>
      <c r="C9659" t="s">
        <v>5470</v>
      </c>
      <c r="D9659" t="s">
        <v>30466</v>
      </c>
      <c r="E9659" t="s">
        <v>5532</v>
      </c>
      <c r="F9659" t="s">
        <v>33975</v>
      </c>
      <c r="G9659" t="s">
        <v>31619</v>
      </c>
      <c r="H9659" t="s">
        <v>5474</v>
      </c>
      <c r="I9659" t="s">
        <v>33976</v>
      </c>
      <c r="J9659" t="s">
        <v>5484</v>
      </c>
      <c r="K9659" t="s">
        <v>33977</v>
      </c>
      <c r="L9659" t="s">
        <v>5471</v>
      </c>
      <c r="M9659" t="s">
        <v>5471</v>
      </c>
    </row>
    <row r="9660" spans="1:13" x14ac:dyDescent="0.3">
      <c r="A9660" t="s">
        <v>3388</v>
      </c>
      <c r="B9660" t="s">
        <v>5296</v>
      </c>
      <c r="C9660" t="s">
        <v>5470</v>
      </c>
      <c r="D9660" t="s">
        <v>4119</v>
      </c>
      <c r="E9660" t="s">
        <v>5480</v>
      </c>
      <c r="F9660" t="s">
        <v>33978</v>
      </c>
      <c r="G9660" t="s">
        <v>22544</v>
      </c>
      <c r="H9660" t="s">
        <v>5474</v>
      </c>
      <c r="I9660" t="s">
        <v>33979</v>
      </c>
      <c r="J9660" t="s">
        <v>5484</v>
      </c>
      <c r="K9660" t="s">
        <v>33980</v>
      </c>
      <c r="L9660" t="s">
        <v>5471</v>
      </c>
      <c r="M9660" t="s">
        <v>5471</v>
      </c>
    </row>
    <row r="9661" spans="1:13" x14ac:dyDescent="0.3">
      <c r="A9661" t="s">
        <v>3397</v>
      </c>
      <c r="B9661" t="s">
        <v>5269</v>
      </c>
      <c r="C9661" t="s">
        <v>5487</v>
      </c>
      <c r="D9661" t="s">
        <v>10218</v>
      </c>
      <c r="E9661" t="s">
        <v>5843</v>
      </c>
      <c r="F9661" t="s">
        <v>33981</v>
      </c>
      <c r="G9661" t="s">
        <v>27759</v>
      </c>
      <c r="H9661" t="s">
        <v>5474</v>
      </c>
      <c r="I9661" t="s">
        <v>33982</v>
      </c>
      <c r="J9661" t="s">
        <v>5476</v>
      </c>
      <c r="K9661" t="s">
        <v>33983</v>
      </c>
      <c r="L9661" t="s">
        <v>5471</v>
      </c>
      <c r="M9661" t="s">
        <v>5471</v>
      </c>
    </row>
    <row r="9662" spans="1:13" x14ac:dyDescent="0.3">
      <c r="A9662" t="s">
        <v>3388</v>
      </c>
      <c r="B9662" t="s">
        <v>17321</v>
      </c>
      <c r="C9662" t="s">
        <v>5470</v>
      </c>
      <c r="D9662" t="s">
        <v>30466</v>
      </c>
      <c r="E9662" t="s">
        <v>5532</v>
      </c>
      <c r="F9662" t="s">
        <v>33984</v>
      </c>
      <c r="G9662" t="s">
        <v>31626</v>
      </c>
      <c r="H9662" t="s">
        <v>5474</v>
      </c>
      <c r="I9662" t="s">
        <v>33985</v>
      </c>
      <c r="J9662" t="s">
        <v>5484</v>
      </c>
      <c r="K9662" t="s">
        <v>33986</v>
      </c>
      <c r="L9662" t="s">
        <v>5471</v>
      </c>
      <c r="M9662" t="s">
        <v>5471</v>
      </c>
    </row>
    <row r="9663" spans="1:13" x14ac:dyDescent="0.3">
      <c r="A9663" t="s">
        <v>3380</v>
      </c>
      <c r="B9663" t="s">
        <v>33987</v>
      </c>
      <c r="C9663" t="s">
        <v>6342</v>
      </c>
      <c r="D9663" t="s">
        <v>4119</v>
      </c>
      <c r="E9663" t="s">
        <v>9935</v>
      </c>
      <c r="F9663" t="s">
        <v>33988</v>
      </c>
      <c r="G9663" t="s">
        <v>33989</v>
      </c>
      <c r="H9663" t="s">
        <v>5474</v>
      </c>
      <c r="I9663" t="s">
        <v>33990</v>
      </c>
      <c r="J9663" t="s">
        <v>5484</v>
      </c>
      <c r="K9663" t="s">
        <v>18298</v>
      </c>
      <c r="L9663" t="s">
        <v>5471</v>
      </c>
      <c r="M9663" t="s">
        <v>5471</v>
      </c>
    </row>
    <row r="9664" spans="1:13" x14ac:dyDescent="0.3">
      <c r="A9664" t="s">
        <v>3397</v>
      </c>
      <c r="B9664" t="s">
        <v>9743</v>
      </c>
      <c r="C9664" t="s">
        <v>5487</v>
      </c>
      <c r="D9664" t="s">
        <v>4119</v>
      </c>
      <c r="E9664" t="s">
        <v>5756</v>
      </c>
      <c r="F9664" t="s">
        <v>33991</v>
      </c>
      <c r="G9664" t="s">
        <v>33950</v>
      </c>
      <c r="H9664" t="s">
        <v>5474</v>
      </c>
      <c r="I9664" t="s">
        <v>33992</v>
      </c>
      <c r="J9664" t="s">
        <v>5476</v>
      </c>
      <c r="K9664" t="s">
        <v>33993</v>
      </c>
      <c r="L9664" t="s">
        <v>5471</v>
      </c>
      <c r="M9664" t="s">
        <v>5471</v>
      </c>
    </row>
    <row r="9665" spans="1:13" x14ac:dyDescent="0.3">
      <c r="A9665" t="s">
        <v>3388</v>
      </c>
      <c r="B9665" t="s">
        <v>5296</v>
      </c>
      <c r="C9665" t="s">
        <v>5470</v>
      </c>
      <c r="D9665" t="s">
        <v>4119</v>
      </c>
      <c r="E9665" t="s">
        <v>5480</v>
      </c>
      <c r="F9665" t="s">
        <v>33994</v>
      </c>
      <c r="G9665" t="s">
        <v>22544</v>
      </c>
      <c r="H9665" t="s">
        <v>5474</v>
      </c>
      <c r="I9665" t="s">
        <v>33995</v>
      </c>
      <c r="J9665" t="s">
        <v>5484</v>
      </c>
      <c r="K9665" t="s">
        <v>33996</v>
      </c>
      <c r="L9665" t="s">
        <v>5471</v>
      </c>
      <c r="M9665" t="s">
        <v>5471</v>
      </c>
    </row>
    <row r="9666" spans="1:13" x14ac:dyDescent="0.3">
      <c r="A9666" t="s">
        <v>3380</v>
      </c>
      <c r="B9666" t="s">
        <v>10051</v>
      </c>
      <c r="C9666" t="s">
        <v>6342</v>
      </c>
      <c r="D9666" t="s">
        <v>4347</v>
      </c>
      <c r="E9666" t="s">
        <v>5480</v>
      </c>
      <c r="F9666" t="s">
        <v>33997</v>
      </c>
      <c r="G9666" t="s">
        <v>16085</v>
      </c>
      <c r="H9666" t="s">
        <v>5474</v>
      </c>
      <c r="I9666" t="s">
        <v>33998</v>
      </c>
      <c r="J9666" t="s">
        <v>5476</v>
      </c>
      <c r="K9666" t="s">
        <v>33999</v>
      </c>
      <c r="L9666" t="s">
        <v>5471</v>
      </c>
      <c r="M9666" t="s">
        <v>5471</v>
      </c>
    </row>
    <row r="9667" spans="1:13" x14ac:dyDescent="0.3">
      <c r="A9667" t="s">
        <v>3388</v>
      </c>
      <c r="B9667" t="s">
        <v>5335</v>
      </c>
      <c r="C9667" t="s">
        <v>5470</v>
      </c>
      <c r="D9667" t="s">
        <v>30466</v>
      </c>
      <c r="E9667" t="s">
        <v>5532</v>
      </c>
      <c r="F9667" t="s">
        <v>34000</v>
      </c>
      <c r="G9667" t="s">
        <v>31626</v>
      </c>
      <c r="H9667" t="s">
        <v>5474</v>
      </c>
      <c r="I9667" t="s">
        <v>34001</v>
      </c>
      <c r="J9667" t="s">
        <v>5484</v>
      </c>
      <c r="K9667" t="s">
        <v>34002</v>
      </c>
      <c r="L9667" t="s">
        <v>5471</v>
      </c>
      <c r="M9667" t="s">
        <v>5471</v>
      </c>
    </row>
    <row r="9668" spans="1:13" x14ac:dyDescent="0.3">
      <c r="A9668" t="s">
        <v>3380</v>
      </c>
      <c r="B9668" t="s">
        <v>33987</v>
      </c>
      <c r="C9668" t="s">
        <v>6342</v>
      </c>
      <c r="D9668" t="s">
        <v>4119</v>
      </c>
      <c r="E9668" t="s">
        <v>9935</v>
      </c>
      <c r="F9668" t="s">
        <v>34003</v>
      </c>
      <c r="G9668" t="s">
        <v>33989</v>
      </c>
      <c r="H9668" t="s">
        <v>5474</v>
      </c>
      <c r="I9668" t="s">
        <v>34004</v>
      </c>
      <c r="J9668" t="s">
        <v>5484</v>
      </c>
      <c r="K9668" t="s">
        <v>18311</v>
      </c>
      <c r="L9668" t="s">
        <v>5471</v>
      </c>
      <c r="M9668" t="s">
        <v>5471</v>
      </c>
    </row>
    <row r="9669" spans="1:13" x14ac:dyDescent="0.3">
      <c r="A9669" t="s">
        <v>3388</v>
      </c>
      <c r="B9669" t="s">
        <v>5296</v>
      </c>
      <c r="C9669" t="s">
        <v>5470</v>
      </c>
      <c r="D9669" t="s">
        <v>4119</v>
      </c>
      <c r="E9669" t="s">
        <v>5480</v>
      </c>
      <c r="F9669" t="s">
        <v>34005</v>
      </c>
      <c r="G9669" t="s">
        <v>22544</v>
      </c>
      <c r="H9669" t="s">
        <v>5474</v>
      </c>
      <c r="I9669" t="s">
        <v>34006</v>
      </c>
      <c r="J9669" t="s">
        <v>5484</v>
      </c>
      <c r="K9669" t="s">
        <v>34007</v>
      </c>
      <c r="L9669" t="s">
        <v>5471</v>
      </c>
      <c r="M9669" t="s">
        <v>5471</v>
      </c>
    </row>
    <row r="9670" spans="1:13" x14ac:dyDescent="0.3">
      <c r="A9670" t="s">
        <v>3380</v>
      </c>
      <c r="B9670" t="s">
        <v>16261</v>
      </c>
      <c r="C9670" t="s">
        <v>6342</v>
      </c>
      <c r="D9670" t="s">
        <v>4119</v>
      </c>
      <c r="E9670" t="s">
        <v>5532</v>
      </c>
      <c r="F9670" t="s">
        <v>34008</v>
      </c>
      <c r="G9670" t="s">
        <v>16263</v>
      </c>
      <c r="H9670" t="s">
        <v>5474</v>
      </c>
      <c r="I9670" t="s">
        <v>34009</v>
      </c>
      <c r="J9670" t="s">
        <v>5484</v>
      </c>
      <c r="K9670" t="s">
        <v>34010</v>
      </c>
      <c r="L9670" t="s">
        <v>5471</v>
      </c>
      <c r="M9670" t="s">
        <v>5471</v>
      </c>
    </row>
    <row r="9671" spans="1:13" x14ac:dyDescent="0.3">
      <c r="A9671" t="s">
        <v>3388</v>
      </c>
      <c r="B9671" t="s">
        <v>34011</v>
      </c>
      <c r="C9671" t="s">
        <v>5470</v>
      </c>
      <c r="D9671" t="s">
        <v>30466</v>
      </c>
      <c r="E9671" t="s">
        <v>5532</v>
      </c>
      <c r="F9671" t="s">
        <v>34012</v>
      </c>
      <c r="G9671" t="s">
        <v>18360</v>
      </c>
      <c r="H9671" t="s">
        <v>5474</v>
      </c>
      <c r="I9671" t="s">
        <v>34013</v>
      </c>
      <c r="J9671" t="s">
        <v>5484</v>
      </c>
      <c r="K9671" t="s">
        <v>34014</v>
      </c>
      <c r="L9671" t="s">
        <v>5471</v>
      </c>
      <c r="M9671" t="s">
        <v>5471</v>
      </c>
    </row>
    <row r="9672" spans="1:13" x14ac:dyDescent="0.3">
      <c r="A9672" t="s">
        <v>3388</v>
      </c>
      <c r="B9672" t="s">
        <v>5296</v>
      </c>
      <c r="C9672" t="s">
        <v>5470</v>
      </c>
      <c r="D9672" t="s">
        <v>4119</v>
      </c>
      <c r="E9672" t="s">
        <v>5480</v>
      </c>
      <c r="F9672" t="s">
        <v>34015</v>
      </c>
      <c r="G9672" t="s">
        <v>22544</v>
      </c>
      <c r="H9672" t="s">
        <v>5474</v>
      </c>
      <c r="I9672" t="s">
        <v>34016</v>
      </c>
      <c r="J9672" t="s">
        <v>5484</v>
      </c>
      <c r="K9672" t="s">
        <v>34017</v>
      </c>
      <c r="L9672" t="s">
        <v>5471</v>
      </c>
      <c r="M9672" t="s">
        <v>5471</v>
      </c>
    </row>
    <row r="9673" spans="1:13" x14ac:dyDescent="0.3">
      <c r="A9673" t="s">
        <v>3380</v>
      </c>
      <c r="B9673" t="s">
        <v>25320</v>
      </c>
      <c r="C9673" t="s">
        <v>6342</v>
      </c>
      <c r="D9673" t="s">
        <v>4119</v>
      </c>
      <c r="E9673" t="s">
        <v>9935</v>
      </c>
      <c r="F9673" t="s">
        <v>34018</v>
      </c>
      <c r="G9673" t="s">
        <v>25806</v>
      </c>
      <c r="H9673" t="s">
        <v>5474</v>
      </c>
      <c r="I9673" t="s">
        <v>34019</v>
      </c>
      <c r="J9673" t="s">
        <v>5484</v>
      </c>
      <c r="K9673" t="s">
        <v>34020</v>
      </c>
      <c r="L9673" t="s">
        <v>5471</v>
      </c>
      <c r="M9673" t="s">
        <v>5471</v>
      </c>
    </row>
    <row r="9674" spans="1:13" x14ac:dyDescent="0.3">
      <c r="A9674" t="s">
        <v>3388</v>
      </c>
      <c r="B9674" t="s">
        <v>5296</v>
      </c>
      <c r="C9674" t="s">
        <v>5470</v>
      </c>
      <c r="D9674" t="s">
        <v>30466</v>
      </c>
      <c r="E9674" t="s">
        <v>5843</v>
      </c>
      <c r="F9674" t="s">
        <v>34021</v>
      </c>
      <c r="G9674" t="s">
        <v>33203</v>
      </c>
      <c r="H9674" t="s">
        <v>5474</v>
      </c>
      <c r="I9674" t="s">
        <v>34022</v>
      </c>
      <c r="J9674" t="s">
        <v>5484</v>
      </c>
      <c r="K9674" t="s">
        <v>34023</v>
      </c>
      <c r="L9674" t="s">
        <v>5471</v>
      </c>
      <c r="M9674" t="s">
        <v>5471</v>
      </c>
    </row>
    <row r="9675" spans="1:13" x14ac:dyDescent="0.3">
      <c r="A9675" t="s">
        <v>3388</v>
      </c>
      <c r="B9675" t="s">
        <v>5296</v>
      </c>
      <c r="C9675" t="s">
        <v>5470</v>
      </c>
      <c r="D9675" t="s">
        <v>4119</v>
      </c>
      <c r="E9675" t="s">
        <v>5480</v>
      </c>
      <c r="F9675" t="s">
        <v>34024</v>
      </c>
      <c r="G9675" t="s">
        <v>22544</v>
      </c>
      <c r="H9675" t="s">
        <v>5474</v>
      </c>
      <c r="I9675" t="s">
        <v>34025</v>
      </c>
      <c r="J9675" t="s">
        <v>5484</v>
      </c>
      <c r="K9675" t="s">
        <v>34026</v>
      </c>
      <c r="L9675" t="s">
        <v>5471</v>
      </c>
      <c r="M9675" t="s">
        <v>5471</v>
      </c>
    </row>
    <row r="9676" spans="1:13" x14ac:dyDescent="0.3">
      <c r="A9676" t="s">
        <v>3397</v>
      </c>
      <c r="B9676" t="s">
        <v>9743</v>
      </c>
      <c r="C9676" t="s">
        <v>5487</v>
      </c>
      <c r="D9676" t="s">
        <v>4119</v>
      </c>
      <c r="E9676" t="s">
        <v>5756</v>
      </c>
      <c r="F9676" t="s">
        <v>34027</v>
      </c>
      <c r="G9676" t="s">
        <v>33950</v>
      </c>
      <c r="H9676" t="s">
        <v>5474</v>
      </c>
      <c r="I9676" t="s">
        <v>34028</v>
      </c>
      <c r="J9676" t="s">
        <v>5476</v>
      </c>
      <c r="K9676" t="s">
        <v>34029</v>
      </c>
      <c r="L9676" t="s">
        <v>5471</v>
      </c>
      <c r="M9676" t="s">
        <v>5471</v>
      </c>
    </row>
    <row r="9677" spans="1:13" x14ac:dyDescent="0.3">
      <c r="A9677" t="s">
        <v>3380</v>
      </c>
      <c r="B9677" t="s">
        <v>25320</v>
      </c>
      <c r="C9677" t="s">
        <v>6342</v>
      </c>
      <c r="D9677" t="s">
        <v>4119</v>
      </c>
      <c r="E9677" t="s">
        <v>9935</v>
      </c>
      <c r="F9677" t="s">
        <v>34030</v>
      </c>
      <c r="G9677" t="s">
        <v>25806</v>
      </c>
      <c r="H9677" t="s">
        <v>5474</v>
      </c>
      <c r="I9677" t="s">
        <v>34031</v>
      </c>
      <c r="J9677" t="s">
        <v>5484</v>
      </c>
      <c r="K9677" t="s">
        <v>18298</v>
      </c>
      <c r="L9677" t="s">
        <v>5471</v>
      </c>
      <c r="M9677" t="s">
        <v>5471</v>
      </c>
    </row>
    <row r="9678" spans="1:13" x14ac:dyDescent="0.3">
      <c r="A9678" t="s">
        <v>3388</v>
      </c>
      <c r="B9678" t="s">
        <v>6128</v>
      </c>
      <c r="C9678" t="s">
        <v>5470</v>
      </c>
      <c r="D9678" t="s">
        <v>30466</v>
      </c>
      <c r="E9678" t="s">
        <v>5532</v>
      </c>
      <c r="F9678" t="s">
        <v>34032</v>
      </c>
      <c r="G9678" t="s">
        <v>18552</v>
      </c>
      <c r="H9678" t="s">
        <v>5474</v>
      </c>
      <c r="I9678" t="s">
        <v>34033</v>
      </c>
      <c r="J9678" t="s">
        <v>5484</v>
      </c>
      <c r="K9678" t="s">
        <v>34034</v>
      </c>
      <c r="L9678" t="s">
        <v>5471</v>
      </c>
      <c r="M9678" t="s">
        <v>5471</v>
      </c>
    </row>
    <row r="9679" spans="1:13" x14ac:dyDescent="0.3">
      <c r="A9679" t="s">
        <v>3388</v>
      </c>
      <c r="B9679" t="s">
        <v>5296</v>
      </c>
      <c r="C9679" t="s">
        <v>5470</v>
      </c>
      <c r="D9679" t="s">
        <v>4119</v>
      </c>
      <c r="E9679" t="s">
        <v>5480</v>
      </c>
      <c r="F9679" t="s">
        <v>34035</v>
      </c>
      <c r="G9679" t="s">
        <v>22544</v>
      </c>
      <c r="H9679" t="s">
        <v>5474</v>
      </c>
      <c r="I9679" t="s">
        <v>34036</v>
      </c>
      <c r="J9679" t="s">
        <v>5484</v>
      </c>
      <c r="K9679" t="s">
        <v>34037</v>
      </c>
      <c r="L9679" t="s">
        <v>5471</v>
      </c>
      <c r="M9679" t="s">
        <v>5471</v>
      </c>
    </row>
    <row r="9680" spans="1:13" x14ac:dyDescent="0.3">
      <c r="A9680" t="s">
        <v>3380</v>
      </c>
      <c r="B9680" t="s">
        <v>11677</v>
      </c>
      <c r="C9680" t="s">
        <v>6342</v>
      </c>
      <c r="D9680" t="s">
        <v>4119</v>
      </c>
      <c r="E9680" t="s">
        <v>5532</v>
      </c>
      <c r="F9680" t="s">
        <v>34038</v>
      </c>
      <c r="G9680" t="s">
        <v>17287</v>
      </c>
      <c r="H9680" t="s">
        <v>5474</v>
      </c>
      <c r="I9680" t="s">
        <v>34039</v>
      </c>
      <c r="J9680" t="s">
        <v>5484</v>
      </c>
      <c r="K9680" t="s">
        <v>18311</v>
      </c>
      <c r="L9680" t="s">
        <v>5471</v>
      </c>
      <c r="M9680" t="s">
        <v>5471</v>
      </c>
    </row>
    <row r="9681" spans="1:13" x14ac:dyDescent="0.3">
      <c r="A9681" t="s">
        <v>3380</v>
      </c>
      <c r="B9681" t="s">
        <v>25320</v>
      </c>
      <c r="C9681" t="s">
        <v>6342</v>
      </c>
      <c r="D9681" t="s">
        <v>4119</v>
      </c>
      <c r="E9681" t="s">
        <v>9935</v>
      </c>
      <c r="F9681" t="s">
        <v>34040</v>
      </c>
      <c r="G9681" t="s">
        <v>25806</v>
      </c>
      <c r="H9681" t="s">
        <v>5474</v>
      </c>
      <c r="I9681" t="s">
        <v>34041</v>
      </c>
      <c r="J9681" t="s">
        <v>5484</v>
      </c>
      <c r="K9681" t="s">
        <v>18311</v>
      </c>
      <c r="L9681" t="s">
        <v>5471</v>
      </c>
      <c r="M9681" t="s">
        <v>5471</v>
      </c>
    </row>
    <row r="9682" spans="1:13" x14ac:dyDescent="0.3">
      <c r="A9682" t="s">
        <v>3388</v>
      </c>
      <c r="B9682" t="s">
        <v>5296</v>
      </c>
      <c r="C9682" t="s">
        <v>5470</v>
      </c>
      <c r="D9682" t="s">
        <v>4119</v>
      </c>
      <c r="E9682" t="s">
        <v>5480</v>
      </c>
      <c r="F9682" t="s">
        <v>34042</v>
      </c>
      <c r="G9682" t="s">
        <v>22544</v>
      </c>
      <c r="H9682" t="s">
        <v>5474</v>
      </c>
      <c r="I9682" t="s">
        <v>34043</v>
      </c>
      <c r="J9682" t="s">
        <v>5484</v>
      </c>
      <c r="K9682" t="s">
        <v>34044</v>
      </c>
      <c r="L9682" t="s">
        <v>5471</v>
      </c>
      <c r="M9682" t="s">
        <v>5471</v>
      </c>
    </row>
    <row r="9683" spans="1:13" x14ac:dyDescent="0.3">
      <c r="A9683" t="s">
        <v>3388</v>
      </c>
      <c r="B9683" t="s">
        <v>15946</v>
      </c>
      <c r="C9683" t="s">
        <v>5470</v>
      </c>
      <c r="D9683" t="s">
        <v>30466</v>
      </c>
      <c r="E9683" t="s">
        <v>5532</v>
      </c>
      <c r="F9683" t="s">
        <v>34045</v>
      </c>
      <c r="G9683" t="s">
        <v>18565</v>
      </c>
      <c r="H9683" t="s">
        <v>5474</v>
      </c>
      <c r="I9683" t="s">
        <v>34046</v>
      </c>
      <c r="J9683" t="s">
        <v>5484</v>
      </c>
      <c r="K9683" t="s">
        <v>34047</v>
      </c>
      <c r="L9683" t="s">
        <v>5471</v>
      </c>
      <c r="M9683" t="s">
        <v>5471</v>
      </c>
    </row>
    <row r="9684" spans="1:13" x14ac:dyDescent="0.3">
      <c r="A9684" t="s">
        <v>3397</v>
      </c>
      <c r="B9684" t="s">
        <v>9743</v>
      </c>
      <c r="C9684" t="s">
        <v>5487</v>
      </c>
      <c r="D9684" t="s">
        <v>4119</v>
      </c>
      <c r="E9684" t="s">
        <v>5756</v>
      </c>
      <c r="F9684" t="s">
        <v>34048</v>
      </c>
      <c r="G9684" t="s">
        <v>34049</v>
      </c>
      <c r="H9684" t="s">
        <v>5474</v>
      </c>
      <c r="I9684" t="s">
        <v>34050</v>
      </c>
      <c r="J9684" t="s">
        <v>5476</v>
      </c>
      <c r="K9684" t="s">
        <v>34051</v>
      </c>
      <c r="L9684" t="s">
        <v>5471</v>
      </c>
      <c r="M9684" t="s">
        <v>5471</v>
      </c>
    </row>
    <row r="9685" spans="1:13" x14ac:dyDescent="0.3">
      <c r="A9685" t="s">
        <v>3388</v>
      </c>
      <c r="B9685" t="s">
        <v>5296</v>
      </c>
      <c r="C9685" t="s">
        <v>5470</v>
      </c>
      <c r="D9685" t="s">
        <v>4119</v>
      </c>
      <c r="E9685" t="s">
        <v>5480</v>
      </c>
      <c r="F9685" t="s">
        <v>34052</v>
      </c>
      <c r="G9685" t="s">
        <v>22544</v>
      </c>
      <c r="H9685" t="s">
        <v>5474</v>
      </c>
      <c r="I9685" t="s">
        <v>34053</v>
      </c>
      <c r="J9685" t="s">
        <v>5484</v>
      </c>
      <c r="K9685" t="s">
        <v>34054</v>
      </c>
      <c r="L9685" t="s">
        <v>5471</v>
      </c>
      <c r="M9685" t="s">
        <v>5471</v>
      </c>
    </row>
    <row r="9686" spans="1:13" x14ac:dyDescent="0.3">
      <c r="A9686" t="s">
        <v>3388</v>
      </c>
      <c r="B9686" t="s">
        <v>5678</v>
      </c>
      <c r="C9686" t="s">
        <v>5470</v>
      </c>
      <c r="D9686" t="s">
        <v>30466</v>
      </c>
      <c r="E9686" t="s">
        <v>5532</v>
      </c>
      <c r="F9686" t="s">
        <v>34055</v>
      </c>
      <c r="G9686" t="s">
        <v>18056</v>
      </c>
      <c r="H9686" t="s">
        <v>5474</v>
      </c>
      <c r="I9686" t="s">
        <v>34056</v>
      </c>
      <c r="J9686" t="s">
        <v>5484</v>
      </c>
      <c r="K9686" t="s">
        <v>34057</v>
      </c>
      <c r="L9686" t="s">
        <v>5471</v>
      </c>
      <c r="M9686" t="s">
        <v>5471</v>
      </c>
    </row>
    <row r="9687" spans="1:13" x14ac:dyDescent="0.3">
      <c r="A9687" t="s">
        <v>3380</v>
      </c>
      <c r="B9687" t="s">
        <v>10051</v>
      </c>
      <c r="C9687" t="s">
        <v>6342</v>
      </c>
      <c r="D9687" t="s">
        <v>4119</v>
      </c>
      <c r="E9687" t="s">
        <v>5480</v>
      </c>
      <c r="F9687" t="s">
        <v>34058</v>
      </c>
      <c r="G9687" t="s">
        <v>33421</v>
      </c>
      <c r="H9687" t="s">
        <v>5474</v>
      </c>
      <c r="I9687" t="s">
        <v>34059</v>
      </c>
      <c r="J9687" t="s">
        <v>5476</v>
      </c>
      <c r="K9687" t="s">
        <v>34060</v>
      </c>
      <c r="L9687" t="s">
        <v>5471</v>
      </c>
      <c r="M9687" t="s">
        <v>5471</v>
      </c>
    </row>
    <row r="9688" spans="1:13" x14ac:dyDescent="0.3">
      <c r="A9688" t="s">
        <v>3388</v>
      </c>
      <c r="B9688" t="s">
        <v>5296</v>
      </c>
      <c r="C9688" t="s">
        <v>5470</v>
      </c>
      <c r="D9688" t="s">
        <v>4119</v>
      </c>
      <c r="E9688" t="s">
        <v>5480</v>
      </c>
      <c r="F9688" t="s">
        <v>34061</v>
      </c>
      <c r="G9688" t="s">
        <v>22544</v>
      </c>
      <c r="H9688" t="s">
        <v>5474</v>
      </c>
      <c r="I9688" t="s">
        <v>34062</v>
      </c>
      <c r="J9688" t="s">
        <v>5484</v>
      </c>
      <c r="K9688" t="s">
        <v>34063</v>
      </c>
      <c r="L9688" t="s">
        <v>5471</v>
      </c>
      <c r="M9688" t="s">
        <v>5471</v>
      </c>
    </row>
    <row r="9689" spans="1:13" x14ac:dyDescent="0.3">
      <c r="A9689" t="s">
        <v>3388</v>
      </c>
      <c r="B9689" t="s">
        <v>7109</v>
      </c>
      <c r="C9689" t="s">
        <v>5470</v>
      </c>
      <c r="D9689" t="s">
        <v>30466</v>
      </c>
      <c r="E9689" t="s">
        <v>5532</v>
      </c>
      <c r="F9689" t="s">
        <v>34064</v>
      </c>
      <c r="G9689" t="s">
        <v>10503</v>
      </c>
      <c r="H9689" t="s">
        <v>5474</v>
      </c>
      <c r="I9689" t="s">
        <v>34065</v>
      </c>
      <c r="J9689" t="s">
        <v>5484</v>
      </c>
      <c r="K9689" t="s">
        <v>34066</v>
      </c>
      <c r="L9689" t="s">
        <v>5471</v>
      </c>
      <c r="M9689" t="s">
        <v>5471</v>
      </c>
    </row>
    <row r="9690" spans="1:13" x14ac:dyDescent="0.3">
      <c r="A9690" t="s">
        <v>3380</v>
      </c>
      <c r="B9690" t="s">
        <v>25320</v>
      </c>
      <c r="C9690" t="s">
        <v>6342</v>
      </c>
      <c r="D9690" t="s">
        <v>4119</v>
      </c>
      <c r="E9690" t="s">
        <v>9935</v>
      </c>
      <c r="F9690" t="s">
        <v>34067</v>
      </c>
      <c r="G9690" t="s">
        <v>25806</v>
      </c>
      <c r="H9690" t="s">
        <v>5474</v>
      </c>
      <c r="I9690" t="s">
        <v>34068</v>
      </c>
      <c r="J9690" t="s">
        <v>5476</v>
      </c>
      <c r="K9690" t="s">
        <v>34069</v>
      </c>
      <c r="L9690" t="s">
        <v>5471</v>
      </c>
      <c r="M9690" t="s">
        <v>5471</v>
      </c>
    </row>
    <row r="9691" spans="1:13" x14ac:dyDescent="0.3">
      <c r="A9691" t="s">
        <v>3388</v>
      </c>
      <c r="B9691" t="s">
        <v>7109</v>
      </c>
      <c r="C9691" t="s">
        <v>5470</v>
      </c>
      <c r="D9691" t="s">
        <v>30466</v>
      </c>
      <c r="E9691" t="s">
        <v>5532</v>
      </c>
      <c r="F9691" t="s">
        <v>34070</v>
      </c>
      <c r="G9691" t="s">
        <v>18572</v>
      </c>
      <c r="H9691" t="s">
        <v>5474</v>
      </c>
      <c r="I9691" t="s">
        <v>34071</v>
      </c>
      <c r="J9691" t="s">
        <v>5484</v>
      </c>
      <c r="K9691" t="s">
        <v>34072</v>
      </c>
      <c r="L9691" t="s">
        <v>5471</v>
      </c>
      <c r="M9691" t="s">
        <v>5471</v>
      </c>
    </row>
    <row r="9692" spans="1:13" x14ac:dyDescent="0.3">
      <c r="A9692" t="s">
        <v>3380</v>
      </c>
      <c r="B9692" t="s">
        <v>25320</v>
      </c>
      <c r="C9692" t="s">
        <v>6342</v>
      </c>
      <c r="D9692" t="s">
        <v>4119</v>
      </c>
      <c r="E9692" t="s">
        <v>9935</v>
      </c>
      <c r="F9692" t="s">
        <v>34073</v>
      </c>
      <c r="G9692" t="s">
        <v>25806</v>
      </c>
      <c r="H9692" t="s">
        <v>5474</v>
      </c>
      <c r="I9692" t="s">
        <v>34074</v>
      </c>
      <c r="J9692" t="s">
        <v>5476</v>
      </c>
      <c r="K9692" t="s">
        <v>34069</v>
      </c>
      <c r="L9692" t="s">
        <v>5471</v>
      </c>
      <c r="M9692" t="s">
        <v>5471</v>
      </c>
    </row>
    <row r="9693" spans="1:13" x14ac:dyDescent="0.3">
      <c r="A9693" t="s">
        <v>3388</v>
      </c>
      <c r="B9693" t="s">
        <v>7109</v>
      </c>
      <c r="C9693" t="s">
        <v>5470</v>
      </c>
      <c r="D9693" t="s">
        <v>30466</v>
      </c>
      <c r="E9693" t="s">
        <v>5532</v>
      </c>
      <c r="F9693" t="s">
        <v>34075</v>
      </c>
      <c r="G9693" t="s">
        <v>18582</v>
      </c>
      <c r="H9693" t="s">
        <v>5474</v>
      </c>
      <c r="I9693" t="s">
        <v>34076</v>
      </c>
      <c r="J9693" t="s">
        <v>5484</v>
      </c>
      <c r="K9693" t="s">
        <v>34077</v>
      </c>
      <c r="L9693" t="s">
        <v>5471</v>
      </c>
      <c r="M9693" t="s">
        <v>5471</v>
      </c>
    </row>
    <row r="9694" spans="1:13" x14ac:dyDescent="0.3">
      <c r="A9694" t="s">
        <v>3380</v>
      </c>
      <c r="B9694" t="s">
        <v>25320</v>
      </c>
      <c r="C9694" t="s">
        <v>6342</v>
      </c>
      <c r="D9694" t="s">
        <v>4119</v>
      </c>
      <c r="E9694" t="s">
        <v>9935</v>
      </c>
      <c r="F9694" t="s">
        <v>34078</v>
      </c>
      <c r="G9694" t="s">
        <v>25806</v>
      </c>
      <c r="H9694" t="s">
        <v>5474</v>
      </c>
      <c r="I9694" t="s">
        <v>34079</v>
      </c>
      <c r="J9694" t="s">
        <v>5476</v>
      </c>
      <c r="K9694" t="s">
        <v>34080</v>
      </c>
      <c r="L9694" t="s">
        <v>5471</v>
      </c>
      <c r="M9694" t="s">
        <v>5471</v>
      </c>
    </row>
    <row r="9695" spans="1:13" x14ac:dyDescent="0.3">
      <c r="A9695" t="s">
        <v>3388</v>
      </c>
      <c r="B9695" t="s">
        <v>7109</v>
      </c>
      <c r="C9695" t="s">
        <v>5470</v>
      </c>
      <c r="D9695" t="s">
        <v>30466</v>
      </c>
      <c r="E9695" t="s">
        <v>5532</v>
      </c>
      <c r="F9695" t="s">
        <v>34081</v>
      </c>
      <c r="G9695" t="s">
        <v>33294</v>
      </c>
      <c r="H9695" t="s">
        <v>5474</v>
      </c>
      <c r="I9695" t="s">
        <v>34082</v>
      </c>
      <c r="J9695" t="s">
        <v>5484</v>
      </c>
      <c r="K9695" t="s">
        <v>34083</v>
      </c>
      <c r="L9695" t="s">
        <v>5471</v>
      </c>
      <c r="M9695" t="s">
        <v>5471</v>
      </c>
    </row>
    <row r="9696" spans="1:13" x14ac:dyDescent="0.3">
      <c r="A9696" t="s">
        <v>3380</v>
      </c>
      <c r="B9696" t="s">
        <v>25320</v>
      </c>
      <c r="C9696" t="s">
        <v>6342</v>
      </c>
      <c r="D9696" t="s">
        <v>4119</v>
      </c>
      <c r="E9696" t="s">
        <v>9935</v>
      </c>
      <c r="F9696" t="s">
        <v>34084</v>
      </c>
      <c r="G9696" t="s">
        <v>25806</v>
      </c>
      <c r="H9696" t="s">
        <v>5474</v>
      </c>
      <c r="I9696" t="s">
        <v>34085</v>
      </c>
      <c r="J9696" t="s">
        <v>5476</v>
      </c>
      <c r="K9696" t="s">
        <v>34080</v>
      </c>
      <c r="L9696" t="s">
        <v>5471</v>
      </c>
      <c r="M9696" t="s">
        <v>5471</v>
      </c>
    </row>
    <row r="9697" spans="1:13" x14ac:dyDescent="0.3">
      <c r="A9697" t="s">
        <v>3388</v>
      </c>
      <c r="B9697" t="s">
        <v>5310</v>
      </c>
      <c r="C9697" t="s">
        <v>5470</v>
      </c>
      <c r="D9697" t="s">
        <v>30466</v>
      </c>
      <c r="E9697" t="s">
        <v>5532</v>
      </c>
      <c r="F9697" t="s">
        <v>34086</v>
      </c>
      <c r="G9697" t="s">
        <v>23834</v>
      </c>
      <c r="H9697" t="s">
        <v>5474</v>
      </c>
      <c r="I9697" t="s">
        <v>34087</v>
      </c>
      <c r="J9697" t="s">
        <v>5484</v>
      </c>
      <c r="K9697" t="s">
        <v>34088</v>
      </c>
      <c r="L9697" t="s">
        <v>5471</v>
      </c>
      <c r="M9697" t="s">
        <v>5471</v>
      </c>
    </row>
    <row r="9698" spans="1:13" x14ac:dyDescent="0.3">
      <c r="A9698" t="s">
        <v>3380</v>
      </c>
      <c r="B9698" t="s">
        <v>9677</v>
      </c>
      <c r="C9698" t="s">
        <v>6342</v>
      </c>
      <c r="D9698" t="s">
        <v>4119</v>
      </c>
      <c r="E9698" t="s">
        <v>9935</v>
      </c>
      <c r="F9698" t="s">
        <v>34089</v>
      </c>
      <c r="G9698" t="s">
        <v>26150</v>
      </c>
      <c r="H9698" t="s">
        <v>5474</v>
      </c>
      <c r="I9698" t="s">
        <v>34090</v>
      </c>
      <c r="J9698" t="s">
        <v>5484</v>
      </c>
      <c r="K9698" t="s">
        <v>11009</v>
      </c>
      <c r="L9698" t="s">
        <v>5471</v>
      </c>
      <c r="M9698" t="s">
        <v>5471</v>
      </c>
    </row>
    <row r="9699" spans="1:13" x14ac:dyDescent="0.3">
      <c r="A9699" t="s">
        <v>3383</v>
      </c>
      <c r="B9699" t="s">
        <v>6005</v>
      </c>
      <c r="C9699" t="s">
        <v>5487</v>
      </c>
      <c r="D9699" t="s">
        <v>30466</v>
      </c>
      <c r="E9699" t="s">
        <v>5532</v>
      </c>
      <c r="F9699" t="s">
        <v>34091</v>
      </c>
      <c r="G9699" t="s">
        <v>10908</v>
      </c>
      <c r="H9699" t="s">
        <v>5474</v>
      </c>
      <c r="I9699" t="s">
        <v>34092</v>
      </c>
      <c r="J9699" t="s">
        <v>5484</v>
      </c>
      <c r="K9699" t="s">
        <v>34093</v>
      </c>
      <c r="L9699" t="s">
        <v>5471</v>
      </c>
      <c r="M9699" t="s">
        <v>5471</v>
      </c>
    </row>
    <row r="9700" spans="1:13" x14ac:dyDescent="0.3">
      <c r="A9700" t="s">
        <v>3380</v>
      </c>
      <c r="B9700" t="s">
        <v>25320</v>
      </c>
      <c r="C9700" t="s">
        <v>6342</v>
      </c>
      <c r="D9700" t="s">
        <v>4119</v>
      </c>
      <c r="E9700" t="s">
        <v>9935</v>
      </c>
      <c r="F9700" t="s">
        <v>34094</v>
      </c>
      <c r="G9700" t="s">
        <v>25806</v>
      </c>
      <c r="H9700" t="s">
        <v>5474</v>
      </c>
      <c r="I9700" t="s">
        <v>34095</v>
      </c>
      <c r="J9700" t="s">
        <v>5476</v>
      </c>
      <c r="K9700" t="s">
        <v>34096</v>
      </c>
      <c r="L9700" t="s">
        <v>5471</v>
      </c>
      <c r="M9700" t="s">
        <v>5471</v>
      </c>
    </row>
    <row r="9701" spans="1:13" x14ac:dyDescent="0.3">
      <c r="A9701" t="s">
        <v>3383</v>
      </c>
      <c r="B9701" t="s">
        <v>5586</v>
      </c>
      <c r="C9701" t="s">
        <v>5487</v>
      </c>
      <c r="D9701" t="s">
        <v>30466</v>
      </c>
      <c r="E9701" t="s">
        <v>5532</v>
      </c>
      <c r="F9701" t="s">
        <v>34097</v>
      </c>
      <c r="G9701" t="s">
        <v>29136</v>
      </c>
      <c r="H9701" t="s">
        <v>5474</v>
      </c>
      <c r="I9701" t="s">
        <v>34098</v>
      </c>
      <c r="J9701" t="s">
        <v>5484</v>
      </c>
      <c r="K9701" t="s">
        <v>34099</v>
      </c>
      <c r="L9701" t="s">
        <v>5471</v>
      </c>
      <c r="M9701" t="s">
        <v>5471</v>
      </c>
    </row>
    <row r="9702" spans="1:13" x14ac:dyDescent="0.3">
      <c r="A9702" t="s">
        <v>3388</v>
      </c>
      <c r="B9702" t="s">
        <v>5310</v>
      </c>
      <c r="C9702" t="s">
        <v>5470</v>
      </c>
      <c r="D9702" t="s">
        <v>30466</v>
      </c>
      <c r="E9702" t="s">
        <v>5532</v>
      </c>
      <c r="F9702" t="s">
        <v>34100</v>
      </c>
      <c r="G9702" t="s">
        <v>23186</v>
      </c>
      <c r="H9702" t="s">
        <v>5474</v>
      </c>
      <c r="I9702" t="s">
        <v>34101</v>
      </c>
      <c r="J9702" t="s">
        <v>5484</v>
      </c>
      <c r="K9702" t="s">
        <v>34102</v>
      </c>
      <c r="L9702" t="s">
        <v>5471</v>
      </c>
      <c r="M9702" t="s">
        <v>5471</v>
      </c>
    </row>
    <row r="9703" spans="1:13" x14ac:dyDescent="0.3">
      <c r="A9703" t="s">
        <v>3383</v>
      </c>
      <c r="B9703" t="s">
        <v>8409</v>
      </c>
      <c r="C9703" t="s">
        <v>5470</v>
      </c>
      <c r="D9703" t="s">
        <v>4119</v>
      </c>
      <c r="E9703" t="s">
        <v>5532</v>
      </c>
      <c r="F9703" t="s">
        <v>34103</v>
      </c>
      <c r="G9703" t="s">
        <v>34104</v>
      </c>
      <c r="H9703" t="s">
        <v>5474</v>
      </c>
      <c r="I9703" t="s">
        <v>34105</v>
      </c>
      <c r="J9703" t="s">
        <v>5484</v>
      </c>
      <c r="K9703" t="s">
        <v>34106</v>
      </c>
      <c r="L9703" t="s">
        <v>5471</v>
      </c>
      <c r="M9703" t="s">
        <v>5471</v>
      </c>
    </row>
    <row r="9704" spans="1:13" x14ac:dyDescent="0.3">
      <c r="A9704" t="s">
        <v>3397</v>
      </c>
      <c r="B9704" t="s">
        <v>9743</v>
      </c>
      <c r="C9704" t="s">
        <v>5487</v>
      </c>
      <c r="D9704" t="s">
        <v>4119</v>
      </c>
      <c r="E9704" t="s">
        <v>5843</v>
      </c>
      <c r="F9704" t="s">
        <v>34107</v>
      </c>
      <c r="G9704" t="s">
        <v>33950</v>
      </c>
      <c r="H9704" t="s">
        <v>5474</v>
      </c>
      <c r="I9704" t="s">
        <v>34108</v>
      </c>
      <c r="J9704" t="s">
        <v>5476</v>
      </c>
      <c r="K9704" t="s">
        <v>34109</v>
      </c>
      <c r="L9704" t="s">
        <v>5471</v>
      </c>
      <c r="M9704" t="s">
        <v>5471</v>
      </c>
    </row>
    <row r="9705" spans="1:13" x14ac:dyDescent="0.3">
      <c r="A9705" t="s">
        <v>3383</v>
      </c>
      <c r="B9705" t="s">
        <v>5304</v>
      </c>
      <c r="C9705" t="s">
        <v>5487</v>
      </c>
      <c r="D9705" t="s">
        <v>30466</v>
      </c>
      <c r="E9705" t="s">
        <v>5532</v>
      </c>
      <c r="F9705" t="s">
        <v>34110</v>
      </c>
      <c r="G9705" t="s">
        <v>11406</v>
      </c>
      <c r="H9705" t="s">
        <v>5474</v>
      </c>
      <c r="I9705" t="s">
        <v>34111</v>
      </c>
      <c r="J9705" t="s">
        <v>5484</v>
      </c>
      <c r="K9705" t="s">
        <v>34112</v>
      </c>
      <c r="L9705" t="s">
        <v>5471</v>
      </c>
      <c r="M9705" t="s">
        <v>5471</v>
      </c>
    </row>
    <row r="9706" spans="1:13" x14ac:dyDescent="0.3">
      <c r="A9706" t="s">
        <v>3383</v>
      </c>
      <c r="B9706" t="s">
        <v>5304</v>
      </c>
      <c r="C9706" t="s">
        <v>5487</v>
      </c>
      <c r="D9706" t="s">
        <v>30466</v>
      </c>
      <c r="E9706" t="s">
        <v>5532</v>
      </c>
      <c r="F9706" t="s">
        <v>34113</v>
      </c>
      <c r="G9706" t="s">
        <v>11406</v>
      </c>
      <c r="H9706" t="s">
        <v>5474</v>
      </c>
      <c r="I9706" t="s">
        <v>34114</v>
      </c>
      <c r="J9706" t="s">
        <v>5484</v>
      </c>
      <c r="K9706" t="s">
        <v>34115</v>
      </c>
      <c r="L9706" t="s">
        <v>5471</v>
      </c>
      <c r="M9706" t="s">
        <v>5471</v>
      </c>
    </row>
    <row r="9707" spans="1:13" x14ac:dyDescent="0.3">
      <c r="A9707" t="s">
        <v>3383</v>
      </c>
      <c r="B9707" t="s">
        <v>7643</v>
      </c>
      <c r="C9707" t="s">
        <v>5487</v>
      </c>
      <c r="D9707" t="s">
        <v>30466</v>
      </c>
      <c r="E9707" t="s">
        <v>5532</v>
      </c>
      <c r="F9707" t="s">
        <v>34116</v>
      </c>
      <c r="G9707" t="s">
        <v>33732</v>
      </c>
      <c r="H9707" t="s">
        <v>5474</v>
      </c>
      <c r="I9707" t="s">
        <v>34117</v>
      </c>
      <c r="J9707" t="s">
        <v>5484</v>
      </c>
      <c r="K9707" t="s">
        <v>34118</v>
      </c>
      <c r="L9707" t="s">
        <v>5471</v>
      </c>
      <c r="M9707" t="s">
        <v>5471</v>
      </c>
    </row>
    <row r="9708" spans="1:13" x14ac:dyDescent="0.3">
      <c r="A9708" t="s">
        <v>3383</v>
      </c>
      <c r="B9708" t="s">
        <v>7643</v>
      </c>
      <c r="C9708" t="s">
        <v>5487</v>
      </c>
      <c r="D9708" t="s">
        <v>30466</v>
      </c>
      <c r="E9708" t="s">
        <v>5532</v>
      </c>
      <c r="F9708" t="s">
        <v>34119</v>
      </c>
      <c r="G9708" t="s">
        <v>33732</v>
      </c>
      <c r="H9708" t="s">
        <v>5474</v>
      </c>
      <c r="I9708" t="s">
        <v>34120</v>
      </c>
      <c r="J9708" t="s">
        <v>5484</v>
      </c>
      <c r="K9708" t="s">
        <v>34121</v>
      </c>
      <c r="L9708" t="s">
        <v>5471</v>
      </c>
      <c r="M9708" t="s">
        <v>5471</v>
      </c>
    </row>
    <row r="9709" spans="1:13" x14ac:dyDescent="0.3">
      <c r="A9709" t="s">
        <v>3383</v>
      </c>
      <c r="B9709" t="s">
        <v>7643</v>
      </c>
      <c r="C9709" t="s">
        <v>5487</v>
      </c>
      <c r="D9709" t="s">
        <v>30466</v>
      </c>
      <c r="E9709" t="s">
        <v>5532</v>
      </c>
      <c r="F9709" t="s">
        <v>34122</v>
      </c>
      <c r="G9709" t="s">
        <v>33732</v>
      </c>
      <c r="H9709" t="s">
        <v>5474</v>
      </c>
      <c r="I9709" t="s">
        <v>34123</v>
      </c>
      <c r="J9709" t="s">
        <v>5484</v>
      </c>
      <c r="K9709" t="s">
        <v>34124</v>
      </c>
      <c r="L9709" t="s">
        <v>5471</v>
      </c>
      <c r="M9709" t="s">
        <v>5471</v>
      </c>
    </row>
    <row r="9710" spans="1:13" x14ac:dyDescent="0.3">
      <c r="A9710" t="s">
        <v>3383</v>
      </c>
      <c r="B9710" t="s">
        <v>7643</v>
      </c>
      <c r="C9710" t="s">
        <v>5487</v>
      </c>
      <c r="D9710" t="s">
        <v>30466</v>
      </c>
      <c r="E9710" t="s">
        <v>5532</v>
      </c>
      <c r="F9710" t="s">
        <v>34125</v>
      </c>
      <c r="G9710" t="s">
        <v>33732</v>
      </c>
      <c r="H9710" t="s">
        <v>5474</v>
      </c>
      <c r="I9710" t="s">
        <v>34126</v>
      </c>
      <c r="J9710" t="s">
        <v>5484</v>
      </c>
      <c r="K9710" t="s">
        <v>34127</v>
      </c>
      <c r="L9710" t="s">
        <v>5471</v>
      </c>
      <c r="M9710" t="s">
        <v>5471</v>
      </c>
    </row>
    <row r="9711" spans="1:13" x14ac:dyDescent="0.3">
      <c r="A9711" t="s">
        <v>3383</v>
      </c>
      <c r="B9711" t="s">
        <v>5586</v>
      </c>
      <c r="C9711" t="s">
        <v>5487</v>
      </c>
      <c r="D9711" t="s">
        <v>30466</v>
      </c>
      <c r="E9711" t="s">
        <v>5532</v>
      </c>
      <c r="F9711" t="s">
        <v>34128</v>
      </c>
      <c r="G9711" t="s">
        <v>7661</v>
      </c>
      <c r="H9711" t="s">
        <v>5474</v>
      </c>
      <c r="I9711" t="s">
        <v>34129</v>
      </c>
      <c r="J9711" t="s">
        <v>5484</v>
      </c>
      <c r="K9711" t="s">
        <v>34130</v>
      </c>
      <c r="L9711" t="s">
        <v>5471</v>
      </c>
      <c r="M9711" t="s">
        <v>5471</v>
      </c>
    </row>
    <row r="9712" spans="1:13" x14ac:dyDescent="0.3">
      <c r="A9712" t="s">
        <v>3383</v>
      </c>
      <c r="B9712" t="s">
        <v>8062</v>
      </c>
      <c r="C9712" t="s">
        <v>5487</v>
      </c>
      <c r="D9712" t="s">
        <v>30466</v>
      </c>
      <c r="E9712" t="s">
        <v>5532</v>
      </c>
      <c r="F9712" t="s">
        <v>34131</v>
      </c>
      <c r="G9712" t="s">
        <v>22697</v>
      </c>
      <c r="H9712" t="s">
        <v>5474</v>
      </c>
      <c r="I9712" t="s">
        <v>34132</v>
      </c>
      <c r="J9712" t="s">
        <v>5484</v>
      </c>
      <c r="K9712" t="s">
        <v>34133</v>
      </c>
      <c r="L9712" t="s">
        <v>5471</v>
      </c>
      <c r="M9712" t="s">
        <v>5471</v>
      </c>
    </row>
    <row r="9713" spans="1:13" x14ac:dyDescent="0.3">
      <c r="A9713" t="s">
        <v>3383</v>
      </c>
      <c r="B9713" t="s">
        <v>8062</v>
      </c>
      <c r="C9713" t="s">
        <v>5487</v>
      </c>
      <c r="D9713" t="s">
        <v>30466</v>
      </c>
      <c r="E9713" t="s">
        <v>5532</v>
      </c>
      <c r="F9713" t="s">
        <v>34134</v>
      </c>
      <c r="G9713" t="s">
        <v>22697</v>
      </c>
      <c r="H9713" t="s">
        <v>5474</v>
      </c>
      <c r="I9713" t="s">
        <v>34135</v>
      </c>
      <c r="J9713" t="s">
        <v>5484</v>
      </c>
      <c r="K9713" t="s">
        <v>34136</v>
      </c>
      <c r="L9713" t="s">
        <v>5471</v>
      </c>
      <c r="M9713" t="s">
        <v>5471</v>
      </c>
    </row>
    <row r="9714" spans="1:13" x14ac:dyDescent="0.3">
      <c r="A9714" t="s">
        <v>3383</v>
      </c>
      <c r="B9714" t="s">
        <v>8062</v>
      </c>
      <c r="C9714" t="s">
        <v>5487</v>
      </c>
      <c r="D9714" t="s">
        <v>30466</v>
      </c>
      <c r="E9714" t="s">
        <v>5532</v>
      </c>
      <c r="F9714" t="s">
        <v>34137</v>
      </c>
      <c r="G9714" t="s">
        <v>22697</v>
      </c>
      <c r="H9714" t="s">
        <v>5474</v>
      </c>
      <c r="I9714" t="s">
        <v>34138</v>
      </c>
      <c r="J9714" t="s">
        <v>5484</v>
      </c>
      <c r="K9714" t="s">
        <v>34121</v>
      </c>
      <c r="L9714" t="s">
        <v>5471</v>
      </c>
      <c r="M9714" t="s">
        <v>5471</v>
      </c>
    </row>
    <row r="9715" spans="1:13" x14ac:dyDescent="0.3">
      <c r="A9715" t="s">
        <v>3383</v>
      </c>
      <c r="B9715" t="s">
        <v>8062</v>
      </c>
      <c r="C9715" t="s">
        <v>5487</v>
      </c>
      <c r="D9715" t="s">
        <v>30466</v>
      </c>
      <c r="E9715" t="s">
        <v>5532</v>
      </c>
      <c r="F9715" t="s">
        <v>34139</v>
      </c>
      <c r="G9715" t="s">
        <v>22697</v>
      </c>
      <c r="H9715" t="s">
        <v>5474</v>
      </c>
      <c r="I9715" t="s">
        <v>34140</v>
      </c>
      <c r="J9715" t="s">
        <v>5484</v>
      </c>
      <c r="K9715" t="s">
        <v>34141</v>
      </c>
      <c r="L9715" t="s">
        <v>5471</v>
      </c>
      <c r="M9715" t="s">
        <v>5471</v>
      </c>
    </row>
    <row r="9716" spans="1:13" x14ac:dyDescent="0.3">
      <c r="A9716" t="s">
        <v>3383</v>
      </c>
      <c r="B9716" t="s">
        <v>8062</v>
      </c>
      <c r="C9716" t="s">
        <v>5487</v>
      </c>
      <c r="D9716" t="s">
        <v>30466</v>
      </c>
      <c r="E9716" t="s">
        <v>5532</v>
      </c>
      <c r="F9716" t="s">
        <v>34142</v>
      </c>
      <c r="G9716" t="s">
        <v>22697</v>
      </c>
      <c r="H9716" t="s">
        <v>5474</v>
      </c>
      <c r="I9716" t="s">
        <v>34143</v>
      </c>
      <c r="J9716" t="s">
        <v>5484</v>
      </c>
      <c r="K9716" t="s">
        <v>34144</v>
      </c>
      <c r="L9716" t="s">
        <v>5471</v>
      </c>
      <c r="M9716" t="s">
        <v>5471</v>
      </c>
    </row>
    <row r="9717" spans="1:13" x14ac:dyDescent="0.3">
      <c r="A9717" t="s">
        <v>3383</v>
      </c>
      <c r="B9717" t="s">
        <v>8062</v>
      </c>
      <c r="C9717" t="s">
        <v>5487</v>
      </c>
      <c r="D9717" t="s">
        <v>30466</v>
      </c>
      <c r="E9717" t="s">
        <v>5532</v>
      </c>
      <c r="F9717" t="s">
        <v>34145</v>
      </c>
      <c r="G9717" t="s">
        <v>22697</v>
      </c>
      <c r="H9717" t="s">
        <v>5474</v>
      </c>
      <c r="I9717" t="s">
        <v>34146</v>
      </c>
      <c r="J9717" t="s">
        <v>5484</v>
      </c>
      <c r="K9717" t="s">
        <v>34127</v>
      </c>
      <c r="L9717" t="s">
        <v>5471</v>
      </c>
      <c r="M9717" t="s">
        <v>5471</v>
      </c>
    </row>
    <row r="9718" spans="1:13" x14ac:dyDescent="0.3">
      <c r="A9718" t="s">
        <v>3383</v>
      </c>
      <c r="B9718" t="s">
        <v>8062</v>
      </c>
      <c r="C9718" t="s">
        <v>5487</v>
      </c>
      <c r="D9718" t="s">
        <v>30466</v>
      </c>
      <c r="E9718" t="s">
        <v>5532</v>
      </c>
      <c r="F9718" t="s">
        <v>34147</v>
      </c>
      <c r="G9718" t="s">
        <v>22697</v>
      </c>
      <c r="H9718" t="s">
        <v>5474</v>
      </c>
      <c r="I9718" t="s">
        <v>34148</v>
      </c>
      <c r="J9718" t="s">
        <v>5484</v>
      </c>
      <c r="K9718" t="s">
        <v>34118</v>
      </c>
      <c r="L9718" t="s">
        <v>5471</v>
      </c>
      <c r="M9718" t="s">
        <v>5471</v>
      </c>
    </row>
    <row r="9719" spans="1:13" x14ac:dyDescent="0.3">
      <c r="A9719" t="s">
        <v>3397</v>
      </c>
      <c r="B9719" t="s">
        <v>7424</v>
      </c>
      <c r="C9719" t="s">
        <v>5487</v>
      </c>
      <c r="D9719" t="s">
        <v>4119</v>
      </c>
      <c r="E9719" t="s">
        <v>5480</v>
      </c>
      <c r="F9719" t="s">
        <v>34149</v>
      </c>
      <c r="G9719" t="s">
        <v>34150</v>
      </c>
      <c r="H9719" t="s">
        <v>5474</v>
      </c>
      <c r="I9719" t="s">
        <v>34151</v>
      </c>
      <c r="J9719" t="s">
        <v>5484</v>
      </c>
      <c r="K9719" t="s">
        <v>34150</v>
      </c>
      <c r="L9719" t="s">
        <v>5471</v>
      </c>
      <c r="M9719" t="s">
        <v>5471</v>
      </c>
    </row>
    <row r="9720" spans="1:13" x14ac:dyDescent="0.3">
      <c r="A9720" t="s">
        <v>3383</v>
      </c>
      <c r="B9720" t="s">
        <v>7820</v>
      </c>
      <c r="C9720" t="s">
        <v>5487</v>
      </c>
      <c r="D9720" t="s">
        <v>30466</v>
      </c>
      <c r="E9720" t="s">
        <v>5532</v>
      </c>
      <c r="F9720" t="s">
        <v>34152</v>
      </c>
      <c r="G9720" t="s">
        <v>11922</v>
      </c>
      <c r="H9720" t="s">
        <v>5474</v>
      </c>
      <c r="I9720" t="s">
        <v>34153</v>
      </c>
      <c r="J9720" t="s">
        <v>5484</v>
      </c>
      <c r="K9720" t="s">
        <v>34154</v>
      </c>
      <c r="L9720" t="s">
        <v>5471</v>
      </c>
      <c r="M9720" t="s">
        <v>5471</v>
      </c>
    </row>
    <row r="9721" spans="1:13" x14ac:dyDescent="0.3">
      <c r="A9721" t="s">
        <v>3383</v>
      </c>
      <c r="B9721" t="s">
        <v>7820</v>
      </c>
      <c r="C9721" t="s">
        <v>5487</v>
      </c>
      <c r="D9721" t="s">
        <v>30466</v>
      </c>
      <c r="E9721" t="s">
        <v>5532</v>
      </c>
      <c r="F9721" t="s">
        <v>34155</v>
      </c>
      <c r="G9721" t="s">
        <v>11922</v>
      </c>
      <c r="H9721" t="s">
        <v>5474</v>
      </c>
      <c r="I9721" t="s">
        <v>34156</v>
      </c>
      <c r="J9721" t="s">
        <v>5484</v>
      </c>
      <c r="K9721" t="s">
        <v>34157</v>
      </c>
      <c r="L9721" t="s">
        <v>5471</v>
      </c>
      <c r="M9721" t="s">
        <v>5471</v>
      </c>
    </row>
    <row r="9722" spans="1:13" x14ac:dyDescent="0.3">
      <c r="A9722" t="s">
        <v>3397</v>
      </c>
      <c r="B9722" t="s">
        <v>7424</v>
      </c>
      <c r="C9722" t="s">
        <v>5487</v>
      </c>
      <c r="D9722" t="s">
        <v>4119</v>
      </c>
      <c r="E9722" t="s">
        <v>5480</v>
      </c>
      <c r="F9722" t="s">
        <v>34158</v>
      </c>
      <c r="G9722" t="s">
        <v>34159</v>
      </c>
      <c r="H9722" t="s">
        <v>5474</v>
      </c>
      <c r="I9722" t="s">
        <v>34160</v>
      </c>
      <c r="J9722" t="s">
        <v>5484</v>
      </c>
      <c r="K9722" t="s">
        <v>34159</v>
      </c>
      <c r="L9722" t="s">
        <v>5471</v>
      </c>
      <c r="M9722" t="s">
        <v>5471</v>
      </c>
    </row>
    <row r="9723" spans="1:13" x14ac:dyDescent="0.3">
      <c r="A9723" t="s">
        <v>3383</v>
      </c>
      <c r="B9723" t="s">
        <v>7820</v>
      </c>
      <c r="C9723" t="s">
        <v>5487</v>
      </c>
      <c r="D9723" t="s">
        <v>30466</v>
      </c>
      <c r="E9723" t="s">
        <v>5532</v>
      </c>
      <c r="F9723" t="s">
        <v>34161</v>
      </c>
      <c r="G9723" t="s">
        <v>11922</v>
      </c>
      <c r="H9723" t="s">
        <v>5474</v>
      </c>
      <c r="I9723" t="s">
        <v>34162</v>
      </c>
      <c r="J9723" t="s">
        <v>5484</v>
      </c>
      <c r="K9723" t="s">
        <v>34163</v>
      </c>
      <c r="L9723" t="s">
        <v>5471</v>
      </c>
      <c r="M9723" t="s">
        <v>5471</v>
      </c>
    </row>
    <row r="9724" spans="1:13" x14ac:dyDescent="0.3">
      <c r="A9724" t="s">
        <v>3397</v>
      </c>
      <c r="B9724" t="s">
        <v>7424</v>
      </c>
      <c r="C9724" t="s">
        <v>5487</v>
      </c>
      <c r="D9724" t="s">
        <v>4119</v>
      </c>
      <c r="E9724" t="s">
        <v>5480</v>
      </c>
      <c r="F9724" t="s">
        <v>34164</v>
      </c>
      <c r="G9724" t="s">
        <v>34165</v>
      </c>
      <c r="H9724" t="s">
        <v>5474</v>
      </c>
      <c r="I9724" t="s">
        <v>34166</v>
      </c>
      <c r="J9724" t="s">
        <v>5484</v>
      </c>
      <c r="K9724" t="s">
        <v>34165</v>
      </c>
      <c r="L9724" t="s">
        <v>5471</v>
      </c>
      <c r="M9724" t="s">
        <v>5471</v>
      </c>
    </row>
    <row r="9725" spans="1:13" x14ac:dyDescent="0.3">
      <c r="A9725" t="s">
        <v>3383</v>
      </c>
      <c r="B9725" t="s">
        <v>7444</v>
      </c>
      <c r="C9725" t="s">
        <v>5470</v>
      </c>
      <c r="D9725" t="s">
        <v>4119</v>
      </c>
      <c r="E9725" t="s">
        <v>5532</v>
      </c>
      <c r="F9725" t="s">
        <v>34167</v>
      </c>
      <c r="G9725" t="s">
        <v>8947</v>
      </c>
      <c r="H9725" t="s">
        <v>5474</v>
      </c>
      <c r="I9725" t="s">
        <v>34168</v>
      </c>
      <c r="J9725" t="s">
        <v>5484</v>
      </c>
      <c r="K9725" t="s">
        <v>34169</v>
      </c>
      <c r="L9725" t="s">
        <v>5471</v>
      </c>
      <c r="M9725" t="s">
        <v>5471</v>
      </c>
    </row>
    <row r="9726" spans="1:13" x14ac:dyDescent="0.3">
      <c r="A9726" t="s">
        <v>3397</v>
      </c>
      <c r="B9726" t="s">
        <v>34170</v>
      </c>
      <c r="C9726" t="s">
        <v>5487</v>
      </c>
      <c r="D9726" t="s">
        <v>4119</v>
      </c>
      <c r="E9726" t="s">
        <v>5480</v>
      </c>
      <c r="F9726" t="s">
        <v>34171</v>
      </c>
      <c r="G9726" t="s">
        <v>34172</v>
      </c>
      <c r="H9726" t="s">
        <v>5474</v>
      </c>
      <c r="I9726" t="s">
        <v>34173</v>
      </c>
      <c r="J9726" t="s">
        <v>5484</v>
      </c>
      <c r="K9726" t="s">
        <v>34172</v>
      </c>
      <c r="L9726" t="s">
        <v>5471</v>
      </c>
      <c r="M9726" t="s">
        <v>5471</v>
      </c>
    </row>
    <row r="9727" spans="1:13" x14ac:dyDescent="0.3">
      <c r="A9727" t="s">
        <v>3397</v>
      </c>
      <c r="B9727" t="s">
        <v>7424</v>
      </c>
      <c r="C9727" t="s">
        <v>5487</v>
      </c>
      <c r="D9727" t="s">
        <v>4119</v>
      </c>
      <c r="E9727" t="s">
        <v>5480</v>
      </c>
      <c r="F9727" t="s">
        <v>34174</v>
      </c>
      <c r="G9727" t="s">
        <v>34175</v>
      </c>
      <c r="H9727" t="s">
        <v>5474</v>
      </c>
      <c r="I9727" t="s">
        <v>34176</v>
      </c>
      <c r="J9727" t="s">
        <v>5484</v>
      </c>
      <c r="K9727" t="s">
        <v>34175</v>
      </c>
      <c r="L9727" t="s">
        <v>5471</v>
      </c>
      <c r="M9727" t="s">
        <v>5471</v>
      </c>
    </row>
    <row r="9728" spans="1:13" x14ac:dyDescent="0.3">
      <c r="A9728" t="s">
        <v>3383</v>
      </c>
      <c r="B9728" t="s">
        <v>5320</v>
      </c>
      <c r="C9728" t="s">
        <v>5470</v>
      </c>
      <c r="D9728" t="s">
        <v>4119</v>
      </c>
      <c r="E9728" t="s">
        <v>5532</v>
      </c>
      <c r="F9728" t="s">
        <v>34177</v>
      </c>
      <c r="G9728" t="s">
        <v>6577</v>
      </c>
      <c r="H9728" t="s">
        <v>5474</v>
      </c>
      <c r="I9728" t="s">
        <v>34178</v>
      </c>
      <c r="J9728" t="s">
        <v>5484</v>
      </c>
      <c r="K9728" t="s">
        <v>34179</v>
      </c>
      <c r="L9728" t="s">
        <v>5471</v>
      </c>
      <c r="M9728" t="s">
        <v>5471</v>
      </c>
    </row>
    <row r="9729" spans="1:13" x14ac:dyDescent="0.3">
      <c r="A9729" t="s">
        <v>3380</v>
      </c>
      <c r="B9729" t="s">
        <v>11677</v>
      </c>
      <c r="C9729" t="s">
        <v>6342</v>
      </c>
      <c r="D9729" t="s">
        <v>4119</v>
      </c>
      <c r="E9729" t="s">
        <v>5617</v>
      </c>
      <c r="F9729" t="s">
        <v>34180</v>
      </c>
      <c r="G9729" t="s">
        <v>34181</v>
      </c>
      <c r="H9729" t="s">
        <v>5474</v>
      </c>
      <c r="I9729" t="s">
        <v>34182</v>
      </c>
      <c r="J9729" t="s">
        <v>5484</v>
      </c>
      <c r="K9729" t="s">
        <v>28473</v>
      </c>
      <c r="L9729" t="s">
        <v>5471</v>
      </c>
      <c r="M9729" t="s">
        <v>5471</v>
      </c>
    </row>
    <row r="9730" spans="1:13" x14ac:dyDescent="0.3">
      <c r="A9730" t="s">
        <v>3397</v>
      </c>
      <c r="B9730" t="s">
        <v>7424</v>
      </c>
      <c r="C9730" t="s">
        <v>5487</v>
      </c>
      <c r="D9730" t="s">
        <v>4119</v>
      </c>
      <c r="E9730" t="s">
        <v>5480</v>
      </c>
      <c r="F9730" t="s">
        <v>34183</v>
      </c>
      <c r="G9730" t="s">
        <v>34184</v>
      </c>
      <c r="H9730" t="s">
        <v>5474</v>
      </c>
      <c r="I9730" t="s">
        <v>34185</v>
      </c>
      <c r="J9730" t="s">
        <v>5484</v>
      </c>
      <c r="K9730" t="s">
        <v>34184</v>
      </c>
      <c r="L9730" t="s">
        <v>5471</v>
      </c>
      <c r="M9730" t="s">
        <v>5471</v>
      </c>
    </row>
    <row r="9731" spans="1:13" x14ac:dyDescent="0.3">
      <c r="A9731" t="s">
        <v>3383</v>
      </c>
      <c r="B9731" t="s">
        <v>6113</v>
      </c>
      <c r="C9731" t="s">
        <v>5487</v>
      </c>
      <c r="D9731" t="s">
        <v>4119</v>
      </c>
      <c r="E9731" t="s">
        <v>5532</v>
      </c>
      <c r="F9731" t="s">
        <v>34186</v>
      </c>
      <c r="G9731" t="s">
        <v>29305</v>
      </c>
      <c r="H9731" t="s">
        <v>5474</v>
      </c>
      <c r="I9731" t="s">
        <v>34187</v>
      </c>
      <c r="J9731" t="s">
        <v>5484</v>
      </c>
      <c r="K9731" t="s">
        <v>34188</v>
      </c>
      <c r="L9731" t="s">
        <v>5471</v>
      </c>
      <c r="M9731" t="s">
        <v>5471</v>
      </c>
    </row>
    <row r="9732" spans="1:13" x14ac:dyDescent="0.3">
      <c r="A9732" t="s">
        <v>3397</v>
      </c>
      <c r="B9732" t="s">
        <v>7424</v>
      </c>
      <c r="C9732" t="s">
        <v>5487</v>
      </c>
      <c r="D9732" t="s">
        <v>4119</v>
      </c>
      <c r="E9732" t="s">
        <v>5480</v>
      </c>
      <c r="F9732" t="s">
        <v>34189</v>
      </c>
      <c r="G9732" t="s">
        <v>34190</v>
      </c>
      <c r="H9732" t="s">
        <v>5474</v>
      </c>
      <c r="I9732" t="s">
        <v>34191</v>
      </c>
      <c r="J9732" t="s">
        <v>5484</v>
      </c>
      <c r="K9732" t="s">
        <v>34190</v>
      </c>
      <c r="L9732" t="s">
        <v>5471</v>
      </c>
      <c r="M9732" t="s">
        <v>5471</v>
      </c>
    </row>
    <row r="9733" spans="1:13" x14ac:dyDescent="0.3">
      <c r="A9733" t="s">
        <v>3383</v>
      </c>
      <c r="B9733" t="s">
        <v>5320</v>
      </c>
      <c r="C9733" t="s">
        <v>5470</v>
      </c>
      <c r="D9733" t="s">
        <v>4119</v>
      </c>
      <c r="E9733" t="s">
        <v>5532</v>
      </c>
      <c r="F9733" t="s">
        <v>34192</v>
      </c>
      <c r="G9733" t="s">
        <v>11837</v>
      </c>
      <c r="H9733" t="s">
        <v>5474</v>
      </c>
      <c r="I9733" t="s">
        <v>34193</v>
      </c>
      <c r="J9733" t="s">
        <v>5484</v>
      </c>
      <c r="K9733" t="s">
        <v>34194</v>
      </c>
      <c r="L9733" t="s">
        <v>5471</v>
      </c>
      <c r="M9733" t="s">
        <v>5471</v>
      </c>
    </row>
    <row r="9734" spans="1:13" x14ac:dyDescent="0.3">
      <c r="A9734" t="s">
        <v>3397</v>
      </c>
      <c r="B9734" t="s">
        <v>34170</v>
      </c>
      <c r="C9734" t="s">
        <v>5487</v>
      </c>
      <c r="D9734" t="s">
        <v>4119</v>
      </c>
      <c r="E9734" t="s">
        <v>5480</v>
      </c>
      <c r="F9734" t="s">
        <v>34195</v>
      </c>
      <c r="G9734" t="s">
        <v>34196</v>
      </c>
      <c r="H9734" t="s">
        <v>5474</v>
      </c>
      <c r="I9734" t="s">
        <v>34197</v>
      </c>
      <c r="J9734" t="s">
        <v>5484</v>
      </c>
      <c r="K9734" t="s">
        <v>34196</v>
      </c>
      <c r="L9734" t="s">
        <v>5471</v>
      </c>
      <c r="M9734" t="s">
        <v>5471</v>
      </c>
    </row>
    <row r="9735" spans="1:13" x14ac:dyDescent="0.3">
      <c r="A9735" t="s">
        <v>3383</v>
      </c>
      <c r="B9735" t="s">
        <v>5320</v>
      </c>
      <c r="C9735" t="s">
        <v>5470</v>
      </c>
      <c r="D9735" t="s">
        <v>4119</v>
      </c>
      <c r="E9735" t="s">
        <v>5532</v>
      </c>
      <c r="F9735" t="s">
        <v>34198</v>
      </c>
      <c r="G9735" t="s">
        <v>11837</v>
      </c>
      <c r="H9735" t="s">
        <v>5474</v>
      </c>
      <c r="I9735" t="s">
        <v>34199</v>
      </c>
      <c r="J9735" t="s">
        <v>5484</v>
      </c>
      <c r="K9735" t="s">
        <v>34194</v>
      </c>
      <c r="L9735" t="s">
        <v>5471</v>
      </c>
      <c r="M9735" t="s">
        <v>5471</v>
      </c>
    </row>
    <row r="9736" spans="1:13" x14ac:dyDescent="0.3">
      <c r="A9736" t="s">
        <v>3380</v>
      </c>
      <c r="B9736" t="s">
        <v>11677</v>
      </c>
      <c r="C9736" t="s">
        <v>6342</v>
      </c>
      <c r="D9736" t="s">
        <v>4119</v>
      </c>
      <c r="E9736" t="s">
        <v>5617</v>
      </c>
      <c r="F9736" t="s">
        <v>34200</v>
      </c>
      <c r="G9736" t="s">
        <v>34181</v>
      </c>
      <c r="H9736" t="s">
        <v>5474</v>
      </c>
      <c r="I9736" t="s">
        <v>34201</v>
      </c>
      <c r="J9736" t="s">
        <v>5484</v>
      </c>
      <c r="K9736" t="s">
        <v>28467</v>
      </c>
      <c r="L9736" t="s">
        <v>5471</v>
      </c>
      <c r="M9736" t="s">
        <v>5471</v>
      </c>
    </row>
    <row r="9737" spans="1:13" x14ac:dyDescent="0.3">
      <c r="A9737" t="s">
        <v>3397</v>
      </c>
      <c r="B9737" t="s">
        <v>34170</v>
      </c>
      <c r="C9737" t="s">
        <v>5487</v>
      </c>
      <c r="D9737" t="s">
        <v>4119</v>
      </c>
      <c r="E9737" t="s">
        <v>5480</v>
      </c>
      <c r="F9737" t="s">
        <v>34202</v>
      </c>
      <c r="G9737" t="s">
        <v>34203</v>
      </c>
      <c r="H9737" t="s">
        <v>5474</v>
      </c>
      <c r="I9737" t="s">
        <v>34204</v>
      </c>
      <c r="J9737" t="s">
        <v>5484</v>
      </c>
      <c r="K9737" t="s">
        <v>34203</v>
      </c>
      <c r="L9737" t="s">
        <v>5471</v>
      </c>
      <c r="M9737" t="s">
        <v>5471</v>
      </c>
    </row>
    <row r="9738" spans="1:13" x14ac:dyDescent="0.3">
      <c r="A9738" t="s">
        <v>3383</v>
      </c>
      <c r="B9738" t="s">
        <v>5320</v>
      </c>
      <c r="C9738" t="s">
        <v>5470</v>
      </c>
      <c r="D9738" t="s">
        <v>4119</v>
      </c>
      <c r="E9738" t="s">
        <v>5532</v>
      </c>
      <c r="F9738" t="s">
        <v>34205</v>
      </c>
      <c r="G9738" t="s">
        <v>11837</v>
      </c>
      <c r="H9738" t="s">
        <v>5474</v>
      </c>
      <c r="I9738" t="s">
        <v>34206</v>
      </c>
      <c r="J9738" t="s">
        <v>5484</v>
      </c>
      <c r="K9738" t="s">
        <v>34194</v>
      </c>
      <c r="L9738" t="s">
        <v>5471</v>
      </c>
      <c r="M9738" t="s">
        <v>5471</v>
      </c>
    </row>
    <row r="9739" spans="1:13" x14ac:dyDescent="0.3">
      <c r="A9739" t="s">
        <v>3397</v>
      </c>
      <c r="B9739" t="s">
        <v>3397</v>
      </c>
      <c r="C9739" t="s">
        <v>5487</v>
      </c>
      <c r="D9739" t="s">
        <v>4119</v>
      </c>
      <c r="E9739" t="s">
        <v>5480</v>
      </c>
      <c r="F9739" t="s">
        <v>34207</v>
      </c>
      <c r="G9739" t="s">
        <v>34208</v>
      </c>
      <c r="H9739" t="s">
        <v>5474</v>
      </c>
      <c r="I9739" t="s">
        <v>34209</v>
      </c>
      <c r="J9739" t="s">
        <v>5484</v>
      </c>
      <c r="K9739" t="s">
        <v>34208</v>
      </c>
      <c r="L9739" t="s">
        <v>5471</v>
      </c>
      <c r="M9739" t="s">
        <v>5471</v>
      </c>
    </row>
    <row r="9740" spans="1:13" x14ac:dyDescent="0.3">
      <c r="A9740" t="s">
        <v>3383</v>
      </c>
      <c r="B9740" t="s">
        <v>5320</v>
      </c>
      <c r="C9740" t="s">
        <v>5470</v>
      </c>
      <c r="D9740" t="s">
        <v>4119</v>
      </c>
      <c r="E9740" t="s">
        <v>5532</v>
      </c>
      <c r="F9740" t="s">
        <v>34210</v>
      </c>
      <c r="G9740" t="s">
        <v>11837</v>
      </c>
      <c r="H9740" t="s">
        <v>5474</v>
      </c>
      <c r="I9740" t="s">
        <v>34211</v>
      </c>
      <c r="J9740" t="s">
        <v>5484</v>
      </c>
      <c r="K9740" t="s">
        <v>34194</v>
      </c>
      <c r="L9740" t="s">
        <v>5471</v>
      </c>
      <c r="M9740" t="s">
        <v>5471</v>
      </c>
    </row>
    <row r="9741" spans="1:13" x14ac:dyDescent="0.3">
      <c r="A9741" t="s">
        <v>3397</v>
      </c>
      <c r="B9741" t="s">
        <v>34170</v>
      </c>
      <c r="C9741" t="s">
        <v>5487</v>
      </c>
      <c r="D9741" t="s">
        <v>4119</v>
      </c>
      <c r="E9741" t="s">
        <v>5480</v>
      </c>
      <c r="F9741" t="s">
        <v>34212</v>
      </c>
      <c r="G9741" t="s">
        <v>34213</v>
      </c>
      <c r="H9741" t="s">
        <v>5474</v>
      </c>
      <c r="I9741" t="s">
        <v>34214</v>
      </c>
      <c r="J9741" t="s">
        <v>5484</v>
      </c>
      <c r="K9741" t="s">
        <v>34213</v>
      </c>
      <c r="L9741" t="s">
        <v>5471</v>
      </c>
      <c r="M9741" t="s">
        <v>5471</v>
      </c>
    </row>
    <row r="9742" spans="1:13" x14ac:dyDescent="0.3">
      <c r="A9742" t="s">
        <v>3380</v>
      </c>
      <c r="B9742" t="s">
        <v>11677</v>
      </c>
      <c r="C9742" t="s">
        <v>6342</v>
      </c>
      <c r="D9742" t="s">
        <v>4119</v>
      </c>
      <c r="E9742" t="s">
        <v>5617</v>
      </c>
      <c r="F9742" t="s">
        <v>34215</v>
      </c>
      <c r="G9742" t="s">
        <v>34181</v>
      </c>
      <c r="H9742" t="s">
        <v>5474</v>
      </c>
      <c r="I9742" t="s">
        <v>34216</v>
      </c>
      <c r="J9742" t="s">
        <v>5484</v>
      </c>
      <c r="K9742" t="s">
        <v>28470</v>
      </c>
      <c r="L9742" t="s">
        <v>5471</v>
      </c>
      <c r="M9742" t="s">
        <v>5471</v>
      </c>
    </row>
    <row r="9743" spans="1:13" x14ac:dyDescent="0.3">
      <c r="A9743" t="s">
        <v>3397</v>
      </c>
      <c r="B9743" t="s">
        <v>3397</v>
      </c>
      <c r="C9743" t="s">
        <v>5487</v>
      </c>
      <c r="D9743" t="s">
        <v>4119</v>
      </c>
      <c r="E9743" t="s">
        <v>5480</v>
      </c>
      <c r="F9743" t="s">
        <v>34217</v>
      </c>
      <c r="G9743" t="s">
        <v>34218</v>
      </c>
      <c r="H9743" t="s">
        <v>5474</v>
      </c>
      <c r="I9743" t="s">
        <v>34219</v>
      </c>
      <c r="J9743" t="s">
        <v>5484</v>
      </c>
      <c r="K9743" t="s">
        <v>34218</v>
      </c>
      <c r="L9743" t="s">
        <v>5471</v>
      </c>
      <c r="M9743" t="s">
        <v>5471</v>
      </c>
    </row>
    <row r="9744" spans="1:13" x14ac:dyDescent="0.3">
      <c r="A9744" t="s">
        <v>3397</v>
      </c>
      <c r="B9744" t="s">
        <v>34170</v>
      </c>
      <c r="C9744" t="s">
        <v>5487</v>
      </c>
      <c r="D9744" t="s">
        <v>4119</v>
      </c>
      <c r="E9744" t="s">
        <v>5480</v>
      </c>
      <c r="F9744" t="s">
        <v>34220</v>
      </c>
      <c r="G9744" t="s">
        <v>34221</v>
      </c>
      <c r="H9744" t="s">
        <v>5474</v>
      </c>
      <c r="I9744" t="s">
        <v>34222</v>
      </c>
      <c r="J9744" t="s">
        <v>5484</v>
      </c>
      <c r="K9744" t="s">
        <v>34221</v>
      </c>
      <c r="L9744" t="s">
        <v>5471</v>
      </c>
      <c r="M9744" t="s">
        <v>5471</v>
      </c>
    </row>
    <row r="9745" spans="1:13" x14ac:dyDescent="0.3">
      <c r="A9745" t="s">
        <v>3383</v>
      </c>
      <c r="B9745" t="s">
        <v>5320</v>
      </c>
      <c r="C9745" t="s">
        <v>5470</v>
      </c>
      <c r="D9745" t="s">
        <v>4119</v>
      </c>
      <c r="E9745" t="s">
        <v>5532</v>
      </c>
      <c r="F9745" t="s">
        <v>34223</v>
      </c>
      <c r="G9745" t="s">
        <v>11837</v>
      </c>
      <c r="H9745" t="s">
        <v>5474</v>
      </c>
      <c r="I9745" t="s">
        <v>34224</v>
      </c>
      <c r="J9745" t="s">
        <v>5484</v>
      </c>
      <c r="K9745" t="s">
        <v>34194</v>
      </c>
      <c r="L9745" t="s">
        <v>5471</v>
      </c>
      <c r="M9745" t="s">
        <v>5471</v>
      </c>
    </row>
    <row r="9746" spans="1:13" x14ac:dyDescent="0.3">
      <c r="A9746" t="s">
        <v>3383</v>
      </c>
      <c r="B9746" t="s">
        <v>5320</v>
      </c>
      <c r="C9746" t="s">
        <v>5470</v>
      </c>
      <c r="D9746" t="s">
        <v>4119</v>
      </c>
      <c r="E9746" t="s">
        <v>5532</v>
      </c>
      <c r="F9746" t="s">
        <v>34225</v>
      </c>
      <c r="G9746" t="s">
        <v>7799</v>
      </c>
      <c r="H9746" t="s">
        <v>5474</v>
      </c>
      <c r="I9746" t="s">
        <v>34226</v>
      </c>
      <c r="J9746" t="s">
        <v>5484</v>
      </c>
      <c r="K9746" t="s">
        <v>34227</v>
      </c>
      <c r="L9746" t="s">
        <v>5471</v>
      </c>
      <c r="M9746" t="s">
        <v>5471</v>
      </c>
    </row>
    <row r="9747" spans="1:13" x14ac:dyDescent="0.3">
      <c r="A9747" t="s">
        <v>3397</v>
      </c>
      <c r="B9747" t="s">
        <v>34170</v>
      </c>
      <c r="C9747" t="s">
        <v>5487</v>
      </c>
      <c r="D9747" t="s">
        <v>4119</v>
      </c>
      <c r="E9747" t="s">
        <v>5480</v>
      </c>
      <c r="F9747" t="s">
        <v>34228</v>
      </c>
      <c r="G9747" t="s">
        <v>34229</v>
      </c>
      <c r="H9747" t="s">
        <v>5474</v>
      </c>
      <c r="I9747" t="s">
        <v>34230</v>
      </c>
      <c r="J9747" t="s">
        <v>5484</v>
      </c>
      <c r="K9747" t="s">
        <v>34229</v>
      </c>
      <c r="L9747" t="s">
        <v>5471</v>
      </c>
      <c r="M9747" t="s">
        <v>5471</v>
      </c>
    </row>
    <row r="9748" spans="1:13" x14ac:dyDescent="0.3">
      <c r="A9748" t="s">
        <v>3380</v>
      </c>
      <c r="B9748" t="s">
        <v>11677</v>
      </c>
      <c r="C9748" t="s">
        <v>6342</v>
      </c>
      <c r="D9748" t="s">
        <v>4119</v>
      </c>
      <c r="E9748" t="s">
        <v>5617</v>
      </c>
      <c r="F9748" t="s">
        <v>34231</v>
      </c>
      <c r="G9748" t="s">
        <v>34181</v>
      </c>
      <c r="H9748" t="s">
        <v>5474</v>
      </c>
      <c r="I9748" t="s">
        <v>34232</v>
      </c>
      <c r="J9748" t="s">
        <v>5484</v>
      </c>
      <c r="K9748" t="s">
        <v>16805</v>
      </c>
      <c r="L9748" t="s">
        <v>5471</v>
      </c>
      <c r="M9748" t="s">
        <v>5471</v>
      </c>
    </row>
    <row r="9749" spans="1:13" x14ac:dyDescent="0.3">
      <c r="A9749" t="s">
        <v>3397</v>
      </c>
      <c r="B9749" t="s">
        <v>3397</v>
      </c>
      <c r="C9749" t="s">
        <v>5487</v>
      </c>
      <c r="D9749" t="s">
        <v>4119</v>
      </c>
      <c r="E9749" t="s">
        <v>5480</v>
      </c>
      <c r="F9749" t="s">
        <v>34233</v>
      </c>
      <c r="G9749" t="s">
        <v>34234</v>
      </c>
      <c r="H9749" t="s">
        <v>5474</v>
      </c>
      <c r="I9749" t="s">
        <v>34235</v>
      </c>
      <c r="J9749" t="s">
        <v>5484</v>
      </c>
      <c r="K9749" t="s">
        <v>34234</v>
      </c>
      <c r="L9749" t="s">
        <v>5471</v>
      </c>
      <c r="M9749" t="s">
        <v>5471</v>
      </c>
    </row>
    <row r="9750" spans="1:13" x14ac:dyDescent="0.3">
      <c r="A9750" t="s">
        <v>3383</v>
      </c>
      <c r="B9750" t="s">
        <v>5320</v>
      </c>
      <c r="C9750" t="s">
        <v>5470</v>
      </c>
      <c r="D9750" t="s">
        <v>4119</v>
      </c>
      <c r="E9750" t="s">
        <v>5532</v>
      </c>
      <c r="F9750" t="s">
        <v>34236</v>
      </c>
      <c r="G9750" t="s">
        <v>7799</v>
      </c>
      <c r="H9750" t="s">
        <v>5474</v>
      </c>
      <c r="I9750" t="s">
        <v>34237</v>
      </c>
      <c r="J9750" t="s">
        <v>5484</v>
      </c>
      <c r="K9750" t="s">
        <v>34227</v>
      </c>
      <c r="L9750" t="s">
        <v>5471</v>
      </c>
      <c r="M9750" t="s">
        <v>5471</v>
      </c>
    </row>
    <row r="9751" spans="1:13" x14ac:dyDescent="0.3">
      <c r="A9751" t="s">
        <v>3397</v>
      </c>
      <c r="B9751" t="s">
        <v>34170</v>
      </c>
      <c r="C9751" t="s">
        <v>5487</v>
      </c>
      <c r="D9751" t="s">
        <v>4119</v>
      </c>
      <c r="E9751" t="s">
        <v>5480</v>
      </c>
      <c r="F9751" t="s">
        <v>34238</v>
      </c>
      <c r="G9751" t="s">
        <v>34239</v>
      </c>
      <c r="H9751" t="s">
        <v>5474</v>
      </c>
      <c r="I9751" t="s">
        <v>34240</v>
      </c>
      <c r="J9751" t="s">
        <v>5484</v>
      </c>
      <c r="K9751" t="s">
        <v>34239</v>
      </c>
      <c r="L9751" t="s">
        <v>5471</v>
      </c>
      <c r="M9751" t="s">
        <v>5471</v>
      </c>
    </row>
    <row r="9752" spans="1:13" x14ac:dyDescent="0.3">
      <c r="A9752" t="s">
        <v>3383</v>
      </c>
      <c r="B9752" t="s">
        <v>5320</v>
      </c>
      <c r="C9752" t="s">
        <v>5470</v>
      </c>
      <c r="D9752" t="s">
        <v>4119</v>
      </c>
      <c r="E9752" t="s">
        <v>5532</v>
      </c>
      <c r="F9752" t="s">
        <v>34241</v>
      </c>
      <c r="G9752" t="s">
        <v>7799</v>
      </c>
      <c r="H9752" t="s">
        <v>5474</v>
      </c>
      <c r="I9752" t="s">
        <v>34242</v>
      </c>
      <c r="J9752" t="s">
        <v>5484</v>
      </c>
      <c r="K9752" t="s">
        <v>34227</v>
      </c>
      <c r="L9752" t="s">
        <v>5471</v>
      </c>
      <c r="M9752" t="s">
        <v>5471</v>
      </c>
    </row>
    <row r="9753" spans="1:13" x14ac:dyDescent="0.3">
      <c r="A9753" t="s">
        <v>3397</v>
      </c>
      <c r="B9753" t="s">
        <v>34170</v>
      </c>
      <c r="C9753" t="s">
        <v>5487</v>
      </c>
      <c r="D9753" t="s">
        <v>4119</v>
      </c>
      <c r="E9753" t="s">
        <v>5480</v>
      </c>
      <c r="F9753" t="s">
        <v>34243</v>
      </c>
      <c r="G9753" t="s">
        <v>34244</v>
      </c>
      <c r="H9753" t="s">
        <v>5474</v>
      </c>
      <c r="I9753" t="s">
        <v>34245</v>
      </c>
      <c r="J9753" t="s">
        <v>5484</v>
      </c>
      <c r="K9753" t="s">
        <v>34244</v>
      </c>
      <c r="L9753" t="s">
        <v>5471</v>
      </c>
      <c r="M9753" t="s">
        <v>5471</v>
      </c>
    </row>
    <row r="9754" spans="1:13" x14ac:dyDescent="0.3">
      <c r="A9754" t="s">
        <v>3397</v>
      </c>
      <c r="B9754" t="s">
        <v>3397</v>
      </c>
      <c r="C9754" t="s">
        <v>5487</v>
      </c>
      <c r="D9754" t="s">
        <v>4119</v>
      </c>
      <c r="E9754" t="s">
        <v>5480</v>
      </c>
      <c r="F9754" t="s">
        <v>34246</v>
      </c>
      <c r="G9754" t="s">
        <v>34247</v>
      </c>
      <c r="H9754" t="s">
        <v>5474</v>
      </c>
      <c r="I9754" t="s">
        <v>34248</v>
      </c>
      <c r="J9754" t="s">
        <v>5484</v>
      </c>
      <c r="K9754" t="s">
        <v>34247</v>
      </c>
      <c r="L9754" t="s">
        <v>5471</v>
      </c>
      <c r="M9754" t="s">
        <v>5471</v>
      </c>
    </row>
    <row r="9755" spans="1:13" x14ac:dyDescent="0.3">
      <c r="A9755" t="s">
        <v>3383</v>
      </c>
      <c r="B9755" t="s">
        <v>5320</v>
      </c>
      <c r="C9755" t="s">
        <v>5470</v>
      </c>
      <c r="D9755" t="s">
        <v>4119</v>
      </c>
      <c r="E9755" t="s">
        <v>5532</v>
      </c>
      <c r="F9755" t="s">
        <v>34249</v>
      </c>
      <c r="G9755" t="s">
        <v>7799</v>
      </c>
      <c r="H9755" t="s">
        <v>5474</v>
      </c>
      <c r="I9755" t="s">
        <v>34250</v>
      </c>
      <c r="J9755" t="s">
        <v>5484</v>
      </c>
      <c r="K9755" t="s">
        <v>34227</v>
      </c>
      <c r="L9755" t="s">
        <v>5471</v>
      </c>
      <c r="M9755" t="s">
        <v>5471</v>
      </c>
    </row>
    <row r="9756" spans="1:13" x14ac:dyDescent="0.3">
      <c r="A9756" t="s">
        <v>3397</v>
      </c>
      <c r="B9756" t="s">
        <v>34170</v>
      </c>
      <c r="C9756" t="s">
        <v>5487</v>
      </c>
      <c r="D9756" t="s">
        <v>4119</v>
      </c>
      <c r="E9756" t="s">
        <v>5480</v>
      </c>
      <c r="F9756" t="s">
        <v>34251</v>
      </c>
      <c r="G9756" t="s">
        <v>34252</v>
      </c>
      <c r="H9756" t="s">
        <v>5474</v>
      </c>
      <c r="I9756" t="s">
        <v>34253</v>
      </c>
      <c r="J9756" t="s">
        <v>5484</v>
      </c>
      <c r="K9756" t="s">
        <v>34252</v>
      </c>
      <c r="L9756" t="s">
        <v>5471</v>
      </c>
      <c r="M9756" t="s">
        <v>5471</v>
      </c>
    </row>
    <row r="9757" spans="1:13" x14ac:dyDescent="0.3">
      <c r="A9757" t="s">
        <v>3397</v>
      </c>
      <c r="B9757" t="s">
        <v>3397</v>
      </c>
      <c r="C9757" t="s">
        <v>5487</v>
      </c>
      <c r="D9757" t="s">
        <v>4119</v>
      </c>
      <c r="E9757" t="s">
        <v>5480</v>
      </c>
      <c r="F9757" t="s">
        <v>34254</v>
      </c>
      <c r="G9757" t="s">
        <v>34255</v>
      </c>
      <c r="H9757" t="s">
        <v>5474</v>
      </c>
      <c r="I9757" t="s">
        <v>34256</v>
      </c>
      <c r="J9757" t="s">
        <v>5484</v>
      </c>
      <c r="K9757" t="s">
        <v>34255</v>
      </c>
      <c r="L9757" t="s">
        <v>5471</v>
      </c>
      <c r="M9757" t="s">
        <v>5471</v>
      </c>
    </row>
    <row r="9758" spans="1:13" x14ac:dyDescent="0.3">
      <c r="A9758" t="s">
        <v>3383</v>
      </c>
      <c r="B9758" t="s">
        <v>5320</v>
      </c>
      <c r="C9758" t="s">
        <v>5470</v>
      </c>
      <c r="D9758" t="s">
        <v>4119</v>
      </c>
      <c r="E9758" t="s">
        <v>5532</v>
      </c>
      <c r="F9758" t="s">
        <v>34257</v>
      </c>
      <c r="G9758" t="s">
        <v>7799</v>
      </c>
      <c r="H9758" t="s">
        <v>5474</v>
      </c>
      <c r="I9758" t="s">
        <v>34258</v>
      </c>
      <c r="J9758" t="s">
        <v>5484</v>
      </c>
      <c r="K9758" t="s">
        <v>34227</v>
      </c>
      <c r="L9758" t="s">
        <v>5471</v>
      </c>
      <c r="M9758" t="s">
        <v>5471</v>
      </c>
    </row>
    <row r="9759" spans="1:13" x14ac:dyDescent="0.3">
      <c r="A9759" t="s">
        <v>3397</v>
      </c>
      <c r="B9759" t="s">
        <v>3397</v>
      </c>
      <c r="C9759" t="s">
        <v>5487</v>
      </c>
      <c r="D9759" t="s">
        <v>4119</v>
      </c>
      <c r="E9759" t="s">
        <v>5480</v>
      </c>
      <c r="F9759" t="s">
        <v>34259</v>
      </c>
      <c r="G9759" t="s">
        <v>34260</v>
      </c>
      <c r="H9759" t="s">
        <v>5474</v>
      </c>
      <c r="I9759" t="s">
        <v>34261</v>
      </c>
      <c r="J9759" t="s">
        <v>5484</v>
      </c>
      <c r="K9759" t="s">
        <v>34260</v>
      </c>
      <c r="L9759" t="s">
        <v>5471</v>
      </c>
      <c r="M9759" t="s">
        <v>5471</v>
      </c>
    </row>
    <row r="9760" spans="1:13" x14ac:dyDescent="0.3">
      <c r="A9760" t="s">
        <v>3397</v>
      </c>
      <c r="B9760" t="s">
        <v>34170</v>
      </c>
      <c r="C9760" t="s">
        <v>5487</v>
      </c>
      <c r="D9760" t="s">
        <v>4119</v>
      </c>
      <c r="E9760" t="s">
        <v>5480</v>
      </c>
      <c r="F9760" t="s">
        <v>34262</v>
      </c>
      <c r="G9760" t="s">
        <v>34263</v>
      </c>
      <c r="H9760" t="s">
        <v>5474</v>
      </c>
      <c r="I9760" t="s">
        <v>34264</v>
      </c>
      <c r="J9760" t="s">
        <v>5484</v>
      </c>
      <c r="K9760" t="s">
        <v>34263</v>
      </c>
      <c r="L9760" t="s">
        <v>5471</v>
      </c>
      <c r="M9760" t="s">
        <v>5471</v>
      </c>
    </row>
    <row r="9761" spans="1:13" x14ac:dyDescent="0.3">
      <c r="A9761" t="s">
        <v>3380</v>
      </c>
      <c r="B9761" t="s">
        <v>10051</v>
      </c>
      <c r="C9761" t="s">
        <v>6342</v>
      </c>
      <c r="D9761" t="s">
        <v>4119</v>
      </c>
      <c r="E9761" t="s">
        <v>5480</v>
      </c>
      <c r="F9761" t="s">
        <v>34265</v>
      </c>
      <c r="G9761" t="s">
        <v>16085</v>
      </c>
      <c r="H9761" t="s">
        <v>5474</v>
      </c>
      <c r="I9761" t="s">
        <v>34266</v>
      </c>
      <c r="J9761" t="s">
        <v>5476</v>
      </c>
      <c r="K9761" t="s">
        <v>34267</v>
      </c>
      <c r="L9761" t="s">
        <v>5471</v>
      </c>
      <c r="M9761" t="s">
        <v>5471</v>
      </c>
    </row>
    <row r="9762" spans="1:13" x14ac:dyDescent="0.3">
      <c r="A9762" t="s">
        <v>3383</v>
      </c>
      <c r="B9762" t="s">
        <v>5586</v>
      </c>
      <c r="C9762" t="s">
        <v>5487</v>
      </c>
      <c r="D9762" t="s">
        <v>30466</v>
      </c>
      <c r="E9762" t="s">
        <v>5532</v>
      </c>
      <c r="F9762" t="s">
        <v>34128</v>
      </c>
      <c r="G9762" t="s">
        <v>29388</v>
      </c>
      <c r="H9762" t="s">
        <v>5474</v>
      </c>
      <c r="I9762" t="s">
        <v>34268</v>
      </c>
      <c r="J9762" t="s">
        <v>5484</v>
      </c>
      <c r="K9762" t="s">
        <v>34127</v>
      </c>
      <c r="L9762" t="s">
        <v>5471</v>
      </c>
      <c r="M9762" t="s">
        <v>5471</v>
      </c>
    </row>
    <row r="9763" spans="1:13" x14ac:dyDescent="0.3">
      <c r="A9763" t="s">
        <v>3397</v>
      </c>
      <c r="B9763" t="s">
        <v>3397</v>
      </c>
      <c r="C9763" t="s">
        <v>5487</v>
      </c>
      <c r="D9763" t="s">
        <v>4119</v>
      </c>
      <c r="E9763" t="s">
        <v>5480</v>
      </c>
      <c r="F9763" t="s">
        <v>34269</v>
      </c>
      <c r="G9763" t="s">
        <v>34270</v>
      </c>
      <c r="H9763" t="s">
        <v>5474</v>
      </c>
      <c r="I9763" t="s">
        <v>34271</v>
      </c>
      <c r="J9763" t="s">
        <v>5484</v>
      </c>
      <c r="K9763" t="s">
        <v>34270</v>
      </c>
      <c r="L9763" t="s">
        <v>5471</v>
      </c>
      <c r="M9763" t="s">
        <v>5471</v>
      </c>
    </row>
    <row r="9764" spans="1:13" x14ac:dyDescent="0.3">
      <c r="A9764" t="s">
        <v>3383</v>
      </c>
      <c r="B9764" t="s">
        <v>5586</v>
      </c>
      <c r="C9764" t="s">
        <v>5487</v>
      </c>
      <c r="D9764" t="s">
        <v>30466</v>
      </c>
      <c r="E9764" t="s">
        <v>5532</v>
      </c>
      <c r="F9764" t="s">
        <v>34128</v>
      </c>
      <c r="G9764" t="s">
        <v>29379</v>
      </c>
      <c r="H9764" t="s">
        <v>5474</v>
      </c>
      <c r="I9764" t="s">
        <v>34272</v>
      </c>
      <c r="J9764" t="s">
        <v>5484</v>
      </c>
      <c r="K9764" t="s">
        <v>34273</v>
      </c>
      <c r="L9764" t="s">
        <v>5471</v>
      </c>
      <c r="M9764" t="s">
        <v>5471</v>
      </c>
    </row>
    <row r="9765" spans="1:13" x14ac:dyDescent="0.3">
      <c r="A9765" t="s">
        <v>3397</v>
      </c>
      <c r="B9765" t="s">
        <v>3397</v>
      </c>
      <c r="C9765" t="s">
        <v>5487</v>
      </c>
      <c r="D9765" t="s">
        <v>4119</v>
      </c>
      <c r="E9765" t="s">
        <v>5480</v>
      </c>
      <c r="F9765" t="s">
        <v>34274</v>
      </c>
      <c r="G9765" t="s">
        <v>34275</v>
      </c>
      <c r="H9765" t="s">
        <v>5474</v>
      </c>
      <c r="I9765" t="s">
        <v>34276</v>
      </c>
      <c r="J9765" t="s">
        <v>5484</v>
      </c>
      <c r="K9765" t="s">
        <v>34275</v>
      </c>
      <c r="L9765" t="s">
        <v>5471</v>
      </c>
      <c r="M9765" t="s">
        <v>5471</v>
      </c>
    </row>
    <row r="9766" spans="1:13" x14ac:dyDescent="0.3">
      <c r="A9766" t="s">
        <v>3383</v>
      </c>
      <c r="B9766" t="s">
        <v>5586</v>
      </c>
      <c r="C9766" t="s">
        <v>5487</v>
      </c>
      <c r="D9766" t="s">
        <v>30466</v>
      </c>
      <c r="E9766" t="s">
        <v>5532</v>
      </c>
      <c r="F9766" t="s">
        <v>34277</v>
      </c>
      <c r="G9766" t="s">
        <v>34278</v>
      </c>
      <c r="H9766" t="s">
        <v>5474</v>
      </c>
      <c r="I9766" t="s">
        <v>34279</v>
      </c>
      <c r="J9766" t="s">
        <v>5484</v>
      </c>
      <c r="K9766" t="s">
        <v>34280</v>
      </c>
      <c r="L9766" t="s">
        <v>5471</v>
      </c>
      <c r="M9766" t="s">
        <v>5471</v>
      </c>
    </row>
    <row r="9767" spans="1:13" x14ac:dyDescent="0.3">
      <c r="A9767" t="s">
        <v>3397</v>
      </c>
      <c r="B9767" t="s">
        <v>3397</v>
      </c>
      <c r="C9767" t="s">
        <v>5487</v>
      </c>
      <c r="D9767" t="s">
        <v>4119</v>
      </c>
      <c r="E9767" t="s">
        <v>5480</v>
      </c>
      <c r="F9767" t="s">
        <v>34281</v>
      </c>
      <c r="G9767" t="s">
        <v>34208</v>
      </c>
      <c r="H9767" t="s">
        <v>5474</v>
      </c>
      <c r="I9767" t="s">
        <v>34282</v>
      </c>
      <c r="J9767" t="s">
        <v>5484</v>
      </c>
      <c r="K9767" t="s">
        <v>34208</v>
      </c>
      <c r="L9767" t="s">
        <v>5471</v>
      </c>
      <c r="M9767" t="s">
        <v>5471</v>
      </c>
    </row>
    <row r="9768" spans="1:13" x14ac:dyDescent="0.3">
      <c r="A9768" t="s">
        <v>3383</v>
      </c>
      <c r="B9768" t="s">
        <v>6063</v>
      </c>
      <c r="C9768" t="s">
        <v>5470</v>
      </c>
      <c r="D9768" t="s">
        <v>4119</v>
      </c>
      <c r="E9768" t="s">
        <v>5756</v>
      </c>
      <c r="F9768" t="s">
        <v>34283</v>
      </c>
      <c r="G9768" t="s">
        <v>6298</v>
      </c>
      <c r="H9768" t="s">
        <v>5474</v>
      </c>
      <c r="I9768" t="s">
        <v>34284</v>
      </c>
      <c r="J9768" t="s">
        <v>5484</v>
      </c>
      <c r="K9768" t="s">
        <v>34285</v>
      </c>
      <c r="L9768" t="s">
        <v>5471</v>
      </c>
      <c r="M9768" t="s">
        <v>5471</v>
      </c>
    </row>
    <row r="9769" spans="1:13" x14ac:dyDescent="0.3">
      <c r="A9769" t="s">
        <v>3397</v>
      </c>
      <c r="B9769" t="s">
        <v>3397</v>
      </c>
      <c r="C9769" t="s">
        <v>5487</v>
      </c>
      <c r="D9769" t="s">
        <v>4119</v>
      </c>
      <c r="E9769" t="s">
        <v>5480</v>
      </c>
      <c r="F9769" t="s">
        <v>34286</v>
      </c>
      <c r="G9769" t="s">
        <v>34218</v>
      </c>
      <c r="H9769" t="s">
        <v>5474</v>
      </c>
      <c r="I9769" t="s">
        <v>34287</v>
      </c>
      <c r="J9769" t="s">
        <v>5484</v>
      </c>
      <c r="K9769" t="s">
        <v>34218</v>
      </c>
      <c r="L9769" t="s">
        <v>5471</v>
      </c>
      <c r="M9769" t="s">
        <v>5471</v>
      </c>
    </row>
    <row r="9770" spans="1:13" x14ac:dyDescent="0.3">
      <c r="A9770" t="s">
        <v>3383</v>
      </c>
      <c r="B9770" t="s">
        <v>6063</v>
      </c>
      <c r="C9770" t="s">
        <v>5470</v>
      </c>
      <c r="D9770" t="s">
        <v>4119</v>
      </c>
      <c r="E9770" t="s">
        <v>5756</v>
      </c>
      <c r="F9770" t="s">
        <v>34288</v>
      </c>
      <c r="G9770" t="s">
        <v>6298</v>
      </c>
      <c r="H9770" t="s">
        <v>5474</v>
      </c>
      <c r="I9770" t="s">
        <v>34289</v>
      </c>
      <c r="J9770" t="s">
        <v>5484</v>
      </c>
      <c r="K9770" t="s">
        <v>34290</v>
      </c>
      <c r="L9770" t="s">
        <v>5471</v>
      </c>
      <c r="M9770" t="s">
        <v>5471</v>
      </c>
    </row>
    <row r="9771" spans="1:13" x14ac:dyDescent="0.3">
      <c r="A9771" t="s">
        <v>3383</v>
      </c>
      <c r="B9771" t="s">
        <v>6063</v>
      </c>
      <c r="C9771" t="s">
        <v>5470</v>
      </c>
      <c r="D9771" t="s">
        <v>4119</v>
      </c>
      <c r="E9771" t="s">
        <v>5756</v>
      </c>
      <c r="F9771" t="s">
        <v>34291</v>
      </c>
      <c r="G9771" t="s">
        <v>6298</v>
      </c>
      <c r="H9771" t="s">
        <v>5474</v>
      </c>
      <c r="I9771" t="s">
        <v>34292</v>
      </c>
      <c r="J9771" t="s">
        <v>5484</v>
      </c>
      <c r="K9771" t="s">
        <v>34290</v>
      </c>
      <c r="L9771" t="s">
        <v>5471</v>
      </c>
      <c r="M9771" t="s">
        <v>5471</v>
      </c>
    </row>
    <row r="9772" spans="1:13" x14ac:dyDescent="0.3">
      <c r="A9772" t="s">
        <v>3383</v>
      </c>
      <c r="B9772" t="s">
        <v>7444</v>
      </c>
      <c r="C9772" t="s">
        <v>5470</v>
      </c>
      <c r="D9772" t="s">
        <v>4119</v>
      </c>
      <c r="E9772" t="s">
        <v>5532</v>
      </c>
      <c r="F9772" t="s">
        <v>34293</v>
      </c>
      <c r="G9772" t="s">
        <v>34294</v>
      </c>
      <c r="H9772" t="s">
        <v>5474</v>
      </c>
      <c r="I9772" t="s">
        <v>34295</v>
      </c>
      <c r="J9772" t="s">
        <v>5484</v>
      </c>
      <c r="K9772" t="s">
        <v>34296</v>
      </c>
      <c r="L9772" t="s">
        <v>5471</v>
      </c>
      <c r="M9772" t="s">
        <v>5471</v>
      </c>
    </row>
    <row r="9773" spans="1:13" x14ac:dyDescent="0.3">
      <c r="A9773" t="s">
        <v>3383</v>
      </c>
      <c r="B9773" t="s">
        <v>5294</v>
      </c>
      <c r="C9773" t="s">
        <v>5470</v>
      </c>
      <c r="D9773" t="s">
        <v>4119</v>
      </c>
      <c r="E9773" t="s">
        <v>5756</v>
      </c>
      <c r="F9773" t="s">
        <v>34297</v>
      </c>
      <c r="G9773" t="s">
        <v>6201</v>
      </c>
      <c r="H9773" t="s">
        <v>5474</v>
      </c>
      <c r="I9773" t="s">
        <v>34298</v>
      </c>
      <c r="J9773" t="s">
        <v>5484</v>
      </c>
      <c r="K9773" t="s">
        <v>34299</v>
      </c>
      <c r="L9773" t="s">
        <v>5471</v>
      </c>
      <c r="M9773" t="s">
        <v>5471</v>
      </c>
    </row>
    <row r="9774" spans="1:13" x14ac:dyDescent="0.3">
      <c r="A9774" t="s">
        <v>3383</v>
      </c>
      <c r="B9774" t="s">
        <v>5986</v>
      </c>
      <c r="C9774" t="s">
        <v>5487</v>
      </c>
      <c r="D9774" t="s">
        <v>33615</v>
      </c>
      <c r="E9774" t="s">
        <v>5532</v>
      </c>
      <c r="F9774" t="s">
        <v>34300</v>
      </c>
      <c r="G9774" t="s">
        <v>12110</v>
      </c>
      <c r="H9774" t="s">
        <v>5474</v>
      </c>
      <c r="I9774" t="s">
        <v>34301</v>
      </c>
      <c r="J9774" t="s">
        <v>5484</v>
      </c>
      <c r="K9774" t="s">
        <v>34302</v>
      </c>
      <c r="L9774" t="s">
        <v>5471</v>
      </c>
      <c r="M9774" t="s">
        <v>5471</v>
      </c>
    </row>
    <row r="9775" spans="1:13" x14ac:dyDescent="0.3">
      <c r="A9775" t="s">
        <v>3388</v>
      </c>
      <c r="B9775" t="s">
        <v>10857</v>
      </c>
      <c r="C9775" t="s">
        <v>5470</v>
      </c>
      <c r="D9775" t="s">
        <v>4119</v>
      </c>
      <c r="E9775" t="s">
        <v>5756</v>
      </c>
      <c r="F9775" t="s">
        <v>34303</v>
      </c>
      <c r="G9775" t="s">
        <v>10859</v>
      </c>
      <c r="H9775" t="s">
        <v>5474</v>
      </c>
      <c r="I9775" t="s">
        <v>34304</v>
      </c>
      <c r="J9775" t="s">
        <v>5476</v>
      </c>
      <c r="K9775" t="s">
        <v>34305</v>
      </c>
      <c r="L9775" t="s">
        <v>5471</v>
      </c>
      <c r="M9775" t="s">
        <v>5471</v>
      </c>
    </row>
    <row r="9776" spans="1:13" x14ac:dyDescent="0.3">
      <c r="A9776" t="s">
        <v>3383</v>
      </c>
      <c r="B9776" t="s">
        <v>34306</v>
      </c>
      <c r="C9776" t="s">
        <v>5470</v>
      </c>
      <c r="D9776" t="s">
        <v>9833</v>
      </c>
      <c r="E9776" t="s">
        <v>5532</v>
      </c>
      <c r="F9776" t="s">
        <v>34307</v>
      </c>
      <c r="G9776" t="s">
        <v>8941</v>
      </c>
      <c r="H9776" t="s">
        <v>5474</v>
      </c>
      <c r="I9776" t="s">
        <v>34308</v>
      </c>
      <c r="J9776" t="s">
        <v>5484</v>
      </c>
      <c r="K9776" t="s">
        <v>34309</v>
      </c>
      <c r="L9776" t="s">
        <v>5471</v>
      </c>
      <c r="M9776" t="s">
        <v>5471</v>
      </c>
    </row>
    <row r="9777" spans="1:13" x14ac:dyDescent="0.3">
      <c r="A9777" t="s">
        <v>3383</v>
      </c>
      <c r="B9777" t="s">
        <v>34310</v>
      </c>
      <c r="C9777" t="s">
        <v>5470</v>
      </c>
      <c r="D9777" t="s">
        <v>9833</v>
      </c>
      <c r="E9777" t="s">
        <v>5532</v>
      </c>
      <c r="F9777" t="s">
        <v>34311</v>
      </c>
      <c r="G9777" t="s">
        <v>6586</v>
      </c>
      <c r="H9777" t="s">
        <v>5474</v>
      </c>
      <c r="I9777" t="s">
        <v>34312</v>
      </c>
      <c r="J9777" t="s">
        <v>5484</v>
      </c>
      <c r="K9777" t="s">
        <v>34313</v>
      </c>
      <c r="L9777" t="s">
        <v>5471</v>
      </c>
      <c r="M9777" t="s">
        <v>5471</v>
      </c>
    </row>
    <row r="9778" spans="1:13" x14ac:dyDescent="0.3">
      <c r="A9778" t="s">
        <v>3383</v>
      </c>
      <c r="B9778" t="s">
        <v>7820</v>
      </c>
      <c r="C9778" t="s">
        <v>5487</v>
      </c>
      <c r="D9778" t="s">
        <v>30466</v>
      </c>
      <c r="E9778" t="s">
        <v>5532</v>
      </c>
      <c r="F9778" t="s">
        <v>34314</v>
      </c>
      <c r="G9778" t="s">
        <v>11922</v>
      </c>
      <c r="H9778" t="s">
        <v>5474</v>
      </c>
      <c r="I9778" t="s">
        <v>34315</v>
      </c>
      <c r="J9778" t="s">
        <v>5484</v>
      </c>
      <c r="K9778" t="s">
        <v>34316</v>
      </c>
      <c r="L9778" t="s">
        <v>5471</v>
      </c>
      <c r="M9778" t="s">
        <v>5471</v>
      </c>
    </row>
    <row r="9779" spans="1:13" x14ac:dyDescent="0.3">
      <c r="A9779" t="s">
        <v>3388</v>
      </c>
      <c r="B9779" t="s">
        <v>10870</v>
      </c>
      <c r="C9779" t="s">
        <v>5470</v>
      </c>
      <c r="D9779" t="s">
        <v>4119</v>
      </c>
      <c r="E9779" t="s">
        <v>5532</v>
      </c>
      <c r="F9779" t="s">
        <v>34317</v>
      </c>
      <c r="G9779" t="s">
        <v>10872</v>
      </c>
      <c r="H9779" t="s">
        <v>5474</v>
      </c>
      <c r="I9779" t="s">
        <v>34318</v>
      </c>
      <c r="J9779" t="s">
        <v>5484</v>
      </c>
      <c r="K9779" t="s">
        <v>34319</v>
      </c>
      <c r="L9779" t="s">
        <v>5471</v>
      </c>
      <c r="M9779" t="s">
        <v>5471</v>
      </c>
    </row>
    <row r="9780" spans="1:13" x14ac:dyDescent="0.3">
      <c r="A9780" t="s">
        <v>3397</v>
      </c>
      <c r="B9780" t="s">
        <v>34170</v>
      </c>
      <c r="C9780" t="s">
        <v>5487</v>
      </c>
      <c r="D9780" t="s">
        <v>4119</v>
      </c>
      <c r="E9780" t="s">
        <v>5480</v>
      </c>
      <c r="F9780" t="s">
        <v>34320</v>
      </c>
      <c r="G9780" t="s">
        <v>34321</v>
      </c>
      <c r="H9780" t="s">
        <v>5474</v>
      </c>
      <c r="I9780" t="s">
        <v>34322</v>
      </c>
      <c r="J9780" t="s">
        <v>5484</v>
      </c>
      <c r="K9780" t="s">
        <v>34321</v>
      </c>
      <c r="L9780" t="s">
        <v>5471</v>
      </c>
      <c r="M9780" t="s">
        <v>5471</v>
      </c>
    </row>
    <row r="9781" spans="1:13" x14ac:dyDescent="0.3">
      <c r="A9781" t="s">
        <v>3380</v>
      </c>
      <c r="B9781" t="s">
        <v>9713</v>
      </c>
      <c r="C9781" t="s">
        <v>6342</v>
      </c>
      <c r="D9781" t="s">
        <v>4119</v>
      </c>
      <c r="E9781" t="s">
        <v>9935</v>
      </c>
      <c r="F9781" t="s">
        <v>34323</v>
      </c>
      <c r="G9781" t="s">
        <v>28488</v>
      </c>
      <c r="H9781" t="s">
        <v>5474</v>
      </c>
      <c r="I9781" t="s">
        <v>34324</v>
      </c>
      <c r="J9781" t="s">
        <v>5484</v>
      </c>
      <c r="K9781" t="s">
        <v>34325</v>
      </c>
      <c r="L9781" t="s">
        <v>5471</v>
      </c>
      <c r="M9781" t="s">
        <v>5471</v>
      </c>
    </row>
    <row r="9782" spans="1:13" x14ac:dyDescent="0.3">
      <c r="A9782" t="s">
        <v>3383</v>
      </c>
      <c r="B9782" t="s">
        <v>7820</v>
      </c>
      <c r="C9782" t="s">
        <v>5487</v>
      </c>
      <c r="D9782" t="s">
        <v>30466</v>
      </c>
      <c r="E9782" t="s">
        <v>5532</v>
      </c>
      <c r="F9782" t="s">
        <v>34326</v>
      </c>
      <c r="G9782" t="s">
        <v>11922</v>
      </c>
      <c r="H9782" t="s">
        <v>5474</v>
      </c>
      <c r="I9782" t="s">
        <v>34327</v>
      </c>
      <c r="J9782" t="s">
        <v>5484</v>
      </c>
      <c r="K9782" t="s">
        <v>34328</v>
      </c>
      <c r="L9782" t="s">
        <v>5471</v>
      </c>
      <c r="M9782" t="s">
        <v>5471</v>
      </c>
    </row>
    <row r="9783" spans="1:13" x14ac:dyDescent="0.3">
      <c r="A9783" t="s">
        <v>3397</v>
      </c>
      <c r="B9783" t="s">
        <v>34170</v>
      </c>
      <c r="C9783" t="s">
        <v>5487</v>
      </c>
      <c r="D9783" t="s">
        <v>4119</v>
      </c>
      <c r="E9783" t="s">
        <v>5480</v>
      </c>
      <c r="F9783" t="s">
        <v>34329</v>
      </c>
      <c r="G9783" t="s">
        <v>34330</v>
      </c>
      <c r="H9783" t="s">
        <v>5474</v>
      </c>
      <c r="I9783" t="s">
        <v>34331</v>
      </c>
      <c r="J9783" t="s">
        <v>5484</v>
      </c>
      <c r="K9783" t="s">
        <v>34330</v>
      </c>
      <c r="L9783" t="s">
        <v>5471</v>
      </c>
      <c r="M9783" t="s">
        <v>5471</v>
      </c>
    </row>
    <row r="9784" spans="1:13" x14ac:dyDescent="0.3">
      <c r="A9784" t="s">
        <v>3388</v>
      </c>
      <c r="B9784" t="s">
        <v>10426</v>
      </c>
      <c r="C9784" t="s">
        <v>5470</v>
      </c>
      <c r="D9784" t="s">
        <v>9833</v>
      </c>
      <c r="E9784" t="s">
        <v>5532</v>
      </c>
      <c r="F9784" t="s">
        <v>34332</v>
      </c>
      <c r="G9784" t="s">
        <v>31037</v>
      </c>
      <c r="H9784" t="s">
        <v>5474</v>
      </c>
      <c r="I9784" t="s">
        <v>34333</v>
      </c>
      <c r="J9784" t="s">
        <v>5484</v>
      </c>
      <c r="K9784" t="s">
        <v>34334</v>
      </c>
      <c r="L9784" t="s">
        <v>5471</v>
      </c>
      <c r="M9784" t="s">
        <v>5471</v>
      </c>
    </row>
    <row r="9785" spans="1:13" x14ac:dyDescent="0.3">
      <c r="A9785" t="s">
        <v>3383</v>
      </c>
      <c r="B9785" t="s">
        <v>7465</v>
      </c>
      <c r="C9785" t="s">
        <v>5470</v>
      </c>
      <c r="D9785" t="s">
        <v>4119</v>
      </c>
      <c r="E9785" t="s">
        <v>5532</v>
      </c>
      <c r="F9785" t="s">
        <v>34335</v>
      </c>
      <c r="G9785" t="s">
        <v>7470</v>
      </c>
      <c r="H9785" t="s">
        <v>5474</v>
      </c>
      <c r="I9785" t="s">
        <v>34336</v>
      </c>
      <c r="J9785" t="s">
        <v>5484</v>
      </c>
      <c r="K9785" t="s">
        <v>34337</v>
      </c>
      <c r="L9785" t="s">
        <v>5471</v>
      </c>
      <c r="M9785" t="s">
        <v>5471</v>
      </c>
    </row>
    <row r="9786" spans="1:13" x14ac:dyDescent="0.3">
      <c r="A9786" t="s">
        <v>3388</v>
      </c>
      <c r="B9786" t="s">
        <v>10870</v>
      </c>
      <c r="C9786" t="s">
        <v>5470</v>
      </c>
      <c r="D9786" t="s">
        <v>4119</v>
      </c>
      <c r="E9786" t="s">
        <v>5532</v>
      </c>
      <c r="F9786" t="s">
        <v>34338</v>
      </c>
      <c r="G9786" t="s">
        <v>10872</v>
      </c>
      <c r="H9786" t="s">
        <v>5474</v>
      </c>
      <c r="I9786" t="s">
        <v>34339</v>
      </c>
      <c r="J9786" t="s">
        <v>5484</v>
      </c>
      <c r="K9786" t="s">
        <v>34340</v>
      </c>
      <c r="L9786" t="s">
        <v>5471</v>
      </c>
      <c r="M9786" t="s">
        <v>5471</v>
      </c>
    </row>
    <row r="9787" spans="1:13" x14ac:dyDescent="0.3">
      <c r="A9787" t="s">
        <v>3383</v>
      </c>
      <c r="B9787" t="s">
        <v>7465</v>
      </c>
      <c r="C9787" t="s">
        <v>5470</v>
      </c>
      <c r="D9787" t="s">
        <v>4119</v>
      </c>
      <c r="E9787" t="s">
        <v>5532</v>
      </c>
      <c r="F9787" t="s">
        <v>34341</v>
      </c>
      <c r="G9787" t="s">
        <v>7470</v>
      </c>
      <c r="H9787" t="s">
        <v>5474</v>
      </c>
      <c r="I9787" t="s">
        <v>34342</v>
      </c>
      <c r="J9787" t="s">
        <v>5484</v>
      </c>
      <c r="K9787" t="s">
        <v>34337</v>
      </c>
      <c r="L9787" t="s">
        <v>5471</v>
      </c>
      <c r="M9787" t="s">
        <v>5471</v>
      </c>
    </row>
    <row r="9788" spans="1:13" x14ac:dyDescent="0.3">
      <c r="A9788" t="s">
        <v>3380</v>
      </c>
      <c r="B9788" t="s">
        <v>5276</v>
      </c>
      <c r="C9788" t="s">
        <v>6342</v>
      </c>
      <c r="D9788" t="s">
        <v>4119</v>
      </c>
      <c r="E9788" t="s">
        <v>5532</v>
      </c>
      <c r="F9788" t="s">
        <v>34343</v>
      </c>
      <c r="G9788" t="s">
        <v>9699</v>
      </c>
      <c r="H9788" t="s">
        <v>5474</v>
      </c>
      <c r="I9788" t="s">
        <v>34344</v>
      </c>
      <c r="J9788" t="s">
        <v>5476</v>
      </c>
      <c r="K9788" t="s">
        <v>16427</v>
      </c>
      <c r="L9788" t="s">
        <v>5471</v>
      </c>
      <c r="M9788" t="s">
        <v>5471</v>
      </c>
    </row>
    <row r="9789" spans="1:13" x14ac:dyDescent="0.3">
      <c r="A9789" t="s">
        <v>3383</v>
      </c>
      <c r="B9789" t="s">
        <v>7465</v>
      </c>
      <c r="C9789" t="s">
        <v>5470</v>
      </c>
      <c r="D9789" t="s">
        <v>4119</v>
      </c>
      <c r="E9789" t="s">
        <v>5532</v>
      </c>
      <c r="F9789" t="s">
        <v>34345</v>
      </c>
      <c r="G9789" t="s">
        <v>7470</v>
      </c>
      <c r="H9789" t="s">
        <v>5474</v>
      </c>
      <c r="I9789" t="s">
        <v>34346</v>
      </c>
      <c r="J9789" t="s">
        <v>5484</v>
      </c>
      <c r="K9789" t="s">
        <v>34337</v>
      </c>
      <c r="L9789" t="s">
        <v>5471</v>
      </c>
      <c r="M9789" t="s">
        <v>5471</v>
      </c>
    </row>
    <row r="9790" spans="1:13" x14ac:dyDescent="0.3">
      <c r="A9790" t="s">
        <v>3383</v>
      </c>
      <c r="B9790" t="s">
        <v>7440</v>
      </c>
      <c r="C9790" t="s">
        <v>5470</v>
      </c>
      <c r="D9790" t="s">
        <v>4119</v>
      </c>
      <c r="E9790" t="s">
        <v>5532</v>
      </c>
      <c r="F9790" t="s">
        <v>34347</v>
      </c>
      <c r="G9790" t="s">
        <v>34348</v>
      </c>
      <c r="H9790" t="s">
        <v>5474</v>
      </c>
      <c r="I9790" t="s">
        <v>34349</v>
      </c>
      <c r="J9790" t="s">
        <v>5484</v>
      </c>
      <c r="K9790" t="s">
        <v>34350</v>
      </c>
      <c r="L9790" t="s">
        <v>5471</v>
      </c>
      <c r="M9790" t="s">
        <v>5471</v>
      </c>
    </row>
    <row r="9791" spans="1:13" x14ac:dyDescent="0.3">
      <c r="A9791" t="s">
        <v>3388</v>
      </c>
      <c r="B9791" t="s">
        <v>17321</v>
      </c>
      <c r="C9791" t="s">
        <v>5470</v>
      </c>
      <c r="D9791" t="s">
        <v>4119</v>
      </c>
      <c r="E9791" t="s">
        <v>5617</v>
      </c>
      <c r="F9791" t="s">
        <v>34351</v>
      </c>
      <c r="G9791" t="s">
        <v>34352</v>
      </c>
      <c r="H9791" t="s">
        <v>5474</v>
      </c>
      <c r="I9791" t="s">
        <v>34353</v>
      </c>
      <c r="J9791" t="s">
        <v>5484</v>
      </c>
      <c r="K9791" t="s">
        <v>34354</v>
      </c>
      <c r="L9791" t="s">
        <v>5471</v>
      </c>
      <c r="M9791" t="s">
        <v>5471</v>
      </c>
    </row>
    <row r="9792" spans="1:13" x14ac:dyDescent="0.3">
      <c r="A9792" t="s">
        <v>3380</v>
      </c>
      <c r="B9792" t="s">
        <v>10051</v>
      </c>
      <c r="C9792" t="s">
        <v>6342</v>
      </c>
      <c r="D9792" t="s">
        <v>4119</v>
      </c>
      <c r="E9792" t="s">
        <v>9935</v>
      </c>
      <c r="F9792" t="s">
        <v>34355</v>
      </c>
      <c r="G9792" t="s">
        <v>34356</v>
      </c>
      <c r="H9792" t="s">
        <v>5474</v>
      </c>
      <c r="I9792" t="s">
        <v>34357</v>
      </c>
      <c r="J9792" t="s">
        <v>5484</v>
      </c>
      <c r="K9792" t="s">
        <v>34325</v>
      </c>
      <c r="L9792" t="s">
        <v>5471</v>
      </c>
      <c r="M9792" t="s">
        <v>5471</v>
      </c>
    </row>
    <row r="9793" spans="1:13" x14ac:dyDescent="0.3">
      <c r="A9793" t="s">
        <v>3383</v>
      </c>
      <c r="B9793" t="s">
        <v>34358</v>
      </c>
      <c r="C9793" t="s">
        <v>5470</v>
      </c>
      <c r="D9793" t="s">
        <v>9833</v>
      </c>
      <c r="E9793" t="s">
        <v>5756</v>
      </c>
      <c r="F9793" t="s">
        <v>34359</v>
      </c>
      <c r="G9793" t="s">
        <v>12401</v>
      </c>
      <c r="H9793" t="s">
        <v>5474</v>
      </c>
      <c r="I9793" t="s">
        <v>34360</v>
      </c>
      <c r="J9793" t="s">
        <v>5484</v>
      </c>
      <c r="K9793" t="s">
        <v>34361</v>
      </c>
      <c r="L9793" t="s">
        <v>5471</v>
      </c>
      <c r="M9793" t="s">
        <v>5471</v>
      </c>
    </row>
    <row r="9794" spans="1:13" x14ac:dyDescent="0.3">
      <c r="A9794" t="s">
        <v>3388</v>
      </c>
      <c r="B9794" t="s">
        <v>8799</v>
      </c>
      <c r="C9794" t="s">
        <v>5470</v>
      </c>
      <c r="D9794" t="s">
        <v>4119</v>
      </c>
      <c r="E9794" t="s">
        <v>5480</v>
      </c>
      <c r="F9794" t="s">
        <v>34362</v>
      </c>
      <c r="G9794" t="s">
        <v>34363</v>
      </c>
      <c r="H9794" t="s">
        <v>5474</v>
      </c>
      <c r="I9794" t="s">
        <v>34364</v>
      </c>
      <c r="J9794" t="s">
        <v>5484</v>
      </c>
      <c r="K9794" t="s">
        <v>34365</v>
      </c>
      <c r="L9794" t="s">
        <v>5471</v>
      </c>
      <c r="M9794" t="s">
        <v>5471</v>
      </c>
    </row>
    <row r="9795" spans="1:13" x14ac:dyDescent="0.3">
      <c r="A9795" t="s">
        <v>3388</v>
      </c>
      <c r="B9795" t="s">
        <v>24015</v>
      </c>
      <c r="C9795" t="s">
        <v>5470</v>
      </c>
      <c r="D9795" t="s">
        <v>9833</v>
      </c>
      <c r="E9795" t="s">
        <v>5532</v>
      </c>
      <c r="F9795" t="s">
        <v>34366</v>
      </c>
      <c r="G9795" t="s">
        <v>24021</v>
      </c>
      <c r="H9795" t="s">
        <v>5474</v>
      </c>
      <c r="I9795" t="s">
        <v>34367</v>
      </c>
      <c r="J9795" t="s">
        <v>5484</v>
      </c>
      <c r="K9795" t="s">
        <v>34368</v>
      </c>
      <c r="L9795" t="s">
        <v>5471</v>
      </c>
      <c r="M9795" t="s">
        <v>5471</v>
      </c>
    </row>
    <row r="9796" spans="1:13" x14ac:dyDescent="0.3">
      <c r="A9796" t="s">
        <v>3383</v>
      </c>
      <c r="B9796" t="s">
        <v>34358</v>
      </c>
      <c r="C9796" t="s">
        <v>5470</v>
      </c>
      <c r="D9796" t="s">
        <v>9833</v>
      </c>
      <c r="E9796" t="s">
        <v>5756</v>
      </c>
      <c r="F9796" t="s">
        <v>34369</v>
      </c>
      <c r="G9796" t="s">
        <v>12404</v>
      </c>
      <c r="H9796" t="s">
        <v>5474</v>
      </c>
      <c r="I9796" t="s">
        <v>34370</v>
      </c>
      <c r="J9796" t="s">
        <v>5484</v>
      </c>
      <c r="K9796" t="s">
        <v>34371</v>
      </c>
      <c r="L9796" t="s">
        <v>5471</v>
      </c>
      <c r="M9796" t="s">
        <v>5471</v>
      </c>
    </row>
    <row r="9797" spans="1:13" x14ac:dyDescent="0.3">
      <c r="A9797" t="s">
        <v>3380</v>
      </c>
      <c r="B9797" t="s">
        <v>9934</v>
      </c>
      <c r="C9797" t="s">
        <v>6342</v>
      </c>
      <c r="D9797" t="s">
        <v>4119</v>
      </c>
      <c r="E9797" t="s">
        <v>9935</v>
      </c>
      <c r="F9797" t="s">
        <v>34372</v>
      </c>
      <c r="G9797" t="s">
        <v>10016</v>
      </c>
      <c r="H9797" t="s">
        <v>5474</v>
      </c>
      <c r="I9797" t="s">
        <v>34373</v>
      </c>
      <c r="J9797" t="s">
        <v>5484</v>
      </c>
      <c r="K9797" t="s">
        <v>34325</v>
      </c>
      <c r="L9797" t="s">
        <v>5471</v>
      </c>
      <c r="M9797" t="s">
        <v>5471</v>
      </c>
    </row>
    <row r="9798" spans="1:13" x14ac:dyDescent="0.3">
      <c r="A9798" t="s">
        <v>3397</v>
      </c>
      <c r="B9798" t="s">
        <v>34170</v>
      </c>
      <c r="C9798" t="s">
        <v>5487</v>
      </c>
      <c r="D9798" t="s">
        <v>4119</v>
      </c>
      <c r="E9798" t="s">
        <v>5480</v>
      </c>
      <c r="F9798" t="s">
        <v>34374</v>
      </c>
      <c r="G9798" t="s">
        <v>34375</v>
      </c>
      <c r="H9798" t="s">
        <v>5474</v>
      </c>
      <c r="I9798" t="s">
        <v>34376</v>
      </c>
      <c r="J9798" t="s">
        <v>5484</v>
      </c>
      <c r="K9798" t="s">
        <v>34375</v>
      </c>
      <c r="L9798" t="s">
        <v>5471</v>
      </c>
      <c r="M9798" t="s">
        <v>5471</v>
      </c>
    </row>
    <row r="9799" spans="1:13" x14ac:dyDescent="0.3">
      <c r="A9799" t="s">
        <v>3383</v>
      </c>
      <c r="B9799" t="s">
        <v>34377</v>
      </c>
      <c r="C9799" t="s">
        <v>5470</v>
      </c>
      <c r="D9799" t="s">
        <v>9833</v>
      </c>
      <c r="E9799" t="s">
        <v>5756</v>
      </c>
      <c r="F9799" t="s">
        <v>34378</v>
      </c>
      <c r="G9799" t="s">
        <v>34379</v>
      </c>
      <c r="H9799" t="s">
        <v>5474</v>
      </c>
      <c r="I9799" t="s">
        <v>34380</v>
      </c>
      <c r="J9799" t="s">
        <v>5484</v>
      </c>
      <c r="K9799" t="s">
        <v>34381</v>
      </c>
      <c r="L9799" t="s">
        <v>5471</v>
      </c>
      <c r="M9799" t="s">
        <v>5471</v>
      </c>
    </row>
    <row r="9800" spans="1:13" x14ac:dyDescent="0.3">
      <c r="A9800" t="s">
        <v>3397</v>
      </c>
      <c r="B9800" t="s">
        <v>34170</v>
      </c>
      <c r="C9800" t="s">
        <v>5487</v>
      </c>
      <c r="D9800" t="s">
        <v>4119</v>
      </c>
      <c r="E9800" t="s">
        <v>5480</v>
      </c>
      <c r="F9800" t="s">
        <v>34382</v>
      </c>
      <c r="G9800" t="s">
        <v>34383</v>
      </c>
      <c r="H9800" t="s">
        <v>5474</v>
      </c>
      <c r="I9800" t="s">
        <v>34384</v>
      </c>
      <c r="J9800" t="s">
        <v>5484</v>
      </c>
      <c r="K9800" t="s">
        <v>34383</v>
      </c>
      <c r="L9800" t="s">
        <v>5471</v>
      </c>
      <c r="M9800" t="s">
        <v>5471</v>
      </c>
    </row>
    <row r="9801" spans="1:13" x14ac:dyDescent="0.3">
      <c r="A9801" t="s">
        <v>3388</v>
      </c>
      <c r="B9801" t="s">
        <v>8799</v>
      </c>
      <c r="C9801" t="s">
        <v>5470</v>
      </c>
      <c r="D9801" t="s">
        <v>4119</v>
      </c>
      <c r="E9801" t="s">
        <v>5480</v>
      </c>
      <c r="F9801" t="s">
        <v>34385</v>
      </c>
      <c r="G9801" t="s">
        <v>34386</v>
      </c>
      <c r="H9801" t="s">
        <v>5474</v>
      </c>
      <c r="I9801" t="s">
        <v>34387</v>
      </c>
      <c r="J9801" t="s">
        <v>5484</v>
      </c>
      <c r="K9801" t="s">
        <v>34388</v>
      </c>
      <c r="L9801" t="s">
        <v>5471</v>
      </c>
      <c r="M9801" t="s">
        <v>5471</v>
      </c>
    </row>
    <row r="9802" spans="1:13" x14ac:dyDescent="0.3">
      <c r="A9802" t="s">
        <v>3383</v>
      </c>
      <c r="B9802" t="s">
        <v>34389</v>
      </c>
      <c r="C9802" t="s">
        <v>5470</v>
      </c>
      <c r="D9802" t="s">
        <v>9833</v>
      </c>
      <c r="E9802" t="s">
        <v>5756</v>
      </c>
      <c r="F9802" t="s">
        <v>34390</v>
      </c>
      <c r="G9802" t="s">
        <v>12398</v>
      </c>
      <c r="H9802" t="s">
        <v>5474</v>
      </c>
      <c r="I9802" t="s">
        <v>34391</v>
      </c>
      <c r="J9802" t="s">
        <v>5484</v>
      </c>
      <c r="K9802" t="s">
        <v>34392</v>
      </c>
      <c r="L9802" t="s">
        <v>5471</v>
      </c>
      <c r="M9802" t="s">
        <v>5471</v>
      </c>
    </row>
    <row r="9803" spans="1:13" x14ac:dyDescent="0.3">
      <c r="A9803" t="s">
        <v>3388</v>
      </c>
      <c r="B9803" t="s">
        <v>23740</v>
      </c>
      <c r="C9803" t="s">
        <v>5470</v>
      </c>
      <c r="D9803" t="s">
        <v>9833</v>
      </c>
      <c r="E9803" t="s">
        <v>5532</v>
      </c>
      <c r="F9803" t="s">
        <v>34393</v>
      </c>
      <c r="G9803" t="s">
        <v>31651</v>
      </c>
      <c r="H9803" t="s">
        <v>5474</v>
      </c>
      <c r="I9803" t="s">
        <v>34394</v>
      </c>
      <c r="J9803" t="s">
        <v>5484</v>
      </c>
      <c r="K9803" t="s">
        <v>34395</v>
      </c>
      <c r="L9803" t="s">
        <v>5471</v>
      </c>
      <c r="M9803" t="s">
        <v>5471</v>
      </c>
    </row>
    <row r="9804" spans="1:13" x14ac:dyDescent="0.3">
      <c r="A9804" t="s">
        <v>3380</v>
      </c>
      <c r="B9804" t="s">
        <v>9934</v>
      </c>
      <c r="C9804" t="s">
        <v>6342</v>
      </c>
      <c r="D9804" t="s">
        <v>4119</v>
      </c>
      <c r="E9804" t="s">
        <v>9935</v>
      </c>
      <c r="F9804" t="s">
        <v>34396</v>
      </c>
      <c r="G9804" t="s">
        <v>34397</v>
      </c>
      <c r="H9804" t="s">
        <v>5474</v>
      </c>
      <c r="I9804" t="s">
        <v>34398</v>
      </c>
      <c r="J9804" t="s">
        <v>5484</v>
      </c>
      <c r="K9804" t="s">
        <v>34399</v>
      </c>
      <c r="L9804" t="s">
        <v>5471</v>
      </c>
      <c r="M9804" t="s">
        <v>5471</v>
      </c>
    </row>
    <row r="9805" spans="1:13" x14ac:dyDescent="0.3">
      <c r="A9805" t="s">
        <v>3383</v>
      </c>
      <c r="B9805" t="s">
        <v>34400</v>
      </c>
      <c r="C9805" t="s">
        <v>5470</v>
      </c>
      <c r="D9805" t="s">
        <v>4119</v>
      </c>
      <c r="E9805" t="s">
        <v>5756</v>
      </c>
      <c r="F9805" t="s">
        <v>34401</v>
      </c>
      <c r="G9805" t="s">
        <v>6199</v>
      </c>
      <c r="H9805" t="s">
        <v>5474</v>
      </c>
      <c r="I9805" t="s">
        <v>34402</v>
      </c>
      <c r="J9805" t="s">
        <v>5484</v>
      </c>
      <c r="K9805" t="s">
        <v>12451</v>
      </c>
      <c r="L9805" t="s">
        <v>5471</v>
      </c>
      <c r="M9805" t="s">
        <v>5471</v>
      </c>
    </row>
    <row r="9806" spans="1:13" x14ac:dyDescent="0.3">
      <c r="A9806" t="s">
        <v>3388</v>
      </c>
      <c r="B9806" t="s">
        <v>10857</v>
      </c>
      <c r="C9806" t="s">
        <v>5470</v>
      </c>
      <c r="D9806" t="s">
        <v>4119</v>
      </c>
      <c r="E9806" t="s">
        <v>5756</v>
      </c>
      <c r="F9806" t="s">
        <v>34403</v>
      </c>
      <c r="G9806" t="s">
        <v>10859</v>
      </c>
      <c r="H9806" t="s">
        <v>5474</v>
      </c>
      <c r="I9806" t="s">
        <v>34404</v>
      </c>
      <c r="J9806" t="s">
        <v>5476</v>
      </c>
      <c r="K9806" t="s">
        <v>34405</v>
      </c>
      <c r="L9806" t="s">
        <v>5471</v>
      </c>
      <c r="M9806" t="s">
        <v>5471</v>
      </c>
    </row>
    <row r="9807" spans="1:13" x14ac:dyDescent="0.3">
      <c r="A9807" t="s">
        <v>3383</v>
      </c>
      <c r="B9807" t="s">
        <v>34406</v>
      </c>
      <c r="C9807" t="s">
        <v>5470</v>
      </c>
      <c r="D9807" t="s">
        <v>4119</v>
      </c>
      <c r="E9807" t="s">
        <v>5756</v>
      </c>
      <c r="F9807" t="s">
        <v>34407</v>
      </c>
      <c r="G9807" t="s">
        <v>8524</v>
      </c>
      <c r="H9807" t="s">
        <v>5474</v>
      </c>
      <c r="I9807" t="s">
        <v>34408</v>
      </c>
      <c r="J9807" t="s">
        <v>5484</v>
      </c>
      <c r="K9807" t="s">
        <v>34409</v>
      </c>
      <c r="L9807" t="s">
        <v>5471</v>
      </c>
      <c r="M9807" t="s">
        <v>5471</v>
      </c>
    </row>
    <row r="9808" spans="1:13" x14ac:dyDescent="0.3">
      <c r="A9808" t="s">
        <v>3397</v>
      </c>
      <c r="B9808" t="s">
        <v>34170</v>
      </c>
      <c r="C9808" t="s">
        <v>5487</v>
      </c>
      <c r="D9808" t="s">
        <v>4119</v>
      </c>
      <c r="E9808" t="s">
        <v>5480</v>
      </c>
      <c r="F9808" t="s">
        <v>34410</v>
      </c>
      <c r="G9808" t="s">
        <v>34411</v>
      </c>
      <c r="H9808" t="s">
        <v>5474</v>
      </c>
      <c r="I9808" t="s">
        <v>34412</v>
      </c>
      <c r="J9808" t="s">
        <v>5484</v>
      </c>
      <c r="K9808" t="s">
        <v>34411</v>
      </c>
      <c r="L9808" t="s">
        <v>5471</v>
      </c>
      <c r="M9808" t="s">
        <v>5471</v>
      </c>
    </row>
    <row r="9809" spans="1:13" x14ac:dyDescent="0.3">
      <c r="A9809" t="s">
        <v>3397</v>
      </c>
      <c r="B9809" t="s">
        <v>34170</v>
      </c>
      <c r="C9809" t="s">
        <v>5487</v>
      </c>
      <c r="D9809" t="s">
        <v>4119</v>
      </c>
      <c r="E9809" t="s">
        <v>5480</v>
      </c>
      <c r="F9809" t="s">
        <v>34413</v>
      </c>
      <c r="G9809" t="s">
        <v>34414</v>
      </c>
      <c r="H9809" t="s">
        <v>5474</v>
      </c>
      <c r="I9809" t="s">
        <v>34415</v>
      </c>
      <c r="J9809" t="s">
        <v>5484</v>
      </c>
      <c r="K9809" t="s">
        <v>34414</v>
      </c>
      <c r="L9809" t="s">
        <v>5471</v>
      </c>
      <c r="M9809" t="s">
        <v>5471</v>
      </c>
    </row>
    <row r="9810" spans="1:13" x14ac:dyDescent="0.3">
      <c r="A9810" t="s">
        <v>3388</v>
      </c>
      <c r="B9810" t="s">
        <v>15863</v>
      </c>
      <c r="C9810" t="s">
        <v>5470</v>
      </c>
      <c r="D9810" t="s">
        <v>4119</v>
      </c>
      <c r="E9810" t="s">
        <v>5532</v>
      </c>
      <c r="F9810" t="s">
        <v>34416</v>
      </c>
      <c r="G9810" t="s">
        <v>31534</v>
      </c>
      <c r="H9810" t="s">
        <v>5474</v>
      </c>
      <c r="I9810" t="s">
        <v>34417</v>
      </c>
      <c r="J9810" t="s">
        <v>5484</v>
      </c>
      <c r="K9810" t="s">
        <v>34418</v>
      </c>
      <c r="L9810" t="s">
        <v>5471</v>
      </c>
      <c r="M9810" t="s">
        <v>5471</v>
      </c>
    </row>
    <row r="9811" spans="1:13" x14ac:dyDescent="0.3">
      <c r="A9811" t="s">
        <v>3397</v>
      </c>
      <c r="B9811" t="s">
        <v>34170</v>
      </c>
      <c r="C9811" t="s">
        <v>5487</v>
      </c>
      <c r="D9811" t="s">
        <v>4119</v>
      </c>
      <c r="E9811" t="s">
        <v>5480</v>
      </c>
      <c r="F9811" t="s">
        <v>34419</v>
      </c>
      <c r="G9811" t="s">
        <v>34420</v>
      </c>
      <c r="H9811" t="s">
        <v>5474</v>
      </c>
      <c r="I9811" t="s">
        <v>34421</v>
      </c>
      <c r="J9811" t="s">
        <v>5484</v>
      </c>
      <c r="K9811" t="s">
        <v>34420</v>
      </c>
      <c r="L9811" t="s">
        <v>5471</v>
      </c>
      <c r="M9811" t="s">
        <v>5471</v>
      </c>
    </row>
    <row r="9812" spans="1:13" x14ac:dyDescent="0.3">
      <c r="A9812" t="s">
        <v>3397</v>
      </c>
      <c r="B9812" t="s">
        <v>34170</v>
      </c>
      <c r="C9812" t="s">
        <v>5487</v>
      </c>
      <c r="D9812" t="s">
        <v>4119</v>
      </c>
      <c r="E9812" t="s">
        <v>5480</v>
      </c>
      <c r="F9812" t="s">
        <v>34422</v>
      </c>
      <c r="G9812" t="s">
        <v>34423</v>
      </c>
      <c r="H9812" t="s">
        <v>5474</v>
      </c>
      <c r="I9812" t="s">
        <v>34424</v>
      </c>
      <c r="J9812" t="s">
        <v>5484</v>
      </c>
      <c r="K9812" t="s">
        <v>34423</v>
      </c>
      <c r="L9812" t="s">
        <v>5471</v>
      </c>
      <c r="M9812" t="s">
        <v>5471</v>
      </c>
    </row>
    <row r="9813" spans="1:13" x14ac:dyDescent="0.3">
      <c r="A9813" t="s">
        <v>3388</v>
      </c>
      <c r="B9813" t="s">
        <v>20040</v>
      </c>
      <c r="C9813" t="s">
        <v>5470</v>
      </c>
      <c r="D9813" t="s">
        <v>4119</v>
      </c>
      <c r="E9813" t="s">
        <v>5532</v>
      </c>
      <c r="F9813" t="s">
        <v>34425</v>
      </c>
      <c r="G9813" t="s">
        <v>24390</v>
      </c>
      <c r="H9813" t="s">
        <v>5474</v>
      </c>
      <c r="I9813" t="s">
        <v>34426</v>
      </c>
      <c r="J9813" t="s">
        <v>5484</v>
      </c>
      <c r="K9813" t="s">
        <v>34427</v>
      </c>
      <c r="L9813" t="s">
        <v>5471</v>
      </c>
      <c r="M9813" t="s">
        <v>5471</v>
      </c>
    </row>
    <row r="9814" spans="1:13" x14ac:dyDescent="0.3">
      <c r="A9814" t="s">
        <v>3397</v>
      </c>
      <c r="B9814" t="s">
        <v>34170</v>
      </c>
      <c r="C9814" t="s">
        <v>5487</v>
      </c>
      <c r="D9814" t="s">
        <v>4119</v>
      </c>
      <c r="E9814" t="s">
        <v>5480</v>
      </c>
      <c r="F9814" t="s">
        <v>34428</v>
      </c>
      <c r="G9814" t="s">
        <v>34429</v>
      </c>
      <c r="H9814" t="s">
        <v>5474</v>
      </c>
      <c r="I9814" t="s">
        <v>34430</v>
      </c>
      <c r="J9814" t="s">
        <v>5484</v>
      </c>
      <c r="K9814" t="s">
        <v>34429</v>
      </c>
      <c r="L9814" t="s">
        <v>5471</v>
      </c>
      <c r="M9814" t="s">
        <v>5471</v>
      </c>
    </row>
    <row r="9815" spans="1:13" x14ac:dyDescent="0.3">
      <c r="A9815" t="s">
        <v>3388</v>
      </c>
      <c r="B9815" t="s">
        <v>20040</v>
      </c>
      <c r="C9815" t="s">
        <v>5470</v>
      </c>
      <c r="D9815" t="s">
        <v>4119</v>
      </c>
      <c r="E9815" t="s">
        <v>5532</v>
      </c>
      <c r="F9815" t="s">
        <v>34431</v>
      </c>
      <c r="G9815" t="s">
        <v>24394</v>
      </c>
      <c r="H9815" t="s">
        <v>5474</v>
      </c>
      <c r="I9815" t="s">
        <v>34432</v>
      </c>
      <c r="J9815" t="s">
        <v>5484</v>
      </c>
      <c r="K9815" t="s">
        <v>34433</v>
      </c>
      <c r="L9815" t="s">
        <v>5471</v>
      </c>
      <c r="M9815" t="s">
        <v>5471</v>
      </c>
    </row>
    <row r="9816" spans="1:13" x14ac:dyDescent="0.3">
      <c r="A9816" t="s">
        <v>3397</v>
      </c>
      <c r="B9816" t="s">
        <v>34170</v>
      </c>
      <c r="C9816" t="s">
        <v>5487</v>
      </c>
      <c r="D9816" t="s">
        <v>4119</v>
      </c>
      <c r="E9816" t="s">
        <v>5480</v>
      </c>
      <c r="F9816" t="s">
        <v>34434</v>
      </c>
      <c r="G9816" t="s">
        <v>34435</v>
      </c>
      <c r="H9816" t="s">
        <v>5474</v>
      </c>
      <c r="I9816" t="s">
        <v>34436</v>
      </c>
      <c r="J9816" t="s">
        <v>5484</v>
      </c>
      <c r="K9816" t="s">
        <v>34435</v>
      </c>
      <c r="L9816" t="s">
        <v>5471</v>
      </c>
      <c r="M9816" t="s">
        <v>5471</v>
      </c>
    </row>
    <row r="9817" spans="1:13" x14ac:dyDescent="0.3">
      <c r="A9817" t="s">
        <v>3388</v>
      </c>
      <c r="B9817" t="s">
        <v>5616</v>
      </c>
      <c r="C9817" t="s">
        <v>5470</v>
      </c>
      <c r="D9817" t="s">
        <v>4119</v>
      </c>
      <c r="E9817" t="s">
        <v>5532</v>
      </c>
      <c r="F9817" t="s">
        <v>34437</v>
      </c>
      <c r="G9817" t="s">
        <v>29423</v>
      </c>
      <c r="H9817" t="s">
        <v>5474</v>
      </c>
      <c r="I9817" t="s">
        <v>34438</v>
      </c>
      <c r="J9817" t="s">
        <v>5484</v>
      </c>
      <c r="K9817" t="s">
        <v>34439</v>
      </c>
      <c r="L9817" t="s">
        <v>5471</v>
      </c>
      <c r="M9817" t="s">
        <v>5471</v>
      </c>
    </row>
    <row r="9818" spans="1:13" x14ac:dyDescent="0.3">
      <c r="A9818" t="s">
        <v>3397</v>
      </c>
      <c r="B9818" t="s">
        <v>34170</v>
      </c>
      <c r="C9818" t="s">
        <v>5487</v>
      </c>
      <c r="D9818" t="s">
        <v>4119</v>
      </c>
      <c r="E9818" t="s">
        <v>5480</v>
      </c>
      <c r="F9818" t="s">
        <v>34440</v>
      </c>
      <c r="G9818" t="s">
        <v>34321</v>
      </c>
      <c r="H9818" t="s">
        <v>5474</v>
      </c>
      <c r="I9818" t="s">
        <v>34441</v>
      </c>
      <c r="J9818" t="s">
        <v>5484</v>
      </c>
      <c r="K9818" t="s">
        <v>5471</v>
      </c>
      <c r="L9818" t="s">
        <v>5471</v>
      </c>
      <c r="M9818" t="s">
        <v>5471</v>
      </c>
    </row>
    <row r="9819" spans="1:13" x14ac:dyDescent="0.3">
      <c r="A9819" t="s">
        <v>3397</v>
      </c>
      <c r="B9819" t="s">
        <v>34170</v>
      </c>
      <c r="C9819" t="s">
        <v>5487</v>
      </c>
      <c r="D9819" t="s">
        <v>4119</v>
      </c>
      <c r="E9819" t="s">
        <v>5480</v>
      </c>
      <c r="F9819" t="s">
        <v>34442</v>
      </c>
      <c r="G9819" t="s">
        <v>34443</v>
      </c>
      <c r="H9819" t="s">
        <v>5474</v>
      </c>
      <c r="I9819" t="s">
        <v>34444</v>
      </c>
      <c r="J9819" t="s">
        <v>5484</v>
      </c>
      <c r="K9819" t="s">
        <v>34443</v>
      </c>
      <c r="L9819" t="s">
        <v>5471</v>
      </c>
      <c r="M9819" t="s">
        <v>5471</v>
      </c>
    </row>
    <row r="9820" spans="1:13" x14ac:dyDescent="0.3">
      <c r="A9820" t="s">
        <v>3388</v>
      </c>
      <c r="B9820" t="s">
        <v>5616</v>
      </c>
      <c r="C9820" t="s">
        <v>5470</v>
      </c>
      <c r="D9820" t="s">
        <v>4119</v>
      </c>
      <c r="E9820" t="s">
        <v>5532</v>
      </c>
      <c r="F9820" t="s">
        <v>34445</v>
      </c>
      <c r="G9820" t="s">
        <v>29444</v>
      </c>
      <c r="H9820" t="s">
        <v>5474</v>
      </c>
      <c r="I9820" t="s">
        <v>34446</v>
      </c>
      <c r="J9820" t="s">
        <v>5484</v>
      </c>
      <c r="K9820" t="s">
        <v>34447</v>
      </c>
      <c r="L9820" t="s">
        <v>5471</v>
      </c>
      <c r="M9820" t="s">
        <v>5471</v>
      </c>
    </row>
    <row r="9821" spans="1:13" x14ac:dyDescent="0.3">
      <c r="A9821" t="s">
        <v>3388</v>
      </c>
      <c r="B9821" t="s">
        <v>5616</v>
      </c>
      <c r="C9821" t="s">
        <v>5470</v>
      </c>
      <c r="D9821" t="s">
        <v>4119</v>
      </c>
      <c r="E9821" t="s">
        <v>5532</v>
      </c>
      <c r="F9821" t="s">
        <v>34448</v>
      </c>
      <c r="G9821" t="s">
        <v>34449</v>
      </c>
      <c r="H9821" t="s">
        <v>5474</v>
      </c>
      <c r="I9821" t="s">
        <v>34450</v>
      </c>
      <c r="J9821" t="s">
        <v>5484</v>
      </c>
      <c r="K9821" t="s">
        <v>34451</v>
      </c>
      <c r="L9821" t="s">
        <v>5471</v>
      </c>
      <c r="M9821" t="s">
        <v>5471</v>
      </c>
    </row>
    <row r="9822" spans="1:13" x14ac:dyDescent="0.3">
      <c r="A9822" t="s">
        <v>3388</v>
      </c>
      <c r="B9822" t="s">
        <v>10852</v>
      </c>
      <c r="C9822" t="s">
        <v>5470</v>
      </c>
      <c r="D9822" t="s">
        <v>4119</v>
      </c>
      <c r="E9822" t="s">
        <v>5756</v>
      </c>
      <c r="F9822" t="s">
        <v>34452</v>
      </c>
      <c r="G9822" t="s">
        <v>10854</v>
      </c>
      <c r="H9822" t="s">
        <v>5474</v>
      </c>
      <c r="I9822" t="s">
        <v>34453</v>
      </c>
      <c r="J9822" t="s">
        <v>5484</v>
      </c>
      <c r="K9822" t="s">
        <v>34454</v>
      </c>
      <c r="L9822" t="s">
        <v>5471</v>
      </c>
      <c r="M9822" t="s">
        <v>5471</v>
      </c>
    </row>
    <row r="9823" spans="1:13" x14ac:dyDescent="0.3">
      <c r="A9823" t="s">
        <v>3388</v>
      </c>
      <c r="B9823" t="s">
        <v>5616</v>
      </c>
      <c r="C9823" t="s">
        <v>5470</v>
      </c>
      <c r="D9823" t="s">
        <v>4119</v>
      </c>
      <c r="E9823" t="s">
        <v>5532</v>
      </c>
      <c r="F9823" t="s">
        <v>34455</v>
      </c>
      <c r="G9823" t="s">
        <v>34456</v>
      </c>
      <c r="H9823" t="s">
        <v>5474</v>
      </c>
      <c r="I9823" t="s">
        <v>34457</v>
      </c>
      <c r="J9823" t="s">
        <v>5484</v>
      </c>
      <c r="K9823" t="s">
        <v>34458</v>
      </c>
      <c r="L9823" t="s">
        <v>5471</v>
      </c>
      <c r="M9823" t="s">
        <v>5471</v>
      </c>
    </row>
    <row r="9824" spans="1:13" x14ac:dyDescent="0.3">
      <c r="A9824" t="s">
        <v>3388</v>
      </c>
      <c r="B9824" t="s">
        <v>10852</v>
      </c>
      <c r="C9824" t="s">
        <v>5470</v>
      </c>
      <c r="D9824" t="s">
        <v>4119</v>
      </c>
      <c r="E9824" t="s">
        <v>5756</v>
      </c>
      <c r="F9824" t="s">
        <v>34459</v>
      </c>
      <c r="G9824" t="s">
        <v>10854</v>
      </c>
      <c r="H9824" t="s">
        <v>5474</v>
      </c>
      <c r="I9824" t="s">
        <v>34460</v>
      </c>
      <c r="J9824" t="s">
        <v>5484</v>
      </c>
      <c r="K9824" t="s">
        <v>34461</v>
      </c>
      <c r="L9824" t="s">
        <v>5471</v>
      </c>
      <c r="M9824" t="s">
        <v>5471</v>
      </c>
    </row>
    <row r="9825" spans="1:13" x14ac:dyDescent="0.3">
      <c r="A9825" t="s">
        <v>3388</v>
      </c>
      <c r="B9825" t="s">
        <v>7109</v>
      </c>
      <c r="C9825" t="s">
        <v>5470</v>
      </c>
      <c r="D9825" t="s">
        <v>4119</v>
      </c>
      <c r="E9825" t="s">
        <v>5756</v>
      </c>
      <c r="F9825" t="s">
        <v>34462</v>
      </c>
      <c r="G9825" t="s">
        <v>19195</v>
      </c>
      <c r="H9825" t="s">
        <v>5474</v>
      </c>
      <c r="I9825" t="s">
        <v>34463</v>
      </c>
      <c r="J9825" t="s">
        <v>5484</v>
      </c>
      <c r="K9825" t="s">
        <v>34464</v>
      </c>
      <c r="L9825" t="s">
        <v>5471</v>
      </c>
      <c r="M9825" t="s">
        <v>5471</v>
      </c>
    </row>
    <row r="9826" spans="1:13" x14ac:dyDescent="0.3">
      <c r="A9826" t="s">
        <v>3388</v>
      </c>
      <c r="B9826" t="s">
        <v>7109</v>
      </c>
      <c r="C9826" t="s">
        <v>5470</v>
      </c>
      <c r="D9826" t="s">
        <v>4119</v>
      </c>
      <c r="E9826" t="s">
        <v>5756</v>
      </c>
      <c r="F9826" t="s">
        <v>34465</v>
      </c>
      <c r="G9826" t="s">
        <v>19195</v>
      </c>
      <c r="H9826" t="s">
        <v>5474</v>
      </c>
      <c r="I9826" t="s">
        <v>34466</v>
      </c>
      <c r="J9826" t="s">
        <v>5484</v>
      </c>
      <c r="K9826" t="s">
        <v>34467</v>
      </c>
      <c r="L9826" t="s">
        <v>5471</v>
      </c>
      <c r="M9826" t="s">
        <v>5471</v>
      </c>
    </row>
    <row r="9827" spans="1:13" x14ac:dyDescent="0.3">
      <c r="A9827" t="s">
        <v>3388</v>
      </c>
      <c r="B9827" t="s">
        <v>6632</v>
      </c>
      <c r="C9827" t="s">
        <v>5470</v>
      </c>
      <c r="D9827" t="s">
        <v>4119</v>
      </c>
      <c r="E9827" t="s">
        <v>5617</v>
      </c>
      <c r="F9827" t="s">
        <v>34468</v>
      </c>
      <c r="G9827" t="s">
        <v>34469</v>
      </c>
      <c r="H9827" t="s">
        <v>5474</v>
      </c>
      <c r="I9827" t="s">
        <v>34470</v>
      </c>
      <c r="J9827" t="s">
        <v>5484</v>
      </c>
      <c r="K9827" t="s">
        <v>34471</v>
      </c>
      <c r="L9827" t="s">
        <v>5471</v>
      </c>
      <c r="M9827" t="s">
        <v>5471</v>
      </c>
    </row>
    <row r="9828" spans="1:13" x14ac:dyDescent="0.3">
      <c r="A9828" t="s">
        <v>3388</v>
      </c>
      <c r="B9828" t="s">
        <v>15596</v>
      </c>
      <c r="C9828" t="s">
        <v>5470</v>
      </c>
      <c r="D9828" t="s">
        <v>4119</v>
      </c>
      <c r="E9828" t="s">
        <v>5756</v>
      </c>
      <c r="F9828" t="s">
        <v>34472</v>
      </c>
      <c r="G9828" t="s">
        <v>17747</v>
      </c>
      <c r="H9828" t="s">
        <v>5474</v>
      </c>
      <c r="I9828" t="s">
        <v>34473</v>
      </c>
      <c r="J9828" t="s">
        <v>5484</v>
      </c>
      <c r="K9828" t="s">
        <v>34474</v>
      </c>
      <c r="L9828" t="s">
        <v>5471</v>
      </c>
      <c r="M9828" t="s">
        <v>5471</v>
      </c>
    </row>
    <row r="9829" spans="1:13" x14ac:dyDescent="0.3">
      <c r="A9829" t="s">
        <v>3388</v>
      </c>
      <c r="B9829" t="s">
        <v>6632</v>
      </c>
      <c r="C9829" t="s">
        <v>5470</v>
      </c>
      <c r="D9829" t="s">
        <v>4119</v>
      </c>
      <c r="E9829" t="s">
        <v>5617</v>
      </c>
      <c r="F9829" t="s">
        <v>34475</v>
      </c>
      <c r="G9829" t="s">
        <v>22973</v>
      </c>
      <c r="H9829" t="s">
        <v>5474</v>
      </c>
      <c r="I9829" t="s">
        <v>34476</v>
      </c>
      <c r="J9829" t="s">
        <v>5484</v>
      </c>
      <c r="K9829" t="s">
        <v>34477</v>
      </c>
      <c r="L9829" t="s">
        <v>5471</v>
      </c>
      <c r="M9829" t="s">
        <v>5471</v>
      </c>
    </row>
    <row r="9830" spans="1:13" x14ac:dyDescent="0.3">
      <c r="A9830" t="s">
        <v>3388</v>
      </c>
      <c r="B9830" t="s">
        <v>6632</v>
      </c>
      <c r="C9830" t="s">
        <v>5470</v>
      </c>
      <c r="D9830" t="s">
        <v>4119</v>
      </c>
      <c r="E9830" t="s">
        <v>5617</v>
      </c>
      <c r="F9830" t="s">
        <v>34478</v>
      </c>
      <c r="G9830" t="s">
        <v>34479</v>
      </c>
      <c r="H9830" t="s">
        <v>5474</v>
      </c>
      <c r="I9830" t="s">
        <v>34480</v>
      </c>
      <c r="J9830" t="s">
        <v>5484</v>
      </c>
      <c r="K9830" t="s">
        <v>34481</v>
      </c>
      <c r="L9830" t="s">
        <v>5471</v>
      </c>
      <c r="M9830" t="s">
        <v>5471</v>
      </c>
    </row>
    <row r="9831" spans="1:13" x14ac:dyDescent="0.3">
      <c r="A9831" t="s">
        <v>3388</v>
      </c>
      <c r="B9831" t="s">
        <v>6632</v>
      </c>
      <c r="C9831" t="s">
        <v>5470</v>
      </c>
      <c r="D9831" t="s">
        <v>4119</v>
      </c>
      <c r="E9831" t="s">
        <v>5532</v>
      </c>
      <c r="F9831" t="s">
        <v>34482</v>
      </c>
      <c r="G9831" t="s">
        <v>22278</v>
      </c>
      <c r="H9831" t="s">
        <v>5474</v>
      </c>
      <c r="I9831" t="s">
        <v>34483</v>
      </c>
      <c r="J9831" t="s">
        <v>5484</v>
      </c>
      <c r="K9831" t="s">
        <v>34484</v>
      </c>
      <c r="L9831" t="s">
        <v>5471</v>
      </c>
      <c r="M9831" t="s">
        <v>5471</v>
      </c>
    </row>
    <row r="9832" spans="1:13" x14ac:dyDescent="0.3">
      <c r="A9832" t="s">
        <v>3388</v>
      </c>
      <c r="B9832" t="s">
        <v>20040</v>
      </c>
      <c r="C9832" t="s">
        <v>5470</v>
      </c>
      <c r="D9832" t="s">
        <v>4119</v>
      </c>
      <c r="E9832" t="s">
        <v>5532</v>
      </c>
      <c r="F9832" t="s">
        <v>34485</v>
      </c>
      <c r="G9832" t="s">
        <v>24353</v>
      </c>
      <c r="H9832" t="s">
        <v>5474</v>
      </c>
      <c r="I9832" t="s">
        <v>34486</v>
      </c>
      <c r="J9832" t="s">
        <v>5484</v>
      </c>
      <c r="K9832" t="s">
        <v>34487</v>
      </c>
      <c r="L9832" t="s">
        <v>5471</v>
      </c>
      <c r="M9832" t="s">
        <v>5471</v>
      </c>
    </row>
    <row r="9833" spans="1:13" x14ac:dyDescent="0.3">
      <c r="A9833" t="s">
        <v>3388</v>
      </c>
      <c r="B9833" t="s">
        <v>10870</v>
      </c>
      <c r="C9833" t="s">
        <v>5470</v>
      </c>
      <c r="D9833" t="s">
        <v>4119</v>
      </c>
      <c r="E9833" t="s">
        <v>5617</v>
      </c>
      <c r="F9833" t="s">
        <v>34488</v>
      </c>
      <c r="G9833" t="s">
        <v>34489</v>
      </c>
      <c r="H9833" t="s">
        <v>5474</v>
      </c>
      <c r="I9833" t="s">
        <v>34490</v>
      </c>
      <c r="J9833" t="s">
        <v>5484</v>
      </c>
      <c r="K9833" t="s">
        <v>34491</v>
      </c>
      <c r="L9833" t="s">
        <v>5471</v>
      </c>
      <c r="M9833" t="s">
        <v>5471</v>
      </c>
    </row>
    <row r="9834" spans="1:13" x14ac:dyDescent="0.3">
      <c r="A9834" t="s">
        <v>3388</v>
      </c>
      <c r="B9834" t="s">
        <v>15942</v>
      </c>
      <c r="C9834" t="s">
        <v>5470</v>
      </c>
      <c r="D9834" t="s">
        <v>4119</v>
      </c>
      <c r="E9834" t="s">
        <v>5756</v>
      </c>
      <c r="F9834" t="s">
        <v>34492</v>
      </c>
      <c r="G9834" t="s">
        <v>15968</v>
      </c>
      <c r="H9834" t="s">
        <v>5474</v>
      </c>
      <c r="I9834" t="s">
        <v>34493</v>
      </c>
      <c r="J9834" t="s">
        <v>5484</v>
      </c>
      <c r="K9834" t="s">
        <v>34494</v>
      </c>
      <c r="L9834" t="s">
        <v>5471</v>
      </c>
      <c r="M9834" t="s">
        <v>5471</v>
      </c>
    </row>
    <row r="9835" spans="1:13" x14ac:dyDescent="0.3">
      <c r="A9835" t="s">
        <v>3388</v>
      </c>
      <c r="B9835" t="s">
        <v>10870</v>
      </c>
      <c r="C9835" t="s">
        <v>5470</v>
      </c>
      <c r="D9835" t="s">
        <v>4119</v>
      </c>
      <c r="E9835" t="s">
        <v>5617</v>
      </c>
      <c r="F9835" t="s">
        <v>34495</v>
      </c>
      <c r="G9835" t="s">
        <v>34496</v>
      </c>
      <c r="H9835" t="s">
        <v>5474</v>
      </c>
      <c r="I9835" t="s">
        <v>34497</v>
      </c>
      <c r="J9835" t="s">
        <v>5484</v>
      </c>
      <c r="K9835" t="s">
        <v>34498</v>
      </c>
      <c r="L9835" t="s">
        <v>5471</v>
      </c>
      <c r="M9835" t="s">
        <v>5471</v>
      </c>
    </row>
    <row r="9836" spans="1:13" x14ac:dyDescent="0.3">
      <c r="A9836" t="s">
        <v>3380</v>
      </c>
      <c r="B9836" t="s">
        <v>15901</v>
      </c>
      <c r="C9836" t="s">
        <v>6342</v>
      </c>
      <c r="D9836" t="s">
        <v>4119</v>
      </c>
      <c r="E9836" t="s">
        <v>5480</v>
      </c>
      <c r="F9836" t="s">
        <v>34499</v>
      </c>
      <c r="G9836" t="s">
        <v>28204</v>
      </c>
      <c r="H9836" t="s">
        <v>5474</v>
      </c>
      <c r="I9836" t="s">
        <v>34500</v>
      </c>
      <c r="J9836" t="s">
        <v>5484</v>
      </c>
      <c r="K9836" t="s">
        <v>34501</v>
      </c>
      <c r="L9836" t="s">
        <v>5471</v>
      </c>
      <c r="M9836" t="s">
        <v>5471</v>
      </c>
    </row>
    <row r="9837" spans="1:13" x14ac:dyDescent="0.3">
      <c r="A9837" t="s">
        <v>3388</v>
      </c>
      <c r="B9837" t="s">
        <v>7109</v>
      </c>
      <c r="C9837" t="s">
        <v>5470</v>
      </c>
      <c r="D9837" t="s">
        <v>4119</v>
      </c>
      <c r="E9837" t="s">
        <v>5756</v>
      </c>
      <c r="F9837" t="s">
        <v>34502</v>
      </c>
      <c r="G9837" t="s">
        <v>19195</v>
      </c>
      <c r="H9837" t="s">
        <v>5474</v>
      </c>
      <c r="I9837" t="s">
        <v>34503</v>
      </c>
      <c r="J9837" t="s">
        <v>5484</v>
      </c>
      <c r="K9837" t="s">
        <v>34504</v>
      </c>
      <c r="L9837" t="s">
        <v>5471</v>
      </c>
      <c r="M9837" t="s">
        <v>5471</v>
      </c>
    </row>
    <row r="9838" spans="1:13" x14ac:dyDescent="0.3">
      <c r="A9838" t="s">
        <v>3388</v>
      </c>
      <c r="B9838" t="s">
        <v>10870</v>
      </c>
      <c r="C9838" t="s">
        <v>5470</v>
      </c>
      <c r="D9838" t="s">
        <v>4119</v>
      </c>
      <c r="E9838" t="s">
        <v>5617</v>
      </c>
      <c r="F9838" t="s">
        <v>34505</v>
      </c>
      <c r="G9838" t="s">
        <v>34506</v>
      </c>
      <c r="H9838" t="s">
        <v>5474</v>
      </c>
      <c r="I9838" t="s">
        <v>34507</v>
      </c>
      <c r="J9838" t="s">
        <v>5484</v>
      </c>
      <c r="K9838" t="s">
        <v>34508</v>
      </c>
      <c r="L9838" t="s">
        <v>5471</v>
      </c>
      <c r="M9838" t="s">
        <v>5471</v>
      </c>
    </row>
    <row r="9839" spans="1:13" x14ac:dyDescent="0.3">
      <c r="A9839" t="s">
        <v>3380</v>
      </c>
      <c r="B9839" t="s">
        <v>9677</v>
      </c>
      <c r="C9839" t="s">
        <v>6342</v>
      </c>
      <c r="D9839" t="s">
        <v>4119</v>
      </c>
      <c r="E9839" t="s">
        <v>9935</v>
      </c>
      <c r="F9839" t="s">
        <v>34509</v>
      </c>
      <c r="G9839" t="s">
        <v>26150</v>
      </c>
      <c r="H9839" t="s">
        <v>5474</v>
      </c>
      <c r="I9839" t="s">
        <v>34510</v>
      </c>
      <c r="J9839" t="s">
        <v>5484</v>
      </c>
      <c r="K9839" t="s">
        <v>11039</v>
      </c>
      <c r="L9839" t="s">
        <v>5471</v>
      </c>
      <c r="M9839" t="s">
        <v>5471</v>
      </c>
    </row>
    <row r="9840" spans="1:13" x14ac:dyDescent="0.3">
      <c r="A9840" t="s">
        <v>3388</v>
      </c>
      <c r="B9840" t="s">
        <v>8799</v>
      </c>
      <c r="C9840" t="s">
        <v>5470</v>
      </c>
      <c r="D9840" t="s">
        <v>4119</v>
      </c>
      <c r="E9840" t="s">
        <v>5756</v>
      </c>
      <c r="F9840" t="s">
        <v>34511</v>
      </c>
      <c r="G9840" t="s">
        <v>15977</v>
      </c>
      <c r="H9840" t="s">
        <v>5474</v>
      </c>
      <c r="I9840" t="s">
        <v>34512</v>
      </c>
      <c r="J9840" t="s">
        <v>5484</v>
      </c>
      <c r="K9840" t="s">
        <v>34513</v>
      </c>
      <c r="L9840" t="s">
        <v>5471</v>
      </c>
      <c r="M9840" t="s">
        <v>5471</v>
      </c>
    </row>
    <row r="9841" spans="1:13" x14ac:dyDescent="0.3">
      <c r="A9841" t="s">
        <v>3388</v>
      </c>
      <c r="B9841" t="s">
        <v>10870</v>
      </c>
      <c r="C9841" t="s">
        <v>5470</v>
      </c>
      <c r="D9841" t="s">
        <v>4119</v>
      </c>
      <c r="E9841" t="s">
        <v>5532</v>
      </c>
      <c r="F9841" t="s">
        <v>34514</v>
      </c>
      <c r="G9841" t="s">
        <v>30780</v>
      </c>
      <c r="H9841" t="s">
        <v>5474</v>
      </c>
      <c r="I9841" t="s">
        <v>34515</v>
      </c>
      <c r="J9841" t="s">
        <v>5484</v>
      </c>
      <c r="K9841" t="s">
        <v>34516</v>
      </c>
      <c r="L9841" t="s">
        <v>5471</v>
      </c>
      <c r="M9841" t="s">
        <v>5471</v>
      </c>
    </row>
    <row r="9842" spans="1:13" x14ac:dyDescent="0.3">
      <c r="A9842" t="s">
        <v>3388</v>
      </c>
      <c r="B9842" t="s">
        <v>8799</v>
      </c>
      <c r="C9842" t="s">
        <v>5470</v>
      </c>
      <c r="D9842" t="s">
        <v>4119</v>
      </c>
      <c r="E9842" t="s">
        <v>5756</v>
      </c>
      <c r="F9842" t="s">
        <v>34517</v>
      </c>
      <c r="G9842" t="s">
        <v>15977</v>
      </c>
      <c r="H9842" t="s">
        <v>5474</v>
      </c>
      <c r="I9842" t="s">
        <v>34518</v>
      </c>
      <c r="J9842" t="s">
        <v>5484</v>
      </c>
      <c r="K9842" t="s">
        <v>34519</v>
      </c>
      <c r="L9842" t="s">
        <v>5471</v>
      </c>
      <c r="M9842" t="s">
        <v>5471</v>
      </c>
    </row>
    <row r="9843" spans="1:13" x14ac:dyDescent="0.3">
      <c r="A9843" t="s">
        <v>3380</v>
      </c>
      <c r="B9843" t="s">
        <v>9677</v>
      </c>
      <c r="C9843" t="s">
        <v>6342</v>
      </c>
      <c r="D9843" t="s">
        <v>4119</v>
      </c>
      <c r="E9843" t="s">
        <v>5532</v>
      </c>
      <c r="F9843" t="s">
        <v>34520</v>
      </c>
      <c r="G9843" t="s">
        <v>26150</v>
      </c>
      <c r="H9843" t="s">
        <v>5474</v>
      </c>
      <c r="I9843" t="s">
        <v>34521</v>
      </c>
      <c r="J9843" t="s">
        <v>5484</v>
      </c>
      <c r="K9843" t="s">
        <v>16427</v>
      </c>
      <c r="L9843" t="s">
        <v>5471</v>
      </c>
      <c r="M9843" t="s">
        <v>5471</v>
      </c>
    </row>
    <row r="9844" spans="1:13" x14ac:dyDescent="0.3">
      <c r="A9844" t="s">
        <v>3388</v>
      </c>
      <c r="B9844" t="s">
        <v>11089</v>
      </c>
      <c r="C9844" t="s">
        <v>5470</v>
      </c>
      <c r="D9844" t="s">
        <v>4119</v>
      </c>
      <c r="E9844" t="s">
        <v>5532</v>
      </c>
      <c r="F9844" t="s">
        <v>34522</v>
      </c>
      <c r="G9844" t="s">
        <v>30780</v>
      </c>
      <c r="H9844" t="s">
        <v>5474</v>
      </c>
      <c r="I9844" t="s">
        <v>34523</v>
      </c>
      <c r="J9844" t="s">
        <v>5484</v>
      </c>
      <c r="K9844" t="s">
        <v>34524</v>
      </c>
      <c r="L9844" t="s">
        <v>5471</v>
      </c>
      <c r="M9844" t="s">
        <v>5471</v>
      </c>
    </row>
    <row r="9845" spans="1:13" x14ac:dyDescent="0.3">
      <c r="A9845" t="s">
        <v>3388</v>
      </c>
      <c r="B9845" t="s">
        <v>11311</v>
      </c>
      <c r="C9845" t="s">
        <v>5470</v>
      </c>
      <c r="D9845" t="s">
        <v>4119</v>
      </c>
      <c r="E9845" t="s">
        <v>5756</v>
      </c>
      <c r="F9845" t="s">
        <v>34525</v>
      </c>
      <c r="G9845" t="s">
        <v>32815</v>
      </c>
      <c r="H9845" t="s">
        <v>5474</v>
      </c>
      <c r="I9845" t="s">
        <v>34526</v>
      </c>
      <c r="J9845" t="s">
        <v>5484</v>
      </c>
      <c r="K9845" t="s">
        <v>34527</v>
      </c>
      <c r="L9845" t="s">
        <v>5471</v>
      </c>
      <c r="M9845" t="s">
        <v>5471</v>
      </c>
    </row>
    <row r="9846" spans="1:13" x14ac:dyDescent="0.3">
      <c r="A9846" t="s">
        <v>3380</v>
      </c>
      <c r="B9846" t="s">
        <v>9677</v>
      </c>
      <c r="C9846" t="s">
        <v>6342</v>
      </c>
      <c r="D9846" t="s">
        <v>4119</v>
      </c>
      <c r="E9846" t="s">
        <v>5532</v>
      </c>
      <c r="F9846" t="s">
        <v>34528</v>
      </c>
      <c r="G9846" t="s">
        <v>26150</v>
      </c>
      <c r="H9846" t="s">
        <v>5474</v>
      </c>
      <c r="I9846" t="s">
        <v>34529</v>
      </c>
      <c r="J9846" t="s">
        <v>5484</v>
      </c>
      <c r="K9846" t="s">
        <v>34530</v>
      </c>
      <c r="L9846" t="s">
        <v>5471</v>
      </c>
      <c r="M9846" t="s">
        <v>5471</v>
      </c>
    </row>
    <row r="9847" spans="1:13" x14ac:dyDescent="0.3">
      <c r="A9847" t="s">
        <v>3388</v>
      </c>
      <c r="B9847" t="s">
        <v>5296</v>
      </c>
      <c r="C9847" t="s">
        <v>5470</v>
      </c>
      <c r="D9847" t="s">
        <v>4119</v>
      </c>
      <c r="E9847" t="s">
        <v>5532</v>
      </c>
      <c r="F9847" t="s">
        <v>34531</v>
      </c>
      <c r="G9847" t="s">
        <v>18360</v>
      </c>
      <c r="H9847" t="s">
        <v>5474</v>
      </c>
      <c r="I9847" t="s">
        <v>34532</v>
      </c>
      <c r="J9847" t="s">
        <v>5484</v>
      </c>
      <c r="K9847" t="s">
        <v>34533</v>
      </c>
      <c r="L9847" t="s">
        <v>5471</v>
      </c>
      <c r="M9847" t="s">
        <v>5471</v>
      </c>
    </row>
    <row r="9848" spans="1:13" x14ac:dyDescent="0.3">
      <c r="A9848" t="s">
        <v>3388</v>
      </c>
      <c r="B9848" t="s">
        <v>11311</v>
      </c>
      <c r="C9848" t="s">
        <v>5470</v>
      </c>
      <c r="D9848" t="s">
        <v>4119</v>
      </c>
      <c r="E9848" t="s">
        <v>5756</v>
      </c>
      <c r="F9848" t="s">
        <v>34534</v>
      </c>
      <c r="G9848" t="s">
        <v>32815</v>
      </c>
      <c r="H9848" t="s">
        <v>5474</v>
      </c>
      <c r="I9848" t="s">
        <v>34535</v>
      </c>
      <c r="J9848" t="s">
        <v>5484</v>
      </c>
      <c r="K9848" t="s">
        <v>34536</v>
      </c>
      <c r="L9848" t="s">
        <v>5471</v>
      </c>
      <c r="M9848" t="s">
        <v>5471</v>
      </c>
    </row>
    <row r="9849" spans="1:13" x14ac:dyDescent="0.3">
      <c r="A9849" t="s">
        <v>3380</v>
      </c>
      <c r="B9849" t="s">
        <v>9677</v>
      </c>
      <c r="C9849" t="s">
        <v>6342</v>
      </c>
      <c r="D9849" t="s">
        <v>4119</v>
      </c>
      <c r="E9849" t="s">
        <v>9935</v>
      </c>
      <c r="F9849" t="s">
        <v>34537</v>
      </c>
      <c r="G9849" t="s">
        <v>26150</v>
      </c>
      <c r="H9849" t="s">
        <v>5474</v>
      </c>
      <c r="I9849" t="s">
        <v>34538</v>
      </c>
      <c r="J9849" t="s">
        <v>5484</v>
      </c>
      <c r="K9849" t="s">
        <v>10555</v>
      </c>
      <c r="L9849" t="s">
        <v>5471</v>
      </c>
      <c r="M9849" t="s">
        <v>5471</v>
      </c>
    </row>
    <row r="9850" spans="1:13" x14ac:dyDescent="0.3">
      <c r="A9850" t="s">
        <v>3388</v>
      </c>
      <c r="B9850" t="s">
        <v>34011</v>
      </c>
      <c r="C9850" t="s">
        <v>5470</v>
      </c>
      <c r="D9850" t="s">
        <v>4119</v>
      </c>
      <c r="E9850" t="s">
        <v>5532</v>
      </c>
      <c r="F9850" t="s">
        <v>34539</v>
      </c>
      <c r="G9850" t="s">
        <v>18360</v>
      </c>
      <c r="H9850" t="s">
        <v>5474</v>
      </c>
      <c r="I9850" t="s">
        <v>34540</v>
      </c>
      <c r="J9850" t="s">
        <v>5484</v>
      </c>
      <c r="K9850" t="s">
        <v>34541</v>
      </c>
      <c r="L9850" t="s">
        <v>5471</v>
      </c>
      <c r="M9850" t="s">
        <v>5471</v>
      </c>
    </row>
    <row r="9851" spans="1:13" x14ac:dyDescent="0.3">
      <c r="A9851" t="s">
        <v>3388</v>
      </c>
      <c r="B9851" t="s">
        <v>11311</v>
      </c>
      <c r="C9851" t="s">
        <v>5470</v>
      </c>
      <c r="D9851" t="s">
        <v>4119</v>
      </c>
      <c r="E9851" t="s">
        <v>5756</v>
      </c>
      <c r="F9851" t="s">
        <v>34542</v>
      </c>
      <c r="G9851" t="s">
        <v>32815</v>
      </c>
      <c r="H9851" t="s">
        <v>5474</v>
      </c>
      <c r="I9851" t="s">
        <v>34543</v>
      </c>
      <c r="J9851" t="s">
        <v>5484</v>
      </c>
      <c r="K9851" t="s">
        <v>34544</v>
      </c>
      <c r="L9851" t="s">
        <v>5471</v>
      </c>
      <c r="M9851" t="s">
        <v>5471</v>
      </c>
    </row>
    <row r="9852" spans="1:13" x14ac:dyDescent="0.3">
      <c r="A9852" t="s">
        <v>3380</v>
      </c>
      <c r="B9852" t="s">
        <v>9677</v>
      </c>
      <c r="C9852" t="s">
        <v>6342</v>
      </c>
      <c r="D9852" t="s">
        <v>4119</v>
      </c>
      <c r="E9852" t="s">
        <v>9935</v>
      </c>
      <c r="F9852" t="s">
        <v>34545</v>
      </c>
      <c r="G9852" t="s">
        <v>26150</v>
      </c>
      <c r="H9852" t="s">
        <v>5474</v>
      </c>
      <c r="I9852" t="s">
        <v>34546</v>
      </c>
      <c r="J9852" t="s">
        <v>5484</v>
      </c>
      <c r="K9852" t="s">
        <v>10804</v>
      </c>
      <c r="L9852" t="s">
        <v>5471</v>
      </c>
      <c r="M9852" t="s">
        <v>5471</v>
      </c>
    </row>
    <row r="9853" spans="1:13" x14ac:dyDescent="0.3">
      <c r="A9853" t="s">
        <v>3388</v>
      </c>
      <c r="B9853" t="s">
        <v>11311</v>
      </c>
      <c r="C9853" t="s">
        <v>5470</v>
      </c>
      <c r="D9853" t="s">
        <v>4119</v>
      </c>
      <c r="E9853" t="s">
        <v>5756</v>
      </c>
      <c r="F9853" t="s">
        <v>34547</v>
      </c>
      <c r="G9853" t="s">
        <v>32815</v>
      </c>
      <c r="H9853" t="s">
        <v>5474</v>
      </c>
      <c r="I9853" t="s">
        <v>34548</v>
      </c>
      <c r="J9853" t="s">
        <v>5484</v>
      </c>
      <c r="K9853" t="s">
        <v>34549</v>
      </c>
      <c r="L9853" t="s">
        <v>5471</v>
      </c>
      <c r="M9853" t="s">
        <v>5471</v>
      </c>
    </row>
    <row r="9854" spans="1:13" x14ac:dyDescent="0.3">
      <c r="A9854" t="s">
        <v>3380</v>
      </c>
      <c r="B9854" t="s">
        <v>9677</v>
      </c>
      <c r="C9854" t="s">
        <v>6342</v>
      </c>
      <c r="D9854" t="s">
        <v>4119</v>
      </c>
      <c r="E9854" t="s">
        <v>9935</v>
      </c>
      <c r="F9854" t="s">
        <v>34550</v>
      </c>
      <c r="G9854" t="s">
        <v>26150</v>
      </c>
      <c r="H9854" t="s">
        <v>5474</v>
      </c>
      <c r="I9854" t="s">
        <v>34551</v>
      </c>
      <c r="J9854" t="s">
        <v>5484</v>
      </c>
      <c r="K9854" t="s">
        <v>10558</v>
      </c>
      <c r="L9854" t="s">
        <v>5471</v>
      </c>
      <c r="M9854" t="s">
        <v>5471</v>
      </c>
    </row>
    <row r="9855" spans="1:13" x14ac:dyDescent="0.3">
      <c r="A9855" t="s">
        <v>3388</v>
      </c>
      <c r="B9855" t="s">
        <v>22076</v>
      </c>
      <c r="C9855" t="s">
        <v>5470</v>
      </c>
      <c r="D9855" t="s">
        <v>4119</v>
      </c>
      <c r="E9855" t="s">
        <v>5532</v>
      </c>
      <c r="F9855" t="s">
        <v>34552</v>
      </c>
      <c r="G9855" t="s">
        <v>31651</v>
      </c>
      <c r="H9855" t="s">
        <v>5474</v>
      </c>
      <c r="I9855" t="s">
        <v>34553</v>
      </c>
      <c r="J9855" t="s">
        <v>5484</v>
      </c>
      <c r="K9855" t="s">
        <v>34554</v>
      </c>
      <c r="L9855" t="s">
        <v>5471</v>
      </c>
      <c r="M9855" t="s">
        <v>5471</v>
      </c>
    </row>
    <row r="9856" spans="1:13" x14ac:dyDescent="0.3">
      <c r="A9856" t="s">
        <v>3388</v>
      </c>
      <c r="B9856" t="s">
        <v>6540</v>
      </c>
      <c r="C9856" t="s">
        <v>5470</v>
      </c>
      <c r="D9856" t="s">
        <v>4119</v>
      </c>
      <c r="E9856" t="s">
        <v>5756</v>
      </c>
      <c r="F9856" t="s">
        <v>34555</v>
      </c>
      <c r="G9856" t="s">
        <v>9695</v>
      </c>
      <c r="H9856" t="s">
        <v>5474</v>
      </c>
      <c r="I9856" t="s">
        <v>34556</v>
      </c>
      <c r="J9856" t="s">
        <v>5484</v>
      </c>
      <c r="K9856" t="s">
        <v>34557</v>
      </c>
      <c r="L9856" t="s">
        <v>5471</v>
      </c>
      <c r="M9856" t="s">
        <v>5471</v>
      </c>
    </row>
    <row r="9857" spans="1:13" x14ac:dyDescent="0.3">
      <c r="A9857" t="s">
        <v>3380</v>
      </c>
      <c r="B9857" t="s">
        <v>9677</v>
      </c>
      <c r="C9857" t="s">
        <v>6342</v>
      </c>
      <c r="D9857" t="s">
        <v>4119</v>
      </c>
      <c r="E9857" t="s">
        <v>9935</v>
      </c>
      <c r="F9857" t="s">
        <v>34558</v>
      </c>
      <c r="G9857" t="s">
        <v>26150</v>
      </c>
      <c r="H9857" t="s">
        <v>5474</v>
      </c>
      <c r="I9857" t="s">
        <v>34559</v>
      </c>
      <c r="J9857" t="s">
        <v>5484</v>
      </c>
      <c r="K9857" t="s">
        <v>10811</v>
      </c>
      <c r="L9857" t="s">
        <v>5471</v>
      </c>
      <c r="M9857" t="s">
        <v>5471</v>
      </c>
    </row>
    <row r="9858" spans="1:13" x14ac:dyDescent="0.3">
      <c r="A9858" t="s">
        <v>3388</v>
      </c>
      <c r="B9858" t="s">
        <v>6540</v>
      </c>
      <c r="C9858" t="s">
        <v>5470</v>
      </c>
      <c r="D9858" t="s">
        <v>4119</v>
      </c>
      <c r="E9858" t="s">
        <v>5532</v>
      </c>
      <c r="F9858" t="s">
        <v>34560</v>
      </c>
      <c r="G9858" t="s">
        <v>18019</v>
      </c>
      <c r="H9858" t="s">
        <v>5474</v>
      </c>
      <c r="I9858" t="s">
        <v>34561</v>
      </c>
      <c r="J9858" t="s">
        <v>5484</v>
      </c>
      <c r="K9858" t="s">
        <v>34562</v>
      </c>
      <c r="L9858" t="s">
        <v>5471</v>
      </c>
      <c r="M9858" t="s">
        <v>5471</v>
      </c>
    </row>
    <row r="9859" spans="1:13" x14ac:dyDescent="0.3">
      <c r="A9859" t="s">
        <v>3388</v>
      </c>
      <c r="B9859" t="s">
        <v>6540</v>
      </c>
      <c r="C9859" t="s">
        <v>5470</v>
      </c>
      <c r="D9859" t="s">
        <v>4119</v>
      </c>
      <c r="E9859" t="s">
        <v>5756</v>
      </c>
      <c r="F9859" t="s">
        <v>34563</v>
      </c>
      <c r="G9859" t="s">
        <v>9695</v>
      </c>
      <c r="H9859" t="s">
        <v>5474</v>
      </c>
      <c r="I9859" t="s">
        <v>34564</v>
      </c>
      <c r="J9859" t="s">
        <v>5484</v>
      </c>
      <c r="K9859" t="s">
        <v>34565</v>
      </c>
      <c r="L9859" t="s">
        <v>5471</v>
      </c>
      <c r="M9859" t="s">
        <v>5471</v>
      </c>
    </row>
    <row r="9860" spans="1:13" x14ac:dyDescent="0.3">
      <c r="A9860" t="s">
        <v>3380</v>
      </c>
      <c r="B9860" t="s">
        <v>9677</v>
      </c>
      <c r="C9860" t="s">
        <v>6342</v>
      </c>
      <c r="D9860" t="s">
        <v>4119</v>
      </c>
      <c r="E9860" t="s">
        <v>9935</v>
      </c>
      <c r="F9860" t="s">
        <v>34566</v>
      </c>
      <c r="G9860" t="s">
        <v>26150</v>
      </c>
      <c r="H9860" t="s">
        <v>5474</v>
      </c>
      <c r="I9860" t="s">
        <v>34567</v>
      </c>
      <c r="J9860" t="s">
        <v>5484</v>
      </c>
      <c r="K9860" t="s">
        <v>22786</v>
      </c>
      <c r="L9860" t="s">
        <v>5471</v>
      </c>
      <c r="M9860" t="s">
        <v>5471</v>
      </c>
    </row>
    <row r="9861" spans="1:13" x14ac:dyDescent="0.3">
      <c r="A9861" t="s">
        <v>3388</v>
      </c>
      <c r="B9861" t="s">
        <v>15580</v>
      </c>
      <c r="C9861" t="s">
        <v>5470</v>
      </c>
      <c r="D9861" t="s">
        <v>4119</v>
      </c>
      <c r="E9861" t="s">
        <v>5756</v>
      </c>
      <c r="F9861" t="s">
        <v>34568</v>
      </c>
      <c r="G9861" t="s">
        <v>17591</v>
      </c>
      <c r="H9861" t="s">
        <v>5474</v>
      </c>
      <c r="I9861" t="s">
        <v>34569</v>
      </c>
      <c r="J9861" t="s">
        <v>5484</v>
      </c>
      <c r="K9861" t="s">
        <v>34570</v>
      </c>
      <c r="L9861" t="s">
        <v>5471</v>
      </c>
      <c r="M9861" t="s">
        <v>5471</v>
      </c>
    </row>
    <row r="9862" spans="1:13" x14ac:dyDescent="0.3">
      <c r="A9862" t="s">
        <v>3388</v>
      </c>
      <c r="B9862" t="s">
        <v>6540</v>
      </c>
      <c r="C9862" t="s">
        <v>5470</v>
      </c>
      <c r="D9862" t="s">
        <v>4119</v>
      </c>
      <c r="E9862" t="s">
        <v>5532</v>
      </c>
      <c r="F9862" t="s">
        <v>34571</v>
      </c>
      <c r="G9862" t="s">
        <v>34572</v>
      </c>
      <c r="H9862" t="s">
        <v>5474</v>
      </c>
      <c r="I9862" t="s">
        <v>34573</v>
      </c>
      <c r="J9862" t="s">
        <v>5484</v>
      </c>
      <c r="K9862" t="s">
        <v>34574</v>
      </c>
      <c r="L9862" t="s">
        <v>5471</v>
      </c>
      <c r="M9862" t="s">
        <v>5471</v>
      </c>
    </row>
    <row r="9863" spans="1:13" x14ac:dyDescent="0.3">
      <c r="A9863" t="s">
        <v>3380</v>
      </c>
      <c r="B9863" t="s">
        <v>9677</v>
      </c>
      <c r="C9863" t="s">
        <v>6342</v>
      </c>
      <c r="D9863" t="s">
        <v>4119</v>
      </c>
      <c r="E9863" t="s">
        <v>5532</v>
      </c>
      <c r="F9863" t="s">
        <v>34575</v>
      </c>
      <c r="G9863" t="s">
        <v>34576</v>
      </c>
      <c r="H9863" t="s">
        <v>5474</v>
      </c>
      <c r="I9863" t="s">
        <v>34577</v>
      </c>
      <c r="J9863" t="s">
        <v>5484</v>
      </c>
      <c r="K9863" t="s">
        <v>34578</v>
      </c>
      <c r="L9863" t="s">
        <v>5471</v>
      </c>
      <c r="M9863" t="s">
        <v>5471</v>
      </c>
    </row>
    <row r="9864" spans="1:13" x14ac:dyDescent="0.3">
      <c r="A9864" t="s">
        <v>3388</v>
      </c>
      <c r="B9864" t="s">
        <v>15580</v>
      </c>
      <c r="C9864" t="s">
        <v>5470</v>
      </c>
      <c r="D9864" t="s">
        <v>4119</v>
      </c>
      <c r="E9864" t="s">
        <v>5756</v>
      </c>
      <c r="F9864" t="s">
        <v>34579</v>
      </c>
      <c r="G9864" t="s">
        <v>17591</v>
      </c>
      <c r="H9864" t="s">
        <v>5474</v>
      </c>
      <c r="I9864" t="s">
        <v>34580</v>
      </c>
      <c r="J9864" t="s">
        <v>5484</v>
      </c>
      <c r="K9864" t="s">
        <v>34581</v>
      </c>
      <c r="L9864" t="s">
        <v>5471</v>
      </c>
      <c r="M9864" t="s">
        <v>5471</v>
      </c>
    </row>
    <row r="9865" spans="1:13" x14ac:dyDescent="0.3">
      <c r="A9865" t="s">
        <v>3388</v>
      </c>
      <c r="B9865" t="s">
        <v>6540</v>
      </c>
      <c r="C9865" t="s">
        <v>5470</v>
      </c>
      <c r="D9865" t="s">
        <v>4119</v>
      </c>
      <c r="E9865" t="s">
        <v>5532</v>
      </c>
      <c r="F9865" t="s">
        <v>34582</v>
      </c>
      <c r="G9865" t="s">
        <v>21915</v>
      </c>
      <c r="H9865" t="s">
        <v>5474</v>
      </c>
      <c r="I9865" t="s">
        <v>34583</v>
      </c>
      <c r="J9865" t="s">
        <v>5484</v>
      </c>
      <c r="K9865" t="s">
        <v>34584</v>
      </c>
      <c r="L9865" t="s">
        <v>5471</v>
      </c>
      <c r="M9865" t="s">
        <v>5471</v>
      </c>
    </row>
    <row r="9866" spans="1:13" x14ac:dyDescent="0.3">
      <c r="A9866" t="s">
        <v>3380</v>
      </c>
      <c r="B9866" t="s">
        <v>9677</v>
      </c>
      <c r="C9866" t="s">
        <v>6342</v>
      </c>
      <c r="D9866" t="s">
        <v>4119</v>
      </c>
      <c r="E9866" t="s">
        <v>9935</v>
      </c>
      <c r="F9866" t="s">
        <v>34585</v>
      </c>
      <c r="G9866" t="s">
        <v>28488</v>
      </c>
      <c r="H9866" t="s">
        <v>5474</v>
      </c>
      <c r="I9866" t="s">
        <v>34586</v>
      </c>
      <c r="J9866" t="s">
        <v>5484</v>
      </c>
      <c r="K9866" t="s">
        <v>34587</v>
      </c>
      <c r="L9866" t="s">
        <v>5471</v>
      </c>
      <c r="M9866" t="s">
        <v>5471</v>
      </c>
    </row>
    <row r="9867" spans="1:13" x14ac:dyDescent="0.3">
      <c r="A9867" t="s">
        <v>3388</v>
      </c>
      <c r="B9867" t="s">
        <v>15596</v>
      </c>
      <c r="C9867" t="s">
        <v>5470</v>
      </c>
      <c r="D9867" t="s">
        <v>4119</v>
      </c>
      <c r="E9867" t="s">
        <v>5756</v>
      </c>
      <c r="F9867" t="s">
        <v>34588</v>
      </c>
      <c r="G9867" t="s">
        <v>17747</v>
      </c>
      <c r="H9867" t="s">
        <v>5474</v>
      </c>
      <c r="I9867" t="s">
        <v>34589</v>
      </c>
      <c r="J9867" t="s">
        <v>5484</v>
      </c>
      <c r="K9867" t="s">
        <v>34590</v>
      </c>
      <c r="L9867" t="s">
        <v>5471</v>
      </c>
      <c r="M9867" t="s">
        <v>5471</v>
      </c>
    </row>
    <row r="9868" spans="1:13" x14ac:dyDescent="0.3">
      <c r="A9868" t="s">
        <v>3388</v>
      </c>
      <c r="B9868" t="s">
        <v>6540</v>
      </c>
      <c r="C9868" t="s">
        <v>5470</v>
      </c>
      <c r="D9868" t="s">
        <v>4119</v>
      </c>
      <c r="E9868" t="s">
        <v>5756</v>
      </c>
      <c r="F9868" t="s">
        <v>34591</v>
      </c>
      <c r="G9868" t="s">
        <v>22464</v>
      </c>
      <c r="H9868" t="s">
        <v>5474</v>
      </c>
      <c r="I9868" t="s">
        <v>34592</v>
      </c>
      <c r="J9868" t="s">
        <v>5484</v>
      </c>
      <c r="K9868" t="s">
        <v>34593</v>
      </c>
      <c r="L9868" t="s">
        <v>5471</v>
      </c>
      <c r="M9868" t="s">
        <v>5471</v>
      </c>
    </row>
    <row r="9869" spans="1:13" x14ac:dyDescent="0.3">
      <c r="A9869" t="s">
        <v>3380</v>
      </c>
      <c r="B9869" t="s">
        <v>9677</v>
      </c>
      <c r="C9869" t="s">
        <v>6342</v>
      </c>
      <c r="D9869" t="s">
        <v>4119</v>
      </c>
      <c r="E9869" t="s">
        <v>9935</v>
      </c>
      <c r="F9869" t="s">
        <v>34594</v>
      </c>
      <c r="G9869" t="s">
        <v>34356</v>
      </c>
      <c r="H9869" t="s">
        <v>5474</v>
      </c>
      <c r="I9869" t="s">
        <v>34595</v>
      </c>
      <c r="J9869" t="s">
        <v>5484</v>
      </c>
      <c r="K9869" t="s">
        <v>34596</v>
      </c>
      <c r="L9869" t="s">
        <v>5471</v>
      </c>
      <c r="M9869" t="s">
        <v>5471</v>
      </c>
    </row>
    <row r="9870" spans="1:13" x14ac:dyDescent="0.3">
      <c r="A9870" t="s">
        <v>3388</v>
      </c>
      <c r="B9870" t="s">
        <v>15596</v>
      </c>
      <c r="C9870" t="s">
        <v>5470</v>
      </c>
      <c r="D9870" t="s">
        <v>4119</v>
      </c>
      <c r="E9870" t="s">
        <v>5756</v>
      </c>
      <c r="F9870" t="s">
        <v>34597</v>
      </c>
      <c r="G9870" t="s">
        <v>17747</v>
      </c>
      <c r="H9870" t="s">
        <v>5474</v>
      </c>
      <c r="I9870" t="s">
        <v>34598</v>
      </c>
      <c r="J9870" t="s">
        <v>5484</v>
      </c>
      <c r="K9870" t="s">
        <v>34599</v>
      </c>
      <c r="L9870" t="s">
        <v>5471</v>
      </c>
      <c r="M9870" t="s">
        <v>5471</v>
      </c>
    </row>
    <row r="9871" spans="1:13" x14ac:dyDescent="0.3">
      <c r="A9871" t="s">
        <v>3388</v>
      </c>
      <c r="B9871" t="s">
        <v>6540</v>
      </c>
      <c r="C9871" t="s">
        <v>5470</v>
      </c>
      <c r="D9871" t="s">
        <v>4119</v>
      </c>
      <c r="E9871" t="s">
        <v>5756</v>
      </c>
      <c r="F9871" t="s">
        <v>34600</v>
      </c>
      <c r="G9871" t="s">
        <v>9695</v>
      </c>
      <c r="H9871" t="s">
        <v>5474</v>
      </c>
      <c r="I9871" t="s">
        <v>34601</v>
      </c>
      <c r="J9871" t="s">
        <v>5484</v>
      </c>
      <c r="K9871" t="s">
        <v>34602</v>
      </c>
      <c r="L9871" t="s">
        <v>5471</v>
      </c>
      <c r="M9871" t="s">
        <v>5471</v>
      </c>
    </row>
    <row r="9872" spans="1:13" x14ac:dyDescent="0.3">
      <c r="A9872" t="s">
        <v>3380</v>
      </c>
      <c r="B9872" t="s">
        <v>9677</v>
      </c>
      <c r="C9872" t="s">
        <v>6342</v>
      </c>
      <c r="D9872" t="s">
        <v>4119</v>
      </c>
      <c r="E9872" t="s">
        <v>9935</v>
      </c>
      <c r="F9872" t="s">
        <v>34603</v>
      </c>
      <c r="G9872" t="s">
        <v>34604</v>
      </c>
      <c r="H9872" t="s">
        <v>5474</v>
      </c>
      <c r="I9872" t="s">
        <v>34605</v>
      </c>
      <c r="J9872" t="s">
        <v>5484</v>
      </c>
      <c r="K9872" t="s">
        <v>34606</v>
      </c>
      <c r="L9872" t="s">
        <v>5471</v>
      </c>
      <c r="M9872" t="s">
        <v>5471</v>
      </c>
    </row>
    <row r="9873" spans="1:13" x14ac:dyDescent="0.3">
      <c r="A9873" t="s">
        <v>3388</v>
      </c>
      <c r="B9873" t="s">
        <v>6540</v>
      </c>
      <c r="C9873" t="s">
        <v>5470</v>
      </c>
      <c r="D9873" t="s">
        <v>4119</v>
      </c>
      <c r="E9873" t="s">
        <v>5756</v>
      </c>
      <c r="F9873" t="s">
        <v>34607</v>
      </c>
      <c r="G9873" t="s">
        <v>9695</v>
      </c>
      <c r="H9873" t="s">
        <v>5474</v>
      </c>
      <c r="I9873" t="s">
        <v>34608</v>
      </c>
      <c r="J9873" t="s">
        <v>5484</v>
      </c>
      <c r="K9873" t="s">
        <v>34609</v>
      </c>
      <c r="L9873" t="s">
        <v>5471</v>
      </c>
      <c r="M9873" t="s">
        <v>5471</v>
      </c>
    </row>
    <row r="9874" spans="1:13" x14ac:dyDescent="0.3">
      <c r="A9874" t="s">
        <v>3380</v>
      </c>
      <c r="B9874" t="s">
        <v>9677</v>
      </c>
      <c r="C9874" t="s">
        <v>6342</v>
      </c>
      <c r="D9874" t="s">
        <v>4119</v>
      </c>
      <c r="E9874" t="s">
        <v>9935</v>
      </c>
      <c r="F9874" t="s">
        <v>34610</v>
      </c>
      <c r="G9874" t="s">
        <v>10016</v>
      </c>
      <c r="H9874" t="s">
        <v>5474</v>
      </c>
      <c r="I9874" t="s">
        <v>34611</v>
      </c>
      <c r="J9874" t="s">
        <v>5484</v>
      </c>
      <c r="K9874" t="s">
        <v>34612</v>
      </c>
      <c r="L9874" t="s">
        <v>5471</v>
      </c>
      <c r="M9874" t="s">
        <v>5471</v>
      </c>
    </row>
    <row r="9875" spans="1:13" x14ac:dyDescent="0.3">
      <c r="A9875" t="s">
        <v>3388</v>
      </c>
      <c r="B9875" t="s">
        <v>6540</v>
      </c>
      <c r="C9875" t="s">
        <v>5470</v>
      </c>
      <c r="D9875" t="s">
        <v>4119</v>
      </c>
      <c r="E9875" t="s">
        <v>5756</v>
      </c>
      <c r="F9875" t="s">
        <v>34613</v>
      </c>
      <c r="G9875" t="s">
        <v>9695</v>
      </c>
      <c r="H9875" t="s">
        <v>5474</v>
      </c>
      <c r="I9875" t="s">
        <v>34614</v>
      </c>
      <c r="J9875" t="s">
        <v>5484</v>
      </c>
      <c r="K9875" t="s">
        <v>34615</v>
      </c>
      <c r="L9875" t="s">
        <v>5471</v>
      </c>
      <c r="M9875" t="s">
        <v>5471</v>
      </c>
    </row>
    <row r="9876" spans="1:13" x14ac:dyDescent="0.3">
      <c r="A9876" t="s">
        <v>3380</v>
      </c>
      <c r="B9876" t="s">
        <v>9677</v>
      </c>
      <c r="C9876" t="s">
        <v>6342</v>
      </c>
      <c r="D9876" t="s">
        <v>4119</v>
      </c>
      <c r="E9876" t="s">
        <v>9935</v>
      </c>
      <c r="F9876" t="s">
        <v>34616</v>
      </c>
      <c r="G9876" t="s">
        <v>34397</v>
      </c>
      <c r="H9876" t="s">
        <v>5474</v>
      </c>
      <c r="I9876" t="s">
        <v>34617</v>
      </c>
      <c r="J9876" t="s">
        <v>5484</v>
      </c>
      <c r="K9876" t="s">
        <v>34618</v>
      </c>
      <c r="L9876" t="s">
        <v>5471</v>
      </c>
      <c r="M9876" t="s">
        <v>5471</v>
      </c>
    </row>
    <row r="9877" spans="1:13" x14ac:dyDescent="0.3">
      <c r="A9877" t="s">
        <v>3388</v>
      </c>
      <c r="B9877" t="s">
        <v>6540</v>
      </c>
      <c r="C9877" t="s">
        <v>5470</v>
      </c>
      <c r="D9877" t="s">
        <v>4119</v>
      </c>
      <c r="E9877" t="s">
        <v>5756</v>
      </c>
      <c r="F9877" t="s">
        <v>34619</v>
      </c>
      <c r="G9877" t="s">
        <v>9695</v>
      </c>
      <c r="H9877" t="s">
        <v>5474</v>
      </c>
      <c r="I9877" t="s">
        <v>34620</v>
      </c>
      <c r="J9877" t="s">
        <v>5484</v>
      </c>
      <c r="K9877" t="s">
        <v>34621</v>
      </c>
      <c r="L9877" t="s">
        <v>5471</v>
      </c>
      <c r="M9877" t="s">
        <v>5471</v>
      </c>
    </row>
    <row r="9878" spans="1:13" x14ac:dyDescent="0.3">
      <c r="A9878" t="s">
        <v>3380</v>
      </c>
      <c r="B9878" t="s">
        <v>9677</v>
      </c>
      <c r="C9878" t="s">
        <v>6342</v>
      </c>
      <c r="D9878" t="s">
        <v>4119</v>
      </c>
      <c r="E9878" t="s">
        <v>9935</v>
      </c>
      <c r="F9878" t="s">
        <v>34622</v>
      </c>
      <c r="G9878" t="s">
        <v>34623</v>
      </c>
      <c r="H9878" t="s">
        <v>5474</v>
      </c>
      <c r="I9878" t="s">
        <v>34624</v>
      </c>
      <c r="J9878" t="s">
        <v>5484</v>
      </c>
      <c r="K9878" t="s">
        <v>23483</v>
      </c>
      <c r="L9878" t="s">
        <v>5471</v>
      </c>
      <c r="M9878" t="s">
        <v>5471</v>
      </c>
    </row>
    <row r="9879" spans="1:13" x14ac:dyDescent="0.3">
      <c r="A9879" t="s">
        <v>3388</v>
      </c>
      <c r="B9879" t="s">
        <v>6540</v>
      </c>
      <c r="C9879" t="s">
        <v>5470</v>
      </c>
      <c r="D9879" t="s">
        <v>4119</v>
      </c>
      <c r="E9879" t="s">
        <v>5756</v>
      </c>
      <c r="F9879" t="s">
        <v>34625</v>
      </c>
      <c r="G9879" t="s">
        <v>9695</v>
      </c>
      <c r="H9879" t="s">
        <v>5474</v>
      </c>
      <c r="I9879" t="s">
        <v>34626</v>
      </c>
      <c r="J9879" t="s">
        <v>5484</v>
      </c>
      <c r="K9879" t="s">
        <v>34627</v>
      </c>
      <c r="L9879" t="s">
        <v>5471</v>
      </c>
      <c r="M9879" t="s">
        <v>5471</v>
      </c>
    </row>
    <row r="9880" spans="1:13" x14ac:dyDescent="0.3">
      <c r="A9880" t="s">
        <v>3380</v>
      </c>
      <c r="B9880" t="s">
        <v>9677</v>
      </c>
      <c r="C9880" t="s">
        <v>6342</v>
      </c>
      <c r="D9880" t="s">
        <v>4119</v>
      </c>
      <c r="E9880" t="s">
        <v>9935</v>
      </c>
      <c r="F9880" t="s">
        <v>34628</v>
      </c>
      <c r="G9880" t="s">
        <v>34629</v>
      </c>
      <c r="H9880" t="s">
        <v>5474</v>
      </c>
      <c r="I9880" t="s">
        <v>34630</v>
      </c>
      <c r="J9880" t="s">
        <v>5484</v>
      </c>
      <c r="K9880" t="s">
        <v>23489</v>
      </c>
      <c r="L9880" t="s">
        <v>5471</v>
      </c>
      <c r="M9880" t="s">
        <v>5471</v>
      </c>
    </row>
    <row r="9881" spans="1:13" x14ac:dyDescent="0.3">
      <c r="A9881" t="s">
        <v>3388</v>
      </c>
      <c r="B9881" t="s">
        <v>15580</v>
      </c>
      <c r="C9881" t="s">
        <v>5470</v>
      </c>
      <c r="D9881" t="s">
        <v>30466</v>
      </c>
      <c r="E9881" t="s">
        <v>5756</v>
      </c>
      <c r="F9881" t="s">
        <v>34631</v>
      </c>
      <c r="G9881" t="s">
        <v>34632</v>
      </c>
      <c r="H9881" t="s">
        <v>5474</v>
      </c>
      <c r="I9881" t="s">
        <v>34633</v>
      </c>
      <c r="J9881" t="s">
        <v>5484</v>
      </c>
      <c r="K9881" t="s">
        <v>34634</v>
      </c>
      <c r="L9881" t="s">
        <v>5471</v>
      </c>
      <c r="M9881" t="s">
        <v>5471</v>
      </c>
    </row>
    <row r="9882" spans="1:13" x14ac:dyDescent="0.3">
      <c r="A9882" t="s">
        <v>3388</v>
      </c>
      <c r="B9882" t="s">
        <v>7109</v>
      </c>
      <c r="C9882" t="s">
        <v>5470</v>
      </c>
      <c r="D9882" t="s">
        <v>4119</v>
      </c>
      <c r="E9882" t="s">
        <v>5756</v>
      </c>
      <c r="F9882" t="s">
        <v>34635</v>
      </c>
      <c r="G9882" t="s">
        <v>19195</v>
      </c>
      <c r="H9882" t="s">
        <v>5474</v>
      </c>
      <c r="I9882" t="s">
        <v>34636</v>
      </c>
      <c r="J9882" t="s">
        <v>5484</v>
      </c>
      <c r="K9882" t="s">
        <v>34637</v>
      </c>
      <c r="L9882" t="s">
        <v>5471</v>
      </c>
      <c r="M9882" t="s">
        <v>5471</v>
      </c>
    </row>
    <row r="9883" spans="1:13" x14ac:dyDescent="0.3">
      <c r="A9883" t="s">
        <v>3380</v>
      </c>
      <c r="B9883" t="s">
        <v>9677</v>
      </c>
      <c r="C9883" t="s">
        <v>6342</v>
      </c>
      <c r="D9883" t="s">
        <v>4119</v>
      </c>
      <c r="E9883" t="s">
        <v>9935</v>
      </c>
      <c r="F9883" t="s">
        <v>34638</v>
      </c>
      <c r="G9883" t="s">
        <v>34639</v>
      </c>
      <c r="H9883" t="s">
        <v>5474</v>
      </c>
      <c r="I9883" t="s">
        <v>34640</v>
      </c>
      <c r="J9883" t="s">
        <v>5484</v>
      </c>
      <c r="K9883" t="s">
        <v>34641</v>
      </c>
      <c r="L9883" t="s">
        <v>5471</v>
      </c>
      <c r="M9883" t="s">
        <v>5471</v>
      </c>
    </row>
    <row r="9884" spans="1:13" x14ac:dyDescent="0.3">
      <c r="A9884" t="s">
        <v>3388</v>
      </c>
      <c r="B9884" t="s">
        <v>21853</v>
      </c>
      <c r="C9884" t="s">
        <v>5470</v>
      </c>
      <c r="D9884" t="s">
        <v>30466</v>
      </c>
      <c r="E9884" t="s">
        <v>5532</v>
      </c>
      <c r="F9884" t="s">
        <v>34642</v>
      </c>
      <c r="G9884" t="s">
        <v>21855</v>
      </c>
      <c r="H9884" t="s">
        <v>5474</v>
      </c>
      <c r="I9884" t="s">
        <v>34643</v>
      </c>
      <c r="J9884" t="s">
        <v>5484</v>
      </c>
      <c r="K9884" t="s">
        <v>34644</v>
      </c>
      <c r="L9884" t="s">
        <v>5471</v>
      </c>
      <c r="M9884" t="s">
        <v>5471</v>
      </c>
    </row>
    <row r="9885" spans="1:13" x14ac:dyDescent="0.3">
      <c r="A9885" t="s">
        <v>3388</v>
      </c>
      <c r="B9885" t="s">
        <v>7109</v>
      </c>
      <c r="C9885" t="s">
        <v>5470</v>
      </c>
      <c r="D9885" t="s">
        <v>4119</v>
      </c>
      <c r="E9885" t="s">
        <v>5756</v>
      </c>
      <c r="F9885" t="s">
        <v>34645</v>
      </c>
      <c r="G9885" t="s">
        <v>19195</v>
      </c>
      <c r="H9885" t="s">
        <v>5474</v>
      </c>
      <c r="I9885" t="s">
        <v>34646</v>
      </c>
      <c r="J9885" t="s">
        <v>5484</v>
      </c>
      <c r="K9885" t="s">
        <v>34647</v>
      </c>
      <c r="L9885" t="s">
        <v>5471</v>
      </c>
      <c r="M9885" t="s">
        <v>5471</v>
      </c>
    </row>
    <row r="9886" spans="1:13" x14ac:dyDescent="0.3">
      <c r="A9886" t="s">
        <v>3380</v>
      </c>
      <c r="B9886" t="s">
        <v>9677</v>
      </c>
      <c r="C9886" t="s">
        <v>6342</v>
      </c>
      <c r="D9886" t="s">
        <v>4119</v>
      </c>
      <c r="E9886" t="s">
        <v>9935</v>
      </c>
      <c r="F9886" t="s">
        <v>34648</v>
      </c>
      <c r="G9886" t="s">
        <v>34649</v>
      </c>
      <c r="H9886" t="s">
        <v>5474</v>
      </c>
      <c r="I9886" t="s">
        <v>34650</v>
      </c>
      <c r="J9886" t="s">
        <v>5484</v>
      </c>
      <c r="K9886" t="s">
        <v>30848</v>
      </c>
      <c r="L9886" t="s">
        <v>5471</v>
      </c>
      <c r="M9886" t="s">
        <v>5471</v>
      </c>
    </row>
    <row r="9887" spans="1:13" x14ac:dyDescent="0.3">
      <c r="A9887" t="s">
        <v>3388</v>
      </c>
      <c r="B9887" t="s">
        <v>21853</v>
      </c>
      <c r="C9887" t="s">
        <v>5470</v>
      </c>
      <c r="D9887" t="s">
        <v>30466</v>
      </c>
      <c r="E9887" t="s">
        <v>5532</v>
      </c>
      <c r="F9887" t="s">
        <v>34651</v>
      </c>
      <c r="G9887" t="s">
        <v>34652</v>
      </c>
      <c r="H9887" t="s">
        <v>5474</v>
      </c>
      <c r="I9887" t="s">
        <v>34653</v>
      </c>
      <c r="J9887" t="s">
        <v>5484</v>
      </c>
      <c r="K9887" t="s">
        <v>34654</v>
      </c>
      <c r="L9887" t="s">
        <v>5471</v>
      </c>
      <c r="M9887" t="s">
        <v>5471</v>
      </c>
    </row>
    <row r="9888" spans="1:13" x14ac:dyDescent="0.3">
      <c r="A9888" t="s">
        <v>3388</v>
      </c>
      <c r="B9888" t="s">
        <v>7109</v>
      </c>
      <c r="C9888" t="s">
        <v>5470</v>
      </c>
      <c r="D9888" t="s">
        <v>4119</v>
      </c>
      <c r="E9888" t="s">
        <v>5756</v>
      </c>
      <c r="F9888" t="s">
        <v>34655</v>
      </c>
      <c r="G9888" t="s">
        <v>19195</v>
      </c>
      <c r="H9888" t="s">
        <v>5474</v>
      </c>
      <c r="I9888" t="s">
        <v>34656</v>
      </c>
      <c r="J9888" t="s">
        <v>5484</v>
      </c>
      <c r="K9888" t="s">
        <v>34657</v>
      </c>
      <c r="L9888" t="s">
        <v>5471</v>
      </c>
      <c r="M9888" t="s">
        <v>5471</v>
      </c>
    </row>
    <row r="9889" spans="1:13" x14ac:dyDescent="0.3">
      <c r="A9889" t="s">
        <v>3380</v>
      </c>
      <c r="B9889" t="s">
        <v>9677</v>
      </c>
      <c r="C9889" t="s">
        <v>6342</v>
      </c>
      <c r="D9889" t="s">
        <v>4119</v>
      </c>
      <c r="E9889" t="s">
        <v>9935</v>
      </c>
      <c r="F9889" t="s">
        <v>34658</v>
      </c>
      <c r="G9889" t="s">
        <v>9679</v>
      </c>
      <c r="H9889" t="s">
        <v>5474</v>
      </c>
      <c r="I9889" t="s">
        <v>34659</v>
      </c>
      <c r="J9889" t="s">
        <v>5484</v>
      </c>
      <c r="K9889" t="s">
        <v>30854</v>
      </c>
      <c r="L9889" t="s">
        <v>5471</v>
      </c>
      <c r="M9889" t="s">
        <v>5471</v>
      </c>
    </row>
    <row r="9890" spans="1:13" x14ac:dyDescent="0.3">
      <c r="A9890" t="s">
        <v>3388</v>
      </c>
      <c r="B9890" t="s">
        <v>19207</v>
      </c>
      <c r="C9890" t="s">
        <v>5470</v>
      </c>
      <c r="D9890" t="s">
        <v>30466</v>
      </c>
      <c r="E9890" t="s">
        <v>5532</v>
      </c>
      <c r="F9890" t="s">
        <v>34660</v>
      </c>
      <c r="G9890" t="s">
        <v>22156</v>
      </c>
      <c r="H9890" t="s">
        <v>5474</v>
      </c>
      <c r="I9890" t="s">
        <v>34661</v>
      </c>
      <c r="J9890" t="s">
        <v>5484</v>
      </c>
      <c r="K9890" t="s">
        <v>34662</v>
      </c>
      <c r="L9890" t="s">
        <v>5471</v>
      </c>
      <c r="M9890" t="s">
        <v>5471</v>
      </c>
    </row>
    <row r="9891" spans="1:13" x14ac:dyDescent="0.3">
      <c r="A9891" t="s">
        <v>3388</v>
      </c>
      <c r="B9891" t="s">
        <v>7109</v>
      </c>
      <c r="C9891" t="s">
        <v>5470</v>
      </c>
      <c r="D9891" t="s">
        <v>4119</v>
      </c>
      <c r="E9891" t="s">
        <v>5756</v>
      </c>
      <c r="F9891" t="s">
        <v>34663</v>
      </c>
      <c r="G9891" t="s">
        <v>19195</v>
      </c>
      <c r="H9891" t="s">
        <v>5474</v>
      </c>
      <c r="I9891" t="s">
        <v>34664</v>
      </c>
      <c r="J9891" t="s">
        <v>5484</v>
      </c>
      <c r="K9891" t="s">
        <v>34665</v>
      </c>
      <c r="L9891" t="s">
        <v>5471</v>
      </c>
      <c r="M9891" t="s">
        <v>5471</v>
      </c>
    </row>
    <row r="9892" spans="1:13" x14ac:dyDescent="0.3">
      <c r="A9892" t="s">
        <v>3380</v>
      </c>
      <c r="B9892" t="s">
        <v>9677</v>
      </c>
      <c r="C9892" t="s">
        <v>6342</v>
      </c>
      <c r="D9892" t="s">
        <v>4119</v>
      </c>
      <c r="E9892" t="s">
        <v>9935</v>
      </c>
      <c r="F9892" t="s">
        <v>34666</v>
      </c>
      <c r="G9892" t="s">
        <v>9683</v>
      </c>
      <c r="H9892" t="s">
        <v>5474</v>
      </c>
      <c r="I9892" t="s">
        <v>34667</v>
      </c>
      <c r="J9892" t="s">
        <v>5484</v>
      </c>
      <c r="K9892" t="s">
        <v>30858</v>
      </c>
      <c r="L9892" t="s">
        <v>5471</v>
      </c>
      <c r="M9892" t="s">
        <v>5471</v>
      </c>
    </row>
    <row r="9893" spans="1:13" x14ac:dyDescent="0.3">
      <c r="A9893" t="s">
        <v>3388</v>
      </c>
      <c r="B9893" t="s">
        <v>19207</v>
      </c>
      <c r="C9893" t="s">
        <v>5470</v>
      </c>
      <c r="D9893" t="s">
        <v>30466</v>
      </c>
      <c r="E9893" t="s">
        <v>5532</v>
      </c>
      <c r="F9893" t="s">
        <v>34668</v>
      </c>
      <c r="G9893" t="s">
        <v>22290</v>
      </c>
      <c r="H9893" t="s">
        <v>5474</v>
      </c>
      <c r="I9893" t="s">
        <v>34669</v>
      </c>
      <c r="J9893" t="s">
        <v>5484</v>
      </c>
      <c r="K9893" t="s">
        <v>34670</v>
      </c>
      <c r="L9893" t="s">
        <v>5471</v>
      </c>
      <c r="M9893" t="s">
        <v>5471</v>
      </c>
    </row>
    <row r="9894" spans="1:13" x14ac:dyDescent="0.3">
      <c r="A9894" t="s">
        <v>3388</v>
      </c>
      <c r="B9894" t="s">
        <v>15961</v>
      </c>
      <c r="C9894" t="s">
        <v>5470</v>
      </c>
      <c r="D9894" t="s">
        <v>4119</v>
      </c>
      <c r="E9894" t="s">
        <v>5756</v>
      </c>
      <c r="F9894" t="s">
        <v>34671</v>
      </c>
      <c r="G9894" t="s">
        <v>15963</v>
      </c>
      <c r="H9894" t="s">
        <v>5474</v>
      </c>
      <c r="I9894" t="s">
        <v>34672</v>
      </c>
      <c r="J9894" t="s">
        <v>5484</v>
      </c>
      <c r="K9894" t="s">
        <v>34673</v>
      </c>
      <c r="L9894" t="s">
        <v>5471</v>
      </c>
      <c r="M9894" t="s">
        <v>5471</v>
      </c>
    </row>
    <row r="9895" spans="1:13" x14ac:dyDescent="0.3">
      <c r="A9895" t="s">
        <v>3380</v>
      </c>
      <c r="B9895" t="s">
        <v>9677</v>
      </c>
      <c r="C9895" t="s">
        <v>6342</v>
      </c>
      <c r="D9895" t="s">
        <v>4119</v>
      </c>
      <c r="E9895" t="s">
        <v>9935</v>
      </c>
      <c r="F9895" t="s">
        <v>34674</v>
      </c>
      <c r="G9895" t="s">
        <v>9687</v>
      </c>
      <c r="H9895" t="s">
        <v>5474</v>
      </c>
      <c r="I9895" t="s">
        <v>34675</v>
      </c>
      <c r="J9895" t="s">
        <v>5484</v>
      </c>
      <c r="K9895" t="s">
        <v>34676</v>
      </c>
      <c r="L9895" t="s">
        <v>5471</v>
      </c>
      <c r="M9895" t="s">
        <v>5471</v>
      </c>
    </row>
    <row r="9896" spans="1:13" x14ac:dyDescent="0.3">
      <c r="A9896" t="s">
        <v>3388</v>
      </c>
      <c r="B9896" t="s">
        <v>8799</v>
      </c>
      <c r="C9896" t="s">
        <v>5470</v>
      </c>
      <c r="D9896" t="s">
        <v>30466</v>
      </c>
      <c r="E9896" t="s">
        <v>34677</v>
      </c>
      <c r="F9896" t="s">
        <v>34678</v>
      </c>
      <c r="G9896" t="s">
        <v>21483</v>
      </c>
      <c r="H9896" t="s">
        <v>5474</v>
      </c>
      <c r="I9896" t="s">
        <v>34679</v>
      </c>
      <c r="J9896" t="s">
        <v>5484</v>
      </c>
      <c r="K9896" t="s">
        <v>34680</v>
      </c>
      <c r="L9896" t="s">
        <v>5471</v>
      </c>
      <c r="M9896" t="s">
        <v>5471</v>
      </c>
    </row>
    <row r="9897" spans="1:13" x14ac:dyDescent="0.3">
      <c r="A9897" t="s">
        <v>3388</v>
      </c>
      <c r="B9897" t="s">
        <v>15961</v>
      </c>
      <c r="C9897" t="s">
        <v>5470</v>
      </c>
      <c r="D9897" t="s">
        <v>4119</v>
      </c>
      <c r="E9897" t="s">
        <v>5756</v>
      </c>
      <c r="F9897" t="s">
        <v>34681</v>
      </c>
      <c r="G9897" t="s">
        <v>15963</v>
      </c>
      <c r="H9897" t="s">
        <v>5474</v>
      </c>
      <c r="I9897" t="s">
        <v>34682</v>
      </c>
      <c r="J9897" t="s">
        <v>5484</v>
      </c>
      <c r="K9897" t="s">
        <v>34683</v>
      </c>
      <c r="L9897" t="s">
        <v>5471</v>
      </c>
      <c r="M9897" t="s">
        <v>5471</v>
      </c>
    </row>
    <row r="9898" spans="1:13" x14ac:dyDescent="0.3">
      <c r="A9898" t="s">
        <v>3380</v>
      </c>
      <c r="B9898" t="s">
        <v>9677</v>
      </c>
      <c r="C9898" t="s">
        <v>6342</v>
      </c>
      <c r="D9898" t="s">
        <v>4119</v>
      </c>
      <c r="E9898" t="s">
        <v>5532</v>
      </c>
      <c r="F9898" t="s">
        <v>34684</v>
      </c>
      <c r="G9898" t="s">
        <v>34576</v>
      </c>
      <c r="H9898" t="s">
        <v>5474</v>
      </c>
      <c r="I9898" t="s">
        <v>34685</v>
      </c>
      <c r="J9898" t="s">
        <v>5484</v>
      </c>
      <c r="K9898" t="s">
        <v>34686</v>
      </c>
      <c r="L9898" t="s">
        <v>5471</v>
      </c>
      <c r="M9898" t="s">
        <v>5471</v>
      </c>
    </row>
    <row r="9899" spans="1:13" x14ac:dyDescent="0.3">
      <c r="A9899" t="s">
        <v>3388</v>
      </c>
      <c r="B9899" t="s">
        <v>8799</v>
      </c>
      <c r="C9899" t="s">
        <v>5470</v>
      </c>
      <c r="D9899" t="s">
        <v>30466</v>
      </c>
      <c r="E9899" t="s">
        <v>34677</v>
      </c>
      <c r="F9899" t="s">
        <v>34687</v>
      </c>
      <c r="G9899" t="s">
        <v>34688</v>
      </c>
      <c r="H9899" t="s">
        <v>5474</v>
      </c>
      <c r="I9899" t="s">
        <v>34689</v>
      </c>
      <c r="J9899" t="s">
        <v>5484</v>
      </c>
      <c r="K9899" t="s">
        <v>34690</v>
      </c>
      <c r="L9899" t="s">
        <v>5471</v>
      </c>
      <c r="M9899" t="s">
        <v>5471</v>
      </c>
    </row>
    <row r="9900" spans="1:13" x14ac:dyDescent="0.3">
      <c r="A9900" t="s">
        <v>3388</v>
      </c>
      <c r="B9900" t="s">
        <v>15961</v>
      </c>
      <c r="C9900" t="s">
        <v>5470</v>
      </c>
      <c r="D9900" t="s">
        <v>4119</v>
      </c>
      <c r="E9900" t="s">
        <v>5756</v>
      </c>
      <c r="F9900" t="s">
        <v>34691</v>
      </c>
      <c r="G9900" t="s">
        <v>15963</v>
      </c>
      <c r="H9900" t="s">
        <v>5474</v>
      </c>
      <c r="I9900" t="s">
        <v>34692</v>
      </c>
      <c r="J9900" t="s">
        <v>5484</v>
      </c>
      <c r="K9900" t="s">
        <v>34693</v>
      </c>
      <c r="L9900" t="s">
        <v>5471</v>
      </c>
      <c r="M9900" t="s">
        <v>5471</v>
      </c>
    </row>
    <row r="9901" spans="1:13" x14ac:dyDescent="0.3">
      <c r="A9901" t="s">
        <v>3380</v>
      </c>
      <c r="B9901" t="s">
        <v>9677</v>
      </c>
      <c r="C9901" t="s">
        <v>6342</v>
      </c>
      <c r="D9901" t="s">
        <v>4119</v>
      </c>
      <c r="E9901" t="s">
        <v>9935</v>
      </c>
      <c r="F9901" t="s">
        <v>34694</v>
      </c>
      <c r="G9901" t="s">
        <v>28488</v>
      </c>
      <c r="H9901" t="s">
        <v>5474</v>
      </c>
      <c r="I9901" t="s">
        <v>34695</v>
      </c>
      <c r="J9901" t="s">
        <v>5484</v>
      </c>
      <c r="K9901" t="s">
        <v>22770</v>
      </c>
      <c r="L9901" t="s">
        <v>5471</v>
      </c>
      <c r="M9901" t="s">
        <v>5471</v>
      </c>
    </row>
    <row r="9902" spans="1:13" x14ac:dyDescent="0.3">
      <c r="A9902" t="s">
        <v>3388</v>
      </c>
      <c r="B9902" t="s">
        <v>20014</v>
      </c>
      <c r="C9902" t="s">
        <v>5470</v>
      </c>
      <c r="D9902" t="s">
        <v>30466</v>
      </c>
      <c r="E9902" t="s">
        <v>5532</v>
      </c>
      <c r="F9902" t="s">
        <v>34696</v>
      </c>
      <c r="G9902" t="s">
        <v>34697</v>
      </c>
      <c r="H9902" t="s">
        <v>5474</v>
      </c>
      <c r="I9902" t="s">
        <v>34698</v>
      </c>
      <c r="J9902" t="s">
        <v>5484</v>
      </c>
      <c r="K9902" t="s">
        <v>34699</v>
      </c>
      <c r="L9902" t="s">
        <v>5471</v>
      </c>
      <c r="M9902" t="s">
        <v>5471</v>
      </c>
    </row>
    <row r="9903" spans="1:13" x14ac:dyDescent="0.3">
      <c r="A9903" t="s">
        <v>3388</v>
      </c>
      <c r="B9903" t="s">
        <v>15961</v>
      </c>
      <c r="C9903" t="s">
        <v>5470</v>
      </c>
      <c r="D9903" t="s">
        <v>4119</v>
      </c>
      <c r="E9903" t="s">
        <v>5756</v>
      </c>
      <c r="F9903" t="s">
        <v>34700</v>
      </c>
      <c r="G9903" t="s">
        <v>15963</v>
      </c>
      <c r="H9903" t="s">
        <v>5474</v>
      </c>
      <c r="I9903" t="s">
        <v>34701</v>
      </c>
      <c r="J9903" t="s">
        <v>5484</v>
      </c>
      <c r="K9903" t="s">
        <v>34702</v>
      </c>
      <c r="L9903" t="s">
        <v>5471</v>
      </c>
      <c r="M9903" t="s">
        <v>5471</v>
      </c>
    </row>
    <row r="9904" spans="1:13" x14ac:dyDescent="0.3">
      <c r="A9904" t="s">
        <v>3380</v>
      </c>
      <c r="B9904" t="s">
        <v>9677</v>
      </c>
      <c r="C9904" t="s">
        <v>6342</v>
      </c>
      <c r="D9904" t="s">
        <v>4119</v>
      </c>
      <c r="E9904" t="s">
        <v>9935</v>
      </c>
      <c r="F9904" t="s">
        <v>34703</v>
      </c>
      <c r="G9904" t="s">
        <v>34356</v>
      </c>
      <c r="H9904" t="s">
        <v>5474</v>
      </c>
      <c r="I9904" t="s">
        <v>34704</v>
      </c>
      <c r="J9904" t="s">
        <v>5484</v>
      </c>
      <c r="K9904" t="s">
        <v>30878</v>
      </c>
      <c r="L9904" t="s">
        <v>5471</v>
      </c>
      <c r="M9904" t="s">
        <v>5471</v>
      </c>
    </row>
    <row r="9905" spans="1:13" x14ac:dyDescent="0.3">
      <c r="A9905" t="s">
        <v>3388</v>
      </c>
      <c r="B9905" t="s">
        <v>15892</v>
      </c>
      <c r="C9905" t="s">
        <v>5470</v>
      </c>
      <c r="D9905" t="s">
        <v>30466</v>
      </c>
      <c r="E9905" t="s">
        <v>5532</v>
      </c>
      <c r="F9905" t="s">
        <v>34705</v>
      </c>
      <c r="G9905" t="s">
        <v>34706</v>
      </c>
      <c r="H9905" t="s">
        <v>5474</v>
      </c>
      <c r="I9905" t="s">
        <v>34707</v>
      </c>
      <c r="J9905" t="s">
        <v>5484</v>
      </c>
      <c r="K9905" t="s">
        <v>34708</v>
      </c>
      <c r="L9905" t="s">
        <v>5471</v>
      </c>
      <c r="M9905" t="s">
        <v>5471</v>
      </c>
    </row>
    <row r="9906" spans="1:13" x14ac:dyDescent="0.3">
      <c r="A9906" t="s">
        <v>3388</v>
      </c>
      <c r="B9906" t="s">
        <v>15942</v>
      </c>
      <c r="C9906" t="s">
        <v>5470</v>
      </c>
      <c r="D9906" t="s">
        <v>4119</v>
      </c>
      <c r="E9906" t="s">
        <v>5756</v>
      </c>
      <c r="F9906" t="s">
        <v>34709</v>
      </c>
      <c r="G9906" t="s">
        <v>15968</v>
      </c>
      <c r="H9906" t="s">
        <v>5474</v>
      </c>
      <c r="I9906" t="s">
        <v>34710</v>
      </c>
      <c r="J9906" t="s">
        <v>5484</v>
      </c>
      <c r="K9906" t="s">
        <v>34711</v>
      </c>
      <c r="L9906" t="s">
        <v>5471</v>
      </c>
      <c r="M9906" t="s">
        <v>5471</v>
      </c>
    </row>
    <row r="9907" spans="1:13" x14ac:dyDescent="0.3">
      <c r="A9907" t="s">
        <v>3380</v>
      </c>
      <c r="B9907" t="s">
        <v>9677</v>
      </c>
      <c r="C9907" t="s">
        <v>6342</v>
      </c>
      <c r="D9907" t="s">
        <v>4119</v>
      </c>
      <c r="E9907" t="s">
        <v>9935</v>
      </c>
      <c r="F9907" t="s">
        <v>34712</v>
      </c>
      <c r="G9907" t="s">
        <v>34604</v>
      </c>
      <c r="H9907" t="s">
        <v>5474</v>
      </c>
      <c r="I9907" t="s">
        <v>34713</v>
      </c>
      <c r="J9907" t="s">
        <v>5484</v>
      </c>
      <c r="K9907" t="s">
        <v>34714</v>
      </c>
      <c r="L9907" t="s">
        <v>5471</v>
      </c>
      <c r="M9907" t="s">
        <v>5471</v>
      </c>
    </row>
    <row r="9908" spans="1:13" x14ac:dyDescent="0.3">
      <c r="A9908" t="s">
        <v>3388</v>
      </c>
      <c r="B9908" t="s">
        <v>15892</v>
      </c>
      <c r="C9908" t="s">
        <v>5470</v>
      </c>
      <c r="D9908" t="s">
        <v>30466</v>
      </c>
      <c r="E9908" t="s">
        <v>5532</v>
      </c>
      <c r="F9908" t="s">
        <v>34715</v>
      </c>
      <c r="G9908" t="s">
        <v>21974</v>
      </c>
      <c r="H9908" t="s">
        <v>5474</v>
      </c>
      <c r="I9908" t="s">
        <v>34716</v>
      </c>
      <c r="J9908" t="s">
        <v>5484</v>
      </c>
      <c r="K9908" t="s">
        <v>34717</v>
      </c>
      <c r="L9908" t="s">
        <v>5471</v>
      </c>
      <c r="M9908" t="s">
        <v>5471</v>
      </c>
    </row>
    <row r="9909" spans="1:13" x14ac:dyDescent="0.3">
      <c r="A9909" t="s">
        <v>3388</v>
      </c>
      <c r="B9909" t="s">
        <v>15942</v>
      </c>
      <c r="C9909" t="s">
        <v>5470</v>
      </c>
      <c r="D9909" t="s">
        <v>4119</v>
      </c>
      <c r="E9909" t="s">
        <v>5756</v>
      </c>
      <c r="F9909" t="s">
        <v>34718</v>
      </c>
      <c r="G9909" t="s">
        <v>15968</v>
      </c>
      <c r="H9909" t="s">
        <v>5474</v>
      </c>
      <c r="I9909" t="s">
        <v>34719</v>
      </c>
      <c r="J9909" t="s">
        <v>5484</v>
      </c>
      <c r="K9909" t="s">
        <v>34720</v>
      </c>
      <c r="L9909" t="s">
        <v>5471</v>
      </c>
      <c r="M9909" t="s">
        <v>5471</v>
      </c>
    </row>
    <row r="9910" spans="1:13" x14ac:dyDescent="0.3">
      <c r="A9910" t="s">
        <v>3380</v>
      </c>
      <c r="B9910" t="s">
        <v>9677</v>
      </c>
      <c r="C9910" t="s">
        <v>6342</v>
      </c>
      <c r="D9910" t="s">
        <v>4119</v>
      </c>
      <c r="E9910" t="s">
        <v>9935</v>
      </c>
      <c r="F9910" t="s">
        <v>34721</v>
      </c>
      <c r="G9910" t="s">
        <v>10016</v>
      </c>
      <c r="H9910" t="s">
        <v>5474</v>
      </c>
      <c r="I9910" t="s">
        <v>34722</v>
      </c>
      <c r="J9910" t="s">
        <v>5484</v>
      </c>
      <c r="K9910" t="s">
        <v>10843</v>
      </c>
      <c r="L9910" t="s">
        <v>5471</v>
      </c>
      <c r="M9910" t="s">
        <v>5471</v>
      </c>
    </row>
    <row r="9911" spans="1:13" x14ac:dyDescent="0.3">
      <c r="A9911" t="s">
        <v>3388</v>
      </c>
      <c r="B9911" t="s">
        <v>10857</v>
      </c>
      <c r="C9911" t="s">
        <v>5470</v>
      </c>
      <c r="D9911" t="s">
        <v>30466</v>
      </c>
      <c r="E9911" t="s">
        <v>5756</v>
      </c>
      <c r="F9911" t="s">
        <v>34723</v>
      </c>
      <c r="G9911" t="s">
        <v>22027</v>
      </c>
      <c r="H9911" t="s">
        <v>5474</v>
      </c>
      <c r="I9911" t="s">
        <v>34724</v>
      </c>
      <c r="J9911" t="s">
        <v>5484</v>
      </c>
      <c r="K9911" t="s">
        <v>34725</v>
      </c>
      <c r="L9911" t="s">
        <v>5471</v>
      </c>
      <c r="M9911" t="s">
        <v>5471</v>
      </c>
    </row>
    <row r="9912" spans="1:13" x14ac:dyDescent="0.3">
      <c r="A9912" t="s">
        <v>3388</v>
      </c>
      <c r="B9912" t="s">
        <v>15580</v>
      </c>
      <c r="C9912" t="s">
        <v>5470</v>
      </c>
      <c r="D9912" t="s">
        <v>4119</v>
      </c>
      <c r="E9912" t="s">
        <v>5756</v>
      </c>
      <c r="F9912" t="s">
        <v>34726</v>
      </c>
      <c r="G9912" t="s">
        <v>17591</v>
      </c>
      <c r="H9912" t="s">
        <v>5474</v>
      </c>
      <c r="I9912" t="s">
        <v>34727</v>
      </c>
      <c r="J9912" t="s">
        <v>5484</v>
      </c>
      <c r="K9912" t="s">
        <v>34728</v>
      </c>
      <c r="L9912" t="s">
        <v>5471</v>
      </c>
      <c r="M9912" t="s">
        <v>5471</v>
      </c>
    </row>
    <row r="9913" spans="1:13" x14ac:dyDescent="0.3">
      <c r="A9913" t="s">
        <v>3380</v>
      </c>
      <c r="B9913" t="s">
        <v>9677</v>
      </c>
      <c r="C9913" t="s">
        <v>6342</v>
      </c>
      <c r="D9913" t="s">
        <v>4119</v>
      </c>
      <c r="E9913" t="s">
        <v>9935</v>
      </c>
      <c r="F9913" t="s">
        <v>34729</v>
      </c>
      <c r="G9913" t="s">
        <v>34397</v>
      </c>
      <c r="H9913" t="s">
        <v>5474</v>
      </c>
      <c r="I9913" t="s">
        <v>34730</v>
      </c>
      <c r="J9913" t="s">
        <v>5484</v>
      </c>
      <c r="K9913" t="s">
        <v>34731</v>
      </c>
      <c r="L9913" t="s">
        <v>5471</v>
      </c>
      <c r="M9913" t="s">
        <v>5471</v>
      </c>
    </row>
    <row r="9914" spans="1:13" x14ac:dyDescent="0.3">
      <c r="A9914" t="s">
        <v>3388</v>
      </c>
      <c r="B9914" t="s">
        <v>15961</v>
      </c>
      <c r="C9914" t="s">
        <v>5470</v>
      </c>
      <c r="D9914" t="s">
        <v>30466</v>
      </c>
      <c r="E9914" t="s">
        <v>5756</v>
      </c>
      <c r="F9914" t="s">
        <v>34732</v>
      </c>
      <c r="G9914" t="s">
        <v>17907</v>
      </c>
      <c r="H9914" t="s">
        <v>5474</v>
      </c>
      <c r="I9914" t="s">
        <v>34733</v>
      </c>
      <c r="J9914" t="s">
        <v>5484</v>
      </c>
      <c r="K9914" t="s">
        <v>34734</v>
      </c>
      <c r="L9914" t="s">
        <v>5471</v>
      </c>
      <c r="M9914" t="s">
        <v>5471</v>
      </c>
    </row>
    <row r="9915" spans="1:13" x14ac:dyDescent="0.3">
      <c r="A9915" t="s">
        <v>3388</v>
      </c>
      <c r="B9915" t="s">
        <v>15580</v>
      </c>
      <c r="C9915" t="s">
        <v>5470</v>
      </c>
      <c r="D9915" t="s">
        <v>4119</v>
      </c>
      <c r="E9915" t="s">
        <v>5756</v>
      </c>
      <c r="F9915" t="s">
        <v>34735</v>
      </c>
      <c r="G9915" t="s">
        <v>17591</v>
      </c>
      <c r="H9915" t="s">
        <v>5474</v>
      </c>
      <c r="I9915" t="s">
        <v>34736</v>
      </c>
      <c r="J9915" t="s">
        <v>5484</v>
      </c>
      <c r="K9915" t="s">
        <v>34737</v>
      </c>
      <c r="L9915" t="s">
        <v>5471</v>
      </c>
      <c r="M9915" t="s">
        <v>5471</v>
      </c>
    </row>
    <row r="9916" spans="1:13" x14ac:dyDescent="0.3">
      <c r="A9916" t="s">
        <v>3380</v>
      </c>
      <c r="B9916" t="s">
        <v>9677</v>
      </c>
      <c r="C9916" t="s">
        <v>6342</v>
      </c>
      <c r="D9916" t="s">
        <v>4119</v>
      </c>
      <c r="E9916" t="s">
        <v>5532</v>
      </c>
      <c r="F9916" t="s">
        <v>34738</v>
      </c>
      <c r="G9916" t="s">
        <v>26150</v>
      </c>
      <c r="H9916" t="s">
        <v>5474</v>
      </c>
      <c r="I9916" t="s">
        <v>34739</v>
      </c>
      <c r="J9916" t="s">
        <v>5484</v>
      </c>
      <c r="K9916" t="s">
        <v>34740</v>
      </c>
      <c r="L9916" t="s">
        <v>5471</v>
      </c>
      <c r="M9916" t="s">
        <v>5471</v>
      </c>
    </row>
    <row r="9917" spans="1:13" x14ac:dyDescent="0.3">
      <c r="A9917" t="s">
        <v>3388</v>
      </c>
      <c r="B9917" t="s">
        <v>15961</v>
      </c>
      <c r="C9917" t="s">
        <v>5470</v>
      </c>
      <c r="D9917" t="s">
        <v>30466</v>
      </c>
      <c r="E9917" t="s">
        <v>5756</v>
      </c>
      <c r="F9917" t="s">
        <v>34741</v>
      </c>
      <c r="G9917" t="s">
        <v>30412</v>
      </c>
      <c r="H9917" t="s">
        <v>5474</v>
      </c>
      <c r="I9917" t="s">
        <v>34742</v>
      </c>
      <c r="J9917" t="s">
        <v>5484</v>
      </c>
      <c r="K9917" t="s">
        <v>34743</v>
      </c>
      <c r="L9917" t="s">
        <v>5471</v>
      </c>
      <c r="M9917" t="s">
        <v>5471</v>
      </c>
    </row>
    <row r="9918" spans="1:13" x14ac:dyDescent="0.3">
      <c r="A9918" t="s">
        <v>3388</v>
      </c>
      <c r="B9918" t="s">
        <v>22510</v>
      </c>
      <c r="C9918" t="s">
        <v>5470</v>
      </c>
      <c r="D9918" t="s">
        <v>4119</v>
      </c>
      <c r="E9918" t="s">
        <v>5756</v>
      </c>
      <c r="F9918" t="s">
        <v>34744</v>
      </c>
      <c r="G9918" t="s">
        <v>29278</v>
      </c>
      <c r="H9918" t="s">
        <v>5474</v>
      </c>
      <c r="I9918" t="s">
        <v>34745</v>
      </c>
      <c r="J9918" t="s">
        <v>5484</v>
      </c>
      <c r="K9918" t="s">
        <v>34746</v>
      </c>
      <c r="L9918" t="s">
        <v>5471</v>
      </c>
      <c r="M9918" t="s">
        <v>5471</v>
      </c>
    </row>
    <row r="9919" spans="1:13" x14ac:dyDescent="0.3">
      <c r="A9919" t="s">
        <v>3380</v>
      </c>
      <c r="B9919" t="s">
        <v>9677</v>
      </c>
      <c r="C9919" t="s">
        <v>6342</v>
      </c>
      <c r="D9919" t="s">
        <v>4119</v>
      </c>
      <c r="E9919" t="s">
        <v>9935</v>
      </c>
      <c r="F9919" t="s">
        <v>34747</v>
      </c>
      <c r="G9919" t="s">
        <v>26150</v>
      </c>
      <c r="H9919" t="s">
        <v>5474</v>
      </c>
      <c r="I9919" t="s">
        <v>34748</v>
      </c>
      <c r="J9919" t="s">
        <v>5484</v>
      </c>
      <c r="K9919" t="s">
        <v>10591</v>
      </c>
      <c r="L9919" t="s">
        <v>5471</v>
      </c>
      <c r="M9919" t="s">
        <v>5471</v>
      </c>
    </row>
    <row r="9920" spans="1:13" x14ac:dyDescent="0.3">
      <c r="A9920" t="s">
        <v>3388</v>
      </c>
      <c r="B9920" t="s">
        <v>20175</v>
      </c>
      <c r="C9920" t="s">
        <v>5470</v>
      </c>
      <c r="D9920" t="s">
        <v>30466</v>
      </c>
      <c r="E9920" t="s">
        <v>5532</v>
      </c>
      <c r="F9920" t="s">
        <v>34749</v>
      </c>
      <c r="G9920" t="s">
        <v>34750</v>
      </c>
      <c r="H9920" t="s">
        <v>5474</v>
      </c>
      <c r="I9920" t="s">
        <v>34751</v>
      </c>
      <c r="J9920" t="s">
        <v>5484</v>
      </c>
      <c r="K9920" t="s">
        <v>34752</v>
      </c>
      <c r="L9920" t="s">
        <v>5471</v>
      </c>
      <c r="M9920" t="s">
        <v>5471</v>
      </c>
    </row>
    <row r="9921" spans="1:13" x14ac:dyDescent="0.3">
      <c r="A9921" t="s">
        <v>3388</v>
      </c>
      <c r="B9921" t="s">
        <v>22510</v>
      </c>
      <c r="C9921" t="s">
        <v>5470</v>
      </c>
      <c r="D9921" t="s">
        <v>4119</v>
      </c>
      <c r="E9921" t="s">
        <v>5756</v>
      </c>
      <c r="F9921" t="s">
        <v>34753</v>
      </c>
      <c r="G9921" t="s">
        <v>29278</v>
      </c>
      <c r="H9921" t="s">
        <v>5474</v>
      </c>
      <c r="I9921" t="s">
        <v>34754</v>
      </c>
      <c r="J9921" t="s">
        <v>5484</v>
      </c>
      <c r="K9921" t="s">
        <v>34755</v>
      </c>
      <c r="L9921" t="s">
        <v>5471</v>
      </c>
      <c r="M9921" t="s">
        <v>5471</v>
      </c>
    </row>
    <row r="9922" spans="1:13" x14ac:dyDescent="0.3">
      <c r="A9922" t="s">
        <v>3380</v>
      </c>
      <c r="B9922" t="s">
        <v>9677</v>
      </c>
      <c r="C9922" t="s">
        <v>6342</v>
      </c>
      <c r="D9922" t="s">
        <v>4119</v>
      </c>
      <c r="E9922" t="s">
        <v>9935</v>
      </c>
      <c r="F9922" t="s">
        <v>34756</v>
      </c>
      <c r="G9922" t="s">
        <v>26150</v>
      </c>
      <c r="H9922" t="s">
        <v>5474</v>
      </c>
      <c r="I9922" t="s">
        <v>34757</v>
      </c>
      <c r="J9922" t="s">
        <v>5484</v>
      </c>
      <c r="K9922" t="s">
        <v>10600</v>
      </c>
      <c r="L9922" t="s">
        <v>5471</v>
      </c>
      <c r="M9922" t="s">
        <v>5471</v>
      </c>
    </row>
    <row r="9923" spans="1:13" x14ac:dyDescent="0.3">
      <c r="A9923" t="s">
        <v>3388</v>
      </c>
      <c r="B9923" t="s">
        <v>7101</v>
      </c>
      <c r="C9923" t="s">
        <v>5470</v>
      </c>
      <c r="D9923" t="s">
        <v>30466</v>
      </c>
      <c r="E9923" t="s">
        <v>5756</v>
      </c>
      <c r="F9923" t="s">
        <v>34758</v>
      </c>
      <c r="G9923" t="s">
        <v>21672</v>
      </c>
      <c r="H9923" t="s">
        <v>5474</v>
      </c>
      <c r="I9923" t="s">
        <v>34759</v>
      </c>
      <c r="J9923" t="s">
        <v>5484</v>
      </c>
      <c r="K9923" t="s">
        <v>34760</v>
      </c>
      <c r="L9923" t="s">
        <v>5471</v>
      </c>
      <c r="M9923" t="s">
        <v>5471</v>
      </c>
    </row>
    <row r="9924" spans="1:13" x14ac:dyDescent="0.3">
      <c r="A9924" t="s">
        <v>3388</v>
      </c>
      <c r="B9924" t="s">
        <v>15702</v>
      </c>
      <c r="C9924" t="s">
        <v>5470</v>
      </c>
      <c r="D9924" t="s">
        <v>4119</v>
      </c>
      <c r="E9924" t="s">
        <v>5532</v>
      </c>
      <c r="F9924" t="s">
        <v>34761</v>
      </c>
      <c r="G9924" t="s">
        <v>28792</v>
      </c>
      <c r="H9924" t="s">
        <v>5474</v>
      </c>
      <c r="I9924" t="s">
        <v>34762</v>
      </c>
      <c r="J9924" t="s">
        <v>5484</v>
      </c>
      <c r="K9924" t="s">
        <v>34763</v>
      </c>
      <c r="L9924" t="s">
        <v>5471</v>
      </c>
      <c r="M9924" t="s">
        <v>5471</v>
      </c>
    </row>
    <row r="9925" spans="1:13" x14ac:dyDescent="0.3">
      <c r="A9925" t="s">
        <v>3380</v>
      </c>
      <c r="B9925" t="s">
        <v>9677</v>
      </c>
      <c r="C9925" t="s">
        <v>6342</v>
      </c>
      <c r="D9925" t="s">
        <v>4119</v>
      </c>
      <c r="E9925" t="s">
        <v>9935</v>
      </c>
      <c r="F9925" t="s">
        <v>34764</v>
      </c>
      <c r="G9925" t="s">
        <v>26150</v>
      </c>
      <c r="H9925" t="s">
        <v>5474</v>
      </c>
      <c r="I9925" t="s">
        <v>34765</v>
      </c>
      <c r="J9925" t="s">
        <v>5484</v>
      </c>
      <c r="K9925" t="s">
        <v>10603</v>
      </c>
      <c r="L9925" t="s">
        <v>5471</v>
      </c>
      <c r="M9925" t="s">
        <v>5471</v>
      </c>
    </row>
    <row r="9926" spans="1:13" x14ac:dyDescent="0.3">
      <c r="A9926" t="s">
        <v>3388</v>
      </c>
      <c r="B9926" t="s">
        <v>21595</v>
      </c>
      <c r="C9926" t="s">
        <v>5470</v>
      </c>
      <c r="D9926" t="s">
        <v>30466</v>
      </c>
      <c r="E9926" t="s">
        <v>5532</v>
      </c>
      <c r="F9926" t="s">
        <v>34766</v>
      </c>
      <c r="G9926" t="s">
        <v>34767</v>
      </c>
      <c r="H9926" t="s">
        <v>5474</v>
      </c>
      <c r="I9926" t="s">
        <v>34768</v>
      </c>
      <c r="J9926" t="s">
        <v>5484</v>
      </c>
      <c r="K9926" t="s">
        <v>34769</v>
      </c>
      <c r="L9926" t="s">
        <v>5471</v>
      </c>
      <c r="M9926" t="s">
        <v>5471</v>
      </c>
    </row>
    <row r="9927" spans="1:13" x14ac:dyDescent="0.3">
      <c r="A9927" t="s">
        <v>3388</v>
      </c>
      <c r="B9927" t="s">
        <v>10961</v>
      </c>
      <c r="C9927" t="s">
        <v>5470</v>
      </c>
      <c r="D9927" t="s">
        <v>4119</v>
      </c>
      <c r="E9927" t="s">
        <v>5532</v>
      </c>
      <c r="F9927" t="s">
        <v>34770</v>
      </c>
      <c r="G9927" t="s">
        <v>10963</v>
      </c>
      <c r="H9927" t="s">
        <v>5474</v>
      </c>
      <c r="I9927" t="s">
        <v>34771</v>
      </c>
      <c r="J9927" t="s">
        <v>5484</v>
      </c>
      <c r="K9927" t="s">
        <v>34772</v>
      </c>
      <c r="L9927" t="s">
        <v>5471</v>
      </c>
      <c r="M9927" t="s">
        <v>5471</v>
      </c>
    </row>
    <row r="9928" spans="1:13" x14ac:dyDescent="0.3">
      <c r="A9928" t="s">
        <v>3380</v>
      </c>
      <c r="B9928" t="s">
        <v>9677</v>
      </c>
      <c r="C9928" t="s">
        <v>6342</v>
      </c>
      <c r="D9928" t="s">
        <v>4119</v>
      </c>
      <c r="E9928" t="s">
        <v>9935</v>
      </c>
      <c r="F9928" t="s">
        <v>34773</v>
      </c>
      <c r="G9928" t="s">
        <v>26150</v>
      </c>
      <c r="H9928" t="s">
        <v>5474</v>
      </c>
      <c r="I9928" t="s">
        <v>34774</v>
      </c>
      <c r="J9928" t="s">
        <v>5484</v>
      </c>
      <c r="K9928" t="s">
        <v>10848</v>
      </c>
      <c r="L9928" t="s">
        <v>5471</v>
      </c>
      <c r="M9928" t="s">
        <v>5471</v>
      </c>
    </row>
    <row r="9929" spans="1:13" x14ac:dyDescent="0.3">
      <c r="A9929" t="s">
        <v>3388</v>
      </c>
      <c r="B9929" t="s">
        <v>7109</v>
      </c>
      <c r="C9929" t="s">
        <v>5470</v>
      </c>
      <c r="D9929" t="s">
        <v>30466</v>
      </c>
      <c r="E9929" t="s">
        <v>5756</v>
      </c>
      <c r="F9929" t="s">
        <v>34775</v>
      </c>
      <c r="G9929" t="s">
        <v>21836</v>
      </c>
      <c r="H9929" t="s">
        <v>5474</v>
      </c>
      <c r="I9929" t="s">
        <v>34776</v>
      </c>
      <c r="J9929" t="s">
        <v>5484</v>
      </c>
      <c r="K9929" t="s">
        <v>34777</v>
      </c>
      <c r="L9929" t="s">
        <v>5471</v>
      </c>
      <c r="M9929" t="s">
        <v>5471</v>
      </c>
    </row>
    <row r="9930" spans="1:13" x14ac:dyDescent="0.3">
      <c r="A9930" t="s">
        <v>3388</v>
      </c>
      <c r="B9930" t="s">
        <v>11423</v>
      </c>
      <c r="C9930" t="s">
        <v>5470</v>
      </c>
      <c r="D9930" t="s">
        <v>4119</v>
      </c>
      <c r="E9930" t="s">
        <v>5532</v>
      </c>
      <c r="F9930" t="s">
        <v>34778</v>
      </c>
      <c r="G9930" t="s">
        <v>20019</v>
      </c>
      <c r="H9930" t="s">
        <v>5474</v>
      </c>
      <c r="I9930" t="s">
        <v>34779</v>
      </c>
      <c r="J9930" t="s">
        <v>5484</v>
      </c>
      <c r="K9930" t="s">
        <v>34780</v>
      </c>
      <c r="L9930" t="s">
        <v>5471</v>
      </c>
      <c r="M9930" t="s">
        <v>5471</v>
      </c>
    </row>
    <row r="9931" spans="1:13" x14ac:dyDescent="0.3">
      <c r="A9931" t="s">
        <v>3380</v>
      </c>
      <c r="B9931" t="s">
        <v>9677</v>
      </c>
      <c r="C9931" t="s">
        <v>6342</v>
      </c>
      <c r="D9931" t="s">
        <v>4119</v>
      </c>
      <c r="E9931" t="s">
        <v>9935</v>
      </c>
      <c r="F9931" t="s">
        <v>34781</v>
      </c>
      <c r="G9931" t="s">
        <v>26150</v>
      </c>
      <c r="H9931" t="s">
        <v>5474</v>
      </c>
      <c r="I9931" t="s">
        <v>34782</v>
      </c>
      <c r="J9931" t="s">
        <v>5484</v>
      </c>
      <c r="K9931" t="s">
        <v>22789</v>
      </c>
      <c r="L9931" t="s">
        <v>5471</v>
      </c>
      <c r="M9931" t="s">
        <v>5471</v>
      </c>
    </row>
    <row r="9932" spans="1:13" x14ac:dyDescent="0.3">
      <c r="A9932" t="s">
        <v>3388</v>
      </c>
      <c r="B9932" t="s">
        <v>20175</v>
      </c>
      <c r="C9932" t="s">
        <v>5470</v>
      </c>
      <c r="D9932" t="s">
        <v>30466</v>
      </c>
      <c r="E9932" t="s">
        <v>5532</v>
      </c>
      <c r="F9932" t="s">
        <v>34783</v>
      </c>
      <c r="G9932" t="s">
        <v>34784</v>
      </c>
      <c r="H9932" t="s">
        <v>5474</v>
      </c>
      <c r="I9932" t="s">
        <v>34785</v>
      </c>
      <c r="J9932" t="s">
        <v>5484</v>
      </c>
      <c r="K9932" t="s">
        <v>34786</v>
      </c>
      <c r="L9932" t="s">
        <v>5471</v>
      </c>
      <c r="M9932" t="s">
        <v>5471</v>
      </c>
    </row>
    <row r="9933" spans="1:13" x14ac:dyDescent="0.3">
      <c r="A9933" t="s">
        <v>3388</v>
      </c>
      <c r="B9933" t="s">
        <v>5531</v>
      </c>
      <c r="C9933" t="s">
        <v>5470</v>
      </c>
      <c r="D9933" t="s">
        <v>4119</v>
      </c>
      <c r="E9933" t="s">
        <v>5532</v>
      </c>
      <c r="F9933" t="s">
        <v>34787</v>
      </c>
      <c r="G9933" t="s">
        <v>9069</v>
      </c>
      <c r="H9933" t="s">
        <v>5474</v>
      </c>
      <c r="I9933" t="s">
        <v>34788</v>
      </c>
      <c r="J9933" t="s">
        <v>5484</v>
      </c>
      <c r="K9933" t="s">
        <v>34789</v>
      </c>
      <c r="L9933" t="s">
        <v>5471</v>
      </c>
      <c r="M9933" t="s">
        <v>5471</v>
      </c>
    </row>
    <row r="9934" spans="1:13" x14ac:dyDescent="0.3">
      <c r="A9934" t="s">
        <v>3380</v>
      </c>
      <c r="B9934" t="s">
        <v>9677</v>
      </c>
      <c r="C9934" t="s">
        <v>6342</v>
      </c>
      <c r="D9934" t="s">
        <v>4119</v>
      </c>
      <c r="E9934" t="s">
        <v>9935</v>
      </c>
      <c r="F9934" t="s">
        <v>34790</v>
      </c>
      <c r="G9934" t="s">
        <v>34623</v>
      </c>
      <c r="H9934" t="s">
        <v>5474</v>
      </c>
      <c r="I9934" t="s">
        <v>34791</v>
      </c>
      <c r="J9934" t="s">
        <v>5484</v>
      </c>
      <c r="K9934" t="s">
        <v>23486</v>
      </c>
      <c r="L9934" t="s">
        <v>5471</v>
      </c>
      <c r="M9934" t="s">
        <v>5471</v>
      </c>
    </row>
    <row r="9935" spans="1:13" x14ac:dyDescent="0.3">
      <c r="A9935" t="s">
        <v>3388</v>
      </c>
      <c r="B9935" t="s">
        <v>7109</v>
      </c>
      <c r="C9935" t="s">
        <v>5470</v>
      </c>
      <c r="D9935" t="s">
        <v>30466</v>
      </c>
      <c r="E9935" t="s">
        <v>5532</v>
      </c>
      <c r="F9935" t="s">
        <v>34792</v>
      </c>
      <c r="G9935" t="s">
        <v>33301</v>
      </c>
      <c r="H9935" t="s">
        <v>5474</v>
      </c>
      <c r="I9935" t="s">
        <v>34793</v>
      </c>
      <c r="J9935" t="s">
        <v>5484</v>
      </c>
      <c r="K9935" t="s">
        <v>34794</v>
      </c>
      <c r="L9935" t="s">
        <v>5471</v>
      </c>
      <c r="M9935" t="s">
        <v>5471</v>
      </c>
    </row>
    <row r="9936" spans="1:13" x14ac:dyDescent="0.3">
      <c r="A9936" t="s">
        <v>3380</v>
      </c>
      <c r="B9936" t="s">
        <v>9677</v>
      </c>
      <c r="C9936" t="s">
        <v>6342</v>
      </c>
      <c r="D9936" t="s">
        <v>4119</v>
      </c>
      <c r="E9936" t="s">
        <v>9935</v>
      </c>
      <c r="F9936" t="s">
        <v>34795</v>
      </c>
      <c r="G9936" t="s">
        <v>34629</v>
      </c>
      <c r="H9936" t="s">
        <v>5474</v>
      </c>
      <c r="I9936" t="s">
        <v>34796</v>
      </c>
      <c r="J9936" t="s">
        <v>5484</v>
      </c>
      <c r="K9936" t="s">
        <v>23492</v>
      </c>
      <c r="L9936" t="s">
        <v>5471</v>
      </c>
      <c r="M9936" t="s">
        <v>5471</v>
      </c>
    </row>
    <row r="9937" spans="1:13" x14ac:dyDescent="0.3">
      <c r="A9937" t="s">
        <v>3388</v>
      </c>
      <c r="B9937" t="s">
        <v>5531</v>
      </c>
      <c r="C9937" t="s">
        <v>5470</v>
      </c>
      <c r="D9937" t="s">
        <v>4119</v>
      </c>
      <c r="E9937" t="s">
        <v>5532</v>
      </c>
      <c r="F9937" t="s">
        <v>34797</v>
      </c>
      <c r="G9937" t="s">
        <v>9069</v>
      </c>
      <c r="H9937" t="s">
        <v>5474</v>
      </c>
      <c r="I9937" t="s">
        <v>34798</v>
      </c>
      <c r="J9937" t="s">
        <v>5484</v>
      </c>
      <c r="K9937" t="s">
        <v>34799</v>
      </c>
      <c r="L9937" t="s">
        <v>5471</v>
      </c>
      <c r="M9937" t="s">
        <v>5471</v>
      </c>
    </row>
    <row r="9938" spans="1:13" x14ac:dyDescent="0.3">
      <c r="A9938" t="s">
        <v>3388</v>
      </c>
      <c r="B9938" t="s">
        <v>8799</v>
      </c>
      <c r="C9938" t="s">
        <v>5470</v>
      </c>
      <c r="D9938" t="s">
        <v>30466</v>
      </c>
      <c r="E9938" t="s">
        <v>5756</v>
      </c>
      <c r="F9938" t="s">
        <v>34800</v>
      </c>
      <c r="G9938" t="s">
        <v>32040</v>
      </c>
      <c r="H9938" t="s">
        <v>5474</v>
      </c>
      <c r="I9938" t="s">
        <v>34801</v>
      </c>
      <c r="J9938" t="s">
        <v>5484</v>
      </c>
      <c r="K9938" t="s">
        <v>34802</v>
      </c>
      <c r="L9938" t="s">
        <v>5471</v>
      </c>
      <c r="M9938" t="s">
        <v>5471</v>
      </c>
    </row>
    <row r="9939" spans="1:13" x14ac:dyDescent="0.3">
      <c r="A9939" t="s">
        <v>3388</v>
      </c>
      <c r="B9939" t="s">
        <v>21595</v>
      </c>
      <c r="C9939" t="s">
        <v>5470</v>
      </c>
      <c r="D9939" t="s">
        <v>4119</v>
      </c>
      <c r="E9939" t="s">
        <v>5532</v>
      </c>
      <c r="F9939" t="s">
        <v>34803</v>
      </c>
      <c r="G9939" t="s">
        <v>21806</v>
      </c>
      <c r="H9939" t="s">
        <v>5474</v>
      </c>
      <c r="I9939" t="s">
        <v>34804</v>
      </c>
      <c r="J9939" t="s">
        <v>5484</v>
      </c>
      <c r="K9939" t="s">
        <v>34805</v>
      </c>
      <c r="L9939" t="s">
        <v>5471</v>
      </c>
      <c r="M9939" t="s">
        <v>5471</v>
      </c>
    </row>
    <row r="9940" spans="1:13" x14ac:dyDescent="0.3">
      <c r="A9940" t="s">
        <v>3380</v>
      </c>
      <c r="B9940" t="s">
        <v>9677</v>
      </c>
      <c r="C9940" t="s">
        <v>6342</v>
      </c>
      <c r="D9940" t="s">
        <v>4119</v>
      </c>
      <c r="E9940" t="s">
        <v>9935</v>
      </c>
      <c r="F9940" t="s">
        <v>34806</v>
      </c>
      <c r="G9940" t="s">
        <v>34639</v>
      </c>
      <c r="H9940" t="s">
        <v>5474</v>
      </c>
      <c r="I9940" t="s">
        <v>34807</v>
      </c>
      <c r="J9940" t="s">
        <v>5484</v>
      </c>
      <c r="K9940" t="s">
        <v>34808</v>
      </c>
      <c r="L9940" t="s">
        <v>5471</v>
      </c>
      <c r="M9940" t="s">
        <v>5471</v>
      </c>
    </row>
    <row r="9941" spans="1:13" x14ac:dyDescent="0.3">
      <c r="A9941" t="s">
        <v>3388</v>
      </c>
      <c r="B9941" t="s">
        <v>11186</v>
      </c>
      <c r="C9941" t="s">
        <v>5470</v>
      </c>
      <c r="D9941" t="s">
        <v>30466</v>
      </c>
      <c r="E9941" t="s">
        <v>5532</v>
      </c>
      <c r="F9941" t="s">
        <v>34809</v>
      </c>
      <c r="G9941" t="s">
        <v>11188</v>
      </c>
      <c r="H9941" t="s">
        <v>5474</v>
      </c>
      <c r="I9941" t="s">
        <v>34810</v>
      </c>
      <c r="J9941" t="s">
        <v>5484</v>
      </c>
      <c r="K9941" t="s">
        <v>34811</v>
      </c>
      <c r="L9941" t="s">
        <v>5471</v>
      </c>
      <c r="M9941" t="s">
        <v>5471</v>
      </c>
    </row>
    <row r="9942" spans="1:13" x14ac:dyDescent="0.3">
      <c r="A9942" t="s">
        <v>3380</v>
      </c>
      <c r="B9942" t="s">
        <v>9677</v>
      </c>
      <c r="C9942" t="s">
        <v>6342</v>
      </c>
      <c r="D9942" t="s">
        <v>4119</v>
      </c>
      <c r="E9942" t="s">
        <v>9935</v>
      </c>
      <c r="F9942" t="s">
        <v>34812</v>
      </c>
      <c r="G9942" t="s">
        <v>34813</v>
      </c>
      <c r="H9942" t="s">
        <v>5474</v>
      </c>
      <c r="I9942" t="s">
        <v>34814</v>
      </c>
      <c r="J9942" t="s">
        <v>5484</v>
      </c>
      <c r="K9942" t="s">
        <v>30919</v>
      </c>
      <c r="L9942" t="s">
        <v>5471</v>
      </c>
      <c r="M9942" t="s">
        <v>5471</v>
      </c>
    </row>
    <row r="9943" spans="1:13" x14ac:dyDescent="0.3">
      <c r="A9943" t="s">
        <v>3388</v>
      </c>
      <c r="B9943" t="s">
        <v>21595</v>
      </c>
      <c r="C9943" t="s">
        <v>5470</v>
      </c>
      <c r="D9943" t="s">
        <v>4119</v>
      </c>
      <c r="E9943" t="s">
        <v>5532</v>
      </c>
      <c r="F9943" t="s">
        <v>34815</v>
      </c>
      <c r="G9943" t="s">
        <v>21806</v>
      </c>
      <c r="H9943" t="s">
        <v>5474</v>
      </c>
      <c r="I9943" t="s">
        <v>34816</v>
      </c>
      <c r="J9943" t="s">
        <v>5484</v>
      </c>
      <c r="K9943" t="s">
        <v>34817</v>
      </c>
      <c r="L9943" t="s">
        <v>5471</v>
      </c>
      <c r="M9943" t="s">
        <v>5471</v>
      </c>
    </row>
    <row r="9944" spans="1:13" x14ac:dyDescent="0.3">
      <c r="A9944" t="s">
        <v>3388</v>
      </c>
      <c r="B9944" t="s">
        <v>15942</v>
      </c>
      <c r="C9944" t="s">
        <v>5470</v>
      </c>
      <c r="D9944" t="s">
        <v>30466</v>
      </c>
      <c r="E9944" t="s">
        <v>5756</v>
      </c>
      <c r="F9944" t="s">
        <v>34818</v>
      </c>
      <c r="G9944" t="s">
        <v>15968</v>
      </c>
      <c r="H9944" t="s">
        <v>5474</v>
      </c>
      <c r="I9944" t="s">
        <v>34819</v>
      </c>
      <c r="J9944" t="s">
        <v>5484</v>
      </c>
      <c r="K9944" t="s">
        <v>34820</v>
      </c>
      <c r="L9944" t="s">
        <v>5471</v>
      </c>
      <c r="M9944" t="s">
        <v>5471</v>
      </c>
    </row>
    <row r="9945" spans="1:13" x14ac:dyDescent="0.3">
      <c r="A9945" t="s">
        <v>3380</v>
      </c>
      <c r="B9945" t="s">
        <v>9677</v>
      </c>
      <c r="C9945" t="s">
        <v>6342</v>
      </c>
      <c r="D9945" t="s">
        <v>4119</v>
      </c>
      <c r="E9945" t="s">
        <v>9935</v>
      </c>
      <c r="F9945" t="s">
        <v>34821</v>
      </c>
      <c r="G9945" t="s">
        <v>34822</v>
      </c>
      <c r="H9945" t="s">
        <v>5474</v>
      </c>
      <c r="I9945" t="s">
        <v>34823</v>
      </c>
      <c r="J9945" t="s">
        <v>5484</v>
      </c>
      <c r="K9945" t="s">
        <v>34824</v>
      </c>
      <c r="L9945" t="s">
        <v>5471</v>
      </c>
      <c r="M9945" t="s">
        <v>5471</v>
      </c>
    </row>
    <row r="9946" spans="1:13" x14ac:dyDescent="0.3">
      <c r="A9946" t="s">
        <v>3388</v>
      </c>
      <c r="B9946" t="s">
        <v>15942</v>
      </c>
      <c r="C9946" t="s">
        <v>5470</v>
      </c>
      <c r="D9946" t="s">
        <v>30466</v>
      </c>
      <c r="E9946" t="s">
        <v>5756</v>
      </c>
      <c r="F9946" t="s">
        <v>34825</v>
      </c>
      <c r="G9946" t="s">
        <v>15968</v>
      </c>
      <c r="H9946" t="s">
        <v>5474</v>
      </c>
      <c r="I9946" t="s">
        <v>34826</v>
      </c>
      <c r="J9946" t="s">
        <v>5484</v>
      </c>
      <c r="K9946" t="s">
        <v>34827</v>
      </c>
      <c r="L9946" t="s">
        <v>5471</v>
      </c>
      <c r="M9946" t="s">
        <v>5471</v>
      </c>
    </row>
    <row r="9947" spans="1:13" x14ac:dyDescent="0.3">
      <c r="A9947" t="s">
        <v>3380</v>
      </c>
      <c r="B9947" t="s">
        <v>9677</v>
      </c>
      <c r="C9947" t="s">
        <v>6342</v>
      </c>
      <c r="D9947" t="s">
        <v>4119</v>
      </c>
      <c r="E9947" t="s">
        <v>9935</v>
      </c>
      <c r="F9947" t="s">
        <v>34828</v>
      </c>
      <c r="G9947" t="s">
        <v>34649</v>
      </c>
      <c r="H9947" t="s">
        <v>5474</v>
      </c>
      <c r="I9947" t="s">
        <v>34829</v>
      </c>
      <c r="J9947" t="s">
        <v>5484</v>
      </c>
      <c r="K9947" t="s">
        <v>30785</v>
      </c>
      <c r="L9947" t="s">
        <v>5471</v>
      </c>
      <c r="M9947" t="s">
        <v>5471</v>
      </c>
    </row>
    <row r="9948" spans="1:13" x14ac:dyDescent="0.3">
      <c r="A9948" t="s">
        <v>3388</v>
      </c>
      <c r="B9948" t="s">
        <v>10417</v>
      </c>
      <c r="C9948" t="s">
        <v>5470</v>
      </c>
      <c r="D9948" t="s">
        <v>30466</v>
      </c>
      <c r="E9948" t="s">
        <v>5756</v>
      </c>
      <c r="F9948" t="s">
        <v>34830</v>
      </c>
      <c r="G9948" t="s">
        <v>22516</v>
      </c>
      <c r="H9948" t="s">
        <v>5474</v>
      </c>
      <c r="I9948" t="s">
        <v>34831</v>
      </c>
      <c r="J9948" t="s">
        <v>5484</v>
      </c>
      <c r="K9948" t="s">
        <v>34832</v>
      </c>
      <c r="L9948" t="s">
        <v>5471</v>
      </c>
      <c r="M9948" t="s">
        <v>5471</v>
      </c>
    </row>
    <row r="9949" spans="1:13" x14ac:dyDescent="0.3">
      <c r="A9949" t="s">
        <v>3380</v>
      </c>
      <c r="B9949" t="s">
        <v>9677</v>
      </c>
      <c r="C9949" t="s">
        <v>6342</v>
      </c>
      <c r="D9949" t="s">
        <v>4119</v>
      </c>
      <c r="E9949" t="s">
        <v>9935</v>
      </c>
      <c r="F9949" t="s">
        <v>34833</v>
      </c>
      <c r="G9949" t="s">
        <v>9679</v>
      </c>
      <c r="H9949" t="s">
        <v>5474</v>
      </c>
      <c r="I9949" t="s">
        <v>34834</v>
      </c>
      <c r="J9949" t="s">
        <v>5484</v>
      </c>
      <c r="K9949" t="s">
        <v>30792</v>
      </c>
      <c r="L9949" t="s">
        <v>5471</v>
      </c>
      <c r="M9949" t="s">
        <v>5471</v>
      </c>
    </row>
    <row r="9950" spans="1:13" x14ac:dyDescent="0.3">
      <c r="A9950" t="s">
        <v>3388</v>
      </c>
      <c r="B9950" t="s">
        <v>10417</v>
      </c>
      <c r="C9950" t="s">
        <v>5470</v>
      </c>
      <c r="D9950" t="s">
        <v>30466</v>
      </c>
      <c r="E9950" t="s">
        <v>5756</v>
      </c>
      <c r="F9950" t="s">
        <v>34835</v>
      </c>
      <c r="G9950" t="s">
        <v>22516</v>
      </c>
      <c r="H9950" t="s">
        <v>5474</v>
      </c>
      <c r="I9950" t="s">
        <v>34836</v>
      </c>
      <c r="J9950" t="s">
        <v>5484</v>
      </c>
      <c r="K9950" t="s">
        <v>34837</v>
      </c>
      <c r="L9950" t="s">
        <v>5471</v>
      </c>
      <c r="M9950" t="s">
        <v>5471</v>
      </c>
    </row>
    <row r="9951" spans="1:13" x14ac:dyDescent="0.3">
      <c r="A9951" t="s">
        <v>3380</v>
      </c>
      <c r="B9951" t="s">
        <v>9677</v>
      </c>
      <c r="C9951" t="s">
        <v>6342</v>
      </c>
      <c r="D9951" t="s">
        <v>4119</v>
      </c>
      <c r="E9951" t="s">
        <v>9935</v>
      </c>
      <c r="F9951" t="s">
        <v>34838</v>
      </c>
      <c r="G9951" t="s">
        <v>9683</v>
      </c>
      <c r="H9951" t="s">
        <v>5474</v>
      </c>
      <c r="I9951" t="s">
        <v>34839</v>
      </c>
      <c r="J9951" t="s">
        <v>5484</v>
      </c>
      <c r="K9951" t="s">
        <v>30798</v>
      </c>
      <c r="L9951" t="s">
        <v>5471</v>
      </c>
      <c r="M9951" t="s">
        <v>5471</v>
      </c>
    </row>
    <row r="9952" spans="1:13" x14ac:dyDescent="0.3">
      <c r="A9952" t="s">
        <v>3388</v>
      </c>
      <c r="B9952" t="s">
        <v>10417</v>
      </c>
      <c r="C9952" t="s">
        <v>5470</v>
      </c>
      <c r="D9952" t="s">
        <v>30466</v>
      </c>
      <c r="E9952" t="s">
        <v>5756</v>
      </c>
      <c r="F9952" t="s">
        <v>34840</v>
      </c>
      <c r="G9952" t="s">
        <v>22516</v>
      </c>
      <c r="H9952" t="s">
        <v>5474</v>
      </c>
      <c r="I9952" t="s">
        <v>34841</v>
      </c>
      <c r="J9952" t="s">
        <v>5484</v>
      </c>
      <c r="K9952" t="s">
        <v>34842</v>
      </c>
      <c r="L9952" t="s">
        <v>5471</v>
      </c>
      <c r="M9952" t="s">
        <v>5471</v>
      </c>
    </row>
    <row r="9953" spans="1:13" x14ac:dyDescent="0.3">
      <c r="A9953" t="s">
        <v>3380</v>
      </c>
      <c r="B9953" t="s">
        <v>9677</v>
      </c>
      <c r="C9953" t="s">
        <v>6342</v>
      </c>
      <c r="D9953" t="s">
        <v>4119</v>
      </c>
      <c r="E9953" t="s">
        <v>9935</v>
      </c>
      <c r="F9953" t="s">
        <v>34843</v>
      </c>
      <c r="G9953" t="s">
        <v>9687</v>
      </c>
      <c r="H9953" t="s">
        <v>5474</v>
      </c>
      <c r="I9953" t="s">
        <v>34844</v>
      </c>
      <c r="J9953" t="s">
        <v>5484</v>
      </c>
      <c r="K9953" t="s">
        <v>34845</v>
      </c>
      <c r="L9953" t="s">
        <v>5471</v>
      </c>
      <c r="M9953" t="s">
        <v>5471</v>
      </c>
    </row>
    <row r="9954" spans="1:13" x14ac:dyDescent="0.3">
      <c r="A9954" t="s">
        <v>3380</v>
      </c>
      <c r="B9954" t="s">
        <v>9677</v>
      </c>
      <c r="C9954" t="s">
        <v>6342</v>
      </c>
      <c r="D9954" t="s">
        <v>4119</v>
      </c>
      <c r="E9954" t="s">
        <v>9935</v>
      </c>
      <c r="F9954" t="s">
        <v>34846</v>
      </c>
      <c r="G9954" t="s">
        <v>34847</v>
      </c>
      <c r="H9954" t="s">
        <v>5474</v>
      </c>
      <c r="I9954" t="s">
        <v>34848</v>
      </c>
      <c r="J9954" t="s">
        <v>5484</v>
      </c>
      <c r="K9954" t="s">
        <v>30938</v>
      </c>
      <c r="L9954" t="s">
        <v>5471</v>
      </c>
      <c r="M9954" t="s">
        <v>5471</v>
      </c>
    </row>
    <row r="9955" spans="1:13" x14ac:dyDescent="0.3">
      <c r="A9955" t="s">
        <v>3388</v>
      </c>
      <c r="B9955" t="s">
        <v>11186</v>
      </c>
      <c r="C9955" t="s">
        <v>5470</v>
      </c>
      <c r="D9955" t="s">
        <v>30466</v>
      </c>
      <c r="E9955" t="s">
        <v>5532</v>
      </c>
      <c r="F9955" t="s">
        <v>34849</v>
      </c>
      <c r="G9955" t="s">
        <v>11188</v>
      </c>
      <c r="H9955" t="s">
        <v>5474</v>
      </c>
      <c r="I9955" t="s">
        <v>34850</v>
      </c>
      <c r="J9955" t="s">
        <v>5484</v>
      </c>
      <c r="K9955" t="s">
        <v>34851</v>
      </c>
      <c r="L9955" t="s">
        <v>5471</v>
      </c>
      <c r="M9955" t="s">
        <v>5471</v>
      </c>
    </row>
    <row r="9956" spans="1:13" x14ac:dyDescent="0.3">
      <c r="A9956" t="s">
        <v>3380</v>
      </c>
      <c r="B9956" t="s">
        <v>9677</v>
      </c>
      <c r="C9956" t="s">
        <v>6342</v>
      </c>
      <c r="D9956" t="s">
        <v>4119</v>
      </c>
      <c r="E9956" t="s">
        <v>9935</v>
      </c>
      <c r="F9956" t="s">
        <v>34852</v>
      </c>
      <c r="G9956" t="s">
        <v>26150</v>
      </c>
      <c r="H9956" t="s">
        <v>5474</v>
      </c>
      <c r="I9956" t="s">
        <v>34853</v>
      </c>
      <c r="J9956" t="s">
        <v>5484</v>
      </c>
      <c r="K9956" t="s">
        <v>30950</v>
      </c>
      <c r="L9956" t="s">
        <v>5471</v>
      </c>
      <c r="M9956" t="s">
        <v>5471</v>
      </c>
    </row>
    <row r="9957" spans="1:13" x14ac:dyDescent="0.3">
      <c r="A9957" t="s">
        <v>3388</v>
      </c>
      <c r="B9957" t="s">
        <v>5335</v>
      </c>
      <c r="C9957" t="s">
        <v>5470</v>
      </c>
      <c r="D9957" t="s">
        <v>30466</v>
      </c>
      <c r="E9957" t="s">
        <v>5532</v>
      </c>
      <c r="F9957" t="s">
        <v>34854</v>
      </c>
      <c r="G9957" t="s">
        <v>17323</v>
      </c>
      <c r="H9957" t="s">
        <v>5474</v>
      </c>
      <c r="I9957" t="s">
        <v>34855</v>
      </c>
      <c r="J9957" t="s">
        <v>5484</v>
      </c>
      <c r="K9957" t="s">
        <v>34856</v>
      </c>
      <c r="L9957" t="s">
        <v>5471</v>
      </c>
      <c r="M9957" t="s">
        <v>5471</v>
      </c>
    </row>
    <row r="9958" spans="1:13" x14ac:dyDescent="0.3">
      <c r="A9958" t="s">
        <v>3388</v>
      </c>
      <c r="B9958" t="s">
        <v>21928</v>
      </c>
      <c r="C9958" t="s">
        <v>5470</v>
      </c>
      <c r="D9958" t="s">
        <v>30466</v>
      </c>
      <c r="E9958" t="s">
        <v>5532</v>
      </c>
      <c r="F9958" t="s">
        <v>34857</v>
      </c>
      <c r="G9958" t="s">
        <v>33182</v>
      </c>
      <c r="H9958" t="s">
        <v>5474</v>
      </c>
      <c r="I9958" t="s">
        <v>34858</v>
      </c>
      <c r="J9958" t="s">
        <v>5484</v>
      </c>
      <c r="K9958" t="s">
        <v>34859</v>
      </c>
      <c r="L9958" t="s">
        <v>5471</v>
      </c>
      <c r="M9958" t="s">
        <v>5471</v>
      </c>
    </row>
    <row r="9959" spans="1:13" x14ac:dyDescent="0.3">
      <c r="A9959" t="s">
        <v>3388</v>
      </c>
      <c r="B9959" t="s">
        <v>6540</v>
      </c>
      <c r="C9959" t="s">
        <v>5470</v>
      </c>
      <c r="D9959" t="s">
        <v>30466</v>
      </c>
      <c r="E9959" t="s">
        <v>5532</v>
      </c>
      <c r="F9959" t="s">
        <v>34860</v>
      </c>
      <c r="G9959" t="s">
        <v>34572</v>
      </c>
      <c r="H9959" t="s">
        <v>5474</v>
      </c>
      <c r="I9959" t="s">
        <v>34861</v>
      </c>
      <c r="J9959" t="s">
        <v>5484</v>
      </c>
      <c r="K9959" t="s">
        <v>34862</v>
      </c>
      <c r="L9959" t="s">
        <v>5471</v>
      </c>
      <c r="M9959" t="s">
        <v>5471</v>
      </c>
    </row>
    <row r="9960" spans="1:13" x14ac:dyDescent="0.3">
      <c r="A9960" t="s">
        <v>3388</v>
      </c>
      <c r="B9960" t="s">
        <v>7109</v>
      </c>
      <c r="C9960" t="s">
        <v>5470</v>
      </c>
      <c r="D9960" t="s">
        <v>30466</v>
      </c>
      <c r="E9960" t="s">
        <v>5532</v>
      </c>
      <c r="F9960" t="s">
        <v>34863</v>
      </c>
      <c r="G9960" t="s">
        <v>23834</v>
      </c>
      <c r="H9960" t="s">
        <v>5474</v>
      </c>
      <c r="I9960" t="s">
        <v>34864</v>
      </c>
      <c r="J9960" t="s">
        <v>5484</v>
      </c>
      <c r="K9960" t="s">
        <v>34865</v>
      </c>
      <c r="L9960" t="s">
        <v>5471</v>
      </c>
      <c r="M9960" t="s">
        <v>5471</v>
      </c>
    </row>
    <row r="9961" spans="1:13" x14ac:dyDescent="0.3">
      <c r="A9961" t="s">
        <v>3388</v>
      </c>
      <c r="B9961" t="s">
        <v>24923</v>
      </c>
      <c r="C9961" t="s">
        <v>5470</v>
      </c>
      <c r="D9961" t="s">
        <v>30466</v>
      </c>
      <c r="E9961" t="s">
        <v>5532</v>
      </c>
      <c r="F9961" t="s">
        <v>34866</v>
      </c>
      <c r="G9961" t="s">
        <v>29434</v>
      </c>
      <c r="H9961" t="s">
        <v>5474</v>
      </c>
      <c r="I9961" t="s">
        <v>34867</v>
      </c>
      <c r="J9961" t="s">
        <v>5484</v>
      </c>
      <c r="K9961" t="s">
        <v>34868</v>
      </c>
      <c r="L9961" t="s">
        <v>5471</v>
      </c>
      <c r="M9961" t="s">
        <v>5471</v>
      </c>
    </row>
    <row r="9962" spans="1:13" x14ac:dyDescent="0.3">
      <c r="A9962" t="s">
        <v>3388</v>
      </c>
      <c r="B9962" t="s">
        <v>10870</v>
      </c>
      <c r="C9962" t="s">
        <v>5470</v>
      </c>
      <c r="D9962" t="s">
        <v>30466</v>
      </c>
      <c r="E9962" t="s">
        <v>5532</v>
      </c>
      <c r="F9962" t="s">
        <v>34869</v>
      </c>
      <c r="G9962" t="s">
        <v>30780</v>
      </c>
      <c r="H9962" t="s">
        <v>5474</v>
      </c>
      <c r="I9962" t="s">
        <v>34870</v>
      </c>
      <c r="J9962" t="s">
        <v>5484</v>
      </c>
      <c r="K9962" t="s">
        <v>34871</v>
      </c>
      <c r="L9962" t="s">
        <v>5471</v>
      </c>
      <c r="M9962" t="s">
        <v>5471</v>
      </c>
    </row>
    <row r="9963" spans="1:13" x14ac:dyDescent="0.3">
      <c r="A9963" t="s">
        <v>3388</v>
      </c>
      <c r="B9963" t="s">
        <v>10870</v>
      </c>
      <c r="C9963" t="s">
        <v>5470</v>
      </c>
      <c r="D9963" t="s">
        <v>30466</v>
      </c>
      <c r="E9963" t="s">
        <v>5532</v>
      </c>
      <c r="F9963" t="s">
        <v>34872</v>
      </c>
      <c r="G9963" t="s">
        <v>23202</v>
      </c>
      <c r="H9963" t="s">
        <v>5474</v>
      </c>
      <c r="I9963" t="s">
        <v>34873</v>
      </c>
      <c r="J9963" t="s">
        <v>5484</v>
      </c>
      <c r="K9963" t="s">
        <v>34874</v>
      </c>
      <c r="L9963" t="s">
        <v>5471</v>
      </c>
      <c r="M9963" t="s">
        <v>5471</v>
      </c>
    </row>
    <row r="9964" spans="1:13" x14ac:dyDescent="0.3">
      <c r="A9964" t="s">
        <v>3388</v>
      </c>
      <c r="B9964" t="s">
        <v>7109</v>
      </c>
      <c r="C9964" t="s">
        <v>5470</v>
      </c>
      <c r="D9964" t="s">
        <v>30466</v>
      </c>
      <c r="E9964" t="s">
        <v>5532</v>
      </c>
      <c r="F9964" t="s">
        <v>34875</v>
      </c>
      <c r="G9964" t="s">
        <v>23092</v>
      </c>
      <c r="H9964" t="s">
        <v>5474</v>
      </c>
      <c r="I9964" t="s">
        <v>34876</v>
      </c>
      <c r="J9964" t="s">
        <v>5484</v>
      </c>
      <c r="K9964" t="s">
        <v>34877</v>
      </c>
      <c r="L9964" t="s">
        <v>5471</v>
      </c>
      <c r="M9964" t="s">
        <v>5471</v>
      </c>
    </row>
    <row r="9965" spans="1:13" x14ac:dyDescent="0.3">
      <c r="A9965" t="s">
        <v>3388</v>
      </c>
      <c r="B9965" t="s">
        <v>7109</v>
      </c>
      <c r="C9965" t="s">
        <v>5470</v>
      </c>
      <c r="D9965" t="s">
        <v>30466</v>
      </c>
      <c r="E9965" t="s">
        <v>5532</v>
      </c>
      <c r="F9965" t="s">
        <v>34878</v>
      </c>
      <c r="G9965" t="s">
        <v>23202</v>
      </c>
      <c r="H9965" t="s">
        <v>5474</v>
      </c>
      <c r="I9965" t="s">
        <v>34879</v>
      </c>
      <c r="J9965" t="s">
        <v>5484</v>
      </c>
      <c r="K9965" t="s">
        <v>34880</v>
      </c>
      <c r="L9965" t="s">
        <v>5471</v>
      </c>
      <c r="M9965" t="s">
        <v>5471</v>
      </c>
    </row>
    <row r="9966" spans="1:13" x14ac:dyDescent="0.3">
      <c r="A9966" t="s">
        <v>3388</v>
      </c>
      <c r="B9966" t="s">
        <v>5310</v>
      </c>
      <c r="C9966" t="s">
        <v>5470</v>
      </c>
      <c r="D9966" t="s">
        <v>30466</v>
      </c>
      <c r="E9966" t="s">
        <v>5532</v>
      </c>
      <c r="F9966" t="s">
        <v>34881</v>
      </c>
      <c r="G9966" t="s">
        <v>23170</v>
      </c>
      <c r="H9966" t="s">
        <v>5474</v>
      </c>
      <c r="I9966" t="s">
        <v>34882</v>
      </c>
      <c r="J9966" t="s">
        <v>5484</v>
      </c>
      <c r="K9966" t="s">
        <v>34883</v>
      </c>
      <c r="L9966" t="s">
        <v>5471</v>
      </c>
      <c r="M9966" t="s">
        <v>5471</v>
      </c>
    </row>
    <row r="9967" spans="1:13" x14ac:dyDescent="0.3">
      <c r="A9967" t="s">
        <v>3388</v>
      </c>
      <c r="B9967" t="s">
        <v>5326</v>
      </c>
      <c r="C9967" t="s">
        <v>5470</v>
      </c>
      <c r="D9967" t="s">
        <v>10218</v>
      </c>
      <c r="E9967" t="s">
        <v>5617</v>
      </c>
      <c r="F9967" t="s">
        <v>34884</v>
      </c>
      <c r="G9967" t="s">
        <v>34885</v>
      </c>
      <c r="H9967" t="s">
        <v>5474</v>
      </c>
      <c r="I9967" t="s">
        <v>34886</v>
      </c>
      <c r="J9967" t="s">
        <v>5484</v>
      </c>
      <c r="K9967" t="s">
        <v>34887</v>
      </c>
      <c r="L9967" t="s">
        <v>5471</v>
      </c>
      <c r="M9967" t="s">
        <v>5471</v>
      </c>
    </row>
    <row r="9968" spans="1:13" x14ac:dyDescent="0.3">
      <c r="A9968" t="s">
        <v>3388</v>
      </c>
      <c r="B9968" t="s">
        <v>5326</v>
      </c>
      <c r="C9968" t="s">
        <v>5470</v>
      </c>
      <c r="D9968" t="s">
        <v>10218</v>
      </c>
      <c r="E9968" t="s">
        <v>5617</v>
      </c>
      <c r="F9968" t="s">
        <v>34888</v>
      </c>
      <c r="G9968" t="s">
        <v>34885</v>
      </c>
      <c r="H9968" t="s">
        <v>5474</v>
      </c>
      <c r="I9968" t="s">
        <v>34889</v>
      </c>
      <c r="J9968" t="s">
        <v>5484</v>
      </c>
      <c r="K9968" t="s">
        <v>34890</v>
      </c>
      <c r="L9968" t="s">
        <v>5471</v>
      </c>
      <c r="M9968" t="s">
        <v>5471</v>
      </c>
    </row>
    <row r="9969" spans="1:13" x14ac:dyDescent="0.3">
      <c r="A9969" t="s">
        <v>3388</v>
      </c>
      <c r="B9969" t="s">
        <v>5326</v>
      </c>
      <c r="C9969" t="s">
        <v>5470</v>
      </c>
      <c r="D9969" t="s">
        <v>10218</v>
      </c>
      <c r="E9969" t="s">
        <v>5617</v>
      </c>
      <c r="F9969" t="s">
        <v>34891</v>
      </c>
      <c r="G9969" t="s">
        <v>34885</v>
      </c>
      <c r="H9969" t="s">
        <v>5474</v>
      </c>
      <c r="I9969" t="s">
        <v>34892</v>
      </c>
      <c r="J9969" t="s">
        <v>5484</v>
      </c>
      <c r="K9969" t="s">
        <v>34893</v>
      </c>
      <c r="L9969" t="s">
        <v>5471</v>
      </c>
      <c r="M9969" t="s">
        <v>5471</v>
      </c>
    </row>
    <row r="9970" spans="1:13" x14ac:dyDescent="0.3">
      <c r="A9970" t="s">
        <v>3388</v>
      </c>
      <c r="B9970" t="s">
        <v>5296</v>
      </c>
      <c r="C9970" t="s">
        <v>5470</v>
      </c>
      <c r="D9970" t="s">
        <v>4058</v>
      </c>
      <c r="E9970" t="s">
        <v>5480</v>
      </c>
      <c r="F9970" t="s">
        <v>34894</v>
      </c>
      <c r="G9970" t="s">
        <v>22544</v>
      </c>
      <c r="H9970" t="s">
        <v>5474</v>
      </c>
      <c r="I9970" t="s">
        <v>34895</v>
      </c>
      <c r="J9970" t="s">
        <v>5484</v>
      </c>
      <c r="K9970" t="s">
        <v>34896</v>
      </c>
      <c r="L9970" t="s">
        <v>5471</v>
      </c>
      <c r="M9970" t="s">
        <v>5471</v>
      </c>
    </row>
    <row r="9971" spans="1:13" x14ac:dyDescent="0.3">
      <c r="A9971" t="s">
        <v>3380</v>
      </c>
      <c r="B9971" t="s">
        <v>20490</v>
      </c>
      <c r="C9971" t="s">
        <v>6342</v>
      </c>
      <c r="D9971" t="s">
        <v>4119</v>
      </c>
      <c r="E9971" t="s">
        <v>5532</v>
      </c>
      <c r="F9971" t="s">
        <v>34897</v>
      </c>
      <c r="G9971" t="s">
        <v>16263</v>
      </c>
      <c r="H9971" t="s">
        <v>5474</v>
      </c>
      <c r="I9971" t="s">
        <v>34898</v>
      </c>
      <c r="J9971" t="s">
        <v>5484</v>
      </c>
      <c r="K9971" t="s">
        <v>16098</v>
      </c>
      <c r="L9971" t="s">
        <v>5471</v>
      </c>
      <c r="M9971" t="s">
        <v>5471</v>
      </c>
    </row>
    <row r="9972" spans="1:13" x14ac:dyDescent="0.3">
      <c r="A9972" t="s">
        <v>3388</v>
      </c>
      <c r="B9972" t="s">
        <v>5296</v>
      </c>
      <c r="C9972" t="s">
        <v>5470</v>
      </c>
      <c r="D9972" t="s">
        <v>4058</v>
      </c>
      <c r="E9972" t="s">
        <v>5480</v>
      </c>
      <c r="F9972" t="s">
        <v>34899</v>
      </c>
      <c r="G9972" t="s">
        <v>22544</v>
      </c>
      <c r="H9972" t="s">
        <v>5474</v>
      </c>
      <c r="I9972" t="s">
        <v>34900</v>
      </c>
      <c r="J9972" t="s">
        <v>5484</v>
      </c>
      <c r="K9972" t="s">
        <v>34901</v>
      </c>
      <c r="L9972" t="s">
        <v>5471</v>
      </c>
      <c r="M9972" t="s">
        <v>5471</v>
      </c>
    </row>
    <row r="9973" spans="1:13" x14ac:dyDescent="0.3">
      <c r="A9973" t="s">
        <v>3380</v>
      </c>
      <c r="B9973" t="s">
        <v>20490</v>
      </c>
      <c r="C9973" t="s">
        <v>6342</v>
      </c>
      <c r="D9973" t="s">
        <v>4119</v>
      </c>
      <c r="E9973" t="s">
        <v>5532</v>
      </c>
      <c r="F9973" t="s">
        <v>34902</v>
      </c>
      <c r="G9973" t="s">
        <v>16263</v>
      </c>
      <c r="H9973" t="s">
        <v>5474</v>
      </c>
      <c r="I9973" t="s">
        <v>34903</v>
      </c>
      <c r="J9973" t="s">
        <v>5484</v>
      </c>
      <c r="K9973" t="s">
        <v>16101</v>
      </c>
      <c r="L9973" t="s">
        <v>5471</v>
      </c>
      <c r="M9973" t="s">
        <v>5471</v>
      </c>
    </row>
    <row r="9974" spans="1:13" x14ac:dyDescent="0.3">
      <c r="A9974" t="s">
        <v>3388</v>
      </c>
      <c r="B9974" t="s">
        <v>5253</v>
      </c>
      <c r="C9974" t="s">
        <v>5470</v>
      </c>
      <c r="D9974" t="s">
        <v>4052</v>
      </c>
      <c r="E9974" t="s">
        <v>5480</v>
      </c>
      <c r="F9974" t="s">
        <v>34904</v>
      </c>
      <c r="G9974" t="s">
        <v>32426</v>
      </c>
      <c r="H9974" t="s">
        <v>5474</v>
      </c>
      <c r="I9974" t="s">
        <v>34905</v>
      </c>
      <c r="J9974" t="s">
        <v>5484</v>
      </c>
      <c r="K9974" t="s">
        <v>34906</v>
      </c>
      <c r="L9974" t="s">
        <v>5471</v>
      </c>
      <c r="M9974" t="s">
        <v>5471</v>
      </c>
    </row>
    <row r="9975" spans="1:13" x14ac:dyDescent="0.3">
      <c r="A9975" t="s">
        <v>3380</v>
      </c>
      <c r="B9975" t="s">
        <v>34907</v>
      </c>
      <c r="C9975" t="s">
        <v>6342</v>
      </c>
      <c r="D9975" t="s">
        <v>4119</v>
      </c>
      <c r="E9975" t="s">
        <v>5532</v>
      </c>
      <c r="F9975" t="s">
        <v>34908</v>
      </c>
      <c r="G9975" t="s">
        <v>34909</v>
      </c>
      <c r="H9975" t="s">
        <v>5474</v>
      </c>
      <c r="I9975" t="s">
        <v>34910</v>
      </c>
      <c r="J9975" t="s">
        <v>5484</v>
      </c>
      <c r="K9975" t="s">
        <v>18298</v>
      </c>
      <c r="L9975" t="s">
        <v>5471</v>
      </c>
      <c r="M9975" t="s">
        <v>5471</v>
      </c>
    </row>
    <row r="9976" spans="1:13" x14ac:dyDescent="0.3">
      <c r="A9976" t="s">
        <v>3380</v>
      </c>
      <c r="B9976" t="s">
        <v>15695</v>
      </c>
      <c r="C9976" t="s">
        <v>6342</v>
      </c>
      <c r="D9976" t="s">
        <v>4119</v>
      </c>
      <c r="E9976" t="s">
        <v>9935</v>
      </c>
      <c r="F9976" t="s">
        <v>34911</v>
      </c>
      <c r="G9976" t="s">
        <v>16813</v>
      </c>
      <c r="H9976" t="s">
        <v>5474</v>
      </c>
      <c r="I9976" t="s">
        <v>34912</v>
      </c>
      <c r="J9976" t="s">
        <v>5484</v>
      </c>
      <c r="K9976" t="s">
        <v>26331</v>
      </c>
      <c r="L9976" t="s">
        <v>5471</v>
      </c>
      <c r="M9976" t="s">
        <v>5471</v>
      </c>
    </row>
    <row r="9977" spans="1:13" x14ac:dyDescent="0.3">
      <c r="A9977" t="s">
        <v>3388</v>
      </c>
      <c r="B9977" t="s">
        <v>5253</v>
      </c>
      <c r="C9977" t="s">
        <v>5470</v>
      </c>
      <c r="D9977" t="s">
        <v>4052</v>
      </c>
      <c r="E9977" t="s">
        <v>5480</v>
      </c>
      <c r="F9977" t="s">
        <v>34913</v>
      </c>
      <c r="G9977" t="s">
        <v>32426</v>
      </c>
      <c r="H9977" t="s">
        <v>5474</v>
      </c>
      <c r="I9977" t="s">
        <v>34914</v>
      </c>
      <c r="J9977" t="s">
        <v>5484</v>
      </c>
      <c r="K9977" t="s">
        <v>34915</v>
      </c>
      <c r="L9977" t="s">
        <v>5471</v>
      </c>
      <c r="M9977" t="s">
        <v>5471</v>
      </c>
    </row>
    <row r="9978" spans="1:13" x14ac:dyDescent="0.3">
      <c r="A9978" t="s">
        <v>3380</v>
      </c>
      <c r="B9978" t="s">
        <v>16336</v>
      </c>
      <c r="C9978" t="s">
        <v>5487</v>
      </c>
      <c r="D9978" t="s">
        <v>4119</v>
      </c>
      <c r="E9978" t="s">
        <v>5843</v>
      </c>
      <c r="F9978" t="s">
        <v>34916</v>
      </c>
      <c r="G9978" t="s">
        <v>16511</v>
      </c>
      <c r="H9978" t="s">
        <v>5474</v>
      </c>
      <c r="I9978" t="s">
        <v>34917</v>
      </c>
      <c r="J9978" t="s">
        <v>5484</v>
      </c>
      <c r="K9978" t="s">
        <v>18301</v>
      </c>
      <c r="L9978" t="s">
        <v>5471</v>
      </c>
      <c r="M9978" t="s">
        <v>5471</v>
      </c>
    </row>
    <row r="9979" spans="1:13" x14ac:dyDescent="0.3">
      <c r="A9979" t="s">
        <v>3380</v>
      </c>
      <c r="B9979" t="s">
        <v>16940</v>
      </c>
      <c r="C9979" t="s">
        <v>6342</v>
      </c>
      <c r="D9979" t="s">
        <v>4119</v>
      </c>
      <c r="E9979" t="s">
        <v>5532</v>
      </c>
      <c r="F9979" t="s">
        <v>34918</v>
      </c>
      <c r="G9979" t="s">
        <v>16942</v>
      </c>
      <c r="H9979" t="s">
        <v>5474</v>
      </c>
      <c r="I9979" t="s">
        <v>34919</v>
      </c>
      <c r="J9979" t="s">
        <v>5484</v>
      </c>
      <c r="K9979" t="s">
        <v>16098</v>
      </c>
      <c r="L9979" t="s">
        <v>5471</v>
      </c>
      <c r="M9979" t="s">
        <v>5471</v>
      </c>
    </row>
    <row r="9980" spans="1:13" x14ac:dyDescent="0.3">
      <c r="A9980" t="s">
        <v>3380</v>
      </c>
      <c r="B9980" t="s">
        <v>16940</v>
      </c>
      <c r="C9980" t="s">
        <v>6342</v>
      </c>
      <c r="D9980" t="s">
        <v>4119</v>
      </c>
      <c r="E9980" t="s">
        <v>5532</v>
      </c>
      <c r="F9980" t="s">
        <v>34920</v>
      </c>
      <c r="G9980" t="s">
        <v>16942</v>
      </c>
      <c r="H9980" t="s">
        <v>5474</v>
      </c>
      <c r="I9980" t="s">
        <v>34921</v>
      </c>
      <c r="J9980" t="s">
        <v>5484</v>
      </c>
      <c r="K9980" t="s">
        <v>16101</v>
      </c>
      <c r="L9980" t="s">
        <v>5471</v>
      </c>
      <c r="M9980" t="s">
        <v>5471</v>
      </c>
    </row>
    <row r="9981" spans="1:13" x14ac:dyDescent="0.3">
      <c r="A9981" t="s">
        <v>3388</v>
      </c>
      <c r="B9981" t="s">
        <v>6452</v>
      </c>
      <c r="C9981" t="s">
        <v>5470</v>
      </c>
      <c r="D9981" t="s">
        <v>4119</v>
      </c>
      <c r="E9981" t="s">
        <v>5480</v>
      </c>
      <c r="F9981" t="s">
        <v>34922</v>
      </c>
      <c r="G9981" t="s">
        <v>34923</v>
      </c>
      <c r="H9981" t="s">
        <v>5474</v>
      </c>
      <c r="I9981" t="s">
        <v>34924</v>
      </c>
      <c r="J9981" t="s">
        <v>5484</v>
      </c>
      <c r="K9981" t="s">
        <v>34925</v>
      </c>
      <c r="L9981" t="s">
        <v>5471</v>
      </c>
      <c r="M9981" t="s">
        <v>5471</v>
      </c>
    </row>
    <row r="9982" spans="1:13" x14ac:dyDescent="0.3">
      <c r="A9982" t="s">
        <v>3380</v>
      </c>
      <c r="B9982" t="s">
        <v>5306</v>
      </c>
      <c r="C9982" t="s">
        <v>6342</v>
      </c>
      <c r="D9982" t="s">
        <v>4119</v>
      </c>
      <c r="E9982" t="s">
        <v>5532</v>
      </c>
      <c r="F9982" t="s">
        <v>34926</v>
      </c>
      <c r="G9982" t="s">
        <v>17225</v>
      </c>
      <c r="H9982" t="s">
        <v>5474</v>
      </c>
      <c r="I9982" t="s">
        <v>34927</v>
      </c>
      <c r="J9982" t="s">
        <v>5476</v>
      </c>
      <c r="K9982" t="s">
        <v>16427</v>
      </c>
      <c r="L9982" t="s">
        <v>5471</v>
      </c>
      <c r="M9982" t="s">
        <v>5471</v>
      </c>
    </row>
    <row r="9983" spans="1:13" x14ac:dyDescent="0.3">
      <c r="A9983" t="s">
        <v>3388</v>
      </c>
      <c r="B9983" t="s">
        <v>6452</v>
      </c>
      <c r="C9983" t="s">
        <v>5470</v>
      </c>
      <c r="D9983" t="s">
        <v>4119</v>
      </c>
      <c r="E9983" t="s">
        <v>5480</v>
      </c>
      <c r="F9983" t="s">
        <v>34928</v>
      </c>
      <c r="G9983" t="s">
        <v>34923</v>
      </c>
      <c r="H9983" t="s">
        <v>5474</v>
      </c>
      <c r="I9983" t="s">
        <v>34929</v>
      </c>
      <c r="J9983" t="s">
        <v>5484</v>
      </c>
      <c r="K9983" t="s">
        <v>34930</v>
      </c>
      <c r="L9983" t="s">
        <v>5471</v>
      </c>
      <c r="M9983" t="s">
        <v>5471</v>
      </c>
    </row>
    <row r="9984" spans="1:13" x14ac:dyDescent="0.3">
      <c r="A9984" t="s">
        <v>3380</v>
      </c>
      <c r="B9984" t="s">
        <v>16934</v>
      </c>
      <c r="C9984" t="s">
        <v>5487</v>
      </c>
      <c r="D9984" t="s">
        <v>4119</v>
      </c>
      <c r="E9984" t="s">
        <v>5532</v>
      </c>
      <c r="F9984" t="s">
        <v>34931</v>
      </c>
      <c r="G9984" t="s">
        <v>28465</v>
      </c>
      <c r="H9984" t="s">
        <v>5474</v>
      </c>
      <c r="I9984" t="s">
        <v>34932</v>
      </c>
      <c r="J9984" t="s">
        <v>5484</v>
      </c>
      <c r="K9984" t="s">
        <v>34933</v>
      </c>
      <c r="L9984" t="s">
        <v>5471</v>
      </c>
      <c r="M9984" t="s">
        <v>5471</v>
      </c>
    </row>
    <row r="9985" spans="1:13" x14ac:dyDescent="0.3">
      <c r="A9985" t="s">
        <v>3388</v>
      </c>
      <c r="B9985" t="s">
        <v>6452</v>
      </c>
      <c r="C9985" t="s">
        <v>5470</v>
      </c>
      <c r="D9985" t="s">
        <v>4119</v>
      </c>
      <c r="E9985" t="s">
        <v>5480</v>
      </c>
      <c r="F9985" t="s">
        <v>34934</v>
      </c>
      <c r="G9985" t="s">
        <v>34923</v>
      </c>
      <c r="H9985" t="s">
        <v>5474</v>
      </c>
      <c r="I9985" t="s">
        <v>34935</v>
      </c>
      <c r="J9985" t="s">
        <v>5484</v>
      </c>
      <c r="K9985" t="s">
        <v>34936</v>
      </c>
      <c r="L9985" t="s">
        <v>5471</v>
      </c>
      <c r="M9985" t="s">
        <v>5471</v>
      </c>
    </row>
    <row r="9986" spans="1:13" x14ac:dyDescent="0.3">
      <c r="A9986" t="s">
        <v>3380</v>
      </c>
      <c r="B9986" t="s">
        <v>5281</v>
      </c>
      <c r="C9986" t="s">
        <v>5487</v>
      </c>
      <c r="D9986" t="s">
        <v>4119</v>
      </c>
      <c r="E9986" t="s">
        <v>5532</v>
      </c>
      <c r="F9986" t="s">
        <v>34937</v>
      </c>
      <c r="G9986" t="s">
        <v>28465</v>
      </c>
      <c r="H9986" t="s">
        <v>5474</v>
      </c>
      <c r="I9986" t="s">
        <v>34938</v>
      </c>
      <c r="J9986" t="s">
        <v>5484</v>
      </c>
      <c r="K9986" t="s">
        <v>34933</v>
      </c>
      <c r="L9986" t="s">
        <v>5471</v>
      </c>
      <c r="M9986" t="s">
        <v>5471</v>
      </c>
    </row>
    <row r="9987" spans="1:13" x14ac:dyDescent="0.3">
      <c r="A9987" t="s">
        <v>3388</v>
      </c>
      <c r="B9987" t="s">
        <v>6452</v>
      </c>
      <c r="C9987" t="s">
        <v>5470</v>
      </c>
      <c r="D9987" t="s">
        <v>4119</v>
      </c>
      <c r="E9987" t="s">
        <v>5480</v>
      </c>
      <c r="F9987" t="s">
        <v>34939</v>
      </c>
      <c r="G9987" t="s">
        <v>34923</v>
      </c>
      <c r="H9987" t="s">
        <v>5474</v>
      </c>
      <c r="I9987" t="s">
        <v>34940</v>
      </c>
      <c r="J9987" t="s">
        <v>5484</v>
      </c>
      <c r="K9987" t="s">
        <v>34941</v>
      </c>
      <c r="L9987" t="s">
        <v>5471</v>
      </c>
      <c r="M9987" t="s">
        <v>5471</v>
      </c>
    </row>
    <row r="9988" spans="1:13" x14ac:dyDescent="0.3">
      <c r="A9988" t="s">
        <v>3380</v>
      </c>
      <c r="B9988" t="s">
        <v>5247</v>
      </c>
      <c r="C9988" t="s">
        <v>6342</v>
      </c>
      <c r="D9988" t="s">
        <v>4119</v>
      </c>
      <c r="E9988" t="s">
        <v>9935</v>
      </c>
      <c r="F9988" t="s">
        <v>34942</v>
      </c>
      <c r="G9988" t="s">
        <v>16140</v>
      </c>
      <c r="H9988" t="s">
        <v>5474</v>
      </c>
      <c r="I9988" t="s">
        <v>34943</v>
      </c>
      <c r="J9988" t="s">
        <v>5484</v>
      </c>
      <c r="K9988" t="s">
        <v>34933</v>
      </c>
      <c r="L9988" t="s">
        <v>5471</v>
      </c>
      <c r="M9988" t="s">
        <v>5471</v>
      </c>
    </row>
    <row r="9989" spans="1:13" x14ac:dyDescent="0.3">
      <c r="A9989" t="s">
        <v>3388</v>
      </c>
      <c r="B9989" t="s">
        <v>6452</v>
      </c>
      <c r="C9989" t="s">
        <v>5470</v>
      </c>
      <c r="D9989" t="s">
        <v>4119</v>
      </c>
      <c r="E9989" t="s">
        <v>5480</v>
      </c>
      <c r="F9989" t="s">
        <v>34944</v>
      </c>
      <c r="G9989" t="s">
        <v>34923</v>
      </c>
      <c r="H9989" t="s">
        <v>5474</v>
      </c>
      <c r="I9989" t="s">
        <v>34945</v>
      </c>
      <c r="J9989" t="s">
        <v>5484</v>
      </c>
      <c r="K9989" t="s">
        <v>34946</v>
      </c>
      <c r="L9989" t="s">
        <v>5471</v>
      </c>
      <c r="M9989" t="s">
        <v>5471</v>
      </c>
    </row>
    <row r="9990" spans="1:13" x14ac:dyDescent="0.3">
      <c r="A9990" t="s">
        <v>3380</v>
      </c>
      <c r="B9990" t="s">
        <v>34947</v>
      </c>
      <c r="C9990" t="s">
        <v>6342</v>
      </c>
      <c r="D9990" t="s">
        <v>4119</v>
      </c>
      <c r="E9990" t="s">
        <v>9935</v>
      </c>
      <c r="F9990" t="s">
        <v>34948</v>
      </c>
      <c r="G9990" t="s">
        <v>16140</v>
      </c>
      <c r="H9990" t="s">
        <v>5474</v>
      </c>
      <c r="I9990" t="s">
        <v>34949</v>
      </c>
      <c r="J9990" t="s">
        <v>5484</v>
      </c>
      <c r="K9990" t="s">
        <v>34933</v>
      </c>
      <c r="L9990" t="s">
        <v>5471</v>
      </c>
      <c r="M9990" t="s">
        <v>5471</v>
      </c>
    </row>
    <row r="9991" spans="1:13" x14ac:dyDescent="0.3">
      <c r="A9991" t="s">
        <v>3388</v>
      </c>
      <c r="B9991" t="s">
        <v>6452</v>
      </c>
      <c r="C9991" t="s">
        <v>5470</v>
      </c>
      <c r="D9991" t="s">
        <v>4119</v>
      </c>
      <c r="E9991" t="s">
        <v>5480</v>
      </c>
      <c r="F9991" t="s">
        <v>34950</v>
      </c>
      <c r="G9991" t="s">
        <v>34923</v>
      </c>
      <c r="H9991" t="s">
        <v>5474</v>
      </c>
      <c r="I9991" t="s">
        <v>34951</v>
      </c>
      <c r="J9991" t="s">
        <v>5484</v>
      </c>
      <c r="K9991" t="s">
        <v>34952</v>
      </c>
      <c r="L9991" t="s">
        <v>5471</v>
      </c>
      <c r="M9991" t="s">
        <v>5471</v>
      </c>
    </row>
    <row r="9992" spans="1:13" x14ac:dyDescent="0.3">
      <c r="A9992" t="s">
        <v>3380</v>
      </c>
      <c r="B9992" t="s">
        <v>26436</v>
      </c>
      <c r="C9992" t="s">
        <v>6342</v>
      </c>
      <c r="D9992" t="s">
        <v>4119</v>
      </c>
      <c r="E9992" t="s">
        <v>9935</v>
      </c>
      <c r="F9992" t="s">
        <v>34953</v>
      </c>
      <c r="G9992" t="s">
        <v>34954</v>
      </c>
      <c r="H9992" t="s">
        <v>5474</v>
      </c>
      <c r="I9992" t="s">
        <v>34955</v>
      </c>
      <c r="J9992" t="s">
        <v>5484</v>
      </c>
      <c r="K9992" t="s">
        <v>34933</v>
      </c>
      <c r="L9992" t="s">
        <v>5471</v>
      </c>
      <c r="M9992" t="s">
        <v>5471</v>
      </c>
    </row>
    <row r="9993" spans="1:13" x14ac:dyDescent="0.3">
      <c r="A9993" t="s">
        <v>3388</v>
      </c>
      <c r="B9993" t="s">
        <v>6452</v>
      </c>
      <c r="C9993" t="s">
        <v>5470</v>
      </c>
      <c r="D9993" t="s">
        <v>4119</v>
      </c>
      <c r="E9993" t="s">
        <v>5480</v>
      </c>
      <c r="F9993" t="s">
        <v>34956</v>
      </c>
      <c r="G9993" t="s">
        <v>34923</v>
      </c>
      <c r="H9993" t="s">
        <v>5474</v>
      </c>
      <c r="I9993" t="s">
        <v>34957</v>
      </c>
      <c r="J9993" t="s">
        <v>5484</v>
      </c>
      <c r="K9993" t="s">
        <v>34958</v>
      </c>
      <c r="L9993" t="s">
        <v>5471</v>
      </c>
      <c r="M9993" t="s">
        <v>5471</v>
      </c>
    </row>
    <row r="9994" spans="1:13" x14ac:dyDescent="0.3">
      <c r="A9994" t="s">
        <v>3380</v>
      </c>
      <c r="B9994" t="s">
        <v>34959</v>
      </c>
      <c r="C9994" t="s">
        <v>6342</v>
      </c>
      <c r="D9994" t="s">
        <v>4119</v>
      </c>
      <c r="E9994" t="s">
        <v>9935</v>
      </c>
      <c r="F9994" t="s">
        <v>34960</v>
      </c>
      <c r="G9994" t="s">
        <v>34954</v>
      </c>
      <c r="H9994" t="s">
        <v>5474</v>
      </c>
      <c r="I9994" t="s">
        <v>34961</v>
      </c>
      <c r="J9994" t="s">
        <v>5484</v>
      </c>
      <c r="K9994" t="s">
        <v>34933</v>
      </c>
      <c r="L9994" t="s">
        <v>5471</v>
      </c>
      <c r="M9994" t="s">
        <v>5471</v>
      </c>
    </row>
    <row r="9995" spans="1:13" x14ac:dyDescent="0.3">
      <c r="A9995" t="s">
        <v>3388</v>
      </c>
      <c r="B9995" t="s">
        <v>6452</v>
      </c>
      <c r="C9995" t="s">
        <v>5470</v>
      </c>
      <c r="D9995" t="s">
        <v>4119</v>
      </c>
      <c r="E9995" t="s">
        <v>5480</v>
      </c>
      <c r="F9995" t="s">
        <v>34962</v>
      </c>
      <c r="G9995" t="s">
        <v>34923</v>
      </c>
      <c r="H9995" t="s">
        <v>5474</v>
      </c>
      <c r="I9995" t="s">
        <v>34963</v>
      </c>
      <c r="J9995" t="s">
        <v>5484</v>
      </c>
      <c r="K9995" t="s">
        <v>34964</v>
      </c>
      <c r="L9995" t="s">
        <v>5471</v>
      </c>
      <c r="M9995" t="s">
        <v>5471</v>
      </c>
    </row>
    <row r="9996" spans="1:13" x14ac:dyDescent="0.3">
      <c r="A9996" t="s">
        <v>3380</v>
      </c>
      <c r="B9996" t="s">
        <v>33486</v>
      </c>
      <c r="C9996" t="s">
        <v>6342</v>
      </c>
      <c r="D9996" t="s">
        <v>4119</v>
      </c>
      <c r="E9996" t="s">
        <v>9935</v>
      </c>
      <c r="F9996" t="s">
        <v>34965</v>
      </c>
      <c r="G9996" t="s">
        <v>10007</v>
      </c>
      <c r="H9996" t="s">
        <v>5474</v>
      </c>
      <c r="I9996" t="s">
        <v>34966</v>
      </c>
      <c r="J9996" t="s">
        <v>5484</v>
      </c>
      <c r="K9996" t="s">
        <v>34933</v>
      </c>
      <c r="L9996" t="s">
        <v>5471</v>
      </c>
      <c r="M9996" t="s">
        <v>5471</v>
      </c>
    </row>
    <row r="9997" spans="1:13" x14ac:dyDescent="0.3">
      <c r="A9997" t="s">
        <v>3388</v>
      </c>
      <c r="B9997" t="s">
        <v>6452</v>
      </c>
      <c r="C9997" t="s">
        <v>5470</v>
      </c>
      <c r="D9997" t="s">
        <v>4119</v>
      </c>
      <c r="E9997" t="s">
        <v>5480</v>
      </c>
      <c r="F9997" t="s">
        <v>34967</v>
      </c>
      <c r="G9997" t="s">
        <v>34923</v>
      </c>
      <c r="H9997" t="s">
        <v>5474</v>
      </c>
      <c r="I9997" t="s">
        <v>34968</v>
      </c>
      <c r="J9997" t="s">
        <v>5484</v>
      </c>
      <c r="K9997" t="s">
        <v>34969</v>
      </c>
      <c r="L9997" t="s">
        <v>5471</v>
      </c>
      <c r="M9997" t="s">
        <v>5471</v>
      </c>
    </row>
    <row r="9998" spans="1:13" x14ac:dyDescent="0.3">
      <c r="A9998" t="s">
        <v>3380</v>
      </c>
      <c r="B9998" t="s">
        <v>9934</v>
      </c>
      <c r="C9998" t="s">
        <v>6342</v>
      </c>
      <c r="D9998" t="s">
        <v>4119</v>
      </c>
      <c r="E9998" t="s">
        <v>9935</v>
      </c>
      <c r="F9998" t="s">
        <v>34970</v>
      </c>
      <c r="G9998" t="s">
        <v>10007</v>
      </c>
      <c r="H9998" t="s">
        <v>5474</v>
      </c>
      <c r="I9998" t="s">
        <v>34971</v>
      </c>
      <c r="J9998" t="s">
        <v>5484</v>
      </c>
      <c r="K9998" t="s">
        <v>34933</v>
      </c>
      <c r="L9998" t="s">
        <v>5471</v>
      </c>
      <c r="M9998" t="s">
        <v>5471</v>
      </c>
    </row>
    <row r="9999" spans="1:13" x14ac:dyDescent="0.3">
      <c r="A9999" t="s">
        <v>3388</v>
      </c>
      <c r="B9999" t="s">
        <v>6452</v>
      </c>
      <c r="C9999" t="s">
        <v>5470</v>
      </c>
      <c r="D9999" t="s">
        <v>4119</v>
      </c>
      <c r="E9999" t="s">
        <v>5480</v>
      </c>
      <c r="F9999" t="s">
        <v>34972</v>
      </c>
      <c r="G9999" t="s">
        <v>34923</v>
      </c>
      <c r="H9999" t="s">
        <v>5474</v>
      </c>
      <c r="I9999" t="s">
        <v>34973</v>
      </c>
      <c r="J9999" t="s">
        <v>5484</v>
      </c>
      <c r="K9999" t="s">
        <v>34974</v>
      </c>
      <c r="L9999" t="s">
        <v>5471</v>
      </c>
      <c r="M9999" t="s">
        <v>5471</v>
      </c>
    </row>
    <row r="10000" spans="1:13" x14ac:dyDescent="0.3">
      <c r="A10000" t="s">
        <v>3380</v>
      </c>
      <c r="B10000" t="s">
        <v>16261</v>
      </c>
      <c r="C10000" t="s">
        <v>6342</v>
      </c>
      <c r="D10000" t="s">
        <v>4119</v>
      </c>
      <c r="E10000" t="s">
        <v>5532</v>
      </c>
      <c r="F10000" t="s">
        <v>34975</v>
      </c>
      <c r="G10000" t="s">
        <v>16263</v>
      </c>
      <c r="H10000" t="s">
        <v>5474</v>
      </c>
      <c r="I10000" t="s">
        <v>34976</v>
      </c>
      <c r="J10000" t="s">
        <v>5484</v>
      </c>
      <c r="K10000" t="s">
        <v>34933</v>
      </c>
      <c r="L10000" t="s">
        <v>5471</v>
      </c>
      <c r="M10000" t="s">
        <v>5471</v>
      </c>
    </row>
    <row r="10001" spans="1:13" x14ac:dyDescent="0.3">
      <c r="A10001" t="s">
        <v>3388</v>
      </c>
      <c r="B10001" t="s">
        <v>6452</v>
      </c>
      <c r="C10001" t="s">
        <v>5470</v>
      </c>
      <c r="D10001" t="s">
        <v>4119</v>
      </c>
      <c r="E10001" t="s">
        <v>5480</v>
      </c>
      <c r="F10001" t="s">
        <v>34977</v>
      </c>
      <c r="G10001" t="s">
        <v>34923</v>
      </c>
      <c r="H10001" t="s">
        <v>5474</v>
      </c>
      <c r="I10001" t="s">
        <v>34978</v>
      </c>
      <c r="J10001" t="s">
        <v>5484</v>
      </c>
      <c r="K10001" t="s">
        <v>34979</v>
      </c>
      <c r="L10001" t="s">
        <v>5471</v>
      </c>
      <c r="M10001" t="s">
        <v>5471</v>
      </c>
    </row>
    <row r="10002" spans="1:13" x14ac:dyDescent="0.3">
      <c r="A10002" t="s">
        <v>3380</v>
      </c>
      <c r="B10002" t="s">
        <v>20490</v>
      </c>
      <c r="C10002" t="s">
        <v>6342</v>
      </c>
      <c r="D10002" t="s">
        <v>4119</v>
      </c>
      <c r="E10002" t="s">
        <v>5532</v>
      </c>
      <c r="F10002" t="s">
        <v>34980</v>
      </c>
      <c r="G10002" t="s">
        <v>16263</v>
      </c>
      <c r="H10002" t="s">
        <v>5474</v>
      </c>
      <c r="I10002" t="s">
        <v>34981</v>
      </c>
      <c r="J10002" t="s">
        <v>5484</v>
      </c>
      <c r="K10002" t="s">
        <v>34933</v>
      </c>
      <c r="L10002" t="s">
        <v>5471</v>
      </c>
      <c r="M10002" t="s">
        <v>5471</v>
      </c>
    </row>
    <row r="10003" spans="1:13" x14ac:dyDescent="0.3">
      <c r="A10003" t="s">
        <v>3388</v>
      </c>
      <c r="B10003" t="s">
        <v>6452</v>
      </c>
      <c r="C10003" t="s">
        <v>5470</v>
      </c>
      <c r="D10003" t="s">
        <v>4119</v>
      </c>
      <c r="E10003" t="s">
        <v>5480</v>
      </c>
      <c r="F10003" t="s">
        <v>34982</v>
      </c>
      <c r="G10003" t="s">
        <v>34923</v>
      </c>
      <c r="H10003" t="s">
        <v>5474</v>
      </c>
      <c r="I10003" t="s">
        <v>34983</v>
      </c>
      <c r="J10003" t="s">
        <v>5484</v>
      </c>
      <c r="K10003" t="s">
        <v>34984</v>
      </c>
      <c r="L10003" t="s">
        <v>5471</v>
      </c>
      <c r="M10003" t="s">
        <v>5471</v>
      </c>
    </row>
    <row r="10004" spans="1:13" x14ac:dyDescent="0.3">
      <c r="A10004" t="s">
        <v>3380</v>
      </c>
      <c r="B10004" t="s">
        <v>10673</v>
      </c>
      <c r="C10004" t="s">
        <v>6342</v>
      </c>
      <c r="D10004" t="s">
        <v>4119</v>
      </c>
      <c r="E10004" t="s">
        <v>9935</v>
      </c>
      <c r="F10004" t="s">
        <v>34985</v>
      </c>
      <c r="G10004" t="s">
        <v>10675</v>
      </c>
      <c r="H10004" t="s">
        <v>5474</v>
      </c>
      <c r="I10004" t="s">
        <v>34986</v>
      </c>
      <c r="J10004" t="s">
        <v>5484</v>
      </c>
      <c r="K10004" t="s">
        <v>34933</v>
      </c>
      <c r="L10004" t="s">
        <v>5471</v>
      </c>
      <c r="M10004" t="s">
        <v>5471</v>
      </c>
    </row>
    <row r="10005" spans="1:13" x14ac:dyDescent="0.3">
      <c r="A10005" t="s">
        <v>3380</v>
      </c>
      <c r="B10005" t="s">
        <v>34947</v>
      </c>
      <c r="C10005" t="s">
        <v>6342</v>
      </c>
      <c r="D10005" t="s">
        <v>4119</v>
      </c>
      <c r="E10005" t="s">
        <v>9935</v>
      </c>
      <c r="F10005" t="s">
        <v>34987</v>
      </c>
      <c r="G10005" t="s">
        <v>10675</v>
      </c>
      <c r="H10005" t="s">
        <v>5474</v>
      </c>
      <c r="I10005" t="s">
        <v>34988</v>
      </c>
      <c r="J10005" t="s">
        <v>5484</v>
      </c>
      <c r="K10005" t="s">
        <v>34933</v>
      </c>
      <c r="L10005" t="s">
        <v>5471</v>
      </c>
      <c r="M10005" t="s">
        <v>5471</v>
      </c>
    </row>
    <row r="10006" spans="1:13" x14ac:dyDescent="0.3">
      <c r="A10006" t="s">
        <v>3388</v>
      </c>
      <c r="B10006" t="s">
        <v>6632</v>
      </c>
      <c r="C10006" t="s">
        <v>5470</v>
      </c>
      <c r="D10006" t="s">
        <v>4056</v>
      </c>
      <c r="E10006" t="s">
        <v>5480</v>
      </c>
      <c r="F10006" t="s">
        <v>34989</v>
      </c>
      <c r="G10006" t="s">
        <v>22949</v>
      </c>
      <c r="H10006" t="s">
        <v>5474</v>
      </c>
      <c r="I10006" t="s">
        <v>34990</v>
      </c>
      <c r="J10006" t="s">
        <v>5484</v>
      </c>
      <c r="K10006" t="s">
        <v>34991</v>
      </c>
      <c r="L10006" t="s">
        <v>5471</v>
      </c>
      <c r="M10006" t="s">
        <v>5471</v>
      </c>
    </row>
    <row r="10007" spans="1:13" x14ac:dyDescent="0.3">
      <c r="A10007" t="s">
        <v>3388</v>
      </c>
      <c r="B10007" t="s">
        <v>6632</v>
      </c>
      <c r="C10007" t="s">
        <v>5470</v>
      </c>
      <c r="D10007" t="s">
        <v>4056</v>
      </c>
      <c r="E10007" t="s">
        <v>5480</v>
      </c>
      <c r="F10007" t="s">
        <v>34992</v>
      </c>
      <c r="G10007" t="s">
        <v>22956</v>
      </c>
      <c r="H10007" t="s">
        <v>5474</v>
      </c>
      <c r="I10007" t="s">
        <v>34993</v>
      </c>
      <c r="J10007" t="s">
        <v>5484</v>
      </c>
      <c r="K10007" t="s">
        <v>34994</v>
      </c>
      <c r="L10007" t="s">
        <v>5471</v>
      </c>
      <c r="M10007" t="s">
        <v>5471</v>
      </c>
    </row>
    <row r="10008" spans="1:13" x14ac:dyDescent="0.3">
      <c r="A10008" t="s">
        <v>3380</v>
      </c>
      <c r="B10008" t="s">
        <v>34995</v>
      </c>
      <c r="C10008" t="s">
        <v>6342</v>
      </c>
      <c r="D10008" t="s">
        <v>4119</v>
      </c>
      <c r="E10008" t="s">
        <v>5532</v>
      </c>
      <c r="F10008" t="s">
        <v>34996</v>
      </c>
      <c r="G10008" t="s">
        <v>34576</v>
      </c>
      <c r="H10008" t="s">
        <v>5474</v>
      </c>
      <c r="I10008" t="s">
        <v>34997</v>
      </c>
      <c r="J10008" t="s">
        <v>5484</v>
      </c>
      <c r="K10008" t="s">
        <v>34325</v>
      </c>
      <c r="L10008" t="s">
        <v>5471</v>
      </c>
      <c r="M10008" t="s">
        <v>5471</v>
      </c>
    </row>
    <row r="10009" spans="1:13" x14ac:dyDescent="0.3">
      <c r="A10009" t="s">
        <v>3388</v>
      </c>
      <c r="B10009" t="s">
        <v>11423</v>
      </c>
      <c r="C10009" t="s">
        <v>5470</v>
      </c>
      <c r="D10009" t="s">
        <v>4119</v>
      </c>
      <c r="E10009" t="s">
        <v>5532</v>
      </c>
      <c r="F10009" t="s">
        <v>34998</v>
      </c>
      <c r="G10009" t="s">
        <v>20019</v>
      </c>
      <c r="H10009" t="s">
        <v>5474</v>
      </c>
      <c r="I10009" t="s">
        <v>34999</v>
      </c>
      <c r="J10009" t="s">
        <v>5476</v>
      </c>
      <c r="K10009" t="s">
        <v>35000</v>
      </c>
      <c r="L10009" t="s">
        <v>5471</v>
      </c>
      <c r="M10009" t="s">
        <v>5471</v>
      </c>
    </row>
    <row r="10010" spans="1:13" x14ac:dyDescent="0.3">
      <c r="A10010" t="s">
        <v>3388</v>
      </c>
      <c r="B10010" t="s">
        <v>5299</v>
      </c>
      <c r="C10010" t="s">
        <v>5470</v>
      </c>
      <c r="D10010" t="s">
        <v>4119</v>
      </c>
      <c r="E10010" t="s">
        <v>5532</v>
      </c>
      <c r="F10010" t="s">
        <v>35001</v>
      </c>
      <c r="G10010" t="s">
        <v>21561</v>
      </c>
      <c r="H10010" t="s">
        <v>5474</v>
      </c>
      <c r="I10010" t="s">
        <v>35002</v>
      </c>
      <c r="J10010" t="s">
        <v>5484</v>
      </c>
      <c r="K10010" t="s">
        <v>35003</v>
      </c>
      <c r="L10010" t="s">
        <v>5471</v>
      </c>
      <c r="M10010" t="s">
        <v>5471</v>
      </c>
    </row>
    <row r="10011" spans="1:13" x14ac:dyDescent="0.3">
      <c r="A10011" t="s">
        <v>3388</v>
      </c>
      <c r="B10011" t="s">
        <v>8577</v>
      </c>
      <c r="C10011" t="s">
        <v>5470</v>
      </c>
      <c r="D10011" t="s">
        <v>4119</v>
      </c>
      <c r="E10011" t="s">
        <v>5532</v>
      </c>
      <c r="F10011" t="s">
        <v>35004</v>
      </c>
      <c r="G10011" t="s">
        <v>11126</v>
      </c>
      <c r="H10011" t="s">
        <v>5474</v>
      </c>
      <c r="I10011" t="s">
        <v>35005</v>
      </c>
      <c r="J10011" t="s">
        <v>5484</v>
      </c>
      <c r="K10011" t="s">
        <v>35006</v>
      </c>
      <c r="L10011" t="s">
        <v>5471</v>
      </c>
      <c r="M10011" t="s">
        <v>5471</v>
      </c>
    </row>
    <row r="10012" spans="1:13" x14ac:dyDescent="0.3">
      <c r="A10012" t="s">
        <v>3388</v>
      </c>
      <c r="B10012" t="s">
        <v>5296</v>
      </c>
      <c r="C10012" t="s">
        <v>5470</v>
      </c>
      <c r="D10012" t="s">
        <v>4119</v>
      </c>
      <c r="E10012" t="s">
        <v>5532</v>
      </c>
      <c r="F10012" t="s">
        <v>35007</v>
      </c>
      <c r="G10012" t="s">
        <v>18091</v>
      </c>
      <c r="H10012" t="s">
        <v>5474</v>
      </c>
      <c r="I10012" t="s">
        <v>35008</v>
      </c>
      <c r="J10012" t="s">
        <v>5484</v>
      </c>
      <c r="K10012" t="s">
        <v>35009</v>
      </c>
      <c r="L10012" t="s">
        <v>5471</v>
      </c>
      <c r="M10012" t="s">
        <v>5471</v>
      </c>
    </row>
    <row r="10013" spans="1:13" x14ac:dyDescent="0.3">
      <c r="A10013" t="s">
        <v>3388</v>
      </c>
      <c r="B10013" t="s">
        <v>2749</v>
      </c>
      <c r="C10013" t="s">
        <v>5470</v>
      </c>
      <c r="D10013" t="s">
        <v>4119</v>
      </c>
      <c r="E10013" t="s">
        <v>5532</v>
      </c>
      <c r="F10013" t="s">
        <v>35010</v>
      </c>
      <c r="G10013" t="s">
        <v>10901</v>
      </c>
      <c r="H10013" t="s">
        <v>5474</v>
      </c>
      <c r="I10013" t="s">
        <v>35011</v>
      </c>
      <c r="J10013" t="s">
        <v>5484</v>
      </c>
      <c r="K10013" t="s">
        <v>35012</v>
      </c>
      <c r="L10013" t="s">
        <v>5471</v>
      </c>
      <c r="M10013" t="s">
        <v>5471</v>
      </c>
    </row>
    <row r="10014" spans="1:13" x14ac:dyDescent="0.3">
      <c r="A10014" t="s">
        <v>3388</v>
      </c>
      <c r="B10014" t="s">
        <v>8656</v>
      </c>
      <c r="C10014" t="s">
        <v>5470</v>
      </c>
      <c r="D10014" t="s">
        <v>4119</v>
      </c>
      <c r="E10014" t="s">
        <v>5532</v>
      </c>
      <c r="F10014" t="s">
        <v>35013</v>
      </c>
      <c r="G10014" t="s">
        <v>20181</v>
      </c>
      <c r="H10014" t="s">
        <v>5474</v>
      </c>
      <c r="I10014" t="s">
        <v>35014</v>
      </c>
      <c r="J10014" t="s">
        <v>5484</v>
      </c>
      <c r="K10014" t="s">
        <v>35015</v>
      </c>
      <c r="L10014" t="s">
        <v>5471</v>
      </c>
      <c r="M10014" t="s">
        <v>5471</v>
      </c>
    </row>
    <row r="10015" spans="1:13" x14ac:dyDescent="0.3">
      <c r="A10015" t="s">
        <v>3388</v>
      </c>
      <c r="B10015" t="s">
        <v>6452</v>
      </c>
      <c r="C10015" t="s">
        <v>5470</v>
      </c>
      <c r="D10015" t="s">
        <v>4119</v>
      </c>
      <c r="E10015" t="s">
        <v>5480</v>
      </c>
      <c r="F10015" t="s">
        <v>35016</v>
      </c>
      <c r="G10015" t="s">
        <v>34923</v>
      </c>
      <c r="H10015" t="s">
        <v>5474</v>
      </c>
      <c r="I10015" t="s">
        <v>35017</v>
      </c>
      <c r="J10015" t="s">
        <v>5484</v>
      </c>
      <c r="K10015" t="s">
        <v>35018</v>
      </c>
      <c r="L10015" t="s">
        <v>5471</v>
      </c>
      <c r="M10015" t="s">
        <v>5471</v>
      </c>
    </row>
    <row r="10016" spans="1:13" x14ac:dyDescent="0.3">
      <c r="A10016" t="s">
        <v>3388</v>
      </c>
      <c r="B10016" t="s">
        <v>15702</v>
      </c>
      <c r="C10016" t="s">
        <v>5470</v>
      </c>
      <c r="D10016" t="s">
        <v>4119</v>
      </c>
      <c r="E10016" t="s">
        <v>5532</v>
      </c>
      <c r="F10016" t="s">
        <v>35019</v>
      </c>
      <c r="G10016" t="s">
        <v>28792</v>
      </c>
      <c r="H10016" t="s">
        <v>5474</v>
      </c>
      <c r="I10016" t="s">
        <v>35020</v>
      </c>
      <c r="J10016" t="s">
        <v>5484</v>
      </c>
      <c r="K10016" t="s">
        <v>35021</v>
      </c>
      <c r="L10016" t="s">
        <v>5471</v>
      </c>
      <c r="M10016" t="s">
        <v>5471</v>
      </c>
    </row>
    <row r="10017" spans="1:13" x14ac:dyDescent="0.3">
      <c r="A10017" t="s">
        <v>3388</v>
      </c>
      <c r="B10017" t="s">
        <v>6452</v>
      </c>
      <c r="C10017" t="s">
        <v>5470</v>
      </c>
      <c r="D10017" t="s">
        <v>4119</v>
      </c>
      <c r="E10017" t="s">
        <v>5480</v>
      </c>
      <c r="F10017" t="s">
        <v>35022</v>
      </c>
      <c r="G10017" t="s">
        <v>34923</v>
      </c>
      <c r="H10017" t="s">
        <v>5474</v>
      </c>
      <c r="I10017" t="s">
        <v>35023</v>
      </c>
      <c r="J10017" t="s">
        <v>5484</v>
      </c>
      <c r="K10017" t="s">
        <v>35024</v>
      </c>
      <c r="L10017" t="s">
        <v>5471</v>
      </c>
      <c r="M10017" t="s">
        <v>5471</v>
      </c>
    </row>
    <row r="10018" spans="1:13" x14ac:dyDescent="0.3">
      <c r="A10018" t="s">
        <v>3388</v>
      </c>
      <c r="B10018" t="s">
        <v>5257</v>
      </c>
      <c r="C10018" t="s">
        <v>5470</v>
      </c>
      <c r="D10018" t="s">
        <v>4119</v>
      </c>
      <c r="E10018" t="s">
        <v>5532</v>
      </c>
      <c r="F10018" t="s">
        <v>35025</v>
      </c>
      <c r="G10018" t="s">
        <v>24945</v>
      </c>
      <c r="H10018" t="s">
        <v>5474</v>
      </c>
      <c r="I10018" t="s">
        <v>35026</v>
      </c>
      <c r="J10018" t="s">
        <v>5484</v>
      </c>
      <c r="K10018" t="s">
        <v>35027</v>
      </c>
      <c r="L10018" t="s">
        <v>5471</v>
      </c>
      <c r="M10018" t="s">
        <v>5471</v>
      </c>
    </row>
    <row r="10019" spans="1:13" x14ac:dyDescent="0.3">
      <c r="A10019" t="s">
        <v>3388</v>
      </c>
      <c r="B10019" t="s">
        <v>6452</v>
      </c>
      <c r="C10019" t="s">
        <v>5470</v>
      </c>
      <c r="D10019" t="s">
        <v>4119</v>
      </c>
      <c r="E10019" t="s">
        <v>5480</v>
      </c>
      <c r="F10019" t="s">
        <v>35028</v>
      </c>
      <c r="G10019" t="s">
        <v>34923</v>
      </c>
      <c r="H10019" t="s">
        <v>5474</v>
      </c>
      <c r="I10019" t="s">
        <v>35029</v>
      </c>
      <c r="J10019" t="s">
        <v>5484</v>
      </c>
      <c r="K10019" t="s">
        <v>35030</v>
      </c>
      <c r="L10019" t="s">
        <v>5471</v>
      </c>
      <c r="M10019" t="s">
        <v>5471</v>
      </c>
    </row>
    <row r="10020" spans="1:13" x14ac:dyDescent="0.3">
      <c r="A10020" t="s">
        <v>3388</v>
      </c>
      <c r="B10020" t="s">
        <v>5284</v>
      </c>
      <c r="C10020" t="s">
        <v>5470</v>
      </c>
      <c r="D10020" t="s">
        <v>4119</v>
      </c>
      <c r="E10020" t="s">
        <v>5532</v>
      </c>
      <c r="F10020" t="s">
        <v>35031</v>
      </c>
      <c r="G10020" t="s">
        <v>25096</v>
      </c>
      <c r="H10020" t="s">
        <v>5474</v>
      </c>
      <c r="I10020" t="s">
        <v>35032</v>
      </c>
      <c r="J10020" t="s">
        <v>5484</v>
      </c>
      <c r="K10020" t="s">
        <v>35033</v>
      </c>
      <c r="L10020" t="s">
        <v>5471</v>
      </c>
      <c r="M10020" t="s">
        <v>5471</v>
      </c>
    </row>
    <row r="10021" spans="1:13" x14ac:dyDescent="0.3">
      <c r="A10021" t="s">
        <v>3388</v>
      </c>
      <c r="B10021" t="s">
        <v>6452</v>
      </c>
      <c r="C10021" t="s">
        <v>5470</v>
      </c>
      <c r="D10021" t="s">
        <v>4119</v>
      </c>
      <c r="E10021" t="s">
        <v>5480</v>
      </c>
      <c r="F10021" t="s">
        <v>35034</v>
      </c>
      <c r="G10021" t="s">
        <v>34923</v>
      </c>
      <c r="H10021" t="s">
        <v>5474</v>
      </c>
      <c r="I10021" t="s">
        <v>35035</v>
      </c>
      <c r="J10021" t="s">
        <v>5484</v>
      </c>
      <c r="K10021" t="s">
        <v>35036</v>
      </c>
      <c r="L10021" t="s">
        <v>5471</v>
      </c>
      <c r="M10021" t="s">
        <v>5471</v>
      </c>
    </row>
    <row r="10022" spans="1:13" x14ac:dyDescent="0.3">
      <c r="A10022" t="s">
        <v>3388</v>
      </c>
      <c r="B10022" t="s">
        <v>15859</v>
      </c>
      <c r="C10022" t="s">
        <v>5470</v>
      </c>
      <c r="D10022" t="s">
        <v>4119</v>
      </c>
      <c r="E10022" t="s">
        <v>5756</v>
      </c>
      <c r="F10022" t="s">
        <v>35037</v>
      </c>
      <c r="G10022" t="s">
        <v>25037</v>
      </c>
      <c r="H10022" t="s">
        <v>5474</v>
      </c>
      <c r="I10022" t="s">
        <v>35038</v>
      </c>
      <c r="J10022" t="s">
        <v>5484</v>
      </c>
      <c r="K10022" t="s">
        <v>35039</v>
      </c>
      <c r="L10022" t="s">
        <v>5471</v>
      </c>
      <c r="M10022" t="s">
        <v>5471</v>
      </c>
    </row>
    <row r="10023" spans="1:13" x14ac:dyDescent="0.3">
      <c r="A10023" t="s">
        <v>3388</v>
      </c>
      <c r="B10023" t="s">
        <v>6452</v>
      </c>
      <c r="C10023" t="s">
        <v>5470</v>
      </c>
      <c r="D10023" t="s">
        <v>4119</v>
      </c>
      <c r="E10023" t="s">
        <v>5480</v>
      </c>
      <c r="F10023" t="s">
        <v>35040</v>
      </c>
      <c r="G10023" t="s">
        <v>34923</v>
      </c>
      <c r="H10023" t="s">
        <v>5474</v>
      </c>
      <c r="I10023" t="s">
        <v>35041</v>
      </c>
      <c r="J10023" t="s">
        <v>5484</v>
      </c>
      <c r="K10023" t="s">
        <v>35042</v>
      </c>
      <c r="L10023" t="s">
        <v>5471</v>
      </c>
      <c r="M10023" t="s">
        <v>5471</v>
      </c>
    </row>
    <row r="10024" spans="1:13" x14ac:dyDescent="0.3">
      <c r="A10024" t="s">
        <v>3388</v>
      </c>
      <c r="B10024" t="s">
        <v>15859</v>
      </c>
      <c r="C10024" t="s">
        <v>5470</v>
      </c>
      <c r="D10024" t="s">
        <v>4119</v>
      </c>
      <c r="E10024" t="s">
        <v>5756</v>
      </c>
      <c r="F10024" t="s">
        <v>35043</v>
      </c>
      <c r="G10024" t="s">
        <v>35044</v>
      </c>
      <c r="H10024" t="s">
        <v>5474</v>
      </c>
      <c r="I10024" t="s">
        <v>35045</v>
      </c>
      <c r="J10024" t="s">
        <v>5484</v>
      </c>
      <c r="K10024" t="s">
        <v>35046</v>
      </c>
      <c r="L10024" t="s">
        <v>5471</v>
      </c>
      <c r="M10024" t="s">
        <v>5471</v>
      </c>
    </row>
    <row r="10025" spans="1:13" x14ac:dyDescent="0.3">
      <c r="A10025" t="s">
        <v>3388</v>
      </c>
      <c r="B10025" t="s">
        <v>6452</v>
      </c>
      <c r="C10025" t="s">
        <v>5470</v>
      </c>
      <c r="D10025" t="s">
        <v>4119</v>
      </c>
      <c r="E10025" t="s">
        <v>5480</v>
      </c>
      <c r="F10025" t="s">
        <v>35047</v>
      </c>
      <c r="G10025" t="s">
        <v>34923</v>
      </c>
      <c r="H10025" t="s">
        <v>5474</v>
      </c>
      <c r="I10025" t="s">
        <v>35048</v>
      </c>
      <c r="J10025" t="s">
        <v>5484</v>
      </c>
      <c r="K10025" t="s">
        <v>35049</v>
      </c>
      <c r="L10025" t="s">
        <v>5471</v>
      </c>
      <c r="M10025" t="s">
        <v>5471</v>
      </c>
    </row>
    <row r="10026" spans="1:13" x14ac:dyDescent="0.3">
      <c r="A10026" t="s">
        <v>3388</v>
      </c>
      <c r="B10026" t="s">
        <v>10857</v>
      </c>
      <c r="C10026" t="s">
        <v>5470</v>
      </c>
      <c r="D10026" t="s">
        <v>4119</v>
      </c>
      <c r="E10026" t="s">
        <v>5756</v>
      </c>
      <c r="F10026" t="s">
        <v>35050</v>
      </c>
      <c r="G10026" t="s">
        <v>18594</v>
      </c>
      <c r="H10026" t="s">
        <v>5474</v>
      </c>
      <c r="I10026" t="s">
        <v>35051</v>
      </c>
      <c r="J10026" t="s">
        <v>5484</v>
      </c>
      <c r="K10026" t="s">
        <v>35052</v>
      </c>
      <c r="L10026" t="s">
        <v>5471</v>
      </c>
      <c r="M10026" t="s">
        <v>5471</v>
      </c>
    </row>
    <row r="10027" spans="1:13" x14ac:dyDescent="0.3">
      <c r="A10027" t="s">
        <v>3388</v>
      </c>
      <c r="B10027" t="s">
        <v>6452</v>
      </c>
      <c r="C10027" t="s">
        <v>5470</v>
      </c>
      <c r="D10027" t="s">
        <v>4119</v>
      </c>
      <c r="E10027" t="s">
        <v>5480</v>
      </c>
      <c r="F10027" t="s">
        <v>35053</v>
      </c>
      <c r="G10027" t="s">
        <v>34923</v>
      </c>
      <c r="H10027" t="s">
        <v>5474</v>
      </c>
      <c r="I10027" t="s">
        <v>35054</v>
      </c>
      <c r="J10027" t="s">
        <v>5484</v>
      </c>
      <c r="K10027" t="s">
        <v>35055</v>
      </c>
      <c r="L10027" t="s">
        <v>5471</v>
      </c>
      <c r="M10027" t="s">
        <v>5471</v>
      </c>
    </row>
    <row r="10028" spans="1:13" x14ac:dyDescent="0.3">
      <c r="A10028" t="s">
        <v>3388</v>
      </c>
      <c r="B10028" t="s">
        <v>10857</v>
      </c>
      <c r="C10028" t="s">
        <v>5470</v>
      </c>
      <c r="D10028" t="s">
        <v>4119</v>
      </c>
      <c r="E10028" t="s">
        <v>5756</v>
      </c>
      <c r="F10028" t="s">
        <v>35056</v>
      </c>
      <c r="G10028" t="s">
        <v>10859</v>
      </c>
      <c r="H10028" t="s">
        <v>5474</v>
      </c>
      <c r="I10028" t="s">
        <v>35057</v>
      </c>
      <c r="J10028" t="s">
        <v>5484</v>
      </c>
      <c r="K10028" t="s">
        <v>35058</v>
      </c>
      <c r="L10028" t="s">
        <v>5471</v>
      </c>
      <c r="M10028" t="s">
        <v>5471</v>
      </c>
    </row>
    <row r="10029" spans="1:13" x14ac:dyDescent="0.3">
      <c r="A10029" t="s">
        <v>3388</v>
      </c>
      <c r="B10029" t="s">
        <v>6452</v>
      </c>
      <c r="C10029" t="s">
        <v>5470</v>
      </c>
      <c r="D10029" t="s">
        <v>4119</v>
      </c>
      <c r="E10029" t="s">
        <v>5480</v>
      </c>
      <c r="F10029" t="s">
        <v>35059</v>
      </c>
      <c r="G10029" t="s">
        <v>34923</v>
      </c>
      <c r="H10029" t="s">
        <v>5474</v>
      </c>
      <c r="I10029" t="s">
        <v>35060</v>
      </c>
      <c r="J10029" t="s">
        <v>5484</v>
      </c>
      <c r="K10029" t="s">
        <v>35061</v>
      </c>
      <c r="L10029" t="s">
        <v>5471</v>
      </c>
      <c r="M10029" t="s">
        <v>5471</v>
      </c>
    </row>
    <row r="10030" spans="1:13" x14ac:dyDescent="0.3">
      <c r="A10030" t="s">
        <v>3388</v>
      </c>
      <c r="B10030" t="s">
        <v>15822</v>
      </c>
      <c r="C10030" t="s">
        <v>5470</v>
      </c>
      <c r="D10030" t="s">
        <v>4119</v>
      </c>
      <c r="E10030" t="s">
        <v>5756</v>
      </c>
      <c r="F10030" t="s">
        <v>35062</v>
      </c>
      <c r="G10030" t="s">
        <v>20062</v>
      </c>
      <c r="H10030" t="s">
        <v>5474</v>
      </c>
      <c r="I10030" t="s">
        <v>35063</v>
      </c>
      <c r="J10030" t="s">
        <v>5484</v>
      </c>
      <c r="K10030" t="s">
        <v>35064</v>
      </c>
      <c r="L10030" t="s">
        <v>5471</v>
      </c>
      <c r="M10030" t="s">
        <v>5471</v>
      </c>
    </row>
    <row r="10031" spans="1:13" x14ac:dyDescent="0.3">
      <c r="A10031" t="s">
        <v>3388</v>
      </c>
      <c r="B10031" t="s">
        <v>15822</v>
      </c>
      <c r="C10031" t="s">
        <v>5470</v>
      </c>
      <c r="D10031" t="s">
        <v>4119</v>
      </c>
      <c r="E10031" t="s">
        <v>5756</v>
      </c>
      <c r="F10031" t="s">
        <v>35065</v>
      </c>
      <c r="G10031" t="s">
        <v>15824</v>
      </c>
      <c r="H10031" t="s">
        <v>5474</v>
      </c>
      <c r="I10031" t="s">
        <v>35066</v>
      </c>
      <c r="J10031" t="s">
        <v>5484</v>
      </c>
      <c r="K10031" t="s">
        <v>35067</v>
      </c>
      <c r="L10031" t="s">
        <v>5471</v>
      </c>
      <c r="M10031" t="s">
        <v>5471</v>
      </c>
    </row>
    <row r="10032" spans="1:13" x14ac:dyDescent="0.3">
      <c r="A10032" t="s">
        <v>3388</v>
      </c>
      <c r="B10032" t="s">
        <v>6452</v>
      </c>
      <c r="C10032" t="s">
        <v>5470</v>
      </c>
      <c r="D10032" t="s">
        <v>4119</v>
      </c>
      <c r="E10032" t="s">
        <v>5480</v>
      </c>
      <c r="F10032" t="s">
        <v>35068</v>
      </c>
      <c r="G10032" t="s">
        <v>34923</v>
      </c>
      <c r="H10032" t="s">
        <v>5474</v>
      </c>
      <c r="I10032" t="s">
        <v>35069</v>
      </c>
      <c r="J10032" t="s">
        <v>5484</v>
      </c>
      <c r="K10032" t="s">
        <v>35070</v>
      </c>
      <c r="L10032" t="s">
        <v>5471</v>
      </c>
      <c r="M10032" t="s">
        <v>5471</v>
      </c>
    </row>
    <row r="10033" spans="1:13" x14ac:dyDescent="0.3">
      <c r="A10033" t="s">
        <v>3388</v>
      </c>
      <c r="B10033" t="s">
        <v>10865</v>
      </c>
      <c r="C10033" t="s">
        <v>5470</v>
      </c>
      <c r="D10033" t="s">
        <v>4119</v>
      </c>
      <c r="E10033" t="s">
        <v>5756</v>
      </c>
      <c r="F10033" t="s">
        <v>35071</v>
      </c>
      <c r="G10033" t="s">
        <v>15813</v>
      </c>
      <c r="H10033" t="s">
        <v>5474</v>
      </c>
      <c r="I10033" t="s">
        <v>35072</v>
      </c>
      <c r="J10033" t="s">
        <v>5484</v>
      </c>
      <c r="K10033" t="s">
        <v>35073</v>
      </c>
      <c r="L10033" t="s">
        <v>5471</v>
      </c>
      <c r="M10033" t="s">
        <v>5471</v>
      </c>
    </row>
    <row r="10034" spans="1:13" x14ac:dyDescent="0.3">
      <c r="A10034" t="s">
        <v>3388</v>
      </c>
      <c r="B10034" t="s">
        <v>6452</v>
      </c>
      <c r="C10034" t="s">
        <v>5470</v>
      </c>
      <c r="D10034" t="s">
        <v>4119</v>
      </c>
      <c r="E10034" t="s">
        <v>5480</v>
      </c>
      <c r="F10034" t="s">
        <v>35074</v>
      </c>
      <c r="G10034" t="s">
        <v>34923</v>
      </c>
      <c r="H10034" t="s">
        <v>5474</v>
      </c>
      <c r="I10034" t="s">
        <v>35075</v>
      </c>
      <c r="J10034" t="s">
        <v>5484</v>
      </c>
      <c r="K10034" t="s">
        <v>35076</v>
      </c>
      <c r="L10034" t="s">
        <v>5471</v>
      </c>
      <c r="M10034" t="s">
        <v>5471</v>
      </c>
    </row>
    <row r="10035" spans="1:13" x14ac:dyDescent="0.3">
      <c r="A10035" t="s">
        <v>3388</v>
      </c>
      <c r="B10035" t="s">
        <v>10865</v>
      </c>
      <c r="C10035" t="s">
        <v>5470</v>
      </c>
      <c r="D10035" t="s">
        <v>4119</v>
      </c>
      <c r="E10035" t="s">
        <v>5532</v>
      </c>
      <c r="F10035" t="s">
        <v>35077</v>
      </c>
      <c r="G10035" t="s">
        <v>15650</v>
      </c>
      <c r="H10035" t="s">
        <v>5474</v>
      </c>
      <c r="I10035" t="s">
        <v>35078</v>
      </c>
      <c r="J10035" t="s">
        <v>5484</v>
      </c>
      <c r="K10035" t="s">
        <v>35079</v>
      </c>
      <c r="L10035" t="s">
        <v>5471</v>
      </c>
      <c r="M10035" t="s">
        <v>5471</v>
      </c>
    </row>
    <row r="10036" spans="1:13" x14ac:dyDescent="0.3">
      <c r="A10036" t="s">
        <v>3388</v>
      </c>
      <c r="B10036" t="s">
        <v>10865</v>
      </c>
      <c r="C10036" t="s">
        <v>5470</v>
      </c>
      <c r="D10036" t="s">
        <v>4119</v>
      </c>
      <c r="E10036" t="s">
        <v>5756</v>
      </c>
      <c r="F10036" t="s">
        <v>35080</v>
      </c>
      <c r="G10036" t="s">
        <v>15840</v>
      </c>
      <c r="H10036" t="s">
        <v>5474</v>
      </c>
      <c r="I10036" t="s">
        <v>35081</v>
      </c>
      <c r="J10036" t="s">
        <v>5484</v>
      </c>
      <c r="K10036" t="s">
        <v>35082</v>
      </c>
      <c r="L10036" t="s">
        <v>5471</v>
      </c>
      <c r="M10036" t="s">
        <v>5471</v>
      </c>
    </row>
    <row r="10037" spans="1:13" x14ac:dyDescent="0.3">
      <c r="A10037" t="s">
        <v>3388</v>
      </c>
      <c r="B10037" t="s">
        <v>10865</v>
      </c>
      <c r="C10037" t="s">
        <v>5470</v>
      </c>
      <c r="D10037" t="s">
        <v>4119</v>
      </c>
      <c r="E10037" t="s">
        <v>5756</v>
      </c>
      <c r="F10037" t="s">
        <v>35083</v>
      </c>
      <c r="G10037" t="s">
        <v>15782</v>
      </c>
      <c r="H10037" t="s">
        <v>5474</v>
      </c>
      <c r="I10037" t="s">
        <v>35084</v>
      </c>
      <c r="J10037" t="s">
        <v>5484</v>
      </c>
      <c r="K10037" t="s">
        <v>35085</v>
      </c>
      <c r="L10037" t="s">
        <v>5471</v>
      </c>
      <c r="M10037" t="s">
        <v>5471</v>
      </c>
    </row>
    <row r="10038" spans="1:13" x14ac:dyDescent="0.3">
      <c r="A10038" t="s">
        <v>3388</v>
      </c>
      <c r="B10038" t="s">
        <v>15961</v>
      </c>
      <c r="C10038" t="s">
        <v>5470</v>
      </c>
      <c r="D10038" t="s">
        <v>4119</v>
      </c>
      <c r="E10038" t="s">
        <v>5756</v>
      </c>
      <c r="F10038" t="s">
        <v>35086</v>
      </c>
      <c r="G10038" t="s">
        <v>15963</v>
      </c>
      <c r="H10038" t="s">
        <v>5474</v>
      </c>
      <c r="I10038" t="s">
        <v>35087</v>
      </c>
      <c r="J10038" t="s">
        <v>5484</v>
      </c>
      <c r="K10038" t="s">
        <v>35088</v>
      </c>
      <c r="L10038" t="s">
        <v>5471</v>
      </c>
      <c r="M10038" t="s">
        <v>5471</v>
      </c>
    </row>
    <row r="10039" spans="1:13" x14ac:dyDescent="0.3">
      <c r="A10039" t="s">
        <v>3388</v>
      </c>
      <c r="B10039" t="s">
        <v>6540</v>
      </c>
      <c r="C10039" t="s">
        <v>5470</v>
      </c>
      <c r="D10039" t="s">
        <v>4119</v>
      </c>
      <c r="E10039" t="s">
        <v>5756</v>
      </c>
      <c r="F10039" t="s">
        <v>35089</v>
      </c>
      <c r="G10039" t="s">
        <v>9695</v>
      </c>
      <c r="H10039" t="s">
        <v>5474</v>
      </c>
      <c r="I10039" t="s">
        <v>35090</v>
      </c>
      <c r="J10039" t="s">
        <v>5484</v>
      </c>
      <c r="K10039" t="s">
        <v>35091</v>
      </c>
      <c r="L10039" t="s">
        <v>5471</v>
      </c>
      <c r="M10039" t="s">
        <v>5471</v>
      </c>
    </row>
    <row r="10040" spans="1:13" x14ac:dyDescent="0.3">
      <c r="A10040" t="s">
        <v>3388</v>
      </c>
      <c r="B10040" t="s">
        <v>15596</v>
      </c>
      <c r="C10040" t="s">
        <v>5470</v>
      </c>
      <c r="D10040" t="s">
        <v>4119</v>
      </c>
      <c r="E10040" t="s">
        <v>5756</v>
      </c>
      <c r="F10040" t="s">
        <v>35092</v>
      </c>
      <c r="G10040" t="s">
        <v>17747</v>
      </c>
      <c r="H10040" t="s">
        <v>5474</v>
      </c>
      <c r="I10040" t="s">
        <v>35093</v>
      </c>
      <c r="J10040" t="s">
        <v>5484</v>
      </c>
      <c r="K10040" t="s">
        <v>35094</v>
      </c>
      <c r="L10040" t="s">
        <v>5471</v>
      </c>
      <c r="M10040" t="s">
        <v>5471</v>
      </c>
    </row>
    <row r="10041" spans="1:13" x14ac:dyDescent="0.3">
      <c r="A10041" t="s">
        <v>3388</v>
      </c>
      <c r="B10041" t="s">
        <v>6540</v>
      </c>
      <c r="C10041" t="s">
        <v>5470</v>
      </c>
      <c r="D10041" t="s">
        <v>4119</v>
      </c>
      <c r="E10041" t="s">
        <v>5756</v>
      </c>
      <c r="F10041" t="s">
        <v>35095</v>
      </c>
      <c r="G10041" t="s">
        <v>9695</v>
      </c>
      <c r="H10041" t="s">
        <v>5474</v>
      </c>
      <c r="I10041" t="s">
        <v>35096</v>
      </c>
      <c r="J10041" t="s">
        <v>5484</v>
      </c>
      <c r="K10041" t="s">
        <v>35097</v>
      </c>
      <c r="L10041" t="s">
        <v>5471</v>
      </c>
      <c r="M10041" t="s">
        <v>5471</v>
      </c>
    </row>
    <row r="10042" spans="1:13" x14ac:dyDescent="0.3">
      <c r="A10042" t="s">
        <v>3388</v>
      </c>
      <c r="B10042" t="s">
        <v>6540</v>
      </c>
      <c r="C10042" t="s">
        <v>5470</v>
      </c>
      <c r="D10042" t="s">
        <v>4119</v>
      </c>
      <c r="E10042" t="s">
        <v>5756</v>
      </c>
      <c r="F10042" t="s">
        <v>35098</v>
      </c>
      <c r="G10042" t="s">
        <v>9695</v>
      </c>
      <c r="H10042" t="s">
        <v>5474</v>
      </c>
      <c r="I10042" t="s">
        <v>35099</v>
      </c>
      <c r="J10042" t="s">
        <v>5484</v>
      </c>
      <c r="K10042" t="s">
        <v>35100</v>
      </c>
      <c r="L10042" t="s">
        <v>5471</v>
      </c>
      <c r="M10042" t="s">
        <v>5471</v>
      </c>
    </row>
    <row r="10043" spans="1:13" x14ac:dyDescent="0.3">
      <c r="A10043" t="s">
        <v>3388</v>
      </c>
      <c r="B10043" t="s">
        <v>15942</v>
      </c>
      <c r="C10043" t="s">
        <v>5470</v>
      </c>
      <c r="D10043" t="s">
        <v>4119</v>
      </c>
      <c r="E10043" t="s">
        <v>5756</v>
      </c>
      <c r="F10043" t="s">
        <v>35101</v>
      </c>
      <c r="G10043" t="s">
        <v>15968</v>
      </c>
      <c r="H10043" t="s">
        <v>5474</v>
      </c>
      <c r="I10043" t="s">
        <v>35102</v>
      </c>
      <c r="J10043" t="s">
        <v>5484</v>
      </c>
      <c r="K10043" t="s">
        <v>35103</v>
      </c>
      <c r="L10043" t="s">
        <v>5471</v>
      </c>
      <c r="M10043" t="s">
        <v>5471</v>
      </c>
    </row>
    <row r="10044" spans="1:13" x14ac:dyDescent="0.3">
      <c r="A10044" t="s">
        <v>3388</v>
      </c>
      <c r="B10044" t="s">
        <v>7101</v>
      </c>
      <c r="C10044" t="s">
        <v>5470</v>
      </c>
      <c r="D10044" t="s">
        <v>10210</v>
      </c>
      <c r="E10044" t="s">
        <v>5756</v>
      </c>
      <c r="F10044" t="s">
        <v>35104</v>
      </c>
      <c r="G10044" t="s">
        <v>20348</v>
      </c>
      <c r="H10044" t="s">
        <v>5474</v>
      </c>
      <c r="I10044" t="s">
        <v>35105</v>
      </c>
      <c r="J10044" t="s">
        <v>5484</v>
      </c>
      <c r="K10044" t="s">
        <v>35106</v>
      </c>
      <c r="L10044" t="s">
        <v>5471</v>
      </c>
      <c r="M10044" t="s">
        <v>5471</v>
      </c>
    </row>
    <row r="10045" spans="1:13" x14ac:dyDescent="0.3">
      <c r="A10045" t="s">
        <v>3388</v>
      </c>
      <c r="B10045" t="s">
        <v>7101</v>
      </c>
      <c r="C10045" t="s">
        <v>5470</v>
      </c>
      <c r="D10045" t="s">
        <v>10210</v>
      </c>
      <c r="E10045" t="s">
        <v>5756</v>
      </c>
      <c r="F10045" t="s">
        <v>35107</v>
      </c>
      <c r="G10045" t="s">
        <v>20348</v>
      </c>
      <c r="H10045" t="s">
        <v>5474</v>
      </c>
      <c r="I10045" t="s">
        <v>35108</v>
      </c>
      <c r="J10045" t="s">
        <v>5484</v>
      </c>
      <c r="K10045" t="s">
        <v>35109</v>
      </c>
      <c r="L10045" t="s">
        <v>5471</v>
      </c>
      <c r="M10045" t="s">
        <v>5471</v>
      </c>
    </row>
    <row r="10046" spans="1:13" x14ac:dyDescent="0.3">
      <c r="A10046" t="s">
        <v>3388</v>
      </c>
      <c r="B10046" t="s">
        <v>10417</v>
      </c>
      <c r="C10046" t="s">
        <v>5470</v>
      </c>
      <c r="D10046" t="s">
        <v>10210</v>
      </c>
      <c r="E10046" t="s">
        <v>5756</v>
      </c>
      <c r="F10046" t="s">
        <v>35110</v>
      </c>
      <c r="G10046" t="s">
        <v>22516</v>
      </c>
      <c r="H10046" t="s">
        <v>5474</v>
      </c>
      <c r="I10046" t="s">
        <v>35111</v>
      </c>
      <c r="J10046" t="s">
        <v>5484</v>
      </c>
      <c r="K10046" t="s">
        <v>35112</v>
      </c>
      <c r="L10046" t="s">
        <v>5471</v>
      </c>
      <c r="M10046" t="s">
        <v>5471</v>
      </c>
    </row>
    <row r="10047" spans="1:13" x14ac:dyDescent="0.3">
      <c r="A10047" t="s">
        <v>3388</v>
      </c>
      <c r="B10047" t="s">
        <v>10417</v>
      </c>
      <c r="C10047" t="s">
        <v>5470</v>
      </c>
      <c r="D10047" t="s">
        <v>10210</v>
      </c>
      <c r="E10047" t="s">
        <v>5756</v>
      </c>
      <c r="F10047" t="s">
        <v>35113</v>
      </c>
      <c r="G10047" t="s">
        <v>22516</v>
      </c>
      <c r="H10047" t="s">
        <v>5474</v>
      </c>
      <c r="I10047" t="s">
        <v>35114</v>
      </c>
      <c r="J10047" t="s">
        <v>5484</v>
      </c>
      <c r="K10047" t="s">
        <v>35115</v>
      </c>
      <c r="L10047" t="s">
        <v>5471</v>
      </c>
      <c r="M10047" t="s">
        <v>5471</v>
      </c>
    </row>
    <row r="10048" spans="1:13" x14ac:dyDescent="0.3">
      <c r="A10048" t="s">
        <v>3388</v>
      </c>
      <c r="B10048" t="s">
        <v>10417</v>
      </c>
      <c r="C10048" t="s">
        <v>5470</v>
      </c>
      <c r="D10048" t="s">
        <v>10210</v>
      </c>
      <c r="E10048" t="s">
        <v>5756</v>
      </c>
      <c r="F10048" t="s">
        <v>35116</v>
      </c>
      <c r="G10048" t="s">
        <v>22516</v>
      </c>
      <c r="H10048" t="s">
        <v>5474</v>
      </c>
      <c r="I10048" t="s">
        <v>35117</v>
      </c>
      <c r="J10048" t="s">
        <v>5484</v>
      </c>
      <c r="K10048" t="s">
        <v>35118</v>
      </c>
      <c r="L10048" t="s">
        <v>5471</v>
      </c>
      <c r="M10048" t="s">
        <v>5471</v>
      </c>
    </row>
    <row r="10049" spans="1:13" x14ac:dyDescent="0.3">
      <c r="A10049" t="s">
        <v>3388</v>
      </c>
      <c r="B10049" t="s">
        <v>10417</v>
      </c>
      <c r="C10049" t="s">
        <v>5470</v>
      </c>
      <c r="D10049" t="s">
        <v>10210</v>
      </c>
      <c r="E10049" t="s">
        <v>5756</v>
      </c>
      <c r="F10049" t="s">
        <v>35119</v>
      </c>
      <c r="G10049" t="s">
        <v>22516</v>
      </c>
      <c r="H10049" t="s">
        <v>5474</v>
      </c>
      <c r="I10049" t="s">
        <v>35120</v>
      </c>
      <c r="J10049" t="s">
        <v>5484</v>
      </c>
      <c r="K10049" t="s">
        <v>35121</v>
      </c>
      <c r="L10049" t="s">
        <v>5471</v>
      </c>
      <c r="M10049" t="s">
        <v>5471</v>
      </c>
    </row>
    <row r="10050" spans="1:13" x14ac:dyDescent="0.3">
      <c r="A10050" t="s">
        <v>3388</v>
      </c>
      <c r="B10050" t="s">
        <v>10417</v>
      </c>
      <c r="C10050" t="s">
        <v>5470</v>
      </c>
      <c r="D10050" t="s">
        <v>10210</v>
      </c>
      <c r="E10050" t="s">
        <v>5756</v>
      </c>
      <c r="F10050" t="s">
        <v>35122</v>
      </c>
      <c r="G10050" t="s">
        <v>22516</v>
      </c>
      <c r="H10050" t="s">
        <v>5474</v>
      </c>
      <c r="I10050" t="s">
        <v>35123</v>
      </c>
      <c r="J10050" t="s">
        <v>5484</v>
      </c>
      <c r="K10050" t="s">
        <v>35124</v>
      </c>
      <c r="L10050" t="s">
        <v>5471</v>
      </c>
      <c r="M10050" t="s">
        <v>5471</v>
      </c>
    </row>
    <row r="10051" spans="1:13" x14ac:dyDescent="0.3">
      <c r="A10051" t="s">
        <v>3388</v>
      </c>
      <c r="B10051" t="s">
        <v>10417</v>
      </c>
      <c r="C10051" t="s">
        <v>5470</v>
      </c>
      <c r="D10051" t="s">
        <v>10210</v>
      </c>
      <c r="E10051" t="s">
        <v>5756</v>
      </c>
      <c r="F10051" t="s">
        <v>35125</v>
      </c>
      <c r="G10051" t="s">
        <v>22516</v>
      </c>
      <c r="H10051" t="s">
        <v>5474</v>
      </c>
      <c r="I10051" t="s">
        <v>35126</v>
      </c>
      <c r="J10051" t="s">
        <v>5484</v>
      </c>
      <c r="K10051" t="s">
        <v>35127</v>
      </c>
      <c r="L10051" t="s">
        <v>5471</v>
      </c>
      <c r="M10051" t="s">
        <v>5471</v>
      </c>
    </row>
    <row r="10052" spans="1:13" x14ac:dyDescent="0.3">
      <c r="A10052" t="s">
        <v>3388</v>
      </c>
      <c r="B10052" t="s">
        <v>5296</v>
      </c>
      <c r="C10052" t="s">
        <v>5470</v>
      </c>
      <c r="D10052" t="s">
        <v>10210</v>
      </c>
      <c r="E10052" t="s">
        <v>5532</v>
      </c>
      <c r="F10052" t="s">
        <v>35128</v>
      </c>
      <c r="G10052" t="s">
        <v>35129</v>
      </c>
      <c r="H10052" t="s">
        <v>5474</v>
      </c>
      <c r="I10052" t="s">
        <v>35130</v>
      </c>
      <c r="J10052" t="s">
        <v>5484</v>
      </c>
      <c r="K10052" t="s">
        <v>35131</v>
      </c>
      <c r="L10052" t="s">
        <v>5471</v>
      </c>
      <c r="M10052" t="s">
        <v>5471</v>
      </c>
    </row>
    <row r="10053" spans="1:13" x14ac:dyDescent="0.3">
      <c r="A10053" t="s">
        <v>3383</v>
      </c>
      <c r="B10053" t="s">
        <v>6051</v>
      </c>
      <c r="C10053" t="s">
        <v>5470</v>
      </c>
      <c r="D10053" t="s">
        <v>4052</v>
      </c>
      <c r="E10053" t="s">
        <v>5617</v>
      </c>
      <c r="F10053" t="s">
        <v>35132</v>
      </c>
      <c r="G10053" t="s">
        <v>11224</v>
      </c>
      <c r="H10053" t="s">
        <v>5474</v>
      </c>
      <c r="I10053" t="s">
        <v>35133</v>
      </c>
      <c r="J10053" t="s">
        <v>5484</v>
      </c>
      <c r="K10053" t="s">
        <v>35134</v>
      </c>
      <c r="L10053" t="s">
        <v>5471</v>
      </c>
      <c r="M10053" t="s">
        <v>5471</v>
      </c>
    </row>
    <row r="10054" spans="1:13" x14ac:dyDescent="0.3">
      <c r="A10054" t="s">
        <v>3383</v>
      </c>
      <c r="B10054" t="s">
        <v>6051</v>
      </c>
      <c r="C10054" t="s">
        <v>5470</v>
      </c>
      <c r="D10054" t="s">
        <v>4052</v>
      </c>
      <c r="E10054" t="s">
        <v>5617</v>
      </c>
      <c r="F10054" t="s">
        <v>35135</v>
      </c>
      <c r="G10054" t="s">
        <v>8869</v>
      </c>
      <c r="H10054" t="s">
        <v>5474</v>
      </c>
      <c r="I10054" t="s">
        <v>35136</v>
      </c>
      <c r="J10054" t="s">
        <v>5484</v>
      </c>
      <c r="K10054" t="s">
        <v>35137</v>
      </c>
      <c r="L10054" t="s">
        <v>5471</v>
      </c>
      <c r="M10054" t="s">
        <v>5471</v>
      </c>
    </row>
    <row r="10055" spans="1:13" x14ac:dyDescent="0.3">
      <c r="A10055" t="s">
        <v>3383</v>
      </c>
      <c r="B10055" t="s">
        <v>6051</v>
      </c>
      <c r="C10055" t="s">
        <v>5470</v>
      </c>
      <c r="D10055" t="s">
        <v>4052</v>
      </c>
      <c r="E10055" t="s">
        <v>5617</v>
      </c>
      <c r="F10055" t="s">
        <v>35138</v>
      </c>
      <c r="G10055" t="s">
        <v>7618</v>
      </c>
      <c r="H10055" t="s">
        <v>5474</v>
      </c>
      <c r="I10055" t="s">
        <v>35139</v>
      </c>
      <c r="J10055" t="s">
        <v>5484</v>
      </c>
      <c r="K10055" t="s">
        <v>35140</v>
      </c>
      <c r="L10055" t="s">
        <v>5471</v>
      </c>
      <c r="M10055" t="s">
        <v>5471</v>
      </c>
    </row>
    <row r="10056" spans="1:13" x14ac:dyDescent="0.3">
      <c r="A10056" t="s">
        <v>3383</v>
      </c>
      <c r="B10056" t="s">
        <v>5320</v>
      </c>
      <c r="C10056" t="s">
        <v>5470</v>
      </c>
      <c r="D10056" t="s">
        <v>4119</v>
      </c>
      <c r="E10056" t="s">
        <v>5532</v>
      </c>
      <c r="F10056" t="s">
        <v>35141</v>
      </c>
      <c r="G10056" t="s">
        <v>7799</v>
      </c>
      <c r="H10056" t="s">
        <v>5474</v>
      </c>
      <c r="I10056" t="s">
        <v>35142</v>
      </c>
      <c r="J10056" t="s">
        <v>5484</v>
      </c>
      <c r="K10056" t="s">
        <v>34227</v>
      </c>
      <c r="L10056" t="s">
        <v>5471</v>
      </c>
      <c r="M10056" t="s">
        <v>5471</v>
      </c>
    </row>
    <row r="10057" spans="1:13" x14ac:dyDescent="0.3">
      <c r="A10057" t="s">
        <v>3397</v>
      </c>
      <c r="B10057" t="s">
        <v>35143</v>
      </c>
      <c r="C10057" t="s">
        <v>5487</v>
      </c>
      <c r="D10057" t="s">
        <v>4119</v>
      </c>
      <c r="E10057" t="s">
        <v>5843</v>
      </c>
      <c r="F10057" t="s">
        <v>35144</v>
      </c>
      <c r="G10057" t="s">
        <v>35145</v>
      </c>
      <c r="H10057" t="s">
        <v>5474</v>
      </c>
      <c r="I10057" t="s">
        <v>35146</v>
      </c>
      <c r="J10057" t="s">
        <v>5484</v>
      </c>
      <c r="K10057" t="s">
        <v>35145</v>
      </c>
      <c r="L10057" t="s">
        <v>5471</v>
      </c>
      <c r="M10057" t="s">
        <v>5471</v>
      </c>
    </row>
    <row r="10058" spans="1:13" x14ac:dyDescent="0.3">
      <c r="A10058" t="s">
        <v>3383</v>
      </c>
      <c r="B10058" t="s">
        <v>7440</v>
      </c>
      <c r="C10058" t="s">
        <v>5470</v>
      </c>
      <c r="D10058" t="s">
        <v>4119</v>
      </c>
      <c r="E10058" t="s">
        <v>5532</v>
      </c>
      <c r="F10058" t="s">
        <v>35147</v>
      </c>
      <c r="G10058" t="s">
        <v>34348</v>
      </c>
      <c r="H10058" t="s">
        <v>5474</v>
      </c>
      <c r="I10058" t="s">
        <v>35148</v>
      </c>
      <c r="J10058" t="s">
        <v>5484</v>
      </c>
      <c r="K10058" t="s">
        <v>34350</v>
      </c>
      <c r="L10058" t="s">
        <v>5471</v>
      </c>
      <c r="M10058" t="s">
        <v>5471</v>
      </c>
    </row>
    <row r="10059" spans="1:13" x14ac:dyDescent="0.3">
      <c r="A10059" t="s">
        <v>3383</v>
      </c>
      <c r="B10059" t="s">
        <v>7440</v>
      </c>
      <c r="C10059" t="s">
        <v>5470</v>
      </c>
      <c r="D10059" t="s">
        <v>4119</v>
      </c>
      <c r="E10059" t="s">
        <v>5532</v>
      </c>
      <c r="F10059" t="s">
        <v>35149</v>
      </c>
      <c r="G10059" t="s">
        <v>34348</v>
      </c>
      <c r="H10059" t="s">
        <v>5474</v>
      </c>
      <c r="I10059" t="s">
        <v>35150</v>
      </c>
      <c r="J10059" t="s">
        <v>5484</v>
      </c>
      <c r="K10059" t="s">
        <v>34350</v>
      </c>
      <c r="L10059" t="s">
        <v>5471</v>
      </c>
      <c r="M10059" t="s">
        <v>5471</v>
      </c>
    </row>
    <row r="10060" spans="1:13" x14ac:dyDescent="0.3">
      <c r="A10060" t="s">
        <v>3380</v>
      </c>
      <c r="B10060" t="s">
        <v>9713</v>
      </c>
      <c r="C10060" t="s">
        <v>6342</v>
      </c>
      <c r="D10060" t="s">
        <v>4119</v>
      </c>
      <c r="E10060" t="s">
        <v>9935</v>
      </c>
      <c r="F10060" t="s">
        <v>35151</v>
      </c>
      <c r="G10060" t="s">
        <v>9715</v>
      </c>
      <c r="H10060" t="s">
        <v>5474</v>
      </c>
      <c r="I10060" t="s">
        <v>35152</v>
      </c>
      <c r="J10060" t="s">
        <v>5484</v>
      </c>
      <c r="K10060" t="s">
        <v>35153</v>
      </c>
      <c r="L10060" t="s">
        <v>5471</v>
      </c>
      <c r="M10060" t="s">
        <v>5471</v>
      </c>
    </row>
    <row r="10061" spans="1:13" x14ac:dyDescent="0.3">
      <c r="A10061" t="s">
        <v>3397</v>
      </c>
      <c r="B10061" t="s">
        <v>35143</v>
      </c>
      <c r="C10061" t="s">
        <v>5487</v>
      </c>
      <c r="D10061" t="s">
        <v>4119</v>
      </c>
      <c r="E10061" t="s">
        <v>5843</v>
      </c>
      <c r="F10061" t="s">
        <v>35154</v>
      </c>
      <c r="G10061" t="s">
        <v>35155</v>
      </c>
      <c r="H10061" t="s">
        <v>5474</v>
      </c>
      <c r="I10061" t="s">
        <v>35156</v>
      </c>
      <c r="J10061" t="s">
        <v>5484</v>
      </c>
      <c r="K10061" t="s">
        <v>35155</v>
      </c>
      <c r="L10061" t="s">
        <v>5471</v>
      </c>
      <c r="M10061" t="s">
        <v>5471</v>
      </c>
    </row>
    <row r="10062" spans="1:13" x14ac:dyDescent="0.3">
      <c r="A10062" t="s">
        <v>3388</v>
      </c>
      <c r="B10062" t="s">
        <v>5284</v>
      </c>
      <c r="C10062" t="s">
        <v>5470</v>
      </c>
      <c r="D10062" t="s">
        <v>4081</v>
      </c>
      <c r="E10062" t="s">
        <v>5532</v>
      </c>
      <c r="F10062" t="s">
        <v>35157</v>
      </c>
      <c r="G10062" t="s">
        <v>35158</v>
      </c>
      <c r="H10062" t="s">
        <v>5474</v>
      </c>
      <c r="I10062" t="s">
        <v>35159</v>
      </c>
      <c r="J10062" t="s">
        <v>5476</v>
      </c>
      <c r="K10062" t="s">
        <v>5471</v>
      </c>
      <c r="L10062" t="s">
        <v>5471</v>
      </c>
      <c r="M10062" t="s">
        <v>5471</v>
      </c>
    </row>
    <row r="10063" spans="1:13" x14ac:dyDescent="0.3">
      <c r="A10063" t="s">
        <v>3383</v>
      </c>
      <c r="B10063" t="s">
        <v>6051</v>
      </c>
      <c r="C10063" t="s">
        <v>5470</v>
      </c>
      <c r="D10063" t="s">
        <v>4056</v>
      </c>
      <c r="E10063" t="s">
        <v>5532</v>
      </c>
      <c r="F10063" t="s">
        <v>35160</v>
      </c>
      <c r="G10063" t="s">
        <v>7064</v>
      </c>
      <c r="H10063" t="s">
        <v>5474</v>
      </c>
      <c r="I10063" t="s">
        <v>35161</v>
      </c>
      <c r="J10063" t="s">
        <v>5484</v>
      </c>
      <c r="K10063" t="s">
        <v>35162</v>
      </c>
      <c r="L10063" t="s">
        <v>5471</v>
      </c>
      <c r="M10063" t="s">
        <v>5471</v>
      </c>
    </row>
    <row r="10064" spans="1:13" x14ac:dyDescent="0.3">
      <c r="A10064" t="s">
        <v>3383</v>
      </c>
      <c r="B10064" t="s">
        <v>6051</v>
      </c>
      <c r="C10064" t="s">
        <v>5470</v>
      </c>
      <c r="D10064" t="s">
        <v>4056</v>
      </c>
      <c r="E10064" t="s">
        <v>5532</v>
      </c>
      <c r="F10064" t="s">
        <v>35163</v>
      </c>
      <c r="G10064" t="s">
        <v>8869</v>
      </c>
      <c r="H10064" t="s">
        <v>5474</v>
      </c>
      <c r="I10064" t="s">
        <v>35164</v>
      </c>
      <c r="J10064" t="s">
        <v>5484</v>
      </c>
      <c r="K10064" t="s">
        <v>35162</v>
      </c>
      <c r="L10064" t="s">
        <v>5471</v>
      </c>
      <c r="M10064" t="s">
        <v>5471</v>
      </c>
    </row>
    <row r="10065" spans="1:13" x14ac:dyDescent="0.3">
      <c r="A10065" t="s">
        <v>3383</v>
      </c>
      <c r="B10065" t="s">
        <v>6051</v>
      </c>
      <c r="C10065" t="s">
        <v>5470</v>
      </c>
      <c r="D10065" t="s">
        <v>4056</v>
      </c>
      <c r="E10065" t="s">
        <v>5756</v>
      </c>
      <c r="F10065" t="s">
        <v>35165</v>
      </c>
      <c r="G10065" t="s">
        <v>6204</v>
      </c>
      <c r="H10065" t="s">
        <v>5474</v>
      </c>
      <c r="I10065" t="s">
        <v>35166</v>
      </c>
      <c r="J10065" t="s">
        <v>5484</v>
      </c>
      <c r="K10065" t="s">
        <v>35167</v>
      </c>
      <c r="L10065" t="s">
        <v>5471</v>
      </c>
      <c r="M10065" t="s">
        <v>5471</v>
      </c>
    </row>
    <row r="10066" spans="1:13" x14ac:dyDescent="0.3">
      <c r="A10066" t="s">
        <v>3383</v>
      </c>
      <c r="B10066" t="s">
        <v>6051</v>
      </c>
      <c r="C10066" t="s">
        <v>5470</v>
      </c>
      <c r="D10066" t="s">
        <v>4056</v>
      </c>
      <c r="E10066" t="s">
        <v>5756</v>
      </c>
      <c r="F10066" t="s">
        <v>35168</v>
      </c>
      <c r="G10066" t="s">
        <v>6204</v>
      </c>
      <c r="H10066" t="s">
        <v>5474</v>
      </c>
      <c r="I10066" t="s">
        <v>35169</v>
      </c>
      <c r="J10066" t="s">
        <v>5484</v>
      </c>
      <c r="K10066" t="s">
        <v>35167</v>
      </c>
      <c r="L10066" t="s">
        <v>5471</v>
      </c>
      <c r="M10066" t="s">
        <v>5471</v>
      </c>
    </row>
    <row r="10067" spans="1:13" x14ac:dyDescent="0.3">
      <c r="A10067" t="s">
        <v>3380</v>
      </c>
      <c r="B10067" t="s">
        <v>5247</v>
      </c>
      <c r="C10067" t="s">
        <v>6342</v>
      </c>
      <c r="D10067" t="s">
        <v>4119</v>
      </c>
      <c r="E10067" t="s">
        <v>5480</v>
      </c>
      <c r="F10067" t="s">
        <v>35170</v>
      </c>
      <c r="G10067" t="s">
        <v>16147</v>
      </c>
      <c r="H10067" t="s">
        <v>5474</v>
      </c>
      <c r="I10067" t="s">
        <v>35171</v>
      </c>
      <c r="J10067" t="s">
        <v>5476</v>
      </c>
      <c r="K10067" t="s">
        <v>10979</v>
      </c>
      <c r="L10067" t="s">
        <v>5471</v>
      </c>
      <c r="M10067" t="s">
        <v>5471</v>
      </c>
    </row>
    <row r="10068" spans="1:13" x14ac:dyDescent="0.3">
      <c r="A10068" t="s">
        <v>3397</v>
      </c>
      <c r="B10068" t="s">
        <v>5347</v>
      </c>
      <c r="C10068" t="s">
        <v>5487</v>
      </c>
      <c r="D10068" t="s">
        <v>4056</v>
      </c>
      <c r="E10068" t="s">
        <v>5595</v>
      </c>
      <c r="F10068" t="s">
        <v>35172</v>
      </c>
      <c r="G10068" t="s">
        <v>35173</v>
      </c>
      <c r="H10068" t="s">
        <v>5474</v>
      </c>
      <c r="I10068" t="s">
        <v>35174</v>
      </c>
      <c r="J10068" t="s">
        <v>5476</v>
      </c>
      <c r="K10068" t="s">
        <v>35175</v>
      </c>
      <c r="L10068" t="s">
        <v>5471</v>
      </c>
      <c r="M10068" t="s">
        <v>5471</v>
      </c>
    </row>
    <row r="10069" spans="1:13" x14ac:dyDescent="0.3">
      <c r="A10069" t="s">
        <v>3388</v>
      </c>
      <c r="B10069" t="s">
        <v>5284</v>
      </c>
      <c r="C10069" t="s">
        <v>5470</v>
      </c>
      <c r="D10069" t="s">
        <v>4081</v>
      </c>
      <c r="E10069" t="s">
        <v>5843</v>
      </c>
      <c r="F10069" t="s">
        <v>35176</v>
      </c>
      <c r="G10069" t="s">
        <v>35158</v>
      </c>
      <c r="H10069" t="s">
        <v>5474</v>
      </c>
      <c r="I10069" t="s">
        <v>35177</v>
      </c>
      <c r="J10069" t="s">
        <v>5476</v>
      </c>
      <c r="K10069" t="s">
        <v>5471</v>
      </c>
      <c r="L10069" t="s">
        <v>5471</v>
      </c>
      <c r="M10069" t="s">
        <v>5471</v>
      </c>
    </row>
    <row r="10070" spans="1:13" x14ac:dyDescent="0.3">
      <c r="A10070" t="s">
        <v>3380</v>
      </c>
      <c r="B10070" t="s">
        <v>5247</v>
      </c>
      <c r="C10070" t="s">
        <v>6342</v>
      </c>
      <c r="D10070" t="s">
        <v>4119</v>
      </c>
      <c r="E10070" t="s">
        <v>5480</v>
      </c>
      <c r="F10070" t="s">
        <v>35178</v>
      </c>
      <c r="G10070" t="s">
        <v>16147</v>
      </c>
      <c r="H10070" t="s">
        <v>5474</v>
      </c>
      <c r="I10070" t="s">
        <v>35179</v>
      </c>
      <c r="J10070" t="s">
        <v>5476</v>
      </c>
      <c r="K10070" t="s">
        <v>10982</v>
      </c>
      <c r="L10070" t="s">
        <v>5471</v>
      </c>
      <c r="M10070" t="s">
        <v>5471</v>
      </c>
    </row>
    <row r="10071" spans="1:13" x14ac:dyDescent="0.3">
      <c r="A10071" t="s">
        <v>3380</v>
      </c>
      <c r="B10071" t="s">
        <v>9713</v>
      </c>
      <c r="C10071" t="s">
        <v>6342</v>
      </c>
      <c r="D10071" t="s">
        <v>4119</v>
      </c>
      <c r="E10071" t="s">
        <v>9935</v>
      </c>
      <c r="F10071" t="s">
        <v>35180</v>
      </c>
      <c r="G10071" t="s">
        <v>9715</v>
      </c>
      <c r="H10071" t="s">
        <v>5474</v>
      </c>
      <c r="I10071" t="s">
        <v>35181</v>
      </c>
      <c r="J10071" t="s">
        <v>5484</v>
      </c>
      <c r="K10071" t="s">
        <v>35182</v>
      </c>
      <c r="L10071" t="s">
        <v>5471</v>
      </c>
      <c r="M10071" t="s">
        <v>5471</v>
      </c>
    </row>
    <row r="10072" spans="1:13" x14ac:dyDescent="0.3">
      <c r="A10072" t="s">
        <v>3397</v>
      </c>
      <c r="B10072" t="s">
        <v>35143</v>
      </c>
      <c r="C10072" t="s">
        <v>5487</v>
      </c>
      <c r="D10072" t="s">
        <v>4119</v>
      </c>
      <c r="E10072" t="s">
        <v>5843</v>
      </c>
      <c r="F10072" t="s">
        <v>35183</v>
      </c>
      <c r="G10072" t="s">
        <v>35184</v>
      </c>
      <c r="H10072" t="s">
        <v>5474</v>
      </c>
      <c r="I10072" t="s">
        <v>35185</v>
      </c>
      <c r="J10072" t="s">
        <v>5484</v>
      </c>
      <c r="K10072" t="s">
        <v>35184</v>
      </c>
      <c r="L10072" t="s">
        <v>5471</v>
      </c>
      <c r="M10072" t="s">
        <v>5471</v>
      </c>
    </row>
    <row r="10073" spans="1:13" x14ac:dyDescent="0.3">
      <c r="A10073" t="s">
        <v>3380</v>
      </c>
      <c r="B10073" t="s">
        <v>5247</v>
      </c>
      <c r="C10073" t="s">
        <v>6342</v>
      </c>
      <c r="D10073" t="s">
        <v>4119</v>
      </c>
      <c r="E10073" t="s">
        <v>5480</v>
      </c>
      <c r="F10073" t="s">
        <v>35186</v>
      </c>
      <c r="G10073" t="s">
        <v>16147</v>
      </c>
      <c r="H10073" t="s">
        <v>5474</v>
      </c>
      <c r="I10073" t="s">
        <v>35187</v>
      </c>
      <c r="J10073" t="s">
        <v>5476</v>
      </c>
      <c r="K10073" t="s">
        <v>35188</v>
      </c>
      <c r="L10073" t="s">
        <v>5471</v>
      </c>
      <c r="M10073" t="s">
        <v>5471</v>
      </c>
    </row>
    <row r="10074" spans="1:13" x14ac:dyDescent="0.3">
      <c r="A10074" t="s">
        <v>3397</v>
      </c>
      <c r="B10074" t="s">
        <v>5347</v>
      </c>
      <c r="C10074" t="s">
        <v>5487</v>
      </c>
      <c r="D10074" t="s">
        <v>4200</v>
      </c>
      <c r="E10074" t="s">
        <v>5843</v>
      </c>
      <c r="F10074" t="s">
        <v>35189</v>
      </c>
      <c r="G10074" t="s">
        <v>35173</v>
      </c>
      <c r="H10074" t="s">
        <v>5474</v>
      </c>
      <c r="I10074" t="s">
        <v>35190</v>
      </c>
      <c r="J10074" t="s">
        <v>5476</v>
      </c>
      <c r="K10074" t="s">
        <v>35191</v>
      </c>
      <c r="L10074" t="s">
        <v>5471</v>
      </c>
      <c r="M10074" t="s">
        <v>5471</v>
      </c>
    </row>
    <row r="10075" spans="1:13" x14ac:dyDescent="0.3">
      <c r="A10075" t="s">
        <v>3380</v>
      </c>
      <c r="B10075" t="s">
        <v>16261</v>
      </c>
      <c r="C10075" t="s">
        <v>6342</v>
      </c>
      <c r="D10075" t="s">
        <v>4119</v>
      </c>
      <c r="E10075" t="s">
        <v>5532</v>
      </c>
      <c r="F10075" t="s">
        <v>35192</v>
      </c>
      <c r="G10075" t="s">
        <v>16263</v>
      </c>
      <c r="H10075" t="s">
        <v>5474</v>
      </c>
      <c r="I10075" t="s">
        <v>35193</v>
      </c>
      <c r="J10075" t="s">
        <v>5484</v>
      </c>
      <c r="K10075" t="s">
        <v>35194</v>
      </c>
      <c r="L10075" t="s">
        <v>5471</v>
      </c>
      <c r="M10075" t="s">
        <v>5471</v>
      </c>
    </row>
    <row r="10076" spans="1:13" x14ac:dyDescent="0.3">
      <c r="A10076" t="s">
        <v>3380</v>
      </c>
      <c r="B10076" t="s">
        <v>5247</v>
      </c>
      <c r="C10076" t="s">
        <v>6342</v>
      </c>
      <c r="D10076" t="s">
        <v>4119</v>
      </c>
      <c r="E10076" t="s">
        <v>5480</v>
      </c>
      <c r="F10076" t="s">
        <v>35195</v>
      </c>
      <c r="G10076" t="s">
        <v>16147</v>
      </c>
      <c r="H10076" t="s">
        <v>5474</v>
      </c>
      <c r="I10076" t="s">
        <v>35196</v>
      </c>
      <c r="J10076" t="s">
        <v>5476</v>
      </c>
      <c r="K10076" t="s">
        <v>35197</v>
      </c>
      <c r="L10076" t="s">
        <v>5471</v>
      </c>
      <c r="M10076" t="s">
        <v>5471</v>
      </c>
    </row>
    <row r="10077" spans="1:13" x14ac:dyDescent="0.3">
      <c r="A10077" t="s">
        <v>3397</v>
      </c>
      <c r="B10077" t="s">
        <v>35143</v>
      </c>
      <c r="C10077" t="s">
        <v>5487</v>
      </c>
      <c r="D10077" t="s">
        <v>4119</v>
      </c>
      <c r="E10077" t="s">
        <v>5843</v>
      </c>
      <c r="F10077" t="s">
        <v>35198</v>
      </c>
      <c r="G10077" t="s">
        <v>35199</v>
      </c>
      <c r="H10077" t="s">
        <v>5474</v>
      </c>
      <c r="I10077" t="s">
        <v>35200</v>
      </c>
      <c r="J10077" t="s">
        <v>5484</v>
      </c>
      <c r="K10077" t="s">
        <v>35201</v>
      </c>
      <c r="L10077" t="s">
        <v>5471</v>
      </c>
      <c r="M10077" t="s">
        <v>5471</v>
      </c>
    </row>
    <row r="10078" spans="1:13" x14ac:dyDescent="0.3">
      <c r="A10078" t="s">
        <v>3380</v>
      </c>
      <c r="B10078" t="s">
        <v>35202</v>
      </c>
      <c r="C10078" t="s">
        <v>6342</v>
      </c>
      <c r="D10078" t="s">
        <v>4119</v>
      </c>
      <c r="E10078" t="s">
        <v>5532</v>
      </c>
      <c r="F10078" t="s">
        <v>35203</v>
      </c>
      <c r="G10078" t="s">
        <v>35204</v>
      </c>
      <c r="H10078" t="s">
        <v>5474</v>
      </c>
      <c r="I10078" t="s">
        <v>35205</v>
      </c>
      <c r="J10078" t="s">
        <v>5484</v>
      </c>
      <c r="K10078" t="s">
        <v>19267</v>
      </c>
      <c r="L10078" t="s">
        <v>5471</v>
      </c>
      <c r="M10078" t="s">
        <v>5471</v>
      </c>
    </row>
    <row r="10079" spans="1:13" x14ac:dyDescent="0.3">
      <c r="A10079" t="s">
        <v>3388</v>
      </c>
      <c r="B10079" t="s">
        <v>6128</v>
      </c>
      <c r="C10079" t="s">
        <v>5470</v>
      </c>
      <c r="D10079" t="s">
        <v>30466</v>
      </c>
      <c r="E10079" t="s">
        <v>5532</v>
      </c>
      <c r="F10079" t="s">
        <v>35206</v>
      </c>
      <c r="G10079" t="s">
        <v>35207</v>
      </c>
      <c r="H10079" t="s">
        <v>5474</v>
      </c>
      <c r="I10079" t="s">
        <v>35208</v>
      </c>
      <c r="J10079" t="s">
        <v>5484</v>
      </c>
      <c r="K10079" t="s">
        <v>35209</v>
      </c>
      <c r="L10079" t="s">
        <v>5471</v>
      </c>
      <c r="M10079" t="s">
        <v>5471</v>
      </c>
    </row>
    <row r="10080" spans="1:13" x14ac:dyDescent="0.3">
      <c r="A10080" t="s">
        <v>3380</v>
      </c>
      <c r="B10080" t="s">
        <v>35210</v>
      </c>
      <c r="C10080" t="s">
        <v>6342</v>
      </c>
      <c r="D10080" t="s">
        <v>4119</v>
      </c>
      <c r="E10080" t="s">
        <v>5532</v>
      </c>
      <c r="F10080" t="s">
        <v>35211</v>
      </c>
      <c r="G10080" t="s">
        <v>35212</v>
      </c>
      <c r="H10080" t="s">
        <v>5474</v>
      </c>
      <c r="I10080" t="s">
        <v>35213</v>
      </c>
      <c r="J10080" t="s">
        <v>5484</v>
      </c>
      <c r="K10080" t="s">
        <v>19267</v>
      </c>
      <c r="L10080" t="s">
        <v>5471</v>
      </c>
      <c r="M10080" t="s">
        <v>5471</v>
      </c>
    </row>
    <row r="10081" spans="1:13" x14ac:dyDescent="0.3">
      <c r="A10081" t="s">
        <v>3397</v>
      </c>
      <c r="B10081" t="s">
        <v>5347</v>
      </c>
      <c r="C10081" t="s">
        <v>5487</v>
      </c>
      <c r="D10081" t="s">
        <v>4200</v>
      </c>
      <c r="E10081" t="s">
        <v>5843</v>
      </c>
      <c r="F10081" t="s">
        <v>35214</v>
      </c>
      <c r="G10081" t="s">
        <v>35173</v>
      </c>
      <c r="H10081" t="s">
        <v>5474</v>
      </c>
      <c r="I10081" t="s">
        <v>35215</v>
      </c>
      <c r="J10081" t="s">
        <v>5476</v>
      </c>
      <c r="K10081" t="s">
        <v>35216</v>
      </c>
      <c r="L10081" t="s">
        <v>5471</v>
      </c>
      <c r="M10081" t="s">
        <v>5471</v>
      </c>
    </row>
    <row r="10082" spans="1:13" x14ac:dyDescent="0.3">
      <c r="A10082" t="s">
        <v>3388</v>
      </c>
      <c r="B10082" t="s">
        <v>2749</v>
      </c>
      <c r="C10082" t="s">
        <v>5470</v>
      </c>
      <c r="D10082" t="s">
        <v>30466</v>
      </c>
      <c r="E10082" t="s">
        <v>5532</v>
      </c>
      <c r="F10082" t="s">
        <v>35217</v>
      </c>
      <c r="G10082" t="s">
        <v>33272</v>
      </c>
      <c r="H10082" t="s">
        <v>5474</v>
      </c>
      <c r="I10082" t="s">
        <v>35218</v>
      </c>
      <c r="J10082" t="s">
        <v>5484</v>
      </c>
      <c r="K10082" t="s">
        <v>35219</v>
      </c>
      <c r="L10082" t="s">
        <v>5471</v>
      </c>
      <c r="M10082" t="s">
        <v>5471</v>
      </c>
    </row>
    <row r="10083" spans="1:13" x14ac:dyDescent="0.3">
      <c r="A10083" t="s">
        <v>3380</v>
      </c>
      <c r="B10083" t="s">
        <v>35210</v>
      </c>
      <c r="C10083" t="s">
        <v>6342</v>
      </c>
      <c r="D10083" t="s">
        <v>4119</v>
      </c>
      <c r="E10083" t="s">
        <v>5532</v>
      </c>
      <c r="F10083" t="s">
        <v>35220</v>
      </c>
      <c r="G10083" t="s">
        <v>35212</v>
      </c>
      <c r="H10083" t="s">
        <v>5474</v>
      </c>
      <c r="I10083" t="s">
        <v>35221</v>
      </c>
      <c r="J10083" t="s">
        <v>5484</v>
      </c>
      <c r="K10083" t="s">
        <v>19267</v>
      </c>
      <c r="L10083" t="s">
        <v>5471</v>
      </c>
      <c r="M10083" t="s">
        <v>5471</v>
      </c>
    </row>
    <row r="10084" spans="1:13" x14ac:dyDescent="0.3">
      <c r="A10084" t="s">
        <v>3383</v>
      </c>
      <c r="B10084" t="s">
        <v>7444</v>
      </c>
      <c r="C10084" t="s">
        <v>5470</v>
      </c>
      <c r="D10084" t="s">
        <v>4056</v>
      </c>
      <c r="E10084" t="s">
        <v>5532</v>
      </c>
      <c r="F10084" t="s">
        <v>35222</v>
      </c>
      <c r="G10084" t="s">
        <v>35223</v>
      </c>
      <c r="H10084" t="s">
        <v>5474</v>
      </c>
      <c r="I10084" t="s">
        <v>35224</v>
      </c>
      <c r="J10084" t="s">
        <v>5484</v>
      </c>
      <c r="K10084" t="s">
        <v>35225</v>
      </c>
      <c r="L10084" t="s">
        <v>5471</v>
      </c>
      <c r="M10084" t="s">
        <v>5471</v>
      </c>
    </row>
    <row r="10085" spans="1:13" x14ac:dyDescent="0.3">
      <c r="A10085" t="s">
        <v>3388</v>
      </c>
      <c r="B10085" t="s">
        <v>2749</v>
      </c>
      <c r="C10085" t="s">
        <v>5470</v>
      </c>
      <c r="D10085" t="s">
        <v>30466</v>
      </c>
      <c r="E10085" t="s">
        <v>5532</v>
      </c>
      <c r="F10085" t="s">
        <v>35226</v>
      </c>
      <c r="G10085" t="s">
        <v>33272</v>
      </c>
      <c r="H10085" t="s">
        <v>5474</v>
      </c>
      <c r="I10085" t="s">
        <v>35227</v>
      </c>
      <c r="J10085" t="s">
        <v>5484</v>
      </c>
      <c r="K10085" t="s">
        <v>35228</v>
      </c>
      <c r="L10085" t="s">
        <v>5471</v>
      </c>
      <c r="M10085" t="s">
        <v>5471</v>
      </c>
    </row>
    <row r="10086" spans="1:13" x14ac:dyDescent="0.3">
      <c r="A10086" t="s">
        <v>3380</v>
      </c>
      <c r="B10086" t="s">
        <v>35229</v>
      </c>
      <c r="C10086" t="s">
        <v>6342</v>
      </c>
      <c r="D10086" t="s">
        <v>4119</v>
      </c>
      <c r="E10086" t="s">
        <v>5532</v>
      </c>
      <c r="F10086" t="s">
        <v>35230</v>
      </c>
      <c r="G10086" t="s">
        <v>22712</v>
      </c>
      <c r="H10086" t="s">
        <v>5474</v>
      </c>
      <c r="I10086" t="s">
        <v>35231</v>
      </c>
      <c r="J10086" t="s">
        <v>5484</v>
      </c>
      <c r="K10086" t="s">
        <v>19267</v>
      </c>
      <c r="L10086" t="s">
        <v>5471</v>
      </c>
      <c r="M10086" t="s">
        <v>5471</v>
      </c>
    </row>
    <row r="10087" spans="1:13" x14ac:dyDescent="0.3">
      <c r="A10087" t="s">
        <v>3383</v>
      </c>
      <c r="B10087" t="s">
        <v>6051</v>
      </c>
      <c r="C10087" t="s">
        <v>5470</v>
      </c>
      <c r="D10087" t="s">
        <v>4052</v>
      </c>
      <c r="E10087" t="s">
        <v>5480</v>
      </c>
      <c r="F10087" t="s">
        <v>35232</v>
      </c>
      <c r="G10087" t="s">
        <v>35233</v>
      </c>
      <c r="H10087" t="s">
        <v>5474</v>
      </c>
      <c r="I10087" t="s">
        <v>35234</v>
      </c>
      <c r="J10087" t="s">
        <v>5484</v>
      </c>
      <c r="K10087" t="s">
        <v>35235</v>
      </c>
      <c r="L10087" t="s">
        <v>5471</v>
      </c>
      <c r="M10087" t="s">
        <v>5471</v>
      </c>
    </row>
    <row r="10088" spans="1:13" x14ac:dyDescent="0.3">
      <c r="A10088" t="s">
        <v>3383</v>
      </c>
      <c r="B10088" t="s">
        <v>6051</v>
      </c>
      <c r="C10088" t="s">
        <v>5470</v>
      </c>
      <c r="D10088" t="s">
        <v>4052</v>
      </c>
      <c r="E10088" t="s">
        <v>5480</v>
      </c>
      <c r="F10088" t="s">
        <v>35236</v>
      </c>
      <c r="G10088" t="s">
        <v>35233</v>
      </c>
      <c r="H10088" t="s">
        <v>5474</v>
      </c>
      <c r="I10088" t="s">
        <v>35237</v>
      </c>
      <c r="J10088" t="s">
        <v>5484</v>
      </c>
      <c r="K10088" t="s">
        <v>35238</v>
      </c>
      <c r="L10088" t="s">
        <v>5471</v>
      </c>
      <c r="M10088" t="s">
        <v>5471</v>
      </c>
    </row>
    <row r="10089" spans="1:13" x14ac:dyDescent="0.3">
      <c r="A10089" t="s">
        <v>3380</v>
      </c>
      <c r="B10089" t="s">
        <v>5247</v>
      </c>
      <c r="C10089" t="s">
        <v>6342</v>
      </c>
      <c r="D10089" t="s">
        <v>4119</v>
      </c>
      <c r="E10089" t="s">
        <v>5480</v>
      </c>
      <c r="F10089" t="s">
        <v>35239</v>
      </c>
      <c r="G10089" t="s">
        <v>16147</v>
      </c>
      <c r="H10089" t="s">
        <v>5474</v>
      </c>
      <c r="I10089" t="s">
        <v>35240</v>
      </c>
      <c r="J10089" t="s">
        <v>5476</v>
      </c>
      <c r="K10089" t="s">
        <v>35241</v>
      </c>
      <c r="L10089" t="s">
        <v>5471</v>
      </c>
      <c r="M10089" t="s">
        <v>5471</v>
      </c>
    </row>
    <row r="10090" spans="1:13" x14ac:dyDescent="0.3">
      <c r="A10090" t="s">
        <v>3397</v>
      </c>
      <c r="B10090" t="s">
        <v>35143</v>
      </c>
      <c r="C10090" t="s">
        <v>5487</v>
      </c>
      <c r="D10090" t="s">
        <v>4119</v>
      </c>
      <c r="E10090" t="s">
        <v>5843</v>
      </c>
      <c r="F10090" t="s">
        <v>35242</v>
      </c>
      <c r="G10090" t="s">
        <v>35199</v>
      </c>
      <c r="H10090" t="s">
        <v>5474</v>
      </c>
      <c r="I10090" t="s">
        <v>35243</v>
      </c>
      <c r="J10090" t="s">
        <v>5484</v>
      </c>
      <c r="K10090" t="s">
        <v>35244</v>
      </c>
      <c r="L10090" t="s">
        <v>5471</v>
      </c>
      <c r="M10090" t="s">
        <v>5471</v>
      </c>
    </row>
    <row r="10091" spans="1:13" x14ac:dyDescent="0.3">
      <c r="A10091" t="s">
        <v>3383</v>
      </c>
      <c r="B10091" t="s">
        <v>6051</v>
      </c>
      <c r="C10091" t="s">
        <v>5470</v>
      </c>
      <c r="D10091" t="s">
        <v>4056</v>
      </c>
      <c r="E10091" t="s">
        <v>5532</v>
      </c>
      <c r="F10091" t="s">
        <v>35245</v>
      </c>
      <c r="G10091" t="s">
        <v>35246</v>
      </c>
      <c r="H10091" t="s">
        <v>5474</v>
      </c>
      <c r="I10091" t="s">
        <v>35247</v>
      </c>
      <c r="J10091" t="s">
        <v>5484</v>
      </c>
      <c r="K10091" t="s">
        <v>35162</v>
      </c>
      <c r="L10091" t="s">
        <v>5471</v>
      </c>
      <c r="M10091" t="s">
        <v>5471</v>
      </c>
    </row>
    <row r="10092" spans="1:13" x14ac:dyDescent="0.3">
      <c r="A10092" t="s">
        <v>3388</v>
      </c>
      <c r="B10092" t="s">
        <v>19024</v>
      </c>
      <c r="C10092" t="s">
        <v>5470</v>
      </c>
      <c r="D10092" t="s">
        <v>30466</v>
      </c>
      <c r="E10092" t="s">
        <v>35248</v>
      </c>
      <c r="F10092" t="s">
        <v>35249</v>
      </c>
      <c r="G10092" t="s">
        <v>35250</v>
      </c>
      <c r="H10092" t="s">
        <v>5474</v>
      </c>
      <c r="I10092" t="s">
        <v>35251</v>
      </c>
      <c r="J10092" t="s">
        <v>5484</v>
      </c>
      <c r="K10092" t="s">
        <v>35252</v>
      </c>
      <c r="L10092" t="s">
        <v>5471</v>
      </c>
      <c r="M10092" t="s">
        <v>5471</v>
      </c>
    </row>
    <row r="10093" spans="1:13" x14ac:dyDescent="0.3">
      <c r="A10093" t="s">
        <v>3383</v>
      </c>
      <c r="B10093" t="s">
        <v>6051</v>
      </c>
      <c r="C10093" t="s">
        <v>5470</v>
      </c>
      <c r="D10093" t="s">
        <v>4056</v>
      </c>
      <c r="E10093" t="s">
        <v>5756</v>
      </c>
      <c r="F10093" t="s">
        <v>35253</v>
      </c>
      <c r="G10093" t="s">
        <v>6204</v>
      </c>
      <c r="H10093" t="s">
        <v>5474</v>
      </c>
      <c r="I10093" t="s">
        <v>35254</v>
      </c>
      <c r="J10093" t="s">
        <v>5484</v>
      </c>
      <c r="K10093" t="s">
        <v>35167</v>
      </c>
      <c r="L10093" t="s">
        <v>5471</v>
      </c>
      <c r="M10093" t="s">
        <v>5471</v>
      </c>
    </row>
    <row r="10094" spans="1:13" x14ac:dyDescent="0.3">
      <c r="A10094" t="s">
        <v>3380</v>
      </c>
      <c r="B10094" t="s">
        <v>5247</v>
      </c>
      <c r="C10094" t="s">
        <v>6342</v>
      </c>
      <c r="D10094" t="s">
        <v>4119</v>
      </c>
      <c r="E10094" t="s">
        <v>5480</v>
      </c>
      <c r="F10094" t="s">
        <v>35255</v>
      </c>
      <c r="G10094" t="s">
        <v>16147</v>
      </c>
      <c r="H10094" t="s">
        <v>5474</v>
      </c>
      <c r="I10094" t="s">
        <v>35256</v>
      </c>
      <c r="J10094" t="s">
        <v>5476</v>
      </c>
      <c r="K10094" t="s">
        <v>35257</v>
      </c>
      <c r="L10094" t="s">
        <v>5471</v>
      </c>
      <c r="M10094" t="s">
        <v>5471</v>
      </c>
    </row>
    <row r="10095" spans="1:13" x14ac:dyDescent="0.3">
      <c r="A10095" t="s">
        <v>3383</v>
      </c>
      <c r="B10095" t="s">
        <v>6051</v>
      </c>
      <c r="C10095" t="s">
        <v>5470</v>
      </c>
      <c r="D10095" t="s">
        <v>4052</v>
      </c>
      <c r="E10095" t="s">
        <v>5480</v>
      </c>
      <c r="F10095" t="s">
        <v>35258</v>
      </c>
      <c r="G10095" t="s">
        <v>8869</v>
      </c>
      <c r="H10095" t="s">
        <v>5474</v>
      </c>
      <c r="I10095" t="s">
        <v>35259</v>
      </c>
      <c r="J10095" t="s">
        <v>5484</v>
      </c>
      <c r="K10095" t="s">
        <v>35260</v>
      </c>
      <c r="L10095" t="s">
        <v>5471</v>
      </c>
      <c r="M10095" t="s">
        <v>5471</v>
      </c>
    </row>
    <row r="10096" spans="1:13" x14ac:dyDescent="0.3">
      <c r="A10096" t="s">
        <v>3388</v>
      </c>
      <c r="B10096" t="s">
        <v>21595</v>
      </c>
      <c r="C10096" t="s">
        <v>5470</v>
      </c>
      <c r="D10096" t="s">
        <v>30466</v>
      </c>
      <c r="E10096" t="s">
        <v>35248</v>
      </c>
      <c r="F10096" t="s">
        <v>35261</v>
      </c>
      <c r="G10096" t="s">
        <v>35262</v>
      </c>
      <c r="H10096" t="s">
        <v>5474</v>
      </c>
      <c r="I10096" t="s">
        <v>35263</v>
      </c>
      <c r="J10096" t="s">
        <v>5484</v>
      </c>
      <c r="K10096" t="s">
        <v>35264</v>
      </c>
      <c r="L10096" t="s">
        <v>5471</v>
      </c>
      <c r="M10096" t="s">
        <v>5471</v>
      </c>
    </row>
    <row r="10097" spans="1:13" x14ac:dyDescent="0.3">
      <c r="A10097" t="s">
        <v>3388</v>
      </c>
      <c r="B10097" t="s">
        <v>24770</v>
      </c>
      <c r="C10097" t="s">
        <v>5470</v>
      </c>
      <c r="D10097" t="s">
        <v>4119</v>
      </c>
      <c r="E10097" t="s">
        <v>5480</v>
      </c>
      <c r="F10097" t="s">
        <v>35265</v>
      </c>
      <c r="G10097" t="s">
        <v>35266</v>
      </c>
      <c r="H10097" t="s">
        <v>5474</v>
      </c>
      <c r="I10097" t="s">
        <v>35267</v>
      </c>
      <c r="J10097" t="s">
        <v>5484</v>
      </c>
      <c r="K10097" t="s">
        <v>5471</v>
      </c>
      <c r="L10097" t="s">
        <v>5471</v>
      </c>
      <c r="M10097" t="s">
        <v>5471</v>
      </c>
    </row>
    <row r="10098" spans="1:13" x14ac:dyDescent="0.3">
      <c r="A10098" t="s">
        <v>3383</v>
      </c>
      <c r="B10098" t="s">
        <v>6051</v>
      </c>
      <c r="C10098" t="s">
        <v>5470</v>
      </c>
      <c r="D10098" t="s">
        <v>4052</v>
      </c>
      <c r="E10098" t="s">
        <v>5480</v>
      </c>
      <c r="F10098" t="s">
        <v>35268</v>
      </c>
      <c r="G10098" t="s">
        <v>8869</v>
      </c>
      <c r="H10098" t="s">
        <v>5474</v>
      </c>
      <c r="I10098" t="s">
        <v>35269</v>
      </c>
      <c r="J10098" t="s">
        <v>5484</v>
      </c>
      <c r="K10098" t="s">
        <v>35270</v>
      </c>
      <c r="L10098" t="s">
        <v>5471</v>
      </c>
      <c r="M10098" t="s">
        <v>5471</v>
      </c>
    </row>
    <row r="10099" spans="1:13" x14ac:dyDescent="0.3">
      <c r="A10099" t="s">
        <v>3397</v>
      </c>
      <c r="B10099" t="s">
        <v>19651</v>
      </c>
      <c r="C10099" t="s">
        <v>5487</v>
      </c>
      <c r="D10099" t="s">
        <v>4119</v>
      </c>
      <c r="E10099" t="s">
        <v>5595</v>
      </c>
      <c r="F10099" t="s">
        <v>35271</v>
      </c>
      <c r="G10099" t="s">
        <v>35272</v>
      </c>
      <c r="H10099" t="s">
        <v>5474</v>
      </c>
      <c r="I10099" t="s">
        <v>35273</v>
      </c>
      <c r="J10099" t="s">
        <v>5484</v>
      </c>
      <c r="K10099" t="s">
        <v>2041</v>
      </c>
      <c r="L10099" t="s">
        <v>5471</v>
      </c>
      <c r="M10099" t="s">
        <v>5471</v>
      </c>
    </row>
    <row r="10100" spans="1:13" x14ac:dyDescent="0.3">
      <c r="A10100" t="s">
        <v>3383</v>
      </c>
      <c r="B10100" t="s">
        <v>6051</v>
      </c>
      <c r="C10100" t="s">
        <v>5470</v>
      </c>
      <c r="D10100" t="s">
        <v>4052</v>
      </c>
      <c r="E10100" t="s">
        <v>5480</v>
      </c>
      <c r="F10100" t="s">
        <v>35274</v>
      </c>
      <c r="G10100" t="s">
        <v>8869</v>
      </c>
      <c r="H10100" t="s">
        <v>5474</v>
      </c>
      <c r="I10100" t="s">
        <v>35275</v>
      </c>
      <c r="J10100" t="s">
        <v>5484</v>
      </c>
      <c r="K10100" t="s">
        <v>35276</v>
      </c>
      <c r="L10100" t="s">
        <v>5471</v>
      </c>
      <c r="M10100" t="s">
        <v>5471</v>
      </c>
    </row>
    <row r="10101" spans="1:13" x14ac:dyDescent="0.3">
      <c r="A10101" t="s">
        <v>3388</v>
      </c>
      <c r="B10101" t="s">
        <v>21595</v>
      </c>
      <c r="C10101" t="s">
        <v>5470</v>
      </c>
      <c r="D10101" t="s">
        <v>30466</v>
      </c>
      <c r="E10101" t="s">
        <v>35248</v>
      </c>
      <c r="F10101" t="s">
        <v>35277</v>
      </c>
      <c r="G10101" t="s">
        <v>35278</v>
      </c>
      <c r="H10101" t="s">
        <v>5474</v>
      </c>
      <c r="I10101" t="s">
        <v>35279</v>
      </c>
      <c r="J10101" t="s">
        <v>5484</v>
      </c>
      <c r="K10101" t="s">
        <v>35280</v>
      </c>
      <c r="L10101" t="s">
        <v>5471</v>
      </c>
      <c r="M10101" t="s">
        <v>5471</v>
      </c>
    </row>
    <row r="10102" spans="1:13" x14ac:dyDescent="0.3">
      <c r="A10102" t="s">
        <v>3383</v>
      </c>
      <c r="B10102" t="s">
        <v>6051</v>
      </c>
      <c r="C10102" t="s">
        <v>5470</v>
      </c>
      <c r="D10102" t="s">
        <v>4052</v>
      </c>
      <c r="E10102" t="s">
        <v>5480</v>
      </c>
      <c r="F10102" t="s">
        <v>35281</v>
      </c>
      <c r="G10102" t="s">
        <v>8869</v>
      </c>
      <c r="H10102" t="s">
        <v>5474</v>
      </c>
      <c r="I10102" t="s">
        <v>35282</v>
      </c>
      <c r="J10102" t="s">
        <v>5484</v>
      </c>
      <c r="K10102" t="s">
        <v>35283</v>
      </c>
      <c r="L10102" t="s">
        <v>5471</v>
      </c>
      <c r="M10102" t="s">
        <v>5471</v>
      </c>
    </row>
    <row r="10103" spans="1:13" x14ac:dyDescent="0.3">
      <c r="A10103" t="s">
        <v>3380</v>
      </c>
      <c r="B10103" t="s">
        <v>5247</v>
      </c>
      <c r="C10103" t="s">
        <v>6342</v>
      </c>
      <c r="D10103" t="s">
        <v>4119</v>
      </c>
      <c r="E10103" t="s">
        <v>5480</v>
      </c>
      <c r="F10103" t="s">
        <v>35284</v>
      </c>
      <c r="G10103" t="s">
        <v>16147</v>
      </c>
      <c r="H10103" t="s">
        <v>5474</v>
      </c>
      <c r="I10103" t="s">
        <v>35285</v>
      </c>
      <c r="J10103" t="s">
        <v>5476</v>
      </c>
      <c r="K10103" t="s">
        <v>35286</v>
      </c>
      <c r="L10103" t="s">
        <v>5471</v>
      </c>
      <c r="M10103" t="s">
        <v>5471</v>
      </c>
    </row>
    <row r="10104" spans="1:13" x14ac:dyDescent="0.3">
      <c r="A10104" t="s">
        <v>3397</v>
      </c>
      <c r="B10104" t="s">
        <v>19651</v>
      </c>
      <c r="C10104" t="s">
        <v>5487</v>
      </c>
      <c r="D10104" t="s">
        <v>4119</v>
      </c>
      <c r="E10104" t="s">
        <v>5595</v>
      </c>
      <c r="F10104" t="s">
        <v>35287</v>
      </c>
      <c r="G10104" t="s">
        <v>35272</v>
      </c>
      <c r="H10104" t="s">
        <v>5474</v>
      </c>
      <c r="I10104" t="s">
        <v>35288</v>
      </c>
      <c r="J10104" t="s">
        <v>5484</v>
      </c>
      <c r="K10104" t="s">
        <v>2041</v>
      </c>
      <c r="L10104" t="s">
        <v>5471</v>
      </c>
      <c r="M10104" t="s">
        <v>5471</v>
      </c>
    </row>
    <row r="10105" spans="1:13" x14ac:dyDescent="0.3">
      <c r="A10105" t="s">
        <v>3388</v>
      </c>
      <c r="B10105" t="s">
        <v>15942</v>
      </c>
      <c r="C10105" t="s">
        <v>5470</v>
      </c>
      <c r="D10105" t="s">
        <v>30466</v>
      </c>
      <c r="E10105" t="s">
        <v>5756</v>
      </c>
      <c r="F10105" t="s">
        <v>35289</v>
      </c>
      <c r="G10105" t="s">
        <v>35290</v>
      </c>
      <c r="H10105" t="s">
        <v>5474</v>
      </c>
      <c r="I10105" t="s">
        <v>35291</v>
      </c>
      <c r="J10105" t="s">
        <v>5484</v>
      </c>
      <c r="K10105" t="s">
        <v>35292</v>
      </c>
      <c r="L10105" t="s">
        <v>5471</v>
      </c>
      <c r="M10105" t="s">
        <v>5471</v>
      </c>
    </row>
    <row r="10106" spans="1:13" x14ac:dyDescent="0.3">
      <c r="A10106" t="s">
        <v>3380</v>
      </c>
      <c r="B10106" t="s">
        <v>35229</v>
      </c>
      <c r="C10106" t="s">
        <v>6342</v>
      </c>
      <c r="D10106" t="s">
        <v>4119</v>
      </c>
      <c r="E10106" t="s">
        <v>5532</v>
      </c>
      <c r="F10106" t="s">
        <v>35293</v>
      </c>
      <c r="G10106" t="s">
        <v>22712</v>
      </c>
      <c r="H10106" t="s">
        <v>5474</v>
      </c>
      <c r="I10106" t="s">
        <v>35294</v>
      </c>
      <c r="J10106" t="s">
        <v>5484</v>
      </c>
      <c r="K10106" t="s">
        <v>19267</v>
      </c>
      <c r="L10106" t="s">
        <v>5471</v>
      </c>
      <c r="M10106" t="s">
        <v>5471</v>
      </c>
    </row>
    <row r="10107" spans="1:13" x14ac:dyDescent="0.3">
      <c r="A10107" t="s">
        <v>3388</v>
      </c>
      <c r="B10107" t="s">
        <v>7109</v>
      </c>
      <c r="C10107" t="s">
        <v>5470</v>
      </c>
      <c r="D10107" t="s">
        <v>4058</v>
      </c>
      <c r="E10107" t="s">
        <v>5617</v>
      </c>
      <c r="F10107" t="s">
        <v>35295</v>
      </c>
      <c r="G10107" t="s">
        <v>19195</v>
      </c>
      <c r="H10107" t="s">
        <v>5474</v>
      </c>
      <c r="I10107" t="s">
        <v>35296</v>
      </c>
      <c r="J10107" t="s">
        <v>5484</v>
      </c>
      <c r="K10107" t="s">
        <v>28982</v>
      </c>
      <c r="L10107" t="s">
        <v>5471</v>
      </c>
      <c r="M10107" t="s">
        <v>5471</v>
      </c>
    </row>
    <row r="10108" spans="1:13" x14ac:dyDescent="0.3">
      <c r="A10108" t="s">
        <v>3380</v>
      </c>
      <c r="B10108" t="s">
        <v>5247</v>
      </c>
      <c r="C10108" t="s">
        <v>6342</v>
      </c>
      <c r="D10108" t="s">
        <v>4119</v>
      </c>
      <c r="E10108" t="s">
        <v>5480</v>
      </c>
      <c r="F10108" t="s">
        <v>35297</v>
      </c>
      <c r="G10108" t="s">
        <v>16147</v>
      </c>
      <c r="H10108" t="s">
        <v>5474</v>
      </c>
      <c r="I10108" t="s">
        <v>35298</v>
      </c>
      <c r="J10108" t="s">
        <v>5476</v>
      </c>
      <c r="K10108" t="s">
        <v>35299</v>
      </c>
      <c r="L10108" t="s">
        <v>5471</v>
      </c>
      <c r="M10108" t="s">
        <v>5471</v>
      </c>
    </row>
    <row r="10109" spans="1:13" x14ac:dyDescent="0.3">
      <c r="A10109" t="s">
        <v>3388</v>
      </c>
      <c r="B10109" t="s">
        <v>15942</v>
      </c>
      <c r="C10109" t="s">
        <v>5470</v>
      </c>
      <c r="D10109" t="s">
        <v>30466</v>
      </c>
      <c r="E10109" t="s">
        <v>5756</v>
      </c>
      <c r="F10109" t="s">
        <v>35300</v>
      </c>
      <c r="G10109" t="s">
        <v>35301</v>
      </c>
      <c r="H10109" t="s">
        <v>5474</v>
      </c>
      <c r="I10109" t="s">
        <v>35302</v>
      </c>
      <c r="J10109" t="s">
        <v>5484</v>
      </c>
      <c r="K10109" t="s">
        <v>35303</v>
      </c>
      <c r="L10109" t="s">
        <v>5471</v>
      </c>
      <c r="M10109" t="s">
        <v>5471</v>
      </c>
    </row>
    <row r="10110" spans="1:13" x14ac:dyDescent="0.3">
      <c r="A10110" t="s">
        <v>3388</v>
      </c>
      <c r="B10110" t="s">
        <v>7109</v>
      </c>
      <c r="C10110" t="s">
        <v>5470</v>
      </c>
      <c r="D10110" t="s">
        <v>4058</v>
      </c>
      <c r="E10110" t="s">
        <v>5617</v>
      </c>
      <c r="F10110" t="s">
        <v>35304</v>
      </c>
      <c r="G10110" t="s">
        <v>19195</v>
      </c>
      <c r="H10110" t="s">
        <v>5474</v>
      </c>
      <c r="I10110" t="s">
        <v>35305</v>
      </c>
      <c r="J10110" t="s">
        <v>5484</v>
      </c>
      <c r="K10110" t="s">
        <v>28819</v>
      </c>
      <c r="L10110" t="s">
        <v>5471</v>
      </c>
      <c r="M10110" t="s">
        <v>5471</v>
      </c>
    </row>
    <row r="10111" spans="1:13" x14ac:dyDescent="0.3">
      <c r="A10111" t="s">
        <v>3388</v>
      </c>
      <c r="B10111" t="s">
        <v>24770</v>
      </c>
      <c r="C10111" t="s">
        <v>5470</v>
      </c>
      <c r="D10111" t="s">
        <v>4119</v>
      </c>
      <c r="E10111" t="s">
        <v>5480</v>
      </c>
      <c r="F10111" t="s">
        <v>35306</v>
      </c>
      <c r="G10111" t="s">
        <v>35307</v>
      </c>
      <c r="H10111" t="s">
        <v>5474</v>
      </c>
      <c r="I10111" t="s">
        <v>35308</v>
      </c>
      <c r="J10111" t="s">
        <v>5484</v>
      </c>
      <c r="K10111" t="s">
        <v>5471</v>
      </c>
      <c r="L10111" t="s">
        <v>5471</v>
      </c>
      <c r="M10111" t="s">
        <v>5471</v>
      </c>
    </row>
    <row r="10112" spans="1:13" x14ac:dyDescent="0.3">
      <c r="A10112" t="s">
        <v>3380</v>
      </c>
      <c r="B10112" t="s">
        <v>5247</v>
      </c>
      <c r="C10112" t="s">
        <v>6342</v>
      </c>
      <c r="D10112" t="s">
        <v>4119</v>
      </c>
      <c r="E10112" t="s">
        <v>5480</v>
      </c>
      <c r="F10112" t="s">
        <v>35309</v>
      </c>
      <c r="G10112" t="s">
        <v>16147</v>
      </c>
      <c r="H10112" t="s">
        <v>5474</v>
      </c>
      <c r="I10112" t="s">
        <v>35310</v>
      </c>
      <c r="J10112" t="s">
        <v>5476</v>
      </c>
      <c r="K10112" t="s">
        <v>35197</v>
      </c>
      <c r="L10112" t="s">
        <v>5471</v>
      </c>
      <c r="M10112" t="s">
        <v>5471</v>
      </c>
    </row>
    <row r="10113" spans="1:13" x14ac:dyDescent="0.3">
      <c r="A10113" t="s">
        <v>3388</v>
      </c>
      <c r="B10113" t="s">
        <v>24770</v>
      </c>
      <c r="C10113" t="s">
        <v>5470</v>
      </c>
      <c r="D10113" t="s">
        <v>4119</v>
      </c>
      <c r="E10113" t="s">
        <v>5480</v>
      </c>
      <c r="F10113" t="s">
        <v>35311</v>
      </c>
      <c r="G10113" t="s">
        <v>35312</v>
      </c>
      <c r="H10113" t="s">
        <v>5474</v>
      </c>
      <c r="I10113" t="s">
        <v>35313</v>
      </c>
      <c r="J10113" t="s">
        <v>5484</v>
      </c>
      <c r="K10113" t="s">
        <v>5471</v>
      </c>
      <c r="L10113" t="s">
        <v>5471</v>
      </c>
      <c r="M10113" t="s">
        <v>5471</v>
      </c>
    </row>
    <row r="10114" spans="1:13" x14ac:dyDescent="0.3">
      <c r="A10114" t="s">
        <v>3388</v>
      </c>
      <c r="B10114" t="s">
        <v>7109</v>
      </c>
      <c r="C10114" t="s">
        <v>5470</v>
      </c>
      <c r="D10114" t="s">
        <v>4058</v>
      </c>
      <c r="E10114" t="s">
        <v>5617</v>
      </c>
      <c r="F10114" t="s">
        <v>35314</v>
      </c>
      <c r="G10114" t="s">
        <v>19195</v>
      </c>
      <c r="H10114" t="s">
        <v>5474</v>
      </c>
      <c r="I10114" t="s">
        <v>35315</v>
      </c>
      <c r="J10114" t="s">
        <v>5484</v>
      </c>
      <c r="K10114" t="s">
        <v>28989</v>
      </c>
      <c r="L10114" t="s">
        <v>5471</v>
      </c>
      <c r="M10114" t="s">
        <v>5471</v>
      </c>
    </row>
    <row r="10115" spans="1:13" x14ac:dyDescent="0.3">
      <c r="A10115" t="s">
        <v>3388</v>
      </c>
      <c r="B10115" t="s">
        <v>24770</v>
      </c>
      <c r="C10115" t="s">
        <v>5470</v>
      </c>
      <c r="D10115" t="s">
        <v>4119</v>
      </c>
      <c r="E10115" t="s">
        <v>5480</v>
      </c>
      <c r="F10115" t="s">
        <v>35316</v>
      </c>
      <c r="G10115" t="s">
        <v>35317</v>
      </c>
      <c r="H10115" t="s">
        <v>5474</v>
      </c>
      <c r="I10115" t="s">
        <v>35318</v>
      </c>
      <c r="J10115" t="s">
        <v>5484</v>
      </c>
      <c r="K10115" t="s">
        <v>5471</v>
      </c>
      <c r="L10115" t="s">
        <v>5471</v>
      </c>
      <c r="M10115" t="s">
        <v>5471</v>
      </c>
    </row>
    <row r="10116" spans="1:13" x14ac:dyDescent="0.3">
      <c r="A10116" t="s">
        <v>3380</v>
      </c>
      <c r="B10116" t="s">
        <v>5247</v>
      </c>
      <c r="C10116" t="s">
        <v>6342</v>
      </c>
      <c r="D10116" t="s">
        <v>4119</v>
      </c>
      <c r="E10116" t="s">
        <v>5480</v>
      </c>
      <c r="F10116" t="s">
        <v>35319</v>
      </c>
      <c r="G10116" t="s">
        <v>16147</v>
      </c>
      <c r="H10116" t="s">
        <v>5474</v>
      </c>
      <c r="I10116" t="s">
        <v>35320</v>
      </c>
      <c r="J10116" t="s">
        <v>5476</v>
      </c>
      <c r="K10116" t="s">
        <v>35286</v>
      </c>
      <c r="L10116" t="s">
        <v>5471</v>
      </c>
      <c r="M10116" t="s">
        <v>5471</v>
      </c>
    </row>
    <row r="10117" spans="1:13" x14ac:dyDescent="0.3">
      <c r="A10117" t="s">
        <v>3388</v>
      </c>
      <c r="B10117" t="s">
        <v>7109</v>
      </c>
      <c r="C10117" t="s">
        <v>5470</v>
      </c>
      <c r="D10117" t="s">
        <v>4058</v>
      </c>
      <c r="E10117" t="s">
        <v>5617</v>
      </c>
      <c r="F10117" t="s">
        <v>35321</v>
      </c>
      <c r="G10117" t="s">
        <v>19195</v>
      </c>
      <c r="H10117" t="s">
        <v>5474</v>
      </c>
      <c r="I10117" t="s">
        <v>35322</v>
      </c>
      <c r="J10117" t="s">
        <v>5484</v>
      </c>
      <c r="K10117" t="s">
        <v>28992</v>
      </c>
      <c r="L10117" t="s">
        <v>5471</v>
      </c>
      <c r="M10117" t="s">
        <v>5471</v>
      </c>
    </row>
    <row r="10118" spans="1:13" x14ac:dyDescent="0.3">
      <c r="A10118" t="s">
        <v>3397</v>
      </c>
      <c r="B10118" t="s">
        <v>5347</v>
      </c>
      <c r="C10118" t="s">
        <v>5487</v>
      </c>
      <c r="D10118" t="s">
        <v>4200</v>
      </c>
      <c r="E10118" t="s">
        <v>5843</v>
      </c>
      <c r="F10118" t="s">
        <v>35323</v>
      </c>
      <c r="G10118" t="s">
        <v>35173</v>
      </c>
      <c r="H10118" t="s">
        <v>5474</v>
      </c>
      <c r="I10118" t="s">
        <v>35324</v>
      </c>
      <c r="J10118" t="s">
        <v>5476</v>
      </c>
      <c r="K10118" t="s">
        <v>35325</v>
      </c>
      <c r="L10118" t="s">
        <v>5471</v>
      </c>
      <c r="M10118" t="s">
        <v>5471</v>
      </c>
    </row>
    <row r="10119" spans="1:13" x14ac:dyDescent="0.3">
      <c r="A10119" t="s">
        <v>3397</v>
      </c>
      <c r="B10119" t="s">
        <v>19651</v>
      </c>
      <c r="C10119" t="s">
        <v>5487</v>
      </c>
      <c r="D10119" t="s">
        <v>4119</v>
      </c>
      <c r="E10119" t="s">
        <v>5595</v>
      </c>
      <c r="F10119" t="s">
        <v>35326</v>
      </c>
      <c r="G10119" t="s">
        <v>15994</v>
      </c>
      <c r="H10119" t="s">
        <v>5474</v>
      </c>
      <c r="I10119" t="s">
        <v>35327</v>
      </c>
      <c r="J10119" t="s">
        <v>5484</v>
      </c>
      <c r="K10119" t="s">
        <v>2041</v>
      </c>
      <c r="L10119" t="s">
        <v>5471</v>
      </c>
      <c r="M10119" t="s">
        <v>5471</v>
      </c>
    </row>
    <row r="10120" spans="1:13" x14ac:dyDescent="0.3">
      <c r="A10120" t="s">
        <v>3388</v>
      </c>
      <c r="B10120" t="s">
        <v>7109</v>
      </c>
      <c r="C10120" t="s">
        <v>5470</v>
      </c>
      <c r="D10120" t="s">
        <v>4058</v>
      </c>
      <c r="E10120" t="s">
        <v>5617</v>
      </c>
      <c r="F10120" t="s">
        <v>35328</v>
      </c>
      <c r="G10120" t="s">
        <v>33073</v>
      </c>
      <c r="H10120" t="s">
        <v>5474</v>
      </c>
      <c r="I10120" t="s">
        <v>35329</v>
      </c>
      <c r="J10120" t="s">
        <v>5484</v>
      </c>
      <c r="K10120" t="s">
        <v>29594</v>
      </c>
      <c r="L10120" t="s">
        <v>5471</v>
      </c>
      <c r="M10120" t="s">
        <v>5471</v>
      </c>
    </row>
    <row r="10121" spans="1:13" x14ac:dyDescent="0.3">
      <c r="A10121" t="s">
        <v>3380</v>
      </c>
      <c r="B10121" t="s">
        <v>35229</v>
      </c>
      <c r="C10121" t="s">
        <v>6342</v>
      </c>
      <c r="D10121" t="s">
        <v>4119</v>
      </c>
      <c r="E10121" t="s">
        <v>5532</v>
      </c>
      <c r="F10121" t="s">
        <v>35330</v>
      </c>
      <c r="G10121" t="s">
        <v>22712</v>
      </c>
      <c r="H10121" t="s">
        <v>5474</v>
      </c>
      <c r="I10121" t="s">
        <v>35331</v>
      </c>
      <c r="J10121" t="s">
        <v>5484</v>
      </c>
      <c r="K10121" t="s">
        <v>19267</v>
      </c>
      <c r="L10121" t="s">
        <v>5471</v>
      </c>
      <c r="M10121" t="s">
        <v>5471</v>
      </c>
    </row>
    <row r="10122" spans="1:13" x14ac:dyDescent="0.3">
      <c r="A10122" t="s">
        <v>3388</v>
      </c>
      <c r="B10122" t="s">
        <v>7109</v>
      </c>
      <c r="C10122" t="s">
        <v>5470</v>
      </c>
      <c r="D10122" t="s">
        <v>4058</v>
      </c>
      <c r="E10122" t="s">
        <v>5617</v>
      </c>
      <c r="F10122" t="s">
        <v>35332</v>
      </c>
      <c r="G10122" t="s">
        <v>33073</v>
      </c>
      <c r="H10122" t="s">
        <v>5474</v>
      </c>
      <c r="I10122" t="s">
        <v>35333</v>
      </c>
      <c r="J10122" t="s">
        <v>5484</v>
      </c>
      <c r="K10122" t="s">
        <v>29597</v>
      </c>
      <c r="L10122" t="s">
        <v>5471</v>
      </c>
      <c r="M10122" t="s">
        <v>5471</v>
      </c>
    </row>
    <row r="10123" spans="1:13" x14ac:dyDescent="0.3">
      <c r="A10123" t="s">
        <v>3397</v>
      </c>
      <c r="B10123" t="s">
        <v>3397</v>
      </c>
      <c r="C10123" t="s">
        <v>5487</v>
      </c>
      <c r="D10123" t="s">
        <v>4119</v>
      </c>
      <c r="E10123" t="s">
        <v>5595</v>
      </c>
      <c r="F10123" t="s">
        <v>35326</v>
      </c>
      <c r="G10123" t="s">
        <v>15994</v>
      </c>
      <c r="H10123" t="s">
        <v>5474</v>
      </c>
      <c r="I10123" t="s">
        <v>35334</v>
      </c>
      <c r="J10123" t="s">
        <v>5484</v>
      </c>
      <c r="K10123" t="s">
        <v>2041</v>
      </c>
      <c r="L10123" t="s">
        <v>5471</v>
      </c>
      <c r="M10123" t="s">
        <v>5471</v>
      </c>
    </row>
    <row r="10124" spans="1:13" x14ac:dyDescent="0.3">
      <c r="A10124" t="s">
        <v>3397</v>
      </c>
      <c r="B10124" t="s">
        <v>3397</v>
      </c>
      <c r="C10124" t="s">
        <v>5487</v>
      </c>
      <c r="D10124" t="s">
        <v>4119</v>
      </c>
      <c r="E10124" t="s">
        <v>5595</v>
      </c>
      <c r="F10124" t="s">
        <v>35335</v>
      </c>
      <c r="G10124" t="s">
        <v>15994</v>
      </c>
      <c r="H10124" t="s">
        <v>5474</v>
      </c>
      <c r="I10124" t="s">
        <v>35336</v>
      </c>
      <c r="J10124" t="s">
        <v>5484</v>
      </c>
      <c r="K10124" t="s">
        <v>2041</v>
      </c>
      <c r="L10124" t="s">
        <v>5471</v>
      </c>
      <c r="M10124" t="s">
        <v>5471</v>
      </c>
    </row>
    <row r="10125" spans="1:13" x14ac:dyDescent="0.3">
      <c r="A10125" t="s">
        <v>3397</v>
      </c>
      <c r="B10125" t="s">
        <v>5347</v>
      </c>
      <c r="C10125" t="s">
        <v>5487</v>
      </c>
      <c r="D10125" t="s">
        <v>4200</v>
      </c>
      <c r="E10125" t="s">
        <v>5595</v>
      </c>
      <c r="F10125" t="s">
        <v>35337</v>
      </c>
      <c r="G10125" t="s">
        <v>35173</v>
      </c>
      <c r="H10125" t="s">
        <v>5474</v>
      </c>
      <c r="I10125" t="s">
        <v>35338</v>
      </c>
      <c r="J10125" t="s">
        <v>5476</v>
      </c>
      <c r="K10125" t="s">
        <v>35339</v>
      </c>
      <c r="L10125" t="s">
        <v>5471</v>
      </c>
      <c r="M10125" t="s">
        <v>5471</v>
      </c>
    </row>
    <row r="10126" spans="1:13" x14ac:dyDescent="0.3">
      <c r="A10126" t="s">
        <v>3388</v>
      </c>
      <c r="B10126" t="s">
        <v>32898</v>
      </c>
      <c r="C10126" t="s">
        <v>5470</v>
      </c>
      <c r="D10126" t="s">
        <v>4119</v>
      </c>
      <c r="E10126" t="s">
        <v>5480</v>
      </c>
      <c r="F10126" t="s">
        <v>35340</v>
      </c>
      <c r="G10126" t="s">
        <v>35341</v>
      </c>
      <c r="H10126" t="s">
        <v>5474</v>
      </c>
      <c r="I10126" t="s">
        <v>35342</v>
      </c>
      <c r="J10126" t="s">
        <v>5484</v>
      </c>
      <c r="K10126" t="s">
        <v>5471</v>
      </c>
      <c r="L10126" t="s">
        <v>5471</v>
      </c>
      <c r="M10126" t="s">
        <v>5471</v>
      </c>
    </row>
    <row r="10127" spans="1:13" x14ac:dyDescent="0.3">
      <c r="A10127" t="s">
        <v>3388</v>
      </c>
      <c r="B10127" t="s">
        <v>32898</v>
      </c>
      <c r="C10127" t="s">
        <v>5470</v>
      </c>
      <c r="D10127" t="s">
        <v>4119</v>
      </c>
      <c r="E10127" t="s">
        <v>5480</v>
      </c>
      <c r="F10127" t="s">
        <v>35343</v>
      </c>
      <c r="G10127" t="s">
        <v>35344</v>
      </c>
      <c r="H10127" t="s">
        <v>5474</v>
      </c>
      <c r="I10127" t="s">
        <v>35345</v>
      </c>
      <c r="J10127" t="s">
        <v>5484</v>
      </c>
      <c r="K10127" t="s">
        <v>5471</v>
      </c>
      <c r="L10127" t="s">
        <v>5471</v>
      </c>
      <c r="M10127" t="s">
        <v>5471</v>
      </c>
    </row>
    <row r="10128" spans="1:13" x14ac:dyDescent="0.3">
      <c r="A10128" t="s">
        <v>3397</v>
      </c>
      <c r="B10128" t="s">
        <v>35143</v>
      </c>
      <c r="C10128" t="s">
        <v>5487</v>
      </c>
      <c r="D10128" t="s">
        <v>4119</v>
      </c>
      <c r="E10128" t="s">
        <v>5843</v>
      </c>
      <c r="F10128" t="s">
        <v>35346</v>
      </c>
      <c r="G10128" t="s">
        <v>35145</v>
      </c>
      <c r="H10128" t="s">
        <v>5474</v>
      </c>
      <c r="I10128" t="s">
        <v>35347</v>
      </c>
      <c r="J10128" t="s">
        <v>5484</v>
      </c>
      <c r="K10128" t="s">
        <v>35348</v>
      </c>
      <c r="L10128" t="s">
        <v>5471</v>
      </c>
      <c r="M10128" t="s">
        <v>5471</v>
      </c>
    </row>
    <row r="10129" spans="1:13" x14ac:dyDescent="0.3">
      <c r="A10129" t="s">
        <v>3380</v>
      </c>
      <c r="B10129" t="s">
        <v>5247</v>
      </c>
      <c r="C10129" t="s">
        <v>6342</v>
      </c>
      <c r="D10129" t="s">
        <v>4119</v>
      </c>
      <c r="E10129" t="s">
        <v>5480</v>
      </c>
      <c r="F10129" t="s">
        <v>35349</v>
      </c>
      <c r="G10129" t="s">
        <v>16147</v>
      </c>
      <c r="H10129" t="s">
        <v>5474</v>
      </c>
      <c r="I10129" t="s">
        <v>35350</v>
      </c>
      <c r="J10129" t="s">
        <v>5476</v>
      </c>
      <c r="K10129" t="s">
        <v>35241</v>
      </c>
      <c r="L10129" t="s">
        <v>5471</v>
      </c>
      <c r="M10129" t="s">
        <v>5471</v>
      </c>
    </row>
    <row r="10130" spans="1:13" x14ac:dyDescent="0.3">
      <c r="A10130" t="s">
        <v>3397</v>
      </c>
      <c r="B10130" t="s">
        <v>19651</v>
      </c>
      <c r="C10130" t="s">
        <v>5487</v>
      </c>
      <c r="D10130" t="s">
        <v>4119</v>
      </c>
      <c r="E10130" t="s">
        <v>5595</v>
      </c>
      <c r="F10130" t="s">
        <v>35351</v>
      </c>
      <c r="G10130" t="s">
        <v>19656</v>
      </c>
      <c r="H10130" t="s">
        <v>5474</v>
      </c>
      <c r="I10130" t="s">
        <v>35352</v>
      </c>
      <c r="J10130" t="s">
        <v>5484</v>
      </c>
      <c r="K10130" t="s">
        <v>2041</v>
      </c>
      <c r="L10130" t="s">
        <v>5471</v>
      </c>
      <c r="M10130" t="s">
        <v>5471</v>
      </c>
    </row>
    <row r="10131" spans="1:13" x14ac:dyDescent="0.3">
      <c r="A10131" t="s">
        <v>3397</v>
      </c>
      <c r="B10131" t="s">
        <v>5347</v>
      </c>
      <c r="C10131" t="s">
        <v>5487</v>
      </c>
      <c r="D10131" t="s">
        <v>4200</v>
      </c>
      <c r="E10131" t="s">
        <v>5595</v>
      </c>
      <c r="F10131" t="s">
        <v>35353</v>
      </c>
      <c r="G10131" t="s">
        <v>35173</v>
      </c>
      <c r="H10131" t="s">
        <v>5474</v>
      </c>
      <c r="I10131" t="s">
        <v>35354</v>
      </c>
      <c r="J10131" t="s">
        <v>5476</v>
      </c>
      <c r="K10131" t="s">
        <v>35355</v>
      </c>
      <c r="L10131" t="s">
        <v>5471</v>
      </c>
      <c r="M10131" t="s">
        <v>5471</v>
      </c>
    </row>
    <row r="10132" spans="1:13" x14ac:dyDescent="0.3">
      <c r="A10132" t="s">
        <v>3397</v>
      </c>
      <c r="B10132" t="s">
        <v>19651</v>
      </c>
      <c r="C10132" t="s">
        <v>5487</v>
      </c>
      <c r="D10132" t="s">
        <v>4119</v>
      </c>
      <c r="E10132" t="s">
        <v>5595</v>
      </c>
      <c r="F10132" t="s">
        <v>35356</v>
      </c>
      <c r="G10132" t="s">
        <v>19660</v>
      </c>
      <c r="H10132" t="s">
        <v>5474</v>
      </c>
      <c r="I10132" t="s">
        <v>35357</v>
      </c>
      <c r="J10132" t="s">
        <v>5484</v>
      </c>
      <c r="K10132" t="s">
        <v>2041</v>
      </c>
      <c r="L10132" t="s">
        <v>5471</v>
      </c>
      <c r="M10132" t="s">
        <v>5471</v>
      </c>
    </row>
    <row r="10133" spans="1:13" x14ac:dyDescent="0.3">
      <c r="A10133" t="s">
        <v>3397</v>
      </c>
      <c r="B10133" t="s">
        <v>35143</v>
      </c>
      <c r="C10133" t="s">
        <v>5487</v>
      </c>
      <c r="D10133" t="s">
        <v>4119</v>
      </c>
      <c r="E10133" t="s">
        <v>5843</v>
      </c>
      <c r="F10133" t="s">
        <v>35358</v>
      </c>
      <c r="G10133" t="s">
        <v>35155</v>
      </c>
      <c r="H10133" t="s">
        <v>5474</v>
      </c>
      <c r="I10133" t="s">
        <v>35359</v>
      </c>
      <c r="J10133" t="s">
        <v>5484</v>
      </c>
      <c r="K10133" t="s">
        <v>35360</v>
      </c>
      <c r="L10133" t="s">
        <v>5471</v>
      </c>
      <c r="M10133" t="s">
        <v>5471</v>
      </c>
    </row>
    <row r="10134" spans="1:13" x14ac:dyDescent="0.3">
      <c r="A10134" t="s">
        <v>3397</v>
      </c>
      <c r="B10134" t="s">
        <v>5347</v>
      </c>
      <c r="C10134" t="s">
        <v>5487</v>
      </c>
      <c r="D10134" t="s">
        <v>4200</v>
      </c>
      <c r="E10134" t="s">
        <v>5595</v>
      </c>
      <c r="F10134" t="s">
        <v>35361</v>
      </c>
      <c r="G10134" t="s">
        <v>35173</v>
      </c>
      <c r="H10134" t="s">
        <v>5474</v>
      </c>
      <c r="I10134" t="s">
        <v>35362</v>
      </c>
      <c r="J10134" t="s">
        <v>5476</v>
      </c>
      <c r="K10134" t="s">
        <v>35363</v>
      </c>
      <c r="L10134" t="s">
        <v>5471</v>
      </c>
      <c r="M10134" t="s">
        <v>5471</v>
      </c>
    </row>
    <row r="10135" spans="1:13" x14ac:dyDescent="0.3">
      <c r="A10135" t="s">
        <v>3397</v>
      </c>
      <c r="B10135" t="s">
        <v>35143</v>
      </c>
      <c r="C10135" t="s">
        <v>5487</v>
      </c>
      <c r="D10135" t="s">
        <v>4119</v>
      </c>
      <c r="E10135" t="s">
        <v>5843</v>
      </c>
      <c r="F10135" t="s">
        <v>35364</v>
      </c>
      <c r="G10135" t="s">
        <v>35184</v>
      </c>
      <c r="H10135" t="s">
        <v>5474</v>
      </c>
      <c r="I10135" t="s">
        <v>35365</v>
      </c>
      <c r="J10135" t="s">
        <v>5484</v>
      </c>
      <c r="K10135" t="s">
        <v>35366</v>
      </c>
      <c r="L10135" t="s">
        <v>5471</v>
      </c>
      <c r="M10135" t="s">
        <v>5471</v>
      </c>
    </row>
    <row r="10136" spans="1:13" x14ac:dyDescent="0.3">
      <c r="A10136" t="s">
        <v>3380</v>
      </c>
      <c r="B10136" t="s">
        <v>35367</v>
      </c>
      <c r="C10136" t="s">
        <v>6342</v>
      </c>
      <c r="D10136" t="s">
        <v>4119</v>
      </c>
      <c r="E10136" t="s">
        <v>5532</v>
      </c>
      <c r="F10136" t="s">
        <v>35368</v>
      </c>
      <c r="G10136" t="s">
        <v>35369</v>
      </c>
      <c r="H10136" t="s">
        <v>5474</v>
      </c>
      <c r="I10136" t="s">
        <v>35370</v>
      </c>
      <c r="J10136" t="s">
        <v>5484</v>
      </c>
      <c r="K10136" t="s">
        <v>18298</v>
      </c>
      <c r="L10136" t="s">
        <v>5471</v>
      </c>
      <c r="M10136" t="s">
        <v>5471</v>
      </c>
    </row>
    <row r="10137" spans="1:13" x14ac:dyDescent="0.3">
      <c r="A10137" t="s">
        <v>3397</v>
      </c>
      <c r="B10137" t="s">
        <v>5347</v>
      </c>
      <c r="C10137" t="s">
        <v>5487</v>
      </c>
      <c r="D10137" t="s">
        <v>4200</v>
      </c>
      <c r="E10137" t="s">
        <v>5595</v>
      </c>
      <c r="F10137" t="s">
        <v>35371</v>
      </c>
      <c r="G10137" t="s">
        <v>35173</v>
      </c>
      <c r="H10137" t="s">
        <v>5474</v>
      </c>
      <c r="I10137" t="s">
        <v>35372</v>
      </c>
      <c r="J10137" t="s">
        <v>5476</v>
      </c>
      <c r="K10137" t="s">
        <v>35373</v>
      </c>
      <c r="L10137" t="s">
        <v>5471</v>
      </c>
      <c r="M10137" t="s">
        <v>5471</v>
      </c>
    </row>
    <row r="10138" spans="1:13" x14ac:dyDescent="0.3">
      <c r="A10138" t="s">
        <v>3397</v>
      </c>
      <c r="B10138" t="s">
        <v>19651</v>
      </c>
      <c r="C10138" t="s">
        <v>5487</v>
      </c>
      <c r="D10138" t="s">
        <v>4119</v>
      </c>
      <c r="E10138" t="s">
        <v>5595</v>
      </c>
      <c r="F10138" t="s">
        <v>35374</v>
      </c>
      <c r="G10138" t="s">
        <v>19667</v>
      </c>
      <c r="H10138" t="s">
        <v>5474</v>
      </c>
      <c r="I10138" t="s">
        <v>35375</v>
      </c>
      <c r="J10138" t="s">
        <v>5484</v>
      </c>
      <c r="K10138" t="s">
        <v>2041</v>
      </c>
      <c r="L10138" t="s">
        <v>5471</v>
      </c>
      <c r="M10138" t="s">
        <v>5471</v>
      </c>
    </row>
    <row r="10139" spans="1:13" x14ac:dyDescent="0.3">
      <c r="A10139" t="s">
        <v>3388</v>
      </c>
      <c r="B10139" t="s">
        <v>7109</v>
      </c>
      <c r="C10139" t="s">
        <v>5470</v>
      </c>
      <c r="D10139" t="s">
        <v>4058</v>
      </c>
      <c r="E10139" t="s">
        <v>5617</v>
      </c>
      <c r="F10139" t="s">
        <v>35376</v>
      </c>
      <c r="G10139" t="s">
        <v>31751</v>
      </c>
      <c r="H10139" t="s">
        <v>5474</v>
      </c>
      <c r="I10139" t="s">
        <v>35377</v>
      </c>
      <c r="J10139" t="s">
        <v>5484</v>
      </c>
      <c r="K10139" t="s">
        <v>29131</v>
      </c>
      <c r="L10139" t="s">
        <v>5471</v>
      </c>
      <c r="M10139" t="s">
        <v>5471</v>
      </c>
    </row>
    <row r="10140" spans="1:13" x14ac:dyDescent="0.3">
      <c r="A10140" t="s">
        <v>3397</v>
      </c>
      <c r="B10140" t="s">
        <v>19651</v>
      </c>
      <c r="C10140" t="s">
        <v>5487</v>
      </c>
      <c r="D10140" t="s">
        <v>4119</v>
      </c>
      <c r="E10140" t="s">
        <v>5595</v>
      </c>
      <c r="F10140" t="s">
        <v>35378</v>
      </c>
      <c r="G10140" t="s">
        <v>19667</v>
      </c>
      <c r="H10140" t="s">
        <v>5474</v>
      </c>
      <c r="I10140" t="s">
        <v>35379</v>
      </c>
      <c r="J10140" t="s">
        <v>5484</v>
      </c>
      <c r="K10140" t="s">
        <v>2041</v>
      </c>
      <c r="L10140" t="s">
        <v>5471</v>
      </c>
      <c r="M10140" t="s">
        <v>5471</v>
      </c>
    </row>
    <row r="10141" spans="1:13" x14ac:dyDescent="0.3">
      <c r="A10141" t="s">
        <v>3380</v>
      </c>
      <c r="B10141" t="s">
        <v>26316</v>
      </c>
      <c r="C10141" t="s">
        <v>6342</v>
      </c>
      <c r="D10141" t="s">
        <v>4119</v>
      </c>
      <c r="E10141" t="s">
        <v>5532</v>
      </c>
      <c r="F10141" t="s">
        <v>35380</v>
      </c>
      <c r="G10141" t="s">
        <v>35381</v>
      </c>
      <c r="H10141" t="s">
        <v>5474</v>
      </c>
      <c r="I10141" t="s">
        <v>35382</v>
      </c>
      <c r="J10141" t="s">
        <v>5484</v>
      </c>
      <c r="K10141" t="s">
        <v>18311</v>
      </c>
      <c r="L10141" t="s">
        <v>5471</v>
      </c>
      <c r="M10141" t="s">
        <v>5471</v>
      </c>
    </row>
    <row r="10142" spans="1:13" x14ac:dyDescent="0.3">
      <c r="A10142" t="s">
        <v>3388</v>
      </c>
      <c r="B10142" t="s">
        <v>7109</v>
      </c>
      <c r="C10142" t="s">
        <v>5470</v>
      </c>
      <c r="D10142" t="s">
        <v>4058</v>
      </c>
      <c r="E10142" t="s">
        <v>5617</v>
      </c>
      <c r="F10142" t="s">
        <v>35383</v>
      </c>
      <c r="G10142" t="s">
        <v>31751</v>
      </c>
      <c r="H10142" t="s">
        <v>5474</v>
      </c>
      <c r="I10142" t="s">
        <v>35384</v>
      </c>
      <c r="J10142" t="s">
        <v>5484</v>
      </c>
      <c r="K10142" t="s">
        <v>29134</v>
      </c>
      <c r="L10142" t="s">
        <v>5471</v>
      </c>
      <c r="M10142" t="s">
        <v>5471</v>
      </c>
    </row>
    <row r="10143" spans="1:13" x14ac:dyDescent="0.3">
      <c r="A10143" t="s">
        <v>3397</v>
      </c>
      <c r="B10143" t="s">
        <v>19651</v>
      </c>
      <c r="C10143" t="s">
        <v>5487</v>
      </c>
      <c r="D10143" t="s">
        <v>4119</v>
      </c>
      <c r="E10143" t="s">
        <v>5595</v>
      </c>
      <c r="F10143" t="s">
        <v>35385</v>
      </c>
      <c r="G10143" t="s">
        <v>19667</v>
      </c>
      <c r="H10143" t="s">
        <v>5474</v>
      </c>
      <c r="I10143" t="s">
        <v>35386</v>
      </c>
      <c r="J10143" t="s">
        <v>5484</v>
      </c>
      <c r="K10143" t="s">
        <v>2041</v>
      </c>
      <c r="L10143" t="s">
        <v>5471</v>
      </c>
      <c r="M10143" t="s">
        <v>5471</v>
      </c>
    </row>
    <row r="10144" spans="1:13" x14ac:dyDescent="0.3">
      <c r="A10144" t="s">
        <v>3388</v>
      </c>
      <c r="B10144" t="s">
        <v>7101</v>
      </c>
      <c r="C10144" t="s">
        <v>5470</v>
      </c>
      <c r="D10144" t="s">
        <v>4058</v>
      </c>
      <c r="E10144" t="s">
        <v>5532</v>
      </c>
      <c r="F10144" t="s">
        <v>35387</v>
      </c>
      <c r="G10144" t="s">
        <v>20359</v>
      </c>
      <c r="H10144" t="s">
        <v>5474</v>
      </c>
      <c r="I10144" t="s">
        <v>35388</v>
      </c>
      <c r="J10144" t="s">
        <v>5484</v>
      </c>
      <c r="K10144" t="s">
        <v>28915</v>
      </c>
      <c r="L10144" t="s">
        <v>5471</v>
      </c>
      <c r="M10144" t="s">
        <v>5471</v>
      </c>
    </row>
    <row r="10145" spans="1:13" x14ac:dyDescent="0.3">
      <c r="A10145" t="s">
        <v>3388</v>
      </c>
      <c r="B10145" t="s">
        <v>7101</v>
      </c>
      <c r="C10145" t="s">
        <v>5470</v>
      </c>
      <c r="D10145" t="s">
        <v>4058</v>
      </c>
      <c r="E10145" t="s">
        <v>5532</v>
      </c>
      <c r="F10145" t="s">
        <v>35389</v>
      </c>
      <c r="G10145" t="s">
        <v>20359</v>
      </c>
      <c r="H10145" t="s">
        <v>5474</v>
      </c>
      <c r="I10145" t="s">
        <v>35390</v>
      </c>
      <c r="J10145" t="s">
        <v>5484</v>
      </c>
      <c r="K10145" t="s">
        <v>28918</v>
      </c>
      <c r="L10145" t="s">
        <v>5471</v>
      </c>
      <c r="M10145" t="s">
        <v>5471</v>
      </c>
    </row>
    <row r="10146" spans="1:13" x14ac:dyDescent="0.3">
      <c r="A10146" t="s">
        <v>3397</v>
      </c>
      <c r="B10146" t="s">
        <v>19651</v>
      </c>
      <c r="C10146" t="s">
        <v>5487</v>
      </c>
      <c r="D10146" t="s">
        <v>4119</v>
      </c>
      <c r="E10146" t="s">
        <v>5595</v>
      </c>
      <c r="F10146" t="s">
        <v>35391</v>
      </c>
      <c r="G10146" t="s">
        <v>35272</v>
      </c>
      <c r="H10146" t="s">
        <v>5474</v>
      </c>
      <c r="I10146" t="s">
        <v>35392</v>
      </c>
      <c r="J10146" t="s">
        <v>5484</v>
      </c>
      <c r="K10146" t="s">
        <v>35393</v>
      </c>
      <c r="L10146" t="s">
        <v>5471</v>
      </c>
      <c r="M10146" t="s">
        <v>5471</v>
      </c>
    </row>
    <row r="10147" spans="1:13" x14ac:dyDescent="0.3">
      <c r="A10147" t="s">
        <v>3388</v>
      </c>
      <c r="B10147" t="s">
        <v>7101</v>
      </c>
      <c r="C10147" t="s">
        <v>5470</v>
      </c>
      <c r="D10147" t="s">
        <v>4058</v>
      </c>
      <c r="E10147" t="s">
        <v>5532</v>
      </c>
      <c r="F10147" t="s">
        <v>35394</v>
      </c>
      <c r="G10147" t="s">
        <v>20359</v>
      </c>
      <c r="H10147" t="s">
        <v>5474</v>
      </c>
      <c r="I10147" t="s">
        <v>35395</v>
      </c>
      <c r="J10147" t="s">
        <v>5484</v>
      </c>
      <c r="K10147" t="s">
        <v>28921</v>
      </c>
      <c r="L10147" t="s">
        <v>5471</v>
      </c>
      <c r="M10147" t="s">
        <v>5471</v>
      </c>
    </row>
    <row r="10148" spans="1:13" x14ac:dyDescent="0.3">
      <c r="A10148" t="s">
        <v>3388</v>
      </c>
      <c r="B10148" t="s">
        <v>7101</v>
      </c>
      <c r="C10148" t="s">
        <v>5470</v>
      </c>
      <c r="D10148" t="s">
        <v>4058</v>
      </c>
      <c r="E10148" t="s">
        <v>5532</v>
      </c>
      <c r="F10148" t="s">
        <v>35396</v>
      </c>
      <c r="G10148" t="s">
        <v>20359</v>
      </c>
      <c r="H10148" t="s">
        <v>5474</v>
      </c>
      <c r="I10148" t="s">
        <v>35397</v>
      </c>
      <c r="J10148" t="s">
        <v>5484</v>
      </c>
      <c r="K10148" t="s">
        <v>28924</v>
      </c>
      <c r="L10148" t="s">
        <v>5471</v>
      </c>
      <c r="M10148" t="s">
        <v>5471</v>
      </c>
    </row>
    <row r="10149" spans="1:13" x14ac:dyDescent="0.3">
      <c r="A10149" t="s">
        <v>3388</v>
      </c>
      <c r="B10149" t="s">
        <v>15946</v>
      </c>
      <c r="C10149" t="s">
        <v>5470</v>
      </c>
      <c r="D10149" t="s">
        <v>4119</v>
      </c>
      <c r="E10149" t="s">
        <v>5532</v>
      </c>
      <c r="F10149" t="s">
        <v>35398</v>
      </c>
      <c r="G10149" t="s">
        <v>24017</v>
      </c>
      <c r="H10149" t="s">
        <v>5474</v>
      </c>
      <c r="I10149" t="s">
        <v>35399</v>
      </c>
      <c r="J10149" t="s">
        <v>5476</v>
      </c>
      <c r="K10149" t="s">
        <v>35400</v>
      </c>
      <c r="L10149" t="s">
        <v>5471</v>
      </c>
      <c r="M10149" t="s">
        <v>5471</v>
      </c>
    </row>
    <row r="10150" spans="1:13" x14ac:dyDescent="0.3">
      <c r="A10150" t="s">
        <v>3388</v>
      </c>
      <c r="B10150" t="s">
        <v>15946</v>
      </c>
      <c r="C10150" t="s">
        <v>5470</v>
      </c>
      <c r="D10150" t="s">
        <v>4119</v>
      </c>
      <c r="E10150" t="s">
        <v>5532</v>
      </c>
      <c r="F10150" t="s">
        <v>35401</v>
      </c>
      <c r="G10150" t="s">
        <v>24017</v>
      </c>
      <c r="H10150" t="s">
        <v>5474</v>
      </c>
      <c r="I10150" t="s">
        <v>35402</v>
      </c>
      <c r="J10150" t="s">
        <v>5476</v>
      </c>
      <c r="K10150" t="s">
        <v>35403</v>
      </c>
      <c r="L10150" t="s">
        <v>5471</v>
      </c>
      <c r="M10150" t="s">
        <v>5471</v>
      </c>
    </row>
    <row r="10151" spans="1:13" x14ac:dyDescent="0.3">
      <c r="A10151" t="s">
        <v>3388</v>
      </c>
      <c r="B10151" t="s">
        <v>35404</v>
      </c>
      <c r="C10151" t="s">
        <v>5470</v>
      </c>
      <c r="D10151" t="s">
        <v>4119</v>
      </c>
      <c r="E10151" t="s">
        <v>5532</v>
      </c>
      <c r="F10151" t="s">
        <v>35405</v>
      </c>
      <c r="G10151" t="s">
        <v>10525</v>
      </c>
      <c r="H10151" t="s">
        <v>5474</v>
      </c>
      <c r="I10151" t="s">
        <v>35406</v>
      </c>
      <c r="J10151" t="s">
        <v>5476</v>
      </c>
      <c r="K10151" t="s">
        <v>35407</v>
      </c>
      <c r="L10151" t="s">
        <v>5471</v>
      </c>
      <c r="M10151" t="s">
        <v>5471</v>
      </c>
    </row>
    <row r="10152" spans="1:13" x14ac:dyDescent="0.3">
      <c r="A10152" t="s">
        <v>3388</v>
      </c>
      <c r="B10152" t="s">
        <v>7109</v>
      </c>
      <c r="C10152" t="s">
        <v>5470</v>
      </c>
      <c r="D10152" t="s">
        <v>4052</v>
      </c>
      <c r="E10152" t="s">
        <v>5617</v>
      </c>
      <c r="F10152" t="s">
        <v>35408</v>
      </c>
      <c r="G10152" t="s">
        <v>33073</v>
      </c>
      <c r="H10152" t="s">
        <v>5474</v>
      </c>
      <c r="I10152" t="s">
        <v>35409</v>
      </c>
      <c r="J10152" t="s">
        <v>5484</v>
      </c>
      <c r="K10152" t="s">
        <v>35410</v>
      </c>
      <c r="L10152" t="s">
        <v>5471</v>
      </c>
      <c r="M10152" t="s">
        <v>5471</v>
      </c>
    </row>
    <row r="10153" spans="1:13" x14ac:dyDescent="0.3">
      <c r="A10153" t="s">
        <v>3388</v>
      </c>
      <c r="B10153" t="s">
        <v>35404</v>
      </c>
      <c r="C10153" t="s">
        <v>5470</v>
      </c>
      <c r="D10153" t="s">
        <v>4119</v>
      </c>
      <c r="E10153" t="s">
        <v>5532</v>
      </c>
      <c r="F10153" t="s">
        <v>35411</v>
      </c>
      <c r="G10153" t="s">
        <v>10525</v>
      </c>
      <c r="H10153" t="s">
        <v>5474</v>
      </c>
      <c r="I10153" t="s">
        <v>35412</v>
      </c>
      <c r="J10153" t="s">
        <v>5476</v>
      </c>
      <c r="K10153" t="s">
        <v>35413</v>
      </c>
      <c r="L10153" t="s">
        <v>5471</v>
      </c>
      <c r="M10153" t="s">
        <v>5471</v>
      </c>
    </row>
    <row r="10154" spans="1:13" x14ac:dyDescent="0.3">
      <c r="A10154" t="s">
        <v>3388</v>
      </c>
      <c r="B10154" t="s">
        <v>7109</v>
      </c>
      <c r="C10154" t="s">
        <v>5470</v>
      </c>
      <c r="D10154" t="s">
        <v>4052</v>
      </c>
      <c r="E10154" t="s">
        <v>5617</v>
      </c>
      <c r="F10154" t="s">
        <v>35414</v>
      </c>
      <c r="G10154" t="s">
        <v>19195</v>
      </c>
      <c r="H10154" t="s">
        <v>5474</v>
      </c>
      <c r="I10154" t="s">
        <v>35415</v>
      </c>
      <c r="J10154" t="s">
        <v>5484</v>
      </c>
      <c r="K10154" t="s">
        <v>35416</v>
      </c>
      <c r="L10154" t="s">
        <v>5471</v>
      </c>
      <c r="M10154" t="s">
        <v>5471</v>
      </c>
    </row>
    <row r="10155" spans="1:13" x14ac:dyDescent="0.3">
      <c r="A10155" t="s">
        <v>3388</v>
      </c>
      <c r="B10155" t="s">
        <v>10857</v>
      </c>
      <c r="C10155" t="s">
        <v>5470</v>
      </c>
      <c r="D10155" t="s">
        <v>4119</v>
      </c>
      <c r="E10155" t="s">
        <v>5756</v>
      </c>
      <c r="F10155" t="s">
        <v>35417</v>
      </c>
      <c r="G10155" t="s">
        <v>18594</v>
      </c>
      <c r="H10155" t="s">
        <v>5474</v>
      </c>
      <c r="I10155" t="s">
        <v>35418</v>
      </c>
      <c r="J10155" t="s">
        <v>5476</v>
      </c>
      <c r="K10155" t="s">
        <v>35419</v>
      </c>
      <c r="L10155" t="s">
        <v>5471</v>
      </c>
      <c r="M10155" t="s">
        <v>5471</v>
      </c>
    </row>
    <row r="10156" spans="1:13" x14ac:dyDescent="0.3">
      <c r="A10156" t="s">
        <v>3388</v>
      </c>
      <c r="B10156" t="s">
        <v>10857</v>
      </c>
      <c r="C10156" t="s">
        <v>5470</v>
      </c>
      <c r="D10156" t="s">
        <v>4119</v>
      </c>
      <c r="E10156" t="s">
        <v>5756</v>
      </c>
      <c r="F10156" t="s">
        <v>35420</v>
      </c>
      <c r="G10156" t="s">
        <v>18594</v>
      </c>
      <c r="H10156" t="s">
        <v>5474</v>
      </c>
      <c r="I10156" t="s">
        <v>35421</v>
      </c>
      <c r="J10156" t="s">
        <v>5476</v>
      </c>
      <c r="K10156" t="s">
        <v>35422</v>
      </c>
      <c r="L10156" t="s">
        <v>5471</v>
      </c>
      <c r="M10156" t="s">
        <v>5471</v>
      </c>
    </row>
    <row r="10157" spans="1:13" x14ac:dyDescent="0.3">
      <c r="A10157" t="s">
        <v>3388</v>
      </c>
      <c r="B10157" t="s">
        <v>7109</v>
      </c>
      <c r="C10157" t="s">
        <v>5470</v>
      </c>
      <c r="D10157" t="s">
        <v>4052</v>
      </c>
      <c r="E10157" t="s">
        <v>5617</v>
      </c>
      <c r="F10157" t="s">
        <v>35423</v>
      </c>
      <c r="G10157" t="s">
        <v>19195</v>
      </c>
      <c r="H10157" t="s">
        <v>5474</v>
      </c>
      <c r="I10157" t="s">
        <v>35424</v>
      </c>
      <c r="J10157" t="s">
        <v>5484</v>
      </c>
      <c r="K10157" t="s">
        <v>35425</v>
      </c>
      <c r="L10157" t="s">
        <v>5471</v>
      </c>
      <c r="M10157" t="s">
        <v>5471</v>
      </c>
    </row>
    <row r="10158" spans="1:13" x14ac:dyDescent="0.3">
      <c r="A10158" t="s">
        <v>3388</v>
      </c>
      <c r="B10158" t="s">
        <v>21595</v>
      </c>
      <c r="C10158" t="s">
        <v>5470</v>
      </c>
      <c r="D10158" t="s">
        <v>4119</v>
      </c>
      <c r="E10158" t="s">
        <v>5532</v>
      </c>
      <c r="F10158" t="s">
        <v>35426</v>
      </c>
      <c r="G10158" t="s">
        <v>24017</v>
      </c>
      <c r="H10158" t="s">
        <v>5474</v>
      </c>
      <c r="I10158" t="s">
        <v>35427</v>
      </c>
      <c r="J10158" t="s">
        <v>5476</v>
      </c>
      <c r="K10158" t="s">
        <v>35428</v>
      </c>
      <c r="L10158" t="s">
        <v>5471</v>
      </c>
      <c r="M10158" t="s">
        <v>5471</v>
      </c>
    </row>
    <row r="10159" spans="1:13" x14ac:dyDescent="0.3">
      <c r="A10159" t="s">
        <v>3388</v>
      </c>
      <c r="B10159" t="s">
        <v>21595</v>
      </c>
      <c r="C10159" t="s">
        <v>5470</v>
      </c>
      <c r="D10159" t="s">
        <v>4119</v>
      </c>
      <c r="E10159" t="s">
        <v>5532</v>
      </c>
      <c r="F10159" t="s">
        <v>35429</v>
      </c>
      <c r="G10159" t="s">
        <v>24017</v>
      </c>
      <c r="H10159" t="s">
        <v>5474</v>
      </c>
      <c r="I10159" t="s">
        <v>35430</v>
      </c>
      <c r="J10159" t="s">
        <v>5476</v>
      </c>
      <c r="K10159" t="s">
        <v>35431</v>
      </c>
      <c r="L10159" t="s">
        <v>5471</v>
      </c>
      <c r="M10159" t="s">
        <v>5471</v>
      </c>
    </row>
    <row r="10160" spans="1:13" x14ac:dyDescent="0.3">
      <c r="A10160" t="s">
        <v>3388</v>
      </c>
      <c r="B10160" t="s">
        <v>21595</v>
      </c>
      <c r="C10160" t="s">
        <v>5470</v>
      </c>
      <c r="D10160" t="s">
        <v>4119</v>
      </c>
      <c r="E10160" t="s">
        <v>5532</v>
      </c>
      <c r="F10160" t="s">
        <v>35432</v>
      </c>
      <c r="G10160" t="s">
        <v>10525</v>
      </c>
      <c r="H10160" t="s">
        <v>5474</v>
      </c>
      <c r="I10160" t="s">
        <v>35433</v>
      </c>
      <c r="J10160" t="s">
        <v>5476</v>
      </c>
      <c r="K10160" t="s">
        <v>35434</v>
      </c>
      <c r="L10160" t="s">
        <v>5471</v>
      </c>
      <c r="M10160" t="s">
        <v>5471</v>
      </c>
    </row>
    <row r="10161" spans="1:13" x14ac:dyDescent="0.3">
      <c r="A10161" t="s">
        <v>3388</v>
      </c>
      <c r="B10161" t="s">
        <v>21595</v>
      </c>
      <c r="C10161" t="s">
        <v>5470</v>
      </c>
      <c r="D10161" t="s">
        <v>4119</v>
      </c>
      <c r="E10161" t="s">
        <v>5532</v>
      </c>
      <c r="F10161" t="s">
        <v>35435</v>
      </c>
      <c r="G10161" t="s">
        <v>10525</v>
      </c>
      <c r="H10161" t="s">
        <v>5474</v>
      </c>
      <c r="I10161" t="s">
        <v>35436</v>
      </c>
      <c r="J10161" t="s">
        <v>5476</v>
      </c>
      <c r="K10161" t="s">
        <v>35437</v>
      </c>
      <c r="L10161" t="s">
        <v>5471</v>
      </c>
      <c r="M10161" t="s">
        <v>5471</v>
      </c>
    </row>
    <row r="10162" spans="1:13" x14ac:dyDescent="0.3">
      <c r="A10162" t="s">
        <v>3388</v>
      </c>
      <c r="B10162" t="s">
        <v>10852</v>
      </c>
      <c r="C10162" t="s">
        <v>5470</v>
      </c>
      <c r="D10162" t="s">
        <v>4119</v>
      </c>
      <c r="E10162" t="s">
        <v>5756</v>
      </c>
      <c r="F10162" t="s">
        <v>35438</v>
      </c>
      <c r="G10162" t="s">
        <v>10854</v>
      </c>
      <c r="H10162" t="s">
        <v>5474</v>
      </c>
      <c r="I10162" t="s">
        <v>35439</v>
      </c>
      <c r="J10162" t="s">
        <v>5484</v>
      </c>
      <c r="K10162" t="s">
        <v>35440</v>
      </c>
      <c r="L10162" t="s">
        <v>5471</v>
      </c>
      <c r="M10162" t="s">
        <v>5471</v>
      </c>
    </row>
    <row r="10163" spans="1:13" x14ac:dyDescent="0.3">
      <c r="A10163" t="s">
        <v>3388</v>
      </c>
      <c r="B10163" t="s">
        <v>15859</v>
      </c>
      <c r="C10163" t="s">
        <v>5470</v>
      </c>
      <c r="D10163" t="s">
        <v>4119</v>
      </c>
      <c r="E10163" t="s">
        <v>5756</v>
      </c>
      <c r="F10163" t="s">
        <v>35441</v>
      </c>
      <c r="G10163" t="s">
        <v>18594</v>
      </c>
      <c r="H10163" t="s">
        <v>5474</v>
      </c>
      <c r="I10163" t="s">
        <v>35442</v>
      </c>
      <c r="J10163" t="s">
        <v>5476</v>
      </c>
      <c r="K10163" t="s">
        <v>35443</v>
      </c>
      <c r="L10163" t="s">
        <v>5471</v>
      </c>
      <c r="M10163" t="s">
        <v>5471</v>
      </c>
    </row>
    <row r="10164" spans="1:13" x14ac:dyDescent="0.3">
      <c r="A10164" t="s">
        <v>3388</v>
      </c>
      <c r="B10164" t="s">
        <v>10852</v>
      </c>
      <c r="C10164" t="s">
        <v>5470</v>
      </c>
      <c r="D10164" t="s">
        <v>4119</v>
      </c>
      <c r="E10164" t="s">
        <v>5756</v>
      </c>
      <c r="F10164" t="s">
        <v>35444</v>
      </c>
      <c r="G10164" t="s">
        <v>10854</v>
      </c>
      <c r="H10164" t="s">
        <v>5474</v>
      </c>
      <c r="I10164" t="s">
        <v>35445</v>
      </c>
      <c r="J10164" t="s">
        <v>5484</v>
      </c>
      <c r="K10164" t="s">
        <v>35446</v>
      </c>
      <c r="L10164" t="s">
        <v>5471</v>
      </c>
      <c r="M10164" t="s">
        <v>5471</v>
      </c>
    </row>
    <row r="10165" spans="1:13" x14ac:dyDescent="0.3">
      <c r="A10165" t="s">
        <v>3388</v>
      </c>
      <c r="B10165" t="s">
        <v>15859</v>
      </c>
      <c r="C10165" t="s">
        <v>5470</v>
      </c>
      <c r="D10165" t="s">
        <v>4119</v>
      </c>
      <c r="E10165" t="s">
        <v>5756</v>
      </c>
      <c r="F10165" t="s">
        <v>35447</v>
      </c>
      <c r="G10165" t="s">
        <v>18594</v>
      </c>
      <c r="H10165" t="s">
        <v>5474</v>
      </c>
      <c r="I10165" t="s">
        <v>35448</v>
      </c>
      <c r="J10165" t="s">
        <v>5476</v>
      </c>
      <c r="K10165" t="s">
        <v>35449</v>
      </c>
      <c r="L10165" t="s">
        <v>5471</v>
      </c>
      <c r="M10165" t="s">
        <v>5471</v>
      </c>
    </row>
    <row r="10166" spans="1:13" x14ac:dyDescent="0.3">
      <c r="A10166" t="s">
        <v>3388</v>
      </c>
      <c r="B10166" t="s">
        <v>22510</v>
      </c>
      <c r="C10166" t="s">
        <v>5470</v>
      </c>
      <c r="D10166" t="s">
        <v>4119</v>
      </c>
      <c r="E10166" t="s">
        <v>5756</v>
      </c>
      <c r="F10166" t="s">
        <v>35450</v>
      </c>
      <c r="G10166" t="s">
        <v>29278</v>
      </c>
      <c r="H10166" t="s">
        <v>5474</v>
      </c>
      <c r="I10166" t="s">
        <v>35451</v>
      </c>
      <c r="J10166" t="s">
        <v>5484</v>
      </c>
      <c r="K10166" t="s">
        <v>35452</v>
      </c>
      <c r="L10166" t="s">
        <v>5471</v>
      </c>
      <c r="M10166" t="s">
        <v>5471</v>
      </c>
    </row>
    <row r="10167" spans="1:13" x14ac:dyDescent="0.3">
      <c r="A10167" t="s">
        <v>3380</v>
      </c>
      <c r="B10167" t="s">
        <v>35453</v>
      </c>
      <c r="C10167" t="s">
        <v>6342</v>
      </c>
      <c r="D10167" t="s">
        <v>4119</v>
      </c>
      <c r="E10167" t="s">
        <v>5532</v>
      </c>
      <c r="F10167" t="s">
        <v>35454</v>
      </c>
      <c r="G10167" t="s">
        <v>35455</v>
      </c>
      <c r="H10167" t="s">
        <v>5474</v>
      </c>
      <c r="I10167" t="s">
        <v>35456</v>
      </c>
      <c r="J10167" t="s">
        <v>5484</v>
      </c>
      <c r="K10167" t="s">
        <v>25309</v>
      </c>
      <c r="L10167" t="s">
        <v>5471</v>
      </c>
      <c r="M10167" t="s">
        <v>5471</v>
      </c>
    </row>
    <row r="10168" spans="1:13" x14ac:dyDescent="0.3">
      <c r="A10168" t="s">
        <v>3380</v>
      </c>
      <c r="B10168" t="s">
        <v>35457</v>
      </c>
      <c r="C10168" t="s">
        <v>5487</v>
      </c>
      <c r="D10168" t="s">
        <v>4119</v>
      </c>
      <c r="E10168" t="s">
        <v>5532</v>
      </c>
      <c r="F10168" t="s">
        <v>35458</v>
      </c>
      <c r="G10168" t="s">
        <v>35459</v>
      </c>
      <c r="H10168" t="s">
        <v>5474</v>
      </c>
      <c r="I10168" t="s">
        <v>35460</v>
      </c>
      <c r="J10168" t="s">
        <v>5484</v>
      </c>
      <c r="K10168" t="s">
        <v>25309</v>
      </c>
      <c r="L10168" t="s">
        <v>5471</v>
      </c>
      <c r="M10168" t="s">
        <v>5471</v>
      </c>
    </row>
    <row r="10169" spans="1:13" x14ac:dyDescent="0.3">
      <c r="A10169" t="s">
        <v>3388</v>
      </c>
      <c r="B10169" t="s">
        <v>25047</v>
      </c>
      <c r="C10169" t="s">
        <v>5470</v>
      </c>
      <c r="D10169" t="s">
        <v>4119</v>
      </c>
      <c r="E10169" t="s">
        <v>5532</v>
      </c>
      <c r="F10169" t="s">
        <v>35461</v>
      </c>
      <c r="G10169" t="s">
        <v>25049</v>
      </c>
      <c r="H10169" t="s">
        <v>5474</v>
      </c>
      <c r="I10169" t="s">
        <v>35462</v>
      </c>
      <c r="J10169" t="s">
        <v>5484</v>
      </c>
      <c r="K10169" t="s">
        <v>35463</v>
      </c>
      <c r="L10169" t="s">
        <v>5471</v>
      </c>
      <c r="M10169" t="s">
        <v>5471</v>
      </c>
    </row>
    <row r="10170" spans="1:13" x14ac:dyDescent="0.3">
      <c r="A10170" t="s">
        <v>3380</v>
      </c>
      <c r="B10170" t="s">
        <v>35464</v>
      </c>
      <c r="C10170" t="s">
        <v>5487</v>
      </c>
      <c r="D10170" t="s">
        <v>4119</v>
      </c>
      <c r="E10170" t="s">
        <v>5532</v>
      </c>
      <c r="F10170" t="s">
        <v>35465</v>
      </c>
      <c r="G10170" t="s">
        <v>35466</v>
      </c>
      <c r="H10170" t="s">
        <v>5474</v>
      </c>
      <c r="I10170" t="s">
        <v>35467</v>
      </c>
      <c r="J10170" t="s">
        <v>5484</v>
      </c>
      <c r="K10170" t="s">
        <v>25309</v>
      </c>
      <c r="L10170" t="s">
        <v>5471</v>
      </c>
      <c r="M10170" t="s">
        <v>5471</v>
      </c>
    </row>
    <row r="10171" spans="1:13" x14ac:dyDescent="0.3">
      <c r="A10171" t="s">
        <v>3388</v>
      </c>
      <c r="B10171" t="s">
        <v>25047</v>
      </c>
      <c r="C10171" t="s">
        <v>5470</v>
      </c>
      <c r="D10171" t="s">
        <v>4119</v>
      </c>
      <c r="E10171" t="s">
        <v>5532</v>
      </c>
      <c r="F10171" t="s">
        <v>35468</v>
      </c>
      <c r="G10171" t="s">
        <v>25049</v>
      </c>
      <c r="H10171" t="s">
        <v>5474</v>
      </c>
      <c r="I10171" t="s">
        <v>35469</v>
      </c>
      <c r="J10171" t="s">
        <v>5484</v>
      </c>
      <c r="K10171" t="s">
        <v>35470</v>
      </c>
      <c r="L10171" t="s">
        <v>5471</v>
      </c>
      <c r="M10171" t="s">
        <v>5471</v>
      </c>
    </row>
    <row r="10172" spans="1:13" x14ac:dyDescent="0.3">
      <c r="A10172" t="s">
        <v>3380</v>
      </c>
      <c r="B10172" t="s">
        <v>35471</v>
      </c>
      <c r="C10172" t="s">
        <v>6342</v>
      </c>
      <c r="D10172" t="s">
        <v>4119</v>
      </c>
      <c r="E10172" t="s">
        <v>9935</v>
      </c>
      <c r="F10172" t="s">
        <v>35472</v>
      </c>
      <c r="G10172" t="s">
        <v>34954</v>
      </c>
      <c r="H10172" t="s">
        <v>5474</v>
      </c>
      <c r="I10172" t="s">
        <v>35473</v>
      </c>
      <c r="J10172" t="s">
        <v>5484</v>
      </c>
      <c r="K10172" t="s">
        <v>25309</v>
      </c>
      <c r="L10172" t="s">
        <v>5471</v>
      </c>
      <c r="M10172" t="s">
        <v>5471</v>
      </c>
    </row>
    <row r="10173" spans="1:13" x14ac:dyDescent="0.3">
      <c r="A10173" t="s">
        <v>3380</v>
      </c>
      <c r="B10173" t="s">
        <v>35474</v>
      </c>
      <c r="C10173" t="s">
        <v>6342</v>
      </c>
      <c r="D10173" t="s">
        <v>4119</v>
      </c>
      <c r="E10173" t="s">
        <v>9935</v>
      </c>
      <c r="F10173" t="s">
        <v>35475</v>
      </c>
      <c r="G10173" t="s">
        <v>35476</v>
      </c>
      <c r="H10173" t="s">
        <v>5474</v>
      </c>
      <c r="I10173" t="s">
        <v>35477</v>
      </c>
      <c r="J10173" t="s">
        <v>5484</v>
      </c>
      <c r="K10173" t="s">
        <v>25309</v>
      </c>
      <c r="L10173" t="s">
        <v>5471</v>
      </c>
      <c r="M10173" t="s">
        <v>5471</v>
      </c>
    </row>
    <row r="10174" spans="1:13" x14ac:dyDescent="0.3">
      <c r="A10174" t="s">
        <v>3397</v>
      </c>
      <c r="B10174" t="s">
        <v>35143</v>
      </c>
      <c r="C10174" t="s">
        <v>5487</v>
      </c>
      <c r="D10174" t="s">
        <v>4119</v>
      </c>
      <c r="E10174" t="s">
        <v>5843</v>
      </c>
      <c r="F10174" t="s">
        <v>35478</v>
      </c>
      <c r="G10174" t="s">
        <v>35199</v>
      </c>
      <c r="H10174" t="s">
        <v>5474</v>
      </c>
      <c r="I10174" t="s">
        <v>35479</v>
      </c>
      <c r="J10174" t="s">
        <v>5484</v>
      </c>
      <c r="K10174" t="s">
        <v>35480</v>
      </c>
      <c r="L10174" t="s">
        <v>5471</v>
      </c>
      <c r="M10174" t="s">
        <v>5471</v>
      </c>
    </row>
    <row r="10175" spans="1:13" x14ac:dyDescent="0.3">
      <c r="A10175" t="s">
        <v>3380</v>
      </c>
      <c r="B10175" t="s">
        <v>35481</v>
      </c>
      <c r="C10175" t="s">
        <v>6342</v>
      </c>
      <c r="D10175" t="s">
        <v>4119</v>
      </c>
      <c r="E10175" t="s">
        <v>9935</v>
      </c>
      <c r="F10175" t="s">
        <v>35482</v>
      </c>
      <c r="G10175" t="s">
        <v>35483</v>
      </c>
      <c r="H10175" t="s">
        <v>5474</v>
      </c>
      <c r="I10175" t="s">
        <v>35484</v>
      </c>
      <c r="J10175" t="s">
        <v>5484</v>
      </c>
      <c r="K10175" t="s">
        <v>25309</v>
      </c>
      <c r="L10175" t="s">
        <v>5471</v>
      </c>
      <c r="M10175" t="s">
        <v>5471</v>
      </c>
    </row>
    <row r="10176" spans="1:13" x14ac:dyDescent="0.3">
      <c r="A10176" t="s">
        <v>3397</v>
      </c>
      <c r="B10176" t="s">
        <v>35143</v>
      </c>
      <c r="C10176" t="s">
        <v>5487</v>
      </c>
      <c r="D10176" t="s">
        <v>4119</v>
      </c>
      <c r="E10176" t="s">
        <v>5843</v>
      </c>
      <c r="F10176" t="s">
        <v>35485</v>
      </c>
      <c r="G10176" t="s">
        <v>35199</v>
      </c>
      <c r="H10176" t="s">
        <v>5474</v>
      </c>
      <c r="I10176" t="s">
        <v>35486</v>
      </c>
      <c r="J10176" t="s">
        <v>5484</v>
      </c>
      <c r="K10176" t="s">
        <v>35487</v>
      </c>
      <c r="L10176" t="s">
        <v>5471</v>
      </c>
      <c r="M10176" t="s">
        <v>5471</v>
      </c>
    </row>
    <row r="10177" spans="1:13" x14ac:dyDescent="0.3">
      <c r="A10177" t="s">
        <v>3397</v>
      </c>
      <c r="B10177" t="s">
        <v>35143</v>
      </c>
      <c r="C10177" t="s">
        <v>5487</v>
      </c>
      <c r="D10177" t="s">
        <v>4119</v>
      </c>
      <c r="E10177" t="s">
        <v>5843</v>
      </c>
      <c r="F10177" t="s">
        <v>35488</v>
      </c>
      <c r="G10177" t="s">
        <v>35199</v>
      </c>
      <c r="H10177" t="s">
        <v>5474</v>
      </c>
      <c r="I10177" t="s">
        <v>35489</v>
      </c>
      <c r="J10177" t="s">
        <v>5484</v>
      </c>
      <c r="K10177" t="s">
        <v>35490</v>
      </c>
      <c r="L10177" t="s">
        <v>5471</v>
      </c>
      <c r="M10177" t="s">
        <v>5471</v>
      </c>
    </row>
    <row r="10178" spans="1:13" x14ac:dyDescent="0.3">
      <c r="A10178" t="s">
        <v>3397</v>
      </c>
      <c r="B10178" t="s">
        <v>35143</v>
      </c>
      <c r="C10178" t="s">
        <v>5487</v>
      </c>
      <c r="D10178" t="s">
        <v>4119</v>
      </c>
      <c r="E10178" t="s">
        <v>5843</v>
      </c>
      <c r="F10178" t="s">
        <v>35491</v>
      </c>
      <c r="G10178" t="s">
        <v>35199</v>
      </c>
      <c r="H10178" t="s">
        <v>5474</v>
      </c>
      <c r="I10178" t="s">
        <v>35492</v>
      </c>
      <c r="J10178" t="s">
        <v>5484</v>
      </c>
      <c r="K10178" t="s">
        <v>35493</v>
      </c>
      <c r="L10178" t="s">
        <v>5471</v>
      </c>
      <c r="M10178" t="s">
        <v>5471</v>
      </c>
    </row>
    <row r="10179" spans="1:13" x14ac:dyDescent="0.3">
      <c r="A10179" t="s">
        <v>3383</v>
      </c>
      <c r="B10179" t="s">
        <v>5294</v>
      </c>
      <c r="C10179" t="s">
        <v>5470</v>
      </c>
      <c r="D10179" t="s">
        <v>4052</v>
      </c>
      <c r="E10179" t="s">
        <v>5532</v>
      </c>
      <c r="F10179" t="s">
        <v>35494</v>
      </c>
      <c r="G10179" t="s">
        <v>6407</v>
      </c>
      <c r="H10179" t="s">
        <v>5474</v>
      </c>
      <c r="I10179" t="s">
        <v>35495</v>
      </c>
      <c r="J10179" t="s">
        <v>5484</v>
      </c>
      <c r="K10179" t="s">
        <v>35496</v>
      </c>
      <c r="L10179" t="s">
        <v>5471</v>
      </c>
      <c r="M10179" t="s">
        <v>5471</v>
      </c>
    </row>
    <row r="10180" spans="1:13" x14ac:dyDescent="0.3">
      <c r="A10180" t="s">
        <v>3383</v>
      </c>
      <c r="B10180" t="s">
        <v>5805</v>
      </c>
      <c r="C10180" t="s">
        <v>5470</v>
      </c>
      <c r="D10180" t="s">
        <v>4052</v>
      </c>
      <c r="E10180" t="s">
        <v>5532</v>
      </c>
      <c r="F10180" t="s">
        <v>35497</v>
      </c>
      <c r="G10180" t="s">
        <v>5817</v>
      </c>
      <c r="H10180" t="s">
        <v>5474</v>
      </c>
      <c r="I10180" t="s">
        <v>35498</v>
      </c>
      <c r="J10180" t="s">
        <v>5484</v>
      </c>
      <c r="K10180" t="s">
        <v>35499</v>
      </c>
      <c r="L10180" t="s">
        <v>5471</v>
      </c>
      <c r="M10180" t="s">
        <v>5471</v>
      </c>
    </row>
    <row r="10181" spans="1:13" x14ac:dyDescent="0.3">
      <c r="A10181" t="s">
        <v>3383</v>
      </c>
      <c r="B10181" t="s">
        <v>5805</v>
      </c>
      <c r="C10181" t="s">
        <v>5470</v>
      </c>
      <c r="D10181" t="s">
        <v>4052</v>
      </c>
      <c r="E10181" t="s">
        <v>5532</v>
      </c>
      <c r="F10181" t="s">
        <v>35500</v>
      </c>
      <c r="G10181" t="s">
        <v>35501</v>
      </c>
      <c r="H10181" t="s">
        <v>5474</v>
      </c>
      <c r="I10181" t="s">
        <v>35502</v>
      </c>
      <c r="J10181" t="s">
        <v>5484</v>
      </c>
      <c r="K10181" t="s">
        <v>35503</v>
      </c>
      <c r="L10181" t="s">
        <v>5471</v>
      </c>
      <c r="M10181" t="s">
        <v>5471</v>
      </c>
    </row>
    <row r="10182" spans="1:13" x14ac:dyDescent="0.3">
      <c r="A10182" t="s">
        <v>3383</v>
      </c>
      <c r="B10182" t="s">
        <v>5805</v>
      </c>
      <c r="C10182" t="s">
        <v>5470</v>
      </c>
      <c r="D10182" t="s">
        <v>4052</v>
      </c>
      <c r="E10182" t="s">
        <v>5532</v>
      </c>
      <c r="F10182" t="s">
        <v>35504</v>
      </c>
      <c r="G10182" t="s">
        <v>5807</v>
      </c>
      <c r="H10182" t="s">
        <v>5474</v>
      </c>
      <c r="I10182" t="s">
        <v>35505</v>
      </c>
      <c r="J10182" t="s">
        <v>5484</v>
      </c>
      <c r="K10182" t="s">
        <v>35506</v>
      </c>
      <c r="L10182" t="s">
        <v>5471</v>
      </c>
      <c r="M10182" t="s">
        <v>5471</v>
      </c>
    </row>
    <row r="10183" spans="1:13" x14ac:dyDescent="0.3">
      <c r="A10183" t="s">
        <v>3383</v>
      </c>
      <c r="B10183" t="s">
        <v>5320</v>
      </c>
      <c r="C10183" t="s">
        <v>5470</v>
      </c>
      <c r="D10183" t="s">
        <v>4052</v>
      </c>
      <c r="E10183" t="s">
        <v>5532</v>
      </c>
      <c r="F10183" t="s">
        <v>35507</v>
      </c>
      <c r="G10183" t="s">
        <v>26983</v>
      </c>
      <c r="H10183" t="s">
        <v>5474</v>
      </c>
      <c r="I10183" t="s">
        <v>35508</v>
      </c>
      <c r="J10183" t="s">
        <v>5484</v>
      </c>
      <c r="K10183" t="s">
        <v>35509</v>
      </c>
      <c r="L10183" t="s">
        <v>5471</v>
      </c>
      <c r="M10183" t="s">
        <v>5471</v>
      </c>
    </row>
    <row r="10184" spans="1:13" x14ac:dyDescent="0.3">
      <c r="A10184" t="s">
        <v>3383</v>
      </c>
      <c r="B10184" t="s">
        <v>5320</v>
      </c>
      <c r="C10184" t="s">
        <v>5470</v>
      </c>
      <c r="D10184" t="s">
        <v>4052</v>
      </c>
      <c r="E10184" t="s">
        <v>5532</v>
      </c>
      <c r="F10184" t="s">
        <v>35510</v>
      </c>
      <c r="G10184" t="s">
        <v>7513</v>
      </c>
      <c r="H10184" t="s">
        <v>5474</v>
      </c>
      <c r="I10184" t="s">
        <v>35511</v>
      </c>
      <c r="J10184" t="s">
        <v>5484</v>
      </c>
      <c r="K10184" t="s">
        <v>35512</v>
      </c>
      <c r="L10184" t="s">
        <v>5471</v>
      </c>
      <c r="M10184" t="s">
        <v>5471</v>
      </c>
    </row>
    <row r="10185" spans="1:13" x14ac:dyDescent="0.3">
      <c r="A10185" t="s">
        <v>3383</v>
      </c>
      <c r="B10185" t="s">
        <v>5320</v>
      </c>
      <c r="C10185" t="s">
        <v>5470</v>
      </c>
      <c r="D10185" t="s">
        <v>4052</v>
      </c>
      <c r="E10185" t="s">
        <v>5532</v>
      </c>
      <c r="F10185" t="s">
        <v>35513</v>
      </c>
      <c r="G10185" t="s">
        <v>11837</v>
      </c>
      <c r="H10185" t="s">
        <v>5474</v>
      </c>
      <c r="I10185" t="s">
        <v>35514</v>
      </c>
      <c r="J10185" t="s">
        <v>5484</v>
      </c>
      <c r="K10185" t="s">
        <v>35515</v>
      </c>
      <c r="L10185" t="s">
        <v>5471</v>
      </c>
      <c r="M10185" t="s">
        <v>5471</v>
      </c>
    </row>
    <row r="10186" spans="1:13" x14ac:dyDescent="0.3">
      <c r="A10186" t="s">
        <v>3383</v>
      </c>
      <c r="B10186" t="s">
        <v>5320</v>
      </c>
      <c r="C10186" t="s">
        <v>5470</v>
      </c>
      <c r="D10186" t="s">
        <v>4052</v>
      </c>
      <c r="E10186" t="s">
        <v>5532</v>
      </c>
      <c r="F10186" t="s">
        <v>35516</v>
      </c>
      <c r="G10186" t="s">
        <v>7799</v>
      </c>
      <c r="H10186" t="s">
        <v>5474</v>
      </c>
      <c r="I10186" t="s">
        <v>35517</v>
      </c>
      <c r="J10186" t="s">
        <v>5484</v>
      </c>
      <c r="K10186" t="s">
        <v>35518</v>
      </c>
      <c r="L10186" t="s">
        <v>5471</v>
      </c>
      <c r="M10186" t="s">
        <v>5471</v>
      </c>
    </row>
    <row r="10187" spans="1:13" x14ac:dyDescent="0.3">
      <c r="A10187" t="s">
        <v>3383</v>
      </c>
      <c r="B10187" t="s">
        <v>5320</v>
      </c>
      <c r="C10187" t="s">
        <v>5470</v>
      </c>
      <c r="D10187" t="s">
        <v>4052</v>
      </c>
      <c r="E10187" t="s">
        <v>5532</v>
      </c>
      <c r="F10187" t="s">
        <v>35519</v>
      </c>
      <c r="G10187" t="s">
        <v>6577</v>
      </c>
      <c r="H10187" t="s">
        <v>5474</v>
      </c>
      <c r="I10187" t="s">
        <v>35520</v>
      </c>
      <c r="J10187" t="s">
        <v>5484</v>
      </c>
      <c r="K10187" t="s">
        <v>35521</v>
      </c>
      <c r="L10187" t="s">
        <v>5471</v>
      </c>
      <c r="M10187" t="s">
        <v>5471</v>
      </c>
    </row>
    <row r="10188" spans="1:13" x14ac:dyDescent="0.3">
      <c r="A10188" t="s">
        <v>3383</v>
      </c>
      <c r="B10188" t="s">
        <v>5320</v>
      </c>
      <c r="C10188" t="s">
        <v>5470</v>
      </c>
      <c r="D10188" t="s">
        <v>4052</v>
      </c>
      <c r="E10188" t="s">
        <v>5843</v>
      </c>
      <c r="F10188" t="s">
        <v>35522</v>
      </c>
      <c r="G10188" t="s">
        <v>11224</v>
      </c>
      <c r="H10188" t="s">
        <v>5474</v>
      </c>
      <c r="I10188" t="s">
        <v>35523</v>
      </c>
      <c r="J10188" t="s">
        <v>5484</v>
      </c>
      <c r="K10188" t="s">
        <v>35524</v>
      </c>
      <c r="L10188" t="s">
        <v>5471</v>
      </c>
      <c r="M10188" t="s">
        <v>5471</v>
      </c>
    </row>
    <row r="10189" spans="1:13" x14ac:dyDescent="0.3">
      <c r="A10189" t="s">
        <v>3383</v>
      </c>
      <c r="B10189" t="s">
        <v>5320</v>
      </c>
      <c r="C10189" t="s">
        <v>5470</v>
      </c>
      <c r="D10189" t="s">
        <v>4052</v>
      </c>
      <c r="E10189" t="s">
        <v>5843</v>
      </c>
      <c r="F10189" t="s">
        <v>35525</v>
      </c>
      <c r="G10189" t="s">
        <v>11224</v>
      </c>
      <c r="H10189" t="s">
        <v>5474</v>
      </c>
      <c r="I10189" t="s">
        <v>35526</v>
      </c>
      <c r="J10189" t="s">
        <v>5484</v>
      </c>
      <c r="K10189" t="s">
        <v>35527</v>
      </c>
      <c r="L10189" t="s">
        <v>5471</v>
      </c>
      <c r="M10189" t="s">
        <v>5471</v>
      </c>
    </row>
    <row r="10190" spans="1:13" x14ac:dyDescent="0.3">
      <c r="A10190" t="s">
        <v>3383</v>
      </c>
      <c r="B10190" t="s">
        <v>5294</v>
      </c>
      <c r="C10190" t="s">
        <v>5470</v>
      </c>
      <c r="D10190" t="s">
        <v>4056</v>
      </c>
      <c r="E10190" t="s">
        <v>5532</v>
      </c>
      <c r="F10190" t="s">
        <v>35528</v>
      </c>
      <c r="G10190" t="s">
        <v>7513</v>
      </c>
      <c r="H10190" t="s">
        <v>5474</v>
      </c>
      <c r="I10190" t="s">
        <v>35529</v>
      </c>
      <c r="J10190" t="s">
        <v>5484</v>
      </c>
      <c r="K10190" t="s">
        <v>35530</v>
      </c>
      <c r="L10190" t="s">
        <v>5471</v>
      </c>
      <c r="M10190" t="s">
        <v>5471</v>
      </c>
    </row>
    <row r="10191" spans="1:13" x14ac:dyDescent="0.3">
      <c r="A10191" t="s">
        <v>3383</v>
      </c>
      <c r="B10191" t="s">
        <v>5320</v>
      </c>
      <c r="C10191" t="s">
        <v>5470</v>
      </c>
      <c r="D10191" t="s">
        <v>4052</v>
      </c>
      <c r="E10191" t="s">
        <v>5843</v>
      </c>
      <c r="F10191" t="s">
        <v>35531</v>
      </c>
      <c r="G10191" t="s">
        <v>6577</v>
      </c>
      <c r="H10191" t="s">
        <v>5474</v>
      </c>
      <c r="I10191" t="s">
        <v>35532</v>
      </c>
      <c r="J10191" t="s">
        <v>5484</v>
      </c>
      <c r="K10191" t="s">
        <v>35533</v>
      </c>
      <c r="L10191" t="s">
        <v>5471</v>
      </c>
      <c r="M10191" t="s">
        <v>5471</v>
      </c>
    </row>
    <row r="10192" spans="1:13" x14ac:dyDescent="0.3">
      <c r="A10192" t="s">
        <v>3383</v>
      </c>
      <c r="B10192" t="s">
        <v>7444</v>
      </c>
      <c r="C10192" t="s">
        <v>5470</v>
      </c>
      <c r="D10192" t="s">
        <v>4056</v>
      </c>
      <c r="E10192" t="s">
        <v>5532</v>
      </c>
      <c r="F10192" t="s">
        <v>35534</v>
      </c>
      <c r="G10192" t="s">
        <v>35223</v>
      </c>
      <c r="H10192" t="s">
        <v>5474</v>
      </c>
      <c r="I10192" t="s">
        <v>35535</v>
      </c>
      <c r="J10192" t="s">
        <v>5484</v>
      </c>
      <c r="K10192" t="s">
        <v>35225</v>
      </c>
      <c r="L10192" t="s">
        <v>5471</v>
      </c>
      <c r="M10192" t="s">
        <v>5471</v>
      </c>
    </row>
    <row r="10193" spans="1:13" x14ac:dyDescent="0.3">
      <c r="A10193" t="s">
        <v>3383</v>
      </c>
      <c r="B10193" t="s">
        <v>7444</v>
      </c>
      <c r="C10193" t="s">
        <v>5470</v>
      </c>
      <c r="D10193" t="s">
        <v>4056</v>
      </c>
      <c r="E10193" t="s">
        <v>5532</v>
      </c>
      <c r="F10193" t="s">
        <v>35536</v>
      </c>
      <c r="G10193" t="s">
        <v>35537</v>
      </c>
      <c r="H10193" t="s">
        <v>5474</v>
      </c>
      <c r="I10193" t="s">
        <v>35538</v>
      </c>
      <c r="J10193" t="s">
        <v>5484</v>
      </c>
      <c r="K10193" t="s">
        <v>35225</v>
      </c>
      <c r="L10193" t="s">
        <v>5471</v>
      </c>
      <c r="M10193" t="s">
        <v>5471</v>
      </c>
    </row>
    <row r="10194" spans="1:13" x14ac:dyDescent="0.3">
      <c r="A10194" t="s">
        <v>3380</v>
      </c>
      <c r="B10194" t="s">
        <v>10137</v>
      </c>
      <c r="C10194" t="s">
        <v>6342</v>
      </c>
      <c r="D10194" t="s">
        <v>4119</v>
      </c>
      <c r="E10194" t="s">
        <v>5480</v>
      </c>
      <c r="F10194" t="s">
        <v>35539</v>
      </c>
      <c r="G10194" t="s">
        <v>35540</v>
      </c>
      <c r="H10194" t="s">
        <v>5474</v>
      </c>
      <c r="I10194" t="s">
        <v>35541</v>
      </c>
      <c r="J10194" t="s">
        <v>5476</v>
      </c>
      <c r="K10194" t="s">
        <v>35542</v>
      </c>
      <c r="L10194" t="s">
        <v>5471</v>
      </c>
      <c r="M10194" t="s">
        <v>5471</v>
      </c>
    </row>
    <row r="10195" spans="1:13" x14ac:dyDescent="0.3">
      <c r="A10195" t="s">
        <v>3383</v>
      </c>
      <c r="B10195" t="s">
        <v>7444</v>
      </c>
      <c r="C10195" t="s">
        <v>5470</v>
      </c>
      <c r="D10195" t="s">
        <v>4056</v>
      </c>
      <c r="E10195" t="s">
        <v>5532</v>
      </c>
      <c r="F10195" t="s">
        <v>35543</v>
      </c>
      <c r="G10195" t="s">
        <v>35537</v>
      </c>
      <c r="H10195" t="s">
        <v>5474</v>
      </c>
      <c r="I10195" t="s">
        <v>35544</v>
      </c>
      <c r="J10195" t="s">
        <v>5484</v>
      </c>
      <c r="K10195" t="s">
        <v>35225</v>
      </c>
      <c r="L10195" t="s">
        <v>5471</v>
      </c>
      <c r="M10195" t="s">
        <v>5471</v>
      </c>
    </row>
    <row r="10196" spans="1:13" x14ac:dyDescent="0.3">
      <c r="A10196" t="s">
        <v>3383</v>
      </c>
      <c r="B10196" t="s">
        <v>5952</v>
      </c>
      <c r="C10196" t="s">
        <v>5470</v>
      </c>
      <c r="D10196" t="s">
        <v>4056</v>
      </c>
      <c r="E10196" t="s">
        <v>5532</v>
      </c>
      <c r="F10196" t="s">
        <v>35545</v>
      </c>
      <c r="G10196" t="s">
        <v>23627</v>
      </c>
      <c r="H10196" t="s">
        <v>5474</v>
      </c>
      <c r="I10196" t="s">
        <v>35546</v>
      </c>
      <c r="J10196" t="s">
        <v>5484</v>
      </c>
      <c r="K10196" t="s">
        <v>35547</v>
      </c>
      <c r="L10196" t="s">
        <v>5471</v>
      </c>
      <c r="M10196" t="s">
        <v>5471</v>
      </c>
    </row>
    <row r="10197" spans="1:13" x14ac:dyDescent="0.3">
      <c r="A10197" t="s">
        <v>3383</v>
      </c>
      <c r="B10197" t="s">
        <v>5952</v>
      </c>
      <c r="C10197" t="s">
        <v>5470</v>
      </c>
      <c r="D10197" t="s">
        <v>4056</v>
      </c>
      <c r="E10197" t="s">
        <v>5532</v>
      </c>
      <c r="F10197" t="s">
        <v>35548</v>
      </c>
      <c r="G10197" t="s">
        <v>23627</v>
      </c>
      <c r="H10197" t="s">
        <v>5474</v>
      </c>
      <c r="I10197" t="s">
        <v>35549</v>
      </c>
      <c r="J10197" t="s">
        <v>5484</v>
      </c>
      <c r="K10197" t="s">
        <v>35547</v>
      </c>
      <c r="L10197" t="s">
        <v>5471</v>
      </c>
      <c r="M10197" t="s">
        <v>5471</v>
      </c>
    </row>
    <row r="10198" spans="1:13" x14ac:dyDescent="0.3">
      <c r="A10198" t="s">
        <v>3380</v>
      </c>
      <c r="B10198" t="s">
        <v>10137</v>
      </c>
      <c r="C10198" t="s">
        <v>6342</v>
      </c>
      <c r="D10198" t="s">
        <v>4119</v>
      </c>
      <c r="E10198" t="s">
        <v>5480</v>
      </c>
      <c r="F10198" t="s">
        <v>35550</v>
      </c>
      <c r="G10198" t="s">
        <v>35540</v>
      </c>
      <c r="H10198" t="s">
        <v>5474</v>
      </c>
      <c r="I10198" t="s">
        <v>35551</v>
      </c>
      <c r="J10198" t="s">
        <v>5476</v>
      </c>
      <c r="K10198" t="s">
        <v>35552</v>
      </c>
      <c r="L10198" t="s">
        <v>5471</v>
      </c>
      <c r="M10198" t="s">
        <v>5471</v>
      </c>
    </row>
    <row r="10199" spans="1:13" x14ac:dyDescent="0.3">
      <c r="A10199" t="s">
        <v>3383</v>
      </c>
      <c r="B10199" t="s">
        <v>5952</v>
      </c>
      <c r="C10199" t="s">
        <v>5470</v>
      </c>
      <c r="D10199" t="s">
        <v>4056</v>
      </c>
      <c r="E10199" t="s">
        <v>5532</v>
      </c>
      <c r="F10199" t="s">
        <v>35553</v>
      </c>
      <c r="G10199" t="s">
        <v>23627</v>
      </c>
      <c r="H10199" t="s">
        <v>5474</v>
      </c>
      <c r="I10199" t="s">
        <v>35554</v>
      </c>
      <c r="J10199" t="s">
        <v>5484</v>
      </c>
      <c r="K10199" t="s">
        <v>35547</v>
      </c>
      <c r="L10199" t="s">
        <v>5471</v>
      </c>
      <c r="M10199" t="s">
        <v>5471</v>
      </c>
    </row>
    <row r="10200" spans="1:13" x14ac:dyDescent="0.3">
      <c r="A10200" t="s">
        <v>3383</v>
      </c>
      <c r="B10200" t="s">
        <v>5294</v>
      </c>
      <c r="C10200" t="s">
        <v>5470</v>
      </c>
      <c r="D10200" t="s">
        <v>4056</v>
      </c>
      <c r="E10200" t="s">
        <v>5532</v>
      </c>
      <c r="F10200" t="s">
        <v>35555</v>
      </c>
      <c r="G10200" t="s">
        <v>6337</v>
      </c>
      <c r="H10200" t="s">
        <v>5474</v>
      </c>
      <c r="I10200" t="s">
        <v>35556</v>
      </c>
      <c r="J10200" t="s">
        <v>5484</v>
      </c>
      <c r="K10200" t="s">
        <v>35530</v>
      </c>
      <c r="L10200" t="s">
        <v>5471</v>
      </c>
      <c r="M10200" t="s">
        <v>5471</v>
      </c>
    </row>
    <row r="10201" spans="1:13" x14ac:dyDescent="0.3">
      <c r="A10201" t="s">
        <v>3383</v>
      </c>
      <c r="B10201" t="s">
        <v>5294</v>
      </c>
      <c r="C10201" t="s">
        <v>5470</v>
      </c>
      <c r="D10201" t="s">
        <v>4056</v>
      </c>
      <c r="E10201" t="s">
        <v>5532</v>
      </c>
      <c r="F10201" t="s">
        <v>35557</v>
      </c>
      <c r="G10201" t="s">
        <v>6337</v>
      </c>
      <c r="H10201" t="s">
        <v>5474</v>
      </c>
      <c r="I10201" t="s">
        <v>35558</v>
      </c>
      <c r="J10201" t="s">
        <v>5484</v>
      </c>
      <c r="K10201" t="s">
        <v>35530</v>
      </c>
      <c r="L10201" t="s">
        <v>5471</v>
      </c>
      <c r="M10201" t="s">
        <v>5471</v>
      </c>
    </row>
    <row r="10202" spans="1:13" x14ac:dyDescent="0.3">
      <c r="A10202" t="s">
        <v>3383</v>
      </c>
      <c r="B10202" t="s">
        <v>5294</v>
      </c>
      <c r="C10202" t="s">
        <v>5470</v>
      </c>
      <c r="D10202" t="s">
        <v>4056</v>
      </c>
      <c r="E10202" t="s">
        <v>5532</v>
      </c>
      <c r="F10202" t="s">
        <v>35559</v>
      </c>
      <c r="G10202" t="s">
        <v>6407</v>
      </c>
      <c r="H10202" t="s">
        <v>5474</v>
      </c>
      <c r="I10202" t="s">
        <v>35560</v>
      </c>
      <c r="J10202" t="s">
        <v>5484</v>
      </c>
      <c r="K10202" t="s">
        <v>35530</v>
      </c>
      <c r="L10202" t="s">
        <v>5471</v>
      </c>
      <c r="M10202" t="s">
        <v>5471</v>
      </c>
    </row>
    <row r="10203" spans="1:13" x14ac:dyDescent="0.3">
      <c r="A10203" t="s">
        <v>3383</v>
      </c>
      <c r="B10203" t="s">
        <v>5294</v>
      </c>
      <c r="C10203" t="s">
        <v>5470</v>
      </c>
      <c r="D10203" t="s">
        <v>4056</v>
      </c>
      <c r="E10203" t="s">
        <v>5532</v>
      </c>
      <c r="F10203" t="s">
        <v>35561</v>
      </c>
      <c r="G10203" t="s">
        <v>6407</v>
      </c>
      <c r="H10203" t="s">
        <v>5474</v>
      </c>
      <c r="I10203" t="s">
        <v>35562</v>
      </c>
      <c r="J10203" t="s">
        <v>5484</v>
      </c>
      <c r="K10203" t="s">
        <v>35530</v>
      </c>
      <c r="L10203" t="s">
        <v>5471</v>
      </c>
      <c r="M10203" t="s">
        <v>5471</v>
      </c>
    </row>
    <row r="10204" spans="1:13" x14ac:dyDescent="0.3">
      <c r="A10204" t="s">
        <v>3380</v>
      </c>
      <c r="B10204" t="s">
        <v>10137</v>
      </c>
      <c r="C10204" t="s">
        <v>6342</v>
      </c>
      <c r="D10204" t="s">
        <v>4119</v>
      </c>
      <c r="E10204" t="s">
        <v>5480</v>
      </c>
      <c r="F10204" t="s">
        <v>35563</v>
      </c>
      <c r="G10204" t="s">
        <v>35540</v>
      </c>
      <c r="H10204" t="s">
        <v>5474</v>
      </c>
      <c r="I10204" t="s">
        <v>35564</v>
      </c>
      <c r="J10204" t="s">
        <v>5476</v>
      </c>
      <c r="K10204" t="s">
        <v>35565</v>
      </c>
      <c r="L10204" t="s">
        <v>5471</v>
      </c>
      <c r="M10204" t="s">
        <v>5471</v>
      </c>
    </row>
    <row r="10205" spans="1:13" x14ac:dyDescent="0.3">
      <c r="A10205" t="s">
        <v>3383</v>
      </c>
      <c r="B10205" t="s">
        <v>5952</v>
      </c>
      <c r="C10205" t="s">
        <v>5470</v>
      </c>
      <c r="D10205" t="s">
        <v>4056</v>
      </c>
      <c r="E10205" t="s">
        <v>5532</v>
      </c>
      <c r="F10205" t="s">
        <v>35566</v>
      </c>
      <c r="G10205" t="s">
        <v>6244</v>
      </c>
      <c r="H10205" t="s">
        <v>5474</v>
      </c>
      <c r="I10205" t="s">
        <v>35567</v>
      </c>
      <c r="J10205" t="s">
        <v>5484</v>
      </c>
      <c r="K10205" t="s">
        <v>35547</v>
      </c>
      <c r="L10205" t="s">
        <v>5471</v>
      </c>
      <c r="M10205" t="s">
        <v>5471</v>
      </c>
    </row>
    <row r="10206" spans="1:13" x14ac:dyDescent="0.3">
      <c r="A10206" t="s">
        <v>3383</v>
      </c>
      <c r="B10206" t="s">
        <v>5952</v>
      </c>
      <c r="C10206" t="s">
        <v>5470</v>
      </c>
      <c r="D10206" t="s">
        <v>4056</v>
      </c>
      <c r="E10206" t="s">
        <v>5532</v>
      </c>
      <c r="F10206" t="s">
        <v>35568</v>
      </c>
      <c r="G10206" t="s">
        <v>6244</v>
      </c>
      <c r="H10206" t="s">
        <v>5474</v>
      </c>
      <c r="I10206" t="s">
        <v>35569</v>
      </c>
      <c r="J10206" t="s">
        <v>5484</v>
      </c>
      <c r="K10206" t="s">
        <v>35547</v>
      </c>
      <c r="L10206" t="s">
        <v>5471</v>
      </c>
      <c r="M10206" t="s">
        <v>5471</v>
      </c>
    </row>
    <row r="10207" spans="1:13" x14ac:dyDescent="0.3">
      <c r="A10207" t="s">
        <v>3383</v>
      </c>
      <c r="B10207" t="s">
        <v>5952</v>
      </c>
      <c r="C10207" t="s">
        <v>5470</v>
      </c>
      <c r="D10207" t="s">
        <v>4056</v>
      </c>
      <c r="E10207" t="s">
        <v>5532</v>
      </c>
      <c r="F10207" t="s">
        <v>35570</v>
      </c>
      <c r="G10207" t="s">
        <v>6244</v>
      </c>
      <c r="H10207" t="s">
        <v>5474</v>
      </c>
      <c r="I10207" t="s">
        <v>35571</v>
      </c>
      <c r="J10207" t="s">
        <v>5484</v>
      </c>
      <c r="K10207" t="s">
        <v>35547</v>
      </c>
      <c r="L10207" t="s">
        <v>5471</v>
      </c>
      <c r="M10207" t="s">
        <v>5471</v>
      </c>
    </row>
    <row r="10208" spans="1:13" x14ac:dyDescent="0.3">
      <c r="A10208" t="s">
        <v>3383</v>
      </c>
      <c r="B10208" t="s">
        <v>5952</v>
      </c>
      <c r="C10208" t="s">
        <v>5470</v>
      </c>
      <c r="D10208" t="s">
        <v>4056</v>
      </c>
      <c r="E10208" t="s">
        <v>5756</v>
      </c>
      <c r="F10208" t="s">
        <v>35572</v>
      </c>
      <c r="G10208" t="s">
        <v>6217</v>
      </c>
      <c r="H10208" t="s">
        <v>5474</v>
      </c>
      <c r="I10208" t="s">
        <v>35573</v>
      </c>
      <c r="J10208" t="s">
        <v>5484</v>
      </c>
      <c r="K10208" t="s">
        <v>35574</v>
      </c>
      <c r="L10208" t="s">
        <v>5471</v>
      </c>
      <c r="M10208" t="s">
        <v>5471</v>
      </c>
    </row>
    <row r="10209" spans="1:13" x14ac:dyDescent="0.3">
      <c r="A10209" t="s">
        <v>3383</v>
      </c>
      <c r="B10209" t="s">
        <v>5294</v>
      </c>
      <c r="C10209" t="s">
        <v>5470</v>
      </c>
      <c r="D10209" t="s">
        <v>10218</v>
      </c>
      <c r="E10209" t="s">
        <v>5756</v>
      </c>
      <c r="F10209" t="s">
        <v>35575</v>
      </c>
      <c r="G10209" t="s">
        <v>6407</v>
      </c>
      <c r="H10209" t="s">
        <v>5474</v>
      </c>
      <c r="I10209" t="s">
        <v>35576</v>
      </c>
      <c r="J10209" t="s">
        <v>5484</v>
      </c>
      <c r="K10209" t="s">
        <v>35577</v>
      </c>
      <c r="L10209" t="s">
        <v>5471</v>
      </c>
      <c r="M10209" t="s">
        <v>5471</v>
      </c>
    </row>
    <row r="10210" spans="1:13" x14ac:dyDescent="0.3">
      <c r="A10210" t="s">
        <v>3380</v>
      </c>
      <c r="B10210" t="s">
        <v>10137</v>
      </c>
      <c r="C10210" t="s">
        <v>6342</v>
      </c>
      <c r="D10210" t="s">
        <v>4119</v>
      </c>
      <c r="E10210" t="s">
        <v>5480</v>
      </c>
      <c r="F10210" t="s">
        <v>35578</v>
      </c>
      <c r="G10210" t="s">
        <v>35540</v>
      </c>
      <c r="H10210" t="s">
        <v>5474</v>
      </c>
      <c r="I10210" t="s">
        <v>35579</v>
      </c>
      <c r="J10210" t="s">
        <v>5476</v>
      </c>
      <c r="K10210" t="s">
        <v>35542</v>
      </c>
      <c r="L10210" t="s">
        <v>5471</v>
      </c>
      <c r="M10210" t="s">
        <v>5471</v>
      </c>
    </row>
    <row r="10211" spans="1:13" x14ac:dyDescent="0.3">
      <c r="A10211" t="s">
        <v>3383</v>
      </c>
      <c r="B10211" t="s">
        <v>5294</v>
      </c>
      <c r="C10211" t="s">
        <v>5470</v>
      </c>
      <c r="D10211" t="s">
        <v>10218</v>
      </c>
      <c r="E10211" t="s">
        <v>5756</v>
      </c>
      <c r="F10211" t="s">
        <v>35580</v>
      </c>
      <c r="G10211" t="s">
        <v>6407</v>
      </c>
      <c r="H10211" t="s">
        <v>5474</v>
      </c>
      <c r="I10211" t="s">
        <v>35581</v>
      </c>
      <c r="J10211" t="s">
        <v>5484</v>
      </c>
      <c r="K10211" t="s">
        <v>35577</v>
      </c>
      <c r="L10211" t="s">
        <v>5471</v>
      </c>
      <c r="M10211" t="s">
        <v>5471</v>
      </c>
    </row>
    <row r="10212" spans="1:13" x14ac:dyDescent="0.3">
      <c r="A10212" t="s">
        <v>3383</v>
      </c>
      <c r="B10212" t="s">
        <v>5320</v>
      </c>
      <c r="C10212" t="s">
        <v>5470</v>
      </c>
      <c r="D10212" t="s">
        <v>4052</v>
      </c>
      <c r="E10212" t="s">
        <v>5617</v>
      </c>
      <c r="F10212" t="s">
        <v>35582</v>
      </c>
      <c r="G10212" t="s">
        <v>11837</v>
      </c>
      <c r="H10212" t="s">
        <v>5474</v>
      </c>
      <c r="I10212" t="s">
        <v>35583</v>
      </c>
      <c r="J10212" t="s">
        <v>5484</v>
      </c>
      <c r="K10212" t="s">
        <v>35584</v>
      </c>
      <c r="L10212" t="s">
        <v>5471</v>
      </c>
      <c r="M10212" t="s">
        <v>5471</v>
      </c>
    </row>
    <row r="10213" spans="1:13" x14ac:dyDescent="0.3">
      <c r="A10213" t="s">
        <v>3380</v>
      </c>
      <c r="B10213" t="s">
        <v>10137</v>
      </c>
      <c r="C10213" t="s">
        <v>6342</v>
      </c>
      <c r="D10213" t="s">
        <v>4119</v>
      </c>
      <c r="E10213" t="s">
        <v>5480</v>
      </c>
      <c r="F10213" t="s">
        <v>35585</v>
      </c>
      <c r="G10213" t="s">
        <v>35540</v>
      </c>
      <c r="H10213" t="s">
        <v>5474</v>
      </c>
      <c r="I10213" t="s">
        <v>35586</v>
      </c>
      <c r="J10213" t="s">
        <v>5476</v>
      </c>
      <c r="K10213" t="s">
        <v>35542</v>
      </c>
      <c r="L10213" t="s">
        <v>5471</v>
      </c>
      <c r="M10213" t="s">
        <v>5471</v>
      </c>
    </row>
    <row r="10214" spans="1:13" x14ac:dyDescent="0.3">
      <c r="A10214" t="s">
        <v>3380</v>
      </c>
      <c r="B10214" t="s">
        <v>5261</v>
      </c>
      <c r="C10214" t="s">
        <v>6342</v>
      </c>
      <c r="D10214" t="s">
        <v>4119</v>
      </c>
      <c r="E10214" t="s">
        <v>5480</v>
      </c>
      <c r="F10214" t="s">
        <v>35587</v>
      </c>
      <c r="G10214" t="s">
        <v>35588</v>
      </c>
      <c r="H10214" t="s">
        <v>5474</v>
      </c>
      <c r="I10214" t="s">
        <v>35589</v>
      </c>
      <c r="J10214" t="s">
        <v>5476</v>
      </c>
      <c r="K10214" t="s">
        <v>35590</v>
      </c>
      <c r="L10214" t="s">
        <v>5471</v>
      </c>
      <c r="M10214" t="s">
        <v>5471</v>
      </c>
    </row>
    <row r="10215" spans="1:13" x14ac:dyDescent="0.3">
      <c r="A10215" t="s">
        <v>3380</v>
      </c>
      <c r="B10215" t="s">
        <v>10137</v>
      </c>
      <c r="C10215" t="s">
        <v>6342</v>
      </c>
      <c r="D10215" t="s">
        <v>4119</v>
      </c>
      <c r="E10215" t="s">
        <v>5480</v>
      </c>
      <c r="F10215" t="s">
        <v>35591</v>
      </c>
      <c r="G10215" t="s">
        <v>35540</v>
      </c>
      <c r="H10215" t="s">
        <v>5474</v>
      </c>
      <c r="I10215" t="s">
        <v>35592</v>
      </c>
      <c r="J10215" t="s">
        <v>5476</v>
      </c>
      <c r="K10215" t="s">
        <v>35593</v>
      </c>
      <c r="L10215" t="s">
        <v>5471</v>
      </c>
      <c r="M10215" t="s">
        <v>5471</v>
      </c>
    </row>
    <row r="10216" spans="1:13" x14ac:dyDescent="0.3">
      <c r="A10216" t="s">
        <v>3383</v>
      </c>
      <c r="B10216" t="s">
        <v>5294</v>
      </c>
      <c r="C10216" t="s">
        <v>5470</v>
      </c>
      <c r="D10216" t="s">
        <v>4052</v>
      </c>
      <c r="E10216" t="s">
        <v>5532</v>
      </c>
      <c r="F10216" t="s">
        <v>35594</v>
      </c>
      <c r="G10216" t="s">
        <v>7513</v>
      </c>
      <c r="H10216" t="s">
        <v>5474</v>
      </c>
      <c r="I10216" t="s">
        <v>35595</v>
      </c>
      <c r="J10216" t="s">
        <v>5484</v>
      </c>
      <c r="K10216" t="s">
        <v>35596</v>
      </c>
      <c r="L10216" t="s">
        <v>5471</v>
      </c>
      <c r="M10216" t="s">
        <v>5471</v>
      </c>
    </row>
    <row r="10217" spans="1:13" x14ac:dyDescent="0.3">
      <c r="A10217" t="s">
        <v>3383</v>
      </c>
      <c r="B10217" t="s">
        <v>5294</v>
      </c>
      <c r="C10217" t="s">
        <v>5470</v>
      </c>
      <c r="D10217" t="s">
        <v>4052</v>
      </c>
      <c r="E10217" t="s">
        <v>5532</v>
      </c>
      <c r="F10217" t="s">
        <v>35597</v>
      </c>
      <c r="G10217" t="s">
        <v>12306</v>
      </c>
      <c r="H10217" t="s">
        <v>5474</v>
      </c>
      <c r="I10217" t="s">
        <v>35598</v>
      </c>
      <c r="J10217" t="s">
        <v>5484</v>
      </c>
      <c r="K10217" t="s">
        <v>35599</v>
      </c>
      <c r="L10217" t="s">
        <v>5471</v>
      </c>
      <c r="M10217" t="s">
        <v>5471</v>
      </c>
    </row>
    <row r="10218" spans="1:13" x14ac:dyDescent="0.3">
      <c r="A10218" t="s">
        <v>3383</v>
      </c>
      <c r="B10218" t="s">
        <v>5294</v>
      </c>
      <c r="C10218" t="s">
        <v>5470</v>
      </c>
      <c r="D10218" t="s">
        <v>4052</v>
      </c>
      <c r="E10218" t="s">
        <v>5532</v>
      </c>
      <c r="F10218" t="s">
        <v>35600</v>
      </c>
      <c r="G10218" t="s">
        <v>6337</v>
      </c>
      <c r="H10218" t="s">
        <v>5474</v>
      </c>
      <c r="I10218" t="s">
        <v>35601</v>
      </c>
      <c r="J10218" t="s">
        <v>5484</v>
      </c>
      <c r="K10218" t="s">
        <v>35602</v>
      </c>
      <c r="L10218" t="s">
        <v>5471</v>
      </c>
      <c r="M10218" t="s">
        <v>5471</v>
      </c>
    </row>
    <row r="10219" spans="1:13" x14ac:dyDescent="0.3">
      <c r="A10219" t="s">
        <v>3380</v>
      </c>
      <c r="B10219" t="s">
        <v>10137</v>
      </c>
      <c r="C10219" t="s">
        <v>6342</v>
      </c>
      <c r="D10219" t="s">
        <v>4119</v>
      </c>
      <c r="E10219" t="s">
        <v>5480</v>
      </c>
      <c r="F10219" t="s">
        <v>35603</v>
      </c>
      <c r="G10219" t="s">
        <v>35540</v>
      </c>
      <c r="H10219" t="s">
        <v>5474</v>
      </c>
      <c r="I10219" t="s">
        <v>35604</v>
      </c>
      <c r="J10219" t="s">
        <v>5476</v>
      </c>
      <c r="K10219" t="s">
        <v>35605</v>
      </c>
      <c r="L10219" t="s">
        <v>5471</v>
      </c>
      <c r="M10219" t="s">
        <v>5471</v>
      </c>
    </row>
    <row r="10220" spans="1:13" x14ac:dyDescent="0.3">
      <c r="A10220" t="s">
        <v>3383</v>
      </c>
      <c r="B10220" t="s">
        <v>5294</v>
      </c>
      <c r="C10220" t="s">
        <v>5470</v>
      </c>
      <c r="D10220" t="s">
        <v>4052</v>
      </c>
      <c r="E10220" t="s">
        <v>5617</v>
      </c>
      <c r="F10220" t="s">
        <v>35606</v>
      </c>
      <c r="G10220" t="s">
        <v>11224</v>
      </c>
      <c r="H10220" t="s">
        <v>5474</v>
      </c>
      <c r="I10220" t="s">
        <v>35607</v>
      </c>
      <c r="J10220" t="s">
        <v>5484</v>
      </c>
      <c r="K10220" t="s">
        <v>35608</v>
      </c>
      <c r="L10220" t="s">
        <v>5471</v>
      </c>
      <c r="M10220" t="s">
        <v>5471</v>
      </c>
    </row>
    <row r="10221" spans="1:13" x14ac:dyDescent="0.3">
      <c r="A10221" t="s">
        <v>3383</v>
      </c>
      <c r="B10221" t="s">
        <v>5294</v>
      </c>
      <c r="C10221" t="s">
        <v>5470</v>
      </c>
      <c r="D10221" t="s">
        <v>4052</v>
      </c>
      <c r="E10221" t="s">
        <v>5617</v>
      </c>
      <c r="F10221" t="s">
        <v>35609</v>
      </c>
      <c r="G10221" t="s">
        <v>11224</v>
      </c>
      <c r="H10221" t="s">
        <v>5474</v>
      </c>
      <c r="I10221" t="s">
        <v>35610</v>
      </c>
      <c r="J10221" t="s">
        <v>5484</v>
      </c>
      <c r="K10221" t="s">
        <v>35611</v>
      </c>
      <c r="L10221" t="s">
        <v>5471</v>
      </c>
      <c r="M10221" t="s">
        <v>5471</v>
      </c>
    </row>
    <row r="10222" spans="1:13" x14ac:dyDescent="0.3">
      <c r="A10222" t="s">
        <v>3383</v>
      </c>
      <c r="B10222" t="s">
        <v>5294</v>
      </c>
      <c r="C10222" t="s">
        <v>5470</v>
      </c>
      <c r="D10222" t="s">
        <v>4052</v>
      </c>
      <c r="E10222" t="s">
        <v>5756</v>
      </c>
      <c r="F10222" t="s">
        <v>35612</v>
      </c>
      <c r="G10222" t="s">
        <v>6279</v>
      </c>
      <c r="H10222" t="s">
        <v>5474</v>
      </c>
      <c r="I10222" t="s">
        <v>35613</v>
      </c>
      <c r="J10222" t="s">
        <v>5484</v>
      </c>
      <c r="K10222" t="s">
        <v>35614</v>
      </c>
      <c r="L10222" t="s">
        <v>5471</v>
      </c>
      <c r="M10222" t="s">
        <v>5471</v>
      </c>
    </row>
    <row r="10223" spans="1:13" x14ac:dyDescent="0.3">
      <c r="A10223" t="s">
        <v>3383</v>
      </c>
      <c r="B10223" t="s">
        <v>5294</v>
      </c>
      <c r="C10223" t="s">
        <v>5470</v>
      </c>
      <c r="D10223" t="s">
        <v>4052</v>
      </c>
      <c r="E10223" t="s">
        <v>5756</v>
      </c>
      <c r="F10223" t="s">
        <v>35615</v>
      </c>
      <c r="G10223" t="s">
        <v>26696</v>
      </c>
      <c r="H10223" t="s">
        <v>5474</v>
      </c>
      <c r="I10223" t="s">
        <v>35616</v>
      </c>
      <c r="J10223" t="s">
        <v>5484</v>
      </c>
      <c r="K10223" t="s">
        <v>35617</v>
      </c>
      <c r="L10223" t="s">
        <v>5471</v>
      </c>
      <c r="M10223" t="s">
        <v>5471</v>
      </c>
    </row>
    <row r="10224" spans="1:13" x14ac:dyDescent="0.3">
      <c r="A10224" t="s">
        <v>3380</v>
      </c>
      <c r="B10224" t="s">
        <v>10137</v>
      </c>
      <c r="C10224" t="s">
        <v>6342</v>
      </c>
      <c r="D10224" t="s">
        <v>4119</v>
      </c>
      <c r="E10224" t="s">
        <v>5480</v>
      </c>
      <c r="F10224" t="s">
        <v>35618</v>
      </c>
      <c r="G10224" t="s">
        <v>35540</v>
      </c>
      <c r="H10224" t="s">
        <v>5474</v>
      </c>
      <c r="I10224" t="s">
        <v>35619</v>
      </c>
      <c r="J10224" t="s">
        <v>5476</v>
      </c>
      <c r="K10224" t="s">
        <v>35542</v>
      </c>
      <c r="L10224" t="s">
        <v>5471</v>
      </c>
      <c r="M10224" t="s">
        <v>5471</v>
      </c>
    </row>
    <row r="10225" spans="1:13" x14ac:dyDescent="0.3">
      <c r="A10225" t="s">
        <v>3383</v>
      </c>
      <c r="B10225" t="s">
        <v>6051</v>
      </c>
      <c r="C10225" t="s">
        <v>5470</v>
      </c>
      <c r="D10225" t="s">
        <v>4052</v>
      </c>
      <c r="E10225" t="s">
        <v>5756</v>
      </c>
      <c r="F10225" t="s">
        <v>35620</v>
      </c>
      <c r="G10225" t="s">
        <v>6405</v>
      </c>
      <c r="H10225" t="s">
        <v>5474</v>
      </c>
      <c r="I10225" t="s">
        <v>35621</v>
      </c>
      <c r="J10225" t="s">
        <v>5484</v>
      </c>
      <c r="K10225" t="s">
        <v>35622</v>
      </c>
      <c r="L10225" t="s">
        <v>5471</v>
      </c>
      <c r="M10225" t="s">
        <v>5471</v>
      </c>
    </row>
    <row r="10226" spans="1:13" x14ac:dyDescent="0.3">
      <c r="A10226" t="s">
        <v>3383</v>
      </c>
      <c r="B10226" t="s">
        <v>5294</v>
      </c>
      <c r="C10226" t="s">
        <v>5470</v>
      </c>
      <c r="D10226" t="s">
        <v>4200</v>
      </c>
      <c r="E10226" t="s">
        <v>5617</v>
      </c>
      <c r="F10226" t="s">
        <v>35623</v>
      </c>
      <c r="G10226" t="s">
        <v>12306</v>
      </c>
      <c r="H10226" t="s">
        <v>5474</v>
      </c>
      <c r="I10226" t="s">
        <v>35624</v>
      </c>
      <c r="J10226" t="s">
        <v>5484</v>
      </c>
      <c r="K10226" t="s">
        <v>35625</v>
      </c>
      <c r="L10226" t="s">
        <v>5471</v>
      </c>
      <c r="M10226" t="s">
        <v>5471</v>
      </c>
    </row>
    <row r="10227" spans="1:13" x14ac:dyDescent="0.3">
      <c r="A10227" t="s">
        <v>3383</v>
      </c>
      <c r="B10227" t="s">
        <v>5294</v>
      </c>
      <c r="C10227" t="s">
        <v>5470</v>
      </c>
      <c r="D10227" t="s">
        <v>4200</v>
      </c>
      <c r="E10227" t="s">
        <v>5617</v>
      </c>
      <c r="F10227" t="s">
        <v>35626</v>
      </c>
      <c r="G10227" t="s">
        <v>6337</v>
      </c>
      <c r="H10227" t="s">
        <v>5474</v>
      </c>
      <c r="I10227" t="s">
        <v>35627</v>
      </c>
      <c r="J10227" t="s">
        <v>5484</v>
      </c>
      <c r="K10227" t="s">
        <v>35625</v>
      </c>
      <c r="L10227" t="s">
        <v>5471</v>
      </c>
      <c r="M10227" t="s">
        <v>5471</v>
      </c>
    </row>
    <row r="10228" spans="1:13" x14ac:dyDescent="0.3">
      <c r="A10228" t="s">
        <v>3383</v>
      </c>
      <c r="B10228" t="s">
        <v>5294</v>
      </c>
      <c r="C10228" t="s">
        <v>5470</v>
      </c>
      <c r="D10228" t="s">
        <v>4200</v>
      </c>
      <c r="E10228" t="s">
        <v>5617</v>
      </c>
      <c r="F10228" t="s">
        <v>35628</v>
      </c>
      <c r="G10228" t="s">
        <v>6337</v>
      </c>
      <c r="H10228" t="s">
        <v>5474</v>
      </c>
      <c r="I10228" t="s">
        <v>35629</v>
      </c>
      <c r="J10228" t="s">
        <v>5484</v>
      </c>
      <c r="K10228" t="s">
        <v>35625</v>
      </c>
      <c r="L10228" t="s">
        <v>5471</v>
      </c>
      <c r="M10228" t="s">
        <v>5471</v>
      </c>
    </row>
    <row r="10229" spans="1:13" x14ac:dyDescent="0.3">
      <c r="A10229" t="s">
        <v>3383</v>
      </c>
      <c r="B10229" t="s">
        <v>5294</v>
      </c>
      <c r="C10229" t="s">
        <v>5470</v>
      </c>
      <c r="D10229" t="s">
        <v>4200</v>
      </c>
      <c r="E10229" t="s">
        <v>5617</v>
      </c>
      <c r="F10229" t="s">
        <v>35630</v>
      </c>
      <c r="G10229" t="s">
        <v>6337</v>
      </c>
      <c r="H10229" t="s">
        <v>5474</v>
      </c>
      <c r="I10229" t="s">
        <v>35631</v>
      </c>
      <c r="J10229" t="s">
        <v>5484</v>
      </c>
      <c r="K10229" t="s">
        <v>35625</v>
      </c>
      <c r="L10229" t="s">
        <v>5471</v>
      </c>
      <c r="M10229" t="s">
        <v>5471</v>
      </c>
    </row>
    <row r="10230" spans="1:13" x14ac:dyDescent="0.3">
      <c r="A10230" t="s">
        <v>3380</v>
      </c>
      <c r="B10230" t="s">
        <v>10137</v>
      </c>
      <c r="C10230" t="s">
        <v>6342</v>
      </c>
      <c r="D10230" t="s">
        <v>4119</v>
      </c>
      <c r="E10230" t="s">
        <v>5480</v>
      </c>
      <c r="F10230" t="s">
        <v>35632</v>
      </c>
      <c r="G10230" t="s">
        <v>35540</v>
      </c>
      <c r="H10230" t="s">
        <v>5474</v>
      </c>
      <c r="I10230" t="s">
        <v>35633</v>
      </c>
      <c r="J10230" t="s">
        <v>5476</v>
      </c>
      <c r="K10230" t="s">
        <v>35552</v>
      </c>
      <c r="L10230" t="s">
        <v>5471</v>
      </c>
      <c r="M10230" t="s">
        <v>5471</v>
      </c>
    </row>
    <row r="10231" spans="1:13" x14ac:dyDescent="0.3">
      <c r="A10231" t="s">
        <v>3397</v>
      </c>
      <c r="B10231" t="s">
        <v>5301</v>
      </c>
      <c r="C10231" t="s">
        <v>6342</v>
      </c>
      <c r="D10231" t="s">
        <v>4119</v>
      </c>
      <c r="E10231" t="s">
        <v>6332</v>
      </c>
      <c r="F10231" t="s">
        <v>35634</v>
      </c>
      <c r="G10231" t="s">
        <v>12784</v>
      </c>
      <c r="H10231" t="s">
        <v>5474</v>
      </c>
      <c r="I10231" t="s">
        <v>35635</v>
      </c>
      <c r="J10231" t="s">
        <v>5484</v>
      </c>
      <c r="K10231" t="s">
        <v>27955</v>
      </c>
      <c r="L10231" t="s">
        <v>5471</v>
      </c>
      <c r="M10231" t="s">
        <v>5471</v>
      </c>
    </row>
    <row r="10232" spans="1:13" x14ac:dyDescent="0.3">
      <c r="A10232" t="s">
        <v>3383</v>
      </c>
      <c r="B10232" t="s">
        <v>5294</v>
      </c>
      <c r="C10232" t="s">
        <v>5470</v>
      </c>
      <c r="D10232" t="s">
        <v>4052</v>
      </c>
      <c r="E10232" t="s">
        <v>5756</v>
      </c>
      <c r="F10232" t="s">
        <v>35636</v>
      </c>
      <c r="G10232" t="s">
        <v>6232</v>
      </c>
      <c r="H10232" t="s">
        <v>5474</v>
      </c>
      <c r="I10232" t="s">
        <v>35637</v>
      </c>
      <c r="J10232" t="s">
        <v>5484</v>
      </c>
      <c r="K10232" t="s">
        <v>35638</v>
      </c>
      <c r="L10232" t="s">
        <v>5471</v>
      </c>
      <c r="M10232" t="s">
        <v>5471</v>
      </c>
    </row>
    <row r="10233" spans="1:13" x14ac:dyDescent="0.3">
      <c r="A10233" t="s">
        <v>3383</v>
      </c>
      <c r="B10233" t="s">
        <v>5294</v>
      </c>
      <c r="C10233" t="s">
        <v>5470</v>
      </c>
      <c r="D10233" t="s">
        <v>4200</v>
      </c>
      <c r="E10233" t="s">
        <v>5617</v>
      </c>
      <c r="F10233" t="s">
        <v>35639</v>
      </c>
      <c r="G10233" t="s">
        <v>12306</v>
      </c>
      <c r="H10233" t="s">
        <v>5474</v>
      </c>
      <c r="I10233" t="s">
        <v>35640</v>
      </c>
      <c r="J10233" t="s">
        <v>5484</v>
      </c>
      <c r="K10233" t="s">
        <v>35625</v>
      </c>
      <c r="L10233" t="s">
        <v>5471</v>
      </c>
      <c r="M10233" t="s">
        <v>5471</v>
      </c>
    </row>
    <row r="10234" spans="1:13" x14ac:dyDescent="0.3">
      <c r="A10234" t="s">
        <v>3380</v>
      </c>
      <c r="B10234" t="s">
        <v>10137</v>
      </c>
      <c r="C10234" t="s">
        <v>6342</v>
      </c>
      <c r="D10234" t="s">
        <v>4119</v>
      </c>
      <c r="E10234" t="s">
        <v>5480</v>
      </c>
      <c r="F10234" t="s">
        <v>35641</v>
      </c>
      <c r="G10234" t="s">
        <v>35540</v>
      </c>
      <c r="H10234" t="s">
        <v>5474</v>
      </c>
      <c r="I10234" t="s">
        <v>35642</v>
      </c>
      <c r="J10234" t="s">
        <v>5476</v>
      </c>
      <c r="K10234" t="s">
        <v>35643</v>
      </c>
      <c r="L10234" t="s">
        <v>5471</v>
      </c>
      <c r="M10234" t="s">
        <v>5471</v>
      </c>
    </row>
    <row r="10235" spans="1:13" x14ac:dyDescent="0.3">
      <c r="A10235" t="s">
        <v>3383</v>
      </c>
      <c r="B10235" t="s">
        <v>5294</v>
      </c>
      <c r="C10235" t="s">
        <v>5470</v>
      </c>
      <c r="D10235" t="s">
        <v>4200</v>
      </c>
      <c r="E10235" t="s">
        <v>5617</v>
      </c>
      <c r="F10235" t="s">
        <v>35644</v>
      </c>
      <c r="G10235" t="s">
        <v>12306</v>
      </c>
      <c r="H10235" t="s">
        <v>5474</v>
      </c>
      <c r="I10235" t="s">
        <v>35645</v>
      </c>
      <c r="J10235" t="s">
        <v>5484</v>
      </c>
      <c r="K10235" t="s">
        <v>35625</v>
      </c>
      <c r="L10235" t="s">
        <v>5471</v>
      </c>
      <c r="M10235" t="s">
        <v>5471</v>
      </c>
    </row>
    <row r="10236" spans="1:13" x14ac:dyDescent="0.3">
      <c r="A10236" t="s">
        <v>3380</v>
      </c>
      <c r="B10236" t="s">
        <v>10137</v>
      </c>
      <c r="C10236" t="s">
        <v>6342</v>
      </c>
      <c r="D10236" t="s">
        <v>4119</v>
      </c>
      <c r="E10236" t="s">
        <v>5480</v>
      </c>
      <c r="F10236" t="s">
        <v>35646</v>
      </c>
      <c r="G10236" t="s">
        <v>35540</v>
      </c>
      <c r="H10236" t="s">
        <v>5474</v>
      </c>
      <c r="I10236" t="s">
        <v>35647</v>
      </c>
      <c r="J10236" t="s">
        <v>5476</v>
      </c>
      <c r="K10236" t="s">
        <v>35593</v>
      </c>
      <c r="L10236" t="s">
        <v>5471</v>
      </c>
      <c r="M10236" t="s">
        <v>5471</v>
      </c>
    </row>
    <row r="10237" spans="1:13" x14ac:dyDescent="0.3">
      <c r="A10237" t="s">
        <v>3383</v>
      </c>
      <c r="B10237" t="s">
        <v>5320</v>
      </c>
      <c r="C10237" t="s">
        <v>5470</v>
      </c>
      <c r="D10237" t="s">
        <v>4200</v>
      </c>
      <c r="E10237" t="s">
        <v>5617</v>
      </c>
      <c r="F10237" t="s">
        <v>35648</v>
      </c>
      <c r="G10237" t="s">
        <v>11837</v>
      </c>
      <c r="H10237" t="s">
        <v>5474</v>
      </c>
      <c r="I10237" t="s">
        <v>35649</v>
      </c>
      <c r="J10237" t="s">
        <v>5484</v>
      </c>
      <c r="K10237" t="s">
        <v>35650</v>
      </c>
      <c r="L10237" t="s">
        <v>5471</v>
      </c>
      <c r="M10237" t="s">
        <v>5471</v>
      </c>
    </row>
    <row r="10238" spans="1:13" x14ac:dyDescent="0.3">
      <c r="A10238" t="s">
        <v>3397</v>
      </c>
      <c r="B10238" t="s">
        <v>5347</v>
      </c>
      <c r="C10238" t="s">
        <v>5487</v>
      </c>
      <c r="D10238" t="s">
        <v>4056</v>
      </c>
      <c r="E10238" t="s">
        <v>5595</v>
      </c>
      <c r="F10238" t="s">
        <v>35651</v>
      </c>
      <c r="G10238" t="s">
        <v>35173</v>
      </c>
      <c r="H10238" t="s">
        <v>5474</v>
      </c>
      <c r="I10238" t="s">
        <v>35652</v>
      </c>
      <c r="J10238" t="s">
        <v>5476</v>
      </c>
      <c r="K10238" t="s">
        <v>35653</v>
      </c>
      <c r="L10238" t="s">
        <v>5471</v>
      </c>
      <c r="M10238" t="s">
        <v>5471</v>
      </c>
    </row>
    <row r="10239" spans="1:13" x14ac:dyDescent="0.3">
      <c r="A10239" t="s">
        <v>3380</v>
      </c>
      <c r="B10239" t="s">
        <v>5261</v>
      </c>
      <c r="C10239" t="s">
        <v>6342</v>
      </c>
      <c r="D10239" t="s">
        <v>4119</v>
      </c>
      <c r="E10239" t="s">
        <v>5480</v>
      </c>
      <c r="F10239" t="s">
        <v>35654</v>
      </c>
      <c r="G10239" t="s">
        <v>35588</v>
      </c>
      <c r="H10239" t="s">
        <v>5474</v>
      </c>
      <c r="I10239" t="s">
        <v>35655</v>
      </c>
      <c r="J10239" t="s">
        <v>5476</v>
      </c>
      <c r="K10239" t="s">
        <v>35656</v>
      </c>
      <c r="L10239" t="s">
        <v>5471</v>
      </c>
      <c r="M10239" t="s">
        <v>5471</v>
      </c>
    </row>
    <row r="10240" spans="1:13" x14ac:dyDescent="0.3">
      <c r="A10240" t="s">
        <v>3397</v>
      </c>
      <c r="B10240" t="s">
        <v>5347</v>
      </c>
      <c r="C10240" t="s">
        <v>5487</v>
      </c>
      <c r="D10240" t="s">
        <v>4056</v>
      </c>
      <c r="E10240" t="s">
        <v>5595</v>
      </c>
      <c r="F10240" t="s">
        <v>35657</v>
      </c>
      <c r="G10240" t="s">
        <v>35173</v>
      </c>
      <c r="H10240" t="s">
        <v>5474</v>
      </c>
      <c r="I10240" t="s">
        <v>35658</v>
      </c>
      <c r="J10240" t="s">
        <v>5476</v>
      </c>
      <c r="K10240" t="s">
        <v>35659</v>
      </c>
      <c r="L10240" t="s">
        <v>5471</v>
      </c>
      <c r="M10240" t="s">
        <v>5471</v>
      </c>
    </row>
    <row r="10241" spans="1:13" x14ac:dyDescent="0.3">
      <c r="A10241" t="s">
        <v>3383</v>
      </c>
      <c r="B10241" t="s">
        <v>5320</v>
      </c>
      <c r="C10241" t="s">
        <v>5470</v>
      </c>
      <c r="D10241" t="s">
        <v>4200</v>
      </c>
      <c r="E10241" t="s">
        <v>5617</v>
      </c>
      <c r="F10241" t="s">
        <v>35660</v>
      </c>
      <c r="G10241" t="s">
        <v>11837</v>
      </c>
      <c r="H10241" t="s">
        <v>5474</v>
      </c>
      <c r="I10241" t="s">
        <v>35661</v>
      </c>
      <c r="J10241" t="s">
        <v>5484</v>
      </c>
      <c r="K10241" t="s">
        <v>35650</v>
      </c>
      <c r="L10241" t="s">
        <v>5471</v>
      </c>
      <c r="M10241" t="s">
        <v>5471</v>
      </c>
    </row>
    <row r="10242" spans="1:13" x14ac:dyDescent="0.3">
      <c r="A10242" t="s">
        <v>3388</v>
      </c>
      <c r="B10242" t="s">
        <v>15702</v>
      </c>
      <c r="C10242" t="s">
        <v>5470</v>
      </c>
      <c r="D10242" t="s">
        <v>4058</v>
      </c>
      <c r="E10242" t="s">
        <v>5532</v>
      </c>
      <c r="F10242" t="s">
        <v>35662</v>
      </c>
      <c r="G10242" t="s">
        <v>27980</v>
      </c>
      <c r="H10242" t="s">
        <v>5474</v>
      </c>
      <c r="I10242" t="s">
        <v>35663</v>
      </c>
      <c r="J10242" t="s">
        <v>5484</v>
      </c>
      <c r="K10242" t="s">
        <v>35664</v>
      </c>
      <c r="L10242" t="s">
        <v>5471</v>
      </c>
      <c r="M10242" t="s">
        <v>5471</v>
      </c>
    </row>
    <row r="10243" spans="1:13" x14ac:dyDescent="0.3">
      <c r="A10243" t="s">
        <v>3397</v>
      </c>
      <c r="B10243" t="s">
        <v>5347</v>
      </c>
      <c r="C10243" t="s">
        <v>5487</v>
      </c>
      <c r="D10243" t="s">
        <v>4056</v>
      </c>
      <c r="E10243" t="s">
        <v>5595</v>
      </c>
      <c r="F10243" t="s">
        <v>35665</v>
      </c>
      <c r="G10243" t="s">
        <v>35173</v>
      </c>
      <c r="H10243" t="s">
        <v>5474</v>
      </c>
      <c r="I10243" t="s">
        <v>35666</v>
      </c>
      <c r="J10243" t="s">
        <v>5476</v>
      </c>
      <c r="K10243" t="s">
        <v>35667</v>
      </c>
      <c r="L10243" t="s">
        <v>5471</v>
      </c>
      <c r="M10243" t="s">
        <v>5471</v>
      </c>
    </row>
    <row r="10244" spans="1:13" x14ac:dyDescent="0.3">
      <c r="A10244" t="s">
        <v>3383</v>
      </c>
      <c r="B10244" t="s">
        <v>5320</v>
      </c>
      <c r="C10244" t="s">
        <v>5470</v>
      </c>
      <c r="D10244" t="s">
        <v>4200</v>
      </c>
      <c r="E10244" t="s">
        <v>5617</v>
      </c>
      <c r="F10244" t="s">
        <v>35668</v>
      </c>
      <c r="G10244" t="s">
        <v>11837</v>
      </c>
      <c r="H10244" t="s">
        <v>5474</v>
      </c>
      <c r="I10244" t="s">
        <v>35669</v>
      </c>
      <c r="J10244" t="s">
        <v>5484</v>
      </c>
      <c r="K10244" t="s">
        <v>35650</v>
      </c>
      <c r="L10244" t="s">
        <v>5471</v>
      </c>
      <c r="M10244" t="s">
        <v>5471</v>
      </c>
    </row>
    <row r="10245" spans="1:13" x14ac:dyDescent="0.3">
      <c r="A10245" t="s">
        <v>3380</v>
      </c>
      <c r="B10245" t="s">
        <v>10137</v>
      </c>
      <c r="C10245" t="s">
        <v>6342</v>
      </c>
      <c r="D10245" t="s">
        <v>4119</v>
      </c>
      <c r="E10245" t="s">
        <v>5480</v>
      </c>
      <c r="F10245" t="s">
        <v>35670</v>
      </c>
      <c r="G10245" t="s">
        <v>35540</v>
      </c>
      <c r="H10245" t="s">
        <v>5474</v>
      </c>
      <c r="I10245" t="s">
        <v>35671</v>
      </c>
      <c r="J10245" t="s">
        <v>5476</v>
      </c>
      <c r="K10245" t="s">
        <v>35605</v>
      </c>
      <c r="L10245" t="s">
        <v>5471</v>
      </c>
      <c r="M10245" t="s">
        <v>5471</v>
      </c>
    </row>
    <row r="10246" spans="1:13" x14ac:dyDescent="0.3">
      <c r="A10246" t="s">
        <v>3388</v>
      </c>
      <c r="B10246" t="s">
        <v>5316</v>
      </c>
      <c r="C10246" t="s">
        <v>5470</v>
      </c>
      <c r="D10246" t="s">
        <v>4058</v>
      </c>
      <c r="E10246" t="s">
        <v>5617</v>
      </c>
      <c r="F10246" t="s">
        <v>35672</v>
      </c>
      <c r="G10246" t="s">
        <v>22117</v>
      </c>
      <c r="H10246" t="s">
        <v>5474</v>
      </c>
      <c r="I10246" t="s">
        <v>35673</v>
      </c>
      <c r="J10246" t="s">
        <v>5484</v>
      </c>
      <c r="K10246" t="s">
        <v>28989</v>
      </c>
      <c r="L10246" t="s">
        <v>5471</v>
      </c>
      <c r="M10246" t="s">
        <v>5471</v>
      </c>
    </row>
    <row r="10247" spans="1:13" x14ac:dyDescent="0.3">
      <c r="A10247" t="s">
        <v>3383</v>
      </c>
      <c r="B10247" t="s">
        <v>5320</v>
      </c>
      <c r="C10247" t="s">
        <v>5470</v>
      </c>
      <c r="D10247" t="s">
        <v>4200</v>
      </c>
      <c r="E10247" t="s">
        <v>5617</v>
      </c>
      <c r="F10247" t="s">
        <v>35674</v>
      </c>
      <c r="G10247" t="s">
        <v>7799</v>
      </c>
      <c r="H10247" t="s">
        <v>5474</v>
      </c>
      <c r="I10247" t="s">
        <v>35675</v>
      </c>
      <c r="J10247" t="s">
        <v>5484</v>
      </c>
      <c r="K10247" t="s">
        <v>35650</v>
      </c>
      <c r="L10247" t="s">
        <v>5471</v>
      </c>
      <c r="M10247" t="s">
        <v>5471</v>
      </c>
    </row>
    <row r="10248" spans="1:13" x14ac:dyDescent="0.3">
      <c r="A10248" t="s">
        <v>3388</v>
      </c>
      <c r="B10248" t="s">
        <v>5316</v>
      </c>
      <c r="C10248" t="s">
        <v>5470</v>
      </c>
      <c r="D10248" t="s">
        <v>4058</v>
      </c>
      <c r="E10248" t="s">
        <v>5532</v>
      </c>
      <c r="F10248" t="s">
        <v>35676</v>
      </c>
      <c r="G10248" t="s">
        <v>23115</v>
      </c>
      <c r="H10248" t="s">
        <v>5474</v>
      </c>
      <c r="I10248" t="s">
        <v>35677</v>
      </c>
      <c r="J10248" t="s">
        <v>5484</v>
      </c>
      <c r="K10248" t="s">
        <v>35678</v>
      </c>
      <c r="L10248" t="s">
        <v>5471</v>
      </c>
      <c r="M10248" t="s">
        <v>5471</v>
      </c>
    </row>
    <row r="10249" spans="1:13" x14ac:dyDescent="0.3">
      <c r="A10249" t="s">
        <v>3383</v>
      </c>
      <c r="B10249" t="s">
        <v>5320</v>
      </c>
      <c r="C10249" t="s">
        <v>5470</v>
      </c>
      <c r="D10249" t="s">
        <v>4200</v>
      </c>
      <c r="E10249" t="s">
        <v>5617</v>
      </c>
      <c r="F10249" t="s">
        <v>35679</v>
      </c>
      <c r="G10249" t="s">
        <v>7799</v>
      </c>
      <c r="H10249" t="s">
        <v>5474</v>
      </c>
      <c r="I10249" t="s">
        <v>35680</v>
      </c>
      <c r="J10249" t="s">
        <v>5484</v>
      </c>
      <c r="K10249" t="s">
        <v>35650</v>
      </c>
      <c r="L10249" t="s">
        <v>5471</v>
      </c>
      <c r="M10249" t="s">
        <v>5471</v>
      </c>
    </row>
    <row r="10250" spans="1:13" x14ac:dyDescent="0.3">
      <c r="A10250" t="s">
        <v>3380</v>
      </c>
      <c r="B10250" t="s">
        <v>5261</v>
      </c>
      <c r="C10250" t="s">
        <v>6342</v>
      </c>
      <c r="D10250" t="s">
        <v>4119</v>
      </c>
      <c r="E10250" t="s">
        <v>5480</v>
      </c>
      <c r="F10250" t="s">
        <v>35681</v>
      </c>
      <c r="G10250" t="s">
        <v>35588</v>
      </c>
      <c r="H10250" t="s">
        <v>5474</v>
      </c>
      <c r="I10250" t="s">
        <v>35682</v>
      </c>
      <c r="J10250" t="s">
        <v>5476</v>
      </c>
      <c r="K10250" t="s">
        <v>35683</v>
      </c>
      <c r="L10250" t="s">
        <v>5471</v>
      </c>
      <c r="M10250" t="s">
        <v>5471</v>
      </c>
    </row>
    <row r="10251" spans="1:13" x14ac:dyDescent="0.3">
      <c r="A10251" t="s">
        <v>3383</v>
      </c>
      <c r="B10251" t="s">
        <v>5320</v>
      </c>
      <c r="C10251" t="s">
        <v>5470</v>
      </c>
      <c r="D10251" t="s">
        <v>4200</v>
      </c>
      <c r="E10251" t="s">
        <v>5617</v>
      </c>
      <c r="F10251" t="s">
        <v>35684</v>
      </c>
      <c r="G10251" t="s">
        <v>7799</v>
      </c>
      <c r="H10251" t="s">
        <v>5474</v>
      </c>
      <c r="I10251" t="s">
        <v>35685</v>
      </c>
      <c r="J10251" t="s">
        <v>5484</v>
      </c>
      <c r="K10251" t="s">
        <v>35650</v>
      </c>
      <c r="L10251" t="s">
        <v>5471</v>
      </c>
      <c r="M10251" t="s">
        <v>5471</v>
      </c>
    </row>
    <row r="10252" spans="1:13" x14ac:dyDescent="0.3">
      <c r="A10252" t="s">
        <v>3380</v>
      </c>
      <c r="B10252" t="s">
        <v>10137</v>
      </c>
      <c r="C10252" t="s">
        <v>6342</v>
      </c>
      <c r="D10252" t="s">
        <v>4119</v>
      </c>
      <c r="E10252" t="s">
        <v>5480</v>
      </c>
      <c r="F10252" t="s">
        <v>35686</v>
      </c>
      <c r="G10252" t="s">
        <v>35540</v>
      </c>
      <c r="H10252" t="s">
        <v>5474</v>
      </c>
      <c r="I10252" t="s">
        <v>35687</v>
      </c>
      <c r="J10252" t="s">
        <v>5476</v>
      </c>
      <c r="K10252" t="s">
        <v>35593</v>
      </c>
      <c r="L10252" t="s">
        <v>5471</v>
      </c>
      <c r="M10252" t="s">
        <v>5471</v>
      </c>
    </row>
    <row r="10253" spans="1:13" x14ac:dyDescent="0.3">
      <c r="A10253" t="s">
        <v>3380</v>
      </c>
      <c r="B10253" t="s">
        <v>5247</v>
      </c>
      <c r="C10253" t="s">
        <v>6342</v>
      </c>
      <c r="D10253" t="s">
        <v>4119</v>
      </c>
      <c r="E10253" t="s">
        <v>5480</v>
      </c>
      <c r="F10253" t="s">
        <v>35688</v>
      </c>
      <c r="G10253" t="s">
        <v>16147</v>
      </c>
      <c r="H10253" t="s">
        <v>5474</v>
      </c>
      <c r="I10253" t="s">
        <v>35689</v>
      </c>
      <c r="J10253" t="s">
        <v>5476</v>
      </c>
      <c r="K10253" t="s">
        <v>35593</v>
      </c>
      <c r="L10253" t="s">
        <v>5471</v>
      </c>
      <c r="M10253" t="s">
        <v>5471</v>
      </c>
    </row>
    <row r="10254" spans="1:13" x14ac:dyDescent="0.3">
      <c r="A10254" t="s">
        <v>3383</v>
      </c>
      <c r="B10254" t="s">
        <v>6051</v>
      </c>
      <c r="C10254" t="s">
        <v>5470</v>
      </c>
      <c r="D10254" t="s">
        <v>4052</v>
      </c>
      <c r="E10254" t="s">
        <v>5756</v>
      </c>
      <c r="F10254" t="s">
        <v>35690</v>
      </c>
      <c r="G10254" t="s">
        <v>7487</v>
      </c>
      <c r="H10254" t="s">
        <v>5474</v>
      </c>
      <c r="I10254" t="s">
        <v>35691</v>
      </c>
      <c r="J10254" t="s">
        <v>5484</v>
      </c>
      <c r="K10254" t="s">
        <v>35692</v>
      </c>
      <c r="L10254" t="s">
        <v>5471</v>
      </c>
      <c r="M10254" t="s">
        <v>5471</v>
      </c>
    </row>
    <row r="10255" spans="1:13" x14ac:dyDescent="0.3">
      <c r="A10255" t="s">
        <v>3380</v>
      </c>
      <c r="B10255" t="s">
        <v>10137</v>
      </c>
      <c r="C10255" t="s">
        <v>6342</v>
      </c>
      <c r="D10255" t="s">
        <v>4119</v>
      </c>
      <c r="E10255" t="s">
        <v>5480</v>
      </c>
      <c r="F10255" t="s">
        <v>35693</v>
      </c>
      <c r="G10255" t="s">
        <v>35540</v>
      </c>
      <c r="H10255" t="s">
        <v>5474</v>
      </c>
      <c r="I10255" t="s">
        <v>35694</v>
      </c>
      <c r="J10255" t="s">
        <v>5476</v>
      </c>
      <c r="K10255" t="s">
        <v>35605</v>
      </c>
      <c r="L10255" t="s">
        <v>5471</v>
      </c>
      <c r="M10255" t="s">
        <v>5471</v>
      </c>
    </row>
    <row r="10256" spans="1:13" x14ac:dyDescent="0.3">
      <c r="A10256" t="s">
        <v>3380</v>
      </c>
      <c r="B10256" t="s">
        <v>5247</v>
      </c>
      <c r="C10256" t="s">
        <v>6342</v>
      </c>
      <c r="D10256" t="s">
        <v>4119</v>
      </c>
      <c r="E10256" t="s">
        <v>5480</v>
      </c>
      <c r="F10256" t="s">
        <v>35695</v>
      </c>
      <c r="G10256" t="s">
        <v>16147</v>
      </c>
      <c r="H10256" t="s">
        <v>5474</v>
      </c>
      <c r="I10256" t="s">
        <v>35696</v>
      </c>
      <c r="J10256" t="s">
        <v>5476</v>
      </c>
      <c r="K10256" t="s">
        <v>35605</v>
      </c>
      <c r="L10256" t="s">
        <v>5471</v>
      </c>
      <c r="M10256" t="s">
        <v>5471</v>
      </c>
    </row>
    <row r="10257" spans="1:13" x14ac:dyDescent="0.3">
      <c r="A10257" t="s">
        <v>3380</v>
      </c>
      <c r="B10257" t="s">
        <v>10137</v>
      </c>
      <c r="C10257" t="s">
        <v>6342</v>
      </c>
      <c r="D10257" t="s">
        <v>4119</v>
      </c>
      <c r="E10257" t="s">
        <v>5480</v>
      </c>
      <c r="F10257" t="s">
        <v>35697</v>
      </c>
      <c r="G10257" t="s">
        <v>35540</v>
      </c>
      <c r="H10257" t="s">
        <v>5474</v>
      </c>
      <c r="I10257" t="s">
        <v>35698</v>
      </c>
      <c r="J10257" t="s">
        <v>5476</v>
      </c>
      <c r="K10257" t="s">
        <v>35699</v>
      </c>
      <c r="L10257" t="s">
        <v>5471</v>
      </c>
      <c r="M10257" t="s">
        <v>5471</v>
      </c>
    </row>
    <row r="10258" spans="1:13" x14ac:dyDescent="0.3">
      <c r="A10258" t="s">
        <v>3380</v>
      </c>
      <c r="B10258" t="s">
        <v>5261</v>
      </c>
      <c r="C10258" t="s">
        <v>6342</v>
      </c>
      <c r="D10258" t="s">
        <v>4119</v>
      </c>
      <c r="E10258" t="s">
        <v>5480</v>
      </c>
      <c r="F10258" t="s">
        <v>35700</v>
      </c>
      <c r="G10258" t="s">
        <v>35588</v>
      </c>
      <c r="H10258" t="s">
        <v>5474</v>
      </c>
      <c r="I10258" t="s">
        <v>35701</v>
      </c>
      <c r="J10258" t="s">
        <v>5476</v>
      </c>
      <c r="K10258" t="s">
        <v>35702</v>
      </c>
      <c r="L10258" t="s">
        <v>5471</v>
      </c>
      <c r="M10258" t="s">
        <v>5471</v>
      </c>
    </row>
    <row r="10259" spans="1:13" x14ac:dyDescent="0.3">
      <c r="A10259" t="s">
        <v>3380</v>
      </c>
      <c r="B10259" t="s">
        <v>5247</v>
      </c>
      <c r="C10259" t="s">
        <v>6342</v>
      </c>
      <c r="D10259" t="s">
        <v>4119</v>
      </c>
      <c r="E10259" t="s">
        <v>5480</v>
      </c>
      <c r="F10259" t="s">
        <v>35703</v>
      </c>
      <c r="G10259" t="s">
        <v>16147</v>
      </c>
      <c r="H10259" t="s">
        <v>5474</v>
      </c>
      <c r="I10259" t="s">
        <v>35704</v>
      </c>
      <c r="J10259" t="s">
        <v>5476</v>
      </c>
      <c r="K10259" t="s">
        <v>35699</v>
      </c>
      <c r="L10259" t="s">
        <v>5471</v>
      </c>
      <c r="M10259" t="s">
        <v>5471</v>
      </c>
    </row>
    <row r="10260" spans="1:13" x14ac:dyDescent="0.3">
      <c r="A10260" t="s">
        <v>3380</v>
      </c>
      <c r="B10260" t="s">
        <v>5261</v>
      </c>
      <c r="C10260" t="s">
        <v>6342</v>
      </c>
      <c r="D10260" t="s">
        <v>4119</v>
      </c>
      <c r="E10260" t="s">
        <v>5480</v>
      </c>
      <c r="F10260" t="s">
        <v>35705</v>
      </c>
      <c r="G10260" t="s">
        <v>35588</v>
      </c>
      <c r="H10260" t="s">
        <v>5474</v>
      </c>
      <c r="I10260" t="s">
        <v>35706</v>
      </c>
      <c r="J10260" t="s">
        <v>5476</v>
      </c>
      <c r="K10260" t="s">
        <v>35707</v>
      </c>
      <c r="L10260" t="s">
        <v>5471</v>
      </c>
      <c r="M10260" t="s">
        <v>5471</v>
      </c>
    </row>
    <row r="10261" spans="1:13" x14ac:dyDescent="0.3">
      <c r="A10261" t="s">
        <v>3380</v>
      </c>
      <c r="B10261" t="s">
        <v>5247</v>
      </c>
      <c r="C10261" t="s">
        <v>6342</v>
      </c>
      <c r="D10261" t="s">
        <v>4119</v>
      </c>
      <c r="E10261" t="s">
        <v>5480</v>
      </c>
      <c r="F10261" t="s">
        <v>35708</v>
      </c>
      <c r="G10261" t="s">
        <v>16147</v>
      </c>
      <c r="H10261" t="s">
        <v>5474</v>
      </c>
      <c r="I10261" t="s">
        <v>35709</v>
      </c>
      <c r="J10261" t="s">
        <v>5476</v>
      </c>
      <c r="K10261" t="s">
        <v>35710</v>
      </c>
      <c r="L10261" t="s">
        <v>5471</v>
      </c>
      <c r="M10261" t="s">
        <v>5471</v>
      </c>
    </row>
    <row r="10262" spans="1:13" x14ac:dyDescent="0.3">
      <c r="A10262" t="s">
        <v>3383</v>
      </c>
      <c r="B10262" t="s">
        <v>6063</v>
      </c>
      <c r="C10262" t="s">
        <v>5470</v>
      </c>
      <c r="D10262" t="s">
        <v>10218</v>
      </c>
      <c r="E10262" t="s">
        <v>5756</v>
      </c>
      <c r="F10262" t="s">
        <v>35711</v>
      </c>
      <c r="G10262" t="s">
        <v>6274</v>
      </c>
      <c r="H10262" t="s">
        <v>5474</v>
      </c>
      <c r="I10262" t="s">
        <v>35712</v>
      </c>
      <c r="J10262" t="s">
        <v>5484</v>
      </c>
      <c r="K10262" t="s">
        <v>35713</v>
      </c>
      <c r="L10262" t="s">
        <v>5471</v>
      </c>
      <c r="M10262" t="s">
        <v>5471</v>
      </c>
    </row>
    <row r="10263" spans="1:13" x14ac:dyDescent="0.3">
      <c r="A10263" t="s">
        <v>3383</v>
      </c>
      <c r="B10263" t="s">
        <v>6063</v>
      </c>
      <c r="C10263" t="s">
        <v>5470</v>
      </c>
      <c r="D10263" t="s">
        <v>10218</v>
      </c>
      <c r="E10263" t="s">
        <v>5756</v>
      </c>
      <c r="F10263" t="s">
        <v>35714</v>
      </c>
      <c r="G10263" t="s">
        <v>6274</v>
      </c>
      <c r="H10263" t="s">
        <v>5474</v>
      </c>
      <c r="I10263" t="s">
        <v>35715</v>
      </c>
      <c r="J10263" t="s">
        <v>5484</v>
      </c>
      <c r="K10263" t="s">
        <v>35713</v>
      </c>
      <c r="L10263" t="s">
        <v>5471</v>
      </c>
      <c r="M10263" t="s">
        <v>5471</v>
      </c>
    </row>
    <row r="10264" spans="1:13" x14ac:dyDescent="0.3">
      <c r="A10264" t="s">
        <v>3397</v>
      </c>
      <c r="B10264" t="s">
        <v>5347</v>
      </c>
      <c r="C10264" t="s">
        <v>5487</v>
      </c>
      <c r="D10264" t="s">
        <v>4056</v>
      </c>
      <c r="E10264" t="s">
        <v>5595</v>
      </c>
      <c r="F10264" t="s">
        <v>35716</v>
      </c>
      <c r="G10264" t="s">
        <v>35173</v>
      </c>
      <c r="H10264" t="s">
        <v>5474</v>
      </c>
      <c r="I10264" t="s">
        <v>35717</v>
      </c>
      <c r="J10264" t="s">
        <v>5476</v>
      </c>
      <c r="K10264" t="s">
        <v>35718</v>
      </c>
      <c r="L10264" t="s">
        <v>5471</v>
      </c>
      <c r="M10264" t="s">
        <v>5471</v>
      </c>
    </row>
    <row r="10265" spans="1:13" x14ac:dyDescent="0.3">
      <c r="A10265" t="s">
        <v>3397</v>
      </c>
      <c r="B10265" t="s">
        <v>5347</v>
      </c>
      <c r="C10265" t="s">
        <v>5487</v>
      </c>
      <c r="D10265" t="s">
        <v>4056</v>
      </c>
      <c r="E10265" t="s">
        <v>5595</v>
      </c>
      <c r="F10265" t="s">
        <v>35719</v>
      </c>
      <c r="G10265" t="s">
        <v>35173</v>
      </c>
      <c r="H10265" t="s">
        <v>5474</v>
      </c>
      <c r="I10265" t="s">
        <v>35720</v>
      </c>
      <c r="J10265" t="s">
        <v>5476</v>
      </c>
      <c r="K10265" t="s">
        <v>35721</v>
      </c>
      <c r="L10265" t="s">
        <v>5471</v>
      </c>
      <c r="M10265" t="s">
        <v>5471</v>
      </c>
    </row>
    <row r="10266" spans="1:13" x14ac:dyDescent="0.3">
      <c r="A10266" t="s">
        <v>3383</v>
      </c>
      <c r="B10266" t="s">
        <v>6063</v>
      </c>
      <c r="C10266" t="s">
        <v>5470</v>
      </c>
      <c r="D10266" t="s">
        <v>10218</v>
      </c>
      <c r="E10266" t="s">
        <v>5756</v>
      </c>
      <c r="F10266" t="s">
        <v>35722</v>
      </c>
      <c r="G10266" t="s">
        <v>6274</v>
      </c>
      <c r="H10266" t="s">
        <v>5474</v>
      </c>
      <c r="I10266" t="s">
        <v>35723</v>
      </c>
      <c r="J10266" t="s">
        <v>5484</v>
      </c>
      <c r="K10266" t="s">
        <v>35713</v>
      </c>
      <c r="L10266" t="s">
        <v>5471</v>
      </c>
      <c r="M10266" t="s">
        <v>5471</v>
      </c>
    </row>
    <row r="10267" spans="1:13" x14ac:dyDescent="0.3">
      <c r="A10267" t="s">
        <v>3380</v>
      </c>
      <c r="B10267" t="s">
        <v>5247</v>
      </c>
      <c r="C10267" t="s">
        <v>6342</v>
      </c>
      <c r="D10267" t="s">
        <v>4119</v>
      </c>
      <c r="E10267" t="s">
        <v>5480</v>
      </c>
      <c r="F10267" t="s">
        <v>35724</v>
      </c>
      <c r="G10267" t="s">
        <v>16147</v>
      </c>
      <c r="H10267" t="s">
        <v>5474</v>
      </c>
      <c r="I10267" t="s">
        <v>35725</v>
      </c>
      <c r="J10267" t="s">
        <v>5476</v>
      </c>
      <c r="K10267" t="s">
        <v>35726</v>
      </c>
      <c r="L10267" t="s">
        <v>5471</v>
      </c>
      <c r="M10267" t="s">
        <v>5471</v>
      </c>
    </row>
    <row r="10268" spans="1:13" x14ac:dyDescent="0.3">
      <c r="A10268" t="s">
        <v>3383</v>
      </c>
      <c r="B10268" t="s">
        <v>35727</v>
      </c>
      <c r="C10268" t="s">
        <v>5470</v>
      </c>
      <c r="D10268" t="s">
        <v>4119</v>
      </c>
      <c r="E10268" t="s">
        <v>5532</v>
      </c>
      <c r="F10268" t="s">
        <v>35728</v>
      </c>
      <c r="G10268" t="s">
        <v>35729</v>
      </c>
      <c r="H10268" t="s">
        <v>5474</v>
      </c>
      <c r="I10268" t="s">
        <v>35730</v>
      </c>
      <c r="J10268" t="s">
        <v>5484</v>
      </c>
      <c r="K10268" t="s">
        <v>35731</v>
      </c>
      <c r="L10268" t="s">
        <v>5471</v>
      </c>
      <c r="M10268" t="s">
        <v>5471</v>
      </c>
    </row>
    <row r="10269" spans="1:13" x14ac:dyDescent="0.3">
      <c r="A10269" t="s">
        <v>3383</v>
      </c>
      <c r="B10269" t="s">
        <v>35727</v>
      </c>
      <c r="C10269" t="s">
        <v>5470</v>
      </c>
      <c r="D10269" t="s">
        <v>4119</v>
      </c>
      <c r="E10269" t="s">
        <v>5532</v>
      </c>
      <c r="F10269" t="s">
        <v>35732</v>
      </c>
      <c r="G10269" t="s">
        <v>35729</v>
      </c>
      <c r="H10269" t="s">
        <v>5474</v>
      </c>
      <c r="I10269" t="s">
        <v>35733</v>
      </c>
      <c r="J10269" t="s">
        <v>5484</v>
      </c>
      <c r="K10269" t="s">
        <v>35734</v>
      </c>
      <c r="L10269" t="s">
        <v>5471</v>
      </c>
      <c r="M10269" t="s">
        <v>5471</v>
      </c>
    </row>
    <row r="10270" spans="1:13" x14ac:dyDescent="0.3">
      <c r="A10270" t="s">
        <v>3383</v>
      </c>
      <c r="B10270" t="s">
        <v>35727</v>
      </c>
      <c r="C10270" t="s">
        <v>5470</v>
      </c>
      <c r="D10270" t="s">
        <v>4119</v>
      </c>
      <c r="E10270" t="s">
        <v>5532</v>
      </c>
      <c r="F10270" t="s">
        <v>35735</v>
      </c>
      <c r="G10270" t="s">
        <v>12139</v>
      </c>
      <c r="H10270" t="s">
        <v>5474</v>
      </c>
      <c r="I10270" t="s">
        <v>35736</v>
      </c>
      <c r="J10270" t="s">
        <v>5484</v>
      </c>
      <c r="K10270" t="s">
        <v>35737</v>
      </c>
      <c r="L10270" t="s">
        <v>5471</v>
      </c>
      <c r="M10270" t="s">
        <v>5471</v>
      </c>
    </row>
    <row r="10271" spans="1:13" x14ac:dyDescent="0.3">
      <c r="A10271" t="s">
        <v>3383</v>
      </c>
      <c r="B10271" t="s">
        <v>35727</v>
      </c>
      <c r="C10271" t="s">
        <v>5470</v>
      </c>
      <c r="D10271" t="s">
        <v>4119</v>
      </c>
      <c r="E10271" t="s">
        <v>5532</v>
      </c>
      <c r="F10271" t="s">
        <v>35738</v>
      </c>
      <c r="G10271" t="s">
        <v>12139</v>
      </c>
      <c r="H10271" t="s">
        <v>5474</v>
      </c>
      <c r="I10271" t="s">
        <v>35739</v>
      </c>
      <c r="J10271" t="s">
        <v>5484</v>
      </c>
      <c r="K10271" t="s">
        <v>35740</v>
      </c>
      <c r="L10271" t="s">
        <v>5471</v>
      </c>
      <c r="M10271" t="s">
        <v>5471</v>
      </c>
    </row>
    <row r="10272" spans="1:13" x14ac:dyDescent="0.3">
      <c r="A10272" t="s">
        <v>3383</v>
      </c>
      <c r="B10272" t="s">
        <v>35741</v>
      </c>
      <c r="C10272" t="s">
        <v>5470</v>
      </c>
      <c r="D10272" t="s">
        <v>4119</v>
      </c>
      <c r="E10272" t="s">
        <v>5532</v>
      </c>
      <c r="F10272" t="s">
        <v>35742</v>
      </c>
      <c r="G10272" t="s">
        <v>12123</v>
      </c>
      <c r="H10272" t="s">
        <v>5474</v>
      </c>
      <c r="I10272" t="s">
        <v>35743</v>
      </c>
      <c r="J10272" t="s">
        <v>5484</v>
      </c>
      <c r="K10272" t="s">
        <v>35744</v>
      </c>
      <c r="L10272" t="s">
        <v>5471</v>
      </c>
      <c r="M10272" t="s">
        <v>5471</v>
      </c>
    </row>
    <row r="10273" spans="1:13" x14ac:dyDescent="0.3">
      <c r="A10273" t="s">
        <v>3383</v>
      </c>
      <c r="B10273" t="s">
        <v>35741</v>
      </c>
      <c r="C10273" t="s">
        <v>5470</v>
      </c>
      <c r="D10273" t="s">
        <v>4119</v>
      </c>
      <c r="E10273" t="s">
        <v>5532</v>
      </c>
      <c r="F10273" t="s">
        <v>35745</v>
      </c>
      <c r="G10273" t="s">
        <v>12119</v>
      </c>
      <c r="H10273" t="s">
        <v>5474</v>
      </c>
      <c r="I10273" t="s">
        <v>35746</v>
      </c>
      <c r="J10273" t="s">
        <v>5484</v>
      </c>
      <c r="K10273" t="s">
        <v>35747</v>
      </c>
      <c r="L10273" t="s">
        <v>5471</v>
      </c>
      <c r="M10273" t="s">
        <v>5471</v>
      </c>
    </row>
    <row r="10274" spans="1:13" x14ac:dyDescent="0.3">
      <c r="A10274" t="s">
        <v>3380</v>
      </c>
      <c r="B10274" t="s">
        <v>5247</v>
      </c>
      <c r="C10274" t="s">
        <v>6342</v>
      </c>
      <c r="D10274" t="s">
        <v>4119</v>
      </c>
      <c r="E10274" t="s">
        <v>5480</v>
      </c>
      <c r="F10274" t="s">
        <v>35748</v>
      </c>
      <c r="G10274" t="s">
        <v>16147</v>
      </c>
      <c r="H10274" t="s">
        <v>5474</v>
      </c>
      <c r="I10274" t="s">
        <v>35749</v>
      </c>
      <c r="J10274" t="s">
        <v>5476</v>
      </c>
      <c r="K10274" t="s">
        <v>35750</v>
      </c>
      <c r="L10274" t="s">
        <v>5471</v>
      </c>
      <c r="M10274" t="s">
        <v>5471</v>
      </c>
    </row>
    <row r="10275" spans="1:13" x14ac:dyDescent="0.3">
      <c r="A10275" t="s">
        <v>3383</v>
      </c>
      <c r="B10275" t="s">
        <v>5278</v>
      </c>
      <c r="C10275" t="s">
        <v>5470</v>
      </c>
      <c r="D10275" t="s">
        <v>10218</v>
      </c>
      <c r="E10275" t="s">
        <v>5532</v>
      </c>
      <c r="F10275" t="s">
        <v>35751</v>
      </c>
      <c r="G10275" t="s">
        <v>6329</v>
      </c>
      <c r="H10275" t="s">
        <v>5474</v>
      </c>
      <c r="I10275" t="s">
        <v>35752</v>
      </c>
      <c r="J10275" t="s">
        <v>5484</v>
      </c>
      <c r="K10275" t="s">
        <v>35753</v>
      </c>
      <c r="L10275" t="s">
        <v>5471</v>
      </c>
      <c r="M10275" t="s">
        <v>5471</v>
      </c>
    </row>
    <row r="10276" spans="1:13" x14ac:dyDescent="0.3">
      <c r="A10276" t="s">
        <v>3383</v>
      </c>
      <c r="B10276" t="s">
        <v>5278</v>
      </c>
      <c r="C10276" t="s">
        <v>5470</v>
      </c>
      <c r="D10276" t="s">
        <v>10218</v>
      </c>
      <c r="E10276" t="s">
        <v>5532</v>
      </c>
      <c r="F10276" t="s">
        <v>35754</v>
      </c>
      <c r="G10276" t="s">
        <v>6329</v>
      </c>
      <c r="H10276" t="s">
        <v>5474</v>
      </c>
      <c r="I10276" t="s">
        <v>35755</v>
      </c>
      <c r="J10276" t="s">
        <v>5484</v>
      </c>
      <c r="K10276" t="s">
        <v>35753</v>
      </c>
      <c r="L10276" t="s">
        <v>5471</v>
      </c>
      <c r="M10276" t="s">
        <v>5471</v>
      </c>
    </row>
    <row r="10277" spans="1:13" x14ac:dyDescent="0.3">
      <c r="A10277" t="s">
        <v>3383</v>
      </c>
      <c r="B10277" t="s">
        <v>5278</v>
      </c>
      <c r="C10277" t="s">
        <v>5470</v>
      </c>
      <c r="D10277" t="s">
        <v>10218</v>
      </c>
      <c r="E10277" t="s">
        <v>5532</v>
      </c>
      <c r="F10277" t="s">
        <v>35756</v>
      </c>
      <c r="G10277" t="s">
        <v>6329</v>
      </c>
      <c r="H10277" t="s">
        <v>5474</v>
      </c>
      <c r="I10277" t="s">
        <v>35757</v>
      </c>
      <c r="J10277" t="s">
        <v>5484</v>
      </c>
      <c r="K10277" t="s">
        <v>35753</v>
      </c>
      <c r="L10277" t="s">
        <v>5471</v>
      </c>
      <c r="M10277" t="s">
        <v>5471</v>
      </c>
    </row>
    <row r="10278" spans="1:13" x14ac:dyDescent="0.3">
      <c r="A10278" t="s">
        <v>3383</v>
      </c>
      <c r="B10278" t="s">
        <v>5952</v>
      </c>
      <c r="C10278" t="s">
        <v>5470</v>
      </c>
      <c r="D10278" t="s">
        <v>10218</v>
      </c>
      <c r="E10278" t="s">
        <v>5756</v>
      </c>
      <c r="F10278" t="s">
        <v>35758</v>
      </c>
      <c r="G10278" t="s">
        <v>6217</v>
      </c>
      <c r="H10278" t="s">
        <v>5474</v>
      </c>
      <c r="I10278" t="s">
        <v>35759</v>
      </c>
      <c r="J10278" t="s">
        <v>5484</v>
      </c>
      <c r="K10278" t="s">
        <v>35760</v>
      </c>
      <c r="L10278" t="s">
        <v>5471</v>
      </c>
      <c r="M10278" t="s">
        <v>5471</v>
      </c>
    </row>
    <row r="10279" spans="1:13" x14ac:dyDescent="0.3">
      <c r="A10279" t="s">
        <v>3383</v>
      </c>
      <c r="B10279" t="s">
        <v>5952</v>
      </c>
      <c r="C10279" t="s">
        <v>5470</v>
      </c>
      <c r="D10279" t="s">
        <v>10218</v>
      </c>
      <c r="E10279" t="s">
        <v>5756</v>
      </c>
      <c r="F10279" t="s">
        <v>35761</v>
      </c>
      <c r="G10279" t="s">
        <v>6217</v>
      </c>
      <c r="H10279" t="s">
        <v>5474</v>
      </c>
      <c r="I10279" t="s">
        <v>35762</v>
      </c>
      <c r="J10279" t="s">
        <v>5484</v>
      </c>
      <c r="K10279" t="s">
        <v>35760</v>
      </c>
      <c r="L10279" t="s">
        <v>5471</v>
      </c>
      <c r="M10279" t="s">
        <v>5471</v>
      </c>
    </row>
    <row r="10280" spans="1:13" x14ac:dyDescent="0.3">
      <c r="A10280" t="s">
        <v>3383</v>
      </c>
      <c r="B10280" t="s">
        <v>5952</v>
      </c>
      <c r="C10280" t="s">
        <v>5470</v>
      </c>
      <c r="D10280" t="s">
        <v>10218</v>
      </c>
      <c r="E10280" t="s">
        <v>5756</v>
      </c>
      <c r="F10280" t="s">
        <v>35763</v>
      </c>
      <c r="G10280" t="s">
        <v>6217</v>
      </c>
      <c r="H10280" t="s">
        <v>5474</v>
      </c>
      <c r="I10280" t="s">
        <v>35764</v>
      </c>
      <c r="J10280" t="s">
        <v>5484</v>
      </c>
      <c r="K10280" t="s">
        <v>35760</v>
      </c>
      <c r="L10280" t="s">
        <v>5471</v>
      </c>
      <c r="M10280" t="s">
        <v>5471</v>
      </c>
    </row>
    <row r="10281" spans="1:13" x14ac:dyDescent="0.3">
      <c r="A10281" t="s">
        <v>3383</v>
      </c>
      <c r="B10281" t="s">
        <v>5952</v>
      </c>
      <c r="C10281" t="s">
        <v>5470</v>
      </c>
      <c r="D10281" t="s">
        <v>10218</v>
      </c>
      <c r="E10281" t="s">
        <v>5756</v>
      </c>
      <c r="F10281" t="s">
        <v>35765</v>
      </c>
      <c r="G10281" t="s">
        <v>6289</v>
      </c>
      <c r="H10281" t="s">
        <v>5474</v>
      </c>
      <c r="I10281" t="s">
        <v>35766</v>
      </c>
      <c r="J10281" t="s">
        <v>5484</v>
      </c>
      <c r="K10281" t="s">
        <v>35760</v>
      </c>
      <c r="L10281" t="s">
        <v>5471</v>
      </c>
      <c r="M10281" t="s">
        <v>5471</v>
      </c>
    </row>
    <row r="10282" spans="1:13" x14ac:dyDescent="0.3">
      <c r="A10282" t="s">
        <v>3383</v>
      </c>
      <c r="B10282" t="s">
        <v>5952</v>
      </c>
      <c r="C10282" t="s">
        <v>5470</v>
      </c>
      <c r="D10282" t="s">
        <v>10218</v>
      </c>
      <c r="E10282" t="s">
        <v>5756</v>
      </c>
      <c r="F10282" t="s">
        <v>35767</v>
      </c>
      <c r="G10282" t="s">
        <v>6289</v>
      </c>
      <c r="H10282" t="s">
        <v>5474</v>
      </c>
      <c r="I10282" t="s">
        <v>35768</v>
      </c>
      <c r="J10282" t="s">
        <v>5484</v>
      </c>
      <c r="K10282" t="s">
        <v>35760</v>
      </c>
      <c r="L10282" t="s">
        <v>5471</v>
      </c>
      <c r="M10282" t="s">
        <v>5471</v>
      </c>
    </row>
    <row r="10283" spans="1:13" x14ac:dyDescent="0.3">
      <c r="A10283" t="s">
        <v>3383</v>
      </c>
      <c r="B10283" t="s">
        <v>8871</v>
      </c>
      <c r="C10283" t="s">
        <v>5470</v>
      </c>
      <c r="D10283" t="s">
        <v>4119</v>
      </c>
      <c r="E10283" t="s">
        <v>5532</v>
      </c>
      <c r="F10283" t="s">
        <v>35769</v>
      </c>
      <c r="G10283" t="s">
        <v>35729</v>
      </c>
      <c r="H10283" t="s">
        <v>5474</v>
      </c>
      <c r="I10283" t="s">
        <v>35770</v>
      </c>
      <c r="J10283" t="s">
        <v>5484</v>
      </c>
      <c r="K10283" t="s">
        <v>35771</v>
      </c>
      <c r="L10283" t="s">
        <v>5471</v>
      </c>
      <c r="M10283" t="s">
        <v>5471</v>
      </c>
    </row>
    <row r="10284" spans="1:13" x14ac:dyDescent="0.3">
      <c r="A10284" t="s">
        <v>3383</v>
      </c>
      <c r="B10284" t="s">
        <v>8871</v>
      </c>
      <c r="C10284" t="s">
        <v>5470</v>
      </c>
      <c r="D10284" t="s">
        <v>4119</v>
      </c>
      <c r="E10284" t="s">
        <v>5532</v>
      </c>
      <c r="F10284" t="s">
        <v>35772</v>
      </c>
      <c r="G10284" t="s">
        <v>12139</v>
      </c>
      <c r="H10284" t="s">
        <v>5474</v>
      </c>
      <c r="I10284" t="s">
        <v>35773</v>
      </c>
      <c r="J10284" t="s">
        <v>5484</v>
      </c>
      <c r="K10284" t="s">
        <v>35774</v>
      </c>
      <c r="L10284" t="s">
        <v>5471</v>
      </c>
      <c r="M10284" t="s">
        <v>5471</v>
      </c>
    </row>
    <row r="10285" spans="1:13" x14ac:dyDescent="0.3">
      <c r="A10285" t="s">
        <v>3380</v>
      </c>
      <c r="B10285" t="s">
        <v>5261</v>
      </c>
      <c r="C10285" t="s">
        <v>6342</v>
      </c>
      <c r="D10285" t="s">
        <v>4119</v>
      </c>
      <c r="E10285" t="s">
        <v>5480</v>
      </c>
      <c r="F10285" t="s">
        <v>35775</v>
      </c>
      <c r="G10285" t="s">
        <v>35588</v>
      </c>
      <c r="H10285" t="s">
        <v>5474</v>
      </c>
      <c r="I10285" t="s">
        <v>35776</v>
      </c>
      <c r="J10285" t="s">
        <v>5476</v>
      </c>
      <c r="K10285" t="s">
        <v>35750</v>
      </c>
      <c r="L10285" t="s">
        <v>5471</v>
      </c>
      <c r="M10285" t="s">
        <v>5471</v>
      </c>
    </row>
    <row r="10286" spans="1:13" x14ac:dyDescent="0.3">
      <c r="A10286" t="s">
        <v>3380</v>
      </c>
      <c r="B10286" t="s">
        <v>10137</v>
      </c>
      <c r="C10286" t="s">
        <v>6342</v>
      </c>
      <c r="D10286" t="s">
        <v>4119</v>
      </c>
      <c r="E10286" t="s">
        <v>5480</v>
      </c>
      <c r="F10286" t="s">
        <v>35777</v>
      </c>
      <c r="G10286" t="s">
        <v>10145</v>
      </c>
      <c r="H10286" t="s">
        <v>5474</v>
      </c>
      <c r="I10286" t="s">
        <v>35778</v>
      </c>
      <c r="J10286" t="s">
        <v>5476</v>
      </c>
      <c r="K10286" t="s">
        <v>10979</v>
      </c>
      <c r="L10286" t="s">
        <v>5471</v>
      </c>
      <c r="M10286" t="s">
        <v>5471</v>
      </c>
    </row>
    <row r="10287" spans="1:13" x14ac:dyDescent="0.3">
      <c r="A10287" t="s">
        <v>3380</v>
      </c>
      <c r="B10287" t="s">
        <v>5261</v>
      </c>
      <c r="C10287" t="s">
        <v>6342</v>
      </c>
      <c r="D10287" t="s">
        <v>4119</v>
      </c>
      <c r="E10287" t="s">
        <v>5480</v>
      </c>
      <c r="F10287" t="s">
        <v>35779</v>
      </c>
      <c r="G10287" t="s">
        <v>35588</v>
      </c>
      <c r="H10287" t="s">
        <v>5474</v>
      </c>
      <c r="I10287" t="s">
        <v>35780</v>
      </c>
      <c r="J10287" t="s">
        <v>5476</v>
      </c>
      <c r="K10287" t="s">
        <v>35781</v>
      </c>
      <c r="L10287" t="s">
        <v>5471</v>
      </c>
      <c r="M10287" t="s">
        <v>5471</v>
      </c>
    </row>
    <row r="10288" spans="1:13" x14ac:dyDescent="0.3">
      <c r="A10288" t="s">
        <v>3383</v>
      </c>
      <c r="B10288" t="s">
        <v>6018</v>
      </c>
      <c r="C10288" t="s">
        <v>5470</v>
      </c>
      <c r="D10288" t="s">
        <v>10218</v>
      </c>
      <c r="E10288" t="s">
        <v>5756</v>
      </c>
      <c r="F10288" t="s">
        <v>35782</v>
      </c>
      <c r="G10288" t="s">
        <v>6274</v>
      </c>
      <c r="H10288" t="s">
        <v>5474</v>
      </c>
      <c r="I10288" t="s">
        <v>35783</v>
      </c>
      <c r="J10288" t="s">
        <v>5484</v>
      </c>
      <c r="K10288" t="s">
        <v>35784</v>
      </c>
      <c r="L10288" t="s">
        <v>5471</v>
      </c>
      <c r="M10288" t="s">
        <v>5471</v>
      </c>
    </row>
    <row r="10289" spans="1:13" x14ac:dyDescent="0.3">
      <c r="A10289" t="s">
        <v>3397</v>
      </c>
      <c r="B10289" t="s">
        <v>7424</v>
      </c>
      <c r="C10289" t="s">
        <v>5487</v>
      </c>
      <c r="D10289" t="s">
        <v>4081</v>
      </c>
      <c r="E10289" t="s">
        <v>5756</v>
      </c>
      <c r="F10289" t="s">
        <v>35785</v>
      </c>
      <c r="G10289" t="s">
        <v>35786</v>
      </c>
      <c r="H10289" t="s">
        <v>5474</v>
      </c>
      <c r="I10289" t="s">
        <v>35787</v>
      </c>
      <c r="J10289" t="s">
        <v>5484</v>
      </c>
      <c r="K10289" t="s">
        <v>35786</v>
      </c>
      <c r="L10289" t="s">
        <v>5471</v>
      </c>
      <c r="M10289" t="s">
        <v>5471</v>
      </c>
    </row>
    <row r="10290" spans="1:13" x14ac:dyDescent="0.3">
      <c r="A10290" t="s">
        <v>3397</v>
      </c>
      <c r="B10290" t="s">
        <v>7424</v>
      </c>
      <c r="C10290" t="s">
        <v>5487</v>
      </c>
      <c r="D10290" t="s">
        <v>4081</v>
      </c>
      <c r="E10290" t="s">
        <v>5756</v>
      </c>
      <c r="F10290" t="s">
        <v>35788</v>
      </c>
      <c r="G10290" t="s">
        <v>35789</v>
      </c>
      <c r="H10290" t="s">
        <v>5474</v>
      </c>
      <c r="I10290" t="s">
        <v>35790</v>
      </c>
      <c r="J10290" t="s">
        <v>5484</v>
      </c>
      <c r="K10290" t="s">
        <v>35789</v>
      </c>
      <c r="L10290" t="s">
        <v>5471</v>
      </c>
      <c r="M10290" t="s">
        <v>5471</v>
      </c>
    </row>
    <row r="10291" spans="1:13" x14ac:dyDescent="0.3">
      <c r="A10291" t="s">
        <v>3380</v>
      </c>
      <c r="B10291" t="s">
        <v>10137</v>
      </c>
      <c r="C10291" t="s">
        <v>6342</v>
      </c>
      <c r="D10291" t="s">
        <v>4119</v>
      </c>
      <c r="E10291" t="s">
        <v>5480</v>
      </c>
      <c r="F10291" t="s">
        <v>35791</v>
      </c>
      <c r="G10291" t="s">
        <v>10145</v>
      </c>
      <c r="H10291" t="s">
        <v>5474</v>
      </c>
      <c r="I10291" t="s">
        <v>35792</v>
      </c>
      <c r="J10291" t="s">
        <v>5476</v>
      </c>
      <c r="K10291" t="s">
        <v>10982</v>
      </c>
      <c r="L10291" t="s">
        <v>5471</v>
      </c>
      <c r="M10291" t="s">
        <v>5471</v>
      </c>
    </row>
    <row r="10292" spans="1:13" x14ac:dyDescent="0.3">
      <c r="A10292" t="s">
        <v>3383</v>
      </c>
      <c r="B10292" t="s">
        <v>6063</v>
      </c>
      <c r="C10292" t="s">
        <v>5470</v>
      </c>
      <c r="D10292" t="s">
        <v>10218</v>
      </c>
      <c r="E10292" t="s">
        <v>5756</v>
      </c>
      <c r="F10292" t="s">
        <v>35793</v>
      </c>
      <c r="G10292" t="s">
        <v>6274</v>
      </c>
      <c r="H10292" t="s">
        <v>5474</v>
      </c>
      <c r="I10292" t="s">
        <v>35794</v>
      </c>
      <c r="J10292" t="s">
        <v>5484</v>
      </c>
      <c r="K10292" t="s">
        <v>35795</v>
      </c>
      <c r="L10292" t="s">
        <v>5471</v>
      </c>
      <c r="M10292" t="s">
        <v>5471</v>
      </c>
    </row>
    <row r="10293" spans="1:13" x14ac:dyDescent="0.3">
      <c r="A10293" t="s">
        <v>3383</v>
      </c>
      <c r="B10293" t="s">
        <v>6063</v>
      </c>
      <c r="C10293" t="s">
        <v>5470</v>
      </c>
      <c r="D10293" t="s">
        <v>10218</v>
      </c>
      <c r="E10293" t="s">
        <v>5756</v>
      </c>
      <c r="F10293" t="s">
        <v>35796</v>
      </c>
      <c r="G10293" t="s">
        <v>6272</v>
      </c>
      <c r="H10293" t="s">
        <v>5474</v>
      </c>
      <c r="I10293" t="s">
        <v>35797</v>
      </c>
      <c r="J10293" t="s">
        <v>5484</v>
      </c>
      <c r="K10293" t="s">
        <v>35795</v>
      </c>
      <c r="L10293" t="s">
        <v>5471</v>
      </c>
      <c r="M10293" t="s">
        <v>5471</v>
      </c>
    </row>
    <row r="10294" spans="1:13" x14ac:dyDescent="0.3">
      <c r="A10294" t="s">
        <v>3380</v>
      </c>
      <c r="B10294" t="s">
        <v>5247</v>
      </c>
      <c r="C10294" t="s">
        <v>6342</v>
      </c>
      <c r="D10294" t="s">
        <v>4119</v>
      </c>
      <c r="E10294" t="s">
        <v>5480</v>
      </c>
      <c r="F10294" t="s">
        <v>35798</v>
      </c>
      <c r="G10294" t="s">
        <v>16147</v>
      </c>
      <c r="H10294" t="s">
        <v>5474</v>
      </c>
      <c r="I10294" t="s">
        <v>35799</v>
      </c>
      <c r="J10294" t="s">
        <v>5476</v>
      </c>
      <c r="K10294" t="s">
        <v>35257</v>
      </c>
      <c r="L10294" t="s">
        <v>5471</v>
      </c>
      <c r="M10294" t="s">
        <v>5471</v>
      </c>
    </row>
    <row r="10295" spans="1:13" x14ac:dyDescent="0.3">
      <c r="A10295" t="s">
        <v>3380</v>
      </c>
      <c r="B10295" t="s">
        <v>5261</v>
      </c>
      <c r="C10295" t="s">
        <v>6342</v>
      </c>
      <c r="D10295" t="s">
        <v>4119</v>
      </c>
      <c r="E10295" t="s">
        <v>5480</v>
      </c>
      <c r="F10295" t="s">
        <v>35800</v>
      </c>
      <c r="G10295" t="s">
        <v>35588</v>
      </c>
      <c r="H10295" t="s">
        <v>5474</v>
      </c>
      <c r="I10295" t="s">
        <v>35801</v>
      </c>
      <c r="J10295" t="s">
        <v>5476</v>
      </c>
      <c r="K10295" t="s">
        <v>35802</v>
      </c>
      <c r="L10295" t="s">
        <v>5471</v>
      </c>
      <c r="M10295" t="s">
        <v>5471</v>
      </c>
    </row>
    <row r="10296" spans="1:13" x14ac:dyDescent="0.3">
      <c r="A10296" t="s">
        <v>3397</v>
      </c>
      <c r="B10296" t="s">
        <v>7424</v>
      </c>
      <c r="C10296" t="s">
        <v>5487</v>
      </c>
      <c r="D10296" t="s">
        <v>4081</v>
      </c>
      <c r="E10296" t="s">
        <v>5756</v>
      </c>
      <c r="F10296" t="s">
        <v>35803</v>
      </c>
      <c r="G10296" t="s">
        <v>35789</v>
      </c>
      <c r="H10296" t="s">
        <v>5474</v>
      </c>
      <c r="I10296" t="s">
        <v>35804</v>
      </c>
      <c r="J10296" t="s">
        <v>5484</v>
      </c>
      <c r="K10296" t="s">
        <v>35789</v>
      </c>
      <c r="L10296" t="s">
        <v>5471</v>
      </c>
      <c r="M10296" t="s">
        <v>5471</v>
      </c>
    </row>
    <row r="10297" spans="1:13" x14ac:dyDescent="0.3">
      <c r="A10297" t="s">
        <v>3397</v>
      </c>
      <c r="B10297" t="s">
        <v>7424</v>
      </c>
      <c r="C10297" t="s">
        <v>5487</v>
      </c>
      <c r="D10297" t="s">
        <v>4081</v>
      </c>
      <c r="E10297" t="s">
        <v>5756</v>
      </c>
      <c r="F10297" t="s">
        <v>35805</v>
      </c>
      <c r="G10297" t="s">
        <v>35786</v>
      </c>
      <c r="H10297" t="s">
        <v>5474</v>
      </c>
      <c r="I10297" t="s">
        <v>35806</v>
      </c>
      <c r="J10297" t="s">
        <v>5484</v>
      </c>
      <c r="K10297" t="s">
        <v>35786</v>
      </c>
      <c r="L10297" t="s">
        <v>5471</v>
      </c>
      <c r="M10297" t="s">
        <v>5471</v>
      </c>
    </row>
    <row r="10298" spans="1:13" x14ac:dyDescent="0.3">
      <c r="A10298" t="s">
        <v>3383</v>
      </c>
      <c r="B10298" t="s">
        <v>6018</v>
      </c>
      <c r="C10298" t="s">
        <v>5470</v>
      </c>
      <c r="D10298" t="s">
        <v>10218</v>
      </c>
      <c r="E10298" t="s">
        <v>5756</v>
      </c>
      <c r="F10298" t="s">
        <v>35807</v>
      </c>
      <c r="G10298" t="s">
        <v>25360</v>
      </c>
      <c r="H10298" t="s">
        <v>5474</v>
      </c>
      <c r="I10298" t="s">
        <v>35808</v>
      </c>
      <c r="J10298" t="s">
        <v>5484</v>
      </c>
      <c r="K10298" t="s">
        <v>35784</v>
      </c>
      <c r="L10298" t="s">
        <v>5471</v>
      </c>
      <c r="M10298" t="s">
        <v>5471</v>
      </c>
    </row>
    <row r="10299" spans="1:13" x14ac:dyDescent="0.3">
      <c r="A10299" t="s">
        <v>3383</v>
      </c>
      <c r="B10299" t="s">
        <v>6063</v>
      </c>
      <c r="C10299" t="s">
        <v>5470</v>
      </c>
      <c r="D10299" t="s">
        <v>10218</v>
      </c>
      <c r="E10299" t="s">
        <v>5756</v>
      </c>
      <c r="F10299" t="s">
        <v>35809</v>
      </c>
      <c r="G10299" t="s">
        <v>11466</v>
      </c>
      <c r="H10299" t="s">
        <v>5474</v>
      </c>
      <c r="I10299" t="s">
        <v>35810</v>
      </c>
      <c r="J10299" t="s">
        <v>5484</v>
      </c>
      <c r="K10299" t="s">
        <v>35811</v>
      </c>
      <c r="L10299" t="s">
        <v>5471</v>
      </c>
      <c r="M10299" t="s">
        <v>5471</v>
      </c>
    </row>
    <row r="10300" spans="1:13" x14ac:dyDescent="0.3">
      <c r="A10300" t="s">
        <v>3397</v>
      </c>
      <c r="B10300" t="s">
        <v>7424</v>
      </c>
      <c r="C10300" t="s">
        <v>5487</v>
      </c>
      <c r="D10300" t="s">
        <v>4081</v>
      </c>
      <c r="E10300" t="s">
        <v>5756</v>
      </c>
      <c r="F10300" t="s">
        <v>35812</v>
      </c>
      <c r="G10300" t="s">
        <v>35786</v>
      </c>
      <c r="H10300" t="s">
        <v>5474</v>
      </c>
      <c r="I10300" t="s">
        <v>35813</v>
      </c>
      <c r="J10300" t="s">
        <v>5484</v>
      </c>
      <c r="K10300" t="s">
        <v>35786</v>
      </c>
      <c r="L10300" t="s">
        <v>5471</v>
      </c>
      <c r="M10300" t="s">
        <v>5471</v>
      </c>
    </row>
    <row r="10301" spans="1:13" x14ac:dyDescent="0.3">
      <c r="A10301" t="s">
        <v>3383</v>
      </c>
      <c r="B10301" t="s">
        <v>6063</v>
      </c>
      <c r="C10301" t="s">
        <v>5470</v>
      </c>
      <c r="D10301" t="s">
        <v>10218</v>
      </c>
      <c r="E10301" t="s">
        <v>5756</v>
      </c>
      <c r="F10301" t="s">
        <v>35814</v>
      </c>
      <c r="G10301" t="s">
        <v>6274</v>
      </c>
      <c r="H10301" t="s">
        <v>5474</v>
      </c>
      <c r="I10301" t="s">
        <v>35815</v>
      </c>
      <c r="J10301" t="s">
        <v>5484</v>
      </c>
      <c r="K10301" t="s">
        <v>35713</v>
      </c>
      <c r="L10301" t="s">
        <v>5471</v>
      </c>
      <c r="M10301" t="s">
        <v>5471</v>
      </c>
    </row>
    <row r="10302" spans="1:13" x14ac:dyDescent="0.3">
      <c r="A10302" t="s">
        <v>3397</v>
      </c>
      <c r="B10302" t="s">
        <v>7424</v>
      </c>
      <c r="C10302" t="s">
        <v>5487</v>
      </c>
      <c r="D10302" t="s">
        <v>4081</v>
      </c>
      <c r="E10302" t="s">
        <v>5756</v>
      </c>
      <c r="F10302" t="s">
        <v>35816</v>
      </c>
      <c r="G10302" t="s">
        <v>35789</v>
      </c>
      <c r="H10302" t="s">
        <v>5474</v>
      </c>
      <c r="I10302" t="s">
        <v>35817</v>
      </c>
      <c r="J10302" t="s">
        <v>5484</v>
      </c>
      <c r="K10302" t="s">
        <v>35789</v>
      </c>
      <c r="L10302" t="s">
        <v>5471</v>
      </c>
      <c r="M10302" t="s">
        <v>5471</v>
      </c>
    </row>
    <row r="10303" spans="1:13" x14ac:dyDescent="0.3">
      <c r="A10303" t="s">
        <v>3397</v>
      </c>
      <c r="B10303" t="s">
        <v>7424</v>
      </c>
      <c r="C10303" t="s">
        <v>5487</v>
      </c>
      <c r="D10303" t="s">
        <v>4081</v>
      </c>
      <c r="E10303" t="s">
        <v>5756</v>
      </c>
      <c r="F10303" t="s">
        <v>35818</v>
      </c>
      <c r="G10303" t="s">
        <v>35819</v>
      </c>
      <c r="H10303" t="s">
        <v>5474</v>
      </c>
      <c r="I10303" t="s">
        <v>35820</v>
      </c>
      <c r="J10303" t="s">
        <v>5484</v>
      </c>
      <c r="K10303" t="s">
        <v>35819</v>
      </c>
      <c r="L10303" t="s">
        <v>5471</v>
      </c>
      <c r="M10303" t="s">
        <v>5471</v>
      </c>
    </row>
    <row r="10304" spans="1:13" x14ac:dyDescent="0.3">
      <c r="A10304" t="s">
        <v>3383</v>
      </c>
      <c r="B10304" t="s">
        <v>6063</v>
      </c>
      <c r="C10304" t="s">
        <v>5470</v>
      </c>
      <c r="D10304" t="s">
        <v>10218</v>
      </c>
      <c r="E10304" t="s">
        <v>5756</v>
      </c>
      <c r="F10304" t="s">
        <v>35821</v>
      </c>
      <c r="G10304" t="s">
        <v>35822</v>
      </c>
      <c r="H10304" t="s">
        <v>5474</v>
      </c>
      <c r="I10304" t="s">
        <v>35823</v>
      </c>
      <c r="J10304" t="s">
        <v>5484</v>
      </c>
      <c r="K10304" t="s">
        <v>35824</v>
      </c>
      <c r="L10304" t="s">
        <v>5471</v>
      </c>
      <c r="M10304" t="s">
        <v>5471</v>
      </c>
    </row>
    <row r="10305" spans="1:13" x14ac:dyDescent="0.3">
      <c r="A10305" t="s">
        <v>3397</v>
      </c>
      <c r="B10305" t="s">
        <v>7424</v>
      </c>
      <c r="C10305" t="s">
        <v>5487</v>
      </c>
      <c r="D10305" t="s">
        <v>4081</v>
      </c>
      <c r="E10305" t="s">
        <v>5756</v>
      </c>
      <c r="F10305" t="s">
        <v>35825</v>
      </c>
      <c r="G10305" t="s">
        <v>35819</v>
      </c>
      <c r="H10305" t="s">
        <v>5474</v>
      </c>
      <c r="I10305" t="s">
        <v>35826</v>
      </c>
      <c r="J10305" t="s">
        <v>5484</v>
      </c>
      <c r="K10305" t="s">
        <v>35819</v>
      </c>
      <c r="L10305" t="s">
        <v>5471</v>
      </c>
      <c r="M10305" t="s">
        <v>5471</v>
      </c>
    </row>
    <row r="10306" spans="1:13" x14ac:dyDescent="0.3">
      <c r="A10306" t="s">
        <v>3383</v>
      </c>
      <c r="B10306" t="s">
        <v>5952</v>
      </c>
      <c r="C10306" t="s">
        <v>5470</v>
      </c>
      <c r="D10306" t="s">
        <v>10218</v>
      </c>
      <c r="E10306" t="s">
        <v>5756</v>
      </c>
      <c r="F10306" t="s">
        <v>35827</v>
      </c>
      <c r="G10306" t="s">
        <v>26804</v>
      </c>
      <c r="H10306" t="s">
        <v>5474</v>
      </c>
      <c r="I10306" t="s">
        <v>35828</v>
      </c>
      <c r="J10306" t="s">
        <v>5484</v>
      </c>
      <c r="K10306" t="s">
        <v>35829</v>
      </c>
      <c r="L10306" t="s">
        <v>5471</v>
      </c>
      <c r="M10306" t="s">
        <v>5471</v>
      </c>
    </row>
    <row r="10307" spans="1:13" x14ac:dyDescent="0.3">
      <c r="A10307" t="s">
        <v>3380</v>
      </c>
      <c r="B10307" t="s">
        <v>10137</v>
      </c>
      <c r="C10307" t="s">
        <v>6342</v>
      </c>
      <c r="D10307" t="s">
        <v>4119</v>
      </c>
      <c r="E10307" t="s">
        <v>5480</v>
      </c>
      <c r="F10307" t="s">
        <v>35830</v>
      </c>
      <c r="G10307" t="s">
        <v>10145</v>
      </c>
      <c r="H10307" t="s">
        <v>5474</v>
      </c>
      <c r="I10307" t="s">
        <v>35831</v>
      </c>
      <c r="J10307" t="s">
        <v>5476</v>
      </c>
      <c r="K10307" t="s">
        <v>14202</v>
      </c>
      <c r="L10307" t="s">
        <v>5471</v>
      </c>
      <c r="M10307" t="s">
        <v>5471</v>
      </c>
    </row>
    <row r="10308" spans="1:13" x14ac:dyDescent="0.3">
      <c r="A10308" t="s">
        <v>3397</v>
      </c>
      <c r="B10308" t="s">
        <v>7424</v>
      </c>
      <c r="C10308" t="s">
        <v>5487</v>
      </c>
      <c r="D10308" t="s">
        <v>4081</v>
      </c>
      <c r="E10308" t="s">
        <v>5756</v>
      </c>
      <c r="F10308" t="s">
        <v>35832</v>
      </c>
      <c r="G10308" t="s">
        <v>35819</v>
      </c>
      <c r="H10308" t="s">
        <v>5474</v>
      </c>
      <c r="I10308" t="s">
        <v>35833</v>
      </c>
      <c r="J10308" t="s">
        <v>5484</v>
      </c>
      <c r="K10308" t="s">
        <v>35819</v>
      </c>
      <c r="L10308" t="s">
        <v>5471</v>
      </c>
      <c r="M10308" t="s">
        <v>5471</v>
      </c>
    </row>
    <row r="10309" spans="1:13" x14ac:dyDescent="0.3">
      <c r="A10309" t="s">
        <v>3380</v>
      </c>
      <c r="B10309" t="s">
        <v>5261</v>
      </c>
      <c r="C10309" t="s">
        <v>6342</v>
      </c>
      <c r="D10309" t="s">
        <v>4119</v>
      </c>
      <c r="E10309" t="s">
        <v>5480</v>
      </c>
      <c r="F10309" t="s">
        <v>35834</v>
      </c>
      <c r="G10309" t="s">
        <v>35588</v>
      </c>
      <c r="H10309" t="s">
        <v>5474</v>
      </c>
      <c r="I10309" t="s">
        <v>35835</v>
      </c>
      <c r="J10309" t="s">
        <v>5476</v>
      </c>
      <c r="K10309" t="s">
        <v>35836</v>
      </c>
      <c r="L10309" t="s">
        <v>5471</v>
      </c>
      <c r="M10309" t="s">
        <v>5471</v>
      </c>
    </row>
    <row r="10310" spans="1:13" x14ac:dyDescent="0.3">
      <c r="A10310" t="s">
        <v>3397</v>
      </c>
      <c r="B10310" t="s">
        <v>7424</v>
      </c>
      <c r="C10310" t="s">
        <v>5487</v>
      </c>
      <c r="D10310" t="s">
        <v>4081</v>
      </c>
      <c r="E10310" t="s">
        <v>5756</v>
      </c>
      <c r="F10310" t="s">
        <v>35837</v>
      </c>
      <c r="G10310" t="s">
        <v>35838</v>
      </c>
      <c r="H10310" t="s">
        <v>5474</v>
      </c>
      <c r="I10310" t="s">
        <v>35839</v>
      </c>
      <c r="J10310" t="s">
        <v>5484</v>
      </c>
      <c r="K10310" t="s">
        <v>35838</v>
      </c>
      <c r="L10310" t="s">
        <v>5471</v>
      </c>
      <c r="M10310" t="s">
        <v>5471</v>
      </c>
    </row>
    <row r="10311" spans="1:13" x14ac:dyDescent="0.3">
      <c r="A10311" t="s">
        <v>3397</v>
      </c>
      <c r="B10311" t="s">
        <v>7424</v>
      </c>
      <c r="C10311" t="s">
        <v>5487</v>
      </c>
      <c r="D10311" t="s">
        <v>4081</v>
      </c>
      <c r="E10311" t="s">
        <v>5756</v>
      </c>
      <c r="F10311" t="s">
        <v>35840</v>
      </c>
      <c r="G10311" t="s">
        <v>35841</v>
      </c>
      <c r="H10311" t="s">
        <v>5474</v>
      </c>
      <c r="I10311" t="s">
        <v>35842</v>
      </c>
      <c r="J10311" t="s">
        <v>5484</v>
      </c>
      <c r="K10311" t="s">
        <v>35841</v>
      </c>
      <c r="L10311" t="s">
        <v>5471</v>
      </c>
      <c r="M10311" t="s">
        <v>5471</v>
      </c>
    </row>
    <row r="10312" spans="1:13" x14ac:dyDescent="0.3">
      <c r="A10312" t="s">
        <v>3397</v>
      </c>
      <c r="B10312" t="s">
        <v>7424</v>
      </c>
      <c r="C10312" t="s">
        <v>5487</v>
      </c>
      <c r="D10312" t="s">
        <v>4081</v>
      </c>
      <c r="E10312" t="s">
        <v>5756</v>
      </c>
      <c r="F10312" t="s">
        <v>35843</v>
      </c>
      <c r="G10312" t="s">
        <v>35838</v>
      </c>
      <c r="H10312" t="s">
        <v>5474</v>
      </c>
      <c r="I10312" t="s">
        <v>35844</v>
      </c>
      <c r="J10312" t="s">
        <v>5484</v>
      </c>
      <c r="K10312" t="s">
        <v>35838</v>
      </c>
      <c r="L10312" t="s">
        <v>5471</v>
      </c>
      <c r="M10312" t="s">
        <v>5471</v>
      </c>
    </row>
    <row r="10313" spans="1:13" x14ac:dyDescent="0.3">
      <c r="A10313" t="s">
        <v>3397</v>
      </c>
      <c r="B10313" t="s">
        <v>7424</v>
      </c>
      <c r="C10313" t="s">
        <v>5487</v>
      </c>
      <c r="D10313" t="s">
        <v>4081</v>
      </c>
      <c r="E10313" t="s">
        <v>5756</v>
      </c>
      <c r="F10313" t="s">
        <v>35845</v>
      </c>
      <c r="G10313" t="s">
        <v>35841</v>
      </c>
      <c r="H10313" t="s">
        <v>5474</v>
      </c>
      <c r="I10313" t="s">
        <v>35846</v>
      </c>
      <c r="J10313" t="s">
        <v>5484</v>
      </c>
      <c r="K10313" t="s">
        <v>35841</v>
      </c>
      <c r="L10313" t="s">
        <v>5471</v>
      </c>
      <c r="M10313" t="s">
        <v>5471</v>
      </c>
    </row>
    <row r="10314" spans="1:13" x14ac:dyDescent="0.3">
      <c r="A10314" t="s">
        <v>3380</v>
      </c>
      <c r="B10314" t="s">
        <v>5247</v>
      </c>
      <c r="C10314" t="s">
        <v>6342</v>
      </c>
      <c r="D10314" t="s">
        <v>4119</v>
      </c>
      <c r="E10314" t="s">
        <v>5480</v>
      </c>
      <c r="F10314" t="s">
        <v>35847</v>
      </c>
      <c r="G10314" t="s">
        <v>16147</v>
      </c>
      <c r="H10314" t="s">
        <v>5474</v>
      </c>
      <c r="I10314" t="s">
        <v>35848</v>
      </c>
      <c r="J10314" t="s">
        <v>5476</v>
      </c>
      <c r="K10314" t="s">
        <v>35656</v>
      </c>
      <c r="L10314" t="s">
        <v>5471</v>
      </c>
      <c r="M10314" t="s">
        <v>5471</v>
      </c>
    </row>
    <row r="10315" spans="1:13" x14ac:dyDescent="0.3">
      <c r="A10315" t="s">
        <v>3397</v>
      </c>
      <c r="B10315" t="s">
        <v>7424</v>
      </c>
      <c r="C10315" t="s">
        <v>5487</v>
      </c>
      <c r="D10315" t="s">
        <v>4081</v>
      </c>
      <c r="E10315" t="s">
        <v>5756</v>
      </c>
      <c r="F10315" t="s">
        <v>35849</v>
      </c>
      <c r="G10315" t="s">
        <v>35838</v>
      </c>
      <c r="H10315" t="s">
        <v>5474</v>
      </c>
      <c r="I10315" t="s">
        <v>35850</v>
      </c>
      <c r="J10315" t="s">
        <v>5484</v>
      </c>
      <c r="K10315" t="s">
        <v>35838</v>
      </c>
      <c r="L10315" t="s">
        <v>5471</v>
      </c>
      <c r="M10315" t="s">
        <v>5471</v>
      </c>
    </row>
    <row r="10316" spans="1:13" x14ac:dyDescent="0.3">
      <c r="A10316" t="s">
        <v>3397</v>
      </c>
      <c r="B10316" t="s">
        <v>7424</v>
      </c>
      <c r="C10316" t="s">
        <v>5487</v>
      </c>
      <c r="D10316" t="s">
        <v>4081</v>
      </c>
      <c r="E10316" t="s">
        <v>5756</v>
      </c>
      <c r="F10316" t="s">
        <v>35851</v>
      </c>
      <c r="G10316" t="s">
        <v>35841</v>
      </c>
      <c r="H10316" t="s">
        <v>5474</v>
      </c>
      <c r="I10316" t="s">
        <v>35852</v>
      </c>
      <c r="J10316" t="s">
        <v>5484</v>
      </c>
      <c r="K10316" t="s">
        <v>35841</v>
      </c>
      <c r="L10316" t="s">
        <v>5471</v>
      </c>
      <c r="M10316" t="s">
        <v>5471</v>
      </c>
    </row>
    <row r="10317" spans="1:13" x14ac:dyDescent="0.3">
      <c r="A10317" t="s">
        <v>3397</v>
      </c>
      <c r="B10317" t="s">
        <v>7424</v>
      </c>
      <c r="C10317" t="s">
        <v>5487</v>
      </c>
      <c r="D10317" t="s">
        <v>4081</v>
      </c>
      <c r="E10317" t="s">
        <v>5756</v>
      </c>
      <c r="F10317" t="s">
        <v>35853</v>
      </c>
      <c r="G10317" t="s">
        <v>35854</v>
      </c>
      <c r="H10317" t="s">
        <v>5474</v>
      </c>
      <c r="I10317" t="s">
        <v>35855</v>
      </c>
      <c r="J10317" t="s">
        <v>5484</v>
      </c>
      <c r="K10317" t="s">
        <v>35854</v>
      </c>
      <c r="L10317" t="s">
        <v>5471</v>
      </c>
      <c r="M10317" t="s">
        <v>5471</v>
      </c>
    </row>
    <row r="10318" spans="1:13" x14ac:dyDescent="0.3">
      <c r="A10318" t="s">
        <v>3383</v>
      </c>
      <c r="B10318" t="s">
        <v>6094</v>
      </c>
      <c r="C10318" t="s">
        <v>5470</v>
      </c>
      <c r="D10318" t="s">
        <v>4119</v>
      </c>
      <c r="E10318" t="s">
        <v>5532</v>
      </c>
      <c r="F10318" t="s">
        <v>35856</v>
      </c>
      <c r="G10318" t="s">
        <v>12127</v>
      </c>
      <c r="H10318" t="s">
        <v>5474</v>
      </c>
      <c r="I10318" t="s">
        <v>35857</v>
      </c>
      <c r="J10318" t="s">
        <v>5484</v>
      </c>
      <c r="K10318" t="s">
        <v>35858</v>
      </c>
      <c r="L10318" t="s">
        <v>5471</v>
      </c>
      <c r="M10318" t="s">
        <v>5471</v>
      </c>
    </row>
    <row r="10319" spans="1:13" x14ac:dyDescent="0.3">
      <c r="A10319" t="s">
        <v>3380</v>
      </c>
      <c r="B10319" t="s">
        <v>10137</v>
      </c>
      <c r="C10319" t="s">
        <v>6342</v>
      </c>
      <c r="D10319" t="s">
        <v>4119</v>
      </c>
      <c r="E10319" t="s">
        <v>5480</v>
      </c>
      <c r="F10319" t="s">
        <v>35859</v>
      </c>
      <c r="G10319" t="s">
        <v>10145</v>
      </c>
      <c r="H10319" t="s">
        <v>5474</v>
      </c>
      <c r="I10319" t="s">
        <v>35860</v>
      </c>
      <c r="J10319" t="s">
        <v>5476</v>
      </c>
      <c r="K10319" t="s">
        <v>35861</v>
      </c>
      <c r="L10319" t="s">
        <v>5471</v>
      </c>
      <c r="M10319" t="s">
        <v>5471</v>
      </c>
    </row>
    <row r="10320" spans="1:13" x14ac:dyDescent="0.3">
      <c r="A10320" t="s">
        <v>3383</v>
      </c>
      <c r="B10320" t="s">
        <v>6018</v>
      </c>
      <c r="C10320" t="s">
        <v>5470</v>
      </c>
      <c r="D10320" t="s">
        <v>10218</v>
      </c>
      <c r="E10320" t="s">
        <v>5756</v>
      </c>
      <c r="F10320" t="s">
        <v>35862</v>
      </c>
      <c r="G10320" t="s">
        <v>6279</v>
      </c>
      <c r="H10320" t="s">
        <v>5474</v>
      </c>
      <c r="I10320" t="s">
        <v>35863</v>
      </c>
      <c r="J10320" t="s">
        <v>5484</v>
      </c>
      <c r="K10320" t="s">
        <v>35784</v>
      </c>
      <c r="L10320" t="s">
        <v>5471</v>
      </c>
      <c r="M10320" t="s">
        <v>5471</v>
      </c>
    </row>
    <row r="10321" spans="1:13" x14ac:dyDescent="0.3">
      <c r="A10321" t="s">
        <v>3397</v>
      </c>
      <c r="B10321" t="s">
        <v>7424</v>
      </c>
      <c r="C10321" t="s">
        <v>5487</v>
      </c>
      <c r="D10321" t="s">
        <v>4081</v>
      </c>
      <c r="E10321" t="s">
        <v>5756</v>
      </c>
      <c r="F10321" t="s">
        <v>35864</v>
      </c>
      <c r="G10321" t="s">
        <v>35854</v>
      </c>
      <c r="H10321" t="s">
        <v>5474</v>
      </c>
      <c r="I10321" t="s">
        <v>35865</v>
      </c>
      <c r="J10321" t="s">
        <v>5484</v>
      </c>
      <c r="K10321" t="s">
        <v>35854</v>
      </c>
      <c r="L10321" t="s">
        <v>5471</v>
      </c>
      <c r="M10321" t="s">
        <v>5471</v>
      </c>
    </row>
    <row r="10322" spans="1:13" x14ac:dyDescent="0.3">
      <c r="A10322" t="s">
        <v>3397</v>
      </c>
      <c r="B10322" t="s">
        <v>7424</v>
      </c>
      <c r="C10322" t="s">
        <v>5487</v>
      </c>
      <c r="D10322" t="s">
        <v>4081</v>
      </c>
      <c r="E10322" t="s">
        <v>5756</v>
      </c>
      <c r="F10322" t="s">
        <v>35866</v>
      </c>
      <c r="G10322" t="s">
        <v>35854</v>
      </c>
      <c r="H10322" t="s">
        <v>5474</v>
      </c>
      <c r="I10322" t="s">
        <v>35867</v>
      </c>
      <c r="J10322" t="s">
        <v>5484</v>
      </c>
      <c r="K10322" t="s">
        <v>35854</v>
      </c>
      <c r="L10322" t="s">
        <v>5471</v>
      </c>
      <c r="M10322" t="s">
        <v>5471</v>
      </c>
    </row>
    <row r="10323" spans="1:13" x14ac:dyDescent="0.3">
      <c r="A10323" t="s">
        <v>3380</v>
      </c>
      <c r="B10323" t="s">
        <v>10137</v>
      </c>
      <c r="C10323" t="s">
        <v>6342</v>
      </c>
      <c r="D10323" t="s">
        <v>4119</v>
      </c>
      <c r="E10323" t="s">
        <v>5480</v>
      </c>
      <c r="F10323" t="s">
        <v>35868</v>
      </c>
      <c r="G10323" t="s">
        <v>35869</v>
      </c>
      <c r="H10323" t="s">
        <v>5474</v>
      </c>
      <c r="I10323" t="s">
        <v>35870</v>
      </c>
      <c r="J10323" t="s">
        <v>5476</v>
      </c>
      <c r="K10323" t="s">
        <v>35593</v>
      </c>
      <c r="L10323" t="s">
        <v>5471</v>
      </c>
      <c r="M10323" t="s">
        <v>5471</v>
      </c>
    </row>
    <row r="10324" spans="1:13" x14ac:dyDescent="0.3">
      <c r="A10324" t="s">
        <v>3383</v>
      </c>
      <c r="B10324" t="s">
        <v>8875</v>
      </c>
      <c r="C10324" t="s">
        <v>5470</v>
      </c>
      <c r="D10324" t="s">
        <v>4119</v>
      </c>
      <c r="E10324" t="s">
        <v>5532</v>
      </c>
      <c r="F10324" t="s">
        <v>35871</v>
      </c>
      <c r="G10324" t="s">
        <v>35872</v>
      </c>
      <c r="H10324" t="s">
        <v>5474</v>
      </c>
      <c r="I10324" t="s">
        <v>35873</v>
      </c>
      <c r="J10324" t="s">
        <v>5484</v>
      </c>
      <c r="K10324" t="s">
        <v>35874</v>
      </c>
      <c r="L10324" t="s">
        <v>5471</v>
      </c>
      <c r="M10324" t="s">
        <v>5471</v>
      </c>
    </row>
    <row r="10325" spans="1:13" x14ac:dyDescent="0.3">
      <c r="A10325" t="s">
        <v>3383</v>
      </c>
      <c r="B10325" t="s">
        <v>34306</v>
      </c>
      <c r="C10325" t="s">
        <v>5470</v>
      </c>
      <c r="D10325" t="s">
        <v>4119</v>
      </c>
      <c r="E10325" t="s">
        <v>5532</v>
      </c>
      <c r="F10325" t="s">
        <v>35875</v>
      </c>
      <c r="G10325" t="s">
        <v>8941</v>
      </c>
      <c r="H10325" t="s">
        <v>5474</v>
      </c>
      <c r="I10325" t="s">
        <v>35876</v>
      </c>
      <c r="J10325" t="s">
        <v>5484</v>
      </c>
      <c r="K10325" t="s">
        <v>35877</v>
      </c>
      <c r="L10325" t="s">
        <v>5471</v>
      </c>
      <c r="M10325" t="s">
        <v>5471</v>
      </c>
    </row>
    <row r="10326" spans="1:13" x14ac:dyDescent="0.3">
      <c r="A10326" t="s">
        <v>3383</v>
      </c>
      <c r="B10326" t="s">
        <v>34310</v>
      </c>
      <c r="C10326" t="s">
        <v>5470</v>
      </c>
      <c r="D10326" t="s">
        <v>4119</v>
      </c>
      <c r="E10326" t="s">
        <v>5532</v>
      </c>
      <c r="F10326" t="s">
        <v>35878</v>
      </c>
      <c r="G10326" t="s">
        <v>6586</v>
      </c>
      <c r="H10326" t="s">
        <v>5474</v>
      </c>
      <c r="I10326" t="s">
        <v>35879</v>
      </c>
      <c r="J10326" t="s">
        <v>5484</v>
      </c>
      <c r="K10326" t="s">
        <v>34313</v>
      </c>
      <c r="L10326" t="s">
        <v>5471</v>
      </c>
      <c r="M10326" t="s">
        <v>5471</v>
      </c>
    </row>
    <row r="10327" spans="1:13" x14ac:dyDescent="0.3">
      <c r="A10327" t="s">
        <v>3383</v>
      </c>
      <c r="B10327" t="s">
        <v>6018</v>
      </c>
      <c r="C10327" t="s">
        <v>5470</v>
      </c>
      <c r="D10327" t="s">
        <v>10218</v>
      </c>
      <c r="E10327" t="s">
        <v>5756</v>
      </c>
      <c r="F10327" t="s">
        <v>35880</v>
      </c>
      <c r="G10327" t="s">
        <v>35881</v>
      </c>
      <c r="H10327" t="s">
        <v>5474</v>
      </c>
      <c r="I10327" t="s">
        <v>35882</v>
      </c>
      <c r="J10327" t="s">
        <v>5484</v>
      </c>
      <c r="K10327" t="s">
        <v>35883</v>
      </c>
      <c r="L10327" t="s">
        <v>5471</v>
      </c>
      <c r="M10327" t="s">
        <v>5471</v>
      </c>
    </row>
    <row r="10328" spans="1:13" x14ac:dyDescent="0.3">
      <c r="A10328" t="s">
        <v>3380</v>
      </c>
      <c r="B10328" t="s">
        <v>5247</v>
      </c>
      <c r="C10328" t="s">
        <v>6342</v>
      </c>
      <c r="D10328" t="s">
        <v>4119</v>
      </c>
      <c r="E10328" t="s">
        <v>5480</v>
      </c>
      <c r="F10328" t="s">
        <v>35884</v>
      </c>
      <c r="G10328" t="s">
        <v>16147</v>
      </c>
      <c r="H10328" t="s">
        <v>5474</v>
      </c>
      <c r="I10328" t="s">
        <v>35885</v>
      </c>
      <c r="J10328" t="s">
        <v>5476</v>
      </c>
      <c r="K10328" t="s">
        <v>35683</v>
      </c>
      <c r="L10328" t="s">
        <v>5471</v>
      </c>
      <c r="M10328" t="s">
        <v>5471</v>
      </c>
    </row>
    <row r="10329" spans="1:13" x14ac:dyDescent="0.3">
      <c r="A10329" t="s">
        <v>3380</v>
      </c>
      <c r="B10329" t="s">
        <v>10137</v>
      </c>
      <c r="C10329" t="s">
        <v>6342</v>
      </c>
      <c r="D10329" t="s">
        <v>4119</v>
      </c>
      <c r="E10329" t="s">
        <v>5480</v>
      </c>
      <c r="F10329" t="s">
        <v>35886</v>
      </c>
      <c r="G10329" t="s">
        <v>35869</v>
      </c>
      <c r="H10329" t="s">
        <v>5474</v>
      </c>
      <c r="I10329" t="s">
        <v>35887</v>
      </c>
      <c r="J10329" t="s">
        <v>5476</v>
      </c>
      <c r="K10329" t="s">
        <v>35605</v>
      </c>
      <c r="L10329" t="s">
        <v>5471</v>
      </c>
      <c r="M10329" t="s">
        <v>5471</v>
      </c>
    </row>
    <row r="10330" spans="1:13" x14ac:dyDescent="0.3">
      <c r="A10330" t="s">
        <v>3383</v>
      </c>
      <c r="B10330" t="s">
        <v>6018</v>
      </c>
      <c r="C10330" t="s">
        <v>5470</v>
      </c>
      <c r="D10330" t="s">
        <v>10218</v>
      </c>
      <c r="E10330" t="s">
        <v>5756</v>
      </c>
      <c r="F10330" t="s">
        <v>35888</v>
      </c>
      <c r="G10330" t="s">
        <v>6279</v>
      </c>
      <c r="H10330" t="s">
        <v>5474</v>
      </c>
      <c r="I10330" t="s">
        <v>35889</v>
      </c>
      <c r="J10330" t="s">
        <v>5484</v>
      </c>
      <c r="K10330" t="s">
        <v>35784</v>
      </c>
      <c r="L10330" t="s">
        <v>5471</v>
      </c>
      <c r="M10330" t="s">
        <v>5471</v>
      </c>
    </row>
    <row r="10331" spans="1:13" x14ac:dyDescent="0.3">
      <c r="A10331" t="s">
        <v>3383</v>
      </c>
      <c r="B10331" t="s">
        <v>6018</v>
      </c>
      <c r="C10331" t="s">
        <v>5470</v>
      </c>
      <c r="D10331" t="s">
        <v>10218</v>
      </c>
      <c r="E10331" t="s">
        <v>5756</v>
      </c>
      <c r="F10331" t="s">
        <v>35890</v>
      </c>
      <c r="G10331" t="s">
        <v>6279</v>
      </c>
      <c r="H10331" t="s">
        <v>5474</v>
      </c>
      <c r="I10331" t="s">
        <v>35891</v>
      </c>
      <c r="J10331" t="s">
        <v>5484</v>
      </c>
      <c r="K10331" t="s">
        <v>35784</v>
      </c>
      <c r="L10331" t="s">
        <v>5471</v>
      </c>
      <c r="M10331" t="s">
        <v>5471</v>
      </c>
    </row>
    <row r="10332" spans="1:13" x14ac:dyDescent="0.3">
      <c r="A10332" t="s">
        <v>3383</v>
      </c>
      <c r="B10332" t="s">
        <v>6018</v>
      </c>
      <c r="C10332" t="s">
        <v>5470</v>
      </c>
      <c r="D10332" t="s">
        <v>10218</v>
      </c>
      <c r="E10332" t="s">
        <v>5756</v>
      </c>
      <c r="F10332" t="s">
        <v>35892</v>
      </c>
      <c r="G10332" t="s">
        <v>6279</v>
      </c>
      <c r="H10332" t="s">
        <v>5474</v>
      </c>
      <c r="I10332" t="s">
        <v>35893</v>
      </c>
      <c r="J10332" t="s">
        <v>5484</v>
      </c>
      <c r="K10332" t="s">
        <v>35894</v>
      </c>
      <c r="L10332" t="s">
        <v>5471</v>
      </c>
      <c r="M10332" t="s">
        <v>5471</v>
      </c>
    </row>
    <row r="10333" spans="1:13" x14ac:dyDescent="0.3">
      <c r="A10333" t="s">
        <v>3380</v>
      </c>
      <c r="B10333" t="s">
        <v>10137</v>
      </c>
      <c r="C10333" t="s">
        <v>6342</v>
      </c>
      <c r="D10333" t="s">
        <v>4119</v>
      </c>
      <c r="E10333" t="s">
        <v>5480</v>
      </c>
      <c r="F10333" t="s">
        <v>35895</v>
      </c>
      <c r="G10333" t="s">
        <v>10145</v>
      </c>
      <c r="H10333" t="s">
        <v>5474</v>
      </c>
      <c r="I10333" t="s">
        <v>35896</v>
      </c>
      <c r="J10333" t="s">
        <v>5476</v>
      </c>
      <c r="K10333" t="s">
        <v>35656</v>
      </c>
      <c r="L10333" t="s">
        <v>5471</v>
      </c>
      <c r="M10333" t="s">
        <v>5471</v>
      </c>
    </row>
    <row r="10334" spans="1:13" x14ac:dyDescent="0.3">
      <c r="A10334" t="s">
        <v>3383</v>
      </c>
      <c r="B10334" t="s">
        <v>5294</v>
      </c>
      <c r="C10334" t="s">
        <v>5470</v>
      </c>
      <c r="D10334" t="s">
        <v>10218</v>
      </c>
      <c r="E10334" t="s">
        <v>5756</v>
      </c>
      <c r="F10334" t="s">
        <v>35897</v>
      </c>
      <c r="G10334" t="s">
        <v>6407</v>
      </c>
      <c r="H10334" t="s">
        <v>5474</v>
      </c>
      <c r="I10334" t="s">
        <v>35898</v>
      </c>
      <c r="J10334" t="s">
        <v>5484</v>
      </c>
      <c r="K10334" t="s">
        <v>35899</v>
      </c>
      <c r="L10334" t="s">
        <v>5471</v>
      </c>
      <c r="M10334" t="s">
        <v>5471</v>
      </c>
    </row>
    <row r="10335" spans="1:13" x14ac:dyDescent="0.3">
      <c r="A10335" t="s">
        <v>3380</v>
      </c>
      <c r="B10335" t="s">
        <v>10137</v>
      </c>
      <c r="C10335" t="s">
        <v>6342</v>
      </c>
      <c r="D10335" t="s">
        <v>4119</v>
      </c>
      <c r="E10335" t="s">
        <v>5480</v>
      </c>
      <c r="F10335" t="s">
        <v>35900</v>
      </c>
      <c r="G10335" t="s">
        <v>35869</v>
      </c>
      <c r="H10335" t="s">
        <v>5474</v>
      </c>
      <c r="I10335" t="s">
        <v>35901</v>
      </c>
      <c r="J10335" t="s">
        <v>5476</v>
      </c>
      <c r="K10335" t="s">
        <v>35699</v>
      </c>
      <c r="L10335" t="s">
        <v>5471</v>
      </c>
      <c r="M10335" t="s">
        <v>5471</v>
      </c>
    </row>
    <row r="10336" spans="1:13" x14ac:dyDescent="0.3">
      <c r="A10336" t="s">
        <v>3383</v>
      </c>
      <c r="B10336" t="s">
        <v>6018</v>
      </c>
      <c r="C10336" t="s">
        <v>5470</v>
      </c>
      <c r="D10336" t="s">
        <v>10218</v>
      </c>
      <c r="E10336" t="s">
        <v>5756</v>
      </c>
      <c r="F10336" t="s">
        <v>35902</v>
      </c>
      <c r="G10336" t="s">
        <v>35903</v>
      </c>
      <c r="H10336" t="s">
        <v>5474</v>
      </c>
      <c r="I10336" t="s">
        <v>35904</v>
      </c>
      <c r="J10336" t="s">
        <v>5484</v>
      </c>
      <c r="K10336" t="s">
        <v>35784</v>
      </c>
      <c r="L10336" t="s">
        <v>5471</v>
      </c>
      <c r="M10336" t="s">
        <v>5471</v>
      </c>
    </row>
    <row r="10337" spans="1:13" x14ac:dyDescent="0.3">
      <c r="A10337" t="s">
        <v>3380</v>
      </c>
      <c r="B10337" t="s">
        <v>5261</v>
      </c>
      <c r="C10337" t="s">
        <v>6342</v>
      </c>
      <c r="D10337" t="s">
        <v>4119</v>
      </c>
      <c r="E10337" t="s">
        <v>5480</v>
      </c>
      <c r="F10337" t="s">
        <v>35905</v>
      </c>
      <c r="G10337" t="s">
        <v>35588</v>
      </c>
      <c r="H10337" t="s">
        <v>5474</v>
      </c>
      <c r="I10337" t="s">
        <v>35906</v>
      </c>
      <c r="J10337" t="s">
        <v>5476</v>
      </c>
      <c r="K10337" t="s">
        <v>35907</v>
      </c>
      <c r="L10337" t="s">
        <v>5471</v>
      </c>
      <c r="M10337" t="s">
        <v>5471</v>
      </c>
    </row>
    <row r="10338" spans="1:13" x14ac:dyDescent="0.3">
      <c r="A10338" t="s">
        <v>3380</v>
      </c>
      <c r="B10338" t="s">
        <v>10137</v>
      </c>
      <c r="C10338" t="s">
        <v>6342</v>
      </c>
      <c r="D10338" t="s">
        <v>4119</v>
      </c>
      <c r="E10338" t="s">
        <v>5480</v>
      </c>
      <c r="F10338" t="s">
        <v>35908</v>
      </c>
      <c r="G10338" t="s">
        <v>35869</v>
      </c>
      <c r="H10338" t="s">
        <v>5474</v>
      </c>
      <c r="I10338" t="s">
        <v>35909</v>
      </c>
      <c r="J10338" t="s">
        <v>5476</v>
      </c>
      <c r="K10338" t="s">
        <v>35710</v>
      </c>
      <c r="L10338" t="s">
        <v>5471</v>
      </c>
      <c r="M10338" t="s">
        <v>5471</v>
      </c>
    </row>
    <row r="10339" spans="1:13" x14ac:dyDescent="0.3">
      <c r="A10339" t="s">
        <v>3380</v>
      </c>
      <c r="B10339" t="s">
        <v>10137</v>
      </c>
      <c r="C10339" t="s">
        <v>6342</v>
      </c>
      <c r="D10339" t="s">
        <v>4119</v>
      </c>
      <c r="E10339" t="s">
        <v>5480</v>
      </c>
      <c r="F10339" t="s">
        <v>35910</v>
      </c>
      <c r="G10339" t="s">
        <v>10145</v>
      </c>
      <c r="H10339" t="s">
        <v>5474</v>
      </c>
      <c r="I10339" t="s">
        <v>35911</v>
      </c>
      <c r="J10339" t="s">
        <v>5476</v>
      </c>
      <c r="K10339" t="s">
        <v>35683</v>
      </c>
      <c r="L10339" t="s">
        <v>5471</v>
      </c>
      <c r="M10339" t="s">
        <v>5471</v>
      </c>
    </row>
    <row r="10340" spans="1:13" x14ac:dyDescent="0.3">
      <c r="A10340" t="s">
        <v>3380</v>
      </c>
      <c r="B10340" t="s">
        <v>10137</v>
      </c>
      <c r="C10340" t="s">
        <v>6342</v>
      </c>
      <c r="D10340" t="s">
        <v>4119</v>
      </c>
      <c r="E10340" t="s">
        <v>5480</v>
      </c>
      <c r="F10340" t="s">
        <v>35912</v>
      </c>
      <c r="G10340" t="s">
        <v>35869</v>
      </c>
      <c r="H10340" t="s">
        <v>5474</v>
      </c>
      <c r="I10340" t="s">
        <v>35913</v>
      </c>
      <c r="J10340" t="s">
        <v>5476</v>
      </c>
      <c r="K10340" t="s">
        <v>35726</v>
      </c>
      <c r="L10340" t="s">
        <v>5471</v>
      </c>
      <c r="M10340" t="s">
        <v>5471</v>
      </c>
    </row>
    <row r="10341" spans="1:13" x14ac:dyDescent="0.3">
      <c r="A10341" t="s">
        <v>3380</v>
      </c>
      <c r="B10341" t="s">
        <v>5247</v>
      </c>
      <c r="C10341" t="s">
        <v>6342</v>
      </c>
      <c r="D10341" t="s">
        <v>4119</v>
      </c>
      <c r="E10341" t="s">
        <v>5480</v>
      </c>
      <c r="F10341" t="s">
        <v>35914</v>
      </c>
      <c r="G10341" t="s">
        <v>16147</v>
      </c>
      <c r="H10341" t="s">
        <v>5474</v>
      </c>
      <c r="I10341" t="s">
        <v>35915</v>
      </c>
      <c r="J10341" t="s">
        <v>5476</v>
      </c>
      <c r="K10341" t="s">
        <v>35916</v>
      </c>
      <c r="L10341" t="s">
        <v>5471</v>
      </c>
      <c r="M10341" t="s">
        <v>5471</v>
      </c>
    </row>
    <row r="10342" spans="1:13" x14ac:dyDescent="0.3">
      <c r="A10342" t="s">
        <v>3380</v>
      </c>
      <c r="B10342" t="s">
        <v>10137</v>
      </c>
      <c r="C10342" t="s">
        <v>6342</v>
      </c>
      <c r="D10342" t="s">
        <v>4119</v>
      </c>
      <c r="E10342" t="s">
        <v>5480</v>
      </c>
      <c r="F10342" t="s">
        <v>35917</v>
      </c>
      <c r="G10342" t="s">
        <v>10145</v>
      </c>
      <c r="H10342" t="s">
        <v>5474</v>
      </c>
      <c r="I10342" t="s">
        <v>35918</v>
      </c>
      <c r="J10342" t="s">
        <v>5476</v>
      </c>
      <c r="K10342" t="s">
        <v>11500</v>
      </c>
      <c r="L10342" t="s">
        <v>5471</v>
      </c>
      <c r="M10342" t="s">
        <v>5471</v>
      </c>
    </row>
    <row r="10343" spans="1:13" x14ac:dyDescent="0.3">
      <c r="A10343" t="s">
        <v>3380</v>
      </c>
      <c r="B10343" t="s">
        <v>10137</v>
      </c>
      <c r="C10343" t="s">
        <v>6342</v>
      </c>
      <c r="D10343" t="s">
        <v>4119</v>
      </c>
      <c r="E10343" t="s">
        <v>5480</v>
      </c>
      <c r="F10343" t="s">
        <v>35919</v>
      </c>
      <c r="G10343" t="s">
        <v>35869</v>
      </c>
      <c r="H10343" t="s">
        <v>5474</v>
      </c>
      <c r="I10343" t="s">
        <v>35920</v>
      </c>
      <c r="J10343" t="s">
        <v>5476</v>
      </c>
      <c r="K10343" t="s">
        <v>35750</v>
      </c>
      <c r="L10343" t="s">
        <v>5471</v>
      </c>
      <c r="M10343" t="s">
        <v>5471</v>
      </c>
    </row>
    <row r="10344" spans="1:13" x14ac:dyDescent="0.3">
      <c r="A10344" t="s">
        <v>3380</v>
      </c>
      <c r="B10344" t="s">
        <v>10137</v>
      </c>
      <c r="C10344" t="s">
        <v>6342</v>
      </c>
      <c r="D10344" t="s">
        <v>4119</v>
      </c>
      <c r="E10344" t="s">
        <v>5480</v>
      </c>
      <c r="F10344" t="s">
        <v>35921</v>
      </c>
      <c r="G10344" t="s">
        <v>10145</v>
      </c>
      <c r="H10344" t="s">
        <v>5474</v>
      </c>
      <c r="I10344" t="s">
        <v>35922</v>
      </c>
      <c r="J10344" t="s">
        <v>5476</v>
      </c>
      <c r="K10344" t="s">
        <v>11503</v>
      </c>
      <c r="L10344" t="s">
        <v>5471</v>
      </c>
      <c r="M10344" t="s">
        <v>5471</v>
      </c>
    </row>
    <row r="10345" spans="1:13" x14ac:dyDescent="0.3">
      <c r="A10345" t="s">
        <v>3383</v>
      </c>
      <c r="B10345" t="s">
        <v>6018</v>
      </c>
      <c r="C10345" t="s">
        <v>5470</v>
      </c>
      <c r="D10345" t="s">
        <v>4119</v>
      </c>
      <c r="E10345" t="s">
        <v>5756</v>
      </c>
      <c r="F10345" t="s">
        <v>35923</v>
      </c>
      <c r="G10345" t="s">
        <v>6279</v>
      </c>
      <c r="H10345" t="s">
        <v>5474</v>
      </c>
      <c r="I10345" t="s">
        <v>35924</v>
      </c>
      <c r="J10345" t="s">
        <v>5484</v>
      </c>
      <c r="K10345" t="s">
        <v>35925</v>
      </c>
      <c r="L10345" t="s">
        <v>5471</v>
      </c>
      <c r="M10345" t="s">
        <v>5471</v>
      </c>
    </row>
    <row r="10346" spans="1:13" x14ac:dyDescent="0.3">
      <c r="A10346" t="s">
        <v>3383</v>
      </c>
      <c r="B10346" t="s">
        <v>6063</v>
      </c>
      <c r="C10346" t="s">
        <v>5470</v>
      </c>
      <c r="D10346" t="s">
        <v>4119</v>
      </c>
      <c r="E10346" t="s">
        <v>5756</v>
      </c>
      <c r="F10346" t="s">
        <v>35926</v>
      </c>
      <c r="G10346" t="s">
        <v>6274</v>
      </c>
      <c r="H10346" t="s">
        <v>5474</v>
      </c>
      <c r="I10346" t="s">
        <v>35927</v>
      </c>
      <c r="J10346" t="s">
        <v>5484</v>
      </c>
      <c r="K10346" t="s">
        <v>35928</v>
      </c>
      <c r="L10346" t="s">
        <v>5471</v>
      </c>
      <c r="M10346" t="s">
        <v>5471</v>
      </c>
    </row>
    <row r="10347" spans="1:13" x14ac:dyDescent="0.3">
      <c r="A10347" t="s">
        <v>3383</v>
      </c>
      <c r="B10347" t="s">
        <v>6063</v>
      </c>
      <c r="C10347" t="s">
        <v>5470</v>
      </c>
      <c r="D10347" t="s">
        <v>4119</v>
      </c>
      <c r="E10347" t="s">
        <v>5756</v>
      </c>
      <c r="F10347" t="s">
        <v>35929</v>
      </c>
      <c r="G10347" t="s">
        <v>6272</v>
      </c>
      <c r="H10347" t="s">
        <v>5474</v>
      </c>
      <c r="I10347" t="s">
        <v>35930</v>
      </c>
      <c r="J10347" t="s">
        <v>5484</v>
      </c>
      <c r="K10347" t="s">
        <v>35931</v>
      </c>
      <c r="L10347" t="s">
        <v>5471</v>
      </c>
      <c r="M10347" t="s">
        <v>5471</v>
      </c>
    </row>
    <row r="10348" spans="1:13" x14ac:dyDescent="0.3">
      <c r="A10348" t="s">
        <v>3380</v>
      </c>
      <c r="B10348" t="s">
        <v>10137</v>
      </c>
      <c r="C10348" t="s">
        <v>6342</v>
      </c>
      <c r="D10348" t="s">
        <v>4119</v>
      </c>
      <c r="E10348" t="s">
        <v>5480</v>
      </c>
      <c r="F10348" t="s">
        <v>35932</v>
      </c>
      <c r="G10348" t="s">
        <v>35869</v>
      </c>
      <c r="H10348" t="s">
        <v>5474</v>
      </c>
      <c r="I10348" t="s">
        <v>35933</v>
      </c>
      <c r="J10348" t="s">
        <v>5476</v>
      </c>
      <c r="K10348" t="s">
        <v>35934</v>
      </c>
      <c r="L10348" t="s">
        <v>5471</v>
      </c>
      <c r="M10348" t="s">
        <v>5471</v>
      </c>
    </row>
    <row r="10349" spans="1:13" x14ac:dyDescent="0.3">
      <c r="A10349" t="s">
        <v>3397</v>
      </c>
      <c r="B10349" t="s">
        <v>5347</v>
      </c>
      <c r="C10349" t="s">
        <v>5487</v>
      </c>
      <c r="D10349" t="s">
        <v>35935</v>
      </c>
      <c r="E10349" t="s">
        <v>5480</v>
      </c>
      <c r="F10349" t="s">
        <v>35936</v>
      </c>
      <c r="G10349" t="s">
        <v>35937</v>
      </c>
      <c r="H10349" t="s">
        <v>5474</v>
      </c>
      <c r="I10349" t="s">
        <v>35938</v>
      </c>
      <c r="J10349" t="s">
        <v>5476</v>
      </c>
      <c r="K10349" t="s">
        <v>35939</v>
      </c>
      <c r="L10349" t="s">
        <v>5471</v>
      </c>
      <c r="M10349" t="s">
        <v>5471</v>
      </c>
    </row>
    <row r="10350" spans="1:13" x14ac:dyDescent="0.3">
      <c r="A10350" t="s">
        <v>3388</v>
      </c>
      <c r="B10350" t="s">
        <v>6478</v>
      </c>
      <c r="C10350" t="s">
        <v>5470</v>
      </c>
      <c r="D10350" t="s">
        <v>30466</v>
      </c>
      <c r="E10350" t="s">
        <v>5617</v>
      </c>
      <c r="F10350" t="s">
        <v>35940</v>
      </c>
      <c r="G10350" t="s">
        <v>35941</v>
      </c>
      <c r="H10350" t="s">
        <v>5474</v>
      </c>
      <c r="I10350" t="s">
        <v>35942</v>
      </c>
      <c r="J10350" t="s">
        <v>5484</v>
      </c>
      <c r="K10350" t="s">
        <v>35943</v>
      </c>
      <c r="L10350" t="s">
        <v>5471</v>
      </c>
      <c r="M10350" t="s">
        <v>5471</v>
      </c>
    </row>
    <row r="10351" spans="1:13" x14ac:dyDescent="0.3">
      <c r="A10351" t="s">
        <v>3397</v>
      </c>
      <c r="B10351" t="s">
        <v>5347</v>
      </c>
      <c r="C10351" t="s">
        <v>5487</v>
      </c>
      <c r="D10351" t="s">
        <v>35935</v>
      </c>
      <c r="E10351" t="s">
        <v>5480</v>
      </c>
      <c r="F10351" t="s">
        <v>35944</v>
      </c>
      <c r="G10351" t="s">
        <v>9768</v>
      </c>
      <c r="H10351" t="s">
        <v>5474</v>
      </c>
      <c r="I10351" t="s">
        <v>35945</v>
      </c>
      <c r="J10351" t="s">
        <v>5476</v>
      </c>
      <c r="K10351" t="s">
        <v>35946</v>
      </c>
      <c r="L10351" t="s">
        <v>5471</v>
      </c>
      <c r="M10351" t="s">
        <v>5471</v>
      </c>
    </row>
    <row r="10352" spans="1:13" x14ac:dyDescent="0.3">
      <c r="A10352" t="s">
        <v>3388</v>
      </c>
      <c r="B10352" t="s">
        <v>5257</v>
      </c>
      <c r="C10352" t="s">
        <v>5470</v>
      </c>
      <c r="D10352" t="s">
        <v>30466</v>
      </c>
      <c r="E10352" t="s">
        <v>5532</v>
      </c>
      <c r="F10352" t="s">
        <v>35947</v>
      </c>
      <c r="G10352" t="s">
        <v>24945</v>
      </c>
      <c r="H10352" t="s">
        <v>5474</v>
      </c>
      <c r="I10352" t="s">
        <v>35948</v>
      </c>
      <c r="J10352" t="s">
        <v>5484</v>
      </c>
      <c r="K10352" t="s">
        <v>35949</v>
      </c>
      <c r="L10352" t="s">
        <v>5471</v>
      </c>
      <c r="M10352" t="s">
        <v>5471</v>
      </c>
    </row>
    <row r="10353" spans="1:13" x14ac:dyDescent="0.3">
      <c r="A10353" t="s">
        <v>3380</v>
      </c>
      <c r="B10353" t="s">
        <v>5247</v>
      </c>
      <c r="C10353" t="s">
        <v>6342</v>
      </c>
      <c r="D10353" t="s">
        <v>4119</v>
      </c>
      <c r="E10353" t="s">
        <v>5480</v>
      </c>
      <c r="F10353" t="s">
        <v>35950</v>
      </c>
      <c r="G10353" t="s">
        <v>16147</v>
      </c>
      <c r="H10353" t="s">
        <v>5474</v>
      </c>
      <c r="I10353" t="s">
        <v>35951</v>
      </c>
      <c r="J10353" t="s">
        <v>5476</v>
      </c>
      <c r="K10353" t="s">
        <v>35952</v>
      </c>
      <c r="L10353" t="s">
        <v>5471</v>
      </c>
      <c r="M10353" t="s">
        <v>5471</v>
      </c>
    </row>
    <row r="10354" spans="1:13" x14ac:dyDescent="0.3">
      <c r="A10354" t="s">
        <v>3388</v>
      </c>
      <c r="B10354" t="s">
        <v>6128</v>
      </c>
      <c r="C10354" t="s">
        <v>5470</v>
      </c>
      <c r="D10354" t="s">
        <v>30466</v>
      </c>
      <c r="E10354" t="s">
        <v>5532</v>
      </c>
      <c r="F10354" t="s">
        <v>35953</v>
      </c>
      <c r="G10354" t="s">
        <v>24897</v>
      </c>
      <c r="H10354" t="s">
        <v>5474</v>
      </c>
      <c r="I10354" t="s">
        <v>35954</v>
      </c>
      <c r="J10354" t="s">
        <v>5484</v>
      </c>
      <c r="K10354" t="s">
        <v>35955</v>
      </c>
      <c r="L10354" t="s">
        <v>5471</v>
      </c>
      <c r="M10354" t="s">
        <v>5471</v>
      </c>
    </row>
    <row r="10355" spans="1:13" x14ac:dyDescent="0.3">
      <c r="A10355" t="s">
        <v>3388</v>
      </c>
      <c r="B10355" t="s">
        <v>6632</v>
      </c>
      <c r="C10355" t="s">
        <v>5470</v>
      </c>
      <c r="D10355" t="s">
        <v>30466</v>
      </c>
      <c r="E10355" t="s">
        <v>5532</v>
      </c>
      <c r="F10355" t="s">
        <v>35956</v>
      </c>
      <c r="G10355" t="s">
        <v>20172</v>
      </c>
      <c r="H10355" t="s">
        <v>5474</v>
      </c>
      <c r="I10355" t="s">
        <v>35957</v>
      </c>
      <c r="J10355" t="s">
        <v>5484</v>
      </c>
      <c r="K10355" t="s">
        <v>35958</v>
      </c>
      <c r="L10355" t="s">
        <v>5471</v>
      </c>
      <c r="M10355" t="s">
        <v>5471</v>
      </c>
    </row>
    <row r="10356" spans="1:13" x14ac:dyDescent="0.3">
      <c r="A10356" t="s">
        <v>3383</v>
      </c>
      <c r="B10356" t="s">
        <v>34306</v>
      </c>
      <c r="C10356" t="s">
        <v>5470</v>
      </c>
      <c r="D10356" t="s">
        <v>4119</v>
      </c>
      <c r="E10356" t="s">
        <v>5532</v>
      </c>
      <c r="F10356" t="s">
        <v>35959</v>
      </c>
      <c r="G10356" t="s">
        <v>8941</v>
      </c>
      <c r="H10356" t="s">
        <v>5474</v>
      </c>
      <c r="I10356" t="s">
        <v>35960</v>
      </c>
      <c r="J10356" t="s">
        <v>5484</v>
      </c>
      <c r="K10356" t="s">
        <v>34309</v>
      </c>
      <c r="L10356" t="s">
        <v>5471</v>
      </c>
      <c r="M10356" t="s">
        <v>5471</v>
      </c>
    </row>
    <row r="10357" spans="1:13" x14ac:dyDescent="0.3">
      <c r="A10357" t="s">
        <v>3383</v>
      </c>
      <c r="B10357" t="s">
        <v>34306</v>
      </c>
      <c r="C10357" t="s">
        <v>5470</v>
      </c>
      <c r="D10357" t="s">
        <v>4119</v>
      </c>
      <c r="E10357" t="s">
        <v>5532</v>
      </c>
      <c r="F10357" t="s">
        <v>35961</v>
      </c>
      <c r="G10357" t="s">
        <v>8941</v>
      </c>
      <c r="H10357" t="s">
        <v>5474</v>
      </c>
      <c r="I10357" t="s">
        <v>35962</v>
      </c>
      <c r="J10357" t="s">
        <v>5484</v>
      </c>
      <c r="K10357" t="s">
        <v>34309</v>
      </c>
      <c r="L10357" t="s">
        <v>5471</v>
      </c>
      <c r="M10357" t="s">
        <v>5471</v>
      </c>
    </row>
    <row r="10358" spans="1:13" x14ac:dyDescent="0.3">
      <c r="A10358" t="s">
        <v>3380</v>
      </c>
      <c r="B10358" t="s">
        <v>5261</v>
      </c>
      <c r="C10358" t="s">
        <v>6342</v>
      </c>
      <c r="D10358" t="s">
        <v>4119</v>
      </c>
      <c r="E10358" t="s">
        <v>5480</v>
      </c>
      <c r="F10358" t="s">
        <v>35963</v>
      </c>
      <c r="G10358" t="s">
        <v>16694</v>
      </c>
      <c r="H10358" t="s">
        <v>5474</v>
      </c>
      <c r="I10358" t="s">
        <v>35964</v>
      </c>
      <c r="J10358" t="s">
        <v>5476</v>
      </c>
      <c r="K10358" t="s">
        <v>35593</v>
      </c>
      <c r="L10358" t="s">
        <v>5471</v>
      </c>
      <c r="M10358" t="s">
        <v>5471</v>
      </c>
    </row>
    <row r="10359" spans="1:13" x14ac:dyDescent="0.3">
      <c r="A10359" t="s">
        <v>3383</v>
      </c>
      <c r="B10359" t="s">
        <v>34306</v>
      </c>
      <c r="C10359" t="s">
        <v>5470</v>
      </c>
      <c r="D10359" t="s">
        <v>4119</v>
      </c>
      <c r="E10359" t="s">
        <v>5532</v>
      </c>
      <c r="F10359" t="s">
        <v>35965</v>
      </c>
      <c r="G10359" t="s">
        <v>8941</v>
      </c>
      <c r="H10359" t="s">
        <v>5474</v>
      </c>
      <c r="I10359" t="s">
        <v>35966</v>
      </c>
      <c r="J10359" t="s">
        <v>5484</v>
      </c>
      <c r="K10359" t="s">
        <v>34309</v>
      </c>
      <c r="L10359" t="s">
        <v>5471</v>
      </c>
      <c r="M10359" t="s">
        <v>5471</v>
      </c>
    </row>
    <row r="10360" spans="1:13" x14ac:dyDescent="0.3">
      <c r="A10360" t="s">
        <v>3383</v>
      </c>
      <c r="B10360" t="s">
        <v>6018</v>
      </c>
      <c r="C10360" t="s">
        <v>5470</v>
      </c>
      <c r="D10360" t="s">
        <v>4119</v>
      </c>
      <c r="E10360" t="s">
        <v>5756</v>
      </c>
      <c r="F10360" t="s">
        <v>35967</v>
      </c>
      <c r="G10360" t="s">
        <v>6279</v>
      </c>
      <c r="H10360" t="s">
        <v>5474</v>
      </c>
      <c r="I10360" t="s">
        <v>35968</v>
      </c>
      <c r="J10360" t="s">
        <v>5484</v>
      </c>
      <c r="K10360" t="s">
        <v>35969</v>
      </c>
      <c r="L10360" t="s">
        <v>5471</v>
      </c>
      <c r="M10360" t="s">
        <v>5471</v>
      </c>
    </row>
    <row r="10361" spans="1:13" x14ac:dyDescent="0.3">
      <c r="A10361" t="s">
        <v>3380</v>
      </c>
      <c r="B10361" t="s">
        <v>5247</v>
      </c>
      <c r="C10361" t="s">
        <v>6342</v>
      </c>
      <c r="D10361" t="s">
        <v>4119</v>
      </c>
      <c r="E10361" t="s">
        <v>5480</v>
      </c>
      <c r="F10361" t="s">
        <v>35970</v>
      </c>
      <c r="G10361" t="s">
        <v>16147</v>
      </c>
      <c r="H10361" t="s">
        <v>5474</v>
      </c>
      <c r="I10361" t="s">
        <v>35971</v>
      </c>
      <c r="J10361" t="s">
        <v>5476</v>
      </c>
      <c r="K10361" t="s">
        <v>11500</v>
      </c>
      <c r="L10361" t="s">
        <v>5471</v>
      </c>
      <c r="M10361" t="s">
        <v>5471</v>
      </c>
    </row>
    <row r="10362" spans="1:13" x14ac:dyDescent="0.3">
      <c r="A10362" t="s">
        <v>3383</v>
      </c>
      <c r="B10362" t="s">
        <v>5952</v>
      </c>
      <c r="C10362" t="s">
        <v>5470</v>
      </c>
      <c r="D10362" t="s">
        <v>4119</v>
      </c>
      <c r="E10362" t="s">
        <v>5617</v>
      </c>
      <c r="F10362" t="s">
        <v>35972</v>
      </c>
      <c r="G10362" t="s">
        <v>8385</v>
      </c>
      <c r="H10362" t="s">
        <v>5474</v>
      </c>
      <c r="I10362" t="s">
        <v>35973</v>
      </c>
      <c r="J10362" t="s">
        <v>5484</v>
      </c>
      <c r="K10362" t="s">
        <v>35974</v>
      </c>
      <c r="L10362" t="s">
        <v>5471</v>
      </c>
      <c r="M10362" t="s">
        <v>5471</v>
      </c>
    </row>
    <row r="10363" spans="1:13" x14ac:dyDescent="0.3">
      <c r="A10363" t="s">
        <v>3380</v>
      </c>
      <c r="B10363" t="s">
        <v>5261</v>
      </c>
      <c r="C10363" t="s">
        <v>6342</v>
      </c>
      <c r="D10363" t="s">
        <v>4119</v>
      </c>
      <c r="E10363" t="s">
        <v>5480</v>
      </c>
      <c r="F10363" t="s">
        <v>35975</v>
      </c>
      <c r="G10363" t="s">
        <v>16694</v>
      </c>
      <c r="H10363" t="s">
        <v>5474</v>
      </c>
      <c r="I10363" t="s">
        <v>35976</v>
      </c>
      <c r="J10363" t="s">
        <v>5476</v>
      </c>
      <c r="K10363" t="s">
        <v>35605</v>
      </c>
      <c r="L10363" t="s">
        <v>5471</v>
      </c>
      <c r="M10363" t="s">
        <v>5471</v>
      </c>
    </row>
    <row r="10364" spans="1:13" x14ac:dyDescent="0.3">
      <c r="A10364" t="s">
        <v>3380</v>
      </c>
      <c r="B10364" t="s">
        <v>5247</v>
      </c>
      <c r="C10364" t="s">
        <v>6342</v>
      </c>
      <c r="D10364" t="s">
        <v>4119</v>
      </c>
      <c r="E10364" t="s">
        <v>5480</v>
      </c>
      <c r="F10364" t="s">
        <v>35977</v>
      </c>
      <c r="G10364" t="s">
        <v>16147</v>
      </c>
      <c r="H10364" t="s">
        <v>5474</v>
      </c>
      <c r="I10364" t="s">
        <v>35978</v>
      </c>
      <c r="J10364" t="s">
        <v>5476</v>
      </c>
      <c r="K10364" t="s">
        <v>11503</v>
      </c>
      <c r="L10364" t="s">
        <v>5471</v>
      </c>
      <c r="M10364" t="s">
        <v>5471</v>
      </c>
    </row>
    <row r="10365" spans="1:13" x14ac:dyDescent="0.3">
      <c r="A10365" t="s">
        <v>3380</v>
      </c>
      <c r="B10365" t="s">
        <v>5247</v>
      </c>
      <c r="C10365" t="s">
        <v>6342</v>
      </c>
      <c r="D10365" t="s">
        <v>4119</v>
      </c>
      <c r="E10365" t="s">
        <v>5480</v>
      </c>
      <c r="F10365" t="s">
        <v>35979</v>
      </c>
      <c r="G10365" t="s">
        <v>35980</v>
      </c>
      <c r="H10365" t="s">
        <v>5474</v>
      </c>
      <c r="I10365" t="s">
        <v>35981</v>
      </c>
      <c r="J10365" t="s">
        <v>5476</v>
      </c>
      <c r="K10365" t="s">
        <v>35643</v>
      </c>
      <c r="L10365" t="s">
        <v>5471</v>
      </c>
      <c r="M10365" t="s">
        <v>5471</v>
      </c>
    </row>
    <row r="10366" spans="1:13" x14ac:dyDescent="0.3">
      <c r="A10366" t="s">
        <v>3380</v>
      </c>
      <c r="B10366" t="s">
        <v>5261</v>
      </c>
      <c r="C10366" t="s">
        <v>6342</v>
      </c>
      <c r="D10366" t="s">
        <v>4119</v>
      </c>
      <c r="E10366" t="s">
        <v>5480</v>
      </c>
      <c r="F10366" t="s">
        <v>35982</v>
      </c>
      <c r="G10366" t="s">
        <v>16694</v>
      </c>
      <c r="H10366" t="s">
        <v>5474</v>
      </c>
      <c r="I10366" t="s">
        <v>35983</v>
      </c>
      <c r="J10366" t="s">
        <v>5476</v>
      </c>
      <c r="K10366" t="s">
        <v>35934</v>
      </c>
      <c r="L10366" t="s">
        <v>5471</v>
      </c>
      <c r="M10366" t="s">
        <v>5471</v>
      </c>
    </row>
    <row r="10367" spans="1:13" x14ac:dyDescent="0.3">
      <c r="A10367" t="s">
        <v>3380</v>
      </c>
      <c r="B10367" t="s">
        <v>5247</v>
      </c>
      <c r="C10367" t="s">
        <v>6342</v>
      </c>
      <c r="D10367" t="s">
        <v>4119</v>
      </c>
      <c r="E10367" t="s">
        <v>5480</v>
      </c>
      <c r="F10367" t="s">
        <v>35984</v>
      </c>
      <c r="G10367" t="s">
        <v>16147</v>
      </c>
      <c r="H10367" t="s">
        <v>5474</v>
      </c>
      <c r="I10367" t="s">
        <v>35985</v>
      </c>
      <c r="J10367" t="s">
        <v>5476</v>
      </c>
      <c r="K10367" t="s">
        <v>35934</v>
      </c>
      <c r="L10367" t="s">
        <v>5471</v>
      </c>
      <c r="M10367" t="s">
        <v>5471</v>
      </c>
    </row>
    <row r="10368" spans="1:13" x14ac:dyDescent="0.3">
      <c r="A10368" t="s">
        <v>3380</v>
      </c>
      <c r="B10368" t="s">
        <v>5247</v>
      </c>
      <c r="C10368" t="s">
        <v>6342</v>
      </c>
      <c r="D10368" t="s">
        <v>4119</v>
      </c>
      <c r="E10368" t="s">
        <v>5480</v>
      </c>
      <c r="F10368" t="s">
        <v>35986</v>
      </c>
      <c r="G10368" t="s">
        <v>35980</v>
      </c>
      <c r="H10368" t="s">
        <v>5474</v>
      </c>
      <c r="I10368" t="s">
        <v>35987</v>
      </c>
      <c r="J10368" t="s">
        <v>5476</v>
      </c>
      <c r="K10368" t="s">
        <v>35593</v>
      </c>
      <c r="L10368" t="s">
        <v>5471</v>
      </c>
      <c r="M10368" t="s">
        <v>5471</v>
      </c>
    </row>
    <row r="10369" spans="1:13" x14ac:dyDescent="0.3">
      <c r="A10369" t="s">
        <v>3380</v>
      </c>
      <c r="B10369" t="s">
        <v>5261</v>
      </c>
      <c r="C10369" t="s">
        <v>6342</v>
      </c>
      <c r="D10369" t="s">
        <v>4119</v>
      </c>
      <c r="E10369" t="s">
        <v>5480</v>
      </c>
      <c r="F10369" t="s">
        <v>35988</v>
      </c>
      <c r="G10369" t="s">
        <v>16694</v>
      </c>
      <c r="H10369" t="s">
        <v>5474</v>
      </c>
      <c r="I10369" t="s">
        <v>35989</v>
      </c>
      <c r="J10369" t="s">
        <v>5476</v>
      </c>
      <c r="K10369" t="s">
        <v>35990</v>
      </c>
      <c r="L10369" t="s">
        <v>5471</v>
      </c>
      <c r="M10369" t="s">
        <v>5471</v>
      </c>
    </row>
    <row r="10370" spans="1:13" x14ac:dyDescent="0.3">
      <c r="A10370" t="s">
        <v>3383</v>
      </c>
      <c r="B10370" t="s">
        <v>34306</v>
      </c>
      <c r="C10370" t="s">
        <v>5470</v>
      </c>
      <c r="D10370" t="s">
        <v>4119</v>
      </c>
      <c r="E10370" t="s">
        <v>5532</v>
      </c>
      <c r="F10370" t="s">
        <v>35991</v>
      </c>
      <c r="G10370" t="s">
        <v>8941</v>
      </c>
      <c r="H10370" t="s">
        <v>5474</v>
      </c>
      <c r="I10370" t="s">
        <v>35992</v>
      </c>
      <c r="J10370" t="s">
        <v>5484</v>
      </c>
      <c r="K10370" t="s">
        <v>34309</v>
      </c>
      <c r="L10370" t="s">
        <v>5471</v>
      </c>
      <c r="M10370" t="s">
        <v>5471</v>
      </c>
    </row>
    <row r="10371" spans="1:13" x14ac:dyDescent="0.3">
      <c r="A10371" t="s">
        <v>3380</v>
      </c>
      <c r="B10371" t="s">
        <v>5247</v>
      </c>
      <c r="C10371" t="s">
        <v>6342</v>
      </c>
      <c r="D10371" t="s">
        <v>4119</v>
      </c>
      <c r="E10371" t="s">
        <v>5480</v>
      </c>
      <c r="F10371" t="s">
        <v>35993</v>
      </c>
      <c r="G10371" t="s">
        <v>35980</v>
      </c>
      <c r="H10371" t="s">
        <v>5474</v>
      </c>
      <c r="I10371" t="s">
        <v>35994</v>
      </c>
      <c r="J10371" t="s">
        <v>5476</v>
      </c>
      <c r="K10371" t="s">
        <v>35605</v>
      </c>
      <c r="L10371" t="s">
        <v>5471</v>
      </c>
      <c r="M10371" t="s">
        <v>5471</v>
      </c>
    </row>
    <row r="10372" spans="1:13" x14ac:dyDescent="0.3">
      <c r="A10372" t="s">
        <v>3380</v>
      </c>
      <c r="B10372" t="s">
        <v>9702</v>
      </c>
      <c r="C10372" t="s">
        <v>6342</v>
      </c>
      <c r="D10372" t="s">
        <v>4200</v>
      </c>
      <c r="E10372" t="s">
        <v>5532</v>
      </c>
      <c r="F10372" t="s">
        <v>35995</v>
      </c>
      <c r="G10372" t="s">
        <v>33389</v>
      </c>
      <c r="H10372" t="s">
        <v>5474</v>
      </c>
      <c r="I10372" t="s">
        <v>35996</v>
      </c>
      <c r="J10372" t="s">
        <v>5476</v>
      </c>
      <c r="K10372" t="s">
        <v>28315</v>
      </c>
      <c r="L10372" t="s">
        <v>5471</v>
      </c>
      <c r="M10372" t="s">
        <v>5471</v>
      </c>
    </row>
    <row r="10373" spans="1:13" x14ac:dyDescent="0.3">
      <c r="A10373" t="s">
        <v>3380</v>
      </c>
      <c r="B10373" t="s">
        <v>5247</v>
      </c>
      <c r="C10373" t="s">
        <v>6342</v>
      </c>
      <c r="D10373" t="s">
        <v>4119</v>
      </c>
      <c r="E10373" t="s">
        <v>5480</v>
      </c>
      <c r="F10373" t="s">
        <v>35997</v>
      </c>
      <c r="G10373" t="s">
        <v>35980</v>
      </c>
      <c r="H10373" t="s">
        <v>5474</v>
      </c>
      <c r="I10373" t="s">
        <v>35998</v>
      </c>
      <c r="J10373" t="s">
        <v>5476</v>
      </c>
      <c r="K10373" t="s">
        <v>35593</v>
      </c>
      <c r="L10373" t="s">
        <v>5471</v>
      </c>
      <c r="M10373" t="s">
        <v>5471</v>
      </c>
    </row>
    <row r="10374" spans="1:13" x14ac:dyDescent="0.3">
      <c r="A10374" t="s">
        <v>3383</v>
      </c>
      <c r="B10374" t="s">
        <v>34306</v>
      </c>
      <c r="C10374" t="s">
        <v>5470</v>
      </c>
      <c r="D10374" t="s">
        <v>4119</v>
      </c>
      <c r="E10374" t="s">
        <v>5532</v>
      </c>
      <c r="F10374" t="s">
        <v>35999</v>
      </c>
      <c r="G10374" t="s">
        <v>8941</v>
      </c>
      <c r="H10374" t="s">
        <v>5474</v>
      </c>
      <c r="I10374" t="s">
        <v>36000</v>
      </c>
      <c r="J10374" t="s">
        <v>5484</v>
      </c>
      <c r="K10374" t="s">
        <v>34309</v>
      </c>
      <c r="L10374" t="s">
        <v>5471</v>
      </c>
      <c r="M10374" t="s">
        <v>5471</v>
      </c>
    </row>
    <row r="10375" spans="1:13" x14ac:dyDescent="0.3">
      <c r="A10375" t="s">
        <v>3380</v>
      </c>
      <c r="B10375" t="s">
        <v>5247</v>
      </c>
      <c r="C10375" t="s">
        <v>6342</v>
      </c>
      <c r="D10375" t="s">
        <v>4119</v>
      </c>
      <c r="E10375" t="s">
        <v>5480</v>
      </c>
      <c r="F10375" t="s">
        <v>36001</v>
      </c>
      <c r="G10375" t="s">
        <v>35980</v>
      </c>
      <c r="H10375" t="s">
        <v>5474</v>
      </c>
      <c r="I10375" t="s">
        <v>36002</v>
      </c>
      <c r="J10375" t="s">
        <v>5476</v>
      </c>
      <c r="K10375" t="s">
        <v>35605</v>
      </c>
      <c r="L10375" t="s">
        <v>5471</v>
      </c>
      <c r="M10375" t="s">
        <v>5471</v>
      </c>
    </row>
    <row r="10376" spans="1:13" x14ac:dyDescent="0.3">
      <c r="A10376" t="s">
        <v>3380</v>
      </c>
      <c r="B10376" t="s">
        <v>5247</v>
      </c>
      <c r="C10376" t="s">
        <v>6342</v>
      </c>
      <c r="D10376" t="s">
        <v>4119</v>
      </c>
      <c r="E10376" t="s">
        <v>5480</v>
      </c>
      <c r="F10376" t="s">
        <v>36003</v>
      </c>
      <c r="G10376" t="s">
        <v>16147</v>
      </c>
      <c r="H10376" t="s">
        <v>5474</v>
      </c>
      <c r="I10376" t="s">
        <v>36004</v>
      </c>
      <c r="J10376" t="s">
        <v>5476</v>
      </c>
      <c r="K10376" t="s">
        <v>35593</v>
      </c>
      <c r="L10376" t="s">
        <v>5471</v>
      </c>
      <c r="M10376" t="s">
        <v>5471</v>
      </c>
    </row>
    <row r="10377" spans="1:13" x14ac:dyDescent="0.3">
      <c r="A10377" t="s">
        <v>3380</v>
      </c>
      <c r="B10377" t="s">
        <v>5261</v>
      </c>
      <c r="C10377" t="s">
        <v>6342</v>
      </c>
      <c r="D10377" t="s">
        <v>4119</v>
      </c>
      <c r="E10377" t="s">
        <v>5480</v>
      </c>
      <c r="F10377" t="s">
        <v>36005</v>
      </c>
      <c r="G10377" t="s">
        <v>16694</v>
      </c>
      <c r="H10377" t="s">
        <v>5474</v>
      </c>
      <c r="I10377" t="s">
        <v>36006</v>
      </c>
      <c r="J10377" t="s">
        <v>5476</v>
      </c>
      <c r="K10377" t="s">
        <v>36007</v>
      </c>
      <c r="L10377" t="s">
        <v>5471</v>
      </c>
      <c r="M10377" t="s">
        <v>5471</v>
      </c>
    </row>
    <row r="10378" spans="1:13" x14ac:dyDescent="0.3">
      <c r="A10378" t="s">
        <v>3388</v>
      </c>
      <c r="B10378" t="s">
        <v>17321</v>
      </c>
      <c r="C10378" t="s">
        <v>5470</v>
      </c>
      <c r="D10378" t="s">
        <v>30466</v>
      </c>
      <c r="E10378" t="s">
        <v>5532</v>
      </c>
      <c r="F10378" t="s">
        <v>36008</v>
      </c>
      <c r="G10378" t="s">
        <v>20025</v>
      </c>
      <c r="H10378" t="s">
        <v>5474</v>
      </c>
      <c r="I10378" t="s">
        <v>36009</v>
      </c>
      <c r="J10378" t="s">
        <v>5484</v>
      </c>
      <c r="K10378" t="s">
        <v>36010</v>
      </c>
      <c r="L10378" t="s">
        <v>5471</v>
      </c>
      <c r="M10378" t="s">
        <v>5471</v>
      </c>
    </row>
    <row r="10379" spans="1:13" x14ac:dyDescent="0.3">
      <c r="A10379" t="s">
        <v>3380</v>
      </c>
      <c r="B10379" t="s">
        <v>5247</v>
      </c>
      <c r="C10379" t="s">
        <v>6342</v>
      </c>
      <c r="D10379" t="s">
        <v>4119</v>
      </c>
      <c r="E10379" t="s">
        <v>5480</v>
      </c>
      <c r="F10379" t="s">
        <v>36011</v>
      </c>
      <c r="G10379" t="s">
        <v>35980</v>
      </c>
      <c r="H10379" t="s">
        <v>5474</v>
      </c>
      <c r="I10379" t="s">
        <v>36012</v>
      </c>
      <c r="J10379" t="s">
        <v>5476</v>
      </c>
      <c r="K10379" t="s">
        <v>35699</v>
      </c>
      <c r="L10379" t="s">
        <v>5471</v>
      </c>
      <c r="M10379" t="s">
        <v>5471</v>
      </c>
    </row>
    <row r="10380" spans="1:13" x14ac:dyDescent="0.3">
      <c r="A10380" t="s">
        <v>3388</v>
      </c>
      <c r="B10380" t="s">
        <v>8573</v>
      </c>
      <c r="C10380" t="s">
        <v>5470</v>
      </c>
      <c r="D10380" t="s">
        <v>30466</v>
      </c>
      <c r="E10380" t="s">
        <v>5756</v>
      </c>
      <c r="F10380" t="s">
        <v>36013</v>
      </c>
      <c r="G10380" t="s">
        <v>17867</v>
      </c>
      <c r="H10380" t="s">
        <v>5474</v>
      </c>
      <c r="I10380" t="s">
        <v>36014</v>
      </c>
      <c r="J10380" t="s">
        <v>5484</v>
      </c>
      <c r="K10380" t="s">
        <v>36015</v>
      </c>
      <c r="L10380" t="s">
        <v>5471</v>
      </c>
      <c r="M10380" t="s">
        <v>5471</v>
      </c>
    </row>
    <row r="10381" spans="1:13" x14ac:dyDescent="0.3">
      <c r="A10381" t="s">
        <v>3380</v>
      </c>
      <c r="B10381" t="s">
        <v>5261</v>
      </c>
      <c r="C10381" t="s">
        <v>6342</v>
      </c>
      <c r="D10381" t="s">
        <v>4119</v>
      </c>
      <c r="E10381" t="s">
        <v>5480</v>
      </c>
      <c r="F10381" t="s">
        <v>36016</v>
      </c>
      <c r="G10381" t="s">
        <v>16694</v>
      </c>
      <c r="H10381" t="s">
        <v>5474</v>
      </c>
      <c r="I10381" t="s">
        <v>36017</v>
      </c>
      <c r="J10381" t="s">
        <v>5476</v>
      </c>
      <c r="K10381" t="s">
        <v>36018</v>
      </c>
      <c r="L10381" t="s">
        <v>5471</v>
      </c>
      <c r="M10381" t="s">
        <v>5471</v>
      </c>
    </row>
    <row r="10382" spans="1:13" x14ac:dyDescent="0.3">
      <c r="A10382" t="s">
        <v>3380</v>
      </c>
      <c r="B10382" t="s">
        <v>5247</v>
      </c>
      <c r="C10382" t="s">
        <v>6342</v>
      </c>
      <c r="D10382" t="s">
        <v>4119</v>
      </c>
      <c r="E10382" t="s">
        <v>5480</v>
      </c>
      <c r="F10382" t="s">
        <v>36019</v>
      </c>
      <c r="G10382" t="s">
        <v>16147</v>
      </c>
      <c r="H10382" t="s">
        <v>5474</v>
      </c>
      <c r="I10382" t="s">
        <v>36020</v>
      </c>
      <c r="J10382" t="s">
        <v>5476</v>
      </c>
      <c r="K10382" t="s">
        <v>35542</v>
      </c>
      <c r="L10382" t="s">
        <v>5471</v>
      </c>
      <c r="M10382" t="s">
        <v>5471</v>
      </c>
    </row>
    <row r="10383" spans="1:13" x14ac:dyDescent="0.3">
      <c r="A10383" t="s">
        <v>3388</v>
      </c>
      <c r="B10383" t="s">
        <v>5479</v>
      </c>
      <c r="C10383" t="s">
        <v>5470</v>
      </c>
      <c r="D10383" t="s">
        <v>30466</v>
      </c>
      <c r="E10383" t="s">
        <v>5617</v>
      </c>
      <c r="F10383" t="s">
        <v>36021</v>
      </c>
      <c r="G10383" t="s">
        <v>36022</v>
      </c>
      <c r="H10383" t="s">
        <v>5474</v>
      </c>
      <c r="I10383" t="s">
        <v>36023</v>
      </c>
      <c r="J10383" t="s">
        <v>5484</v>
      </c>
      <c r="K10383" t="s">
        <v>36024</v>
      </c>
      <c r="L10383" t="s">
        <v>5471</v>
      </c>
      <c r="M10383" t="s">
        <v>5471</v>
      </c>
    </row>
    <row r="10384" spans="1:13" x14ac:dyDescent="0.3">
      <c r="A10384" t="s">
        <v>3380</v>
      </c>
      <c r="B10384" t="s">
        <v>5261</v>
      </c>
      <c r="C10384" t="s">
        <v>6342</v>
      </c>
      <c r="D10384" t="s">
        <v>4119</v>
      </c>
      <c r="E10384" t="s">
        <v>5480</v>
      </c>
      <c r="F10384" t="s">
        <v>36025</v>
      </c>
      <c r="G10384" t="s">
        <v>16694</v>
      </c>
      <c r="H10384" t="s">
        <v>5474</v>
      </c>
      <c r="I10384" t="s">
        <v>36026</v>
      </c>
      <c r="J10384" t="s">
        <v>5476</v>
      </c>
      <c r="K10384" t="s">
        <v>35726</v>
      </c>
      <c r="L10384" t="s">
        <v>5471</v>
      </c>
      <c r="M10384" t="s">
        <v>5471</v>
      </c>
    </row>
    <row r="10385" spans="1:13" x14ac:dyDescent="0.3">
      <c r="A10385" t="s">
        <v>3388</v>
      </c>
      <c r="B10385" t="s">
        <v>5316</v>
      </c>
      <c r="C10385" t="s">
        <v>5470</v>
      </c>
      <c r="D10385" t="s">
        <v>30466</v>
      </c>
      <c r="E10385" t="s">
        <v>5532</v>
      </c>
      <c r="F10385" t="s">
        <v>36027</v>
      </c>
      <c r="G10385" t="s">
        <v>11117</v>
      </c>
      <c r="H10385" t="s">
        <v>5474</v>
      </c>
      <c r="I10385" t="s">
        <v>36028</v>
      </c>
      <c r="J10385" t="s">
        <v>5484</v>
      </c>
      <c r="K10385" t="s">
        <v>36029</v>
      </c>
      <c r="L10385" t="s">
        <v>5471</v>
      </c>
      <c r="M10385" t="s">
        <v>5471</v>
      </c>
    </row>
    <row r="10386" spans="1:13" x14ac:dyDescent="0.3">
      <c r="A10386" t="s">
        <v>3380</v>
      </c>
      <c r="B10386" t="s">
        <v>5261</v>
      </c>
      <c r="C10386" t="s">
        <v>6342</v>
      </c>
      <c r="D10386" t="s">
        <v>4119</v>
      </c>
      <c r="E10386" t="s">
        <v>5480</v>
      </c>
      <c r="F10386" t="s">
        <v>36030</v>
      </c>
      <c r="G10386" t="s">
        <v>16694</v>
      </c>
      <c r="H10386" t="s">
        <v>5474</v>
      </c>
      <c r="I10386" t="s">
        <v>36031</v>
      </c>
      <c r="J10386" t="s">
        <v>5476</v>
      </c>
      <c r="K10386" t="s">
        <v>36032</v>
      </c>
      <c r="L10386" t="s">
        <v>5471</v>
      </c>
      <c r="M10386" t="s">
        <v>5471</v>
      </c>
    </row>
    <row r="10387" spans="1:13" x14ac:dyDescent="0.3">
      <c r="A10387" t="s">
        <v>3380</v>
      </c>
      <c r="B10387" t="s">
        <v>5247</v>
      </c>
      <c r="C10387" t="s">
        <v>6342</v>
      </c>
      <c r="D10387" t="s">
        <v>4119</v>
      </c>
      <c r="E10387" t="s">
        <v>5480</v>
      </c>
      <c r="F10387" t="s">
        <v>36033</v>
      </c>
      <c r="G10387" t="s">
        <v>16147</v>
      </c>
      <c r="H10387" t="s">
        <v>5474</v>
      </c>
      <c r="I10387" t="s">
        <v>36034</v>
      </c>
      <c r="J10387" t="s">
        <v>5476</v>
      </c>
      <c r="K10387" t="s">
        <v>35552</v>
      </c>
      <c r="L10387" t="s">
        <v>5471</v>
      </c>
      <c r="M10387" t="s">
        <v>5471</v>
      </c>
    </row>
    <row r="10388" spans="1:13" x14ac:dyDescent="0.3">
      <c r="A10388" t="s">
        <v>3388</v>
      </c>
      <c r="B10388" t="s">
        <v>10857</v>
      </c>
      <c r="C10388" t="s">
        <v>5470</v>
      </c>
      <c r="D10388" t="s">
        <v>30466</v>
      </c>
      <c r="E10388" t="s">
        <v>5756</v>
      </c>
      <c r="F10388" t="s">
        <v>36035</v>
      </c>
      <c r="G10388" t="s">
        <v>10859</v>
      </c>
      <c r="H10388" t="s">
        <v>5474</v>
      </c>
      <c r="I10388" t="s">
        <v>36036</v>
      </c>
      <c r="J10388" t="s">
        <v>5484</v>
      </c>
      <c r="K10388" t="s">
        <v>36037</v>
      </c>
      <c r="L10388" t="s">
        <v>5471</v>
      </c>
      <c r="M10388" t="s">
        <v>5471</v>
      </c>
    </row>
    <row r="10389" spans="1:13" x14ac:dyDescent="0.3">
      <c r="A10389" t="s">
        <v>3380</v>
      </c>
      <c r="B10389" t="s">
        <v>5261</v>
      </c>
      <c r="C10389" t="s">
        <v>6342</v>
      </c>
      <c r="D10389" t="s">
        <v>4119</v>
      </c>
      <c r="E10389" t="s">
        <v>5480</v>
      </c>
      <c r="F10389" t="s">
        <v>36038</v>
      </c>
      <c r="G10389" t="s">
        <v>16694</v>
      </c>
      <c r="H10389" t="s">
        <v>5474</v>
      </c>
      <c r="I10389" t="s">
        <v>36039</v>
      </c>
      <c r="J10389" t="s">
        <v>5476</v>
      </c>
      <c r="K10389" t="s">
        <v>36040</v>
      </c>
      <c r="L10389" t="s">
        <v>5471</v>
      </c>
      <c r="M10389" t="s">
        <v>5471</v>
      </c>
    </row>
    <row r="10390" spans="1:13" x14ac:dyDescent="0.3">
      <c r="A10390" t="s">
        <v>3388</v>
      </c>
      <c r="B10390" t="s">
        <v>36041</v>
      </c>
      <c r="C10390" t="s">
        <v>5470</v>
      </c>
      <c r="D10390" t="s">
        <v>30466</v>
      </c>
      <c r="E10390" t="s">
        <v>5532</v>
      </c>
      <c r="F10390" t="s">
        <v>36042</v>
      </c>
      <c r="G10390" t="s">
        <v>31541</v>
      </c>
      <c r="H10390" t="s">
        <v>5474</v>
      </c>
      <c r="I10390" t="s">
        <v>36043</v>
      </c>
      <c r="J10390" t="s">
        <v>5484</v>
      </c>
      <c r="K10390" t="s">
        <v>36044</v>
      </c>
      <c r="L10390" t="s">
        <v>5471</v>
      </c>
      <c r="M10390" t="s">
        <v>5471</v>
      </c>
    </row>
    <row r="10391" spans="1:13" x14ac:dyDescent="0.3">
      <c r="A10391" t="s">
        <v>3380</v>
      </c>
      <c r="B10391" t="s">
        <v>5261</v>
      </c>
      <c r="C10391" t="s">
        <v>6342</v>
      </c>
      <c r="D10391" t="s">
        <v>4119</v>
      </c>
      <c r="E10391" t="s">
        <v>5480</v>
      </c>
      <c r="F10391" t="s">
        <v>36045</v>
      </c>
      <c r="G10391" t="s">
        <v>16694</v>
      </c>
      <c r="H10391" t="s">
        <v>5474</v>
      </c>
      <c r="I10391" t="s">
        <v>36046</v>
      </c>
      <c r="J10391" t="s">
        <v>5476</v>
      </c>
      <c r="K10391" t="s">
        <v>35710</v>
      </c>
      <c r="L10391" t="s">
        <v>5471</v>
      </c>
      <c r="M10391" t="s">
        <v>5471</v>
      </c>
    </row>
    <row r="10392" spans="1:13" x14ac:dyDescent="0.3">
      <c r="A10392" t="s">
        <v>3380</v>
      </c>
      <c r="B10392" t="s">
        <v>5261</v>
      </c>
      <c r="C10392" t="s">
        <v>6342</v>
      </c>
      <c r="D10392" t="s">
        <v>4119</v>
      </c>
      <c r="E10392" t="s">
        <v>5480</v>
      </c>
      <c r="F10392" t="s">
        <v>36047</v>
      </c>
      <c r="G10392" t="s">
        <v>16694</v>
      </c>
      <c r="H10392" t="s">
        <v>5474</v>
      </c>
      <c r="I10392" t="s">
        <v>36048</v>
      </c>
      <c r="J10392" t="s">
        <v>5476</v>
      </c>
      <c r="K10392" t="s">
        <v>35699</v>
      </c>
      <c r="L10392" t="s">
        <v>5471</v>
      </c>
      <c r="M10392" t="s">
        <v>5471</v>
      </c>
    </row>
    <row r="10393" spans="1:13" x14ac:dyDescent="0.3">
      <c r="A10393" t="s">
        <v>3383</v>
      </c>
      <c r="B10393" t="s">
        <v>34306</v>
      </c>
      <c r="C10393" t="s">
        <v>5470</v>
      </c>
      <c r="D10393" t="s">
        <v>4119</v>
      </c>
      <c r="E10393" t="s">
        <v>5532</v>
      </c>
      <c r="F10393" t="s">
        <v>36049</v>
      </c>
      <c r="G10393" t="s">
        <v>8941</v>
      </c>
      <c r="H10393" t="s">
        <v>5474</v>
      </c>
      <c r="I10393" t="s">
        <v>36050</v>
      </c>
      <c r="J10393" t="s">
        <v>5484</v>
      </c>
      <c r="K10393" t="s">
        <v>34309</v>
      </c>
      <c r="L10393" t="s">
        <v>5471</v>
      </c>
      <c r="M10393" t="s">
        <v>5471</v>
      </c>
    </row>
    <row r="10394" spans="1:13" x14ac:dyDescent="0.3">
      <c r="A10394" t="s">
        <v>3380</v>
      </c>
      <c r="B10394" t="s">
        <v>5261</v>
      </c>
      <c r="C10394" t="s">
        <v>6342</v>
      </c>
      <c r="D10394" t="s">
        <v>4119</v>
      </c>
      <c r="E10394" t="s">
        <v>5480</v>
      </c>
      <c r="F10394" t="s">
        <v>36051</v>
      </c>
      <c r="G10394" t="s">
        <v>16694</v>
      </c>
      <c r="H10394" t="s">
        <v>5474</v>
      </c>
      <c r="I10394" t="s">
        <v>36052</v>
      </c>
      <c r="J10394" t="s">
        <v>5476</v>
      </c>
      <c r="K10394" t="s">
        <v>36053</v>
      </c>
      <c r="L10394" t="s">
        <v>5471</v>
      </c>
      <c r="M10394" t="s">
        <v>5471</v>
      </c>
    </row>
    <row r="10395" spans="1:13" x14ac:dyDescent="0.3">
      <c r="A10395" t="s">
        <v>3380</v>
      </c>
      <c r="B10395" t="s">
        <v>5261</v>
      </c>
      <c r="C10395" t="s">
        <v>6342</v>
      </c>
      <c r="D10395" t="s">
        <v>4119</v>
      </c>
      <c r="E10395" t="s">
        <v>5480</v>
      </c>
      <c r="F10395" t="s">
        <v>36054</v>
      </c>
      <c r="G10395" t="s">
        <v>16694</v>
      </c>
      <c r="H10395" t="s">
        <v>5474</v>
      </c>
      <c r="I10395" t="s">
        <v>36055</v>
      </c>
      <c r="J10395" t="s">
        <v>5476</v>
      </c>
      <c r="K10395" t="s">
        <v>36056</v>
      </c>
      <c r="L10395" t="s">
        <v>5471</v>
      </c>
      <c r="M10395" t="s">
        <v>5471</v>
      </c>
    </row>
    <row r="10396" spans="1:13" x14ac:dyDescent="0.3">
      <c r="A10396" t="s">
        <v>3380</v>
      </c>
      <c r="B10396" t="s">
        <v>5261</v>
      </c>
      <c r="C10396" t="s">
        <v>6342</v>
      </c>
      <c r="D10396" t="s">
        <v>4119</v>
      </c>
      <c r="E10396" t="s">
        <v>5480</v>
      </c>
      <c r="F10396" t="s">
        <v>36057</v>
      </c>
      <c r="G10396" t="s">
        <v>16694</v>
      </c>
      <c r="H10396" t="s">
        <v>5474</v>
      </c>
      <c r="I10396" t="s">
        <v>36058</v>
      </c>
      <c r="J10396" t="s">
        <v>5476</v>
      </c>
      <c r="K10396" t="s">
        <v>36059</v>
      </c>
      <c r="L10396" t="s">
        <v>5471</v>
      </c>
      <c r="M10396" t="s">
        <v>5471</v>
      </c>
    </row>
    <row r="10397" spans="1:13" x14ac:dyDescent="0.3">
      <c r="A10397" t="s">
        <v>3380</v>
      </c>
      <c r="B10397" t="s">
        <v>5261</v>
      </c>
      <c r="C10397" t="s">
        <v>6342</v>
      </c>
      <c r="D10397" t="s">
        <v>4119</v>
      </c>
      <c r="E10397" t="s">
        <v>5480</v>
      </c>
      <c r="F10397" t="s">
        <v>36060</v>
      </c>
      <c r="G10397" t="s">
        <v>16694</v>
      </c>
      <c r="H10397" t="s">
        <v>5474</v>
      </c>
      <c r="I10397" t="s">
        <v>36061</v>
      </c>
      <c r="J10397" t="s">
        <v>5476</v>
      </c>
      <c r="K10397" t="s">
        <v>36062</v>
      </c>
      <c r="L10397" t="s">
        <v>5471</v>
      </c>
      <c r="M10397" t="s">
        <v>5471</v>
      </c>
    </row>
    <row r="10398" spans="1:13" x14ac:dyDescent="0.3">
      <c r="A10398" t="s">
        <v>3380</v>
      </c>
      <c r="B10398" t="s">
        <v>5261</v>
      </c>
      <c r="C10398" t="s">
        <v>6342</v>
      </c>
      <c r="D10398" t="s">
        <v>4119</v>
      </c>
      <c r="E10398" t="s">
        <v>5480</v>
      </c>
      <c r="F10398" t="s">
        <v>36063</v>
      </c>
      <c r="G10398" t="s">
        <v>16694</v>
      </c>
      <c r="H10398" t="s">
        <v>5474</v>
      </c>
      <c r="I10398" t="s">
        <v>36064</v>
      </c>
      <c r="J10398" t="s">
        <v>5476</v>
      </c>
      <c r="K10398" t="s">
        <v>36065</v>
      </c>
      <c r="L10398" t="s">
        <v>5471</v>
      </c>
      <c r="M10398" t="s">
        <v>5471</v>
      </c>
    </row>
    <row r="10399" spans="1:13" x14ac:dyDescent="0.3">
      <c r="A10399" t="s">
        <v>3397</v>
      </c>
      <c r="B10399" t="s">
        <v>6272</v>
      </c>
      <c r="C10399" t="s">
        <v>5470</v>
      </c>
      <c r="D10399" t="s">
        <v>15984</v>
      </c>
      <c r="E10399" t="s">
        <v>5756</v>
      </c>
      <c r="F10399" t="s">
        <v>36066</v>
      </c>
      <c r="G10399" t="s">
        <v>6272</v>
      </c>
      <c r="H10399" t="s">
        <v>5474</v>
      </c>
      <c r="I10399" t="s">
        <v>36067</v>
      </c>
      <c r="J10399" t="s">
        <v>5476</v>
      </c>
      <c r="K10399" t="s">
        <v>36068</v>
      </c>
      <c r="L10399" t="s">
        <v>5471</v>
      </c>
      <c r="M10399" t="s">
        <v>5471</v>
      </c>
    </row>
    <row r="10400" spans="1:13" x14ac:dyDescent="0.3">
      <c r="A10400" t="s">
        <v>3383</v>
      </c>
      <c r="B10400" t="s">
        <v>34306</v>
      </c>
      <c r="C10400" t="s">
        <v>5470</v>
      </c>
      <c r="D10400" t="s">
        <v>4119</v>
      </c>
      <c r="E10400" t="s">
        <v>5532</v>
      </c>
      <c r="F10400" t="s">
        <v>36069</v>
      </c>
      <c r="G10400" t="s">
        <v>8941</v>
      </c>
      <c r="H10400" t="s">
        <v>5474</v>
      </c>
      <c r="I10400" t="s">
        <v>36070</v>
      </c>
      <c r="J10400" t="s">
        <v>5484</v>
      </c>
      <c r="K10400" t="s">
        <v>34309</v>
      </c>
      <c r="L10400" t="s">
        <v>5471</v>
      </c>
      <c r="M10400" t="s">
        <v>5471</v>
      </c>
    </row>
    <row r="10401" spans="1:13" x14ac:dyDescent="0.3">
      <c r="A10401" t="s">
        <v>3383</v>
      </c>
      <c r="B10401" t="s">
        <v>34306</v>
      </c>
      <c r="C10401" t="s">
        <v>5470</v>
      </c>
      <c r="D10401" t="s">
        <v>4119</v>
      </c>
      <c r="E10401" t="s">
        <v>5532</v>
      </c>
      <c r="F10401" t="s">
        <v>36071</v>
      </c>
      <c r="G10401" t="s">
        <v>8941</v>
      </c>
      <c r="H10401" t="s">
        <v>5474</v>
      </c>
      <c r="I10401" t="s">
        <v>36072</v>
      </c>
      <c r="J10401" t="s">
        <v>5484</v>
      </c>
      <c r="K10401" t="s">
        <v>34309</v>
      </c>
      <c r="L10401" t="s">
        <v>5471</v>
      </c>
      <c r="M10401" t="s">
        <v>5471</v>
      </c>
    </row>
    <row r="10402" spans="1:13" x14ac:dyDescent="0.3">
      <c r="A10402" t="s">
        <v>3383</v>
      </c>
      <c r="B10402" t="s">
        <v>34306</v>
      </c>
      <c r="C10402" t="s">
        <v>5470</v>
      </c>
      <c r="D10402" t="s">
        <v>4119</v>
      </c>
      <c r="E10402" t="s">
        <v>5532</v>
      </c>
      <c r="F10402" t="s">
        <v>36073</v>
      </c>
      <c r="G10402" t="s">
        <v>8941</v>
      </c>
      <c r="H10402" t="s">
        <v>5474</v>
      </c>
      <c r="I10402" t="s">
        <v>36074</v>
      </c>
      <c r="J10402" t="s">
        <v>5484</v>
      </c>
      <c r="K10402" t="s">
        <v>34309</v>
      </c>
      <c r="L10402" t="s">
        <v>5471</v>
      </c>
      <c r="M10402" t="s">
        <v>5471</v>
      </c>
    </row>
    <row r="10403" spans="1:13" x14ac:dyDescent="0.3">
      <c r="A10403" t="s">
        <v>3383</v>
      </c>
      <c r="B10403" t="s">
        <v>34306</v>
      </c>
      <c r="C10403" t="s">
        <v>5470</v>
      </c>
      <c r="D10403" t="s">
        <v>4119</v>
      </c>
      <c r="E10403" t="s">
        <v>5532</v>
      </c>
      <c r="F10403" t="s">
        <v>36075</v>
      </c>
      <c r="G10403" t="s">
        <v>8941</v>
      </c>
      <c r="H10403" t="s">
        <v>5474</v>
      </c>
      <c r="I10403" t="s">
        <v>36076</v>
      </c>
      <c r="J10403" t="s">
        <v>5484</v>
      </c>
      <c r="K10403" t="s">
        <v>34309</v>
      </c>
      <c r="L10403" t="s">
        <v>5471</v>
      </c>
      <c r="M10403" t="s">
        <v>5471</v>
      </c>
    </row>
    <row r="10404" spans="1:13" x14ac:dyDescent="0.3">
      <c r="A10404" t="s">
        <v>3383</v>
      </c>
      <c r="B10404" t="s">
        <v>34306</v>
      </c>
      <c r="C10404" t="s">
        <v>5470</v>
      </c>
      <c r="D10404" t="s">
        <v>4119</v>
      </c>
      <c r="E10404" t="s">
        <v>5532</v>
      </c>
      <c r="F10404" t="s">
        <v>36077</v>
      </c>
      <c r="G10404" t="s">
        <v>8941</v>
      </c>
      <c r="H10404" t="s">
        <v>5474</v>
      </c>
      <c r="I10404" t="s">
        <v>36078</v>
      </c>
      <c r="J10404" t="s">
        <v>5484</v>
      </c>
      <c r="K10404" t="s">
        <v>34309</v>
      </c>
      <c r="L10404" t="s">
        <v>5471</v>
      </c>
      <c r="M10404" t="s">
        <v>5471</v>
      </c>
    </row>
    <row r="10405" spans="1:13" x14ac:dyDescent="0.3">
      <c r="A10405" t="s">
        <v>3397</v>
      </c>
      <c r="B10405" t="s">
        <v>14240</v>
      </c>
      <c r="C10405" t="s">
        <v>5487</v>
      </c>
      <c r="D10405" t="s">
        <v>15984</v>
      </c>
      <c r="E10405" t="s">
        <v>5532</v>
      </c>
      <c r="F10405" t="s">
        <v>36079</v>
      </c>
      <c r="G10405" t="s">
        <v>14240</v>
      </c>
      <c r="H10405" t="s">
        <v>5474</v>
      </c>
      <c r="I10405" t="s">
        <v>36080</v>
      </c>
      <c r="J10405" t="s">
        <v>5476</v>
      </c>
      <c r="K10405" t="s">
        <v>36081</v>
      </c>
      <c r="L10405" t="s">
        <v>5471</v>
      </c>
      <c r="M10405" t="s">
        <v>5471</v>
      </c>
    </row>
    <row r="10406" spans="1:13" x14ac:dyDescent="0.3">
      <c r="A10406" t="s">
        <v>3383</v>
      </c>
      <c r="B10406" t="s">
        <v>34306</v>
      </c>
      <c r="C10406" t="s">
        <v>5470</v>
      </c>
      <c r="D10406" t="s">
        <v>4119</v>
      </c>
      <c r="E10406" t="s">
        <v>5532</v>
      </c>
      <c r="F10406" t="s">
        <v>36082</v>
      </c>
      <c r="G10406" t="s">
        <v>8941</v>
      </c>
      <c r="H10406" t="s">
        <v>5474</v>
      </c>
      <c r="I10406" t="s">
        <v>36083</v>
      </c>
      <c r="J10406" t="s">
        <v>5484</v>
      </c>
      <c r="K10406" t="s">
        <v>34309</v>
      </c>
      <c r="L10406" t="s">
        <v>5471</v>
      </c>
      <c r="M10406" t="s">
        <v>5471</v>
      </c>
    </row>
    <row r="10407" spans="1:13" x14ac:dyDescent="0.3">
      <c r="A10407" t="s">
        <v>3383</v>
      </c>
      <c r="B10407" t="s">
        <v>34306</v>
      </c>
      <c r="C10407" t="s">
        <v>5470</v>
      </c>
      <c r="D10407" t="s">
        <v>4119</v>
      </c>
      <c r="E10407" t="s">
        <v>5532</v>
      </c>
      <c r="F10407" t="s">
        <v>36084</v>
      </c>
      <c r="G10407" t="s">
        <v>8941</v>
      </c>
      <c r="H10407" t="s">
        <v>5474</v>
      </c>
      <c r="I10407" t="s">
        <v>36085</v>
      </c>
      <c r="J10407" t="s">
        <v>5484</v>
      </c>
      <c r="K10407" t="s">
        <v>34309</v>
      </c>
      <c r="L10407" t="s">
        <v>5471</v>
      </c>
      <c r="M10407" t="s">
        <v>5471</v>
      </c>
    </row>
    <row r="10408" spans="1:13" x14ac:dyDescent="0.3">
      <c r="A10408" t="s">
        <v>3397</v>
      </c>
      <c r="B10408" t="s">
        <v>10243</v>
      </c>
      <c r="C10408" t="s">
        <v>5487</v>
      </c>
      <c r="D10408" t="s">
        <v>15984</v>
      </c>
      <c r="E10408" t="s">
        <v>5532</v>
      </c>
      <c r="F10408" t="s">
        <v>36086</v>
      </c>
      <c r="G10408" t="s">
        <v>10243</v>
      </c>
      <c r="H10408" t="s">
        <v>5474</v>
      </c>
      <c r="I10408" t="s">
        <v>36087</v>
      </c>
      <c r="J10408" t="s">
        <v>5476</v>
      </c>
      <c r="K10408" t="s">
        <v>36088</v>
      </c>
      <c r="L10408" t="s">
        <v>5471</v>
      </c>
      <c r="M10408" t="s">
        <v>5471</v>
      </c>
    </row>
    <row r="10409" spans="1:13" x14ac:dyDescent="0.3">
      <c r="A10409" t="s">
        <v>3383</v>
      </c>
      <c r="B10409" t="s">
        <v>34306</v>
      </c>
      <c r="C10409" t="s">
        <v>5470</v>
      </c>
      <c r="D10409" t="s">
        <v>4119</v>
      </c>
      <c r="E10409" t="s">
        <v>5532</v>
      </c>
      <c r="F10409" t="s">
        <v>36089</v>
      </c>
      <c r="G10409" t="s">
        <v>8941</v>
      </c>
      <c r="H10409" t="s">
        <v>5474</v>
      </c>
      <c r="I10409" t="s">
        <v>36090</v>
      </c>
      <c r="J10409" t="s">
        <v>5484</v>
      </c>
      <c r="K10409" t="s">
        <v>34309</v>
      </c>
      <c r="L10409" t="s">
        <v>5471</v>
      </c>
      <c r="M10409" t="s">
        <v>5471</v>
      </c>
    </row>
    <row r="10410" spans="1:13" x14ac:dyDescent="0.3">
      <c r="A10410" t="s">
        <v>3383</v>
      </c>
      <c r="B10410" t="s">
        <v>34306</v>
      </c>
      <c r="C10410" t="s">
        <v>5470</v>
      </c>
      <c r="D10410" t="s">
        <v>4119</v>
      </c>
      <c r="E10410" t="s">
        <v>5532</v>
      </c>
      <c r="F10410" t="s">
        <v>36091</v>
      </c>
      <c r="G10410" t="s">
        <v>8941</v>
      </c>
      <c r="H10410" t="s">
        <v>5474</v>
      </c>
      <c r="I10410" t="s">
        <v>36092</v>
      </c>
      <c r="J10410" t="s">
        <v>5484</v>
      </c>
      <c r="K10410" t="s">
        <v>34309</v>
      </c>
      <c r="L10410" t="s">
        <v>5471</v>
      </c>
      <c r="M10410" t="s">
        <v>5471</v>
      </c>
    </row>
    <row r="10411" spans="1:13" x14ac:dyDescent="0.3">
      <c r="A10411" t="s">
        <v>3383</v>
      </c>
      <c r="B10411" t="s">
        <v>34306</v>
      </c>
      <c r="C10411" t="s">
        <v>5470</v>
      </c>
      <c r="D10411" t="s">
        <v>4119</v>
      </c>
      <c r="E10411" t="s">
        <v>5532</v>
      </c>
      <c r="F10411" t="s">
        <v>36093</v>
      </c>
      <c r="G10411" t="s">
        <v>8941</v>
      </c>
      <c r="H10411" t="s">
        <v>5474</v>
      </c>
      <c r="I10411" t="s">
        <v>36094</v>
      </c>
      <c r="J10411" t="s">
        <v>5484</v>
      </c>
      <c r="K10411" t="s">
        <v>34309</v>
      </c>
      <c r="L10411" t="s">
        <v>5471</v>
      </c>
      <c r="M10411" t="s">
        <v>5471</v>
      </c>
    </row>
    <row r="10412" spans="1:13" x14ac:dyDescent="0.3">
      <c r="A10412" t="s">
        <v>3383</v>
      </c>
      <c r="B10412" t="s">
        <v>34306</v>
      </c>
      <c r="C10412" t="s">
        <v>5470</v>
      </c>
      <c r="D10412" t="s">
        <v>4119</v>
      </c>
      <c r="E10412" t="s">
        <v>5532</v>
      </c>
      <c r="F10412" t="s">
        <v>36095</v>
      </c>
      <c r="G10412" t="s">
        <v>8941</v>
      </c>
      <c r="H10412" t="s">
        <v>5474</v>
      </c>
      <c r="I10412" t="s">
        <v>36096</v>
      </c>
      <c r="J10412" t="s">
        <v>5484</v>
      </c>
      <c r="K10412" t="s">
        <v>34309</v>
      </c>
      <c r="L10412" t="s">
        <v>5471</v>
      </c>
      <c r="M10412" t="s">
        <v>5471</v>
      </c>
    </row>
    <row r="10413" spans="1:13" x14ac:dyDescent="0.3">
      <c r="A10413" t="s">
        <v>3383</v>
      </c>
      <c r="B10413" t="s">
        <v>34306</v>
      </c>
      <c r="C10413" t="s">
        <v>5470</v>
      </c>
      <c r="D10413" t="s">
        <v>4119</v>
      </c>
      <c r="E10413" t="s">
        <v>5532</v>
      </c>
      <c r="F10413" t="s">
        <v>36097</v>
      </c>
      <c r="G10413" t="s">
        <v>8941</v>
      </c>
      <c r="H10413" t="s">
        <v>5474</v>
      </c>
      <c r="I10413" t="s">
        <v>36098</v>
      </c>
      <c r="J10413" t="s">
        <v>5484</v>
      </c>
      <c r="K10413" t="s">
        <v>34309</v>
      </c>
      <c r="L10413" t="s">
        <v>5471</v>
      </c>
      <c r="M10413" t="s">
        <v>5471</v>
      </c>
    </row>
    <row r="10414" spans="1:13" x14ac:dyDescent="0.3">
      <c r="A10414" t="s">
        <v>3383</v>
      </c>
      <c r="B10414" t="s">
        <v>34306</v>
      </c>
      <c r="C10414" t="s">
        <v>5470</v>
      </c>
      <c r="D10414" t="s">
        <v>4119</v>
      </c>
      <c r="E10414" t="s">
        <v>5532</v>
      </c>
      <c r="F10414" t="s">
        <v>36099</v>
      </c>
      <c r="G10414" t="s">
        <v>8941</v>
      </c>
      <c r="H10414" t="s">
        <v>5474</v>
      </c>
      <c r="I10414" t="s">
        <v>36100</v>
      </c>
      <c r="J10414" t="s">
        <v>5484</v>
      </c>
      <c r="K10414" t="s">
        <v>34309</v>
      </c>
      <c r="L10414" t="s">
        <v>5471</v>
      </c>
      <c r="M10414" t="s">
        <v>5471</v>
      </c>
    </row>
    <row r="10415" spans="1:13" x14ac:dyDescent="0.3">
      <c r="A10415" t="s">
        <v>3383</v>
      </c>
      <c r="B10415" t="s">
        <v>34306</v>
      </c>
      <c r="C10415" t="s">
        <v>5470</v>
      </c>
      <c r="D10415" t="s">
        <v>4119</v>
      </c>
      <c r="E10415" t="s">
        <v>5532</v>
      </c>
      <c r="F10415" t="s">
        <v>36101</v>
      </c>
      <c r="G10415" t="s">
        <v>8941</v>
      </c>
      <c r="H10415" t="s">
        <v>5474</v>
      </c>
      <c r="I10415" t="s">
        <v>36102</v>
      </c>
      <c r="J10415" t="s">
        <v>5484</v>
      </c>
      <c r="K10415" t="s">
        <v>34309</v>
      </c>
      <c r="L10415" t="s">
        <v>5471</v>
      </c>
      <c r="M10415" t="s">
        <v>5471</v>
      </c>
    </row>
    <row r="10416" spans="1:13" x14ac:dyDescent="0.3">
      <c r="A10416" t="s">
        <v>3383</v>
      </c>
      <c r="B10416" t="s">
        <v>34306</v>
      </c>
      <c r="C10416" t="s">
        <v>5470</v>
      </c>
      <c r="D10416" t="s">
        <v>4119</v>
      </c>
      <c r="E10416" t="s">
        <v>5532</v>
      </c>
      <c r="F10416" t="s">
        <v>36103</v>
      </c>
      <c r="G10416" t="s">
        <v>8941</v>
      </c>
      <c r="H10416" t="s">
        <v>5474</v>
      </c>
      <c r="I10416" t="s">
        <v>36104</v>
      </c>
      <c r="J10416" t="s">
        <v>5484</v>
      </c>
      <c r="K10416" t="s">
        <v>34309</v>
      </c>
      <c r="L10416" t="s">
        <v>5471</v>
      </c>
      <c r="M10416" t="s">
        <v>5471</v>
      </c>
    </row>
    <row r="10417" spans="1:13" x14ac:dyDescent="0.3">
      <c r="A10417" t="s">
        <v>3383</v>
      </c>
      <c r="B10417" t="s">
        <v>34306</v>
      </c>
      <c r="C10417" t="s">
        <v>5470</v>
      </c>
      <c r="D10417" t="s">
        <v>4119</v>
      </c>
      <c r="E10417" t="s">
        <v>5532</v>
      </c>
      <c r="F10417" t="s">
        <v>36105</v>
      </c>
      <c r="G10417" t="s">
        <v>8941</v>
      </c>
      <c r="H10417" t="s">
        <v>5474</v>
      </c>
      <c r="I10417" t="s">
        <v>36106</v>
      </c>
      <c r="J10417" t="s">
        <v>5484</v>
      </c>
      <c r="K10417" t="s">
        <v>34309</v>
      </c>
      <c r="L10417" t="s">
        <v>5471</v>
      </c>
      <c r="M10417" t="s">
        <v>5471</v>
      </c>
    </row>
    <row r="10418" spans="1:13" x14ac:dyDescent="0.3">
      <c r="A10418" t="s">
        <v>3383</v>
      </c>
      <c r="B10418" t="s">
        <v>34306</v>
      </c>
      <c r="C10418" t="s">
        <v>5470</v>
      </c>
      <c r="D10418" t="s">
        <v>4119</v>
      </c>
      <c r="E10418" t="s">
        <v>5532</v>
      </c>
      <c r="F10418" t="s">
        <v>36107</v>
      </c>
      <c r="G10418" t="s">
        <v>8941</v>
      </c>
      <c r="H10418" t="s">
        <v>5474</v>
      </c>
      <c r="I10418" t="s">
        <v>36108</v>
      </c>
      <c r="J10418" t="s">
        <v>5484</v>
      </c>
      <c r="K10418" t="s">
        <v>34309</v>
      </c>
      <c r="L10418" t="s">
        <v>5471</v>
      </c>
      <c r="M10418" t="s">
        <v>5471</v>
      </c>
    </row>
    <row r="10419" spans="1:13" x14ac:dyDescent="0.3">
      <c r="A10419" t="s">
        <v>3383</v>
      </c>
      <c r="B10419" t="s">
        <v>34306</v>
      </c>
      <c r="C10419" t="s">
        <v>5470</v>
      </c>
      <c r="D10419" t="s">
        <v>4119</v>
      </c>
      <c r="E10419" t="s">
        <v>5532</v>
      </c>
      <c r="F10419" t="s">
        <v>36109</v>
      </c>
      <c r="G10419" t="s">
        <v>8941</v>
      </c>
      <c r="H10419" t="s">
        <v>5474</v>
      </c>
      <c r="I10419" t="s">
        <v>36110</v>
      </c>
      <c r="J10419" t="s">
        <v>5484</v>
      </c>
      <c r="K10419" t="s">
        <v>35877</v>
      </c>
      <c r="L10419" t="s">
        <v>5471</v>
      </c>
      <c r="M10419" t="s">
        <v>5471</v>
      </c>
    </row>
    <row r="10420" spans="1:13" x14ac:dyDescent="0.3">
      <c r="A10420" t="s">
        <v>3383</v>
      </c>
      <c r="B10420" t="s">
        <v>34306</v>
      </c>
      <c r="C10420" t="s">
        <v>5470</v>
      </c>
      <c r="D10420" t="s">
        <v>4119</v>
      </c>
      <c r="E10420" t="s">
        <v>5532</v>
      </c>
      <c r="F10420" t="s">
        <v>36111</v>
      </c>
      <c r="G10420" t="s">
        <v>8941</v>
      </c>
      <c r="H10420" t="s">
        <v>5474</v>
      </c>
      <c r="I10420" t="s">
        <v>36112</v>
      </c>
      <c r="J10420" t="s">
        <v>5484</v>
      </c>
      <c r="K10420" t="s">
        <v>34309</v>
      </c>
      <c r="L10420" t="s">
        <v>5471</v>
      </c>
      <c r="M10420" t="s">
        <v>5471</v>
      </c>
    </row>
    <row r="10421" spans="1:13" x14ac:dyDescent="0.3">
      <c r="A10421" t="s">
        <v>3383</v>
      </c>
      <c r="B10421" t="s">
        <v>34306</v>
      </c>
      <c r="C10421" t="s">
        <v>5470</v>
      </c>
      <c r="D10421" t="s">
        <v>4119</v>
      </c>
      <c r="E10421" t="s">
        <v>5532</v>
      </c>
      <c r="F10421" t="s">
        <v>36113</v>
      </c>
      <c r="G10421" t="s">
        <v>8941</v>
      </c>
      <c r="H10421" t="s">
        <v>5474</v>
      </c>
      <c r="I10421" t="s">
        <v>36114</v>
      </c>
      <c r="J10421" t="s">
        <v>5484</v>
      </c>
      <c r="K10421" t="s">
        <v>34309</v>
      </c>
      <c r="L10421" t="s">
        <v>5471</v>
      </c>
      <c r="M10421" t="s">
        <v>5471</v>
      </c>
    </row>
    <row r="10422" spans="1:13" x14ac:dyDescent="0.3">
      <c r="A10422" t="s">
        <v>3383</v>
      </c>
      <c r="B10422" t="s">
        <v>34306</v>
      </c>
      <c r="C10422" t="s">
        <v>5470</v>
      </c>
      <c r="D10422" t="s">
        <v>4119</v>
      </c>
      <c r="E10422" t="s">
        <v>5532</v>
      </c>
      <c r="F10422" t="s">
        <v>36115</v>
      </c>
      <c r="G10422" t="s">
        <v>8941</v>
      </c>
      <c r="H10422" t="s">
        <v>5474</v>
      </c>
      <c r="I10422" t="s">
        <v>36116</v>
      </c>
      <c r="J10422" t="s">
        <v>5484</v>
      </c>
      <c r="K10422" t="s">
        <v>34309</v>
      </c>
      <c r="L10422" t="s">
        <v>5471</v>
      </c>
      <c r="M10422" t="s">
        <v>5471</v>
      </c>
    </row>
    <row r="10423" spans="1:13" x14ac:dyDescent="0.3">
      <c r="A10423" t="s">
        <v>3383</v>
      </c>
      <c r="B10423" t="s">
        <v>34306</v>
      </c>
      <c r="C10423" t="s">
        <v>5470</v>
      </c>
      <c r="D10423" t="s">
        <v>4119</v>
      </c>
      <c r="E10423" t="s">
        <v>5532</v>
      </c>
      <c r="F10423" t="s">
        <v>36117</v>
      </c>
      <c r="G10423" t="s">
        <v>8941</v>
      </c>
      <c r="H10423" t="s">
        <v>5474</v>
      </c>
      <c r="I10423" t="s">
        <v>36118</v>
      </c>
      <c r="J10423" t="s">
        <v>5484</v>
      </c>
      <c r="K10423" t="s">
        <v>34309</v>
      </c>
      <c r="L10423" t="s">
        <v>5471</v>
      </c>
      <c r="M10423" t="s">
        <v>5471</v>
      </c>
    </row>
    <row r="10424" spans="1:13" x14ac:dyDescent="0.3">
      <c r="A10424" t="s">
        <v>3383</v>
      </c>
      <c r="B10424" t="s">
        <v>34306</v>
      </c>
      <c r="C10424" t="s">
        <v>5470</v>
      </c>
      <c r="D10424" t="s">
        <v>4119</v>
      </c>
      <c r="E10424" t="s">
        <v>5532</v>
      </c>
      <c r="F10424" t="s">
        <v>36119</v>
      </c>
      <c r="G10424" t="s">
        <v>8941</v>
      </c>
      <c r="H10424" t="s">
        <v>5474</v>
      </c>
      <c r="I10424" t="s">
        <v>36120</v>
      </c>
      <c r="J10424" t="s">
        <v>5484</v>
      </c>
      <c r="K10424" t="s">
        <v>34309</v>
      </c>
      <c r="L10424" t="s">
        <v>5471</v>
      </c>
      <c r="M10424" t="s">
        <v>5471</v>
      </c>
    </row>
    <row r="10425" spans="1:13" x14ac:dyDescent="0.3">
      <c r="A10425" t="s">
        <v>3383</v>
      </c>
      <c r="B10425" t="s">
        <v>34306</v>
      </c>
      <c r="C10425" t="s">
        <v>5470</v>
      </c>
      <c r="D10425" t="s">
        <v>4119</v>
      </c>
      <c r="E10425" t="s">
        <v>5532</v>
      </c>
      <c r="F10425" t="s">
        <v>36121</v>
      </c>
      <c r="G10425" t="s">
        <v>8941</v>
      </c>
      <c r="H10425" t="s">
        <v>5474</v>
      </c>
      <c r="I10425" t="s">
        <v>36122</v>
      </c>
      <c r="J10425" t="s">
        <v>5484</v>
      </c>
      <c r="K10425" t="s">
        <v>34309</v>
      </c>
      <c r="L10425" t="s">
        <v>5471</v>
      </c>
      <c r="M10425" t="s">
        <v>5471</v>
      </c>
    </row>
    <row r="10426" spans="1:13" x14ac:dyDescent="0.3">
      <c r="A10426" t="s">
        <v>3383</v>
      </c>
      <c r="B10426" t="s">
        <v>34306</v>
      </c>
      <c r="C10426" t="s">
        <v>5470</v>
      </c>
      <c r="D10426" t="s">
        <v>4119</v>
      </c>
      <c r="E10426" t="s">
        <v>5532</v>
      </c>
      <c r="F10426" t="s">
        <v>36123</v>
      </c>
      <c r="G10426" t="s">
        <v>8941</v>
      </c>
      <c r="H10426" t="s">
        <v>5474</v>
      </c>
      <c r="I10426" t="s">
        <v>36124</v>
      </c>
      <c r="J10426" t="s">
        <v>5484</v>
      </c>
      <c r="K10426" t="s">
        <v>34309</v>
      </c>
      <c r="L10426" t="s">
        <v>5471</v>
      </c>
      <c r="M10426" t="s">
        <v>5471</v>
      </c>
    </row>
    <row r="10427" spans="1:13" x14ac:dyDescent="0.3">
      <c r="A10427" t="s">
        <v>3383</v>
      </c>
      <c r="B10427" t="s">
        <v>34306</v>
      </c>
      <c r="C10427" t="s">
        <v>5470</v>
      </c>
      <c r="D10427" t="s">
        <v>4119</v>
      </c>
      <c r="E10427" t="s">
        <v>5532</v>
      </c>
      <c r="F10427" t="s">
        <v>36125</v>
      </c>
      <c r="G10427" t="s">
        <v>8941</v>
      </c>
      <c r="H10427" t="s">
        <v>5474</v>
      </c>
      <c r="I10427" t="s">
        <v>36126</v>
      </c>
      <c r="J10427" t="s">
        <v>5484</v>
      </c>
      <c r="K10427" t="s">
        <v>34309</v>
      </c>
      <c r="L10427" t="s">
        <v>5471</v>
      </c>
      <c r="M10427" t="s">
        <v>5471</v>
      </c>
    </row>
    <row r="10428" spans="1:13" x14ac:dyDescent="0.3">
      <c r="A10428" t="s">
        <v>3383</v>
      </c>
      <c r="B10428" t="s">
        <v>34306</v>
      </c>
      <c r="C10428" t="s">
        <v>5470</v>
      </c>
      <c r="D10428" t="s">
        <v>4119</v>
      </c>
      <c r="E10428" t="s">
        <v>5532</v>
      </c>
      <c r="F10428" t="s">
        <v>36127</v>
      </c>
      <c r="G10428" t="s">
        <v>8941</v>
      </c>
      <c r="H10428" t="s">
        <v>5474</v>
      </c>
      <c r="I10428" t="s">
        <v>36128</v>
      </c>
      <c r="J10428" t="s">
        <v>5484</v>
      </c>
      <c r="K10428" t="s">
        <v>34309</v>
      </c>
      <c r="L10428" t="s">
        <v>5471</v>
      </c>
      <c r="M10428" t="s">
        <v>5471</v>
      </c>
    </row>
    <row r="10429" spans="1:13" x14ac:dyDescent="0.3">
      <c r="A10429" t="s">
        <v>3383</v>
      </c>
      <c r="B10429" t="s">
        <v>34306</v>
      </c>
      <c r="C10429" t="s">
        <v>5470</v>
      </c>
      <c r="D10429" t="s">
        <v>4119</v>
      </c>
      <c r="E10429" t="s">
        <v>5532</v>
      </c>
      <c r="F10429" t="s">
        <v>36129</v>
      </c>
      <c r="G10429" t="s">
        <v>8941</v>
      </c>
      <c r="H10429" t="s">
        <v>5474</v>
      </c>
      <c r="I10429" t="s">
        <v>36130</v>
      </c>
      <c r="J10429" t="s">
        <v>5484</v>
      </c>
      <c r="K10429" t="s">
        <v>34309</v>
      </c>
      <c r="L10429" t="s">
        <v>5471</v>
      </c>
      <c r="M10429" t="s">
        <v>5471</v>
      </c>
    </row>
    <row r="10430" spans="1:13" x14ac:dyDescent="0.3">
      <c r="A10430" t="s">
        <v>3383</v>
      </c>
      <c r="B10430" t="s">
        <v>34306</v>
      </c>
      <c r="C10430" t="s">
        <v>5470</v>
      </c>
      <c r="D10430" t="s">
        <v>4119</v>
      </c>
      <c r="E10430" t="s">
        <v>5532</v>
      </c>
      <c r="F10430" t="s">
        <v>36131</v>
      </c>
      <c r="G10430" t="s">
        <v>8941</v>
      </c>
      <c r="H10430" t="s">
        <v>5474</v>
      </c>
      <c r="I10430" t="s">
        <v>36132</v>
      </c>
      <c r="J10430" t="s">
        <v>5484</v>
      </c>
      <c r="K10430" t="s">
        <v>34309</v>
      </c>
      <c r="L10430" t="s">
        <v>5471</v>
      </c>
      <c r="M10430" t="s">
        <v>5471</v>
      </c>
    </row>
    <row r="10431" spans="1:13" x14ac:dyDescent="0.3">
      <c r="A10431" t="s">
        <v>3388</v>
      </c>
      <c r="B10431" t="s">
        <v>15702</v>
      </c>
      <c r="C10431" t="s">
        <v>5470</v>
      </c>
      <c r="D10431" t="s">
        <v>4119</v>
      </c>
      <c r="E10431" t="s">
        <v>5532</v>
      </c>
      <c r="F10431" t="s">
        <v>36133</v>
      </c>
      <c r="G10431" t="s">
        <v>36134</v>
      </c>
      <c r="H10431" t="s">
        <v>5474</v>
      </c>
      <c r="I10431" t="s">
        <v>36135</v>
      </c>
      <c r="J10431" t="s">
        <v>5484</v>
      </c>
      <c r="K10431" t="s">
        <v>36136</v>
      </c>
      <c r="L10431" t="s">
        <v>5471</v>
      </c>
      <c r="M10431" t="s">
        <v>5471</v>
      </c>
    </row>
    <row r="10432" spans="1:13" x14ac:dyDescent="0.3">
      <c r="A10432" t="s">
        <v>3383</v>
      </c>
      <c r="B10432" t="s">
        <v>36137</v>
      </c>
      <c r="C10432" t="s">
        <v>5470</v>
      </c>
      <c r="D10432" t="s">
        <v>4119</v>
      </c>
      <c r="E10432" t="s">
        <v>5756</v>
      </c>
      <c r="F10432" t="s">
        <v>36138</v>
      </c>
      <c r="G10432" t="s">
        <v>6199</v>
      </c>
      <c r="H10432" t="s">
        <v>5474</v>
      </c>
      <c r="I10432" t="s">
        <v>36139</v>
      </c>
      <c r="J10432" t="s">
        <v>5484</v>
      </c>
      <c r="K10432" t="s">
        <v>36140</v>
      </c>
      <c r="L10432" t="s">
        <v>5471</v>
      </c>
      <c r="M10432" t="s">
        <v>5471</v>
      </c>
    </row>
    <row r="10433" spans="1:13" x14ac:dyDescent="0.3">
      <c r="A10433" t="s">
        <v>3388</v>
      </c>
      <c r="B10433" t="s">
        <v>20014</v>
      </c>
      <c r="C10433" t="s">
        <v>5470</v>
      </c>
      <c r="D10433" t="s">
        <v>4119</v>
      </c>
      <c r="E10433" t="s">
        <v>5532</v>
      </c>
      <c r="F10433" t="s">
        <v>36141</v>
      </c>
      <c r="G10433" t="s">
        <v>36142</v>
      </c>
      <c r="H10433" t="s">
        <v>5474</v>
      </c>
      <c r="I10433" t="s">
        <v>36143</v>
      </c>
      <c r="J10433" t="s">
        <v>5484</v>
      </c>
      <c r="K10433" t="s">
        <v>36144</v>
      </c>
      <c r="L10433" t="s">
        <v>5471</v>
      </c>
      <c r="M10433" t="s">
        <v>5471</v>
      </c>
    </row>
    <row r="10434" spans="1:13" x14ac:dyDescent="0.3">
      <c r="A10434" t="s">
        <v>3388</v>
      </c>
      <c r="B10434" t="s">
        <v>21862</v>
      </c>
      <c r="C10434" t="s">
        <v>5470</v>
      </c>
      <c r="D10434" t="s">
        <v>4119</v>
      </c>
      <c r="E10434" t="s">
        <v>5532</v>
      </c>
      <c r="F10434" t="s">
        <v>36145</v>
      </c>
      <c r="G10434" t="s">
        <v>21864</v>
      </c>
      <c r="H10434" t="s">
        <v>5474</v>
      </c>
      <c r="I10434" t="s">
        <v>36146</v>
      </c>
      <c r="J10434" t="s">
        <v>5484</v>
      </c>
      <c r="K10434" t="s">
        <v>36147</v>
      </c>
      <c r="L10434" t="s">
        <v>5471</v>
      </c>
      <c r="M10434" t="s">
        <v>5471</v>
      </c>
    </row>
    <row r="10435" spans="1:13" x14ac:dyDescent="0.3">
      <c r="A10435" t="s">
        <v>3388</v>
      </c>
      <c r="B10435" t="s">
        <v>20014</v>
      </c>
      <c r="C10435" t="s">
        <v>5470</v>
      </c>
      <c r="D10435" t="s">
        <v>4119</v>
      </c>
      <c r="E10435" t="s">
        <v>5532</v>
      </c>
      <c r="F10435" t="s">
        <v>36148</v>
      </c>
      <c r="G10435" t="s">
        <v>28692</v>
      </c>
      <c r="H10435" t="s">
        <v>5474</v>
      </c>
      <c r="I10435" t="s">
        <v>36149</v>
      </c>
      <c r="J10435" t="s">
        <v>5484</v>
      </c>
      <c r="K10435" t="s">
        <v>36150</v>
      </c>
      <c r="L10435" t="s">
        <v>5471</v>
      </c>
      <c r="M10435" t="s">
        <v>5471</v>
      </c>
    </row>
    <row r="10436" spans="1:13" x14ac:dyDescent="0.3">
      <c r="A10436" t="s">
        <v>3397</v>
      </c>
      <c r="B10436" t="s">
        <v>36151</v>
      </c>
      <c r="C10436" t="s">
        <v>5487</v>
      </c>
      <c r="D10436" t="s">
        <v>15984</v>
      </c>
      <c r="E10436" t="s">
        <v>5532</v>
      </c>
      <c r="F10436" t="s">
        <v>36152</v>
      </c>
      <c r="G10436" t="s">
        <v>36151</v>
      </c>
      <c r="H10436" t="s">
        <v>5474</v>
      </c>
      <c r="I10436" t="s">
        <v>36153</v>
      </c>
      <c r="J10436" t="s">
        <v>5476</v>
      </c>
      <c r="K10436" t="s">
        <v>36154</v>
      </c>
      <c r="L10436" t="s">
        <v>5471</v>
      </c>
      <c r="M10436" t="s">
        <v>5471</v>
      </c>
    </row>
    <row r="10437" spans="1:13" x14ac:dyDescent="0.3">
      <c r="A10437" t="s">
        <v>3383</v>
      </c>
      <c r="B10437" t="s">
        <v>36137</v>
      </c>
      <c r="C10437" t="s">
        <v>5470</v>
      </c>
      <c r="D10437" t="s">
        <v>4119</v>
      </c>
      <c r="E10437" t="s">
        <v>5756</v>
      </c>
      <c r="F10437" t="s">
        <v>36155</v>
      </c>
      <c r="G10437" t="s">
        <v>6199</v>
      </c>
      <c r="H10437" t="s">
        <v>5474</v>
      </c>
      <c r="I10437" t="s">
        <v>36156</v>
      </c>
      <c r="J10437" t="s">
        <v>5484</v>
      </c>
      <c r="K10437" t="s">
        <v>36140</v>
      </c>
      <c r="L10437" t="s">
        <v>5471</v>
      </c>
      <c r="M10437" t="s">
        <v>5471</v>
      </c>
    </row>
    <row r="10438" spans="1:13" x14ac:dyDescent="0.3">
      <c r="A10438" t="s">
        <v>3388</v>
      </c>
      <c r="B10438" t="s">
        <v>21862</v>
      </c>
      <c r="C10438" t="s">
        <v>5470</v>
      </c>
      <c r="D10438" t="s">
        <v>4119</v>
      </c>
      <c r="E10438" t="s">
        <v>5532</v>
      </c>
      <c r="F10438" t="s">
        <v>36157</v>
      </c>
      <c r="G10438" t="s">
        <v>36158</v>
      </c>
      <c r="H10438" t="s">
        <v>5474</v>
      </c>
      <c r="I10438" t="s">
        <v>36159</v>
      </c>
      <c r="J10438" t="s">
        <v>5484</v>
      </c>
      <c r="K10438" t="s">
        <v>36160</v>
      </c>
      <c r="L10438" t="s">
        <v>5471</v>
      </c>
      <c r="M10438" t="s">
        <v>5471</v>
      </c>
    </row>
    <row r="10439" spans="1:13" x14ac:dyDescent="0.3">
      <c r="A10439" t="s">
        <v>3397</v>
      </c>
      <c r="B10439" t="s">
        <v>36161</v>
      </c>
      <c r="C10439" t="s">
        <v>5487</v>
      </c>
      <c r="D10439" t="s">
        <v>15984</v>
      </c>
      <c r="E10439" t="s">
        <v>5595</v>
      </c>
      <c r="F10439" t="s">
        <v>36079</v>
      </c>
      <c r="G10439" t="s">
        <v>36161</v>
      </c>
      <c r="H10439" t="s">
        <v>5474</v>
      </c>
      <c r="I10439" t="s">
        <v>36162</v>
      </c>
      <c r="J10439" t="s">
        <v>5476</v>
      </c>
      <c r="K10439" t="s">
        <v>36163</v>
      </c>
      <c r="L10439" t="s">
        <v>5471</v>
      </c>
      <c r="M10439" t="s">
        <v>5471</v>
      </c>
    </row>
    <row r="10440" spans="1:13" x14ac:dyDescent="0.3">
      <c r="A10440" t="s">
        <v>3388</v>
      </c>
      <c r="B10440" t="s">
        <v>6452</v>
      </c>
      <c r="C10440" t="s">
        <v>5470</v>
      </c>
      <c r="D10440" t="s">
        <v>4119</v>
      </c>
      <c r="E10440" t="s">
        <v>5756</v>
      </c>
      <c r="F10440" t="s">
        <v>36164</v>
      </c>
      <c r="G10440" t="s">
        <v>15712</v>
      </c>
      <c r="H10440" t="s">
        <v>5474</v>
      </c>
      <c r="I10440" t="s">
        <v>36165</v>
      </c>
      <c r="J10440" t="s">
        <v>5484</v>
      </c>
      <c r="K10440" t="s">
        <v>36166</v>
      </c>
      <c r="L10440" t="s">
        <v>5471</v>
      </c>
      <c r="M10440" t="s">
        <v>5471</v>
      </c>
    </row>
    <row r="10441" spans="1:13" x14ac:dyDescent="0.3">
      <c r="A10441" t="s">
        <v>3388</v>
      </c>
      <c r="B10441" t="s">
        <v>6452</v>
      </c>
      <c r="C10441" t="s">
        <v>5470</v>
      </c>
      <c r="D10441" t="s">
        <v>4119</v>
      </c>
      <c r="E10441" t="s">
        <v>5756</v>
      </c>
      <c r="F10441" t="s">
        <v>36167</v>
      </c>
      <c r="G10441" t="s">
        <v>36168</v>
      </c>
      <c r="H10441" t="s">
        <v>5474</v>
      </c>
      <c r="I10441" t="s">
        <v>36169</v>
      </c>
      <c r="J10441" t="s">
        <v>5484</v>
      </c>
      <c r="K10441" t="s">
        <v>36170</v>
      </c>
      <c r="L10441" t="s">
        <v>5471</v>
      </c>
      <c r="M10441" t="s">
        <v>5471</v>
      </c>
    </row>
    <row r="10442" spans="1:13" x14ac:dyDescent="0.3">
      <c r="A10442" t="s">
        <v>3383</v>
      </c>
      <c r="B10442" t="s">
        <v>36171</v>
      </c>
      <c r="C10442" t="s">
        <v>5470</v>
      </c>
      <c r="D10442" t="s">
        <v>4119</v>
      </c>
      <c r="E10442" t="s">
        <v>5532</v>
      </c>
      <c r="F10442" t="s">
        <v>36172</v>
      </c>
      <c r="G10442" t="s">
        <v>8941</v>
      </c>
      <c r="H10442" t="s">
        <v>5474</v>
      </c>
      <c r="I10442" t="s">
        <v>36173</v>
      </c>
      <c r="J10442" t="s">
        <v>5484</v>
      </c>
      <c r="K10442" t="s">
        <v>35877</v>
      </c>
      <c r="L10442" t="s">
        <v>5471</v>
      </c>
      <c r="M10442" t="s">
        <v>5471</v>
      </c>
    </row>
    <row r="10443" spans="1:13" x14ac:dyDescent="0.3">
      <c r="A10443" t="s">
        <v>3397</v>
      </c>
      <c r="B10443" t="s">
        <v>36174</v>
      </c>
      <c r="C10443" t="s">
        <v>5487</v>
      </c>
      <c r="D10443" t="s">
        <v>15984</v>
      </c>
      <c r="E10443" t="s">
        <v>5595</v>
      </c>
      <c r="F10443" t="s">
        <v>36175</v>
      </c>
      <c r="G10443" t="s">
        <v>36174</v>
      </c>
      <c r="H10443" t="s">
        <v>5474</v>
      </c>
      <c r="I10443" t="s">
        <v>36176</v>
      </c>
      <c r="J10443" t="s">
        <v>5476</v>
      </c>
      <c r="K10443" t="s">
        <v>36177</v>
      </c>
      <c r="L10443" t="s">
        <v>5471</v>
      </c>
      <c r="M10443" t="s">
        <v>5471</v>
      </c>
    </row>
    <row r="10444" spans="1:13" x14ac:dyDescent="0.3">
      <c r="A10444" t="s">
        <v>3388</v>
      </c>
      <c r="B10444" t="s">
        <v>6452</v>
      </c>
      <c r="C10444" t="s">
        <v>5470</v>
      </c>
      <c r="D10444" t="s">
        <v>4119</v>
      </c>
      <c r="E10444" t="s">
        <v>5756</v>
      </c>
      <c r="F10444" t="s">
        <v>36178</v>
      </c>
      <c r="G10444" t="s">
        <v>15741</v>
      </c>
      <c r="H10444" t="s">
        <v>5474</v>
      </c>
      <c r="I10444" t="s">
        <v>36179</v>
      </c>
      <c r="J10444" t="s">
        <v>5484</v>
      </c>
      <c r="K10444" t="s">
        <v>36180</v>
      </c>
      <c r="L10444" t="s">
        <v>5471</v>
      </c>
      <c r="M10444" t="s">
        <v>5471</v>
      </c>
    </row>
    <row r="10445" spans="1:13" x14ac:dyDescent="0.3">
      <c r="A10445" t="s">
        <v>3383</v>
      </c>
      <c r="B10445" t="s">
        <v>36137</v>
      </c>
      <c r="C10445" t="s">
        <v>5470</v>
      </c>
      <c r="D10445" t="s">
        <v>4119</v>
      </c>
      <c r="E10445" t="s">
        <v>5756</v>
      </c>
      <c r="F10445" t="s">
        <v>36181</v>
      </c>
      <c r="G10445" t="s">
        <v>6199</v>
      </c>
      <c r="H10445" t="s">
        <v>5474</v>
      </c>
      <c r="I10445" t="s">
        <v>36182</v>
      </c>
      <c r="J10445" t="s">
        <v>5484</v>
      </c>
      <c r="K10445" t="s">
        <v>36140</v>
      </c>
      <c r="L10445" t="s">
        <v>5471</v>
      </c>
      <c r="M10445" t="s">
        <v>5471</v>
      </c>
    </row>
    <row r="10446" spans="1:13" x14ac:dyDescent="0.3">
      <c r="A10446" t="s">
        <v>3383</v>
      </c>
      <c r="B10446" t="s">
        <v>36137</v>
      </c>
      <c r="C10446" t="s">
        <v>5470</v>
      </c>
      <c r="D10446" t="s">
        <v>4119</v>
      </c>
      <c r="E10446" t="s">
        <v>5756</v>
      </c>
      <c r="F10446" t="s">
        <v>36183</v>
      </c>
      <c r="G10446" t="s">
        <v>6199</v>
      </c>
      <c r="H10446" t="s">
        <v>5474</v>
      </c>
      <c r="I10446" t="s">
        <v>36184</v>
      </c>
      <c r="J10446" t="s">
        <v>5484</v>
      </c>
      <c r="K10446" t="s">
        <v>36140</v>
      </c>
      <c r="L10446" t="s">
        <v>5471</v>
      </c>
      <c r="M10446" t="s">
        <v>5471</v>
      </c>
    </row>
    <row r="10447" spans="1:13" x14ac:dyDescent="0.3">
      <c r="A10447" t="s">
        <v>3383</v>
      </c>
      <c r="B10447" t="s">
        <v>36137</v>
      </c>
      <c r="C10447" t="s">
        <v>5470</v>
      </c>
      <c r="D10447" t="s">
        <v>4119</v>
      </c>
      <c r="E10447" t="s">
        <v>5756</v>
      </c>
      <c r="F10447" t="s">
        <v>36185</v>
      </c>
      <c r="G10447" t="s">
        <v>6199</v>
      </c>
      <c r="H10447" t="s">
        <v>5474</v>
      </c>
      <c r="I10447" t="s">
        <v>36186</v>
      </c>
      <c r="J10447" t="s">
        <v>5484</v>
      </c>
      <c r="K10447" t="s">
        <v>36140</v>
      </c>
      <c r="L10447" t="s">
        <v>5471</v>
      </c>
      <c r="M10447" t="s">
        <v>5471</v>
      </c>
    </row>
    <row r="10448" spans="1:13" x14ac:dyDescent="0.3">
      <c r="A10448" t="s">
        <v>3383</v>
      </c>
      <c r="B10448" t="s">
        <v>36137</v>
      </c>
      <c r="C10448" t="s">
        <v>5470</v>
      </c>
      <c r="D10448" t="s">
        <v>4119</v>
      </c>
      <c r="E10448" t="s">
        <v>5756</v>
      </c>
      <c r="F10448" t="s">
        <v>36187</v>
      </c>
      <c r="G10448" t="s">
        <v>6199</v>
      </c>
      <c r="H10448" t="s">
        <v>5474</v>
      </c>
      <c r="I10448" t="s">
        <v>36188</v>
      </c>
      <c r="J10448" t="s">
        <v>5484</v>
      </c>
      <c r="K10448" t="s">
        <v>36140</v>
      </c>
      <c r="L10448" t="s">
        <v>5471</v>
      </c>
      <c r="M10448" t="s">
        <v>5471</v>
      </c>
    </row>
    <row r="10449" spans="1:13" x14ac:dyDescent="0.3">
      <c r="A10449" t="s">
        <v>3388</v>
      </c>
      <c r="B10449" t="s">
        <v>5284</v>
      </c>
      <c r="C10449" t="s">
        <v>5470</v>
      </c>
      <c r="D10449" t="s">
        <v>4119</v>
      </c>
      <c r="E10449" t="s">
        <v>5532</v>
      </c>
      <c r="F10449" t="s">
        <v>36189</v>
      </c>
      <c r="G10449" t="s">
        <v>22490</v>
      </c>
      <c r="H10449" t="s">
        <v>5474</v>
      </c>
      <c r="I10449" t="s">
        <v>36190</v>
      </c>
      <c r="J10449" t="s">
        <v>5484</v>
      </c>
      <c r="K10449" t="s">
        <v>36191</v>
      </c>
      <c r="L10449" t="s">
        <v>5471</v>
      </c>
      <c r="M10449" t="s">
        <v>5471</v>
      </c>
    </row>
    <row r="10450" spans="1:13" x14ac:dyDescent="0.3">
      <c r="A10450" t="s">
        <v>3383</v>
      </c>
      <c r="B10450" t="s">
        <v>36137</v>
      </c>
      <c r="C10450" t="s">
        <v>5470</v>
      </c>
      <c r="D10450" t="s">
        <v>4119</v>
      </c>
      <c r="E10450" t="s">
        <v>5756</v>
      </c>
      <c r="F10450" t="s">
        <v>36192</v>
      </c>
      <c r="G10450" t="s">
        <v>6199</v>
      </c>
      <c r="H10450" t="s">
        <v>5474</v>
      </c>
      <c r="I10450" t="s">
        <v>36193</v>
      </c>
      <c r="J10450" t="s">
        <v>5484</v>
      </c>
      <c r="K10450" t="s">
        <v>36140</v>
      </c>
      <c r="L10450" t="s">
        <v>5471</v>
      </c>
      <c r="M10450" t="s">
        <v>5471</v>
      </c>
    </row>
    <row r="10451" spans="1:13" x14ac:dyDescent="0.3">
      <c r="A10451" t="s">
        <v>3397</v>
      </c>
      <c r="B10451" t="s">
        <v>14221</v>
      </c>
      <c r="C10451" t="s">
        <v>5487</v>
      </c>
      <c r="D10451" t="s">
        <v>15984</v>
      </c>
      <c r="E10451" t="s">
        <v>5532</v>
      </c>
      <c r="F10451" t="s">
        <v>36194</v>
      </c>
      <c r="G10451" t="s">
        <v>14221</v>
      </c>
      <c r="H10451" t="s">
        <v>5474</v>
      </c>
      <c r="I10451" t="s">
        <v>36195</v>
      </c>
      <c r="J10451" t="s">
        <v>5476</v>
      </c>
      <c r="K10451" t="s">
        <v>36196</v>
      </c>
      <c r="L10451" t="s">
        <v>5471</v>
      </c>
      <c r="M10451" t="s">
        <v>5471</v>
      </c>
    </row>
    <row r="10452" spans="1:13" x14ac:dyDescent="0.3">
      <c r="A10452" t="s">
        <v>3388</v>
      </c>
      <c r="B10452" t="s">
        <v>5290</v>
      </c>
      <c r="C10452" t="s">
        <v>5470</v>
      </c>
      <c r="D10452" t="s">
        <v>4119</v>
      </c>
      <c r="E10452" t="s">
        <v>5532</v>
      </c>
      <c r="F10452" t="s">
        <v>36197</v>
      </c>
      <c r="G10452" t="s">
        <v>22494</v>
      </c>
      <c r="H10452" t="s">
        <v>5474</v>
      </c>
      <c r="I10452" t="s">
        <v>36198</v>
      </c>
      <c r="J10452" t="s">
        <v>5484</v>
      </c>
      <c r="K10452" t="s">
        <v>36199</v>
      </c>
      <c r="L10452" t="s">
        <v>5471</v>
      </c>
      <c r="M10452" t="s">
        <v>5471</v>
      </c>
    </row>
    <row r="10453" spans="1:13" x14ac:dyDescent="0.3">
      <c r="A10453" t="s">
        <v>3383</v>
      </c>
      <c r="B10453" t="s">
        <v>6122</v>
      </c>
      <c r="C10453" t="s">
        <v>5470</v>
      </c>
      <c r="D10453" t="s">
        <v>4119</v>
      </c>
      <c r="E10453" t="s">
        <v>5480</v>
      </c>
      <c r="F10453" t="s">
        <v>36200</v>
      </c>
      <c r="G10453" t="s">
        <v>25508</v>
      </c>
      <c r="H10453" t="s">
        <v>5474</v>
      </c>
      <c r="I10453" t="s">
        <v>36201</v>
      </c>
      <c r="J10453" t="s">
        <v>5484</v>
      </c>
      <c r="K10453" t="s">
        <v>36202</v>
      </c>
      <c r="L10453" t="s">
        <v>5471</v>
      </c>
      <c r="M10453" t="s">
        <v>5471</v>
      </c>
    </row>
    <row r="10454" spans="1:13" x14ac:dyDescent="0.3">
      <c r="A10454" t="s">
        <v>3383</v>
      </c>
      <c r="B10454" t="s">
        <v>6122</v>
      </c>
      <c r="C10454" t="s">
        <v>5470</v>
      </c>
      <c r="D10454" t="s">
        <v>4119</v>
      </c>
      <c r="E10454" t="s">
        <v>5480</v>
      </c>
      <c r="F10454" t="s">
        <v>36203</v>
      </c>
      <c r="G10454" t="s">
        <v>36204</v>
      </c>
      <c r="H10454" t="s">
        <v>5474</v>
      </c>
      <c r="I10454" t="s">
        <v>36205</v>
      </c>
      <c r="J10454" t="s">
        <v>5484</v>
      </c>
      <c r="K10454" t="s">
        <v>36202</v>
      </c>
      <c r="L10454" t="s">
        <v>5471</v>
      </c>
      <c r="M10454" t="s">
        <v>5471</v>
      </c>
    </row>
    <row r="10455" spans="1:13" x14ac:dyDescent="0.3">
      <c r="A10455" t="s">
        <v>3388</v>
      </c>
      <c r="B10455" t="s">
        <v>5284</v>
      </c>
      <c r="C10455" t="s">
        <v>5470</v>
      </c>
      <c r="D10455" t="s">
        <v>4119</v>
      </c>
      <c r="E10455" t="s">
        <v>5532</v>
      </c>
      <c r="F10455" t="s">
        <v>36206</v>
      </c>
      <c r="G10455" t="s">
        <v>22490</v>
      </c>
      <c r="H10455" t="s">
        <v>5474</v>
      </c>
      <c r="I10455" t="s">
        <v>36207</v>
      </c>
      <c r="J10455" t="s">
        <v>5484</v>
      </c>
      <c r="K10455" t="s">
        <v>36208</v>
      </c>
      <c r="L10455" t="s">
        <v>5471</v>
      </c>
      <c r="M10455" t="s">
        <v>5471</v>
      </c>
    </row>
    <row r="10456" spans="1:13" x14ac:dyDescent="0.3">
      <c r="A10456" t="s">
        <v>3383</v>
      </c>
      <c r="B10456" t="s">
        <v>6122</v>
      </c>
      <c r="C10456" t="s">
        <v>5470</v>
      </c>
      <c r="D10456" t="s">
        <v>4119</v>
      </c>
      <c r="E10456" t="s">
        <v>5480</v>
      </c>
      <c r="F10456" t="s">
        <v>36209</v>
      </c>
      <c r="G10456" t="s">
        <v>36204</v>
      </c>
      <c r="H10456" t="s">
        <v>5474</v>
      </c>
      <c r="I10456" t="s">
        <v>36210</v>
      </c>
      <c r="J10456" t="s">
        <v>5484</v>
      </c>
      <c r="K10456" t="s">
        <v>36211</v>
      </c>
      <c r="L10456" t="s">
        <v>5471</v>
      </c>
      <c r="M10456" t="s">
        <v>5471</v>
      </c>
    </row>
    <row r="10457" spans="1:13" x14ac:dyDescent="0.3">
      <c r="A10457" t="s">
        <v>3383</v>
      </c>
      <c r="B10457" t="s">
        <v>6122</v>
      </c>
      <c r="C10457" t="s">
        <v>5470</v>
      </c>
      <c r="D10457" t="s">
        <v>4119</v>
      </c>
      <c r="E10457" t="s">
        <v>5480</v>
      </c>
      <c r="F10457" t="s">
        <v>36212</v>
      </c>
      <c r="G10457" t="s">
        <v>25508</v>
      </c>
      <c r="H10457" t="s">
        <v>5474</v>
      </c>
      <c r="I10457" t="s">
        <v>36213</v>
      </c>
      <c r="J10457" t="s">
        <v>5484</v>
      </c>
      <c r="K10457" t="s">
        <v>36211</v>
      </c>
      <c r="L10457" t="s">
        <v>5471</v>
      </c>
      <c r="M10457" t="s">
        <v>5471</v>
      </c>
    </row>
    <row r="10458" spans="1:13" x14ac:dyDescent="0.3">
      <c r="A10458" t="s">
        <v>3383</v>
      </c>
      <c r="B10458" t="s">
        <v>5294</v>
      </c>
      <c r="C10458" t="s">
        <v>5470</v>
      </c>
      <c r="D10458" t="s">
        <v>4119</v>
      </c>
      <c r="E10458" t="s">
        <v>5756</v>
      </c>
      <c r="F10458" t="s">
        <v>36214</v>
      </c>
      <c r="G10458" t="s">
        <v>6201</v>
      </c>
      <c r="H10458" t="s">
        <v>5474</v>
      </c>
      <c r="I10458" t="s">
        <v>36215</v>
      </c>
      <c r="J10458" t="s">
        <v>5484</v>
      </c>
      <c r="K10458" t="s">
        <v>36216</v>
      </c>
      <c r="L10458" t="s">
        <v>5471</v>
      </c>
      <c r="M10458" t="s">
        <v>5471</v>
      </c>
    </row>
    <row r="10459" spans="1:13" x14ac:dyDescent="0.3">
      <c r="A10459" t="s">
        <v>3397</v>
      </c>
      <c r="B10459" t="s">
        <v>36217</v>
      </c>
      <c r="C10459" t="s">
        <v>5487</v>
      </c>
      <c r="D10459" t="s">
        <v>15984</v>
      </c>
      <c r="E10459" t="s">
        <v>5756</v>
      </c>
      <c r="F10459" t="s">
        <v>36218</v>
      </c>
      <c r="G10459" t="s">
        <v>36217</v>
      </c>
      <c r="H10459" t="s">
        <v>5474</v>
      </c>
      <c r="I10459" t="s">
        <v>36219</v>
      </c>
      <c r="J10459" t="s">
        <v>5484</v>
      </c>
      <c r="K10459" t="s">
        <v>36220</v>
      </c>
      <c r="L10459" t="s">
        <v>5471</v>
      </c>
      <c r="M10459" t="s">
        <v>5471</v>
      </c>
    </row>
    <row r="10460" spans="1:13" x14ac:dyDescent="0.3">
      <c r="A10460" t="s">
        <v>3383</v>
      </c>
      <c r="B10460" t="s">
        <v>6063</v>
      </c>
      <c r="C10460" t="s">
        <v>5470</v>
      </c>
      <c r="D10460" t="s">
        <v>4119</v>
      </c>
      <c r="E10460" t="s">
        <v>5756</v>
      </c>
      <c r="F10460" t="s">
        <v>36221</v>
      </c>
      <c r="G10460" t="s">
        <v>6274</v>
      </c>
      <c r="H10460" t="s">
        <v>5474</v>
      </c>
      <c r="I10460" t="s">
        <v>36222</v>
      </c>
      <c r="J10460" t="s">
        <v>5484</v>
      </c>
      <c r="K10460" t="s">
        <v>36223</v>
      </c>
      <c r="L10460" t="s">
        <v>5471</v>
      </c>
      <c r="M10460" t="s">
        <v>5471</v>
      </c>
    </row>
    <row r="10461" spans="1:13" x14ac:dyDescent="0.3">
      <c r="A10461" t="s">
        <v>3383</v>
      </c>
      <c r="B10461" t="s">
        <v>6063</v>
      </c>
      <c r="C10461" t="s">
        <v>5470</v>
      </c>
      <c r="D10461" t="s">
        <v>4119</v>
      </c>
      <c r="E10461" t="s">
        <v>5756</v>
      </c>
      <c r="F10461" t="s">
        <v>36224</v>
      </c>
      <c r="G10461" t="s">
        <v>6274</v>
      </c>
      <c r="H10461" t="s">
        <v>5474</v>
      </c>
      <c r="I10461" t="s">
        <v>36225</v>
      </c>
      <c r="J10461" t="s">
        <v>5484</v>
      </c>
      <c r="K10461" t="s">
        <v>36223</v>
      </c>
      <c r="L10461" t="s">
        <v>5471</v>
      </c>
      <c r="M10461" t="s">
        <v>5471</v>
      </c>
    </row>
    <row r="10462" spans="1:13" x14ac:dyDescent="0.3">
      <c r="A10462" t="s">
        <v>3397</v>
      </c>
      <c r="B10462" t="s">
        <v>36226</v>
      </c>
      <c r="C10462" t="s">
        <v>5487</v>
      </c>
      <c r="D10462" t="s">
        <v>15984</v>
      </c>
      <c r="E10462" t="s">
        <v>5595</v>
      </c>
      <c r="F10462" t="s">
        <v>36227</v>
      </c>
      <c r="G10462" t="s">
        <v>36226</v>
      </c>
      <c r="H10462" t="s">
        <v>5474</v>
      </c>
      <c r="I10462" t="s">
        <v>36228</v>
      </c>
      <c r="J10462" t="s">
        <v>5476</v>
      </c>
      <c r="K10462" t="s">
        <v>36229</v>
      </c>
      <c r="L10462" t="s">
        <v>5471</v>
      </c>
      <c r="M10462" t="s">
        <v>5471</v>
      </c>
    </row>
    <row r="10463" spans="1:13" x14ac:dyDescent="0.3">
      <c r="A10463" t="s">
        <v>3397</v>
      </c>
      <c r="B10463" t="s">
        <v>15993</v>
      </c>
      <c r="C10463" t="s">
        <v>5487</v>
      </c>
      <c r="D10463" t="s">
        <v>15984</v>
      </c>
      <c r="E10463" t="s">
        <v>5595</v>
      </c>
      <c r="F10463" t="s">
        <v>36230</v>
      </c>
      <c r="G10463" t="s">
        <v>15993</v>
      </c>
      <c r="H10463" t="s">
        <v>5474</v>
      </c>
      <c r="I10463" t="s">
        <v>36231</v>
      </c>
      <c r="J10463" t="s">
        <v>5476</v>
      </c>
      <c r="K10463" t="s">
        <v>36232</v>
      </c>
      <c r="L10463" t="s">
        <v>5471</v>
      </c>
      <c r="M10463" t="s">
        <v>5471</v>
      </c>
    </row>
    <row r="10464" spans="1:13" x14ac:dyDescent="0.3">
      <c r="A10464" t="s">
        <v>3397</v>
      </c>
      <c r="B10464" t="s">
        <v>14894</v>
      </c>
      <c r="C10464" t="s">
        <v>6342</v>
      </c>
      <c r="D10464" t="s">
        <v>15984</v>
      </c>
      <c r="E10464" t="s">
        <v>36233</v>
      </c>
      <c r="F10464" t="s">
        <v>36234</v>
      </c>
      <c r="G10464" t="s">
        <v>14894</v>
      </c>
      <c r="H10464" t="s">
        <v>5474</v>
      </c>
      <c r="I10464" t="s">
        <v>36235</v>
      </c>
      <c r="J10464" t="s">
        <v>5484</v>
      </c>
      <c r="K10464" t="s">
        <v>36236</v>
      </c>
      <c r="L10464" t="s">
        <v>5471</v>
      </c>
      <c r="M10464" t="s">
        <v>5471</v>
      </c>
    </row>
    <row r="10465" spans="1:13" x14ac:dyDescent="0.3">
      <c r="A10465" t="s">
        <v>3383</v>
      </c>
      <c r="B10465" t="s">
        <v>6063</v>
      </c>
      <c r="C10465" t="s">
        <v>5470</v>
      </c>
      <c r="D10465" t="s">
        <v>4119</v>
      </c>
      <c r="E10465" t="s">
        <v>5756</v>
      </c>
      <c r="F10465" t="s">
        <v>36237</v>
      </c>
      <c r="G10465" t="s">
        <v>6274</v>
      </c>
      <c r="H10465" t="s">
        <v>5474</v>
      </c>
      <c r="I10465" t="s">
        <v>36238</v>
      </c>
      <c r="J10465" t="s">
        <v>5484</v>
      </c>
      <c r="K10465" t="s">
        <v>36223</v>
      </c>
      <c r="L10465" t="s">
        <v>5471</v>
      </c>
      <c r="M10465" t="s">
        <v>5471</v>
      </c>
    </row>
    <row r="10466" spans="1:13" x14ac:dyDescent="0.3">
      <c r="A10466" t="s">
        <v>3383</v>
      </c>
      <c r="B10466" t="s">
        <v>6063</v>
      </c>
      <c r="C10466" t="s">
        <v>5470</v>
      </c>
      <c r="D10466" t="s">
        <v>4119</v>
      </c>
      <c r="E10466" t="s">
        <v>5756</v>
      </c>
      <c r="F10466" t="s">
        <v>36239</v>
      </c>
      <c r="G10466" t="s">
        <v>6274</v>
      </c>
      <c r="H10466" t="s">
        <v>5474</v>
      </c>
      <c r="I10466" t="s">
        <v>36240</v>
      </c>
      <c r="J10466" t="s">
        <v>5484</v>
      </c>
      <c r="K10466" t="s">
        <v>36223</v>
      </c>
      <c r="L10466" t="s">
        <v>5471</v>
      </c>
      <c r="M10466" t="s">
        <v>5471</v>
      </c>
    </row>
    <row r="10467" spans="1:13" x14ac:dyDescent="0.3">
      <c r="A10467" t="s">
        <v>3383</v>
      </c>
      <c r="B10467" t="s">
        <v>6063</v>
      </c>
      <c r="C10467" t="s">
        <v>5470</v>
      </c>
      <c r="D10467" t="s">
        <v>4119</v>
      </c>
      <c r="E10467" t="s">
        <v>5756</v>
      </c>
      <c r="F10467" t="s">
        <v>36241</v>
      </c>
      <c r="G10467" t="s">
        <v>6272</v>
      </c>
      <c r="H10467" t="s">
        <v>5474</v>
      </c>
      <c r="I10467" t="s">
        <v>36242</v>
      </c>
      <c r="J10467" t="s">
        <v>5484</v>
      </c>
      <c r="K10467" t="s">
        <v>36243</v>
      </c>
      <c r="L10467" t="s">
        <v>5471</v>
      </c>
      <c r="M10467" t="s">
        <v>5471</v>
      </c>
    </row>
    <row r="10468" spans="1:13" x14ac:dyDescent="0.3">
      <c r="A10468" t="s">
        <v>3397</v>
      </c>
      <c r="B10468" t="s">
        <v>14904</v>
      </c>
      <c r="C10468" t="s">
        <v>6342</v>
      </c>
      <c r="D10468" t="s">
        <v>15984</v>
      </c>
      <c r="E10468" t="s">
        <v>36233</v>
      </c>
      <c r="F10468" t="s">
        <v>36244</v>
      </c>
      <c r="G10468" t="s">
        <v>14904</v>
      </c>
      <c r="H10468" t="s">
        <v>5474</v>
      </c>
      <c r="I10468" t="s">
        <v>36245</v>
      </c>
      <c r="J10468" t="s">
        <v>5484</v>
      </c>
      <c r="K10468" t="s">
        <v>36246</v>
      </c>
      <c r="L10468" t="s">
        <v>5471</v>
      </c>
      <c r="M10468" t="s">
        <v>5471</v>
      </c>
    </row>
    <row r="10469" spans="1:13" x14ac:dyDescent="0.3">
      <c r="A10469" t="s">
        <v>3383</v>
      </c>
      <c r="B10469" t="s">
        <v>6063</v>
      </c>
      <c r="C10469" t="s">
        <v>5470</v>
      </c>
      <c r="D10469" t="s">
        <v>4119</v>
      </c>
      <c r="E10469" t="s">
        <v>5756</v>
      </c>
      <c r="F10469" t="s">
        <v>36247</v>
      </c>
      <c r="G10469" t="s">
        <v>6272</v>
      </c>
      <c r="H10469" t="s">
        <v>5474</v>
      </c>
      <c r="I10469" t="s">
        <v>36248</v>
      </c>
      <c r="J10469" t="s">
        <v>5484</v>
      </c>
      <c r="K10469" t="s">
        <v>36243</v>
      </c>
      <c r="L10469" t="s">
        <v>5471</v>
      </c>
      <c r="M10469" t="s">
        <v>5471</v>
      </c>
    </row>
    <row r="10470" spans="1:13" x14ac:dyDescent="0.3">
      <c r="A10470" t="s">
        <v>3397</v>
      </c>
      <c r="B10470" t="s">
        <v>36249</v>
      </c>
      <c r="C10470" t="s">
        <v>5487</v>
      </c>
      <c r="D10470" t="s">
        <v>15984</v>
      </c>
      <c r="E10470" t="s">
        <v>5595</v>
      </c>
      <c r="F10470" t="s">
        <v>36250</v>
      </c>
      <c r="G10470" t="s">
        <v>36249</v>
      </c>
      <c r="H10470" t="s">
        <v>5474</v>
      </c>
      <c r="I10470" t="s">
        <v>36251</v>
      </c>
      <c r="J10470" t="s">
        <v>5484</v>
      </c>
      <c r="K10470" t="s">
        <v>36252</v>
      </c>
      <c r="L10470" t="s">
        <v>5471</v>
      </c>
      <c r="M10470" t="s">
        <v>5471</v>
      </c>
    </row>
    <row r="10471" spans="1:13" x14ac:dyDescent="0.3">
      <c r="A10471" t="s">
        <v>3383</v>
      </c>
      <c r="B10471" t="s">
        <v>6063</v>
      </c>
      <c r="C10471" t="s">
        <v>5470</v>
      </c>
      <c r="D10471" t="s">
        <v>4119</v>
      </c>
      <c r="E10471" t="s">
        <v>5756</v>
      </c>
      <c r="F10471" t="s">
        <v>36253</v>
      </c>
      <c r="G10471" t="s">
        <v>6272</v>
      </c>
      <c r="H10471" t="s">
        <v>5474</v>
      </c>
      <c r="I10471" t="s">
        <v>36254</v>
      </c>
      <c r="J10471" t="s">
        <v>5484</v>
      </c>
      <c r="K10471" t="s">
        <v>36243</v>
      </c>
      <c r="L10471" t="s">
        <v>5471</v>
      </c>
      <c r="M10471" t="s">
        <v>5471</v>
      </c>
    </row>
    <row r="10472" spans="1:13" x14ac:dyDescent="0.3">
      <c r="A10472" t="s">
        <v>3383</v>
      </c>
      <c r="B10472" t="s">
        <v>6063</v>
      </c>
      <c r="C10472" t="s">
        <v>5470</v>
      </c>
      <c r="D10472" t="s">
        <v>4119</v>
      </c>
      <c r="E10472" t="s">
        <v>5756</v>
      </c>
      <c r="F10472" t="s">
        <v>36255</v>
      </c>
      <c r="G10472" t="s">
        <v>6272</v>
      </c>
      <c r="H10472" t="s">
        <v>5474</v>
      </c>
      <c r="I10472" t="s">
        <v>36256</v>
      </c>
      <c r="J10472" t="s">
        <v>5484</v>
      </c>
      <c r="K10472" t="s">
        <v>36243</v>
      </c>
      <c r="L10472" t="s">
        <v>5471</v>
      </c>
      <c r="M10472" t="s">
        <v>5471</v>
      </c>
    </row>
    <row r="10473" spans="1:13" x14ac:dyDescent="0.3">
      <c r="A10473" t="s">
        <v>3383</v>
      </c>
      <c r="B10473" t="s">
        <v>6063</v>
      </c>
      <c r="C10473" t="s">
        <v>5470</v>
      </c>
      <c r="D10473" t="s">
        <v>4119</v>
      </c>
      <c r="E10473" t="s">
        <v>5756</v>
      </c>
      <c r="F10473" t="s">
        <v>36257</v>
      </c>
      <c r="G10473" t="s">
        <v>29032</v>
      </c>
      <c r="H10473" t="s">
        <v>5474</v>
      </c>
      <c r="I10473" t="s">
        <v>36258</v>
      </c>
      <c r="J10473" t="s">
        <v>5484</v>
      </c>
      <c r="K10473" t="s">
        <v>36259</v>
      </c>
      <c r="L10473" t="s">
        <v>5471</v>
      </c>
      <c r="M10473" t="s">
        <v>5471</v>
      </c>
    </row>
    <row r="10474" spans="1:13" x14ac:dyDescent="0.3">
      <c r="A10474" t="s">
        <v>3383</v>
      </c>
      <c r="B10474" t="s">
        <v>6063</v>
      </c>
      <c r="C10474" t="s">
        <v>5470</v>
      </c>
      <c r="D10474" t="s">
        <v>4119</v>
      </c>
      <c r="E10474" t="s">
        <v>5756</v>
      </c>
      <c r="F10474" t="s">
        <v>36260</v>
      </c>
      <c r="G10474" t="s">
        <v>29032</v>
      </c>
      <c r="H10474" t="s">
        <v>5474</v>
      </c>
      <c r="I10474" t="s">
        <v>36261</v>
      </c>
      <c r="J10474" t="s">
        <v>5484</v>
      </c>
      <c r="K10474" t="s">
        <v>36259</v>
      </c>
      <c r="L10474" t="s">
        <v>5471</v>
      </c>
      <c r="M10474" t="s">
        <v>5471</v>
      </c>
    </row>
    <row r="10475" spans="1:13" x14ac:dyDescent="0.3">
      <c r="A10475" t="s">
        <v>3383</v>
      </c>
      <c r="B10475" t="s">
        <v>6063</v>
      </c>
      <c r="C10475" t="s">
        <v>5470</v>
      </c>
      <c r="D10475" t="s">
        <v>4119</v>
      </c>
      <c r="E10475" t="s">
        <v>5756</v>
      </c>
      <c r="F10475" t="s">
        <v>36262</v>
      </c>
      <c r="G10475" t="s">
        <v>29032</v>
      </c>
      <c r="H10475" t="s">
        <v>5474</v>
      </c>
      <c r="I10475" t="s">
        <v>36263</v>
      </c>
      <c r="J10475" t="s">
        <v>5484</v>
      </c>
      <c r="K10475" t="s">
        <v>36259</v>
      </c>
      <c r="L10475" t="s">
        <v>5471</v>
      </c>
      <c r="M10475" t="s">
        <v>5471</v>
      </c>
    </row>
    <row r="10476" spans="1:13" x14ac:dyDescent="0.3">
      <c r="A10476" t="s">
        <v>3397</v>
      </c>
      <c r="B10476" t="s">
        <v>36264</v>
      </c>
      <c r="C10476" t="s">
        <v>5487</v>
      </c>
      <c r="D10476" t="s">
        <v>15984</v>
      </c>
      <c r="E10476" t="s">
        <v>5595</v>
      </c>
      <c r="F10476" t="s">
        <v>36265</v>
      </c>
      <c r="G10476" t="s">
        <v>36264</v>
      </c>
      <c r="H10476" t="s">
        <v>5474</v>
      </c>
      <c r="I10476" t="s">
        <v>36266</v>
      </c>
      <c r="J10476" t="s">
        <v>5484</v>
      </c>
      <c r="K10476" t="s">
        <v>36267</v>
      </c>
      <c r="L10476" t="s">
        <v>5471</v>
      </c>
      <c r="M10476" t="s">
        <v>5471</v>
      </c>
    </row>
    <row r="10477" spans="1:13" x14ac:dyDescent="0.3">
      <c r="A10477" t="s">
        <v>3397</v>
      </c>
      <c r="B10477" t="s">
        <v>36268</v>
      </c>
      <c r="C10477" t="s">
        <v>5487</v>
      </c>
      <c r="D10477" t="s">
        <v>15984</v>
      </c>
      <c r="E10477" t="s">
        <v>5595</v>
      </c>
      <c r="F10477" t="s">
        <v>36269</v>
      </c>
      <c r="G10477" t="s">
        <v>36268</v>
      </c>
      <c r="H10477" t="s">
        <v>5474</v>
      </c>
      <c r="I10477" t="s">
        <v>36270</v>
      </c>
      <c r="J10477" t="s">
        <v>5484</v>
      </c>
      <c r="K10477" t="s">
        <v>36271</v>
      </c>
      <c r="L10477" t="s">
        <v>5471</v>
      </c>
      <c r="M10477" t="s">
        <v>5471</v>
      </c>
    </row>
    <row r="10478" spans="1:13" x14ac:dyDescent="0.3">
      <c r="A10478" t="s">
        <v>3397</v>
      </c>
      <c r="B10478" t="s">
        <v>36272</v>
      </c>
      <c r="C10478" t="s">
        <v>5487</v>
      </c>
      <c r="D10478" t="s">
        <v>15984</v>
      </c>
      <c r="E10478" t="s">
        <v>5595</v>
      </c>
      <c r="F10478" t="s">
        <v>36273</v>
      </c>
      <c r="G10478" t="s">
        <v>36272</v>
      </c>
      <c r="H10478" t="s">
        <v>5474</v>
      </c>
      <c r="I10478" t="s">
        <v>36274</v>
      </c>
      <c r="J10478" t="s">
        <v>5484</v>
      </c>
      <c r="K10478" t="s">
        <v>36275</v>
      </c>
      <c r="L10478" t="s">
        <v>5471</v>
      </c>
      <c r="M10478" t="s">
        <v>5471</v>
      </c>
    </row>
    <row r="10479" spans="1:13" x14ac:dyDescent="0.3">
      <c r="A10479" t="s">
        <v>3397</v>
      </c>
      <c r="B10479" t="s">
        <v>36276</v>
      </c>
      <c r="C10479" t="s">
        <v>5487</v>
      </c>
      <c r="D10479" t="s">
        <v>15984</v>
      </c>
      <c r="E10479" t="s">
        <v>5595</v>
      </c>
      <c r="F10479" t="s">
        <v>36277</v>
      </c>
      <c r="G10479" t="s">
        <v>36276</v>
      </c>
      <c r="H10479" t="s">
        <v>5474</v>
      </c>
      <c r="I10479" t="s">
        <v>36278</v>
      </c>
      <c r="J10479" t="s">
        <v>5484</v>
      </c>
      <c r="K10479" t="s">
        <v>36279</v>
      </c>
      <c r="L10479" t="s">
        <v>5471</v>
      </c>
      <c r="M10479" t="s">
        <v>5471</v>
      </c>
    </row>
    <row r="10480" spans="1:13" x14ac:dyDescent="0.3">
      <c r="A10480" t="s">
        <v>3397</v>
      </c>
      <c r="B10480" t="s">
        <v>36280</v>
      </c>
      <c r="C10480" t="s">
        <v>5487</v>
      </c>
      <c r="D10480" t="s">
        <v>15984</v>
      </c>
      <c r="E10480" t="s">
        <v>5595</v>
      </c>
      <c r="F10480" t="s">
        <v>36281</v>
      </c>
      <c r="G10480" t="s">
        <v>36280</v>
      </c>
      <c r="H10480" t="s">
        <v>5474</v>
      </c>
      <c r="I10480" t="s">
        <v>36282</v>
      </c>
      <c r="J10480" t="s">
        <v>5484</v>
      </c>
      <c r="K10480" t="s">
        <v>36283</v>
      </c>
      <c r="L10480" t="s">
        <v>5471</v>
      </c>
      <c r="M10480" t="s">
        <v>5471</v>
      </c>
    </row>
    <row r="10481" spans="1:13" x14ac:dyDescent="0.3">
      <c r="A10481" t="s">
        <v>3397</v>
      </c>
      <c r="B10481" t="s">
        <v>36284</v>
      </c>
      <c r="C10481" t="s">
        <v>5487</v>
      </c>
      <c r="D10481" t="s">
        <v>15984</v>
      </c>
      <c r="E10481" t="s">
        <v>5595</v>
      </c>
      <c r="F10481" t="s">
        <v>36285</v>
      </c>
      <c r="G10481" t="s">
        <v>36284</v>
      </c>
      <c r="H10481" t="s">
        <v>5474</v>
      </c>
      <c r="I10481" t="s">
        <v>36286</v>
      </c>
      <c r="J10481" t="s">
        <v>5484</v>
      </c>
      <c r="K10481" t="s">
        <v>36287</v>
      </c>
      <c r="L10481" t="s">
        <v>5471</v>
      </c>
      <c r="M10481" t="s">
        <v>5471</v>
      </c>
    </row>
    <row r="10482" spans="1:13" x14ac:dyDescent="0.3">
      <c r="A10482" t="s">
        <v>3397</v>
      </c>
      <c r="B10482" t="s">
        <v>36288</v>
      </c>
      <c r="C10482" t="s">
        <v>5487</v>
      </c>
      <c r="D10482" t="s">
        <v>15984</v>
      </c>
      <c r="E10482" t="s">
        <v>5595</v>
      </c>
      <c r="F10482" t="s">
        <v>36289</v>
      </c>
      <c r="G10482" t="s">
        <v>36288</v>
      </c>
      <c r="H10482" t="s">
        <v>5474</v>
      </c>
      <c r="I10482" t="s">
        <v>36290</v>
      </c>
      <c r="J10482" t="s">
        <v>5484</v>
      </c>
      <c r="K10482" t="s">
        <v>36291</v>
      </c>
      <c r="L10482" t="s">
        <v>5471</v>
      </c>
      <c r="M10482" t="s">
        <v>5471</v>
      </c>
    </row>
    <row r="10483" spans="1:13" x14ac:dyDescent="0.3">
      <c r="A10483" t="s">
        <v>3397</v>
      </c>
      <c r="B10483" t="s">
        <v>36292</v>
      </c>
      <c r="C10483" t="s">
        <v>5487</v>
      </c>
      <c r="D10483" t="s">
        <v>15984</v>
      </c>
      <c r="E10483" t="s">
        <v>5595</v>
      </c>
      <c r="F10483" t="s">
        <v>36293</v>
      </c>
      <c r="G10483" t="s">
        <v>36292</v>
      </c>
      <c r="H10483" t="s">
        <v>5474</v>
      </c>
      <c r="I10483" t="s">
        <v>36294</v>
      </c>
      <c r="J10483" t="s">
        <v>5484</v>
      </c>
      <c r="K10483" t="s">
        <v>36295</v>
      </c>
      <c r="L10483" t="s">
        <v>5471</v>
      </c>
      <c r="M10483" t="s">
        <v>5471</v>
      </c>
    </row>
    <row r="10484" spans="1:13" x14ac:dyDescent="0.3">
      <c r="A10484" t="s">
        <v>3388</v>
      </c>
      <c r="B10484" t="s">
        <v>10857</v>
      </c>
      <c r="C10484" t="s">
        <v>5470</v>
      </c>
      <c r="D10484" t="s">
        <v>4119</v>
      </c>
      <c r="E10484" t="s">
        <v>5756</v>
      </c>
      <c r="F10484" t="s">
        <v>36296</v>
      </c>
      <c r="G10484" t="s">
        <v>18594</v>
      </c>
      <c r="H10484" t="s">
        <v>5474</v>
      </c>
      <c r="I10484" t="s">
        <v>36297</v>
      </c>
      <c r="J10484" t="s">
        <v>5484</v>
      </c>
      <c r="K10484" t="s">
        <v>36298</v>
      </c>
      <c r="L10484" t="s">
        <v>5471</v>
      </c>
      <c r="M10484" t="s">
        <v>5471</v>
      </c>
    </row>
    <row r="10485" spans="1:13" x14ac:dyDescent="0.3">
      <c r="A10485" t="s">
        <v>3397</v>
      </c>
      <c r="B10485" t="s">
        <v>36299</v>
      </c>
      <c r="C10485" t="s">
        <v>5487</v>
      </c>
      <c r="D10485" t="s">
        <v>15984</v>
      </c>
      <c r="E10485" t="s">
        <v>5843</v>
      </c>
      <c r="F10485" t="s">
        <v>36300</v>
      </c>
      <c r="G10485" t="s">
        <v>36299</v>
      </c>
      <c r="H10485" t="s">
        <v>5474</v>
      </c>
      <c r="I10485" t="s">
        <v>36301</v>
      </c>
      <c r="J10485" t="s">
        <v>5484</v>
      </c>
      <c r="K10485" t="s">
        <v>19917</v>
      </c>
      <c r="L10485" t="s">
        <v>5471</v>
      </c>
      <c r="M10485" t="s">
        <v>5471</v>
      </c>
    </row>
    <row r="10486" spans="1:13" x14ac:dyDescent="0.3">
      <c r="A10486" t="s">
        <v>3388</v>
      </c>
      <c r="B10486" t="s">
        <v>10857</v>
      </c>
      <c r="C10486" t="s">
        <v>5470</v>
      </c>
      <c r="D10486" t="s">
        <v>4119</v>
      </c>
      <c r="E10486" t="s">
        <v>5756</v>
      </c>
      <c r="F10486" t="s">
        <v>36302</v>
      </c>
      <c r="G10486" t="s">
        <v>18594</v>
      </c>
      <c r="H10486" t="s">
        <v>5474</v>
      </c>
      <c r="I10486" t="s">
        <v>36303</v>
      </c>
      <c r="J10486" t="s">
        <v>5484</v>
      </c>
      <c r="K10486" t="s">
        <v>36304</v>
      </c>
      <c r="L10486" t="s">
        <v>5471</v>
      </c>
      <c r="M10486" t="s">
        <v>5471</v>
      </c>
    </row>
    <row r="10487" spans="1:13" x14ac:dyDescent="0.3">
      <c r="A10487" t="s">
        <v>3397</v>
      </c>
      <c r="B10487" t="s">
        <v>10389</v>
      </c>
      <c r="C10487" t="s">
        <v>5487</v>
      </c>
      <c r="D10487" t="s">
        <v>15984</v>
      </c>
      <c r="E10487" t="s">
        <v>36233</v>
      </c>
      <c r="F10487" t="s">
        <v>36234</v>
      </c>
      <c r="G10487" t="s">
        <v>10389</v>
      </c>
      <c r="H10487" t="s">
        <v>5474</v>
      </c>
      <c r="I10487" t="s">
        <v>36305</v>
      </c>
      <c r="J10487" t="s">
        <v>5484</v>
      </c>
      <c r="K10487" t="s">
        <v>36306</v>
      </c>
      <c r="L10487" t="s">
        <v>5471</v>
      </c>
      <c r="M10487" t="s">
        <v>5471</v>
      </c>
    </row>
    <row r="10488" spans="1:13" x14ac:dyDescent="0.3">
      <c r="A10488" t="s">
        <v>3397</v>
      </c>
      <c r="B10488" t="s">
        <v>10389</v>
      </c>
      <c r="C10488" t="s">
        <v>5487</v>
      </c>
      <c r="D10488" t="s">
        <v>15984</v>
      </c>
      <c r="E10488" t="s">
        <v>36233</v>
      </c>
      <c r="F10488" t="s">
        <v>36234</v>
      </c>
      <c r="G10488" t="s">
        <v>10389</v>
      </c>
      <c r="H10488" t="s">
        <v>5474</v>
      </c>
      <c r="I10488" t="s">
        <v>36307</v>
      </c>
      <c r="J10488" t="s">
        <v>5484</v>
      </c>
      <c r="K10488" t="s">
        <v>36306</v>
      </c>
      <c r="L10488" t="s">
        <v>5471</v>
      </c>
      <c r="M10488" t="s">
        <v>5471</v>
      </c>
    </row>
    <row r="10489" spans="1:13" x14ac:dyDescent="0.3">
      <c r="A10489" t="s">
        <v>3388</v>
      </c>
      <c r="B10489" t="s">
        <v>10857</v>
      </c>
      <c r="C10489" t="s">
        <v>5470</v>
      </c>
      <c r="D10489" t="s">
        <v>4119</v>
      </c>
      <c r="E10489" t="s">
        <v>5756</v>
      </c>
      <c r="F10489" t="s">
        <v>36308</v>
      </c>
      <c r="G10489" t="s">
        <v>36309</v>
      </c>
      <c r="H10489" t="s">
        <v>5474</v>
      </c>
      <c r="I10489" t="s">
        <v>36310</v>
      </c>
      <c r="J10489" t="s">
        <v>5484</v>
      </c>
      <c r="K10489" t="s">
        <v>36311</v>
      </c>
      <c r="L10489" t="s">
        <v>5471</v>
      </c>
      <c r="M10489" t="s">
        <v>5471</v>
      </c>
    </row>
    <row r="10490" spans="1:13" x14ac:dyDescent="0.3">
      <c r="A10490" t="s">
        <v>3388</v>
      </c>
      <c r="B10490" t="s">
        <v>21595</v>
      </c>
      <c r="C10490" t="s">
        <v>5470</v>
      </c>
      <c r="D10490" t="s">
        <v>4119</v>
      </c>
      <c r="E10490" t="s">
        <v>5532</v>
      </c>
      <c r="F10490" t="s">
        <v>36312</v>
      </c>
      <c r="G10490" t="s">
        <v>22164</v>
      </c>
      <c r="H10490" t="s">
        <v>5474</v>
      </c>
      <c r="I10490" t="s">
        <v>36313</v>
      </c>
      <c r="J10490" t="s">
        <v>5484</v>
      </c>
      <c r="K10490" t="s">
        <v>36314</v>
      </c>
      <c r="L10490" t="s">
        <v>5471</v>
      </c>
      <c r="M10490" t="s">
        <v>5471</v>
      </c>
    </row>
    <row r="10491" spans="1:13" x14ac:dyDescent="0.3">
      <c r="A10491" t="s">
        <v>3397</v>
      </c>
      <c r="B10491" t="s">
        <v>8205</v>
      </c>
      <c r="C10491" t="s">
        <v>5487</v>
      </c>
      <c r="D10491" t="s">
        <v>15984</v>
      </c>
      <c r="E10491" t="s">
        <v>5595</v>
      </c>
      <c r="F10491" t="s">
        <v>36315</v>
      </c>
      <c r="G10491" t="s">
        <v>8205</v>
      </c>
      <c r="H10491" t="s">
        <v>5474</v>
      </c>
      <c r="I10491" t="s">
        <v>36316</v>
      </c>
      <c r="J10491" t="s">
        <v>5484</v>
      </c>
      <c r="K10491" t="s">
        <v>19925</v>
      </c>
      <c r="L10491" t="s">
        <v>5471</v>
      </c>
      <c r="M10491" t="s">
        <v>5471</v>
      </c>
    </row>
    <row r="10492" spans="1:13" x14ac:dyDescent="0.3">
      <c r="A10492" t="s">
        <v>3397</v>
      </c>
      <c r="B10492" t="s">
        <v>36317</v>
      </c>
      <c r="C10492" t="s">
        <v>5487</v>
      </c>
      <c r="D10492" t="s">
        <v>15984</v>
      </c>
      <c r="E10492" t="s">
        <v>5595</v>
      </c>
      <c r="F10492" t="s">
        <v>36318</v>
      </c>
      <c r="G10492" t="s">
        <v>36317</v>
      </c>
      <c r="H10492" t="s">
        <v>5474</v>
      </c>
      <c r="I10492" t="s">
        <v>36319</v>
      </c>
      <c r="J10492" t="s">
        <v>5484</v>
      </c>
      <c r="K10492" t="s">
        <v>19928</v>
      </c>
      <c r="L10492" t="s">
        <v>5471</v>
      </c>
      <c r="M10492" t="s">
        <v>5471</v>
      </c>
    </row>
    <row r="10493" spans="1:13" x14ac:dyDescent="0.3">
      <c r="A10493" t="s">
        <v>3388</v>
      </c>
      <c r="B10493" t="s">
        <v>10870</v>
      </c>
      <c r="C10493" t="s">
        <v>5470</v>
      </c>
      <c r="D10493" t="s">
        <v>10210</v>
      </c>
      <c r="E10493" t="s">
        <v>5617</v>
      </c>
      <c r="F10493" t="s">
        <v>36320</v>
      </c>
      <c r="G10493" t="s">
        <v>36321</v>
      </c>
      <c r="H10493" t="s">
        <v>5474</v>
      </c>
      <c r="I10493" t="s">
        <v>36322</v>
      </c>
      <c r="J10493" t="s">
        <v>5484</v>
      </c>
      <c r="K10493" t="s">
        <v>36323</v>
      </c>
      <c r="L10493" t="s">
        <v>5471</v>
      </c>
      <c r="M10493" t="s">
        <v>5471</v>
      </c>
    </row>
    <row r="10494" spans="1:13" x14ac:dyDescent="0.3">
      <c r="A10494" t="s">
        <v>3388</v>
      </c>
      <c r="B10494" t="s">
        <v>5310</v>
      </c>
      <c r="C10494" t="s">
        <v>5470</v>
      </c>
      <c r="D10494" t="s">
        <v>10210</v>
      </c>
      <c r="E10494" t="s">
        <v>5617</v>
      </c>
      <c r="F10494" t="s">
        <v>36324</v>
      </c>
      <c r="G10494" t="s">
        <v>36325</v>
      </c>
      <c r="H10494" t="s">
        <v>5474</v>
      </c>
      <c r="I10494" t="s">
        <v>36326</v>
      </c>
      <c r="J10494" t="s">
        <v>5484</v>
      </c>
      <c r="K10494" t="s">
        <v>36327</v>
      </c>
      <c r="L10494" t="s">
        <v>5471</v>
      </c>
      <c r="M10494" t="s">
        <v>5471</v>
      </c>
    </row>
    <row r="10495" spans="1:13" x14ac:dyDescent="0.3">
      <c r="A10495" t="s">
        <v>3388</v>
      </c>
      <c r="B10495" t="s">
        <v>7109</v>
      </c>
      <c r="C10495" t="s">
        <v>5470</v>
      </c>
      <c r="D10495" t="s">
        <v>10210</v>
      </c>
      <c r="E10495" t="s">
        <v>5532</v>
      </c>
      <c r="F10495" t="s">
        <v>36328</v>
      </c>
      <c r="G10495" t="s">
        <v>36329</v>
      </c>
      <c r="H10495" t="s">
        <v>5474</v>
      </c>
      <c r="I10495" t="s">
        <v>36330</v>
      </c>
      <c r="J10495" t="s">
        <v>5484</v>
      </c>
      <c r="K10495" t="s">
        <v>36331</v>
      </c>
      <c r="L10495" t="s">
        <v>5471</v>
      </c>
      <c r="M10495" t="s">
        <v>5471</v>
      </c>
    </row>
    <row r="10496" spans="1:13" x14ac:dyDescent="0.3">
      <c r="A10496" t="s">
        <v>3388</v>
      </c>
      <c r="B10496" t="s">
        <v>21871</v>
      </c>
      <c r="C10496" t="s">
        <v>5470</v>
      </c>
      <c r="D10496" t="s">
        <v>4119</v>
      </c>
      <c r="E10496" t="s">
        <v>5756</v>
      </c>
      <c r="F10496" t="s">
        <v>36332</v>
      </c>
      <c r="G10496" t="s">
        <v>21873</v>
      </c>
      <c r="H10496" t="s">
        <v>5474</v>
      </c>
      <c r="I10496" t="s">
        <v>36333</v>
      </c>
      <c r="J10496" t="s">
        <v>5476</v>
      </c>
      <c r="K10496" t="s">
        <v>36334</v>
      </c>
      <c r="L10496" t="s">
        <v>5471</v>
      </c>
      <c r="M10496" t="s">
        <v>5471</v>
      </c>
    </row>
    <row r="10497" spans="1:13" x14ac:dyDescent="0.3">
      <c r="A10497" t="s">
        <v>3388</v>
      </c>
      <c r="B10497" t="s">
        <v>5316</v>
      </c>
      <c r="C10497" t="s">
        <v>5470</v>
      </c>
      <c r="D10497" t="s">
        <v>4052</v>
      </c>
      <c r="E10497" t="s">
        <v>5532</v>
      </c>
      <c r="F10497" t="s">
        <v>36335</v>
      </c>
      <c r="G10497" t="s">
        <v>11117</v>
      </c>
      <c r="H10497" t="s">
        <v>5474</v>
      </c>
      <c r="I10497" t="s">
        <v>36336</v>
      </c>
      <c r="J10497" t="s">
        <v>5484</v>
      </c>
      <c r="K10497" t="s">
        <v>30398</v>
      </c>
      <c r="L10497" t="s">
        <v>5471</v>
      </c>
      <c r="M10497" t="s">
        <v>5471</v>
      </c>
    </row>
    <row r="10498" spans="1:13" x14ac:dyDescent="0.3">
      <c r="A10498" t="s">
        <v>3388</v>
      </c>
      <c r="B10498" t="s">
        <v>10852</v>
      </c>
      <c r="C10498" t="s">
        <v>5470</v>
      </c>
      <c r="D10498" t="s">
        <v>4200</v>
      </c>
      <c r="E10498" t="s">
        <v>5756</v>
      </c>
      <c r="F10498" t="s">
        <v>36337</v>
      </c>
      <c r="G10498" t="s">
        <v>16920</v>
      </c>
      <c r="H10498" t="s">
        <v>5474</v>
      </c>
      <c r="I10498" t="s">
        <v>36338</v>
      </c>
      <c r="J10498" t="s">
        <v>5484</v>
      </c>
      <c r="K10498" t="s">
        <v>36339</v>
      </c>
      <c r="L10498" t="s">
        <v>5471</v>
      </c>
      <c r="M10498" t="s">
        <v>5471</v>
      </c>
    </row>
    <row r="10499" spans="1:13" x14ac:dyDescent="0.3">
      <c r="A10499" t="s">
        <v>3388</v>
      </c>
      <c r="B10499" t="s">
        <v>19024</v>
      </c>
      <c r="C10499" t="s">
        <v>5470</v>
      </c>
      <c r="D10499" t="s">
        <v>4058</v>
      </c>
      <c r="E10499" t="s">
        <v>5617</v>
      </c>
      <c r="F10499" t="s">
        <v>36340</v>
      </c>
      <c r="G10499" t="s">
        <v>29757</v>
      </c>
      <c r="H10499" t="s">
        <v>5474</v>
      </c>
      <c r="I10499" t="s">
        <v>36341</v>
      </c>
      <c r="J10499" t="s">
        <v>5484</v>
      </c>
      <c r="K10499" t="s">
        <v>28883</v>
      </c>
      <c r="L10499" t="s">
        <v>5471</v>
      </c>
      <c r="M10499" t="s">
        <v>5471</v>
      </c>
    </row>
    <row r="10500" spans="1:13" x14ac:dyDescent="0.3">
      <c r="A10500" t="s">
        <v>3388</v>
      </c>
      <c r="B10500" t="s">
        <v>36041</v>
      </c>
      <c r="C10500" t="s">
        <v>5470</v>
      </c>
      <c r="D10500" t="s">
        <v>4119</v>
      </c>
      <c r="E10500" t="s">
        <v>5532</v>
      </c>
      <c r="F10500" t="s">
        <v>36342</v>
      </c>
      <c r="G10500" t="s">
        <v>31541</v>
      </c>
      <c r="H10500" t="s">
        <v>5474</v>
      </c>
      <c r="I10500" t="s">
        <v>36343</v>
      </c>
      <c r="J10500" t="s">
        <v>5484</v>
      </c>
      <c r="K10500" t="s">
        <v>36344</v>
      </c>
      <c r="L10500" t="s">
        <v>5471</v>
      </c>
      <c r="M10500" t="s">
        <v>5471</v>
      </c>
    </row>
    <row r="10501" spans="1:13" x14ac:dyDescent="0.3">
      <c r="A10501" t="s">
        <v>3388</v>
      </c>
      <c r="B10501" t="s">
        <v>10870</v>
      </c>
      <c r="C10501" t="s">
        <v>5470</v>
      </c>
      <c r="D10501" t="s">
        <v>4058</v>
      </c>
      <c r="E10501" t="s">
        <v>5617</v>
      </c>
      <c r="F10501" t="s">
        <v>36345</v>
      </c>
      <c r="G10501" t="s">
        <v>36346</v>
      </c>
      <c r="H10501" t="s">
        <v>5474</v>
      </c>
      <c r="I10501" t="s">
        <v>36347</v>
      </c>
      <c r="J10501" t="s">
        <v>5484</v>
      </c>
      <c r="K10501" t="s">
        <v>28828</v>
      </c>
      <c r="L10501" t="s">
        <v>5471</v>
      </c>
      <c r="M10501" t="s">
        <v>5471</v>
      </c>
    </row>
    <row r="10502" spans="1:13" x14ac:dyDescent="0.3">
      <c r="A10502" t="s">
        <v>3388</v>
      </c>
      <c r="B10502" t="s">
        <v>6632</v>
      </c>
      <c r="C10502" t="s">
        <v>5470</v>
      </c>
      <c r="D10502" t="s">
        <v>4119</v>
      </c>
      <c r="E10502" t="s">
        <v>5617</v>
      </c>
      <c r="F10502" t="s">
        <v>36348</v>
      </c>
      <c r="G10502" t="s">
        <v>36349</v>
      </c>
      <c r="H10502" t="s">
        <v>5474</v>
      </c>
      <c r="I10502" t="s">
        <v>36350</v>
      </c>
      <c r="J10502" t="s">
        <v>5484</v>
      </c>
      <c r="K10502" t="s">
        <v>36351</v>
      </c>
      <c r="L10502" t="s">
        <v>5471</v>
      </c>
      <c r="M10502" t="s">
        <v>5471</v>
      </c>
    </row>
    <row r="10503" spans="1:13" x14ac:dyDescent="0.3">
      <c r="A10503" t="s">
        <v>3388</v>
      </c>
      <c r="B10503" t="s">
        <v>7109</v>
      </c>
      <c r="C10503" t="s">
        <v>5470</v>
      </c>
      <c r="D10503" t="s">
        <v>4119</v>
      </c>
      <c r="E10503" t="s">
        <v>5532</v>
      </c>
      <c r="F10503" t="s">
        <v>36352</v>
      </c>
      <c r="G10503" t="s">
        <v>10952</v>
      </c>
      <c r="H10503" t="s">
        <v>5474</v>
      </c>
      <c r="I10503" t="s">
        <v>36353</v>
      </c>
      <c r="J10503" t="s">
        <v>5484</v>
      </c>
      <c r="K10503" t="s">
        <v>36354</v>
      </c>
      <c r="L10503" t="s">
        <v>5471</v>
      </c>
      <c r="M10503" t="s">
        <v>5471</v>
      </c>
    </row>
    <row r="10504" spans="1:13" x14ac:dyDescent="0.3">
      <c r="A10504" t="s">
        <v>3388</v>
      </c>
      <c r="B10504" t="s">
        <v>10870</v>
      </c>
      <c r="C10504" t="s">
        <v>5470</v>
      </c>
      <c r="D10504" t="s">
        <v>4058</v>
      </c>
      <c r="E10504" t="s">
        <v>5617</v>
      </c>
      <c r="F10504" t="s">
        <v>36355</v>
      </c>
      <c r="G10504" t="s">
        <v>32117</v>
      </c>
      <c r="H10504" t="s">
        <v>5474</v>
      </c>
      <c r="I10504" t="s">
        <v>36356</v>
      </c>
      <c r="J10504" t="s">
        <v>5484</v>
      </c>
      <c r="K10504" t="s">
        <v>28840</v>
      </c>
      <c r="L10504" t="s">
        <v>5471</v>
      </c>
      <c r="M10504" t="s">
        <v>5471</v>
      </c>
    </row>
    <row r="10505" spans="1:13" x14ac:dyDescent="0.3">
      <c r="A10505" t="s">
        <v>3388</v>
      </c>
      <c r="B10505" t="s">
        <v>10870</v>
      </c>
      <c r="C10505" t="s">
        <v>5470</v>
      </c>
      <c r="D10505" t="s">
        <v>4058</v>
      </c>
      <c r="E10505" t="s">
        <v>5617</v>
      </c>
      <c r="F10505" t="s">
        <v>36357</v>
      </c>
      <c r="G10505" t="s">
        <v>32121</v>
      </c>
      <c r="H10505" t="s">
        <v>5474</v>
      </c>
      <c r="I10505" t="s">
        <v>36358</v>
      </c>
      <c r="J10505" t="s">
        <v>5484</v>
      </c>
      <c r="K10505" t="s">
        <v>36359</v>
      </c>
      <c r="L10505" t="s">
        <v>5471</v>
      </c>
      <c r="M10505" t="s">
        <v>5471</v>
      </c>
    </row>
    <row r="10506" spans="1:13" x14ac:dyDescent="0.3">
      <c r="A10506" t="s">
        <v>3388</v>
      </c>
      <c r="B10506" t="s">
        <v>10870</v>
      </c>
      <c r="C10506" t="s">
        <v>5470</v>
      </c>
      <c r="D10506" t="s">
        <v>4058</v>
      </c>
      <c r="E10506" t="s">
        <v>5617</v>
      </c>
      <c r="F10506" t="s">
        <v>36360</v>
      </c>
      <c r="G10506" t="s">
        <v>34496</v>
      </c>
      <c r="H10506" t="s">
        <v>5474</v>
      </c>
      <c r="I10506" t="s">
        <v>36361</v>
      </c>
      <c r="J10506" t="s">
        <v>5484</v>
      </c>
      <c r="K10506" t="s">
        <v>36362</v>
      </c>
      <c r="L10506" t="s">
        <v>5471</v>
      </c>
      <c r="M10506" t="s">
        <v>5471</v>
      </c>
    </row>
    <row r="10507" spans="1:13" x14ac:dyDescent="0.3">
      <c r="A10507" t="s">
        <v>3388</v>
      </c>
      <c r="B10507" t="s">
        <v>10870</v>
      </c>
      <c r="C10507" t="s">
        <v>5470</v>
      </c>
      <c r="D10507" t="s">
        <v>4058</v>
      </c>
      <c r="E10507" t="s">
        <v>5617</v>
      </c>
      <c r="F10507" t="s">
        <v>36363</v>
      </c>
      <c r="G10507" t="s">
        <v>34506</v>
      </c>
      <c r="H10507" t="s">
        <v>5474</v>
      </c>
      <c r="I10507" t="s">
        <v>36364</v>
      </c>
      <c r="J10507" t="s">
        <v>5484</v>
      </c>
      <c r="K10507" t="s">
        <v>36365</v>
      </c>
      <c r="L10507" t="s">
        <v>5471</v>
      </c>
      <c r="M10507" t="s">
        <v>5471</v>
      </c>
    </row>
    <row r="10508" spans="1:13" x14ac:dyDescent="0.3">
      <c r="A10508" t="s">
        <v>3388</v>
      </c>
      <c r="B10508" t="s">
        <v>10870</v>
      </c>
      <c r="C10508" t="s">
        <v>5470</v>
      </c>
      <c r="D10508" t="s">
        <v>4058</v>
      </c>
      <c r="E10508" t="s">
        <v>5617</v>
      </c>
      <c r="F10508" t="s">
        <v>36366</v>
      </c>
      <c r="G10508" t="s">
        <v>34506</v>
      </c>
      <c r="H10508" t="s">
        <v>5474</v>
      </c>
      <c r="I10508" t="s">
        <v>36367</v>
      </c>
      <c r="J10508" t="s">
        <v>5484</v>
      </c>
      <c r="K10508" t="s">
        <v>36368</v>
      </c>
      <c r="L10508" t="s">
        <v>5471</v>
      </c>
      <c r="M10508" t="s">
        <v>5471</v>
      </c>
    </row>
    <row r="10509" spans="1:13" x14ac:dyDescent="0.3">
      <c r="A10509" t="s">
        <v>3388</v>
      </c>
      <c r="B10509" t="s">
        <v>10870</v>
      </c>
      <c r="C10509" t="s">
        <v>5470</v>
      </c>
      <c r="D10509" t="s">
        <v>4058</v>
      </c>
      <c r="E10509" t="s">
        <v>5617</v>
      </c>
      <c r="F10509" t="s">
        <v>36369</v>
      </c>
      <c r="G10509" t="s">
        <v>34506</v>
      </c>
      <c r="H10509" t="s">
        <v>5474</v>
      </c>
      <c r="I10509" t="s">
        <v>36370</v>
      </c>
      <c r="J10509" t="s">
        <v>5484</v>
      </c>
      <c r="K10509" t="s">
        <v>36371</v>
      </c>
      <c r="L10509" t="s">
        <v>5471</v>
      </c>
      <c r="M10509" t="s">
        <v>5471</v>
      </c>
    </row>
    <row r="10510" spans="1:13" x14ac:dyDescent="0.3">
      <c r="A10510" t="s">
        <v>3388</v>
      </c>
      <c r="B10510" t="s">
        <v>5616</v>
      </c>
      <c r="C10510" t="s">
        <v>5470</v>
      </c>
      <c r="D10510" t="s">
        <v>4058</v>
      </c>
      <c r="E10510" t="s">
        <v>5617</v>
      </c>
      <c r="F10510" t="s">
        <v>36372</v>
      </c>
      <c r="G10510" t="s">
        <v>36373</v>
      </c>
      <c r="H10510" t="s">
        <v>5474</v>
      </c>
      <c r="I10510" t="s">
        <v>36374</v>
      </c>
      <c r="J10510" t="s">
        <v>5484</v>
      </c>
      <c r="K10510" t="s">
        <v>28710</v>
      </c>
      <c r="L10510" t="s">
        <v>5471</v>
      </c>
      <c r="M10510" t="s">
        <v>5471</v>
      </c>
    </row>
    <row r="10511" spans="1:13" x14ac:dyDescent="0.3">
      <c r="A10511" t="s">
        <v>3397</v>
      </c>
      <c r="B10511" t="s">
        <v>36375</v>
      </c>
      <c r="C10511" t="s">
        <v>5487</v>
      </c>
      <c r="D10511" t="s">
        <v>15984</v>
      </c>
      <c r="E10511" t="s">
        <v>5595</v>
      </c>
      <c r="F10511" t="s">
        <v>8127</v>
      </c>
      <c r="G10511" t="s">
        <v>36375</v>
      </c>
      <c r="H10511" t="s">
        <v>5474</v>
      </c>
      <c r="I10511" t="s">
        <v>36376</v>
      </c>
      <c r="J10511" t="s">
        <v>5484</v>
      </c>
      <c r="K10511" t="s">
        <v>19931</v>
      </c>
      <c r="L10511" t="s">
        <v>5471</v>
      </c>
      <c r="M10511" t="s">
        <v>5471</v>
      </c>
    </row>
    <row r="10512" spans="1:13" x14ac:dyDescent="0.3">
      <c r="A10512" t="s">
        <v>3388</v>
      </c>
      <c r="B10512" t="s">
        <v>10870</v>
      </c>
      <c r="C10512" t="s">
        <v>5470</v>
      </c>
      <c r="D10512" t="s">
        <v>4058</v>
      </c>
      <c r="E10512" t="s">
        <v>5617</v>
      </c>
      <c r="F10512" t="s">
        <v>36377</v>
      </c>
      <c r="G10512" t="s">
        <v>32117</v>
      </c>
      <c r="H10512" t="s">
        <v>5474</v>
      </c>
      <c r="I10512" t="s">
        <v>36378</v>
      </c>
      <c r="J10512" t="s">
        <v>5484</v>
      </c>
      <c r="K10512" t="s">
        <v>28837</v>
      </c>
      <c r="L10512" t="s">
        <v>5471</v>
      </c>
      <c r="M10512" t="s">
        <v>5471</v>
      </c>
    </row>
    <row r="10513" spans="1:13" x14ac:dyDescent="0.3">
      <c r="A10513" t="s">
        <v>3388</v>
      </c>
      <c r="B10513" t="s">
        <v>10870</v>
      </c>
      <c r="C10513" t="s">
        <v>5470</v>
      </c>
      <c r="D10513" t="s">
        <v>4058</v>
      </c>
      <c r="E10513" t="s">
        <v>5617</v>
      </c>
      <c r="F10513" t="s">
        <v>36379</v>
      </c>
      <c r="G10513" t="s">
        <v>36380</v>
      </c>
      <c r="H10513" t="s">
        <v>5474</v>
      </c>
      <c r="I10513" t="s">
        <v>36381</v>
      </c>
      <c r="J10513" t="s">
        <v>5484</v>
      </c>
      <c r="K10513" t="s">
        <v>36382</v>
      </c>
      <c r="L10513" t="s">
        <v>5471</v>
      </c>
      <c r="M10513" t="s">
        <v>5471</v>
      </c>
    </row>
    <row r="10514" spans="1:13" x14ac:dyDescent="0.3">
      <c r="A10514" t="s">
        <v>3397</v>
      </c>
      <c r="B10514" t="s">
        <v>36383</v>
      </c>
      <c r="C10514" t="s">
        <v>5487</v>
      </c>
      <c r="D10514" t="s">
        <v>15984</v>
      </c>
      <c r="E10514" t="s">
        <v>5595</v>
      </c>
      <c r="F10514" t="s">
        <v>36384</v>
      </c>
      <c r="G10514" t="s">
        <v>36383</v>
      </c>
      <c r="H10514" t="s">
        <v>5474</v>
      </c>
      <c r="I10514" t="s">
        <v>36385</v>
      </c>
      <c r="J10514" t="s">
        <v>5484</v>
      </c>
      <c r="K10514" t="s">
        <v>19938</v>
      </c>
      <c r="L10514" t="s">
        <v>5471</v>
      </c>
      <c r="M10514" t="s">
        <v>5471</v>
      </c>
    </row>
    <row r="10515" spans="1:13" x14ac:dyDescent="0.3">
      <c r="A10515" t="s">
        <v>3397</v>
      </c>
      <c r="B10515" t="s">
        <v>36386</v>
      </c>
      <c r="C10515" t="s">
        <v>5487</v>
      </c>
      <c r="D10515" t="s">
        <v>15984</v>
      </c>
      <c r="E10515" t="s">
        <v>5595</v>
      </c>
      <c r="F10515" t="s">
        <v>8123</v>
      </c>
      <c r="G10515" t="s">
        <v>36386</v>
      </c>
      <c r="H10515" t="s">
        <v>5474</v>
      </c>
      <c r="I10515" t="s">
        <v>36387</v>
      </c>
      <c r="J10515" t="s">
        <v>5484</v>
      </c>
      <c r="K10515" t="s">
        <v>19945</v>
      </c>
      <c r="L10515" t="s">
        <v>5471</v>
      </c>
      <c r="M10515" t="s">
        <v>5471</v>
      </c>
    </row>
    <row r="10516" spans="1:13" x14ac:dyDescent="0.3">
      <c r="A10516" t="s">
        <v>3388</v>
      </c>
      <c r="B10516" t="s">
        <v>10870</v>
      </c>
      <c r="C10516" t="s">
        <v>5470</v>
      </c>
      <c r="D10516" t="s">
        <v>4058</v>
      </c>
      <c r="E10516" t="s">
        <v>5617</v>
      </c>
      <c r="F10516" t="s">
        <v>36388</v>
      </c>
      <c r="G10516" t="s">
        <v>32121</v>
      </c>
      <c r="H10516" t="s">
        <v>5474</v>
      </c>
      <c r="I10516" t="s">
        <v>36389</v>
      </c>
      <c r="J10516" t="s">
        <v>5484</v>
      </c>
      <c r="K10516" t="s">
        <v>36390</v>
      </c>
      <c r="L10516" t="s">
        <v>5471</v>
      </c>
      <c r="M10516" t="s">
        <v>5471</v>
      </c>
    </row>
    <row r="10517" spans="1:13" x14ac:dyDescent="0.3">
      <c r="A10517" t="s">
        <v>3388</v>
      </c>
      <c r="B10517" t="s">
        <v>10870</v>
      </c>
      <c r="C10517" t="s">
        <v>5470</v>
      </c>
      <c r="D10517" t="s">
        <v>4058</v>
      </c>
      <c r="E10517" t="s">
        <v>5617</v>
      </c>
      <c r="F10517" t="s">
        <v>36391</v>
      </c>
      <c r="G10517" t="s">
        <v>34496</v>
      </c>
      <c r="H10517" t="s">
        <v>5474</v>
      </c>
      <c r="I10517" t="s">
        <v>36392</v>
      </c>
      <c r="J10517" t="s">
        <v>5484</v>
      </c>
      <c r="K10517" t="s">
        <v>36393</v>
      </c>
      <c r="L10517" t="s">
        <v>5471</v>
      </c>
      <c r="M10517" t="s">
        <v>5471</v>
      </c>
    </row>
    <row r="10518" spans="1:13" x14ac:dyDescent="0.3">
      <c r="A10518" t="s">
        <v>3388</v>
      </c>
      <c r="B10518" t="s">
        <v>10865</v>
      </c>
      <c r="C10518" t="s">
        <v>5470</v>
      </c>
      <c r="D10518" t="s">
        <v>4119</v>
      </c>
      <c r="E10518" t="s">
        <v>5756</v>
      </c>
      <c r="F10518" t="s">
        <v>36394</v>
      </c>
      <c r="G10518" t="s">
        <v>36395</v>
      </c>
      <c r="H10518" t="s">
        <v>5474</v>
      </c>
      <c r="I10518" t="s">
        <v>36396</v>
      </c>
      <c r="J10518" t="s">
        <v>5484</v>
      </c>
      <c r="K10518" t="s">
        <v>36397</v>
      </c>
      <c r="L10518" t="s">
        <v>5471</v>
      </c>
      <c r="M10518" t="s">
        <v>5471</v>
      </c>
    </row>
    <row r="10519" spans="1:13" x14ac:dyDescent="0.3">
      <c r="A10519" t="s">
        <v>3388</v>
      </c>
      <c r="B10519" t="s">
        <v>5290</v>
      </c>
      <c r="C10519" t="s">
        <v>5470</v>
      </c>
      <c r="D10519" t="s">
        <v>4119</v>
      </c>
      <c r="E10519" t="s">
        <v>5756</v>
      </c>
      <c r="F10519" t="s">
        <v>36398</v>
      </c>
      <c r="G10519" t="s">
        <v>22323</v>
      </c>
      <c r="H10519" t="s">
        <v>5474</v>
      </c>
      <c r="I10519" t="s">
        <v>36399</v>
      </c>
      <c r="J10519" t="s">
        <v>5484</v>
      </c>
      <c r="K10519" t="s">
        <v>36400</v>
      </c>
      <c r="L10519" t="s">
        <v>5471</v>
      </c>
      <c r="M10519" t="s">
        <v>5471</v>
      </c>
    </row>
    <row r="10520" spans="1:13" x14ac:dyDescent="0.3">
      <c r="A10520" t="s">
        <v>3388</v>
      </c>
      <c r="B10520" t="s">
        <v>5290</v>
      </c>
      <c r="C10520" t="s">
        <v>5470</v>
      </c>
      <c r="D10520" t="s">
        <v>4119</v>
      </c>
      <c r="E10520" t="s">
        <v>5756</v>
      </c>
      <c r="F10520" t="s">
        <v>36401</v>
      </c>
      <c r="G10520" t="s">
        <v>22323</v>
      </c>
      <c r="H10520" t="s">
        <v>5474</v>
      </c>
      <c r="I10520" t="s">
        <v>36402</v>
      </c>
      <c r="J10520" t="s">
        <v>5484</v>
      </c>
      <c r="K10520" t="s">
        <v>36403</v>
      </c>
      <c r="L10520" t="s">
        <v>5471</v>
      </c>
      <c r="M10520" t="s">
        <v>5471</v>
      </c>
    </row>
    <row r="10521" spans="1:13" x14ac:dyDescent="0.3">
      <c r="A10521" t="s">
        <v>3388</v>
      </c>
      <c r="B10521" t="s">
        <v>2749</v>
      </c>
      <c r="C10521" t="s">
        <v>5470</v>
      </c>
      <c r="D10521" t="s">
        <v>4119</v>
      </c>
      <c r="E10521" t="s">
        <v>5532</v>
      </c>
      <c r="F10521" t="s">
        <v>36404</v>
      </c>
      <c r="G10521" t="s">
        <v>33272</v>
      </c>
      <c r="H10521" t="s">
        <v>5474</v>
      </c>
      <c r="I10521" t="s">
        <v>36405</v>
      </c>
      <c r="J10521" t="s">
        <v>5484</v>
      </c>
      <c r="K10521" t="s">
        <v>36406</v>
      </c>
      <c r="L10521" t="s">
        <v>5471</v>
      </c>
      <c r="M10521" t="s">
        <v>5471</v>
      </c>
    </row>
    <row r="10522" spans="1:13" x14ac:dyDescent="0.3">
      <c r="A10522" t="s">
        <v>3388</v>
      </c>
      <c r="B10522" t="s">
        <v>2749</v>
      </c>
      <c r="C10522" t="s">
        <v>5470</v>
      </c>
      <c r="D10522" t="s">
        <v>4119</v>
      </c>
      <c r="E10522" t="s">
        <v>5532</v>
      </c>
      <c r="F10522" t="s">
        <v>36407</v>
      </c>
      <c r="G10522" t="s">
        <v>33272</v>
      </c>
      <c r="H10522" t="s">
        <v>5474</v>
      </c>
      <c r="I10522" t="s">
        <v>36408</v>
      </c>
      <c r="J10522" t="s">
        <v>5484</v>
      </c>
      <c r="K10522" t="s">
        <v>36409</v>
      </c>
      <c r="L10522" t="s">
        <v>5471</v>
      </c>
      <c r="M10522" t="s">
        <v>5471</v>
      </c>
    </row>
    <row r="10523" spans="1:13" x14ac:dyDescent="0.3">
      <c r="A10523" t="s">
        <v>3388</v>
      </c>
      <c r="B10523" t="s">
        <v>2749</v>
      </c>
      <c r="C10523" t="s">
        <v>5470</v>
      </c>
      <c r="D10523" t="s">
        <v>4119</v>
      </c>
      <c r="E10523" t="s">
        <v>5532</v>
      </c>
      <c r="F10523" t="s">
        <v>36410</v>
      </c>
      <c r="G10523" t="s">
        <v>33272</v>
      </c>
      <c r="H10523" t="s">
        <v>5474</v>
      </c>
      <c r="I10523" t="s">
        <v>36411</v>
      </c>
      <c r="J10523" t="s">
        <v>5484</v>
      </c>
      <c r="K10523" t="s">
        <v>36412</v>
      </c>
      <c r="L10523" t="s">
        <v>5471</v>
      </c>
      <c r="M10523" t="s">
        <v>5471</v>
      </c>
    </row>
    <row r="10524" spans="1:13" x14ac:dyDescent="0.3">
      <c r="A10524" t="s">
        <v>3388</v>
      </c>
      <c r="B10524" t="s">
        <v>5284</v>
      </c>
      <c r="C10524" t="s">
        <v>5470</v>
      </c>
      <c r="D10524" t="s">
        <v>4119</v>
      </c>
      <c r="E10524" t="s">
        <v>5532</v>
      </c>
      <c r="F10524" t="s">
        <v>36413</v>
      </c>
      <c r="G10524" t="s">
        <v>36414</v>
      </c>
      <c r="H10524" t="s">
        <v>5474</v>
      </c>
      <c r="I10524" t="s">
        <v>36415</v>
      </c>
      <c r="J10524" t="s">
        <v>5476</v>
      </c>
      <c r="K10524" t="s">
        <v>36416</v>
      </c>
      <c r="L10524" t="s">
        <v>5471</v>
      </c>
      <c r="M10524" t="s">
        <v>5471</v>
      </c>
    </row>
    <row r="10525" spans="1:13" x14ac:dyDescent="0.3">
      <c r="A10525" t="s">
        <v>3388</v>
      </c>
      <c r="B10525" t="s">
        <v>2749</v>
      </c>
      <c r="C10525" t="s">
        <v>5470</v>
      </c>
      <c r="D10525" t="s">
        <v>4119</v>
      </c>
      <c r="E10525" t="s">
        <v>5532</v>
      </c>
      <c r="F10525" t="s">
        <v>36417</v>
      </c>
      <c r="G10525" t="s">
        <v>22002</v>
      </c>
      <c r="H10525" t="s">
        <v>5474</v>
      </c>
      <c r="I10525" t="s">
        <v>36418</v>
      </c>
      <c r="J10525" t="s">
        <v>5476</v>
      </c>
      <c r="K10525" t="s">
        <v>36419</v>
      </c>
      <c r="L10525" t="s">
        <v>5471</v>
      </c>
      <c r="M10525" t="s">
        <v>5471</v>
      </c>
    </row>
    <row r="10526" spans="1:13" x14ac:dyDescent="0.3">
      <c r="A10526" t="s">
        <v>3388</v>
      </c>
      <c r="B10526" t="s">
        <v>6540</v>
      </c>
      <c r="C10526" t="s">
        <v>5470</v>
      </c>
      <c r="D10526" t="s">
        <v>4200</v>
      </c>
      <c r="E10526" t="s">
        <v>5532</v>
      </c>
      <c r="F10526" t="s">
        <v>36420</v>
      </c>
      <c r="G10526" t="s">
        <v>9695</v>
      </c>
      <c r="H10526" t="s">
        <v>5474</v>
      </c>
      <c r="I10526" t="s">
        <v>36421</v>
      </c>
      <c r="J10526" t="s">
        <v>5484</v>
      </c>
      <c r="K10526" t="s">
        <v>36422</v>
      </c>
      <c r="L10526" t="s">
        <v>5471</v>
      </c>
      <c r="M10526" t="s">
        <v>5471</v>
      </c>
    </row>
    <row r="10527" spans="1:13" x14ac:dyDescent="0.3">
      <c r="A10527" t="s">
        <v>3388</v>
      </c>
      <c r="B10527" t="s">
        <v>2749</v>
      </c>
      <c r="C10527" t="s">
        <v>5470</v>
      </c>
      <c r="D10527" t="s">
        <v>4119</v>
      </c>
      <c r="E10527" t="s">
        <v>5532</v>
      </c>
      <c r="F10527" t="s">
        <v>36423</v>
      </c>
      <c r="G10527" t="s">
        <v>10806</v>
      </c>
      <c r="H10527" t="s">
        <v>5474</v>
      </c>
      <c r="I10527" t="s">
        <v>36424</v>
      </c>
      <c r="J10527" t="s">
        <v>5476</v>
      </c>
      <c r="K10527" t="s">
        <v>36425</v>
      </c>
      <c r="L10527" t="s">
        <v>5471</v>
      </c>
      <c r="M10527" t="s">
        <v>5471</v>
      </c>
    </row>
    <row r="10528" spans="1:13" x14ac:dyDescent="0.3">
      <c r="A10528" t="s">
        <v>3388</v>
      </c>
      <c r="B10528" t="s">
        <v>2749</v>
      </c>
      <c r="C10528" t="s">
        <v>5470</v>
      </c>
      <c r="D10528" t="s">
        <v>4119</v>
      </c>
      <c r="E10528" t="s">
        <v>5532</v>
      </c>
      <c r="F10528" t="s">
        <v>36426</v>
      </c>
      <c r="G10528" t="s">
        <v>22006</v>
      </c>
      <c r="H10528" t="s">
        <v>5474</v>
      </c>
      <c r="I10528" t="s">
        <v>36427</v>
      </c>
      <c r="J10528" t="s">
        <v>5476</v>
      </c>
      <c r="K10528" t="s">
        <v>36428</v>
      </c>
      <c r="L10528" t="s">
        <v>5471</v>
      </c>
      <c r="M10528" t="s">
        <v>5471</v>
      </c>
    </row>
    <row r="10529" spans="1:13" x14ac:dyDescent="0.3">
      <c r="A10529" t="s">
        <v>3397</v>
      </c>
      <c r="B10529" t="s">
        <v>13418</v>
      </c>
      <c r="C10529" t="s">
        <v>5487</v>
      </c>
      <c r="D10529" t="s">
        <v>15984</v>
      </c>
      <c r="E10529" t="s">
        <v>36233</v>
      </c>
      <c r="F10529" t="s">
        <v>36429</v>
      </c>
      <c r="G10529" t="s">
        <v>13418</v>
      </c>
      <c r="H10529" t="s">
        <v>5474</v>
      </c>
      <c r="I10529" t="s">
        <v>36430</v>
      </c>
      <c r="J10529" t="s">
        <v>5484</v>
      </c>
      <c r="K10529" t="s">
        <v>36431</v>
      </c>
      <c r="L10529" t="s">
        <v>5471</v>
      </c>
      <c r="M10529" t="s">
        <v>5471</v>
      </c>
    </row>
    <row r="10530" spans="1:13" x14ac:dyDescent="0.3">
      <c r="A10530" t="s">
        <v>3397</v>
      </c>
      <c r="B10530" t="s">
        <v>10389</v>
      </c>
      <c r="C10530" t="s">
        <v>5487</v>
      </c>
      <c r="D10530" t="s">
        <v>15984</v>
      </c>
      <c r="E10530" t="s">
        <v>36233</v>
      </c>
      <c r="F10530" t="s">
        <v>36432</v>
      </c>
      <c r="G10530" t="s">
        <v>10389</v>
      </c>
      <c r="H10530" t="s">
        <v>5474</v>
      </c>
      <c r="I10530" t="s">
        <v>36433</v>
      </c>
      <c r="J10530" t="s">
        <v>5484</v>
      </c>
      <c r="K10530" t="s">
        <v>36306</v>
      </c>
      <c r="L10530" t="s">
        <v>5471</v>
      </c>
      <c r="M10530" t="s">
        <v>5471</v>
      </c>
    </row>
    <row r="10531" spans="1:13" x14ac:dyDescent="0.3">
      <c r="A10531" t="s">
        <v>3397</v>
      </c>
      <c r="B10531" t="s">
        <v>13418</v>
      </c>
      <c r="C10531" t="s">
        <v>5487</v>
      </c>
      <c r="D10531" t="s">
        <v>15984</v>
      </c>
      <c r="E10531" t="s">
        <v>36233</v>
      </c>
      <c r="F10531" t="s">
        <v>36434</v>
      </c>
      <c r="G10531" t="s">
        <v>13418</v>
      </c>
      <c r="H10531" t="s">
        <v>5474</v>
      </c>
      <c r="I10531" t="s">
        <v>36435</v>
      </c>
      <c r="J10531" t="s">
        <v>5484</v>
      </c>
      <c r="K10531" t="s">
        <v>36431</v>
      </c>
      <c r="L10531" t="s">
        <v>5471</v>
      </c>
      <c r="M10531" t="s">
        <v>5471</v>
      </c>
    </row>
    <row r="10532" spans="1:13" x14ac:dyDescent="0.3">
      <c r="A10532" t="s">
        <v>3388</v>
      </c>
      <c r="B10532" t="s">
        <v>6540</v>
      </c>
      <c r="C10532" t="s">
        <v>5470</v>
      </c>
      <c r="D10532" t="s">
        <v>4200</v>
      </c>
      <c r="E10532" t="s">
        <v>5532</v>
      </c>
      <c r="F10532" t="s">
        <v>36436</v>
      </c>
      <c r="G10532" t="s">
        <v>9695</v>
      </c>
      <c r="H10532" t="s">
        <v>5474</v>
      </c>
      <c r="I10532" t="s">
        <v>36437</v>
      </c>
      <c r="J10532" t="s">
        <v>5484</v>
      </c>
      <c r="K10532" t="s">
        <v>36438</v>
      </c>
      <c r="L10532" t="s">
        <v>5471</v>
      </c>
      <c r="M10532" t="s">
        <v>5471</v>
      </c>
    </row>
    <row r="10533" spans="1:13" x14ac:dyDescent="0.3">
      <c r="A10533" t="s">
        <v>3397</v>
      </c>
      <c r="B10533" t="s">
        <v>12950</v>
      </c>
      <c r="C10533" t="s">
        <v>5487</v>
      </c>
      <c r="D10533" t="s">
        <v>15984</v>
      </c>
      <c r="E10533" t="s">
        <v>5756</v>
      </c>
      <c r="F10533" t="s">
        <v>36439</v>
      </c>
      <c r="G10533" t="s">
        <v>12950</v>
      </c>
      <c r="H10533" t="s">
        <v>5474</v>
      </c>
      <c r="I10533" t="s">
        <v>36440</v>
      </c>
      <c r="J10533" t="s">
        <v>5484</v>
      </c>
      <c r="K10533" t="s">
        <v>36441</v>
      </c>
      <c r="L10533" t="s">
        <v>5471</v>
      </c>
      <c r="M10533" t="s">
        <v>5471</v>
      </c>
    </row>
    <row r="10534" spans="1:13" x14ac:dyDescent="0.3">
      <c r="A10534" t="s">
        <v>3388</v>
      </c>
      <c r="B10534" t="s">
        <v>5272</v>
      </c>
      <c r="C10534" t="s">
        <v>5470</v>
      </c>
      <c r="D10534" t="s">
        <v>4200</v>
      </c>
      <c r="E10534" t="s">
        <v>5617</v>
      </c>
      <c r="F10534" t="s">
        <v>36442</v>
      </c>
      <c r="G10534" t="s">
        <v>20034</v>
      </c>
      <c r="H10534" t="s">
        <v>5474</v>
      </c>
      <c r="I10534" t="s">
        <v>36443</v>
      </c>
      <c r="J10534" t="s">
        <v>5484</v>
      </c>
      <c r="K10534" t="s">
        <v>36444</v>
      </c>
      <c r="L10534" t="s">
        <v>5471</v>
      </c>
      <c r="M10534" t="s">
        <v>5471</v>
      </c>
    </row>
    <row r="10535" spans="1:13" x14ac:dyDescent="0.3">
      <c r="A10535" t="s">
        <v>3388</v>
      </c>
      <c r="B10535" t="s">
        <v>5272</v>
      </c>
      <c r="C10535" t="s">
        <v>5470</v>
      </c>
      <c r="D10535" t="s">
        <v>4200</v>
      </c>
      <c r="E10535" t="s">
        <v>5617</v>
      </c>
      <c r="F10535" t="s">
        <v>36445</v>
      </c>
      <c r="G10535" t="s">
        <v>20034</v>
      </c>
      <c r="H10535" t="s">
        <v>5474</v>
      </c>
      <c r="I10535" t="s">
        <v>36446</v>
      </c>
      <c r="J10535" t="s">
        <v>5484</v>
      </c>
      <c r="K10535" t="s">
        <v>36447</v>
      </c>
      <c r="L10535" t="s">
        <v>5471</v>
      </c>
      <c r="M10535" t="s">
        <v>5471</v>
      </c>
    </row>
    <row r="10536" spans="1:13" x14ac:dyDescent="0.3">
      <c r="A10536" t="s">
        <v>3388</v>
      </c>
      <c r="B10536" t="s">
        <v>5272</v>
      </c>
      <c r="C10536" t="s">
        <v>5470</v>
      </c>
      <c r="D10536" t="s">
        <v>4200</v>
      </c>
      <c r="E10536" t="s">
        <v>5617</v>
      </c>
      <c r="F10536" t="s">
        <v>36448</v>
      </c>
      <c r="G10536" t="s">
        <v>20034</v>
      </c>
      <c r="H10536" t="s">
        <v>5474</v>
      </c>
      <c r="I10536" t="s">
        <v>36449</v>
      </c>
      <c r="J10536" t="s">
        <v>5484</v>
      </c>
      <c r="K10536" t="s">
        <v>36450</v>
      </c>
      <c r="L10536" t="s">
        <v>5471</v>
      </c>
      <c r="M10536" t="s">
        <v>5471</v>
      </c>
    </row>
    <row r="10537" spans="1:13" x14ac:dyDescent="0.3">
      <c r="A10537" t="s">
        <v>3388</v>
      </c>
      <c r="B10537" t="s">
        <v>6536</v>
      </c>
      <c r="C10537" t="s">
        <v>5470</v>
      </c>
      <c r="D10537" t="s">
        <v>4119</v>
      </c>
      <c r="E10537" t="s">
        <v>5532</v>
      </c>
      <c r="F10537" t="s">
        <v>36451</v>
      </c>
      <c r="G10537" t="s">
        <v>19330</v>
      </c>
      <c r="H10537" t="s">
        <v>5474</v>
      </c>
      <c r="I10537" t="s">
        <v>36452</v>
      </c>
      <c r="J10537" t="s">
        <v>5484</v>
      </c>
      <c r="K10537" t="s">
        <v>36453</v>
      </c>
      <c r="L10537" t="s">
        <v>5471</v>
      </c>
      <c r="M10537" t="s">
        <v>5471</v>
      </c>
    </row>
    <row r="10538" spans="1:13" x14ac:dyDescent="0.3">
      <c r="A10538" t="s">
        <v>3388</v>
      </c>
      <c r="B10538" t="s">
        <v>7105</v>
      </c>
      <c r="C10538" t="s">
        <v>5470</v>
      </c>
      <c r="D10538" t="s">
        <v>4200</v>
      </c>
      <c r="E10538" t="s">
        <v>5617</v>
      </c>
      <c r="F10538" t="s">
        <v>36454</v>
      </c>
      <c r="G10538" t="s">
        <v>19986</v>
      </c>
      <c r="H10538" t="s">
        <v>5474</v>
      </c>
      <c r="I10538" t="s">
        <v>36455</v>
      </c>
      <c r="J10538" t="s">
        <v>5484</v>
      </c>
      <c r="K10538" t="s">
        <v>36444</v>
      </c>
      <c r="L10538" t="s">
        <v>5471</v>
      </c>
      <c r="M10538" t="s">
        <v>5471</v>
      </c>
    </row>
    <row r="10539" spans="1:13" x14ac:dyDescent="0.3">
      <c r="A10539" t="s">
        <v>3388</v>
      </c>
      <c r="B10539" t="s">
        <v>6536</v>
      </c>
      <c r="C10539" t="s">
        <v>5470</v>
      </c>
      <c r="D10539" t="s">
        <v>4119</v>
      </c>
      <c r="E10539" t="s">
        <v>5532</v>
      </c>
      <c r="F10539" t="s">
        <v>36456</v>
      </c>
      <c r="G10539" t="s">
        <v>36457</v>
      </c>
      <c r="H10539" t="s">
        <v>5474</v>
      </c>
      <c r="I10539" t="s">
        <v>36458</v>
      </c>
      <c r="J10539" t="s">
        <v>5484</v>
      </c>
      <c r="K10539" t="s">
        <v>36459</v>
      </c>
      <c r="L10539" t="s">
        <v>5471</v>
      </c>
      <c r="M10539" t="s">
        <v>5471</v>
      </c>
    </row>
    <row r="10540" spans="1:13" x14ac:dyDescent="0.3">
      <c r="A10540" t="s">
        <v>3388</v>
      </c>
      <c r="B10540" t="s">
        <v>7105</v>
      </c>
      <c r="C10540" t="s">
        <v>5470</v>
      </c>
      <c r="D10540" t="s">
        <v>4200</v>
      </c>
      <c r="E10540" t="s">
        <v>5617</v>
      </c>
      <c r="F10540" t="s">
        <v>36460</v>
      </c>
      <c r="G10540" t="s">
        <v>19986</v>
      </c>
      <c r="H10540" t="s">
        <v>5474</v>
      </c>
      <c r="I10540" t="s">
        <v>36461</v>
      </c>
      <c r="J10540" t="s">
        <v>5484</v>
      </c>
      <c r="K10540" t="s">
        <v>36447</v>
      </c>
      <c r="L10540" t="s">
        <v>5471</v>
      </c>
      <c r="M10540" t="s">
        <v>5471</v>
      </c>
    </row>
    <row r="10541" spans="1:13" x14ac:dyDescent="0.3">
      <c r="A10541" t="s">
        <v>3388</v>
      </c>
      <c r="B10541" t="s">
        <v>6536</v>
      </c>
      <c r="C10541" t="s">
        <v>5470</v>
      </c>
      <c r="D10541" t="s">
        <v>4119</v>
      </c>
      <c r="E10541" t="s">
        <v>5532</v>
      </c>
      <c r="F10541" t="s">
        <v>36462</v>
      </c>
      <c r="G10541" t="s">
        <v>36463</v>
      </c>
      <c r="H10541" t="s">
        <v>5474</v>
      </c>
      <c r="I10541" t="s">
        <v>36464</v>
      </c>
      <c r="J10541" t="s">
        <v>5484</v>
      </c>
      <c r="K10541" t="s">
        <v>36465</v>
      </c>
      <c r="L10541" t="s">
        <v>5471</v>
      </c>
      <c r="M10541" t="s">
        <v>5471</v>
      </c>
    </row>
    <row r="10542" spans="1:13" x14ac:dyDescent="0.3">
      <c r="A10542" t="s">
        <v>3388</v>
      </c>
      <c r="B10542" t="s">
        <v>7105</v>
      </c>
      <c r="C10542" t="s">
        <v>5470</v>
      </c>
      <c r="D10542" t="s">
        <v>4200</v>
      </c>
      <c r="E10542" t="s">
        <v>5617</v>
      </c>
      <c r="F10542" t="s">
        <v>36466</v>
      </c>
      <c r="G10542" t="s">
        <v>19986</v>
      </c>
      <c r="H10542" t="s">
        <v>5474</v>
      </c>
      <c r="I10542" t="s">
        <v>36467</v>
      </c>
      <c r="J10542" t="s">
        <v>5484</v>
      </c>
      <c r="K10542" t="s">
        <v>36450</v>
      </c>
      <c r="L10542" t="s">
        <v>5471</v>
      </c>
      <c r="M10542" t="s">
        <v>5471</v>
      </c>
    </row>
    <row r="10543" spans="1:13" x14ac:dyDescent="0.3">
      <c r="A10543" t="s">
        <v>3397</v>
      </c>
      <c r="B10543" t="s">
        <v>36468</v>
      </c>
      <c r="C10543" t="s">
        <v>5487</v>
      </c>
      <c r="D10543" t="s">
        <v>15984</v>
      </c>
      <c r="E10543" t="s">
        <v>5756</v>
      </c>
      <c r="F10543" t="s">
        <v>36469</v>
      </c>
      <c r="G10543" t="s">
        <v>36468</v>
      </c>
      <c r="H10543" t="s">
        <v>5474</v>
      </c>
      <c r="I10543" t="s">
        <v>36470</v>
      </c>
      <c r="J10543" t="s">
        <v>5484</v>
      </c>
      <c r="K10543" t="s">
        <v>36471</v>
      </c>
      <c r="L10543" t="s">
        <v>5471</v>
      </c>
      <c r="M10543" t="s">
        <v>5471</v>
      </c>
    </row>
    <row r="10544" spans="1:13" x14ac:dyDescent="0.3">
      <c r="A10544" t="s">
        <v>3388</v>
      </c>
      <c r="B10544" t="s">
        <v>5310</v>
      </c>
      <c r="C10544" t="s">
        <v>5470</v>
      </c>
      <c r="D10544" t="s">
        <v>4200</v>
      </c>
      <c r="E10544" t="s">
        <v>5617</v>
      </c>
      <c r="F10544" t="s">
        <v>36472</v>
      </c>
      <c r="G10544" t="s">
        <v>11081</v>
      </c>
      <c r="H10544" t="s">
        <v>5474</v>
      </c>
      <c r="I10544" t="s">
        <v>36473</v>
      </c>
      <c r="J10544" t="s">
        <v>5484</v>
      </c>
      <c r="K10544" t="s">
        <v>36444</v>
      </c>
      <c r="L10544" t="s">
        <v>5471</v>
      </c>
      <c r="M10544" t="s">
        <v>5471</v>
      </c>
    </row>
    <row r="10545" spans="1:13" x14ac:dyDescent="0.3">
      <c r="A10545" t="s">
        <v>3388</v>
      </c>
      <c r="B10545" t="s">
        <v>6536</v>
      </c>
      <c r="C10545" t="s">
        <v>5470</v>
      </c>
      <c r="D10545" t="s">
        <v>4119</v>
      </c>
      <c r="E10545" t="s">
        <v>5532</v>
      </c>
      <c r="F10545" t="s">
        <v>36474</v>
      </c>
      <c r="G10545" t="s">
        <v>19334</v>
      </c>
      <c r="H10545" t="s">
        <v>5474</v>
      </c>
      <c r="I10545" t="s">
        <v>36475</v>
      </c>
      <c r="J10545" t="s">
        <v>5484</v>
      </c>
      <c r="K10545" t="s">
        <v>36476</v>
      </c>
      <c r="L10545" t="s">
        <v>5471</v>
      </c>
      <c r="M10545" t="s">
        <v>5471</v>
      </c>
    </row>
    <row r="10546" spans="1:13" x14ac:dyDescent="0.3">
      <c r="A10546" t="s">
        <v>3397</v>
      </c>
      <c r="B10546" t="s">
        <v>36217</v>
      </c>
      <c r="C10546" t="s">
        <v>5487</v>
      </c>
      <c r="D10546" t="s">
        <v>15984</v>
      </c>
      <c r="E10546" t="s">
        <v>5756</v>
      </c>
      <c r="F10546" t="s">
        <v>36477</v>
      </c>
      <c r="G10546" t="s">
        <v>36217</v>
      </c>
      <c r="H10546" t="s">
        <v>5474</v>
      </c>
      <c r="I10546" t="s">
        <v>36478</v>
      </c>
      <c r="J10546" t="s">
        <v>5484</v>
      </c>
      <c r="K10546" t="s">
        <v>36220</v>
      </c>
      <c r="L10546" t="s">
        <v>5471</v>
      </c>
      <c r="M10546" t="s">
        <v>5471</v>
      </c>
    </row>
    <row r="10547" spans="1:13" x14ac:dyDescent="0.3">
      <c r="A10547" t="s">
        <v>3388</v>
      </c>
      <c r="B10547" t="s">
        <v>5310</v>
      </c>
      <c r="C10547" t="s">
        <v>5470</v>
      </c>
      <c r="D10547" t="s">
        <v>4200</v>
      </c>
      <c r="E10547" t="s">
        <v>5617</v>
      </c>
      <c r="F10547" t="s">
        <v>36479</v>
      </c>
      <c r="G10547" t="s">
        <v>11081</v>
      </c>
      <c r="H10547" t="s">
        <v>5474</v>
      </c>
      <c r="I10547" t="s">
        <v>36480</v>
      </c>
      <c r="J10547" t="s">
        <v>5484</v>
      </c>
      <c r="K10547" t="s">
        <v>36450</v>
      </c>
      <c r="L10547" t="s">
        <v>5471</v>
      </c>
      <c r="M10547" t="s">
        <v>5471</v>
      </c>
    </row>
    <row r="10548" spans="1:13" x14ac:dyDescent="0.3">
      <c r="A10548" t="s">
        <v>3388</v>
      </c>
      <c r="B10548" t="s">
        <v>6536</v>
      </c>
      <c r="C10548" t="s">
        <v>5470</v>
      </c>
      <c r="D10548" t="s">
        <v>4119</v>
      </c>
      <c r="E10548" t="s">
        <v>5532</v>
      </c>
      <c r="F10548" t="s">
        <v>36481</v>
      </c>
      <c r="G10548" t="s">
        <v>36482</v>
      </c>
      <c r="H10548" t="s">
        <v>5474</v>
      </c>
      <c r="I10548" t="s">
        <v>36483</v>
      </c>
      <c r="J10548" t="s">
        <v>5484</v>
      </c>
      <c r="K10548" t="s">
        <v>36484</v>
      </c>
      <c r="L10548" t="s">
        <v>5471</v>
      </c>
      <c r="M10548" t="s">
        <v>5471</v>
      </c>
    </row>
    <row r="10549" spans="1:13" x14ac:dyDescent="0.3">
      <c r="A10549" t="s">
        <v>3388</v>
      </c>
      <c r="B10549" t="s">
        <v>8573</v>
      </c>
      <c r="C10549" t="s">
        <v>5470</v>
      </c>
      <c r="D10549" t="s">
        <v>4200</v>
      </c>
      <c r="E10549" t="s">
        <v>5532</v>
      </c>
      <c r="F10549" t="s">
        <v>36485</v>
      </c>
      <c r="G10549" t="s">
        <v>17867</v>
      </c>
      <c r="H10549" t="s">
        <v>5474</v>
      </c>
      <c r="I10549" t="s">
        <v>36486</v>
      </c>
      <c r="J10549" t="s">
        <v>5484</v>
      </c>
      <c r="K10549" t="s">
        <v>36487</v>
      </c>
      <c r="L10549" t="s">
        <v>5471</v>
      </c>
      <c r="M10549" t="s">
        <v>5471</v>
      </c>
    </row>
    <row r="10550" spans="1:13" x14ac:dyDescent="0.3">
      <c r="A10550" t="s">
        <v>3388</v>
      </c>
      <c r="B10550" t="s">
        <v>5257</v>
      </c>
      <c r="C10550" t="s">
        <v>5470</v>
      </c>
      <c r="D10550" t="s">
        <v>4119</v>
      </c>
      <c r="E10550" t="s">
        <v>5843</v>
      </c>
      <c r="F10550" t="s">
        <v>36488</v>
      </c>
      <c r="G10550" t="s">
        <v>32705</v>
      </c>
      <c r="H10550" t="s">
        <v>5474</v>
      </c>
      <c r="I10550" t="s">
        <v>36489</v>
      </c>
      <c r="J10550" t="s">
        <v>5484</v>
      </c>
      <c r="K10550" t="s">
        <v>36490</v>
      </c>
      <c r="L10550" t="s">
        <v>5471</v>
      </c>
      <c r="M10550" t="s">
        <v>5471</v>
      </c>
    </row>
    <row r="10551" spans="1:13" x14ac:dyDescent="0.3">
      <c r="A10551" t="s">
        <v>3388</v>
      </c>
      <c r="B10551" t="s">
        <v>8577</v>
      </c>
      <c r="C10551" t="s">
        <v>5470</v>
      </c>
      <c r="D10551" t="s">
        <v>4200</v>
      </c>
      <c r="E10551" t="s">
        <v>5617</v>
      </c>
      <c r="F10551" t="s">
        <v>36491</v>
      </c>
      <c r="G10551" t="s">
        <v>11126</v>
      </c>
      <c r="H10551" t="s">
        <v>5474</v>
      </c>
      <c r="I10551" t="s">
        <v>36492</v>
      </c>
      <c r="J10551" t="s">
        <v>5484</v>
      </c>
      <c r="K10551" t="s">
        <v>36444</v>
      </c>
      <c r="L10551" t="s">
        <v>5471</v>
      </c>
      <c r="M10551" t="s">
        <v>5471</v>
      </c>
    </row>
    <row r="10552" spans="1:13" x14ac:dyDescent="0.3">
      <c r="A10552" t="s">
        <v>3388</v>
      </c>
      <c r="B10552" t="s">
        <v>5257</v>
      </c>
      <c r="C10552" t="s">
        <v>5470</v>
      </c>
      <c r="D10552" t="s">
        <v>4119</v>
      </c>
      <c r="E10552" t="s">
        <v>5532</v>
      </c>
      <c r="F10552" t="s">
        <v>36493</v>
      </c>
      <c r="G10552" t="s">
        <v>36494</v>
      </c>
      <c r="H10552" t="s">
        <v>5474</v>
      </c>
      <c r="I10552" t="s">
        <v>36495</v>
      </c>
      <c r="J10552" t="s">
        <v>5484</v>
      </c>
      <c r="K10552" t="s">
        <v>36496</v>
      </c>
      <c r="L10552" t="s">
        <v>5471</v>
      </c>
      <c r="M10552" t="s">
        <v>5471</v>
      </c>
    </row>
    <row r="10553" spans="1:13" x14ac:dyDescent="0.3">
      <c r="A10553" t="s">
        <v>3388</v>
      </c>
      <c r="B10553" t="s">
        <v>8577</v>
      </c>
      <c r="C10553" t="s">
        <v>5470</v>
      </c>
      <c r="D10553" t="s">
        <v>4200</v>
      </c>
      <c r="E10553" t="s">
        <v>5617</v>
      </c>
      <c r="F10553" t="s">
        <v>36497</v>
      </c>
      <c r="G10553" t="s">
        <v>11126</v>
      </c>
      <c r="H10553" t="s">
        <v>5474</v>
      </c>
      <c r="I10553" t="s">
        <v>36498</v>
      </c>
      <c r="J10553" t="s">
        <v>5484</v>
      </c>
      <c r="K10553" t="s">
        <v>36447</v>
      </c>
      <c r="L10553" t="s">
        <v>5471</v>
      </c>
      <c r="M10553" t="s">
        <v>5471</v>
      </c>
    </row>
    <row r="10554" spans="1:13" x14ac:dyDescent="0.3">
      <c r="A10554" t="s">
        <v>3388</v>
      </c>
      <c r="B10554" t="s">
        <v>5257</v>
      </c>
      <c r="C10554" t="s">
        <v>5470</v>
      </c>
      <c r="D10554" t="s">
        <v>4119</v>
      </c>
      <c r="E10554" t="s">
        <v>5532</v>
      </c>
      <c r="F10554" t="s">
        <v>36499</v>
      </c>
      <c r="G10554" t="s">
        <v>36500</v>
      </c>
      <c r="H10554" t="s">
        <v>5474</v>
      </c>
      <c r="I10554" t="s">
        <v>36501</v>
      </c>
      <c r="J10554" t="s">
        <v>5484</v>
      </c>
      <c r="K10554" t="s">
        <v>36502</v>
      </c>
      <c r="L10554" t="s">
        <v>5471</v>
      </c>
      <c r="M10554" t="s">
        <v>5471</v>
      </c>
    </row>
    <row r="10555" spans="1:13" x14ac:dyDescent="0.3">
      <c r="A10555" t="s">
        <v>3388</v>
      </c>
      <c r="B10555" t="s">
        <v>8577</v>
      </c>
      <c r="C10555" t="s">
        <v>5470</v>
      </c>
      <c r="D10555" t="s">
        <v>4200</v>
      </c>
      <c r="E10555" t="s">
        <v>5617</v>
      </c>
      <c r="F10555" t="s">
        <v>36503</v>
      </c>
      <c r="G10555" t="s">
        <v>11126</v>
      </c>
      <c r="H10555" t="s">
        <v>5474</v>
      </c>
      <c r="I10555" t="s">
        <v>36504</v>
      </c>
      <c r="J10555" t="s">
        <v>5484</v>
      </c>
      <c r="K10555" t="s">
        <v>36450</v>
      </c>
      <c r="L10555" t="s">
        <v>5471</v>
      </c>
      <c r="M10555" t="s">
        <v>5471</v>
      </c>
    </row>
    <row r="10556" spans="1:13" x14ac:dyDescent="0.3">
      <c r="A10556" t="s">
        <v>3388</v>
      </c>
      <c r="B10556" t="s">
        <v>5257</v>
      </c>
      <c r="C10556" t="s">
        <v>5470</v>
      </c>
      <c r="D10556" t="s">
        <v>4119</v>
      </c>
      <c r="E10556" t="s">
        <v>5843</v>
      </c>
      <c r="F10556" t="s">
        <v>36505</v>
      </c>
      <c r="G10556" t="s">
        <v>36506</v>
      </c>
      <c r="H10556" t="s">
        <v>5474</v>
      </c>
      <c r="I10556" t="s">
        <v>36507</v>
      </c>
      <c r="J10556" t="s">
        <v>5484</v>
      </c>
      <c r="K10556" t="s">
        <v>36508</v>
      </c>
      <c r="L10556" t="s">
        <v>5471</v>
      </c>
      <c r="M10556" t="s">
        <v>5471</v>
      </c>
    </row>
    <row r="10557" spans="1:13" x14ac:dyDescent="0.3">
      <c r="A10557" t="s">
        <v>3388</v>
      </c>
      <c r="B10557" t="s">
        <v>8573</v>
      </c>
      <c r="C10557" t="s">
        <v>5470</v>
      </c>
      <c r="D10557" t="s">
        <v>10218</v>
      </c>
      <c r="E10557" t="s">
        <v>5532</v>
      </c>
      <c r="F10557" t="s">
        <v>36509</v>
      </c>
      <c r="G10557" t="s">
        <v>36510</v>
      </c>
      <c r="H10557" t="s">
        <v>5474</v>
      </c>
      <c r="I10557" t="s">
        <v>36511</v>
      </c>
      <c r="J10557" t="s">
        <v>5484</v>
      </c>
      <c r="K10557" t="s">
        <v>36512</v>
      </c>
      <c r="L10557" t="s">
        <v>5471</v>
      </c>
      <c r="M10557" t="s">
        <v>5471</v>
      </c>
    </row>
    <row r="10558" spans="1:13" x14ac:dyDescent="0.3">
      <c r="A10558" t="s">
        <v>3388</v>
      </c>
      <c r="B10558" t="s">
        <v>19024</v>
      </c>
      <c r="C10558" t="s">
        <v>5470</v>
      </c>
      <c r="D10558" t="s">
        <v>4119</v>
      </c>
      <c r="E10558" t="s">
        <v>5532</v>
      </c>
      <c r="F10558" t="s">
        <v>36513</v>
      </c>
      <c r="G10558" t="s">
        <v>36514</v>
      </c>
      <c r="H10558" t="s">
        <v>5474</v>
      </c>
      <c r="I10558" t="s">
        <v>36515</v>
      </c>
      <c r="J10558" t="s">
        <v>5484</v>
      </c>
      <c r="K10558" t="s">
        <v>36516</v>
      </c>
      <c r="L10558" t="s">
        <v>5471</v>
      </c>
      <c r="M10558" t="s">
        <v>5471</v>
      </c>
    </row>
    <row r="10559" spans="1:13" x14ac:dyDescent="0.3">
      <c r="A10559" t="s">
        <v>3388</v>
      </c>
      <c r="B10559" t="s">
        <v>2749</v>
      </c>
      <c r="C10559" t="s">
        <v>5470</v>
      </c>
      <c r="D10559" t="s">
        <v>4200</v>
      </c>
      <c r="E10559" t="s">
        <v>5843</v>
      </c>
      <c r="F10559" t="s">
        <v>36517</v>
      </c>
      <c r="G10559" t="s">
        <v>10901</v>
      </c>
      <c r="H10559" t="s">
        <v>5474</v>
      </c>
      <c r="I10559" t="s">
        <v>36518</v>
      </c>
      <c r="J10559" t="s">
        <v>5484</v>
      </c>
      <c r="K10559" t="s">
        <v>36519</v>
      </c>
      <c r="L10559" t="s">
        <v>5471</v>
      </c>
      <c r="M10559" t="s">
        <v>5471</v>
      </c>
    </row>
    <row r="10560" spans="1:13" x14ac:dyDescent="0.3">
      <c r="A10560" t="s">
        <v>3388</v>
      </c>
      <c r="B10560" t="s">
        <v>15876</v>
      </c>
      <c r="C10560" t="s">
        <v>5470</v>
      </c>
      <c r="D10560" t="s">
        <v>4119</v>
      </c>
      <c r="E10560" t="s">
        <v>5532</v>
      </c>
      <c r="F10560" t="s">
        <v>36520</v>
      </c>
      <c r="G10560" t="s">
        <v>21959</v>
      </c>
      <c r="H10560" t="s">
        <v>5474</v>
      </c>
      <c r="I10560" t="s">
        <v>36521</v>
      </c>
      <c r="J10560" t="s">
        <v>5484</v>
      </c>
      <c r="K10560" t="s">
        <v>36522</v>
      </c>
      <c r="L10560" t="s">
        <v>5471</v>
      </c>
      <c r="M10560" t="s">
        <v>5471</v>
      </c>
    </row>
    <row r="10561" spans="1:13" x14ac:dyDescent="0.3">
      <c r="A10561" t="s">
        <v>3397</v>
      </c>
      <c r="B10561" t="s">
        <v>36523</v>
      </c>
      <c r="C10561" t="s">
        <v>5487</v>
      </c>
      <c r="D10561" t="s">
        <v>15984</v>
      </c>
      <c r="E10561" t="s">
        <v>5595</v>
      </c>
      <c r="F10561" t="s">
        <v>36524</v>
      </c>
      <c r="G10561" t="s">
        <v>36523</v>
      </c>
      <c r="H10561" t="s">
        <v>5474</v>
      </c>
      <c r="I10561" t="s">
        <v>36525</v>
      </c>
      <c r="J10561" t="s">
        <v>5484</v>
      </c>
      <c r="K10561" t="s">
        <v>19942</v>
      </c>
      <c r="L10561" t="s">
        <v>5471</v>
      </c>
      <c r="M10561" t="s">
        <v>5471</v>
      </c>
    </row>
    <row r="10562" spans="1:13" x14ac:dyDescent="0.3">
      <c r="A10562" t="s">
        <v>3388</v>
      </c>
      <c r="B10562" t="s">
        <v>17483</v>
      </c>
      <c r="C10562" t="s">
        <v>5470</v>
      </c>
      <c r="D10562" t="s">
        <v>4200</v>
      </c>
      <c r="E10562" t="s">
        <v>5480</v>
      </c>
      <c r="F10562" t="s">
        <v>36526</v>
      </c>
      <c r="G10562" t="s">
        <v>17492</v>
      </c>
      <c r="H10562" t="s">
        <v>5474</v>
      </c>
      <c r="I10562" t="s">
        <v>36527</v>
      </c>
      <c r="J10562" t="s">
        <v>5484</v>
      </c>
      <c r="K10562" t="s">
        <v>36528</v>
      </c>
      <c r="L10562" t="s">
        <v>5471</v>
      </c>
      <c r="M10562" t="s">
        <v>5471</v>
      </c>
    </row>
    <row r="10563" spans="1:13" x14ac:dyDescent="0.3">
      <c r="A10563" t="s">
        <v>3388</v>
      </c>
      <c r="B10563" t="s">
        <v>15970</v>
      </c>
      <c r="C10563" t="s">
        <v>5470</v>
      </c>
      <c r="D10563" t="s">
        <v>4119</v>
      </c>
      <c r="E10563" t="s">
        <v>5532</v>
      </c>
      <c r="F10563" t="s">
        <v>36529</v>
      </c>
      <c r="G10563" t="s">
        <v>36530</v>
      </c>
      <c r="H10563" t="s">
        <v>5474</v>
      </c>
      <c r="I10563" t="s">
        <v>36531</v>
      </c>
      <c r="J10563" t="s">
        <v>5484</v>
      </c>
      <c r="K10563" t="s">
        <v>36532</v>
      </c>
      <c r="L10563" t="s">
        <v>5471</v>
      </c>
      <c r="M10563" t="s">
        <v>5471</v>
      </c>
    </row>
    <row r="10564" spans="1:13" x14ac:dyDescent="0.3">
      <c r="A10564" t="s">
        <v>3388</v>
      </c>
      <c r="B10564" t="s">
        <v>17483</v>
      </c>
      <c r="C10564" t="s">
        <v>5470</v>
      </c>
      <c r="D10564" t="s">
        <v>4200</v>
      </c>
      <c r="E10564" t="s">
        <v>5480</v>
      </c>
      <c r="F10564" t="s">
        <v>36533</v>
      </c>
      <c r="G10564" t="s">
        <v>17492</v>
      </c>
      <c r="H10564" t="s">
        <v>5474</v>
      </c>
      <c r="I10564" t="s">
        <v>36534</v>
      </c>
      <c r="J10564" t="s">
        <v>5484</v>
      </c>
      <c r="K10564" t="s">
        <v>36535</v>
      </c>
      <c r="L10564" t="s">
        <v>5471</v>
      </c>
      <c r="M10564" t="s">
        <v>5471</v>
      </c>
    </row>
    <row r="10565" spans="1:13" x14ac:dyDescent="0.3">
      <c r="A10565" t="s">
        <v>3397</v>
      </c>
      <c r="B10565" t="s">
        <v>36386</v>
      </c>
      <c r="C10565" t="s">
        <v>5487</v>
      </c>
      <c r="D10565" t="s">
        <v>15984</v>
      </c>
      <c r="E10565" t="s">
        <v>5595</v>
      </c>
      <c r="F10565" t="s">
        <v>36536</v>
      </c>
      <c r="G10565" t="s">
        <v>36386</v>
      </c>
      <c r="H10565" t="s">
        <v>5474</v>
      </c>
      <c r="I10565" t="s">
        <v>36537</v>
      </c>
      <c r="J10565" t="s">
        <v>5484</v>
      </c>
      <c r="K10565" t="s">
        <v>19945</v>
      </c>
      <c r="L10565" t="s">
        <v>5471</v>
      </c>
      <c r="M10565" t="s">
        <v>5471</v>
      </c>
    </row>
    <row r="10566" spans="1:13" x14ac:dyDescent="0.3">
      <c r="A10566" t="s">
        <v>3388</v>
      </c>
      <c r="B10566" t="s">
        <v>15970</v>
      </c>
      <c r="C10566" t="s">
        <v>5470</v>
      </c>
      <c r="D10566" t="s">
        <v>4119</v>
      </c>
      <c r="E10566" t="s">
        <v>5532</v>
      </c>
      <c r="F10566" t="s">
        <v>36538</v>
      </c>
      <c r="G10566" t="s">
        <v>19334</v>
      </c>
      <c r="H10566" t="s">
        <v>5474</v>
      </c>
      <c r="I10566" t="s">
        <v>36539</v>
      </c>
      <c r="J10566" t="s">
        <v>5484</v>
      </c>
      <c r="K10566" t="s">
        <v>36540</v>
      </c>
      <c r="L10566" t="s">
        <v>5471</v>
      </c>
      <c r="M10566" t="s">
        <v>5471</v>
      </c>
    </row>
    <row r="10567" spans="1:13" x14ac:dyDescent="0.3">
      <c r="A10567" t="s">
        <v>3388</v>
      </c>
      <c r="B10567" t="s">
        <v>15970</v>
      </c>
      <c r="C10567" t="s">
        <v>5470</v>
      </c>
      <c r="D10567" t="s">
        <v>4119</v>
      </c>
      <c r="E10567" t="s">
        <v>5532</v>
      </c>
      <c r="F10567" t="s">
        <v>36541</v>
      </c>
      <c r="G10567" t="s">
        <v>22349</v>
      </c>
      <c r="H10567" t="s">
        <v>5474</v>
      </c>
      <c r="I10567" t="s">
        <v>36542</v>
      </c>
      <c r="J10567" t="s">
        <v>5484</v>
      </c>
      <c r="K10567" t="s">
        <v>36543</v>
      </c>
      <c r="L10567" t="s">
        <v>5471</v>
      </c>
      <c r="M10567" t="s">
        <v>5471</v>
      </c>
    </row>
    <row r="10568" spans="1:13" x14ac:dyDescent="0.3">
      <c r="A10568" t="s">
        <v>3397</v>
      </c>
      <c r="B10568" t="s">
        <v>36544</v>
      </c>
      <c r="C10568" t="s">
        <v>5487</v>
      </c>
      <c r="D10568" t="s">
        <v>15984</v>
      </c>
      <c r="E10568" t="s">
        <v>5595</v>
      </c>
      <c r="F10568" t="s">
        <v>36545</v>
      </c>
      <c r="G10568" t="s">
        <v>36544</v>
      </c>
      <c r="H10568" t="s">
        <v>5474</v>
      </c>
      <c r="I10568" t="s">
        <v>36546</v>
      </c>
      <c r="J10568" t="s">
        <v>5484</v>
      </c>
      <c r="K10568" t="s">
        <v>36547</v>
      </c>
      <c r="L10568" t="s">
        <v>5471</v>
      </c>
      <c r="M10568" t="s">
        <v>5471</v>
      </c>
    </row>
    <row r="10569" spans="1:13" x14ac:dyDescent="0.3">
      <c r="A10569" t="s">
        <v>3388</v>
      </c>
      <c r="B10569" t="s">
        <v>20014</v>
      </c>
      <c r="C10569" t="s">
        <v>5470</v>
      </c>
      <c r="D10569" t="s">
        <v>4119</v>
      </c>
      <c r="E10569" t="s">
        <v>5532</v>
      </c>
      <c r="F10569" t="s">
        <v>36548</v>
      </c>
      <c r="G10569" t="s">
        <v>36142</v>
      </c>
      <c r="H10569" t="s">
        <v>5474</v>
      </c>
      <c r="I10569" t="s">
        <v>36549</v>
      </c>
      <c r="J10569" t="s">
        <v>5484</v>
      </c>
      <c r="K10569" t="s">
        <v>36550</v>
      </c>
      <c r="L10569" t="s">
        <v>5471</v>
      </c>
      <c r="M10569" t="s">
        <v>5471</v>
      </c>
    </row>
    <row r="10570" spans="1:13" x14ac:dyDescent="0.3">
      <c r="A10570" t="s">
        <v>3388</v>
      </c>
      <c r="B10570" t="s">
        <v>15702</v>
      </c>
      <c r="C10570" t="s">
        <v>5470</v>
      </c>
      <c r="D10570" t="s">
        <v>4052</v>
      </c>
      <c r="E10570" t="s">
        <v>5480</v>
      </c>
      <c r="F10570" t="s">
        <v>36551</v>
      </c>
      <c r="G10570" t="s">
        <v>36552</v>
      </c>
      <c r="H10570" t="s">
        <v>5474</v>
      </c>
      <c r="I10570" t="s">
        <v>36553</v>
      </c>
      <c r="J10570" t="s">
        <v>5476</v>
      </c>
      <c r="K10570" t="s">
        <v>36554</v>
      </c>
      <c r="L10570" t="s">
        <v>5471</v>
      </c>
      <c r="M10570" t="s">
        <v>5471</v>
      </c>
    </row>
    <row r="10571" spans="1:13" x14ac:dyDescent="0.3">
      <c r="A10571" t="s">
        <v>3397</v>
      </c>
      <c r="B10571" t="s">
        <v>36555</v>
      </c>
      <c r="C10571" t="s">
        <v>5487</v>
      </c>
      <c r="D10571" t="s">
        <v>15984</v>
      </c>
      <c r="E10571" t="s">
        <v>5595</v>
      </c>
      <c r="F10571" t="s">
        <v>36556</v>
      </c>
      <c r="G10571" t="s">
        <v>36555</v>
      </c>
      <c r="H10571" t="s">
        <v>5474</v>
      </c>
      <c r="I10571" t="s">
        <v>36557</v>
      </c>
      <c r="J10571" t="s">
        <v>5484</v>
      </c>
      <c r="K10571" t="s">
        <v>19952</v>
      </c>
      <c r="L10571" t="s">
        <v>5471</v>
      </c>
      <c r="M10571" t="s">
        <v>5471</v>
      </c>
    </row>
    <row r="10572" spans="1:13" x14ac:dyDescent="0.3">
      <c r="A10572" t="s">
        <v>3388</v>
      </c>
      <c r="B10572" t="s">
        <v>11423</v>
      </c>
      <c r="C10572" t="s">
        <v>5470</v>
      </c>
      <c r="D10572" t="s">
        <v>4119</v>
      </c>
      <c r="E10572" t="s">
        <v>5532</v>
      </c>
      <c r="F10572" t="s">
        <v>36558</v>
      </c>
      <c r="G10572" t="s">
        <v>11425</v>
      </c>
      <c r="H10572" t="s">
        <v>5474</v>
      </c>
      <c r="I10572" t="s">
        <v>36559</v>
      </c>
      <c r="J10572" t="s">
        <v>5484</v>
      </c>
      <c r="K10572" t="s">
        <v>36560</v>
      </c>
      <c r="L10572" t="s">
        <v>5471</v>
      </c>
      <c r="M10572" t="s">
        <v>5471</v>
      </c>
    </row>
    <row r="10573" spans="1:13" x14ac:dyDescent="0.3">
      <c r="A10573" t="s">
        <v>3397</v>
      </c>
      <c r="B10573" t="s">
        <v>5783</v>
      </c>
      <c r="C10573" t="s">
        <v>5487</v>
      </c>
      <c r="D10573" t="s">
        <v>15984</v>
      </c>
      <c r="E10573" t="s">
        <v>5756</v>
      </c>
      <c r="F10573" t="s">
        <v>36561</v>
      </c>
      <c r="G10573" t="s">
        <v>5783</v>
      </c>
      <c r="H10573" t="s">
        <v>5474</v>
      </c>
      <c r="I10573" t="s">
        <v>36562</v>
      </c>
      <c r="J10573" t="s">
        <v>5484</v>
      </c>
      <c r="K10573" t="s">
        <v>36563</v>
      </c>
      <c r="L10573" t="s">
        <v>5471</v>
      </c>
      <c r="M10573" t="s">
        <v>5471</v>
      </c>
    </row>
    <row r="10574" spans="1:13" x14ac:dyDescent="0.3">
      <c r="A10574" t="s">
        <v>3397</v>
      </c>
      <c r="B10574" t="s">
        <v>36564</v>
      </c>
      <c r="C10574" t="s">
        <v>5487</v>
      </c>
      <c r="D10574" t="s">
        <v>15984</v>
      </c>
      <c r="E10574" t="s">
        <v>5595</v>
      </c>
      <c r="F10574" t="s">
        <v>36556</v>
      </c>
      <c r="G10574" t="s">
        <v>36564</v>
      </c>
      <c r="H10574" t="s">
        <v>5474</v>
      </c>
      <c r="I10574" t="s">
        <v>36565</v>
      </c>
      <c r="J10574" t="s">
        <v>5484</v>
      </c>
      <c r="K10574" t="s">
        <v>19956</v>
      </c>
      <c r="L10574" t="s">
        <v>5471</v>
      </c>
      <c r="M10574" t="s">
        <v>5471</v>
      </c>
    </row>
    <row r="10575" spans="1:13" x14ac:dyDescent="0.3">
      <c r="A10575" t="s">
        <v>3388</v>
      </c>
      <c r="B10575" t="s">
        <v>5316</v>
      </c>
      <c r="C10575" t="s">
        <v>5470</v>
      </c>
      <c r="D10575" t="s">
        <v>4119</v>
      </c>
      <c r="E10575" t="s">
        <v>5532</v>
      </c>
      <c r="F10575" t="s">
        <v>36566</v>
      </c>
      <c r="G10575" t="s">
        <v>23115</v>
      </c>
      <c r="H10575" t="s">
        <v>5474</v>
      </c>
      <c r="I10575" t="s">
        <v>36567</v>
      </c>
      <c r="J10575" t="s">
        <v>5484</v>
      </c>
      <c r="K10575" t="s">
        <v>36568</v>
      </c>
      <c r="L10575" t="s">
        <v>5471</v>
      </c>
      <c r="M10575" t="s">
        <v>5471</v>
      </c>
    </row>
    <row r="10576" spans="1:13" x14ac:dyDescent="0.3">
      <c r="A10576" t="s">
        <v>3397</v>
      </c>
      <c r="B10576" t="s">
        <v>5768</v>
      </c>
      <c r="C10576" t="s">
        <v>5487</v>
      </c>
      <c r="D10576" t="s">
        <v>15984</v>
      </c>
      <c r="E10576" t="s">
        <v>5756</v>
      </c>
      <c r="F10576" t="s">
        <v>8127</v>
      </c>
      <c r="G10576" t="s">
        <v>5768</v>
      </c>
      <c r="H10576" t="s">
        <v>5474</v>
      </c>
      <c r="I10576" t="s">
        <v>36569</v>
      </c>
      <c r="J10576" t="s">
        <v>5476</v>
      </c>
      <c r="K10576" t="s">
        <v>36570</v>
      </c>
      <c r="L10576" t="s">
        <v>5471</v>
      </c>
      <c r="M10576" t="s">
        <v>5471</v>
      </c>
    </row>
    <row r="10577" spans="1:13" x14ac:dyDescent="0.3">
      <c r="A10577" t="s">
        <v>3397</v>
      </c>
      <c r="B10577" t="s">
        <v>36571</v>
      </c>
      <c r="C10577" t="s">
        <v>5487</v>
      </c>
      <c r="D10577" t="s">
        <v>15984</v>
      </c>
      <c r="E10577" t="s">
        <v>5756</v>
      </c>
      <c r="F10577" t="s">
        <v>8127</v>
      </c>
      <c r="G10577" t="s">
        <v>36571</v>
      </c>
      <c r="H10577" t="s">
        <v>5474</v>
      </c>
      <c r="I10577" t="s">
        <v>36572</v>
      </c>
      <c r="J10577" t="s">
        <v>5476</v>
      </c>
      <c r="K10577" t="s">
        <v>36573</v>
      </c>
      <c r="L10577" t="s">
        <v>5471</v>
      </c>
      <c r="M10577" t="s">
        <v>5471</v>
      </c>
    </row>
    <row r="10578" spans="1:13" x14ac:dyDescent="0.3">
      <c r="A10578" t="s">
        <v>3388</v>
      </c>
      <c r="B10578" t="s">
        <v>5316</v>
      </c>
      <c r="C10578" t="s">
        <v>5470</v>
      </c>
      <c r="D10578" t="s">
        <v>4119</v>
      </c>
      <c r="E10578" t="s">
        <v>5532</v>
      </c>
      <c r="F10578" t="s">
        <v>36574</v>
      </c>
      <c r="G10578" t="s">
        <v>21998</v>
      </c>
      <c r="H10578" t="s">
        <v>5474</v>
      </c>
      <c r="I10578" t="s">
        <v>36575</v>
      </c>
      <c r="J10578" t="s">
        <v>5484</v>
      </c>
      <c r="K10578" t="s">
        <v>36576</v>
      </c>
      <c r="L10578" t="s">
        <v>5471</v>
      </c>
      <c r="M10578" t="s">
        <v>5471</v>
      </c>
    </row>
    <row r="10579" spans="1:13" x14ac:dyDescent="0.3">
      <c r="A10579" t="s">
        <v>3397</v>
      </c>
      <c r="B10579" t="s">
        <v>36577</v>
      </c>
      <c r="C10579" t="s">
        <v>5487</v>
      </c>
      <c r="D10579" t="s">
        <v>15984</v>
      </c>
      <c r="E10579" t="s">
        <v>5756</v>
      </c>
      <c r="F10579" t="s">
        <v>36578</v>
      </c>
      <c r="G10579" t="s">
        <v>36577</v>
      </c>
      <c r="H10579" t="s">
        <v>5474</v>
      </c>
      <c r="I10579" t="s">
        <v>36579</v>
      </c>
      <c r="J10579" t="s">
        <v>5476</v>
      </c>
      <c r="K10579" t="s">
        <v>36580</v>
      </c>
      <c r="L10579" t="s">
        <v>5471</v>
      </c>
      <c r="M10579" t="s">
        <v>5471</v>
      </c>
    </row>
    <row r="10580" spans="1:13" x14ac:dyDescent="0.3">
      <c r="A10580" t="s">
        <v>3388</v>
      </c>
      <c r="B10580" t="s">
        <v>21862</v>
      </c>
      <c r="C10580" t="s">
        <v>5470</v>
      </c>
      <c r="D10580" t="s">
        <v>4119</v>
      </c>
      <c r="E10580" t="s">
        <v>5532</v>
      </c>
      <c r="F10580" t="s">
        <v>36581</v>
      </c>
      <c r="G10580" t="s">
        <v>21868</v>
      </c>
      <c r="H10580" t="s">
        <v>5474</v>
      </c>
      <c r="I10580" t="s">
        <v>36582</v>
      </c>
      <c r="J10580" t="s">
        <v>5484</v>
      </c>
      <c r="K10580" t="s">
        <v>36583</v>
      </c>
      <c r="L10580" t="s">
        <v>5471</v>
      </c>
      <c r="M10580" t="s">
        <v>5471</v>
      </c>
    </row>
    <row r="10581" spans="1:13" x14ac:dyDescent="0.3">
      <c r="A10581" t="s">
        <v>3397</v>
      </c>
      <c r="B10581" t="s">
        <v>10293</v>
      </c>
      <c r="C10581" t="s">
        <v>5487</v>
      </c>
      <c r="D10581" t="s">
        <v>15984</v>
      </c>
      <c r="E10581" t="s">
        <v>5756</v>
      </c>
      <c r="F10581" t="s">
        <v>36584</v>
      </c>
      <c r="G10581" t="s">
        <v>10293</v>
      </c>
      <c r="H10581" t="s">
        <v>5474</v>
      </c>
      <c r="I10581" t="s">
        <v>36585</v>
      </c>
      <c r="J10581" t="s">
        <v>5484</v>
      </c>
      <c r="K10581" t="s">
        <v>36586</v>
      </c>
      <c r="L10581" t="s">
        <v>5471</v>
      </c>
      <c r="M10581" t="s">
        <v>5471</v>
      </c>
    </row>
    <row r="10582" spans="1:13" x14ac:dyDescent="0.3">
      <c r="A10582" t="s">
        <v>3388</v>
      </c>
      <c r="B10582" t="s">
        <v>21862</v>
      </c>
      <c r="C10582" t="s">
        <v>5470</v>
      </c>
      <c r="D10582" t="s">
        <v>4119</v>
      </c>
      <c r="E10582" t="s">
        <v>5843</v>
      </c>
      <c r="F10582" t="s">
        <v>36587</v>
      </c>
      <c r="G10582" t="s">
        <v>36588</v>
      </c>
      <c r="H10582" t="s">
        <v>5474</v>
      </c>
      <c r="I10582" t="s">
        <v>36589</v>
      </c>
      <c r="J10582" t="s">
        <v>5484</v>
      </c>
      <c r="K10582" t="s">
        <v>36590</v>
      </c>
      <c r="L10582" t="s">
        <v>5471</v>
      </c>
      <c r="M10582" t="s">
        <v>5471</v>
      </c>
    </row>
    <row r="10583" spans="1:13" x14ac:dyDescent="0.3">
      <c r="A10583" t="s">
        <v>3397</v>
      </c>
      <c r="B10583" t="s">
        <v>10312</v>
      </c>
      <c r="C10583" t="s">
        <v>5487</v>
      </c>
      <c r="D10583" t="s">
        <v>15984</v>
      </c>
      <c r="E10583" t="s">
        <v>5756</v>
      </c>
      <c r="F10583" t="s">
        <v>36584</v>
      </c>
      <c r="G10583" t="s">
        <v>10312</v>
      </c>
      <c r="H10583" t="s">
        <v>5474</v>
      </c>
      <c r="I10583" t="s">
        <v>36591</v>
      </c>
      <c r="J10583" t="s">
        <v>5484</v>
      </c>
      <c r="K10583" t="s">
        <v>36592</v>
      </c>
      <c r="L10583" t="s">
        <v>5471</v>
      </c>
      <c r="M10583" t="s">
        <v>5471</v>
      </c>
    </row>
    <row r="10584" spans="1:13" x14ac:dyDescent="0.3">
      <c r="A10584" t="s">
        <v>3388</v>
      </c>
      <c r="B10584" t="s">
        <v>15946</v>
      </c>
      <c r="C10584" t="s">
        <v>5470</v>
      </c>
      <c r="D10584" t="s">
        <v>4058</v>
      </c>
      <c r="E10584" t="s">
        <v>5532</v>
      </c>
      <c r="F10584" t="s">
        <v>36593</v>
      </c>
      <c r="G10584" t="s">
        <v>24017</v>
      </c>
      <c r="H10584" t="s">
        <v>5474</v>
      </c>
      <c r="I10584" t="s">
        <v>36594</v>
      </c>
      <c r="J10584" t="s">
        <v>5476</v>
      </c>
      <c r="K10584" t="s">
        <v>36595</v>
      </c>
      <c r="L10584" t="s">
        <v>5471</v>
      </c>
      <c r="M10584" t="s">
        <v>5471</v>
      </c>
    </row>
    <row r="10585" spans="1:13" x14ac:dyDescent="0.3">
      <c r="A10585" t="s">
        <v>3388</v>
      </c>
      <c r="B10585" t="s">
        <v>15957</v>
      </c>
      <c r="C10585" t="s">
        <v>5470</v>
      </c>
      <c r="D10585" t="s">
        <v>4119</v>
      </c>
      <c r="E10585" t="s">
        <v>5532</v>
      </c>
      <c r="F10585" t="s">
        <v>36596</v>
      </c>
      <c r="G10585" t="s">
        <v>22271</v>
      </c>
      <c r="H10585" t="s">
        <v>5474</v>
      </c>
      <c r="I10585" t="s">
        <v>36597</v>
      </c>
      <c r="J10585" t="s">
        <v>5484</v>
      </c>
      <c r="K10585" t="s">
        <v>36598</v>
      </c>
      <c r="L10585" t="s">
        <v>5471</v>
      </c>
      <c r="M10585" t="s">
        <v>5471</v>
      </c>
    </row>
    <row r="10586" spans="1:13" x14ac:dyDescent="0.3">
      <c r="A10586" t="s">
        <v>3388</v>
      </c>
      <c r="B10586" t="s">
        <v>7088</v>
      </c>
      <c r="C10586" t="s">
        <v>5470</v>
      </c>
      <c r="D10586" t="s">
        <v>30466</v>
      </c>
      <c r="E10586" t="s">
        <v>5532</v>
      </c>
      <c r="F10586" t="s">
        <v>36599</v>
      </c>
      <c r="G10586" t="s">
        <v>36600</v>
      </c>
      <c r="H10586" t="s">
        <v>5474</v>
      </c>
      <c r="I10586" t="s">
        <v>36601</v>
      </c>
      <c r="J10586" t="s">
        <v>5484</v>
      </c>
      <c r="K10586" t="s">
        <v>36602</v>
      </c>
      <c r="L10586" t="s">
        <v>5471</v>
      </c>
      <c r="M10586" t="s">
        <v>5471</v>
      </c>
    </row>
    <row r="10587" spans="1:13" x14ac:dyDescent="0.3">
      <c r="A10587" t="s">
        <v>3388</v>
      </c>
      <c r="B10587" t="s">
        <v>15957</v>
      </c>
      <c r="C10587" t="s">
        <v>5470</v>
      </c>
      <c r="D10587" t="s">
        <v>4119</v>
      </c>
      <c r="E10587" t="s">
        <v>5532</v>
      </c>
      <c r="F10587" t="s">
        <v>36603</v>
      </c>
      <c r="G10587" t="s">
        <v>36604</v>
      </c>
      <c r="H10587" t="s">
        <v>5474</v>
      </c>
      <c r="I10587" t="s">
        <v>36605</v>
      </c>
      <c r="J10587" t="s">
        <v>5484</v>
      </c>
      <c r="K10587" t="s">
        <v>36606</v>
      </c>
      <c r="L10587" t="s">
        <v>5471</v>
      </c>
      <c r="M10587" t="s">
        <v>5471</v>
      </c>
    </row>
    <row r="10588" spans="1:13" x14ac:dyDescent="0.3">
      <c r="A10588" t="s">
        <v>3388</v>
      </c>
      <c r="B10588" t="s">
        <v>19207</v>
      </c>
      <c r="C10588" t="s">
        <v>5470</v>
      </c>
      <c r="D10588" t="s">
        <v>30466</v>
      </c>
      <c r="E10588" t="s">
        <v>5617</v>
      </c>
      <c r="F10588" t="s">
        <v>36607</v>
      </c>
      <c r="G10588" t="s">
        <v>22156</v>
      </c>
      <c r="H10588" t="s">
        <v>5474</v>
      </c>
      <c r="I10588" t="s">
        <v>36608</v>
      </c>
      <c r="J10588" t="s">
        <v>5484</v>
      </c>
      <c r="K10588" t="s">
        <v>36609</v>
      </c>
      <c r="L10588" t="s">
        <v>5471</v>
      </c>
      <c r="M10588" t="s">
        <v>5471</v>
      </c>
    </row>
    <row r="10589" spans="1:13" x14ac:dyDescent="0.3">
      <c r="A10589" t="s">
        <v>3388</v>
      </c>
      <c r="B10589" t="s">
        <v>15957</v>
      </c>
      <c r="C10589" t="s">
        <v>5470</v>
      </c>
      <c r="D10589" t="s">
        <v>4119</v>
      </c>
      <c r="E10589" t="s">
        <v>5532</v>
      </c>
      <c r="F10589" t="s">
        <v>36610</v>
      </c>
      <c r="G10589" t="s">
        <v>36611</v>
      </c>
      <c r="H10589" t="s">
        <v>5474</v>
      </c>
      <c r="I10589" t="s">
        <v>36612</v>
      </c>
      <c r="J10589" t="s">
        <v>5484</v>
      </c>
      <c r="K10589" t="s">
        <v>36613</v>
      </c>
      <c r="L10589" t="s">
        <v>5471</v>
      </c>
      <c r="M10589" t="s">
        <v>5471</v>
      </c>
    </row>
    <row r="10590" spans="1:13" x14ac:dyDescent="0.3">
      <c r="A10590" t="s">
        <v>3388</v>
      </c>
      <c r="B10590" t="s">
        <v>19207</v>
      </c>
      <c r="C10590" t="s">
        <v>5470</v>
      </c>
      <c r="D10590" t="s">
        <v>30466</v>
      </c>
      <c r="E10590" t="s">
        <v>5617</v>
      </c>
      <c r="F10590" t="s">
        <v>36614</v>
      </c>
      <c r="G10590" t="s">
        <v>22290</v>
      </c>
      <c r="H10590" t="s">
        <v>5474</v>
      </c>
      <c r="I10590" t="s">
        <v>36615</v>
      </c>
      <c r="J10590" t="s">
        <v>5484</v>
      </c>
      <c r="K10590" t="s">
        <v>36616</v>
      </c>
      <c r="L10590" t="s">
        <v>5471</v>
      </c>
      <c r="M10590" t="s">
        <v>5471</v>
      </c>
    </row>
    <row r="10591" spans="1:13" x14ac:dyDescent="0.3">
      <c r="A10591" t="s">
        <v>3388</v>
      </c>
      <c r="B10591" t="s">
        <v>15957</v>
      </c>
      <c r="C10591" t="s">
        <v>5470</v>
      </c>
      <c r="D10591" t="s">
        <v>4119</v>
      </c>
      <c r="E10591" t="s">
        <v>5532</v>
      </c>
      <c r="F10591" t="s">
        <v>36617</v>
      </c>
      <c r="G10591" t="s">
        <v>29810</v>
      </c>
      <c r="H10591" t="s">
        <v>5474</v>
      </c>
      <c r="I10591" t="s">
        <v>36618</v>
      </c>
      <c r="J10591" t="s">
        <v>5484</v>
      </c>
      <c r="K10591" t="s">
        <v>36619</v>
      </c>
      <c r="L10591" t="s">
        <v>5471</v>
      </c>
      <c r="M10591" t="s">
        <v>5471</v>
      </c>
    </row>
    <row r="10592" spans="1:13" x14ac:dyDescent="0.3">
      <c r="A10592" t="s">
        <v>3388</v>
      </c>
      <c r="B10592" t="s">
        <v>5290</v>
      </c>
      <c r="C10592" t="s">
        <v>5470</v>
      </c>
      <c r="D10592" t="s">
        <v>4119</v>
      </c>
      <c r="E10592" t="s">
        <v>5756</v>
      </c>
      <c r="F10592" t="s">
        <v>36620</v>
      </c>
      <c r="G10592" t="s">
        <v>22323</v>
      </c>
      <c r="H10592" t="s">
        <v>5474</v>
      </c>
      <c r="I10592" t="s">
        <v>36621</v>
      </c>
      <c r="J10592" t="s">
        <v>5484</v>
      </c>
      <c r="K10592" t="s">
        <v>36622</v>
      </c>
      <c r="L10592" t="s">
        <v>5471</v>
      </c>
      <c r="M10592" t="s">
        <v>5471</v>
      </c>
    </row>
    <row r="10593" spans="1:13" x14ac:dyDescent="0.3">
      <c r="A10593" t="s">
        <v>3388</v>
      </c>
      <c r="B10593" t="s">
        <v>5296</v>
      </c>
      <c r="C10593" t="s">
        <v>5470</v>
      </c>
      <c r="D10593" t="s">
        <v>4119</v>
      </c>
      <c r="E10593" t="s">
        <v>5480</v>
      </c>
      <c r="F10593" t="s">
        <v>36623</v>
      </c>
      <c r="G10593" t="s">
        <v>22544</v>
      </c>
      <c r="H10593" t="s">
        <v>5474</v>
      </c>
      <c r="I10593" t="s">
        <v>36624</v>
      </c>
      <c r="J10593" t="s">
        <v>5476</v>
      </c>
      <c r="K10593" t="s">
        <v>36625</v>
      </c>
      <c r="L10593" t="s">
        <v>5471</v>
      </c>
      <c r="M10593" t="s">
        <v>5471</v>
      </c>
    </row>
    <row r="10594" spans="1:13" x14ac:dyDescent="0.3">
      <c r="A10594" t="s">
        <v>3388</v>
      </c>
      <c r="B10594" t="s">
        <v>2749</v>
      </c>
      <c r="C10594" t="s">
        <v>5470</v>
      </c>
      <c r="D10594" t="s">
        <v>4119</v>
      </c>
      <c r="E10594" t="s">
        <v>5532</v>
      </c>
      <c r="F10594" t="s">
        <v>36626</v>
      </c>
      <c r="G10594" t="s">
        <v>22252</v>
      </c>
      <c r="H10594" t="s">
        <v>5474</v>
      </c>
      <c r="I10594" t="s">
        <v>36627</v>
      </c>
      <c r="J10594" t="s">
        <v>5484</v>
      </c>
      <c r="K10594" t="s">
        <v>36403</v>
      </c>
      <c r="L10594" t="s">
        <v>5471</v>
      </c>
      <c r="M10594" t="s">
        <v>5471</v>
      </c>
    </row>
    <row r="10595" spans="1:13" x14ac:dyDescent="0.3">
      <c r="A10595" t="s">
        <v>3388</v>
      </c>
      <c r="B10595" t="s">
        <v>5296</v>
      </c>
      <c r="C10595" t="s">
        <v>5470</v>
      </c>
      <c r="D10595" t="s">
        <v>4119</v>
      </c>
      <c r="E10595" t="s">
        <v>5480</v>
      </c>
      <c r="F10595" t="s">
        <v>36628</v>
      </c>
      <c r="G10595" t="s">
        <v>22544</v>
      </c>
      <c r="H10595" t="s">
        <v>5474</v>
      </c>
      <c r="I10595" t="s">
        <v>36629</v>
      </c>
      <c r="J10595" t="s">
        <v>5476</v>
      </c>
      <c r="K10595" t="s">
        <v>36630</v>
      </c>
      <c r="L10595" t="s">
        <v>5471</v>
      </c>
      <c r="M10595" t="s">
        <v>5471</v>
      </c>
    </row>
    <row r="10596" spans="1:13" x14ac:dyDescent="0.3">
      <c r="A10596" t="s">
        <v>3388</v>
      </c>
      <c r="B10596" t="s">
        <v>2749</v>
      </c>
      <c r="C10596" t="s">
        <v>5470</v>
      </c>
      <c r="D10596" t="s">
        <v>4119</v>
      </c>
      <c r="E10596" t="s">
        <v>5532</v>
      </c>
      <c r="F10596" t="s">
        <v>36631</v>
      </c>
      <c r="G10596" t="s">
        <v>17694</v>
      </c>
      <c r="H10596" t="s">
        <v>5474</v>
      </c>
      <c r="I10596" t="s">
        <v>36632</v>
      </c>
      <c r="J10596" t="s">
        <v>5476</v>
      </c>
      <c r="K10596" t="s">
        <v>36633</v>
      </c>
      <c r="L10596" t="s">
        <v>5471</v>
      </c>
      <c r="M10596" t="s">
        <v>5471</v>
      </c>
    </row>
    <row r="10597" spans="1:13" x14ac:dyDescent="0.3">
      <c r="A10597" t="s">
        <v>3397</v>
      </c>
      <c r="B10597" t="s">
        <v>10328</v>
      </c>
      <c r="C10597" t="s">
        <v>5487</v>
      </c>
      <c r="D10597" t="s">
        <v>15984</v>
      </c>
      <c r="E10597" t="s">
        <v>5756</v>
      </c>
      <c r="F10597" t="s">
        <v>8127</v>
      </c>
      <c r="G10597" t="s">
        <v>36634</v>
      </c>
      <c r="H10597" t="s">
        <v>5474</v>
      </c>
      <c r="I10597" t="s">
        <v>36635</v>
      </c>
      <c r="J10597" t="s">
        <v>5484</v>
      </c>
      <c r="K10597" t="s">
        <v>36636</v>
      </c>
      <c r="L10597" t="s">
        <v>5471</v>
      </c>
      <c r="M10597" t="s">
        <v>5471</v>
      </c>
    </row>
    <row r="10598" spans="1:13" x14ac:dyDescent="0.3">
      <c r="A10598" t="s">
        <v>3388</v>
      </c>
      <c r="B10598" t="s">
        <v>2749</v>
      </c>
      <c r="C10598" t="s">
        <v>5470</v>
      </c>
      <c r="D10598" t="s">
        <v>4119</v>
      </c>
      <c r="E10598" t="s">
        <v>5532</v>
      </c>
      <c r="F10598" t="s">
        <v>36637</v>
      </c>
      <c r="G10598" t="s">
        <v>17694</v>
      </c>
      <c r="H10598" t="s">
        <v>5474</v>
      </c>
      <c r="I10598" t="s">
        <v>36638</v>
      </c>
      <c r="J10598" t="s">
        <v>5476</v>
      </c>
      <c r="K10598" t="s">
        <v>36639</v>
      </c>
      <c r="L10598" t="s">
        <v>5471</v>
      </c>
      <c r="M10598" t="s">
        <v>5471</v>
      </c>
    </row>
    <row r="10599" spans="1:13" x14ac:dyDescent="0.3">
      <c r="A10599" t="s">
        <v>3397</v>
      </c>
      <c r="B10599" t="s">
        <v>36640</v>
      </c>
      <c r="C10599" t="s">
        <v>5487</v>
      </c>
      <c r="D10599" t="s">
        <v>15984</v>
      </c>
      <c r="E10599" t="s">
        <v>5756</v>
      </c>
      <c r="F10599" t="s">
        <v>36641</v>
      </c>
      <c r="G10599" t="s">
        <v>36640</v>
      </c>
      <c r="H10599" t="s">
        <v>5474</v>
      </c>
      <c r="I10599" t="s">
        <v>36642</v>
      </c>
      <c r="J10599" t="s">
        <v>5484</v>
      </c>
      <c r="K10599" t="s">
        <v>36643</v>
      </c>
      <c r="L10599" t="s">
        <v>5471</v>
      </c>
      <c r="M10599" t="s">
        <v>5471</v>
      </c>
    </row>
    <row r="10600" spans="1:13" x14ac:dyDescent="0.3">
      <c r="A10600" t="s">
        <v>3388</v>
      </c>
      <c r="B10600" t="s">
        <v>2749</v>
      </c>
      <c r="C10600" t="s">
        <v>5470</v>
      </c>
      <c r="D10600" t="s">
        <v>4119</v>
      </c>
      <c r="E10600" t="s">
        <v>5532</v>
      </c>
      <c r="F10600" t="s">
        <v>36644</v>
      </c>
      <c r="G10600" t="s">
        <v>17694</v>
      </c>
      <c r="H10600" t="s">
        <v>5474</v>
      </c>
      <c r="I10600" t="s">
        <v>36645</v>
      </c>
      <c r="J10600" t="s">
        <v>5476</v>
      </c>
      <c r="K10600" t="s">
        <v>36646</v>
      </c>
      <c r="L10600" t="s">
        <v>5471</v>
      </c>
      <c r="M10600" t="s">
        <v>5471</v>
      </c>
    </row>
    <row r="10601" spans="1:13" x14ac:dyDescent="0.3">
      <c r="A10601" t="s">
        <v>3397</v>
      </c>
      <c r="B10601" t="s">
        <v>36647</v>
      </c>
      <c r="C10601" t="s">
        <v>5487</v>
      </c>
      <c r="D10601" t="s">
        <v>15984</v>
      </c>
      <c r="E10601" t="s">
        <v>5756</v>
      </c>
      <c r="F10601" t="s">
        <v>36584</v>
      </c>
      <c r="G10601" t="s">
        <v>36647</v>
      </c>
      <c r="H10601" t="s">
        <v>5474</v>
      </c>
      <c r="I10601" t="s">
        <v>36648</v>
      </c>
      <c r="J10601" t="s">
        <v>5476</v>
      </c>
      <c r="K10601" t="s">
        <v>36649</v>
      </c>
      <c r="L10601" t="s">
        <v>5471</v>
      </c>
      <c r="M10601" t="s">
        <v>5471</v>
      </c>
    </row>
    <row r="10602" spans="1:13" x14ac:dyDescent="0.3">
      <c r="A10602" t="s">
        <v>3388</v>
      </c>
      <c r="B10602" t="s">
        <v>5284</v>
      </c>
      <c r="C10602" t="s">
        <v>5470</v>
      </c>
      <c r="D10602" t="s">
        <v>4119</v>
      </c>
      <c r="E10602" t="s">
        <v>5532</v>
      </c>
      <c r="F10602" t="s">
        <v>36650</v>
      </c>
      <c r="G10602" t="s">
        <v>22242</v>
      </c>
      <c r="H10602" t="s">
        <v>5474</v>
      </c>
      <c r="I10602" t="s">
        <v>36651</v>
      </c>
      <c r="J10602" t="s">
        <v>5476</v>
      </c>
      <c r="K10602" t="s">
        <v>36652</v>
      </c>
      <c r="L10602" t="s">
        <v>5471</v>
      </c>
      <c r="M10602" t="s">
        <v>5471</v>
      </c>
    </row>
    <row r="10603" spans="1:13" x14ac:dyDescent="0.3">
      <c r="A10603" t="s">
        <v>3388</v>
      </c>
      <c r="B10603" t="s">
        <v>7088</v>
      </c>
      <c r="C10603" t="s">
        <v>5470</v>
      </c>
      <c r="D10603" t="s">
        <v>4200</v>
      </c>
      <c r="E10603" t="s">
        <v>5532</v>
      </c>
      <c r="F10603" t="s">
        <v>36653</v>
      </c>
      <c r="G10603" t="s">
        <v>11130</v>
      </c>
      <c r="H10603" t="s">
        <v>5474</v>
      </c>
      <c r="I10603" t="s">
        <v>36654</v>
      </c>
      <c r="J10603" t="s">
        <v>5484</v>
      </c>
      <c r="K10603" t="s">
        <v>36655</v>
      </c>
      <c r="L10603" t="s">
        <v>5471</v>
      </c>
      <c r="M10603" t="s">
        <v>5471</v>
      </c>
    </row>
    <row r="10604" spans="1:13" x14ac:dyDescent="0.3">
      <c r="A10604" t="s">
        <v>3388</v>
      </c>
      <c r="B10604" t="s">
        <v>5284</v>
      </c>
      <c r="C10604" t="s">
        <v>5470</v>
      </c>
      <c r="D10604" t="s">
        <v>4119</v>
      </c>
      <c r="E10604" t="s">
        <v>5532</v>
      </c>
      <c r="F10604" t="s">
        <v>36656</v>
      </c>
      <c r="G10604" t="s">
        <v>22242</v>
      </c>
      <c r="H10604" t="s">
        <v>5474</v>
      </c>
      <c r="I10604" t="s">
        <v>36657</v>
      </c>
      <c r="J10604" t="s">
        <v>5476</v>
      </c>
      <c r="K10604" t="s">
        <v>36658</v>
      </c>
      <c r="L10604" t="s">
        <v>5471</v>
      </c>
      <c r="M10604" t="s">
        <v>5471</v>
      </c>
    </row>
    <row r="10605" spans="1:13" x14ac:dyDescent="0.3">
      <c r="A10605" t="s">
        <v>3388</v>
      </c>
      <c r="B10605" t="s">
        <v>21595</v>
      </c>
      <c r="C10605" t="s">
        <v>5470</v>
      </c>
      <c r="D10605" t="s">
        <v>4200</v>
      </c>
      <c r="E10605" t="s">
        <v>35248</v>
      </c>
      <c r="F10605" t="s">
        <v>36659</v>
      </c>
      <c r="G10605" t="s">
        <v>36660</v>
      </c>
      <c r="H10605" t="s">
        <v>5474</v>
      </c>
      <c r="I10605" t="s">
        <v>36661</v>
      </c>
      <c r="J10605" t="s">
        <v>5484</v>
      </c>
      <c r="K10605" t="s">
        <v>36662</v>
      </c>
      <c r="L10605" t="s">
        <v>5471</v>
      </c>
      <c r="M10605" t="s">
        <v>5471</v>
      </c>
    </row>
    <row r="10606" spans="1:13" x14ac:dyDescent="0.3">
      <c r="A10606" t="s">
        <v>3388</v>
      </c>
      <c r="B10606" t="s">
        <v>5284</v>
      </c>
      <c r="C10606" t="s">
        <v>5470</v>
      </c>
      <c r="D10606" t="s">
        <v>4119</v>
      </c>
      <c r="E10606" t="s">
        <v>5532</v>
      </c>
      <c r="F10606" t="s">
        <v>36663</v>
      </c>
      <c r="G10606" t="s">
        <v>22242</v>
      </c>
      <c r="H10606" t="s">
        <v>5474</v>
      </c>
      <c r="I10606" t="s">
        <v>36664</v>
      </c>
      <c r="J10606" t="s">
        <v>5476</v>
      </c>
      <c r="K10606" t="s">
        <v>36665</v>
      </c>
      <c r="L10606" t="s">
        <v>5471</v>
      </c>
      <c r="M10606" t="s">
        <v>5471</v>
      </c>
    </row>
    <row r="10607" spans="1:13" x14ac:dyDescent="0.3">
      <c r="A10607" t="s">
        <v>3388</v>
      </c>
      <c r="B10607" t="s">
        <v>21595</v>
      </c>
      <c r="C10607" t="s">
        <v>5470</v>
      </c>
      <c r="D10607" t="s">
        <v>4200</v>
      </c>
      <c r="E10607" t="s">
        <v>35248</v>
      </c>
      <c r="F10607" t="s">
        <v>36666</v>
      </c>
      <c r="G10607" t="s">
        <v>36660</v>
      </c>
      <c r="H10607" t="s">
        <v>5474</v>
      </c>
      <c r="I10607" t="s">
        <v>36667</v>
      </c>
      <c r="J10607" t="s">
        <v>5484</v>
      </c>
      <c r="K10607" t="s">
        <v>36668</v>
      </c>
      <c r="L10607" t="s">
        <v>5471</v>
      </c>
      <c r="M10607" t="s">
        <v>5471</v>
      </c>
    </row>
    <row r="10608" spans="1:13" x14ac:dyDescent="0.3">
      <c r="A10608" t="s">
        <v>3388</v>
      </c>
      <c r="B10608" t="s">
        <v>5284</v>
      </c>
      <c r="C10608" t="s">
        <v>5470</v>
      </c>
      <c r="D10608" t="s">
        <v>4119</v>
      </c>
      <c r="E10608" t="s">
        <v>5532</v>
      </c>
      <c r="F10608" t="s">
        <v>36669</v>
      </c>
      <c r="G10608" t="s">
        <v>22490</v>
      </c>
      <c r="H10608" t="s">
        <v>5474</v>
      </c>
      <c r="I10608" t="s">
        <v>36670</v>
      </c>
      <c r="J10608" t="s">
        <v>5476</v>
      </c>
      <c r="K10608" t="s">
        <v>36671</v>
      </c>
      <c r="L10608" t="s">
        <v>5471</v>
      </c>
      <c r="M10608" t="s">
        <v>5471</v>
      </c>
    </row>
    <row r="10609" spans="1:13" x14ac:dyDescent="0.3">
      <c r="A10609" t="s">
        <v>3388</v>
      </c>
      <c r="B10609" t="s">
        <v>21595</v>
      </c>
      <c r="C10609" t="s">
        <v>5470</v>
      </c>
      <c r="D10609" t="s">
        <v>4200</v>
      </c>
      <c r="E10609" t="s">
        <v>5617</v>
      </c>
      <c r="F10609" t="s">
        <v>36672</v>
      </c>
      <c r="G10609" t="s">
        <v>21806</v>
      </c>
      <c r="H10609" t="s">
        <v>5474</v>
      </c>
      <c r="I10609" t="s">
        <v>36673</v>
      </c>
      <c r="J10609" t="s">
        <v>5484</v>
      </c>
      <c r="K10609" t="s">
        <v>36528</v>
      </c>
      <c r="L10609" t="s">
        <v>5471</v>
      </c>
      <c r="M10609" t="s">
        <v>5471</v>
      </c>
    </row>
    <row r="10610" spans="1:13" x14ac:dyDescent="0.3">
      <c r="A10610" t="s">
        <v>3397</v>
      </c>
      <c r="B10610" t="s">
        <v>36674</v>
      </c>
      <c r="C10610" t="s">
        <v>5487</v>
      </c>
      <c r="D10610" t="s">
        <v>15984</v>
      </c>
      <c r="E10610" t="s">
        <v>5756</v>
      </c>
      <c r="F10610" t="s">
        <v>8127</v>
      </c>
      <c r="G10610" t="s">
        <v>36674</v>
      </c>
      <c r="H10610" t="s">
        <v>5474</v>
      </c>
      <c r="I10610" t="s">
        <v>36675</v>
      </c>
      <c r="J10610" t="s">
        <v>5476</v>
      </c>
      <c r="K10610" t="s">
        <v>36676</v>
      </c>
      <c r="L10610" t="s">
        <v>5471</v>
      </c>
      <c r="M10610" t="s">
        <v>5471</v>
      </c>
    </row>
    <row r="10611" spans="1:13" x14ac:dyDescent="0.3">
      <c r="A10611" t="s">
        <v>3388</v>
      </c>
      <c r="B10611" t="s">
        <v>21595</v>
      </c>
      <c r="C10611" t="s">
        <v>5470</v>
      </c>
      <c r="D10611" t="s">
        <v>4200</v>
      </c>
      <c r="E10611" t="s">
        <v>5617</v>
      </c>
      <c r="F10611" t="s">
        <v>36677</v>
      </c>
      <c r="G10611" t="s">
        <v>21806</v>
      </c>
      <c r="H10611" t="s">
        <v>5474</v>
      </c>
      <c r="I10611" t="s">
        <v>36678</v>
      </c>
      <c r="J10611" t="s">
        <v>5484</v>
      </c>
      <c r="K10611" t="s">
        <v>36535</v>
      </c>
      <c r="L10611" t="s">
        <v>5471</v>
      </c>
      <c r="M10611" t="s">
        <v>5471</v>
      </c>
    </row>
    <row r="10612" spans="1:13" x14ac:dyDescent="0.3">
      <c r="A10612" t="s">
        <v>3397</v>
      </c>
      <c r="B10612" t="s">
        <v>36679</v>
      </c>
      <c r="C10612" t="s">
        <v>5487</v>
      </c>
      <c r="D10612" t="s">
        <v>15984</v>
      </c>
      <c r="E10612" t="s">
        <v>5595</v>
      </c>
      <c r="F10612" t="s">
        <v>36315</v>
      </c>
      <c r="G10612" t="s">
        <v>36679</v>
      </c>
      <c r="H10612" t="s">
        <v>5474</v>
      </c>
      <c r="I10612" t="s">
        <v>36680</v>
      </c>
      <c r="J10612" t="s">
        <v>5484</v>
      </c>
      <c r="K10612" t="s">
        <v>36681</v>
      </c>
      <c r="L10612" t="s">
        <v>5471</v>
      </c>
      <c r="M10612" t="s">
        <v>5471</v>
      </c>
    </row>
    <row r="10613" spans="1:13" x14ac:dyDescent="0.3">
      <c r="A10613" t="s">
        <v>3388</v>
      </c>
      <c r="B10613" t="s">
        <v>21928</v>
      </c>
      <c r="C10613" t="s">
        <v>5470</v>
      </c>
      <c r="D10613" t="s">
        <v>4200</v>
      </c>
      <c r="E10613" t="s">
        <v>5617</v>
      </c>
      <c r="F10613" t="s">
        <v>36682</v>
      </c>
      <c r="G10613" t="s">
        <v>36683</v>
      </c>
      <c r="H10613" t="s">
        <v>5474</v>
      </c>
      <c r="I10613" t="s">
        <v>36684</v>
      </c>
      <c r="J10613" t="s">
        <v>5484</v>
      </c>
      <c r="K10613" t="s">
        <v>36528</v>
      </c>
      <c r="L10613" t="s">
        <v>5471</v>
      </c>
      <c r="M10613" t="s">
        <v>5471</v>
      </c>
    </row>
    <row r="10614" spans="1:13" x14ac:dyDescent="0.3">
      <c r="A10614" t="s">
        <v>3388</v>
      </c>
      <c r="B10614" t="s">
        <v>21928</v>
      </c>
      <c r="C10614" t="s">
        <v>5470</v>
      </c>
      <c r="D10614" t="s">
        <v>4200</v>
      </c>
      <c r="E10614" t="s">
        <v>5617</v>
      </c>
      <c r="F10614" t="s">
        <v>36685</v>
      </c>
      <c r="G10614" t="s">
        <v>36683</v>
      </c>
      <c r="H10614" t="s">
        <v>5474</v>
      </c>
      <c r="I10614" t="s">
        <v>36686</v>
      </c>
      <c r="J10614" t="s">
        <v>5484</v>
      </c>
      <c r="K10614" t="s">
        <v>36687</v>
      </c>
      <c r="L10614" t="s">
        <v>5471</v>
      </c>
      <c r="M10614" t="s">
        <v>5471</v>
      </c>
    </row>
    <row r="10615" spans="1:13" x14ac:dyDescent="0.3">
      <c r="A10615" t="s">
        <v>3397</v>
      </c>
      <c r="B10615" t="s">
        <v>36688</v>
      </c>
      <c r="C10615" t="s">
        <v>5487</v>
      </c>
      <c r="D10615" t="s">
        <v>15984</v>
      </c>
      <c r="E10615" t="s">
        <v>5756</v>
      </c>
      <c r="F10615" t="s">
        <v>36689</v>
      </c>
      <c r="G10615" t="s">
        <v>36688</v>
      </c>
      <c r="H10615" t="s">
        <v>5474</v>
      </c>
      <c r="I10615" t="s">
        <v>36690</v>
      </c>
      <c r="J10615" t="s">
        <v>5476</v>
      </c>
      <c r="K10615" t="s">
        <v>36691</v>
      </c>
      <c r="L10615" t="s">
        <v>5471</v>
      </c>
      <c r="M10615" t="s">
        <v>5471</v>
      </c>
    </row>
    <row r="10616" spans="1:13" x14ac:dyDescent="0.3">
      <c r="A10616" t="s">
        <v>3397</v>
      </c>
      <c r="B10616" t="s">
        <v>36692</v>
      </c>
      <c r="C10616" t="s">
        <v>5487</v>
      </c>
      <c r="D10616" t="s">
        <v>15984</v>
      </c>
      <c r="E10616" t="s">
        <v>5595</v>
      </c>
      <c r="F10616" t="s">
        <v>36693</v>
      </c>
      <c r="G10616" t="s">
        <v>36692</v>
      </c>
      <c r="H10616" t="s">
        <v>5474</v>
      </c>
      <c r="I10616" t="s">
        <v>36694</v>
      </c>
      <c r="J10616" t="s">
        <v>5484</v>
      </c>
      <c r="K10616" t="s">
        <v>19909</v>
      </c>
      <c r="L10616" t="s">
        <v>5471</v>
      </c>
      <c r="M10616" t="s">
        <v>5471</v>
      </c>
    </row>
    <row r="10617" spans="1:13" x14ac:dyDescent="0.3">
      <c r="A10617" t="s">
        <v>3388</v>
      </c>
      <c r="B10617" t="s">
        <v>21928</v>
      </c>
      <c r="C10617" t="s">
        <v>5470</v>
      </c>
      <c r="D10617" t="s">
        <v>4200</v>
      </c>
      <c r="E10617" t="s">
        <v>5617</v>
      </c>
      <c r="F10617" t="s">
        <v>36695</v>
      </c>
      <c r="G10617" t="s">
        <v>36683</v>
      </c>
      <c r="H10617" t="s">
        <v>5474</v>
      </c>
      <c r="I10617" t="s">
        <v>36696</v>
      </c>
      <c r="J10617" t="s">
        <v>5484</v>
      </c>
      <c r="K10617" t="s">
        <v>36535</v>
      </c>
      <c r="L10617" t="s">
        <v>5471</v>
      </c>
      <c r="M10617" t="s">
        <v>5471</v>
      </c>
    </row>
    <row r="10618" spans="1:13" x14ac:dyDescent="0.3">
      <c r="A10618" t="s">
        <v>3397</v>
      </c>
      <c r="B10618" t="s">
        <v>36697</v>
      </c>
      <c r="C10618" t="s">
        <v>5487</v>
      </c>
      <c r="D10618" t="s">
        <v>15984</v>
      </c>
      <c r="E10618" t="s">
        <v>5595</v>
      </c>
      <c r="F10618" t="s">
        <v>36584</v>
      </c>
      <c r="G10618" t="s">
        <v>36697</v>
      </c>
      <c r="H10618" t="s">
        <v>5474</v>
      </c>
      <c r="I10618" t="s">
        <v>36698</v>
      </c>
      <c r="J10618" t="s">
        <v>5484</v>
      </c>
      <c r="K10618" t="s">
        <v>19925</v>
      </c>
      <c r="L10618" t="s">
        <v>5471</v>
      </c>
      <c r="M10618" t="s">
        <v>5471</v>
      </c>
    </row>
    <row r="10619" spans="1:13" x14ac:dyDescent="0.3">
      <c r="A10619" t="s">
        <v>3383</v>
      </c>
      <c r="B10619" t="s">
        <v>36699</v>
      </c>
      <c r="C10619" t="s">
        <v>5470</v>
      </c>
      <c r="D10619" t="s">
        <v>4119</v>
      </c>
      <c r="E10619" t="s">
        <v>5532</v>
      </c>
      <c r="F10619" t="s">
        <v>36700</v>
      </c>
      <c r="G10619" t="s">
        <v>33664</v>
      </c>
      <c r="H10619" t="s">
        <v>5474</v>
      </c>
      <c r="I10619" t="s">
        <v>36701</v>
      </c>
      <c r="J10619" t="s">
        <v>5484</v>
      </c>
      <c r="K10619" t="s">
        <v>36702</v>
      </c>
      <c r="L10619" t="s">
        <v>5471</v>
      </c>
      <c r="M10619" t="s">
        <v>5471</v>
      </c>
    </row>
    <row r="10620" spans="1:13" x14ac:dyDescent="0.3">
      <c r="A10620" t="s">
        <v>3383</v>
      </c>
      <c r="B10620" t="s">
        <v>36699</v>
      </c>
      <c r="C10620" t="s">
        <v>5470</v>
      </c>
      <c r="D10620" t="s">
        <v>4119</v>
      </c>
      <c r="E10620" t="s">
        <v>5532</v>
      </c>
      <c r="F10620" t="s">
        <v>36703</v>
      </c>
      <c r="G10620" t="s">
        <v>33664</v>
      </c>
      <c r="H10620" t="s">
        <v>5474</v>
      </c>
      <c r="I10620" t="s">
        <v>36704</v>
      </c>
      <c r="J10620" t="s">
        <v>5484</v>
      </c>
      <c r="K10620" t="s">
        <v>36702</v>
      </c>
      <c r="L10620" t="s">
        <v>5471</v>
      </c>
      <c r="M10620" t="s">
        <v>5471</v>
      </c>
    </row>
    <row r="10621" spans="1:13" x14ac:dyDescent="0.3">
      <c r="A10621" t="s">
        <v>3397</v>
      </c>
      <c r="B10621" t="s">
        <v>19660</v>
      </c>
      <c r="C10621" t="s">
        <v>5487</v>
      </c>
      <c r="D10621" t="s">
        <v>15984</v>
      </c>
      <c r="E10621" t="s">
        <v>5595</v>
      </c>
      <c r="F10621" t="s">
        <v>36705</v>
      </c>
      <c r="G10621" t="s">
        <v>19660</v>
      </c>
      <c r="H10621" t="s">
        <v>5474</v>
      </c>
      <c r="I10621" t="s">
        <v>36706</v>
      </c>
      <c r="J10621" t="s">
        <v>5476</v>
      </c>
      <c r="K10621" t="s">
        <v>36291</v>
      </c>
      <c r="L10621" t="s">
        <v>5471</v>
      </c>
      <c r="M10621" t="s">
        <v>5471</v>
      </c>
    </row>
    <row r="10622" spans="1:13" x14ac:dyDescent="0.3">
      <c r="A10622" t="s">
        <v>3397</v>
      </c>
      <c r="B10622" t="s">
        <v>36707</v>
      </c>
      <c r="C10622" t="s">
        <v>5487</v>
      </c>
      <c r="D10622" t="s">
        <v>15984</v>
      </c>
      <c r="E10622" t="s">
        <v>5595</v>
      </c>
      <c r="F10622" t="s">
        <v>36705</v>
      </c>
      <c r="G10622" t="s">
        <v>36707</v>
      </c>
      <c r="H10622" t="s">
        <v>5474</v>
      </c>
      <c r="I10622" t="s">
        <v>36708</v>
      </c>
      <c r="J10622" t="s">
        <v>5484</v>
      </c>
      <c r="K10622" t="s">
        <v>19931</v>
      </c>
      <c r="L10622" t="s">
        <v>5471</v>
      </c>
      <c r="M10622" t="s">
        <v>5471</v>
      </c>
    </row>
    <row r="10623" spans="1:13" x14ac:dyDescent="0.3">
      <c r="A10623" t="s">
        <v>3388</v>
      </c>
      <c r="B10623" t="s">
        <v>15876</v>
      </c>
      <c r="C10623" t="s">
        <v>5470</v>
      </c>
      <c r="D10623" t="s">
        <v>4119</v>
      </c>
      <c r="E10623" t="s">
        <v>5532</v>
      </c>
      <c r="F10623" t="s">
        <v>36709</v>
      </c>
      <c r="G10623" t="s">
        <v>19996</v>
      </c>
      <c r="H10623" t="s">
        <v>5474</v>
      </c>
      <c r="I10623" t="s">
        <v>36710</v>
      </c>
      <c r="J10623" t="s">
        <v>5476</v>
      </c>
      <c r="K10623" t="s">
        <v>36711</v>
      </c>
      <c r="L10623" t="s">
        <v>5471</v>
      </c>
      <c r="M10623" t="s">
        <v>5471</v>
      </c>
    </row>
    <row r="10624" spans="1:13" x14ac:dyDescent="0.3">
      <c r="A10624" t="s">
        <v>3388</v>
      </c>
      <c r="B10624" t="s">
        <v>6128</v>
      </c>
      <c r="C10624" t="s">
        <v>5470</v>
      </c>
      <c r="D10624" t="s">
        <v>30466</v>
      </c>
      <c r="E10624" t="s">
        <v>5532</v>
      </c>
      <c r="F10624" t="s">
        <v>36712</v>
      </c>
      <c r="G10624" t="s">
        <v>35207</v>
      </c>
      <c r="H10624" t="s">
        <v>5474</v>
      </c>
      <c r="I10624" t="s">
        <v>36713</v>
      </c>
      <c r="J10624" t="s">
        <v>5484</v>
      </c>
      <c r="K10624" t="s">
        <v>36714</v>
      </c>
      <c r="L10624" t="s">
        <v>5471</v>
      </c>
      <c r="M10624" t="s">
        <v>5471</v>
      </c>
    </row>
    <row r="10625" spans="1:13" x14ac:dyDescent="0.3">
      <c r="A10625" t="s">
        <v>3388</v>
      </c>
      <c r="B10625" t="s">
        <v>5296</v>
      </c>
      <c r="C10625" t="s">
        <v>5470</v>
      </c>
      <c r="D10625" t="s">
        <v>4119</v>
      </c>
      <c r="E10625" t="s">
        <v>5480</v>
      </c>
      <c r="F10625" t="s">
        <v>36715</v>
      </c>
      <c r="G10625" t="s">
        <v>22544</v>
      </c>
      <c r="H10625" t="s">
        <v>5474</v>
      </c>
      <c r="I10625" t="s">
        <v>36716</v>
      </c>
      <c r="J10625" t="s">
        <v>5476</v>
      </c>
      <c r="K10625" t="s">
        <v>36717</v>
      </c>
      <c r="L10625" t="s">
        <v>5471</v>
      </c>
      <c r="M10625" t="s">
        <v>5471</v>
      </c>
    </row>
    <row r="10626" spans="1:13" x14ac:dyDescent="0.3">
      <c r="A10626" t="s">
        <v>3388</v>
      </c>
      <c r="B10626" t="s">
        <v>5310</v>
      </c>
      <c r="C10626" t="s">
        <v>5470</v>
      </c>
      <c r="D10626" t="s">
        <v>10210</v>
      </c>
      <c r="E10626" t="s">
        <v>5617</v>
      </c>
      <c r="F10626" t="s">
        <v>36718</v>
      </c>
      <c r="G10626" t="s">
        <v>29498</v>
      </c>
      <c r="H10626" t="s">
        <v>5474</v>
      </c>
      <c r="I10626" t="s">
        <v>36719</v>
      </c>
      <c r="J10626" t="s">
        <v>5484</v>
      </c>
      <c r="K10626" t="s">
        <v>36720</v>
      </c>
      <c r="L10626" t="s">
        <v>5471</v>
      </c>
      <c r="M10626" t="s">
        <v>5471</v>
      </c>
    </row>
    <row r="10627" spans="1:13" x14ac:dyDescent="0.3">
      <c r="A10627" t="s">
        <v>3388</v>
      </c>
      <c r="B10627" t="s">
        <v>7109</v>
      </c>
      <c r="C10627" t="s">
        <v>5470</v>
      </c>
      <c r="D10627" t="s">
        <v>10210</v>
      </c>
      <c r="E10627" t="s">
        <v>5532</v>
      </c>
      <c r="F10627" t="s">
        <v>36721</v>
      </c>
      <c r="G10627" t="s">
        <v>33294</v>
      </c>
      <c r="H10627" t="s">
        <v>5474</v>
      </c>
      <c r="I10627" t="s">
        <v>36722</v>
      </c>
      <c r="J10627" t="s">
        <v>5484</v>
      </c>
      <c r="K10627" t="s">
        <v>36723</v>
      </c>
      <c r="L10627" t="s">
        <v>5471</v>
      </c>
      <c r="M10627" t="s">
        <v>5471</v>
      </c>
    </row>
    <row r="10628" spans="1:13" x14ac:dyDescent="0.3">
      <c r="A10628" t="s">
        <v>3388</v>
      </c>
      <c r="B10628" t="s">
        <v>22510</v>
      </c>
      <c r="C10628" t="s">
        <v>5470</v>
      </c>
      <c r="D10628" t="s">
        <v>4119</v>
      </c>
      <c r="E10628" t="s">
        <v>5756</v>
      </c>
      <c r="F10628" t="s">
        <v>36724</v>
      </c>
      <c r="G10628" t="s">
        <v>29278</v>
      </c>
      <c r="H10628" t="s">
        <v>5474</v>
      </c>
      <c r="I10628" t="s">
        <v>36725</v>
      </c>
      <c r="J10628" t="s">
        <v>5476</v>
      </c>
      <c r="K10628" t="s">
        <v>36726</v>
      </c>
      <c r="L10628" t="s">
        <v>5471</v>
      </c>
      <c r="M10628" t="s">
        <v>5471</v>
      </c>
    </row>
    <row r="10629" spans="1:13" x14ac:dyDescent="0.3">
      <c r="A10629" t="s">
        <v>3388</v>
      </c>
      <c r="B10629" t="s">
        <v>21862</v>
      </c>
      <c r="C10629" t="s">
        <v>5470</v>
      </c>
      <c r="D10629" t="s">
        <v>4119</v>
      </c>
      <c r="E10629" t="s">
        <v>5532</v>
      </c>
      <c r="F10629" t="s">
        <v>36727</v>
      </c>
      <c r="G10629" t="s">
        <v>36158</v>
      </c>
      <c r="H10629" t="s">
        <v>5474</v>
      </c>
      <c r="I10629" t="s">
        <v>36728</v>
      </c>
      <c r="J10629" t="s">
        <v>5484</v>
      </c>
      <c r="K10629" t="s">
        <v>36729</v>
      </c>
      <c r="L10629" t="s">
        <v>5471</v>
      </c>
      <c r="M10629" t="s">
        <v>5471</v>
      </c>
    </row>
    <row r="10630" spans="1:13" x14ac:dyDescent="0.3">
      <c r="A10630" t="s">
        <v>3397</v>
      </c>
      <c r="B10630" t="s">
        <v>14374</v>
      </c>
      <c r="C10630" t="s">
        <v>5487</v>
      </c>
      <c r="D10630" t="s">
        <v>15984</v>
      </c>
      <c r="E10630" t="s">
        <v>5595</v>
      </c>
      <c r="F10630" t="s">
        <v>36730</v>
      </c>
      <c r="G10630" t="s">
        <v>14374</v>
      </c>
      <c r="H10630" t="s">
        <v>5474</v>
      </c>
      <c r="I10630" t="s">
        <v>36731</v>
      </c>
      <c r="J10630" t="s">
        <v>5484</v>
      </c>
      <c r="K10630" t="s">
        <v>36732</v>
      </c>
      <c r="L10630" t="s">
        <v>5471</v>
      </c>
      <c r="M10630" t="s">
        <v>5471</v>
      </c>
    </row>
    <row r="10631" spans="1:13" x14ac:dyDescent="0.3">
      <c r="A10631" t="s">
        <v>3397</v>
      </c>
      <c r="B10631" t="s">
        <v>14416</v>
      </c>
      <c r="C10631" t="s">
        <v>5487</v>
      </c>
      <c r="D10631" t="s">
        <v>15984</v>
      </c>
      <c r="E10631" t="s">
        <v>5595</v>
      </c>
      <c r="F10631" t="s">
        <v>36730</v>
      </c>
      <c r="G10631" t="s">
        <v>14416</v>
      </c>
      <c r="H10631" t="s">
        <v>5474</v>
      </c>
      <c r="I10631" t="s">
        <v>36733</v>
      </c>
      <c r="J10631" t="s">
        <v>5484</v>
      </c>
      <c r="K10631" t="s">
        <v>36734</v>
      </c>
      <c r="L10631" t="s">
        <v>5471</v>
      </c>
      <c r="M10631" t="s">
        <v>5471</v>
      </c>
    </row>
    <row r="10632" spans="1:13" x14ac:dyDescent="0.3">
      <c r="A10632" t="s">
        <v>3397</v>
      </c>
      <c r="B10632" t="s">
        <v>36735</v>
      </c>
      <c r="C10632" t="s">
        <v>5487</v>
      </c>
      <c r="D10632" t="s">
        <v>15984</v>
      </c>
      <c r="E10632" t="s">
        <v>5595</v>
      </c>
      <c r="F10632" t="s">
        <v>36730</v>
      </c>
      <c r="G10632" t="s">
        <v>36736</v>
      </c>
      <c r="H10632" t="s">
        <v>5474</v>
      </c>
      <c r="I10632" t="s">
        <v>36737</v>
      </c>
      <c r="J10632" t="s">
        <v>5484</v>
      </c>
      <c r="K10632" t="s">
        <v>36738</v>
      </c>
      <c r="L10632" t="s">
        <v>5471</v>
      </c>
      <c r="M10632" t="s">
        <v>5471</v>
      </c>
    </row>
    <row r="10633" spans="1:13" x14ac:dyDescent="0.3">
      <c r="A10633" t="s">
        <v>3397</v>
      </c>
      <c r="B10633" t="s">
        <v>7067</v>
      </c>
      <c r="C10633" t="s">
        <v>5487</v>
      </c>
      <c r="D10633" t="s">
        <v>15984</v>
      </c>
      <c r="E10633" t="s">
        <v>5595</v>
      </c>
      <c r="F10633" t="s">
        <v>36730</v>
      </c>
      <c r="G10633" t="s">
        <v>36739</v>
      </c>
      <c r="H10633" t="s">
        <v>5474</v>
      </c>
      <c r="I10633" t="s">
        <v>36740</v>
      </c>
      <c r="J10633" t="s">
        <v>5484</v>
      </c>
      <c r="K10633" t="s">
        <v>36741</v>
      </c>
      <c r="L10633" t="s">
        <v>5471</v>
      </c>
      <c r="M10633" t="s">
        <v>5471</v>
      </c>
    </row>
    <row r="10634" spans="1:13" x14ac:dyDescent="0.3">
      <c r="A10634" t="s">
        <v>3388</v>
      </c>
      <c r="B10634" t="s">
        <v>15702</v>
      </c>
      <c r="C10634" t="s">
        <v>5470</v>
      </c>
      <c r="D10634" t="s">
        <v>4058</v>
      </c>
      <c r="E10634" t="s">
        <v>5617</v>
      </c>
      <c r="F10634" t="s">
        <v>36742</v>
      </c>
      <c r="G10634" t="s">
        <v>27677</v>
      </c>
      <c r="H10634" t="s">
        <v>5474</v>
      </c>
      <c r="I10634" t="s">
        <v>36743</v>
      </c>
      <c r="J10634" t="s">
        <v>5484</v>
      </c>
      <c r="K10634" t="s">
        <v>36744</v>
      </c>
      <c r="L10634" t="s">
        <v>5471</v>
      </c>
      <c r="M10634" t="s">
        <v>5471</v>
      </c>
    </row>
    <row r="10635" spans="1:13" x14ac:dyDescent="0.3">
      <c r="A10635" t="s">
        <v>3397</v>
      </c>
      <c r="B10635" t="s">
        <v>36745</v>
      </c>
      <c r="C10635" t="s">
        <v>5487</v>
      </c>
      <c r="D10635" t="s">
        <v>15984</v>
      </c>
      <c r="E10635" t="s">
        <v>5756</v>
      </c>
      <c r="F10635" t="s">
        <v>36730</v>
      </c>
      <c r="G10635" t="s">
        <v>36745</v>
      </c>
      <c r="H10635" t="s">
        <v>5474</v>
      </c>
      <c r="I10635" t="s">
        <v>36746</v>
      </c>
      <c r="J10635" t="s">
        <v>5484</v>
      </c>
      <c r="K10635" t="s">
        <v>36747</v>
      </c>
      <c r="L10635" t="s">
        <v>5471</v>
      </c>
      <c r="M10635" t="s">
        <v>5471</v>
      </c>
    </row>
    <row r="10636" spans="1:13" x14ac:dyDescent="0.3">
      <c r="A10636" t="s">
        <v>3388</v>
      </c>
      <c r="B10636" t="s">
        <v>15702</v>
      </c>
      <c r="C10636" t="s">
        <v>5470</v>
      </c>
      <c r="D10636" t="s">
        <v>4058</v>
      </c>
      <c r="E10636" t="s">
        <v>5617</v>
      </c>
      <c r="F10636" t="s">
        <v>36748</v>
      </c>
      <c r="G10636" t="s">
        <v>27677</v>
      </c>
      <c r="H10636" t="s">
        <v>5474</v>
      </c>
      <c r="I10636" t="s">
        <v>36749</v>
      </c>
      <c r="J10636" t="s">
        <v>5484</v>
      </c>
      <c r="K10636" t="s">
        <v>36750</v>
      </c>
      <c r="L10636" t="s">
        <v>5471</v>
      </c>
      <c r="M10636" t="s">
        <v>5471</v>
      </c>
    </row>
    <row r="10637" spans="1:13" x14ac:dyDescent="0.3">
      <c r="A10637" t="s">
        <v>3388</v>
      </c>
      <c r="B10637" t="s">
        <v>15702</v>
      </c>
      <c r="C10637" t="s">
        <v>5470</v>
      </c>
      <c r="D10637" t="s">
        <v>4058</v>
      </c>
      <c r="E10637" t="s">
        <v>5617</v>
      </c>
      <c r="F10637" t="s">
        <v>36751</v>
      </c>
      <c r="G10637" t="s">
        <v>27677</v>
      </c>
      <c r="H10637" t="s">
        <v>5474</v>
      </c>
      <c r="I10637" t="s">
        <v>36752</v>
      </c>
      <c r="J10637" t="s">
        <v>5484</v>
      </c>
      <c r="K10637" t="s">
        <v>36753</v>
      </c>
      <c r="L10637" t="s">
        <v>5471</v>
      </c>
      <c r="M10637" t="s">
        <v>5471</v>
      </c>
    </row>
    <row r="10638" spans="1:13" x14ac:dyDescent="0.3">
      <c r="A10638" t="s">
        <v>3397</v>
      </c>
      <c r="B10638" t="s">
        <v>12499</v>
      </c>
      <c r="C10638" t="s">
        <v>5487</v>
      </c>
      <c r="D10638" t="s">
        <v>15984</v>
      </c>
      <c r="E10638" t="s">
        <v>5756</v>
      </c>
      <c r="F10638" t="s">
        <v>36730</v>
      </c>
      <c r="G10638" t="s">
        <v>12499</v>
      </c>
      <c r="H10638" t="s">
        <v>5474</v>
      </c>
      <c r="I10638" t="s">
        <v>36754</v>
      </c>
      <c r="J10638" t="s">
        <v>5484</v>
      </c>
      <c r="K10638" t="s">
        <v>36755</v>
      </c>
      <c r="L10638" t="s">
        <v>5471</v>
      </c>
      <c r="M10638" t="s">
        <v>5471</v>
      </c>
    </row>
    <row r="10639" spans="1:13" x14ac:dyDescent="0.3">
      <c r="A10639" t="s">
        <v>3397</v>
      </c>
      <c r="B10639" t="s">
        <v>12503</v>
      </c>
      <c r="C10639" t="s">
        <v>5487</v>
      </c>
      <c r="D10639" t="s">
        <v>15984</v>
      </c>
      <c r="E10639" t="s">
        <v>5756</v>
      </c>
      <c r="F10639" t="s">
        <v>36730</v>
      </c>
      <c r="G10639" t="s">
        <v>12503</v>
      </c>
      <c r="H10639" t="s">
        <v>5474</v>
      </c>
      <c r="I10639" t="s">
        <v>36756</v>
      </c>
      <c r="J10639" t="s">
        <v>5484</v>
      </c>
      <c r="K10639" t="s">
        <v>36757</v>
      </c>
      <c r="L10639" t="s">
        <v>5471</v>
      </c>
      <c r="M10639" t="s">
        <v>5471</v>
      </c>
    </row>
    <row r="10640" spans="1:13" x14ac:dyDescent="0.3">
      <c r="A10640" t="s">
        <v>3388</v>
      </c>
      <c r="B10640" t="s">
        <v>10870</v>
      </c>
      <c r="C10640" t="s">
        <v>5470</v>
      </c>
      <c r="D10640" t="s">
        <v>4058</v>
      </c>
      <c r="E10640" t="s">
        <v>5617</v>
      </c>
      <c r="F10640" t="s">
        <v>36758</v>
      </c>
      <c r="G10640" t="s">
        <v>10872</v>
      </c>
      <c r="H10640" t="s">
        <v>5474</v>
      </c>
      <c r="I10640" t="s">
        <v>36759</v>
      </c>
      <c r="J10640" t="s">
        <v>5484</v>
      </c>
      <c r="K10640" t="s">
        <v>36760</v>
      </c>
      <c r="L10640" t="s">
        <v>5471</v>
      </c>
      <c r="M10640" t="s">
        <v>5471</v>
      </c>
    </row>
    <row r="10641" spans="1:13" x14ac:dyDescent="0.3">
      <c r="A10641" t="s">
        <v>3397</v>
      </c>
      <c r="B10641" t="s">
        <v>12503</v>
      </c>
      <c r="C10641" t="s">
        <v>5487</v>
      </c>
      <c r="D10641" t="s">
        <v>15984</v>
      </c>
      <c r="E10641" t="s">
        <v>5756</v>
      </c>
      <c r="F10641" t="s">
        <v>36730</v>
      </c>
      <c r="G10641" t="s">
        <v>12503</v>
      </c>
      <c r="H10641" t="s">
        <v>5474</v>
      </c>
      <c r="I10641" t="s">
        <v>36761</v>
      </c>
      <c r="J10641" t="s">
        <v>5484</v>
      </c>
      <c r="K10641" t="s">
        <v>36757</v>
      </c>
      <c r="L10641" t="s">
        <v>5471</v>
      </c>
      <c r="M10641" t="s">
        <v>5471</v>
      </c>
    </row>
    <row r="10642" spans="1:13" x14ac:dyDescent="0.3">
      <c r="A10642" t="s">
        <v>3383</v>
      </c>
      <c r="B10642" t="s">
        <v>8062</v>
      </c>
      <c r="C10642" t="s">
        <v>5487</v>
      </c>
      <c r="D10642" t="s">
        <v>30466</v>
      </c>
      <c r="E10642" t="s">
        <v>5532</v>
      </c>
      <c r="F10642" t="s">
        <v>36762</v>
      </c>
      <c r="G10642" t="s">
        <v>22697</v>
      </c>
      <c r="H10642" t="s">
        <v>5474</v>
      </c>
      <c r="I10642" t="s">
        <v>36763</v>
      </c>
      <c r="J10642" t="s">
        <v>5484</v>
      </c>
      <c r="K10642" t="s">
        <v>36764</v>
      </c>
      <c r="L10642" t="s">
        <v>5471</v>
      </c>
      <c r="M10642" t="s">
        <v>5471</v>
      </c>
    </row>
    <row r="10643" spans="1:13" x14ac:dyDescent="0.3">
      <c r="A10643" t="s">
        <v>3388</v>
      </c>
      <c r="B10643" t="s">
        <v>10870</v>
      </c>
      <c r="C10643" t="s">
        <v>5470</v>
      </c>
      <c r="D10643" t="s">
        <v>4058</v>
      </c>
      <c r="E10643" t="s">
        <v>5617</v>
      </c>
      <c r="F10643" t="s">
        <v>36765</v>
      </c>
      <c r="G10643" t="s">
        <v>10872</v>
      </c>
      <c r="H10643" t="s">
        <v>5474</v>
      </c>
      <c r="I10643" t="s">
        <v>36766</v>
      </c>
      <c r="J10643" t="s">
        <v>5484</v>
      </c>
      <c r="K10643" t="s">
        <v>36767</v>
      </c>
      <c r="L10643" t="s">
        <v>5471</v>
      </c>
      <c r="M10643" t="s">
        <v>5471</v>
      </c>
    </row>
    <row r="10644" spans="1:13" x14ac:dyDescent="0.3">
      <c r="A10644" t="s">
        <v>3397</v>
      </c>
      <c r="B10644" t="s">
        <v>15268</v>
      </c>
      <c r="C10644" t="s">
        <v>5487</v>
      </c>
      <c r="D10644" t="s">
        <v>15984</v>
      </c>
      <c r="E10644" t="s">
        <v>5756</v>
      </c>
      <c r="F10644" t="s">
        <v>36730</v>
      </c>
      <c r="G10644" t="s">
        <v>15268</v>
      </c>
      <c r="H10644" t="s">
        <v>5474</v>
      </c>
      <c r="I10644" t="s">
        <v>36768</v>
      </c>
      <c r="J10644" t="s">
        <v>5484</v>
      </c>
      <c r="K10644" t="s">
        <v>36769</v>
      </c>
      <c r="L10644" t="s">
        <v>5471</v>
      </c>
      <c r="M10644" t="s">
        <v>5471</v>
      </c>
    </row>
    <row r="10645" spans="1:13" x14ac:dyDescent="0.3">
      <c r="A10645" t="s">
        <v>3397</v>
      </c>
      <c r="B10645" t="s">
        <v>36770</v>
      </c>
      <c r="C10645" t="s">
        <v>5487</v>
      </c>
      <c r="D10645" t="s">
        <v>15984</v>
      </c>
      <c r="E10645" t="s">
        <v>5756</v>
      </c>
      <c r="F10645" t="s">
        <v>36730</v>
      </c>
      <c r="G10645" t="s">
        <v>36770</v>
      </c>
      <c r="H10645" t="s">
        <v>5474</v>
      </c>
      <c r="I10645" t="s">
        <v>36771</v>
      </c>
      <c r="J10645" t="s">
        <v>5484</v>
      </c>
      <c r="K10645" t="s">
        <v>36772</v>
      </c>
      <c r="L10645" t="s">
        <v>5471</v>
      </c>
      <c r="M10645" t="s">
        <v>5471</v>
      </c>
    </row>
    <row r="10646" spans="1:13" x14ac:dyDescent="0.3">
      <c r="A10646" t="s">
        <v>3388</v>
      </c>
      <c r="B10646" t="s">
        <v>10870</v>
      </c>
      <c r="C10646" t="s">
        <v>5470</v>
      </c>
      <c r="D10646" t="s">
        <v>4058</v>
      </c>
      <c r="E10646" t="s">
        <v>5617</v>
      </c>
      <c r="F10646" t="s">
        <v>36773</v>
      </c>
      <c r="G10646" t="s">
        <v>33091</v>
      </c>
      <c r="H10646" t="s">
        <v>5474</v>
      </c>
      <c r="I10646" t="s">
        <v>36774</v>
      </c>
      <c r="J10646" t="s">
        <v>5484</v>
      </c>
      <c r="K10646" t="s">
        <v>36775</v>
      </c>
      <c r="L10646" t="s">
        <v>5471</v>
      </c>
      <c r="M10646" t="s">
        <v>5471</v>
      </c>
    </row>
    <row r="10647" spans="1:13" x14ac:dyDescent="0.3">
      <c r="A10647" t="s">
        <v>3383</v>
      </c>
      <c r="B10647" t="s">
        <v>6063</v>
      </c>
      <c r="C10647" t="s">
        <v>5470</v>
      </c>
      <c r="D10647" t="s">
        <v>4119</v>
      </c>
      <c r="E10647" t="s">
        <v>5756</v>
      </c>
      <c r="F10647" t="s">
        <v>36776</v>
      </c>
      <c r="G10647" t="s">
        <v>6298</v>
      </c>
      <c r="H10647" t="s">
        <v>5474</v>
      </c>
      <c r="I10647" t="s">
        <v>36777</v>
      </c>
      <c r="J10647" t="s">
        <v>5484</v>
      </c>
      <c r="K10647" t="s">
        <v>34290</v>
      </c>
      <c r="L10647" t="s">
        <v>5471</v>
      </c>
      <c r="M10647" t="s">
        <v>5471</v>
      </c>
    </row>
    <row r="10648" spans="1:13" x14ac:dyDescent="0.3">
      <c r="A10648" t="s">
        <v>3397</v>
      </c>
      <c r="B10648" t="s">
        <v>36778</v>
      </c>
      <c r="C10648" t="s">
        <v>5487</v>
      </c>
      <c r="D10648" t="s">
        <v>15984</v>
      </c>
      <c r="E10648" t="s">
        <v>5756</v>
      </c>
      <c r="F10648" t="s">
        <v>36730</v>
      </c>
      <c r="G10648" t="s">
        <v>36778</v>
      </c>
      <c r="H10648" t="s">
        <v>5474</v>
      </c>
      <c r="I10648" t="s">
        <v>36779</v>
      </c>
      <c r="J10648" t="s">
        <v>5484</v>
      </c>
      <c r="K10648" t="s">
        <v>36780</v>
      </c>
      <c r="L10648" t="s">
        <v>5471</v>
      </c>
      <c r="M10648" t="s">
        <v>5471</v>
      </c>
    </row>
    <row r="10649" spans="1:13" x14ac:dyDescent="0.3">
      <c r="A10649" t="s">
        <v>3397</v>
      </c>
      <c r="B10649" t="s">
        <v>36781</v>
      </c>
      <c r="C10649" t="s">
        <v>5487</v>
      </c>
      <c r="D10649" t="s">
        <v>15984</v>
      </c>
      <c r="E10649" t="s">
        <v>5595</v>
      </c>
      <c r="F10649" t="s">
        <v>36782</v>
      </c>
      <c r="G10649" t="s">
        <v>36781</v>
      </c>
      <c r="H10649" t="s">
        <v>5474</v>
      </c>
      <c r="I10649" t="s">
        <v>36783</v>
      </c>
      <c r="J10649" t="s">
        <v>5484</v>
      </c>
      <c r="K10649" t="s">
        <v>36784</v>
      </c>
      <c r="L10649" t="s">
        <v>5471</v>
      </c>
      <c r="M10649" t="s">
        <v>5471</v>
      </c>
    </row>
    <row r="10650" spans="1:13" x14ac:dyDescent="0.3">
      <c r="A10650" t="s">
        <v>3388</v>
      </c>
      <c r="B10650" t="s">
        <v>10870</v>
      </c>
      <c r="C10650" t="s">
        <v>5470</v>
      </c>
      <c r="D10650" t="s">
        <v>4058</v>
      </c>
      <c r="E10650" t="s">
        <v>5617</v>
      </c>
      <c r="F10650" t="s">
        <v>36785</v>
      </c>
      <c r="G10650" t="s">
        <v>33091</v>
      </c>
      <c r="H10650" t="s">
        <v>5474</v>
      </c>
      <c r="I10650" t="s">
        <v>36786</v>
      </c>
      <c r="J10650" t="s">
        <v>5484</v>
      </c>
      <c r="K10650" t="s">
        <v>36787</v>
      </c>
      <c r="L10650" t="s">
        <v>5471</v>
      </c>
      <c r="M10650" t="s">
        <v>5471</v>
      </c>
    </row>
    <row r="10651" spans="1:13" x14ac:dyDescent="0.3">
      <c r="A10651" t="s">
        <v>3397</v>
      </c>
      <c r="B10651" t="s">
        <v>19656</v>
      </c>
      <c r="C10651" t="s">
        <v>5487</v>
      </c>
      <c r="D10651" t="s">
        <v>15984</v>
      </c>
      <c r="E10651" t="s">
        <v>5595</v>
      </c>
      <c r="F10651" t="s">
        <v>36788</v>
      </c>
      <c r="G10651" t="s">
        <v>19656</v>
      </c>
      <c r="H10651" t="s">
        <v>5474</v>
      </c>
      <c r="I10651" t="s">
        <v>36789</v>
      </c>
      <c r="J10651" t="s">
        <v>5484</v>
      </c>
      <c r="K10651" t="s">
        <v>36790</v>
      </c>
      <c r="L10651" t="s">
        <v>5471</v>
      </c>
      <c r="M10651" t="s">
        <v>5471</v>
      </c>
    </row>
    <row r="10652" spans="1:13" x14ac:dyDescent="0.3">
      <c r="A10652" t="s">
        <v>3397</v>
      </c>
      <c r="B10652" t="s">
        <v>36791</v>
      </c>
      <c r="C10652" t="s">
        <v>5487</v>
      </c>
      <c r="D10652" t="s">
        <v>15984</v>
      </c>
      <c r="E10652" t="s">
        <v>5595</v>
      </c>
      <c r="F10652" t="s">
        <v>36792</v>
      </c>
      <c r="G10652" t="s">
        <v>36791</v>
      </c>
      <c r="H10652" t="s">
        <v>5474</v>
      </c>
      <c r="I10652" t="s">
        <v>36793</v>
      </c>
      <c r="J10652" t="s">
        <v>5484</v>
      </c>
      <c r="K10652" t="s">
        <v>36794</v>
      </c>
      <c r="L10652" t="s">
        <v>5471</v>
      </c>
      <c r="M10652" t="s">
        <v>5471</v>
      </c>
    </row>
    <row r="10653" spans="1:13" x14ac:dyDescent="0.3">
      <c r="A10653" t="s">
        <v>3397</v>
      </c>
      <c r="B10653" t="s">
        <v>36795</v>
      </c>
      <c r="C10653" t="s">
        <v>5487</v>
      </c>
      <c r="D10653" t="s">
        <v>15984</v>
      </c>
      <c r="E10653" t="s">
        <v>5595</v>
      </c>
      <c r="F10653" t="s">
        <v>36796</v>
      </c>
      <c r="G10653" t="s">
        <v>36795</v>
      </c>
      <c r="H10653" t="s">
        <v>5474</v>
      </c>
      <c r="I10653" t="s">
        <v>36797</v>
      </c>
      <c r="J10653" t="s">
        <v>5484</v>
      </c>
      <c r="K10653" t="s">
        <v>36798</v>
      </c>
      <c r="L10653" t="s">
        <v>5471</v>
      </c>
      <c r="M10653" t="s">
        <v>5471</v>
      </c>
    </row>
    <row r="10654" spans="1:13" x14ac:dyDescent="0.3">
      <c r="A10654" t="s">
        <v>3383</v>
      </c>
      <c r="B10654" t="s">
        <v>5320</v>
      </c>
      <c r="C10654" t="s">
        <v>5470</v>
      </c>
      <c r="D10654" t="s">
        <v>4119</v>
      </c>
      <c r="E10654" t="s">
        <v>5532</v>
      </c>
      <c r="F10654" t="s">
        <v>36799</v>
      </c>
      <c r="G10654" t="s">
        <v>6577</v>
      </c>
      <c r="H10654" t="s">
        <v>5474</v>
      </c>
      <c r="I10654" t="s">
        <v>36800</v>
      </c>
      <c r="J10654" t="s">
        <v>5484</v>
      </c>
      <c r="K10654" t="s">
        <v>36801</v>
      </c>
      <c r="L10654" t="s">
        <v>5471</v>
      </c>
      <c r="M10654" t="s">
        <v>5471</v>
      </c>
    </row>
    <row r="10655" spans="1:13" x14ac:dyDescent="0.3">
      <c r="A10655" t="s">
        <v>3397</v>
      </c>
      <c r="B10655" t="s">
        <v>36802</v>
      </c>
      <c r="C10655" t="s">
        <v>5487</v>
      </c>
      <c r="D10655" t="s">
        <v>15984</v>
      </c>
      <c r="E10655" t="s">
        <v>5595</v>
      </c>
      <c r="F10655" t="s">
        <v>36803</v>
      </c>
      <c r="G10655" t="s">
        <v>36802</v>
      </c>
      <c r="H10655" t="s">
        <v>5474</v>
      </c>
      <c r="I10655" t="s">
        <v>36804</v>
      </c>
      <c r="J10655" t="s">
        <v>5484</v>
      </c>
      <c r="K10655" t="s">
        <v>36805</v>
      </c>
      <c r="L10655" t="s">
        <v>5471</v>
      </c>
      <c r="M10655" t="s">
        <v>5471</v>
      </c>
    </row>
    <row r="10656" spans="1:13" x14ac:dyDescent="0.3">
      <c r="A10656" t="s">
        <v>3397</v>
      </c>
      <c r="B10656" t="s">
        <v>36806</v>
      </c>
      <c r="C10656" t="s">
        <v>5487</v>
      </c>
      <c r="D10656" t="s">
        <v>15984</v>
      </c>
      <c r="E10656" t="s">
        <v>5595</v>
      </c>
      <c r="F10656" t="s">
        <v>36807</v>
      </c>
      <c r="G10656" t="s">
        <v>36806</v>
      </c>
      <c r="H10656" t="s">
        <v>5474</v>
      </c>
      <c r="I10656" t="s">
        <v>36808</v>
      </c>
      <c r="J10656" t="s">
        <v>5484</v>
      </c>
      <c r="K10656" t="s">
        <v>36809</v>
      </c>
      <c r="L10656" t="s">
        <v>5471</v>
      </c>
      <c r="M10656" t="s">
        <v>5471</v>
      </c>
    </row>
    <row r="10657" spans="1:13" x14ac:dyDescent="0.3">
      <c r="A10657" t="s">
        <v>3397</v>
      </c>
      <c r="B10657" t="s">
        <v>36810</v>
      </c>
      <c r="C10657" t="s">
        <v>5487</v>
      </c>
      <c r="D10657" t="s">
        <v>15984</v>
      </c>
      <c r="E10657" t="s">
        <v>5595</v>
      </c>
      <c r="F10657" t="s">
        <v>36811</v>
      </c>
      <c r="G10657" t="s">
        <v>36810</v>
      </c>
      <c r="H10657" t="s">
        <v>5474</v>
      </c>
      <c r="I10657" t="s">
        <v>36812</v>
      </c>
      <c r="J10657" t="s">
        <v>5484</v>
      </c>
      <c r="K10657" t="s">
        <v>36813</v>
      </c>
      <c r="L10657" t="s">
        <v>5471</v>
      </c>
      <c r="M10657" t="s">
        <v>5471</v>
      </c>
    </row>
    <row r="10658" spans="1:13" x14ac:dyDescent="0.3">
      <c r="A10658" t="s">
        <v>3397</v>
      </c>
      <c r="B10658" t="s">
        <v>16005</v>
      </c>
      <c r="C10658" t="s">
        <v>5487</v>
      </c>
      <c r="D10658" t="s">
        <v>15984</v>
      </c>
      <c r="E10658" t="s">
        <v>5595</v>
      </c>
      <c r="F10658" t="s">
        <v>36814</v>
      </c>
      <c r="G10658" t="s">
        <v>16005</v>
      </c>
      <c r="H10658" t="s">
        <v>5474</v>
      </c>
      <c r="I10658" t="s">
        <v>36815</v>
      </c>
      <c r="J10658" t="s">
        <v>5484</v>
      </c>
      <c r="K10658" t="s">
        <v>36816</v>
      </c>
      <c r="L10658" t="s">
        <v>5471</v>
      </c>
      <c r="M10658" t="s">
        <v>5471</v>
      </c>
    </row>
    <row r="10659" spans="1:13" x14ac:dyDescent="0.3">
      <c r="A10659" t="s">
        <v>3397</v>
      </c>
      <c r="B10659" t="s">
        <v>36817</v>
      </c>
      <c r="C10659" t="s">
        <v>5487</v>
      </c>
      <c r="D10659" t="s">
        <v>15984</v>
      </c>
      <c r="E10659" t="s">
        <v>5595</v>
      </c>
      <c r="F10659" t="s">
        <v>36818</v>
      </c>
      <c r="G10659" t="s">
        <v>36817</v>
      </c>
      <c r="H10659" t="s">
        <v>5474</v>
      </c>
      <c r="I10659" t="s">
        <v>36819</v>
      </c>
      <c r="J10659" t="s">
        <v>5484</v>
      </c>
      <c r="K10659" t="s">
        <v>36820</v>
      </c>
      <c r="L10659" t="s">
        <v>5471</v>
      </c>
      <c r="M10659" t="s">
        <v>5471</v>
      </c>
    </row>
    <row r="10660" spans="1:13" x14ac:dyDescent="0.3">
      <c r="A10660" t="s">
        <v>3397</v>
      </c>
      <c r="B10660" t="s">
        <v>36821</v>
      </c>
      <c r="C10660" t="s">
        <v>5487</v>
      </c>
      <c r="D10660" t="s">
        <v>15984</v>
      </c>
      <c r="E10660" t="s">
        <v>5595</v>
      </c>
      <c r="F10660" t="s">
        <v>36822</v>
      </c>
      <c r="G10660" t="s">
        <v>36821</v>
      </c>
      <c r="H10660" t="s">
        <v>5474</v>
      </c>
      <c r="I10660" t="s">
        <v>36823</v>
      </c>
      <c r="J10660" t="s">
        <v>5484</v>
      </c>
      <c r="K10660" t="s">
        <v>36824</v>
      </c>
      <c r="L10660" t="s">
        <v>5471</v>
      </c>
      <c r="M10660" t="s">
        <v>5471</v>
      </c>
    </row>
    <row r="10661" spans="1:13" x14ac:dyDescent="0.3">
      <c r="A10661" t="s">
        <v>3397</v>
      </c>
      <c r="B10661" t="s">
        <v>36825</v>
      </c>
      <c r="C10661" t="s">
        <v>5487</v>
      </c>
      <c r="D10661" t="s">
        <v>15984</v>
      </c>
      <c r="E10661" t="s">
        <v>5595</v>
      </c>
      <c r="F10661" t="s">
        <v>36826</v>
      </c>
      <c r="G10661" t="s">
        <v>36827</v>
      </c>
      <c r="H10661" t="s">
        <v>5474</v>
      </c>
      <c r="I10661" t="s">
        <v>36828</v>
      </c>
      <c r="J10661" t="s">
        <v>5484</v>
      </c>
      <c r="K10661" t="s">
        <v>36829</v>
      </c>
      <c r="L10661" t="s">
        <v>5471</v>
      </c>
      <c r="M10661" t="s">
        <v>5471</v>
      </c>
    </row>
    <row r="10662" spans="1:13" x14ac:dyDescent="0.3">
      <c r="A10662" t="s">
        <v>3383</v>
      </c>
      <c r="B10662" t="s">
        <v>5952</v>
      </c>
      <c r="C10662" t="s">
        <v>5470</v>
      </c>
      <c r="D10662" t="s">
        <v>4119</v>
      </c>
      <c r="E10662" t="s">
        <v>5617</v>
      </c>
      <c r="F10662" t="s">
        <v>36830</v>
      </c>
      <c r="G10662" t="s">
        <v>6289</v>
      </c>
      <c r="H10662" t="s">
        <v>5474</v>
      </c>
      <c r="I10662" t="s">
        <v>36831</v>
      </c>
      <c r="J10662" t="s">
        <v>5484</v>
      </c>
      <c r="K10662" t="s">
        <v>36832</v>
      </c>
      <c r="L10662" t="s">
        <v>5471</v>
      </c>
      <c r="M10662" t="s">
        <v>5471</v>
      </c>
    </row>
    <row r="10663" spans="1:13" x14ac:dyDescent="0.3">
      <c r="A10663" t="s">
        <v>3397</v>
      </c>
      <c r="B10663" t="s">
        <v>36833</v>
      </c>
      <c r="C10663" t="s">
        <v>5487</v>
      </c>
      <c r="D10663" t="s">
        <v>15984</v>
      </c>
      <c r="E10663" t="s">
        <v>5595</v>
      </c>
      <c r="F10663" t="s">
        <v>36834</v>
      </c>
      <c r="G10663" t="s">
        <v>36835</v>
      </c>
      <c r="H10663" t="s">
        <v>5474</v>
      </c>
      <c r="I10663" t="s">
        <v>36836</v>
      </c>
      <c r="J10663" t="s">
        <v>5484</v>
      </c>
      <c r="K10663" t="s">
        <v>36837</v>
      </c>
      <c r="L10663" t="s">
        <v>5471</v>
      </c>
      <c r="M10663" t="s">
        <v>5471</v>
      </c>
    </row>
    <row r="10664" spans="1:13" x14ac:dyDescent="0.3">
      <c r="A10664" t="s">
        <v>3397</v>
      </c>
      <c r="B10664" t="s">
        <v>36838</v>
      </c>
      <c r="C10664" t="s">
        <v>5487</v>
      </c>
      <c r="D10664" t="s">
        <v>15984</v>
      </c>
      <c r="E10664" t="s">
        <v>5756</v>
      </c>
      <c r="F10664" t="s">
        <v>36839</v>
      </c>
      <c r="G10664" t="s">
        <v>36838</v>
      </c>
      <c r="H10664" t="s">
        <v>5474</v>
      </c>
      <c r="I10664" t="s">
        <v>36840</v>
      </c>
      <c r="J10664" t="s">
        <v>5484</v>
      </c>
      <c r="K10664" t="s">
        <v>36841</v>
      </c>
      <c r="L10664" t="s">
        <v>5471</v>
      </c>
      <c r="M10664" t="s">
        <v>5471</v>
      </c>
    </row>
    <row r="10665" spans="1:13" x14ac:dyDescent="0.3">
      <c r="A10665" t="s">
        <v>3388</v>
      </c>
      <c r="B10665" t="s">
        <v>5616</v>
      </c>
      <c r="C10665" t="s">
        <v>5470</v>
      </c>
      <c r="D10665" t="s">
        <v>4058</v>
      </c>
      <c r="E10665" t="s">
        <v>5532</v>
      </c>
      <c r="F10665" t="s">
        <v>36842</v>
      </c>
      <c r="G10665" t="s">
        <v>29423</v>
      </c>
      <c r="H10665" t="s">
        <v>5474</v>
      </c>
      <c r="I10665" t="s">
        <v>36843</v>
      </c>
      <c r="J10665" t="s">
        <v>5484</v>
      </c>
      <c r="K10665" t="s">
        <v>29479</v>
      </c>
      <c r="L10665" t="s">
        <v>5471</v>
      </c>
      <c r="M10665" t="s">
        <v>5471</v>
      </c>
    </row>
    <row r="10666" spans="1:13" x14ac:dyDescent="0.3">
      <c r="A10666" t="s">
        <v>3397</v>
      </c>
      <c r="B10666" t="s">
        <v>19635</v>
      </c>
      <c r="C10666" t="s">
        <v>5487</v>
      </c>
      <c r="D10666" t="s">
        <v>15984</v>
      </c>
      <c r="E10666" t="s">
        <v>5756</v>
      </c>
      <c r="F10666" t="s">
        <v>36844</v>
      </c>
      <c r="G10666" t="s">
        <v>19635</v>
      </c>
      <c r="H10666" t="s">
        <v>5474</v>
      </c>
      <c r="I10666" t="s">
        <v>36845</v>
      </c>
      <c r="J10666" t="s">
        <v>5484</v>
      </c>
      <c r="K10666" t="s">
        <v>36846</v>
      </c>
      <c r="L10666" t="s">
        <v>5471</v>
      </c>
      <c r="M10666" t="s">
        <v>5471</v>
      </c>
    </row>
    <row r="10667" spans="1:13" x14ac:dyDescent="0.3">
      <c r="A10667" t="s">
        <v>3397</v>
      </c>
      <c r="B10667" t="s">
        <v>36795</v>
      </c>
      <c r="C10667" t="s">
        <v>5487</v>
      </c>
      <c r="D10667" t="s">
        <v>15984</v>
      </c>
      <c r="E10667" t="s">
        <v>5595</v>
      </c>
      <c r="F10667" t="s">
        <v>36847</v>
      </c>
      <c r="G10667" t="s">
        <v>36795</v>
      </c>
      <c r="H10667" t="s">
        <v>5474</v>
      </c>
      <c r="I10667" t="s">
        <v>36848</v>
      </c>
      <c r="J10667" t="s">
        <v>5484</v>
      </c>
      <c r="K10667" t="s">
        <v>36798</v>
      </c>
      <c r="L10667" t="s">
        <v>5471</v>
      </c>
      <c r="M10667" t="s">
        <v>5471</v>
      </c>
    </row>
    <row r="10668" spans="1:13" x14ac:dyDescent="0.3">
      <c r="A10668" t="s">
        <v>3388</v>
      </c>
      <c r="B10668" t="s">
        <v>21595</v>
      </c>
      <c r="C10668" t="s">
        <v>5470</v>
      </c>
      <c r="D10668" t="s">
        <v>4056</v>
      </c>
      <c r="E10668" t="s">
        <v>5480</v>
      </c>
      <c r="F10668" t="s">
        <v>36849</v>
      </c>
      <c r="G10668" t="s">
        <v>36660</v>
      </c>
      <c r="H10668" t="s">
        <v>5474</v>
      </c>
      <c r="I10668" t="s">
        <v>36850</v>
      </c>
      <c r="J10668" t="s">
        <v>5484</v>
      </c>
      <c r="K10668" t="s">
        <v>36851</v>
      </c>
      <c r="L10668" t="s">
        <v>5471</v>
      </c>
      <c r="M10668" t="s">
        <v>5471</v>
      </c>
    </row>
    <row r="10669" spans="1:13" x14ac:dyDescent="0.3">
      <c r="A10669" t="s">
        <v>3388</v>
      </c>
      <c r="B10669" t="s">
        <v>21595</v>
      </c>
      <c r="C10669" t="s">
        <v>5470</v>
      </c>
      <c r="D10669" t="s">
        <v>4056</v>
      </c>
      <c r="E10669" t="s">
        <v>5480</v>
      </c>
      <c r="F10669" t="s">
        <v>36852</v>
      </c>
      <c r="G10669" t="s">
        <v>36660</v>
      </c>
      <c r="H10669" t="s">
        <v>5474</v>
      </c>
      <c r="I10669" t="s">
        <v>36853</v>
      </c>
      <c r="J10669" t="s">
        <v>5484</v>
      </c>
      <c r="K10669" t="s">
        <v>36854</v>
      </c>
      <c r="L10669" t="s">
        <v>5471</v>
      </c>
      <c r="M10669" t="s">
        <v>5471</v>
      </c>
    </row>
    <row r="10670" spans="1:13" x14ac:dyDescent="0.3">
      <c r="A10670" t="s">
        <v>3388</v>
      </c>
      <c r="B10670" t="s">
        <v>21595</v>
      </c>
      <c r="C10670" t="s">
        <v>5470</v>
      </c>
      <c r="D10670" t="s">
        <v>4056</v>
      </c>
      <c r="E10670" t="s">
        <v>5480</v>
      </c>
      <c r="F10670" t="s">
        <v>36855</v>
      </c>
      <c r="G10670" t="s">
        <v>36660</v>
      </c>
      <c r="H10670" t="s">
        <v>5474</v>
      </c>
      <c r="I10670" t="s">
        <v>36856</v>
      </c>
      <c r="J10670" t="s">
        <v>5484</v>
      </c>
      <c r="K10670" t="s">
        <v>36857</v>
      </c>
      <c r="L10670" t="s">
        <v>5471</v>
      </c>
      <c r="M10670" t="s">
        <v>5471</v>
      </c>
    </row>
    <row r="10671" spans="1:13" x14ac:dyDescent="0.3">
      <c r="A10671" t="s">
        <v>3388</v>
      </c>
      <c r="B10671" t="s">
        <v>7101</v>
      </c>
      <c r="C10671" t="s">
        <v>5470</v>
      </c>
      <c r="D10671" t="s">
        <v>4056</v>
      </c>
      <c r="E10671" t="s">
        <v>5617</v>
      </c>
      <c r="F10671" t="s">
        <v>36858</v>
      </c>
      <c r="G10671" t="s">
        <v>36859</v>
      </c>
      <c r="H10671" t="s">
        <v>5474</v>
      </c>
      <c r="I10671" t="s">
        <v>36860</v>
      </c>
      <c r="J10671" t="s">
        <v>5484</v>
      </c>
      <c r="K10671" t="s">
        <v>36861</v>
      </c>
      <c r="L10671" t="s">
        <v>5471</v>
      </c>
      <c r="M10671" t="s">
        <v>5471</v>
      </c>
    </row>
    <row r="10672" spans="1:13" x14ac:dyDescent="0.3">
      <c r="A10672" t="s">
        <v>3388</v>
      </c>
      <c r="B10672" t="s">
        <v>7101</v>
      </c>
      <c r="C10672" t="s">
        <v>5470</v>
      </c>
      <c r="D10672" t="s">
        <v>4056</v>
      </c>
      <c r="E10672" t="s">
        <v>5617</v>
      </c>
      <c r="F10672" t="s">
        <v>36862</v>
      </c>
      <c r="G10672" t="s">
        <v>36859</v>
      </c>
      <c r="H10672" t="s">
        <v>5474</v>
      </c>
      <c r="I10672" t="s">
        <v>36863</v>
      </c>
      <c r="J10672" t="s">
        <v>5484</v>
      </c>
      <c r="K10672" t="s">
        <v>36864</v>
      </c>
      <c r="L10672" t="s">
        <v>5471</v>
      </c>
      <c r="M10672" t="s">
        <v>5471</v>
      </c>
    </row>
    <row r="10673" spans="1:13" x14ac:dyDescent="0.3">
      <c r="A10673" t="s">
        <v>3388</v>
      </c>
      <c r="B10673" t="s">
        <v>7101</v>
      </c>
      <c r="C10673" t="s">
        <v>5470</v>
      </c>
      <c r="D10673" t="s">
        <v>4056</v>
      </c>
      <c r="E10673" t="s">
        <v>5617</v>
      </c>
      <c r="F10673" t="s">
        <v>36865</v>
      </c>
      <c r="G10673" t="s">
        <v>36859</v>
      </c>
      <c r="H10673" t="s">
        <v>5474</v>
      </c>
      <c r="I10673" t="s">
        <v>36866</v>
      </c>
      <c r="J10673" t="s">
        <v>5484</v>
      </c>
      <c r="K10673" t="s">
        <v>36867</v>
      </c>
      <c r="L10673" t="s">
        <v>5471</v>
      </c>
      <c r="M10673" t="s">
        <v>5471</v>
      </c>
    </row>
    <row r="10674" spans="1:13" x14ac:dyDescent="0.3">
      <c r="A10674" t="s">
        <v>3383</v>
      </c>
      <c r="B10674" t="s">
        <v>5320</v>
      </c>
      <c r="C10674" t="s">
        <v>5470</v>
      </c>
      <c r="D10674" t="s">
        <v>4052</v>
      </c>
      <c r="E10674" t="s">
        <v>5617</v>
      </c>
      <c r="F10674" t="s">
        <v>36868</v>
      </c>
      <c r="G10674" t="s">
        <v>36869</v>
      </c>
      <c r="H10674" t="s">
        <v>5474</v>
      </c>
      <c r="I10674" t="s">
        <v>36870</v>
      </c>
      <c r="J10674" t="s">
        <v>5484</v>
      </c>
      <c r="K10674" t="s">
        <v>36871</v>
      </c>
      <c r="L10674" t="s">
        <v>5471</v>
      </c>
      <c r="M10674" t="s">
        <v>5471</v>
      </c>
    </row>
    <row r="10675" spans="1:13" x14ac:dyDescent="0.3">
      <c r="A10675" t="s">
        <v>3397</v>
      </c>
      <c r="B10675" t="s">
        <v>36781</v>
      </c>
      <c r="C10675" t="s">
        <v>5487</v>
      </c>
      <c r="D10675" t="s">
        <v>15984</v>
      </c>
      <c r="E10675" t="s">
        <v>5595</v>
      </c>
      <c r="F10675" t="s">
        <v>36872</v>
      </c>
      <c r="G10675" t="s">
        <v>36781</v>
      </c>
      <c r="H10675" t="s">
        <v>5474</v>
      </c>
      <c r="I10675" t="s">
        <v>36873</v>
      </c>
      <c r="J10675" t="s">
        <v>5484</v>
      </c>
      <c r="K10675" t="s">
        <v>36784</v>
      </c>
      <c r="L10675" t="s">
        <v>5471</v>
      </c>
      <c r="M10675" t="s">
        <v>5471</v>
      </c>
    </row>
    <row r="10676" spans="1:13" x14ac:dyDescent="0.3">
      <c r="A10676" t="s">
        <v>3388</v>
      </c>
      <c r="B10676" t="s">
        <v>5253</v>
      </c>
      <c r="C10676" t="s">
        <v>5470</v>
      </c>
      <c r="D10676" t="s">
        <v>4052</v>
      </c>
      <c r="E10676" t="s">
        <v>5480</v>
      </c>
      <c r="F10676" t="s">
        <v>36874</v>
      </c>
      <c r="G10676" t="s">
        <v>36875</v>
      </c>
      <c r="H10676" t="s">
        <v>5474</v>
      </c>
      <c r="I10676" t="s">
        <v>36876</v>
      </c>
      <c r="J10676" t="s">
        <v>5484</v>
      </c>
      <c r="K10676" t="s">
        <v>36877</v>
      </c>
      <c r="L10676" t="s">
        <v>5471</v>
      </c>
      <c r="M10676" t="s">
        <v>5471</v>
      </c>
    </row>
    <row r="10677" spans="1:13" x14ac:dyDescent="0.3">
      <c r="A10677" t="s">
        <v>3388</v>
      </c>
      <c r="B10677" t="s">
        <v>5253</v>
      </c>
      <c r="C10677" t="s">
        <v>5470</v>
      </c>
      <c r="D10677" t="s">
        <v>4052</v>
      </c>
      <c r="E10677" t="s">
        <v>5480</v>
      </c>
      <c r="F10677" t="s">
        <v>36878</v>
      </c>
      <c r="G10677" t="s">
        <v>36879</v>
      </c>
      <c r="H10677" t="s">
        <v>5474</v>
      </c>
      <c r="I10677" t="s">
        <v>36880</v>
      </c>
      <c r="J10677" t="s">
        <v>5484</v>
      </c>
      <c r="K10677" t="s">
        <v>27648</v>
      </c>
      <c r="L10677" t="s">
        <v>5471</v>
      </c>
      <c r="M10677" t="s">
        <v>5471</v>
      </c>
    </row>
    <row r="10678" spans="1:13" x14ac:dyDescent="0.3">
      <c r="A10678" t="s">
        <v>3397</v>
      </c>
      <c r="B10678" t="s">
        <v>36881</v>
      </c>
      <c r="C10678" t="s">
        <v>5487</v>
      </c>
      <c r="D10678" t="s">
        <v>15984</v>
      </c>
      <c r="E10678" t="s">
        <v>5595</v>
      </c>
      <c r="F10678" t="s">
        <v>36882</v>
      </c>
      <c r="G10678" t="s">
        <v>36881</v>
      </c>
      <c r="H10678" t="s">
        <v>5474</v>
      </c>
      <c r="I10678" t="s">
        <v>36883</v>
      </c>
      <c r="J10678" t="s">
        <v>5484</v>
      </c>
      <c r="K10678" t="s">
        <v>36884</v>
      </c>
      <c r="L10678" t="s">
        <v>5471</v>
      </c>
      <c r="M10678" t="s">
        <v>5471</v>
      </c>
    </row>
    <row r="10679" spans="1:13" x14ac:dyDescent="0.3">
      <c r="A10679" t="s">
        <v>3397</v>
      </c>
      <c r="B10679" t="s">
        <v>36885</v>
      </c>
      <c r="C10679" t="s">
        <v>5487</v>
      </c>
      <c r="D10679" t="s">
        <v>15984</v>
      </c>
      <c r="E10679" t="s">
        <v>36233</v>
      </c>
      <c r="F10679" t="s">
        <v>36886</v>
      </c>
      <c r="G10679" t="s">
        <v>36885</v>
      </c>
      <c r="H10679" t="s">
        <v>5474</v>
      </c>
      <c r="I10679" t="s">
        <v>36887</v>
      </c>
      <c r="J10679" t="s">
        <v>5484</v>
      </c>
      <c r="K10679" t="s">
        <v>36888</v>
      </c>
      <c r="L10679" t="s">
        <v>5471</v>
      </c>
      <c r="M10679" t="s">
        <v>5471</v>
      </c>
    </row>
    <row r="10680" spans="1:13" x14ac:dyDescent="0.3">
      <c r="A10680" t="s">
        <v>3397</v>
      </c>
      <c r="B10680" t="s">
        <v>36889</v>
      </c>
      <c r="C10680" t="s">
        <v>5487</v>
      </c>
      <c r="D10680" t="s">
        <v>15984</v>
      </c>
      <c r="E10680" t="s">
        <v>5756</v>
      </c>
      <c r="F10680" t="s">
        <v>36890</v>
      </c>
      <c r="G10680" t="s">
        <v>36889</v>
      </c>
      <c r="H10680" t="s">
        <v>5474</v>
      </c>
      <c r="I10680" t="s">
        <v>36891</v>
      </c>
      <c r="J10680" t="s">
        <v>5484</v>
      </c>
      <c r="K10680" t="s">
        <v>36892</v>
      </c>
      <c r="L10680" t="s">
        <v>5471</v>
      </c>
      <c r="M10680" t="s">
        <v>5471</v>
      </c>
    </row>
    <row r="10681" spans="1:13" x14ac:dyDescent="0.3">
      <c r="A10681" t="s">
        <v>3397</v>
      </c>
      <c r="B10681" t="s">
        <v>36893</v>
      </c>
      <c r="C10681" t="s">
        <v>5487</v>
      </c>
      <c r="D10681" t="s">
        <v>15984</v>
      </c>
      <c r="E10681" t="s">
        <v>5756</v>
      </c>
      <c r="F10681" t="s">
        <v>36894</v>
      </c>
      <c r="G10681" t="s">
        <v>36893</v>
      </c>
      <c r="H10681" t="s">
        <v>5474</v>
      </c>
      <c r="I10681" t="s">
        <v>36895</v>
      </c>
      <c r="J10681" t="s">
        <v>5484</v>
      </c>
      <c r="K10681" t="s">
        <v>36441</v>
      </c>
      <c r="L10681" t="s">
        <v>5471</v>
      </c>
      <c r="M10681" t="s">
        <v>5471</v>
      </c>
    </row>
    <row r="10682" spans="1:13" x14ac:dyDescent="0.3">
      <c r="A10682" t="s">
        <v>3397</v>
      </c>
      <c r="B10682" t="s">
        <v>36896</v>
      </c>
      <c r="C10682" t="s">
        <v>5487</v>
      </c>
      <c r="D10682" t="s">
        <v>15984</v>
      </c>
      <c r="E10682" t="s">
        <v>5595</v>
      </c>
      <c r="F10682" t="s">
        <v>36897</v>
      </c>
      <c r="G10682" t="s">
        <v>36896</v>
      </c>
      <c r="H10682" t="s">
        <v>5474</v>
      </c>
      <c r="I10682" t="s">
        <v>36898</v>
      </c>
      <c r="J10682" t="s">
        <v>5484</v>
      </c>
      <c r="K10682" t="s">
        <v>36899</v>
      </c>
      <c r="L10682" t="s">
        <v>5471</v>
      </c>
      <c r="M10682" t="s">
        <v>5471</v>
      </c>
    </row>
    <row r="10683" spans="1:13" x14ac:dyDescent="0.3">
      <c r="A10683" t="s">
        <v>3397</v>
      </c>
      <c r="B10683" t="s">
        <v>36885</v>
      </c>
      <c r="C10683" t="s">
        <v>5487</v>
      </c>
      <c r="D10683" t="s">
        <v>15984</v>
      </c>
      <c r="E10683" t="s">
        <v>36233</v>
      </c>
      <c r="F10683" t="s">
        <v>36900</v>
      </c>
      <c r="G10683" t="s">
        <v>36885</v>
      </c>
      <c r="H10683" t="s">
        <v>5474</v>
      </c>
      <c r="I10683" t="s">
        <v>36901</v>
      </c>
      <c r="J10683" t="s">
        <v>5484</v>
      </c>
      <c r="K10683" t="s">
        <v>36888</v>
      </c>
      <c r="L10683" t="s">
        <v>5471</v>
      </c>
      <c r="M10683" t="s">
        <v>5471</v>
      </c>
    </row>
    <row r="10684" spans="1:13" x14ac:dyDescent="0.3">
      <c r="A10684" t="s">
        <v>3388</v>
      </c>
      <c r="B10684" t="s">
        <v>21595</v>
      </c>
      <c r="C10684" t="s">
        <v>5470</v>
      </c>
      <c r="D10684" t="s">
        <v>4058</v>
      </c>
      <c r="E10684" t="s">
        <v>35248</v>
      </c>
      <c r="F10684" t="s">
        <v>36902</v>
      </c>
      <c r="G10684" t="s">
        <v>33565</v>
      </c>
      <c r="H10684" t="s">
        <v>5474</v>
      </c>
      <c r="I10684" t="s">
        <v>36903</v>
      </c>
      <c r="J10684" t="s">
        <v>5484</v>
      </c>
      <c r="K10684" t="s">
        <v>36904</v>
      </c>
      <c r="L10684" t="s">
        <v>5471</v>
      </c>
      <c r="M10684" t="s">
        <v>5471</v>
      </c>
    </row>
    <row r="10685" spans="1:13" x14ac:dyDescent="0.3">
      <c r="A10685" t="s">
        <v>3388</v>
      </c>
      <c r="B10685" t="s">
        <v>21595</v>
      </c>
      <c r="C10685" t="s">
        <v>5470</v>
      </c>
      <c r="D10685" t="s">
        <v>4058</v>
      </c>
      <c r="E10685" t="s">
        <v>5617</v>
      </c>
      <c r="F10685" t="s">
        <v>36905</v>
      </c>
      <c r="G10685" t="s">
        <v>21806</v>
      </c>
      <c r="H10685" t="s">
        <v>5474</v>
      </c>
      <c r="I10685" t="s">
        <v>36906</v>
      </c>
      <c r="J10685" t="s">
        <v>5484</v>
      </c>
      <c r="K10685" t="s">
        <v>36907</v>
      </c>
      <c r="L10685" t="s">
        <v>5471</v>
      </c>
      <c r="M10685" t="s">
        <v>5471</v>
      </c>
    </row>
    <row r="10686" spans="1:13" x14ac:dyDescent="0.3">
      <c r="A10686" t="s">
        <v>3397</v>
      </c>
      <c r="B10686" t="s">
        <v>36885</v>
      </c>
      <c r="C10686" t="s">
        <v>5487</v>
      </c>
      <c r="D10686" t="s">
        <v>15984</v>
      </c>
      <c r="E10686" t="s">
        <v>36233</v>
      </c>
      <c r="F10686" t="s">
        <v>36908</v>
      </c>
      <c r="G10686" t="s">
        <v>36885</v>
      </c>
      <c r="H10686" t="s">
        <v>5474</v>
      </c>
      <c r="I10686" t="s">
        <v>36909</v>
      </c>
      <c r="J10686" t="s">
        <v>5484</v>
      </c>
      <c r="K10686" t="s">
        <v>36888</v>
      </c>
      <c r="L10686" t="s">
        <v>5471</v>
      </c>
      <c r="M10686" t="s">
        <v>5471</v>
      </c>
    </row>
    <row r="10687" spans="1:13" x14ac:dyDescent="0.3">
      <c r="A10687" t="s">
        <v>3388</v>
      </c>
      <c r="B10687" t="s">
        <v>7101</v>
      </c>
      <c r="C10687" t="s">
        <v>5470</v>
      </c>
      <c r="D10687" t="s">
        <v>4058</v>
      </c>
      <c r="E10687" t="s">
        <v>5617</v>
      </c>
      <c r="F10687" t="s">
        <v>36910</v>
      </c>
      <c r="G10687" t="s">
        <v>20348</v>
      </c>
      <c r="H10687" t="s">
        <v>5474</v>
      </c>
      <c r="I10687" t="s">
        <v>36911</v>
      </c>
      <c r="J10687" t="s">
        <v>5484</v>
      </c>
      <c r="K10687" t="s">
        <v>36912</v>
      </c>
      <c r="L10687" t="s">
        <v>5471</v>
      </c>
      <c r="M10687" t="s">
        <v>5471</v>
      </c>
    </row>
    <row r="10688" spans="1:13" x14ac:dyDescent="0.3">
      <c r="A10688" t="s">
        <v>3397</v>
      </c>
      <c r="B10688" t="s">
        <v>36913</v>
      </c>
      <c r="C10688" t="s">
        <v>5487</v>
      </c>
      <c r="D10688" t="s">
        <v>15984</v>
      </c>
      <c r="E10688" t="s">
        <v>36233</v>
      </c>
      <c r="F10688" t="s">
        <v>36914</v>
      </c>
      <c r="G10688" t="s">
        <v>36913</v>
      </c>
      <c r="H10688" t="s">
        <v>5474</v>
      </c>
      <c r="I10688" t="s">
        <v>36915</v>
      </c>
      <c r="J10688" t="s">
        <v>5484</v>
      </c>
      <c r="K10688" t="s">
        <v>36306</v>
      </c>
      <c r="L10688" t="s">
        <v>5471</v>
      </c>
      <c r="M10688" t="s">
        <v>5471</v>
      </c>
    </row>
    <row r="10689" spans="1:13" x14ac:dyDescent="0.3">
      <c r="A10689" t="s">
        <v>3388</v>
      </c>
      <c r="B10689" t="s">
        <v>7101</v>
      </c>
      <c r="C10689" t="s">
        <v>5470</v>
      </c>
      <c r="D10689" t="s">
        <v>4058</v>
      </c>
      <c r="E10689" t="s">
        <v>5617</v>
      </c>
      <c r="F10689" t="s">
        <v>36916</v>
      </c>
      <c r="G10689" t="s">
        <v>20348</v>
      </c>
      <c r="H10689" t="s">
        <v>5474</v>
      </c>
      <c r="I10689" t="s">
        <v>36917</v>
      </c>
      <c r="J10689" t="s">
        <v>5484</v>
      </c>
      <c r="K10689" t="s">
        <v>36918</v>
      </c>
      <c r="L10689" t="s">
        <v>5471</v>
      </c>
      <c r="M10689" t="s">
        <v>5471</v>
      </c>
    </row>
    <row r="10690" spans="1:13" x14ac:dyDescent="0.3">
      <c r="A10690" t="s">
        <v>3397</v>
      </c>
      <c r="B10690" t="s">
        <v>36896</v>
      </c>
      <c r="C10690" t="s">
        <v>5487</v>
      </c>
      <c r="D10690" t="s">
        <v>15984</v>
      </c>
      <c r="E10690" t="s">
        <v>5595</v>
      </c>
      <c r="F10690" t="s">
        <v>36919</v>
      </c>
      <c r="G10690" t="s">
        <v>36896</v>
      </c>
      <c r="H10690" t="s">
        <v>5474</v>
      </c>
      <c r="I10690" t="s">
        <v>36920</v>
      </c>
      <c r="J10690" t="s">
        <v>5484</v>
      </c>
      <c r="K10690" t="s">
        <v>36899</v>
      </c>
      <c r="L10690" t="s">
        <v>5471</v>
      </c>
      <c r="M10690" t="s">
        <v>5471</v>
      </c>
    </row>
    <row r="10691" spans="1:13" x14ac:dyDescent="0.3">
      <c r="A10691" t="s">
        <v>3388</v>
      </c>
      <c r="B10691" t="s">
        <v>21595</v>
      </c>
      <c r="C10691" t="s">
        <v>5470</v>
      </c>
      <c r="D10691" t="s">
        <v>4200</v>
      </c>
      <c r="E10691" t="s">
        <v>35248</v>
      </c>
      <c r="F10691" t="s">
        <v>36921</v>
      </c>
      <c r="G10691" t="s">
        <v>33565</v>
      </c>
      <c r="H10691" t="s">
        <v>5474</v>
      </c>
      <c r="I10691" t="s">
        <v>36922</v>
      </c>
      <c r="J10691" t="s">
        <v>5484</v>
      </c>
      <c r="K10691" t="s">
        <v>36923</v>
      </c>
      <c r="L10691" t="s">
        <v>5471</v>
      </c>
      <c r="M10691" t="s">
        <v>5471</v>
      </c>
    </row>
    <row r="10692" spans="1:13" x14ac:dyDescent="0.3">
      <c r="A10692" t="s">
        <v>3388</v>
      </c>
      <c r="B10692" t="s">
        <v>21595</v>
      </c>
      <c r="C10692" t="s">
        <v>5470</v>
      </c>
      <c r="D10692" t="s">
        <v>4200</v>
      </c>
      <c r="E10692" t="s">
        <v>35248</v>
      </c>
      <c r="F10692" t="s">
        <v>36924</v>
      </c>
      <c r="G10692" t="s">
        <v>33565</v>
      </c>
      <c r="H10692" t="s">
        <v>5474</v>
      </c>
      <c r="I10692" t="s">
        <v>36925</v>
      </c>
      <c r="J10692" t="s">
        <v>5484</v>
      </c>
      <c r="K10692" t="s">
        <v>36926</v>
      </c>
      <c r="L10692" t="s">
        <v>5471</v>
      </c>
      <c r="M10692" t="s">
        <v>5471</v>
      </c>
    </row>
    <row r="10693" spans="1:13" x14ac:dyDescent="0.3">
      <c r="A10693" t="s">
        <v>3388</v>
      </c>
      <c r="B10693" t="s">
        <v>21595</v>
      </c>
      <c r="C10693" t="s">
        <v>5470</v>
      </c>
      <c r="D10693" t="s">
        <v>4200</v>
      </c>
      <c r="E10693" t="s">
        <v>35248</v>
      </c>
      <c r="F10693" t="s">
        <v>36927</v>
      </c>
      <c r="G10693" t="s">
        <v>33609</v>
      </c>
      <c r="H10693" t="s">
        <v>5474</v>
      </c>
      <c r="I10693" t="s">
        <v>36928</v>
      </c>
      <c r="J10693" t="s">
        <v>5484</v>
      </c>
      <c r="K10693" t="s">
        <v>36929</v>
      </c>
      <c r="L10693" t="s">
        <v>5471</v>
      </c>
      <c r="M10693" t="s">
        <v>5471</v>
      </c>
    </row>
    <row r="10694" spans="1:13" x14ac:dyDescent="0.3">
      <c r="A10694" t="s">
        <v>3388</v>
      </c>
      <c r="B10694" t="s">
        <v>21595</v>
      </c>
      <c r="C10694" t="s">
        <v>5470</v>
      </c>
      <c r="D10694" t="s">
        <v>4200</v>
      </c>
      <c r="E10694" t="s">
        <v>35248</v>
      </c>
      <c r="F10694" t="s">
        <v>36930</v>
      </c>
      <c r="G10694" t="s">
        <v>33609</v>
      </c>
      <c r="H10694" t="s">
        <v>5474</v>
      </c>
      <c r="I10694" t="s">
        <v>36931</v>
      </c>
      <c r="J10694" t="s">
        <v>5484</v>
      </c>
      <c r="K10694" t="s">
        <v>36932</v>
      </c>
      <c r="L10694" t="s">
        <v>5471</v>
      </c>
      <c r="M10694" t="s">
        <v>5471</v>
      </c>
    </row>
    <row r="10695" spans="1:13" x14ac:dyDescent="0.3">
      <c r="A10695" t="s">
        <v>3388</v>
      </c>
      <c r="B10695" t="s">
        <v>6128</v>
      </c>
      <c r="C10695" t="s">
        <v>5470</v>
      </c>
      <c r="D10695" t="s">
        <v>4052</v>
      </c>
      <c r="E10695" t="s">
        <v>5480</v>
      </c>
      <c r="F10695" t="s">
        <v>36933</v>
      </c>
      <c r="G10695" t="s">
        <v>24897</v>
      </c>
      <c r="H10695" t="s">
        <v>5474</v>
      </c>
      <c r="I10695" t="s">
        <v>36934</v>
      </c>
      <c r="J10695" t="s">
        <v>5484</v>
      </c>
      <c r="K10695" t="s">
        <v>36935</v>
      </c>
      <c r="L10695" t="s">
        <v>5471</v>
      </c>
      <c r="M10695" t="s">
        <v>5471</v>
      </c>
    </row>
    <row r="10696" spans="1:13" x14ac:dyDescent="0.3">
      <c r="A10696" t="s">
        <v>3388</v>
      </c>
      <c r="B10696" t="s">
        <v>21595</v>
      </c>
      <c r="C10696" t="s">
        <v>5470</v>
      </c>
      <c r="D10696" t="s">
        <v>4200</v>
      </c>
      <c r="E10696" t="s">
        <v>35248</v>
      </c>
      <c r="F10696" t="s">
        <v>36936</v>
      </c>
      <c r="G10696" t="s">
        <v>33609</v>
      </c>
      <c r="H10696" t="s">
        <v>5474</v>
      </c>
      <c r="I10696" t="s">
        <v>36937</v>
      </c>
      <c r="J10696" t="s">
        <v>5484</v>
      </c>
      <c r="K10696" t="s">
        <v>36938</v>
      </c>
      <c r="L10696" t="s">
        <v>5471</v>
      </c>
      <c r="M10696" t="s">
        <v>5471</v>
      </c>
    </row>
    <row r="10697" spans="1:13" x14ac:dyDescent="0.3">
      <c r="A10697" t="s">
        <v>3388</v>
      </c>
      <c r="B10697" t="s">
        <v>19024</v>
      </c>
      <c r="C10697" t="s">
        <v>5470</v>
      </c>
      <c r="D10697" t="s">
        <v>4052</v>
      </c>
      <c r="E10697" t="s">
        <v>5480</v>
      </c>
      <c r="F10697" t="s">
        <v>36939</v>
      </c>
      <c r="G10697" t="s">
        <v>19026</v>
      </c>
      <c r="H10697" t="s">
        <v>5474</v>
      </c>
      <c r="I10697" t="s">
        <v>36940</v>
      </c>
      <c r="J10697" t="s">
        <v>5484</v>
      </c>
      <c r="K10697" t="s">
        <v>36941</v>
      </c>
      <c r="L10697" t="s">
        <v>5471</v>
      </c>
      <c r="M10697" t="s">
        <v>5471</v>
      </c>
    </row>
    <row r="10698" spans="1:13" x14ac:dyDescent="0.3">
      <c r="A10698" t="s">
        <v>3388</v>
      </c>
      <c r="B10698" t="s">
        <v>5296</v>
      </c>
      <c r="C10698" t="s">
        <v>5470</v>
      </c>
      <c r="D10698" t="s">
        <v>4119</v>
      </c>
      <c r="E10698" t="s">
        <v>5480</v>
      </c>
      <c r="F10698" t="s">
        <v>36942</v>
      </c>
      <c r="G10698" t="s">
        <v>22544</v>
      </c>
      <c r="H10698" t="s">
        <v>5474</v>
      </c>
      <c r="I10698" t="s">
        <v>36943</v>
      </c>
      <c r="J10698" t="s">
        <v>5476</v>
      </c>
      <c r="K10698" t="s">
        <v>36944</v>
      </c>
      <c r="L10698" t="s">
        <v>5471</v>
      </c>
      <c r="M10698" t="s">
        <v>5471</v>
      </c>
    </row>
    <row r="10699" spans="1:13" x14ac:dyDescent="0.3">
      <c r="A10699" t="s">
        <v>3388</v>
      </c>
      <c r="B10699" t="s">
        <v>5296</v>
      </c>
      <c r="C10699" t="s">
        <v>5470</v>
      </c>
      <c r="D10699" t="s">
        <v>4119</v>
      </c>
      <c r="E10699" t="s">
        <v>5480</v>
      </c>
      <c r="F10699" t="s">
        <v>36945</v>
      </c>
      <c r="G10699" t="s">
        <v>22544</v>
      </c>
      <c r="H10699" t="s">
        <v>5474</v>
      </c>
      <c r="I10699" t="s">
        <v>36946</v>
      </c>
      <c r="J10699" t="s">
        <v>5484</v>
      </c>
      <c r="K10699" t="s">
        <v>36947</v>
      </c>
      <c r="L10699" t="s">
        <v>5471</v>
      </c>
      <c r="M10699" t="s">
        <v>5471</v>
      </c>
    </row>
    <row r="10700" spans="1:13" x14ac:dyDescent="0.3">
      <c r="A10700" t="s">
        <v>3388</v>
      </c>
      <c r="B10700" t="s">
        <v>6452</v>
      </c>
      <c r="C10700" t="s">
        <v>5470</v>
      </c>
      <c r="D10700" t="s">
        <v>4119</v>
      </c>
      <c r="E10700" t="s">
        <v>5480</v>
      </c>
      <c r="F10700" t="s">
        <v>36948</v>
      </c>
      <c r="G10700" t="s">
        <v>34923</v>
      </c>
      <c r="H10700" t="s">
        <v>5474</v>
      </c>
      <c r="I10700" t="s">
        <v>36949</v>
      </c>
      <c r="J10700" t="s">
        <v>5484</v>
      </c>
      <c r="K10700" t="s">
        <v>36950</v>
      </c>
      <c r="L10700" t="s">
        <v>5471</v>
      </c>
      <c r="M10700" t="s">
        <v>5471</v>
      </c>
    </row>
    <row r="10701" spans="1:13" x14ac:dyDescent="0.3">
      <c r="A10701" t="s">
        <v>3388</v>
      </c>
      <c r="B10701" t="s">
        <v>6452</v>
      </c>
      <c r="C10701" t="s">
        <v>5470</v>
      </c>
      <c r="D10701" t="s">
        <v>4119</v>
      </c>
      <c r="E10701" t="s">
        <v>5480</v>
      </c>
      <c r="F10701" t="s">
        <v>36951</v>
      </c>
      <c r="G10701" t="s">
        <v>34923</v>
      </c>
      <c r="H10701" t="s">
        <v>5474</v>
      </c>
      <c r="I10701" t="s">
        <v>36952</v>
      </c>
      <c r="J10701" t="s">
        <v>5484</v>
      </c>
      <c r="K10701" t="s">
        <v>36953</v>
      </c>
      <c r="L10701" t="s">
        <v>5471</v>
      </c>
      <c r="M10701" t="s">
        <v>5471</v>
      </c>
    </row>
    <row r="10702" spans="1:13" x14ac:dyDescent="0.3">
      <c r="A10702" t="s">
        <v>3388</v>
      </c>
      <c r="B10702" t="s">
        <v>6452</v>
      </c>
      <c r="C10702" t="s">
        <v>5470</v>
      </c>
      <c r="D10702" t="s">
        <v>4119</v>
      </c>
      <c r="E10702" t="s">
        <v>5480</v>
      </c>
      <c r="F10702" t="s">
        <v>36954</v>
      </c>
      <c r="G10702" t="s">
        <v>34923</v>
      </c>
      <c r="H10702" t="s">
        <v>5474</v>
      </c>
      <c r="I10702" t="s">
        <v>36955</v>
      </c>
      <c r="J10702" t="s">
        <v>5484</v>
      </c>
      <c r="K10702" t="s">
        <v>36956</v>
      </c>
      <c r="L10702" t="s">
        <v>5471</v>
      </c>
      <c r="M10702" t="s">
        <v>5471</v>
      </c>
    </row>
    <row r="10703" spans="1:13" x14ac:dyDescent="0.3">
      <c r="A10703" t="s">
        <v>3388</v>
      </c>
      <c r="B10703" t="s">
        <v>6452</v>
      </c>
      <c r="C10703" t="s">
        <v>5470</v>
      </c>
      <c r="D10703" t="s">
        <v>4119</v>
      </c>
      <c r="E10703" t="s">
        <v>5480</v>
      </c>
      <c r="F10703" t="s">
        <v>36957</v>
      </c>
      <c r="G10703" t="s">
        <v>34923</v>
      </c>
      <c r="H10703" t="s">
        <v>5474</v>
      </c>
      <c r="I10703" t="s">
        <v>36958</v>
      </c>
      <c r="J10703" t="s">
        <v>5484</v>
      </c>
      <c r="K10703" t="s">
        <v>36959</v>
      </c>
      <c r="L10703" t="s">
        <v>5471</v>
      </c>
      <c r="M10703" t="s">
        <v>5471</v>
      </c>
    </row>
    <row r="10704" spans="1:13" x14ac:dyDescent="0.3">
      <c r="A10704" t="s">
        <v>3388</v>
      </c>
      <c r="B10704" t="s">
        <v>5253</v>
      </c>
      <c r="C10704" t="s">
        <v>5470</v>
      </c>
      <c r="D10704" t="s">
        <v>4119</v>
      </c>
      <c r="E10704" t="s">
        <v>5480</v>
      </c>
      <c r="F10704" t="s">
        <v>36960</v>
      </c>
      <c r="G10704" t="s">
        <v>32426</v>
      </c>
      <c r="H10704" t="s">
        <v>5474</v>
      </c>
      <c r="I10704" t="s">
        <v>36961</v>
      </c>
      <c r="J10704" t="s">
        <v>5484</v>
      </c>
      <c r="K10704" t="s">
        <v>36962</v>
      </c>
      <c r="L10704" t="s">
        <v>5471</v>
      </c>
      <c r="M10704" t="s">
        <v>5471</v>
      </c>
    </row>
    <row r="10705" spans="1:13" x14ac:dyDescent="0.3">
      <c r="A10705" t="s">
        <v>3388</v>
      </c>
      <c r="B10705" t="s">
        <v>5253</v>
      </c>
      <c r="C10705" t="s">
        <v>5470</v>
      </c>
      <c r="D10705" t="s">
        <v>4119</v>
      </c>
      <c r="E10705" t="s">
        <v>5480</v>
      </c>
      <c r="F10705" t="s">
        <v>36963</v>
      </c>
      <c r="G10705" t="s">
        <v>32426</v>
      </c>
      <c r="H10705" t="s">
        <v>5474</v>
      </c>
      <c r="I10705" t="s">
        <v>36964</v>
      </c>
      <c r="J10705" t="s">
        <v>5484</v>
      </c>
      <c r="K10705" t="s">
        <v>36965</v>
      </c>
      <c r="L10705" t="s">
        <v>5471</v>
      </c>
      <c r="M10705" t="s">
        <v>5471</v>
      </c>
    </row>
    <row r="10706" spans="1:13" x14ac:dyDescent="0.3">
      <c r="A10706" t="s">
        <v>3388</v>
      </c>
      <c r="B10706" t="s">
        <v>20010</v>
      </c>
      <c r="C10706" t="s">
        <v>5470</v>
      </c>
      <c r="D10706" t="s">
        <v>4119</v>
      </c>
      <c r="E10706" t="s">
        <v>5532</v>
      </c>
      <c r="F10706" t="s">
        <v>36966</v>
      </c>
      <c r="G10706" t="s">
        <v>20012</v>
      </c>
      <c r="H10706" t="s">
        <v>5474</v>
      </c>
      <c r="I10706" t="s">
        <v>36967</v>
      </c>
      <c r="J10706" t="s">
        <v>5484</v>
      </c>
      <c r="K10706" t="s">
        <v>36968</v>
      </c>
      <c r="L10706" t="s">
        <v>5471</v>
      </c>
      <c r="M10706" t="s">
        <v>5471</v>
      </c>
    </row>
    <row r="10707" spans="1:13" x14ac:dyDescent="0.3">
      <c r="A10707" t="s">
        <v>3388</v>
      </c>
      <c r="B10707" t="s">
        <v>10857</v>
      </c>
      <c r="C10707" t="s">
        <v>5470</v>
      </c>
      <c r="D10707" t="s">
        <v>4119</v>
      </c>
      <c r="E10707" t="s">
        <v>5756</v>
      </c>
      <c r="F10707" t="s">
        <v>36969</v>
      </c>
      <c r="G10707" t="s">
        <v>18594</v>
      </c>
      <c r="H10707" t="s">
        <v>5474</v>
      </c>
      <c r="I10707" t="s">
        <v>36970</v>
      </c>
      <c r="J10707" t="s">
        <v>5484</v>
      </c>
      <c r="K10707" t="s">
        <v>36971</v>
      </c>
      <c r="L10707" t="s">
        <v>5471</v>
      </c>
      <c r="M10707" t="s">
        <v>5471</v>
      </c>
    </row>
    <row r="10708" spans="1:13" x14ac:dyDescent="0.3">
      <c r="A10708" t="s">
        <v>3388</v>
      </c>
      <c r="B10708" t="s">
        <v>21595</v>
      </c>
      <c r="C10708" t="s">
        <v>5470</v>
      </c>
      <c r="D10708" t="s">
        <v>4200</v>
      </c>
      <c r="E10708" t="s">
        <v>35248</v>
      </c>
      <c r="F10708" t="s">
        <v>36972</v>
      </c>
      <c r="G10708" t="s">
        <v>33565</v>
      </c>
      <c r="H10708" t="s">
        <v>5474</v>
      </c>
      <c r="I10708" t="s">
        <v>36973</v>
      </c>
      <c r="J10708" t="s">
        <v>5484</v>
      </c>
      <c r="K10708" t="s">
        <v>36974</v>
      </c>
      <c r="L10708" t="s">
        <v>5471</v>
      </c>
      <c r="M10708" t="s">
        <v>5471</v>
      </c>
    </row>
    <row r="10709" spans="1:13" x14ac:dyDescent="0.3">
      <c r="A10709" t="s">
        <v>3388</v>
      </c>
      <c r="B10709" t="s">
        <v>15892</v>
      </c>
      <c r="C10709" t="s">
        <v>5470</v>
      </c>
      <c r="D10709" t="s">
        <v>4119</v>
      </c>
      <c r="E10709" t="s">
        <v>5617</v>
      </c>
      <c r="F10709" t="s">
        <v>36975</v>
      </c>
      <c r="G10709" t="s">
        <v>34706</v>
      </c>
      <c r="H10709" t="s">
        <v>5474</v>
      </c>
      <c r="I10709" t="s">
        <v>36976</v>
      </c>
      <c r="J10709" t="s">
        <v>5484</v>
      </c>
      <c r="K10709" t="s">
        <v>36977</v>
      </c>
      <c r="L10709" t="s">
        <v>5471</v>
      </c>
      <c r="M10709" t="s">
        <v>5471</v>
      </c>
    </row>
    <row r="10710" spans="1:13" x14ac:dyDescent="0.3">
      <c r="A10710" t="s">
        <v>3388</v>
      </c>
      <c r="B10710" t="s">
        <v>17321</v>
      </c>
      <c r="C10710" t="s">
        <v>5470</v>
      </c>
      <c r="D10710" t="s">
        <v>4119</v>
      </c>
      <c r="E10710" t="s">
        <v>5532</v>
      </c>
      <c r="F10710" t="s">
        <v>36978</v>
      </c>
      <c r="G10710" t="s">
        <v>31576</v>
      </c>
      <c r="H10710" t="s">
        <v>5474</v>
      </c>
      <c r="I10710" t="s">
        <v>36979</v>
      </c>
      <c r="J10710" t="s">
        <v>5476</v>
      </c>
      <c r="K10710" t="s">
        <v>36980</v>
      </c>
      <c r="L10710" t="s">
        <v>5471</v>
      </c>
      <c r="M10710" t="s">
        <v>5471</v>
      </c>
    </row>
    <row r="10711" spans="1:13" x14ac:dyDescent="0.3">
      <c r="A10711" t="s">
        <v>3388</v>
      </c>
      <c r="B10711" t="s">
        <v>7088</v>
      </c>
      <c r="C10711" t="s">
        <v>5470</v>
      </c>
      <c r="D10711" t="s">
        <v>4119</v>
      </c>
      <c r="E10711" t="s">
        <v>5532</v>
      </c>
      <c r="F10711" t="s">
        <v>36981</v>
      </c>
      <c r="G10711" t="s">
        <v>31037</v>
      </c>
      <c r="H10711" t="s">
        <v>5474</v>
      </c>
      <c r="I10711" t="s">
        <v>36982</v>
      </c>
      <c r="J10711" t="s">
        <v>5476</v>
      </c>
      <c r="K10711" t="s">
        <v>36983</v>
      </c>
      <c r="L10711" t="s">
        <v>5471</v>
      </c>
      <c r="M10711" t="s">
        <v>5471</v>
      </c>
    </row>
    <row r="10712" spans="1:13" x14ac:dyDescent="0.3">
      <c r="A10712" t="s">
        <v>3388</v>
      </c>
      <c r="B10712" t="s">
        <v>36984</v>
      </c>
      <c r="C10712" t="s">
        <v>5470</v>
      </c>
      <c r="D10712" t="s">
        <v>4119</v>
      </c>
      <c r="E10712" t="s">
        <v>5532</v>
      </c>
      <c r="F10712" t="s">
        <v>36985</v>
      </c>
      <c r="G10712" t="s">
        <v>36986</v>
      </c>
      <c r="H10712" t="s">
        <v>5474</v>
      </c>
      <c r="I10712" t="s">
        <v>36987</v>
      </c>
      <c r="J10712" t="s">
        <v>5476</v>
      </c>
      <c r="K10712" t="s">
        <v>36988</v>
      </c>
      <c r="L10712" t="s">
        <v>5471</v>
      </c>
      <c r="M10712" t="s">
        <v>5471</v>
      </c>
    </row>
    <row r="10713" spans="1:13" x14ac:dyDescent="0.3">
      <c r="A10713" t="s">
        <v>3388</v>
      </c>
      <c r="B10713" t="s">
        <v>11186</v>
      </c>
      <c r="C10713" t="s">
        <v>5470</v>
      </c>
      <c r="D10713" t="s">
        <v>4119</v>
      </c>
      <c r="E10713" t="s">
        <v>5532</v>
      </c>
      <c r="F10713" t="s">
        <v>36989</v>
      </c>
      <c r="G10713" t="s">
        <v>23916</v>
      </c>
      <c r="H10713" t="s">
        <v>5474</v>
      </c>
      <c r="I10713" t="s">
        <v>36990</v>
      </c>
      <c r="J10713" t="s">
        <v>5476</v>
      </c>
      <c r="K10713" t="s">
        <v>36991</v>
      </c>
      <c r="L10713" t="s">
        <v>5471</v>
      </c>
      <c r="M10713" t="s">
        <v>5471</v>
      </c>
    </row>
    <row r="10714" spans="1:13" x14ac:dyDescent="0.3">
      <c r="A10714" t="s">
        <v>3388</v>
      </c>
      <c r="B10714" t="s">
        <v>11186</v>
      </c>
      <c r="C10714" t="s">
        <v>5470</v>
      </c>
      <c r="D10714" t="s">
        <v>4119</v>
      </c>
      <c r="E10714" t="s">
        <v>5532</v>
      </c>
      <c r="F10714" t="s">
        <v>36992</v>
      </c>
      <c r="G10714" t="s">
        <v>23916</v>
      </c>
      <c r="H10714" t="s">
        <v>5474</v>
      </c>
      <c r="I10714" t="s">
        <v>36993</v>
      </c>
      <c r="J10714" t="s">
        <v>5476</v>
      </c>
      <c r="K10714" t="s">
        <v>36994</v>
      </c>
      <c r="L10714" t="s">
        <v>5471</v>
      </c>
      <c r="M10714" t="s">
        <v>5471</v>
      </c>
    </row>
    <row r="10715" spans="1:13" x14ac:dyDescent="0.3">
      <c r="A10715" t="s">
        <v>3388</v>
      </c>
      <c r="B10715" t="s">
        <v>30859</v>
      </c>
      <c r="C10715" t="s">
        <v>5470</v>
      </c>
      <c r="D10715" t="s">
        <v>9833</v>
      </c>
      <c r="E10715" t="s">
        <v>5532</v>
      </c>
      <c r="F10715" t="s">
        <v>36995</v>
      </c>
      <c r="G10715" t="s">
        <v>30861</v>
      </c>
      <c r="H10715" t="s">
        <v>5474</v>
      </c>
      <c r="I10715" t="s">
        <v>36996</v>
      </c>
      <c r="J10715" t="s">
        <v>5476</v>
      </c>
      <c r="K10715" t="s">
        <v>36997</v>
      </c>
      <c r="L10715" t="s">
        <v>5471</v>
      </c>
      <c r="M10715" t="s">
        <v>5471</v>
      </c>
    </row>
    <row r="10716" spans="1:13" x14ac:dyDescent="0.3">
      <c r="A10716" t="s">
        <v>3388</v>
      </c>
      <c r="B10716" t="s">
        <v>30859</v>
      </c>
      <c r="C10716" t="s">
        <v>5470</v>
      </c>
      <c r="D10716" t="s">
        <v>9833</v>
      </c>
      <c r="E10716" t="s">
        <v>5532</v>
      </c>
      <c r="F10716" t="s">
        <v>36998</v>
      </c>
      <c r="G10716" t="s">
        <v>30861</v>
      </c>
      <c r="H10716" t="s">
        <v>5474</v>
      </c>
      <c r="I10716" t="s">
        <v>36999</v>
      </c>
      <c r="J10716" t="s">
        <v>5476</v>
      </c>
      <c r="K10716" t="s">
        <v>37000</v>
      </c>
      <c r="L10716" t="s">
        <v>5471</v>
      </c>
      <c r="M10716" t="s">
        <v>5471</v>
      </c>
    </row>
    <row r="10717" spans="1:13" x14ac:dyDescent="0.3">
      <c r="A10717" t="s">
        <v>3388</v>
      </c>
      <c r="B10717" t="s">
        <v>24112</v>
      </c>
      <c r="C10717" t="s">
        <v>5470</v>
      </c>
      <c r="D10717" t="s">
        <v>9833</v>
      </c>
      <c r="E10717" t="s">
        <v>5532</v>
      </c>
      <c r="F10717" t="s">
        <v>37001</v>
      </c>
      <c r="G10717" t="s">
        <v>24114</v>
      </c>
      <c r="H10717" t="s">
        <v>5474</v>
      </c>
      <c r="I10717" t="s">
        <v>37002</v>
      </c>
      <c r="J10717" t="s">
        <v>5476</v>
      </c>
      <c r="K10717" t="s">
        <v>37003</v>
      </c>
      <c r="L10717" t="s">
        <v>5471</v>
      </c>
      <c r="M10717" t="s">
        <v>5471</v>
      </c>
    </row>
    <row r="10718" spans="1:13" x14ac:dyDescent="0.3">
      <c r="A10718" t="s">
        <v>3388</v>
      </c>
      <c r="B10718" t="s">
        <v>24112</v>
      </c>
      <c r="C10718" t="s">
        <v>5470</v>
      </c>
      <c r="D10718" t="s">
        <v>9833</v>
      </c>
      <c r="E10718" t="s">
        <v>5532</v>
      </c>
      <c r="F10718" t="s">
        <v>37004</v>
      </c>
      <c r="G10718" t="s">
        <v>24114</v>
      </c>
      <c r="H10718" t="s">
        <v>5474</v>
      </c>
      <c r="I10718" t="s">
        <v>37005</v>
      </c>
      <c r="J10718" t="s">
        <v>5476</v>
      </c>
      <c r="K10718" t="s">
        <v>37006</v>
      </c>
      <c r="L10718" t="s">
        <v>5471</v>
      </c>
      <c r="M10718" t="s">
        <v>5471</v>
      </c>
    </row>
    <row r="10719" spans="1:13" x14ac:dyDescent="0.3">
      <c r="A10719" t="s">
        <v>3388</v>
      </c>
      <c r="B10719" t="s">
        <v>24112</v>
      </c>
      <c r="C10719" t="s">
        <v>5470</v>
      </c>
      <c r="D10719" t="s">
        <v>9833</v>
      </c>
      <c r="E10719" t="s">
        <v>5532</v>
      </c>
      <c r="F10719" t="s">
        <v>37007</v>
      </c>
      <c r="G10719" t="s">
        <v>24114</v>
      </c>
      <c r="H10719" t="s">
        <v>5474</v>
      </c>
      <c r="I10719" t="s">
        <v>37008</v>
      </c>
      <c r="J10719" t="s">
        <v>5476</v>
      </c>
      <c r="K10719" t="s">
        <v>37009</v>
      </c>
      <c r="L10719" t="s">
        <v>5471</v>
      </c>
      <c r="M10719" t="s">
        <v>5471</v>
      </c>
    </row>
    <row r="10720" spans="1:13" x14ac:dyDescent="0.3">
      <c r="A10720" t="s">
        <v>3388</v>
      </c>
      <c r="B10720" t="s">
        <v>24112</v>
      </c>
      <c r="C10720" t="s">
        <v>5470</v>
      </c>
      <c r="D10720" t="s">
        <v>9833</v>
      </c>
      <c r="E10720" t="s">
        <v>5532</v>
      </c>
      <c r="F10720" t="s">
        <v>37010</v>
      </c>
      <c r="G10720" t="s">
        <v>24114</v>
      </c>
      <c r="H10720" t="s">
        <v>5474</v>
      </c>
      <c r="I10720" t="s">
        <v>37011</v>
      </c>
      <c r="J10720" t="s">
        <v>5476</v>
      </c>
      <c r="K10720" t="s">
        <v>37012</v>
      </c>
      <c r="L10720" t="s">
        <v>5471</v>
      </c>
      <c r="M10720" t="s">
        <v>5471</v>
      </c>
    </row>
    <row r="10721" spans="1:13" x14ac:dyDescent="0.3">
      <c r="A10721" t="s">
        <v>3388</v>
      </c>
      <c r="B10721" t="s">
        <v>18660</v>
      </c>
      <c r="C10721" t="s">
        <v>5470</v>
      </c>
      <c r="D10721" t="s">
        <v>9833</v>
      </c>
      <c r="E10721" t="s">
        <v>5756</v>
      </c>
      <c r="F10721" t="s">
        <v>37013</v>
      </c>
      <c r="G10721" t="s">
        <v>18662</v>
      </c>
      <c r="H10721" t="s">
        <v>5474</v>
      </c>
      <c r="I10721" t="s">
        <v>37014</v>
      </c>
      <c r="J10721" t="s">
        <v>5476</v>
      </c>
      <c r="K10721" t="s">
        <v>37015</v>
      </c>
      <c r="L10721" t="s">
        <v>5471</v>
      </c>
      <c r="M10721" t="s">
        <v>5471</v>
      </c>
    </row>
    <row r="10722" spans="1:13" x14ac:dyDescent="0.3">
      <c r="A10722" t="s">
        <v>3388</v>
      </c>
      <c r="B10722" t="s">
        <v>18660</v>
      </c>
      <c r="C10722" t="s">
        <v>5470</v>
      </c>
      <c r="D10722" t="s">
        <v>9833</v>
      </c>
      <c r="E10722" t="s">
        <v>5756</v>
      </c>
      <c r="F10722" t="s">
        <v>37016</v>
      </c>
      <c r="G10722" t="s">
        <v>18662</v>
      </c>
      <c r="H10722" t="s">
        <v>5474</v>
      </c>
      <c r="I10722" t="s">
        <v>37017</v>
      </c>
      <c r="J10722" t="s">
        <v>5476</v>
      </c>
      <c r="K10722" t="s">
        <v>37018</v>
      </c>
      <c r="L10722" t="s">
        <v>5471</v>
      </c>
      <c r="M10722" t="s">
        <v>5471</v>
      </c>
    </row>
    <row r="10723" spans="1:13" x14ac:dyDescent="0.3">
      <c r="A10723" t="s">
        <v>3388</v>
      </c>
      <c r="B10723" t="s">
        <v>18660</v>
      </c>
      <c r="C10723" t="s">
        <v>5470</v>
      </c>
      <c r="D10723" t="s">
        <v>9833</v>
      </c>
      <c r="E10723" t="s">
        <v>5756</v>
      </c>
      <c r="F10723" t="s">
        <v>37019</v>
      </c>
      <c r="G10723" t="s">
        <v>18662</v>
      </c>
      <c r="H10723" t="s">
        <v>5474</v>
      </c>
      <c r="I10723" t="s">
        <v>37020</v>
      </c>
      <c r="J10723" t="s">
        <v>5476</v>
      </c>
      <c r="K10723" t="s">
        <v>37021</v>
      </c>
      <c r="L10723" t="s">
        <v>5471</v>
      </c>
      <c r="M10723" t="s">
        <v>5471</v>
      </c>
    </row>
    <row r="10724" spans="1:13" x14ac:dyDescent="0.3">
      <c r="A10724" t="s">
        <v>3388</v>
      </c>
      <c r="B10724" t="s">
        <v>18660</v>
      </c>
      <c r="C10724" t="s">
        <v>5470</v>
      </c>
      <c r="D10724" t="s">
        <v>9833</v>
      </c>
      <c r="E10724" t="s">
        <v>5756</v>
      </c>
      <c r="F10724" t="s">
        <v>37022</v>
      </c>
      <c r="G10724" t="s">
        <v>18662</v>
      </c>
      <c r="H10724" t="s">
        <v>5474</v>
      </c>
      <c r="I10724" t="s">
        <v>37023</v>
      </c>
      <c r="J10724" t="s">
        <v>5476</v>
      </c>
      <c r="K10724" t="s">
        <v>37024</v>
      </c>
      <c r="L10724" t="s">
        <v>5471</v>
      </c>
      <c r="M10724" t="s">
        <v>5471</v>
      </c>
    </row>
    <row r="10725" spans="1:13" x14ac:dyDescent="0.3">
      <c r="A10725" t="s">
        <v>3388</v>
      </c>
      <c r="B10725" t="s">
        <v>18660</v>
      </c>
      <c r="C10725" t="s">
        <v>5470</v>
      </c>
      <c r="D10725" t="s">
        <v>9833</v>
      </c>
      <c r="E10725" t="s">
        <v>5756</v>
      </c>
      <c r="F10725" t="s">
        <v>37025</v>
      </c>
      <c r="G10725" t="s">
        <v>18662</v>
      </c>
      <c r="H10725" t="s">
        <v>5474</v>
      </c>
      <c r="I10725" t="s">
        <v>37026</v>
      </c>
      <c r="J10725" t="s">
        <v>5476</v>
      </c>
      <c r="K10725" t="s">
        <v>37027</v>
      </c>
      <c r="L10725" t="s">
        <v>5471</v>
      </c>
      <c r="M10725" t="s">
        <v>5471</v>
      </c>
    </row>
    <row r="10726" spans="1:13" x14ac:dyDescent="0.3">
      <c r="A10726" t="s">
        <v>3388</v>
      </c>
      <c r="B10726" t="s">
        <v>18660</v>
      </c>
      <c r="C10726" t="s">
        <v>5470</v>
      </c>
      <c r="D10726" t="s">
        <v>9833</v>
      </c>
      <c r="E10726" t="s">
        <v>5756</v>
      </c>
      <c r="F10726" t="s">
        <v>37028</v>
      </c>
      <c r="G10726" t="s">
        <v>18662</v>
      </c>
      <c r="H10726" t="s">
        <v>5474</v>
      </c>
      <c r="I10726" t="s">
        <v>37029</v>
      </c>
      <c r="J10726" t="s">
        <v>5476</v>
      </c>
      <c r="K10726" t="s">
        <v>37030</v>
      </c>
      <c r="L10726" t="s">
        <v>5471</v>
      </c>
      <c r="M10726" t="s">
        <v>5471</v>
      </c>
    </row>
    <row r="10727" spans="1:13" x14ac:dyDescent="0.3">
      <c r="A10727" t="s">
        <v>3388</v>
      </c>
      <c r="B10727" t="s">
        <v>30702</v>
      </c>
      <c r="C10727" t="s">
        <v>5470</v>
      </c>
      <c r="D10727" t="s">
        <v>9833</v>
      </c>
      <c r="E10727" t="s">
        <v>5756</v>
      </c>
      <c r="F10727" t="s">
        <v>37031</v>
      </c>
      <c r="G10727" t="s">
        <v>30704</v>
      </c>
      <c r="H10727" t="s">
        <v>5474</v>
      </c>
      <c r="I10727" t="s">
        <v>37032</v>
      </c>
      <c r="J10727" t="s">
        <v>5476</v>
      </c>
      <c r="K10727" t="s">
        <v>37033</v>
      </c>
      <c r="L10727" t="s">
        <v>5471</v>
      </c>
      <c r="M10727" t="s">
        <v>5471</v>
      </c>
    </row>
    <row r="10728" spans="1:13" x14ac:dyDescent="0.3">
      <c r="A10728" t="s">
        <v>3388</v>
      </c>
      <c r="B10728" t="s">
        <v>30702</v>
      </c>
      <c r="C10728" t="s">
        <v>5470</v>
      </c>
      <c r="D10728" t="s">
        <v>9833</v>
      </c>
      <c r="E10728" t="s">
        <v>5756</v>
      </c>
      <c r="F10728" t="s">
        <v>37034</v>
      </c>
      <c r="G10728" t="s">
        <v>30704</v>
      </c>
      <c r="H10728" t="s">
        <v>5474</v>
      </c>
      <c r="I10728" t="s">
        <v>37035</v>
      </c>
      <c r="J10728" t="s">
        <v>5476</v>
      </c>
      <c r="K10728" t="s">
        <v>37036</v>
      </c>
      <c r="L10728" t="s">
        <v>5471</v>
      </c>
      <c r="M10728" t="s">
        <v>5471</v>
      </c>
    </row>
    <row r="10729" spans="1:13" x14ac:dyDescent="0.3">
      <c r="A10729" t="s">
        <v>3388</v>
      </c>
      <c r="B10729" t="s">
        <v>30702</v>
      </c>
      <c r="C10729" t="s">
        <v>5470</v>
      </c>
      <c r="D10729" t="s">
        <v>9833</v>
      </c>
      <c r="E10729" t="s">
        <v>5756</v>
      </c>
      <c r="F10729" t="s">
        <v>37037</v>
      </c>
      <c r="G10729" t="s">
        <v>30704</v>
      </c>
      <c r="H10729" t="s">
        <v>5474</v>
      </c>
      <c r="I10729" t="s">
        <v>37038</v>
      </c>
      <c r="J10729" t="s">
        <v>5476</v>
      </c>
      <c r="K10729" t="s">
        <v>37039</v>
      </c>
      <c r="L10729" t="s">
        <v>5471</v>
      </c>
      <c r="M10729" t="s">
        <v>5471</v>
      </c>
    </row>
    <row r="10730" spans="1:13" x14ac:dyDescent="0.3">
      <c r="A10730" t="s">
        <v>3388</v>
      </c>
      <c r="B10730" t="s">
        <v>30702</v>
      </c>
      <c r="C10730" t="s">
        <v>5470</v>
      </c>
      <c r="D10730" t="s">
        <v>9833</v>
      </c>
      <c r="E10730" t="s">
        <v>5756</v>
      </c>
      <c r="F10730" t="s">
        <v>37040</v>
      </c>
      <c r="G10730" t="s">
        <v>30704</v>
      </c>
      <c r="H10730" t="s">
        <v>5474</v>
      </c>
      <c r="I10730" t="s">
        <v>37041</v>
      </c>
      <c r="J10730" t="s">
        <v>5476</v>
      </c>
      <c r="K10730" t="s">
        <v>37042</v>
      </c>
      <c r="L10730" t="s">
        <v>5471</v>
      </c>
      <c r="M10730" t="s">
        <v>5471</v>
      </c>
    </row>
    <row r="10731" spans="1:13" x14ac:dyDescent="0.3">
      <c r="A10731" t="s">
        <v>3388</v>
      </c>
      <c r="B10731" t="s">
        <v>30702</v>
      </c>
      <c r="C10731" t="s">
        <v>5470</v>
      </c>
      <c r="D10731" t="s">
        <v>9833</v>
      </c>
      <c r="E10731" t="s">
        <v>5756</v>
      </c>
      <c r="F10731" t="s">
        <v>37043</v>
      </c>
      <c r="G10731" t="s">
        <v>30704</v>
      </c>
      <c r="H10731" t="s">
        <v>5474</v>
      </c>
      <c r="I10731" t="s">
        <v>37044</v>
      </c>
      <c r="J10731" t="s">
        <v>5476</v>
      </c>
      <c r="K10731" t="s">
        <v>37045</v>
      </c>
      <c r="L10731" t="s">
        <v>5471</v>
      </c>
      <c r="M10731" t="s">
        <v>5471</v>
      </c>
    </row>
    <row r="10732" spans="1:13" x14ac:dyDescent="0.3">
      <c r="A10732" t="s">
        <v>3388</v>
      </c>
      <c r="B10732" t="s">
        <v>30702</v>
      </c>
      <c r="C10732" t="s">
        <v>5470</v>
      </c>
      <c r="D10732" t="s">
        <v>9833</v>
      </c>
      <c r="E10732" t="s">
        <v>5756</v>
      </c>
      <c r="F10732" t="s">
        <v>37046</v>
      </c>
      <c r="G10732" t="s">
        <v>30704</v>
      </c>
      <c r="H10732" t="s">
        <v>5474</v>
      </c>
      <c r="I10732" t="s">
        <v>37047</v>
      </c>
      <c r="J10732" t="s">
        <v>5476</v>
      </c>
      <c r="K10732" t="s">
        <v>37048</v>
      </c>
      <c r="L10732" t="s">
        <v>5471</v>
      </c>
      <c r="M10732" t="s">
        <v>5471</v>
      </c>
    </row>
    <row r="10733" spans="1:13" x14ac:dyDescent="0.3">
      <c r="A10733" t="s">
        <v>3388</v>
      </c>
      <c r="B10733" t="s">
        <v>10496</v>
      </c>
      <c r="C10733" t="s">
        <v>5470</v>
      </c>
      <c r="D10733" t="s">
        <v>9833</v>
      </c>
      <c r="E10733" t="s">
        <v>5532</v>
      </c>
      <c r="F10733" t="s">
        <v>37049</v>
      </c>
      <c r="G10733" t="s">
        <v>10498</v>
      </c>
      <c r="H10733" t="s">
        <v>5474</v>
      </c>
      <c r="I10733" t="s">
        <v>37050</v>
      </c>
      <c r="J10733" t="s">
        <v>5476</v>
      </c>
      <c r="K10733" t="s">
        <v>37051</v>
      </c>
      <c r="L10733" t="s">
        <v>5471</v>
      </c>
      <c r="M10733" t="s">
        <v>5471</v>
      </c>
    </row>
    <row r="10734" spans="1:13" x14ac:dyDescent="0.3">
      <c r="A10734" t="s">
        <v>3388</v>
      </c>
      <c r="B10734" t="s">
        <v>10496</v>
      </c>
      <c r="C10734" t="s">
        <v>5470</v>
      </c>
      <c r="D10734" t="s">
        <v>9833</v>
      </c>
      <c r="E10734" t="s">
        <v>5532</v>
      </c>
      <c r="F10734" t="s">
        <v>37052</v>
      </c>
      <c r="G10734" t="s">
        <v>10498</v>
      </c>
      <c r="H10734" t="s">
        <v>5474</v>
      </c>
      <c r="I10734" t="s">
        <v>37053</v>
      </c>
      <c r="J10734" t="s">
        <v>5476</v>
      </c>
      <c r="K10734" t="s">
        <v>37054</v>
      </c>
      <c r="L10734" t="s">
        <v>5471</v>
      </c>
      <c r="M10734" t="s">
        <v>5471</v>
      </c>
    </row>
    <row r="10735" spans="1:13" x14ac:dyDescent="0.3">
      <c r="A10735" t="s">
        <v>3388</v>
      </c>
      <c r="B10735" t="s">
        <v>10496</v>
      </c>
      <c r="C10735" t="s">
        <v>5470</v>
      </c>
      <c r="D10735" t="s">
        <v>9833</v>
      </c>
      <c r="E10735" t="s">
        <v>5532</v>
      </c>
      <c r="F10735" t="s">
        <v>37055</v>
      </c>
      <c r="G10735" t="s">
        <v>10498</v>
      </c>
      <c r="H10735" t="s">
        <v>5474</v>
      </c>
      <c r="I10735" t="s">
        <v>37056</v>
      </c>
      <c r="J10735" t="s">
        <v>5476</v>
      </c>
      <c r="K10735" t="s">
        <v>37057</v>
      </c>
      <c r="L10735" t="s">
        <v>5471</v>
      </c>
      <c r="M10735" t="s">
        <v>5471</v>
      </c>
    </row>
    <row r="10736" spans="1:13" x14ac:dyDescent="0.3">
      <c r="A10736" t="s">
        <v>3388</v>
      </c>
      <c r="B10736" t="s">
        <v>10496</v>
      </c>
      <c r="C10736" t="s">
        <v>5470</v>
      </c>
      <c r="D10736" t="s">
        <v>9833</v>
      </c>
      <c r="E10736" t="s">
        <v>5532</v>
      </c>
      <c r="F10736" t="s">
        <v>37058</v>
      </c>
      <c r="G10736" t="s">
        <v>10498</v>
      </c>
      <c r="H10736" t="s">
        <v>5474</v>
      </c>
      <c r="I10736" t="s">
        <v>37059</v>
      </c>
      <c r="J10736" t="s">
        <v>5476</v>
      </c>
      <c r="K10736" t="s">
        <v>37060</v>
      </c>
      <c r="L10736" t="s">
        <v>5471</v>
      </c>
      <c r="M10736" t="s">
        <v>5471</v>
      </c>
    </row>
    <row r="10737" spans="1:13" x14ac:dyDescent="0.3">
      <c r="A10737" t="s">
        <v>3388</v>
      </c>
      <c r="B10737" t="s">
        <v>10496</v>
      </c>
      <c r="C10737" t="s">
        <v>5470</v>
      </c>
      <c r="D10737" t="s">
        <v>9833</v>
      </c>
      <c r="E10737" t="s">
        <v>5532</v>
      </c>
      <c r="F10737" t="s">
        <v>37061</v>
      </c>
      <c r="G10737" t="s">
        <v>10498</v>
      </c>
      <c r="H10737" t="s">
        <v>5474</v>
      </c>
      <c r="I10737" t="s">
        <v>37062</v>
      </c>
      <c r="J10737" t="s">
        <v>5476</v>
      </c>
      <c r="K10737" t="s">
        <v>37063</v>
      </c>
      <c r="L10737" t="s">
        <v>5471</v>
      </c>
      <c r="M10737" t="s">
        <v>5471</v>
      </c>
    </row>
    <row r="10738" spans="1:13" x14ac:dyDescent="0.3">
      <c r="A10738" t="s">
        <v>3388</v>
      </c>
      <c r="B10738" t="s">
        <v>10496</v>
      </c>
      <c r="C10738" t="s">
        <v>5470</v>
      </c>
      <c r="D10738" t="s">
        <v>9833</v>
      </c>
      <c r="E10738" t="s">
        <v>5532</v>
      </c>
      <c r="F10738" t="s">
        <v>37064</v>
      </c>
      <c r="G10738" t="s">
        <v>10498</v>
      </c>
      <c r="H10738" t="s">
        <v>5474</v>
      </c>
      <c r="I10738" t="s">
        <v>37065</v>
      </c>
      <c r="J10738" t="s">
        <v>5476</v>
      </c>
      <c r="K10738" t="s">
        <v>37066</v>
      </c>
      <c r="L10738" t="s">
        <v>5471</v>
      </c>
      <c r="M10738" t="s">
        <v>5471</v>
      </c>
    </row>
    <row r="10739" spans="1:13" x14ac:dyDescent="0.3">
      <c r="A10739" t="s">
        <v>3388</v>
      </c>
      <c r="B10739" t="s">
        <v>10496</v>
      </c>
      <c r="C10739" t="s">
        <v>5470</v>
      </c>
      <c r="D10739" t="s">
        <v>9833</v>
      </c>
      <c r="E10739" t="s">
        <v>5532</v>
      </c>
      <c r="F10739" t="s">
        <v>37067</v>
      </c>
      <c r="G10739" t="s">
        <v>10498</v>
      </c>
      <c r="H10739" t="s">
        <v>5474</v>
      </c>
      <c r="I10739" t="s">
        <v>37068</v>
      </c>
      <c r="J10739" t="s">
        <v>5476</v>
      </c>
      <c r="K10739" t="s">
        <v>37069</v>
      </c>
      <c r="L10739" t="s">
        <v>5471</v>
      </c>
      <c r="M10739" t="s">
        <v>5471</v>
      </c>
    </row>
    <row r="10740" spans="1:13" x14ac:dyDescent="0.3">
      <c r="A10740" t="s">
        <v>3388</v>
      </c>
      <c r="B10740" t="s">
        <v>10496</v>
      </c>
      <c r="C10740" t="s">
        <v>5470</v>
      </c>
      <c r="D10740" t="s">
        <v>9833</v>
      </c>
      <c r="E10740" t="s">
        <v>5532</v>
      </c>
      <c r="F10740" t="s">
        <v>37070</v>
      </c>
      <c r="G10740" t="s">
        <v>10498</v>
      </c>
      <c r="H10740" t="s">
        <v>5474</v>
      </c>
      <c r="I10740" t="s">
        <v>37071</v>
      </c>
      <c r="J10740" t="s">
        <v>5476</v>
      </c>
      <c r="K10740" t="s">
        <v>37072</v>
      </c>
      <c r="L10740" t="s">
        <v>5471</v>
      </c>
      <c r="M10740" t="s">
        <v>5471</v>
      </c>
    </row>
    <row r="10741" spans="1:13" x14ac:dyDescent="0.3">
      <c r="A10741" t="s">
        <v>3388</v>
      </c>
      <c r="B10741" t="s">
        <v>10496</v>
      </c>
      <c r="C10741" t="s">
        <v>5470</v>
      </c>
      <c r="D10741" t="s">
        <v>9833</v>
      </c>
      <c r="E10741" t="s">
        <v>5532</v>
      </c>
      <c r="F10741" t="s">
        <v>37073</v>
      </c>
      <c r="G10741" t="s">
        <v>10498</v>
      </c>
      <c r="H10741" t="s">
        <v>5474</v>
      </c>
      <c r="I10741" t="s">
        <v>37074</v>
      </c>
      <c r="J10741" t="s">
        <v>5476</v>
      </c>
      <c r="K10741" t="s">
        <v>37075</v>
      </c>
      <c r="L10741" t="s">
        <v>5471</v>
      </c>
      <c r="M10741" t="s">
        <v>5471</v>
      </c>
    </row>
    <row r="10742" spans="1:13" x14ac:dyDescent="0.3">
      <c r="A10742" t="s">
        <v>3388</v>
      </c>
      <c r="B10742" t="s">
        <v>5335</v>
      </c>
      <c r="C10742" t="s">
        <v>5470</v>
      </c>
      <c r="D10742" t="s">
        <v>4119</v>
      </c>
      <c r="E10742" t="s">
        <v>5532</v>
      </c>
      <c r="F10742" t="s">
        <v>37076</v>
      </c>
      <c r="G10742" t="s">
        <v>36604</v>
      </c>
      <c r="H10742" t="s">
        <v>5474</v>
      </c>
      <c r="I10742" t="s">
        <v>37077</v>
      </c>
      <c r="J10742" t="s">
        <v>5476</v>
      </c>
      <c r="K10742" t="s">
        <v>37078</v>
      </c>
      <c r="L10742" t="s">
        <v>5471</v>
      </c>
      <c r="M10742" t="s">
        <v>5471</v>
      </c>
    </row>
    <row r="10743" spans="1:13" x14ac:dyDescent="0.3">
      <c r="A10743" t="s">
        <v>3388</v>
      </c>
      <c r="B10743" t="s">
        <v>5335</v>
      </c>
      <c r="C10743" t="s">
        <v>5470</v>
      </c>
      <c r="D10743" t="s">
        <v>4119</v>
      </c>
      <c r="E10743" t="s">
        <v>5532</v>
      </c>
      <c r="F10743" t="s">
        <v>37079</v>
      </c>
      <c r="G10743" t="s">
        <v>36604</v>
      </c>
      <c r="H10743" t="s">
        <v>5474</v>
      </c>
      <c r="I10743" t="s">
        <v>37080</v>
      </c>
      <c r="J10743" t="s">
        <v>5476</v>
      </c>
      <c r="K10743" t="s">
        <v>37081</v>
      </c>
      <c r="L10743" t="s">
        <v>5471</v>
      </c>
      <c r="M10743" t="s">
        <v>5471</v>
      </c>
    </row>
    <row r="10744" spans="1:13" x14ac:dyDescent="0.3">
      <c r="A10744" t="s">
        <v>3388</v>
      </c>
      <c r="B10744" t="s">
        <v>15946</v>
      </c>
      <c r="C10744" t="s">
        <v>5470</v>
      </c>
      <c r="D10744" t="s">
        <v>4119</v>
      </c>
      <c r="E10744" t="s">
        <v>5532</v>
      </c>
      <c r="F10744" t="s">
        <v>37082</v>
      </c>
      <c r="G10744" t="s">
        <v>32698</v>
      </c>
      <c r="H10744" t="s">
        <v>5474</v>
      </c>
      <c r="I10744" t="s">
        <v>37083</v>
      </c>
      <c r="J10744" t="s">
        <v>5476</v>
      </c>
      <c r="K10744" t="s">
        <v>37084</v>
      </c>
      <c r="L10744" t="s">
        <v>5471</v>
      </c>
      <c r="M10744" t="s">
        <v>5471</v>
      </c>
    </row>
    <row r="10745" spans="1:13" x14ac:dyDescent="0.3">
      <c r="A10745" t="s">
        <v>3388</v>
      </c>
      <c r="B10745" t="s">
        <v>15946</v>
      </c>
      <c r="C10745" t="s">
        <v>5470</v>
      </c>
      <c r="D10745" t="s">
        <v>4119</v>
      </c>
      <c r="E10745" t="s">
        <v>5532</v>
      </c>
      <c r="F10745" t="s">
        <v>37085</v>
      </c>
      <c r="G10745" t="s">
        <v>32698</v>
      </c>
      <c r="H10745" t="s">
        <v>5474</v>
      </c>
      <c r="I10745" t="s">
        <v>37086</v>
      </c>
      <c r="J10745" t="s">
        <v>5476</v>
      </c>
      <c r="K10745" t="s">
        <v>37087</v>
      </c>
      <c r="L10745" t="s">
        <v>5471</v>
      </c>
      <c r="M10745" t="s">
        <v>5471</v>
      </c>
    </row>
    <row r="10746" spans="1:13" x14ac:dyDescent="0.3">
      <c r="A10746" t="s">
        <v>3388</v>
      </c>
      <c r="B10746" t="s">
        <v>15957</v>
      </c>
      <c r="C10746" t="s">
        <v>5470</v>
      </c>
      <c r="D10746" t="s">
        <v>4119</v>
      </c>
      <c r="E10746" t="s">
        <v>5532</v>
      </c>
      <c r="F10746" t="s">
        <v>37088</v>
      </c>
      <c r="G10746" t="s">
        <v>36604</v>
      </c>
      <c r="H10746" t="s">
        <v>5474</v>
      </c>
      <c r="I10746" t="s">
        <v>37089</v>
      </c>
      <c r="J10746" t="s">
        <v>5476</v>
      </c>
      <c r="K10746" t="s">
        <v>37090</v>
      </c>
      <c r="L10746" t="s">
        <v>5471</v>
      </c>
      <c r="M10746" t="s">
        <v>5471</v>
      </c>
    </row>
    <row r="10747" spans="1:13" x14ac:dyDescent="0.3">
      <c r="A10747" t="s">
        <v>3388</v>
      </c>
      <c r="B10747" t="s">
        <v>15957</v>
      </c>
      <c r="C10747" t="s">
        <v>5470</v>
      </c>
      <c r="D10747" t="s">
        <v>4119</v>
      </c>
      <c r="E10747" t="s">
        <v>5532</v>
      </c>
      <c r="F10747" t="s">
        <v>37091</v>
      </c>
      <c r="G10747" t="s">
        <v>36604</v>
      </c>
      <c r="H10747" t="s">
        <v>5474</v>
      </c>
      <c r="I10747" t="s">
        <v>37092</v>
      </c>
      <c r="J10747" t="s">
        <v>5476</v>
      </c>
      <c r="K10747" t="s">
        <v>37093</v>
      </c>
      <c r="L10747" t="s">
        <v>5471</v>
      </c>
      <c r="M10747" t="s">
        <v>5471</v>
      </c>
    </row>
    <row r="10748" spans="1:13" x14ac:dyDescent="0.3">
      <c r="A10748" t="s">
        <v>3388</v>
      </c>
      <c r="B10748" t="s">
        <v>17483</v>
      </c>
      <c r="C10748" t="s">
        <v>5470</v>
      </c>
      <c r="D10748" t="s">
        <v>4119</v>
      </c>
      <c r="E10748" t="s">
        <v>5532</v>
      </c>
      <c r="F10748" t="s">
        <v>37094</v>
      </c>
      <c r="G10748" t="s">
        <v>32698</v>
      </c>
      <c r="H10748" t="s">
        <v>5474</v>
      </c>
      <c r="I10748" t="s">
        <v>37095</v>
      </c>
      <c r="J10748" t="s">
        <v>5476</v>
      </c>
      <c r="K10748" t="s">
        <v>37096</v>
      </c>
      <c r="L10748" t="s">
        <v>5471</v>
      </c>
      <c r="M10748" t="s">
        <v>5471</v>
      </c>
    </row>
    <row r="10749" spans="1:13" x14ac:dyDescent="0.3">
      <c r="A10749" t="s">
        <v>3388</v>
      </c>
      <c r="B10749" t="s">
        <v>17483</v>
      </c>
      <c r="C10749" t="s">
        <v>5470</v>
      </c>
      <c r="D10749" t="s">
        <v>4119</v>
      </c>
      <c r="E10749" t="s">
        <v>5532</v>
      </c>
      <c r="F10749" t="s">
        <v>37097</v>
      </c>
      <c r="G10749" t="s">
        <v>32698</v>
      </c>
      <c r="H10749" t="s">
        <v>5474</v>
      </c>
      <c r="I10749" t="s">
        <v>37098</v>
      </c>
      <c r="J10749" t="s">
        <v>5476</v>
      </c>
      <c r="K10749" t="s">
        <v>37099</v>
      </c>
      <c r="L10749" t="s">
        <v>5471</v>
      </c>
      <c r="M10749" t="s">
        <v>5471</v>
      </c>
    </row>
    <row r="10750" spans="1:13" x14ac:dyDescent="0.3">
      <c r="A10750" t="s">
        <v>3388</v>
      </c>
      <c r="B10750" t="s">
        <v>2749</v>
      </c>
      <c r="C10750" t="s">
        <v>5470</v>
      </c>
      <c r="D10750" t="s">
        <v>4052</v>
      </c>
      <c r="E10750" t="s">
        <v>5643</v>
      </c>
      <c r="F10750" t="s">
        <v>37100</v>
      </c>
      <c r="G10750" t="s">
        <v>10901</v>
      </c>
      <c r="H10750" t="s">
        <v>5474</v>
      </c>
      <c r="I10750" t="s">
        <v>37101</v>
      </c>
      <c r="J10750" t="s">
        <v>5484</v>
      </c>
      <c r="K10750" t="s">
        <v>37102</v>
      </c>
      <c r="L10750" t="s">
        <v>5471</v>
      </c>
      <c r="M10750" t="s">
        <v>5471</v>
      </c>
    </row>
    <row r="10751" spans="1:13" x14ac:dyDescent="0.3">
      <c r="A10751" t="s">
        <v>3388</v>
      </c>
      <c r="B10751" t="s">
        <v>5296</v>
      </c>
      <c r="C10751" t="s">
        <v>5470</v>
      </c>
      <c r="D10751" t="s">
        <v>4052</v>
      </c>
      <c r="E10751" t="s">
        <v>5480</v>
      </c>
      <c r="F10751" t="s">
        <v>37103</v>
      </c>
      <c r="G10751" t="s">
        <v>31633</v>
      </c>
      <c r="H10751" t="s">
        <v>5474</v>
      </c>
      <c r="I10751" t="s">
        <v>37104</v>
      </c>
      <c r="J10751" t="s">
        <v>5484</v>
      </c>
      <c r="K10751" t="s">
        <v>27648</v>
      </c>
      <c r="L10751" t="s">
        <v>5471</v>
      </c>
      <c r="M10751" t="s">
        <v>5471</v>
      </c>
    </row>
    <row r="10752" spans="1:13" x14ac:dyDescent="0.3">
      <c r="A10752" t="s">
        <v>3388</v>
      </c>
      <c r="B10752" t="s">
        <v>8799</v>
      </c>
      <c r="C10752" t="s">
        <v>5470</v>
      </c>
      <c r="D10752" t="s">
        <v>4052</v>
      </c>
      <c r="E10752" t="s">
        <v>5480</v>
      </c>
      <c r="F10752" t="s">
        <v>37105</v>
      </c>
      <c r="G10752" t="s">
        <v>15977</v>
      </c>
      <c r="H10752" t="s">
        <v>5474</v>
      </c>
      <c r="I10752" t="s">
        <v>37106</v>
      </c>
      <c r="J10752" t="s">
        <v>5484</v>
      </c>
      <c r="K10752" t="s">
        <v>37107</v>
      </c>
      <c r="L10752" t="s">
        <v>5471</v>
      </c>
      <c r="M10752" t="s">
        <v>5471</v>
      </c>
    </row>
    <row r="10753" spans="1:13" x14ac:dyDescent="0.3">
      <c r="A10753" t="s">
        <v>3388</v>
      </c>
      <c r="B10753" t="s">
        <v>8799</v>
      </c>
      <c r="C10753" t="s">
        <v>5470</v>
      </c>
      <c r="D10753" t="s">
        <v>4052</v>
      </c>
      <c r="E10753" t="s">
        <v>5480</v>
      </c>
      <c r="F10753" t="s">
        <v>37108</v>
      </c>
      <c r="G10753" t="s">
        <v>37109</v>
      </c>
      <c r="H10753" t="s">
        <v>5474</v>
      </c>
      <c r="I10753" t="s">
        <v>37110</v>
      </c>
      <c r="J10753" t="s">
        <v>5484</v>
      </c>
      <c r="K10753" t="s">
        <v>37111</v>
      </c>
      <c r="L10753" t="s">
        <v>5471</v>
      </c>
      <c r="M10753" t="s">
        <v>5471</v>
      </c>
    </row>
    <row r="10754" spans="1:13" x14ac:dyDescent="0.3">
      <c r="A10754" t="s">
        <v>3388</v>
      </c>
      <c r="B10754" t="s">
        <v>21862</v>
      </c>
      <c r="C10754" t="s">
        <v>5470</v>
      </c>
      <c r="D10754" t="s">
        <v>4052</v>
      </c>
      <c r="E10754" t="s">
        <v>5480</v>
      </c>
      <c r="F10754" t="s">
        <v>37112</v>
      </c>
      <c r="G10754" t="s">
        <v>21864</v>
      </c>
      <c r="H10754" t="s">
        <v>5474</v>
      </c>
      <c r="I10754" t="s">
        <v>37113</v>
      </c>
      <c r="J10754" t="s">
        <v>5484</v>
      </c>
      <c r="K10754" t="s">
        <v>36877</v>
      </c>
      <c r="L10754" t="s">
        <v>5471</v>
      </c>
      <c r="M10754" t="s">
        <v>5471</v>
      </c>
    </row>
    <row r="10755" spans="1:13" x14ac:dyDescent="0.3">
      <c r="A10755" t="s">
        <v>3388</v>
      </c>
      <c r="B10755" t="s">
        <v>19024</v>
      </c>
      <c r="C10755" t="s">
        <v>5470</v>
      </c>
      <c r="D10755" t="s">
        <v>4052</v>
      </c>
      <c r="E10755" t="s">
        <v>5480</v>
      </c>
      <c r="F10755" t="s">
        <v>37114</v>
      </c>
      <c r="G10755" t="s">
        <v>37115</v>
      </c>
      <c r="H10755" t="s">
        <v>5474</v>
      </c>
      <c r="I10755" t="s">
        <v>37116</v>
      </c>
      <c r="J10755" t="s">
        <v>5484</v>
      </c>
      <c r="K10755" t="s">
        <v>36877</v>
      </c>
      <c r="L10755" t="s">
        <v>5471</v>
      </c>
      <c r="M10755" t="s">
        <v>5471</v>
      </c>
    </row>
    <row r="10756" spans="1:13" x14ac:dyDescent="0.3">
      <c r="A10756" t="s">
        <v>3388</v>
      </c>
      <c r="B10756" t="s">
        <v>19024</v>
      </c>
      <c r="C10756" t="s">
        <v>5470</v>
      </c>
      <c r="D10756" t="s">
        <v>4052</v>
      </c>
      <c r="E10756" t="s">
        <v>5480</v>
      </c>
      <c r="F10756" t="s">
        <v>37117</v>
      </c>
      <c r="G10756" t="s">
        <v>37118</v>
      </c>
      <c r="H10756" t="s">
        <v>5474</v>
      </c>
      <c r="I10756" t="s">
        <v>37119</v>
      </c>
      <c r="J10756" t="s">
        <v>5484</v>
      </c>
      <c r="K10756" t="s">
        <v>36935</v>
      </c>
      <c r="L10756" t="s">
        <v>5471</v>
      </c>
      <c r="M10756" t="s">
        <v>5471</v>
      </c>
    </row>
    <row r="10757" spans="1:13" x14ac:dyDescent="0.3">
      <c r="A10757" t="s">
        <v>3388</v>
      </c>
      <c r="B10757" t="s">
        <v>8799</v>
      </c>
      <c r="C10757" t="s">
        <v>5470</v>
      </c>
      <c r="D10757" t="s">
        <v>4052</v>
      </c>
      <c r="E10757" t="s">
        <v>5480</v>
      </c>
      <c r="F10757" t="s">
        <v>37120</v>
      </c>
      <c r="G10757" t="s">
        <v>32010</v>
      </c>
      <c r="H10757" t="s">
        <v>5474</v>
      </c>
      <c r="I10757" t="s">
        <v>37121</v>
      </c>
      <c r="J10757" t="s">
        <v>5484</v>
      </c>
      <c r="K10757" t="s">
        <v>37122</v>
      </c>
      <c r="L10757" t="s">
        <v>5471</v>
      </c>
      <c r="M10757" t="s">
        <v>5471</v>
      </c>
    </row>
    <row r="10758" spans="1:13" x14ac:dyDescent="0.3">
      <c r="A10758" t="s">
        <v>3388</v>
      </c>
      <c r="B10758" t="s">
        <v>8799</v>
      </c>
      <c r="C10758" t="s">
        <v>5470</v>
      </c>
      <c r="D10758" t="s">
        <v>4052</v>
      </c>
      <c r="E10758" t="s">
        <v>5480</v>
      </c>
      <c r="F10758" t="s">
        <v>37123</v>
      </c>
      <c r="G10758" t="s">
        <v>21565</v>
      </c>
      <c r="H10758" t="s">
        <v>5474</v>
      </c>
      <c r="I10758" t="s">
        <v>37124</v>
      </c>
      <c r="J10758" t="s">
        <v>5484</v>
      </c>
      <c r="K10758" t="s">
        <v>37125</v>
      </c>
      <c r="L10758" t="s">
        <v>5471</v>
      </c>
      <c r="M10758" t="s">
        <v>5471</v>
      </c>
    </row>
    <row r="10759" spans="1:13" x14ac:dyDescent="0.3">
      <c r="A10759" t="s">
        <v>3388</v>
      </c>
      <c r="B10759" t="s">
        <v>8799</v>
      </c>
      <c r="C10759" t="s">
        <v>5470</v>
      </c>
      <c r="D10759" t="s">
        <v>4058</v>
      </c>
      <c r="E10759" t="s">
        <v>5480</v>
      </c>
      <c r="F10759" t="s">
        <v>37126</v>
      </c>
      <c r="G10759" t="s">
        <v>32010</v>
      </c>
      <c r="H10759" t="s">
        <v>5474</v>
      </c>
      <c r="I10759" t="s">
        <v>37127</v>
      </c>
      <c r="J10759" t="s">
        <v>5484</v>
      </c>
      <c r="K10759" t="s">
        <v>37128</v>
      </c>
      <c r="L10759" t="s">
        <v>5471</v>
      </c>
      <c r="M10759" t="s">
        <v>5471</v>
      </c>
    </row>
    <row r="10760" spans="1:13" x14ac:dyDescent="0.3">
      <c r="A10760" t="s">
        <v>3388</v>
      </c>
      <c r="B10760" t="s">
        <v>8799</v>
      </c>
      <c r="C10760" t="s">
        <v>5470</v>
      </c>
      <c r="D10760" t="s">
        <v>4058</v>
      </c>
      <c r="E10760" t="s">
        <v>5480</v>
      </c>
      <c r="F10760" t="s">
        <v>37129</v>
      </c>
      <c r="G10760" t="s">
        <v>32010</v>
      </c>
      <c r="H10760" t="s">
        <v>5474</v>
      </c>
      <c r="I10760" t="s">
        <v>37130</v>
      </c>
      <c r="J10760" t="s">
        <v>5484</v>
      </c>
      <c r="K10760" t="s">
        <v>37131</v>
      </c>
      <c r="L10760" t="s">
        <v>5471</v>
      </c>
      <c r="M10760" t="s">
        <v>5471</v>
      </c>
    </row>
    <row r="10761" spans="1:13" x14ac:dyDescent="0.3">
      <c r="A10761" t="s">
        <v>3388</v>
      </c>
      <c r="B10761" t="s">
        <v>2749</v>
      </c>
      <c r="C10761" t="s">
        <v>5470</v>
      </c>
      <c r="D10761" t="s">
        <v>4052</v>
      </c>
      <c r="E10761" t="s">
        <v>5643</v>
      </c>
      <c r="F10761" t="s">
        <v>37132</v>
      </c>
      <c r="G10761" t="s">
        <v>37133</v>
      </c>
      <c r="H10761" t="s">
        <v>5474</v>
      </c>
      <c r="I10761" t="s">
        <v>37134</v>
      </c>
      <c r="J10761" t="s">
        <v>5484</v>
      </c>
      <c r="K10761" t="s">
        <v>37135</v>
      </c>
      <c r="L10761" t="s">
        <v>5471</v>
      </c>
      <c r="M10761" t="s">
        <v>5471</v>
      </c>
    </row>
    <row r="10762" spans="1:13" x14ac:dyDescent="0.3">
      <c r="A10762" t="s">
        <v>3388</v>
      </c>
      <c r="B10762" t="s">
        <v>17483</v>
      </c>
      <c r="C10762" t="s">
        <v>5470</v>
      </c>
      <c r="D10762" t="s">
        <v>30466</v>
      </c>
      <c r="E10762" t="s">
        <v>5532</v>
      </c>
      <c r="F10762" t="s">
        <v>37136</v>
      </c>
      <c r="G10762" t="s">
        <v>17492</v>
      </c>
      <c r="H10762" t="s">
        <v>5474</v>
      </c>
      <c r="I10762" t="s">
        <v>37137</v>
      </c>
      <c r="J10762" t="s">
        <v>5484</v>
      </c>
      <c r="K10762" t="s">
        <v>37138</v>
      </c>
      <c r="L10762" t="s">
        <v>5471</v>
      </c>
      <c r="M10762" t="s">
        <v>5471</v>
      </c>
    </row>
    <row r="10763" spans="1:13" x14ac:dyDescent="0.3">
      <c r="A10763" t="s">
        <v>3388</v>
      </c>
      <c r="B10763" t="s">
        <v>6632</v>
      </c>
      <c r="C10763" t="s">
        <v>5470</v>
      </c>
      <c r="D10763" t="s">
        <v>30466</v>
      </c>
      <c r="E10763" t="s">
        <v>5532</v>
      </c>
      <c r="F10763" t="s">
        <v>37139</v>
      </c>
      <c r="G10763" t="s">
        <v>20172</v>
      </c>
      <c r="H10763" t="s">
        <v>5474</v>
      </c>
      <c r="I10763" t="s">
        <v>37140</v>
      </c>
      <c r="J10763" t="s">
        <v>5484</v>
      </c>
      <c r="K10763" t="s">
        <v>37141</v>
      </c>
      <c r="L10763" t="s">
        <v>5471</v>
      </c>
      <c r="M10763" t="s">
        <v>5471</v>
      </c>
    </row>
    <row r="10764" spans="1:13" x14ac:dyDescent="0.3">
      <c r="A10764" t="s">
        <v>3388</v>
      </c>
      <c r="B10764" t="s">
        <v>10961</v>
      </c>
      <c r="C10764" t="s">
        <v>5470</v>
      </c>
      <c r="D10764" t="s">
        <v>30466</v>
      </c>
      <c r="E10764" t="s">
        <v>5532</v>
      </c>
      <c r="F10764" t="s">
        <v>37142</v>
      </c>
      <c r="G10764" t="s">
        <v>10963</v>
      </c>
      <c r="H10764" t="s">
        <v>5474</v>
      </c>
      <c r="I10764" t="s">
        <v>37143</v>
      </c>
      <c r="J10764" t="s">
        <v>5484</v>
      </c>
      <c r="K10764" t="s">
        <v>37144</v>
      </c>
      <c r="L10764" t="s">
        <v>5471</v>
      </c>
      <c r="M10764" t="s">
        <v>5471</v>
      </c>
    </row>
    <row r="10765" spans="1:13" x14ac:dyDescent="0.3">
      <c r="A10765" t="s">
        <v>3388</v>
      </c>
      <c r="B10765" t="s">
        <v>20014</v>
      </c>
      <c r="C10765" t="s">
        <v>5470</v>
      </c>
      <c r="D10765" t="s">
        <v>30466</v>
      </c>
      <c r="E10765" t="s">
        <v>5532</v>
      </c>
      <c r="F10765" t="s">
        <v>37145</v>
      </c>
      <c r="G10765" t="s">
        <v>20016</v>
      </c>
      <c r="H10765" t="s">
        <v>5474</v>
      </c>
      <c r="I10765" t="s">
        <v>37146</v>
      </c>
      <c r="J10765" t="s">
        <v>5484</v>
      </c>
      <c r="K10765" t="s">
        <v>37147</v>
      </c>
      <c r="L10765" t="s">
        <v>5471</v>
      </c>
      <c r="M10765" t="s">
        <v>5471</v>
      </c>
    </row>
    <row r="10766" spans="1:13" x14ac:dyDescent="0.3">
      <c r="A10766" t="s">
        <v>3388</v>
      </c>
      <c r="B10766" t="s">
        <v>15957</v>
      </c>
      <c r="C10766" t="s">
        <v>5470</v>
      </c>
      <c r="D10766" t="s">
        <v>30466</v>
      </c>
      <c r="E10766" t="s">
        <v>5532</v>
      </c>
      <c r="F10766" t="s">
        <v>37148</v>
      </c>
      <c r="G10766" t="s">
        <v>20002</v>
      </c>
      <c r="H10766" t="s">
        <v>5474</v>
      </c>
      <c r="I10766" t="s">
        <v>37149</v>
      </c>
      <c r="J10766" t="s">
        <v>5484</v>
      </c>
      <c r="K10766" t="s">
        <v>37150</v>
      </c>
      <c r="L10766" t="s">
        <v>5471</v>
      </c>
      <c r="M10766" t="s">
        <v>5471</v>
      </c>
    </row>
    <row r="10767" spans="1:13" x14ac:dyDescent="0.3">
      <c r="A10767" t="s">
        <v>3388</v>
      </c>
      <c r="B10767" t="s">
        <v>20014</v>
      </c>
      <c r="C10767" t="s">
        <v>5470</v>
      </c>
      <c r="D10767" t="s">
        <v>4119</v>
      </c>
      <c r="E10767" t="s">
        <v>5532</v>
      </c>
      <c r="F10767" t="s">
        <v>37151</v>
      </c>
      <c r="G10767" t="s">
        <v>20016</v>
      </c>
      <c r="H10767" t="s">
        <v>5474</v>
      </c>
      <c r="I10767" t="s">
        <v>37152</v>
      </c>
      <c r="J10767" t="s">
        <v>5484</v>
      </c>
      <c r="K10767" t="s">
        <v>37153</v>
      </c>
      <c r="L10767" t="s">
        <v>5471</v>
      </c>
      <c r="M10767" t="s">
        <v>5471</v>
      </c>
    </row>
    <row r="10768" spans="1:13" x14ac:dyDescent="0.3">
      <c r="A10768" t="s">
        <v>3388</v>
      </c>
      <c r="B10768" t="s">
        <v>15892</v>
      </c>
      <c r="C10768" t="s">
        <v>5470</v>
      </c>
      <c r="D10768" t="s">
        <v>4119</v>
      </c>
      <c r="E10768" t="s">
        <v>5532</v>
      </c>
      <c r="F10768" t="s">
        <v>37154</v>
      </c>
      <c r="G10768" t="s">
        <v>34706</v>
      </c>
      <c r="H10768" t="s">
        <v>5474</v>
      </c>
      <c r="I10768" t="s">
        <v>37155</v>
      </c>
      <c r="J10768" t="s">
        <v>5484</v>
      </c>
      <c r="K10768" t="s">
        <v>37156</v>
      </c>
      <c r="L10768" t="s">
        <v>5471</v>
      </c>
      <c r="M10768" t="s">
        <v>5471</v>
      </c>
    </row>
    <row r="10769" spans="1:13" x14ac:dyDescent="0.3">
      <c r="A10769" t="s">
        <v>3388</v>
      </c>
      <c r="B10769" t="s">
        <v>8799</v>
      </c>
      <c r="C10769" t="s">
        <v>5470</v>
      </c>
      <c r="D10769" t="s">
        <v>4058</v>
      </c>
      <c r="E10769" t="s">
        <v>5480</v>
      </c>
      <c r="F10769" t="s">
        <v>37157</v>
      </c>
      <c r="G10769" t="s">
        <v>21565</v>
      </c>
      <c r="H10769" t="s">
        <v>5474</v>
      </c>
      <c r="I10769" t="s">
        <v>37158</v>
      </c>
      <c r="J10769" t="s">
        <v>5484</v>
      </c>
      <c r="K10769" t="s">
        <v>37159</v>
      </c>
      <c r="L10769" t="s">
        <v>5471</v>
      </c>
      <c r="M10769" t="s">
        <v>5471</v>
      </c>
    </row>
    <row r="10770" spans="1:13" x14ac:dyDescent="0.3">
      <c r="A10770" t="s">
        <v>3388</v>
      </c>
      <c r="B10770" t="s">
        <v>8799</v>
      </c>
      <c r="C10770" t="s">
        <v>5470</v>
      </c>
      <c r="D10770" t="s">
        <v>4058</v>
      </c>
      <c r="E10770" t="s">
        <v>5480</v>
      </c>
      <c r="F10770" t="s">
        <v>37160</v>
      </c>
      <c r="G10770" t="s">
        <v>21565</v>
      </c>
      <c r="H10770" t="s">
        <v>5474</v>
      </c>
      <c r="I10770" t="s">
        <v>37161</v>
      </c>
      <c r="J10770" t="s">
        <v>5484</v>
      </c>
      <c r="K10770" t="s">
        <v>37162</v>
      </c>
      <c r="L10770" t="s">
        <v>5471</v>
      </c>
      <c r="M10770" t="s">
        <v>5471</v>
      </c>
    </row>
    <row r="10771" spans="1:13" x14ac:dyDescent="0.3">
      <c r="A10771" t="s">
        <v>3388</v>
      </c>
      <c r="B10771" t="s">
        <v>8799</v>
      </c>
      <c r="C10771" t="s">
        <v>5470</v>
      </c>
      <c r="D10771" t="s">
        <v>4056</v>
      </c>
      <c r="E10771" t="s">
        <v>5480</v>
      </c>
      <c r="F10771" t="s">
        <v>37163</v>
      </c>
      <c r="G10771" t="s">
        <v>32010</v>
      </c>
      <c r="H10771" t="s">
        <v>5474</v>
      </c>
      <c r="I10771" t="s">
        <v>37164</v>
      </c>
      <c r="J10771" t="s">
        <v>5484</v>
      </c>
      <c r="K10771" t="s">
        <v>37165</v>
      </c>
      <c r="L10771" t="s">
        <v>5471</v>
      </c>
      <c r="M10771" t="s">
        <v>5471</v>
      </c>
    </row>
    <row r="10772" spans="1:13" x14ac:dyDescent="0.3">
      <c r="A10772" t="s">
        <v>3388</v>
      </c>
      <c r="B10772" t="s">
        <v>8799</v>
      </c>
      <c r="C10772" t="s">
        <v>5470</v>
      </c>
      <c r="D10772" t="s">
        <v>4056</v>
      </c>
      <c r="E10772" t="s">
        <v>5480</v>
      </c>
      <c r="F10772" t="s">
        <v>37166</v>
      </c>
      <c r="G10772" t="s">
        <v>32010</v>
      </c>
      <c r="H10772" t="s">
        <v>5474</v>
      </c>
      <c r="I10772" t="s">
        <v>37167</v>
      </c>
      <c r="J10772" t="s">
        <v>5484</v>
      </c>
      <c r="K10772" t="s">
        <v>37168</v>
      </c>
      <c r="L10772" t="s">
        <v>5471</v>
      </c>
      <c r="M10772" t="s">
        <v>5471</v>
      </c>
    </row>
    <row r="10773" spans="1:13" x14ac:dyDescent="0.3">
      <c r="A10773" t="s">
        <v>3388</v>
      </c>
      <c r="B10773" t="s">
        <v>8799</v>
      </c>
      <c r="C10773" t="s">
        <v>5470</v>
      </c>
      <c r="D10773" t="s">
        <v>4056</v>
      </c>
      <c r="E10773" t="s">
        <v>5480</v>
      </c>
      <c r="F10773" t="s">
        <v>37169</v>
      </c>
      <c r="G10773" t="s">
        <v>32010</v>
      </c>
      <c r="H10773" t="s">
        <v>5474</v>
      </c>
      <c r="I10773" t="s">
        <v>37170</v>
      </c>
      <c r="J10773" t="s">
        <v>5484</v>
      </c>
      <c r="K10773" t="s">
        <v>37171</v>
      </c>
      <c r="L10773" t="s">
        <v>5471</v>
      </c>
      <c r="M10773" t="s">
        <v>5471</v>
      </c>
    </row>
    <row r="10774" spans="1:13" x14ac:dyDescent="0.3">
      <c r="A10774" t="s">
        <v>3388</v>
      </c>
      <c r="B10774" t="s">
        <v>8799</v>
      </c>
      <c r="C10774" t="s">
        <v>5470</v>
      </c>
      <c r="D10774" t="s">
        <v>4056</v>
      </c>
      <c r="E10774" t="s">
        <v>5480</v>
      </c>
      <c r="F10774" t="s">
        <v>37172</v>
      </c>
      <c r="G10774" t="s">
        <v>21565</v>
      </c>
      <c r="H10774" t="s">
        <v>5474</v>
      </c>
      <c r="I10774" t="s">
        <v>37173</v>
      </c>
      <c r="J10774" t="s">
        <v>5484</v>
      </c>
      <c r="K10774" t="s">
        <v>37174</v>
      </c>
      <c r="L10774" t="s">
        <v>5471</v>
      </c>
      <c r="M10774" t="s">
        <v>5471</v>
      </c>
    </row>
    <row r="10775" spans="1:13" x14ac:dyDescent="0.3">
      <c r="A10775" t="s">
        <v>3388</v>
      </c>
      <c r="B10775" t="s">
        <v>8799</v>
      </c>
      <c r="C10775" t="s">
        <v>5470</v>
      </c>
      <c r="D10775" t="s">
        <v>4056</v>
      </c>
      <c r="E10775" t="s">
        <v>5480</v>
      </c>
      <c r="F10775" t="s">
        <v>37175</v>
      </c>
      <c r="G10775" t="s">
        <v>21565</v>
      </c>
      <c r="H10775" t="s">
        <v>5474</v>
      </c>
      <c r="I10775" t="s">
        <v>37176</v>
      </c>
      <c r="J10775" t="s">
        <v>5484</v>
      </c>
      <c r="K10775" t="s">
        <v>37177</v>
      </c>
      <c r="L10775" t="s">
        <v>5471</v>
      </c>
      <c r="M10775" t="s">
        <v>5471</v>
      </c>
    </row>
    <row r="10776" spans="1:13" x14ac:dyDescent="0.3">
      <c r="A10776" t="s">
        <v>3388</v>
      </c>
      <c r="B10776" t="s">
        <v>8799</v>
      </c>
      <c r="C10776" t="s">
        <v>5470</v>
      </c>
      <c r="D10776" t="s">
        <v>4056</v>
      </c>
      <c r="E10776" t="s">
        <v>5480</v>
      </c>
      <c r="F10776" t="s">
        <v>37178</v>
      </c>
      <c r="G10776" t="s">
        <v>21565</v>
      </c>
      <c r="H10776" t="s">
        <v>5474</v>
      </c>
      <c r="I10776" t="s">
        <v>37179</v>
      </c>
      <c r="J10776" t="s">
        <v>5484</v>
      </c>
      <c r="K10776" t="s">
        <v>37180</v>
      </c>
      <c r="L10776" t="s">
        <v>5471</v>
      </c>
      <c r="M10776" t="s">
        <v>5471</v>
      </c>
    </row>
    <row r="10777" spans="1:13" x14ac:dyDescent="0.3">
      <c r="A10777" t="s">
        <v>3388</v>
      </c>
      <c r="B10777" t="s">
        <v>8799</v>
      </c>
      <c r="C10777" t="s">
        <v>5470</v>
      </c>
      <c r="D10777" t="s">
        <v>4056</v>
      </c>
      <c r="E10777" t="s">
        <v>5480</v>
      </c>
      <c r="F10777" t="s">
        <v>37181</v>
      </c>
      <c r="G10777" t="s">
        <v>21565</v>
      </c>
      <c r="H10777" t="s">
        <v>5474</v>
      </c>
      <c r="I10777" t="s">
        <v>37182</v>
      </c>
      <c r="J10777" t="s">
        <v>5484</v>
      </c>
      <c r="K10777" t="s">
        <v>37183</v>
      </c>
      <c r="L10777" t="s">
        <v>5471</v>
      </c>
      <c r="M10777" t="s">
        <v>5471</v>
      </c>
    </row>
    <row r="10778" spans="1:13" x14ac:dyDescent="0.3">
      <c r="A10778" t="s">
        <v>3388</v>
      </c>
      <c r="B10778" t="s">
        <v>6540</v>
      </c>
      <c r="C10778" t="s">
        <v>5470</v>
      </c>
      <c r="D10778" t="s">
        <v>4052</v>
      </c>
      <c r="E10778" t="s">
        <v>5480</v>
      </c>
      <c r="F10778" t="s">
        <v>37184</v>
      </c>
      <c r="G10778" t="s">
        <v>22464</v>
      </c>
      <c r="H10778" t="s">
        <v>5474</v>
      </c>
      <c r="I10778" t="s">
        <v>37185</v>
      </c>
      <c r="J10778" t="s">
        <v>5476</v>
      </c>
      <c r="K10778" t="s">
        <v>36877</v>
      </c>
      <c r="L10778" t="s">
        <v>5471</v>
      </c>
      <c r="M10778" t="s">
        <v>5471</v>
      </c>
    </row>
    <row r="10779" spans="1:13" x14ac:dyDescent="0.3">
      <c r="A10779" t="s">
        <v>3388</v>
      </c>
      <c r="B10779" t="s">
        <v>8799</v>
      </c>
      <c r="C10779" t="s">
        <v>5470</v>
      </c>
      <c r="D10779" t="s">
        <v>4119</v>
      </c>
      <c r="E10779" t="s">
        <v>5480</v>
      </c>
      <c r="F10779" t="s">
        <v>37186</v>
      </c>
      <c r="G10779" t="s">
        <v>32010</v>
      </c>
      <c r="H10779" t="s">
        <v>5474</v>
      </c>
      <c r="I10779" t="s">
        <v>37187</v>
      </c>
      <c r="J10779" t="s">
        <v>5484</v>
      </c>
      <c r="K10779" t="s">
        <v>37188</v>
      </c>
      <c r="L10779" t="s">
        <v>5471</v>
      </c>
      <c r="M10779" t="s">
        <v>5471</v>
      </c>
    </row>
    <row r="10780" spans="1:13" x14ac:dyDescent="0.3">
      <c r="A10780" t="s">
        <v>3388</v>
      </c>
      <c r="B10780" t="s">
        <v>8799</v>
      </c>
      <c r="C10780" t="s">
        <v>5470</v>
      </c>
      <c r="D10780" t="s">
        <v>4119</v>
      </c>
      <c r="E10780" t="s">
        <v>5480</v>
      </c>
      <c r="F10780" t="s">
        <v>37189</v>
      </c>
      <c r="G10780" t="s">
        <v>21565</v>
      </c>
      <c r="H10780" t="s">
        <v>5474</v>
      </c>
      <c r="I10780" t="s">
        <v>37190</v>
      </c>
      <c r="J10780" t="s">
        <v>5484</v>
      </c>
      <c r="K10780" t="s">
        <v>37191</v>
      </c>
      <c r="L10780" t="s">
        <v>5471</v>
      </c>
      <c r="M10780" t="s">
        <v>5471</v>
      </c>
    </row>
    <row r="10781" spans="1:13" x14ac:dyDescent="0.3">
      <c r="A10781" t="s">
        <v>3388</v>
      </c>
      <c r="B10781" t="s">
        <v>6540</v>
      </c>
      <c r="C10781" t="s">
        <v>5470</v>
      </c>
      <c r="D10781" t="s">
        <v>4119</v>
      </c>
      <c r="E10781" t="s">
        <v>5756</v>
      </c>
      <c r="F10781" t="s">
        <v>37192</v>
      </c>
      <c r="G10781" t="s">
        <v>21907</v>
      </c>
      <c r="H10781" t="s">
        <v>5474</v>
      </c>
      <c r="I10781" t="s">
        <v>37193</v>
      </c>
      <c r="J10781" t="s">
        <v>5484</v>
      </c>
      <c r="K10781" t="s">
        <v>37194</v>
      </c>
      <c r="L10781" t="s">
        <v>5471</v>
      </c>
      <c r="M10781" t="s">
        <v>5471</v>
      </c>
    </row>
    <row r="10782" spans="1:13" x14ac:dyDescent="0.3">
      <c r="A10782" t="s">
        <v>3388</v>
      </c>
      <c r="B10782" t="s">
        <v>6540</v>
      </c>
      <c r="C10782" t="s">
        <v>5470</v>
      </c>
      <c r="D10782" t="s">
        <v>4119</v>
      </c>
      <c r="E10782" t="s">
        <v>5756</v>
      </c>
      <c r="F10782" t="s">
        <v>37195</v>
      </c>
      <c r="G10782" t="s">
        <v>22454</v>
      </c>
      <c r="H10782" t="s">
        <v>5474</v>
      </c>
      <c r="I10782" t="s">
        <v>37196</v>
      </c>
      <c r="J10782" t="s">
        <v>5484</v>
      </c>
      <c r="K10782" t="s">
        <v>37197</v>
      </c>
      <c r="L10782" t="s">
        <v>5471</v>
      </c>
      <c r="M10782" t="s">
        <v>5471</v>
      </c>
    </row>
    <row r="10783" spans="1:13" x14ac:dyDescent="0.3">
      <c r="A10783" t="s">
        <v>3388</v>
      </c>
      <c r="B10783" t="s">
        <v>6540</v>
      </c>
      <c r="C10783" t="s">
        <v>5470</v>
      </c>
      <c r="D10783" t="s">
        <v>4119</v>
      </c>
      <c r="E10783" t="s">
        <v>5756</v>
      </c>
      <c r="F10783" t="s">
        <v>37198</v>
      </c>
      <c r="G10783" t="s">
        <v>22464</v>
      </c>
      <c r="H10783" t="s">
        <v>5474</v>
      </c>
      <c r="I10783" t="s">
        <v>37199</v>
      </c>
      <c r="J10783" t="s">
        <v>5484</v>
      </c>
      <c r="K10783" t="s">
        <v>37200</v>
      </c>
      <c r="L10783" t="s">
        <v>5471</v>
      </c>
      <c r="M10783" t="s">
        <v>5471</v>
      </c>
    </row>
    <row r="10784" spans="1:13" x14ac:dyDescent="0.3">
      <c r="A10784" t="s">
        <v>3388</v>
      </c>
      <c r="B10784" t="s">
        <v>6540</v>
      </c>
      <c r="C10784" t="s">
        <v>5470</v>
      </c>
      <c r="D10784" t="s">
        <v>4119</v>
      </c>
      <c r="E10784" t="s">
        <v>5756</v>
      </c>
      <c r="F10784" t="s">
        <v>37201</v>
      </c>
      <c r="G10784" t="s">
        <v>21907</v>
      </c>
      <c r="H10784" t="s">
        <v>5474</v>
      </c>
      <c r="I10784" t="s">
        <v>37202</v>
      </c>
      <c r="J10784" t="s">
        <v>5484</v>
      </c>
      <c r="K10784" t="s">
        <v>37203</v>
      </c>
      <c r="L10784" t="s">
        <v>5471</v>
      </c>
      <c r="M10784" t="s">
        <v>5471</v>
      </c>
    </row>
    <row r="10785" spans="1:13" x14ac:dyDescent="0.3">
      <c r="A10785" t="s">
        <v>3388</v>
      </c>
      <c r="B10785" t="s">
        <v>6540</v>
      </c>
      <c r="C10785" t="s">
        <v>5470</v>
      </c>
      <c r="D10785" t="s">
        <v>4119</v>
      </c>
      <c r="E10785" t="s">
        <v>5756</v>
      </c>
      <c r="F10785" t="s">
        <v>37204</v>
      </c>
      <c r="G10785" t="s">
        <v>22454</v>
      </c>
      <c r="H10785" t="s">
        <v>5474</v>
      </c>
      <c r="I10785" t="s">
        <v>37205</v>
      </c>
      <c r="J10785" t="s">
        <v>5484</v>
      </c>
      <c r="K10785" t="s">
        <v>37206</v>
      </c>
      <c r="L10785" t="s">
        <v>5471</v>
      </c>
      <c r="M10785" t="s">
        <v>5471</v>
      </c>
    </row>
    <row r="10786" spans="1:13" x14ac:dyDescent="0.3">
      <c r="A10786" t="s">
        <v>3388</v>
      </c>
      <c r="B10786" t="s">
        <v>6540</v>
      </c>
      <c r="C10786" t="s">
        <v>5470</v>
      </c>
      <c r="D10786" t="s">
        <v>4119</v>
      </c>
      <c r="E10786" t="s">
        <v>5756</v>
      </c>
      <c r="F10786" t="s">
        <v>37207</v>
      </c>
      <c r="G10786" t="s">
        <v>22464</v>
      </c>
      <c r="H10786" t="s">
        <v>5474</v>
      </c>
      <c r="I10786" t="s">
        <v>37208</v>
      </c>
      <c r="J10786" t="s">
        <v>5484</v>
      </c>
      <c r="K10786" t="s">
        <v>37209</v>
      </c>
      <c r="L10786" t="s">
        <v>5471</v>
      </c>
      <c r="M10786" t="s">
        <v>5471</v>
      </c>
    </row>
    <row r="10787" spans="1:13" x14ac:dyDescent="0.3">
      <c r="A10787" t="s">
        <v>3397</v>
      </c>
      <c r="B10787" t="s">
        <v>5292</v>
      </c>
      <c r="C10787" t="s">
        <v>5487</v>
      </c>
      <c r="D10787" t="s">
        <v>9833</v>
      </c>
      <c r="E10787" t="s">
        <v>5595</v>
      </c>
      <c r="F10787" t="s">
        <v>37210</v>
      </c>
      <c r="G10787" t="s">
        <v>37211</v>
      </c>
      <c r="H10787" t="s">
        <v>5474</v>
      </c>
      <c r="I10787" t="s">
        <v>37212</v>
      </c>
      <c r="J10787" t="s">
        <v>5476</v>
      </c>
      <c r="K10787" t="s">
        <v>37213</v>
      </c>
      <c r="L10787" t="s">
        <v>5471</v>
      </c>
      <c r="M10787" t="s">
        <v>5471</v>
      </c>
    </row>
    <row r="10788" spans="1:13" x14ac:dyDescent="0.3">
      <c r="A10788" t="s">
        <v>3383</v>
      </c>
      <c r="B10788" t="s">
        <v>5952</v>
      </c>
      <c r="C10788" t="s">
        <v>5470</v>
      </c>
      <c r="D10788" t="s">
        <v>9940</v>
      </c>
      <c r="E10788" t="s">
        <v>5756</v>
      </c>
      <c r="F10788" t="s">
        <v>37214</v>
      </c>
      <c r="G10788" t="s">
        <v>7683</v>
      </c>
      <c r="H10788" t="s">
        <v>5476</v>
      </c>
      <c r="I10788" t="s">
        <v>37215</v>
      </c>
      <c r="J10788" t="s">
        <v>5484</v>
      </c>
      <c r="K10788" t="s">
        <v>37216</v>
      </c>
      <c r="L10788" t="s">
        <v>5471</v>
      </c>
      <c r="M10788" t="s">
        <v>5471</v>
      </c>
    </row>
    <row r="10789" spans="1:13" x14ac:dyDescent="0.3">
      <c r="A10789" t="s">
        <v>3383</v>
      </c>
      <c r="B10789" t="s">
        <v>5952</v>
      </c>
      <c r="C10789" t="s">
        <v>5470</v>
      </c>
      <c r="D10789" t="s">
        <v>9940</v>
      </c>
      <c r="E10789" t="s">
        <v>5756</v>
      </c>
      <c r="F10789" t="s">
        <v>37217</v>
      </c>
      <c r="G10789" t="s">
        <v>7683</v>
      </c>
      <c r="H10789" t="s">
        <v>5476</v>
      </c>
      <c r="I10789" t="s">
        <v>37218</v>
      </c>
      <c r="J10789" t="s">
        <v>5484</v>
      </c>
      <c r="K10789" t="s">
        <v>37219</v>
      </c>
      <c r="L10789" t="s">
        <v>5471</v>
      </c>
      <c r="M10789" t="s">
        <v>5471</v>
      </c>
    </row>
    <row r="10790" spans="1:13" x14ac:dyDescent="0.3">
      <c r="A10790" t="s">
        <v>3383</v>
      </c>
      <c r="B10790" t="s">
        <v>6005</v>
      </c>
      <c r="C10790" t="s">
        <v>5487</v>
      </c>
      <c r="D10790" t="s">
        <v>4081</v>
      </c>
      <c r="E10790" t="s">
        <v>5532</v>
      </c>
      <c r="F10790" t="s">
        <v>37220</v>
      </c>
      <c r="G10790" t="s">
        <v>12001</v>
      </c>
      <c r="H10790" t="s">
        <v>5476</v>
      </c>
      <c r="I10790" t="s">
        <v>37221</v>
      </c>
      <c r="J10790" t="s">
        <v>5484</v>
      </c>
      <c r="K10790" t="s">
        <v>37222</v>
      </c>
      <c r="L10790" t="s">
        <v>5471</v>
      </c>
      <c r="M10790" t="s">
        <v>5471</v>
      </c>
    </row>
    <row r="10791" spans="1:13" x14ac:dyDescent="0.3">
      <c r="A10791" t="s">
        <v>3388</v>
      </c>
      <c r="B10791" t="s">
        <v>10852</v>
      </c>
      <c r="C10791" t="s">
        <v>5470</v>
      </c>
      <c r="D10791" t="s">
        <v>4052</v>
      </c>
      <c r="E10791" t="s">
        <v>5756</v>
      </c>
      <c r="F10791" t="s">
        <v>37223</v>
      </c>
      <c r="G10791" t="s">
        <v>10854</v>
      </c>
      <c r="H10791" t="s">
        <v>5474</v>
      </c>
      <c r="I10791" t="s">
        <v>37224</v>
      </c>
      <c r="J10791" t="s">
        <v>5484</v>
      </c>
      <c r="K10791" t="s">
        <v>37225</v>
      </c>
      <c r="L10791" t="s">
        <v>5471</v>
      </c>
      <c r="M10791" t="s">
        <v>5471</v>
      </c>
    </row>
    <row r="10792" spans="1:13" x14ac:dyDescent="0.3">
      <c r="A10792" t="s">
        <v>4013</v>
      </c>
      <c r="B10792" t="s">
        <v>14973</v>
      </c>
      <c r="C10792" t="s">
        <v>6342</v>
      </c>
      <c r="D10792" t="s">
        <v>4081</v>
      </c>
      <c r="E10792" t="s">
        <v>6332</v>
      </c>
      <c r="F10792" t="s">
        <v>4457</v>
      </c>
      <c r="G10792" t="s">
        <v>37226</v>
      </c>
      <c r="H10792" t="s">
        <v>5476</v>
      </c>
      <c r="I10792" t="s">
        <v>37227</v>
      </c>
      <c r="J10792" t="s">
        <v>5484</v>
      </c>
      <c r="K10792" t="s">
        <v>37228</v>
      </c>
      <c r="L10792" t="s">
        <v>5471</v>
      </c>
      <c r="M10792" t="s">
        <v>5471</v>
      </c>
    </row>
    <row r="10793" spans="1:13" x14ac:dyDescent="0.3">
      <c r="A10793" t="s">
        <v>3383</v>
      </c>
      <c r="B10793" t="s">
        <v>5805</v>
      </c>
      <c r="C10793" t="s">
        <v>5470</v>
      </c>
      <c r="D10793" t="s">
        <v>4081</v>
      </c>
      <c r="E10793" t="s">
        <v>5532</v>
      </c>
      <c r="F10793" t="s">
        <v>4817</v>
      </c>
      <c r="G10793" t="s">
        <v>5817</v>
      </c>
      <c r="H10793" t="s">
        <v>5476</v>
      </c>
      <c r="I10793" t="s">
        <v>37229</v>
      </c>
      <c r="J10793" t="s">
        <v>5484</v>
      </c>
      <c r="K10793" t="s">
        <v>37230</v>
      </c>
      <c r="L10793" t="s">
        <v>5471</v>
      </c>
      <c r="M10793" t="s">
        <v>5471</v>
      </c>
    </row>
    <row r="10794" spans="1:13" x14ac:dyDescent="0.3">
      <c r="A10794" t="s">
        <v>3380</v>
      </c>
      <c r="B10794" t="s">
        <v>5261</v>
      </c>
      <c r="C10794" t="s">
        <v>6342</v>
      </c>
      <c r="D10794" t="s">
        <v>4081</v>
      </c>
      <c r="E10794" t="s">
        <v>9935</v>
      </c>
      <c r="F10794" t="s">
        <v>4225</v>
      </c>
      <c r="G10794" t="s">
        <v>37231</v>
      </c>
      <c r="H10794" t="s">
        <v>5476</v>
      </c>
      <c r="I10794" t="s">
        <v>37232</v>
      </c>
      <c r="J10794" t="s">
        <v>5484</v>
      </c>
      <c r="K10794" t="s">
        <v>37233</v>
      </c>
      <c r="L10794" t="s">
        <v>5471</v>
      </c>
      <c r="M10794" t="s">
        <v>5471</v>
      </c>
    </row>
    <row r="10795" spans="1:13" x14ac:dyDescent="0.3">
      <c r="A10795" t="s">
        <v>3380</v>
      </c>
      <c r="B10795" t="s">
        <v>5261</v>
      </c>
      <c r="C10795" t="s">
        <v>6342</v>
      </c>
      <c r="D10795" t="s">
        <v>4081</v>
      </c>
      <c r="E10795" t="s">
        <v>9935</v>
      </c>
      <c r="F10795" t="s">
        <v>4226</v>
      </c>
      <c r="G10795" t="s">
        <v>37231</v>
      </c>
      <c r="H10795" t="s">
        <v>5476</v>
      </c>
      <c r="I10795" t="s">
        <v>37234</v>
      </c>
      <c r="J10795" t="s">
        <v>5484</v>
      </c>
      <c r="K10795" t="s">
        <v>37235</v>
      </c>
      <c r="L10795" t="s">
        <v>5471</v>
      </c>
      <c r="M10795" t="s">
        <v>5471</v>
      </c>
    </row>
    <row r="10796" spans="1:13" x14ac:dyDescent="0.3">
      <c r="A10796" t="s">
        <v>3380</v>
      </c>
      <c r="B10796" t="s">
        <v>5261</v>
      </c>
      <c r="C10796" t="s">
        <v>6342</v>
      </c>
      <c r="D10796" t="s">
        <v>9940</v>
      </c>
      <c r="E10796" t="s">
        <v>9935</v>
      </c>
      <c r="F10796" t="s">
        <v>4220</v>
      </c>
      <c r="G10796" t="s">
        <v>37236</v>
      </c>
      <c r="H10796" t="s">
        <v>5476</v>
      </c>
      <c r="I10796" t="s">
        <v>37237</v>
      </c>
      <c r="J10796" t="s">
        <v>5484</v>
      </c>
      <c r="K10796" t="s">
        <v>37238</v>
      </c>
      <c r="L10796" t="s">
        <v>5471</v>
      </c>
      <c r="M10796" t="s">
        <v>5471</v>
      </c>
    </row>
    <row r="10797" spans="1:13" x14ac:dyDescent="0.3">
      <c r="A10797" t="s">
        <v>3380</v>
      </c>
      <c r="B10797" t="s">
        <v>5261</v>
      </c>
      <c r="C10797" t="s">
        <v>6342</v>
      </c>
      <c r="D10797" t="s">
        <v>9940</v>
      </c>
      <c r="E10797" t="s">
        <v>9935</v>
      </c>
      <c r="F10797" t="s">
        <v>4221</v>
      </c>
      <c r="G10797" t="s">
        <v>37236</v>
      </c>
      <c r="H10797" t="s">
        <v>5476</v>
      </c>
      <c r="I10797" t="s">
        <v>37239</v>
      </c>
      <c r="J10797" t="s">
        <v>5484</v>
      </c>
      <c r="K10797" t="s">
        <v>37240</v>
      </c>
      <c r="L10797" t="s">
        <v>5471</v>
      </c>
      <c r="M10797" t="s">
        <v>5471</v>
      </c>
    </row>
    <row r="10798" spans="1:13" x14ac:dyDescent="0.3">
      <c r="A10798" t="s">
        <v>3380</v>
      </c>
      <c r="B10798" t="s">
        <v>5261</v>
      </c>
      <c r="C10798" t="s">
        <v>6342</v>
      </c>
      <c r="D10798" t="s">
        <v>9940</v>
      </c>
      <c r="E10798" t="s">
        <v>9935</v>
      </c>
      <c r="F10798" t="s">
        <v>4222</v>
      </c>
      <c r="G10798" t="s">
        <v>37236</v>
      </c>
      <c r="H10798" t="s">
        <v>5476</v>
      </c>
      <c r="I10798" t="s">
        <v>37241</v>
      </c>
      <c r="J10798" t="s">
        <v>5484</v>
      </c>
      <c r="K10798" t="s">
        <v>37242</v>
      </c>
      <c r="L10798" t="s">
        <v>5471</v>
      </c>
      <c r="M10798" t="s">
        <v>5471</v>
      </c>
    </row>
    <row r="10799" spans="1:13" x14ac:dyDescent="0.3">
      <c r="A10799" t="s">
        <v>3380</v>
      </c>
      <c r="B10799" t="s">
        <v>5261</v>
      </c>
      <c r="C10799" t="s">
        <v>6342</v>
      </c>
      <c r="D10799" t="s">
        <v>9940</v>
      </c>
      <c r="E10799" t="s">
        <v>9935</v>
      </c>
      <c r="F10799" t="s">
        <v>4223</v>
      </c>
      <c r="G10799" t="s">
        <v>37243</v>
      </c>
      <c r="H10799" t="s">
        <v>5476</v>
      </c>
      <c r="I10799" t="s">
        <v>37244</v>
      </c>
      <c r="J10799" t="s">
        <v>5484</v>
      </c>
      <c r="K10799" t="s">
        <v>37245</v>
      </c>
      <c r="L10799" t="s">
        <v>5471</v>
      </c>
      <c r="M10799" t="s">
        <v>5471</v>
      </c>
    </row>
    <row r="10800" spans="1:13" x14ac:dyDescent="0.3">
      <c r="A10800" t="s">
        <v>3380</v>
      </c>
      <c r="B10800" t="s">
        <v>16940</v>
      </c>
      <c r="C10800" t="s">
        <v>6342</v>
      </c>
      <c r="D10800" t="s">
        <v>9958</v>
      </c>
      <c r="E10800" t="s">
        <v>5532</v>
      </c>
      <c r="F10800" t="s">
        <v>5239</v>
      </c>
      <c r="G10800" t="s">
        <v>37246</v>
      </c>
      <c r="H10800" t="s">
        <v>5476</v>
      </c>
      <c r="I10800" t="s">
        <v>37247</v>
      </c>
      <c r="J10800" t="s">
        <v>5484</v>
      </c>
      <c r="K10800" t="s">
        <v>10136</v>
      </c>
      <c r="L10800" t="s">
        <v>5471</v>
      </c>
      <c r="M10800" t="s">
        <v>5471</v>
      </c>
    </row>
    <row r="10801" spans="1:13" x14ac:dyDescent="0.3">
      <c r="A10801" t="s">
        <v>3380</v>
      </c>
      <c r="B10801" t="s">
        <v>11677</v>
      </c>
      <c r="C10801" t="s">
        <v>6342</v>
      </c>
      <c r="D10801" t="s">
        <v>4081</v>
      </c>
      <c r="E10801" t="s">
        <v>5532</v>
      </c>
      <c r="F10801" t="s">
        <v>4918</v>
      </c>
      <c r="G10801" t="s">
        <v>37248</v>
      </c>
      <c r="H10801" t="s">
        <v>5476</v>
      </c>
      <c r="I10801" t="s">
        <v>37249</v>
      </c>
      <c r="J10801" t="s">
        <v>5484</v>
      </c>
      <c r="K10801" t="s">
        <v>37250</v>
      </c>
      <c r="L10801" t="s">
        <v>5471</v>
      </c>
      <c r="M10801" t="s">
        <v>5471</v>
      </c>
    </row>
    <row r="10802" spans="1:13" x14ac:dyDescent="0.3">
      <c r="A10802" t="s">
        <v>3380</v>
      </c>
      <c r="B10802" t="s">
        <v>10137</v>
      </c>
      <c r="C10802" t="s">
        <v>6342</v>
      </c>
      <c r="D10802" t="s">
        <v>9940</v>
      </c>
      <c r="E10802" t="s">
        <v>9935</v>
      </c>
      <c r="F10802" t="s">
        <v>4427</v>
      </c>
      <c r="G10802" t="s">
        <v>37251</v>
      </c>
      <c r="H10802" t="s">
        <v>5476</v>
      </c>
      <c r="I10802" t="s">
        <v>37252</v>
      </c>
      <c r="J10802" t="s">
        <v>5484</v>
      </c>
      <c r="K10802" t="s">
        <v>37240</v>
      </c>
      <c r="L10802" t="s">
        <v>5471</v>
      </c>
      <c r="M10802" t="s">
        <v>5471</v>
      </c>
    </row>
    <row r="10803" spans="1:13" x14ac:dyDescent="0.3">
      <c r="A10803" t="s">
        <v>3380</v>
      </c>
      <c r="B10803" t="s">
        <v>10137</v>
      </c>
      <c r="C10803" t="s">
        <v>6342</v>
      </c>
      <c r="D10803" t="s">
        <v>9940</v>
      </c>
      <c r="E10803" t="s">
        <v>9935</v>
      </c>
      <c r="F10803" t="s">
        <v>4428</v>
      </c>
      <c r="G10803" t="s">
        <v>37251</v>
      </c>
      <c r="H10803" t="s">
        <v>5476</v>
      </c>
      <c r="I10803" t="s">
        <v>37253</v>
      </c>
      <c r="J10803" t="s">
        <v>5484</v>
      </c>
      <c r="K10803" t="s">
        <v>37242</v>
      </c>
      <c r="L10803" t="s">
        <v>5471</v>
      </c>
      <c r="M10803" t="s">
        <v>5471</v>
      </c>
    </row>
    <row r="10804" spans="1:13" x14ac:dyDescent="0.3">
      <c r="A10804" t="s">
        <v>3380</v>
      </c>
      <c r="B10804" t="s">
        <v>15901</v>
      </c>
      <c r="C10804" t="s">
        <v>6342</v>
      </c>
      <c r="D10804" t="s">
        <v>4081</v>
      </c>
      <c r="E10804" t="s">
        <v>5843</v>
      </c>
      <c r="F10804" t="s">
        <v>4668</v>
      </c>
      <c r="G10804" t="s">
        <v>28204</v>
      </c>
      <c r="H10804" t="s">
        <v>5476</v>
      </c>
      <c r="I10804" t="s">
        <v>37254</v>
      </c>
      <c r="J10804" t="s">
        <v>5484</v>
      </c>
      <c r="K10804" t="s">
        <v>37255</v>
      </c>
      <c r="L10804" t="s">
        <v>5471</v>
      </c>
      <c r="M10804" t="s">
        <v>5471</v>
      </c>
    </row>
    <row r="10805" spans="1:13" x14ac:dyDescent="0.3">
      <c r="A10805" t="s">
        <v>3380</v>
      </c>
      <c r="B10805" t="s">
        <v>11061</v>
      </c>
      <c r="C10805" t="s">
        <v>6342</v>
      </c>
      <c r="D10805" t="s">
        <v>4081</v>
      </c>
      <c r="E10805" t="s">
        <v>5532</v>
      </c>
      <c r="F10805" t="s">
        <v>4646</v>
      </c>
      <c r="G10805" t="s">
        <v>17442</v>
      </c>
      <c r="H10805" t="s">
        <v>5476</v>
      </c>
      <c r="I10805" t="s">
        <v>37256</v>
      </c>
      <c r="J10805" t="s">
        <v>5484</v>
      </c>
      <c r="K10805" t="s">
        <v>13118</v>
      </c>
      <c r="L10805" t="s">
        <v>5471</v>
      </c>
      <c r="M10805" t="s">
        <v>5471</v>
      </c>
    </row>
    <row r="10806" spans="1:13" x14ac:dyDescent="0.3">
      <c r="A10806" t="s">
        <v>3383</v>
      </c>
      <c r="B10806" t="s">
        <v>5952</v>
      </c>
      <c r="C10806" t="s">
        <v>5470</v>
      </c>
      <c r="D10806" t="s">
        <v>9940</v>
      </c>
      <c r="E10806" t="s">
        <v>5756</v>
      </c>
      <c r="F10806" t="s">
        <v>4799</v>
      </c>
      <c r="G10806" t="s">
        <v>6322</v>
      </c>
      <c r="H10806" t="s">
        <v>5476</v>
      </c>
      <c r="I10806" t="s">
        <v>37257</v>
      </c>
      <c r="J10806" t="s">
        <v>5484</v>
      </c>
      <c r="K10806" t="s">
        <v>37258</v>
      </c>
      <c r="L10806" t="s">
        <v>5471</v>
      </c>
      <c r="M10806" t="s">
        <v>5471</v>
      </c>
    </row>
    <row r="10807" spans="1:13" x14ac:dyDescent="0.3">
      <c r="A10807" t="s">
        <v>3383</v>
      </c>
      <c r="B10807" t="s">
        <v>5952</v>
      </c>
      <c r="C10807" t="s">
        <v>5470</v>
      </c>
      <c r="D10807" t="s">
        <v>9940</v>
      </c>
      <c r="E10807" t="s">
        <v>5756</v>
      </c>
      <c r="F10807" t="s">
        <v>4800</v>
      </c>
      <c r="G10807" t="s">
        <v>6322</v>
      </c>
      <c r="H10807" t="s">
        <v>5476</v>
      </c>
      <c r="I10807" t="s">
        <v>37259</v>
      </c>
      <c r="J10807" t="s">
        <v>5484</v>
      </c>
      <c r="K10807" t="s">
        <v>37258</v>
      </c>
      <c r="L10807" t="s">
        <v>5471</v>
      </c>
      <c r="M10807" t="s">
        <v>5471</v>
      </c>
    </row>
    <row r="10808" spans="1:13" x14ac:dyDescent="0.3">
      <c r="A10808" t="s">
        <v>3383</v>
      </c>
      <c r="B10808" t="s">
        <v>5952</v>
      </c>
      <c r="C10808" t="s">
        <v>5470</v>
      </c>
      <c r="D10808" t="s">
        <v>9940</v>
      </c>
      <c r="E10808" t="s">
        <v>5756</v>
      </c>
      <c r="F10808" t="s">
        <v>4801</v>
      </c>
      <c r="G10808" t="s">
        <v>37260</v>
      </c>
      <c r="H10808" t="s">
        <v>5476</v>
      </c>
      <c r="I10808" t="s">
        <v>37261</v>
      </c>
      <c r="J10808" t="s">
        <v>5484</v>
      </c>
      <c r="K10808" t="s">
        <v>37262</v>
      </c>
      <c r="L10808" t="s">
        <v>5471</v>
      </c>
      <c r="M10808" t="s">
        <v>5471</v>
      </c>
    </row>
    <row r="10809" spans="1:13" x14ac:dyDescent="0.3">
      <c r="A10809" t="s">
        <v>3383</v>
      </c>
      <c r="B10809" t="s">
        <v>5952</v>
      </c>
      <c r="C10809" t="s">
        <v>5470</v>
      </c>
      <c r="D10809" t="s">
        <v>9940</v>
      </c>
      <c r="E10809" t="s">
        <v>5756</v>
      </c>
      <c r="F10809" t="s">
        <v>4807</v>
      </c>
      <c r="G10809" t="s">
        <v>6217</v>
      </c>
      <c r="H10809" t="s">
        <v>5476</v>
      </c>
      <c r="I10809" t="s">
        <v>37263</v>
      </c>
      <c r="J10809" t="s">
        <v>5484</v>
      </c>
      <c r="K10809" t="s">
        <v>37219</v>
      </c>
      <c r="L10809" t="s">
        <v>5471</v>
      </c>
      <c r="M10809" t="s">
        <v>5471</v>
      </c>
    </row>
    <row r="10810" spans="1:13" x14ac:dyDescent="0.3">
      <c r="A10810" t="s">
        <v>3383</v>
      </c>
      <c r="B10810" t="s">
        <v>5952</v>
      </c>
      <c r="C10810" t="s">
        <v>5470</v>
      </c>
      <c r="D10810" t="s">
        <v>9940</v>
      </c>
      <c r="E10810" t="s">
        <v>5756</v>
      </c>
      <c r="F10810" t="s">
        <v>4808</v>
      </c>
      <c r="G10810" t="s">
        <v>6217</v>
      </c>
      <c r="H10810" t="s">
        <v>5476</v>
      </c>
      <c r="I10810" t="s">
        <v>37264</v>
      </c>
      <c r="J10810" t="s">
        <v>5484</v>
      </c>
      <c r="K10810" t="s">
        <v>37216</v>
      </c>
      <c r="L10810" t="s">
        <v>5471</v>
      </c>
      <c r="M10810" t="s">
        <v>5471</v>
      </c>
    </row>
    <row r="10811" spans="1:13" x14ac:dyDescent="0.3">
      <c r="A10811" t="s">
        <v>3383</v>
      </c>
      <c r="B10811" t="s">
        <v>7444</v>
      </c>
      <c r="C10811" t="s">
        <v>5470</v>
      </c>
      <c r="D10811" t="s">
        <v>9940</v>
      </c>
      <c r="E10811" t="s">
        <v>5532</v>
      </c>
      <c r="F10811" t="s">
        <v>4755</v>
      </c>
      <c r="G10811" t="s">
        <v>37265</v>
      </c>
      <c r="H10811" t="s">
        <v>5476</v>
      </c>
      <c r="I10811" t="s">
        <v>37266</v>
      </c>
      <c r="J10811" t="s">
        <v>5484</v>
      </c>
      <c r="K10811" t="s">
        <v>37267</v>
      </c>
      <c r="L10811" t="s">
        <v>5471</v>
      </c>
      <c r="M10811" t="s">
        <v>5471</v>
      </c>
    </row>
    <row r="10812" spans="1:13" x14ac:dyDescent="0.3">
      <c r="A10812" t="s">
        <v>3383</v>
      </c>
      <c r="B10812" t="s">
        <v>7444</v>
      </c>
      <c r="C10812" t="s">
        <v>5470</v>
      </c>
      <c r="D10812" t="s">
        <v>9940</v>
      </c>
      <c r="E10812" t="s">
        <v>5532</v>
      </c>
      <c r="F10812" t="s">
        <v>4762</v>
      </c>
      <c r="G10812" t="s">
        <v>37268</v>
      </c>
      <c r="H10812" t="s">
        <v>5476</v>
      </c>
      <c r="I10812" t="s">
        <v>37269</v>
      </c>
      <c r="J10812" t="s">
        <v>5484</v>
      </c>
      <c r="K10812" t="s">
        <v>37270</v>
      </c>
      <c r="L10812" t="s">
        <v>5471</v>
      </c>
      <c r="M10812" t="s">
        <v>5471</v>
      </c>
    </row>
    <row r="10813" spans="1:13" x14ac:dyDescent="0.3">
      <c r="A10813" t="s">
        <v>3383</v>
      </c>
      <c r="B10813" t="s">
        <v>5339</v>
      </c>
      <c r="C10813" t="s">
        <v>5487</v>
      </c>
      <c r="D10813" t="s">
        <v>9958</v>
      </c>
      <c r="E10813" t="s">
        <v>5480</v>
      </c>
      <c r="F10813" t="s">
        <v>5043</v>
      </c>
      <c r="G10813" t="s">
        <v>37271</v>
      </c>
      <c r="H10813" t="s">
        <v>5476</v>
      </c>
      <c r="I10813" t="s">
        <v>37272</v>
      </c>
      <c r="J10813" t="s">
        <v>5484</v>
      </c>
      <c r="K10813" t="s">
        <v>37273</v>
      </c>
      <c r="L10813" t="s">
        <v>5471</v>
      </c>
      <c r="M10813" t="s">
        <v>5471</v>
      </c>
    </row>
    <row r="10814" spans="1:13" x14ac:dyDescent="0.3">
      <c r="A10814" t="s">
        <v>3383</v>
      </c>
      <c r="B10814" t="s">
        <v>5339</v>
      </c>
      <c r="C10814" t="s">
        <v>5487</v>
      </c>
      <c r="D10814" t="s">
        <v>9958</v>
      </c>
      <c r="E10814" t="s">
        <v>5480</v>
      </c>
      <c r="F10814" t="s">
        <v>5054</v>
      </c>
      <c r="G10814" t="s">
        <v>37274</v>
      </c>
      <c r="H10814" t="s">
        <v>5476</v>
      </c>
      <c r="I10814" t="s">
        <v>37275</v>
      </c>
      <c r="J10814" t="s">
        <v>5484</v>
      </c>
      <c r="K10814" t="s">
        <v>37276</v>
      </c>
      <c r="L10814" t="s">
        <v>5471</v>
      </c>
      <c r="M10814" t="s">
        <v>5471</v>
      </c>
    </row>
    <row r="10815" spans="1:13" x14ac:dyDescent="0.3">
      <c r="A10815" t="s">
        <v>3383</v>
      </c>
      <c r="B10815" t="s">
        <v>6009</v>
      </c>
      <c r="C10815" t="s">
        <v>5470</v>
      </c>
      <c r="D10815" t="s">
        <v>9958</v>
      </c>
      <c r="E10815" t="s">
        <v>5532</v>
      </c>
      <c r="F10815" t="s">
        <v>4409</v>
      </c>
      <c r="G10815" t="s">
        <v>37277</v>
      </c>
      <c r="H10815" t="s">
        <v>5476</v>
      </c>
      <c r="I10815" t="s">
        <v>37278</v>
      </c>
      <c r="J10815" t="s">
        <v>5484</v>
      </c>
      <c r="K10815" t="s">
        <v>37279</v>
      </c>
      <c r="L10815" t="s">
        <v>5471</v>
      </c>
      <c r="M10815" t="s">
        <v>5471</v>
      </c>
    </row>
    <row r="10816" spans="1:13" x14ac:dyDescent="0.3">
      <c r="A10816" t="s">
        <v>3383</v>
      </c>
      <c r="B10816" t="s">
        <v>7820</v>
      </c>
      <c r="C10816" t="s">
        <v>5487</v>
      </c>
      <c r="D10816" t="s">
        <v>9958</v>
      </c>
      <c r="E10816" t="s">
        <v>5532</v>
      </c>
      <c r="F10816" t="s">
        <v>5236</v>
      </c>
      <c r="G10816" t="s">
        <v>37280</v>
      </c>
      <c r="H10816" t="s">
        <v>5476</v>
      </c>
      <c r="I10816" t="s">
        <v>37281</v>
      </c>
      <c r="J10816" t="s">
        <v>5484</v>
      </c>
      <c r="K10816" t="s">
        <v>37282</v>
      </c>
      <c r="L10816" t="s">
        <v>5471</v>
      </c>
      <c r="M10816" t="s">
        <v>5471</v>
      </c>
    </row>
    <row r="10817" spans="1:13" x14ac:dyDescent="0.3">
      <c r="A10817" t="s">
        <v>3383</v>
      </c>
      <c r="B10817" t="s">
        <v>5294</v>
      </c>
      <c r="C10817" t="s">
        <v>5470</v>
      </c>
      <c r="D10817" t="s">
        <v>9940</v>
      </c>
      <c r="E10817" t="s">
        <v>5756</v>
      </c>
      <c r="F10817" t="s">
        <v>4524</v>
      </c>
      <c r="G10817" t="s">
        <v>6201</v>
      </c>
      <c r="H10817" t="s">
        <v>5476</v>
      </c>
      <c r="I10817" t="s">
        <v>37283</v>
      </c>
      <c r="J10817" t="s">
        <v>5484</v>
      </c>
      <c r="K10817" t="s">
        <v>37284</v>
      </c>
      <c r="L10817" t="s">
        <v>5471</v>
      </c>
      <c r="M10817" t="s">
        <v>5471</v>
      </c>
    </row>
    <row r="10818" spans="1:13" x14ac:dyDescent="0.3">
      <c r="A10818" t="s">
        <v>3383</v>
      </c>
      <c r="B10818" t="s">
        <v>5294</v>
      </c>
      <c r="C10818" t="s">
        <v>5470</v>
      </c>
      <c r="D10818" t="s">
        <v>9940</v>
      </c>
      <c r="E10818" t="s">
        <v>5756</v>
      </c>
      <c r="F10818" t="s">
        <v>4525</v>
      </c>
      <c r="G10818" t="s">
        <v>6201</v>
      </c>
      <c r="H10818" t="s">
        <v>5476</v>
      </c>
      <c r="I10818" t="s">
        <v>37285</v>
      </c>
      <c r="J10818" t="s">
        <v>5484</v>
      </c>
      <c r="K10818" t="s">
        <v>37284</v>
      </c>
      <c r="L10818" t="s">
        <v>5471</v>
      </c>
      <c r="M10818" t="s">
        <v>5471</v>
      </c>
    </row>
    <row r="10819" spans="1:13" x14ac:dyDescent="0.3">
      <c r="A10819" t="s">
        <v>3383</v>
      </c>
      <c r="B10819" t="s">
        <v>5294</v>
      </c>
      <c r="C10819" t="s">
        <v>5470</v>
      </c>
      <c r="D10819" t="s">
        <v>9940</v>
      </c>
      <c r="E10819" t="s">
        <v>5756</v>
      </c>
      <c r="F10819" t="s">
        <v>4526</v>
      </c>
      <c r="G10819" t="s">
        <v>6201</v>
      </c>
      <c r="H10819" t="s">
        <v>5476</v>
      </c>
      <c r="I10819" t="s">
        <v>37286</v>
      </c>
      <c r="J10819" t="s">
        <v>5484</v>
      </c>
      <c r="K10819" t="s">
        <v>37284</v>
      </c>
      <c r="L10819" t="s">
        <v>5471</v>
      </c>
      <c r="M10819" t="s">
        <v>5471</v>
      </c>
    </row>
    <row r="10820" spans="1:13" x14ac:dyDescent="0.3">
      <c r="A10820" t="s">
        <v>3383</v>
      </c>
      <c r="B10820" t="s">
        <v>5294</v>
      </c>
      <c r="C10820" t="s">
        <v>5470</v>
      </c>
      <c r="D10820" t="s">
        <v>9940</v>
      </c>
      <c r="E10820" t="s">
        <v>5756</v>
      </c>
      <c r="F10820" t="s">
        <v>4532</v>
      </c>
      <c r="G10820" t="s">
        <v>6225</v>
      </c>
      <c r="H10820" t="s">
        <v>5476</v>
      </c>
      <c r="I10820" t="s">
        <v>37287</v>
      </c>
      <c r="J10820" t="s">
        <v>5484</v>
      </c>
      <c r="K10820" t="s">
        <v>37288</v>
      </c>
      <c r="L10820" t="s">
        <v>5471</v>
      </c>
      <c r="M10820" t="s">
        <v>5471</v>
      </c>
    </row>
    <row r="10821" spans="1:13" x14ac:dyDescent="0.3">
      <c r="A10821" t="s">
        <v>3383</v>
      </c>
      <c r="B10821" t="s">
        <v>5294</v>
      </c>
      <c r="C10821" t="s">
        <v>5470</v>
      </c>
      <c r="D10821" t="s">
        <v>9940</v>
      </c>
      <c r="E10821" t="s">
        <v>5756</v>
      </c>
      <c r="F10821" t="s">
        <v>4533</v>
      </c>
      <c r="G10821" t="s">
        <v>6225</v>
      </c>
      <c r="H10821" t="s">
        <v>5476</v>
      </c>
      <c r="I10821" t="s">
        <v>37289</v>
      </c>
      <c r="J10821" t="s">
        <v>5484</v>
      </c>
      <c r="K10821" t="s">
        <v>37290</v>
      </c>
      <c r="L10821" t="s">
        <v>5471</v>
      </c>
      <c r="M10821" t="s">
        <v>5471</v>
      </c>
    </row>
    <row r="10822" spans="1:13" x14ac:dyDescent="0.3">
      <c r="A10822" t="s">
        <v>3383</v>
      </c>
      <c r="B10822" t="s">
        <v>5294</v>
      </c>
      <c r="C10822" t="s">
        <v>5470</v>
      </c>
      <c r="D10822" t="s">
        <v>9940</v>
      </c>
      <c r="E10822" t="s">
        <v>5756</v>
      </c>
      <c r="F10822" t="s">
        <v>4534</v>
      </c>
      <c r="G10822" t="s">
        <v>6225</v>
      </c>
      <c r="H10822" t="s">
        <v>5476</v>
      </c>
      <c r="I10822" t="s">
        <v>37291</v>
      </c>
      <c r="J10822" t="s">
        <v>5484</v>
      </c>
      <c r="K10822" t="s">
        <v>37290</v>
      </c>
      <c r="L10822" t="s">
        <v>5471</v>
      </c>
      <c r="M10822" t="s">
        <v>5471</v>
      </c>
    </row>
    <row r="10823" spans="1:13" x14ac:dyDescent="0.3">
      <c r="A10823" t="s">
        <v>3383</v>
      </c>
      <c r="B10823" t="s">
        <v>5294</v>
      </c>
      <c r="C10823" t="s">
        <v>5470</v>
      </c>
      <c r="D10823" t="s">
        <v>9940</v>
      </c>
      <c r="E10823" t="s">
        <v>5756</v>
      </c>
      <c r="F10823" t="s">
        <v>4535</v>
      </c>
      <c r="G10823" t="s">
        <v>37292</v>
      </c>
      <c r="H10823" t="s">
        <v>5476</v>
      </c>
      <c r="I10823" t="s">
        <v>37293</v>
      </c>
      <c r="J10823" t="s">
        <v>5484</v>
      </c>
      <c r="K10823" t="s">
        <v>36216</v>
      </c>
      <c r="L10823" t="s">
        <v>5471</v>
      </c>
      <c r="M10823" t="s">
        <v>5471</v>
      </c>
    </row>
    <row r="10824" spans="1:13" x14ac:dyDescent="0.3">
      <c r="A10824" t="s">
        <v>3383</v>
      </c>
      <c r="B10824" t="s">
        <v>5294</v>
      </c>
      <c r="C10824" t="s">
        <v>5470</v>
      </c>
      <c r="D10824" t="s">
        <v>9940</v>
      </c>
      <c r="E10824" t="s">
        <v>5756</v>
      </c>
      <c r="F10824" t="s">
        <v>4543</v>
      </c>
      <c r="G10824" t="s">
        <v>6232</v>
      </c>
      <c r="H10824" t="s">
        <v>5476</v>
      </c>
      <c r="I10824" t="s">
        <v>37294</v>
      </c>
      <c r="J10824" t="s">
        <v>5484</v>
      </c>
      <c r="K10824" t="s">
        <v>37295</v>
      </c>
      <c r="L10824" t="s">
        <v>5471</v>
      </c>
      <c r="M10824" t="s">
        <v>5471</v>
      </c>
    </row>
    <row r="10825" spans="1:13" x14ac:dyDescent="0.3">
      <c r="A10825" t="s">
        <v>3383</v>
      </c>
      <c r="B10825" t="s">
        <v>5294</v>
      </c>
      <c r="C10825" t="s">
        <v>5470</v>
      </c>
      <c r="D10825" t="s">
        <v>9940</v>
      </c>
      <c r="E10825" t="s">
        <v>5756</v>
      </c>
      <c r="F10825" t="s">
        <v>4544</v>
      </c>
      <c r="G10825" t="s">
        <v>6232</v>
      </c>
      <c r="H10825" t="s">
        <v>5476</v>
      </c>
      <c r="I10825" t="s">
        <v>37296</v>
      </c>
      <c r="J10825" t="s">
        <v>5484</v>
      </c>
      <c r="K10825" t="s">
        <v>37295</v>
      </c>
      <c r="L10825" t="s">
        <v>5471</v>
      </c>
      <c r="M10825" t="s">
        <v>5471</v>
      </c>
    </row>
    <row r="10826" spans="1:13" x14ac:dyDescent="0.3">
      <c r="A10826" t="s">
        <v>3383</v>
      </c>
      <c r="B10826" t="s">
        <v>5294</v>
      </c>
      <c r="C10826" t="s">
        <v>5470</v>
      </c>
      <c r="D10826" t="s">
        <v>9940</v>
      </c>
      <c r="E10826" t="s">
        <v>5756</v>
      </c>
      <c r="F10826" t="s">
        <v>4545</v>
      </c>
      <c r="G10826" t="s">
        <v>6232</v>
      </c>
      <c r="H10826" t="s">
        <v>5476</v>
      </c>
      <c r="I10826" t="s">
        <v>37297</v>
      </c>
      <c r="J10826" t="s">
        <v>5484</v>
      </c>
      <c r="K10826" t="s">
        <v>37295</v>
      </c>
      <c r="L10826" t="s">
        <v>5471</v>
      </c>
      <c r="M10826" t="s">
        <v>5471</v>
      </c>
    </row>
    <row r="10827" spans="1:13" x14ac:dyDescent="0.3">
      <c r="A10827" t="s">
        <v>3383</v>
      </c>
      <c r="B10827" t="s">
        <v>5304</v>
      </c>
      <c r="C10827" t="s">
        <v>5487</v>
      </c>
      <c r="D10827" t="s">
        <v>9958</v>
      </c>
      <c r="E10827" t="s">
        <v>5532</v>
      </c>
      <c r="F10827" t="s">
        <v>37298</v>
      </c>
      <c r="G10827" t="s">
        <v>37299</v>
      </c>
      <c r="H10827" t="s">
        <v>5476</v>
      </c>
      <c r="I10827" t="s">
        <v>37300</v>
      </c>
      <c r="J10827" t="s">
        <v>5484</v>
      </c>
      <c r="K10827" t="s">
        <v>37301</v>
      </c>
      <c r="L10827" t="s">
        <v>5471</v>
      </c>
      <c r="M10827" t="s">
        <v>5471</v>
      </c>
    </row>
    <row r="10828" spans="1:13" x14ac:dyDescent="0.3">
      <c r="A10828" t="s">
        <v>3383</v>
      </c>
      <c r="B10828" t="s">
        <v>5304</v>
      </c>
      <c r="C10828" t="s">
        <v>5487</v>
      </c>
      <c r="D10828" t="s">
        <v>9958</v>
      </c>
      <c r="E10828" t="s">
        <v>5532</v>
      </c>
      <c r="F10828" t="s">
        <v>37302</v>
      </c>
      <c r="G10828" t="s">
        <v>11827</v>
      </c>
      <c r="H10828" t="s">
        <v>5476</v>
      </c>
      <c r="I10828" t="s">
        <v>37303</v>
      </c>
      <c r="J10828" t="s">
        <v>5484</v>
      </c>
      <c r="K10828" t="s">
        <v>37304</v>
      </c>
      <c r="L10828" t="s">
        <v>5471</v>
      </c>
      <c r="M10828" t="s">
        <v>5471</v>
      </c>
    </row>
    <row r="10829" spans="1:13" x14ac:dyDescent="0.3">
      <c r="A10829" t="s">
        <v>3383</v>
      </c>
      <c r="B10829" t="s">
        <v>5304</v>
      </c>
      <c r="C10829" t="s">
        <v>5487</v>
      </c>
      <c r="D10829" t="s">
        <v>9940</v>
      </c>
      <c r="E10829" t="s">
        <v>5532</v>
      </c>
      <c r="F10829" t="s">
        <v>4659</v>
      </c>
      <c r="G10829" t="s">
        <v>37305</v>
      </c>
      <c r="H10829" t="s">
        <v>5476</v>
      </c>
      <c r="I10829" t="s">
        <v>37306</v>
      </c>
      <c r="J10829" t="s">
        <v>5484</v>
      </c>
      <c r="K10829" t="s">
        <v>37307</v>
      </c>
      <c r="L10829" t="s">
        <v>5471</v>
      </c>
      <c r="M10829" t="s">
        <v>5471</v>
      </c>
    </row>
    <row r="10830" spans="1:13" x14ac:dyDescent="0.3">
      <c r="A10830" t="s">
        <v>3383</v>
      </c>
      <c r="B10830" t="s">
        <v>6005</v>
      </c>
      <c r="C10830" t="s">
        <v>5487</v>
      </c>
      <c r="D10830" t="s">
        <v>4081</v>
      </c>
      <c r="E10830" t="s">
        <v>5532</v>
      </c>
      <c r="F10830" t="s">
        <v>4182</v>
      </c>
      <c r="G10830" t="s">
        <v>37308</v>
      </c>
      <c r="H10830" t="s">
        <v>5476</v>
      </c>
      <c r="I10830" t="s">
        <v>37309</v>
      </c>
      <c r="J10830" t="s">
        <v>5484</v>
      </c>
      <c r="K10830" t="s">
        <v>37310</v>
      </c>
      <c r="L10830" t="s">
        <v>5471</v>
      </c>
      <c r="M10830" t="s">
        <v>5471</v>
      </c>
    </row>
    <row r="10831" spans="1:13" x14ac:dyDescent="0.3">
      <c r="A10831" t="s">
        <v>3383</v>
      </c>
      <c r="B10831" t="s">
        <v>6005</v>
      </c>
      <c r="C10831" t="s">
        <v>5487</v>
      </c>
      <c r="D10831" t="s">
        <v>9940</v>
      </c>
      <c r="E10831" t="s">
        <v>5532</v>
      </c>
      <c r="F10831" t="s">
        <v>4187</v>
      </c>
      <c r="G10831" t="s">
        <v>10890</v>
      </c>
      <c r="H10831" t="s">
        <v>5476</v>
      </c>
      <c r="I10831" t="s">
        <v>37311</v>
      </c>
      <c r="J10831" t="s">
        <v>5484</v>
      </c>
      <c r="K10831" t="s">
        <v>37312</v>
      </c>
      <c r="L10831" t="s">
        <v>5471</v>
      </c>
      <c r="M10831" t="s">
        <v>5471</v>
      </c>
    </row>
    <row r="10832" spans="1:13" x14ac:dyDescent="0.3">
      <c r="A10832" t="s">
        <v>3383</v>
      </c>
      <c r="B10832" t="s">
        <v>6005</v>
      </c>
      <c r="C10832" t="s">
        <v>5487</v>
      </c>
      <c r="D10832" t="s">
        <v>4081</v>
      </c>
      <c r="E10832" t="s">
        <v>5532</v>
      </c>
      <c r="F10832" t="s">
        <v>4172</v>
      </c>
      <c r="G10832" t="s">
        <v>37313</v>
      </c>
      <c r="H10832" t="s">
        <v>5476</v>
      </c>
      <c r="I10832" t="s">
        <v>37314</v>
      </c>
      <c r="J10832" t="s">
        <v>5484</v>
      </c>
      <c r="K10832" t="s">
        <v>37315</v>
      </c>
      <c r="L10832" t="s">
        <v>5471</v>
      </c>
      <c r="M10832" t="s">
        <v>5471</v>
      </c>
    </row>
    <row r="10833" spans="1:13" x14ac:dyDescent="0.3">
      <c r="A10833" t="s">
        <v>3383</v>
      </c>
      <c r="B10833" t="s">
        <v>6005</v>
      </c>
      <c r="C10833" t="s">
        <v>5487</v>
      </c>
      <c r="D10833" t="s">
        <v>4081</v>
      </c>
      <c r="E10833" t="s">
        <v>5532</v>
      </c>
      <c r="F10833" t="s">
        <v>4173</v>
      </c>
      <c r="G10833" t="s">
        <v>37313</v>
      </c>
      <c r="H10833" t="s">
        <v>5476</v>
      </c>
      <c r="I10833" t="s">
        <v>37316</v>
      </c>
      <c r="J10833" t="s">
        <v>5484</v>
      </c>
      <c r="K10833" t="s">
        <v>37315</v>
      </c>
      <c r="L10833" t="s">
        <v>5471</v>
      </c>
      <c r="M10833" t="s">
        <v>5471</v>
      </c>
    </row>
    <row r="10834" spans="1:13" x14ac:dyDescent="0.3">
      <c r="A10834" t="s">
        <v>3383</v>
      </c>
      <c r="B10834" t="s">
        <v>5320</v>
      </c>
      <c r="C10834" t="s">
        <v>5470</v>
      </c>
      <c r="D10834" t="s">
        <v>4081</v>
      </c>
      <c r="E10834" t="s">
        <v>5532</v>
      </c>
      <c r="F10834" t="s">
        <v>4856</v>
      </c>
      <c r="G10834" t="s">
        <v>11837</v>
      </c>
      <c r="H10834" t="s">
        <v>5476</v>
      </c>
      <c r="I10834" t="s">
        <v>37317</v>
      </c>
      <c r="J10834" t="s">
        <v>5484</v>
      </c>
      <c r="K10834" t="s">
        <v>34194</v>
      </c>
      <c r="L10834" t="s">
        <v>5471</v>
      </c>
      <c r="M10834" t="s">
        <v>5471</v>
      </c>
    </row>
    <row r="10835" spans="1:13" x14ac:dyDescent="0.3">
      <c r="A10835" t="s">
        <v>3383</v>
      </c>
      <c r="B10835" t="s">
        <v>5320</v>
      </c>
      <c r="C10835" t="s">
        <v>5470</v>
      </c>
      <c r="D10835" t="s">
        <v>4081</v>
      </c>
      <c r="E10835" t="s">
        <v>5532</v>
      </c>
      <c r="F10835" t="s">
        <v>4860</v>
      </c>
      <c r="G10835" t="s">
        <v>7799</v>
      </c>
      <c r="H10835" t="s">
        <v>5476</v>
      </c>
      <c r="I10835" t="s">
        <v>37318</v>
      </c>
      <c r="J10835" t="s">
        <v>5484</v>
      </c>
      <c r="K10835" t="s">
        <v>34227</v>
      </c>
      <c r="L10835" t="s">
        <v>5471</v>
      </c>
      <c r="M10835" t="s">
        <v>5471</v>
      </c>
    </row>
    <row r="10836" spans="1:13" x14ac:dyDescent="0.3">
      <c r="A10836" t="s">
        <v>3383</v>
      </c>
      <c r="B10836" t="s">
        <v>6018</v>
      </c>
      <c r="C10836" t="s">
        <v>5470</v>
      </c>
      <c r="D10836" t="s">
        <v>9940</v>
      </c>
      <c r="E10836" t="s">
        <v>5756</v>
      </c>
      <c r="F10836" t="s">
        <v>4413</v>
      </c>
      <c r="G10836" t="s">
        <v>6279</v>
      </c>
      <c r="H10836" t="s">
        <v>5476</v>
      </c>
      <c r="I10836" t="s">
        <v>37319</v>
      </c>
      <c r="J10836" t="s">
        <v>5484</v>
      </c>
      <c r="K10836" t="s">
        <v>37320</v>
      </c>
      <c r="L10836" t="s">
        <v>5471</v>
      </c>
      <c r="M10836" t="s">
        <v>5471</v>
      </c>
    </row>
    <row r="10837" spans="1:13" x14ac:dyDescent="0.3">
      <c r="A10837" t="s">
        <v>3383</v>
      </c>
      <c r="B10837" t="s">
        <v>5330</v>
      </c>
      <c r="C10837" t="s">
        <v>5470</v>
      </c>
      <c r="D10837" t="s">
        <v>4081</v>
      </c>
      <c r="E10837" t="s">
        <v>5532</v>
      </c>
      <c r="F10837" t="s">
        <v>5027</v>
      </c>
      <c r="G10837" t="s">
        <v>5867</v>
      </c>
      <c r="H10837" t="s">
        <v>5476</v>
      </c>
      <c r="I10837" t="s">
        <v>37321</v>
      </c>
      <c r="J10837" t="s">
        <v>5484</v>
      </c>
      <c r="K10837" t="s">
        <v>37322</v>
      </c>
      <c r="L10837" t="s">
        <v>5471</v>
      </c>
      <c r="M10837" t="s">
        <v>5471</v>
      </c>
    </row>
    <row r="10838" spans="1:13" x14ac:dyDescent="0.3">
      <c r="A10838" t="s">
        <v>3383</v>
      </c>
      <c r="B10838" t="s">
        <v>5997</v>
      </c>
      <c r="C10838" t="s">
        <v>5487</v>
      </c>
      <c r="D10838" t="s">
        <v>4081</v>
      </c>
      <c r="E10838" t="s">
        <v>5532</v>
      </c>
      <c r="F10838" t="s">
        <v>4087</v>
      </c>
      <c r="G10838" t="s">
        <v>29152</v>
      </c>
      <c r="H10838" t="s">
        <v>5476</v>
      </c>
      <c r="I10838" t="s">
        <v>37323</v>
      </c>
      <c r="J10838" t="s">
        <v>5484</v>
      </c>
      <c r="K10838" t="s">
        <v>37324</v>
      </c>
      <c r="L10838" t="s">
        <v>5471</v>
      </c>
      <c r="M10838" t="s">
        <v>5471</v>
      </c>
    </row>
    <row r="10839" spans="1:13" x14ac:dyDescent="0.3">
      <c r="A10839" t="s">
        <v>3383</v>
      </c>
      <c r="B10839" t="s">
        <v>5997</v>
      </c>
      <c r="C10839" t="s">
        <v>5487</v>
      </c>
      <c r="D10839" t="s">
        <v>4081</v>
      </c>
      <c r="E10839" t="s">
        <v>5532</v>
      </c>
      <c r="F10839" t="s">
        <v>4098</v>
      </c>
      <c r="G10839" t="s">
        <v>29158</v>
      </c>
      <c r="H10839" t="s">
        <v>5476</v>
      </c>
      <c r="I10839" t="s">
        <v>37325</v>
      </c>
      <c r="J10839" t="s">
        <v>5484</v>
      </c>
      <c r="K10839" t="s">
        <v>37326</v>
      </c>
      <c r="L10839" t="s">
        <v>5471</v>
      </c>
      <c r="M10839" t="s">
        <v>5471</v>
      </c>
    </row>
    <row r="10840" spans="1:13" x14ac:dyDescent="0.3">
      <c r="A10840" t="s">
        <v>3383</v>
      </c>
      <c r="B10840" t="s">
        <v>8600</v>
      </c>
      <c r="C10840" t="s">
        <v>5470</v>
      </c>
      <c r="D10840" t="s">
        <v>4081</v>
      </c>
      <c r="E10840" t="s">
        <v>5617</v>
      </c>
      <c r="F10840" t="s">
        <v>5131</v>
      </c>
      <c r="G10840" t="s">
        <v>6410</v>
      </c>
      <c r="H10840" t="s">
        <v>5476</v>
      </c>
      <c r="I10840" t="s">
        <v>37327</v>
      </c>
      <c r="J10840" t="s">
        <v>5484</v>
      </c>
      <c r="K10840" t="s">
        <v>37328</v>
      </c>
      <c r="L10840" t="s">
        <v>5471</v>
      </c>
      <c r="M10840" t="s">
        <v>5471</v>
      </c>
    </row>
    <row r="10841" spans="1:13" x14ac:dyDescent="0.3">
      <c r="A10841" t="s">
        <v>3383</v>
      </c>
      <c r="B10841" t="s">
        <v>8600</v>
      </c>
      <c r="C10841" t="s">
        <v>5470</v>
      </c>
      <c r="D10841" t="s">
        <v>9958</v>
      </c>
      <c r="E10841" t="s">
        <v>5480</v>
      </c>
      <c r="F10841" t="s">
        <v>5138</v>
      </c>
      <c r="G10841" t="s">
        <v>37329</v>
      </c>
      <c r="H10841" t="s">
        <v>5476</v>
      </c>
      <c r="I10841" t="s">
        <v>37330</v>
      </c>
      <c r="J10841" t="s">
        <v>5484</v>
      </c>
      <c r="K10841" t="s">
        <v>37331</v>
      </c>
      <c r="L10841" t="s">
        <v>5471</v>
      </c>
      <c r="M10841" t="s">
        <v>5471</v>
      </c>
    </row>
    <row r="10842" spans="1:13" x14ac:dyDescent="0.3">
      <c r="A10842" t="s">
        <v>3383</v>
      </c>
      <c r="B10842" t="s">
        <v>8526</v>
      </c>
      <c r="C10842" t="s">
        <v>5470</v>
      </c>
      <c r="D10842" t="s">
        <v>9958</v>
      </c>
      <c r="E10842" t="s">
        <v>5480</v>
      </c>
      <c r="F10842" t="s">
        <v>4231</v>
      </c>
      <c r="G10842" t="s">
        <v>37332</v>
      </c>
      <c r="H10842" t="s">
        <v>5476</v>
      </c>
      <c r="I10842" t="s">
        <v>37333</v>
      </c>
      <c r="J10842" t="s">
        <v>5484</v>
      </c>
      <c r="K10842" t="s">
        <v>37334</v>
      </c>
      <c r="L10842" t="s">
        <v>5471</v>
      </c>
      <c r="M10842" t="s">
        <v>5471</v>
      </c>
    </row>
    <row r="10843" spans="1:13" x14ac:dyDescent="0.3">
      <c r="A10843" t="s">
        <v>3383</v>
      </c>
      <c r="B10843" t="s">
        <v>8526</v>
      </c>
      <c r="C10843" t="s">
        <v>5470</v>
      </c>
      <c r="D10843" t="s">
        <v>9958</v>
      </c>
      <c r="E10843" t="s">
        <v>5480</v>
      </c>
      <c r="F10843" t="s">
        <v>4239</v>
      </c>
      <c r="G10843" t="s">
        <v>37335</v>
      </c>
      <c r="H10843" t="s">
        <v>5476</v>
      </c>
      <c r="I10843" t="s">
        <v>37336</v>
      </c>
      <c r="J10843" t="s">
        <v>5484</v>
      </c>
      <c r="K10843" t="s">
        <v>37337</v>
      </c>
      <c r="L10843" t="s">
        <v>5471</v>
      </c>
      <c r="M10843" t="s">
        <v>5471</v>
      </c>
    </row>
    <row r="10844" spans="1:13" x14ac:dyDescent="0.3">
      <c r="A10844" t="s">
        <v>3383</v>
      </c>
      <c r="B10844" t="s">
        <v>8526</v>
      </c>
      <c r="C10844" t="s">
        <v>5470</v>
      </c>
      <c r="D10844" t="s">
        <v>9958</v>
      </c>
      <c r="E10844" t="s">
        <v>5480</v>
      </c>
      <c r="F10844" t="s">
        <v>4242</v>
      </c>
      <c r="G10844" t="s">
        <v>37338</v>
      </c>
      <c r="H10844" t="s">
        <v>5476</v>
      </c>
      <c r="I10844" t="s">
        <v>37339</v>
      </c>
      <c r="J10844" t="s">
        <v>5484</v>
      </c>
      <c r="K10844" t="s">
        <v>37340</v>
      </c>
      <c r="L10844" t="s">
        <v>5471</v>
      </c>
      <c r="M10844" t="s">
        <v>5471</v>
      </c>
    </row>
    <row r="10845" spans="1:13" x14ac:dyDescent="0.3">
      <c r="A10845" t="s">
        <v>3383</v>
      </c>
      <c r="B10845" t="s">
        <v>8526</v>
      </c>
      <c r="C10845" t="s">
        <v>5470</v>
      </c>
      <c r="D10845" t="s">
        <v>9958</v>
      </c>
      <c r="E10845" t="s">
        <v>5480</v>
      </c>
      <c r="F10845" t="s">
        <v>4245</v>
      </c>
      <c r="G10845" t="s">
        <v>37341</v>
      </c>
      <c r="H10845" t="s">
        <v>5476</v>
      </c>
      <c r="I10845" t="s">
        <v>37342</v>
      </c>
      <c r="J10845" t="s">
        <v>5484</v>
      </c>
      <c r="K10845" t="s">
        <v>37343</v>
      </c>
      <c r="L10845" t="s">
        <v>5471</v>
      </c>
      <c r="M10845" t="s">
        <v>5471</v>
      </c>
    </row>
    <row r="10846" spans="1:13" x14ac:dyDescent="0.3">
      <c r="A10846" t="s">
        <v>3383</v>
      </c>
      <c r="B10846" t="s">
        <v>8526</v>
      </c>
      <c r="C10846" t="s">
        <v>5470</v>
      </c>
      <c r="D10846" t="s">
        <v>9958</v>
      </c>
      <c r="E10846" t="s">
        <v>5480</v>
      </c>
      <c r="F10846" t="s">
        <v>4252</v>
      </c>
      <c r="G10846" t="s">
        <v>37344</v>
      </c>
      <c r="H10846" t="s">
        <v>5476</v>
      </c>
      <c r="I10846" t="s">
        <v>37345</v>
      </c>
      <c r="J10846" t="s">
        <v>5484</v>
      </c>
      <c r="K10846" t="s">
        <v>37346</v>
      </c>
      <c r="L10846" t="s">
        <v>5471</v>
      </c>
      <c r="M10846" t="s">
        <v>5471</v>
      </c>
    </row>
    <row r="10847" spans="1:13" x14ac:dyDescent="0.3">
      <c r="A10847" t="s">
        <v>3383</v>
      </c>
      <c r="B10847" t="s">
        <v>8526</v>
      </c>
      <c r="C10847" t="s">
        <v>5470</v>
      </c>
      <c r="D10847" t="s">
        <v>9958</v>
      </c>
      <c r="E10847" t="s">
        <v>5480</v>
      </c>
      <c r="F10847" t="s">
        <v>4255</v>
      </c>
      <c r="G10847" t="s">
        <v>37347</v>
      </c>
      <c r="H10847" t="s">
        <v>5476</v>
      </c>
      <c r="I10847" t="s">
        <v>37348</v>
      </c>
      <c r="J10847" t="s">
        <v>5484</v>
      </c>
      <c r="K10847" t="s">
        <v>37349</v>
      </c>
      <c r="L10847" t="s">
        <v>5471</v>
      </c>
      <c r="M10847" t="s">
        <v>5471</v>
      </c>
    </row>
    <row r="10848" spans="1:13" x14ac:dyDescent="0.3">
      <c r="A10848" t="s">
        <v>3383</v>
      </c>
      <c r="B10848" t="s">
        <v>8526</v>
      </c>
      <c r="C10848" t="s">
        <v>5470</v>
      </c>
      <c r="D10848" t="s">
        <v>9958</v>
      </c>
      <c r="E10848" t="s">
        <v>5480</v>
      </c>
      <c r="F10848" t="s">
        <v>4262</v>
      </c>
      <c r="G10848" t="s">
        <v>37350</v>
      </c>
      <c r="H10848" t="s">
        <v>5476</v>
      </c>
      <c r="I10848" t="s">
        <v>37351</v>
      </c>
      <c r="J10848" t="s">
        <v>5484</v>
      </c>
      <c r="K10848" t="s">
        <v>37352</v>
      </c>
      <c r="L10848" t="s">
        <v>5471</v>
      </c>
      <c r="M10848" t="s">
        <v>5471</v>
      </c>
    </row>
    <row r="10849" spans="1:13" x14ac:dyDescent="0.3">
      <c r="A10849" t="s">
        <v>3383</v>
      </c>
      <c r="B10849" t="s">
        <v>8526</v>
      </c>
      <c r="C10849" t="s">
        <v>5470</v>
      </c>
      <c r="D10849" t="s">
        <v>9958</v>
      </c>
      <c r="E10849" t="s">
        <v>5480</v>
      </c>
      <c r="F10849" t="s">
        <v>4265</v>
      </c>
      <c r="G10849" t="s">
        <v>37353</v>
      </c>
      <c r="H10849" t="s">
        <v>5476</v>
      </c>
      <c r="I10849" t="s">
        <v>37354</v>
      </c>
      <c r="J10849" t="s">
        <v>5484</v>
      </c>
      <c r="K10849" t="s">
        <v>37355</v>
      </c>
      <c r="L10849" t="s">
        <v>5471</v>
      </c>
      <c r="M10849" t="s">
        <v>5471</v>
      </c>
    </row>
    <row r="10850" spans="1:13" x14ac:dyDescent="0.3">
      <c r="A10850" t="s">
        <v>3383</v>
      </c>
      <c r="B10850" t="s">
        <v>8526</v>
      </c>
      <c r="C10850" t="s">
        <v>5470</v>
      </c>
      <c r="D10850" t="s">
        <v>9958</v>
      </c>
      <c r="E10850" t="s">
        <v>5480</v>
      </c>
      <c r="F10850" t="s">
        <v>4268</v>
      </c>
      <c r="G10850" t="s">
        <v>37356</v>
      </c>
      <c r="H10850" t="s">
        <v>5476</v>
      </c>
      <c r="I10850" t="s">
        <v>37357</v>
      </c>
      <c r="J10850" t="s">
        <v>5484</v>
      </c>
      <c r="K10850" t="s">
        <v>37358</v>
      </c>
      <c r="L10850" t="s">
        <v>5471</v>
      </c>
      <c r="M10850" t="s">
        <v>5471</v>
      </c>
    </row>
    <row r="10851" spans="1:13" x14ac:dyDescent="0.3">
      <c r="A10851" t="s">
        <v>3383</v>
      </c>
      <c r="B10851" t="s">
        <v>8526</v>
      </c>
      <c r="C10851" t="s">
        <v>5470</v>
      </c>
      <c r="D10851" t="s">
        <v>9958</v>
      </c>
      <c r="E10851" t="s">
        <v>5480</v>
      </c>
      <c r="F10851" t="s">
        <v>4275</v>
      </c>
      <c r="G10851" t="s">
        <v>37359</v>
      </c>
      <c r="H10851" t="s">
        <v>5476</v>
      </c>
      <c r="I10851" t="s">
        <v>37360</v>
      </c>
      <c r="J10851" t="s">
        <v>5484</v>
      </c>
      <c r="K10851" t="s">
        <v>37361</v>
      </c>
      <c r="L10851" t="s">
        <v>5471</v>
      </c>
      <c r="M10851" t="s">
        <v>5471</v>
      </c>
    </row>
    <row r="10852" spans="1:13" x14ac:dyDescent="0.3">
      <c r="A10852" t="s">
        <v>3383</v>
      </c>
      <c r="B10852" t="s">
        <v>5324</v>
      </c>
      <c r="C10852" t="s">
        <v>5487</v>
      </c>
      <c r="D10852" t="s">
        <v>9940</v>
      </c>
      <c r="E10852" t="s">
        <v>5532</v>
      </c>
      <c r="F10852" t="s">
        <v>4914</v>
      </c>
      <c r="G10852" t="s">
        <v>10912</v>
      </c>
      <c r="H10852" t="s">
        <v>5476</v>
      </c>
      <c r="I10852" t="s">
        <v>37362</v>
      </c>
      <c r="J10852" t="s">
        <v>5484</v>
      </c>
      <c r="K10852" t="s">
        <v>37363</v>
      </c>
      <c r="L10852" t="s">
        <v>5471</v>
      </c>
      <c r="M10852" t="s">
        <v>5471</v>
      </c>
    </row>
    <row r="10853" spans="1:13" x14ac:dyDescent="0.3">
      <c r="A10853" t="s">
        <v>3383</v>
      </c>
      <c r="B10853" t="s">
        <v>5324</v>
      </c>
      <c r="C10853" t="s">
        <v>5487</v>
      </c>
      <c r="D10853" t="s">
        <v>9940</v>
      </c>
      <c r="E10853" t="s">
        <v>5532</v>
      </c>
      <c r="F10853" t="s">
        <v>4904</v>
      </c>
      <c r="G10853" t="s">
        <v>9513</v>
      </c>
      <c r="H10853" t="s">
        <v>5476</v>
      </c>
      <c r="I10853" t="s">
        <v>37364</v>
      </c>
      <c r="J10853" t="s">
        <v>5484</v>
      </c>
      <c r="K10853" t="s">
        <v>37365</v>
      </c>
      <c r="L10853" t="s">
        <v>5471</v>
      </c>
      <c r="M10853" t="s">
        <v>5471</v>
      </c>
    </row>
    <row r="10854" spans="1:13" x14ac:dyDescent="0.3">
      <c r="A10854" t="s">
        <v>3383</v>
      </c>
      <c r="B10854" t="s">
        <v>5324</v>
      </c>
      <c r="C10854" t="s">
        <v>5487</v>
      </c>
      <c r="D10854" t="s">
        <v>9940</v>
      </c>
      <c r="E10854" t="s">
        <v>5532</v>
      </c>
      <c r="F10854" t="s">
        <v>4911</v>
      </c>
      <c r="G10854" t="s">
        <v>37366</v>
      </c>
      <c r="H10854" t="s">
        <v>5476</v>
      </c>
      <c r="I10854" t="s">
        <v>37367</v>
      </c>
      <c r="J10854" t="s">
        <v>5484</v>
      </c>
      <c r="K10854" t="s">
        <v>37368</v>
      </c>
      <c r="L10854" t="s">
        <v>5471</v>
      </c>
      <c r="M10854" t="s">
        <v>5471</v>
      </c>
    </row>
    <row r="10855" spans="1:13" x14ac:dyDescent="0.3">
      <c r="A10855" t="s">
        <v>3383</v>
      </c>
      <c r="B10855" t="s">
        <v>6113</v>
      </c>
      <c r="C10855" t="s">
        <v>5487</v>
      </c>
      <c r="D10855" t="s">
        <v>9940</v>
      </c>
      <c r="E10855" t="s">
        <v>5532</v>
      </c>
      <c r="F10855" t="s">
        <v>5031</v>
      </c>
      <c r="G10855" t="s">
        <v>37369</v>
      </c>
      <c r="H10855" t="s">
        <v>5476</v>
      </c>
      <c r="I10855" t="s">
        <v>37370</v>
      </c>
      <c r="J10855" t="s">
        <v>5484</v>
      </c>
      <c r="K10855" t="s">
        <v>37371</v>
      </c>
      <c r="L10855" t="s">
        <v>5471</v>
      </c>
      <c r="M10855" t="s">
        <v>5471</v>
      </c>
    </row>
    <row r="10856" spans="1:13" x14ac:dyDescent="0.3">
      <c r="A10856" t="s">
        <v>3383</v>
      </c>
      <c r="B10856" t="s">
        <v>6022</v>
      </c>
      <c r="C10856" t="s">
        <v>5487</v>
      </c>
      <c r="D10856" t="s">
        <v>9940</v>
      </c>
      <c r="E10856" t="s">
        <v>5843</v>
      </c>
      <c r="F10856" t="s">
        <v>4418</v>
      </c>
      <c r="G10856" t="s">
        <v>37372</v>
      </c>
      <c r="H10856" t="s">
        <v>5476</v>
      </c>
      <c r="I10856" t="s">
        <v>37373</v>
      </c>
      <c r="J10856" t="s">
        <v>5484</v>
      </c>
      <c r="K10856" t="s">
        <v>37374</v>
      </c>
      <c r="L10856" t="s">
        <v>5471</v>
      </c>
      <c r="M10856" t="s">
        <v>5471</v>
      </c>
    </row>
    <row r="10857" spans="1:13" x14ac:dyDescent="0.3">
      <c r="A10857" t="s">
        <v>3383</v>
      </c>
      <c r="B10857" t="s">
        <v>5952</v>
      </c>
      <c r="C10857" t="s">
        <v>5470</v>
      </c>
      <c r="D10857" t="s">
        <v>9940</v>
      </c>
      <c r="E10857" t="s">
        <v>5756</v>
      </c>
      <c r="F10857" t="s">
        <v>4798</v>
      </c>
      <c r="G10857" t="s">
        <v>6322</v>
      </c>
      <c r="H10857" t="s">
        <v>5476</v>
      </c>
      <c r="I10857" t="s">
        <v>37375</v>
      </c>
      <c r="J10857" t="s">
        <v>5484</v>
      </c>
      <c r="K10857" t="s">
        <v>37258</v>
      </c>
      <c r="L10857" t="s">
        <v>5471</v>
      </c>
      <c r="M10857" t="s">
        <v>5471</v>
      </c>
    </row>
    <row r="10858" spans="1:13" x14ac:dyDescent="0.3">
      <c r="A10858" t="s">
        <v>3383</v>
      </c>
      <c r="B10858" t="s">
        <v>5997</v>
      </c>
      <c r="C10858" t="s">
        <v>5487</v>
      </c>
      <c r="D10858" t="s">
        <v>9940</v>
      </c>
      <c r="E10858" t="s">
        <v>5532</v>
      </c>
      <c r="F10858" t="s">
        <v>4083</v>
      </c>
      <c r="G10858" t="s">
        <v>37376</v>
      </c>
      <c r="H10858" t="s">
        <v>5476</v>
      </c>
      <c r="I10858" t="s">
        <v>37377</v>
      </c>
      <c r="J10858" t="s">
        <v>5484</v>
      </c>
      <c r="K10858" t="s">
        <v>37378</v>
      </c>
      <c r="L10858" t="s">
        <v>5471</v>
      </c>
      <c r="M10858" t="s">
        <v>5471</v>
      </c>
    </row>
    <row r="10859" spans="1:13" x14ac:dyDescent="0.3">
      <c r="A10859" t="s">
        <v>3388</v>
      </c>
      <c r="B10859" t="s">
        <v>6632</v>
      </c>
      <c r="C10859" t="s">
        <v>5470</v>
      </c>
      <c r="D10859" t="s">
        <v>4081</v>
      </c>
      <c r="E10859" t="s">
        <v>5532</v>
      </c>
      <c r="F10859" t="s">
        <v>37379</v>
      </c>
      <c r="G10859" t="s">
        <v>37380</v>
      </c>
      <c r="H10859" t="s">
        <v>5476</v>
      </c>
      <c r="I10859" t="s">
        <v>37381</v>
      </c>
      <c r="J10859" t="s">
        <v>5484</v>
      </c>
      <c r="K10859" t="s">
        <v>37382</v>
      </c>
      <c r="L10859" t="s">
        <v>5471</v>
      </c>
      <c r="M10859" t="s">
        <v>5471</v>
      </c>
    </row>
    <row r="10860" spans="1:13" x14ac:dyDescent="0.3">
      <c r="A10860" t="s">
        <v>3388</v>
      </c>
      <c r="B10860" t="s">
        <v>5678</v>
      </c>
      <c r="C10860" t="s">
        <v>5470</v>
      </c>
      <c r="D10860" t="s">
        <v>4081</v>
      </c>
      <c r="E10860" t="s">
        <v>5532</v>
      </c>
      <c r="F10860" t="s">
        <v>37383</v>
      </c>
      <c r="G10860" t="s">
        <v>37384</v>
      </c>
      <c r="H10860" t="s">
        <v>5476</v>
      </c>
      <c r="I10860" t="s">
        <v>37385</v>
      </c>
      <c r="J10860" t="s">
        <v>5484</v>
      </c>
      <c r="K10860" t="s">
        <v>37386</v>
      </c>
      <c r="L10860" t="s">
        <v>5471</v>
      </c>
      <c r="M10860" t="s">
        <v>5471</v>
      </c>
    </row>
    <row r="10861" spans="1:13" x14ac:dyDescent="0.3">
      <c r="A10861" t="s">
        <v>3388</v>
      </c>
      <c r="B10861" t="s">
        <v>5616</v>
      </c>
      <c r="C10861" t="s">
        <v>5470</v>
      </c>
      <c r="D10861" t="s">
        <v>9940</v>
      </c>
      <c r="E10861" t="s">
        <v>5532</v>
      </c>
      <c r="F10861" t="s">
        <v>37387</v>
      </c>
      <c r="G10861" t="s">
        <v>37388</v>
      </c>
      <c r="H10861" t="s">
        <v>5476</v>
      </c>
      <c r="I10861" t="s">
        <v>37389</v>
      </c>
      <c r="J10861" t="s">
        <v>5484</v>
      </c>
      <c r="K10861" t="s">
        <v>37390</v>
      </c>
      <c r="L10861" t="s">
        <v>5471</v>
      </c>
      <c r="M10861" t="s">
        <v>5471</v>
      </c>
    </row>
    <row r="10862" spans="1:13" x14ac:dyDescent="0.3">
      <c r="A10862" t="s">
        <v>3388</v>
      </c>
      <c r="B10862" t="s">
        <v>5616</v>
      </c>
      <c r="C10862" t="s">
        <v>5470</v>
      </c>
      <c r="D10862" t="s">
        <v>4081</v>
      </c>
      <c r="E10862" t="s">
        <v>5532</v>
      </c>
      <c r="F10862" t="s">
        <v>37391</v>
      </c>
      <c r="G10862" t="s">
        <v>22315</v>
      </c>
      <c r="H10862" t="s">
        <v>5476</v>
      </c>
      <c r="I10862" t="s">
        <v>37392</v>
      </c>
      <c r="J10862" t="s">
        <v>5484</v>
      </c>
      <c r="K10862" t="s">
        <v>27581</v>
      </c>
      <c r="L10862" t="s">
        <v>5471</v>
      </c>
      <c r="M10862" t="s">
        <v>5471</v>
      </c>
    </row>
    <row r="10863" spans="1:13" x14ac:dyDescent="0.3">
      <c r="A10863" t="s">
        <v>3388</v>
      </c>
      <c r="B10863" t="s">
        <v>6128</v>
      </c>
      <c r="C10863" t="s">
        <v>5470</v>
      </c>
      <c r="D10863" t="s">
        <v>9940</v>
      </c>
      <c r="E10863" t="s">
        <v>5532</v>
      </c>
      <c r="F10863" t="s">
        <v>4357</v>
      </c>
      <c r="G10863" t="s">
        <v>23646</v>
      </c>
      <c r="H10863" t="s">
        <v>5476</v>
      </c>
      <c r="I10863" t="s">
        <v>37393</v>
      </c>
      <c r="J10863" t="s">
        <v>5484</v>
      </c>
      <c r="K10863" t="s">
        <v>37394</v>
      </c>
      <c r="L10863" t="s">
        <v>5471</v>
      </c>
      <c r="M10863" t="s">
        <v>5471</v>
      </c>
    </row>
    <row r="10864" spans="1:13" x14ac:dyDescent="0.3">
      <c r="A10864" t="s">
        <v>3388</v>
      </c>
      <c r="B10864" t="s">
        <v>9921</v>
      </c>
      <c r="C10864" t="s">
        <v>5470</v>
      </c>
      <c r="D10864" t="s">
        <v>4081</v>
      </c>
      <c r="E10864" t="s">
        <v>5532</v>
      </c>
      <c r="F10864" t="s">
        <v>37395</v>
      </c>
      <c r="G10864" t="s">
        <v>37396</v>
      </c>
      <c r="H10864" t="s">
        <v>5476</v>
      </c>
      <c r="I10864" t="s">
        <v>37397</v>
      </c>
      <c r="J10864" t="s">
        <v>5484</v>
      </c>
      <c r="K10864" t="s">
        <v>27581</v>
      </c>
      <c r="L10864" t="s">
        <v>5471</v>
      </c>
      <c r="M10864" t="s">
        <v>5471</v>
      </c>
    </row>
    <row r="10865" spans="1:13" x14ac:dyDescent="0.3">
      <c r="A10865" t="s">
        <v>3388</v>
      </c>
      <c r="B10865" t="s">
        <v>5263</v>
      </c>
      <c r="C10865" t="s">
        <v>5470</v>
      </c>
      <c r="D10865" t="s">
        <v>4081</v>
      </c>
      <c r="E10865" t="s">
        <v>5532</v>
      </c>
      <c r="F10865" t="s">
        <v>37398</v>
      </c>
      <c r="G10865" t="s">
        <v>29245</v>
      </c>
      <c r="H10865" t="s">
        <v>5476</v>
      </c>
      <c r="I10865" t="s">
        <v>37399</v>
      </c>
      <c r="J10865" t="s">
        <v>5484</v>
      </c>
      <c r="K10865" t="s">
        <v>37400</v>
      </c>
      <c r="L10865" t="s">
        <v>5471</v>
      </c>
      <c r="M10865" t="s">
        <v>5471</v>
      </c>
    </row>
    <row r="10866" spans="1:13" x14ac:dyDescent="0.3">
      <c r="A10866" t="s">
        <v>3388</v>
      </c>
      <c r="B10866" t="s">
        <v>5263</v>
      </c>
      <c r="C10866" t="s">
        <v>5470</v>
      </c>
      <c r="D10866" t="s">
        <v>4081</v>
      </c>
      <c r="E10866" t="s">
        <v>5532</v>
      </c>
      <c r="F10866" t="s">
        <v>37401</v>
      </c>
      <c r="G10866" t="s">
        <v>29229</v>
      </c>
      <c r="H10866" t="s">
        <v>5476</v>
      </c>
      <c r="I10866" t="s">
        <v>37402</v>
      </c>
      <c r="J10866" t="s">
        <v>5484</v>
      </c>
      <c r="K10866" t="s">
        <v>37403</v>
      </c>
      <c r="L10866" t="s">
        <v>5471</v>
      </c>
      <c r="M10866" t="s">
        <v>5471</v>
      </c>
    </row>
    <row r="10867" spans="1:13" x14ac:dyDescent="0.3">
      <c r="A10867" t="s">
        <v>3388</v>
      </c>
      <c r="B10867" t="s">
        <v>10870</v>
      </c>
      <c r="C10867" t="s">
        <v>5470</v>
      </c>
      <c r="D10867" t="s">
        <v>9940</v>
      </c>
      <c r="E10867" t="s">
        <v>5532</v>
      </c>
      <c r="F10867" t="s">
        <v>37404</v>
      </c>
      <c r="G10867" t="s">
        <v>33108</v>
      </c>
      <c r="H10867" t="s">
        <v>5476</v>
      </c>
      <c r="I10867" t="s">
        <v>37405</v>
      </c>
      <c r="J10867" t="s">
        <v>5484</v>
      </c>
      <c r="K10867" t="s">
        <v>37394</v>
      </c>
      <c r="L10867" t="s">
        <v>5471</v>
      </c>
      <c r="M10867" t="s">
        <v>5471</v>
      </c>
    </row>
    <row r="10868" spans="1:13" x14ac:dyDescent="0.3">
      <c r="A10868" t="s">
        <v>3388</v>
      </c>
      <c r="B10868" t="s">
        <v>7109</v>
      </c>
      <c r="C10868" t="s">
        <v>5470</v>
      </c>
      <c r="D10868" t="s">
        <v>4081</v>
      </c>
      <c r="E10868" t="s">
        <v>5756</v>
      </c>
      <c r="F10868" t="s">
        <v>37406</v>
      </c>
      <c r="G10868" t="s">
        <v>37407</v>
      </c>
      <c r="H10868" t="s">
        <v>5476</v>
      </c>
      <c r="I10868" t="s">
        <v>37408</v>
      </c>
      <c r="J10868" t="s">
        <v>5484</v>
      </c>
      <c r="K10868" t="s">
        <v>37409</v>
      </c>
      <c r="L10868" t="s">
        <v>5471</v>
      </c>
      <c r="M10868" t="s">
        <v>5471</v>
      </c>
    </row>
    <row r="10869" spans="1:13" x14ac:dyDescent="0.3">
      <c r="A10869" t="s">
        <v>3388</v>
      </c>
      <c r="B10869" t="s">
        <v>7109</v>
      </c>
      <c r="C10869" t="s">
        <v>5470</v>
      </c>
      <c r="D10869" t="s">
        <v>4081</v>
      </c>
      <c r="E10869" t="s">
        <v>5756</v>
      </c>
      <c r="F10869" t="s">
        <v>37410</v>
      </c>
      <c r="G10869" t="s">
        <v>37407</v>
      </c>
      <c r="H10869" t="s">
        <v>5476</v>
      </c>
      <c r="I10869" t="s">
        <v>37411</v>
      </c>
      <c r="J10869" t="s">
        <v>5484</v>
      </c>
      <c r="K10869" t="s">
        <v>37412</v>
      </c>
      <c r="L10869" t="s">
        <v>5471</v>
      </c>
      <c r="M10869" t="s">
        <v>5471</v>
      </c>
    </row>
    <row r="10870" spans="1:13" x14ac:dyDescent="0.3">
      <c r="A10870" t="s">
        <v>3388</v>
      </c>
      <c r="B10870" t="s">
        <v>7109</v>
      </c>
      <c r="C10870" t="s">
        <v>5470</v>
      </c>
      <c r="D10870" t="s">
        <v>4081</v>
      </c>
      <c r="E10870" t="s">
        <v>5756</v>
      </c>
      <c r="F10870" t="s">
        <v>37413</v>
      </c>
      <c r="G10870" t="s">
        <v>37407</v>
      </c>
      <c r="H10870" t="s">
        <v>5476</v>
      </c>
      <c r="I10870" t="s">
        <v>37414</v>
      </c>
      <c r="J10870" t="s">
        <v>5484</v>
      </c>
      <c r="K10870" t="s">
        <v>37415</v>
      </c>
      <c r="L10870" t="s">
        <v>5471</v>
      </c>
      <c r="M10870" t="s">
        <v>5471</v>
      </c>
    </row>
    <row r="10871" spans="1:13" x14ac:dyDescent="0.3">
      <c r="A10871" t="s">
        <v>3388</v>
      </c>
      <c r="B10871" t="s">
        <v>21862</v>
      </c>
      <c r="C10871" t="s">
        <v>5470</v>
      </c>
      <c r="D10871" t="s">
        <v>9940</v>
      </c>
      <c r="E10871" t="s">
        <v>5480</v>
      </c>
      <c r="F10871" t="s">
        <v>37416</v>
      </c>
      <c r="G10871" t="s">
        <v>21864</v>
      </c>
      <c r="H10871" t="s">
        <v>5476</v>
      </c>
      <c r="I10871" t="s">
        <v>37417</v>
      </c>
      <c r="J10871" t="s">
        <v>5484</v>
      </c>
      <c r="K10871" t="s">
        <v>37418</v>
      </c>
      <c r="L10871" t="s">
        <v>5471</v>
      </c>
      <c r="M10871" t="s">
        <v>5471</v>
      </c>
    </row>
    <row r="10872" spans="1:13" x14ac:dyDescent="0.3">
      <c r="A10872" t="s">
        <v>3388</v>
      </c>
      <c r="B10872" t="s">
        <v>15702</v>
      </c>
      <c r="C10872" t="s">
        <v>5470</v>
      </c>
      <c r="D10872" t="s">
        <v>4081</v>
      </c>
      <c r="E10872" t="s">
        <v>5532</v>
      </c>
      <c r="F10872" t="s">
        <v>37419</v>
      </c>
      <c r="G10872" t="s">
        <v>37420</v>
      </c>
      <c r="H10872" t="s">
        <v>5476</v>
      </c>
      <c r="I10872" t="s">
        <v>37421</v>
      </c>
      <c r="J10872" t="s">
        <v>5484</v>
      </c>
      <c r="K10872" t="s">
        <v>37422</v>
      </c>
      <c r="L10872" t="s">
        <v>5471</v>
      </c>
      <c r="M10872" t="s">
        <v>5471</v>
      </c>
    </row>
    <row r="10873" spans="1:13" x14ac:dyDescent="0.3">
      <c r="A10873" t="s">
        <v>3388</v>
      </c>
      <c r="B10873" t="s">
        <v>15702</v>
      </c>
      <c r="C10873" t="s">
        <v>5470</v>
      </c>
      <c r="D10873" t="s">
        <v>9940</v>
      </c>
      <c r="E10873" t="s">
        <v>5532</v>
      </c>
      <c r="F10873" t="s">
        <v>37423</v>
      </c>
      <c r="G10873" t="s">
        <v>37424</v>
      </c>
      <c r="H10873" t="s">
        <v>5476</v>
      </c>
      <c r="I10873" t="s">
        <v>37425</v>
      </c>
      <c r="J10873" t="s">
        <v>5484</v>
      </c>
      <c r="K10873" t="s">
        <v>37426</v>
      </c>
      <c r="L10873" t="s">
        <v>5471</v>
      </c>
      <c r="M10873" t="s">
        <v>5471</v>
      </c>
    </row>
    <row r="10874" spans="1:13" x14ac:dyDescent="0.3">
      <c r="A10874" t="s">
        <v>3388</v>
      </c>
      <c r="B10874" t="s">
        <v>21595</v>
      </c>
      <c r="C10874" t="s">
        <v>5470</v>
      </c>
      <c r="D10874" t="s">
        <v>9940</v>
      </c>
      <c r="E10874" t="s">
        <v>5532</v>
      </c>
      <c r="F10874" t="s">
        <v>37427</v>
      </c>
      <c r="G10874" t="s">
        <v>37428</v>
      </c>
      <c r="H10874" t="s">
        <v>5476</v>
      </c>
      <c r="I10874" t="s">
        <v>37429</v>
      </c>
      <c r="J10874" t="s">
        <v>5484</v>
      </c>
      <c r="K10874" t="s">
        <v>37430</v>
      </c>
      <c r="L10874" t="s">
        <v>5471</v>
      </c>
      <c r="M10874" t="s">
        <v>5471</v>
      </c>
    </row>
    <row r="10875" spans="1:13" x14ac:dyDescent="0.3">
      <c r="A10875" t="s">
        <v>3388</v>
      </c>
      <c r="B10875" t="s">
        <v>21595</v>
      </c>
      <c r="C10875" t="s">
        <v>5470</v>
      </c>
      <c r="D10875" t="s">
        <v>9940</v>
      </c>
      <c r="E10875" t="s">
        <v>5532</v>
      </c>
      <c r="F10875" t="s">
        <v>37431</v>
      </c>
      <c r="G10875" t="s">
        <v>37428</v>
      </c>
      <c r="H10875" t="s">
        <v>5476</v>
      </c>
      <c r="I10875" t="s">
        <v>37432</v>
      </c>
      <c r="J10875" t="s">
        <v>5484</v>
      </c>
      <c r="K10875" t="s">
        <v>37433</v>
      </c>
      <c r="L10875" t="s">
        <v>5471</v>
      </c>
      <c r="M10875" t="s">
        <v>5471</v>
      </c>
    </row>
    <row r="10876" spans="1:13" x14ac:dyDescent="0.3">
      <c r="A10876" t="s">
        <v>3388</v>
      </c>
      <c r="B10876" t="s">
        <v>21595</v>
      </c>
      <c r="C10876" t="s">
        <v>5470</v>
      </c>
      <c r="D10876" t="s">
        <v>9940</v>
      </c>
      <c r="E10876" t="s">
        <v>5532</v>
      </c>
      <c r="F10876" t="s">
        <v>37434</v>
      </c>
      <c r="G10876" t="s">
        <v>37428</v>
      </c>
      <c r="H10876" t="s">
        <v>5476</v>
      </c>
      <c r="I10876" t="s">
        <v>37435</v>
      </c>
      <c r="J10876" t="s">
        <v>5484</v>
      </c>
      <c r="K10876" t="s">
        <v>37436</v>
      </c>
      <c r="L10876" t="s">
        <v>5471</v>
      </c>
      <c r="M10876" t="s">
        <v>5471</v>
      </c>
    </row>
    <row r="10877" spans="1:13" x14ac:dyDescent="0.3">
      <c r="A10877" t="s">
        <v>3388</v>
      </c>
      <c r="B10877" t="s">
        <v>5253</v>
      </c>
      <c r="C10877" t="s">
        <v>5470</v>
      </c>
      <c r="D10877" t="s">
        <v>9940</v>
      </c>
      <c r="E10877" t="s">
        <v>5532</v>
      </c>
      <c r="F10877" t="s">
        <v>37437</v>
      </c>
      <c r="G10877" t="s">
        <v>37438</v>
      </c>
      <c r="H10877" t="s">
        <v>5476</v>
      </c>
      <c r="I10877" t="s">
        <v>37439</v>
      </c>
      <c r="J10877" t="s">
        <v>5484</v>
      </c>
      <c r="K10877" t="s">
        <v>37390</v>
      </c>
      <c r="L10877" t="s">
        <v>5471</v>
      </c>
      <c r="M10877" t="s">
        <v>5471</v>
      </c>
    </row>
    <row r="10878" spans="1:13" x14ac:dyDescent="0.3">
      <c r="A10878" t="s">
        <v>3388</v>
      </c>
      <c r="B10878" t="s">
        <v>5253</v>
      </c>
      <c r="C10878" t="s">
        <v>5470</v>
      </c>
      <c r="D10878" t="s">
        <v>9940</v>
      </c>
      <c r="E10878" t="s">
        <v>5532</v>
      </c>
      <c r="F10878" t="s">
        <v>37440</v>
      </c>
      <c r="G10878" t="s">
        <v>37441</v>
      </c>
      <c r="H10878" t="s">
        <v>5476</v>
      </c>
      <c r="I10878" t="s">
        <v>37442</v>
      </c>
      <c r="J10878" t="s">
        <v>5484</v>
      </c>
      <c r="K10878" t="s">
        <v>37443</v>
      </c>
      <c r="L10878" t="s">
        <v>5471</v>
      </c>
      <c r="M10878" t="s">
        <v>5471</v>
      </c>
    </row>
    <row r="10879" spans="1:13" x14ac:dyDescent="0.3">
      <c r="A10879" t="s">
        <v>3388</v>
      </c>
      <c r="B10879" t="s">
        <v>6540</v>
      </c>
      <c r="C10879" t="s">
        <v>5470</v>
      </c>
      <c r="D10879" t="s">
        <v>4081</v>
      </c>
      <c r="E10879" t="s">
        <v>5617</v>
      </c>
      <c r="F10879" t="s">
        <v>37444</v>
      </c>
      <c r="G10879" t="s">
        <v>9695</v>
      </c>
      <c r="H10879" t="s">
        <v>5476</v>
      </c>
      <c r="I10879" t="s">
        <v>37445</v>
      </c>
      <c r="J10879" t="s">
        <v>5484</v>
      </c>
      <c r="K10879" t="s">
        <v>37446</v>
      </c>
      <c r="L10879" t="s">
        <v>5471</v>
      </c>
      <c r="M10879" t="s">
        <v>5471</v>
      </c>
    </row>
    <row r="10880" spans="1:13" x14ac:dyDescent="0.3">
      <c r="A10880" t="s">
        <v>3388</v>
      </c>
      <c r="B10880" t="s">
        <v>6540</v>
      </c>
      <c r="C10880" t="s">
        <v>5470</v>
      </c>
      <c r="D10880" t="s">
        <v>4081</v>
      </c>
      <c r="E10880" t="s">
        <v>5532</v>
      </c>
      <c r="F10880" t="s">
        <v>37447</v>
      </c>
      <c r="G10880" t="s">
        <v>19965</v>
      </c>
      <c r="H10880" t="s">
        <v>5476</v>
      </c>
      <c r="I10880" t="s">
        <v>37448</v>
      </c>
      <c r="J10880" t="s">
        <v>5484</v>
      </c>
      <c r="K10880" t="s">
        <v>37449</v>
      </c>
      <c r="L10880" t="s">
        <v>5471</v>
      </c>
      <c r="M10880" t="s">
        <v>5471</v>
      </c>
    </row>
    <row r="10881" spans="1:13" x14ac:dyDescent="0.3">
      <c r="A10881" t="s">
        <v>3388</v>
      </c>
      <c r="B10881" t="s">
        <v>6540</v>
      </c>
      <c r="C10881" t="s">
        <v>5470</v>
      </c>
      <c r="D10881" t="s">
        <v>4081</v>
      </c>
      <c r="E10881" t="s">
        <v>5532</v>
      </c>
      <c r="F10881" t="s">
        <v>37450</v>
      </c>
      <c r="G10881" t="s">
        <v>37451</v>
      </c>
      <c r="H10881" t="s">
        <v>5476</v>
      </c>
      <c r="I10881" t="s">
        <v>37452</v>
      </c>
      <c r="J10881" t="s">
        <v>5484</v>
      </c>
      <c r="K10881" t="s">
        <v>37453</v>
      </c>
      <c r="L10881" t="s">
        <v>5471</v>
      </c>
      <c r="M10881" t="s">
        <v>5471</v>
      </c>
    </row>
    <row r="10882" spans="1:13" x14ac:dyDescent="0.3">
      <c r="A10882" t="s">
        <v>3388</v>
      </c>
      <c r="B10882" t="s">
        <v>6540</v>
      </c>
      <c r="C10882" t="s">
        <v>5470</v>
      </c>
      <c r="D10882" t="s">
        <v>4081</v>
      </c>
      <c r="E10882" t="s">
        <v>5756</v>
      </c>
      <c r="F10882" t="s">
        <v>37454</v>
      </c>
      <c r="G10882" t="s">
        <v>37455</v>
      </c>
      <c r="H10882" t="s">
        <v>5476</v>
      </c>
      <c r="I10882" t="s">
        <v>37456</v>
      </c>
      <c r="J10882" t="s">
        <v>5484</v>
      </c>
      <c r="K10882" t="s">
        <v>37409</v>
      </c>
      <c r="L10882" t="s">
        <v>5471</v>
      </c>
      <c r="M10882" t="s">
        <v>5471</v>
      </c>
    </row>
    <row r="10883" spans="1:13" x14ac:dyDescent="0.3">
      <c r="A10883" t="s">
        <v>3388</v>
      </c>
      <c r="B10883" t="s">
        <v>6540</v>
      </c>
      <c r="C10883" t="s">
        <v>5470</v>
      </c>
      <c r="D10883" t="s">
        <v>4081</v>
      </c>
      <c r="E10883" t="s">
        <v>5756</v>
      </c>
      <c r="F10883" t="s">
        <v>37457</v>
      </c>
      <c r="G10883" t="s">
        <v>37455</v>
      </c>
      <c r="H10883" t="s">
        <v>5476</v>
      </c>
      <c r="I10883" t="s">
        <v>37458</v>
      </c>
      <c r="J10883" t="s">
        <v>5484</v>
      </c>
      <c r="K10883" t="s">
        <v>37412</v>
      </c>
      <c r="L10883" t="s">
        <v>5471</v>
      </c>
      <c r="M10883" t="s">
        <v>5471</v>
      </c>
    </row>
    <row r="10884" spans="1:13" x14ac:dyDescent="0.3">
      <c r="A10884" t="s">
        <v>3388</v>
      </c>
      <c r="B10884" t="s">
        <v>6540</v>
      </c>
      <c r="C10884" t="s">
        <v>5470</v>
      </c>
      <c r="D10884" t="s">
        <v>4081</v>
      </c>
      <c r="E10884" t="s">
        <v>5756</v>
      </c>
      <c r="F10884" t="s">
        <v>37459</v>
      </c>
      <c r="G10884" t="s">
        <v>37455</v>
      </c>
      <c r="H10884" t="s">
        <v>5476</v>
      </c>
      <c r="I10884" t="s">
        <v>37460</v>
      </c>
      <c r="J10884" t="s">
        <v>5484</v>
      </c>
      <c r="K10884" t="s">
        <v>37415</v>
      </c>
      <c r="L10884" t="s">
        <v>5471</v>
      </c>
      <c r="M10884" t="s">
        <v>5471</v>
      </c>
    </row>
    <row r="10885" spans="1:13" x14ac:dyDescent="0.3">
      <c r="A10885" t="s">
        <v>3388</v>
      </c>
      <c r="B10885" t="s">
        <v>5296</v>
      </c>
      <c r="C10885" t="s">
        <v>5470</v>
      </c>
      <c r="D10885" t="s">
        <v>9940</v>
      </c>
      <c r="E10885" t="s">
        <v>5532</v>
      </c>
      <c r="F10885" t="s">
        <v>37461</v>
      </c>
      <c r="G10885" t="s">
        <v>37462</v>
      </c>
      <c r="H10885" t="s">
        <v>5476</v>
      </c>
      <c r="I10885" t="s">
        <v>37463</v>
      </c>
      <c r="J10885" t="s">
        <v>5484</v>
      </c>
      <c r="K10885" t="s">
        <v>37390</v>
      </c>
      <c r="L10885" t="s">
        <v>5471</v>
      </c>
      <c r="M10885" t="s">
        <v>5471</v>
      </c>
    </row>
    <row r="10886" spans="1:13" x14ac:dyDescent="0.3">
      <c r="A10886" t="s">
        <v>3388</v>
      </c>
      <c r="B10886" t="s">
        <v>5296</v>
      </c>
      <c r="C10886" t="s">
        <v>5470</v>
      </c>
      <c r="D10886" t="s">
        <v>4081</v>
      </c>
      <c r="E10886" t="s">
        <v>5617</v>
      </c>
      <c r="F10886" t="s">
        <v>37464</v>
      </c>
      <c r="G10886" t="s">
        <v>37465</v>
      </c>
      <c r="H10886" t="s">
        <v>5476</v>
      </c>
      <c r="I10886" t="s">
        <v>37466</v>
      </c>
      <c r="J10886" t="s">
        <v>5484</v>
      </c>
      <c r="K10886" t="s">
        <v>37467</v>
      </c>
      <c r="L10886" t="s">
        <v>5471</v>
      </c>
      <c r="M10886" t="s">
        <v>5471</v>
      </c>
    </row>
    <row r="10887" spans="1:13" x14ac:dyDescent="0.3">
      <c r="A10887" t="s">
        <v>3388</v>
      </c>
      <c r="B10887" t="s">
        <v>15961</v>
      </c>
      <c r="C10887" t="s">
        <v>5470</v>
      </c>
      <c r="D10887" t="s">
        <v>9940</v>
      </c>
      <c r="E10887" t="s">
        <v>5756</v>
      </c>
      <c r="F10887" t="s">
        <v>37468</v>
      </c>
      <c r="G10887" t="s">
        <v>37469</v>
      </c>
      <c r="H10887" t="s">
        <v>5476</v>
      </c>
      <c r="I10887" t="s">
        <v>37470</v>
      </c>
      <c r="J10887" t="s">
        <v>5484</v>
      </c>
      <c r="K10887" t="s">
        <v>37471</v>
      </c>
      <c r="L10887" t="s">
        <v>5471</v>
      </c>
      <c r="M10887" t="s">
        <v>5471</v>
      </c>
    </row>
    <row r="10888" spans="1:13" x14ac:dyDescent="0.3">
      <c r="A10888" t="s">
        <v>3388</v>
      </c>
      <c r="B10888" t="s">
        <v>15961</v>
      </c>
      <c r="C10888" t="s">
        <v>5470</v>
      </c>
      <c r="D10888" t="s">
        <v>9940</v>
      </c>
      <c r="E10888" t="s">
        <v>5756</v>
      </c>
      <c r="F10888" t="s">
        <v>37472</v>
      </c>
      <c r="G10888" t="s">
        <v>37469</v>
      </c>
      <c r="H10888" t="s">
        <v>5476</v>
      </c>
      <c r="I10888" t="s">
        <v>37473</v>
      </c>
      <c r="J10888" t="s">
        <v>5484</v>
      </c>
      <c r="K10888" t="s">
        <v>37474</v>
      </c>
      <c r="L10888" t="s">
        <v>5471</v>
      </c>
      <c r="M10888" t="s">
        <v>5471</v>
      </c>
    </row>
    <row r="10889" spans="1:13" x14ac:dyDescent="0.3">
      <c r="A10889" t="s">
        <v>3388</v>
      </c>
      <c r="B10889" t="s">
        <v>15961</v>
      </c>
      <c r="C10889" t="s">
        <v>5470</v>
      </c>
      <c r="D10889" t="s">
        <v>9940</v>
      </c>
      <c r="E10889" t="s">
        <v>5756</v>
      </c>
      <c r="F10889" t="s">
        <v>37475</v>
      </c>
      <c r="G10889" t="s">
        <v>37469</v>
      </c>
      <c r="H10889" t="s">
        <v>5476</v>
      </c>
      <c r="I10889" t="s">
        <v>37476</v>
      </c>
      <c r="J10889" t="s">
        <v>5484</v>
      </c>
      <c r="K10889" t="s">
        <v>37477</v>
      </c>
      <c r="L10889" t="s">
        <v>5471</v>
      </c>
      <c r="M10889" t="s">
        <v>5471</v>
      </c>
    </row>
    <row r="10890" spans="1:13" x14ac:dyDescent="0.3">
      <c r="A10890" t="s">
        <v>3388</v>
      </c>
      <c r="B10890" t="s">
        <v>15961</v>
      </c>
      <c r="C10890" t="s">
        <v>5470</v>
      </c>
      <c r="D10890" t="s">
        <v>4081</v>
      </c>
      <c r="E10890" t="s">
        <v>5756</v>
      </c>
      <c r="F10890" t="s">
        <v>37478</v>
      </c>
      <c r="G10890" t="s">
        <v>37479</v>
      </c>
      <c r="H10890" t="s">
        <v>5476</v>
      </c>
      <c r="I10890" t="s">
        <v>37480</v>
      </c>
      <c r="J10890" t="s">
        <v>5484</v>
      </c>
      <c r="K10890" t="s">
        <v>37481</v>
      </c>
      <c r="L10890" t="s">
        <v>5471</v>
      </c>
      <c r="M10890" t="s">
        <v>5471</v>
      </c>
    </row>
    <row r="10891" spans="1:13" x14ac:dyDescent="0.3">
      <c r="A10891" t="s">
        <v>3388</v>
      </c>
      <c r="B10891" t="s">
        <v>15961</v>
      </c>
      <c r="C10891" t="s">
        <v>5470</v>
      </c>
      <c r="D10891" t="s">
        <v>4081</v>
      </c>
      <c r="E10891" t="s">
        <v>5756</v>
      </c>
      <c r="F10891" t="s">
        <v>37482</v>
      </c>
      <c r="G10891" t="s">
        <v>37483</v>
      </c>
      <c r="H10891" t="s">
        <v>5476</v>
      </c>
      <c r="I10891" t="s">
        <v>37484</v>
      </c>
      <c r="J10891" t="s">
        <v>5484</v>
      </c>
      <c r="K10891" t="s">
        <v>37485</v>
      </c>
      <c r="L10891" t="s">
        <v>5471</v>
      </c>
      <c r="M10891" t="s">
        <v>5471</v>
      </c>
    </row>
    <row r="10892" spans="1:13" x14ac:dyDescent="0.3">
      <c r="A10892" t="s">
        <v>3388</v>
      </c>
      <c r="B10892" t="s">
        <v>15961</v>
      </c>
      <c r="C10892" t="s">
        <v>5470</v>
      </c>
      <c r="D10892" t="s">
        <v>4081</v>
      </c>
      <c r="E10892" t="s">
        <v>5756</v>
      </c>
      <c r="F10892" t="s">
        <v>37486</v>
      </c>
      <c r="G10892" t="s">
        <v>37483</v>
      </c>
      <c r="H10892" t="s">
        <v>5476</v>
      </c>
      <c r="I10892" t="s">
        <v>37487</v>
      </c>
      <c r="J10892" t="s">
        <v>5484</v>
      </c>
      <c r="K10892" t="s">
        <v>37488</v>
      </c>
      <c r="L10892" t="s">
        <v>5471</v>
      </c>
      <c r="M10892" t="s">
        <v>5471</v>
      </c>
    </row>
    <row r="10893" spans="1:13" x14ac:dyDescent="0.3">
      <c r="A10893" t="s">
        <v>3388</v>
      </c>
      <c r="B10893" t="s">
        <v>15961</v>
      </c>
      <c r="C10893" t="s">
        <v>5470</v>
      </c>
      <c r="D10893" t="s">
        <v>4081</v>
      </c>
      <c r="E10893" t="s">
        <v>5756</v>
      </c>
      <c r="F10893" t="s">
        <v>37489</v>
      </c>
      <c r="G10893" t="s">
        <v>37483</v>
      </c>
      <c r="H10893" t="s">
        <v>5476</v>
      </c>
      <c r="I10893" t="s">
        <v>37490</v>
      </c>
      <c r="J10893" t="s">
        <v>5484</v>
      </c>
      <c r="K10893" t="s">
        <v>37491</v>
      </c>
      <c r="L10893" t="s">
        <v>5471</v>
      </c>
      <c r="M10893" t="s">
        <v>5471</v>
      </c>
    </row>
    <row r="10894" spans="1:13" x14ac:dyDescent="0.3">
      <c r="A10894" t="s">
        <v>3388</v>
      </c>
      <c r="B10894" t="s">
        <v>15961</v>
      </c>
      <c r="C10894" t="s">
        <v>5470</v>
      </c>
      <c r="D10894" t="s">
        <v>9940</v>
      </c>
      <c r="E10894" t="s">
        <v>5756</v>
      </c>
      <c r="F10894" t="s">
        <v>37492</v>
      </c>
      <c r="G10894" t="s">
        <v>37493</v>
      </c>
      <c r="H10894" t="s">
        <v>5476</v>
      </c>
      <c r="I10894" t="s">
        <v>37494</v>
      </c>
      <c r="J10894" t="s">
        <v>5484</v>
      </c>
      <c r="K10894" t="s">
        <v>37495</v>
      </c>
      <c r="L10894" t="s">
        <v>5471</v>
      </c>
      <c r="M10894" t="s">
        <v>5471</v>
      </c>
    </row>
    <row r="10895" spans="1:13" x14ac:dyDescent="0.3">
      <c r="A10895" t="s">
        <v>3388</v>
      </c>
      <c r="B10895" t="s">
        <v>15961</v>
      </c>
      <c r="C10895" t="s">
        <v>5470</v>
      </c>
      <c r="D10895" t="s">
        <v>9940</v>
      </c>
      <c r="E10895" t="s">
        <v>5756</v>
      </c>
      <c r="F10895" t="s">
        <v>37496</v>
      </c>
      <c r="G10895" t="s">
        <v>37493</v>
      </c>
      <c r="H10895" t="s">
        <v>5476</v>
      </c>
      <c r="I10895" t="s">
        <v>37497</v>
      </c>
      <c r="J10895" t="s">
        <v>5484</v>
      </c>
      <c r="K10895" t="s">
        <v>37498</v>
      </c>
      <c r="L10895" t="s">
        <v>5471</v>
      </c>
      <c r="M10895" t="s">
        <v>5471</v>
      </c>
    </row>
    <row r="10896" spans="1:13" x14ac:dyDescent="0.3">
      <c r="A10896" t="s">
        <v>3388</v>
      </c>
      <c r="B10896" t="s">
        <v>15961</v>
      </c>
      <c r="C10896" t="s">
        <v>5470</v>
      </c>
      <c r="D10896" t="s">
        <v>9940</v>
      </c>
      <c r="E10896" t="s">
        <v>5756</v>
      </c>
      <c r="F10896" t="s">
        <v>37499</v>
      </c>
      <c r="G10896" t="s">
        <v>37493</v>
      </c>
      <c r="H10896" t="s">
        <v>5476</v>
      </c>
      <c r="I10896" t="s">
        <v>37500</v>
      </c>
      <c r="J10896" t="s">
        <v>5484</v>
      </c>
      <c r="K10896" t="s">
        <v>37501</v>
      </c>
      <c r="L10896" t="s">
        <v>5471</v>
      </c>
      <c r="M10896" t="s">
        <v>5471</v>
      </c>
    </row>
    <row r="10897" spans="1:13" x14ac:dyDescent="0.3">
      <c r="A10897" t="s">
        <v>3388</v>
      </c>
      <c r="B10897" t="s">
        <v>15961</v>
      </c>
      <c r="C10897" t="s">
        <v>5470</v>
      </c>
      <c r="D10897" t="s">
        <v>9940</v>
      </c>
      <c r="E10897" t="s">
        <v>5756</v>
      </c>
      <c r="F10897" t="s">
        <v>37502</v>
      </c>
      <c r="G10897" t="s">
        <v>10454</v>
      </c>
      <c r="H10897" t="s">
        <v>5476</v>
      </c>
      <c r="I10897" t="s">
        <v>37503</v>
      </c>
      <c r="J10897" t="s">
        <v>5484</v>
      </c>
      <c r="K10897" t="s">
        <v>37504</v>
      </c>
      <c r="L10897" t="s">
        <v>5471</v>
      </c>
      <c r="M10897" t="s">
        <v>5471</v>
      </c>
    </row>
    <row r="10898" spans="1:13" x14ac:dyDescent="0.3">
      <c r="A10898" t="s">
        <v>3388</v>
      </c>
      <c r="B10898" t="s">
        <v>15961</v>
      </c>
      <c r="C10898" t="s">
        <v>5470</v>
      </c>
      <c r="D10898" t="s">
        <v>9940</v>
      </c>
      <c r="E10898" t="s">
        <v>5756</v>
      </c>
      <c r="F10898" t="s">
        <v>37505</v>
      </c>
      <c r="G10898" t="s">
        <v>10454</v>
      </c>
      <c r="H10898" t="s">
        <v>5476</v>
      </c>
      <c r="I10898" t="s">
        <v>37506</v>
      </c>
      <c r="J10898" t="s">
        <v>5484</v>
      </c>
      <c r="K10898" t="s">
        <v>37507</v>
      </c>
      <c r="L10898" t="s">
        <v>5471</v>
      </c>
      <c r="M10898" t="s">
        <v>5471</v>
      </c>
    </row>
    <row r="10899" spans="1:13" x14ac:dyDescent="0.3">
      <c r="A10899" t="s">
        <v>3388</v>
      </c>
      <c r="B10899" t="s">
        <v>15961</v>
      </c>
      <c r="C10899" t="s">
        <v>5470</v>
      </c>
      <c r="D10899" t="s">
        <v>9940</v>
      </c>
      <c r="E10899" t="s">
        <v>5756</v>
      </c>
      <c r="F10899" t="s">
        <v>37508</v>
      </c>
      <c r="G10899" t="s">
        <v>10454</v>
      </c>
      <c r="H10899" t="s">
        <v>5476</v>
      </c>
      <c r="I10899" t="s">
        <v>37509</v>
      </c>
      <c r="J10899" t="s">
        <v>5484</v>
      </c>
      <c r="K10899" t="s">
        <v>37510</v>
      </c>
      <c r="L10899" t="s">
        <v>5471</v>
      </c>
      <c r="M10899" t="s">
        <v>5471</v>
      </c>
    </row>
    <row r="10900" spans="1:13" x14ac:dyDescent="0.3">
      <c r="A10900" t="s">
        <v>3388</v>
      </c>
      <c r="B10900" t="s">
        <v>10852</v>
      </c>
      <c r="C10900" t="s">
        <v>5470</v>
      </c>
      <c r="D10900" t="s">
        <v>4081</v>
      </c>
      <c r="E10900" t="s">
        <v>5756</v>
      </c>
      <c r="F10900" t="s">
        <v>37511</v>
      </c>
      <c r="G10900" t="s">
        <v>21895</v>
      </c>
      <c r="H10900" t="s">
        <v>5476</v>
      </c>
      <c r="I10900" t="s">
        <v>37512</v>
      </c>
      <c r="J10900" t="s">
        <v>5484</v>
      </c>
      <c r="K10900" t="s">
        <v>37513</v>
      </c>
      <c r="L10900" t="s">
        <v>5471</v>
      </c>
      <c r="M10900" t="s">
        <v>5471</v>
      </c>
    </row>
    <row r="10901" spans="1:13" x14ac:dyDescent="0.3">
      <c r="A10901" t="s">
        <v>3388</v>
      </c>
      <c r="B10901" t="s">
        <v>10852</v>
      </c>
      <c r="C10901" t="s">
        <v>5470</v>
      </c>
      <c r="D10901" t="s">
        <v>4081</v>
      </c>
      <c r="E10901" t="s">
        <v>5756</v>
      </c>
      <c r="F10901" t="s">
        <v>37514</v>
      </c>
      <c r="G10901" t="s">
        <v>37515</v>
      </c>
      <c r="H10901" t="s">
        <v>5476</v>
      </c>
      <c r="I10901" t="s">
        <v>37516</v>
      </c>
      <c r="J10901" t="s">
        <v>5484</v>
      </c>
      <c r="K10901" t="s">
        <v>37517</v>
      </c>
      <c r="L10901" t="s">
        <v>5471</v>
      </c>
      <c r="M10901" t="s">
        <v>5471</v>
      </c>
    </row>
    <row r="10902" spans="1:13" x14ac:dyDescent="0.3">
      <c r="A10902" t="s">
        <v>3388</v>
      </c>
      <c r="B10902" t="s">
        <v>10852</v>
      </c>
      <c r="C10902" t="s">
        <v>5470</v>
      </c>
      <c r="D10902" t="s">
        <v>4081</v>
      </c>
      <c r="E10902" t="s">
        <v>5756</v>
      </c>
      <c r="F10902" t="s">
        <v>37518</v>
      </c>
      <c r="G10902" t="s">
        <v>37515</v>
      </c>
      <c r="H10902" t="s">
        <v>5476</v>
      </c>
      <c r="I10902" t="s">
        <v>37519</v>
      </c>
      <c r="J10902" t="s">
        <v>5484</v>
      </c>
      <c r="K10902" t="s">
        <v>37520</v>
      </c>
      <c r="L10902" t="s">
        <v>5471</v>
      </c>
      <c r="M10902" t="s">
        <v>5471</v>
      </c>
    </row>
    <row r="10903" spans="1:13" x14ac:dyDescent="0.3">
      <c r="A10903" t="s">
        <v>3388</v>
      </c>
      <c r="B10903" t="s">
        <v>10852</v>
      </c>
      <c r="C10903" t="s">
        <v>5470</v>
      </c>
      <c r="D10903" t="s">
        <v>4081</v>
      </c>
      <c r="E10903" t="s">
        <v>5756</v>
      </c>
      <c r="F10903" t="s">
        <v>37521</v>
      </c>
      <c r="G10903" t="s">
        <v>37515</v>
      </c>
      <c r="H10903" t="s">
        <v>5476</v>
      </c>
      <c r="I10903" t="s">
        <v>37522</v>
      </c>
      <c r="J10903" t="s">
        <v>5484</v>
      </c>
      <c r="K10903" t="s">
        <v>37523</v>
      </c>
      <c r="L10903" t="s">
        <v>5471</v>
      </c>
      <c r="M10903" t="s">
        <v>5471</v>
      </c>
    </row>
    <row r="10904" spans="1:13" x14ac:dyDescent="0.3">
      <c r="A10904" t="s">
        <v>3388</v>
      </c>
      <c r="B10904" t="s">
        <v>15596</v>
      </c>
      <c r="C10904" t="s">
        <v>5470</v>
      </c>
      <c r="D10904" t="s">
        <v>4081</v>
      </c>
      <c r="E10904" t="s">
        <v>5532</v>
      </c>
      <c r="F10904" t="s">
        <v>37524</v>
      </c>
      <c r="G10904" t="s">
        <v>37525</v>
      </c>
      <c r="H10904" t="s">
        <v>5476</v>
      </c>
      <c r="I10904" t="s">
        <v>37526</v>
      </c>
      <c r="J10904" t="s">
        <v>5484</v>
      </c>
      <c r="K10904" t="s">
        <v>27581</v>
      </c>
      <c r="L10904" t="s">
        <v>5471</v>
      </c>
      <c r="M10904" t="s">
        <v>5471</v>
      </c>
    </row>
    <row r="10905" spans="1:13" x14ac:dyDescent="0.3">
      <c r="A10905" t="s">
        <v>3388</v>
      </c>
      <c r="B10905" t="s">
        <v>15942</v>
      </c>
      <c r="C10905" t="s">
        <v>5470</v>
      </c>
      <c r="D10905" t="s">
        <v>4081</v>
      </c>
      <c r="E10905" t="s">
        <v>5617</v>
      </c>
      <c r="F10905" t="s">
        <v>37527</v>
      </c>
      <c r="G10905" t="s">
        <v>15968</v>
      </c>
      <c r="H10905" t="s">
        <v>5476</v>
      </c>
      <c r="I10905" t="s">
        <v>37528</v>
      </c>
      <c r="J10905" t="s">
        <v>5484</v>
      </c>
      <c r="K10905" t="s">
        <v>37529</v>
      </c>
      <c r="L10905" t="s">
        <v>5471</v>
      </c>
      <c r="M10905" t="s">
        <v>5471</v>
      </c>
    </row>
    <row r="10906" spans="1:13" x14ac:dyDescent="0.3">
      <c r="A10906" t="s">
        <v>3388</v>
      </c>
      <c r="B10906" t="s">
        <v>15942</v>
      </c>
      <c r="C10906" t="s">
        <v>5470</v>
      </c>
      <c r="D10906" t="s">
        <v>9940</v>
      </c>
      <c r="E10906" t="s">
        <v>5756</v>
      </c>
      <c r="F10906" t="s">
        <v>37530</v>
      </c>
      <c r="G10906" t="s">
        <v>37531</v>
      </c>
      <c r="H10906" t="s">
        <v>5476</v>
      </c>
      <c r="I10906" t="s">
        <v>37532</v>
      </c>
      <c r="J10906" t="s">
        <v>5484</v>
      </c>
      <c r="K10906" t="s">
        <v>37533</v>
      </c>
      <c r="L10906" t="s">
        <v>5471</v>
      </c>
      <c r="M10906" t="s">
        <v>5471</v>
      </c>
    </row>
    <row r="10907" spans="1:13" x14ac:dyDescent="0.3">
      <c r="A10907" t="s">
        <v>3388</v>
      </c>
      <c r="B10907" t="s">
        <v>15942</v>
      </c>
      <c r="C10907" t="s">
        <v>5470</v>
      </c>
      <c r="D10907" t="s">
        <v>9940</v>
      </c>
      <c r="E10907" t="s">
        <v>5756</v>
      </c>
      <c r="F10907" t="s">
        <v>37534</v>
      </c>
      <c r="G10907" t="s">
        <v>37531</v>
      </c>
      <c r="H10907" t="s">
        <v>5476</v>
      </c>
      <c r="I10907" t="s">
        <v>37535</v>
      </c>
      <c r="J10907" t="s">
        <v>5484</v>
      </c>
      <c r="K10907" t="s">
        <v>37536</v>
      </c>
      <c r="L10907" t="s">
        <v>5471</v>
      </c>
      <c r="M10907" t="s">
        <v>5471</v>
      </c>
    </row>
    <row r="10908" spans="1:13" x14ac:dyDescent="0.3">
      <c r="A10908" t="s">
        <v>3388</v>
      </c>
      <c r="B10908" t="s">
        <v>15942</v>
      </c>
      <c r="C10908" t="s">
        <v>5470</v>
      </c>
      <c r="D10908" t="s">
        <v>9940</v>
      </c>
      <c r="E10908" t="s">
        <v>5756</v>
      </c>
      <c r="F10908" t="s">
        <v>37537</v>
      </c>
      <c r="G10908" t="s">
        <v>37531</v>
      </c>
      <c r="H10908" t="s">
        <v>5476</v>
      </c>
      <c r="I10908" t="s">
        <v>37538</v>
      </c>
      <c r="J10908" t="s">
        <v>5484</v>
      </c>
      <c r="K10908" t="s">
        <v>37539</v>
      </c>
      <c r="L10908" t="s">
        <v>5471</v>
      </c>
      <c r="M10908" t="s">
        <v>5471</v>
      </c>
    </row>
    <row r="10909" spans="1:13" x14ac:dyDescent="0.3">
      <c r="A10909" t="s">
        <v>3388</v>
      </c>
      <c r="B10909" t="s">
        <v>20014</v>
      </c>
      <c r="C10909" t="s">
        <v>5470</v>
      </c>
      <c r="D10909" t="s">
        <v>4081</v>
      </c>
      <c r="E10909" t="s">
        <v>5532</v>
      </c>
      <c r="F10909" t="s">
        <v>37540</v>
      </c>
      <c r="G10909" t="s">
        <v>37541</v>
      </c>
      <c r="H10909" t="s">
        <v>5476</v>
      </c>
      <c r="I10909" t="s">
        <v>37542</v>
      </c>
      <c r="J10909" t="s">
        <v>5484</v>
      </c>
      <c r="K10909" t="s">
        <v>37382</v>
      </c>
      <c r="L10909" t="s">
        <v>5471</v>
      </c>
      <c r="M10909" t="s">
        <v>5471</v>
      </c>
    </row>
    <row r="10910" spans="1:13" x14ac:dyDescent="0.3">
      <c r="A10910" t="s">
        <v>3388</v>
      </c>
      <c r="B10910" t="s">
        <v>17495</v>
      </c>
      <c r="C10910" t="s">
        <v>5470</v>
      </c>
      <c r="D10910" t="s">
        <v>4081</v>
      </c>
      <c r="E10910" t="s">
        <v>5532</v>
      </c>
      <c r="F10910" t="s">
        <v>37543</v>
      </c>
      <c r="G10910" t="s">
        <v>37544</v>
      </c>
      <c r="H10910" t="s">
        <v>5476</v>
      </c>
      <c r="I10910" t="s">
        <v>37545</v>
      </c>
      <c r="J10910" t="s">
        <v>5484</v>
      </c>
      <c r="K10910" t="s">
        <v>37403</v>
      </c>
      <c r="L10910" t="s">
        <v>5471</v>
      </c>
      <c r="M10910" t="s">
        <v>5471</v>
      </c>
    </row>
    <row r="10911" spans="1:13" x14ac:dyDescent="0.3">
      <c r="A10911" t="s">
        <v>3388</v>
      </c>
      <c r="B10911" t="s">
        <v>17495</v>
      </c>
      <c r="C10911" t="s">
        <v>5470</v>
      </c>
      <c r="D10911" t="s">
        <v>4081</v>
      </c>
      <c r="E10911" t="s">
        <v>5617</v>
      </c>
      <c r="F10911" t="s">
        <v>37546</v>
      </c>
      <c r="G10911" t="s">
        <v>37547</v>
      </c>
      <c r="H10911" t="s">
        <v>5476</v>
      </c>
      <c r="I10911" t="s">
        <v>37548</v>
      </c>
      <c r="J10911" t="s">
        <v>5484</v>
      </c>
      <c r="K10911" t="s">
        <v>37549</v>
      </c>
      <c r="L10911" t="s">
        <v>5471</v>
      </c>
      <c r="M10911" t="s">
        <v>5471</v>
      </c>
    </row>
    <row r="10912" spans="1:13" x14ac:dyDescent="0.3">
      <c r="A10912" t="s">
        <v>3383</v>
      </c>
      <c r="B10912" t="s">
        <v>6063</v>
      </c>
      <c r="C10912" t="s">
        <v>5470</v>
      </c>
      <c r="D10912" t="s">
        <v>4081</v>
      </c>
      <c r="E10912" t="s">
        <v>5843</v>
      </c>
      <c r="F10912" t="s">
        <v>4750</v>
      </c>
      <c r="G10912" t="s">
        <v>11466</v>
      </c>
      <c r="H10912" t="s">
        <v>5476</v>
      </c>
      <c r="I10912" t="s">
        <v>37550</v>
      </c>
      <c r="J10912" t="s">
        <v>5484</v>
      </c>
      <c r="K10912" t="s">
        <v>37551</v>
      </c>
      <c r="L10912" t="s">
        <v>5471</v>
      </c>
      <c r="M10912" t="s">
        <v>5471</v>
      </c>
    </row>
    <row r="10913" spans="1:13" x14ac:dyDescent="0.3">
      <c r="A10913" t="s">
        <v>3388</v>
      </c>
      <c r="B10913" t="s">
        <v>9921</v>
      </c>
      <c r="C10913" t="s">
        <v>5470</v>
      </c>
      <c r="D10913" t="s">
        <v>4081</v>
      </c>
      <c r="E10913" t="s">
        <v>5532</v>
      </c>
      <c r="F10913" t="s">
        <v>37552</v>
      </c>
      <c r="G10913" t="s">
        <v>37553</v>
      </c>
      <c r="H10913" t="s">
        <v>5476</v>
      </c>
      <c r="I10913" t="s">
        <v>37554</v>
      </c>
      <c r="J10913" t="s">
        <v>5484</v>
      </c>
      <c r="K10913" t="s">
        <v>37555</v>
      </c>
      <c r="L10913" t="s">
        <v>5471</v>
      </c>
      <c r="M10913" t="s">
        <v>5471</v>
      </c>
    </row>
    <row r="10914" spans="1:13" x14ac:dyDescent="0.3">
      <c r="A10914" t="s">
        <v>3388</v>
      </c>
      <c r="B10914" t="s">
        <v>6540</v>
      </c>
      <c r="C10914" t="s">
        <v>5470</v>
      </c>
      <c r="D10914" t="s">
        <v>4081</v>
      </c>
      <c r="E10914" t="s">
        <v>5532</v>
      </c>
      <c r="F10914" t="s">
        <v>37556</v>
      </c>
      <c r="G10914" t="s">
        <v>19965</v>
      </c>
      <c r="H10914" t="s">
        <v>5476</v>
      </c>
      <c r="I10914" t="s">
        <v>37557</v>
      </c>
      <c r="J10914" t="s">
        <v>5484</v>
      </c>
      <c r="K10914" t="s">
        <v>37558</v>
      </c>
      <c r="L10914" t="s">
        <v>5471</v>
      </c>
      <c r="M10914" t="s">
        <v>5471</v>
      </c>
    </row>
    <row r="10915" spans="1:13" x14ac:dyDescent="0.3">
      <c r="A10915" t="s">
        <v>3388</v>
      </c>
      <c r="B10915" t="s">
        <v>22510</v>
      </c>
      <c r="C10915" t="s">
        <v>5470</v>
      </c>
      <c r="D10915" t="s">
        <v>9940</v>
      </c>
      <c r="E10915" t="s">
        <v>5756</v>
      </c>
      <c r="F10915" t="s">
        <v>37559</v>
      </c>
      <c r="G10915" t="s">
        <v>37560</v>
      </c>
      <c r="H10915" t="s">
        <v>5476</v>
      </c>
      <c r="I10915" t="s">
        <v>37561</v>
      </c>
      <c r="J10915" t="s">
        <v>5484</v>
      </c>
      <c r="K10915" t="s">
        <v>37533</v>
      </c>
      <c r="L10915" t="s">
        <v>5471</v>
      </c>
      <c r="M10915" t="s">
        <v>5471</v>
      </c>
    </row>
    <row r="10916" spans="1:13" x14ac:dyDescent="0.3">
      <c r="A10916" t="s">
        <v>3380</v>
      </c>
      <c r="B10916" t="s">
        <v>10673</v>
      </c>
      <c r="C10916" t="s">
        <v>6342</v>
      </c>
      <c r="D10916" t="s">
        <v>4081</v>
      </c>
      <c r="E10916" t="s">
        <v>5617</v>
      </c>
      <c r="F10916" t="s">
        <v>4944</v>
      </c>
      <c r="G10916" t="s">
        <v>37562</v>
      </c>
      <c r="H10916" t="s">
        <v>5476</v>
      </c>
      <c r="I10916" t="s">
        <v>37563</v>
      </c>
      <c r="J10916" t="s">
        <v>5484</v>
      </c>
      <c r="K10916" t="s">
        <v>10034</v>
      </c>
      <c r="L10916" t="s">
        <v>5471</v>
      </c>
      <c r="M10916" t="s">
        <v>5471</v>
      </c>
    </row>
    <row r="10917" spans="1:13" x14ac:dyDescent="0.3">
      <c r="A10917" t="s">
        <v>4013</v>
      </c>
      <c r="B10917" t="s">
        <v>5255</v>
      </c>
      <c r="C10917" t="s">
        <v>5487</v>
      </c>
      <c r="D10917" t="s">
        <v>4081</v>
      </c>
      <c r="E10917" t="s">
        <v>5595</v>
      </c>
      <c r="F10917" t="s">
        <v>4151</v>
      </c>
      <c r="G10917" t="s">
        <v>37564</v>
      </c>
      <c r="H10917" t="s">
        <v>5476</v>
      </c>
      <c r="I10917" t="s">
        <v>37565</v>
      </c>
      <c r="J10917" t="s">
        <v>5484</v>
      </c>
      <c r="K10917" t="s">
        <v>37228</v>
      </c>
      <c r="L10917" t="s">
        <v>5471</v>
      </c>
      <c r="M10917" t="s">
        <v>5471</v>
      </c>
    </row>
    <row r="10918" spans="1:13" x14ac:dyDescent="0.3">
      <c r="A10918" t="s">
        <v>4013</v>
      </c>
      <c r="B10918" t="s">
        <v>5255</v>
      </c>
      <c r="C10918" t="s">
        <v>5487</v>
      </c>
      <c r="D10918" t="s">
        <v>4081</v>
      </c>
      <c r="E10918" t="s">
        <v>5595</v>
      </c>
      <c r="F10918" t="s">
        <v>4152</v>
      </c>
      <c r="G10918" t="s">
        <v>37564</v>
      </c>
      <c r="H10918" t="s">
        <v>5476</v>
      </c>
      <c r="I10918" t="s">
        <v>37566</v>
      </c>
      <c r="J10918" t="s">
        <v>5484</v>
      </c>
      <c r="K10918" t="s">
        <v>37567</v>
      </c>
      <c r="L10918" t="s">
        <v>5471</v>
      </c>
      <c r="M10918" t="s">
        <v>5471</v>
      </c>
    </row>
    <row r="10919" spans="1:13" x14ac:dyDescent="0.3">
      <c r="A10919" t="s">
        <v>4013</v>
      </c>
      <c r="B10919" t="s">
        <v>5255</v>
      </c>
      <c r="C10919" t="s">
        <v>5487</v>
      </c>
      <c r="D10919" t="s">
        <v>4081</v>
      </c>
      <c r="E10919" t="s">
        <v>5595</v>
      </c>
      <c r="F10919" t="s">
        <v>4153</v>
      </c>
      <c r="G10919" t="s">
        <v>37564</v>
      </c>
      <c r="H10919" t="s">
        <v>5476</v>
      </c>
      <c r="I10919" t="s">
        <v>37568</v>
      </c>
      <c r="J10919" t="s">
        <v>5484</v>
      </c>
      <c r="K10919" t="s">
        <v>37569</v>
      </c>
      <c r="L10919" t="s">
        <v>5471</v>
      </c>
      <c r="M10919" t="s">
        <v>5471</v>
      </c>
    </row>
    <row r="10920" spans="1:13" x14ac:dyDescent="0.3">
      <c r="A10920" t="s">
        <v>4013</v>
      </c>
      <c r="B10920" t="s">
        <v>5255</v>
      </c>
      <c r="C10920" t="s">
        <v>5487</v>
      </c>
      <c r="D10920" t="s">
        <v>9940</v>
      </c>
      <c r="E10920" t="s">
        <v>5595</v>
      </c>
      <c r="F10920" t="s">
        <v>4161</v>
      </c>
      <c r="G10920" t="s">
        <v>37570</v>
      </c>
      <c r="H10920" t="s">
        <v>5476</v>
      </c>
      <c r="I10920" t="s">
        <v>37571</v>
      </c>
      <c r="J10920" t="s">
        <v>5484</v>
      </c>
      <c r="K10920" t="s">
        <v>37572</v>
      </c>
      <c r="L10920" t="s">
        <v>5471</v>
      </c>
      <c r="M10920" t="s">
        <v>5471</v>
      </c>
    </row>
    <row r="10921" spans="1:13" x14ac:dyDescent="0.3">
      <c r="A10921" t="s">
        <v>4013</v>
      </c>
      <c r="B10921" t="s">
        <v>5842</v>
      </c>
      <c r="C10921" t="s">
        <v>5487</v>
      </c>
      <c r="D10921" t="s">
        <v>9940</v>
      </c>
      <c r="E10921" t="s">
        <v>5595</v>
      </c>
      <c r="F10921" t="s">
        <v>4392</v>
      </c>
      <c r="G10921" t="s">
        <v>37573</v>
      </c>
      <c r="H10921" t="s">
        <v>5476</v>
      </c>
      <c r="I10921" t="s">
        <v>37574</v>
      </c>
      <c r="J10921" t="s">
        <v>5484</v>
      </c>
      <c r="K10921" t="s">
        <v>37575</v>
      </c>
      <c r="L10921" t="s">
        <v>5471</v>
      </c>
      <c r="M10921" t="s">
        <v>5471</v>
      </c>
    </row>
    <row r="10922" spans="1:13" x14ac:dyDescent="0.3">
      <c r="A10922" t="s">
        <v>4013</v>
      </c>
      <c r="B10922" t="s">
        <v>5842</v>
      </c>
      <c r="C10922" t="s">
        <v>5487</v>
      </c>
      <c r="D10922" t="s">
        <v>9940</v>
      </c>
      <c r="E10922" t="s">
        <v>5595</v>
      </c>
      <c r="F10922" t="s">
        <v>4393</v>
      </c>
      <c r="G10922" t="s">
        <v>37573</v>
      </c>
      <c r="H10922" t="s">
        <v>5476</v>
      </c>
      <c r="I10922" t="s">
        <v>37576</v>
      </c>
      <c r="J10922" t="s">
        <v>5484</v>
      </c>
      <c r="K10922" t="s">
        <v>37577</v>
      </c>
      <c r="L10922" t="s">
        <v>5471</v>
      </c>
      <c r="M10922" t="s">
        <v>5471</v>
      </c>
    </row>
    <row r="10923" spans="1:13" x14ac:dyDescent="0.3">
      <c r="A10923" t="s">
        <v>4013</v>
      </c>
      <c r="B10923" t="s">
        <v>5842</v>
      </c>
      <c r="C10923" t="s">
        <v>5487</v>
      </c>
      <c r="D10923" t="s">
        <v>9940</v>
      </c>
      <c r="E10923" t="s">
        <v>5595</v>
      </c>
      <c r="F10923" t="s">
        <v>4394</v>
      </c>
      <c r="G10923" t="s">
        <v>37573</v>
      </c>
      <c r="H10923" t="s">
        <v>5476</v>
      </c>
      <c r="I10923" t="s">
        <v>37578</v>
      </c>
      <c r="J10923" t="s">
        <v>5484</v>
      </c>
      <c r="K10923" t="s">
        <v>37579</v>
      </c>
      <c r="L10923" t="s">
        <v>5471</v>
      </c>
      <c r="M10923" t="s">
        <v>5471</v>
      </c>
    </row>
    <row r="10924" spans="1:13" x14ac:dyDescent="0.3">
      <c r="A10924" t="s">
        <v>4013</v>
      </c>
      <c r="B10924" t="s">
        <v>5842</v>
      </c>
      <c r="C10924" t="s">
        <v>5487</v>
      </c>
      <c r="D10924" t="s">
        <v>9940</v>
      </c>
      <c r="E10924" t="s">
        <v>5595</v>
      </c>
      <c r="F10924" t="s">
        <v>4395</v>
      </c>
      <c r="G10924" t="s">
        <v>37580</v>
      </c>
      <c r="H10924" t="s">
        <v>5476</v>
      </c>
      <c r="I10924" t="s">
        <v>37581</v>
      </c>
      <c r="J10924" t="s">
        <v>5484</v>
      </c>
      <c r="K10924" t="s">
        <v>37582</v>
      </c>
      <c r="L10924" t="s">
        <v>5471</v>
      </c>
      <c r="M10924" t="s">
        <v>5471</v>
      </c>
    </row>
    <row r="10925" spans="1:13" x14ac:dyDescent="0.3">
      <c r="A10925" t="s">
        <v>4013</v>
      </c>
      <c r="B10925" t="s">
        <v>6315</v>
      </c>
      <c r="C10925" t="s">
        <v>5487</v>
      </c>
      <c r="D10925" t="s">
        <v>4081</v>
      </c>
      <c r="E10925" t="s">
        <v>5595</v>
      </c>
      <c r="F10925" t="s">
        <v>4340</v>
      </c>
      <c r="G10925" t="s">
        <v>37583</v>
      </c>
      <c r="H10925" t="s">
        <v>5476</v>
      </c>
      <c r="I10925" t="s">
        <v>37584</v>
      </c>
      <c r="J10925" t="s">
        <v>5484</v>
      </c>
      <c r="K10925" t="s">
        <v>37585</v>
      </c>
      <c r="L10925" t="s">
        <v>5471</v>
      </c>
      <c r="M10925" t="s">
        <v>5471</v>
      </c>
    </row>
    <row r="10926" spans="1:13" x14ac:dyDescent="0.3">
      <c r="A10926" t="s">
        <v>4013</v>
      </c>
      <c r="B10926" t="s">
        <v>6315</v>
      </c>
      <c r="C10926" t="s">
        <v>5487</v>
      </c>
      <c r="D10926" t="s">
        <v>4081</v>
      </c>
      <c r="E10926" t="s">
        <v>5595</v>
      </c>
      <c r="F10926" t="s">
        <v>4341</v>
      </c>
      <c r="G10926" t="s">
        <v>37583</v>
      </c>
      <c r="H10926" t="s">
        <v>5476</v>
      </c>
      <c r="I10926" t="s">
        <v>37586</v>
      </c>
      <c r="J10926" t="s">
        <v>5484</v>
      </c>
      <c r="K10926" t="s">
        <v>37587</v>
      </c>
      <c r="L10926" t="s">
        <v>5471</v>
      </c>
      <c r="M10926" t="s">
        <v>5471</v>
      </c>
    </row>
    <row r="10927" spans="1:13" x14ac:dyDescent="0.3">
      <c r="A10927" t="s">
        <v>4013</v>
      </c>
      <c r="B10927" t="s">
        <v>6315</v>
      </c>
      <c r="C10927" t="s">
        <v>5487</v>
      </c>
      <c r="D10927" t="s">
        <v>4081</v>
      </c>
      <c r="E10927" t="s">
        <v>5595</v>
      </c>
      <c r="F10927" t="s">
        <v>4342</v>
      </c>
      <c r="G10927" t="s">
        <v>37583</v>
      </c>
      <c r="H10927" t="s">
        <v>5476</v>
      </c>
      <c r="I10927" t="s">
        <v>37588</v>
      </c>
      <c r="J10927" t="s">
        <v>5484</v>
      </c>
      <c r="K10927" t="s">
        <v>37589</v>
      </c>
      <c r="L10927" t="s">
        <v>5471</v>
      </c>
      <c r="M10927" t="s">
        <v>5471</v>
      </c>
    </row>
    <row r="10928" spans="1:13" x14ac:dyDescent="0.3">
      <c r="A10928" t="s">
        <v>4013</v>
      </c>
      <c r="B10928" t="s">
        <v>6315</v>
      </c>
      <c r="C10928" t="s">
        <v>5487</v>
      </c>
      <c r="D10928" t="s">
        <v>4081</v>
      </c>
      <c r="E10928" t="s">
        <v>5595</v>
      </c>
      <c r="F10928" t="s">
        <v>4319</v>
      </c>
      <c r="G10928" t="s">
        <v>37590</v>
      </c>
      <c r="H10928" t="s">
        <v>5476</v>
      </c>
      <c r="I10928" t="s">
        <v>37591</v>
      </c>
      <c r="J10928" t="s">
        <v>5484</v>
      </c>
      <c r="K10928" t="s">
        <v>37592</v>
      </c>
      <c r="L10928" t="s">
        <v>5471</v>
      </c>
      <c r="M10928" t="s">
        <v>5471</v>
      </c>
    </row>
    <row r="10929" spans="1:13" x14ac:dyDescent="0.3">
      <c r="A10929" t="s">
        <v>4013</v>
      </c>
      <c r="B10929" t="s">
        <v>5755</v>
      </c>
      <c r="C10929" t="s">
        <v>5487</v>
      </c>
      <c r="D10929" t="s">
        <v>4081</v>
      </c>
      <c r="E10929" t="s">
        <v>5756</v>
      </c>
      <c r="F10929" t="s">
        <v>4946</v>
      </c>
      <c r="G10929" t="s">
        <v>37593</v>
      </c>
      <c r="H10929" t="s">
        <v>5476</v>
      </c>
      <c r="I10929" t="s">
        <v>37594</v>
      </c>
      <c r="J10929" t="s">
        <v>5484</v>
      </c>
      <c r="K10929" t="s">
        <v>37589</v>
      </c>
      <c r="L10929" t="s">
        <v>5471</v>
      </c>
      <c r="M10929" t="s">
        <v>5471</v>
      </c>
    </row>
    <row r="10930" spans="1:13" x14ac:dyDescent="0.3">
      <c r="A10930" t="s">
        <v>4013</v>
      </c>
      <c r="B10930" t="s">
        <v>5755</v>
      </c>
      <c r="C10930" t="s">
        <v>5487</v>
      </c>
      <c r="D10930" t="s">
        <v>4081</v>
      </c>
      <c r="E10930" t="s">
        <v>5756</v>
      </c>
      <c r="F10930" t="s">
        <v>4947</v>
      </c>
      <c r="G10930" t="s">
        <v>37595</v>
      </c>
      <c r="H10930" t="s">
        <v>5476</v>
      </c>
      <c r="I10930" t="s">
        <v>37596</v>
      </c>
      <c r="J10930" t="s">
        <v>5484</v>
      </c>
      <c r="K10930" t="s">
        <v>37597</v>
      </c>
      <c r="L10930" t="s">
        <v>5471</v>
      </c>
      <c r="M10930" t="s">
        <v>5471</v>
      </c>
    </row>
    <row r="10931" spans="1:13" x14ac:dyDescent="0.3">
      <c r="A10931" t="s">
        <v>4013</v>
      </c>
      <c r="B10931" t="s">
        <v>5755</v>
      </c>
      <c r="C10931" t="s">
        <v>5487</v>
      </c>
      <c r="D10931" t="s">
        <v>4081</v>
      </c>
      <c r="E10931" t="s">
        <v>5756</v>
      </c>
      <c r="F10931" t="s">
        <v>4949</v>
      </c>
      <c r="G10931" t="s">
        <v>37598</v>
      </c>
      <c r="H10931" t="s">
        <v>5476</v>
      </c>
      <c r="I10931" t="s">
        <v>37599</v>
      </c>
      <c r="J10931" t="s">
        <v>5484</v>
      </c>
      <c r="K10931" t="s">
        <v>37600</v>
      </c>
      <c r="L10931" t="s">
        <v>5471</v>
      </c>
      <c r="M10931" t="s">
        <v>5471</v>
      </c>
    </row>
    <row r="10932" spans="1:13" x14ac:dyDescent="0.3">
      <c r="A10932" t="s">
        <v>4013</v>
      </c>
      <c r="B10932" t="s">
        <v>5292</v>
      </c>
      <c r="C10932" t="s">
        <v>5487</v>
      </c>
      <c r="D10932" t="s">
        <v>37601</v>
      </c>
      <c r="E10932" t="s">
        <v>5756</v>
      </c>
      <c r="F10932" t="s">
        <v>37602</v>
      </c>
      <c r="G10932" t="s">
        <v>37603</v>
      </c>
      <c r="H10932" t="s">
        <v>5476</v>
      </c>
      <c r="I10932" t="s">
        <v>37604</v>
      </c>
      <c r="J10932" t="s">
        <v>5484</v>
      </c>
      <c r="K10932" t="s">
        <v>37605</v>
      </c>
      <c r="L10932" t="s">
        <v>5471</v>
      </c>
      <c r="M10932" t="s">
        <v>5471</v>
      </c>
    </row>
    <row r="10933" spans="1:13" x14ac:dyDescent="0.3">
      <c r="A10933" t="s">
        <v>4013</v>
      </c>
      <c r="B10933" t="s">
        <v>5292</v>
      </c>
      <c r="C10933" t="s">
        <v>5487</v>
      </c>
      <c r="D10933" t="s">
        <v>37601</v>
      </c>
      <c r="E10933" t="s">
        <v>5756</v>
      </c>
      <c r="F10933" t="s">
        <v>37606</v>
      </c>
      <c r="G10933" t="s">
        <v>37607</v>
      </c>
      <c r="H10933" t="s">
        <v>5476</v>
      </c>
      <c r="I10933" t="s">
        <v>37608</v>
      </c>
      <c r="J10933" t="s">
        <v>5484</v>
      </c>
      <c r="K10933" t="s">
        <v>37609</v>
      </c>
      <c r="L10933" t="s">
        <v>5471</v>
      </c>
      <c r="M10933" t="s">
        <v>5471</v>
      </c>
    </row>
    <row r="10934" spans="1:13" x14ac:dyDescent="0.3">
      <c r="A10934" t="s">
        <v>4013</v>
      </c>
      <c r="B10934" t="s">
        <v>6141</v>
      </c>
      <c r="C10934" t="s">
        <v>5487</v>
      </c>
      <c r="D10934" t="s">
        <v>4081</v>
      </c>
      <c r="E10934" t="s">
        <v>5595</v>
      </c>
      <c r="F10934" t="s">
        <v>4648</v>
      </c>
      <c r="G10934" t="s">
        <v>37610</v>
      </c>
      <c r="H10934" t="s">
        <v>5476</v>
      </c>
      <c r="I10934" t="s">
        <v>37611</v>
      </c>
      <c r="J10934" t="s">
        <v>5484</v>
      </c>
      <c r="K10934" t="s">
        <v>37612</v>
      </c>
      <c r="L10934" t="s">
        <v>5471</v>
      </c>
      <c r="M10934" t="s">
        <v>5471</v>
      </c>
    </row>
    <row r="10935" spans="1:13" x14ac:dyDescent="0.3">
      <c r="A10935" t="s">
        <v>4013</v>
      </c>
      <c r="B10935" t="s">
        <v>6141</v>
      </c>
      <c r="C10935" t="s">
        <v>5487</v>
      </c>
      <c r="D10935" t="s">
        <v>4081</v>
      </c>
      <c r="E10935" t="s">
        <v>5595</v>
      </c>
      <c r="F10935" t="s">
        <v>4649</v>
      </c>
      <c r="G10935" t="s">
        <v>37613</v>
      </c>
      <c r="H10935" t="s">
        <v>5476</v>
      </c>
      <c r="I10935" t="s">
        <v>37614</v>
      </c>
      <c r="J10935" t="s">
        <v>5484</v>
      </c>
      <c r="K10935" t="s">
        <v>37615</v>
      </c>
      <c r="L10935" t="s">
        <v>5471</v>
      </c>
      <c r="M10935" t="s">
        <v>5471</v>
      </c>
    </row>
    <row r="10936" spans="1:13" x14ac:dyDescent="0.3">
      <c r="A10936" t="s">
        <v>4013</v>
      </c>
      <c r="B10936" t="s">
        <v>5328</v>
      </c>
      <c r="C10936" t="s">
        <v>5487</v>
      </c>
      <c r="D10936" t="s">
        <v>9958</v>
      </c>
      <c r="E10936" t="s">
        <v>5843</v>
      </c>
      <c r="F10936" t="s">
        <v>4979</v>
      </c>
      <c r="G10936" t="s">
        <v>37616</v>
      </c>
      <c r="H10936" t="s">
        <v>5476</v>
      </c>
      <c r="I10936" t="s">
        <v>37617</v>
      </c>
      <c r="J10936" t="s">
        <v>5484</v>
      </c>
      <c r="K10936" t="s">
        <v>37618</v>
      </c>
      <c r="L10936" t="s">
        <v>5471</v>
      </c>
      <c r="M10936" t="s">
        <v>5471</v>
      </c>
    </row>
    <row r="10937" spans="1:13" x14ac:dyDescent="0.3">
      <c r="A10937" t="s">
        <v>4013</v>
      </c>
      <c r="B10937" t="s">
        <v>5328</v>
      </c>
      <c r="C10937" t="s">
        <v>5487</v>
      </c>
      <c r="D10937" t="s">
        <v>9958</v>
      </c>
      <c r="E10937" t="s">
        <v>5843</v>
      </c>
      <c r="F10937" t="s">
        <v>4982</v>
      </c>
      <c r="G10937" t="s">
        <v>37619</v>
      </c>
      <c r="H10937" t="s">
        <v>5476</v>
      </c>
      <c r="I10937" t="s">
        <v>37620</v>
      </c>
      <c r="J10937" t="s">
        <v>5484</v>
      </c>
      <c r="K10937" t="s">
        <v>37621</v>
      </c>
      <c r="L10937" t="s">
        <v>5471</v>
      </c>
      <c r="M10937" t="s">
        <v>5471</v>
      </c>
    </row>
    <row r="10938" spans="1:13" x14ac:dyDescent="0.3">
      <c r="A10938" t="s">
        <v>4013</v>
      </c>
      <c r="B10938" t="s">
        <v>5328</v>
      </c>
      <c r="C10938" t="s">
        <v>5487</v>
      </c>
      <c r="D10938" t="s">
        <v>9958</v>
      </c>
      <c r="E10938" t="s">
        <v>5843</v>
      </c>
      <c r="F10938" t="s">
        <v>5001</v>
      </c>
      <c r="G10938" t="s">
        <v>37622</v>
      </c>
      <c r="H10938" t="s">
        <v>5476</v>
      </c>
      <c r="I10938" t="s">
        <v>37623</v>
      </c>
      <c r="J10938" t="s">
        <v>5484</v>
      </c>
      <c r="K10938" t="s">
        <v>37624</v>
      </c>
      <c r="L10938" t="s">
        <v>5471</v>
      </c>
      <c r="M10938" t="s">
        <v>5471</v>
      </c>
    </row>
    <row r="10939" spans="1:13" x14ac:dyDescent="0.3">
      <c r="A10939" t="s">
        <v>4013</v>
      </c>
      <c r="B10939" t="s">
        <v>5328</v>
      </c>
      <c r="C10939" t="s">
        <v>5487</v>
      </c>
      <c r="D10939" t="s">
        <v>9958</v>
      </c>
      <c r="E10939" t="s">
        <v>5843</v>
      </c>
      <c r="F10939" t="s">
        <v>5014</v>
      </c>
      <c r="G10939" t="s">
        <v>37625</v>
      </c>
      <c r="H10939" t="s">
        <v>5476</v>
      </c>
      <c r="I10939" t="s">
        <v>37626</v>
      </c>
      <c r="J10939" t="s">
        <v>5484</v>
      </c>
      <c r="K10939" t="s">
        <v>37627</v>
      </c>
      <c r="L10939" t="s">
        <v>5471</v>
      </c>
      <c r="M10939" t="s">
        <v>5471</v>
      </c>
    </row>
    <row r="10940" spans="1:13" x14ac:dyDescent="0.3">
      <c r="A10940" t="s">
        <v>4013</v>
      </c>
      <c r="B10940" t="s">
        <v>5594</v>
      </c>
      <c r="C10940" t="s">
        <v>5487</v>
      </c>
      <c r="D10940" t="s">
        <v>9958</v>
      </c>
      <c r="E10940" t="s">
        <v>5595</v>
      </c>
      <c r="F10940" t="s">
        <v>5087</v>
      </c>
      <c r="G10940" t="s">
        <v>37628</v>
      </c>
      <c r="H10940" t="s">
        <v>5476</v>
      </c>
      <c r="I10940" t="s">
        <v>37629</v>
      </c>
      <c r="J10940" t="s">
        <v>5484</v>
      </c>
      <c r="K10940" t="s">
        <v>37630</v>
      </c>
      <c r="L10940" t="s">
        <v>5471</v>
      </c>
      <c r="M10940" t="s">
        <v>5471</v>
      </c>
    </row>
    <row r="10941" spans="1:13" x14ac:dyDescent="0.3">
      <c r="A10941" t="s">
        <v>4013</v>
      </c>
      <c r="B10941" t="s">
        <v>5594</v>
      </c>
      <c r="C10941" t="s">
        <v>5487</v>
      </c>
      <c r="D10941" t="s">
        <v>9958</v>
      </c>
      <c r="E10941" t="s">
        <v>5595</v>
      </c>
      <c r="F10941" t="s">
        <v>5093</v>
      </c>
      <c r="G10941" t="s">
        <v>37631</v>
      </c>
      <c r="H10941" t="s">
        <v>5476</v>
      </c>
      <c r="I10941" t="s">
        <v>37632</v>
      </c>
      <c r="J10941" t="s">
        <v>5484</v>
      </c>
      <c r="K10941" t="s">
        <v>37618</v>
      </c>
      <c r="L10941" t="s">
        <v>5471</v>
      </c>
      <c r="M10941" t="s">
        <v>5471</v>
      </c>
    </row>
    <row r="10942" spans="1:13" x14ac:dyDescent="0.3">
      <c r="A10942" t="s">
        <v>4013</v>
      </c>
      <c r="B10942" t="s">
        <v>5594</v>
      </c>
      <c r="C10942" t="s">
        <v>5487</v>
      </c>
      <c r="D10942" t="s">
        <v>9958</v>
      </c>
      <c r="E10942" t="s">
        <v>5595</v>
      </c>
      <c r="F10942" t="s">
        <v>5095</v>
      </c>
      <c r="G10942" t="s">
        <v>37633</v>
      </c>
      <c r="H10942" t="s">
        <v>5476</v>
      </c>
      <c r="I10942" t="s">
        <v>37634</v>
      </c>
      <c r="J10942" t="s">
        <v>5484</v>
      </c>
      <c r="K10942" t="s">
        <v>37635</v>
      </c>
      <c r="L10942" t="s">
        <v>5471</v>
      </c>
      <c r="M10942" t="s">
        <v>5471</v>
      </c>
    </row>
    <row r="10943" spans="1:13" x14ac:dyDescent="0.3">
      <c r="A10943" t="s">
        <v>4013</v>
      </c>
      <c r="B10943" t="s">
        <v>5594</v>
      </c>
      <c r="C10943" t="s">
        <v>5487</v>
      </c>
      <c r="D10943" t="s">
        <v>9958</v>
      </c>
      <c r="E10943" t="s">
        <v>5595</v>
      </c>
      <c r="F10943" t="s">
        <v>5098</v>
      </c>
      <c r="G10943" t="s">
        <v>37636</v>
      </c>
      <c r="H10943" t="s">
        <v>5476</v>
      </c>
      <c r="I10943" t="s">
        <v>37637</v>
      </c>
      <c r="J10943" t="s">
        <v>5484</v>
      </c>
      <c r="K10943" t="s">
        <v>37638</v>
      </c>
      <c r="L10943" t="s">
        <v>5471</v>
      </c>
      <c r="M10943" t="s">
        <v>5471</v>
      </c>
    </row>
    <row r="10944" spans="1:13" x14ac:dyDescent="0.3">
      <c r="A10944" t="s">
        <v>4013</v>
      </c>
      <c r="B10944" t="s">
        <v>5594</v>
      </c>
      <c r="C10944" t="s">
        <v>5487</v>
      </c>
      <c r="D10944" t="s">
        <v>9958</v>
      </c>
      <c r="E10944" t="s">
        <v>5595</v>
      </c>
      <c r="F10944" t="s">
        <v>5099</v>
      </c>
      <c r="G10944" t="s">
        <v>37639</v>
      </c>
      <c r="H10944" t="s">
        <v>5476</v>
      </c>
      <c r="I10944" t="s">
        <v>37640</v>
      </c>
      <c r="J10944" t="s">
        <v>5484</v>
      </c>
      <c r="K10944" t="s">
        <v>37641</v>
      </c>
      <c r="L10944" t="s">
        <v>5471</v>
      </c>
      <c r="M10944" t="s">
        <v>5471</v>
      </c>
    </row>
    <row r="10945" spans="1:13" x14ac:dyDescent="0.3">
      <c r="A10945" t="s">
        <v>4013</v>
      </c>
      <c r="B10945" t="s">
        <v>5594</v>
      </c>
      <c r="C10945" t="s">
        <v>5487</v>
      </c>
      <c r="D10945" t="s">
        <v>9958</v>
      </c>
      <c r="E10945" t="s">
        <v>5595</v>
      </c>
      <c r="F10945" t="s">
        <v>5102</v>
      </c>
      <c r="G10945" t="s">
        <v>5613</v>
      </c>
      <c r="H10945" t="s">
        <v>5476</v>
      </c>
      <c r="I10945" t="s">
        <v>37642</v>
      </c>
      <c r="J10945" t="s">
        <v>5484</v>
      </c>
      <c r="K10945" t="s">
        <v>7837</v>
      </c>
      <c r="L10945" t="s">
        <v>5471</v>
      </c>
      <c r="M10945" t="s">
        <v>5471</v>
      </c>
    </row>
    <row r="10946" spans="1:13" x14ac:dyDescent="0.3">
      <c r="A10946" t="s">
        <v>4013</v>
      </c>
      <c r="B10946" t="s">
        <v>7424</v>
      </c>
      <c r="C10946" t="s">
        <v>5487</v>
      </c>
      <c r="D10946" t="s">
        <v>9940</v>
      </c>
      <c r="E10946" t="s">
        <v>5756</v>
      </c>
      <c r="F10946" t="s">
        <v>4644</v>
      </c>
      <c r="G10946" t="s">
        <v>37643</v>
      </c>
      <c r="H10946" t="s">
        <v>5476</v>
      </c>
      <c r="I10946" t="s">
        <v>37644</v>
      </c>
      <c r="J10946" t="s">
        <v>5484</v>
      </c>
      <c r="K10946" t="s">
        <v>37645</v>
      </c>
      <c r="L10946" t="s">
        <v>5471</v>
      </c>
      <c r="M10946" t="s">
        <v>5471</v>
      </c>
    </row>
    <row r="10947" spans="1:13" x14ac:dyDescent="0.3">
      <c r="A10947" t="s">
        <v>4013</v>
      </c>
      <c r="B10947" t="s">
        <v>7424</v>
      </c>
      <c r="C10947" t="s">
        <v>5487</v>
      </c>
      <c r="D10947" t="s">
        <v>9940</v>
      </c>
      <c r="E10947" t="s">
        <v>5756</v>
      </c>
      <c r="F10947" t="s">
        <v>4593</v>
      </c>
      <c r="G10947" t="s">
        <v>13729</v>
      </c>
      <c r="H10947" t="s">
        <v>5476</v>
      </c>
      <c r="I10947" t="s">
        <v>37646</v>
      </c>
      <c r="J10947" t="s">
        <v>5484</v>
      </c>
      <c r="K10947" t="s">
        <v>37647</v>
      </c>
      <c r="L10947" t="s">
        <v>5471</v>
      </c>
      <c r="M10947" t="s">
        <v>5471</v>
      </c>
    </row>
    <row r="10948" spans="1:13" x14ac:dyDescent="0.3">
      <c r="A10948" t="s">
        <v>4013</v>
      </c>
      <c r="B10948" t="s">
        <v>7424</v>
      </c>
      <c r="C10948" t="s">
        <v>5487</v>
      </c>
      <c r="D10948" t="s">
        <v>9940</v>
      </c>
      <c r="E10948" t="s">
        <v>5756</v>
      </c>
      <c r="F10948" t="s">
        <v>4594</v>
      </c>
      <c r="G10948" t="s">
        <v>13729</v>
      </c>
      <c r="H10948" t="s">
        <v>5476</v>
      </c>
      <c r="I10948" t="s">
        <v>37648</v>
      </c>
      <c r="J10948" t="s">
        <v>5484</v>
      </c>
      <c r="K10948" t="s">
        <v>37649</v>
      </c>
      <c r="L10948" t="s">
        <v>5471</v>
      </c>
      <c r="M10948" t="s">
        <v>5471</v>
      </c>
    </row>
    <row r="10949" spans="1:13" x14ac:dyDescent="0.3">
      <c r="A10949" t="s">
        <v>4013</v>
      </c>
      <c r="B10949" t="s">
        <v>7424</v>
      </c>
      <c r="C10949" t="s">
        <v>5487</v>
      </c>
      <c r="D10949" t="s">
        <v>4081</v>
      </c>
      <c r="E10949" t="s">
        <v>5756</v>
      </c>
      <c r="F10949" t="s">
        <v>4596</v>
      </c>
      <c r="G10949" t="s">
        <v>13662</v>
      </c>
      <c r="H10949" t="s">
        <v>5476</v>
      </c>
      <c r="I10949" t="s">
        <v>37650</v>
      </c>
      <c r="J10949" t="s">
        <v>5484</v>
      </c>
      <c r="K10949" t="s">
        <v>37651</v>
      </c>
      <c r="L10949" t="s">
        <v>5471</v>
      </c>
      <c r="M10949" t="s">
        <v>5471</v>
      </c>
    </row>
    <row r="10950" spans="1:13" x14ac:dyDescent="0.3">
      <c r="A10950" t="s">
        <v>4013</v>
      </c>
      <c r="B10950" t="s">
        <v>7424</v>
      </c>
      <c r="C10950" t="s">
        <v>5487</v>
      </c>
      <c r="D10950" t="s">
        <v>4081</v>
      </c>
      <c r="E10950" t="s">
        <v>5756</v>
      </c>
      <c r="F10950" t="s">
        <v>4597</v>
      </c>
      <c r="G10950" t="s">
        <v>13662</v>
      </c>
      <c r="H10950" t="s">
        <v>5476</v>
      </c>
      <c r="I10950" t="s">
        <v>37652</v>
      </c>
      <c r="J10950" t="s">
        <v>5484</v>
      </c>
      <c r="K10950" t="s">
        <v>37653</v>
      </c>
      <c r="L10950" t="s">
        <v>5471</v>
      </c>
      <c r="M10950" t="s">
        <v>5471</v>
      </c>
    </row>
    <row r="10951" spans="1:13" x14ac:dyDescent="0.3">
      <c r="A10951" t="s">
        <v>4013</v>
      </c>
      <c r="B10951" t="s">
        <v>7424</v>
      </c>
      <c r="C10951" t="s">
        <v>5487</v>
      </c>
      <c r="D10951" t="s">
        <v>4081</v>
      </c>
      <c r="E10951" t="s">
        <v>5756</v>
      </c>
      <c r="F10951" t="s">
        <v>4598</v>
      </c>
      <c r="G10951" t="s">
        <v>13662</v>
      </c>
      <c r="H10951" t="s">
        <v>5476</v>
      </c>
      <c r="I10951" t="s">
        <v>37654</v>
      </c>
      <c r="J10951" t="s">
        <v>5484</v>
      </c>
      <c r="K10951" t="s">
        <v>37655</v>
      </c>
      <c r="L10951" t="s">
        <v>5471</v>
      </c>
      <c r="M10951" t="s">
        <v>5471</v>
      </c>
    </row>
    <row r="10952" spans="1:13" x14ac:dyDescent="0.3">
      <c r="A10952" t="s">
        <v>4013</v>
      </c>
      <c r="B10952" t="s">
        <v>7424</v>
      </c>
      <c r="C10952" t="s">
        <v>5487</v>
      </c>
      <c r="D10952" t="s">
        <v>37601</v>
      </c>
      <c r="E10952" t="s">
        <v>5532</v>
      </c>
      <c r="F10952" t="s">
        <v>4641</v>
      </c>
      <c r="G10952" t="s">
        <v>37656</v>
      </c>
      <c r="H10952" t="s">
        <v>5476</v>
      </c>
      <c r="I10952" t="s">
        <v>37657</v>
      </c>
      <c r="J10952" t="s">
        <v>5484</v>
      </c>
      <c r="K10952" t="s">
        <v>37658</v>
      </c>
      <c r="L10952" t="s">
        <v>5471</v>
      </c>
      <c r="M10952" t="s">
        <v>5471</v>
      </c>
    </row>
    <row r="10953" spans="1:13" x14ac:dyDescent="0.3">
      <c r="A10953" t="s">
        <v>4013</v>
      </c>
      <c r="B10953" t="s">
        <v>7424</v>
      </c>
      <c r="C10953" t="s">
        <v>5487</v>
      </c>
      <c r="D10953" t="s">
        <v>37601</v>
      </c>
      <c r="E10953" t="s">
        <v>5532</v>
      </c>
      <c r="F10953" t="s">
        <v>4642</v>
      </c>
      <c r="G10953" t="s">
        <v>37659</v>
      </c>
      <c r="H10953" t="s">
        <v>5476</v>
      </c>
      <c r="I10953" t="s">
        <v>37660</v>
      </c>
      <c r="J10953" t="s">
        <v>5484</v>
      </c>
      <c r="K10953" t="s">
        <v>37661</v>
      </c>
      <c r="L10953" t="s">
        <v>5471</v>
      </c>
      <c r="M10953" t="s">
        <v>5471</v>
      </c>
    </row>
    <row r="10954" spans="1:13" x14ac:dyDescent="0.3">
      <c r="A10954" t="s">
        <v>4013</v>
      </c>
      <c r="B10954" t="s">
        <v>7424</v>
      </c>
      <c r="C10954" t="s">
        <v>5487</v>
      </c>
      <c r="D10954" t="s">
        <v>37601</v>
      </c>
      <c r="E10954" t="s">
        <v>5532</v>
      </c>
      <c r="F10954" t="s">
        <v>4643</v>
      </c>
      <c r="G10954" t="s">
        <v>37659</v>
      </c>
      <c r="H10954" t="s">
        <v>5476</v>
      </c>
      <c r="I10954" t="s">
        <v>37662</v>
      </c>
      <c r="J10954" t="s">
        <v>5484</v>
      </c>
      <c r="K10954" t="s">
        <v>37663</v>
      </c>
      <c r="L10954" t="s">
        <v>5471</v>
      </c>
      <c r="M10954" t="s">
        <v>5471</v>
      </c>
    </row>
    <row r="10955" spans="1:13" x14ac:dyDescent="0.3">
      <c r="A10955" t="s">
        <v>4013</v>
      </c>
      <c r="B10955" t="s">
        <v>7424</v>
      </c>
      <c r="C10955" t="s">
        <v>5487</v>
      </c>
      <c r="D10955" t="s">
        <v>37601</v>
      </c>
      <c r="E10955" t="s">
        <v>5532</v>
      </c>
      <c r="F10955" t="s">
        <v>4614</v>
      </c>
      <c r="G10955" t="s">
        <v>37656</v>
      </c>
      <c r="H10955" t="s">
        <v>5476</v>
      </c>
      <c r="I10955" t="s">
        <v>37664</v>
      </c>
      <c r="J10955" t="s">
        <v>5484</v>
      </c>
      <c r="K10955" t="s">
        <v>37665</v>
      </c>
      <c r="L10955" t="s">
        <v>5471</v>
      </c>
      <c r="M10955" t="s">
        <v>5471</v>
      </c>
    </row>
    <row r="10956" spans="1:13" x14ac:dyDescent="0.3">
      <c r="A10956" t="s">
        <v>4013</v>
      </c>
      <c r="B10956" t="s">
        <v>7424</v>
      </c>
      <c r="C10956" t="s">
        <v>5487</v>
      </c>
      <c r="D10956" t="s">
        <v>37601</v>
      </c>
      <c r="E10956" t="s">
        <v>5532</v>
      </c>
      <c r="F10956" t="s">
        <v>4624</v>
      </c>
      <c r="G10956" t="s">
        <v>37659</v>
      </c>
      <c r="H10956" t="s">
        <v>5476</v>
      </c>
      <c r="I10956" t="s">
        <v>37666</v>
      </c>
      <c r="J10956" t="s">
        <v>5484</v>
      </c>
      <c r="K10956" t="s">
        <v>37667</v>
      </c>
      <c r="L10956" t="s">
        <v>5471</v>
      </c>
      <c r="M10956" t="s">
        <v>5471</v>
      </c>
    </row>
    <row r="10957" spans="1:13" x14ac:dyDescent="0.3">
      <c r="A10957" t="s">
        <v>4013</v>
      </c>
      <c r="B10957" t="s">
        <v>15323</v>
      </c>
      <c r="C10957" t="s">
        <v>5487</v>
      </c>
      <c r="D10957" t="s">
        <v>37601</v>
      </c>
      <c r="E10957" t="s">
        <v>5532</v>
      </c>
      <c r="F10957" t="s">
        <v>4868</v>
      </c>
      <c r="G10957" t="s">
        <v>37668</v>
      </c>
      <c r="H10957" t="s">
        <v>5476</v>
      </c>
      <c r="I10957" t="s">
        <v>37669</v>
      </c>
      <c r="J10957" t="s">
        <v>5484</v>
      </c>
      <c r="K10957" t="s">
        <v>37670</v>
      </c>
      <c r="L10957" t="s">
        <v>5471</v>
      </c>
      <c r="M10957" t="s">
        <v>5471</v>
      </c>
    </row>
    <row r="10958" spans="1:13" x14ac:dyDescent="0.3">
      <c r="A10958" t="s">
        <v>4013</v>
      </c>
      <c r="B10958" t="s">
        <v>15323</v>
      </c>
      <c r="C10958" t="s">
        <v>5487</v>
      </c>
      <c r="D10958" t="s">
        <v>9940</v>
      </c>
      <c r="E10958" t="s">
        <v>5843</v>
      </c>
      <c r="F10958" t="s">
        <v>4894</v>
      </c>
      <c r="G10958" t="s">
        <v>15438</v>
      </c>
      <c r="H10958" t="s">
        <v>5476</v>
      </c>
      <c r="I10958" t="s">
        <v>37671</v>
      </c>
      <c r="J10958" t="s">
        <v>5484</v>
      </c>
      <c r="K10958" t="s">
        <v>37672</v>
      </c>
      <c r="L10958" t="s">
        <v>5471</v>
      </c>
      <c r="M10958" t="s">
        <v>5471</v>
      </c>
    </row>
    <row r="10959" spans="1:13" x14ac:dyDescent="0.3">
      <c r="A10959" t="s">
        <v>4013</v>
      </c>
      <c r="B10959" t="s">
        <v>15323</v>
      </c>
      <c r="C10959" t="s">
        <v>5487</v>
      </c>
      <c r="D10959" t="s">
        <v>37601</v>
      </c>
      <c r="E10959" t="s">
        <v>5532</v>
      </c>
      <c r="F10959" t="s">
        <v>4870</v>
      </c>
      <c r="G10959" t="s">
        <v>37673</v>
      </c>
      <c r="H10959" t="s">
        <v>5476</v>
      </c>
      <c r="I10959" t="s">
        <v>37674</v>
      </c>
      <c r="J10959" t="s">
        <v>5484</v>
      </c>
      <c r="K10959" t="s">
        <v>37675</v>
      </c>
      <c r="L10959" t="s">
        <v>5471</v>
      </c>
      <c r="M10959" t="s">
        <v>5471</v>
      </c>
    </row>
    <row r="10960" spans="1:13" x14ac:dyDescent="0.3">
      <c r="A10960" t="s">
        <v>4013</v>
      </c>
      <c r="B10960" t="s">
        <v>14973</v>
      </c>
      <c r="C10960" t="s">
        <v>6342</v>
      </c>
      <c r="D10960" t="s">
        <v>4081</v>
      </c>
      <c r="E10960" t="s">
        <v>6332</v>
      </c>
      <c r="F10960" t="s">
        <v>4457</v>
      </c>
      <c r="G10960" t="s">
        <v>37676</v>
      </c>
      <c r="H10960" t="s">
        <v>5476</v>
      </c>
      <c r="I10960" t="s">
        <v>37677</v>
      </c>
      <c r="J10960" t="s">
        <v>5484</v>
      </c>
      <c r="K10960" t="s">
        <v>37228</v>
      </c>
      <c r="L10960" t="s">
        <v>5471</v>
      </c>
      <c r="M10960" t="s">
        <v>5471</v>
      </c>
    </row>
    <row r="10961" spans="1:13" x14ac:dyDescent="0.3">
      <c r="A10961" t="s">
        <v>4013</v>
      </c>
      <c r="B10961" t="s">
        <v>14973</v>
      </c>
      <c r="C10961" t="s">
        <v>6342</v>
      </c>
      <c r="D10961" t="s">
        <v>4081</v>
      </c>
      <c r="E10961" t="s">
        <v>6332</v>
      </c>
      <c r="F10961" t="s">
        <v>4458</v>
      </c>
      <c r="G10961" t="s">
        <v>37676</v>
      </c>
      <c r="H10961" t="s">
        <v>5476</v>
      </c>
      <c r="I10961" t="s">
        <v>37678</v>
      </c>
      <c r="J10961" t="s">
        <v>5484</v>
      </c>
      <c r="K10961" t="s">
        <v>37567</v>
      </c>
      <c r="L10961" t="s">
        <v>5471</v>
      </c>
      <c r="M10961" t="s">
        <v>5471</v>
      </c>
    </row>
    <row r="10962" spans="1:13" x14ac:dyDescent="0.3">
      <c r="A10962" t="s">
        <v>4013</v>
      </c>
      <c r="B10962" t="s">
        <v>14973</v>
      </c>
      <c r="C10962" t="s">
        <v>6342</v>
      </c>
      <c r="D10962" t="s">
        <v>4081</v>
      </c>
      <c r="E10962" t="s">
        <v>6332</v>
      </c>
      <c r="F10962" t="s">
        <v>4459</v>
      </c>
      <c r="G10962" t="s">
        <v>37676</v>
      </c>
      <c r="H10962" t="s">
        <v>5476</v>
      </c>
      <c r="I10962" t="s">
        <v>37679</v>
      </c>
      <c r="J10962" t="s">
        <v>5484</v>
      </c>
      <c r="K10962" t="s">
        <v>37569</v>
      </c>
      <c r="L10962" t="s">
        <v>5471</v>
      </c>
      <c r="M10962" t="s">
        <v>5471</v>
      </c>
    </row>
    <row r="10963" spans="1:13" x14ac:dyDescent="0.3">
      <c r="A10963" t="s">
        <v>4013</v>
      </c>
      <c r="B10963" t="s">
        <v>14973</v>
      </c>
      <c r="C10963" t="s">
        <v>6342</v>
      </c>
      <c r="D10963" t="s">
        <v>4081</v>
      </c>
      <c r="E10963" t="s">
        <v>6332</v>
      </c>
      <c r="F10963" t="s">
        <v>4460</v>
      </c>
      <c r="G10963" t="s">
        <v>37680</v>
      </c>
      <c r="H10963" t="s">
        <v>5476</v>
      </c>
      <c r="I10963" t="s">
        <v>37681</v>
      </c>
      <c r="J10963" t="s">
        <v>5484</v>
      </c>
      <c r="K10963" t="s">
        <v>37682</v>
      </c>
      <c r="L10963" t="s">
        <v>5471</v>
      </c>
      <c r="M10963" t="s">
        <v>5471</v>
      </c>
    </row>
    <row r="10964" spans="1:13" x14ac:dyDescent="0.3">
      <c r="A10964" t="s">
        <v>4013</v>
      </c>
      <c r="B10964" t="s">
        <v>37683</v>
      </c>
      <c r="C10964" t="s">
        <v>5487</v>
      </c>
      <c r="D10964" t="s">
        <v>4081</v>
      </c>
      <c r="E10964" t="s">
        <v>5843</v>
      </c>
      <c r="F10964" t="s">
        <v>4963</v>
      </c>
      <c r="G10964" t="s">
        <v>37684</v>
      </c>
      <c r="H10964" t="s">
        <v>5476</v>
      </c>
      <c r="I10964" t="s">
        <v>37685</v>
      </c>
      <c r="J10964" t="s">
        <v>5484</v>
      </c>
      <c r="K10964" t="s">
        <v>37686</v>
      </c>
      <c r="L10964" t="s">
        <v>5471</v>
      </c>
      <c r="M10964" t="s">
        <v>5471</v>
      </c>
    </row>
    <row r="10965" spans="1:13" x14ac:dyDescent="0.3">
      <c r="A10965" t="s">
        <v>4013</v>
      </c>
      <c r="B10965" t="s">
        <v>37683</v>
      </c>
      <c r="C10965" t="s">
        <v>5487</v>
      </c>
      <c r="D10965" t="s">
        <v>4081</v>
      </c>
      <c r="E10965" t="s">
        <v>5843</v>
      </c>
      <c r="F10965" t="s">
        <v>4977</v>
      </c>
      <c r="G10965" t="s">
        <v>37687</v>
      </c>
      <c r="H10965" t="s">
        <v>5476</v>
      </c>
      <c r="I10965" t="s">
        <v>37688</v>
      </c>
      <c r="J10965" t="s">
        <v>5484</v>
      </c>
      <c r="K10965" t="s">
        <v>37689</v>
      </c>
      <c r="L10965" t="s">
        <v>5471</v>
      </c>
      <c r="M10965" t="s">
        <v>5471</v>
      </c>
    </row>
    <row r="10966" spans="1:13" x14ac:dyDescent="0.3">
      <c r="A10966" t="s">
        <v>4013</v>
      </c>
      <c r="B10966" t="s">
        <v>7424</v>
      </c>
      <c r="C10966" t="s">
        <v>5487</v>
      </c>
      <c r="D10966" t="s">
        <v>37601</v>
      </c>
      <c r="E10966" t="s">
        <v>5532</v>
      </c>
      <c r="F10966" t="s">
        <v>4640</v>
      </c>
      <c r="G10966" t="s">
        <v>37656</v>
      </c>
      <c r="H10966" t="s">
        <v>5476</v>
      </c>
      <c r="I10966" t="s">
        <v>37690</v>
      </c>
      <c r="J10966" t="s">
        <v>5484</v>
      </c>
      <c r="K10966" t="s">
        <v>37691</v>
      </c>
      <c r="L10966" t="s">
        <v>5471</v>
      </c>
      <c r="M10966" t="s">
        <v>5471</v>
      </c>
    </row>
    <row r="10967" spans="1:13" x14ac:dyDescent="0.3">
      <c r="A10967" t="s">
        <v>3388</v>
      </c>
      <c r="B10967" t="s">
        <v>37692</v>
      </c>
      <c r="C10967" t="s">
        <v>5470</v>
      </c>
      <c r="D10967" t="s">
        <v>15984</v>
      </c>
      <c r="E10967" t="s">
        <v>5532</v>
      </c>
      <c r="F10967" t="s">
        <v>37693</v>
      </c>
      <c r="G10967" t="s">
        <v>37694</v>
      </c>
      <c r="H10967" t="s">
        <v>5476</v>
      </c>
      <c r="I10967" t="s">
        <v>37695</v>
      </c>
      <c r="J10967" t="s">
        <v>5484</v>
      </c>
      <c r="K10967" t="s">
        <v>37696</v>
      </c>
      <c r="L10967" t="s">
        <v>5471</v>
      </c>
      <c r="M10967" t="s">
        <v>5471</v>
      </c>
    </row>
    <row r="10968" spans="1:13" x14ac:dyDescent="0.3">
      <c r="A10968" t="s">
        <v>3388</v>
      </c>
      <c r="B10968" t="s">
        <v>8799</v>
      </c>
      <c r="C10968" t="s">
        <v>5470</v>
      </c>
      <c r="D10968" t="s">
        <v>4119</v>
      </c>
      <c r="E10968" t="s">
        <v>5532</v>
      </c>
      <c r="F10968" t="s">
        <v>37697</v>
      </c>
      <c r="G10968" t="s">
        <v>37698</v>
      </c>
      <c r="H10968" t="s">
        <v>5476</v>
      </c>
      <c r="I10968" t="s">
        <v>37699</v>
      </c>
      <c r="J10968" t="s">
        <v>5484</v>
      </c>
      <c r="K10968" t="s">
        <v>37700</v>
      </c>
      <c r="L10968" t="s">
        <v>5471</v>
      </c>
      <c r="M10968" t="s">
        <v>5471</v>
      </c>
    </row>
    <row r="10969" spans="1:13" x14ac:dyDescent="0.3">
      <c r="A10969" t="s">
        <v>3388</v>
      </c>
      <c r="B10969" t="s">
        <v>8799</v>
      </c>
      <c r="C10969" t="s">
        <v>5470</v>
      </c>
      <c r="D10969" t="s">
        <v>4119</v>
      </c>
      <c r="E10969" t="s">
        <v>5532</v>
      </c>
      <c r="F10969" t="s">
        <v>37701</v>
      </c>
      <c r="G10969" t="s">
        <v>37698</v>
      </c>
      <c r="H10969" t="s">
        <v>5476</v>
      </c>
      <c r="I10969" t="s">
        <v>37702</v>
      </c>
      <c r="J10969" t="s">
        <v>5484</v>
      </c>
      <c r="K10969" t="s">
        <v>37703</v>
      </c>
      <c r="L10969" t="s">
        <v>5471</v>
      </c>
      <c r="M10969" t="s">
        <v>5471</v>
      </c>
    </row>
    <row r="10970" spans="1:13" x14ac:dyDescent="0.3">
      <c r="A10970" t="s">
        <v>3388</v>
      </c>
      <c r="B10970" t="s">
        <v>8799</v>
      </c>
      <c r="C10970" t="s">
        <v>5470</v>
      </c>
      <c r="D10970" t="s">
        <v>4119</v>
      </c>
      <c r="E10970" t="s">
        <v>5532</v>
      </c>
      <c r="F10970" t="s">
        <v>37704</v>
      </c>
      <c r="G10970" t="s">
        <v>37698</v>
      </c>
      <c r="H10970" t="s">
        <v>5476</v>
      </c>
      <c r="I10970" t="s">
        <v>37705</v>
      </c>
      <c r="J10970" t="s">
        <v>5484</v>
      </c>
      <c r="K10970" t="s">
        <v>37706</v>
      </c>
      <c r="L10970" t="s">
        <v>5471</v>
      </c>
      <c r="M10970" t="s">
        <v>5471</v>
      </c>
    </row>
    <row r="10971" spans="1:13" x14ac:dyDescent="0.3">
      <c r="A10971" t="s">
        <v>3388</v>
      </c>
      <c r="B10971" t="s">
        <v>8799</v>
      </c>
      <c r="C10971" t="s">
        <v>5470</v>
      </c>
      <c r="D10971" t="s">
        <v>4119</v>
      </c>
      <c r="E10971" t="s">
        <v>5532</v>
      </c>
      <c r="F10971" t="s">
        <v>37707</v>
      </c>
      <c r="G10971" t="s">
        <v>37708</v>
      </c>
      <c r="H10971" t="s">
        <v>5476</v>
      </c>
      <c r="I10971" t="s">
        <v>37709</v>
      </c>
      <c r="J10971" t="s">
        <v>5484</v>
      </c>
      <c r="K10971" t="s">
        <v>37710</v>
      </c>
      <c r="L10971" t="s">
        <v>5471</v>
      </c>
      <c r="M10971" t="s">
        <v>5471</v>
      </c>
    </row>
    <row r="10972" spans="1:13" x14ac:dyDescent="0.3">
      <c r="A10972" t="s">
        <v>3388</v>
      </c>
      <c r="B10972" t="s">
        <v>8799</v>
      </c>
      <c r="C10972" t="s">
        <v>5470</v>
      </c>
      <c r="D10972" t="s">
        <v>4119</v>
      </c>
      <c r="E10972" t="s">
        <v>5532</v>
      </c>
      <c r="F10972" t="s">
        <v>37711</v>
      </c>
      <c r="G10972" t="s">
        <v>37708</v>
      </c>
      <c r="H10972" t="s">
        <v>5476</v>
      </c>
      <c r="I10972" t="s">
        <v>37712</v>
      </c>
      <c r="J10972" t="s">
        <v>5484</v>
      </c>
      <c r="K10972" t="s">
        <v>37713</v>
      </c>
      <c r="L10972" t="s">
        <v>5471</v>
      </c>
      <c r="M10972" t="s">
        <v>5471</v>
      </c>
    </row>
    <row r="10973" spans="1:13" x14ac:dyDescent="0.3">
      <c r="A10973" t="s">
        <v>3388</v>
      </c>
      <c r="B10973" t="s">
        <v>8799</v>
      </c>
      <c r="C10973" t="s">
        <v>5470</v>
      </c>
      <c r="D10973" t="s">
        <v>4119</v>
      </c>
      <c r="E10973" t="s">
        <v>5532</v>
      </c>
      <c r="F10973" t="s">
        <v>37714</v>
      </c>
      <c r="G10973" t="s">
        <v>37708</v>
      </c>
      <c r="H10973" t="s">
        <v>5476</v>
      </c>
      <c r="I10973" t="s">
        <v>37715</v>
      </c>
      <c r="J10973" t="s">
        <v>5484</v>
      </c>
      <c r="K10973" t="s">
        <v>37716</v>
      </c>
      <c r="L10973" t="s">
        <v>5471</v>
      </c>
      <c r="M10973" t="s">
        <v>5471</v>
      </c>
    </row>
    <row r="10974" spans="1:13" x14ac:dyDescent="0.3">
      <c r="A10974" t="s">
        <v>3388</v>
      </c>
      <c r="B10974" t="s">
        <v>8799</v>
      </c>
      <c r="C10974" t="s">
        <v>5470</v>
      </c>
      <c r="D10974" t="s">
        <v>4119</v>
      </c>
      <c r="E10974" t="s">
        <v>5532</v>
      </c>
      <c r="F10974" t="s">
        <v>37717</v>
      </c>
      <c r="G10974" t="s">
        <v>37718</v>
      </c>
      <c r="H10974" t="s">
        <v>5476</v>
      </c>
      <c r="I10974" t="s">
        <v>37719</v>
      </c>
      <c r="J10974" t="s">
        <v>5484</v>
      </c>
      <c r="K10974" t="s">
        <v>37720</v>
      </c>
      <c r="L10974" t="s">
        <v>5471</v>
      </c>
      <c r="M10974" t="s">
        <v>5471</v>
      </c>
    </row>
    <row r="10975" spans="1:13" x14ac:dyDescent="0.3">
      <c r="A10975" t="s">
        <v>3388</v>
      </c>
      <c r="B10975" t="s">
        <v>37721</v>
      </c>
      <c r="C10975" t="s">
        <v>5470</v>
      </c>
      <c r="D10975" t="s">
        <v>4119</v>
      </c>
      <c r="E10975" t="s">
        <v>5480</v>
      </c>
      <c r="F10975" t="s">
        <v>37722</v>
      </c>
      <c r="G10975" t="s">
        <v>37723</v>
      </c>
      <c r="H10975" t="s">
        <v>5476</v>
      </c>
      <c r="I10975" t="s">
        <v>37724</v>
      </c>
      <c r="J10975" t="s">
        <v>5484</v>
      </c>
      <c r="K10975" t="s">
        <v>37725</v>
      </c>
      <c r="L10975" t="s">
        <v>5471</v>
      </c>
      <c r="M10975" t="s">
        <v>5471</v>
      </c>
    </row>
    <row r="10976" spans="1:13" x14ac:dyDescent="0.3">
      <c r="A10976" t="s">
        <v>3388</v>
      </c>
      <c r="B10976" t="s">
        <v>37721</v>
      </c>
      <c r="C10976" t="s">
        <v>5470</v>
      </c>
      <c r="D10976" t="s">
        <v>4119</v>
      </c>
      <c r="E10976" t="s">
        <v>5480</v>
      </c>
      <c r="F10976" t="s">
        <v>37726</v>
      </c>
      <c r="G10976" t="s">
        <v>37727</v>
      </c>
      <c r="H10976" t="s">
        <v>5476</v>
      </c>
      <c r="I10976" t="s">
        <v>37728</v>
      </c>
      <c r="J10976" t="s">
        <v>5484</v>
      </c>
      <c r="K10976" t="s">
        <v>37729</v>
      </c>
      <c r="L10976" t="s">
        <v>5471</v>
      </c>
      <c r="M10976" t="s">
        <v>5471</v>
      </c>
    </row>
    <row r="10977" spans="1:13" x14ac:dyDescent="0.3">
      <c r="A10977" t="s">
        <v>3388</v>
      </c>
      <c r="B10977" t="s">
        <v>37721</v>
      </c>
      <c r="C10977" t="s">
        <v>5470</v>
      </c>
      <c r="D10977" t="s">
        <v>4119</v>
      </c>
      <c r="E10977" t="s">
        <v>5480</v>
      </c>
      <c r="F10977" t="s">
        <v>37730</v>
      </c>
      <c r="G10977" t="s">
        <v>37731</v>
      </c>
      <c r="H10977" t="s">
        <v>5476</v>
      </c>
      <c r="I10977" t="s">
        <v>37732</v>
      </c>
      <c r="J10977" t="s">
        <v>5484</v>
      </c>
      <c r="K10977" t="s">
        <v>37733</v>
      </c>
      <c r="L10977" t="s">
        <v>5471</v>
      </c>
      <c r="M10977" t="s">
        <v>5471</v>
      </c>
    </row>
    <row r="10978" spans="1:13" x14ac:dyDescent="0.3">
      <c r="A10978" t="s">
        <v>3388</v>
      </c>
      <c r="B10978" t="s">
        <v>37721</v>
      </c>
      <c r="C10978" t="s">
        <v>5470</v>
      </c>
      <c r="D10978" t="s">
        <v>4119</v>
      </c>
      <c r="E10978" t="s">
        <v>5843</v>
      </c>
      <c r="F10978" t="s">
        <v>37734</v>
      </c>
      <c r="G10978" t="s">
        <v>37735</v>
      </c>
      <c r="H10978" t="s">
        <v>5476</v>
      </c>
      <c r="I10978" t="s">
        <v>37736</v>
      </c>
      <c r="J10978" t="s">
        <v>5484</v>
      </c>
      <c r="K10978" t="s">
        <v>37737</v>
      </c>
      <c r="L10978" t="s">
        <v>5471</v>
      </c>
      <c r="M10978" t="s">
        <v>5471</v>
      </c>
    </row>
    <row r="10979" spans="1:13" x14ac:dyDescent="0.3">
      <c r="A10979" t="s">
        <v>3388</v>
      </c>
      <c r="B10979" t="s">
        <v>37721</v>
      </c>
      <c r="C10979" t="s">
        <v>5470</v>
      </c>
      <c r="D10979" t="s">
        <v>4119</v>
      </c>
      <c r="E10979" t="s">
        <v>5480</v>
      </c>
      <c r="F10979" t="s">
        <v>37738</v>
      </c>
      <c r="G10979" t="s">
        <v>37739</v>
      </c>
      <c r="H10979" t="s">
        <v>5476</v>
      </c>
      <c r="I10979" t="s">
        <v>37740</v>
      </c>
      <c r="J10979" t="s">
        <v>5484</v>
      </c>
      <c r="K10979" t="s">
        <v>37741</v>
      </c>
      <c r="L10979" t="s">
        <v>5471</v>
      </c>
      <c r="M10979" t="s">
        <v>5471</v>
      </c>
    </row>
    <row r="10980" spans="1:13" x14ac:dyDescent="0.3">
      <c r="A10980" t="s">
        <v>3388</v>
      </c>
      <c r="B10980" t="s">
        <v>37721</v>
      </c>
      <c r="C10980" t="s">
        <v>5470</v>
      </c>
      <c r="D10980" t="s">
        <v>4119</v>
      </c>
      <c r="E10980" t="s">
        <v>5480</v>
      </c>
      <c r="F10980" t="s">
        <v>37742</v>
      </c>
      <c r="G10980" t="s">
        <v>37743</v>
      </c>
      <c r="H10980" t="s">
        <v>5476</v>
      </c>
      <c r="I10980" t="s">
        <v>37744</v>
      </c>
      <c r="J10980" t="s">
        <v>5484</v>
      </c>
      <c r="K10980" t="s">
        <v>37745</v>
      </c>
      <c r="L10980" t="s">
        <v>5471</v>
      </c>
      <c r="M10980" t="s">
        <v>5471</v>
      </c>
    </row>
    <row r="10981" spans="1:13" x14ac:dyDescent="0.3">
      <c r="A10981" t="s">
        <v>3388</v>
      </c>
      <c r="B10981" t="s">
        <v>37721</v>
      </c>
      <c r="C10981" t="s">
        <v>5470</v>
      </c>
      <c r="D10981" t="s">
        <v>4119</v>
      </c>
      <c r="E10981" t="s">
        <v>5480</v>
      </c>
      <c r="F10981" t="s">
        <v>37746</v>
      </c>
      <c r="G10981" t="s">
        <v>37747</v>
      </c>
      <c r="H10981" t="s">
        <v>5476</v>
      </c>
      <c r="I10981" t="s">
        <v>37748</v>
      </c>
      <c r="J10981" t="s">
        <v>5484</v>
      </c>
      <c r="K10981" t="s">
        <v>37749</v>
      </c>
      <c r="L10981" t="s">
        <v>5471</v>
      </c>
      <c r="M10981" t="s">
        <v>5471</v>
      </c>
    </row>
    <row r="10982" spans="1:13" x14ac:dyDescent="0.3">
      <c r="A10982" t="s">
        <v>3388</v>
      </c>
      <c r="B10982" t="s">
        <v>37721</v>
      </c>
      <c r="C10982" t="s">
        <v>5470</v>
      </c>
      <c r="D10982" t="s">
        <v>4119</v>
      </c>
      <c r="E10982" t="s">
        <v>5843</v>
      </c>
      <c r="F10982" t="s">
        <v>37750</v>
      </c>
      <c r="G10982" t="s">
        <v>37751</v>
      </c>
      <c r="H10982" t="s">
        <v>5476</v>
      </c>
      <c r="I10982" t="s">
        <v>37752</v>
      </c>
      <c r="J10982" t="s">
        <v>5484</v>
      </c>
      <c r="K10982" t="s">
        <v>37753</v>
      </c>
      <c r="L10982" t="s">
        <v>5471</v>
      </c>
      <c r="M10982" t="s">
        <v>5471</v>
      </c>
    </row>
    <row r="10983" spans="1:13" x14ac:dyDescent="0.3">
      <c r="A10983" t="s">
        <v>3388</v>
      </c>
      <c r="B10983" t="s">
        <v>37721</v>
      </c>
      <c r="C10983" t="s">
        <v>5470</v>
      </c>
      <c r="D10983" t="s">
        <v>4119</v>
      </c>
      <c r="E10983" t="s">
        <v>5843</v>
      </c>
      <c r="F10983" t="s">
        <v>37754</v>
      </c>
      <c r="G10983" t="s">
        <v>37755</v>
      </c>
      <c r="H10983" t="s">
        <v>5476</v>
      </c>
      <c r="I10983" t="s">
        <v>37756</v>
      </c>
      <c r="J10983" t="s">
        <v>5484</v>
      </c>
      <c r="K10983" t="s">
        <v>37757</v>
      </c>
      <c r="L10983" t="s">
        <v>5471</v>
      </c>
      <c r="M10983" t="s">
        <v>5471</v>
      </c>
    </row>
    <row r="10984" spans="1:13" x14ac:dyDescent="0.3">
      <c r="A10984" t="s">
        <v>3388</v>
      </c>
      <c r="B10984" t="s">
        <v>37721</v>
      </c>
      <c r="C10984" t="s">
        <v>5470</v>
      </c>
      <c r="D10984" t="s">
        <v>4119</v>
      </c>
      <c r="E10984" t="s">
        <v>5617</v>
      </c>
      <c r="F10984" t="s">
        <v>37758</v>
      </c>
      <c r="G10984" t="s">
        <v>37759</v>
      </c>
      <c r="H10984" t="s">
        <v>5476</v>
      </c>
      <c r="I10984" t="s">
        <v>37760</v>
      </c>
      <c r="J10984" t="s">
        <v>5484</v>
      </c>
      <c r="K10984" t="s">
        <v>37761</v>
      </c>
      <c r="L10984" t="s">
        <v>5471</v>
      </c>
      <c r="M10984" t="s">
        <v>5471</v>
      </c>
    </row>
    <row r="10985" spans="1:13" x14ac:dyDescent="0.3">
      <c r="A10985" t="s">
        <v>3388</v>
      </c>
      <c r="B10985" t="s">
        <v>37721</v>
      </c>
      <c r="C10985" t="s">
        <v>5470</v>
      </c>
      <c r="D10985" t="s">
        <v>4119</v>
      </c>
      <c r="E10985" t="s">
        <v>5843</v>
      </c>
      <c r="F10985" t="s">
        <v>37762</v>
      </c>
      <c r="G10985" t="s">
        <v>37763</v>
      </c>
      <c r="H10985" t="s">
        <v>5476</v>
      </c>
      <c r="I10985" t="s">
        <v>37764</v>
      </c>
      <c r="J10985" t="s">
        <v>5484</v>
      </c>
      <c r="K10985" t="s">
        <v>37765</v>
      </c>
      <c r="L10985" t="s">
        <v>5471</v>
      </c>
      <c r="M10985" t="s">
        <v>5471</v>
      </c>
    </row>
    <row r="10986" spans="1:13" x14ac:dyDescent="0.3">
      <c r="A10986" t="s">
        <v>3388</v>
      </c>
      <c r="B10986" t="s">
        <v>37721</v>
      </c>
      <c r="C10986" t="s">
        <v>5470</v>
      </c>
      <c r="D10986" t="s">
        <v>4119</v>
      </c>
      <c r="E10986" t="s">
        <v>5617</v>
      </c>
      <c r="F10986" t="s">
        <v>37766</v>
      </c>
      <c r="G10986" t="s">
        <v>37767</v>
      </c>
      <c r="H10986" t="s">
        <v>5476</v>
      </c>
      <c r="I10986" t="s">
        <v>37768</v>
      </c>
      <c r="J10986" t="s">
        <v>5484</v>
      </c>
      <c r="K10986" t="s">
        <v>37769</v>
      </c>
      <c r="L10986" t="s">
        <v>5471</v>
      </c>
      <c r="M10986" t="s">
        <v>5471</v>
      </c>
    </row>
    <row r="10987" spans="1:13" x14ac:dyDescent="0.3">
      <c r="A10987" t="s">
        <v>3388</v>
      </c>
      <c r="B10987" t="s">
        <v>37721</v>
      </c>
      <c r="C10987" t="s">
        <v>5470</v>
      </c>
      <c r="D10987" t="s">
        <v>4119</v>
      </c>
      <c r="E10987" t="s">
        <v>5843</v>
      </c>
      <c r="F10987" t="s">
        <v>37770</v>
      </c>
      <c r="G10987" t="s">
        <v>37751</v>
      </c>
      <c r="H10987" t="s">
        <v>5476</v>
      </c>
      <c r="I10987" t="s">
        <v>37771</v>
      </c>
      <c r="J10987" t="s">
        <v>5484</v>
      </c>
      <c r="K10987" t="s">
        <v>37772</v>
      </c>
      <c r="L10987" t="s">
        <v>5471</v>
      </c>
      <c r="M10987" t="s">
        <v>5471</v>
      </c>
    </row>
    <row r="10988" spans="1:13" x14ac:dyDescent="0.3">
      <c r="A10988" t="s">
        <v>3388</v>
      </c>
      <c r="B10988" t="s">
        <v>37721</v>
      </c>
      <c r="C10988" t="s">
        <v>5470</v>
      </c>
      <c r="D10988" t="s">
        <v>4119</v>
      </c>
      <c r="E10988" t="s">
        <v>5843</v>
      </c>
      <c r="F10988" t="s">
        <v>37773</v>
      </c>
      <c r="G10988" t="s">
        <v>37755</v>
      </c>
      <c r="H10988" t="s">
        <v>5476</v>
      </c>
      <c r="I10988" t="s">
        <v>37774</v>
      </c>
      <c r="J10988" t="s">
        <v>5484</v>
      </c>
      <c r="K10988" t="s">
        <v>37775</v>
      </c>
      <c r="L10988" t="s">
        <v>5471</v>
      </c>
      <c r="M10988" t="s">
        <v>5471</v>
      </c>
    </row>
    <row r="10989" spans="1:13" x14ac:dyDescent="0.3">
      <c r="A10989" t="s">
        <v>3388</v>
      </c>
      <c r="B10989" t="s">
        <v>37721</v>
      </c>
      <c r="C10989" t="s">
        <v>5470</v>
      </c>
      <c r="D10989" t="s">
        <v>4119</v>
      </c>
      <c r="E10989" t="s">
        <v>5617</v>
      </c>
      <c r="F10989" t="s">
        <v>37776</v>
      </c>
      <c r="G10989" t="s">
        <v>37777</v>
      </c>
      <c r="H10989" t="s">
        <v>5476</v>
      </c>
      <c r="I10989" t="s">
        <v>37778</v>
      </c>
      <c r="J10989" t="s">
        <v>5484</v>
      </c>
      <c r="K10989" t="s">
        <v>37779</v>
      </c>
      <c r="L10989" t="s">
        <v>5471</v>
      </c>
      <c r="M10989" t="s">
        <v>5471</v>
      </c>
    </row>
    <row r="10990" spans="1:13" x14ac:dyDescent="0.3">
      <c r="A10990" t="s">
        <v>3388</v>
      </c>
      <c r="B10990" t="s">
        <v>37721</v>
      </c>
      <c r="C10990" t="s">
        <v>5470</v>
      </c>
      <c r="D10990" t="s">
        <v>4119</v>
      </c>
      <c r="E10990" t="s">
        <v>5843</v>
      </c>
      <c r="F10990" t="s">
        <v>37780</v>
      </c>
      <c r="G10990" t="s">
        <v>37763</v>
      </c>
      <c r="H10990" t="s">
        <v>5476</v>
      </c>
      <c r="I10990" t="s">
        <v>37781</v>
      </c>
      <c r="J10990" t="s">
        <v>5484</v>
      </c>
      <c r="K10990" t="s">
        <v>37782</v>
      </c>
      <c r="L10990" t="s">
        <v>5471</v>
      </c>
      <c r="M10990" t="s">
        <v>5471</v>
      </c>
    </row>
    <row r="10991" spans="1:13" x14ac:dyDescent="0.3">
      <c r="A10991" t="s">
        <v>3388</v>
      </c>
      <c r="B10991" t="s">
        <v>37783</v>
      </c>
      <c r="C10991" t="s">
        <v>5470</v>
      </c>
      <c r="D10991" t="s">
        <v>4119</v>
      </c>
      <c r="E10991" t="s">
        <v>5843</v>
      </c>
      <c r="F10991" t="s">
        <v>37784</v>
      </c>
      <c r="G10991" t="s">
        <v>37785</v>
      </c>
      <c r="H10991" t="s">
        <v>5476</v>
      </c>
      <c r="I10991" t="s">
        <v>37786</v>
      </c>
      <c r="J10991" t="s">
        <v>5484</v>
      </c>
      <c r="K10991" t="s">
        <v>37787</v>
      </c>
      <c r="L10991" t="s">
        <v>5471</v>
      </c>
      <c r="M10991" t="s">
        <v>5471</v>
      </c>
    </row>
    <row r="10992" spans="1:13" x14ac:dyDescent="0.3">
      <c r="A10992" t="s">
        <v>3388</v>
      </c>
      <c r="B10992" t="s">
        <v>37788</v>
      </c>
      <c r="C10992" t="s">
        <v>5470</v>
      </c>
      <c r="D10992" t="s">
        <v>4119</v>
      </c>
      <c r="E10992" t="s">
        <v>5843</v>
      </c>
      <c r="F10992" t="s">
        <v>37789</v>
      </c>
      <c r="G10992" t="s">
        <v>37790</v>
      </c>
      <c r="H10992" t="s">
        <v>5476</v>
      </c>
      <c r="I10992" t="s">
        <v>37791</v>
      </c>
      <c r="J10992" t="s">
        <v>5484</v>
      </c>
      <c r="K10992" t="s">
        <v>37792</v>
      </c>
      <c r="L10992" t="s">
        <v>5471</v>
      </c>
      <c r="M10992" t="s">
        <v>5471</v>
      </c>
    </row>
    <row r="10993" spans="1:13" x14ac:dyDescent="0.3">
      <c r="A10993" t="s">
        <v>3388</v>
      </c>
      <c r="B10993" t="s">
        <v>5616</v>
      </c>
      <c r="C10993" t="s">
        <v>5470</v>
      </c>
      <c r="D10993" t="s">
        <v>4119</v>
      </c>
      <c r="E10993" t="s">
        <v>5532</v>
      </c>
      <c r="F10993" t="s">
        <v>37793</v>
      </c>
      <c r="G10993" t="s">
        <v>37794</v>
      </c>
      <c r="H10993" t="s">
        <v>5476</v>
      </c>
      <c r="I10993" t="s">
        <v>37795</v>
      </c>
      <c r="J10993" t="s">
        <v>5484</v>
      </c>
      <c r="K10993" t="s">
        <v>37796</v>
      </c>
      <c r="L10993" t="s">
        <v>5471</v>
      </c>
      <c r="M10993" t="s">
        <v>5471</v>
      </c>
    </row>
    <row r="10994" spans="1:13" x14ac:dyDescent="0.3">
      <c r="A10994" t="s">
        <v>3388</v>
      </c>
      <c r="B10994" t="s">
        <v>37721</v>
      </c>
      <c r="C10994" t="s">
        <v>5470</v>
      </c>
      <c r="D10994" t="s">
        <v>4119</v>
      </c>
      <c r="E10994" t="s">
        <v>5617</v>
      </c>
      <c r="F10994" t="s">
        <v>37797</v>
      </c>
      <c r="G10994" t="s">
        <v>37798</v>
      </c>
      <c r="H10994" t="s">
        <v>5476</v>
      </c>
      <c r="I10994" t="s">
        <v>37799</v>
      </c>
      <c r="J10994" t="s">
        <v>5484</v>
      </c>
      <c r="K10994" t="s">
        <v>37800</v>
      </c>
      <c r="L10994" t="s">
        <v>5471</v>
      </c>
      <c r="M10994" t="s">
        <v>5471</v>
      </c>
    </row>
    <row r="10995" spans="1:13" x14ac:dyDescent="0.3">
      <c r="A10995" t="s">
        <v>3388</v>
      </c>
      <c r="B10995" t="s">
        <v>37721</v>
      </c>
      <c r="C10995" t="s">
        <v>5470</v>
      </c>
      <c r="D10995" t="s">
        <v>4119</v>
      </c>
      <c r="E10995" t="s">
        <v>5617</v>
      </c>
      <c r="F10995" t="s">
        <v>37801</v>
      </c>
      <c r="G10995" t="s">
        <v>37802</v>
      </c>
      <c r="H10995" t="s">
        <v>5476</v>
      </c>
      <c r="I10995" t="s">
        <v>37803</v>
      </c>
      <c r="J10995" t="s">
        <v>5484</v>
      </c>
      <c r="K10995" t="s">
        <v>37804</v>
      </c>
      <c r="L10995" t="s">
        <v>5471</v>
      </c>
      <c r="M10995" t="s">
        <v>5471</v>
      </c>
    </row>
    <row r="10996" spans="1:13" x14ac:dyDescent="0.3">
      <c r="A10996" t="s">
        <v>3388</v>
      </c>
      <c r="B10996" t="s">
        <v>37721</v>
      </c>
      <c r="C10996" t="s">
        <v>5470</v>
      </c>
      <c r="D10996" t="s">
        <v>4119</v>
      </c>
      <c r="E10996" t="s">
        <v>5617</v>
      </c>
      <c r="F10996" t="s">
        <v>37805</v>
      </c>
      <c r="G10996" t="s">
        <v>37751</v>
      </c>
      <c r="H10996" t="s">
        <v>5476</v>
      </c>
      <c r="I10996" t="s">
        <v>37806</v>
      </c>
      <c r="J10996" t="s">
        <v>5484</v>
      </c>
      <c r="K10996" t="s">
        <v>37807</v>
      </c>
      <c r="L10996" t="s">
        <v>5471</v>
      </c>
      <c r="M10996" t="s">
        <v>5471</v>
      </c>
    </row>
    <row r="10997" spans="1:13" x14ac:dyDescent="0.3">
      <c r="A10997" t="s">
        <v>3388</v>
      </c>
      <c r="B10997" t="s">
        <v>37721</v>
      </c>
      <c r="C10997" t="s">
        <v>5470</v>
      </c>
      <c r="D10997" t="s">
        <v>4119</v>
      </c>
      <c r="E10997" t="s">
        <v>5617</v>
      </c>
      <c r="F10997" t="s">
        <v>37808</v>
      </c>
      <c r="G10997" t="s">
        <v>37755</v>
      </c>
      <c r="H10997" t="s">
        <v>5476</v>
      </c>
      <c r="I10997" t="s">
        <v>37809</v>
      </c>
      <c r="J10997" t="s">
        <v>5484</v>
      </c>
      <c r="K10997" t="s">
        <v>37810</v>
      </c>
      <c r="L10997" t="s">
        <v>5471</v>
      </c>
      <c r="M10997" t="s">
        <v>5471</v>
      </c>
    </row>
    <row r="10998" spans="1:13" x14ac:dyDescent="0.3">
      <c r="A10998" t="s">
        <v>3388</v>
      </c>
      <c r="B10998" t="s">
        <v>37721</v>
      </c>
      <c r="C10998" t="s">
        <v>5470</v>
      </c>
      <c r="D10998" t="s">
        <v>4119</v>
      </c>
      <c r="E10998" t="s">
        <v>5843</v>
      </c>
      <c r="F10998" t="s">
        <v>37811</v>
      </c>
      <c r="G10998" t="s">
        <v>37812</v>
      </c>
      <c r="H10998" t="s">
        <v>5476</v>
      </c>
      <c r="I10998" t="s">
        <v>37813</v>
      </c>
      <c r="J10998" t="s">
        <v>5484</v>
      </c>
      <c r="K10998" t="s">
        <v>37814</v>
      </c>
      <c r="L10998" t="s">
        <v>5471</v>
      </c>
      <c r="M10998" t="s">
        <v>5471</v>
      </c>
    </row>
    <row r="10999" spans="1:13" x14ac:dyDescent="0.3">
      <c r="A10999" t="s">
        <v>4013</v>
      </c>
      <c r="B10999" t="s">
        <v>5766</v>
      </c>
      <c r="C10999" t="s">
        <v>5487</v>
      </c>
      <c r="D10999" t="s">
        <v>4119</v>
      </c>
      <c r="E10999" t="s">
        <v>5756</v>
      </c>
      <c r="F10999" t="s">
        <v>37815</v>
      </c>
      <c r="G10999" t="s">
        <v>37816</v>
      </c>
      <c r="H10999" t="s">
        <v>37817</v>
      </c>
      <c r="I10999" t="s">
        <v>37818</v>
      </c>
      <c r="J10999" t="s">
        <v>5484</v>
      </c>
      <c r="K10999" t="s">
        <v>37819</v>
      </c>
      <c r="L10999" t="s">
        <v>5471</v>
      </c>
      <c r="M10999" t="s">
        <v>5471</v>
      </c>
    </row>
    <row r="11000" spans="1:13" x14ac:dyDescent="0.3">
      <c r="A11000" t="s">
        <v>4013</v>
      </c>
      <c r="B11000" t="s">
        <v>5766</v>
      </c>
      <c r="C11000" t="s">
        <v>5487</v>
      </c>
      <c r="D11000" t="s">
        <v>4119</v>
      </c>
      <c r="E11000" t="s">
        <v>5756</v>
      </c>
      <c r="F11000" t="s">
        <v>37820</v>
      </c>
      <c r="G11000" t="s">
        <v>37816</v>
      </c>
      <c r="H11000" t="s">
        <v>37817</v>
      </c>
      <c r="I11000" t="s">
        <v>37821</v>
      </c>
      <c r="J11000" t="s">
        <v>5484</v>
      </c>
      <c r="K11000" t="s">
        <v>37819</v>
      </c>
      <c r="L11000" t="s">
        <v>5471</v>
      </c>
      <c r="M11000" t="s">
        <v>5471</v>
      </c>
    </row>
    <row r="11001" spans="1:13" x14ac:dyDescent="0.3">
      <c r="A11001" t="s">
        <v>4013</v>
      </c>
      <c r="B11001" t="s">
        <v>5766</v>
      </c>
      <c r="C11001" t="s">
        <v>5487</v>
      </c>
      <c r="D11001" t="s">
        <v>4119</v>
      </c>
      <c r="E11001" t="s">
        <v>5756</v>
      </c>
      <c r="F11001" t="s">
        <v>37822</v>
      </c>
      <c r="G11001" t="s">
        <v>37816</v>
      </c>
      <c r="H11001" t="s">
        <v>37817</v>
      </c>
      <c r="I11001" t="s">
        <v>37823</v>
      </c>
      <c r="J11001" t="s">
        <v>5484</v>
      </c>
      <c r="K11001" t="s">
        <v>37824</v>
      </c>
      <c r="L11001" t="s">
        <v>5471</v>
      </c>
      <c r="M11001" t="s">
        <v>5471</v>
      </c>
    </row>
    <row r="11002" spans="1:13" x14ac:dyDescent="0.3">
      <c r="A11002" t="s">
        <v>4013</v>
      </c>
      <c r="B11002" t="s">
        <v>5766</v>
      </c>
      <c r="C11002" t="s">
        <v>5487</v>
      </c>
      <c r="D11002" t="s">
        <v>4119</v>
      </c>
      <c r="E11002" t="s">
        <v>5756</v>
      </c>
      <c r="F11002" t="s">
        <v>37825</v>
      </c>
      <c r="G11002" t="s">
        <v>37816</v>
      </c>
      <c r="H11002" t="s">
        <v>37817</v>
      </c>
      <c r="I11002" t="s">
        <v>37826</v>
      </c>
      <c r="J11002" t="s">
        <v>5484</v>
      </c>
      <c r="K11002" t="s">
        <v>37824</v>
      </c>
      <c r="L11002" t="s">
        <v>5471</v>
      </c>
      <c r="M11002" t="s">
        <v>5471</v>
      </c>
    </row>
    <row r="11003" spans="1:13" x14ac:dyDescent="0.3">
      <c r="A11003" t="s">
        <v>4013</v>
      </c>
      <c r="B11003" t="s">
        <v>9743</v>
      </c>
      <c r="C11003" t="s">
        <v>5487</v>
      </c>
      <c r="D11003" t="s">
        <v>4052</v>
      </c>
      <c r="E11003" t="s">
        <v>5756</v>
      </c>
      <c r="F11003" t="s">
        <v>37827</v>
      </c>
      <c r="G11003" t="s">
        <v>37828</v>
      </c>
      <c r="H11003" t="s">
        <v>37817</v>
      </c>
      <c r="I11003" t="s">
        <v>37829</v>
      </c>
      <c r="J11003" t="s">
        <v>5484</v>
      </c>
      <c r="K11003" t="s">
        <v>37819</v>
      </c>
      <c r="L11003" t="s">
        <v>5471</v>
      </c>
      <c r="M11003" t="s">
        <v>5471</v>
      </c>
    </row>
    <row r="11004" spans="1:13" x14ac:dyDescent="0.3">
      <c r="A11004" t="s">
        <v>4013</v>
      </c>
      <c r="B11004" t="s">
        <v>9743</v>
      </c>
      <c r="C11004" t="s">
        <v>5487</v>
      </c>
      <c r="D11004" t="s">
        <v>4052</v>
      </c>
      <c r="E11004" t="s">
        <v>5756</v>
      </c>
      <c r="F11004" t="s">
        <v>37830</v>
      </c>
      <c r="G11004" t="s">
        <v>37831</v>
      </c>
      <c r="H11004" t="s">
        <v>5471</v>
      </c>
      <c r="I11004" t="s">
        <v>5471</v>
      </c>
      <c r="J11004" t="s">
        <v>5484</v>
      </c>
      <c r="K11004" t="s">
        <v>5471</v>
      </c>
      <c r="L11004" t="s">
        <v>5471</v>
      </c>
      <c r="M11004" t="s">
        <v>5471</v>
      </c>
    </row>
    <row r="11005" spans="1:13" x14ac:dyDescent="0.3">
      <c r="A11005" t="s">
        <v>4013</v>
      </c>
      <c r="B11005" t="s">
        <v>9743</v>
      </c>
      <c r="C11005" t="s">
        <v>5487</v>
      </c>
      <c r="D11005" t="s">
        <v>4058</v>
      </c>
      <c r="E11005" t="s">
        <v>5756</v>
      </c>
      <c r="F11005" t="s">
        <v>37832</v>
      </c>
      <c r="G11005" t="s">
        <v>37831</v>
      </c>
      <c r="H11005" t="s">
        <v>5471</v>
      </c>
      <c r="I11005" t="s">
        <v>5471</v>
      </c>
      <c r="J11005" t="s">
        <v>5484</v>
      </c>
      <c r="K11005" t="s">
        <v>5471</v>
      </c>
      <c r="L11005" t="s">
        <v>5471</v>
      </c>
      <c r="M11005" t="s">
        <v>5471</v>
      </c>
    </row>
    <row r="11006" spans="1:13" x14ac:dyDescent="0.3">
      <c r="A11006" t="s">
        <v>4013</v>
      </c>
      <c r="B11006" t="s">
        <v>9743</v>
      </c>
      <c r="C11006" t="s">
        <v>5487</v>
      </c>
      <c r="D11006" t="s">
        <v>4058</v>
      </c>
      <c r="E11006" t="s">
        <v>5756</v>
      </c>
      <c r="F11006" t="s">
        <v>37833</v>
      </c>
      <c r="G11006" t="s">
        <v>37831</v>
      </c>
      <c r="H11006" t="s">
        <v>5471</v>
      </c>
      <c r="I11006" t="s">
        <v>5471</v>
      </c>
      <c r="J11006" t="s">
        <v>5484</v>
      </c>
      <c r="K11006" t="s">
        <v>5471</v>
      </c>
      <c r="L11006" t="s">
        <v>5471</v>
      </c>
      <c r="M11006" t="s">
        <v>5471</v>
      </c>
    </row>
    <row r="11007" spans="1:13" x14ac:dyDescent="0.3">
      <c r="A11007" t="s">
        <v>4013</v>
      </c>
      <c r="B11007" t="s">
        <v>9743</v>
      </c>
      <c r="C11007" t="s">
        <v>5487</v>
      </c>
      <c r="D11007" t="s">
        <v>4056</v>
      </c>
      <c r="E11007" t="s">
        <v>5756</v>
      </c>
      <c r="F11007" t="s">
        <v>37834</v>
      </c>
      <c r="G11007" t="s">
        <v>37835</v>
      </c>
      <c r="H11007" t="s">
        <v>5471</v>
      </c>
      <c r="I11007" t="s">
        <v>5471</v>
      </c>
      <c r="J11007" t="s">
        <v>5484</v>
      </c>
      <c r="K11007" t="s">
        <v>5471</v>
      </c>
      <c r="L11007" t="s">
        <v>5471</v>
      </c>
      <c r="M11007" t="s">
        <v>5471</v>
      </c>
    </row>
    <row r="11008" spans="1:13" x14ac:dyDescent="0.3">
      <c r="A11008" t="s">
        <v>4013</v>
      </c>
      <c r="B11008" t="s">
        <v>9743</v>
      </c>
      <c r="C11008" t="s">
        <v>5487</v>
      </c>
      <c r="D11008" t="s">
        <v>4056</v>
      </c>
      <c r="E11008" t="s">
        <v>5756</v>
      </c>
      <c r="F11008" t="s">
        <v>37836</v>
      </c>
      <c r="G11008" t="s">
        <v>37831</v>
      </c>
      <c r="H11008" t="s">
        <v>5471</v>
      </c>
      <c r="I11008" t="s">
        <v>5471</v>
      </c>
      <c r="J11008" t="s">
        <v>5484</v>
      </c>
      <c r="K11008" t="s">
        <v>5471</v>
      </c>
      <c r="L11008" t="s">
        <v>5471</v>
      </c>
      <c r="M11008" t="s">
        <v>5471</v>
      </c>
    </row>
    <row r="11009" spans="1:13" x14ac:dyDescent="0.3">
      <c r="A11009" t="s">
        <v>4013</v>
      </c>
      <c r="B11009" t="s">
        <v>9743</v>
      </c>
      <c r="C11009" t="s">
        <v>5487</v>
      </c>
      <c r="D11009" t="s">
        <v>4056</v>
      </c>
      <c r="E11009" t="s">
        <v>5756</v>
      </c>
      <c r="F11009" t="s">
        <v>37837</v>
      </c>
      <c r="G11009" t="s">
        <v>37831</v>
      </c>
      <c r="H11009" t="s">
        <v>5471</v>
      </c>
      <c r="I11009" t="s">
        <v>5471</v>
      </c>
      <c r="J11009" t="s">
        <v>5484</v>
      </c>
      <c r="K11009" t="s">
        <v>5471</v>
      </c>
      <c r="L11009" t="s">
        <v>5471</v>
      </c>
      <c r="M11009" t="s">
        <v>5471</v>
      </c>
    </row>
    <row r="11010" spans="1:13" x14ac:dyDescent="0.3">
      <c r="A11010" t="s">
        <v>4013</v>
      </c>
      <c r="B11010" t="s">
        <v>9743</v>
      </c>
      <c r="C11010" t="s">
        <v>5487</v>
      </c>
      <c r="D11010" t="s">
        <v>4056</v>
      </c>
      <c r="E11010" t="s">
        <v>5756</v>
      </c>
      <c r="F11010" t="s">
        <v>37838</v>
      </c>
      <c r="G11010" t="s">
        <v>37828</v>
      </c>
      <c r="H11010" t="s">
        <v>5471</v>
      </c>
      <c r="I11010" t="s">
        <v>5471</v>
      </c>
      <c r="J11010" t="s">
        <v>5484</v>
      </c>
      <c r="K11010" t="s">
        <v>5471</v>
      </c>
      <c r="L11010" t="s">
        <v>5471</v>
      </c>
      <c r="M11010" t="s">
        <v>5471</v>
      </c>
    </row>
    <row r="11011" spans="1:13" x14ac:dyDescent="0.3">
      <c r="A11011" t="s">
        <v>4013</v>
      </c>
      <c r="B11011" t="s">
        <v>9743</v>
      </c>
      <c r="C11011" t="s">
        <v>5487</v>
      </c>
      <c r="D11011" t="s">
        <v>4056</v>
      </c>
      <c r="E11011" t="s">
        <v>5756</v>
      </c>
      <c r="F11011" t="s">
        <v>37839</v>
      </c>
      <c r="G11011" t="s">
        <v>37828</v>
      </c>
      <c r="H11011" t="s">
        <v>5471</v>
      </c>
      <c r="I11011" t="s">
        <v>5471</v>
      </c>
      <c r="J11011" t="s">
        <v>5484</v>
      </c>
      <c r="K11011" t="s">
        <v>5471</v>
      </c>
      <c r="L11011" t="s">
        <v>5471</v>
      </c>
      <c r="M11011" t="s">
        <v>5471</v>
      </c>
    </row>
    <row r="11012" spans="1:13" x14ac:dyDescent="0.3">
      <c r="A11012" t="s">
        <v>4013</v>
      </c>
      <c r="B11012" t="s">
        <v>9743</v>
      </c>
      <c r="C11012" t="s">
        <v>5487</v>
      </c>
      <c r="D11012" t="s">
        <v>4056</v>
      </c>
      <c r="E11012" t="s">
        <v>5756</v>
      </c>
      <c r="F11012" t="s">
        <v>37840</v>
      </c>
      <c r="G11012" t="s">
        <v>37828</v>
      </c>
      <c r="H11012" t="s">
        <v>5471</v>
      </c>
      <c r="I11012" t="s">
        <v>5471</v>
      </c>
      <c r="J11012" t="s">
        <v>5484</v>
      </c>
      <c r="K11012" t="s">
        <v>5471</v>
      </c>
      <c r="L11012" t="s">
        <v>5471</v>
      </c>
      <c r="M11012" t="s">
        <v>5471</v>
      </c>
    </row>
    <row r="11013" spans="1:13" x14ac:dyDescent="0.3">
      <c r="A11013" t="s">
        <v>4013</v>
      </c>
      <c r="B11013" t="s">
        <v>5842</v>
      </c>
      <c r="C11013" t="s">
        <v>5487</v>
      </c>
      <c r="D11013" t="s">
        <v>4119</v>
      </c>
      <c r="E11013" t="s">
        <v>5595</v>
      </c>
      <c r="F11013" t="s">
        <v>37841</v>
      </c>
      <c r="G11013" t="s">
        <v>37842</v>
      </c>
      <c r="H11013" t="s">
        <v>37817</v>
      </c>
      <c r="I11013" t="s">
        <v>37843</v>
      </c>
      <c r="J11013" t="s">
        <v>5484</v>
      </c>
      <c r="K11013" t="s">
        <v>37844</v>
      </c>
      <c r="L11013" t="s">
        <v>5471</v>
      </c>
      <c r="M11013" t="s">
        <v>5471</v>
      </c>
    </row>
    <row r="11014" spans="1:13" x14ac:dyDescent="0.3">
      <c r="A11014" t="s">
        <v>4013</v>
      </c>
      <c r="B11014" t="s">
        <v>8200</v>
      </c>
      <c r="C11014" t="s">
        <v>5487</v>
      </c>
      <c r="D11014" t="s">
        <v>4119</v>
      </c>
      <c r="E11014" t="s">
        <v>5595</v>
      </c>
      <c r="F11014" t="s">
        <v>37845</v>
      </c>
      <c r="G11014" t="s">
        <v>9340</v>
      </c>
      <c r="H11014" t="s">
        <v>37817</v>
      </c>
      <c r="I11014" t="s">
        <v>37846</v>
      </c>
      <c r="J11014" t="s">
        <v>5484</v>
      </c>
      <c r="K11014" t="s">
        <v>37847</v>
      </c>
      <c r="L11014" t="s">
        <v>5471</v>
      </c>
      <c r="M11014" t="s">
        <v>5471</v>
      </c>
    </row>
    <row r="11015" spans="1:13" x14ac:dyDescent="0.3">
      <c r="A11015" t="s">
        <v>4013</v>
      </c>
      <c r="B11015" t="s">
        <v>35143</v>
      </c>
      <c r="C11015" t="s">
        <v>5487</v>
      </c>
      <c r="D11015" t="s">
        <v>4119</v>
      </c>
      <c r="E11015" t="s">
        <v>5843</v>
      </c>
      <c r="F11015" t="s">
        <v>37848</v>
      </c>
      <c r="G11015" t="s">
        <v>35199</v>
      </c>
      <c r="H11015" t="s">
        <v>37817</v>
      </c>
      <c r="I11015" t="s">
        <v>37849</v>
      </c>
      <c r="J11015" t="s">
        <v>5484</v>
      </c>
      <c r="K11015" t="s">
        <v>37850</v>
      </c>
      <c r="L11015" t="s">
        <v>5471</v>
      </c>
      <c r="M11015" t="s">
        <v>5471</v>
      </c>
    </row>
    <row r="11016" spans="1:13" x14ac:dyDescent="0.3">
      <c r="A11016" t="s">
        <v>4013</v>
      </c>
      <c r="B11016" t="s">
        <v>35143</v>
      </c>
      <c r="C11016" t="s">
        <v>5487</v>
      </c>
      <c r="D11016" t="s">
        <v>4119</v>
      </c>
      <c r="E11016" t="s">
        <v>5843</v>
      </c>
      <c r="F11016" t="s">
        <v>37851</v>
      </c>
      <c r="G11016" t="s">
        <v>35199</v>
      </c>
      <c r="H11016" t="s">
        <v>37817</v>
      </c>
      <c r="I11016" t="s">
        <v>37852</v>
      </c>
      <c r="J11016" t="s">
        <v>5484</v>
      </c>
      <c r="K11016" t="s">
        <v>37853</v>
      </c>
      <c r="L11016" t="s">
        <v>5471</v>
      </c>
      <c r="M11016" t="s">
        <v>5471</v>
      </c>
    </row>
    <row r="11017" spans="1:13" x14ac:dyDescent="0.3">
      <c r="A11017" t="s">
        <v>4013</v>
      </c>
      <c r="B11017" t="s">
        <v>8229</v>
      </c>
      <c r="C11017" t="s">
        <v>5487</v>
      </c>
      <c r="D11017" t="s">
        <v>4119</v>
      </c>
      <c r="E11017" t="s">
        <v>5843</v>
      </c>
      <c r="F11017" t="s">
        <v>37854</v>
      </c>
      <c r="G11017" t="s">
        <v>8231</v>
      </c>
      <c r="H11017" t="s">
        <v>37817</v>
      </c>
      <c r="I11017" t="s">
        <v>37855</v>
      </c>
      <c r="J11017" t="s">
        <v>5484</v>
      </c>
      <c r="K11017" t="s">
        <v>37856</v>
      </c>
      <c r="L11017" t="s">
        <v>5471</v>
      </c>
      <c r="M11017" t="s">
        <v>5471</v>
      </c>
    </row>
    <row r="11018" spans="1:13" x14ac:dyDescent="0.3">
      <c r="A11018" t="s">
        <v>4013</v>
      </c>
      <c r="B11018" t="s">
        <v>37857</v>
      </c>
      <c r="C11018" t="s">
        <v>5487</v>
      </c>
      <c r="D11018" t="s">
        <v>4119</v>
      </c>
      <c r="E11018" t="s">
        <v>5595</v>
      </c>
      <c r="F11018" t="s">
        <v>37858</v>
      </c>
      <c r="G11018" t="s">
        <v>36697</v>
      </c>
      <c r="H11018" t="s">
        <v>37817</v>
      </c>
      <c r="I11018" t="s">
        <v>37859</v>
      </c>
      <c r="J11018" t="s">
        <v>5484</v>
      </c>
      <c r="K11018" t="s">
        <v>37860</v>
      </c>
      <c r="L11018" t="s">
        <v>5471</v>
      </c>
      <c r="M11018" t="s">
        <v>5471</v>
      </c>
    </row>
    <row r="11019" spans="1:13" x14ac:dyDescent="0.3">
      <c r="A11019" t="s">
        <v>4013</v>
      </c>
      <c r="B11019" t="s">
        <v>37861</v>
      </c>
      <c r="C11019" t="s">
        <v>5487</v>
      </c>
      <c r="D11019" t="s">
        <v>4119</v>
      </c>
      <c r="E11019" t="s">
        <v>5595</v>
      </c>
      <c r="F11019" t="s">
        <v>37862</v>
      </c>
      <c r="G11019" t="s">
        <v>37863</v>
      </c>
      <c r="H11019" t="s">
        <v>37817</v>
      </c>
      <c r="I11019" t="s">
        <v>37864</v>
      </c>
      <c r="J11019" t="s">
        <v>5484</v>
      </c>
      <c r="K11019" t="s">
        <v>37819</v>
      </c>
      <c r="L11019" t="s">
        <v>5471</v>
      </c>
      <c r="M11019" t="s">
        <v>5471</v>
      </c>
    </row>
    <row r="11020" spans="1:13" x14ac:dyDescent="0.3">
      <c r="A11020" t="s">
        <v>4013</v>
      </c>
      <c r="B11020" t="s">
        <v>37861</v>
      </c>
      <c r="C11020" t="s">
        <v>5487</v>
      </c>
      <c r="D11020" t="s">
        <v>4119</v>
      </c>
      <c r="E11020" t="s">
        <v>5595</v>
      </c>
      <c r="F11020" t="s">
        <v>37865</v>
      </c>
      <c r="G11020" t="s">
        <v>37863</v>
      </c>
      <c r="H11020" t="s">
        <v>37817</v>
      </c>
      <c r="I11020" t="s">
        <v>37866</v>
      </c>
      <c r="J11020" t="s">
        <v>5484</v>
      </c>
      <c r="K11020" t="s">
        <v>37819</v>
      </c>
      <c r="L11020" t="s">
        <v>5471</v>
      </c>
      <c r="M11020" t="s">
        <v>5471</v>
      </c>
    </row>
    <row r="11021" spans="1:13" x14ac:dyDescent="0.3">
      <c r="A11021" t="s">
        <v>4013</v>
      </c>
      <c r="B11021" t="s">
        <v>37861</v>
      </c>
      <c r="C11021" t="s">
        <v>5487</v>
      </c>
      <c r="D11021" t="s">
        <v>4119</v>
      </c>
      <c r="E11021" t="s">
        <v>5595</v>
      </c>
      <c r="F11021" t="s">
        <v>37867</v>
      </c>
      <c r="G11021" t="s">
        <v>37863</v>
      </c>
      <c r="H11021" t="s">
        <v>37817</v>
      </c>
      <c r="I11021" t="s">
        <v>37868</v>
      </c>
      <c r="J11021" t="s">
        <v>5484</v>
      </c>
      <c r="K11021" t="s">
        <v>37869</v>
      </c>
      <c r="L11021" t="s">
        <v>5471</v>
      </c>
      <c r="M11021" t="s">
        <v>5471</v>
      </c>
    </row>
    <row r="11022" spans="1:13" x14ac:dyDescent="0.3">
      <c r="A11022" t="s">
        <v>4013</v>
      </c>
      <c r="B11022" t="s">
        <v>37870</v>
      </c>
      <c r="C11022" t="s">
        <v>5487</v>
      </c>
      <c r="D11022" t="s">
        <v>4119</v>
      </c>
      <c r="E11022" t="s">
        <v>5595</v>
      </c>
      <c r="F11022" t="s">
        <v>37871</v>
      </c>
      <c r="G11022" t="s">
        <v>37872</v>
      </c>
      <c r="H11022" t="s">
        <v>37817</v>
      </c>
      <c r="I11022" t="s">
        <v>37873</v>
      </c>
      <c r="J11022" t="s">
        <v>5484</v>
      </c>
      <c r="K11022" t="s">
        <v>37819</v>
      </c>
      <c r="L11022" t="s">
        <v>5471</v>
      </c>
      <c r="M11022" t="s">
        <v>5471</v>
      </c>
    </row>
    <row r="11023" spans="1:13" x14ac:dyDescent="0.3">
      <c r="A11023" t="s">
        <v>4013</v>
      </c>
      <c r="B11023" t="s">
        <v>37870</v>
      </c>
      <c r="C11023" t="s">
        <v>5487</v>
      </c>
      <c r="D11023" t="s">
        <v>4119</v>
      </c>
      <c r="E11023" t="s">
        <v>5595</v>
      </c>
      <c r="F11023" t="s">
        <v>37874</v>
      </c>
      <c r="G11023" t="s">
        <v>37872</v>
      </c>
      <c r="H11023" t="s">
        <v>37817</v>
      </c>
      <c r="I11023" t="s">
        <v>37875</v>
      </c>
      <c r="J11023" t="s">
        <v>5484</v>
      </c>
      <c r="K11023" t="s">
        <v>37876</v>
      </c>
      <c r="L11023" t="s">
        <v>5471</v>
      </c>
      <c r="M11023" t="s">
        <v>5471</v>
      </c>
    </row>
    <row r="11024" spans="1:13" x14ac:dyDescent="0.3">
      <c r="A11024" t="s">
        <v>4013</v>
      </c>
      <c r="B11024" t="s">
        <v>37877</v>
      </c>
      <c r="C11024" t="s">
        <v>5487</v>
      </c>
      <c r="D11024" t="s">
        <v>9833</v>
      </c>
      <c r="E11024" t="s">
        <v>5595</v>
      </c>
      <c r="F11024" t="s">
        <v>37878</v>
      </c>
      <c r="G11024" t="s">
        <v>37879</v>
      </c>
      <c r="H11024" t="s">
        <v>5471</v>
      </c>
      <c r="I11024" t="s">
        <v>5471</v>
      </c>
      <c r="J11024" t="s">
        <v>5484</v>
      </c>
      <c r="K11024" t="s">
        <v>37880</v>
      </c>
      <c r="L11024" t="s">
        <v>5471</v>
      </c>
      <c r="M11024" t="s">
        <v>5471</v>
      </c>
    </row>
    <row r="11025" spans="1:13" x14ac:dyDescent="0.3">
      <c r="A11025" t="s">
        <v>4013</v>
      </c>
      <c r="B11025" t="s">
        <v>37881</v>
      </c>
      <c r="C11025" t="s">
        <v>5487</v>
      </c>
      <c r="D11025" t="s">
        <v>9833</v>
      </c>
      <c r="E11025" t="s">
        <v>5595</v>
      </c>
      <c r="F11025" t="s">
        <v>37882</v>
      </c>
      <c r="G11025" t="s">
        <v>37883</v>
      </c>
      <c r="H11025" t="s">
        <v>5471</v>
      </c>
      <c r="I11025" t="s">
        <v>5471</v>
      </c>
      <c r="J11025" t="s">
        <v>5484</v>
      </c>
      <c r="K11025" t="s">
        <v>5471</v>
      </c>
      <c r="L11025" t="s">
        <v>5471</v>
      </c>
      <c r="M11025" t="s">
        <v>5471</v>
      </c>
    </row>
    <row r="11026" spans="1:13" x14ac:dyDescent="0.3">
      <c r="A11026" t="s">
        <v>4013</v>
      </c>
      <c r="B11026" t="s">
        <v>37870</v>
      </c>
      <c r="C11026" t="s">
        <v>5487</v>
      </c>
      <c r="D11026" t="s">
        <v>4119</v>
      </c>
      <c r="E11026" t="s">
        <v>5595</v>
      </c>
      <c r="F11026" t="s">
        <v>37884</v>
      </c>
      <c r="G11026" t="s">
        <v>37872</v>
      </c>
      <c r="H11026" t="s">
        <v>37817</v>
      </c>
      <c r="I11026" t="s">
        <v>37885</v>
      </c>
      <c r="J11026" t="s">
        <v>5484</v>
      </c>
      <c r="K11026" t="s">
        <v>37819</v>
      </c>
      <c r="L11026" t="s">
        <v>5471</v>
      </c>
      <c r="M11026" t="s">
        <v>5471</v>
      </c>
    </row>
    <row r="11027" spans="1:13" x14ac:dyDescent="0.3">
      <c r="A11027" t="s">
        <v>4013</v>
      </c>
      <c r="B11027" t="s">
        <v>37886</v>
      </c>
      <c r="C11027" t="s">
        <v>5487</v>
      </c>
      <c r="D11027" t="s">
        <v>4119</v>
      </c>
      <c r="E11027" t="s">
        <v>5595</v>
      </c>
      <c r="F11027" t="s">
        <v>37887</v>
      </c>
      <c r="G11027" t="s">
        <v>37888</v>
      </c>
      <c r="H11027" t="s">
        <v>37817</v>
      </c>
      <c r="I11027" t="s">
        <v>37889</v>
      </c>
      <c r="J11027" t="s">
        <v>5484</v>
      </c>
      <c r="K11027" t="s">
        <v>37890</v>
      </c>
      <c r="L11027" t="s">
        <v>5471</v>
      </c>
      <c r="M11027" t="s">
        <v>5471</v>
      </c>
    </row>
    <row r="11028" spans="1:13" x14ac:dyDescent="0.3">
      <c r="A11028" t="s">
        <v>3388</v>
      </c>
      <c r="B11028" t="s">
        <v>5678</v>
      </c>
      <c r="C11028" t="s">
        <v>5470</v>
      </c>
      <c r="D11028" t="s">
        <v>9833</v>
      </c>
      <c r="E11028" t="s">
        <v>5532</v>
      </c>
      <c r="F11028" t="s">
        <v>37891</v>
      </c>
      <c r="G11028" t="s">
        <v>37892</v>
      </c>
      <c r="H11028" t="s">
        <v>37817</v>
      </c>
      <c r="I11028" t="s">
        <v>37893</v>
      </c>
      <c r="J11028" t="s">
        <v>5484</v>
      </c>
      <c r="K11028" t="s">
        <v>37894</v>
      </c>
      <c r="L11028" t="s">
        <v>5471</v>
      </c>
      <c r="M11028" t="s">
        <v>5471</v>
      </c>
    </row>
    <row r="11029" spans="1:13" x14ac:dyDescent="0.3">
      <c r="A11029" t="s">
        <v>3388</v>
      </c>
      <c r="B11029" t="s">
        <v>15702</v>
      </c>
      <c r="C11029" t="s">
        <v>5470</v>
      </c>
      <c r="D11029" t="s">
        <v>4056</v>
      </c>
      <c r="E11029" t="s">
        <v>5532</v>
      </c>
      <c r="F11029" t="s">
        <v>37895</v>
      </c>
      <c r="G11029" t="s">
        <v>37896</v>
      </c>
      <c r="H11029" t="s">
        <v>37817</v>
      </c>
      <c r="I11029" t="s">
        <v>37897</v>
      </c>
      <c r="J11029" t="s">
        <v>5484</v>
      </c>
      <c r="K11029" t="s">
        <v>37898</v>
      </c>
      <c r="L11029" t="s">
        <v>5471</v>
      </c>
      <c r="M11029" t="s">
        <v>5471</v>
      </c>
    </row>
    <row r="11030" spans="1:13" x14ac:dyDescent="0.3">
      <c r="A11030" t="s">
        <v>3388</v>
      </c>
      <c r="B11030" t="s">
        <v>15702</v>
      </c>
      <c r="C11030" t="s">
        <v>5470</v>
      </c>
      <c r="D11030" t="s">
        <v>4056</v>
      </c>
      <c r="E11030" t="s">
        <v>5532</v>
      </c>
      <c r="F11030" t="s">
        <v>37899</v>
      </c>
      <c r="G11030" t="s">
        <v>37896</v>
      </c>
      <c r="H11030" t="s">
        <v>37817</v>
      </c>
      <c r="I11030" t="s">
        <v>37900</v>
      </c>
      <c r="J11030" t="s">
        <v>5484</v>
      </c>
      <c r="K11030" t="s">
        <v>37901</v>
      </c>
      <c r="L11030" t="s">
        <v>5471</v>
      </c>
      <c r="M11030" t="s">
        <v>5471</v>
      </c>
    </row>
    <row r="11031" spans="1:13" x14ac:dyDescent="0.3">
      <c r="A11031" t="s">
        <v>3388</v>
      </c>
      <c r="B11031" t="s">
        <v>15702</v>
      </c>
      <c r="C11031" t="s">
        <v>5470</v>
      </c>
      <c r="D11031" t="s">
        <v>4056</v>
      </c>
      <c r="E11031" t="s">
        <v>5532</v>
      </c>
      <c r="F11031" t="s">
        <v>37902</v>
      </c>
      <c r="G11031" t="s">
        <v>37896</v>
      </c>
      <c r="H11031" t="s">
        <v>37817</v>
      </c>
      <c r="I11031" t="s">
        <v>37903</v>
      </c>
      <c r="J11031" t="s">
        <v>5484</v>
      </c>
      <c r="K11031" t="s">
        <v>37904</v>
      </c>
      <c r="L11031" t="s">
        <v>5471</v>
      </c>
      <c r="M11031" t="s">
        <v>5471</v>
      </c>
    </row>
    <row r="11032" spans="1:13" x14ac:dyDescent="0.3">
      <c r="A11032" t="s">
        <v>3388</v>
      </c>
      <c r="B11032" t="s">
        <v>15702</v>
      </c>
      <c r="C11032" t="s">
        <v>5470</v>
      </c>
      <c r="D11032" t="s">
        <v>4056</v>
      </c>
      <c r="E11032" t="s">
        <v>5532</v>
      </c>
      <c r="F11032" t="s">
        <v>37905</v>
      </c>
      <c r="G11032" t="s">
        <v>37906</v>
      </c>
      <c r="H11032" t="s">
        <v>37817</v>
      </c>
      <c r="I11032" t="s">
        <v>37907</v>
      </c>
      <c r="J11032" t="s">
        <v>5484</v>
      </c>
      <c r="K11032" t="s">
        <v>37908</v>
      </c>
      <c r="L11032" t="s">
        <v>5471</v>
      </c>
      <c r="M11032" t="s">
        <v>5471</v>
      </c>
    </row>
    <row r="11033" spans="1:13" x14ac:dyDescent="0.3">
      <c r="A11033" t="s">
        <v>3388</v>
      </c>
      <c r="B11033" t="s">
        <v>15702</v>
      </c>
      <c r="C11033" t="s">
        <v>5470</v>
      </c>
      <c r="D11033" t="s">
        <v>4056</v>
      </c>
      <c r="E11033" t="s">
        <v>5532</v>
      </c>
      <c r="F11033" t="s">
        <v>37909</v>
      </c>
      <c r="G11033" t="s">
        <v>37906</v>
      </c>
      <c r="H11033" t="s">
        <v>37817</v>
      </c>
      <c r="I11033" t="s">
        <v>37910</v>
      </c>
      <c r="J11033" t="s">
        <v>5484</v>
      </c>
      <c r="K11033" t="s">
        <v>33208</v>
      </c>
      <c r="L11033" t="s">
        <v>5471</v>
      </c>
      <c r="M11033" t="s">
        <v>5471</v>
      </c>
    </row>
    <row r="11034" spans="1:13" x14ac:dyDescent="0.3">
      <c r="A11034" t="s">
        <v>3388</v>
      </c>
      <c r="B11034" t="s">
        <v>15702</v>
      </c>
      <c r="C11034" t="s">
        <v>5470</v>
      </c>
      <c r="D11034" t="s">
        <v>4056</v>
      </c>
      <c r="E11034" t="s">
        <v>5532</v>
      </c>
      <c r="F11034" t="s">
        <v>37911</v>
      </c>
      <c r="G11034" t="s">
        <v>37906</v>
      </c>
      <c r="H11034" t="s">
        <v>37817</v>
      </c>
      <c r="I11034" t="s">
        <v>37912</v>
      </c>
      <c r="J11034" t="s">
        <v>5484</v>
      </c>
      <c r="K11034" t="s">
        <v>33215</v>
      </c>
      <c r="L11034" t="s">
        <v>5471</v>
      </c>
      <c r="M11034" t="s">
        <v>5471</v>
      </c>
    </row>
    <row r="11035" spans="1:13" x14ac:dyDescent="0.3">
      <c r="A11035" t="s">
        <v>3388</v>
      </c>
      <c r="B11035" t="s">
        <v>5310</v>
      </c>
      <c r="C11035" t="s">
        <v>5470</v>
      </c>
      <c r="D11035" t="s">
        <v>4056</v>
      </c>
      <c r="E11035" t="s">
        <v>5617</v>
      </c>
      <c r="F11035" t="s">
        <v>37913</v>
      </c>
      <c r="G11035" t="s">
        <v>37914</v>
      </c>
      <c r="H11035" t="s">
        <v>37817</v>
      </c>
      <c r="I11035" t="s">
        <v>37915</v>
      </c>
      <c r="J11035" t="s">
        <v>5484</v>
      </c>
      <c r="K11035" t="s">
        <v>37916</v>
      </c>
      <c r="L11035" t="s">
        <v>5471</v>
      </c>
      <c r="M11035" t="s">
        <v>5471</v>
      </c>
    </row>
    <row r="11036" spans="1:13" x14ac:dyDescent="0.3">
      <c r="A11036" t="s">
        <v>3388</v>
      </c>
      <c r="B11036" t="s">
        <v>5310</v>
      </c>
      <c r="C11036" t="s">
        <v>5470</v>
      </c>
      <c r="D11036" t="s">
        <v>4056</v>
      </c>
      <c r="E11036" t="s">
        <v>5617</v>
      </c>
      <c r="F11036" t="s">
        <v>37917</v>
      </c>
      <c r="G11036" t="s">
        <v>37914</v>
      </c>
      <c r="H11036" t="s">
        <v>37817</v>
      </c>
      <c r="I11036" t="s">
        <v>37918</v>
      </c>
      <c r="J11036" t="s">
        <v>5484</v>
      </c>
      <c r="K11036" t="s">
        <v>37919</v>
      </c>
      <c r="L11036" t="s">
        <v>5471</v>
      </c>
      <c r="M11036" t="s">
        <v>5471</v>
      </c>
    </row>
    <row r="11037" spans="1:13" x14ac:dyDescent="0.3">
      <c r="A11037" t="s">
        <v>3388</v>
      </c>
      <c r="B11037" t="s">
        <v>5310</v>
      </c>
      <c r="C11037" t="s">
        <v>5470</v>
      </c>
      <c r="D11037" t="s">
        <v>4056</v>
      </c>
      <c r="E11037" t="s">
        <v>5617</v>
      </c>
      <c r="F11037" t="s">
        <v>37920</v>
      </c>
      <c r="G11037" t="s">
        <v>37914</v>
      </c>
      <c r="H11037" t="s">
        <v>37817</v>
      </c>
      <c r="I11037" t="s">
        <v>37921</v>
      </c>
      <c r="J11037" t="s">
        <v>5484</v>
      </c>
      <c r="K11037" t="s">
        <v>37922</v>
      </c>
      <c r="L11037" t="s">
        <v>5471</v>
      </c>
      <c r="M11037" t="s">
        <v>5471</v>
      </c>
    </row>
    <row r="11038" spans="1:13" x14ac:dyDescent="0.3">
      <c r="A11038" t="s">
        <v>3388</v>
      </c>
      <c r="B11038" t="s">
        <v>5296</v>
      </c>
      <c r="C11038" t="s">
        <v>5470</v>
      </c>
      <c r="D11038" t="s">
        <v>4056</v>
      </c>
      <c r="E11038" t="s">
        <v>5617</v>
      </c>
      <c r="F11038" t="s">
        <v>37923</v>
      </c>
      <c r="G11038" t="s">
        <v>37924</v>
      </c>
      <c r="H11038" t="s">
        <v>37817</v>
      </c>
      <c r="I11038" t="s">
        <v>37925</v>
      </c>
      <c r="J11038" t="s">
        <v>5484</v>
      </c>
      <c r="K11038" t="s">
        <v>37926</v>
      </c>
      <c r="L11038" t="s">
        <v>5471</v>
      </c>
      <c r="M11038" t="s">
        <v>5471</v>
      </c>
    </row>
    <row r="11039" spans="1:13" x14ac:dyDescent="0.3">
      <c r="A11039" t="s">
        <v>3388</v>
      </c>
      <c r="B11039" t="s">
        <v>5296</v>
      </c>
      <c r="C11039" t="s">
        <v>5470</v>
      </c>
      <c r="D11039" t="s">
        <v>4056</v>
      </c>
      <c r="E11039" t="s">
        <v>5617</v>
      </c>
      <c r="F11039" t="s">
        <v>37927</v>
      </c>
      <c r="G11039" t="s">
        <v>37924</v>
      </c>
      <c r="H11039" t="s">
        <v>37817</v>
      </c>
      <c r="I11039" t="s">
        <v>37928</v>
      </c>
      <c r="J11039" t="s">
        <v>5484</v>
      </c>
      <c r="K11039" t="s">
        <v>27924</v>
      </c>
      <c r="L11039" t="s">
        <v>5471</v>
      </c>
      <c r="M11039" t="s">
        <v>5471</v>
      </c>
    </row>
    <row r="11040" spans="1:13" x14ac:dyDescent="0.3">
      <c r="A11040" t="s">
        <v>3388</v>
      </c>
      <c r="B11040" t="s">
        <v>5296</v>
      </c>
      <c r="C11040" t="s">
        <v>5470</v>
      </c>
      <c r="D11040" t="s">
        <v>4056</v>
      </c>
      <c r="E11040" t="s">
        <v>5617</v>
      </c>
      <c r="F11040" t="s">
        <v>37929</v>
      </c>
      <c r="G11040" t="s">
        <v>37924</v>
      </c>
      <c r="H11040" t="s">
        <v>37817</v>
      </c>
      <c r="I11040" t="s">
        <v>37930</v>
      </c>
      <c r="J11040" t="s">
        <v>5484</v>
      </c>
      <c r="K11040" t="s">
        <v>27927</v>
      </c>
      <c r="L11040" t="s">
        <v>5471</v>
      </c>
      <c r="M11040" t="s">
        <v>5471</v>
      </c>
    </row>
    <row r="11041" spans="1:13" x14ac:dyDescent="0.3">
      <c r="A11041" t="s">
        <v>3388</v>
      </c>
      <c r="B11041" t="s">
        <v>5296</v>
      </c>
      <c r="C11041" t="s">
        <v>5470</v>
      </c>
      <c r="D11041" t="s">
        <v>4056</v>
      </c>
      <c r="E11041" t="s">
        <v>5843</v>
      </c>
      <c r="F11041" t="s">
        <v>37931</v>
      </c>
      <c r="G11041" t="s">
        <v>37932</v>
      </c>
      <c r="H11041" t="s">
        <v>37817</v>
      </c>
      <c r="I11041" t="s">
        <v>37933</v>
      </c>
      <c r="J11041" t="s">
        <v>5484</v>
      </c>
      <c r="K11041" t="s">
        <v>37934</v>
      </c>
      <c r="L11041" t="s">
        <v>5471</v>
      </c>
      <c r="M11041" t="s">
        <v>5471</v>
      </c>
    </row>
    <row r="11042" spans="1:13" x14ac:dyDescent="0.3">
      <c r="A11042" t="s">
        <v>3388</v>
      </c>
      <c r="B11042" t="s">
        <v>5296</v>
      </c>
      <c r="C11042" t="s">
        <v>5470</v>
      </c>
      <c r="D11042" t="s">
        <v>4056</v>
      </c>
      <c r="E11042" t="s">
        <v>5843</v>
      </c>
      <c r="F11042" t="s">
        <v>37935</v>
      </c>
      <c r="G11042" t="s">
        <v>37932</v>
      </c>
      <c r="H11042" t="s">
        <v>37817</v>
      </c>
      <c r="I11042" t="s">
        <v>37936</v>
      </c>
      <c r="J11042" t="s">
        <v>5484</v>
      </c>
      <c r="K11042" t="s">
        <v>37937</v>
      </c>
      <c r="L11042" t="s">
        <v>5471</v>
      </c>
      <c r="M11042" t="s">
        <v>5471</v>
      </c>
    </row>
    <row r="11043" spans="1:13" x14ac:dyDescent="0.3">
      <c r="A11043" t="s">
        <v>3388</v>
      </c>
      <c r="B11043" t="s">
        <v>5296</v>
      </c>
      <c r="C11043" t="s">
        <v>5470</v>
      </c>
      <c r="D11043" t="s">
        <v>4056</v>
      </c>
      <c r="E11043" t="s">
        <v>5843</v>
      </c>
      <c r="F11043" t="s">
        <v>37938</v>
      </c>
      <c r="G11043" t="s">
        <v>37932</v>
      </c>
      <c r="H11043" t="s">
        <v>37817</v>
      </c>
      <c r="I11043" t="s">
        <v>37939</v>
      </c>
      <c r="J11043" t="s">
        <v>5484</v>
      </c>
      <c r="K11043" t="s">
        <v>37940</v>
      </c>
      <c r="L11043" t="s">
        <v>5471</v>
      </c>
      <c r="M11043" t="s">
        <v>5471</v>
      </c>
    </row>
    <row r="11044" spans="1:13" x14ac:dyDescent="0.3">
      <c r="A11044" t="s">
        <v>3388</v>
      </c>
      <c r="B11044" t="s">
        <v>5296</v>
      </c>
      <c r="C11044" t="s">
        <v>5470</v>
      </c>
      <c r="D11044" t="s">
        <v>4056</v>
      </c>
      <c r="E11044" t="s">
        <v>5843</v>
      </c>
      <c r="F11044" t="s">
        <v>37941</v>
      </c>
      <c r="G11044" t="s">
        <v>37942</v>
      </c>
      <c r="H11044" t="s">
        <v>37817</v>
      </c>
      <c r="I11044" t="s">
        <v>37943</v>
      </c>
      <c r="J11044" t="s">
        <v>5484</v>
      </c>
      <c r="K11044" t="s">
        <v>37944</v>
      </c>
      <c r="L11044" t="s">
        <v>5471</v>
      </c>
      <c r="M11044" t="s">
        <v>5471</v>
      </c>
    </row>
    <row r="11045" spans="1:13" x14ac:dyDescent="0.3">
      <c r="A11045" t="s">
        <v>3388</v>
      </c>
      <c r="B11045" t="s">
        <v>5296</v>
      </c>
      <c r="C11045" t="s">
        <v>5470</v>
      </c>
      <c r="D11045" t="s">
        <v>4056</v>
      </c>
      <c r="E11045" t="s">
        <v>5843</v>
      </c>
      <c r="F11045" t="s">
        <v>37945</v>
      </c>
      <c r="G11045" t="s">
        <v>37942</v>
      </c>
      <c r="H11045" t="s">
        <v>37817</v>
      </c>
      <c r="I11045" t="s">
        <v>37946</v>
      </c>
      <c r="J11045" t="s">
        <v>5484</v>
      </c>
      <c r="K11045" t="s">
        <v>37947</v>
      </c>
      <c r="L11045" t="s">
        <v>5471</v>
      </c>
      <c r="M11045" t="s">
        <v>5471</v>
      </c>
    </row>
    <row r="11046" spans="1:13" x14ac:dyDescent="0.3">
      <c r="A11046" t="s">
        <v>3388</v>
      </c>
      <c r="B11046" t="s">
        <v>5296</v>
      </c>
      <c r="C11046" t="s">
        <v>5470</v>
      </c>
      <c r="D11046" t="s">
        <v>4056</v>
      </c>
      <c r="E11046" t="s">
        <v>5843</v>
      </c>
      <c r="F11046" t="s">
        <v>37948</v>
      </c>
      <c r="G11046" t="s">
        <v>37942</v>
      </c>
      <c r="H11046" t="s">
        <v>37817</v>
      </c>
      <c r="I11046" t="s">
        <v>37949</v>
      </c>
      <c r="J11046" t="s">
        <v>5484</v>
      </c>
      <c r="K11046" t="s">
        <v>37950</v>
      </c>
      <c r="L11046" t="s">
        <v>5471</v>
      </c>
      <c r="M11046" t="s">
        <v>5471</v>
      </c>
    </row>
    <row r="11047" spans="1:13" x14ac:dyDescent="0.3">
      <c r="A11047" t="s">
        <v>3388</v>
      </c>
      <c r="B11047" t="s">
        <v>5531</v>
      </c>
      <c r="C11047" t="s">
        <v>5470</v>
      </c>
      <c r="D11047" t="s">
        <v>4056</v>
      </c>
      <c r="E11047" t="s">
        <v>5617</v>
      </c>
      <c r="F11047" t="s">
        <v>37951</v>
      </c>
      <c r="G11047" t="s">
        <v>21131</v>
      </c>
      <c r="H11047" t="s">
        <v>37817</v>
      </c>
      <c r="I11047" t="s">
        <v>37952</v>
      </c>
      <c r="J11047" t="s">
        <v>5484</v>
      </c>
      <c r="K11047" t="s">
        <v>37953</v>
      </c>
      <c r="L11047" t="s">
        <v>5471</v>
      </c>
      <c r="M11047" t="s">
        <v>5471</v>
      </c>
    </row>
    <row r="11048" spans="1:13" x14ac:dyDescent="0.3">
      <c r="A11048" t="s">
        <v>3388</v>
      </c>
      <c r="B11048" t="s">
        <v>5531</v>
      </c>
      <c r="C11048" t="s">
        <v>5470</v>
      </c>
      <c r="D11048" t="s">
        <v>4056</v>
      </c>
      <c r="E11048" t="s">
        <v>5617</v>
      </c>
      <c r="F11048" t="s">
        <v>37954</v>
      </c>
      <c r="G11048" t="s">
        <v>21131</v>
      </c>
      <c r="H11048" t="s">
        <v>37817</v>
      </c>
      <c r="I11048" t="s">
        <v>37955</v>
      </c>
      <c r="J11048" t="s">
        <v>5484</v>
      </c>
      <c r="K11048" t="s">
        <v>37956</v>
      </c>
      <c r="L11048" t="s">
        <v>5471</v>
      </c>
      <c r="M11048" t="s">
        <v>5471</v>
      </c>
    </row>
    <row r="11049" spans="1:13" x14ac:dyDescent="0.3">
      <c r="A11049" t="s">
        <v>3388</v>
      </c>
      <c r="B11049" t="s">
        <v>5531</v>
      </c>
      <c r="C11049" t="s">
        <v>5470</v>
      </c>
      <c r="D11049" t="s">
        <v>4056</v>
      </c>
      <c r="E11049" t="s">
        <v>5617</v>
      </c>
      <c r="F11049" t="s">
        <v>37957</v>
      </c>
      <c r="G11049" t="s">
        <v>21131</v>
      </c>
      <c r="H11049" t="s">
        <v>37817</v>
      </c>
      <c r="I11049" t="s">
        <v>37958</v>
      </c>
      <c r="J11049" t="s">
        <v>5484</v>
      </c>
      <c r="K11049" t="s">
        <v>37959</v>
      </c>
      <c r="L11049" t="s">
        <v>5471</v>
      </c>
      <c r="M11049" t="s">
        <v>5471</v>
      </c>
    </row>
    <row r="11050" spans="1:13" x14ac:dyDescent="0.3">
      <c r="A11050" t="s">
        <v>3388</v>
      </c>
      <c r="B11050" t="s">
        <v>5531</v>
      </c>
      <c r="C11050" t="s">
        <v>5470</v>
      </c>
      <c r="D11050" t="s">
        <v>4056</v>
      </c>
      <c r="E11050" t="s">
        <v>5617</v>
      </c>
      <c r="F11050" t="s">
        <v>37960</v>
      </c>
      <c r="G11050" t="s">
        <v>37961</v>
      </c>
      <c r="H11050" t="s">
        <v>37817</v>
      </c>
      <c r="I11050" t="s">
        <v>37962</v>
      </c>
      <c r="J11050" t="s">
        <v>5484</v>
      </c>
      <c r="K11050" t="s">
        <v>37963</v>
      </c>
      <c r="L11050" t="s">
        <v>5471</v>
      </c>
      <c r="M11050" t="s">
        <v>5471</v>
      </c>
    </row>
    <row r="11051" spans="1:13" x14ac:dyDescent="0.3">
      <c r="A11051" t="s">
        <v>3388</v>
      </c>
      <c r="B11051" t="s">
        <v>5531</v>
      </c>
      <c r="C11051" t="s">
        <v>5470</v>
      </c>
      <c r="D11051" t="s">
        <v>4056</v>
      </c>
      <c r="E11051" t="s">
        <v>5532</v>
      </c>
      <c r="F11051" t="s">
        <v>37964</v>
      </c>
      <c r="G11051" t="s">
        <v>5538</v>
      </c>
      <c r="H11051" t="s">
        <v>37817</v>
      </c>
      <c r="I11051" t="s">
        <v>37965</v>
      </c>
      <c r="J11051" t="s">
        <v>5484</v>
      </c>
      <c r="K11051" t="s">
        <v>37966</v>
      </c>
      <c r="L11051" t="s">
        <v>5471</v>
      </c>
      <c r="M11051" t="s">
        <v>5471</v>
      </c>
    </row>
    <row r="11052" spans="1:13" x14ac:dyDescent="0.3">
      <c r="A11052" t="s">
        <v>3388</v>
      </c>
      <c r="B11052" t="s">
        <v>5531</v>
      </c>
      <c r="C11052" t="s">
        <v>5470</v>
      </c>
      <c r="D11052" t="s">
        <v>4056</v>
      </c>
      <c r="E11052" t="s">
        <v>5532</v>
      </c>
      <c r="F11052" t="s">
        <v>37967</v>
      </c>
      <c r="G11052" t="s">
        <v>5538</v>
      </c>
      <c r="H11052" t="s">
        <v>37817</v>
      </c>
      <c r="I11052" t="s">
        <v>37968</v>
      </c>
      <c r="J11052" t="s">
        <v>5484</v>
      </c>
      <c r="K11052" t="s">
        <v>37969</v>
      </c>
      <c r="L11052" t="s">
        <v>5471</v>
      </c>
      <c r="M11052" t="s">
        <v>5471</v>
      </c>
    </row>
    <row r="11053" spans="1:13" x14ac:dyDescent="0.3">
      <c r="A11053" t="s">
        <v>3388</v>
      </c>
      <c r="B11053" t="s">
        <v>5531</v>
      </c>
      <c r="C11053" t="s">
        <v>5470</v>
      </c>
      <c r="D11053" t="s">
        <v>4056</v>
      </c>
      <c r="E11053" t="s">
        <v>5532</v>
      </c>
      <c r="F11053" t="s">
        <v>37970</v>
      </c>
      <c r="G11053" t="s">
        <v>5538</v>
      </c>
      <c r="H11053" t="s">
        <v>37817</v>
      </c>
      <c r="I11053" t="s">
        <v>37971</v>
      </c>
      <c r="J11053" t="s">
        <v>5484</v>
      </c>
      <c r="K11053" t="s">
        <v>37972</v>
      </c>
      <c r="L11053" t="s">
        <v>5471</v>
      </c>
      <c r="M11053" t="s">
        <v>5471</v>
      </c>
    </row>
    <row r="11054" spans="1:13" x14ac:dyDescent="0.3">
      <c r="A11054" t="s">
        <v>3388</v>
      </c>
      <c r="B11054" t="s">
        <v>5531</v>
      </c>
      <c r="C11054" t="s">
        <v>5470</v>
      </c>
      <c r="D11054" t="s">
        <v>4056</v>
      </c>
      <c r="E11054" t="s">
        <v>5532</v>
      </c>
      <c r="F11054" t="s">
        <v>37973</v>
      </c>
      <c r="G11054" t="s">
        <v>5542</v>
      </c>
      <c r="H11054" t="s">
        <v>37817</v>
      </c>
      <c r="I11054" t="s">
        <v>37974</v>
      </c>
      <c r="J11054" t="s">
        <v>5484</v>
      </c>
      <c r="K11054" t="s">
        <v>37975</v>
      </c>
      <c r="L11054" t="s">
        <v>5471</v>
      </c>
      <c r="M11054" t="s">
        <v>5471</v>
      </c>
    </row>
    <row r="11055" spans="1:13" x14ac:dyDescent="0.3">
      <c r="A11055" t="s">
        <v>3388</v>
      </c>
      <c r="B11055" t="s">
        <v>5531</v>
      </c>
      <c r="C11055" t="s">
        <v>5470</v>
      </c>
      <c r="D11055" t="s">
        <v>4056</v>
      </c>
      <c r="E11055" t="s">
        <v>5532</v>
      </c>
      <c r="F11055" t="s">
        <v>37976</v>
      </c>
      <c r="G11055" t="s">
        <v>5542</v>
      </c>
      <c r="H11055" t="s">
        <v>37817</v>
      </c>
      <c r="I11055" t="s">
        <v>37977</v>
      </c>
      <c r="J11055" t="s">
        <v>5484</v>
      </c>
      <c r="K11055" t="s">
        <v>37978</v>
      </c>
      <c r="L11055" t="s">
        <v>5471</v>
      </c>
      <c r="M11055" t="s">
        <v>5471</v>
      </c>
    </row>
    <row r="11056" spans="1:13" x14ac:dyDescent="0.3">
      <c r="A11056" t="s">
        <v>3388</v>
      </c>
      <c r="B11056" t="s">
        <v>5531</v>
      </c>
      <c r="C11056" t="s">
        <v>5470</v>
      </c>
      <c r="D11056" t="s">
        <v>4056</v>
      </c>
      <c r="E11056" t="s">
        <v>5532</v>
      </c>
      <c r="F11056" t="s">
        <v>37979</v>
      </c>
      <c r="G11056" t="s">
        <v>5542</v>
      </c>
      <c r="H11056" t="s">
        <v>37817</v>
      </c>
      <c r="I11056" t="s">
        <v>37980</v>
      </c>
      <c r="J11056" t="s">
        <v>5484</v>
      </c>
      <c r="K11056" t="s">
        <v>37981</v>
      </c>
      <c r="L11056" t="s">
        <v>5471</v>
      </c>
      <c r="M11056" t="s">
        <v>5471</v>
      </c>
    </row>
    <row r="11057" spans="1:13" x14ac:dyDescent="0.3">
      <c r="A11057" t="s">
        <v>3388</v>
      </c>
      <c r="B11057" t="s">
        <v>5531</v>
      </c>
      <c r="C11057" t="s">
        <v>5470</v>
      </c>
      <c r="D11057" t="s">
        <v>4056</v>
      </c>
      <c r="E11057" t="s">
        <v>5617</v>
      </c>
      <c r="F11057" t="s">
        <v>37982</v>
      </c>
      <c r="G11057" t="s">
        <v>37961</v>
      </c>
      <c r="H11057" t="s">
        <v>37817</v>
      </c>
      <c r="I11057" t="s">
        <v>37983</v>
      </c>
      <c r="J11057" t="s">
        <v>5484</v>
      </c>
      <c r="K11057" t="s">
        <v>37984</v>
      </c>
      <c r="L11057" t="s">
        <v>5471</v>
      </c>
      <c r="M11057" t="s">
        <v>5471</v>
      </c>
    </row>
    <row r="11058" spans="1:13" x14ac:dyDescent="0.3">
      <c r="A11058" t="s">
        <v>3388</v>
      </c>
      <c r="B11058" t="s">
        <v>5531</v>
      </c>
      <c r="C11058" t="s">
        <v>5470</v>
      </c>
      <c r="D11058" t="s">
        <v>4056</v>
      </c>
      <c r="E11058" t="s">
        <v>5617</v>
      </c>
      <c r="F11058" t="s">
        <v>37985</v>
      </c>
      <c r="G11058" t="s">
        <v>37961</v>
      </c>
      <c r="H11058" t="s">
        <v>37817</v>
      </c>
      <c r="I11058" t="s">
        <v>37986</v>
      </c>
      <c r="J11058" t="s">
        <v>5484</v>
      </c>
      <c r="K11058" t="s">
        <v>37987</v>
      </c>
      <c r="L11058" t="s">
        <v>5471</v>
      </c>
      <c r="M11058" t="s">
        <v>5471</v>
      </c>
    </row>
    <row r="11059" spans="1:13" x14ac:dyDescent="0.3">
      <c r="A11059" t="s">
        <v>3388</v>
      </c>
      <c r="B11059" t="s">
        <v>15876</v>
      </c>
      <c r="C11059" t="s">
        <v>5470</v>
      </c>
      <c r="D11059" t="s">
        <v>4056</v>
      </c>
      <c r="E11059" t="s">
        <v>5617</v>
      </c>
      <c r="F11059" t="s">
        <v>37988</v>
      </c>
      <c r="G11059" t="s">
        <v>37989</v>
      </c>
      <c r="H11059" t="s">
        <v>37817</v>
      </c>
      <c r="I11059" t="s">
        <v>37990</v>
      </c>
      <c r="J11059" t="s">
        <v>5484</v>
      </c>
      <c r="K11059" t="s">
        <v>37926</v>
      </c>
      <c r="L11059" t="s">
        <v>5471</v>
      </c>
      <c r="M11059" t="s">
        <v>5471</v>
      </c>
    </row>
    <row r="11060" spans="1:13" x14ac:dyDescent="0.3">
      <c r="A11060" t="s">
        <v>3388</v>
      </c>
      <c r="B11060" t="s">
        <v>15876</v>
      </c>
      <c r="C11060" t="s">
        <v>5470</v>
      </c>
      <c r="D11060" t="s">
        <v>4056</v>
      </c>
      <c r="E11060" t="s">
        <v>5617</v>
      </c>
      <c r="F11060" t="s">
        <v>37991</v>
      </c>
      <c r="G11060" t="s">
        <v>37989</v>
      </c>
      <c r="H11060" t="s">
        <v>37817</v>
      </c>
      <c r="I11060" t="s">
        <v>37992</v>
      </c>
      <c r="J11060" t="s">
        <v>5484</v>
      </c>
      <c r="K11060" t="s">
        <v>27924</v>
      </c>
      <c r="L11060" t="s">
        <v>5471</v>
      </c>
      <c r="M11060" t="s">
        <v>5471</v>
      </c>
    </row>
    <row r="11061" spans="1:13" x14ac:dyDescent="0.3">
      <c r="A11061" t="s">
        <v>3388</v>
      </c>
      <c r="B11061" t="s">
        <v>15876</v>
      </c>
      <c r="C11061" t="s">
        <v>5470</v>
      </c>
      <c r="D11061" t="s">
        <v>4056</v>
      </c>
      <c r="E11061" t="s">
        <v>5617</v>
      </c>
      <c r="F11061" t="s">
        <v>37993</v>
      </c>
      <c r="G11061" t="s">
        <v>37989</v>
      </c>
      <c r="H11061" t="s">
        <v>37817</v>
      </c>
      <c r="I11061" t="s">
        <v>37994</v>
      </c>
      <c r="J11061" t="s">
        <v>5484</v>
      </c>
      <c r="K11061" t="s">
        <v>27927</v>
      </c>
      <c r="L11061" t="s">
        <v>5471</v>
      </c>
      <c r="M11061" t="s">
        <v>5471</v>
      </c>
    </row>
    <row r="11062" spans="1:13" x14ac:dyDescent="0.3">
      <c r="A11062" t="s">
        <v>3388</v>
      </c>
      <c r="B11062" t="s">
        <v>15876</v>
      </c>
      <c r="C11062" t="s">
        <v>5470</v>
      </c>
      <c r="D11062" t="s">
        <v>4056</v>
      </c>
      <c r="E11062" t="s">
        <v>5617</v>
      </c>
      <c r="F11062" t="s">
        <v>37995</v>
      </c>
      <c r="G11062" t="s">
        <v>37996</v>
      </c>
      <c r="H11062" t="s">
        <v>37817</v>
      </c>
      <c r="I11062" t="s">
        <v>37997</v>
      </c>
      <c r="J11062" t="s">
        <v>5484</v>
      </c>
      <c r="K11062" t="s">
        <v>37998</v>
      </c>
      <c r="L11062" t="s">
        <v>5471</v>
      </c>
      <c r="M11062" t="s">
        <v>5471</v>
      </c>
    </row>
    <row r="11063" spans="1:13" x14ac:dyDescent="0.3">
      <c r="A11063" t="s">
        <v>3388</v>
      </c>
      <c r="B11063" t="s">
        <v>15876</v>
      </c>
      <c r="C11063" t="s">
        <v>5470</v>
      </c>
      <c r="D11063" t="s">
        <v>4056</v>
      </c>
      <c r="E11063" t="s">
        <v>5617</v>
      </c>
      <c r="F11063" t="s">
        <v>37999</v>
      </c>
      <c r="G11063" t="s">
        <v>37996</v>
      </c>
      <c r="H11063" t="s">
        <v>37817</v>
      </c>
      <c r="I11063" t="s">
        <v>38000</v>
      </c>
      <c r="J11063" t="s">
        <v>5484</v>
      </c>
      <c r="K11063" t="s">
        <v>38001</v>
      </c>
      <c r="L11063" t="s">
        <v>5471</v>
      </c>
      <c r="M11063" t="s">
        <v>5471</v>
      </c>
    </row>
    <row r="11064" spans="1:13" x14ac:dyDescent="0.3">
      <c r="A11064" t="s">
        <v>3388</v>
      </c>
      <c r="B11064" t="s">
        <v>15876</v>
      </c>
      <c r="C11064" t="s">
        <v>5470</v>
      </c>
      <c r="D11064" t="s">
        <v>4056</v>
      </c>
      <c r="E11064" t="s">
        <v>5617</v>
      </c>
      <c r="F11064" t="s">
        <v>38002</v>
      </c>
      <c r="G11064" t="s">
        <v>37996</v>
      </c>
      <c r="H11064" t="s">
        <v>37817</v>
      </c>
      <c r="I11064" t="s">
        <v>38003</v>
      </c>
      <c r="J11064" t="s">
        <v>5484</v>
      </c>
      <c r="K11064" t="s">
        <v>38004</v>
      </c>
      <c r="L11064" t="s">
        <v>5471</v>
      </c>
      <c r="M11064" t="s">
        <v>5471</v>
      </c>
    </row>
    <row r="11065" spans="1:13" x14ac:dyDescent="0.3">
      <c r="A11065" t="s">
        <v>4013</v>
      </c>
      <c r="B11065" t="s">
        <v>10715</v>
      </c>
      <c r="C11065" t="s">
        <v>5470</v>
      </c>
      <c r="D11065" t="s">
        <v>4119</v>
      </c>
      <c r="E11065" t="s">
        <v>5756</v>
      </c>
      <c r="F11065" t="s">
        <v>38005</v>
      </c>
      <c r="G11065" t="s">
        <v>38006</v>
      </c>
      <c r="H11065" t="s">
        <v>37817</v>
      </c>
      <c r="I11065" t="s">
        <v>38007</v>
      </c>
      <c r="J11065" t="s">
        <v>5484</v>
      </c>
      <c r="K11065" t="s">
        <v>37819</v>
      </c>
      <c r="L11065" t="s">
        <v>5471</v>
      </c>
      <c r="M11065" t="s">
        <v>5471</v>
      </c>
    </row>
    <row r="11066" spans="1:13" x14ac:dyDescent="0.3">
      <c r="A11066" t="s">
        <v>4013</v>
      </c>
      <c r="B11066" t="s">
        <v>10715</v>
      </c>
      <c r="C11066" t="s">
        <v>5470</v>
      </c>
      <c r="D11066" t="s">
        <v>4119</v>
      </c>
      <c r="E11066" t="s">
        <v>5756</v>
      </c>
      <c r="F11066" t="s">
        <v>38008</v>
      </c>
      <c r="G11066" t="s">
        <v>38006</v>
      </c>
      <c r="H11066" t="s">
        <v>37817</v>
      </c>
      <c r="I11066" t="s">
        <v>38009</v>
      </c>
      <c r="J11066" t="s">
        <v>5484</v>
      </c>
      <c r="K11066" t="s">
        <v>37819</v>
      </c>
      <c r="L11066" t="s">
        <v>5471</v>
      </c>
      <c r="M11066" t="s">
        <v>5471</v>
      </c>
    </row>
    <row r="11067" spans="1:13" x14ac:dyDescent="0.3">
      <c r="A11067" t="s">
        <v>4013</v>
      </c>
      <c r="B11067" t="s">
        <v>5328</v>
      </c>
      <c r="C11067" t="s">
        <v>5487</v>
      </c>
      <c r="D11067" t="s">
        <v>4119</v>
      </c>
      <c r="E11067" t="s">
        <v>5756</v>
      </c>
      <c r="F11067" t="s">
        <v>38010</v>
      </c>
      <c r="G11067" t="s">
        <v>6865</v>
      </c>
      <c r="H11067" t="s">
        <v>37817</v>
      </c>
      <c r="I11067" t="s">
        <v>38011</v>
      </c>
      <c r="J11067" t="s">
        <v>5484</v>
      </c>
      <c r="K11067" t="s">
        <v>5471</v>
      </c>
      <c r="L11067" t="s">
        <v>5471</v>
      </c>
      <c r="M11067" t="s">
        <v>5471</v>
      </c>
    </row>
    <row r="11068" spans="1:13" x14ac:dyDescent="0.3">
      <c r="A11068" t="s">
        <v>4013</v>
      </c>
      <c r="B11068" t="s">
        <v>5328</v>
      </c>
      <c r="C11068" t="s">
        <v>5487</v>
      </c>
      <c r="D11068" t="s">
        <v>4119</v>
      </c>
      <c r="E11068" t="s">
        <v>5756</v>
      </c>
      <c r="F11068" t="s">
        <v>38012</v>
      </c>
      <c r="G11068" t="s">
        <v>5768</v>
      </c>
      <c r="H11068" t="s">
        <v>37817</v>
      </c>
      <c r="I11068" t="s">
        <v>38013</v>
      </c>
      <c r="J11068" t="s">
        <v>5484</v>
      </c>
      <c r="K11068" t="s">
        <v>5471</v>
      </c>
      <c r="L11068" t="s">
        <v>5471</v>
      </c>
      <c r="M11068" t="s">
        <v>5471</v>
      </c>
    </row>
    <row r="11069" spans="1:13" x14ac:dyDescent="0.3">
      <c r="A11069" t="s">
        <v>4013</v>
      </c>
      <c r="B11069" t="s">
        <v>5328</v>
      </c>
      <c r="C11069" t="s">
        <v>5487</v>
      </c>
      <c r="D11069" t="s">
        <v>4119</v>
      </c>
      <c r="E11069" t="s">
        <v>5756</v>
      </c>
      <c r="F11069" t="s">
        <v>38014</v>
      </c>
      <c r="G11069" t="s">
        <v>36647</v>
      </c>
      <c r="H11069" t="s">
        <v>37817</v>
      </c>
      <c r="I11069" t="s">
        <v>38015</v>
      </c>
      <c r="J11069" t="s">
        <v>5484</v>
      </c>
      <c r="K11069" t="s">
        <v>5471</v>
      </c>
      <c r="L11069" t="s">
        <v>5471</v>
      </c>
      <c r="M11069" t="s">
        <v>5471</v>
      </c>
    </row>
    <row r="11070" spans="1:13" x14ac:dyDescent="0.3">
      <c r="A11070" t="s">
        <v>4013</v>
      </c>
      <c r="B11070" t="s">
        <v>5328</v>
      </c>
      <c r="C11070" t="s">
        <v>5487</v>
      </c>
      <c r="D11070" t="s">
        <v>4119</v>
      </c>
      <c r="E11070" t="s">
        <v>5756</v>
      </c>
      <c r="F11070" t="s">
        <v>38016</v>
      </c>
      <c r="G11070" t="s">
        <v>38017</v>
      </c>
      <c r="H11070" t="s">
        <v>37817</v>
      </c>
      <c r="I11070" t="s">
        <v>38018</v>
      </c>
      <c r="J11070" t="s">
        <v>5484</v>
      </c>
      <c r="K11070" t="s">
        <v>5471</v>
      </c>
      <c r="L11070" t="s">
        <v>5471</v>
      </c>
      <c r="M11070" t="s">
        <v>5471</v>
      </c>
    </row>
    <row r="11071" spans="1:13" x14ac:dyDescent="0.3">
      <c r="A11071" t="s">
        <v>4013</v>
      </c>
      <c r="B11071" t="s">
        <v>5328</v>
      </c>
      <c r="C11071" t="s">
        <v>5487</v>
      </c>
      <c r="D11071" t="s">
        <v>4119</v>
      </c>
      <c r="E11071" t="s">
        <v>5756</v>
      </c>
      <c r="F11071" t="s">
        <v>38019</v>
      </c>
      <c r="G11071" t="s">
        <v>38020</v>
      </c>
      <c r="H11071" t="s">
        <v>37817</v>
      </c>
      <c r="I11071" t="s">
        <v>38021</v>
      </c>
      <c r="J11071" t="s">
        <v>5484</v>
      </c>
      <c r="K11071" t="s">
        <v>5471</v>
      </c>
      <c r="L11071" t="s">
        <v>5471</v>
      </c>
      <c r="M11071" t="s">
        <v>5471</v>
      </c>
    </row>
    <row r="11072" spans="1:13" x14ac:dyDescent="0.3">
      <c r="A11072" t="s">
        <v>4013</v>
      </c>
      <c r="B11072" t="s">
        <v>5328</v>
      </c>
      <c r="C11072" t="s">
        <v>5487</v>
      </c>
      <c r="D11072" t="s">
        <v>4119</v>
      </c>
      <c r="E11072" t="s">
        <v>5756</v>
      </c>
      <c r="F11072" t="s">
        <v>38022</v>
      </c>
      <c r="G11072" t="s">
        <v>38023</v>
      </c>
      <c r="H11072" t="s">
        <v>37817</v>
      </c>
      <c r="I11072" t="s">
        <v>38024</v>
      </c>
      <c r="J11072" t="s">
        <v>5484</v>
      </c>
      <c r="K11072" t="s">
        <v>5471</v>
      </c>
      <c r="L11072" t="s">
        <v>5471</v>
      </c>
      <c r="M11072" t="s">
        <v>5471</v>
      </c>
    </row>
    <row r="11073" spans="1:13" x14ac:dyDescent="0.3">
      <c r="A11073" t="s">
        <v>4013</v>
      </c>
      <c r="B11073" t="s">
        <v>5328</v>
      </c>
      <c r="C11073" t="s">
        <v>5487</v>
      </c>
      <c r="D11073" t="s">
        <v>4119</v>
      </c>
      <c r="E11073" t="s">
        <v>5756</v>
      </c>
      <c r="F11073" t="s">
        <v>38025</v>
      </c>
      <c r="G11073" t="s">
        <v>38026</v>
      </c>
      <c r="H11073" t="s">
        <v>37817</v>
      </c>
      <c r="I11073" t="s">
        <v>38027</v>
      </c>
      <c r="J11073" t="s">
        <v>5484</v>
      </c>
      <c r="K11073" t="s">
        <v>5471</v>
      </c>
      <c r="L11073" t="s">
        <v>5471</v>
      </c>
      <c r="M11073" t="s">
        <v>5471</v>
      </c>
    </row>
    <row r="11074" spans="1:13" x14ac:dyDescent="0.3">
      <c r="A11074" t="s">
        <v>3383</v>
      </c>
      <c r="B11074" t="s">
        <v>6009</v>
      </c>
      <c r="C11074" t="s">
        <v>5470</v>
      </c>
      <c r="D11074" t="s">
        <v>4119</v>
      </c>
      <c r="E11074" t="s">
        <v>5532</v>
      </c>
      <c r="F11074" t="s">
        <v>38028</v>
      </c>
      <c r="G11074" t="s">
        <v>6011</v>
      </c>
      <c r="H11074" t="s">
        <v>37817</v>
      </c>
      <c r="I11074" t="s">
        <v>38029</v>
      </c>
      <c r="J11074" t="s">
        <v>5484</v>
      </c>
      <c r="K11074" t="s">
        <v>5471</v>
      </c>
      <c r="L11074" t="s">
        <v>5471</v>
      </c>
      <c r="M11074" t="s">
        <v>5471</v>
      </c>
    </row>
    <row r="11075" spans="1:13" x14ac:dyDescent="0.3">
      <c r="A11075" t="s">
        <v>3383</v>
      </c>
      <c r="B11075" t="s">
        <v>6009</v>
      </c>
      <c r="C11075" t="s">
        <v>5470</v>
      </c>
      <c r="D11075" t="s">
        <v>4119</v>
      </c>
      <c r="E11075" t="s">
        <v>5532</v>
      </c>
      <c r="F11075" t="s">
        <v>38030</v>
      </c>
      <c r="G11075" t="s">
        <v>6011</v>
      </c>
      <c r="H11075" t="s">
        <v>37817</v>
      </c>
      <c r="I11075" t="s">
        <v>38031</v>
      </c>
      <c r="J11075" t="s">
        <v>5484</v>
      </c>
      <c r="K11075" t="s">
        <v>5471</v>
      </c>
      <c r="L11075" t="s">
        <v>5471</v>
      </c>
      <c r="M11075" t="s">
        <v>5471</v>
      </c>
    </row>
    <row r="11076" spans="1:13" x14ac:dyDescent="0.3">
      <c r="A11076" t="s">
        <v>3383</v>
      </c>
      <c r="B11076" t="s">
        <v>6018</v>
      </c>
      <c r="C11076" t="s">
        <v>5470</v>
      </c>
      <c r="D11076" t="s">
        <v>4119</v>
      </c>
      <c r="E11076" t="s">
        <v>5756</v>
      </c>
      <c r="F11076" t="s">
        <v>38032</v>
      </c>
      <c r="G11076" t="s">
        <v>6020</v>
      </c>
      <c r="H11076" t="s">
        <v>37817</v>
      </c>
      <c r="I11076" t="s">
        <v>38033</v>
      </c>
      <c r="J11076" t="s">
        <v>5484</v>
      </c>
      <c r="K11076" t="s">
        <v>5471</v>
      </c>
      <c r="L11076" t="s">
        <v>5471</v>
      </c>
      <c r="M11076" t="s">
        <v>5471</v>
      </c>
    </row>
    <row r="11077" spans="1:13" x14ac:dyDescent="0.3">
      <c r="A11077" t="s">
        <v>3383</v>
      </c>
      <c r="B11077" t="s">
        <v>6018</v>
      </c>
      <c r="C11077" t="s">
        <v>5470</v>
      </c>
      <c r="D11077" t="s">
        <v>4119</v>
      </c>
      <c r="E11077" t="s">
        <v>5756</v>
      </c>
      <c r="F11077" t="s">
        <v>38034</v>
      </c>
      <c r="G11077" t="s">
        <v>6020</v>
      </c>
      <c r="H11077" t="s">
        <v>37817</v>
      </c>
      <c r="I11077" t="s">
        <v>38035</v>
      </c>
      <c r="J11077" t="s">
        <v>5484</v>
      </c>
      <c r="K11077" t="s">
        <v>5471</v>
      </c>
      <c r="L11077" t="s">
        <v>5471</v>
      </c>
      <c r="M11077" t="s">
        <v>5471</v>
      </c>
    </row>
    <row r="11078" spans="1:13" x14ac:dyDescent="0.3">
      <c r="A11078" t="s">
        <v>3383</v>
      </c>
      <c r="B11078" t="s">
        <v>8409</v>
      </c>
      <c r="C11078" t="s">
        <v>5470</v>
      </c>
      <c r="D11078" t="s">
        <v>4119</v>
      </c>
      <c r="E11078" t="s">
        <v>5532</v>
      </c>
      <c r="F11078" t="s">
        <v>38036</v>
      </c>
      <c r="G11078" t="s">
        <v>8411</v>
      </c>
      <c r="H11078" t="s">
        <v>37817</v>
      </c>
      <c r="I11078" t="s">
        <v>38037</v>
      </c>
      <c r="J11078" t="s">
        <v>5484</v>
      </c>
      <c r="K11078" t="s">
        <v>5471</v>
      </c>
      <c r="L11078" t="s">
        <v>5471</v>
      </c>
      <c r="M11078" t="s">
        <v>5471</v>
      </c>
    </row>
    <row r="11079" spans="1:13" x14ac:dyDescent="0.3">
      <c r="A11079" t="s">
        <v>3383</v>
      </c>
      <c r="B11079" t="s">
        <v>8409</v>
      </c>
      <c r="C11079" t="s">
        <v>5470</v>
      </c>
      <c r="D11079" t="s">
        <v>4119</v>
      </c>
      <c r="E11079" t="s">
        <v>5532</v>
      </c>
      <c r="F11079" t="s">
        <v>38038</v>
      </c>
      <c r="G11079" t="s">
        <v>8411</v>
      </c>
      <c r="H11079" t="s">
        <v>37817</v>
      </c>
      <c r="I11079" t="s">
        <v>38039</v>
      </c>
      <c r="J11079" t="s">
        <v>5484</v>
      </c>
      <c r="K11079" t="s">
        <v>5471</v>
      </c>
      <c r="L11079" t="s">
        <v>5471</v>
      </c>
      <c r="M11079" t="s">
        <v>5471</v>
      </c>
    </row>
    <row r="11080" spans="1:13" x14ac:dyDescent="0.3">
      <c r="A11080" t="s">
        <v>3383</v>
      </c>
      <c r="B11080" t="s">
        <v>8409</v>
      </c>
      <c r="C11080" t="s">
        <v>5470</v>
      </c>
      <c r="D11080" t="s">
        <v>4119</v>
      </c>
      <c r="E11080" t="s">
        <v>5532</v>
      </c>
      <c r="F11080" t="s">
        <v>38040</v>
      </c>
      <c r="G11080" t="s">
        <v>8411</v>
      </c>
      <c r="H11080" t="s">
        <v>37817</v>
      </c>
      <c r="I11080" t="s">
        <v>38041</v>
      </c>
      <c r="J11080" t="s">
        <v>5484</v>
      </c>
      <c r="K11080" t="s">
        <v>38042</v>
      </c>
      <c r="L11080" t="s">
        <v>5471</v>
      </c>
      <c r="M11080" t="s">
        <v>5471</v>
      </c>
    </row>
    <row r="11081" spans="1:13" x14ac:dyDescent="0.3">
      <c r="A11081" t="s">
        <v>3383</v>
      </c>
      <c r="B11081" t="s">
        <v>8409</v>
      </c>
      <c r="C11081" t="s">
        <v>5470</v>
      </c>
      <c r="D11081" t="s">
        <v>4119</v>
      </c>
      <c r="E11081" t="s">
        <v>5532</v>
      </c>
      <c r="F11081" t="s">
        <v>38043</v>
      </c>
      <c r="G11081" t="s">
        <v>8411</v>
      </c>
      <c r="H11081" t="s">
        <v>37817</v>
      </c>
      <c r="I11081" t="s">
        <v>38044</v>
      </c>
      <c r="J11081" t="s">
        <v>5484</v>
      </c>
      <c r="K11081" t="s">
        <v>38045</v>
      </c>
      <c r="L11081" t="s">
        <v>5471</v>
      </c>
      <c r="M11081" t="s">
        <v>5471</v>
      </c>
    </row>
    <row r="11082" spans="1:13" x14ac:dyDescent="0.3">
      <c r="A11082" t="s">
        <v>3383</v>
      </c>
      <c r="B11082" t="s">
        <v>5986</v>
      </c>
      <c r="C11082" t="s">
        <v>5487</v>
      </c>
      <c r="D11082" t="s">
        <v>4119</v>
      </c>
      <c r="E11082" t="s">
        <v>5532</v>
      </c>
      <c r="F11082" t="s">
        <v>38046</v>
      </c>
      <c r="G11082" t="s">
        <v>12110</v>
      </c>
      <c r="H11082" t="s">
        <v>37817</v>
      </c>
      <c r="I11082" t="s">
        <v>38047</v>
      </c>
      <c r="J11082" t="s">
        <v>5484</v>
      </c>
      <c r="K11082" t="s">
        <v>5471</v>
      </c>
      <c r="L11082" t="s">
        <v>5471</v>
      </c>
      <c r="M11082" t="s">
        <v>5471</v>
      </c>
    </row>
    <row r="11083" spans="1:13" x14ac:dyDescent="0.3">
      <c r="A11083" t="s">
        <v>3383</v>
      </c>
      <c r="B11083" t="s">
        <v>5986</v>
      </c>
      <c r="C11083" t="s">
        <v>5487</v>
      </c>
      <c r="D11083" t="s">
        <v>4119</v>
      </c>
      <c r="E11083" t="s">
        <v>5532</v>
      </c>
      <c r="F11083" t="s">
        <v>38048</v>
      </c>
      <c r="G11083" t="s">
        <v>12264</v>
      </c>
      <c r="H11083" t="s">
        <v>37817</v>
      </c>
      <c r="I11083" t="s">
        <v>38049</v>
      </c>
      <c r="J11083" t="s">
        <v>5484</v>
      </c>
      <c r="K11083" t="s">
        <v>5471</v>
      </c>
      <c r="L11083" t="s">
        <v>5471</v>
      </c>
      <c r="M11083" t="s">
        <v>5471</v>
      </c>
    </row>
    <row r="11084" spans="1:13" x14ac:dyDescent="0.3">
      <c r="A11084" t="s">
        <v>3383</v>
      </c>
      <c r="B11084" t="s">
        <v>5986</v>
      </c>
      <c r="C11084" t="s">
        <v>5487</v>
      </c>
      <c r="D11084" t="s">
        <v>4119</v>
      </c>
      <c r="E11084" t="s">
        <v>5532</v>
      </c>
      <c r="F11084" t="s">
        <v>38050</v>
      </c>
      <c r="G11084" t="s">
        <v>5987</v>
      </c>
      <c r="H11084" t="s">
        <v>37817</v>
      </c>
      <c r="I11084" t="s">
        <v>38051</v>
      </c>
      <c r="J11084" t="s">
        <v>5484</v>
      </c>
      <c r="K11084" t="s">
        <v>5471</v>
      </c>
      <c r="L11084" t="s">
        <v>5471</v>
      </c>
      <c r="M11084" t="s">
        <v>5471</v>
      </c>
    </row>
    <row r="11085" spans="1:13" x14ac:dyDescent="0.3">
      <c r="A11085" t="s">
        <v>3383</v>
      </c>
      <c r="B11085" t="s">
        <v>5986</v>
      </c>
      <c r="C11085" t="s">
        <v>5487</v>
      </c>
      <c r="D11085" t="s">
        <v>4119</v>
      </c>
      <c r="E11085" t="s">
        <v>5532</v>
      </c>
      <c r="F11085" t="s">
        <v>38052</v>
      </c>
      <c r="G11085" t="s">
        <v>29146</v>
      </c>
      <c r="H11085" t="s">
        <v>37817</v>
      </c>
      <c r="I11085" t="s">
        <v>38053</v>
      </c>
      <c r="J11085" t="s">
        <v>5484</v>
      </c>
      <c r="K11085" t="s">
        <v>5471</v>
      </c>
      <c r="L11085" t="s">
        <v>5471</v>
      </c>
      <c r="M11085" t="s">
        <v>5471</v>
      </c>
    </row>
    <row r="11086" spans="1:13" x14ac:dyDescent="0.3">
      <c r="A11086" t="s">
        <v>3383</v>
      </c>
      <c r="B11086" t="s">
        <v>5986</v>
      </c>
      <c r="C11086" t="s">
        <v>5487</v>
      </c>
      <c r="D11086" t="s">
        <v>4119</v>
      </c>
      <c r="E11086" t="s">
        <v>5532</v>
      </c>
      <c r="F11086" t="s">
        <v>38054</v>
      </c>
      <c r="G11086" t="s">
        <v>38055</v>
      </c>
      <c r="H11086" t="s">
        <v>37817</v>
      </c>
      <c r="I11086" t="s">
        <v>38056</v>
      </c>
      <c r="J11086" t="s">
        <v>5484</v>
      </c>
      <c r="K11086" t="s">
        <v>5471</v>
      </c>
      <c r="L11086" t="s">
        <v>5471</v>
      </c>
      <c r="M11086" t="s">
        <v>5471</v>
      </c>
    </row>
    <row r="11087" spans="1:13" x14ac:dyDescent="0.3">
      <c r="A11087" t="s">
        <v>3383</v>
      </c>
      <c r="B11087" t="s">
        <v>5986</v>
      </c>
      <c r="C11087" t="s">
        <v>5487</v>
      </c>
      <c r="D11087" t="s">
        <v>4119</v>
      </c>
      <c r="E11087" t="s">
        <v>5532</v>
      </c>
      <c r="F11087" t="s">
        <v>38057</v>
      </c>
      <c r="G11087" t="s">
        <v>38058</v>
      </c>
      <c r="H11087" t="s">
        <v>37817</v>
      </c>
      <c r="I11087" t="s">
        <v>38059</v>
      </c>
      <c r="J11087" t="s">
        <v>5484</v>
      </c>
      <c r="K11087" t="s">
        <v>5471</v>
      </c>
      <c r="L11087" t="s">
        <v>5471</v>
      </c>
      <c r="M11087" t="s">
        <v>5471</v>
      </c>
    </row>
    <row r="11088" spans="1:13" x14ac:dyDescent="0.3">
      <c r="A11088" t="s">
        <v>3388</v>
      </c>
      <c r="B11088" t="s">
        <v>5616</v>
      </c>
      <c r="C11088" t="s">
        <v>5470</v>
      </c>
      <c r="D11088" t="s">
        <v>4056</v>
      </c>
      <c r="E11088" t="s">
        <v>5532</v>
      </c>
      <c r="F11088" t="s">
        <v>38060</v>
      </c>
      <c r="G11088" t="s">
        <v>29444</v>
      </c>
      <c r="H11088" t="s">
        <v>37817</v>
      </c>
      <c r="I11088" t="s">
        <v>38061</v>
      </c>
      <c r="J11088" t="s">
        <v>5484</v>
      </c>
      <c r="K11088" t="s">
        <v>5471</v>
      </c>
      <c r="L11088" t="s">
        <v>5471</v>
      </c>
      <c r="M11088" t="s">
        <v>5471</v>
      </c>
    </row>
    <row r="11089" spans="1:13" x14ac:dyDescent="0.3">
      <c r="A11089" t="s">
        <v>3388</v>
      </c>
      <c r="B11089" t="s">
        <v>5616</v>
      </c>
      <c r="C11089" t="s">
        <v>5470</v>
      </c>
      <c r="D11089" t="s">
        <v>4056</v>
      </c>
      <c r="E11089" t="s">
        <v>5532</v>
      </c>
      <c r="F11089" t="s">
        <v>38062</v>
      </c>
      <c r="G11089" t="s">
        <v>29451</v>
      </c>
      <c r="H11089" t="s">
        <v>37817</v>
      </c>
      <c r="I11089" t="s">
        <v>38063</v>
      </c>
      <c r="J11089" t="s">
        <v>5484</v>
      </c>
      <c r="K11089" t="s">
        <v>5471</v>
      </c>
      <c r="L11089" t="s">
        <v>5471</v>
      </c>
      <c r="M11089" t="s">
        <v>5471</v>
      </c>
    </row>
    <row r="11090" spans="1:13" x14ac:dyDescent="0.3">
      <c r="A11090" t="s">
        <v>3388</v>
      </c>
      <c r="B11090" t="s">
        <v>5616</v>
      </c>
      <c r="C11090" t="s">
        <v>5470</v>
      </c>
      <c r="D11090" t="s">
        <v>4056</v>
      </c>
      <c r="E11090" t="s">
        <v>5532</v>
      </c>
      <c r="F11090" t="s">
        <v>38064</v>
      </c>
      <c r="G11090" t="s">
        <v>29451</v>
      </c>
      <c r="H11090" t="s">
        <v>37817</v>
      </c>
      <c r="I11090" t="s">
        <v>38065</v>
      </c>
      <c r="J11090" t="s">
        <v>5484</v>
      </c>
      <c r="K11090" t="s">
        <v>5471</v>
      </c>
      <c r="L11090" t="s">
        <v>5471</v>
      </c>
      <c r="M11090" t="s">
        <v>5471</v>
      </c>
    </row>
    <row r="11091" spans="1:13" x14ac:dyDescent="0.3">
      <c r="A11091" t="s">
        <v>3388</v>
      </c>
      <c r="B11091" t="s">
        <v>10870</v>
      </c>
      <c r="C11091" t="s">
        <v>5470</v>
      </c>
      <c r="D11091" t="s">
        <v>4056</v>
      </c>
      <c r="E11091" t="s">
        <v>5532</v>
      </c>
      <c r="F11091" t="s">
        <v>38066</v>
      </c>
      <c r="G11091" t="s">
        <v>11041</v>
      </c>
      <c r="H11091" t="s">
        <v>37817</v>
      </c>
      <c r="I11091" t="s">
        <v>38067</v>
      </c>
      <c r="J11091" t="s">
        <v>5484</v>
      </c>
      <c r="K11091" t="s">
        <v>5471</v>
      </c>
      <c r="L11091" t="s">
        <v>5471</v>
      </c>
      <c r="M11091" t="s">
        <v>5471</v>
      </c>
    </row>
    <row r="11092" spans="1:13" x14ac:dyDescent="0.3">
      <c r="A11092" t="s">
        <v>3380</v>
      </c>
      <c r="B11092" t="s">
        <v>18327</v>
      </c>
      <c r="C11092" t="s">
        <v>6342</v>
      </c>
      <c r="D11092" t="s">
        <v>33615</v>
      </c>
      <c r="E11092" t="s">
        <v>5532</v>
      </c>
      <c r="F11092" t="s">
        <v>38068</v>
      </c>
      <c r="G11092" t="s">
        <v>38069</v>
      </c>
      <c r="H11092" t="s">
        <v>37817</v>
      </c>
      <c r="I11092" t="s">
        <v>38070</v>
      </c>
      <c r="J11092" t="s">
        <v>5484</v>
      </c>
      <c r="K11092" t="s">
        <v>5471</v>
      </c>
      <c r="L11092" t="s">
        <v>5471</v>
      </c>
      <c r="M11092" t="s">
        <v>5471</v>
      </c>
    </row>
    <row r="11093" spans="1:13" x14ac:dyDescent="0.3">
      <c r="A11093" t="s">
        <v>3380</v>
      </c>
      <c r="B11093" t="s">
        <v>16261</v>
      </c>
      <c r="C11093" t="s">
        <v>6342</v>
      </c>
      <c r="D11093" t="s">
        <v>33615</v>
      </c>
      <c r="E11093" t="s">
        <v>5532</v>
      </c>
      <c r="F11093" t="s">
        <v>38071</v>
      </c>
      <c r="G11093" t="s">
        <v>38072</v>
      </c>
      <c r="H11093" t="s">
        <v>37817</v>
      </c>
      <c r="I11093" t="s">
        <v>38073</v>
      </c>
      <c r="J11093" t="s">
        <v>5484</v>
      </c>
      <c r="K11093" t="s">
        <v>5471</v>
      </c>
      <c r="L11093" t="s">
        <v>5471</v>
      </c>
      <c r="M11093" t="s">
        <v>5471</v>
      </c>
    </row>
    <row r="11094" spans="1:13" x14ac:dyDescent="0.3">
      <c r="A11094" t="s">
        <v>3388</v>
      </c>
      <c r="B11094" t="s">
        <v>10870</v>
      </c>
      <c r="C11094" t="s">
        <v>5470</v>
      </c>
      <c r="D11094" t="s">
        <v>4056</v>
      </c>
      <c r="E11094" t="s">
        <v>5532</v>
      </c>
      <c r="F11094" t="s">
        <v>38074</v>
      </c>
      <c r="G11094" t="s">
        <v>11041</v>
      </c>
      <c r="H11094" t="s">
        <v>37817</v>
      </c>
      <c r="I11094" t="s">
        <v>38075</v>
      </c>
      <c r="J11094" t="s">
        <v>5484</v>
      </c>
      <c r="K11094" t="s">
        <v>5471</v>
      </c>
      <c r="L11094" t="s">
        <v>5471</v>
      </c>
      <c r="M11094" t="s">
        <v>5471</v>
      </c>
    </row>
    <row r="11095" spans="1:13" x14ac:dyDescent="0.3">
      <c r="A11095" t="s">
        <v>3388</v>
      </c>
      <c r="B11095" t="s">
        <v>10870</v>
      </c>
      <c r="C11095" t="s">
        <v>5470</v>
      </c>
      <c r="D11095" t="s">
        <v>4056</v>
      </c>
      <c r="E11095" t="s">
        <v>5532</v>
      </c>
      <c r="F11095" t="s">
        <v>38076</v>
      </c>
      <c r="G11095" t="s">
        <v>11041</v>
      </c>
      <c r="H11095" t="s">
        <v>37817</v>
      </c>
      <c r="I11095" t="s">
        <v>38077</v>
      </c>
      <c r="J11095" t="s">
        <v>5484</v>
      </c>
      <c r="K11095" t="s">
        <v>5471</v>
      </c>
      <c r="L11095" t="s">
        <v>5471</v>
      </c>
      <c r="M11095" t="s">
        <v>5471</v>
      </c>
    </row>
    <row r="11096" spans="1:13" x14ac:dyDescent="0.3">
      <c r="A11096" t="s">
        <v>3388</v>
      </c>
      <c r="B11096" t="s">
        <v>10870</v>
      </c>
      <c r="C11096" t="s">
        <v>5470</v>
      </c>
      <c r="D11096" t="s">
        <v>4056</v>
      </c>
      <c r="E11096" t="s">
        <v>5617</v>
      </c>
      <c r="F11096" t="s">
        <v>38078</v>
      </c>
      <c r="G11096" t="s">
        <v>33134</v>
      </c>
      <c r="H11096" t="s">
        <v>37817</v>
      </c>
      <c r="I11096" t="s">
        <v>38079</v>
      </c>
      <c r="J11096" t="s">
        <v>5484</v>
      </c>
      <c r="K11096" t="s">
        <v>5471</v>
      </c>
      <c r="L11096" t="s">
        <v>5471</v>
      </c>
      <c r="M11096" t="s">
        <v>5471</v>
      </c>
    </row>
    <row r="11097" spans="1:13" x14ac:dyDescent="0.3">
      <c r="A11097" t="s">
        <v>3380</v>
      </c>
      <c r="B11097" t="s">
        <v>34907</v>
      </c>
      <c r="C11097" t="s">
        <v>6342</v>
      </c>
      <c r="D11097" t="s">
        <v>33615</v>
      </c>
      <c r="E11097" t="s">
        <v>5532</v>
      </c>
      <c r="F11097" t="s">
        <v>38080</v>
      </c>
      <c r="G11097" t="s">
        <v>38081</v>
      </c>
      <c r="H11097" t="s">
        <v>37817</v>
      </c>
      <c r="I11097" t="s">
        <v>38082</v>
      </c>
      <c r="J11097" t="s">
        <v>5484</v>
      </c>
      <c r="K11097" t="s">
        <v>5471</v>
      </c>
      <c r="L11097" t="s">
        <v>5471</v>
      </c>
      <c r="M11097" t="s">
        <v>5471</v>
      </c>
    </row>
    <row r="11098" spans="1:13" x14ac:dyDescent="0.3">
      <c r="A11098" t="s">
        <v>3388</v>
      </c>
      <c r="B11098" t="s">
        <v>10870</v>
      </c>
      <c r="C11098" t="s">
        <v>5470</v>
      </c>
      <c r="D11098" t="s">
        <v>4056</v>
      </c>
      <c r="E11098" t="s">
        <v>5617</v>
      </c>
      <c r="F11098" t="s">
        <v>38083</v>
      </c>
      <c r="G11098" t="s">
        <v>33134</v>
      </c>
      <c r="H11098" t="s">
        <v>37817</v>
      </c>
      <c r="I11098" t="s">
        <v>38084</v>
      </c>
      <c r="J11098" t="s">
        <v>5484</v>
      </c>
      <c r="K11098" t="s">
        <v>5471</v>
      </c>
      <c r="L11098" t="s">
        <v>5471</v>
      </c>
      <c r="M11098" t="s">
        <v>5471</v>
      </c>
    </row>
    <row r="11099" spans="1:13" x14ac:dyDescent="0.3">
      <c r="A11099" t="s">
        <v>3380</v>
      </c>
      <c r="B11099" t="s">
        <v>34907</v>
      </c>
      <c r="C11099" t="s">
        <v>6342</v>
      </c>
      <c r="D11099" t="s">
        <v>33615</v>
      </c>
      <c r="E11099" t="s">
        <v>5532</v>
      </c>
      <c r="F11099" t="s">
        <v>38085</v>
      </c>
      <c r="G11099" t="s">
        <v>38086</v>
      </c>
      <c r="H11099" t="s">
        <v>37817</v>
      </c>
      <c r="I11099" t="s">
        <v>38087</v>
      </c>
      <c r="J11099" t="s">
        <v>5484</v>
      </c>
      <c r="K11099" t="s">
        <v>5471</v>
      </c>
      <c r="L11099" t="s">
        <v>5471</v>
      </c>
      <c r="M11099" t="s">
        <v>5471</v>
      </c>
    </row>
    <row r="11100" spans="1:13" x14ac:dyDescent="0.3">
      <c r="A11100" t="s">
        <v>3388</v>
      </c>
      <c r="B11100" t="s">
        <v>10870</v>
      </c>
      <c r="C11100" t="s">
        <v>5470</v>
      </c>
      <c r="D11100" t="s">
        <v>4056</v>
      </c>
      <c r="E11100" t="s">
        <v>5617</v>
      </c>
      <c r="F11100" t="s">
        <v>38088</v>
      </c>
      <c r="G11100" t="s">
        <v>33134</v>
      </c>
      <c r="H11100" t="s">
        <v>37817</v>
      </c>
      <c r="I11100" t="s">
        <v>38089</v>
      </c>
      <c r="J11100" t="s">
        <v>5484</v>
      </c>
      <c r="K11100" t="s">
        <v>5471</v>
      </c>
      <c r="L11100" t="s">
        <v>5471</v>
      </c>
      <c r="M11100" t="s">
        <v>5471</v>
      </c>
    </row>
    <row r="11101" spans="1:13" x14ac:dyDescent="0.3">
      <c r="A11101" t="s">
        <v>3388</v>
      </c>
      <c r="B11101" t="s">
        <v>5253</v>
      </c>
      <c r="C11101" t="s">
        <v>5470</v>
      </c>
      <c r="D11101" t="s">
        <v>4056</v>
      </c>
      <c r="E11101" t="s">
        <v>5532</v>
      </c>
      <c r="F11101" t="s">
        <v>38090</v>
      </c>
      <c r="G11101" t="s">
        <v>38091</v>
      </c>
      <c r="H11101" t="s">
        <v>37817</v>
      </c>
      <c r="I11101" t="s">
        <v>38092</v>
      </c>
      <c r="J11101" t="s">
        <v>5484</v>
      </c>
      <c r="K11101" t="s">
        <v>5471</v>
      </c>
      <c r="L11101" t="s">
        <v>5471</v>
      </c>
      <c r="M11101" t="s">
        <v>5471</v>
      </c>
    </row>
    <row r="11102" spans="1:13" x14ac:dyDescent="0.3">
      <c r="A11102" t="s">
        <v>3388</v>
      </c>
      <c r="B11102" t="s">
        <v>5253</v>
      </c>
      <c r="C11102" t="s">
        <v>5470</v>
      </c>
      <c r="D11102" t="s">
        <v>4056</v>
      </c>
      <c r="E11102" t="s">
        <v>5532</v>
      </c>
      <c r="F11102" t="s">
        <v>38093</v>
      </c>
      <c r="G11102" t="s">
        <v>38091</v>
      </c>
      <c r="H11102" t="s">
        <v>37817</v>
      </c>
      <c r="I11102" t="s">
        <v>38094</v>
      </c>
      <c r="J11102" t="s">
        <v>5484</v>
      </c>
      <c r="K11102" t="s">
        <v>5471</v>
      </c>
      <c r="L11102" t="s">
        <v>5471</v>
      </c>
      <c r="M11102" t="s">
        <v>5471</v>
      </c>
    </row>
    <row r="11103" spans="1:13" x14ac:dyDescent="0.3">
      <c r="A11103" t="s">
        <v>3388</v>
      </c>
      <c r="B11103" t="s">
        <v>5253</v>
      </c>
      <c r="C11103" t="s">
        <v>5470</v>
      </c>
      <c r="D11103" t="s">
        <v>4056</v>
      </c>
      <c r="E11103" t="s">
        <v>5532</v>
      </c>
      <c r="F11103" t="s">
        <v>38095</v>
      </c>
      <c r="G11103" t="s">
        <v>38091</v>
      </c>
      <c r="H11103" t="s">
        <v>37817</v>
      </c>
      <c r="I11103" t="s">
        <v>38096</v>
      </c>
      <c r="J11103" t="s">
        <v>5484</v>
      </c>
      <c r="K11103" t="s">
        <v>5471</v>
      </c>
      <c r="L11103" t="s">
        <v>5471</v>
      </c>
      <c r="M11103" t="s">
        <v>5471</v>
      </c>
    </row>
    <row r="11104" spans="1:13" x14ac:dyDescent="0.3">
      <c r="A11104" t="s">
        <v>3383</v>
      </c>
      <c r="B11104" t="s">
        <v>5294</v>
      </c>
      <c r="C11104" t="s">
        <v>5470</v>
      </c>
      <c r="D11104" t="s">
        <v>4119</v>
      </c>
      <c r="E11104" t="s">
        <v>5480</v>
      </c>
      <c r="F11104" t="s">
        <v>38097</v>
      </c>
      <c r="G11104" t="s">
        <v>7541</v>
      </c>
      <c r="H11104" t="s">
        <v>37817</v>
      </c>
      <c r="I11104" t="s">
        <v>38098</v>
      </c>
      <c r="J11104" t="s">
        <v>5484</v>
      </c>
      <c r="K11104" t="s">
        <v>38099</v>
      </c>
      <c r="L11104" t="s">
        <v>5471</v>
      </c>
      <c r="M11104" t="s">
        <v>5471</v>
      </c>
    </row>
    <row r="11105" spans="1:13" x14ac:dyDescent="0.3">
      <c r="A11105" t="s">
        <v>3383</v>
      </c>
      <c r="B11105" t="s">
        <v>5294</v>
      </c>
      <c r="C11105" t="s">
        <v>5470</v>
      </c>
      <c r="D11105" t="s">
        <v>4119</v>
      </c>
      <c r="E11105" t="s">
        <v>5480</v>
      </c>
      <c r="F11105" t="s">
        <v>38100</v>
      </c>
      <c r="G11105" t="s">
        <v>38101</v>
      </c>
      <c r="H11105" t="s">
        <v>37817</v>
      </c>
      <c r="I11105" t="s">
        <v>38102</v>
      </c>
      <c r="J11105" t="s">
        <v>5484</v>
      </c>
      <c r="K11105" t="s">
        <v>38103</v>
      </c>
      <c r="L11105" t="s">
        <v>5471</v>
      </c>
      <c r="M11105" t="s">
        <v>5471</v>
      </c>
    </row>
    <row r="11106" spans="1:13" x14ac:dyDescent="0.3">
      <c r="A11106" t="s">
        <v>3388</v>
      </c>
      <c r="B11106" t="s">
        <v>5296</v>
      </c>
      <c r="C11106" t="s">
        <v>5470</v>
      </c>
      <c r="D11106" t="s">
        <v>4056</v>
      </c>
      <c r="E11106" t="s">
        <v>5532</v>
      </c>
      <c r="F11106" t="s">
        <v>38104</v>
      </c>
      <c r="G11106" t="s">
        <v>38105</v>
      </c>
      <c r="H11106" t="s">
        <v>37817</v>
      </c>
      <c r="I11106" t="s">
        <v>38106</v>
      </c>
      <c r="J11106" t="s">
        <v>5484</v>
      </c>
      <c r="K11106" t="s">
        <v>5471</v>
      </c>
      <c r="L11106" t="s">
        <v>5471</v>
      </c>
      <c r="M11106" t="s">
        <v>5471</v>
      </c>
    </row>
    <row r="11107" spans="1:13" x14ac:dyDescent="0.3">
      <c r="A11107" t="s">
        <v>3388</v>
      </c>
      <c r="B11107" t="s">
        <v>5296</v>
      </c>
      <c r="C11107" t="s">
        <v>5470</v>
      </c>
      <c r="D11107" t="s">
        <v>4056</v>
      </c>
      <c r="E11107" t="s">
        <v>5532</v>
      </c>
      <c r="F11107" t="s">
        <v>38107</v>
      </c>
      <c r="G11107" t="s">
        <v>38105</v>
      </c>
      <c r="H11107" t="s">
        <v>37817</v>
      </c>
      <c r="I11107" t="s">
        <v>38108</v>
      </c>
      <c r="J11107" t="s">
        <v>5484</v>
      </c>
      <c r="K11107" t="s">
        <v>5471</v>
      </c>
      <c r="L11107" t="s">
        <v>5471</v>
      </c>
      <c r="M11107" t="s">
        <v>5471</v>
      </c>
    </row>
    <row r="11108" spans="1:13" x14ac:dyDescent="0.3">
      <c r="A11108" t="s">
        <v>3388</v>
      </c>
      <c r="B11108" t="s">
        <v>5296</v>
      </c>
      <c r="C11108" t="s">
        <v>5470</v>
      </c>
      <c r="D11108" t="s">
        <v>4056</v>
      </c>
      <c r="E11108" t="s">
        <v>5532</v>
      </c>
      <c r="F11108" t="s">
        <v>38109</v>
      </c>
      <c r="G11108" t="s">
        <v>38105</v>
      </c>
      <c r="H11108" t="s">
        <v>37817</v>
      </c>
      <c r="I11108" t="s">
        <v>38110</v>
      </c>
      <c r="J11108" t="s">
        <v>5484</v>
      </c>
      <c r="K11108" t="s">
        <v>5471</v>
      </c>
      <c r="L11108" t="s">
        <v>5471</v>
      </c>
      <c r="M11108" t="s">
        <v>5471</v>
      </c>
    </row>
    <row r="11109" spans="1:13" x14ac:dyDescent="0.3">
      <c r="A11109" t="s">
        <v>3383</v>
      </c>
      <c r="B11109" t="s">
        <v>5952</v>
      </c>
      <c r="C11109" t="s">
        <v>5470</v>
      </c>
      <c r="D11109" t="s">
        <v>4119</v>
      </c>
      <c r="E11109" t="s">
        <v>5480</v>
      </c>
      <c r="F11109" t="s">
        <v>38111</v>
      </c>
      <c r="G11109" t="s">
        <v>6557</v>
      </c>
      <c r="H11109" t="s">
        <v>37817</v>
      </c>
      <c r="I11109" t="s">
        <v>38112</v>
      </c>
      <c r="J11109" t="s">
        <v>5484</v>
      </c>
      <c r="K11109" t="s">
        <v>38113</v>
      </c>
      <c r="L11109" t="s">
        <v>5471</v>
      </c>
      <c r="M11109" t="s">
        <v>5471</v>
      </c>
    </row>
    <row r="11110" spans="1:13" x14ac:dyDescent="0.3">
      <c r="A11110" t="s">
        <v>3388</v>
      </c>
      <c r="B11110" t="s">
        <v>6128</v>
      </c>
      <c r="C11110" t="s">
        <v>5470</v>
      </c>
      <c r="D11110" t="s">
        <v>4119</v>
      </c>
      <c r="E11110" t="s">
        <v>5532</v>
      </c>
      <c r="F11110" t="s">
        <v>38114</v>
      </c>
      <c r="G11110" t="s">
        <v>31637</v>
      </c>
      <c r="H11110" t="s">
        <v>37817</v>
      </c>
      <c r="I11110" t="s">
        <v>38115</v>
      </c>
      <c r="J11110" t="s">
        <v>5484</v>
      </c>
      <c r="K11110" t="s">
        <v>5471</v>
      </c>
      <c r="L11110" t="s">
        <v>5471</v>
      </c>
      <c r="M11110" t="s">
        <v>5471</v>
      </c>
    </row>
    <row r="11111" spans="1:13" x14ac:dyDescent="0.3">
      <c r="A11111" t="s">
        <v>3383</v>
      </c>
      <c r="B11111" t="s">
        <v>5952</v>
      </c>
      <c r="C11111" t="s">
        <v>5470</v>
      </c>
      <c r="D11111" t="s">
        <v>4119</v>
      </c>
      <c r="E11111" t="s">
        <v>5480</v>
      </c>
      <c r="F11111" t="s">
        <v>38116</v>
      </c>
      <c r="G11111" t="s">
        <v>38117</v>
      </c>
      <c r="H11111" t="s">
        <v>37817</v>
      </c>
      <c r="I11111" t="s">
        <v>38118</v>
      </c>
      <c r="J11111" t="s">
        <v>5484</v>
      </c>
      <c r="K11111" t="s">
        <v>38119</v>
      </c>
      <c r="L11111" t="s">
        <v>5471</v>
      </c>
      <c r="M11111" t="s">
        <v>5471</v>
      </c>
    </row>
    <row r="11112" spans="1:13" x14ac:dyDescent="0.3">
      <c r="A11112" t="s">
        <v>3388</v>
      </c>
      <c r="B11112" t="s">
        <v>6128</v>
      </c>
      <c r="C11112" t="s">
        <v>5470</v>
      </c>
      <c r="D11112" t="s">
        <v>4119</v>
      </c>
      <c r="E11112" t="s">
        <v>5532</v>
      </c>
      <c r="F11112" t="s">
        <v>38120</v>
      </c>
      <c r="G11112" t="s">
        <v>31637</v>
      </c>
      <c r="H11112" t="s">
        <v>37817</v>
      </c>
      <c r="I11112" t="s">
        <v>38121</v>
      </c>
      <c r="J11112" t="s">
        <v>5484</v>
      </c>
      <c r="K11112" t="s">
        <v>5471</v>
      </c>
      <c r="L11112" t="s">
        <v>5471</v>
      </c>
      <c r="M11112" t="s">
        <v>5471</v>
      </c>
    </row>
    <row r="11113" spans="1:13" x14ac:dyDescent="0.3">
      <c r="A11113" t="s">
        <v>3388</v>
      </c>
      <c r="B11113" t="s">
        <v>10870</v>
      </c>
      <c r="C11113" t="s">
        <v>5470</v>
      </c>
      <c r="D11113" t="s">
        <v>4119</v>
      </c>
      <c r="E11113" t="s">
        <v>5532</v>
      </c>
      <c r="F11113" t="s">
        <v>38122</v>
      </c>
      <c r="G11113" t="s">
        <v>30780</v>
      </c>
      <c r="H11113" t="s">
        <v>37817</v>
      </c>
      <c r="I11113" t="s">
        <v>38123</v>
      </c>
      <c r="J11113" t="s">
        <v>5484</v>
      </c>
      <c r="K11113" t="s">
        <v>5471</v>
      </c>
      <c r="L11113" t="s">
        <v>5471</v>
      </c>
      <c r="M11113" t="s">
        <v>5471</v>
      </c>
    </row>
    <row r="11114" spans="1:13" x14ac:dyDescent="0.3">
      <c r="A11114" t="s">
        <v>3388</v>
      </c>
      <c r="B11114" t="s">
        <v>10870</v>
      </c>
      <c r="C11114" t="s">
        <v>5470</v>
      </c>
      <c r="D11114" t="s">
        <v>4119</v>
      </c>
      <c r="E11114" t="s">
        <v>5532</v>
      </c>
      <c r="F11114" t="s">
        <v>38124</v>
      </c>
      <c r="G11114" t="s">
        <v>23202</v>
      </c>
      <c r="H11114" t="s">
        <v>37817</v>
      </c>
      <c r="I11114" t="s">
        <v>38125</v>
      </c>
      <c r="J11114" t="s">
        <v>5484</v>
      </c>
      <c r="K11114" t="s">
        <v>5471</v>
      </c>
      <c r="L11114" t="s">
        <v>5471</v>
      </c>
      <c r="M11114" t="s">
        <v>5471</v>
      </c>
    </row>
    <row r="11115" spans="1:13" x14ac:dyDescent="0.3">
      <c r="A11115" t="s">
        <v>3388</v>
      </c>
      <c r="B11115" t="s">
        <v>10870</v>
      </c>
      <c r="C11115" t="s">
        <v>5470</v>
      </c>
      <c r="D11115" t="s">
        <v>4119</v>
      </c>
      <c r="E11115" t="s">
        <v>5532</v>
      </c>
      <c r="F11115" t="s">
        <v>38126</v>
      </c>
      <c r="G11115" t="s">
        <v>23218</v>
      </c>
      <c r="H11115" t="s">
        <v>37817</v>
      </c>
      <c r="I11115" t="s">
        <v>38127</v>
      </c>
      <c r="J11115" t="s">
        <v>5484</v>
      </c>
      <c r="K11115" t="s">
        <v>5471</v>
      </c>
      <c r="L11115" t="s">
        <v>5471</v>
      </c>
      <c r="M11115" t="s">
        <v>5471</v>
      </c>
    </row>
    <row r="11116" spans="1:13" x14ac:dyDescent="0.3">
      <c r="A11116" t="s">
        <v>3388</v>
      </c>
      <c r="B11116" t="s">
        <v>10870</v>
      </c>
      <c r="C11116" t="s">
        <v>5470</v>
      </c>
      <c r="D11116" t="s">
        <v>4119</v>
      </c>
      <c r="E11116" t="s">
        <v>5532</v>
      </c>
      <c r="F11116" t="s">
        <v>38128</v>
      </c>
      <c r="G11116" t="s">
        <v>31637</v>
      </c>
      <c r="H11116" t="s">
        <v>37817</v>
      </c>
      <c r="I11116" t="s">
        <v>38129</v>
      </c>
      <c r="J11116" t="s">
        <v>5484</v>
      </c>
      <c r="K11116" t="s">
        <v>5471</v>
      </c>
      <c r="L11116" t="s">
        <v>5471</v>
      </c>
      <c r="M11116" t="s">
        <v>5471</v>
      </c>
    </row>
    <row r="11117" spans="1:13" x14ac:dyDescent="0.3">
      <c r="A11117" t="s">
        <v>3388</v>
      </c>
      <c r="B11117" t="s">
        <v>10870</v>
      </c>
      <c r="C11117" t="s">
        <v>5470</v>
      </c>
      <c r="D11117" t="s">
        <v>4119</v>
      </c>
      <c r="E11117" t="s">
        <v>5532</v>
      </c>
      <c r="F11117" t="s">
        <v>38130</v>
      </c>
      <c r="G11117" t="s">
        <v>30780</v>
      </c>
      <c r="H11117" t="s">
        <v>37817</v>
      </c>
      <c r="I11117" t="s">
        <v>38131</v>
      </c>
      <c r="J11117" t="s">
        <v>5484</v>
      </c>
      <c r="K11117" t="s">
        <v>5471</v>
      </c>
      <c r="L11117" t="s">
        <v>5471</v>
      </c>
      <c r="M11117" t="s">
        <v>5471</v>
      </c>
    </row>
    <row r="11118" spans="1:13" x14ac:dyDescent="0.3">
      <c r="A11118" t="s">
        <v>3388</v>
      </c>
      <c r="B11118" t="s">
        <v>10870</v>
      </c>
      <c r="C11118" t="s">
        <v>5470</v>
      </c>
      <c r="D11118" t="s">
        <v>4119</v>
      </c>
      <c r="E11118" t="s">
        <v>5532</v>
      </c>
      <c r="F11118" t="s">
        <v>38132</v>
      </c>
      <c r="G11118" t="s">
        <v>38133</v>
      </c>
      <c r="H11118" t="s">
        <v>37817</v>
      </c>
      <c r="I11118" t="s">
        <v>38134</v>
      </c>
      <c r="J11118" t="s">
        <v>5484</v>
      </c>
      <c r="K11118" t="s">
        <v>5471</v>
      </c>
      <c r="L11118" t="s">
        <v>5471</v>
      </c>
      <c r="M11118" t="s">
        <v>5471</v>
      </c>
    </row>
    <row r="11119" spans="1:13" x14ac:dyDescent="0.3">
      <c r="A11119" t="s">
        <v>3388</v>
      </c>
      <c r="B11119" t="s">
        <v>10870</v>
      </c>
      <c r="C11119" t="s">
        <v>5470</v>
      </c>
      <c r="D11119" t="s">
        <v>4119</v>
      </c>
      <c r="E11119" t="s">
        <v>5532</v>
      </c>
      <c r="F11119" t="s">
        <v>38135</v>
      </c>
      <c r="G11119" t="s">
        <v>23218</v>
      </c>
      <c r="H11119" t="s">
        <v>37817</v>
      </c>
      <c r="I11119" t="s">
        <v>38136</v>
      </c>
      <c r="J11119" t="s">
        <v>5484</v>
      </c>
      <c r="K11119" t="s">
        <v>5471</v>
      </c>
      <c r="L11119" t="s">
        <v>5471</v>
      </c>
      <c r="M11119" t="s">
        <v>5471</v>
      </c>
    </row>
    <row r="11120" spans="1:13" x14ac:dyDescent="0.3">
      <c r="A11120" t="s">
        <v>3388</v>
      </c>
      <c r="B11120" t="s">
        <v>10870</v>
      </c>
      <c r="C11120" t="s">
        <v>5470</v>
      </c>
      <c r="D11120" t="s">
        <v>4119</v>
      </c>
      <c r="E11120" t="s">
        <v>5532</v>
      </c>
      <c r="F11120" t="s">
        <v>38137</v>
      </c>
      <c r="G11120" t="s">
        <v>31637</v>
      </c>
      <c r="H11120" t="s">
        <v>37817</v>
      </c>
      <c r="I11120" t="s">
        <v>38138</v>
      </c>
      <c r="J11120" t="s">
        <v>5484</v>
      </c>
      <c r="K11120" t="s">
        <v>5471</v>
      </c>
      <c r="L11120" t="s">
        <v>5471</v>
      </c>
      <c r="M11120" t="s">
        <v>5471</v>
      </c>
    </row>
    <row r="11121" spans="1:13" x14ac:dyDescent="0.3">
      <c r="A11121" t="s">
        <v>3388</v>
      </c>
      <c r="B11121" t="s">
        <v>7109</v>
      </c>
      <c r="C11121" t="s">
        <v>5470</v>
      </c>
      <c r="D11121" t="s">
        <v>4119</v>
      </c>
      <c r="E11121" t="s">
        <v>5532</v>
      </c>
      <c r="F11121" t="s">
        <v>38139</v>
      </c>
      <c r="G11121" t="s">
        <v>23202</v>
      </c>
      <c r="H11121" t="s">
        <v>37817</v>
      </c>
      <c r="I11121" t="s">
        <v>38140</v>
      </c>
      <c r="J11121" t="s">
        <v>5484</v>
      </c>
      <c r="K11121" t="s">
        <v>5471</v>
      </c>
      <c r="L11121" t="s">
        <v>5471</v>
      </c>
      <c r="M11121" t="s">
        <v>5471</v>
      </c>
    </row>
    <row r="11122" spans="1:13" x14ac:dyDescent="0.3">
      <c r="A11122" t="s">
        <v>3388</v>
      </c>
      <c r="B11122" t="s">
        <v>7109</v>
      </c>
      <c r="C11122" t="s">
        <v>5470</v>
      </c>
      <c r="D11122" t="s">
        <v>4119</v>
      </c>
      <c r="E11122" t="s">
        <v>5532</v>
      </c>
      <c r="F11122" t="s">
        <v>38141</v>
      </c>
      <c r="G11122" t="s">
        <v>23218</v>
      </c>
      <c r="H11122" t="s">
        <v>37817</v>
      </c>
      <c r="I11122" t="s">
        <v>38142</v>
      </c>
      <c r="J11122" t="s">
        <v>5484</v>
      </c>
      <c r="K11122" t="s">
        <v>5471</v>
      </c>
      <c r="L11122" t="s">
        <v>5471</v>
      </c>
      <c r="M11122" t="s">
        <v>5471</v>
      </c>
    </row>
    <row r="11123" spans="1:13" x14ac:dyDescent="0.3">
      <c r="A11123" t="s">
        <v>3388</v>
      </c>
      <c r="B11123" t="s">
        <v>7109</v>
      </c>
      <c r="C11123" t="s">
        <v>5470</v>
      </c>
      <c r="D11123" t="s">
        <v>4119</v>
      </c>
      <c r="E11123" t="s">
        <v>5532</v>
      </c>
      <c r="F11123" t="s">
        <v>38143</v>
      </c>
      <c r="G11123" t="s">
        <v>23202</v>
      </c>
      <c r="H11123" t="s">
        <v>37817</v>
      </c>
      <c r="I11123" t="s">
        <v>38144</v>
      </c>
      <c r="J11123" t="s">
        <v>5484</v>
      </c>
      <c r="K11123" t="s">
        <v>5471</v>
      </c>
      <c r="L11123" t="s">
        <v>5471</v>
      </c>
      <c r="M11123" t="s">
        <v>5471</v>
      </c>
    </row>
    <row r="11124" spans="1:13" x14ac:dyDescent="0.3">
      <c r="A11124" t="s">
        <v>3388</v>
      </c>
      <c r="B11124" t="s">
        <v>7109</v>
      </c>
      <c r="C11124" t="s">
        <v>5470</v>
      </c>
      <c r="D11124" t="s">
        <v>4119</v>
      </c>
      <c r="E11124" t="s">
        <v>5532</v>
      </c>
      <c r="F11124" t="s">
        <v>38145</v>
      </c>
      <c r="G11124" t="s">
        <v>23218</v>
      </c>
      <c r="H11124" t="s">
        <v>37817</v>
      </c>
      <c r="I11124" t="s">
        <v>38146</v>
      </c>
      <c r="J11124" t="s">
        <v>5484</v>
      </c>
      <c r="K11124" t="s">
        <v>5471</v>
      </c>
      <c r="L11124" t="s">
        <v>5471</v>
      </c>
      <c r="M11124" t="s">
        <v>5471</v>
      </c>
    </row>
    <row r="11125" spans="1:13" x14ac:dyDescent="0.3">
      <c r="A11125" t="s">
        <v>3388</v>
      </c>
      <c r="B11125" t="s">
        <v>11089</v>
      </c>
      <c r="C11125" t="s">
        <v>5470</v>
      </c>
      <c r="D11125" t="s">
        <v>4119</v>
      </c>
      <c r="E11125" t="s">
        <v>5532</v>
      </c>
      <c r="F11125" t="s">
        <v>38147</v>
      </c>
      <c r="G11125" t="s">
        <v>30780</v>
      </c>
      <c r="H11125" t="s">
        <v>37817</v>
      </c>
      <c r="I11125" t="s">
        <v>38148</v>
      </c>
      <c r="J11125" t="s">
        <v>5484</v>
      </c>
      <c r="K11125" t="s">
        <v>5471</v>
      </c>
      <c r="L11125" t="s">
        <v>5471</v>
      </c>
      <c r="M11125" t="s">
        <v>5471</v>
      </c>
    </row>
    <row r="11126" spans="1:13" x14ac:dyDescent="0.3">
      <c r="A11126" t="s">
        <v>3388</v>
      </c>
      <c r="B11126" t="s">
        <v>11089</v>
      </c>
      <c r="C11126" t="s">
        <v>5470</v>
      </c>
      <c r="D11126" t="s">
        <v>4119</v>
      </c>
      <c r="E11126" t="s">
        <v>5532</v>
      </c>
      <c r="F11126" t="s">
        <v>38149</v>
      </c>
      <c r="G11126" t="s">
        <v>30780</v>
      </c>
      <c r="H11126" t="s">
        <v>37817</v>
      </c>
      <c r="I11126" t="s">
        <v>38150</v>
      </c>
      <c r="J11126" t="s">
        <v>5484</v>
      </c>
      <c r="K11126" t="s">
        <v>5471</v>
      </c>
      <c r="L11126" t="s">
        <v>5471</v>
      </c>
      <c r="M11126" t="s">
        <v>5471</v>
      </c>
    </row>
    <row r="11127" spans="1:13" x14ac:dyDescent="0.3">
      <c r="A11127" t="s">
        <v>3380</v>
      </c>
      <c r="B11127" t="s">
        <v>5276</v>
      </c>
      <c r="C11127" t="s">
        <v>6342</v>
      </c>
      <c r="D11127" t="s">
        <v>4119</v>
      </c>
      <c r="E11127" t="s">
        <v>5532</v>
      </c>
      <c r="F11127" t="s">
        <v>38151</v>
      </c>
      <c r="G11127" t="s">
        <v>38152</v>
      </c>
      <c r="H11127" t="s">
        <v>37817</v>
      </c>
      <c r="I11127" t="s">
        <v>38153</v>
      </c>
      <c r="J11127" t="s">
        <v>5484</v>
      </c>
      <c r="K11127" t="s">
        <v>5471</v>
      </c>
      <c r="L11127" t="s">
        <v>5471</v>
      </c>
      <c r="M11127" t="s">
        <v>5471</v>
      </c>
    </row>
    <row r="11128" spans="1:13" x14ac:dyDescent="0.3">
      <c r="A11128" t="s">
        <v>3380</v>
      </c>
      <c r="B11128" t="s">
        <v>5276</v>
      </c>
      <c r="C11128" t="s">
        <v>6342</v>
      </c>
      <c r="D11128" t="s">
        <v>4119</v>
      </c>
      <c r="E11128" t="s">
        <v>5480</v>
      </c>
      <c r="F11128" t="s">
        <v>38154</v>
      </c>
      <c r="G11128" t="s">
        <v>38155</v>
      </c>
      <c r="H11128" t="s">
        <v>37817</v>
      </c>
      <c r="I11128" t="s">
        <v>38156</v>
      </c>
      <c r="J11128" t="s">
        <v>5484</v>
      </c>
      <c r="K11128" t="s">
        <v>5471</v>
      </c>
      <c r="L11128" t="s">
        <v>5471</v>
      </c>
      <c r="M11128" t="s">
        <v>5471</v>
      </c>
    </row>
    <row r="11129" spans="1:13" x14ac:dyDescent="0.3">
      <c r="A11129" t="s">
        <v>3380</v>
      </c>
      <c r="B11129" t="s">
        <v>5276</v>
      </c>
      <c r="C11129" t="s">
        <v>6342</v>
      </c>
      <c r="D11129" t="s">
        <v>4119</v>
      </c>
      <c r="E11129" t="s">
        <v>5480</v>
      </c>
      <c r="F11129" t="s">
        <v>38157</v>
      </c>
      <c r="G11129" t="s">
        <v>38158</v>
      </c>
      <c r="H11129" t="s">
        <v>37817</v>
      </c>
      <c r="I11129" t="s">
        <v>38159</v>
      </c>
      <c r="J11129" t="s">
        <v>5484</v>
      </c>
      <c r="K11129" t="s">
        <v>5471</v>
      </c>
      <c r="L11129" t="s">
        <v>5471</v>
      </c>
      <c r="M11129" t="s">
        <v>5471</v>
      </c>
    </row>
    <row r="11130" spans="1:13" x14ac:dyDescent="0.3">
      <c r="A11130" t="s">
        <v>3380</v>
      </c>
      <c r="B11130" t="s">
        <v>5276</v>
      </c>
      <c r="C11130" t="s">
        <v>6342</v>
      </c>
      <c r="D11130" t="s">
        <v>4119</v>
      </c>
      <c r="E11130" t="s">
        <v>5480</v>
      </c>
      <c r="F11130" t="s">
        <v>38160</v>
      </c>
      <c r="G11130" t="s">
        <v>38161</v>
      </c>
      <c r="H11130" t="s">
        <v>37817</v>
      </c>
      <c r="I11130" t="s">
        <v>38162</v>
      </c>
      <c r="J11130" t="s">
        <v>5484</v>
      </c>
      <c r="K11130" t="s">
        <v>5471</v>
      </c>
      <c r="L11130" t="s">
        <v>5471</v>
      </c>
      <c r="M11130" t="s">
        <v>5471</v>
      </c>
    </row>
    <row r="11131" spans="1:13" x14ac:dyDescent="0.3">
      <c r="A11131" t="s">
        <v>3380</v>
      </c>
      <c r="B11131" t="s">
        <v>5281</v>
      </c>
      <c r="C11131" t="s">
        <v>5487</v>
      </c>
      <c r="D11131" t="s">
        <v>4119</v>
      </c>
      <c r="E11131" t="s">
        <v>5532</v>
      </c>
      <c r="F11131" t="s">
        <v>38163</v>
      </c>
      <c r="G11131" t="s">
        <v>38164</v>
      </c>
      <c r="H11131" t="s">
        <v>37817</v>
      </c>
      <c r="I11131" t="s">
        <v>38165</v>
      </c>
      <c r="J11131" t="s">
        <v>5484</v>
      </c>
      <c r="K11131" t="s">
        <v>5471</v>
      </c>
      <c r="L11131" t="s">
        <v>5471</v>
      </c>
      <c r="M11131" t="s">
        <v>5471</v>
      </c>
    </row>
    <row r="11132" spans="1:13" x14ac:dyDescent="0.3">
      <c r="A11132" t="s">
        <v>3380</v>
      </c>
      <c r="B11132" t="s">
        <v>5281</v>
      </c>
      <c r="C11132" t="s">
        <v>5487</v>
      </c>
      <c r="D11132" t="s">
        <v>4119</v>
      </c>
      <c r="E11132" t="s">
        <v>5843</v>
      </c>
      <c r="F11132" t="s">
        <v>38166</v>
      </c>
      <c r="G11132" t="s">
        <v>10036</v>
      </c>
      <c r="H11132" t="s">
        <v>37817</v>
      </c>
      <c r="I11132" t="s">
        <v>38167</v>
      </c>
      <c r="J11132" t="s">
        <v>5484</v>
      </c>
      <c r="K11132" t="s">
        <v>5471</v>
      </c>
      <c r="L11132" t="s">
        <v>5471</v>
      </c>
      <c r="M11132" t="s">
        <v>5471</v>
      </c>
    </row>
    <row r="11133" spans="1:13" x14ac:dyDescent="0.3">
      <c r="A11133" t="s">
        <v>3380</v>
      </c>
      <c r="B11133" t="s">
        <v>5281</v>
      </c>
      <c r="C11133" t="s">
        <v>5487</v>
      </c>
      <c r="D11133" t="s">
        <v>4119</v>
      </c>
      <c r="E11133" t="s">
        <v>5532</v>
      </c>
      <c r="F11133" t="s">
        <v>38168</v>
      </c>
      <c r="G11133" t="s">
        <v>10032</v>
      </c>
      <c r="H11133" t="s">
        <v>37817</v>
      </c>
      <c r="I11133" t="s">
        <v>38169</v>
      </c>
      <c r="J11133" t="s">
        <v>5484</v>
      </c>
      <c r="K11133" t="s">
        <v>5471</v>
      </c>
      <c r="L11133" t="s">
        <v>5471</v>
      </c>
      <c r="M11133" t="s">
        <v>5471</v>
      </c>
    </row>
    <row r="11134" spans="1:13" x14ac:dyDescent="0.3">
      <c r="A11134" t="s">
        <v>3380</v>
      </c>
      <c r="B11134" t="s">
        <v>5306</v>
      </c>
      <c r="C11134" t="s">
        <v>6342</v>
      </c>
      <c r="D11134" t="s">
        <v>4119</v>
      </c>
      <c r="E11134" t="s">
        <v>5532</v>
      </c>
      <c r="F11134" t="s">
        <v>38170</v>
      </c>
      <c r="G11134" t="s">
        <v>38171</v>
      </c>
      <c r="H11134" t="s">
        <v>37817</v>
      </c>
      <c r="I11134" t="s">
        <v>38172</v>
      </c>
      <c r="J11134" t="s">
        <v>5484</v>
      </c>
      <c r="K11134" t="s">
        <v>5471</v>
      </c>
      <c r="L11134" t="s">
        <v>5471</v>
      </c>
      <c r="M11134" t="s">
        <v>5471</v>
      </c>
    </row>
    <row r="11135" spans="1:13" x14ac:dyDescent="0.3">
      <c r="A11135" t="s">
        <v>3383</v>
      </c>
      <c r="B11135" t="s">
        <v>5986</v>
      </c>
      <c r="C11135" t="s">
        <v>5487</v>
      </c>
      <c r="D11135" t="s">
        <v>4119</v>
      </c>
      <c r="E11135" t="s">
        <v>5532</v>
      </c>
      <c r="F11135" t="s">
        <v>38173</v>
      </c>
      <c r="G11135" t="s">
        <v>5987</v>
      </c>
      <c r="H11135" t="s">
        <v>37817</v>
      </c>
      <c r="I11135" t="s">
        <v>38174</v>
      </c>
      <c r="J11135" t="s">
        <v>5484</v>
      </c>
      <c r="K11135" t="s">
        <v>5471</v>
      </c>
      <c r="L11135" t="s">
        <v>5471</v>
      </c>
      <c r="M11135" t="s">
        <v>5471</v>
      </c>
    </row>
    <row r="11136" spans="1:13" x14ac:dyDescent="0.3">
      <c r="A11136" t="s">
        <v>3383</v>
      </c>
      <c r="B11136" t="s">
        <v>11240</v>
      </c>
      <c r="C11136" t="s">
        <v>5487</v>
      </c>
      <c r="D11136" t="s">
        <v>4119</v>
      </c>
      <c r="E11136" t="s">
        <v>5532</v>
      </c>
      <c r="F11136" t="s">
        <v>38175</v>
      </c>
      <c r="G11136" t="s">
        <v>11383</v>
      </c>
      <c r="H11136" t="s">
        <v>37817</v>
      </c>
      <c r="I11136" t="s">
        <v>38176</v>
      </c>
      <c r="J11136" t="s">
        <v>5484</v>
      </c>
      <c r="K11136" t="s">
        <v>5471</v>
      </c>
      <c r="L11136" t="s">
        <v>5471</v>
      </c>
      <c r="M11136" t="s">
        <v>5471</v>
      </c>
    </row>
    <row r="11137" spans="1:13" x14ac:dyDescent="0.3">
      <c r="A11137" t="s">
        <v>4013</v>
      </c>
      <c r="B11137" t="s">
        <v>5314</v>
      </c>
      <c r="C11137" t="s">
        <v>5487</v>
      </c>
      <c r="D11137" t="s">
        <v>33615</v>
      </c>
      <c r="E11137" t="s">
        <v>5532</v>
      </c>
      <c r="F11137" t="s">
        <v>38177</v>
      </c>
      <c r="G11137" t="s">
        <v>26426</v>
      </c>
      <c r="H11137" t="s">
        <v>37817</v>
      </c>
      <c r="I11137" t="s">
        <v>38178</v>
      </c>
      <c r="J11137" t="s">
        <v>5484</v>
      </c>
      <c r="K11137" t="s">
        <v>38179</v>
      </c>
      <c r="L11137" t="s">
        <v>5471</v>
      </c>
      <c r="M11137" t="s">
        <v>5471</v>
      </c>
    </row>
    <row r="11138" spans="1:13" x14ac:dyDescent="0.3">
      <c r="A11138" t="s">
        <v>4013</v>
      </c>
      <c r="B11138" t="s">
        <v>5314</v>
      </c>
      <c r="C11138" t="s">
        <v>5487</v>
      </c>
      <c r="D11138" t="s">
        <v>33615</v>
      </c>
      <c r="E11138" t="s">
        <v>5532</v>
      </c>
      <c r="F11138" t="s">
        <v>38180</v>
      </c>
      <c r="G11138" t="s">
        <v>38181</v>
      </c>
      <c r="H11138" t="s">
        <v>37817</v>
      </c>
      <c r="I11138" t="s">
        <v>38182</v>
      </c>
      <c r="J11138" t="s">
        <v>5484</v>
      </c>
      <c r="K11138" t="s">
        <v>38183</v>
      </c>
      <c r="L11138" t="s">
        <v>5471</v>
      </c>
      <c r="M11138" t="s">
        <v>5471</v>
      </c>
    </row>
    <row r="11139" spans="1:13" x14ac:dyDescent="0.3">
      <c r="A11139" t="s">
        <v>4013</v>
      </c>
      <c r="B11139" t="s">
        <v>5314</v>
      </c>
      <c r="C11139" t="s">
        <v>5487</v>
      </c>
      <c r="D11139" t="s">
        <v>33615</v>
      </c>
      <c r="E11139" t="s">
        <v>5532</v>
      </c>
      <c r="F11139" t="s">
        <v>38184</v>
      </c>
      <c r="G11139" t="s">
        <v>38185</v>
      </c>
      <c r="H11139" t="s">
        <v>37817</v>
      </c>
      <c r="I11139" t="s">
        <v>38186</v>
      </c>
      <c r="J11139" t="s">
        <v>5484</v>
      </c>
      <c r="K11139" t="s">
        <v>38187</v>
      </c>
      <c r="L11139" t="s">
        <v>5471</v>
      </c>
      <c r="M11139" t="s">
        <v>5471</v>
      </c>
    </row>
    <row r="11140" spans="1:13" x14ac:dyDescent="0.3">
      <c r="A11140" t="s">
        <v>4013</v>
      </c>
      <c r="B11140" t="s">
        <v>5314</v>
      </c>
      <c r="C11140" t="s">
        <v>5487</v>
      </c>
      <c r="D11140" t="s">
        <v>33615</v>
      </c>
      <c r="E11140" t="s">
        <v>5532</v>
      </c>
      <c r="F11140" t="s">
        <v>38188</v>
      </c>
      <c r="G11140" t="s">
        <v>26426</v>
      </c>
      <c r="H11140" t="s">
        <v>37817</v>
      </c>
      <c r="I11140" t="s">
        <v>38189</v>
      </c>
      <c r="J11140" t="s">
        <v>5484</v>
      </c>
      <c r="K11140" t="s">
        <v>38190</v>
      </c>
      <c r="L11140" t="s">
        <v>5471</v>
      </c>
      <c r="M11140" t="s">
        <v>5471</v>
      </c>
    </row>
    <row r="11141" spans="1:13" x14ac:dyDescent="0.3">
      <c r="A11141" t="s">
        <v>4013</v>
      </c>
      <c r="B11141" t="s">
        <v>5314</v>
      </c>
      <c r="C11141" t="s">
        <v>5487</v>
      </c>
      <c r="D11141" t="s">
        <v>33615</v>
      </c>
      <c r="E11141" t="s">
        <v>5532</v>
      </c>
      <c r="F11141" t="s">
        <v>38191</v>
      </c>
      <c r="G11141" t="s">
        <v>38192</v>
      </c>
      <c r="H11141" t="s">
        <v>37817</v>
      </c>
      <c r="I11141" t="s">
        <v>38193</v>
      </c>
      <c r="J11141" t="s">
        <v>5484</v>
      </c>
      <c r="K11141" t="s">
        <v>38194</v>
      </c>
      <c r="L11141" t="s">
        <v>5471</v>
      </c>
      <c r="M11141" t="s">
        <v>5471</v>
      </c>
    </row>
    <row r="11142" spans="1:13" x14ac:dyDescent="0.3">
      <c r="A11142" t="s">
        <v>4013</v>
      </c>
      <c r="B11142" t="s">
        <v>5314</v>
      </c>
      <c r="C11142" t="s">
        <v>5487</v>
      </c>
      <c r="D11142" t="s">
        <v>33615</v>
      </c>
      <c r="E11142" t="s">
        <v>5532</v>
      </c>
      <c r="F11142" t="s">
        <v>38195</v>
      </c>
      <c r="G11142" t="s">
        <v>38196</v>
      </c>
      <c r="H11142" t="s">
        <v>37817</v>
      </c>
      <c r="I11142" t="s">
        <v>38197</v>
      </c>
      <c r="J11142" t="s">
        <v>5484</v>
      </c>
      <c r="K11142" t="s">
        <v>38198</v>
      </c>
      <c r="L11142" t="s">
        <v>5471</v>
      </c>
      <c r="M11142" t="s">
        <v>5471</v>
      </c>
    </row>
    <row r="11143" spans="1:13" x14ac:dyDescent="0.3">
      <c r="A11143" t="s">
        <v>4013</v>
      </c>
      <c r="B11143" t="s">
        <v>5314</v>
      </c>
      <c r="C11143" t="s">
        <v>5487</v>
      </c>
      <c r="D11143" t="s">
        <v>33615</v>
      </c>
      <c r="E11143" t="s">
        <v>5532</v>
      </c>
      <c r="F11143" t="s">
        <v>38199</v>
      </c>
      <c r="G11143" t="s">
        <v>38200</v>
      </c>
      <c r="H11143" t="s">
        <v>37817</v>
      </c>
      <c r="I11143" t="s">
        <v>38201</v>
      </c>
      <c r="J11143" t="s">
        <v>5484</v>
      </c>
      <c r="K11143" t="s">
        <v>38202</v>
      </c>
      <c r="L11143" t="s">
        <v>5471</v>
      </c>
      <c r="M11143" t="s">
        <v>5471</v>
      </c>
    </row>
    <row r="11144" spans="1:13" x14ac:dyDescent="0.3">
      <c r="A11144" t="s">
        <v>4013</v>
      </c>
      <c r="B11144" t="s">
        <v>5314</v>
      </c>
      <c r="C11144" t="s">
        <v>5487</v>
      </c>
      <c r="D11144" t="s">
        <v>33615</v>
      </c>
      <c r="E11144" t="s">
        <v>5532</v>
      </c>
      <c r="F11144" t="s">
        <v>38203</v>
      </c>
      <c r="G11144" t="s">
        <v>38204</v>
      </c>
      <c r="H11144" t="s">
        <v>37817</v>
      </c>
      <c r="I11144" t="s">
        <v>38205</v>
      </c>
      <c r="J11144" t="s">
        <v>5484</v>
      </c>
      <c r="K11144" t="s">
        <v>38206</v>
      </c>
      <c r="L11144" t="s">
        <v>5471</v>
      </c>
      <c r="M11144" t="s">
        <v>5471</v>
      </c>
    </row>
    <row r="11145" spans="1:13" x14ac:dyDescent="0.3">
      <c r="A11145" t="s">
        <v>3383</v>
      </c>
      <c r="B11145" t="s">
        <v>5294</v>
      </c>
      <c r="C11145" t="s">
        <v>5470</v>
      </c>
      <c r="D11145" t="s">
        <v>4119</v>
      </c>
      <c r="E11145" t="s">
        <v>5756</v>
      </c>
      <c r="F11145" t="s">
        <v>38207</v>
      </c>
      <c r="G11145" t="s">
        <v>6199</v>
      </c>
      <c r="H11145" t="s">
        <v>37817</v>
      </c>
      <c r="I11145" t="s">
        <v>38208</v>
      </c>
      <c r="J11145" t="s">
        <v>5484</v>
      </c>
      <c r="K11145" t="s">
        <v>5471</v>
      </c>
      <c r="L11145" t="s">
        <v>5471</v>
      </c>
      <c r="M11145" t="s">
        <v>5471</v>
      </c>
    </row>
    <row r="11146" spans="1:13" x14ac:dyDescent="0.3">
      <c r="A11146" t="s">
        <v>3383</v>
      </c>
      <c r="B11146" t="s">
        <v>5294</v>
      </c>
      <c r="C11146" t="s">
        <v>5470</v>
      </c>
      <c r="D11146" t="s">
        <v>4119</v>
      </c>
      <c r="E11146" t="s">
        <v>5756</v>
      </c>
      <c r="F11146" t="s">
        <v>38209</v>
      </c>
      <c r="G11146" t="s">
        <v>6199</v>
      </c>
      <c r="H11146" t="s">
        <v>37817</v>
      </c>
      <c r="I11146" t="s">
        <v>38210</v>
      </c>
      <c r="J11146" t="s">
        <v>5484</v>
      </c>
      <c r="K11146" t="s">
        <v>5471</v>
      </c>
      <c r="L11146" t="s">
        <v>5471</v>
      </c>
      <c r="M11146" t="s">
        <v>5471</v>
      </c>
    </row>
    <row r="11147" spans="1:13" x14ac:dyDescent="0.3">
      <c r="A11147" t="s">
        <v>3383</v>
      </c>
      <c r="B11147" t="s">
        <v>5294</v>
      </c>
      <c r="C11147" t="s">
        <v>5470</v>
      </c>
      <c r="D11147" t="s">
        <v>4119</v>
      </c>
      <c r="E11147" t="s">
        <v>5756</v>
      </c>
      <c r="F11147" t="s">
        <v>38211</v>
      </c>
      <c r="G11147" t="s">
        <v>6199</v>
      </c>
      <c r="H11147" t="s">
        <v>37817</v>
      </c>
      <c r="I11147" t="s">
        <v>38212</v>
      </c>
      <c r="J11147" t="s">
        <v>5484</v>
      </c>
      <c r="K11147" t="s">
        <v>5471</v>
      </c>
      <c r="L11147" t="s">
        <v>5471</v>
      </c>
      <c r="M11147" t="s">
        <v>5471</v>
      </c>
    </row>
    <row r="11148" spans="1:13" x14ac:dyDescent="0.3">
      <c r="A11148" t="s">
        <v>3383</v>
      </c>
      <c r="B11148" t="s">
        <v>5294</v>
      </c>
      <c r="C11148" t="s">
        <v>5470</v>
      </c>
      <c r="D11148" t="s">
        <v>4119</v>
      </c>
      <c r="E11148" t="s">
        <v>5756</v>
      </c>
      <c r="F11148" t="s">
        <v>38213</v>
      </c>
      <c r="G11148" t="s">
        <v>6201</v>
      </c>
      <c r="H11148" t="s">
        <v>37817</v>
      </c>
      <c r="I11148" t="s">
        <v>38214</v>
      </c>
      <c r="J11148" t="s">
        <v>5484</v>
      </c>
      <c r="K11148" t="s">
        <v>5471</v>
      </c>
      <c r="L11148" t="s">
        <v>5471</v>
      </c>
      <c r="M11148" t="s">
        <v>5471</v>
      </c>
    </row>
    <row r="11149" spans="1:13" x14ac:dyDescent="0.3">
      <c r="A11149" t="s">
        <v>3383</v>
      </c>
      <c r="B11149" t="s">
        <v>5294</v>
      </c>
      <c r="C11149" t="s">
        <v>5470</v>
      </c>
      <c r="D11149" t="s">
        <v>4119</v>
      </c>
      <c r="E11149" t="s">
        <v>5756</v>
      </c>
      <c r="F11149" t="s">
        <v>38215</v>
      </c>
      <c r="G11149" t="s">
        <v>6201</v>
      </c>
      <c r="H11149" t="s">
        <v>37817</v>
      </c>
      <c r="I11149" t="s">
        <v>38216</v>
      </c>
      <c r="J11149" t="s">
        <v>5484</v>
      </c>
      <c r="K11149" t="s">
        <v>5471</v>
      </c>
      <c r="L11149" t="s">
        <v>5471</v>
      </c>
      <c r="M11149" t="s">
        <v>5471</v>
      </c>
    </row>
    <row r="11150" spans="1:13" x14ac:dyDescent="0.3">
      <c r="A11150" t="s">
        <v>3383</v>
      </c>
      <c r="B11150" t="s">
        <v>5294</v>
      </c>
      <c r="C11150" t="s">
        <v>5470</v>
      </c>
      <c r="D11150" t="s">
        <v>4119</v>
      </c>
      <c r="E11150" t="s">
        <v>5756</v>
      </c>
      <c r="F11150" t="s">
        <v>38217</v>
      </c>
      <c r="G11150" t="s">
        <v>6201</v>
      </c>
      <c r="H11150" t="s">
        <v>37817</v>
      </c>
      <c r="I11150" t="s">
        <v>38218</v>
      </c>
      <c r="J11150" t="s">
        <v>5484</v>
      </c>
      <c r="K11150" t="s">
        <v>5471</v>
      </c>
      <c r="L11150" t="s">
        <v>5471</v>
      </c>
      <c r="M11150" t="s">
        <v>5471</v>
      </c>
    </row>
    <row r="11151" spans="1:13" x14ac:dyDescent="0.3">
      <c r="A11151" t="s">
        <v>3383</v>
      </c>
      <c r="B11151" t="s">
        <v>5294</v>
      </c>
      <c r="C11151" t="s">
        <v>5470</v>
      </c>
      <c r="D11151" t="s">
        <v>4119</v>
      </c>
      <c r="E11151" t="s">
        <v>5756</v>
      </c>
      <c r="F11151" t="s">
        <v>38219</v>
      </c>
      <c r="G11151" t="s">
        <v>6201</v>
      </c>
      <c r="H11151" t="s">
        <v>37817</v>
      </c>
      <c r="I11151" t="s">
        <v>38220</v>
      </c>
      <c r="J11151" t="s">
        <v>5484</v>
      </c>
      <c r="K11151" t="s">
        <v>5471</v>
      </c>
      <c r="L11151" t="s">
        <v>5471</v>
      </c>
      <c r="M11151" t="s">
        <v>5471</v>
      </c>
    </row>
    <row r="11152" spans="1:13" x14ac:dyDescent="0.3">
      <c r="A11152" t="s">
        <v>3383</v>
      </c>
      <c r="B11152" t="s">
        <v>5294</v>
      </c>
      <c r="C11152" t="s">
        <v>5470</v>
      </c>
      <c r="D11152" t="s">
        <v>4058</v>
      </c>
      <c r="E11152" t="s">
        <v>5756</v>
      </c>
      <c r="F11152" t="s">
        <v>38221</v>
      </c>
      <c r="G11152" t="s">
        <v>6199</v>
      </c>
      <c r="H11152" t="s">
        <v>37817</v>
      </c>
      <c r="I11152" t="s">
        <v>38222</v>
      </c>
      <c r="J11152" t="s">
        <v>5484</v>
      </c>
      <c r="K11152" t="s">
        <v>38223</v>
      </c>
      <c r="L11152" t="s">
        <v>5471</v>
      </c>
      <c r="M11152" t="s">
        <v>5471</v>
      </c>
    </row>
    <row r="11153" spans="1:13" x14ac:dyDescent="0.3">
      <c r="A11153" t="s">
        <v>3383</v>
      </c>
      <c r="B11153" t="s">
        <v>5294</v>
      </c>
      <c r="C11153" t="s">
        <v>5470</v>
      </c>
      <c r="D11153" t="s">
        <v>4058</v>
      </c>
      <c r="E11153" t="s">
        <v>5756</v>
      </c>
      <c r="F11153" t="s">
        <v>38224</v>
      </c>
      <c r="G11153" t="s">
        <v>6201</v>
      </c>
      <c r="H11153" t="s">
        <v>37817</v>
      </c>
      <c r="I11153" t="s">
        <v>38225</v>
      </c>
      <c r="J11153" t="s">
        <v>5484</v>
      </c>
      <c r="K11153" t="s">
        <v>38226</v>
      </c>
      <c r="L11153" t="s">
        <v>5471</v>
      </c>
      <c r="M11153" t="s">
        <v>5471</v>
      </c>
    </row>
    <row r="11154" spans="1:13" x14ac:dyDescent="0.3">
      <c r="A11154" t="s">
        <v>3383</v>
      </c>
      <c r="B11154" t="s">
        <v>5294</v>
      </c>
      <c r="C11154" t="s">
        <v>5470</v>
      </c>
      <c r="D11154" t="s">
        <v>4058</v>
      </c>
      <c r="E11154" t="s">
        <v>5756</v>
      </c>
      <c r="F11154" t="s">
        <v>38227</v>
      </c>
      <c r="G11154" t="s">
        <v>6199</v>
      </c>
      <c r="H11154" t="s">
        <v>37817</v>
      </c>
      <c r="I11154" t="s">
        <v>38228</v>
      </c>
      <c r="J11154" t="s">
        <v>5484</v>
      </c>
      <c r="K11154" t="s">
        <v>38229</v>
      </c>
      <c r="L11154" t="s">
        <v>5471</v>
      </c>
      <c r="M11154" t="s">
        <v>5471</v>
      </c>
    </row>
    <row r="11155" spans="1:13" x14ac:dyDescent="0.3">
      <c r="A11155" t="s">
        <v>3383</v>
      </c>
      <c r="B11155" t="s">
        <v>5294</v>
      </c>
      <c r="C11155" t="s">
        <v>5470</v>
      </c>
      <c r="D11155" t="s">
        <v>4058</v>
      </c>
      <c r="E11155" t="s">
        <v>5756</v>
      </c>
      <c r="F11155" t="s">
        <v>38230</v>
      </c>
      <c r="G11155" t="s">
        <v>6201</v>
      </c>
      <c r="H11155" t="s">
        <v>37817</v>
      </c>
      <c r="I11155" t="s">
        <v>38231</v>
      </c>
      <c r="J11155" t="s">
        <v>5484</v>
      </c>
      <c r="K11155" t="s">
        <v>38232</v>
      </c>
      <c r="L11155" t="s">
        <v>5471</v>
      </c>
      <c r="M11155" t="s">
        <v>5471</v>
      </c>
    </row>
    <row r="11156" spans="1:13" x14ac:dyDescent="0.3">
      <c r="A11156" t="s">
        <v>3383</v>
      </c>
      <c r="B11156" t="s">
        <v>5952</v>
      </c>
      <c r="C11156" t="s">
        <v>5470</v>
      </c>
      <c r="D11156" t="s">
        <v>4119</v>
      </c>
      <c r="E11156" t="s">
        <v>5756</v>
      </c>
      <c r="F11156" t="s">
        <v>38233</v>
      </c>
      <c r="G11156" t="s">
        <v>6201</v>
      </c>
      <c r="H11156" t="s">
        <v>37817</v>
      </c>
      <c r="I11156" t="s">
        <v>38234</v>
      </c>
      <c r="J11156" t="s">
        <v>5484</v>
      </c>
      <c r="K11156" t="s">
        <v>5471</v>
      </c>
      <c r="L11156" t="s">
        <v>5471</v>
      </c>
      <c r="M11156" t="s">
        <v>5471</v>
      </c>
    </row>
    <row r="11157" spans="1:13" x14ac:dyDescent="0.3">
      <c r="A11157" t="s">
        <v>3383</v>
      </c>
      <c r="B11157" t="s">
        <v>5952</v>
      </c>
      <c r="C11157" t="s">
        <v>5470</v>
      </c>
      <c r="D11157" t="s">
        <v>4058</v>
      </c>
      <c r="E11157" t="s">
        <v>5756</v>
      </c>
      <c r="F11157" t="s">
        <v>38235</v>
      </c>
      <c r="G11157" t="s">
        <v>6199</v>
      </c>
      <c r="H11157" t="s">
        <v>37817</v>
      </c>
      <c r="I11157" t="s">
        <v>38236</v>
      </c>
      <c r="J11157" t="s">
        <v>5484</v>
      </c>
      <c r="K11157" t="s">
        <v>38237</v>
      </c>
      <c r="L11157" t="s">
        <v>5471</v>
      </c>
      <c r="M11157" t="s">
        <v>5471</v>
      </c>
    </row>
    <row r="11158" spans="1:13" x14ac:dyDescent="0.3">
      <c r="A11158" t="s">
        <v>3383</v>
      </c>
      <c r="B11158" t="s">
        <v>5952</v>
      </c>
      <c r="C11158" t="s">
        <v>5470</v>
      </c>
      <c r="D11158" t="s">
        <v>4058</v>
      </c>
      <c r="E11158" t="s">
        <v>5756</v>
      </c>
      <c r="F11158" t="s">
        <v>38238</v>
      </c>
      <c r="G11158" t="s">
        <v>6201</v>
      </c>
      <c r="H11158" t="s">
        <v>37817</v>
      </c>
      <c r="I11158" t="s">
        <v>38239</v>
      </c>
      <c r="J11158" t="s">
        <v>5484</v>
      </c>
      <c r="K11158" t="s">
        <v>38240</v>
      </c>
      <c r="L11158" t="s">
        <v>5471</v>
      </c>
      <c r="M11158" t="s">
        <v>5471</v>
      </c>
    </row>
    <row r="11159" spans="1:13" x14ac:dyDescent="0.3">
      <c r="A11159" t="s">
        <v>3383</v>
      </c>
      <c r="B11159" t="s">
        <v>5952</v>
      </c>
      <c r="C11159" t="s">
        <v>5470</v>
      </c>
      <c r="D11159" t="s">
        <v>4058</v>
      </c>
      <c r="E11159" t="s">
        <v>5756</v>
      </c>
      <c r="F11159" t="s">
        <v>38241</v>
      </c>
      <c r="G11159" t="s">
        <v>6199</v>
      </c>
      <c r="H11159" t="s">
        <v>37817</v>
      </c>
      <c r="I11159" t="s">
        <v>38242</v>
      </c>
      <c r="J11159" t="s">
        <v>5484</v>
      </c>
      <c r="K11159" t="s">
        <v>38243</v>
      </c>
      <c r="L11159" t="s">
        <v>5471</v>
      </c>
      <c r="M11159" t="s">
        <v>5471</v>
      </c>
    </row>
    <row r="11160" spans="1:13" x14ac:dyDescent="0.3">
      <c r="A11160" t="s">
        <v>3383</v>
      </c>
      <c r="B11160" t="s">
        <v>5952</v>
      </c>
      <c r="C11160" t="s">
        <v>5470</v>
      </c>
      <c r="D11160" t="s">
        <v>4058</v>
      </c>
      <c r="E11160" t="s">
        <v>5756</v>
      </c>
      <c r="F11160" t="s">
        <v>38244</v>
      </c>
      <c r="G11160" t="s">
        <v>6201</v>
      </c>
      <c r="H11160" t="s">
        <v>37817</v>
      </c>
      <c r="I11160" t="s">
        <v>38245</v>
      </c>
      <c r="J11160" t="s">
        <v>5484</v>
      </c>
      <c r="K11160" t="s">
        <v>38246</v>
      </c>
      <c r="L11160" t="s">
        <v>5471</v>
      </c>
      <c r="M11160" t="s">
        <v>5471</v>
      </c>
    </row>
    <row r="11161" spans="1:13" x14ac:dyDescent="0.3">
      <c r="A11161" t="s">
        <v>3383</v>
      </c>
      <c r="B11161" t="s">
        <v>5586</v>
      </c>
      <c r="C11161" t="s">
        <v>5487</v>
      </c>
      <c r="D11161" t="s">
        <v>4119</v>
      </c>
      <c r="E11161" t="s">
        <v>5532</v>
      </c>
      <c r="F11161" t="s">
        <v>38247</v>
      </c>
      <c r="G11161" t="s">
        <v>6077</v>
      </c>
      <c r="H11161" t="s">
        <v>37817</v>
      </c>
      <c r="I11161" t="s">
        <v>38248</v>
      </c>
      <c r="J11161" t="s">
        <v>5484</v>
      </c>
      <c r="K11161" t="s">
        <v>5471</v>
      </c>
      <c r="L11161" t="s">
        <v>5471</v>
      </c>
      <c r="M11161" t="s">
        <v>5471</v>
      </c>
    </row>
    <row r="11162" spans="1:13" x14ac:dyDescent="0.3">
      <c r="A11162" t="s">
        <v>3388</v>
      </c>
      <c r="B11162" t="s">
        <v>5616</v>
      </c>
      <c r="C11162" t="s">
        <v>5470</v>
      </c>
      <c r="D11162" t="s">
        <v>4056</v>
      </c>
      <c r="E11162" t="s">
        <v>5532</v>
      </c>
      <c r="F11162" t="s">
        <v>38249</v>
      </c>
      <c r="G11162" t="s">
        <v>29451</v>
      </c>
      <c r="H11162" t="s">
        <v>37817</v>
      </c>
      <c r="I11162" t="s">
        <v>38250</v>
      </c>
      <c r="J11162" t="s">
        <v>5484</v>
      </c>
      <c r="K11162" t="s">
        <v>5471</v>
      </c>
      <c r="L11162" t="s">
        <v>5471</v>
      </c>
      <c r="M11162" t="s">
        <v>5471</v>
      </c>
    </row>
    <row r="11163" spans="1:13" x14ac:dyDescent="0.3">
      <c r="A11163" t="s">
        <v>3388</v>
      </c>
      <c r="B11163" t="s">
        <v>2749</v>
      </c>
      <c r="C11163" t="s">
        <v>5470</v>
      </c>
      <c r="D11163" t="s">
        <v>4119</v>
      </c>
      <c r="E11163" t="s">
        <v>5532</v>
      </c>
      <c r="F11163" t="s">
        <v>38251</v>
      </c>
      <c r="G11163" t="s">
        <v>38252</v>
      </c>
      <c r="H11163" t="s">
        <v>37817</v>
      </c>
      <c r="I11163" t="s">
        <v>38253</v>
      </c>
      <c r="J11163" t="s">
        <v>5484</v>
      </c>
      <c r="K11163" t="s">
        <v>5471</v>
      </c>
      <c r="L11163" t="s">
        <v>5471</v>
      </c>
      <c r="M11163" t="s">
        <v>5471</v>
      </c>
    </row>
    <row r="11164" spans="1:13" x14ac:dyDescent="0.3">
      <c r="A11164" t="s">
        <v>3388</v>
      </c>
      <c r="B11164" t="s">
        <v>2749</v>
      </c>
      <c r="C11164" t="s">
        <v>5470</v>
      </c>
      <c r="D11164" t="s">
        <v>4119</v>
      </c>
      <c r="E11164" t="s">
        <v>5532</v>
      </c>
      <c r="F11164" t="s">
        <v>38254</v>
      </c>
      <c r="G11164" t="s">
        <v>38252</v>
      </c>
      <c r="H11164" t="s">
        <v>37817</v>
      </c>
      <c r="I11164" t="s">
        <v>38255</v>
      </c>
      <c r="J11164" t="s">
        <v>5484</v>
      </c>
      <c r="K11164" t="s">
        <v>5471</v>
      </c>
      <c r="L11164" t="s">
        <v>5471</v>
      </c>
      <c r="M11164" t="s">
        <v>5471</v>
      </c>
    </row>
    <row r="11165" spans="1:13" x14ac:dyDescent="0.3">
      <c r="A11165" t="s">
        <v>3388</v>
      </c>
      <c r="B11165" t="s">
        <v>8799</v>
      </c>
      <c r="C11165" t="s">
        <v>5470</v>
      </c>
      <c r="D11165" t="s">
        <v>4119</v>
      </c>
      <c r="E11165" t="s">
        <v>5532</v>
      </c>
      <c r="F11165" t="s">
        <v>38256</v>
      </c>
      <c r="G11165" t="s">
        <v>18927</v>
      </c>
      <c r="H11165" t="s">
        <v>37817</v>
      </c>
      <c r="I11165" t="s">
        <v>38257</v>
      </c>
      <c r="J11165" t="s">
        <v>5484</v>
      </c>
      <c r="K11165" t="s">
        <v>5471</v>
      </c>
      <c r="L11165" t="s">
        <v>5471</v>
      </c>
      <c r="M11165" t="s">
        <v>5471</v>
      </c>
    </row>
    <row r="11166" spans="1:13" x14ac:dyDescent="0.3">
      <c r="A11166" t="s">
        <v>3388</v>
      </c>
      <c r="B11166" t="s">
        <v>8799</v>
      </c>
      <c r="C11166" t="s">
        <v>5470</v>
      </c>
      <c r="D11166" t="s">
        <v>4119</v>
      </c>
      <c r="E11166" t="s">
        <v>5532</v>
      </c>
      <c r="F11166" t="s">
        <v>38258</v>
      </c>
      <c r="G11166" t="s">
        <v>18759</v>
      </c>
      <c r="H11166" t="s">
        <v>37817</v>
      </c>
      <c r="I11166" t="s">
        <v>38259</v>
      </c>
      <c r="J11166" t="s">
        <v>5484</v>
      </c>
      <c r="K11166" t="s">
        <v>5471</v>
      </c>
      <c r="L11166" t="s">
        <v>5471</v>
      </c>
      <c r="M11166" t="s">
        <v>5471</v>
      </c>
    </row>
    <row r="11167" spans="1:13" x14ac:dyDescent="0.3">
      <c r="A11167" t="s">
        <v>3388</v>
      </c>
      <c r="B11167" t="s">
        <v>8799</v>
      </c>
      <c r="C11167" t="s">
        <v>5470</v>
      </c>
      <c r="D11167" t="s">
        <v>4119</v>
      </c>
      <c r="E11167" t="s">
        <v>5532</v>
      </c>
      <c r="F11167" t="s">
        <v>38260</v>
      </c>
      <c r="G11167" t="s">
        <v>18769</v>
      </c>
      <c r="H11167" t="s">
        <v>37817</v>
      </c>
      <c r="I11167" t="s">
        <v>38261</v>
      </c>
      <c r="J11167" t="s">
        <v>5484</v>
      </c>
      <c r="K11167" t="s">
        <v>5471</v>
      </c>
      <c r="L11167" t="s">
        <v>5471</v>
      </c>
      <c r="M11167" t="s">
        <v>5471</v>
      </c>
    </row>
    <row r="11168" spans="1:13" x14ac:dyDescent="0.3">
      <c r="A11168" t="s">
        <v>3388</v>
      </c>
      <c r="B11168" t="s">
        <v>8799</v>
      </c>
      <c r="C11168" t="s">
        <v>5470</v>
      </c>
      <c r="D11168" t="s">
        <v>4119</v>
      </c>
      <c r="E11168" t="s">
        <v>5756</v>
      </c>
      <c r="F11168" t="s">
        <v>38262</v>
      </c>
      <c r="G11168" t="s">
        <v>8370</v>
      </c>
      <c r="H11168" t="s">
        <v>37817</v>
      </c>
      <c r="I11168" t="s">
        <v>38263</v>
      </c>
      <c r="J11168" t="s">
        <v>5484</v>
      </c>
      <c r="K11168" t="s">
        <v>5471</v>
      </c>
      <c r="L11168" t="s">
        <v>5471</v>
      </c>
      <c r="M11168" t="s">
        <v>5471</v>
      </c>
    </row>
    <row r="11169" spans="1:13" x14ac:dyDescent="0.3">
      <c r="A11169" t="s">
        <v>3388</v>
      </c>
      <c r="B11169" t="s">
        <v>8799</v>
      </c>
      <c r="C11169" t="s">
        <v>5470</v>
      </c>
      <c r="D11169" t="s">
        <v>4119</v>
      </c>
      <c r="E11169" t="s">
        <v>5532</v>
      </c>
      <c r="F11169" t="s">
        <v>38264</v>
      </c>
      <c r="G11169" t="s">
        <v>18927</v>
      </c>
      <c r="H11169" t="s">
        <v>37817</v>
      </c>
      <c r="I11169" t="s">
        <v>38265</v>
      </c>
      <c r="J11169" t="s">
        <v>5484</v>
      </c>
      <c r="K11169" t="s">
        <v>5471</v>
      </c>
      <c r="L11169" t="s">
        <v>5471</v>
      </c>
      <c r="M11169" t="s">
        <v>5471</v>
      </c>
    </row>
    <row r="11170" spans="1:13" x14ac:dyDescent="0.3">
      <c r="A11170" t="s">
        <v>3388</v>
      </c>
      <c r="B11170" t="s">
        <v>8799</v>
      </c>
      <c r="C11170" t="s">
        <v>5470</v>
      </c>
      <c r="D11170" t="s">
        <v>4119</v>
      </c>
      <c r="E11170" t="s">
        <v>5532</v>
      </c>
      <c r="F11170" t="s">
        <v>38266</v>
      </c>
      <c r="G11170" t="s">
        <v>18759</v>
      </c>
      <c r="H11170" t="s">
        <v>37817</v>
      </c>
      <c r="I11170" t="s">
        <v>38267</v>
      </c>
      <c r="J11170" t="s">
        <v>5484</v>
      </c>
      <c r="K11170" t="s">
        <v>5471</v>
      </c>
      <c r="L11170" t="s">
        <v>5471</v>
      </c>
      <c r="M11170" t="s">
        <v>5471</v>
      </c>
    </row>
    <row r="11171" spans="1:13" x14ac:dyDescent="0.3">
      <c r="A11171" t="s">
        <v>3388</v>
      </c>
      <c r="B11171" t="s">
        <v>8799</v>
      </c>
      <c r="C11171" t="s">
        <v>5470</v>
      </c>
      <c r="D11171" t="s">
        <v>4119</v>
      </c>
      <c r="E11171" t="s">
        <v>5532</v>
      </c>
      <c r="F11171" t="s">
        <v>38268</v>
      </c>
      <c r="G11171" t="s">
        <v>18769</v>
      </c>
      <c r="H11171" t="s">
        <v>37817</v>
      </c>
      <c r="I11171" t="s">
        <v>38269</v>
      </c>
      <c r="J11171" t="s">
        <v>5484</v>
      </c>
      <c r="K11171" t="s">
        <v>5471</v>
      </c>
      <c r="L11171" t="s">
        <v>5471</v>
      </c>
      <c r="M11171" t="s">
        <v>5471</v>
      </c>
    </row>
    <row r="11172" spans="1:13" x14ac:dyDescent="0.3">
      <c r="A11172" t="s">
        <v>3388</v>
      </c>
      <c r="B11172" t="s">
        <v>8799</v>
      </c>
      <c r="C11172" t="s">
        <v>5470</v>
      </c>
      <c r="D11172" t="s">
        <v>4119</v>
      </c>
      <c r="E11172" t="s">
        <v>5756</v>
      </c>
      <c r="F11172" t="s">
        <v>38270</v>
      </c>
      <c r="G11172" t="s">
        <v>8370</v>
      </c>
      <c r="H11172" t="s">
        <v>37817</v>
      </c>
      <c r="I11172" t="s">
        <v>38271</v>
      </c>
      <c r="J11172" t="s">
        <v>5484</v>
      </c>
      <c r="K11172" t="s">
        <v>5471</v>
      </c>
      <c r="L11172" t="s">
        <v>5471</v>
      </c>
      <c r="M11172" t="s">
        <v>5471</v>
      </c>
    </row>
    <row r="11173" spans="1:13" x14ac:dyDescent="0.3">
      <c r="A11173" t="s">
        <v>3388</v>
      </c>
      <c r="B11173" t="s">
        <v>38272</v>
      </c>
      <c r="C11173" t="s">
        <v>5470</v>
      </c>
      <c r="D11173" t="s">
        <v>4119</v>
      </c>
      <c r="E11173" t="s">
        <v>5532</v>
      </c>
      <c r="F11173" t="s">
        <v>38273</v>
      </c>
      <c r="G11173" t="s">
        <v>38252</v>
      </c>
      <c r="H11173" t="s">
        <v>37817</v>
      </c>
      <c r="I11173" t="s">
        <v>38274</v>
      </c>
      <c r="J11173" t="s">
        <v>5484</v>
      </c>
      <c r="K11173" t="s">
        <v>5471</v>
      </c>
      <c r="L11173" t="s">
        <v>5471</v>
      </c>
      <c r="M11173" t="s">
        <v>5471</v>
      </c>
    </row>
    <row r="11174" spans="1:13" x14ac:dyDescent="0.3">
      <c r="A11174" t="s">
        <v>3388</v>
      </c>
      <c r="B11174" t="s">
        <v>38272</v>
      </c>
      <c r="C11174" t="s">
        <v>5470</v>
      </c>
      <c r="D11174" t="s">
        <v>4119</v>
      </c>
      <c r="E11174" t="s">
        <v>5532</v>
      </c>
      <c r="F11174" t="s">
        <v>38275</v>
      </c>
      <c r="G11174" t="s">
        <v>22242</v>
      </c>
      <c r="H11174" t="s">
        <v>37817</v>
      </c>
      <c r="I11174" t="s">
        <v>38276</v>
      </c>
      <c r="J11174" t="s">
        <v>5484</v>
      </c>
      <c r="K11174" t="s">
        <v>5471</v>
      </c>
      <c r="L11174" t="s">
        <v>5471</v>
      </c>
      <c r="M11174" t="s">
        <v>5471</v>
      </c>
    </row>
    <row r="11175" spans="1:13" x14ac:dyDescent="0.3">
      <c r="A11175" t="s">
        <v>3388</v>
      </c>
      <c r="B11175" t="s">
        <v>38272</v>
      </c>
      <c r="C11175" t="s">
        <v>5470</v>
      </c>
      <c r="D11175" t="s">
        <v>4119</v>
      </c>
      <c r="E11175" t="s">
        <v>5532</v>
      </c>
      <c r="F11175" t="s">
        <v>38277</v>
      </c>
      <c r="G11175" t="s">
        <v>38278</v>
      </c>
      <c r="H11175" t="s">
        <v>37817</v>
      </c>
      <c r="I11175" t="s">
        <v>38279</v>
      </c>
      <c r="J11175" t="s">
        <v>5484</v>
      </c>
      <c r="K11175" t="s">
        <v>5471</v>
      </c>
      <c r="L11175" t="s">
        <v>5471</v>
      </c>
      <c r="M11175" t="s">
        <v>5471</v>
      </c>
    </row>
  </sheetData>
  <autoFilter ref="A1:M11175" xr:uid="{F34D2929-46F3-4728-9808-7A070406338D}"/>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3C16F-87E2-4BEC-B248-A0365888687D}">
  <dimension ref="C4:X6199"/>
  <sheetViews>
    <sheetView showGridLines="0" topLeftCell="L1" zoomScale="115" zoomScaleNormal="115" workbookViewId="0">
      <selection activeCell="T17" sqref="T17"/>
    </sheetView>
  </sheetViews>
  <sheetFormatPr defaultColWidth="9.09765625" defaultRowHeight="13" x14ac:dyDescent="0.3"/>
  <cols>
    <col min="1" max="2" width="9.09765625" style="43"/>
    <col min="3" max="3" width="42.296875" style="43" customWidth="1"/>
    <col min="4" max="4" width="51.59765625" style="43" customWidth="1"/>
    <col min="5" max="5" width="9.09765625" style="43"/>
    <col min="6" max="6" width="22.69921875" style="43" customWidth="1"/>
    <col min="7" max="7" width="9.09765625" style="43"/>
    <col min="8" max="11" width="19.59765625" style="43" customWidth="1"/>
    <col min="12" max="12" width="23.8984375" style="43" bestFit="1" customWidth="1"/>
    <col min="13" max="13" width="21.69921875" style="43" bestFit="1" customWidth="1"/>
    <col min="14" max="15" width="43.296875" style="43" bestFit="1" customWidth="1"/>
    <col min="16" max="16" width="43.296875" style="43" customWidth="1"/>
    <col min="17" max="17" width="11.69921875" style="43" bestFit="1" customWidth="1"/>
    <col min="18" max="16384" width="9.09765625" style="43"/>
  </cols>
  <sheetData>
    <row r="4" spans="3:24" ht="13.5" thickBot="1" x14ac:dyDescent="0.35">
      <c r="C4" s="43" t="s">
        <v>13</v>
      </c>
      <c r="D4" s="43" t="s">
        <v>38280</v>
      </c>
      <c r="F4" s="43" t="s">
        <v>38281</v>
      </c>
      <c r="H4" s="43" t="s">
        <v>21</v>
      </c>
      <c r="J4" s="81" t="s">
        <v>38282</v>
      </c>
      <c r="K4" s="82" t="s">
        <v>508</v>
      </c>
      <c r="L4" s="81" t="s">
        <v>38283</v>
      </c>
      <c r="M4" s="83" t="s">
        <v>1796</v>
      </c>
    </row>
    <row r="5" spans="3:24" ht="14.5" x14ac:dyDescent="0.3">
      <c r="C5" s="43" t="s">
        <v>439</v>
      </c>
      <c r="D5" s="43" t="s">
        <v>38284</v>
      </c>
      <c r="F5" s="43" t="s">
        <v>506</v>
      </c>
      <c r="H5" s="43" t="s">
        <v>38282</v>
      </c>
      <c r="J5" s="79" t="s">
        <v>38282</v>
      </c>
      <c r="K5" s="43" t="s">
        <v>38285</v>
      </c>
      <c r="L5" s="43" t="s">
        <v>38286</v>
      </c>
      <c r="M5" s="43" t="s">
        <v>38285</v>
      </c>
    </row>
    <row r="6" spans="3:24" x14ac:dyDescent="0.3">
      <c r="C6" s="43" t="s">
        <v>1010</v>
      </c>
      <c r="D6" s="43" t="s">
        <v>38287</v>
      </c>
      <c r="F6" s="43" t="s">
        <v>2792</v>
      </c>
      <c r="H6" s="43" t="s">
        <v>508</v>
      </c>
      <c r="K6" s="43" t="s">
        <v>1039</v>
      </c>
      <c r="L6" s="43" t="s">
        <v>38288</v>
      </c>
      <c r="M6" s="43" t="s">
        <v>38289</v>
      </c>
    </row>
    <row r="7" spans="3:24" x14ac:dyDescent="0.3">
      <c r="C7" s="43" t="s">
        <v>38290</v>
      </c>
      <c r="D7" s="62" t="s">
        <v>38291</v>
      </c>
      <c r="H7" s="43" t="s">
        <v>38283</v>
      </c>
      <c r="K7" s="43" t="s">
        <v>509</v>
      </c>
      <c r="L7" s="43" t="s">
        <v>38292</v>
      </c>
      <c r="M7" s="43" t="s">
        <v>38293</v>
      </c>
    </row>
    <row r="8" spans="3:24" x14ac:dyDescent="0.3">
      <c r="C8" s="43" t="s">
        <v>38294</v>
      </c>
      <c r="D8" s="43" t="s">
        <v>38295</v>
      </c>
      <c r="H8" s="43" t="s">
        <v>1796</v>
      </c>
      <c r="K8" s="43" t="s">
        <v>1741</v>
      </c>
      <c r="M8" s="43" t="s">
        <v>1797</v>
      </c>
    </row>
    <row r="9" spans="3:24" x14ac:dyDescent="0.3">
      <c r="C9" s="43" t="s">
        <v>38296</v>
      </c>
      <c r="D9" s="43" t="s">
        <v>38297</v>
      </c>
      <c r="M9" s="43" t="s">
        <v>38298</v>
      </c>
    </row>
    <row r="10" spans="3:24" x14ac:dyDescent="0.3">
      <c r="C10" s="43" t="s">
        <v>38299</v>
      </c>
      <c r="D10" s="43" t="s">
        <v>38300</v>
      </c>
      <c r="M10" s="43" t="s">
        <v>1039</v>
      </c>
    </row>
    <row r="11" spans="3:24" x14ac:dyDescent="0.3">
      <c r="C11" s="43" t="s">
        <v>38301</v>
      </c>
      <c r="D11" s="43" t="s">
        <v>38302</v>
      </c>
    </row>
    <row r="12" spans="3:24" x14ac:dyDescent="0.3">
      <c r="C12" s="43" t="s">
        <v>38303</v>
      </c>
      <c r="D12" s="43" t="s">
        <v>38304</v>
      </c>
    </row>
    <row r="13" spans="3:24" x14ac:dyDescent="0.3">
      <c r="C13" s="43" t="s">
        <v>38305</v>
      </c>
      <c r="D13" s="43" t="s">
        <v>38306</v>
      </c>
    </row>
    <row r="14" spans="3:24" x14ac:dyDescent="0.3">
      <c r="C14" s="43" t="s">
        <v>38307</v>
      </c>
      <c r="D14" s="43" t="s">
        <v>38308</v>
      </c>
      <c r="F14" s="43" t="s">
        <v>38</v>
      </c>
      <c r="H14" s="77" t="s">
        <v>29</v>
      </c>
      <c r="I14" s="80"/>
      <c r="J14" s="88" t="s">
        <v>38309</v>
      </c>
      <c r="K14" s="88" t="s">
        <v>38309</v>
      </c>
      <c r="L14" s="88" t="s">
        <v>38309</v>
      </c>
      <c r="M14" s="88" t="s">
        <v>38309</v>
      </c>
      <c r="N14" s="88" t="s">
        <v>38309</v>
      </c>
      <c r="Q14" s="88" t="s">
        <v>38309</v>
      </c>
      <c r="R14" s="88" t="s">
        <v>38309</v>
      </c>
      <c r="S14" s="88" t="s">
        <v>38309</v>
      </c>
      <c r="T14" s="88" t="s">
        <v>38309</v>
      </c>
      <c r="U14" s="88" t="s">
        <v>38309</v>
      </c>
    </row>
    <row r="15" spans="3:24" x14ac:dyDescent="0.3">
      <c r="C15" s="43" t="s">
        <v>38310</v>
      </c>
      <c r="D15" s="43" t="s">
        <v>38311</v>
      </c>
      <c r="F15" s="43" t="s">
        <v>517</v>
      </c>
      <c r="H15" s="43" t="s">
        <v>2279</v>
      </c>
      <c r="J15" s="84" t="s">
        <v>38312</v>
      </c>
      <c r="K15" s="84" t="s">
        <v>38313</v>
      </c>
      <c r="L15" s="83" t="s">
        <v>38314</v>
      </c>
      <c r="M15" s="84" t="s">
        <v>38315</v>
      </c>
      <c r="N15" s="83" t="s">
        <v>38316</v>
      </c>
      <c r="O15" s="84" t="s">
        <v>38317</v>
      </c>
      <c r="P15" s="84" t="s">
        <v>38318</v>
      </c>
      <c r="Q15" s="83" t="s">
        <v>38319</v>
      </c>
      <c r="R15" s="84" t="s">
        <v>38320</v>
      </c>
      <c r="S15" s="83" t="s">
        <v>38321</v>
      </c>
      <c r="T15" s="84" t="s">
        <v>509</v>
      </c>
      <c r="U15" s="83" t="s">
        <v>38322</v>
      </c>
      <c r="V15" s="84" t="s">
        <v>38323</v>
      </c>
      <c r="W15" s="83" t="s">
        <v>38324</v>
      </c>
      <c r="X15" s="84" t="s">
        <v>38325</v>
      </c>
    </row>
    <row r="16" spans="3:24" ht="14.5" x14ac:dyDescent="0.3">
      <c r="C16" s="43" t="s">
        <v>38326</v>
      </c>
      <c r="D16" s="43" t="s">
        <v>38327</v>
      </c>
      <c r="F16" s="43" t="s">
        <v>552</v>
      </c>
      <c r="H16" s="43" t="s">
        <v>150</v>
      </c>
      <c r="J16" s="43" t="s">
        <v>38285</v>
      </c>
      <c r="K16" t="s">
        <v>38328</v>
      </c>
      <c r="L16" s="85" t="s">
        <v>38293</v>
      </c>
      <c r="M16" s="86" t="s">
        <v>1797</v>
      </c>
      <c r="N16" s="85" t="s">
        <v>38298</v>
      </c>
      <c r="O16" s="85" t="s">
        <v>1039</v>
      </c>
      <c r="P16" s="85" t="s">
        <v>1040</v>
      </c>
      <c r="Q16" s="43" t="s">
        <v>38285</v>
      </c>
      <c r="R16" s="85" t="s">
        <v>38329</v>
      </c>
      <c r="S16" s="85" t="s">
        <v>1741</v>
      </c>
      <c r="T16" s="85" t="s">
        <v>509</v>
      </c>
      <c r="U16" s="85" t="s">
        <v>508</v>
      </c>
      <c r="V16" s="85" t="s">
        <v>38330</v>
      </c>
      <c r="W16" s="87" t="s">
        <v>38285</v>
      </c>
      <c r="X16" s="85" t="s">
        <v>38331</v>
      </c>
    </row>
    <row r="17" spans="3:24" ht="14.5" x14ac:dyDescent="0.3">
      <c r="C17" s="43" t="s">
        <v>38332</v>
      </c>
      <c r="D17" s="43" t="s">
        <v>38333</v>
      </c>
      <c r="F17" s="43" t="s">
        <v>38334</v>
      </c>
      <c r="K17" s="85" t="s">
        <v>622</v>
      </c>
      <c r="N17" s="85" t="s">
        <v>622</v>
      </c>
      <c r="O17" s="85" t="s">
        <v>622</v>
      </c>
      <c r="P17" s="85" t="s">
        <v>622</v>
      </c>
      <c r="R17" s="85" t="s">
        <v>1040</v>
      </c>
      <c r="T17" s="43" t="s">
        <v>38335</v>
      </c>
      <c r="U17" s="85" t="s">
        <v>1796</v>
      </c>
      <c r="V17" s="85" t="s">
        <v>38336</v>
      </c>
      <c r="W17" s="87" t="s">
        <v>38337</v>
      </c>
      <c r="X17" s="85" t="s">
        <v>38338</v>
      </c>
    </row>
    <row r="18" spans="3:24" ht="16" x14ac:dyDescent="0.4">
      <c r="K18" s="85" t="s">
        <v>38335</v>
      </c>
      <c r="N18" s="43" t="s">
        <v>38335</v>
      </c>
      <c r="O18" s="43" t="s">
        <v>38335</v>
      </c>
      <c r="P18" s="43" t="s">
        <v>38335</v>
      </c>
      <c r="R18" s="85" t="s">
        <v>622</v>
      </c>
      <c r="T18" s="109" t="s">
        <v>622</v>
      </c>
      <c r="U18" s="85" t="s">
        <v>38339</v>
      </c>
      <c r="V18" s="85" t="s">
        <v>38340</v>
      </c>
      <c r="X18" s="85" t="s">
        <v>38341</v>
      </c>
    </row>
    <row r="19" spans="3:24" ht="14.5" x14ac:dyDescent="0.3">
      <c r="N19" s="43" t="s">
        <v>1799</v>
      </c>
      <c r="O19" s="43" t="s">
        <v>1799</v>
      </c>
      <c r="P19" s="43" t="s">
        <v>1799</v>
      </c>
      <c r="R19" s="43" t="s">
        <v>38335</v>
      </c>
      <c r="V19" s="85" t="s">
        <v>38342</v>
      </c>
      <c r="X19" s="85" t="s">
        <v>38343</v>
      </c>
    </row>
    <row r="20" spans="3:24" x14ac:dyDescent="0.3">
      <c r="R20" s="43" t="s">
        <v>1799</v>
      </c>
    </row>
    <row r="24" spans="3:24" x14ac:dyDescent="0.3">
      <c r="E24" s="43" t="s">
        <v>506</v>
      </c>
      <c r="F24" s="43" t="s">
        <v>1024</v>
      </c>
    </row>
    <row r="25" spans="3:24" x14ac:dyDescent="0.3">
      <c r="E25" s="43" t="s">
        <v>506</v>
      </c>
      <c r="F25" s="43" t="s">
        <v>1015</v>
      </c>
    </row>
    <row r="26" spans="3:24" x14ac:dyDescent="0.3">
      <c r="E26" s="43" t="s">
        <v>506</v>
      </c>
      <c r="F26" s="43" t="s">
        <v>135</v>
      </c>
    </row>
    <row r="27" spans="3:24" x14ac:dyDescent="0.3">
      <c r="E27" s="43" t="s">
        <v>506</v>
      </c>
      <c r="F27" s="43" t="s">
        <v>507</v>
      </c>
    </row>
    <row r="28" spans="3:24" x14ac:dyDescent="0.3">
      <c r="C28" s="43" t="s">
        <v>22</v>
      </c>
      <c r="D28" s="43" t="s">
        <v>24</v>
      </c>
      <c r="E28" s="43" t="s">
        <v>2792</v>
      </c>
      <c r="F28" s="43" t="s">
        <v>38344</v>
      </c>
    </row>
    <row r="29" spans="3:24" x14ac:dyDescent="0.3">
      <c r="D29" s="43" t="s">
        <v>38345</v>
      </c>
      <c r="E29" s="43" t="s">
        <v>2792</v>
      </c>
      <c r="F29" s="43" t="s">
        <v>38346</v>
      </c>
    </row>
    <row r="30" spans="3:24" x14ac:dyDescent="0.3">
      <c r="C30" s="43" t="s">
        <v>38347</v>
      </c>
      <c r="D30" s="43" t="s">
        <v>38348</v>
      </c>
      <c r="E30" s="43" t="s">
        <v>2792</v>
      </c>
      <c r="F30" s="43" t="s">
        <v>38349</v>
      </c>
    </row>
    <row r="31" spans="3:24" x14ac:dyDescent="0.3">
      <c r="C31" s="43" t="s">
        <v>38350</v>
      </c>
      <c r="D31" s="43" t="s">
        <v>38351</v>
      </c>
      <c r="E31" s="43" t="s">
        <v>2792</v>
      </c>
      <c r="F31" s="43" t="s">
        <v>38352</v>
      </c>
    </row>
    <row r="32" spans="3:24" x14ac:dyDescent="0.3">
      <c r="C32" s="43" t="s">
        <v>38353</v>
      </c>
      <c r="D32" s="43" t="s">
        <v>38354</v>
      </c>
      <c r="E32" s="43" t="s">
        <v>2792</v>
      </c>
      <c r="F32" s="43" t="s">
        <v>38355</v>
      </c>
    </row>
    <row r="33" spans="3:6" x14ac:dyDescent="0.3">
      <c r="C33" s="43" t="s">
        <v>38347</v>
      </c>
      <c r="D33" s="43" t="s">
        <v>38356</v>
      </c>
      <c r="E33" s="43" t="s">
        <v>2792</v>
      </c>
      <c r="F33" s="43" t="s">
        <v>38357</v>
      </c>
    </row>
    <row r="34" spans="3:6" x14ac:dyDescent="0.3">
      <c r="C34" s="43" t="s">
        <v>38347</v>
      </c>
      <c r="D34" s="43" t="s">
        <v>38351</v>
      </c>
      <c r="E34" s="43" t="s">
        <v>2792</v>
      </c>
      <c r="F34" s="43" t="s">
        <v>38358</v>
      </c>
    </row>
    <row r="35" spans="3:6" x14ac:dyDescent="0.3">
      <c r="C35" s="43" t="s">
        <v>38359</v>
      </c>
      <c r="D35" s="43" t="s">
        <v>38356</v>
      </c>
      <c r="E35" s="43" t="s">
        <v>2792</v>
      </c>
      <c r="F35" s="43" t="s">
        <v>38360</v>
      </c>
    </row>
    <row r="36" spans="3:6" x14ac:dyDescent="0.3">
      <c r="C36" s="43" t="s">
        <v>38361</v>
      </c>
      <c r="D36" s="43" t="s">
        <v>38356</v>
      </c>
      <c r="E36" s="43" t="s">
        <v>2792</v>
      </c>
      <c r="F36" s="43" t="s">
        <v>38362</v>
      </c>
    </row>
    <row r="37" spans="3:6" x14ac:dyDescent="0.3">
      <c r="C37" s="43" t="s">
        <v>38350</v>
      </c>
      <c r="D37" s="43" t="s">
        <v>38356</v>
      </c>
      <c r="E37" s="43" t="s">
        <v>2792</v>
      </c>
      <c r="F37" s="43" t="s">
        <v>38363</v>
      </c>
    </row>
    <row r="38" spans="3:6" x14ac:dyDescent="0.3">
      <c r="C38" s="43" t="s">
        <v>38361</v>
      </c>
      <c r="D38" s="43" t="s">
        <v>38351</v>
      </c>
      <c r="E38" s="43" t="s">
        <v>2792</v>
      </c>
      <c r="F38" s="43" t="s">
        <v>38364</v>
      </c>
    </row>
    <row r="39" spans="3:6" x14ac:dyDescent="0.3">
      <c r="C39" s="43" t="s">
        <v>38347</v>
      </c>
      <c r="D39" s="43" t="s">
        <v>38365</v>
      </c>
      <c r="E39" s="43" t="s">
        <v>2792</v>
      </c>
      <c r="F39" s="43" t="s">
        <v>38366</v>
      </c>
    </row>
    <row r="40" spans="3:6" x14ac:dyDescent="0.3">
      <c r="C40" s="43" t="s">
        <v>38347</v>
      </c>
      <c r="D40" s="43" t="s">
        <v>38354</v>
      </c>
      <c r="E40" s="43" t="s">
        <v>2792</v>
      </c>
      <c r="F40" s="43" t="s">
        <v>38367</v>
      </c>
    </row>
    <row r="41" spans="3:6" x14ac:dyDescent="0.3">
      <c r="C41" s="43" t="s">
        <v>38353</v>
      </c>
      <c r="D41" s="43" t="s">
        <v>38351</v>
      </c>
      <c r="E41" s="43" t="s">
        <v>2792</v>
      </c>
      <c r="F41" s="43" t="s">
        <v>38368</v>
      </c>
    </row>
    <row r="42" spans="3:6" x14ac:dyDescent="0.3">
      <c r="C42" s="43" t="s">
        <v>38353</v>
      </c>
      <c r="D42" s="43" t="s">
        <v>38356</v>
      </c>
      <c r="E42" s="43" t="s">
        <v>2792</v>
      </c>
      <c r="F42" s="43" t="s">
        <v>38369</v>
      </c>
    </row>
    <row r="43" spans="3:6" x14ac:dyDescent="0.3">
      <c r="C43" s="43" t="s">
        <v>38370</v>
      </c>
      <c r="D43" s="43" t="s">
        <v>38371</v>
      </c>
    </row>
    <row r="44" spans="3:6" x14ac:dyDescent="0.3">
      <c r="C44" s="43" t="s">
        <v>38359</v>
      </c>
      <c r="D44" s="43" t="s">
        <v>38351</v>
      </c>
    </row>
    <row r="45" spans="3:6" x14ac:dyDescent="0.3">
      <c r="C45" s="43" t="s">
        <v>38347</v>
      </c>
      <c r="D45" s="43" t="s">
        <v>38372</v>
      </c>
    </row>
    <row r="46" spans="3:6" x14ac:dyDescent="0.3">
      <c r="C46" s="43" t="s">
        <v>38373</v>
      </c>
      <c r="D46" s="43" t="s">
        <v>38356</v>
      </c>
    </row>
    <row r="47" spans="3:6" x14ac:dyDescent="0.3">
      <c r="C47" s="43" t="s">
        <v>38350</v>
      </c>
      <c r="D47" s="43" t="s">
        <v>38365</v>
      </c>
    </row>
    <row r="48" spans="3:6" x14ac:dyDescent="0.3">
      <c r="C48" s="43" t="s">
        <v>38374</v>
      </c>
      <c r="D48" s="43" t="s">
        <v>38371</v>
      </c>
    </row>
    <row r="49" spans="3:4" x14ac:dyDescent="0.3">
      <c r="C49" s="43" t="s">
        <v>38375</v>
      </c>
      <c r="D49" s="43" t="s">
        <v>38376</v>
      </c>
    </row>
    <row r="50" spans="3:4" x14ac:dyDescent="0.3">
      <c r="C50" s="43" t="s">
        <v>38359</v>
      </c>
      <c r="D50" s="43" t="s">
        <v>38376</v>
      </c>
    </row>
    <row r="51" spans="3:4" x14ac:dyDescent="0.3">
      <c r="C51" s="43" t="s">
        <v>38347</v>
      </c>
      <c r="D51" s="43" t="s">
        <v>38377</v>
      </c>
    </row>
    <row r="52" spans="3:4" x14ac:dyDescent="0.3">
      <c r="C52" s="43" t="s">
        <v>38359</v>
      </c>
      <c r="D52" s="43" t="s">
        <v>38377</v>
      </c>
    </row>
    <row r="53" spans="3:4" x14ac:dyDescent="0.3">
      <c r="C53" s="43" t="s">
        <v>38353</v>
      </c>
      <c r="D53" s="43" t="s">
        <v>38377</v>
      </c>
    </row>
    <row r="54" spans="3:4" x14ac:dyDescent="0.3">
      <c r="C54" s="43" t="s">
        <v>38347</v>
      </c>
      <c r="D54" s="43" t="s">
        <v>38378</v>
      </c>
    </row>
    <row r="55" spans="3:4" x14ac:dyDescent="0.3">
      <c r="C55" s="43" t="s">
        <v>38359</v>
      </c>
      <c r="D55" s="43" t="s">
        <v>38354</v>
      </c>
    </row>
    <row r="56" spans="3:4" x14ac:dyDescent="0.3">
      <c r="C56" s="43" t="s">
        <v>38359</v>
      </c>
      <c r="D56" s="43" t="s">
        <v>38378</v>
      </c>
    </row>
    <row r="57" spans="3:4" x14ac:dyDescent="0.3">
      <c r="C57" s="43" t="s">
        <v>38361</v>
      </c>
      <c r="D57" s="43" t="s">
        <v>38354</v>
      </c>
    </row>
    <row r="58" spans="3:4" x14ac:dyDescent="0.3">
      <c r="C58" s="43" t="s">
        <v>38353</v>
      </c>
      <c r="D58" s="43" t="s">
        <v>38378</v>
      </c>
    </row>
    <row r="59" spans="3:4" x14ac:dyDescent="0.3">
      <c r="C59" s="43" t="s">
        <v>38353</v>
      </c>
      <c r="D59" s="43" t="s">
        <v>38372</v>
      </c>
    </row>
    <row r="60" spans="3:4" x14ac:dyDescent="0.3">
      <c r="C60" s="43" t="s">
        <v>38361</v>
      </c>
      <c r="D60" s="43" t="s">
        <v>38365</v>
      </c>
    </row>
    <row r="61" spans="3:4" x14ac:dyDescent="0.3">
      <c r="C61" s="43" t="s">
        <v>38359</v>
      </c>
      <c r="D61" s="43" t="s">
        <v>38348</v>
      </c>
    </row>
    <row r="62" spans="3:4" x14ac:dyDescent="0.3">
      <c r="C62" s="43" t="s">
        <v>38347</v>
      </c>
      <c r="D62" s="43" t="s">
        <v>38379</v>
      </c>
    </row>
    <row r="63" spans="3:4" x14ac:dyDescent="0.3">
      <c r="C63" s="43" t="s">
        <v>38359</v>
      </c>
      <c r="D63" s="43" t="s">
        <v>38365</v>
      </c>
    </row>
    <row r="64" spans="3:4" x14ac:dyDescent="0.3">
      <c r="C64" s="43" t="s">
        <v>38353</v>
      </c>
      <c r="D64" s="43" t="s">
        <v>38348</v>
      </c>
    </row>
    <row r="65" spans="3:4" x14ac:dyDescent="0.3">
      <c r="C65" s="43" t="s">
        <v>38350</v>
      </c>
      <c r="D65" s="43" t="s">
        <v>38379</v>
      </c>
    </row>
    <row r="66" spans="3:4" x14ac:dyDescent="0.3">
      <c r="C66" s="43" t="s">
        <v>38347</v>
      </c>
      <c r="D66" s="43" t="s">
        <v>38376</v>
      </c>
    </row>
    <row r="67" spans="3:4" x14ac:dyDescent="0.3">
      <c r="C67" s="43" t="s">
        <v>38380</v>
      </c>
      <c r="D67" s="43" t="s">
        <v>38381</v>
      </c>
    </row>
    <row r="68" spans="3:4" x14ac:dyDescent="0.3">
      <c r="C68" s="43" t="s">
        <v>38380</v>
      </c>
      <c r="D68" s="43" t="s">
        <v>38382</v>
      </c>
    </row>
    <row r="69" spans="3:4" x14ac:dyDescent="0.3">
      <c r="C69" s="43" t="s">
        <v>38380</v>
      </c>
      <c r="D69" s="43" t="s">
        <v>38383</v>
      </c>
    </row>
    <row r="70" spans="3:4" x14ac:dyDescent="0.3">
      <c r="C70" s="43" t="s">
        <v>38384</v>
      </c>
      <c r="D70" s="43" t="s">
        <v>38385</v>
      </c>
    </row>
    <row r="71" spans="3:4" x14ac:dyDescent="0.3">
      <c r="C71" s="43" t="s">
        <v>38380</v>
      </c>
      <c r="D71" s="43" t="s">
        <v>38386</v>
      </c>
    </row>
    <row r="72" spans="3:4" x14ac:dyDescent="0.3">
      <c r="C72" s="43" t="s">
        <v>38380</v>
      </c>
      <c r="D72" s="43" t="s">
        <v>38387</v>
      </c>
    </row>
    <row r="73" spans="3:4" x14ac:dyDescent="0.3">
      <c r="C73" s="43" t="s">
        <v>38380</v>
      </c>
      <c r="D73" s="43" t="s">
        <v>38388</v>
      </c>
    </row>
    <row r="74" spans="3:4" x14ac:dyDescent="0.3">
      <c r="C74" s="43" t="s">
        <v>38380</v>
      </c>
      <c r="D74" s="43" t="s">
        <v>38389</v>
      </c>
    </row>
    <row r="75" spans="3:4" x14ac:dyDescent="0.3">
      <c r="C75" s="43" t="s">
        <v>38380</v>
      </c>
      <c r="D75" s="43" t="s">
        <v>38385</v>
      </c>
    </row>
    <row r="76" spans="3:4" x14ac:dyDescent="0.3">
      <c r="C76" s="43" t="s">
        <v>38390</v>
      </c>
      <c r="D76" s="43" t="s">
        <v>38391</v>
      </c>
    </row>
    <row r="77" spans="3:4" x14ac:dyDescent="0.3">
      <c r="C77" s="43" t="s">
        <v>38390</v>
      </c>
      <c r="D77" s="43" t="s">
        <v>38392</v>
      </c>
    </row>
    <row r="78" spans="3:4" x14ac:dyDescent="0.3">
      <c r="C78" s="43" t="s">
        <v>38390</v>
      </c>
      <c r="D78" s="43" t="s">
        <v>38393</v>
      </c>
    </row>
    <row r="79" spans="3:4" x14ac:dyDescent="0.3">
      <c r="C79" s="43" t="s">
        <v>38394</v>
      </c>
      <c r="D79" s="43" t="s">
        <v>38395</v>
      </c>
    </row>
    <row r="81" spans="3:4" x14ac:dyDescent="0.3">
      <c r="C81" s="43" t="s">
        <v>38396</v>
      </c>
      <c r="D81" s="43" t="s">
        <v>38397</v>
      </c>
    </row>
    <row r="82" spans="3:4" x14ac:dyDescent="0.3">
      <c r="C82" s="43" t="s">
        <v>38398</v>
      </c>
      <c r="D82" s="43" t="s">
        <v>38399</v>
      </c>
    </row>
    <row r="83" spans="3:4" x14ac:dyDescent="0.3">
      <c r="C83" s="43" t="s">
        <v>38400</v>
      </c>
      <c r="D83" s="43" t="s">
        <v>38399</v>
      </c>
    </row>
    <row r="84" spans="3:4" x14ac:dyDescent="0.3">
      <c r="C84" s="43" t="s">
        <v>38396</v>
      </c>
      <c r="D84" s="43" t="s">
        <v>38401</v>
      </c>
    </row>
    <row r="85" spans="3:4" x14ac:dyDescent="0.3">
      <c r="C85" s="43" t="s">
        <v>38396</v>
      </c>
      <c r="D85" s="43" t="s">
        <v>38402</v>
      </c>
    </row>
    <row r="86" spans="3:4" x14ac:dyDescent="0.3">
      <c r="C86" s="43" t="s">
        <v>38400</v>
      </c>
      <c r="D86" s="43" t="s">
        <v>38402</v>
      </c>
    </row>
    <row r="87" spans="3:4" x14ac:dyDescent="0.3">
      <c r="C87" s="43" t="s">
        <v>38403</v>
      </c>
      <c r="D87" s="43" t="s">
        <v>38404</v>
      </c>
    </row>
    <row r="88" spans="3:4" x14ac:dyDescent="0.3">
      <c r="C88" s="43" t="s">
        <v>38405</v>
      </c>
      <c r="D88" s="43" t="s">
        <v>38404</v>
      </c>
    </row>
    <row r="89" spans="3:4" x14ac:dyDescent="0.3">
      <c r="C89" s="43" t="s">
        <v>38406</v>
      </c>
      <c r="D89" s="43" t="s">
        <v>38404</v>
      </c>
    </row>
    <row r="90" spans="3:4" x14ac:dyDescent="0.3">
      <c r="C90" s="43" t="s">
        <v>38407</v>
      </c>
      <c r="D90" s="43" t="s">
        <v>38408</v>
      </c>
    </row>
    <row r="91" spans="3:4" x14ac:dyDescent="0.3">
      <c r="C91" s="43" t="s">
        <v>38409</v>
      </c>
      <c r="D91" s="43" t="s">
        <v>38410</v>
      </c>
    </row>
    <row r="92" spans="3:4" x14ac:dyDescent="0.3">
      <c r="C92" s="43" t="s">
        <v>38411</v>
      </c>
      <c r="D92" s="43" t="s">
        <v>38404</v>
      </c>
    </row>
    <row r="93" spans="3:4" x14ac:dyDescent="0.3">
      <c r="C93" s="43" t="s">
        <v>38412</v>
      </c>
      <c r="D93" s="43" t="s">
        <v>38404</v>
      </c>
    </row>
    <row r="94" spans="3:4" x14ac:dyDescent="0.3">
      <c r="C94" s="43" t="s">
        <v>38413</v>
      </c>
      <c r="D94" s="43" t="s">
        <v>38404</v>
      </c>
    </row>
    <row r="95" spans="3:4" x14ac:dyDescent="0.3">
      <c r="C95" s="43" t="s">
        <v>38414</v>
      </c>
      <c r="D95" s="43" t="s">
        <v>38408</v>
      </c>
    </row>
    <row r="96" spans="3:4" x14ac:dyDescent="0.3">
      <c r="C96" s="43" t="s">
        <v>38374</v>
      </c>
      <c r="D96" s="43" t="s">
        <v>38410</v>
      </c>
    </row>
    <row r="97" spans="3:4" x14ac:dyDescent="0.3">
      <c r="C97" s="43" t="s">
        <v>38374</v>
      </c>
      <c r="D97" s="43" t="s">
        <v>38415</v>
      </c>
    </row>
    <row r="98" spans="3:4" x14ac:dyDescent="0.3">
      <c r="C98" s="43" t="s">
        <v>38374</v>
      </c>
      <c r="D98" s="43" t="s">
        <v>38416</v>
      </c>
    </row>
    <row r="99" spans="3:4" x14ac:dyDescent="0.3">
      <c r="C99" s="43" t="s">
        <v>38374</v>
      </c>
      <c r="D99" s="43" t="s">
        <v>38417</v>
      </c>
    </row>
    <row r="100" spans="3:4" x14ac:dyDescent="0.3">
      <c r="C100" s="43" t="s">
        <v>38374</v>
      </c>
      <c r="D100" s="43" t="s">
        <v>38418</v>
      </c>
    </row>
    <row r="101" spans="3:4" x14ac:dyDescent="0.3">
      <c r="C101" s="43" t="s">
        <v>38374</v>
      </c>
      <c r="D101" s="43" t="s">
        <v>38419</v>
      </c>
    </row>
    <row r="102" spans="3:4" x14ac:dyDescent="0.3">
      <c r="C102" s="43" t="s">
        <v>38374</v>
      </c>
      <c r="D102" s="43" t="s">
        <v>38420</v>
      </c>
    </row>
    <row r="103" spans="3:4" x14ac:dyDescent="0.3">
      <c r="C103" s="43" t="s">
        <v>38374</v>
      </c>
      <c r="D103" s="43" t="s">
        <v>38421</v>
      </c>
    </row>
    <row r="104" spans="3:4" x14ac:dyDescent="0.3">
      <c r="C104" s="43" t="s">
        <v>38374</v>
      </c>
      <c r="D104" s="43" t="s">
        <v>38422</v>
      </c>
    </row>
    <row r="105" spans="3:4" x14ac:dyDescent="0.3">
      <c r="C105" s="43" t="s">
        <v>38374</v>
      </c>
      <c r="D105" s="43" t="s">
        <v>38423</v>
      </c>
    </row>
    <row r="106" spans="3:4" x14ac:dyDescent="0.3">
      <c r="C106" s="43" t="s">
        <v>38374</v>
      </c>
      <c r="D106" s="43" t="s">
        <v>38424</v>
      </c>
    </row>
    <row r="107" spans="3:4" x14ac:dyDescent="0.3">
      <c r="C107" s="43" t="s">
        <v>38374</v>
      </c>
      <c r="D107" s="43" t="s">
        <v>38425</v>
      </c>
    </row>
    <row r="108" spans="3:4" x14ac:dyDescent="0.3">
      <c r="C108" s="43" t="s">
        <v>38374</v>
      </c>
      <c r="D108" s="43" t="s">
        <v>38426</v>
      </c>
    </row>
    <row r="109" spans="3:4" x14ac:dyDescent="0.3">
      <c r="C109" s="43" t="s">
        <v>38396</v>
      </c>
      <c r="D109" s="43" t="s">
        <v>38427</v>
      </c>
    </row>
    <row r="110" spans="3:4" x14ac:dyDescent="0.3">
      <c r="C110" s="43" t="s">
        <v>38396</v>
      </c>
      <c r="D110" s="43" t="s">
        <v>38428</v>
      </c>
    </row>
    <row r="111" spans="3:4" x14ac:dyDescent="0.3">
      <c r="C111" s="43" t="s">
        <v>38400</v>
      </c>
      <c r="D111" s="43" t="s">
        <v>38429</v>
      </c>
    </row>
    <row r="112" spans="3:4" x14ac:dyDescent="0.3">
      <c r="C112" s="43" t="s">
        <v>38374</v>
      </c>
      <c r="D112" s="43" t="s">
        <v>38430</v>
      </c>
    </row>
    <row r="113" spans="3:4" x14ac:dyDescent="0.3">
      <c r="C113" s="43" t="s">
        <v>38396</v>
      </c>
      <c r="D113" s="43" t="s">
        <v>38431</v>
      </c>
    </row>
    <row r="114" spans="3:4" x14ac:dyDescent="0.3">
      <c r="C114" s="43" t="s">
        <v>38400</v>
      </c>
      <c r="D114" s="43" t="s">
        <v>38432</v>
      </c>
    </row>
    <row r="115" spans="3:4" x14ac:dyDescent="0.3">
      <c r="C115" s="43" t="s">
        <v>38374</v>
      </c>
      <c r="D115" s="43" t="s">
        <v>38433</v>
      </c>
    </row>
    <row r="116" spans="3:4" x14ac:dyDescent="0.3">
      <c r="C116" s="43" t="s">
        <v>38374</v>
      </c>
      <c r="D116" s="43" t="s">
        <v>38434</v>
      </c>
    </row>
    <row r="117" spans="3:4" x14ac:dyDescent="0.3">
      <c r="C117" s="43" t="s">
        <v>38396</v>
      </c>
      <c r="D117" s="43" t="s">
        <v>38435</v>
      </c>
    </row>
    <row r="118" spans="3:4" x14ac:dyDescent="0.3">
      <c r="C118" s="43" t="s">
        <v>38396</v>
      </c>
      <c r="D118" s="43" t="s">
        <v>38436</v>
      </c>
    </row>
    <row r="119" spans="3:4" x14ac:dyDescent="0.3">
      <c r="C119" s="43" t="s">
        <v>38400</v>
      </c>
      <c r="D119" s="43" t="s">
        <v>38437</v>
      </c>
    </row>
    <row r="120" spans="3:4" x14ac:dyDescent="0.3">
      <c r="C120" s="43" t="s">
        <v>38374</v>
      </c>
      <c r="D120" s="43" t="s">
        <v>38438</v>
      </c>
    </row>
    <row r="121" spans="3:4" x14ac:dyDescent="0.3">
      <c r="C121" s="43" t="s">
        <v>38400</v>
      </c>
      <c r="D121" s="43" t="s">
        <v>38439</v>
      </c>
    </row>
    <row r="122" spans="3:4" x14ac:dyDescent="0.3">
      <c r="C122" s="43" t="s">
        <v>38400</v>
      </c>
      <c r="D122" s="43" t="s">
        <v>38440</v>
      </c>
    </row>
    <row r="123" spans="3:4" x14ac:dyDescent="0.3">
      <c r="C123" s="43" t="s">
        <v>38396</v>
      </c>
      <c r="D123" s="43" t="s">
        <v>38441</v>
      </c>
    </row>
    <row r="124" spans="3:4" x14ac:dyDescent="0.3">
      <c r="C124" s="43" t="s">
        <v>38396</v>
      </c>
      <c r="D124" s="43" t="s">
        <v>38442</v>
      </c>
    </row>
    <row r="125" spans="3:4" x14ac:dyDescent="0.3">
      <c r="C125" s="43" t="s">
        <v>38396</v>
      </c>
      <c r="D125" s="43" t="s">
        <v>38443</v>
      </c>
    </row>
    <row r="126" spans="3:4" x14ac:dyDescent="0.3">
      <c r="C126" s="43" t="s">
        <v>38396</v>
      </c>
      <c r="D126" s="43" t="s">
        <v>38444</v>
      </c>
    </row>
    <row r="127" spans="3:4" x14ac:dyDescent="0.3">
      <c r="C127" s="43" t="s">
        <v>38400</v>
      </c>
      <c r="D127" s="43" t="s">
        <v>38445</v>
      </c>
    </row>
    <row r="128" spans="3:4" x14ac:dyDescent="0.3">
      <c r="C128" s="43" t="s">
        <v>38400</v>
      </c>
      <c r="D128" s="43" t="s">
        <v>38446</v>
      </c>
    </row>
    <row r="129" spans="3:4" x14ac:dyDescent="0.3">
      <c r="C129" s="43" t="s">
        <v>38374</v>
      </c>
      <c r="D129" s="43" t="s">
        <v>38447</v>
      </c>
    </row>
    <row r="130" spans="3:4" x14ac:dyDescent="0.3">
      <c r="C130" s="43" t="s">
        <v>38400</v>
      </c>
      <c r="D130" s="43" t="s">
        <v>38448</v>
      </c>
    </row>
    <row r="131" spans="3:4" x14ac:dyDescent="0.3">
      <c r="C131" s="43" t="s">
        <v>38396</v>
      </c>
      <c r="D131" s="43" t="s">
        <v>38449</v>
      </c>
    </row>
    <row r="132" spans="3:4" x14ac:dyDescent="0.3">
      <c r="C132" s="43" t="s">
        <v>38396</v>
      </c>
      <c r="D132" s="43" t="s">
        <v>38450</v>
      </c>
    </row>
    <row r="133" spans="3:4" x14ac:dyDescent="0.3">
      <c r="C133" s="43" t="s">
        <v>38396</v>
      </c>
      <c r="D133" s="43" t="s">
        <v>38451</v>
      </c>
    </row>
    <row r="134" spans="3:4" x14ac:dyDescent="0.3">
      <c r="C134" s="43" t="s">
        <v>38396</v>
      </c>
      <c r="D134" s="43" t="s">
        <v>38452</v>
      </c>
    </row>
    <row r="135" spans="3:4" x14ac:dyDescent="0.3">
      <c r="C135" s="43" t="s">
        <v>38400</v>
      </c>
      <c r="D135" s="43" t="s">
        <v>38447</v>
      </c>
    </row>
    <row r="136" spans="3:4" x14ac:dyDescent="0.3">
      <c r="C136" s="43" t="s">
        <v>38400</v>
      </c>
      <c r="D136" s="43" t="s">
        <v>38453</v>
      </c>
    </row>
    <row r="137" spans="3:4" x14ac:dyDescent="0.3">
      <c r="C137" s="43" t="s">
        <v>38396</v>
      </c>
      <c r="D137" s="43" t="s">
        <v>38454</v>
      </c>
    </row>
    <row r="138" spans="3:4" x14ac:dyDescent="0.3">
      <c r="C138" s="43" t="s">
        <v>38396</v>
      </c>
      <c r="D138" s="43" t="s">
        <v>38455</v>
      </c>
    </row>
    <row r="139" spans="3:4" x14ac:dyDescent="0.3">
      <c r="C139" s="43" t="s">
        <v>38396</v>
      </c>
      <c r="D139" s="43" t="s">
        <v>38456</v>
      </c>
    </row>
    <row r="140" spans="3:4" x14ac:dyDescent="0.3">
      <c r="C140" s="43" t="s">
        <v>38400</v>
      </c>
      <c r="D140" s="43" t="s">
        <v>38457</v>
      </c>
    </row>
    <row r="141" spans="3:4" x14ac:dyDescent="0.3">
      <c r="C141" s="43" t="s">
        <v>38400</v>
      </c>
      <c r="D141" s="43" t="s">
        <v>38458</v>
      </c>
    </row>
    <row r="142" spans="3:4" x14ac:dyDescent="0.3">
      <c r="C142" s="43" t="s">
        <v>38400</v>
      </c>
      <c r="D142" s="43" t="s">
        <v>38459</v>
      </c>
    </row>
    <row r="143" spans="3:4" x14ac:dyDescent="0.3">
      <c r="C143" s="43" t="s">
        <v>38396</v>
      </c>
      <c r="D143" s="43" t="s">
        <v>38460</v>
      </c>
    </row>
    <row r="144" spans="3:4" x14ac:dyDescent="0.3">
      <c r="C144" s="43" t="s">
        <v>38396</v>
      </c>
      <c r="D144" s="43" t="s">
        <v>38461</v>
      </c>
    </row>
    <row r="145" spans="3:4" x14ac:dyDescent="0.3">
      <c r="C145" s="43" t="s">
        <v>38396</v>
      </c>
      <c r="D145" s="43" t="s">
        <v>38462</v>
      </c>
    </row>
    <row r="146" spans="3:4" x14ac:dyDescent="0.3">
      <c r="C146" s="43" t="s">
        <v>38374</v>
      </c>
      <c r="D146" s="43" t="s">
        <v>38463</v>
      </c>
    </row>
    <row r="147" spans="3:4" x14ac:dyDescent="0.3">
      <c r="C147" s="43" t="s">
        <v>38400</v>
      </c>
      <c r="D147" s="43" t="s">
        <v>38464</v>
      </c>
    </row>
    <row r="148" spans="3:4" x14ac:dyDescent="0.3">
      <c r="C148" s="43" t="s">
        <v>38400</v>
      </c>
      <c r="D148" s="43" t="s">
        <v>38465</v>
      </c>
    </row>
    <row r="149" spans="3:4" x14ac:dyDescent="0.3">
      <c r="C149" s="43" t="s">
        <v>38396</v>
      </c>
      <c r="D149" s="43" t="s">
        <v>38466</v>
      </c>
    </row>
    <row r="150" spans="3:4" x14ac:dyDescent="0.3">
      <c r="C150" s="43" t="s">
        <v>38396</v>
      </c>
      <c r="D150" s="43" t="s">
        <v>38467</v>
      </c>
    </row>
    <row r="151" spans="3:4" x14ac:dyDescent="0.3">
      <c r="C151" s="43" t="s">
        <v>38396</v>
      </c>
      <c r="D151" s="43" t="s">
        <v>38468</v>
      </c>
    </row>
    <row r="152" spans="3:4" x14ac:dyDescent="0.3">
      <c r="C152" s="43" t="s">
        <v>38396</v>
      </c>
      <c r="D152" s="43" t="s">
        <v>38469</v>
      </c>
    </row>
    <row r="153" spans="3:4" x14ac:dyDescent="0.3">
      <c r="C153" s="43" t="s">
        <v>38396</v>
      </c>
      <c r="D153" s="43" t="s">
        <v>38470</v>
      </c>
    </row>
    <row r="154" spans="3:4" x14ac:dyDescent="0.3">
      <c r="C154" s="43" t="s">
        <v>38374</v>
      </c>
      <c r="D154" s="43" t="s">
        <v>38471</v>
      </c>
    </row>
    <row r="155" spans="3:4" x14ac:dyDescent="0.3">
      <c r="C155" s="43" t="s">
        <v>38396</v>
      </c>
      <c r="D155" s="43" t="s">
        <v>38472</v>
      </c>
    </row>
    <row r="156" spans="3:4" x14ac:dyDescent="0.3">
      <c r="C156" s="43" t="s">
        <v>38396</v>
      </c>
      <c r="D156" s="43" t="s">
        <v>38473</v>
      </c>
    </row>
    <row r="157" spans="3:4" x14ac:dyDescent="0.3">
      <c r="C157" s="43" t="s">
        <v>38400</v>
      </c>
      <c r="D157" s="43" t="s">
        <v>38474</v>
      </c>
    </row>
    <row r="158" spans="3:4" x14ac:dyDescent="0.3">
      <c r="C158" s="43" t="s">
        <v>38396</v>
      </c>
      <c r="D158" s="43" t="s">
        <v>38475</v>
      </c>
    </row>
    <row r="159" spans="3:4" x14ac:dyDescent="0.3">
      <c r="C159" s="43" t="s">
        <v>38400</v>
      </c>
      <c r="D159" s="43" t="s">
        <v>38476</v>
      </c>
    </row>
    <row r="160" spans="3:4" x14ac:dyDescent="0.3">
      <c r="C160" s="43" t="s">
        <v>38400</v>
      </c>
      <c r="D160" s="43" t="s">
        <v>38477</v>
      </c>
    </row>
    <row r="161" spans="3:4" x14ac:dyDescent="0.3">
      <c r="C161" s="43" t="s">
        <v>38396</v>
      </c>
      <c r="D161" s="43" t="s">
        <v>38478</v>
      </c>
    </row>
    <row r="162" spans="3:4" x14ac:dyDescent="0.3">
      <c r="C162" s="43" t="s">
        <v>38396</v>
      </c>
      <c r="D162" s="43" t="s">
        <v>38479</v>
      </c>
    </row>
    <row r="163" spans="3:4" x14ac:dyDescent="0.3">
      <c r="C163" s="43" t="s">
        <v>38400</v>
      </c>
      <c r="D163" s="43" t="s">
        <v>38480</v>
      </c>
    </row>
    <row r="164" spans="3:4" x14ac:dyDescent="0.3">
      <c r="C164" s="43" t="s">
        <v>38400</v>
      </c>
      <c r="D164" s="43" t="s">
        <v>38481</v>
      </c>
    </row>
    <row r="165" spans="3:4" x14ac:dyDescent="0.3">
      <c r="C165" s="43" t="s">
        <v>38400</v>
      </c>
      <c r="D165" s="43" t="s">
        <v>38482</v>
      </c>
    </row>
    <row r="166" spans="3:4" x14ac:dyDescent="0.3">
      <c r="C166" s="43" t="s">
        <v>38396</v>
      </c>
      <c r="D166" s="43" t="s">
        <v>38483</v>
      </c>
    </row>
    <row r="167" spans="3:4" x14ac:dyDescent="0.3">
      <c r="C167" s="43" t="s">
        <v>38396</v>
      </c>
      <c r="D167" s="43" t="s">
        <v>38484</v>
      </c>
    </row>
    <row r="168" spans="3:4" x14ac:dyDescent="0.3">
      <c r="C168" s="43" t="s">
        <v>38374</v>
      </c>
      <c r="D168" s="43" t="s">
        <v>38485</v>
      </c>
    </row>
    <row r="169" spans="3:4" x14ac:dyDescent="0.3">
      <c r="C169" s="43" t="s">
        <v>38396</v>
      </c>
      <c r="D169" s="43" t="s">
        <v>38486</v>
      </c>
    </row>
    <row r="170" spans="3:4" x14ac:dyDescent="0.3">
      <c r="C170" s="43" t="s">
        <v>38374</v>
      </c>
      <c r="D170" s="43" t="s">
        <v>38486</v>
      </c>
    </row>
    <row r="171" spans="3:4" x14ac:dyDescent="0.3">
      <c r="C171" s="43" t="s">
        <v>38396</v>
      </c>
      <c r="D171" s="43" t="s">
        <v>38487</v>
      </c>
    </row>
    <row r="172" spans="3:4" x14ac:dyDescent="0.3">
      <c r="C172" s="43" t="s">
        <v>38396</v>
      </c>
      <c r="D172" s="43" t="s">
        <v>38488</v>
      </c>
    </row>
    <row r="173" spans="3:4" x14ac:dyDescent="0.3">
      <c r="C173" s="43" t="s">
        <v>38400</v>
      </c>
      <c r="D173" s="43" t="s">
        <v>38489</v>
      </c>
    </row>
    <row r="174" spans="3:4" x14ac:dyDescent="0.3">
      <c r="C174" s="43" t="s">
        <v>38396</v>
      </c>
      <c r="D174" s="43" t="s">
        <v>38490</v>
      </c>
    </row>
    <row r="175" spans="3:4" x14ac:dyDescent="0.3">
      <c r="C175" s="43" t="s">
        <v>38396</v>
      </c>
      <c r="D175" s="43" t="s">
        <v>38491</v>
      </c>
    </row>
    <row r="176" spans="3:4" x14ac:dyDescent="0.3">
      <c r="C176" s="43" t="s">
        <v>38396</v>
      </c>
      <c r="D176" s="43" t="s">
        <v>38492</v>
      </c>
    </row>
    <row r="177" spans="3:4" x14ac:dyDescent="0.3">
      <c r="C177" s="43" t="s">
        <v>38396</v>
      </c>
      <c r="D177" s="43" t="s">
        <v>38493</v>
      </c>
    </row>
    <row r="178" spans="3:4" x14ac:dyDescent="0.3">
      <c r="C178" s="43" t="s">
        <v>38374</v>
      </c>
      <c r="D178" s="43" t="s">
        <v>38494</v>
      </c>
    </row>
    <row r="179" spans="3:4" x14ac:dyDescent="0.3">
      <c r="C179" s="43" t="s">
        <v>38396</v>
      </c>
      <c r="D179" s="43" t="s">
        <v>38495</v>
      </c>
    </row>
    <row r="180" spans="3:4" x14ac:dyDescent="0.3">
      <c r="C180" s="43" t="s">
        <v>38396</v>
      </c>
      <c r="D180" s="43" t="s">
        <v>38496</v>
      </c>
    </row>
    <row r="181" spans="3:4" x14ac:dyDescent="0.3">
      <c r="C181" s="43" t="s">
        <v>38396</v>
      </c>
      <c r="D181" s="43" t="s">
        <v>38497</v>
      </c>
    </row>
    <row r="182" spans="3:4" x14ac:dyDescent="0.3">
      <c r="C182" s="43" t="s">
        <v>38400</v>
      </c>
      <c r="D182" s="43" t="s">
        <v>38498</v>
      </c>
    </row>
    <row r="183" spans="3:4" x14ac:dyDescent="0.3">
      <c r="C183" s="43" t="s">
        <v>38396</v>
      </c>
      <c r="D183" s="43" t="s">
        <v>38499</v>
      </c>
    </row>
    <row r="184" spans="3:4" x14ac:dyDescent="0.3">
      <c r="C184" s="43" t="s">
        <v>38396</v>
      </c>
      <c r="D184" s="43" t="s">
        <v>38500</v>
      </c>
    </row>
    <row r="185" spans="3:4" x14ac:dyDescent="0.3">
      <c r="C185" s="43" t="s">
        <v>38400</v>
      </c>
      <c r="D185" s="43" t="s">
        <v>38501</v>
      </c>
    </row>
    <row r="186" spans="3:4" x14ac:dyDescent="0.3">
      <c r="C186" s="43" t="s">
        <v>38396</v>
      </c>
      <c r="D186" s="43" t="s">
        <v>38502</v>
      </c>
    </row>
    <row r="187" spans="3:4" x14ac:dyDescent="0.3">
      <c r="C187" s="43" t="s">
        <v>38396</v>
      </c>
      <c r="D187" s="43" t="s">
        <v>38503</v>
      </c>
    </row>
    <row r="188" spans="3:4" x14ac:dyDescent="0.3">
      <c r="C188" s="43" t="s">
        <v>38396</v>
      </c>
      <c r="D188" s="43" t="s">
        <v>38504</v>
      </c>
    </row>
    <row r="189" spans="3:4" x14ac:dyDescent="0.3">
      <c r="C189" s="43" t="s">
        <v>38400</v>
      </c>
      <c r="D189" s="43" t="s">
        <v>38504</v>
      </c>
    </row>
    <row r="190" spans="3:4" x14ac:dyDescent="0.3">
      <c r="C190" s="43" t="s">
        <v>38374</v>
      </c>
      <c r="D190" s="43" t="s">
        <v>38505</v>
      </c>
    </row>
    <row r="191" spans="3:4" x14ac:dyDescent="0.3">
      <c r="C191" s="43" t="s">
        <v>38374</v>
      </c>
      <c r="D191" s="43" t="s">
        <v>38506</v>
      </c>
    </row>
    <row r="192" spans="3:4" x14ac:dyDescent="0.3">
      <c r="C192" s="43" t="s">
        <v>38396</v>
      </c>
      <c r="D192" s="43" t="s">
        <v>38505</v>
      </c>
    </row>
    <row r="193" spans="3:4" x14ac:dyDescent="0.3">
      <c r="C193" s="43" t="s">
        <v>38374</v>
      </c>
      <c r="D193" s="43" t="s">
        <v>38507</v>
      </c>
    </row>
    <row r="194" spans="3:4" x14ac:dyDescent="0.3">
      <c r="C194" s="43" t="s">
        <v>38374</v>
      </c>
      <c r="D194" s="43" t="s">
        <v>38508</v>
      </c>
    </row>
    <row r="195" spans="3:4" x14ac:dyDescent="0.3">
      <c r="C195" s="43" t="s">
        <v>38400</v>
      </c>
      <c r="D195" s="43" t="s">
        <v>38509</v>
      </c>
    </row>
    <row r="196" spans="3:4" x14ac:dyDescent="0.3">
      <c r="C196" s="43" t="s">
        <v>38396</v>
      </c>
      <c r="D196" s="43" t="s">
        <v>38510</v>
      </c>
    </row>
    <row r="197" spans="3:4" x14ac:dyDescent="0.3">
      <c r="C197" s="43" t="s">
        <v>38347</v>
      </c>
      <c r="D197" s="43" t="s">
        <v>38511</v>
      </c>
    </row>
    <row r="198" spans="3:4" x14ac:dyDescent="0.3">
      <c r="C198" s="43" t="s">
        <v>38347</v>
      </c>
      <c r="D198" s="43" t="s">
        <v>38512</v>
      </c>
    </row>
    <row r="199" spans="3:4" x14ac:dyDescent="0.3">
      <c r="C199" s="43" t="s">
        <v>38400</v>
      </c>
      <c r="D199" s="43" t="s">
        <v>38513</v>
      </c>
    </row>
    <row r="200" spans="3:4" x14ac:dyDescent="0.3">
      <c r="C200" s="43" t="s">
        <v>38514</v>
      </c>
      <c r="D200" s="43" t="s">
        <v>38515</v>
      </c>
    </row>
    <row r="201" spans="3:4" x14ac:dyDescent="0.3">
      <c r="C201" s="43" t="s">
        <v>38514</v>
      </c>
      <c r="D201" s="43" t="s">
        <v>38516</v>
      </c>
    </row>
    <row r="202" spans="3:4" x14ac:dyDescent="0.3">
      <c r="C202" s="43" t="s">
        <v>38514</v>
      </c>
      <c r="D202" s="43" t="s">
        <v>38517</v>
      </c>
    </row>
    <row r="203" spans="3:4" x14ac:dyDescent="0.3">
      <c r="C203" s="43" t="s">
        <v>38514</v>
      </c>
      <c r="D203" s="43" t="s">
        <v>38518</v>
      </c>
    </row>
    <row r="204" spans="3:4" x14ac:dyDescent="0.3">
      <c r="C204" s="43" t="s">
        <v>38514</v>
      </c>
      <c r="D204" s="43" t="s">
        <v>38519</v>
      </c>
    </row>
    <row r="205" spans="3:4" x14ac:dyDescent="0.3">
      <c r="C205" s="43" t="s">
        <v>38514</v>
      </c>
      <c r="D205" s="43" t="s">
        <v>38520</v>
      </c>
    </row>
    <row r="206" spans="3:4" x14ac:dyDescent="0.3">
      <c r="C206" s="43" t="s">
        <v>38514</v>
      </c>
      <c r="D206" s="43" t="s">
        <v>38521</v>
      </c>
    </row>
    <row r="207" spans="3:4" x14ac:dyDescent="0.3">
      <c r="C207" s="43" t="s">
        <v>38514</v>
      </c>
      <c r="D207" s="43" t="s">
        <v>38522</v>
      </c>
    </row>
    <row r="208" spans="3:4" x14ac:dyDescent="0.3">
      <c r="C208" s="43" t="s">
        <v>38398</v>
      </c>
      <c r="D208" s="43" t="s">
        <v>38523</v>
      </c>
    </row>
    <row r="209" spans="3:4" x14ac:dyDescent="0.3">
      <c r="C209" s="43" t="s">
        <v>38398</v>
      </c>
      <c r="D209" s="43" t="s">
        <v>38524</v>
      </c>
    </row>
    <row r="210" spans="3:4" x14ac:dyDescent="0.3">
      <c r="C210" s="43" t="s">
        <v>38398</v>
      </c>
      <c r="D210" s="43" t="s">
        <v>38525</v>
      </c>
    </row>
    <row r="211" spans="3:4" x14ac:dyDescent="0.3">
      <c r="C211" s="43" t="s">
        <v>38398</v>
      </c>
      <c r="D211" s="43" t="s">
        <v>38526</v>
      </c>
    </row>
    <row r="212" spans="3:4" x14ac:dyDescent="0.3">
      <c r="C212" s="43" t="s">
        <v>38398</v>
      </c>
      <c r="D212" s="43" t="s">
        <v>38527</v>
      </c>
    </row>
    <row r="213" spans="3:4" x14ac:dyDescent="0.3">
      <c r="C213" s="43" t="s">
        <v>38398</v>
      </c>
      <c r="D213" s="43" t="s">
        <v>38528</v>
      </c>
    </row>
    <row r="214" spans="3:4" x14ac:dyDescent="0.3">
      <c r="C214" s="43" t="s">
        <v>38398</v>
      </c>
      <c r="D214" s="43" t="s">
        <v>38529</v>
      </c>
    </row>
    <row r="215" spans="3:4" x14ac:dyDescent="0.3">
      <c r="C215" s="43" t="s">
        <v>38398</v>
      </c>
      <c r="D215" s="43" t="s">
        <v>38530</v>
      </c>
    </row>
    <row r="216" spans="3:4" x14ac:dyDescent="0.3">
      <c r="C216" s="43" t="s">
        <v>38398</v>
      </c>
      <c r="D216" s="43" t="s">
        <v>38531</v>
      </c>
    </row>
    <row r="217" spans="3:4" x14ac:dyDescent="0.3">
      <c r="C217" s="43" t="s">
        <v>38398</v>
      </c>
      <c r="D217" s="43" t="s">
        <v>38532</v>
      </c>
    </row>
    <row r="218" spans="3:4" x14ac:dyDescent="0.3">
      <c r="C218" s="43" t="s">
        <v>38398</v>
      </c>
      <c r="D218" s="43" t="s">
        <v>38533</v>
      </c>
    </row>
    <row r="219" spans="3:4" x14ac:dyDescent="0.3">
      <c r="C219" s="43" t="s">
        <v>38398</v>
      </c>
      <c r="D219" s="43" t="s">
        <v>38534</v>
      </c>
    </row>
    <row r="220" spans="3:4" x14ac:dyDescent="0.3">
      <c r="C220" s="43" t="s">
        <v>38398</v>
      </c>
      <c r="D220" s="43" t="s">
        <v>38535</v>
      </c>
    </row>
    <row r="221" spans="3:4" x14ac:dyDescent="0.3">
      <c r="C221" s="43" t="s">
        <v>38398</v>
      </c>
      <c r="D221" s="43" t="s">
        <v>38536</v>
      </c>
    </row>
    <row r="222" spans="3:4" x14ac:dyDescent="0.3">
      <c r="C222" s="43" t="s">
        <v>38398</v>
      </c>
      <c r="D222" s="43" t="s">
        <v>38537</v>
      </c>
    </row>
    <row r="223" spans="3:4" x14ac:dyDescent="0.3">
      <c r="C223" s="43" t="s">
        <v>38398</v>
      </c>
      <c r="D223" s="43" t="s">
        <v>38538</v>
      </c>
    </row>
    <row r="224" spans="3:4" x14ac:dyDescent="0.3">
      <c r="C224" s="43" t="s">
        <v>38398</v>
      </c>
      <c r="D224" s="43" t="s">
        <v>38539</v>
      </c>
    </row>
    <row r="225" spans="3:4" x14ac:dyDescent="0.3">
      <c r="C225" s="43" t="s">
        <v>38398</v>
      </c>
      <c r="D225" s="43" t="s">
        <v>38540</v>
      </c>
    </row>
    <row r="226" spans="3:4" x14ac:dyDescent="0.3">
      <c r="C226" s="43" t="s">
        <v>38398</v>
      </c>
      <c r="D226" s="43" t="s">
        <v>38541</v>
      </c>
    </row>
    <row r="227" spans="3:4" x14ac:dyDescent="0.3">
      <c r="C227" s="43" t="s">
        <v>38398</v>
      </c>
      <c r="D227" s="43" t="s">
        <v>38542</v>
      </c>
    </row>
    <row r="228" spans="3:4" x14ac:dyDescent="0.3">
      <c r="C228" s="43" t="s">
        <v>38398</v>
      </c>
      <c r="D228" s="43" t="s">
        <v>38543</v>
      </c>
    </row>
    <row r="229" spans="3:4" x14ac:dyDescent="0.3">
      <c r="C229" s="43" t="s">
        <v>38398</v>
      </c>
      <c r="D229" s="43" t="s">
        <v>38544</v>
      </c>
    </row>
    <row r="230" spans="3:4" x14ac:dyDescent="0.3">
      <c r="C230" s="43" t="s">
        <v>38545</v>
      </c>
      <c r="D230" s="43" t="s">
        <v>38546</v>
      </c>
    </row>
    <row r="231" spans="3:4" x14ac:dyDescent="0.3">
      <c r="C231" s="43" t="s">
        <v>38545</v>
      </c>
      <c r="D231" s="43" t="s">
        <v>38547</v>
      </c>
    </row>
    <row r="232" spans="3:4" x14ac:dyDescent="0.3">
      <c r="C232" s="43" t="s">
        <v>38545</v>
      </c>
      <c r="D232" s="43" t="s">
        <v>38548</v>
      </c>
    </row>
    <row r="233" spans="3:4" x14ac:dyDescent="0.3">
      <c r="C233" s="43" t="s">
        <v>38545</v>
      </c>
      <c r="D233" s="43" t="s">
        <v>38549</v>
      </c>
    </row>
    <row r="234" spans="3:4" x14ac:dyDescent="0.3">
      <c r="C234" s="43" t="s">
        <v>38374</v>
      </c>
      <c r="D234" s="43" t="s">
        <v>38457</v>
      </c>
    </row>
    <row r="235" spans="3:4" x14ac:dyDescent="0.3">
      <c r="C235" s="43" t="s">
        <v>38374</v>
      </c>
      <c r="D235" s="43" t="s">
        <v>38480</v>
      </c>
    </row>
    <row r="236" spans="3:4" x14ac:dyDescent="0.3">
      <c r="C236" s="43" t="s">
        <v>38550</v>
      </c>
      <c r="D236" s="43" t="s">
        <v>38551</v>
      </c>
    </row>
    <row r="237" spans="3:4" x14ac:dyDescent="0.3">
      <c r="C237" s="43" t="s">
        <v>38394</v>
      </c>
      <c r="D237" s="43" t="s">
        <v>38552</v>
      </c>
    </row>
    <row r="238" spans="3:4" x14ac:dyDescent="0.3">
      <c r="C238" s="43" t="s">
        <v>38553</v>
      </c>
      <c r="D238" s="43" t="s">
        <v>38554</v>
      </c>
    </row>
    <row r="239" spans="3:4" x14ac:dyDescent="0.3">
      <c r="C239" s="43" t="s">
        <v>38553</v>
      </c>
      <c r="D239" s="43" t="s">
        <v>38555</v>
      </c>
    </row>
    <row r="240" spans="3:4" x14ac:dyDescent="0.3">
      <c r="C240" s="43" t="s">
        <v>38374</v>
      </c>
      <c r="D240" s="43" t="s">
        <v>38556</v>
      </c>
    </row>
    <row r="241" spans="3:4" x14ac:dyDescent="0.3">
      <c r="C241" s="43" t="s">
        <v>38553</v>
      </c>
      <c r="D241" s="43" t="s">
        <v>38557</v>
      </c>
    </row>
    <row r="242" spans="3:4" x14ac:dyDescent="0.3">
      <c r="C242" s="43" t="s">
        <v>38553</v>
      </c>
      <c r="D242" s="43" t="s">
        <v>38558</v>
      </c>
    </row>
    <row r="243" spans="3:4" x14ac:dyDescent="0.3">
      <c r="C243" s="43" t="s">
        <v>38559</v>
      </c>
      <c r="D243" s="43" t="s">
        <v>38560</v>
      </c>
    </row>
    <row r="244" spans="3:4" x14ac:dyDescent="0.3">
      <c r="C244" s="43" t="s">
        <v>38553</v>
      </c>
      <c r="D244" s="43" t="s">
        <v>38561</v>
      </c>
    </row>
    <row r="245" spans="3:4" x14ac:dyDescent="0.3">
      <c r="C245" s="43" t="s">
        <v>38374</v>
      </c>
      <c r="D245" s="43" t="s">
        <v>38562</v>
      </c>
    </row>
    <row r="246" spans="3:4" x14ac:dyDescent="0.3">
      <c r="C246" s="43" t="s">
        <v>38374</v>
      </c>
      <c r="D246" s="43" t="s">
        <v>38563</v>
      </c>
    </row>
    <row r="247" spans="3:4" x14ac:dyDescent="0.3">
      <c r="C247" s="43" t="s">
        <v>38553</v>
      </c>
      <c r="D247" s="43" t="s">
        <v>38564</v>
      </c>
    </row>
    <row r="248" spans="3:4" x14ac:dyDescent="0.3">
      <c r="C248" s="43" t="s">
        <v>38553</v>
      </c>
      <c r="D248" s="43" t="s">
        <v>38565</v>
      </c>
    </row>
    <row r="249" spans="3:4" x14ac:dyDescent="0.3">
      <c r="C249" s="43" t="s">
        <v>38559</v>
      </c>
      <c r="D249" s="43" t="s">
        <v>38566</v>
      </c>
    </row>
    <row r="250" spans="3:4" x14ac:dyDescent="0.3">
      <c r="C250" s="43" t="s">
        <v>38553</v>
      </c>
      <c r="D250" s="43" t="s">
        <v>38567</v>
      </c>
    </row>
    <row r="251" spans="3:4" x14ac:dyDescent="0.3">
      <c r="C251" s="43" t="s">
        <v>38553</v>
      </c>
      <c r="D251" s="43" t="s">
        <v>38568</v>
      </c>
    </row>
    <row r="252" spans="3:4" x14ac:dyDescent="0.3">
      <c r="C252" s="43" t="s">
        <v>38553</v>
      </c>
      <c r="D252" s="43" t="s">
        <v>38569</v>
      </c>
    </row>
    <row r="253" spans="3:4" x14ac:dyDescent="0.3">
      <c r="C253" s="43" t="s">
        <v>38553</v>
      </c>
      <c r="D253" s="43" t="s">
        <v>38570</v>
      </c>
    </row>
    <row r="254" spans="3:4" x14ac:dyDescent="0.3">
      <c r="C254" s="43" t="s">
        <v>38559</v>
      </c>
      <c r="D254" s="43" t="s">
        <v>38571</v>
      </c>
    </row>
    <row r="255" spans="3:4" x14ac:dyDescent="0.3">
      <c r="C255" s="43" t="s">
        <v>38553</v>
      </c>
      <c r="D255" s="43" t="s">
        <v>38572</v>
      </c>
    </row>
    <row r="256" spans="3:4" x14ac:dyDescent="0.3">
      <c r="C256" s="43" t="s">
        <v>38559</v>
      </c>
      <c r="D256" s="43" t="s">
        <v>38573</v>
      </c>
    </row>
    <row r="257" spans="3:4" x14ac:dyDescent="0.3">
      <c r="C257" s="43" t="s">
        <v>38553</v>
      </c>
      <c r="D257" s="43" t="s">
        <v>38574</v>
      </c>
    </row>
    <row r="258" spans="3:4" x14ac:dyDescent="0.3">
      <c r="C258" s="43" t="s">
        <v>38553</v>
      </c>
      <c r="D258" s="43" t="s">
        <v>38575</v>
      </c>
    </row>
    <row r="259" spans="3:4" x14ac:dyDescent="0.3">
      <c r="C259" s="43" t="s">
        <v>38374</v>
      </c>
      <c r="D259" s="43" t="s">
        <v>38576</v>
      </c>
    </row>
    <row r="260" spans="3:4" x14ac:dyDescent="0.3">
      <c r="C260" s="43" t="s">
        <v>38553</v>
      </c>
      <c r="D260" s="43" t="s">
        <v>38577</v>
      </c>
    </row>
    <row r="261" spans="3:4" x14ac:dyDescent="0.3">
      <c r="C261" s="43" t="s">
        <v>38553</v>
      </c>
      <c r="D261" s="43" t="s">
        <v>38578</v>
      </c>
    </row>
    <row r="262" spans="3:4" x14ac:dyDescent="0.3">
      <c r="C262" s="43" t="s">
        <v>38559</v>
      </c>
      <c r="D262" s="43" t="s">
        <v>38579</v>
      </c>
    </row>
    <row r="263" spans="3:4" x14ac:dyDescent="0.3">
      <c r="C263" s="43" t="s">
        <v>38394</v>
      </c>
      <c r="D263" s="43" t="s">
        <v>38580</v>
      </c>
    </row>
    <row r="264" spans="3:4" x14ac:dyDescent="0.3">
      <c r="C264" s="43" t="s">
        <v>38553</v>
      </c>
      <c r="D264" s="43" t="s">
        <v>38581</v>
      </c>
    </row>
    <row r="265" spans="3:4" x14ac:dyDescent="0.3">
      <c r="C265" s="43" t="s">
        <v>38553</v>
      </c>
      <c r="D265" s="43" t="s">
        <v>38582</v>
      </c>
    </row>
    <row r="266" spans="3:4" x14ac:dyDescent="0.3">
      <c r="C266" s="43" t="s">
        <v>38553</v>
      </c>
      <c r="D266" s="43" t="s">
        <v>38583</v>
      </c>
    </row>
    <row r="267" spans="3:4" x14ac:dyDescent="0.3">
      <c r="C267" s="43" t="s">
        <v>38553</v>
      </c>
      <c r="D267" s="43" t="s">
        <v>38584</v>
      </c>
    </row>
    <row r="268" spans="3:4" x14ac:dyDescent="0.3">
      <c r="C268" s="43" t="s">
        <v>38553</v>
      </c>
      <c r="D268" s="43" t="s">
        <v>38585</v>
      </c>
    </row>
    <row r="269" spans="3:4" x14ac:dyDescent="0.3">
      <c r="C269" s="43" t="s">
        <v>38553</v>
      </c>
      <c r="D269" s="43" t="s">
        <v>38586</v>
      </c>
    </row>
    <row r="270" spans="3:4" x14ac:dyDescent="0.3">
      <c r="C270" s="43" t="s">
        <v>38553</v>
      </c>
      <c r="D270" s="43" t="s">
        <v>38587</v>
      </c>
    </row>
    <row r="271" spans="3:4" x14ac:dyDescent="0.3">
      <c r="C271" s="43" t="s">
        <v>38553</v>
      </c>
      <c r="D271" s="43" t="s">
        <v>38588</v>
      </c>
    </row>
    <row r="272" spans="3:4" x14ac:dyDescent="0.3">
      <c r="C272" s="43" t="s">
        <v>38553</v>
      </c>
      <c r="D272" s="43" t="s">
        <v>38589</v>
      </c>
    </row>
    <row r="273" spans="3:4" x14ac:dyDescent="0.3">
      <c r="C273" s="43" t="s">
        <v>38553</v>
      </c>
      <c r="D273" s="43" t="s">
        <v>38590</v>
      </c>
    </row>
    <row r="274" spans="3:4" x14ac:dyDescent="0.3">
      <c r="C274" s="43" t="s">
        <v>38553</v>
      </c>
      <c r="D274" s="43" t="s">
        <v>38591</v>
      </c>
    </row>
    <row r="275" spans="3:4" x14ac:dyDescent="0.3">
      <c r="C275" s="43" t="s">
        <v>38553</v>
      </c>
      <c r="D275" s="43" t="s">
        <v>38592</v>
      </c>
    </row>
    <row r="276" spans="3:4" x14ac:dyDescent="0.3">
      <c r="C276" s="43" t="s">
        <v>38553</v>
      </c>
      <c r="D276" s="43" t="s">
        <v>38593</v>
      </c>
    </row>
    <row r="277" spans="3:4" x14ac:dyDescent="0.3">
      <c r="C277" s="43" t="s">
        <v>38553</v>
      </c>
      <c r="D277" s="43" t="s">
        <v>38594</v>
      </c>
    </row>
    <row r="278" spans="3:4" x14ac:dyDescent="0.3">
      <c r="C278" s="43" t="s">
        <v>38553</v>
      </c>
      <c r="D278" s="43" t="s">
        <v>38595</v>
      </c>
    </row>
    <row r="279" spans="3:4" x14ac:dyDescent="0.3">
      <c r="C279" s="43" t="s">
        <v>38374</v>
      </c>
      <c r="D279" s="43" t="s">
        <v>38596</v>
      </c>
    </row>
    <row r="280" spans="3:4" x14ac:dyDescent="0.3">
      <c r="C280" s="43" t="s">
        <v>38553</v>
      </c>
      <c r="D280" s="43" t="s">
        <v>38597</v>
      </c>
    </row>
    <row r="281" spans="3:4" x14ac:dyDescent="0.3">
      <c r="C281" s="43" t="s">
        <v>38374</v>
      </c>
      <c r="D281" s="43" t="s">
        <v>38598</v>
      </c>
    </row>
    <row r="282" spans="3:4" x14ac:dyDescent="0.3">
      <c r="C282" s="43" t="s">
        <v>38553</v>
      </c>
      <c r="D282" s="43" t="s">
        <v>38599</v>
      </c>
    </row>
    <row r="283" spans="3:4" x14ac:dyDescent="0.3">
      <c r="C283" s="43" t="s">
        <v>38553</v>
      </c>
      <c r="D283" s="43" t="s">
        <v>38600</v>
      </c>
    </row>
    <row r="284" spans="3:4" x14ac:dyDescent="0.3">
      <c r="C284" s="43" t="s">
        <v>38374</v>
      </c>
      <c r="D284" s="43" t="s">
        <v>38601</v>
      </c>
    </row>
    <row r="285" spans="3:4" x14ac:dyDescent="0.3">
      <c r="C285" s="43" t="s">
        <v>38553</v>
      </c>
      <c r="D285" s="43" t="s">
        <v>38602</v>
      </c>
    </row>
    <row r="286" spans="3:4" x14ac:dyDescent="0.3">
      <c r="C286" s="43" t="s">
        <v>38553</v>
      </c>
      <c r="D286" s="43" t="s">
        <v>38603</v>
      </c>
    </row>
    <row r="287" spans="3:4" x14ac:dyDescent="0.3">
      <c r="C287" s="43" t="s">
        <v>38553</v>
      </c>
      <c r="D287" s="43" t="s">
        <v>38604</v>
      </c>
    </row>
    <row r="288" spans="3:4" x14ac:dyDescent="0.3">
      <c r="C288" s="43" t="s">
        <v>38394</v>
      </c>
      <c r="D288" s="43" t="s">
        <v>38605</v>
      </c>
    </row>
    <row r="289" spans="3:4" x14ac:dyDescent="0.3">
      <c r="C289" s="43" t="s">
        <v>38553</v>
      </c>
      <c r="D289" s="43" t="s">
        <v>38606</v>
      </c>
    </row>
    <row r="290" spans="3:4" x14ac:dyDescent="0.3">
      <c r="C290" s="43" t="s">
        <v>38553</v>
      </c>
      <c r="D290" s="43" t="s">
        <v>38607</v>
      </c>
    </row>
    <row r="291" spans="3:4" x14ac:dyDescent="0.3">
      <c r="C291" s="43" t="s">
        <v>38553</v>
      </c>
      <c r="D291" s="43" t="s">
        <v>38608</v>
      </c>
    </row>
    <row r="292" spans="3:4" x14ac:dyDescent="0.3">
      <c r="C292" s="43" t="s">
        <v>38553</v>
      </c>
      <c r="D292" s="43" t="s">
        <v>38609</v>
      </c>
    </row>
    <row r="293" spans="3:4" x14ac:dyDescent="0.3">
      <c r="C293" s="43" t="s">
        <v>38553</v>
      </c>
      <c r="D293" s="43" t="s">
        <v>38610</v>
      </c>
    </row>
    <row r="294" spans="3:4" x14ac:dyDescent="0.3">
      <c r="C294" s="43" t="s">
        <v>38553</v>
      </c>
      <c r="D294" s="43" t="s">
        <v>38611</v>
      </c>
    </row>
    <row r="295" spans="3:4" x14ac:dyDescent="0.3">
      <c r="C295" s="43" t="s">
        <v>38374</v>
      </c>
      <c r="D295" s="43" t="s">
        <v>38612</v>
      </c>
    </row>
    <row r="296" spans="3:4" x14ac:dyDescent="0.3">
      <c r="C296" s="43" t="s">
        <v>38553</v>
      </c>
      <c r="D296" s="43" t="s">
        <v>38613</v>
      </c>
    </row>
    <row r="297" spans="3:4" x14ac:dyDescent="0.3">
      <c r="C297" s="43" t="s">
        <v>38553</v>
      </c>
      <c r="D297" s="43" t="s">
        <v>38614</v>
      </c>
    </row>
    <row r="298" spans="3:4" x14ac:dyDescent="0.3">
      <c r="C298" s="43" t="s">
        <v>38553</v>
      </c>
      <c r="D298" s="43" t="s">
        <v>38615</v>
      </c>
    </row>
    <row r="299" spans="3:4" x14ac:dyDescent="0.3">
      <c r="C299" s="43" t="s">
        <v>38374</v>
      </c>
      <c r="D299" s="43" t="s">
        <v>38616</v>
      </c>
    </row>
    <row r="300" spans="3:4" x14ac:dyDescent="0.3">
      <c r="C300" s="43" t="s">
        <v>38553</v>
      </c>
      <c r="D300" s="43" t="s">
        <v>38617</v>
      </c>
    </row>
    <row r="301" spans="3:4" x14ac:dyDescent="0.3">
      <c r="C301" s="43" t="s">
        <v>38553</v>
      </c>
      <c r="D301" s="43" t="s">
        <v>38618</v>
      </c>
    </row>
    <row r="302" spans="3:4" x14ac:dyDescent="0.3">
      <c r="C302" s="43" t="s">
        <v>38553</v>
      </c>
      <c r="D302" s="43" t="s">
        <v>38619</v>
      </c>
    </row>
    <row r="303" spans="3:4" x14ac:dyDescent="0.3">
      <c r="C303" s="43" t="s">
        <v>38553</v>
      </c>
      <c r="D303" s="43" t="s">
        <v>38620</v>
      </c>
    </row>
    <row r="304" spans="3:4" x14ac:dyDescent="0.3">
      <c r="C304" s="43" t="s">
        <v>38553</v>
      </c>
      <c r="D304" s="43" t="s">
        <v>38621</v>
      </c>
    </row>
    <row r="305" spans="3:4" x14ac:dyDescent="0.3">
      <c r="C305" s="43" t="s">
        <v>38553</v>
      </c>
      <c r="D305" s="43" t="s">
        <v>38622</v>
      </c>
    </row>
    <row r="306" spans="3:4" x14ac:dyDescent="0.3">
      <c r="C306" s="43" t="s">
        <v>38553</v>
      </c>
      <c r="D306" s="43" t="s">
        <v>38623</v>
      </c>
    </row>
    <row r="307" spans="3:4" x14ac:dyDescent="0.3">
      <c r="C307" s="43" t="s">
        <v>38553</v>
      </c>
      <c r="D307" s="43" t="s">
        <v>38624</v>
      </c>
    </row>
    <row r="308" spans="3:4" x14ac:dyDescent="0.3">
      <c r="C308" s="43" t="s">
        <v>38553</v>
      </c>
      <c r="D308" s="43" t="s">
        <v>38625</v>
      </c>
    </row>
    <row r="309" spans="3:4" x14ac:dyDescent="0.3">
      <c r="C309" s="43" t="s">
        <v>38394</v>
      </c>
      <c r="D309" s="43" t="s">
        <v>38626</v>
      </c>
    </row>
    <row r="310" spans="3:4" x14ac:dyDescent="0.3">
      <c r="C310" s="43" t="s">
        <v>38553</v>
      </c>
      <c r="D310" s="43" t="s">
        <v>38627</v>
      </c>
    </row>
    <row r="311" spans="3:4" x14ac:dyDescent="0.3">
      <c r="C311" s="43" t="s">
        <v>38394</v>
      </c>
      <c r="D311" s="43" t="s">
        <v>38628</v>
      </c>
    </row>
    <row r="312" spans="3:4" x14ac:dyDescent="0.3">
      <c r="C312" s="43" t="s">
        <v>38374</v>
      </c>
      <c r="D312" s="43" t="s">
        <v>38629</v>
      </c>
    </row>
    <row r="313" spans="3:4" x14ac:dyDescent="0.3">
      <c r="C313" s="43" t="s">
        <v>38394</v>
      </c>
      <c r="D313" s="43" t="s">
        <v>38630</v>
      </c>
    </row>
    <row r="314" spans="3:4" x14ac:dyDescent="0.3">
      <c r="C314" s="43" t="s">
        <v>38374</v>
      </c>
      <c r="D314" s="43" t="s">
        <v>38631</v>
      </c>
    </row>
    <row r="315" spans="3:4" x14ac:dyDescent="0.3">
      <c r="C315" s="43" t="s">
        <v>38553</v>
      </c>
      <c r="D315" s="43" t="s">
        <v>38632</v>
      </c>
    </row>
    <row r="316" spans="3:4" x14ac:dyDescent="0.3">
      <c r="C316" s="43" t="s">
        <v>38374</v>
      </c>
      <c r="D316" s="43" t="s">
        <v>38633</v>
      </c>
    </row>
    <row r="317" spans="3:4" x14ac:dyDescent="0.3">
      <c r="C317" s="43" t="s">
        <v>38553</v>
      </c>
      <c r="D317" s="43" t="s">
        <v>38634</v>
      </c>
    </row>
    <row r="318" spans="3:4" x14ac:dyDescent="0.3">
      <c r="C318" s="43" t="s">
        <v>38394</v>
      </c>
      <c r="D318" s="43" t="s">
        <v>38635</v>
      </c>
    </row>
    <row r="319" spans="3:4" x14ac:dyDescent="0.3">
      <c r="C319" s="43" t="s">
        <v>38553</v>
      </c>
      <c r="D319" s="43" t="s">
        <v>38636</v>
      </c>
    </row>
    <row r="320" spans="3:4" x14ac:dyDescent="0.3">
      <c r="C320" s="43" t="s">
        <v>38394</v>
      </c>
      <c r="D320" s="43" t="s">
        <v>38637</v>
      </c>
    </row>
    <row r="321" spans="3:4" x14ac:dyDescent="0.3">
      <c r="C321" s="43" t="s">
        <v>38559</v>
      </c>
      <c r="D321" s="43" t="s">
        <v>38638</v>
      </c>
    </row>
    <row r="322" spans="3:4" x14ac:dyDescent="0.3">
      <c r="C322" s="43" t="s">
        <v>38374</v>
      </c>
      <c r="D322" s="43" t="s">
        <v>38639</v>
      </c>
    </row>
    <row r="323" spans="3:4" x14ac:dyDescent="0.3">
      <c r="C323" s="43" t="s">
        <v>38553</v>
      </c>
      <c r="D323" s="43" t="s">
        <v>38640</v>
      </c>
    </row>
    <row r="324" spans="3:4" x14ac:dyDescent="0.3">
      <c r="C324" s="43" t="s">
        <v>38374</v>
      </c>
      <c r="D324" s="43" t="s">
        <v>38641</v>
      </c>
    </row>
    <row r="325" spans="3:4" x14ac:dyDescent="0.3">
      <c r="C325" s="43" t="s">
        <v>38374</v>
      </c>
      <c r="D325" s="43" t="s">
        <v>38642</v>
      </c>
    </row>
    <row r="326" spans="3:4" x14ac:dyDescent="0.3">
      <c r="C326" s="43" t="s">
        <v>38559</v>
      </c>
      <c r="D326" s="43" t="s">
        <v>38643</v>
      </c>
    </row>
    <row r="327" spans="3:4" x14ac:dyDescent="0.3">
      <c r="C327" s="43" t="s">
        <v>38553</v>
      </c>
      <c r="D327" s="43" t="s">
        <v>38644</v>
      </c>
    </row>
    <row r="328" spans="3:4" x14ac:dyDescent="0.3">
      <c r="C328" s="43" t="s">
        <v>38553</v>
      </c>
      <c r="D328" s="43" t="s">
        <v>38645</v>
      </c>
    </row>
    <row r="329" spans="3:4" x14ac:dyDescent="0.3">
      <c r="C329" s="43" t="s">
        <v>38394</v>
      </c>
      <c r="D329" s="43" t="s">
        <v>38646</v>
      </c>
    </row>
    <row r="330" spans="3:4" x14ac:dyDescent="0.3">
      <c r="C330" s="43" t="s">
        <v>38374</v>
      </c>
      <c r="D330" s="43" t="s">
        <v>38647</v>
      </c>
    </row>
    <row r="331" spans="3:4" x14ac:dyDescent="0.3">
      <c r="C331" s="43" t="s">
        <v>38559</v>
      </c>
      <c r="D331" s="43" t="s">
        <v>38648</v>
      </c>
    </row>
    <row r="332" spans="3:4" x14ac:dyDescent="0.3">
      <c r="C332" s="43" t="s">
        <v>38394</v>
      </c>
      <c r="D332" s="43" t="s">
        <v>38649</v>
      </c>
    </row>
    <row r="333" spans="3:4" x14ac:dyDescent="0.3">
      <c r="C333" s="43" t="s">
        <v>38553</v>
      </c>
      <c r="D333" s="43" t="s">
        <v>38650</v>
      </c>
    </row>
    <row r="334" spans="3:4" x14ac:dyDescent="0.3">
      <c r="C334" s="43" t="s">
        <v>38553</v>
      </c>
      <c r="D334" s="43" t="s">
        <v>38651</v>
      </c>
    </row>
    <row r="335" spans="3:4" x14ac:dyDescent="0.3">
      <c r="C335" s="43" t="s">
        <v>38553</v>
      </c>
      <c r="D335" s="43" t="s">
        <v>38652</v>
      </c>
    </row>
    <row r="336" spans="3:4" x14ac:dyDescent="0.3">
      <c r="C336" s="43" t="s">
        <v>38553</v>
      </c>
      <c r="D336" s="43" t="s">
        <v>38653</v>
      </c>
    </row>
    <row r="337" spans="3:4" x14ac:dyDescent="0.3">
      <c r="C337" s="43" t="s">
        <v>38553</v>
      </c>
      <c r="D337" s="43" t="s">
        <v>38654</v>
      </c>
    </row>
    <row r="338" spans="3:4" x14ac:dyDescent="0.3">
      <c r="C338" s="43" t="s">
        <v>38553</v>
      </c>
      <c r="D338" s="43" t="s">
        <v>38655</v>
      </c>
    </row>
    <row r="339" spans="3:4" x14ac:dyDescent="0.3">
      <c r="C339" s="43" t="s">
        <v>38559</v>
      </c>
      <c r="D339" s="43" t="s">
        <v>38656</v>
      </c>
    </row>
    <row r="340" spans="3:4" x14ac:dyDescent="0.3">
      <c r="C340" s="43" t="s">
        <v>38374</v>
      </c>
      <c r="D340" s="43" t="s">
        <v>38656</v>
      </c>
    </row>
    <row r="341" spans="3:4" x14ac:dyDescent="0.3">
      <c r="C341" s="43" t="s">
        <v>38657</v>
      </c>
      <c r="D341" s="43" t="s">
        <v>38658</v>
      </c>
    </row>
    <row r="342" spans="3:4" x14ac:dyDescent="0.3">
      <c r="C342" s="43" t="s">
        <v>38374</v>
      </c>
      <c r="D342" s="43" t="s">
        <v>38659</v>
      </c>
    </row>
    <row r="343" spans="3:4" x14ac:dyDescent="0.3">
      <c r="C343" s="43" t="s">
        <v>38553</v>
      </c>
      <c r="D343" s="43" t="s">
        <v>38660</v>
      </c>
    </row>
    <row r="344" spans="3:4" x14ac:dyDescent="0.3">
      <c r="C344" s="43" t="s">
        <v>38394</v>
      </c>
      <c r="D344" s="43" t="s">
        <v>38661</v>
      </c>
    </row>
    <row r="345" spans="3:4" x14ac:dyDescent="0.3">
      <c r="C345" s="43" t="s">
        <v>38394</v>
      </c>
      <c r="D345" s="43" t="s">
        <v>38662</v>
      </c>
    </row>
    <row r="346" spans="3:4" x14ac:dyDescent="0.3">
      <c r="C346" s="43" t="s">
        <v>38553</v>
      </c>
      <c r="D346" s="43" t="s">
        <v>38663</v>
      </c>
    </row>
    <row r="347" spans="3:4" x14ac:dyDescent="0.3">
      <c r="C347" s="43" t="s">
        <v>38553</v>
      </c>
      <c r="D347" s="43" t="s">
        <v>38664</v>
      </c>
    </row>
    <row r="348" spans="3:4" x14ac:dyDescent="0.3">
      <c r="C348" s="43" t="s">
        <v>38394</v>
      </c>
      <c r="D348" s="43" t="s">
        <v>38665</v>
      </c>
    </row>
    <row r="349" spans="3:4" x14ac:dyDescent="0.3">
      <c r="C349" s="43" t="s">
        <v>38553</v>
      </c>
      <c r="D349" s="43" t="s">
        <v>38666</v>
      </c>
    </row>
    <row r="350" spans="3:4" x14ac:dyDescent="0.3">
      <c r="C350" s="43" t="s">
        <v>38553</v>
      </c>
      <c r="D350" s="43" t="s">
        <v>38667</v>
      </c>
    </row>
    <row r="351" spans="3:4" x14ac:dyDescent="0.3">
      <c r="C351" s="43" t="s">
        <v>38559</v>
      </c>
      <c r="D351" s="43" t="s">
        <v>38668</v>
      </c>
    </row>
    <row r="352" spans="3:4" x14ac:dyDescent="0.3">
      <c r="C352" s="43" t="s">
        <v>38374</v>
      </c>
      <c r="D352" s="43" t="s">
        <v>38669</v>
      </c>
    </row>
    <row r="353" spans="3:4" x14ac:dyDescent="0.3">
      <c r="C353" s="43" t="s">
        <v>38394</v>
      </c>
      <c r="D353" s="43" t="s">
        <v>38670</v>
      </c>
    </row>
    <row r="354" spans="3:4" x14ac:dyDescent="0.3">
      <c r="C354" s="43" t="s">
        <v>38553</v>
      </c>
      <c r="D354" s="43" t="s">
        <v>38671</v>
      </c>
    </row>
    <row r="355" spans="3:4" x14ac:dyDescent="0.3">
      <c r="C355" s="43" t="s">
        <v>38553</v>
      </c>
      <c r="D355" s="43" t="s">
        <v>38672</v>
      </c>
    </row>
    <row r="356" spans="3:4" x14ac:dyDescent="0.3">
      <c r="C356" s="43" t="s">
        <v>38553</v>
      </c>
      <c r="D356" s="43" t="s">
        <v>38673</v>
      </c>
    </row>
    <row r="357" spans="3:4" x14ac:dyDescent="0.3">
      <c r="C357" s="43" t="s">
        <v>38553</v>
      </c>
      <c r="D357" s="43" t="s">
        <v>38674</v>
      </c>
    </row>
    <row r="358" spans="3:4" x14ac:dyDescent="0.3">
      <c r="C358" s="43" t="s">
        <v>38553</v>
      </c>
      <c r="D358" s="43" t="s">
        <v>38675</v>
      </c>
    </row>
    <row r="359" spans="3:4" x14ac:dyDescent="0.3">
      <c r="C359" s="43" t="s">
        <v>38553</v>
      </c>
      <c r="D359" s="43" t="s">
        <v>38676</v>
      </c>
    </row>
    <row r="360" spans="3:4" x14ac:dyDescent="0.3">
      <c r="C360" s="43" t="s">
        <v>38559</v>
      </c>
      <c r="D360" s="43" t="s">
        <v>38677</v>
      </c>
    </row>
    <row r="361" spans="3:4" x14ac:dyDescent="0.3">
      <c r="C361" s="43" t="s">
        <v>38553</v>
      </c>
      <c r="D361" s="43" t="s">
        <v>38678</v>
      </c>
    </row>
    <row r="362" spans="3:4" x14ac:dyDescent="0.3">
      <c r="C362" s="43" t="s">
        <v>38553</v>
      </c>
      <c r="D362" s="43" t="s">
        <v>38679</v>
      </c>
    </row>
    <row r="363" spans="3:4" x14ac:dyDescent="0.3">
      <c r="C363" s="43" t="s">
        <v>38553</v>
      </c>
      <c r="D363" s="43" t="s">
        <v>38680</v>
      </c>
    </row>
    <row r="364" spans="3:4" x14ac:dyDescent="0.3">
      <c r="C364" s="43" t="s">
        <v>38394</v>
      </c>
      <c r="D364" s="43" t="s">
        <v>38681</v>
      </c>
    </row>
    <row r="365" spans="3:4" x14ac:dyDescent="0.3">
      <c r="C365" s="43" t="s">
        <v>38394</v>
      </c>
      <c r="D365" s="43" t="s">
        <v>38682</v>
      </c>
    </row>
    <row r="366" spans="3:4" x14ac:dyDescent="0.3">
      <c r="C366" s="43" t="s">
        <v>38553</v>
      </c>
      <c r="D366" s="43" t="s">
        <v>38683</v>
      </c>
    </row>
    <row r="367" spans="3:4" x14ac:dyDescent="0.3">
      <c r="C367" s="43" t="s">
        <v>38553</v>
      </c>
      <c r="D367" s="43" t="s">
        <v>38684</v>
      </c>
    </row>
    <row r="368" spans="3:4" x14ac:dyDescent="0.3">
      <c r="C368" s="43" t="s">
        <v>38394</v>
      </c>
      <c r="D368" s="43" t="s">
        <v>38685</v>
      </c>
    </row>
    <row r="369" spans="3:4" x14ac:dyDescent="0.3">
      <c r="C369" s="43" t="s">
        <v>38553</v>
      </c>
      <c r="D369" s="43" t="s">
        <v>38686</v>
      </c>
    </row>
    <row r="370" spans="3:4" x14ac:dyDescent="0.3">
      <c r="C370" s="43" t="s">
        <v>38553</v>
      </c>
      <c r="D370" s="43" t="s">
        <v>38687</v>
      </c>
    </row>
    <row r="371" spans="3:4" x14ac:dyDescent="0.3">
      <c r="C371" s="43" t="s">
        <v>38553</v>
      </c>
      <c r="D371" s="43" t="s">
        <v>38688</v>
      </c>
    </row>
    <row r="372" spans="3:4" x14ac:dyDescent="0.3">
      <c r="C372" s="43" t="s">
        <v>38553</v>
      </c>
      <c r="D372" s="43" t="s">
        <v>38689</v>
      </c>
    </row>
    <row r="373" spans="3:4" x14ac:dyDescent="0.3">
      <c r="C373" s="43" t="s">
        <v>38374</v>
      </c>
      <c r="D373" s="43" t="s">
        <v>38690</v>
      </c>
    </row>
    <row r="374" spans="3:4" x14ac:dyDescent="0.3">
      <c r="C374" s="43" t="s">
        <v>38374</v>
      </c>
      <c r="D374" s="43" t="s">
        <v>38691</v>
      </c>
    </row>
    <row r="375" spans="3:4" x14ac:dyDescent="0.3">
      <c r="C375" s="43" t="s">
        <v>38394</v>
      </c>
      <c r="D375" s="43" t="s">
        <v>38692</v>
      </c>
    </row>
    <row r="376" spans="3:4" x14ac:dyDescent="0.3">
      <c r="C376" s="43" t="s">
        <v>38553</v>
      </c>
      <c r="D376" s="43" t="s">
        <v>38693</v>
      </c>
    </row>
    <row r="377" spans="3:4" x14ac:dyDescent="0.3">
      <c r="C377" s="43" t="s">
        <v>38553</v>
      </c>
      <c r="D377" s="43" t="s">
        <v>38694</v>
      </c>
    </row>
    <row r="378" spans="3:4" x14ac:dyDescent="0.3">
      <c r="C378" s="43" t="s">
        <v>38553</v>
      </c>
      <c r="D378" s="43" t="s">
        <v>38695</v>
      </c>
    </row>
    <row r="379" spans="3:4" x14ac:dyDescent="0.3">
      <c r="C379" s="43" t="s">
        <v>38374</v>
      </c>
      <c r="D379" s="43" t="s">
        <v>38696</v>
      </c>
    </row>
    <row r="380" spans="3:4" x14ac:dyDescent="0.3">
      <c r="C380" s="43" t="s">
        <v>38394</v>
      </c>
      <c r="D380" s="43" t="s">
        <v>38697</v>
      </c>
    </row>
    <row r="381" spans="3:4" x14ac:dyDescent="0.3">
      <c r="C381" s="43" t="s">
        <v>38394</v>
      </c>
      <c r="D381" s="43" t="s">
        <v>38698</v>
      </c>
    </row>
    <row r="382" spans="3:4" x14ac:dyDescent="0.3">
      <c r="C382" s="43" t="s">
        <v>38394</v>
      </c>
      <c r="D382" s="43" t="s">
        <v>38699</v>
      </c>
    </row>
    <row r="383" spans="3:4" x14ac:dyDescent="0.3">
      <c r="C383" s="43" t="s">
        <v>38553</v>
      </c>
      <c r="D383" s="43" t="s">
        <v>38700</v>
      </c>
    </row>
    <row r="384" spans="3:4" x14ac:dyDescent="0.3">
      <c r="C384" s="43" t="s">
        <v>38374</v>
      </c>
      <c r="D384" s="43" t="s">
        <v>38701</v>
      </c>
    </row>
    <row r="385" spans="3:4" x14ac:dyDescent="0.3">
      <c r="C385" s="43" t="s">
        <v>38553</v>
      </c>
      <c r="D385" s="43" t="s">
        <v>38702</v>
      </c>
    </row>
    <row r="386" spans="3:4" x14ac:dyDescent="0.3">
      <c r="C386" s="43" t="s">
        <v>38374</v>
      </c>
      <c r="D386" s="43" t="s">
        <v>38703</v>
      </c>
    </row>
    <row r="387" spans="3:4" x14ac:dyDescent="0.3">
      <c r="C387" s="43" t="s">
        <v>38553</v>
      </c>
      <c r="D387" s="43" t="s">
        <v>38704</v>
      </c>
    </row>
    <row r="388" spans="3:4" x14ac:dyDescent="0.3">
      <c r="C388" s="43" t="s">
        <v>38553</v>
      </c>
      <c r="D388" s="43" t="s">
        <v>38705</v>
      </c>
    </row>
    <row r="389" spans="3:4" x14ac:dyDescent="0.3">
      <c r="C389" s="43" t="s">
        <v>38553</v>
      </c>
      <c r="D389" s="43" t="s">
        <v>38706</v>
      </c>
    </row>
    <row r="390" spans="3:4" x14ac:dyDescent="0.3">
      <c r="C390" s="43" t="s">
        <v>38553</v>
      </c>
      <c r="D390" s="43" t="s">
        <v>38707</v>
      </c>
    </row>
    <row r="391" spans="3:4" x14ac:dyDescent="0.3">
      <c r="C391" s="43" t="s">
        <v>38394</v>
      </c>
      <c r="D391" s="43" t="s">
        <v>38708</v>
      </c>
    </row>
    <row r="392" spans="3:4" x14ac:dyDescent="0.3">
      <c r="C392" s="43" t="s">
        <v>38374</v>
      </c>
      <c r="D392" s="43" t="s">
        <v>38709</v>
      </c>
    </row>
    <row r="393" spans="3:4" x14ac:dyDescent="0.3">
      <c r="C393" s="43" t="s">
        <v>38394</v>
      </c>
      <c r="D393" s="43" t="s">
        <v>38710</v>
      </c>
    </row>
    <row r="394" spans="3:4" x14ac:dyDescent="0.3">
      <c r="C394" s="43" t="s">
        <v>38553</v>
      </c>
      <c r="D394" s="43" t="s">
        <v>38711</v>
      </c>
    </row>
    <row r="395" spans="3:4" x14ac:dyDescent="0.3">
      <c r="C395" s="43" t="s">
        <v>38553</v>
      </c>
      <c r="D395" s="43" t="s">
        <v>38712</v>
      </c>
    </row>
    <row r="396" spans="3:4" x14ac:dyDescent="0.3">
      <c r="C396" s="43" t="s">
        <v>38559</v>
      </c>
      <c r="D396" s="43" t="s">
        <v>38713</v>
      </c>
    </row>
    <row r="397" spans="3:4" x14ac:dyDescent="0.3">
      <c r="C397" s="43" t="s">
        <v>38374</v>
      </c>
      <c r="D397" s="43" t="s">
        <v>38714</v>
      </c>
    </row>
    <row r="398" spans="3:4" x14ac:dyDescent="0.3">
      <c r="C398" s="43" t="s">
        <v>38553</v>
      </c>
      <c r="D398" s="43" t="s">
        <v>38715</v>
      </c>
    </row>
    <row r="399" spans="3:4" x14ac:dyDescent="0.3">
      <c r="C399" s="43" t="s">
        <v>38394</v>
      </c>
      <c r="D399" s="43" t="s">
        <v>38716</v>
      </c>
    </row>
    <row r="400" spans="3:4" x14ac:dyDescent="0.3">
      <c r="C400" s="43" t="s">
        <v>38553</v>
      </c>
      <c r="D400" s="43" t="s">
        <v>38717</v>
      </c>
    </row>
    <row r="401" spans="3:4" x14ac:dyDescent="0.3">
      <c r="C401" s="43" t="s">
        <v>38553</v>
      </c>
      <c r="D401" s="43" t="s">
        <v>38718</v>
      </c>
    </row>
    <row r="402" spans="3:4" x14ac:dyDescent="0.3">
      <c r="C402" s="43" t="s">
        <v>38553</v>
      </c>
      <c r="D402" s="43" t="s">
        <v>38719</v>
      </c>
    </row>
    <row r="403" spans="3:4" x14ac:dyDescent="0.3">
      <c r="C403" s="43" t="s">
        <v>38394</v>
      </c>
      <c r="D403" s="43" t="s">
        <v>38720</v>
      </c>
    </row>
    <row r="404" spans="3:4" x14ac:dyDescent="0.3">
      <c r="C404" s="43" t="s">
        <v>38553</v>
      </c>
      <c r="D404" s="43" t="s">
        <v>38721</v>
      </c>
    </row>
    <row r="405" spans="3:4" x14ac:dyDescent="0.3">
      <c r="C405" s="43" t="s">
        <v>38657</v>
      </c>
      <c r="D405" s="43" t="s">
        <v>38722</v>
      </c>
    </row>
    <row r="406" spans="3:4" x14ac:dyDescent="0.3">
      <c r="C406" s="43" t="s">
        <v>38374</v>
      </c>
      <c r="D406" s="43" t="s">
        <v>38723</v>
      </c>
    </row>
    <row r="407" spans="3:4" x14ac:dyDescent="0.3">
      <c r="C407" s="43" t="s">
        <v>38553</v>
      </c>
      <c r="D407" s="43" t="s">
        <v>38724</v>
      </c>
    </row>
    <row r="408" spans="3:4" x14ac:dyDescent="0.3">
      <c r="C408" s="43" t="s">
        <v>38553</v>
      </c>
      <c r="D408" s="43" t="s">
        <v>38725</v>
      </c>
    </row>
    <row r="409" spans="3:4" x14ac:dyDescent="0.3">
      <c r="C409" s="43" t="s">
        <v>38553</v>
      </c>
      <c r="D409" s="43" t="s">
        <v>38726</v>
      </c>
    </row>
    <row r="410" spans="3:4" x14ac:dyDescent="0.3">
      <c r="C410" s="43" t="s">
        <v>38553</v>
      </c>
      <c r="D410" s="43" t="s">
        <v>38727</v>
      </c>
    </row>
    <row r="411" spans="3:4" x14ac:dyDescent="0.3">
      <c r="C411" s="43" t="s">
        <v>38394</v>
      </c>
      <c r="D411" s="43" t="s">
        <v>38728</v>
      </c>
    </row>
    <row r="412" spans="3:4" x14ac:dyDescent="0.3">
      <c r="C412" s="43" t="s">
        <v>38553</v>
      </c>
      <c r="D412" s="43" t="s">
        <v>38729</v>
      </c>
    </row>
    <row r="413" spans="3:4" x14ac:dyDescent="0.3">
      <c r="C413" s="43" t="s">
        <v>38553</v>
      </c>
      <c r="D413" s="43" t="s">
        <v>38730</v>
      </c>
    </row>
    <row r="414" spans="3:4" x14ac:dyDescent="0.3">
      <c r="C414" s="43" t="s">
        <v>38553</v>
      </c>
      <c r="D414" s="43" t="s">
        <v>38731</v>
      </c>
    </row>
    <row r="415" spans="3:4" x14ac:dyDescent="0.3">
      <c r="C415" s="43" t="s">
        <v>38553</v>
      </c>
      <c r="D415" s="43" t="s">
        <v>38732</v>
      </c>
    </row>
    <row r="416" spans="3:4" x14ac:dyDescent="0.3">
      <c r="C416" s="43" t="s">
        <v>38553</v>
      </c>
      <c r="D416" s="43" t="s">
        <v>38733</v>
      </c>
    </row>
    <row r="417" spans="3:4" x14ac:dyDescent="0.3">
      <c r="C417" s="43" t="s">
        <v>38553</v>
      </c>
      <c r="D417" s="43" t="s">
        <v>38734</v>
      </c>
    </row>
    <row r="418" spans="3:4" x14ac:dyDescent="0.3">
      <c r="C418" s="43" t="s">
        <v>38657</v>
      </c>
      <c r="D418" s="43" t="s">
        <v>38735</v>
      </c>
    </row>
    <row r="419" spans="3:4" x14ac:dyDescent="0.3">
      <c r="C419" s="43" t="s">
        <v>38394</v>
      </c>
      <c r="D419" s="43" t="s">
        <v>38736</v>
      </c>
    </row>
    <row r="420" spans="3:4" x14ac:dyDescent="0.3">
      <c r="C420" s="43" t="s">
        <v>38553</v>
      </c>
      <c r="D420" s="43" t="s">
        <v>38737</v>
      </c>
    </row>
    <row r="421" spans="3:4" x14ac:dyDescent="0.3">
      <c r="C421" s="43" t="s">
        <v>38553</v>
      </c>
      <c r="D421" s="43" t="s">
        <v>38738</v>
      </c>
    </row>
    <row r="422" spans="3:4" x14ac:dyDescent="0.3">
      <c r="C422" s="43" t="s">
        <v>38553</v>
      </c>
      <c r="D422" s="43" t="s">
        <v>38739</v>
      </c>
    </row>
    <row r="423" spans="3:4" x14ac:dyDescent="0.3">
      <c r="C423" s="43" t="s">
        <v>38553</v>
      </c>
      <c r="D423" s="43" t="s">
        <v>38740</v>
      </c>
    </row>
    <row r="424" spans="3:4" x14ac:dyDescent="0.3">
      <c r="C424" s="43" t="s">
        <v>38374</v>
      </c>
      <c r="D424" s="43" t="s">
        <v>38741</v>
      </c>
    </row>
    <row r="425" spans="3:4" x14ac:dyDescent="0.3">
      <c r="C425" s="43" t="s">
        <v>38553</v>
      </c>
      <c r="D425" s="43" t="s">
        <v>38742</v>
      </c>
    </row>
    <row r="426" spans="3:4" x14ac:dyDescent="0.3">
      <c r="C426" s="43" t="s">
        <v>38553</v>
      </c>
      <c r="D426" s="43" t="s">
        <v>38743</v>
      </c>
    </row>
    <row r="427" spans="3:4" x14ac:dyDescent="0.3">
      <c r="C427" s="43" t="s">
        <v>38553</v>
      </c>
      <c r="D427" s="43" t="s">
        <v>38744</v>
      </c>
    </row>
    <row r="428" spans="3:4" x14ac:dyDescent="0.3">
      <c r="C428" s="43" t="s">
        <v>38394</v>
      </c>
      <c r="D428" s="43" t="s">
        <v>38745</v>
      </c>
    </row>
    <row r="429" spans="3:4" x14ac:dyDescent="0.3">
      <c r="C429" s="43" t="s">
        <v>38657</v>
      </c>
      <c r="D429" s="43" t="s">
        <v>38746</v>
      </c>
    </row>
    <row r="430" spans="3:4" x14ac:dyDescent="0.3">
      <c r="C430" s="43" t="s">
        <v>38553</v>
      </c>
      <c r="D430" s="43" t="s">
        <v>38747</v>
      </c>
    </row>
    <row r="431" spans="3:4" x14ac:dyDescent="0.3">
      <c r="C431" s="43" t="s">
        <v>38748</v>
      </c>
      <c r="D431" s="43" t="s">
        <v>38749</v>
      </c>
    </row>
    <row r="432" spans="3:4" x14ac:dyDescent="0.3">
      <c r="C432" s="43" t="s">
        <v>38374</v>
      </c>
      <c r="D432" s="43" t="s">
        <v>38750</v>
      </c>
    </row>
    <row r="433" spans="3:4" x14ac:dyDescent="0.3">
      <c r="C433" s="43" t="s">
        <v>38374</v>
      </c>
      <c r="D433" s="43" t="s">
        <v>38751</v>
      </c>
    </row>
    <row r="434" spans="3:4" x14ac:dyDescent="0.3">
      <c r="C434" s="43" t="s">
        <v>38374</v>
      </c>
      <c r="D434" s="43" t="s">
        <v>38752</v>
      </c>
    </row>
    <row r="435" spans="3:4" x14ac:dyDescent="0.3">
      <c r="C435" s="43" t="s">
        <v>38374</v>
      </c>
      <c r="D435" s="43" t="s">
        <v>38753</v>
      </c>
    </row>
    <row r="436" spans="3:4" x14ac:dyDescent="0.3">
      <c r="C436" s="43" t="s">
        <v>38553</v>
      </c>
      <c r="D436" s="43" t="s">
        <v>38754</v>
      </c>
    </row>
    <row r="437" spans="3:4" x14ac:dyDescent="0.3">
      <c r="C437" s="43" t="s">
        <v>38553</v>
      </c>
      <c r="D437" s="43" t="s">
        <v>38755</v>
      </c>
    </row>
    <row r="438" spans="3:4" x14ac:dyDescent="0.3">
      <c r="C438" s="43" t="s">
        <v>38553</v>
      </c>
      <c r="D438" s="43" t="s">
        <v>38756</v>
      </c>
    </row>
    <row r="439" spans="3:4" x14ac:dyDescent="0.3">
      <c r="C439" s="43" t="s">
        <v>38553</v>
      </c>
      <c r="D439" s="43" t="s">
        <v>38757</v>
      </c>
    </row>
    <row r="440" spans="3:4" x14ac:dyDescent="0.3">
      <c r="C440" s="43" t="s">
        <v>38394</v>
      </c>
      <c r="D440" s="43" t="s">
        <v>38758</v>
      </c>
    </row>
    <row r="441" spans="3:4" x14ac:dyDescent="0.3">
      <c r="C441" s="43" t="s">
        <v>38553</v>
      </c>
      <c r="D441" s="43" t="s">
        <v>38759</v>
      </c>
    </row>
    <row r="442" spans="3:4" x14ac:dyDescent="0.3">
      <c r="C442" s="43" t="s">
        <v>38553</v>
      </c>
      <c r="D442" s="43" t="s">
        <v>38760</v>
      </c>
    </row>
    <row r="443" spans="3:4" x14ac:dyDescent="0.3">
      <c r="C443" s="43" t="s">
        <v>38374</v>
      </c>
      <c r="D443" s="43" t="s">
        <v>38761</v>
      </c>
    </row>
    <row r="444" spans="3:4" x14ac:dyDescent="0.3">
      <c r="C444" s="43" t="s">
        <v>38374</v>
      </c>
      <c r="D444" s="43" t="s">
        <v>38762</v>
      </c>
    </row>
    <row r="445" spans="3:4" x14ac:dyDescent="0.3">
      <c r="C445" s="43" t="s">
        <v>38394</v>
      </c>
      <c r="D445" s="43" t="s">
        <v>38763</v>
      </c>
    </row>
    <row r="446" spans="3:4" x14ac:dyDescent="0.3">
      <c r="C446" s="43" t="s">
        <v>38553</v>
      </c>
      <c r="D446" s="43" t="s">
        <v>38764</v>
      </c>
    </row>
    <row r="447" spans="3:4" x14ac:dyDescent="0.3">
      <c r="C447" s="43" t="s">
        <v>38553</v>
      </c>
      <c r="D447" s="43" t="s">
        <v>38765</v>
      </c>
    </row>
    <row r="448" spans="3:4" x14ac:dyDescent="0.3">
      <c r="C448" s="43" t="s">
        <v>38553</v>
      </c>
      <c r="D448" s="43" t="s">
        <v>38766</v>
      </c>
    </row>
    <row r="449" spans="3:4" x14ac:dyDescent="0.3">
      <c r="C449" s="43" t="s">
        <v>38748</v>
      </c>
      <c r="D449" s="43" t="s">
        <v>38767</v>
      </c>
    </row>
    <row r="450" spans="3:4" x14ac:dyDescent="0.3">
      <c r="C450" s="43" t="s">
        <v>38553</v>
      </c>
      <c r="D450" s="43" t="s">
        <v>38768</v>
      </c>
    </row>
    <row r="451" spans="3:4" x14ac:dyDescent="0.3">
      <c r="C451" s="43" t="s">
        <v>38553</v>
      </c>
      <c r="D451" s="43" t="s">
        <v>38769</v>
      </c>
    </row>
    <row r="452" spans="3:4" x14ac:dyDescent="0.3">
      <c r="C452" s="43" t="s">
        <v>38553</v>
      </c>
      <c r="D452" s="43" t="s">
        <v>38770</v>
      </c>
    </row>
    <row r="453" spans="3:4" x14ac:dyDescent="0.3">
      <c r="C453" s="43" t="s">
        <v>38553</v>
      </c>
      <c r="D453" s="43" t="s">
        <v>38771</v>
      </c>
    </row>
    <row r="454" spans="3:4" x14ac:dyDescent="0.3">
      <c r="C454" s="43" t="s">
        <v>38374</v>
      </c>
      <c r="D454" s="43" t="s">
        <v>38772</v>
      </c>
    </row>
    <row r="455" spans="3:4" x14ac:dyDescent="0.3">
      <c r="C455" s="43" t="s">
        <v>38553</v>
      </c>
      <c r="D455" s="43" t="s">
        <v>38340</v>
      </c>
    </row>
    <row r="456" spans="3:4" x14ac:dyDescent="0.3">
      <c r="C456" s="43" t="s">
        <v>38748</v>
      </c>
      <c r="D456" s="43" t="s">
        <v>38773</v>
      </c>
    </row>
    <row r="457" spans="3:4" x14ac:dyDescent="0.3">
      <c r="C457" s="43" t="s">
        <v>38374</v>
      </c>
      <c r="D457" s="43" t="s">
        <v>38774</v>
      </c>
    </row>
    <row r="458" spans="3:4" x14ac:dyDescent="0.3">
      <c r="C458" s="43" t="s">
        <v>38553</v>
      </c>
      <c r="D458" s="43" t="s">
        <v>38775</v>
      </c>
    </row>
    <row r="459" spans="3:4" x14ac:dyDescent="0.3">
      <c r="C459" s="43" t="s">
        <v>38374</v>
      </c>
      <c r="D459" s="43" t="s">
        <v>38776</v>
      </c>
    </row>
    <row r="460" spans="3:4" x14ac:dyDescent="0.3">
      <c r="C460" s="43" t="s">
        <v>38553</v>
      </c>
      <c r="D460" s="43" t="s">
        <v>38777</v>
      </c>
    </row>
    <row r="461" spans="3:4" x14ac:dyDescent="0.3">
      <c r="C461" s="43" t="s">
        <v>38657</v>
      </c>
      <c r="D461" s="43" t="s">
        <v>38778</v>
      </c>
    </row>
    <row r="462" spans="3:4" x14ac:dyDescent="0.3">
      <c r="C462" s="43" t="s">
        <v>38657</v>
      </c>
      <c r="D462" s="43" t="s">
        <v>38779</v>
      </c>
    </row>
    <row r="463" spans="3:4" x14ac:dyDescent="0.3">
      <c r="C463" s="43" t="s">
        <v>38553</v>
      </c>
      <c r="D463" s="43" t="s">
        <v>38780</v>
      </c>
    </row>
    <row r="464" spans="3:4" x14ac:dyDescent="0.3">
      <c r="C464" s="43" t="s">
        <v>38394</v>
      </c>
      <c r="D464" s="43" t="s">
        <v>38781</v>
      </c>
    </row>
    <row r="465" spans="3:4" x14ac:dyDescent="0.3">
      <c r="C465" s="43" t="s">
        <v>38394</v>
      </c>
      <c r="D465" s="43" t="s">
        <v>38782</v>
      </c>
    </row>
    <row r="466" spans="3:4" x14ac:dyDescent="0.3">
      <c r="C466" s="43" t="s">
        <v>38553</v>
      </c>
      <c r="D466" s="43" t="s">
        <v>38783</v>
      </c>
    </row>
    <row r="467" spans="3:4" x14ac:dyDescent="0.3">
      <c r="C467" s="43" t="s">
        <v>38374</v>
      </c>
      <c r="D467" s="43" t="s">
        <v>38784</v>
      </c>
    </row>
    <row r="468" spans="3:4" x14ac:dyDescent="0.3">
      <c r="C468" s="43" t="s">
        <v>38553</v>
      </c>
      <c r="D468" s="43" t="s">
        <v>38785</v>
      </c>
    </row>
    <row r="469" spans="3:4" x14ac:dyDescent="0.3">
      <c r="C469" s="43" t="s">
        <v>38553</v>
      </c>
      <c r="D469" s="43" t="s">
        <v>4052</v>
      </c>
    </row>
    <row r="470" spans="3:4" x14ac:dyDescent="0.3">
      <c r="C470" s="43" t="s">
        <v>38553</v>
      </c>
      <c r="D470" s="43" t="s">
        <v>38786</v>
      </c>
    </row>
    <row r="471" spans="3:4" x14ac:dyDescent="0.3">
      <c r="C471" s="43" t="s">
        <v>38374</v>
      </c>
      <c r="D471" s="43" t="s">
        <v>38787</v>
      </c>
    </row>
    <row r="472" spans="3:4" x14ac:dyDescent="0.3">
      <c r="C472" s="43" t="s">
        <v>38553</v>
      </c>
      <c r="D472" s="43" t="s">
        <v>38788</v>
      </c>
    </row>
    <row r="473" spans="3:4" x14ac:dyDescent="0.3">
      <c r="C473" s="43" t="s">
        <v>38553</v>
      </c>
      <c r="D473" s="43" t="s">
        <v>38789</v>
      </c>
    </row>
    <row r="474" spans="3:4" x14ac:dyDescent="0.3">
      <c r="C474" s="43" t="s">
        <v>38374</v>
      </c>
      <c r="D474" s="43" t="s">
        <v>38790</v>
      </c>
    </row>
    <row r="475" spans="3:4" x14ac:dyDescent="0.3">
      <c r="C475" s="43" t="s">
        <v>38374</v>
      </c>
      <c r="D475" s="43" t="s">
        <v>38791</v>
      </c>
    </row>
    <row r="476" spans="3:4" x14ac:dyDescent="0.3">
      <c r="C476" s="43" t="s">
        <v>38374</v>
      </c>
      <c r="D476" s="43" t="s">
        <v>38792</v>
      </c>
    </row>
    <row r="477" spans="3:4" x14ac:dyDescent="0.3">
      <c r="C477" s="43" t="s">
        <v>38394</v>
      </c>
      <c r="D477" s="43" t="s">
        <v>38793</v>
      </c>
    </row>
    <row r="478" spans="3:4" x14ac:dyDescent="0.3">
      <c r="C478" s="43" t="s">
        <v>38553</v>
      </c>
      <c r="D478" s="43" t="s">
        <v>38794</v>
      </c>
    </row>
    <row r="479" spans="3:4" x14ac:dyDescent="0.3">
      <c r="C479" s="43" t="s">
        <v>38748</v>
      </c>
      <c r="D479" s="43" t="s">
        <v>38795</v>
      </c>
    </row>
    <row r="480" spans="3:4" x14ac:dyDescent="0.3">
      <c r="C480" s="43" t="s">
        <v>38394</v>
      </c>
      <c r="D480" s="43" t="s">
        <v>38796</v>
      </c>
    </row>
    <row r="481" spans="3:4" x14ac:dyDescent="0.3">
      <c r="C481" s="43" t="s">
        <v>38394</v>
      </c>
      <c r="D481" s="43" t="s">
        <v>38797</v>
      </c>
    </row>
    <row r="482" spans="3:4" x14ac:dyDescent="0.3">
      <c r="C482" s="43" t="s">
        <v>38394</v>
      </c>
      <c r="D482" s="43" t="s">
        <v>38798</v>
      </c>
    </row>
    <row r="483" spans="3:4" x14ac:dyDescent="0.3">
      <c r="C483" s="43" t="s">
        <v>38553</v>
      </c>
      <c r="D483" s="43" t="s">
        <v>38799</v>
      </c>
    </row>
    <row r="484" spans="3:4" x14ac:dyDescent="0.3">
      <c r="C484" s="43" t="s">
        <v>38394</v>
      </c>
      <c r="D484" s="43" t="s">
        <v>38800</v>
      </c>
    </row>
    <row r="485" spans="3:4" x14ac:dyDescent="0.3">
      <c r="C485" s="43" t="s">
        <v>38553</v>
      </c>
      <c r="D485" s="43" t="s">
        <v>38801</v>
      </c>
    </row>
    <row r="486" spans="3:4" x14ac:dyDescent="0.3">
      <c r="C486" s="43" t="s">
        <v>38553</v>
      </c>
      <c r="D486" s="43" t="s">
        <v>38802</v>
      </c>
    </row>
    <row r="487" spans="3:4" x14ac:dyDescent="0.3">
      <c r="C487" s="43" t="s">
        <v>38553</v>
      </c>
      <c r="D487" s="43" t="s">
        <v>38803</v>
      </c>
    </row>
    <row r="488" spans="3:4" x14ac:dyDescent="0.3">
      <c r="C488" s="43" t="s">
        <v>38394</v>
      </c>
      <c r="D488" s="43" t="s">
        <v>38804</v>
      </c>
    </row>
    <row r="489" spans="3:4" x14ac:dyDescent="0.3">
      <c r="C489" s="43" t="s">
        <v>38374</v>
      </c>
      <c r="D489" s="43" t="s">
        <v>38805</v>
      </c>
    </row>
    <row r="490" spans="3:4" x14ac:dyDescent="0.3">
      <c r="C490" s="43" t="s">
        <v>38553</v>
      </c>
      <c r="D490" s="43" t="s">
        <v>38806</v>
      </c>
    </row>
    <row r="491" spans="3:4" x14ac:dyDescent="0.3">
      <c r="C491" s="43" t="s">
        <v>38553</v>
      </c>
      <c r="D491" s="43" t="s">
        <v>38807</v>
      </c>
    </row>
    <row r="492" spans="3:4" x14ac:dyDescent="0.3">
      <c r="C492" s="43" t="s">
        <v>38553</v>
      </c>
      <c r="D492" s="43" t="s">
        <v>38808</v>
      </c>
    </row>
    <row r="493" spans="3:4" x14ac:dyDescent="0.3">
      <c r="C493" s="43" t="s">
        <v>38657</v>
      </c>
      <c r="D493" s="43" t="s">
        <v>38809</v>
      </c>
    </row>
    <row r="494" spans="3:4" x14ac:dyDescent="0.3">
      <c r="C494" s="43" t="s">
        <v>38394</v>
      </c>
      <c r="D494" s="43" t="s">
        <v>38810</v>
      </c>
    </row>
    <row r="495" spans="3:4" x14ac:dyDescent="0.3">
      <c r="C495" s="43" t="s">
        <v>38374</v>
      </c>
      <c r="D495" s="43" t="s">
        <v>38811</v>
      </c>
    </row>
    <row r="496" spans="3:4" x14ac:dyDescent="0.3">
      <c r="C496" s="43" t="s">
        <v>38553</v>
      </c>
      <c r="D496" s="43" t="s">
        <v>38812</v>
      </c>
    </row>
    <row r="497" spans="3:4" x14ac:dyDescent="0.3">
      <c r="C497" s="43" t="s">
        <v>38553</v>
      </c>
      <c r="D497" s="43" t="s">
        <v>38813</v>
      </c>
    </row>
    <row r="498" spans="3:4" x14ac:dyDescent="0.3">
      <c r="C498" s="43" t="s">
        <v>38553</v>
      </c>
      <c r="D498" s="43" t="s">
        <v>38814</v>
      </c>
    </row>
    <row r="499" spans="3:4" x14ac:dyDescent="0.3">
      <c r="C499" s="43" t="s">
        <v>38394</v>
      </c>
      <c r="D499" s="43" t="s">
        <v>38815</v>
      </c>
    </row>
    <row r="500" spans="3:4" x14ac:dyDescent="0.3">
      <c r="C500" s="43" t="s">
        <v>38553</v>
      </c>
      <c r="D500" s="43" t="s">
        <v>38816</v>
      </c>
    </row>
    <row r="501" spans="3:4" x14ac:dyDescent="0.3">
      <c r="C501" s="43" t="s">
        <v>38553</v>
      </c>
      <c r="D501" s="43" t="s">
        <v>38817</v>
      </c>
    </row>
    <row r="502" spans="3:4" x14ac:dyDescent="0.3">
      <c r="C502" s="43" t="s">
        <v>38374</v>
      </c>
      <c r="D502" s="43" t="s">
        <v>38818</v>
      </c>
    </row>
    <row r="503" spans="3:4" x14ac:dyDescent="0.3">
      <c r="C503" s="43" t="s">
        <v>38553</v>
      </c>
      <c r="D503" s="43" t="s">
        <v>38819</v>
      </c>
    </row>
    <row r="504" spans="3:4" x14ac:dyDescent="0.3">
      <c r="C504" s="43" t="s">
        <v>38374</v>
      </c>
      <c r="D504" s="43" t="s">
        <v>38820</v>
      </c>
    </row>
    <row r="505" spans="3:4" x14ac:dyDescent="0.3">
      <c r="C505" s="43" t="s">
        <v>38553</v>
      </c>
      <c r="D505" s="43" t="s">
        <v>38821</v>
      </c>
    </row>
    <row r="506" spans="3:4" x14ac:dyDescent="0.3">
      <c r="C506" s="43" t="s">
        <v>38394</v>
      </c>
      <c r="D506" s="43" t="s">
        <v>38822</v>
      </c>
    </row>
    <row r="507" spans="3:4" x14ac:dyDescent="0.3">
      <c r="C507" s="43" t="s">
        <v>38394</v>
      </c>
      <c r="D507" s="43" t="s">
        <v>38823</v>
      </c>
    </row>
    <row r="508" spans="3:4" x14ac:dyDescent="0.3">
      <c r="C508" s="43" t="s">
        <v>38553</v>
      </c>
      <c r="D508" s="43" t="s">
        <v>38824</v>
      </c>
    </row>
    <row r="509" spans="3:4" x14ac:dyDescent="0.3">
      <c r="C509" s="43" t="s">
        <v>38553</v>
      </c>
      <c r="D509" s="43" t="s">
        <v>38825</v>
      </c>
    </row>
    <row r="510" spans="3:4" x14ac:dyDescent="0.3">
      <c r="C510" s="43" t="s">
        <v>38374</v>
      </c>
      <c r="D510" s="43" t="s">
        <v>38826</v>
      </c>
    </row>
    <row r="511" spans="3:4" x14ac:dyDescent="0.3">
      <c r="C511" s="43" t="s">
        <v>38748</v>
      </c>
      <c r="D511" s="43" t="s">
        <v>38827</v>
      </c>
    </row>
    <row r="512" spans="3:4" x14ac:dyDescent="0.3">
      <c r="C512" s="43" t="s">
        <v>38394</v>
      </c>
      <c r="D512" s="43" t="s">
        <v>38828</v>
      </c>
    </row>
    <row r="513" spans="3:4" x14ac:dyDescent="0.3">
      <c r="C513" s="43" t="s">
        <v>38553</v>
      </c>
      <c r="D513" s="43" t="s">
        <v>38829</v>
      </c>
    </row>
    <row r="514" spans="3:4" x14ac:dyDescent="0.3">
      <c r="C514" s="43" t="s">
        <v>38553</v>
      </c>
      <c r="D514" s="43" t="s">
        <v>38830</v>
      </c>
    </row>
    <row r="515" spans="3:4" x14ac:dyDescent="0.3">
      <c r="C515" s="43" t="s">
        <v>38553</v>
      </c>
      <c r="D515" s="43" t="s">
        <v>38831</v>
      </c>
    </row>
    <row r="516" spans="3:4" x14ac:dyDescent="0.3">
      <c r="C516" s="43" t="s">
        <v>38394</v>
      </c>
      <c r="D516" s="43" t="s">
        <v>38832</v>
      </c>
    </row>
    <row r="517" spans="3:4" x14ac:dyDescent="0.3">
      <c r="C517" s="43" t="s">
        <v>38374</v>
      </c>
      <c r="D517" s="43" t="s">
        <v>38833</v>
      </c>
    </row>
    <row r="518" spans="3:4" x14ac:dyDescent="0.3">
      <c r="C518" s="43" t="s">
        <v>38553</v>
      </c>
      <c r="D518" s="43" t="s">
        <v>38834</v>
      </c>
    </row>
    <row r="519" spans="3:4" x14ac:dyDescent="0.3">
      <c r="C519" s="43" t="s">
        <v>38553</v>
      </c>
      <c r="D519" s="43" t="s">
        <v>38835</v>
      </c>
    </row>
    <row r="520" spans="3:4" x14ac:dyDescent="0.3">
      <c r="C520" s="43" t="s">
        <v>38553</v>
      </c>
      <c r="D520" s="43" t="s">
        <v>38836</v>
      </c>
    </row>
    <row r="521" spans="3:4" x14ac:dyDescent="0.3">
      <c r="C521" s="43" t="s">
        <v>38553</v>
      </c>
      <c r="D521" s="43" t="s">
        <v>38837</v>
      </c>
    </row>
    <row r="522" spans="3:4" x14ac:dyDescent="0.3">
      <c r="C522" s="43" t="s">
        <v>38553</v>
      </c>
      <c r="D522" s="43" t="s">
        <v>38838</v>
      </c>
    </row>
    <row r="523" spans="3:4" x14ac:dyDescent="0.3">
      <c r="C523" s="43" t="s">
        <v>38553</v>
      </c>
      <c r="D523" s="43" t="s">
        <v>38746</v>
      </c>
    </row>
    <row r="524" spans="3:4" x14ac:dyDescent="0.3">
      <c r="C524" s="43" t="s">
        <v>38374</v>
      </c>
      <c r="D524" s="43" t="s">
        <v>38839</v>
      </c>
    </row>
    <row r="525" spans="3:4" x14ac:dyDescent="0.3">
      <c r="C525" s="43" t="s">
        <v>38553</v>
      </c>
      <c r="D525" s="43" t="s">
        <v>38840</v>
      </c>
    </row>
    <row r="526" spans="3:4" x14ac:dyDescent="0.3">
      <c r="C526" s="43" t="s">
        <v>38374</v>
      </c>
      <c r="D526" s="43" t="s">
        <v>38841</v>
      </c>
    </row>
    <row r="527" spans="3:4" x14ac:dyDescent="0.3">
      <c r="C527" s="43" t="s">
        <v>38553</v>
      </c>
      <c r="D527" s="43" t="s">
        <v>38842</v>
      </c>
    </row>
    <row r="528" spans="3:4" x14ac:dyDescent="0.3">
      <c r="C528" s="43" t="s">
        <v>38553</v>
      </c>
      <c r="D528" s="43" t="s">
        <v>38843</v>
      </c>
    </row>
    <row r="529" spans="3:4" x14ac:dyDescent="0.3">
      <c r="C529" s="43" t="s">
        <v>38553</v>
      </c>
      <c r="D529" s="43" t="s">
        <v>38844</v>
      </c>
    </row>
    <row r="530" spans="3:4" x14ac:dyDescent="0.3">
      <c r="C530" s="43" t="s">
        <v>38394</v>
      </c>
      <c r="D530" s="43" t="s">
        <v>38845</v>
      </c>
    </row>
    <row r="531" spans="3:4" x14ac:dyDescent="0.3">
      <c r="C531" s="43" t="s">
        <v>38553</v>
      </c>
      <c r="D531" s="43" t="s">
        <v>38846</v>
      </c>
    </row>
    <row r="532" spans="3:4" x14ac:dyDescent="0.3">
      <c r="C532" s="43" t="s">
        <v>38553</v>
      </c>
      <c r="D532" s="43" t="s">
        <v>38847</v>
      </c>
    </row>
    <row r="533" spans="3:4" x14ac:dyDescent="0.3">
      <c r="C533" s="43" t="s">
        <v>38394</v>
      </c>
      <c r="D533" s="43" t="s">
        <v>38848</v>
      </c>
    </row>
    <row r="534" spans="3:4" x14ac:dyDescent="0.3">
      <c r="C534" s="43" t="s">
        <v>38374</v>
      </c>
      <c r="D534" s="43" t="s">
        <v>38849</v>
      </c>
    </row>
    <row r="535" spans="3:4" x14ac:dyDescent="0.3">
      <c r="C535" s="43" t="s">
        <v>38553</v>
      </c>
      <c r="D535" s="43" t="s">
        <v>38850</v>
      </c>
    </row>
    <row r="536" spans="3:4" x14ac:dyDescent="0.3">
      <c r="C536" s="43" t="s">
        <v>38553</v>
      </c>
      <c r="D536" s="43" t="s">
        <v>38851</v>
      </c>
    </row>
    <row r="537" spans="3:4" x14ac:dyDescent="0.3">
      <c r="C537" s="43" t="s">
        <v>38394</v>
      </c>
      <c r="D537" s="43" t="s">
        <v>38852</v>
      </c>
    </row>
    <row r="538" spans="3:4" x14ac:dyDescent="0.3">
      <c r="C538" s="43" t="s">
        <v>38374</v>
      </c>
      <c r="D538" s="43" t="s">
        <v>38853</v>
      </c>
    </row>
    <row r="539" spans="3:4" x14ac:dyDescent="0.3">
      <c r="C539" s="43" t="s">
        <v>38374</v>
      </c>
      <c r="D539" s="43" t="s">
        <v>38854</v>
      </c>
    </row>
    <row r="540" spans="3:4" x14ac:dyDescent="0.3">
      <c r="C540" s="43" t="s">
        <v>38553</v>
      </c>
      <c r="D540" s="43" t="s">
        <v>38855</v>
      </c>
    </row>
    <row r="541" spans="3:4" x14ac:dyDescent="0.3">
      <c r="C541" s="43" t="s">
        <v>38553</v>
      </c>
      <c r="D541" s="43" t="s">
        <v>38856</v>
      </c>
    </row>
    <row r="542" spans="3:4" x14ac:dyDescent="0.3">
      <c r="C542" s="43" t="s">
        <v>38553</v>
      </c>
      <c r="D542" s="43" t="s">
        <v>38857</v>
      </c>
    </row>
    <row r="543" spans="3:4" x14ac:dyDescent="0.3">
      <c r="C543" s="43" t="s">
        <v>38553</v>
      </c>
      <c r="D543" s="43" t="s">
        <v>38858</v>
      </c>
    </row>
    <row r="544" spans="3:4" x14ac:dyDescent="0.3">
      <c r="C544" s="43" t="s">
        <v>38553</v>
      </c>
      <c r="D544" s="43" t="s">
        <v>38859</v>
      </c>
    </row>
    <row r="545" spans="3:4" x14ac:dyDescent="0.3">
      <c r="C545" s="43" t="s">
        <v>38374</v>
      </c>
      <c r="D545" s="43" t="s">
        <v>38746</v>
      </c>
    </row>
    <row r="546" spans="3:4" x14ac:dyDescent="0.3">
      <c r="C546" s="43" t="s">
        <v>38374</v>
      </c>
      <c r="D546" s="43" t="s">
        <v>38860</v>
      </c>
    </row>
    <row r="547" spans="3:4" x14ac:dyDescent="0.3">
      <c r="C547" s="43" t="s">
        <v>38657</v>
      </c>
      <c r="D547" s="43" t="s">
        <v>38861</v>
      </c>
    </row>
    <row r="548" spans="3:4" x14ac:dyDescent="0.3">
      <c r="C548" s="43" t="s">
        <v>38553</v>
      </c>
      <c r="D548" s="43" t="s">
        <v>38862</v>
      </c>
    </row>
    <row r="549" spans="3:4" x14ac:dyDescent="0.3">
      <c r="C549" s="43" t="s">
        <v>38553</v>
      </c>
      <c r="D549" s="43" t="s">
        <v>38863</v>
      </c>
    </row>
    <row r="550" spans="3:4" x14ac:dyDescent="0.3">
      <c r="C550" s="43" t="s">
        <v>38374</v>
      </c>
      <c r="D550" s="43" t="s">
        <v>38864</v>
      </c>
    </row>
    <row r="551" spans="3:4" x14ac:dyDescent="0.3">
      <c r="C551" s="43" t="s">
        <v>38553</v>
      </c>
      <c r="D551" s="43" t="s">
        <v>38865</v>
      </c>
    </row>
    <row r="552" spans="3:4" x14ac:dyDescent="0.3">
      <c r="C552" s="43" t="s">
        <v>38553</v>
      </c>
      <c r="D552" s="43" t="s">
        <v>38866</v>
      </c>
    </row>
    <row r="553" spans="3:4" x14ac:dyDescent="0.3">
      <c r="C553" s="43" t="s">
        <v>38553</v>
      </c>
      <c r="D553" s="43" t="s">
        <v>38867</v>
      </c>
    </row>
    <row r="554" spans="3:4" x14ac:dyDescent="0.3">
      <c r="C554" s="43" t="s">
        <v>38553</v>
      </c>
      <c r="D554" s="43" t="s">
        <v>38868</v>
      </c>
    </row>
    <row r="555" spans="3:4" x14ac:dyDescent="0.3">
      <c r="C555" s="43" t="s">
        <v>38553</v>
      </c>
      <c r="D555" s="43" t="s">
        <v>38869</v>
      </c>
    </row>
    <row r="556" spans="3:4" x14ac:dyDescent="0.3">
      <c r="C556" s="43" t="s">
        <v>38374</v>
      </c>
      <c r="D556" s="43" t="s">
        <v>38870</v>
      </c>
    </row>
    <row r="557" spans="3:4" x14ac:dyDescent="0.3">
      <c r="C557" s="43" t="s">
        <v>38374</v>
      </c>
      <c r="D557" s="43" t="s">
        <v>38871</v>
      </c>
    </row>
    <row r="558" spans="3:4" x14ac:dyDescent="0.3">
      <c r="C558" s="43" t="s">
        <v>38394</v>
      </c>
      <c r="D558" s="43" t="s">
        <v>38872</v>
      </c>
    </row>
    <row r="559" spans="3:4" x14ac:dyDescent="0.3">
      <c r="C559" s="43" t="s">
        <v>38553</v>
      </c>
      <c r="D559" s="43" t="s">
        <v>38873</v>
      </c>
    </row>
    <row r="560" spans="3:4" x14ac:dyDescent="0.3">
      <c r="C560" s="43" t="s">
        <v>38553</v>
      </c>
      <c r="D560" s="43" t="s">
        <v>38874</v>
      </c>
    </row>
    <row r="561" spans="3:4" x14ac:dyDescent="0.3">
      <c r="C561" s="43" t="s">
        <v>38553</v>
      </c>
      <c r="D561" s="43" t="s">
        <v>38875</v>
      </c>
    </row>
    <row r="562" spans="3:4" x14ac:dyDescent="0.3">
      <c r="C562" s="43" t="s">
        <v>38553</v>
      </c>
      <c r="D562" s="43" t="s">
        <v>38876</v>
      </c>
    </row>
    <row r="563" spans="3:4" x14ac:dyDescent="0.3">
      <c r="C563" s="43" t="s">
        <v>38347</v>
      </c>
      <c r="D563" s="43" t="s">
        <v>38877</v>
      </c>
    </row>
    <row r="564" spans="3:4" x14ac:dyDescent="0.3">
      <c r="C564" s="43" t="s">
        <v>38553</v>
      </c>
      <c r="D564" s="43" t="s">
        <v>38878</v>
      </c>
    </row>
    <row r="565" spans="3:4" x14ac:dyDescent="0.3">
      <c r="C565" s="43" t="s">
        <v>38374</v>
      </c>
      <c r="D565" s="43" t="s">
        <v>38879</v>
      </c>
    </row>
    <row r="566" spans="3:4" x14ac:dyDescent="0.3">
      <c r="C566" s="43" t="s">
        <v>38553</v>
      </c>
      <c r="D566" s="43" t="s">
        <v>38880</v>
      </c>
    </row>
    <row r="567" spans="3:4" x14ac:dyDescent="0.3">
      <c r="C567" s="43" t="s">
        <v>38394</v>
      </c>
      <c r="D567" s="43" t="s">
        <v>38881</v>
      </c>
    </row>
    <row r="568" spans="3:4" x14ac:dyDescent="0.3">
      <c r="C568" s="43" t="s">
        <v>38553</v>
      </c>
      <c r="D568" s="43" t="s">
        <v>38882</v>
      </c>
    </row>
    <row r="569" spans="3:4" x14ac:dyDescent="0.3">
      <c r="C569" s="43" t="s">
        <v>38553</v>
      </c>
      <c r="D569" s="43" t="s">
        <v>38883</v>
      </c>
    </row>
    <row r="570" spans="3:4" x14ac:dyDescent="0.3">
      <c r="C570" s="43" t="s">
        <v>38374</v>
      </c>
      <c r="D570" s="43" t="s">
        <v>38884</v>
      </c>
    </row>
    <row r="571" spans="3:4" x14ac:dyDescent="0.3">
      <c r="C571" s="43" t="s">
        <v>38553</v>
      </c>
      <c r="D571" s="43" t="s">
        <v>38885</v>
      </c>
    </row>
    <row r="572" spans="3:4" x14ac:dyDescent="0.3">
      <c r="C572" s="43" t="s">
        <v>38553</v>
      </c>
      <c r="D572" s="43" t="s">
        <v>38886</v>
      </c>
    </row>
    <row r="573" spans="3:4" x14ac:dyDescent="0.3">
      <c r="C573" s="43" t="s">
        <v>38374</v>
      </c>
      <c r="D573" s="43" t="s">
        <v>38887</v>
      </c>
    </row>
    <row r="574" spans="3:4" x14ac:dyDescent="0.3">
      <c r="C574" s="43" t="s">
        <v>38553</v>
      </c>
      <c r="D574" s="43" t="s">
        <v>38888</v>
      </c>
    </row>
    <row r="575" spans="3:4" x14ac:dyDescent="0.3">
      <c r="C575" s="43" t="s">
        <v>38374</v>
      </c>
      <c r="D575" s="43" t="s">
        <v>38889</v>
      </c>
    </row>
    <row r="576" spans="3:4" x14ac:dyDescent="0.3">
      <c r="C576" s="43" t="s">
        <v>38553</v>
      </c>
      <c r="D576" s="43" t="s">
        <v>38890</v>
      </c>
    </row>
    <row r="577" spans="3:4" x14ac:dyDescent="0.3">
      <c r="C577" s="43" t="s">
        <v>38891</v>
      </c>
      <c r="D577" s="43" t="s">
        <v>38892</v>
      </c>
    </row>
    <row r="578" spans="3:4" x14ac:dyDescent="0.3">
      <c r="C578" s="43" t="s">
        <v>38553</v>
      </c>
      <c r="D578" s="43" t="s">
        <v>38893</v>
      </c>
    </row>
    <row r="579" spans="3:4" x14ac:dyDescent="0.3">
      <c r="C579" s="43" t="s">
        <v>38657</v>
      </c>
      <c r="D579" s="43" t="s">
        <v>38894</v>
      </c>
    </row>
    <row r="580" spans="3:4" x14ac:dyDescent="0.3">
      <c r="C580" s="43" t="s">
        <v>38553</v>
      </c>
      <c r="D580" s="43" t="s">
        <v>38895</v>
      </c>
    </row>
    <row r="581" spans="3:4" x14ac:dyDescent="0.3">
      <c r="C581" s="43" t="s">
        <v>38374</v>
      </c>
      <c r="D581" s="43" t="s">
        <v>38502</v>
      </c>
    </row>
    <row r="582" spans="3:4" x14ac:dyDescent="0.3">
      <c r="C582" s="43" t="s">
        <v>38553</v>
      </c>
      <c r="D582" s="43" t="s">
        <v>38896</v>
      </c>
    </row>
    <row r="583" spans="3:4" x14ac:dyDescent="0.3">
      <c r="C583" s="43" t="s">
        <v>38748</v>
      </c>
      <c r="D583" s="43" t="s">
        <v>38897</v>
      </c>
    </row>
    <row r="584" spans="3:4" x14ac:dyDescent="0.3">
      <c r="C584" s="43" t="s">
        <v>38891</v>
      </c>
      <c r="D584" s="43" t="s">
        <v>38898</v>
      </c>
    </row>
    <row r="585" spans="3:4" x14ac:dyDescent="0.3">
      <c r="C585" s="43" t="s">
        <v>38553</v>
      </c>
      <c r="D585" s="43" t="s">
        <v>38899</v>
      </c>
    </row>
    <row r="586" spans="3:4" x14ac:dyDescent="0.3">
      <c r="C586" s="43" t="s">
        <v>38553</v>
      </c>
      <c r="D586" s="43" t="s">
        <v>38900</v>
      </c>
    </row>
    <row r="587" spans="3:4" x14ac:dyDescent="0.3">
      <c r="C587" s="43" t="s">
        <v>38553</v>
      </c>
      <c r="D587" s="43" t="s">
        <v>38901</v>
      </c>
    </row>
    <row r="588" spans="3:4" x14ac:dyDescent="0.3">
      <c r="C588" s="43" t="s">
        <v>38553</v>
      </c>
      <c r="D588" s="43" t="s">
        <v>38902</v>
      </c>
    </row>
    <row r="589" spans="3:4" x14ac:dyDescent="0.3">
      <c r="C589" s="43" t="s">
        <v>38553</v>
      </c>
      <c r="D589" s="43" t="s">
        <v>38903</v>
      </c>
    </row>
    <row r="590" spans="3:4" x14ac:dyDescent="0.3">
      <c r="C590" s="43" t="s">
        <v>38374</v>
      </c>
      <c r="D590" s="43" t="s">
        <v>38904</v>
      </c>
    </row>
    <row r="591" spans="3:4" x14ac:dyDescent="0.3">
      <c r="C591" s="43" t="s">
        <v>38553</v>
      </c>
      <c r="D591" s="43" t="s">
        <v>38905</v>
      </c>
    </row>
    <row r="592" spans="3:4" x14ac:dyDescent="0.3">
      <c r="C592" s="43" t="s">
        <v>38891</v>
      </c>
      <c r="D592" s="43" t="s">
        <v>38555</v>
      </c>
    </row>
    <row r="593" spans="3:4" x14ac:dyDescent="0.3">
      <c r="C593" s="43" t="s">
        <v>38374</v>
      </c>
      <c r="D593" s="43" t="s">
        <v>38906</v>
      </c>
    </row>
    <row r="594" spans="3:4" x14ac:dyDescent="0.3">
      <c r="C594" s="43" t="s">
        <v>38553</v>
      </c>
      <c r="D594" s="43" t="s">
        <v>38907</v>
      </c>
    </row>
    <row r="595" spans="3:4" x14ac:dyDescent="0.3">
      <c r="C595" s="43" t="s">
        <v>38553</v>
      </c>
      <c r="D595" s="43" t="s">
        <v>38908</v>
      </c>
    </row>
    <row r="596" spans="3:4" x14ac:dyDescent="0.3">
      <c r="C596" s="43" t="s">
        <v>38374</v>
      </c>
      <c r="D596" s="43" t="s">
        <v>38909</v>
      </c>
    </row>
    <row r="597" spans="3:4" x14ac:dyDescent="0.3">
      <c r="C597" s="43" t="s">
        <v>38374</v>
      </c>
      <c r="D597" s="43" t="s">
        <v>38910</v>
      </c>
    </row>
    <row r="598" spans="3:4" x14ac:dyDescent="0.3">
      <c r="C598" s="43" t="s">
        <v>38553</v>
      </c>
      <c r="D598" s="43" t="s">
        <v>38911</v>
      </c>
    </row>
    <row r="599" spans="3:4" x14ac:dyDescent="0.3">
      <c r="C599" s="43" t="s">
        <v>38553</v>
      </c>
      <c r="D599" s="43" t="s">
        <v>38912</v>
      </c>
    </row>
    <row r="600" spans="3:4" x14ac:dyDescent="0.3">
      <c r="C600" s="43" t="s">
        <v>38657</v>
      </c>
      <c r="D600" s="43" t="s">
        <v>38913</v>
      </c>
    </row>
    <row r="601" spans="3:4" x14ac:dyDescent="0.3">
      <c r="C601" s="43" t="s">
        <v>38553</v>
      </c>
      <c r="D601" s="43" t="s">
        <v>38914</v>
      </c>
    </row>
    <row r="602" spans="3:4" x14ac:dyDescent="0.3">
      <c r="C602" s="43" t="s">
        <v>38657</v>
      </c>
      <c r="D602" s="43" t="s">
        <v>38915</v>
      </c>
    </row>
    <row r="603" spans="3:4" x14ac:dyDescent="0.3">
      <c r="C603" s="43" t="s">
        <v>38553</v>
      </c>
      <c r="D603" s="43" t="s">
        <v>38916</v>
      </c>
    </row>
    <row r="604" spans="3:4" x14ac:dyDescent="0.3">
      <c r="C604" s="43" t="s">
        <v>38553</v>
      </c>
      <c r="D604" s="43" t="s">
        <v>38917</v>
      </c>
    </row>
    <row r="605" spans="3:4" x14ac:dyDescent="0.3">
      <c r="C605" s="43" t="s">
        <v>38553</v>
      </c>
      <c r="D605" s="43" t="s">
        <v>38918</v>
      </c>
    </row>
    <row r="606" spans="3:4" x14ac:dyDescent="0.3">
      <c r="C606" s="43" t="s">
        <v>38553</v>
      </c>
      <c r="D606" s="43" t="s">
        <v>38919</v>
      </c>
    </row>
    <row r="607" spans="3:4" x14ac:dyDescent="0.3">
      <c r="C607" s="43" t="s">
        <v>38374</v>
      </c>
      <c r="D607" s="43" t="s">
        <v>38920</v>
      </c>
    </row>
    <row r="608" spans="3:4" x14ac:dyDescent="0.3">
      <c r="C608" s="43" t="s">
        <v>38374</v>
      </c>
      <c r="D608" s="43" t="s">
        <v>38921</v>
      </c>
    </row>
    <row r="609" spans="3:4" x14ac:dyDescent="0.3">
      <c r="C609" s="43" t="s">
        <v>38553</v>
      </c>
      <c r="D609" s="43" t="s">
        <v>38922</v>
      </c>
    </row>
    <row r="610" spans="3:4" x14ac:dyDescent="0.3">
      <c r="C610" s="43" t="s">
        <v>38553</v>
      </c>
      <c r="D610" s="43" t="s">
        <v>38923</v>
      </c>
    </row>
    <row r="611" spans="3:4" x14ac:dyDescent="0.3">
      <c r="C611" s="43" t="s">
        <v>38394</v>
      </c>
      <c r="D611" s="43" t="s">
        <v>38924</v>
      </c>
    </row>
    <row r="612" spans="3:4" x14ac:dyDescent="0.3">
      <c r="C612" s="43" t="s">
        <v>38374</v>
      </c>
      <c r="D612" s="43" t="s">
        <v>38925</v>
      </c>
    </row>
    <row r="613" spans="3:4" x14ac:dyDescent="0.3">
      <c r="C613" s="43" t="s">
        <v>38374</v>
      </c>
      <c r="D613" s="43" t="s">
        <v>38926</v>
      </c>
    </row>
    <row r="614" spans="3:4" x14ac:dyDescent="0.3">
      <c r="C614" s="43" t="s">
        <v>38553</v>
      </c>
      <c r="D614" s="43" t="s">
        <v>38927</v>
      </c>
    </row>
    <row r="615" spans="3:4" x14ac:dyDescent="0.3">
      <c r="C615" s="43" t="s">
        <v>38374</v>
      </c>
      <c r="D615" s="43" t="s">
        <v>38928</v>
      </c>
    </row>
    <row r="616" spans="3:4" x14ac:dyDescent="0.3">
      <c r="C616" s="43" t="s">
        <v>38374</v>
      </c>
      <c r="D616" s="43" t="s">
        <v>38929</v>
      </c>
    </row>
    <row r="617" spans="3:4" x14ac:dyDescent="0.3">
      <c r="C617" s="43" t="s">
        <v>38553</v>
      </c>
      <c r="D617" s="43" t="s">
        <v>38930</v>
      </c>
    </row>
    <row r="618" spans="3:4" x14ac:dyDescent="0.3">
      <c r="C618" s="43" t="s">
        <v>38553</v>
      </c>
      <c r="D618" s="43" t="s">
        <v>38931</v>
      </c>
    </row>
    <row r="619" spans="3:4" x14ac:dyDescent="0.3">
      <c r="C619" s="43" t="s">
        <v>38553</v>
      </c>
      <c r="D619" s="43" t="s">
        <v>38932</v>
      </c>
    </row>
    <row r="620" spans="3:4" x14ac:dyDescent="0.3">
      <c r="C620" s="43" t="s">
        <v>38553</v>
      </c>
      <c r="D620" s="43" t="s">
        <v>38933</v>
      </c>
    </row>
    <row r="621" spans="3:4" x14ac:dyDescent="0.3">
      <c r="C621" s="43" t="s">
        <v>38553</v>
      </c>
      <c r="D621" s="43" t="s">
        <v>38934</v>
      </c>
    </row>
    <row r="622" spans="3:4" x14ac:dyDescent="0.3">
      <c r="C622" s="43" t="s">
        <v>38553</v>
      </c>
      <c r="D622" s="43" t="s">
        <v>38935</v>
      </c>
    </row>
    <row r="623" spans="3:4" x14ac:dyDescent="0.3">
      <c r="C623" s="43" t="s">
        <v>38553</v>
      </c>
      <c r="D623" s="43" t="s">
        <v>38936</v>
      </c>
    </row>
    <row r="624" spans="3:4" x14ac:dyDescent="0.3">
      <c r="C624" s="43" t="s">
        <v>38553</v>
      </c>
      <c r="D624" s="43" t="s">
        <v>38937</v>
      </c>
    </row>
    <row r="625" spans="3:4" x14ac:dyDescent="0.3">
      <c r="C625" s="43" t="s">
        <v>38891</v>
      </c>
      <c r="D625" s="43" t="s">
        <v>38938</v>
      </c>
    </row>
    <row r="626" spans="3:4" x14ac:dyDescent="0.3">
      <c r="C626" s="43" t="s">
        <v>38553</v>
      </c>
      <c r="D626" s="43" t="s">
        <v>38939</v>
      </c>
    </row>
    <row r="627" spans="3:4" x14ac:dyDescent="0.3">
      <c r="C627" s="43" t="s">
        <v>38553</v>
      </c>
      <c r="D627" s="43" t="s">
        <v>38940</v>
      </c>
    </row>
    <row r="628" spans="3:4" x14ac:dyDescent="0.3">
      <c r="C628" s="43" t="s">
        <v>38553</v>
      </c>
      <c r="D628" s="43" t="s">
        <v>38941</v>
      </c>
    </row>
    <row r="629" spans="3:4" x14ac:dyDescent="0.3">
      <c r="C629" s="43" t="s">
        <v>38374</v>
      </c>
      <c r="D629" s="43" t="s">
        <v>38756</v>
      </c>
    </row>
    <row r="630" spans="3:4" x14ac:dyDescent="0.3">
      <c r="C630" s="43" t="s">
        <v>38553</v>
      </c>
      <c r="D630" s="43" t="s">
        <v>38942</v>
      </c>
    </row>
    <row r="631" spans="3:4" x14ac:dyDescent="0.3">
      <c r="C631" s="43" t="s">
        <v>38374</v>
      </c>
      <c r="D631" s="43" t="s">
        <v>38943</v>
      </c>
    </row>
    <row r="632" spans="3:4" x14ac:dyDescent="0.3">
      <c r="C632" s="43" t="s">
        <v>38553</v>
      </c>
      <c r="D632" s="43" t="s">
        <v>38944</v>
      </c>
    </row>
    <row r="633" spans="3:4" x14ac:dyDescent="0.3">
      <c r="C633" s="43" t="s">
        <v>38394</v>
      </c>
      <c r="D633" s="43" t="s">
        <v>38945</v>
      </c>
    </row>
    <row r="634" spans="3:4" x14ac:dyDescent="0.3">
      <c r="C634" s="43" t="s">
        <v>38553</v>
      </c>
      <c r="D634" s="43" t="s">
        <v>38946</v>
      </c>
    </row>
    <row r="635" spans="3:4" x14ac:dyDescent="0.3">
      <c r="C635" s="43" t="s">
        <v>38374</v>
      </c>
      <c r="D635" s="43" t="s">
        <v>38947</v>
      </c>
    </row>
    <row r="636" spans="3:4" x14ac:dyDescent="0.3">
      <c r="C636" s="43" t="s">
        <v>38891</v>
      </c>
      <c r="D636" s="43" t="s">
        <v>38948</v>
      </c>
    </row>
    <row r="637" spans="3:4" x14ac:dyDescent="0.3">
      <c r="C637" s="43" t="s">
        <v>38657</v>
      </c>
      <c r="D637" s="43" t="s">
        <v>38949</v>
      </c>
    </row>
    <row r="638" spans="3:4" x14ac:dyDescent="0.3">
      <c r="C638" s="43" t="s">
        <v>38374</v>
      </c>
      <c r="D638" s="43" t="s">
        <v>38950</v>
      </c>
    </row>
    <row r="639" spans="3:4" x14ac:dyDescent="0.3">
      <c r="C639" s="43" t="s">
        <v>38553</v>
      </c>
      <c r="D639" s="43" t="s">
        <v>38951</v>
      </c>
    </row>
    <row r="640" spans="3:4" x14ac:dyDescent="0.3">
      <c r="C640" s="43" t="s">
        <v>38374</v>
      </c>
      <c r="D640" s="43" t="s">
        <v>38952</v>
      </c>
    </row>
    <row r="641" spans="3:4" x14ac:dyDescent="0.3">
      <c r="C641" s="43" t="s">
        <v>38553</v>
      </c>
      <c r="D641" s="43" t="s">
        <v>38953</v>
      </c>
    </row>
    <row r="642" spans="3:4" x14ac:dyDescent="0.3">
      <c r="C642" s="43" t="s">
        <v>38394</v>
      </c>
      <c r="D642" s="43" t="s">
        <v>38954</v>
      </c>
    </row>
    <row r="643" spans="3:4" x14ac:dyDescent="0.3">
      <c r="C643" s="43" t="s">
        <v>38374</v>
      </c>
      <c r="D643" s="43" t="s">
        <v>38955</v>
      </c>
    </row>
    <row r="644" spans="3:4" x14ac:dyDescent="0.3">
      <c r="C644" s="43" t="s">
        <v>38553</v>
      </c>
      <c r="D644" s="43" t="s">
        <v>38956</v>
      </c>
    </row>
    <row r="645" spans="3:4" x14ac:dyDescent="0.3">
      <c r="C645" s="43" t="s">
        <v>38553</v>
      </c>
      <c r="D645" s="43" t="s">
        <v>38957</v>
      </c>
    </row>
    <row r="646" spans="3:4" x14ac:dyDescent="0.3">
      <c r="C646" s="43" t="s">
        <v>38553</v>
      </c>
      <c r="D646" s="43" t="s">
        <v>38958</v>
      </c>
    </row>
    <row r="647" spans="3:4" x14ac:dyDescent="0.3">
      <c r="C647" s="43" t="s">
        <v>38748</v>
      </c>
      <c r="D647" s="43" t="s">
        <v>38959</v>
      </c>
    </row>
    <row r="648" spans="3:4" x14ac:dyDescent="0.3">
      <c r="C648" s="43" t="s">
        <v>38553</v>
      </c>
      <c r="D648" s="43" t="s">
        <v>38960</v>
      </c>
    </row>
    <row r="649" spans="3:4" x14ac:dyDescent="0.3">
      <c r="C649" s="43" t="s">
        <v>38374</v>
      </c>
      <c r="D649" s="43" t="s">
        <v>38961</v>
      </c>
    </row>
    <row r="650" spans="3:4" x14ac:dyDescent="0.3">
      <c r="C650" s="43" t="s">
        <v>38553</v>
      </c>
      <c r="D650" s="43" t="s">
        <v>38962</v>
      </c>
    </row>
    <row r="651" spans="3:4" x14ac:dyDescent="0.3">
      <c r="C651" s="43" t="s">
        <v>38553</v>
      </c>
      <c r="D651" s="43" t="s">
        <v>38963</v>
      </c>
    </row>
    <row r="652" spans="3:4" x14ac:dyDescent="0.3">
      <c r="C652" s="43" t="s">
        <v>38553</v>
      </c>
      <c r="D652" s="43" t="s">
        <v>38964</v>
      </c>
    </row>
    <row r="653" spans="3:4" x14ac:dyDescent="0.3">
      <c r="C653" s="43" t="s">
        <v>38657</v>
      </c>
      <c r="D653" s="43" t="s">
        <v>38965</v>
      </c>
    </row>
    <row r="654" spans="3:4" x14ac:dyDescent="0.3">
      <c r="C654" s="43" t="s">
        <v>38553</v>
      </c>
      <c r="D654" s="43" t="s">
        <v>38966</v>
      </c>
    </row>
    <row r="655" spans="3:4" x14ac:dyDescent="0.3">
      <c r="C655" s="43" t="s">
        <v>38553</v>
      </c>
      <c r="D655" s="43" t="s">
        <v>38967</v>
      </c>
    </row>
    <row r="656" spans="3:4" x14ac:dyDescent="0.3">
      <c r="C656" s="43" t="s">
        <v>38891</v>
      </c>
      <c r="D656" s="43" t="s">
        <v>38968</v>
      </c>
    </row>
    <row r="657" spans="3:4" x14ac:dyDescent="0.3">
      <c r="C657" s="43" t="s">
        <v>38553</v>
      </c>
      <c r="D657" s="43" t="s">
        <v>38969</v>
      </c>
    </row>
    <row r="658" spans="3:4" x14ac:dyDescent="0.3">
      <c r="C658" s="43" t="s">
        <v>38891</v>
      </c>
      <c r="D658" s="43" t="s">
        <v>38970</v>
      </c>
    </row>
    <row r="659" spans="3:4" x14ac:dyDescent="0.3">
      <c r="C659" s="43" t="s">
        <v>38891</v>
      </c>
      <c r="D659" s="43" t="s">
        <v>38971</v>
      </c>
    </row>
    <row r="660" spans="3:4" x14ac:dyDescent="0.3">
      <c r="C660" s="43" t="s">
        <v>38374</v>
      </c>
      <c r="D660" s="43" t="s">
        <v>38972</v>
      </c>
    </row>
    <row r="661" spans="3:4" x14ac:dyDescent="0.3">
      <c r="C661" s="43" t="s">
        <v>38553</v>
      </c>
      <c r="D661" s="43" t="s">
        <v>38973</v>
      </c>
    </row>
    <row r="662" spans="3:4" x14ac:dyDescent="0.3">
      <c r="C662" s="43" t="s">
        <v>38657</v>
      </c>
      <c r="D662" s="43" t="s">
        <v>38974</v>
      </c>
    </row>
    <row r="663" spans="3:4" x14ac:dyDescent="0.3">
      <c r="C663" s="43" t="s">
        <v>38657</v>
      </c>
      <c r="D663" s="43" t="s">
        <v>38975</v>
      </c>
    </row>
    <row r="664" spans="3:4" x14ac:dyDescent="0.3">
      <c r="C664" s="43" t="s">
        <v>38374</v>
      </c>
      <c r="D664" s="43" t="s">
        <v>38976</v>
      </c>
    </row>
    <row r="665" spans="3:4" x14ac:dyDescent="0.3">
      <c r="C665" s="43" t="s">
        <v>38374</v>
      </c>
      <c r="D665" s="43" t="s">
        <v>38977</v>
      </c>
    </row>
    <row r="666" spans="3:4" x14ac:dyDescent="0.3">
      <c r="C666" s="43" t="s">
        <v>38374</v>
      </c>
      <c r="D666" s="43" t="s">
        <v>38978</v>
      </c>
    </row>
    <row r="667" spans="3:4" x14ac:dyDescent="0.3">
      <c r="C667" s="43" t="s">
        <v>38553</v>
      </c>
      <c r="D667" s="43" t="s">
        <v>38979</v>
      </c>
    </row>
    <row r="668" spans="3:4" x14ac:dyDescent="0.3">
      <c r="C668" s="43" t="s">
        <v>38374</v>
      </c>
      <c r="D668" s="43" t="s">
        <v>38980</v>
      </c>
    </row>
    <row r="669" spans="3:4" x14ac:dyDescent="0.3">
      <c r="C669" s="43" t="s">
        <v>38374</v>
      </c>
      <c r="D669" s="43" t="s">
        <v>38981</v>
      </c>
    </row>
    <row r="670" spans="3:4" x14ac:dyDescent="0.3">
      <c r="C670" s="43" t="s">
        <v>38374</v>
      </c>
      <c r="D670" s="43" t="s">
        <v>38982</v>
      </c>
    </row>
    <row r="671" spans="3:4" x14ac:dyDescent="0.3">
      <c r="C671" s="43" t="s">
        <v>38553</v>
      </c>
      <c r="D671" s="43" t="s">
        <v>38983</v>
      </c>
    </row>
    <row r="672" spans="3:4" x14ac:dyDescent="0.3">
      <c r="C672" s="43" t="s">
        <v>38374</v>
      </c>
      <c r="D672" s="43" t="s">
        <v>38984</v>
      </c>
    </row>
    <row r="673" spans="3:4" x14ac:dyDescent="0.3">
      <c r="C673" s="43" t="s">
        <v>38553</v>
      </c>
      <c r="D673" s="43" t="s">
        <v>38985</v>
      </c>
    </row>
    <row r="674" spans="3:4" x14ac:dyDescent="0.3">
      <c r="C674" s="43" t="s">
        <v>38374</v>
      </c>
      <c r="D674" s="43" t="s">
        <v>38986</v>
      </c>
    </row>
    <row r="675" spans="3:4" x14ac:dyDescent="0.3">
      <c r="C675" s="43" t="s">
        <v>38553</v>
      </c>
      <c r="D675" s="43" t="s">
        <v>38987</v>
      </c>
    </row>
    <row r="676" spans="3:4" x14ac:dyDescent="0.3">
      <c r="C676" s="43" t="s">
        <v>38748</v>
      </c>
      <c r="D676" s="43" t="s">
        <v>38988</v>
      </c>
    </row>
    <row r="677" spans="3:4" x14ac:dyDescent="0.3">
      <c r="C677" s="43" t="s">
        <v>38374</v>
      </c>
      <c r="D677" s="43" t="s">
        <v>38989</v>
      </c>
    </row>
    <row r="678" spans="3:4" x14ac:dyDescent="0.3">
      <c r="C678" s="43" t="s">
        <v>38553</v>
      </c>
      <c r="D678" s="43" t="s">
        <v>38990</v>
      </c>
    </row>
    <row r="679" spans="3:4" x14ac:dyDescent="0.3">
      <c r="C679" s="43" t="s">
        <v>38553</v>
      </c>
      <c r="D679" s="43" t="s">
        <v>38991</v>
      </c>
    </row>
    <row r="680" spans="3:4" x14ac:dyDescent="0.3">
      <c r="C680" s="43" t="s">
        <v>38553</v>
      </c>
      <c r="D680" s="43" t="s">
        <v>38992</v>
      </c>
    </row>
    <row r="681" spans="3:4" x14ac:dyDescent="0.3">
      <c r="C681" s="43" t="s">
        <v>38553</v>
      </c>
      <c r="D681" s="43" t="s">
        <v>38993</v>
      </c>
    </row>
    <row r="682" spans="3:4" x14ac:dyDescent="0.3">
      <c r="C682" s="43" t="s">
        <v>38553</v>
      </c>
      <c r="D682" s="43" t="s">
        <v>38994</v>
      </c>
    </row>
    <row r="683" spans="3:4" x14ac:dyDescent="0.3">
      <c r="C683" s="43" t="s">
        <v>38553</v>
      </c>
      <c r="D683" s="43" t="s">
        <v>38995</v>
      </c>
    </row>
    <row r="684" spans="3:4" x14ac:dyDescent="0.3">
      <c r="C684" s="43" t="s">
        <v>38374</v>
      </c>
      <c r="D684" s="43" t="s">
        <v>38996</v>
      </c>
    </row>
    <row r="685" spans="3:4" x14ac:dyDescent="0.3">
      <c r="C685" s="43" t="s">
        <v>38657</v>
      </c>
      <c r="D685" s="43" t="s">
        <v>38997</v>
      </c>
    </row>
    <row r="686" spans="3:4" x14ac:dyDescent="0.3">
      <c r="C686" s="43" t="s">
        <v>38553</v>
      </c>
      <c r="D686" s="43" t="s">
        <v>38998</v>
      </c>
    </row>
    <row r="687" spans="3:4" x14ac:dyDescent="0.3">
      <c r="C687" s="43" t="s">
        <v>38553</v>
      </c>
      <c r="D687" s="43" t="s">
        <v>38999</v>
      </c>
    </row>
    <row r="688" spans="3:4" x14ac:dyDescent="0.3">
      <c r="C688" s="43" t="s">
        <v>38553</v>
      </c>
      <c r="D688" s="43" t="s">
        <v>39000</v>
      </c>
    </row>
    <row r="689" spans="3:4" x14ac:dyDescent="0.3">
      <c r="C689" s="43" t="s">
        <v>38553</v>
      </c>
      <c r="D689" s="43" t="s">
        <v>39001</v>
      </c>
    </row>
    <row r="690" spans="3:4" x14ac:dyDescent="0.3">
      <c r="C690" s="43" t="s">
        <v>38394</v>
      </c>
      <c r="D690" s="43" t="s">
        <v>39002</v>
      </c>
    </row>
    <row r="691" spans="3:4" x14ac:dyDescent="0.3">
      <c r="C691" s="43" t="s">
        <v>38374</v>
      </c>
      <c r="D691" s="43" t="s">
        <v>39003</v>
      </c>
    </row>
    <row r="692" spans="3:4" x14ac:dyDescent="0.3">
      <c r="C692" s="43" t="s">
        <v>38374</v>
      </c>
      <c r="D692" s="43" t="s">
        <v>39004</v>
      </c>
    </row>
    <row r="693" spans="3:4" x14ac:dyDescent="0.3">
      <c r="C693" s="43" t="s">
        <v>38374</v>
      </c>
      <c r="D693" s="43" t="s">
        <v>39005</v>
      </c>
    </row>
    <row r="694" spans="3:4" x14ac:dyDescent="0.3">
      <c r="C694" s="43" t="s">
        <v>38553</v>
      </c>
      <c r="D694" s="43" t="s">
        <v>39006</v>
      </c>
    </row>
    <row r="695" spans="3:4" x14ac:dyDescent="0.3">
      <c r="C695" s="43" t="s">
        <v>38553</v>
      </c>
      <c r="D695" s="43" t="s">
        <v>39007</v>
      </c>
    </row>
    <row r="696" spans="3:4" x14ac:dyDescent="0.3">
      <c r="C696" s="43" t="s">
        <v>38374</v>
      </c>
      <c r="D696" s="43" t="s">
        <v>39008</v>
      </c>
    </row>
    <row r="697" spans="3:4" x14ac:dyDescent="0.3">
      <c r="C697" s="43" t="s">
        <v>38553</v>
      </c>
      <c r="D697" s="43" t="s">
        <v>39009</v>
      </c>
    </row>
    <row r="698" spans="3:4" x14ac:dyDescent="0.3">
      <c r="C698" s="43" t="s">
        <v>38553</v>
      </c>
      <c r="D698" s="43" t="s">
        <v>39010</v>
      </c>
    </row>
    <row r="699" spans="3:4" x14ac:dyDescent="0.3">
      <c r="C699" s="43" t="s">
        <v>38553</v>
      </c>
      <c r="D699" s="43" t="s">
        <v>39011</v>
      </c>
    </row>
    <row r="700" spans="3:4" x14ac:dyDescent="0.3">
      <c r="C700" s="43" t="s">
        <v>38374</v>
      </c>
      <c r="D700" s="43" t="s">
        <v>39012</v>
      </c>
    </row>
    <row r="701" spans="3:4" x14ac:dyDescent="0.3">
      <c r="C701" s="43" t="s">
        <v>38374</v>
      </c>
      <c r="D701" s="43" t="s">
        <v>39013</v>
      </c>
    </row>
    <row r="702" spans="3:4" x14ac:dyDescent="0.3">
      <c r="C702" s="43" t="s">
        <v>38374</v>
      </c>
      <c r="D702" s="43" t="s">
        <v>39014</v>
      </c>
    </row>
    <row r="703" spans="3:4" x14ac:dyDescent="0.3">
      <c r="C703" s="43" t="s">
        <v>38374</v>
      </c>
      <c r="D703" s="43" t="s">
        <v>39015</v>
      </c>
    </row>
    <row r="704" spans="3:4" x14ac:dyDescent="0.3">
      <c r="C704" s="43" t="s">
        <v>38553</v>
      </c>
      <c r="D704" s="43" t="s">
        <v>39016</v>
      </c>
    </row>
    <row r="705" spans="3:4" x14ac:dyDescent="0.3">
      <c r="C705" s="43" t="s">
        <v>38553</v>
      </c>
      <c r="D705" s="43" t="s">
        <v>39017</v>
      </c>
    </row>
    <row r="706" spans="3:4" x14ac:dyDescent="0.3">
      <c r="C706" s="43" t="s">
        <v>38374</v>
      </c>
      <c r="D706" s="43" t="s">
        <v>39018</v>
      </c>
    </row>
    <row r="707" spans="3:4" x14ac:dyDescent="0.3">
      <c r="C707" s="43" t="s">
        <v>38553</v>
      </c>
      <c r="D707" s="43" t="s">
        <v>39019</v>
      </c>
    </row>
    <row r="708" spans="3:4" x14ac:dyDescent="0.3">
      <c r="C708" s="43" t="s">
        <v>38374</v>
      </c>
      <c r="D708" s="43" t="s">
        <v>39020</v>
      </c>
    </row>
    <row r="709" spans="3:4" x14ac:dyDescent="0.3">
      <c r="C709" s="43" t="s">
        <v>38374</v>
      </c>
      <c r="D709" s="43" t="s">
        <v>39021</v>
      </c>
    </row>
    <row r="710" spans="3:4" x14ac:dyDescent="0.3">
      <c r="C710" s="43" t="s">
        <v>38374</v>
      </c>
      <c r="D710" s="43" t="s">
        <v>39022</v>
      </c>
    </row>
    <row r="711" spans="3:4" x14ac:dyDescent="0.3">
      <c r="C711" s="43" t="s">
        <v>38374</v>
      </c>
      <c r="D711" s="43" t="s">
        <v>39023</v>
      </c>
    </row>
    <row r="712" spans="3:4" x14ac:dyDescent="0.3">
      <c r="C712" s="43" t="s">
        <v>38553</v>
      </c>
      <c r="D712" s="43" t="s">
        <v>39024</v>
      </c>
    </row>
    <row r="713" spans="3:4" x14ac:dyDescent="0.3">
      <c r="C713" s="43" t="s">
        <v>38374</v>
      </c>
      <c r="D713" s="43" t="s">
        <v>39025</v>
      </c>
    </row>
    <row r="714" spans="3:4" x14ac:dyDescent="0.3">
      <c r="C714" s="43" t="s">
        <v>38374</v>
      </c>
      <c r="D714" s="43" t="s">
        <v>39026</v>
      </c>
    </row>
    <row r="715" spans="3:4" x14ac:dyDescent="0.3">
      <c r="C715" s="43" t="s">
        <v>38374</v>
      </c>
      <c r="D715" s="43" t="s">
        <v>39027</v>
      </c>
    </row>
    <row r="716" spans="3:4" x14ac:dyDescent="0.3">
      <c r="C716" s="43" t="s">
        <v>38374</v>
      </c>
      <c r="D716" s="43" t="s">
        <v>39028</v>
      </c>
    </row>
    <row r="717" spans="3:4" x14ac:dyDescent="0.3">
      <c r="C717" s="43" t="s">
        <v>38374</v>
      </c>
      <c r="D717" s="43" t="s">
        <v>39029</v>
      </c>
    </row>
    <row r="718" spans="3:4" x14ac:dyDescent="0.3">
      <c r="C718" s="43" t="s">
        <v>38553</v>
      </c>
      <c r="D718" s="43" t="s">
        <v>39030</v>
      </c>
    </row>
    <row r="719" spans="3:4" x14ac:dyDescent="0.3">
      <c r="C719" s="43" t="s">
        <v>38553</v>
      </c>
      <c r="D719" s="43" t="s">
        <v>39031</v>
      </c>
    </row>
    <row r="720" spans="3:4" x14ac:dyDescent="0.3">
      <c r="C720" s="43" t="s">
        <v>38374</v>
      </c>
      <c r="D720" s="43" t="s">
        <v>39032</v>
      </c>
    </row>
    <row r="721" spans="3:4" x14ac:dyDescent="0.3">
      <c r="C721" s="43" t="s">
        <v>38657</v>
      </c>
      <c r="D721" s="43" t="s">
        <v>39033</v>
      </c>
    </row>
    <row r="722" spans="3:4" x14ac:dyDescent="0.3">
      <c r="C722" s="43" t="s">
        <v>38657</v>
      </c>
      <c r="D722" s="43" t="s">
        <v>39034</v>
      </c>
    </row>
    <row r="723" spans="3:4" x14ac:dyDescent="0.3">
      <c r="C723" s="43" t="s">
        <v>38657</v>
      </c>
      <c r="D723" s="43" t="s">
        <v>39035</v>
      </c>
    </row>
    <row r="724" spans="3:4" x14ac:dyDescent="0.3">
      <c r="C724" s="43" t="s">
        <v>38748</v>
      </c>
      <c r="D724" s="43" t="s">
        <v>39036</v>
      </c>
    </row>
    <row r="725" spans="3:4" x14ac:dyDescent="0.3">
      <c r="C725" s="43" t="s">
        <v>38553</v>
      </c>
      <c r="D725" s="43" t="s">
        <v>39037</v>
      </c>
    </row>
    <row r="726" spans="3:4" x14ac:dyDescent="0.3">
      <c r="C726" s="43" t="s">
        <v>38553</v>
      </c>
      <c r="D726" s="43" t="s">
        <v>38977</v>
      </c>
    </row>
    <row r="727" spans="3:4" x14ac:dyDescent="0.3">
      <c r="C727" s="43" t="s">
        <v>38374</v>
      </c>
      <c r="D727" s="43" t="s">
        <v>39038</v>
      </c>
    </row>
    <row r="728" spans="3:4" x14ac:dyDescent="0.3">
      <c r="C728" s="43" t="s">
        <v>38553</v>
      </c>
      <c r="D728" s="43" t="s">
        <v>39039</v>
      </c>
    </row>
    <row r="729" spans="3:4" x14ac:dyDescent="0.3">
      <c r="C729" s="43" t="s">
        <v>38374</v>
      </c>
      <c r="D729" s="43" t="s">
        <v>39040</v>
      </c>
    </row>
    <row r="730" spans="3:4" x14ac:dyDescent="0.3">
      <c r="C730" s="43" t="s">
        <v>38374</v>
      </c>
      <c r="D730" s="43" t="s">
        <v>39041</v>
      </c>
    </row>
    <row r="731" spans="3:4" x14ac:dyDescent="0.3">
      <c r="C731" s="43" t="s">
        <v>38374</v>
      </c>
      <c r="D731" s="43" t="s">
        <v>39042</v>
      </c>
    </row>
    <row r="732" spans="3:4" x14ac:dyDescent="0.3">
      <c r="C732" s="43" t="s">
        <v>38374</v>
      </c>
      <c r="D732" s="43" t="s">
        <v>39043</v>
      </c>
    </row>
    <row r="733" spans="3:4" x14ac:dyDescent="0.3">
      <c r="C733" s="43" t="s">
        <v>38553</v>
      </c>
      <c r="D733" s="43" t="s">
        <v>39044</v>
      </c>
    </row>
    <row r="734" spans="3:4" x14ac:dyDescent="0.3">
      <c r="C734" s="43" t="s">
        <v>38553</v>
      </c>
      <c r="D734" s="43" t="s">
        <v>39045</v>
      </c>
    </row>
    <row r="735" spans="3:4" x14ac:dyDescent="0.3">
      <c r="C735" s="43" t="s">
        <v>38374</v>
      </c>
      <c r="D735" s="43" t="s">
        <v>39046</v>
      </c>
    </row>
    <row r="736" spans="3:4" x14ac:dyDescent="0.3">
      <c r="C736" s="43" t="s">
        <v>38374</v>
      </c>
      <c r="D736" s="43" t="s">
        <v>39047</v>
      </c>
    </row>
    <row r="737" spans="3:4" x14ac:dyDescent="0.3">
      <c r="C737" s="43" t="s">
        <v>38553</v>
      </c>
      <c r="D737" s="43" t="s">
        <v>39048</v>
      </c>
    </row>
    <row r="738" spans="3:4" x14ac:dyDescent="0.3">
      <c r="C738" s="43" t="s">
        <v>38374</v>
      </c>
      <c r="D738" s="43" t="s">
        <v>39049</v>
      </c>
    </row>
    <row r="739" spans="3:4" x14ac:dyDescent="0.3">
      <c r="C739" s="43" t="s">
        <v>38374</v>
      </c>
      <c r="D739" s="43" t="s">
        <v>39050</v>
      </c>
    </row>
    <row r="740" spans="3:4" x14ac:dyDescent="0.3">
      <c r="C740" s="43" t="s">
        <v>38374</v>
      </c>
      <c r="D740" s="43" t="s">
        <v>39051</v>
      </c>
    </row>
    <row r="741" spans="3:4" x14ac:dyDescent="0.3">
      <c r="C741" s="43" t="s">
        <v>38374</v>
      </c>
      <c r="D741" s="43" t="s">
        <v>39052</v>
      </c>
    </row>
    <row r="742" spans="3:4" x14ac:dyDescent="0.3">
      <c r="C742" s="43" t="s">
        <v>38374</v>
      </c>
      <c r="D742" s="43" t="s">
        <v>39053</v>
      </c>
    </row>
    <row r="743" spans="3:4" x14ac:dyDescent="0.3">
      <c r="C743" s="43" t="s">
        <v>38657</v>
      </c>
      <c r="D743" s="43" t="s">
        <v>39054</v>
      </c>
    </row>
    <row r="744" spans="3:4" x14ac:dyDescent="0.3">
      <c r="C744" s="43" t="s">
        <v>38553</v>
      </c>
      <c r="D744" s="43" t="s">
        <v>39055</v>
      </c>
    </row>
    <row r="745" spans="3:4" x14ac:dyDescent="0.3">
      <c r="C745" s="43" t="s">
        <v>38374</v>
      </c>
      <c r="D745" s="43" t="s">
        <v>39056</v>
      </c>
    </row>
    <row r="746" spans="3:4" x14ac:dyDescent="0.3">
      <c r="C746" s="43" t="s">
        <v>38374</v>
      </c>
      <c r="D746" s="43" t="s">
        <v>39057</v>
      </c>
    </row>
    <row r="747" spans="3:4" x14ac:dyDescent="0.3">
      <c r="C747" s="43" t="s">
        <v>38553</v>
      </c>
      <c r="D747" s="43" t="s">
        <v>39058</v>
      </c>
    </row>
    <row r="748" spans="3:4" x14ac:dyDescent="0.3">
      <c r="C748" s="43" t="s">
        <v>38553</v>
      </c>
      <c r="D748" s="43" t="s">
        <v>39059</v>
      </c>
    </row>
    <row r="749" spans="3:4" x14ac:dyDescent="0.3">
      <c r="C749" s="43" t="s">
        <v>38553</v>
      </c>
      <c r="D749" s="43" t="s">
        <v>39060</v>
      </c>
    </row>
    <row r="750" spans="3:4" x14ac:dyDescent="0.3">
      <c r="C750" s="43" t="s">
        <v>38891</v>
      </c>
      <c r="D750" s="43" t="s">
        <v>39061</v>
      </c>
    </row>
    <row r="751" spans="3:4" x14ac:dyDescent="0.3">
      <c r="C751" s="43" t="s">
        <v>38374</v>
      </c>
      <c r="D751" s="43" t="s">
        <v>39062</v>
      </c>
    </row>
    <row r="752" spans="3:4" x14ac:dyDescent="0.3">
      <c r="C752" s="43" t="s">
        <v>38553</v>
      </c>
      <c r="D752" s="43" t="s">
        <v>39063</v>
      </c>
    </row>
    <row r="753" spans="3:4" x14ac:dyDescent="0.3">
      <c r="C753" s="43" t="s">
        <v>38553</v>
      </c>
      <c r="D753" s="43" t="s">
        <v>39064</v>
      </c>
    </row>
    <row r="754" spans="3:4" x14ac:dyDescent="0.3">
      <c r="C754" s="43" t="s">
        <v>38553</v>
      </c>
      <c r="D754" s="43" t="s">
        <v>39065</v>
      </c>
    </row>
    <row r="755" spans="3:4" x14ac:dyDescent="0.3">
      <c r="C755" s="43" t="s">
        <v>38553</v>
      </c>
      <c r="D755" s="43" t="s">
        <v>39066</v>
      </c>
    </row>
    <row r="756" spans="3:4" x14ac:dyDescent="0.3">
      <c r="C756" s="43" t="s">
        <v>38657</v>
      </c>
      <c r="D756" s="43" t="s">
        <v>39067</v>
      </c>
    </row>
    <row r="757" spans="3:4" x14ac:dyDescent="0.3">
      <c r="C757" s="43" t="s">
        <v>38374</v>
      </c>
      <c r="D757" s="43" t="s">
        <v>39068</v>
      </c>
    </row>
    <row r="758" spans="3:4" x14ac:dyDescent="0.3">
      <c r="C758" s="43" t="s">
        <v>38374</v>
      </c>
      <c r="D758" s="43" t="s">
        <v>39069</v>
      </c>
    </row>
    <row r="759" spans="3:4" x14ac:dyDescent="0.3">
      <c r="C759" s="43" t="s">
        <v>38657</v>
      </c>
      <c r="D759" s="43" t="s">
        <v>39070</v>
      </c>
    </row>
    <row r="760" spans="3:4" x14ac:dyDescent="0.3">
      <c r="C760" s="43" t="s">
        <v>38374</v>
      </c>
      <c r="D760" s="43" t="s">
        <v>39071</v>
      </c>
    </row>
    <row r="761" spans="3:4" x14ac:dyDescent="0.3">
      <c r="C761" s="43" t="s">
        <v>38374</v>
      </c>
      <c r="D761" s="43" t="s">
        <v>39072</v>
      </c>
    </row>
    <row r="762" spans="3:4" x14ac:dyDescent="0.3">
      <c r="C762" s="43" t="s">
        <v>38374</v>
      </c>
      <c r="D762" s="43" t="s">
        <v>39073</v>
      </c>
    </row>
    <row r="763" spans="3:4" x14ac:dyDescent="0.3">
      <c r="C763" s="43" t="s">
        <v>38553</v>
      </c>
      <c r="D763" s="43" t="s">
        <v>39074</v>
      </c>
    </row>
    <row r="764" spans="3:4" x14ac:dyDescent="0.3">
      <c r="C764" s="43" t="s">
        <v>38374</v>
      </c>
      <c r="D764" s="43" t="s">
        <v>39075</v>
      </c>
    </row>
    <row r="765" spans="3:4" x14ac:dyDescent="0.3">
      <c r="C765" s="43" t="s">
        <v>38553</v>
      </c>
      <c r="D765" s="43" t="s">
        <v>39076</v>
      </c>
    </row>
    <row r="766" spans="3:4" x14ac:dyDescent="0.3">
      <c r="C766" s="43" t="s">
        <v>38553</v>
      </c>
      <c r="D766" s="43" t="s">
        <v>39077</v>
      </c>
    </row>
    <row r="767" spans="3:4" x14ac:dyDescent="0.3">
      <c r="C767" s="43" t="s">
        <v>38374</v>
      </c>
      <c r="D767" s="43" t="s">
        <v>39078</v>
      </c>
    </row>
    <row r="768" spans="3:4" x14ac:dyDescent="0.3">
      <c r="C768" s="43" t="s">
        <v>38553</v>
      </c>
      <c r="D768" s="43" t="s">
        <v>39079</v>
      </c>
    </row>
    <row r="769" spans="3:4" x14ac:dyDescent="0.3">
      <c r="C769" s="43" t="s">
        <v>38374</v>
      </c>
      <c r="D769" s="43" t="s">
        <v>39080</v>
      </c>
    </row>
    <row r="770" spans="3:4" x14ac:dyDescent="0.3">
      <c r="C770" s="43" t="s">
        <v>38374</v>
      </c>
      <c r="D770" s="43" t="s">
        <v>39081</v>
      </c>
    </row>
    <row r="771" spans="3:4" x14ac:dyDescent="0.3">
      <c r="C771" s="43" t="s">
        <v>38553</v>
      </c>
      <c r="D771" s="43" t="s">
        <v>39082</v>
      </c>
    </row>
    <row r="772" spans="3:4" x14ac:dyDescent="0.3">
      <c r="C772" s="43" t="s">
        <v>38374</v>
      </c>
      <c r="D772" s="43" t="s">
        <v>39083</v>
      </c>
    </row>
    <row r="773" spans="3:4" x14ac:dyDescent="0.3">
      <c r="C773" s="43" t="s">
        <v>38374</v>
      </c>
      <c r="D773" s="43" t="s">
        <v>39037</v>
      </c>
    </row>
    <row r="774" spans="3:4" x14ac:dyDescent="0.3">
      <c r="C774" s="43" t="s">
        <v>38553</v>
      </c>
      <c r="D774" s="43" t="s">
        <v>39084</v>
      </c>
    </row>
    <row r="775" spans="3:4" x14ac:dyDescent="0.3">
      <c r="C775" s="43" t="s">
        <v>38374</v>
      </c>
      <c r="D775" s="43" t="s">
        <v>38783</v>
      </c>
    </row>
    <row r="776" spans="3:4" x14ac:dyDescent="0.3">
      <c r="C776" s="43" t="s">
        <v>38553</v>
      </c>
      <c r="D776" s="43" t="s">
        <v>39085</v>
      </c>
    </row>
    <row r="777" spans="3:4" x14ac:dyDescent="0.3">
      <c r="C777" s="43" t="s">
        <v>38374</v>
      </c>
      <c r="D777" s="43" t="s">
        <v>39086</v>
      </c>
    </row>
    <row r="778" spans="3:4" x14ac:dyDescent="0.3">
      <c r="C778" s="43" t="s">
        <v>38374</v>
      </c>
      <c r="D778" s="43" t="s">
        <v>39087</v>
      </c>
    </row>
    <row r="779" spans="3:4" x14ac:dyDescent="0.3">
      <c r="C779" s="43" t="s">
        <v>38553</v>
      </c>
      <c r="D779" s="43" t="s">
        <v>39088</v>
      </c>
    </row>
    <row r="780" spans="3:4" x14ac:dyDescent="0.3">
      <c r="C780" s="43" t="s">
        <v>38374</v>
      </c>
      <c r="D780" s="43" t="s">
        <v>39089</v>
      </c>
    </row>
    <row r="781" spans="3:4" x14ac:dyDescent="0.3">
      <c r="C781" s="43" t="s">
        <v>38374</v>
      </c>
      <c r="D781" s="43" t="s">
        <v>39090</v>
      </c>
    </row>
    <row r="782" spans="3:4" x14ac:dyDescent="0.3">
      <c r="C782" s="43" t="s">
        <v>38553</v>
      </c>
      <c r="D782" s="43" t="s">
        <v>39091</v>
      </c>
    </row>
    <row r="783" spans="3:4" x14ac:dyDescent="0.3">
      <c r="C783" s="43" t="s">
        <v>38553</v>
      </c>
      <c r="D783" s="43" t="s">
        <v>39092</v>
      </c>
    </row>
    <row r="784" spans="3:4" x14ac:dyDescent="0.3">
      <c r="C784" s="43" t="s">
        <v>38374</v>
      </c>
      <c r="D784" s="43" t="s">
        <v>39093</v>
      </c>
    </row>
    <row r="785" spans="3:4" x14ac:dyDescent="0.3">
      <c r="C785" s="43" t="s">
        <v>38553</v>
      </c>
      <c r="D785" s="43" t="s">
        <v>39094</v>
      </c>
    </row>
    <row r="786" spans="3:4" x14ac:dyDescent="0.3">
      <c r="C786" s="43" t="s">
        <v>38374</v>
      </c>
      <c r="D786" s="43" t="s">
        <v>39095</v>
      </c>
    </row>
    <row r="787" spans="3:4" x14ac:dyDescent="0.3">
      <c r="C787" s="43" t="s">
        <v>38891</v>
      </c>
      <c r="D787" s="43" t="s">
        <v>39096</v>
      </c>
    </row>
    <row r="788" spans="3:4" x14ac:dyDescent="0.3">
      <c r="C788" s="43" t="s">
        <v>38553</v>
      </c>
      <c r="D788" s="43" t="s">
        <v>39097</v>
      </c>
    </row>
    <row r="789" spans="3:4" x14ac:dyDescent="0.3">
      <c r="C789" s="43" t="s">
        <v>38553</v>
      </c>
      <c r="D789" s="43" t="s">
        <v>39098</v>
      </c>
    </row>
    <row r="790" spans="3:4" x14ac:dyDescent="0.3">
      <c r="C790" s="43" t="s">
        <v>38553</v>
      </c>
      <c r="D790" s="43" t="s">
        <v>39099</v>
      </c>
    </row>
    <row r="791" spans="3:4" x14ac:dyDescent="0.3">
      <c r="C791" s="43" t="s">
        <v>38553</v>
      </c>
      <c r="D791" s="43" t="s">
        <v>39100</v>
      </c>
    </row>
    <row r="792" spans="3:4" x14ac:dyDescent="0.3">
      <c r="C792" s="43" t="s">
        <v>38553</v>
      </c>
      <c r="D792" s="43" t="s">
        <v>39101</v>
      </c>
    </row>
    <row r="793" spans="3:4" x14ac:dyDescent="0.3">
      <c r="C793" s="43" t="s">
        <v>38374</v>
      </c>
      <c r="D793" s="43" t="s">
        <v>39102</v>
      </c>
    </row>
    <row r="794" spans="3:4" x14ac:dyDescent="0.3">
      <c r="C794" s="43" t="s">
        <v>38553</v>
      </c>
      <c r="D794" s="43" t="s">
        <v>39103</v>
      </c>
    </row>
    <row r="795" spans="3:4" x14ac:dyDescent="0.3">
      <c r="C795" s="43" t="s">
        <v>38553</v>
      </c>
      <c r="D795" s="43" t="s">
        <v>39104</v>
      </c>
    </row>
    <row r="796" spans="3:4" x14ac:dyDescent="0.3">
      <c r="C796" s="43" t="s">
        <v>38553</v>
      </c>
      <c r="D796" s="43" t="s">
        <v>39105</v>
      </c>
    </row>
    <row r="797" spans="3:4" x14ac:dyDescent="0.3">
      <c r="C797" s="43" t="s">
        <v>38553</v>
      </c>
      <c r="D797" s="43" t="s">
        <v>39106</v>
      </c>
    </row>
    <row r="798" spans="3:4" x14ac:dyDescent="0.3">
      <c r="C798" s="43" t="s">
        <v>38553</v>
      </c>
      <c r="D798" s="43" t="s">
        <v>39107</v>
      </c>
    </row>
    <row r="799" spans="3:4" x14ac:dyDescent="0.3">
      <c r="C799" s="43" t="s">
        <v>38553</v>
      </c>
      <c r="D799" s="43" t="s">
        <v>39108</v>
      </c>
    </row>
    <row r="800" spans="3:4" x14ac:dyDescent="0.3">
      <c r="C800" s="43" t="s">
        <v>38374</v>
      </c>
      <c r="D800" s="43" t="s">
        <v>39109</v>
      </c>
    </row>
    <row r="801" spans="3:4" x14ac:dyDescent="0.3">
      <c r="C801" s="43" t="s">
        <v>38374</v>
      </c>
      <c r="D801" s="43" t="s">
        <v>39110</v>
      </c>
    </row>
    <row r="802" spans="3:4" x14ac:dyDescent="0.3">
      <c r="C802" s="43" t="s">
        <v>38374</v>
      </c>
      <c r="D802" s="43" t="s">
        <v>39111</v>
      </c>
    </row>
    <row r="803" spans="3:4" x14ac:dyDescent="0.3">
      <c r="C803" s="43" t="s">
        <v>38553</v>
      </c>
      <c r="D803" s="43" t="s">
        <v>39112</v>
      </c>
    </row>
    <row r="804" spans="3:4" x14ac:dyDescent="0.3">
      <c r="C804" s="43" t="s">
        <v>38374</v>
      </c>
      <c r="D804" s="43" t="s">
        <v>39113</v>
      </c>
    </row>
    <row r="805" spans="3:4" x14ac:dyDescent="0.3">
      <c r="C805" s="43" t="s">
        <v>38374</v>
      </c>
      <c r="D805" s="43" t="s">
        <v>39114</v>
      </c>
    </row>
    <row r="806" spans="3:4" x14ac:dyDescent="0.3">
      <c r="C806" s="43" t="s">
        <v>38553</v>
      </c>
      <c r="D806" s="43" t="s">
        <v>39115</v>
      </c>
    </row>
    <row r="807" spans="3:4" x14ac:dyDescent="0.3">
      <c r="C807" s="43" t="s">
        <v>38374</v>
      </c>
      <c r="D807" s="43" t="s">
        <v>39116</v>
      </c>
    </row>
    <row r="808" spans="3:4" x14ac:dyDescent="0.3">
      <c r="C808" s="43" t="s">
        <v>38374</v>
      </c>
      <c r="D808" s="43" t="s">
        <v>39117</v>
      </c>
    </row>
    <row r="809" spans="3:4" x14ac:dyDescent="0.3">
      <c r="C809" s="43" t="s">
        <v>38374</v>
      </c>
      <c r="D809" s="43" t="s">
        <v>39118</v>
      </c>
    </row>
    <row r="810" spans="3:4" x14ac:dyDescent="0.3">
      <c r="C810" s="43" t="s">
        <v>38553</v>
      </c>
      <c r="D810" s="43" t="s">
        <v>39119</v>
      </c>
    </row>
    <row r="811" spans="3:4" x14ac:dyDescent="0.3">
      <c r="C811" s="43" t="s">
        <v>38553</v>
      </c>
      <c r="D811" s="43" t="s">
        <v>39120</v>
      </c>
    </row>
    <row r="812" spans="3:4" x14ac:dyDescent="0.3">
      <c r="C812" s="43" t="s">
        <v>38553</v>
      </c>
      <c r="D812" s="43" t="s">
        <v>39121</v>
      </c>
    </row>
    <row r="813" spans="3:4" x14ac:dyDescent="0.3">
      <c r="C813" s="43" t="s">
        <v>38553</v>
      </c>
      <c r="D813" s="43" t="s">
        <v>39122</v>
      </c>
    </row>
    <row r="814" spans="3:4" x14ac:dyDescent="0.3">
      <c r="C814" s="43" t="s">
        <v>38553</v>
      </c>
      <c r="D814" s="43" t="s">
        <v>39123</v>
      </c>
    </row>
    <row r="815" spans="3:4" x14ac:dyDescent="0.3">
      <c r="C815" s="43" t="s">
        <v>38374</v>
      </c>
      <c r="D815" s="43" t="s">
        <v>39124</v>
      </c>
    </row>
    <row r="816" spans="3:4" x14ac:dyDescent="0.3">
      <c r="C816" s="43" t="s">
        <v>38553</v>
      </c>
      <c r="D816" s="43" t="s">
        <v>39125</v>
      </c>
    </row>
    <row r="817" spans="3:4" x14ac:dyDescent="0.3">
      <c r="C817" s="43" t="s">
        <v>38374</v>
      </c>
      <c r="D817" s="43" t="s">
        <v>39126</v>
      </c>
    </row>
    <row r="818" spans="3:4" x14ac:dyDescent="0.3">
      <c r="C818" s="43" t="s">
        <v>38374</v>
      </c>
      <c r="D818" s="43" t="s">
        <v>39127</v>
      </c>
    </row>
    <row r="819" spans="3:4" x14ac:dyDescent="0.3">
      <c r="C819" s="43" t="s">
        <v>38374</v>
      </c>
      <c r="D819" s="43" t="s">
        <v>39098</v>
      </c>
    </row>
    <row r="820" spans="3:4" x14ac:dyDescent="0.3">
      <c r="C820" s="43" t="s">
        <v>38374</v>
      </c>
      <c r="D820" s="43" t="s">
        <v>39128</v>
      </c>
    </row>
    <row r="821" spans="3:4" x14ac:dyDescent="0.3">
      <c r="C821" s="43" t="s">
        <v>38374</v>
      </c>
      <c r="D821" s="43" t="s">
        <v>39129</v>
      </c>
    </row>
    <row r="822" spans="3:4" x14ac:dyDescent="0.3">
      <c r="C822" s="43" t="s">
        <v>38553</v>
      </c>
      <c r="D822" s="43" t="s">
        <v>39130</v>
      </c>
    </row>
    <row r="823" spans="3:4" x14ac:dyDescent="0.3">
      <c r="C823" s="43" t="s">
        <v>38553</v>
      </c>
      <c r="D823" s="43" t="s">
        <v>39131</v>
      </c>
    </row>
    <row r="824" spans="3:4" x14ac:dyDescent="0.3">
      <c r="C824" s="43" t="s">
        <v>38374</v>
      </c>
      <c r="D824" s="43" t="s">
        <v>39132</v>
      </c>
    </row>
    <row r="825" spans="3:4" x14ac:dyDescent="0.3">
      <c r="C825" s="43" t="s">
        <v>38657</v>
      </c>
      <c r="D825" s="43" t="s">
        <v>39133</v>
      </c>
    </row>
    <row r="826" spans="3:4" x14ac:dyDescent="0.3">
      <c r="C826" s="43" t="s">
        <v>38553</v>
      </c>
      <c r="D826" s="43" t="s">
        <v>39134</v>
      </c>
    </row>
    <row r="827" spans="3:4" x14ac:dyDescent="0.3">
      <c r="C827" s="43" t="s">
        <v>38374</v>
      </c>
      <c r="D827" s="43" t="s">
        <v>39135</v>
      </c>
    </row>
    <row r="828" spans="3:4" x14ac:dyDescent="0.3">
      <c r="C828" s="43" t="s">
        <v>38374</v>
      </c>
      <c r="D828" s="43" t="s">
        <v>39136</v>
      </c>
    </row>
    <row r="829" spans="3:4" x14ac:dyDescent="0.3">
      <c r="C829" s="43" t="s">
        <v>38374</v>
      </c>
      <c r="D829" s="43" t="s">
        <v>38922</v>
      </c>
    </row>
    <row r="830" spans="3:4" x14ac:dyDescent="0.3">
      <c r="C830" s="43" t="s">
        <v>38374</v>
      </c>
      <c r="D830" s="43" t="s">
        <v>39137</v>
      </c>
    </row>
    <row r="831" spans="3:4" x14ac:dyDescent="0.3">
      <c r="C831" s="43" t="s">
        <v>38553</v>
      </c>
      <c r="D831" s="43" t="s">
        <v>39138</v>
      </c>
    </row>
    <row r="832" spans="3:4" x14ac:dyDescent="0.3">
      <c r="C832" s="43" t="s">
        <v>38553</v>
      </c>
      <c r="D832" s="43" t="s">
        <v>39139</v>
      </c>
    </row>
    <row r="833" spans="3:4" x14ac:dyDescent="0.3">
      <c r="C833" s="43" t="s">
        <v>38657</v>
      </c>
      <c r="D833" s="43" t="s">
        <v>39132</v>
      </c>
    </row>
    <row r="834" spans="3:4" x14ac:dyDescent="0.3">
      <c r="C834" s="43" t="s">
        <v>38374</v>
      </c>
      <c r="D834" s="43" t="s">
        <v>39140</v>
      </c>
    </row>
    <row r="835" spans="3:4" x14ac:dyDescent="0.3">
      <c r="C835" s="43" t="s">
        <v>38374</v>
      </c>
      <c r="D835" s="43" t="s">
        <v>38940</v>
      </c>
    </row>
    <row r="836" spans="3:4" x14ac:dyDescent="0.3">
      <c r="C836" s="43" t="s">
        <v>38374</v>
      </c>
      <c r="D836" s="43" t="s">
        <v>39141</v>
      </c>
    </row>
    <row r="837" spans="3:4" x14ac:dyDescent="0.3">
      <c r="C837" s="43" t="s">
        <v>38374</v>
      </c>
      <c r="D837" s="43" t="s">
        <v>39142</v>
      </c>
    </row>
    <row r="838" spans="3:4" x14ac:dyDescent="0.3">
      <c r="C838" s="43" t="s">
        <v>38374</v>
      </c>
      <c r="D838" s="43" t="s">
        <v>39143</v>
      </c>
    </row>
    <row r="839" spans="3:4" x14ac:dyDescent="0.3">
      <c r="C839" s="43" t="s">
        <v>38374</v>
      </c>
      <c r="D839" s="43" t="s">
        <v>39144</v>
      </c>
    </row>
    <row r="840" spans="3:4" x14ac:dyDescent="0.3">
      <c r="C840" s="43" t="s">
        <v>38374</v>
      </c>
      <c r="D840" s="43" t="s">
        <v>39145</v>
      </c>
    </row>
    <row r="841" spans="3:4" x14ac:dyDescent="0.3">
      <c r="C841" s="43" t="s">
        <v>38553</v>
      </c>
      <c r="D841" s="43" t="s">
        <v>39146</v>
      </c>
    </row>
    <row r="842" spans="3:4" x14ac:dyDescent="0.3">
      <c r="C842" s="43" t="s">
        <v>38553</v>
      </c>
      <c r="D842" s="43" t="s">
        <v>39147</v>
      </c>
    </row>
    <row r="843" spans="3:4" x14ac:dyDescent="0.3">
      <c r="C843" s="43" t="s">
        <v>38657</v>
      </c>
      <c r="D843" s="43" t="s">
        <v>39148</v>
      </c>
    </row>
    <row r="844" spans="3:4" x14ac:dyDescent="0.3">
      <c r="C844" s="43" t="s">
        <v>38374</v>
      </c>
      <c r="D844" s="43" t="s">
        <v>39149</v>
      </c>
    </row>
    <row r="845" spans="3:4" x14ac:dyDescent="0.3">
      <c r="C845" s="43" t="s">
        <v>38374</v>
      </c>
      <c r="D845" s="43" t="s">
        <v>39150</v>
      </c>
    </row>
    <row r="846" spans="3:4" x14ac:dyDescent="0.3">
      <c r="C846" s="43" t="s">
        <v>38374</v>
      </c>
      <c r="D846" s="43" t="s">
        <v>39151</v>
      </c>
    </row>
    <row r="847" spans="3:4" x14ac:dyDescent="0.3">
      <c r="C847" s="43" t="s">
        <v>38374</v>
      </c>
      <c r="D847" s="43" t="s">
        <v>39152</v>
      </c>
    </row>
    <row r="848" spans="3:4" x14ac:dyDescent="0.3">
      <c r="C848" s="43" t="s">
        <v>38374</v>
      </c>
      <c r="D848" s="43" t="s">
        <v>39153</v>
      </c>
    </row>
    <row r="849" spans="3:4" x14ac:dyDescent="0.3">
      <c r="C849" s="43" t="s">
        <v>38374</v>
      </c>
      <c r="D849" s="43" t="s">
        <v>39154</v>
      </c>
    </row>
    <row r="850" spans="3:4" x14ac:dyDescent="0.3">
      <c r="C850" s="43" t="s">
        <v>38553</v>
      </c>
      <c r="D850" s="43" t="s">
        <v>39155</v>
      </c>
    </row>
    <row r="851" spans="3:4" x14ac:dyDescent="0.3">
      <c r="C851" s="43" t="s">
        <v>38374</v>
      </c>
      <c r="D851" s="43" t="s">
        <v>39156</v>
      </c>
    </row>
    <row r="852" spans="3:4" x14ac:dyDescent="0.3">
      <c r="C852" s="43" t="s">
        <v>38374</v>
      </c>
      <c r="D852" s="43" t="s">
        <v>39157</v>
      </c>
    </row>
    <row r="853" spans="3:4" x14ac:dyDescent="0.3">
      <c r="C853" s="43" t="s">
        <v>38553</v>
      </c>
      <c r="D853" s="43" t="s">
        <v>39158</v>
      </c>
    </row>
    <row r="854" spans="3:4" x14ac:dyDescent="0.3">
      <c r="C854" s="43" t="s">
        <v>38657</v>
      </c>
      <c r="D854" s="43" t="s">
        <v>39159</v>
      </c>
    </row>
    <row r="855" spans="3:4" x14ac:dyDescent="0.3">
      <c r="C855" s="43" t="s">
        <v>38374</v>
      </c>
      <c r="D855" s="43" t="s">
        <v>39160</v>
      </c>
    </row>
    <row r="856" spans="3:4" x14ac:dyDescent="0.3">
      <c r="C856" s="43" t="s">
        <v>38374</v>
      </c>
      <c r="D856" s="43" t="s">
        <v>39161</v>
      </c>
    </row>
    <row r="857" spans="3:4" x14ac:dyDescent="0.3">
      <c r="C857" s="43" t="s">
        <v>38374</v>
      </c>
      <c r="D857" s="43" t="s">
        <v>39162</v>
      </c>
    </row>
    <row r="858" spans="3:4" x14ac:dyDescent="0.3">
      <c r="C858" s="43" t="s">
        <v>38553</v>
      </c>
      <c r="D858" s="43" t="s">
        <v>39163</v>
      </c>
    </row>
    <row r="859" spans="3:4" x14ac:dyDescent="0.3">
      <c r="C859" s="43" t="s">
        <v>39164</v>
      </c>
      <c r="D859" s="43" t="s">
        <v>39165</v>
      </c>
    </row>
    <row r="860" spans="3:4" x14ac:dyDescent="0.3">
      <c r="C860" s="43" t="s">
        <v>39166</v>
      </c>
      <c r="D860" s="43" t="s">
        <v>39167</v>
      </c>
    </row>
    <row r="861" spans="3:4" x14ac:dyDescent="0.3">
      <c r="C861" s="43" t="s">
        <v>39168</v>
      </c>
      <c r="D861" s="43" t="s">
        <v>39167</v>
      </c>
    </row>
    <row r="862" spans="3:4" x14ac:dyDescent="0.3">
      <c r="C862" s="43" t="s">
        <v>39168</v>
      </c>
      <c r="D862" s="43" t="s">
        <v>39169</v>
      </c>
    </row>
    <row r="863" spans="3:4" x14ac:dyDescent="0.3">
      <c r="C863" s="43" t="s">
        <v>39168</v>
      </c>
      <c r="D863" s="43" t="s">
        <v>39170</v>
      </c>
    </row>
    <row r="864" spans="3:4" x14ac:dyDescent="0.3">
      <c r="C864" s="43" t="s">
        <v>39168</v>
      </c>
      <c r="D864" s="43" t="s">
        <v>39171</v>
      </c>
    </row>
    <row r="865" spans="3:4" x14ac:dyDescent="0.3">
      <c r="C865" s="43" t="s">
        <v>39168</v>
      </c>
      <c r="D865" s="43" t="s">
        <v>39172</v>
      </c>
    </row>
    <row r="866" spans="3:4" x14ac:dyDescent="0.3">
      <c r="C866" s="43" t="s">
        <v>39168</v>
      </c>
      <c r="D866" s="43" t="s">
        <v>39173</v>
      </c>
    </row>
    <row r="867" spans="3:4" x14ac:dyDescent="0.3">
      <c r="C867" s="43" t="s">
        <v>39168</v>
      </c>
      <c r="D867" s="43" t="s">
        <v>39174</v>
      </c>
    </row>
    <row r="868" spans="3:4" x14ac:dyDescent="0.3">
      <c r="C868" s="43" t="s">
        <v>39168</v>
      </c>
      <c r="D868" s="43" t="s">
        <v>39175</v>
      </c>
    </row>
    <row r="869" spans="3:4" x14ac:dyDescent="0.3">
      <c r="C869" s="43" t="s">
        <v>39166</v>
      </c>
      <c r="D869" s="43" t="s">
        <v>39175</v>
      </c>
    </row>
    <row r="870" spans="3:4" x14ac:dyDescent="0.3">
      <c r="C870" s="43" t="s">
        <v>39168</v>
      </c>
      <c r="D870" s="43" t="s">
        <v>39176</v>
      </c>
    </row>
    <row r="871" spans="3:4" x14ac:dyDescent="0.3">
      <c r="C871" s="43" t="s">
        <v>39168</v>
      </c>
      <c r="D871" s="43" t="s">
        <v>39177</v>
      </c>
    </row>
    <row r="872" spans="3:4" x14ac:dyDescent="0.3">
      <c r="C872" s="43" t="s">
        <v>39168</v>
      </c>
      <c r="D872" s="43" t="s">
        <v>39178</v>
      </c>
    </row>
    <row r="873" spans="3:4" x14ac:dyDescent="0.3">
      <c r="C873" s="43" t="s">
        <v>39168</v>
      </c>
      <c r="D873" s="43" t="s">
        <v>39179</v>
      </c>
    </row>
    <row r="874" spans="3:4" x14ac:dyDescent="0.3">
      <c r="C874" s="43" t="s">
        <v>39168</v>
      </c>
      <c r="D874" s="43" t="s">
        <v>39180</v>
      </c>
    </row>
    <row r="875" spans="3:4" x14ac:dyDescent="0.3">
      <c r="C875" s="43" t="s">
        <v>39168</v>
      </c>
      <c r="D875" s="43" t="s">
        <v>39181</v>
      </c>
    </row>
    <row r="876" spans="3:4" x14ac:dyDescent="0.3">
      <c r="C876" s="43" t="s">
        <v>39166</v>
      </c>
      <c r="D876" s="43" t="s">
        <v>39182</v>
      </c>
    </row>
    <row r="877" spans="3:4" x14ac:dyDescent="0.3">
      <c r="C877" s="43" t="s">
        <v>39168</v>
      </c>
      <c r="D877" s="43" t="s">
        <v>39183</v>
      </c>
    </row>
    <row r="878" spans="3:4" x14ac:dyDescent="0.3">
      <c r="C878" s="43" t="s">
        <v>39166</v>
      </c>
      <c r="D878" s="43" t="s">
        <v>39184</v>
      </c>
    </row>
    <row r="879" spans="3:4" x14ac:dyDescent="0.3">
      <c r="C879" s="43" t="s">
        <v>39168</v>
      </c>
      <c r="D879" s="43" t="s">
        <v>39185</v>
      </c>
    </row>
    <row r="880" spans="3:4" x14ac:dyDescent="0.3">
      <c r="C880" s="43" t="s">
        <v>39168</v>
      </c>
      <c r="D880" s="43" t="s">
        <v>39186</v>
      </c>
    </row>
    <row r="881" spans="3:4" x14ac:dyDescent="0.3">
      <c r="C881" s="43" t="s">
        <v>39168</v>
      </c>
      <c r="D881" s="43" t="s">
        <v>39187</v>
      </c>
    </row>
    <row r="882" spans="3:4" x14ac:dyDescent="0.3">
      <c r="C882" s="43" t="s">
        <v>39166</v>
      </c>
      <c r="D882" s="43" t="s">
        <v>39188</v>
      </c>
    </row>
    <row r="883" spans="3:4" x14ac:dyDescent="0.3">
      <c r="C883" s="43" t="s">
        <v>39168</v>
      </c>
      <c r="D883" s="43" t="s">
        <v>39189</v>
      </c>
    </row>
    <row r="884" spans="3:4" x14ac:dyDescent="0.3">
      <c r="C884" s="43" t="s">
        <v>39164</v>
      </c>
      <c r="D884" s="43" t="s">
        <v>39190</v>
      </c>
    </row>
    <row r="885" spans="3:4" x14ac:dyDescent="0.3">
      <c r="C885" s="43" t="s">
        <v>39168</v>
      </c>
      <c r="D885" s="43" t="s">
        <v>38551</v>
      </c>
    </row>
    <row r="886" spans="3:4" x14ac:dyDescent="0.3">
      <c r="C886" s="43" t="s">
        <v>38396</v>
      </c>
      <c r="D886" s="43" t="s">
        <v>39191</v>
      </c>
    </row>
    <row r="887" spans="3:4" x14ac:dyDescent="0.3">
      <c r="C887" s="43" t="s">
        <v>38400</v>
      </c>
      <c r="D887" s="43" t="s">
        <v>39192</v>
      </c>
    </row>
    <row r="888" spans="3:4" x14ac:dyDescent="0.3">
      <c r="C888" s="43" t="s">
        <v>38374</v>
      </c>
      <c r="D888" s="43" t="s">
        <v>39193</v>
      </c>
    </row>
    <row r="889" spans="3:4" x14ac:dyDescent="0.3">
      <c r="C889" s="43" t="s">
        <v>38374</v>
      </c>
      <c r="D889" s="43" t="s">
        <v>39194</v>
      </c>
    </row>
    <row r="890" spans="3:4" x14ac:dyDescent="0.3">
      <c r="C890" s="43" t="s">
        <v>38396</v>
      </c>
      <c r="D890" s="43" t="s">
        <v>39195</v>
      </c>
    </row>
    <row r="891" spans="3:4" x14ac:dyDescent="0.3">
      <c r="C891" s="43" t="s">
        <v>38374</v>
      </c>
      <c r="D891" s="43" t="s">
        <v>39196</v>
      </c>
    </row>
    <row r="892" spans="3:4" x14ac:dyDescent="0.3">
      <c r="C892" s="43" t="s">
        <v>38374</v>
      </c>
      <c r="D892" s="43" t="s">
        <v>39197</v>
      </c>
    </row>
    <row r="893" spans="3:4" x14ac:dyDescent="0.3">
      <c r="C893" s="43" t="s">
        <v>38400</v>
      </c>
      <c r="D893" s="43" t="s">
        <v>39198</v>
      </c>
    </row>
    <row r="894" spans="3:4" x14ac:dyDescent="0.3">
      <c r="C894" s="43" t="s">
        <v>38400</v>
      </c>
      <c r="D894" s="43" t="s">
        <v>39199</v>
      </c>
    </row>
    <row r="895" spans="3:4" x14ac:dyDescent="0.3">
      <c r="C895" s="43" t="s">
        <v>38374</v>
      </c>
      <c r="D895" s="43" t="s">
        <v>39200</v>
      </c>
    </row>
    <row r="896" spans="3:4" x14ac:dyDescent="0.3">
      <c r="C896" s="43" t="s">
        <v>38396</v>
      </c>
      <c r="D896" s="43" t="s">
        <v>39201</v>
      </c>
    </row>
    <row r="897" spans="3:4" x14ac:dyDescent="0.3">
      <c r="C897" s="43" t="s">
        <v>38374</v>
      </c>
      <c r="D897" s="43" t="s">
        <v>39202</v>
      </c>
    </row>
    <row r="898" spans="3:4" x14ac:dyDescent="0.3">
      <c r="C898" s="43" t="s">
        <v>38396</v>
      </c>
      <c r="D898" s="43" t="s">
        <v>39203</v>
      </c>
    </row>
    <row r="899" spans="3:4" x14ac:dyDescent="0.3">
      <c r="C899" s="43" t="s">
        <v>38400</v>
      </c>
      <c r="D899" s="43" t="s">
        <v>39204</v>
      </c>
    </row>
    <row r="900" spans="3:4" x14ac:dyDescent="0.3">
      <c r="C900" s="43" t="s">
        <v>38400</v>
      </c>
      <c r="D900" s="43" t="s">
        <v>39205</v>
      </c>
    </row>
    <row r="901" spans="3:4" x14ac:dyDescent="0.3">
      <c r="C901" s="43" t="s">
        <v>38400</v>
      </c>
      <c r="D901" s="43" t="s">
        <v>39206</v>
      </c>
    </row>
    <row r="902" spans="3:4" x14ac:dyDescent="0.3">
      <c r="C902" s="43" t="s">
        <v>38400</v>
      </c>
      <c r="D902" s="43" t="s">
        <v>39207</v>
      </c>
    </row>
    <row r="903" spans="3:4" x14ac:dyDescent="0.3">
      <c r="C903" s="43" t="s">
        <v>38400</v>
      </c>
      <c r="D903" s="43" t="s">
        <v>39208</v>
      </c>
    </row>
    <row r="904" spans="3:4" x14ac:dyDescent="0.3">
      <c r="C904" s="43" t="s">
        <v>38396</v>
      </c>
      <c r="D904" s="43" t="s">
        <v>39209</v>
      </c>
    </row>
    <row r="905" spans="3:4" x14ac:dyDescent="0.3">
      <c r="C905" s="43" t="s">
        <v>38396</v>
      </c>
      <c r="D905" s="43" t="s">
        <v>39210</v>
      </c>
    </row>
    <row r="906" spans="3:4" x14ac:dyDescent="0.3">
      <c r="C906" s="43" t="s">
        <v>38396</v>
      </c>
      <c r="D906" s="43" t="s">
        <v>39211</v>
      </c>
    </row>
    <row r="907" spans="3:4" x14ac:dyDescent="0.3">
      <c r="C907" s="43" t="s">
        <v>38400</v>
      </c>
      <c r="D907" s="43" t="s">
        <v>39212</v>
      </c>
    </row>
    <row r="908" spans="3:4" x14ac:dyDescent="0.3">
      <c r="C908" s="43" t="s">
        <v>38396</v>
      </c>
      <c r="D908" s="43" t="s">
        <v>39213</v>
      </c>
    </row>
    <row r="909" spans="3:4" x14ac:dyDescent="0.3">
      <c r="C909" s="43" t="s">
        <v>38514</v>
      </c>
      <c r="D909" s="43" t="s">
        <v>39214</v>
      </c>
    </row>
    <row r="910" spans="3:4" x14ac:dyDescent="0.3">
      <c r="C910" s="43" t="s">
        <v>38398</v>
      </c>
      <c r="D910" s="43" t="s">
        <v>39215</v>
      </c>
    </row>
    <row r="911" spans="3:4" x14ac:dyDescent="0.3">
      <c r="C911" s="43" t="s">
        <v>38398</v>
      </c>
      <c r="D911" s="43" t="s">
        <v>39216</v>
      </c>
    </row>
    <row r="912" spans="3:4" x14ac:dyDescent="0.3">
      <c r="C912" s="43" t="s">
        <v>38398</v>
      </c>
      <c r="D912" s="43" t="s">
        <v>39217</v>
      </c>
    </row>
    <row r="913" spans="3:4" x14ac:dyDescent="0.3">
      <c r="C913" s="43" t="s">
        <v>38398</v>
      </c>
      <c r="D913" s="43" t="s">
        <v>39218</v>
      </c>
    </row>
    <row r="914" spans="3:4" x14ac:dyDescent="0.3">
      <c r="C914" s="43" t="s">
        <v>38398</v>
      </c>
      <c r="D914" s="43" t="s">
        <v>39219</v>
      </c>
    </row>
    <row r="915" spans="3:4" x14ac:dyDescent="0.3">
      <c r="C915" s="43" t="s">
        <v>38398</v>
      </c>
      <c r="D915" s="43" t="s">
        <v>39220</v>
      </c>
    </row>
    <row r="916" spans="3:4" x14ac:dyDescent="0.3">
      <c r="C916" s="43" t="s">
        <v>38545</v>
      </c>
      <c r="D916" s="43" t="s">
        <v>39221</v>
      </c>
    </row>
    <row r="917" spans="3:4" x14ac:dyDescent="0.3">
      <c r="C917" s="43" t="s">
        <v>38545</v>
      </c>
      <c r="D917" s="43" t="s">
        <v>39222</v>
      </c>
    </row>
    <row r="918" spans="3:4" x14ac:dyDescent="0.3">
      <c r="C918" s="43" t="s">
        <v>38374</v>
      </c>
      <c r="D918" s="43" t="s">
        <v>39223</v>
      </c>
    </row>
    <row r="919" spans="3:4" x14ac:dyDescent="0.3">
      <c r="C919" s="43" t="s">
        <v>38396</v>
      </c>
      <c r="D919" s="43" t="s">
        <v>39224</v>
      </c>
    </row>
    <row r="920" spans="3:4" x14ac:dyDescent="0.3">
      <c r="C920" s="43" t="s">
        <v>38374</v>
      </c>
      <c r="D920" s="43" t="s">
        <v>39225</v>
      </c>
    </row>
    <row r="921" spans="3:4" x14ac:dyDescent="0.3">
      <c r="C921" s="43" t="s">
        <v>38400</v>
      </c>
      <c r="D921" s="43" t="s">
        <v>39226</v>
      </c>
    </row>
    <row r="922" spans="3:4" x14ac:dyDescent="0.3">
      <c r="C922" s="43" t="s">
        <v>38374</v>
      </c>
      <c r="D922" s="43" t="s">
        <v>38728</v>
      </c>
    </row>
    <row r="923" spans="3:4" x14ac:dyDescent="0.3">
      <c r="C923" s="43" t="s">
        <v>38374</v>
      </c>
      <c r="D923" s="43" t="s">
        <v>39227</v>
      </c>
    </row>
    <row r="924" spans="3:4" x14ac:dyDescent="0.3">
      <c r="C924" s="43" t="s">
        <v>38400</v>
      </c>
      <c r="D924" s="43" t="s">
        <v>39228</v>
      </c>
    </row>
    <row r="925" spans="3:4" x14ac:dyDescent="0.3">
      <c r="C925" s="43" t="s">
        <v>38400</v>
      </c>
      <c r="D925" s="43" t="s">
        <v>39229</v>
      </c>
    </row>
    <row r="926" spans="3:4" x14ac:dyDescent="0.3">
      <c r="C926" s="43" t="s">
        <v>38400</v>
      </c>
      <c r="D926" s="43" t="s">
        <v>39230</v>
      </c>
    </row>
    <row r="927" spans="3:4" x14ac:dyDescent="0.3">
      <c r="C927" s="43" t="s">
        <v>38400</v>
      </c>
      <c r="D927" s="43" t="s">
        <v>39231</v>
      </c>
    </row>
    <row r="928" spans="3:4" x14ac:dyDescent="0.3">
      <c r="C928" s="43" t="s">
        <v>38400</v>
      </c>
      <c r="D928" s="43" t="s">
        <v>39232</v>
      </c>
    </row>
    <row r="929" spans="3:4" x14ac:dyDescent="0.3">
      <c r="C929" s="43" t="s">
        <v>38396</v>
      </c>
      <c r="D929" s="43" t="s">
        <v>39233</v>
      </c>
    </row>
    <row r="930" spans="3:4" x14ac:dyDescent="0.3">
      <c r="C930" s="43" t="s">
        <v>38400</v>
      </c>
      <c r="D930" s="43" t="s">
        <v>39234</v>
      </c>
    </row>
    <row r="931" spans="3:4" x14ac:dyDescent="0.3">
      <c r="C931" s="43" t="s">
        <v>38396</v>
      </c>
      <c r="D931" s="43" t="s">
        <v>39235</v>
      </c>
    </row>
    <row r="932" spans="3:4" x14ac:dyDescent="0.3">
      <c r="C932" s="43" t="s">
        <v>38514</v>
      </c>
      <c r="D932" s="43" t="s">
        <v>39236</v>
      </c>
    </row>
    <row r="933" spans="3:4" x14ac:dyDescent="0.3">
      <c r="C933" s="43" t="s">
        <v>38398</v>
      </c>
      <c r="D933" s="43" t="s">
        <v>39237</v>
      </c>
    </row>
    <row r="934" spans="3:4" x14ac:dyDescent="0.3">
      <c r="C934" s="43" t="s">
        <v>38545</v>
      </c>
      <c r="D934" s="43" t="s">
        <v>39238</v>
      </c>
    </row>
    <row r="935" spans="3:4" x14ac:dyDescent="0.3">
      <c r="C935" s="43" t="s">
        <v>38361</v>
      </c>
      <c r="D935" s="43" t="s">
        <v>39239</v>
      </c>
    </row>
    <row r="936" spans="3:4" x14ac:dyDescent="0.3">
      <c r="C936" s="43" t="s">
        <v>38400</v>
      </c>
      <c r="D936" s="43" t="s">
        <v>38354</v>
      </c>
    </row>
    <row r="937" spans="3:4" x14ac:dyDescent="0.3">
      <c r="C937" s="43" t="s">
        <v>38400</v>
      </c>
      <c r="D937" s="43" t="s">
        <v>39240</v>
      </c>
    </row>
    <row r="938" spans="3:4" x14ac:dyDescent="0.3">
      <c r="C938" s="43" t="s">
        <v>38400</v>
      </c>
      <c r="D938" s="43" t="s">
        <v>39241</v>
      </c>
    </row>
    <row r="939" spans="3:4" x14ac:dyDescent="0.3">
      <c r="C939" s="43" t="s">
        <v>38396</v>
      </c>
      <c r="D939" s="43" t="s">
        <v>39240</v>
      </c>
    </row>
    <row r="940" spans="3:4" x14ac:dyDescent="0.3">
      <c r="C940" s="43" t="s">
        <v>39242</v>
      </c>
      <c r="D940" s="43" t="s">
        <v>38348</v>
      </c>
    </row>
    <row r="941" spans="3:4" x14ac:dyDescent="0.3">
      <c r="C941" s="43" t="s">
        <v>39242</v>
      </c>
      <c r="D941" s="43" t="s">
        <v>38399</v>
      </c>
    </row>
    <row r="942" spans="3:4" x14ac:dyDescent="0.3">
      <c r="C942" s="43" t="s">
        <v>39168</v>
      </c>
      <c r="D942" s="43" t="s">
        <v>39243</v>
      </c>
    </row>
    <row r="943" spans="3:4" x14ac:dyDescent="0.3">
      <c r="C943" s="43" t="s">
        <v>39244</v>
      </c>
      <c r="D943" s="43" t="s">
        <v>39245</v>
      </c>
    </row>
    <row r="944" spans="3:4" x14ac:dyDescent="0.3">
      <c r="C944" s="43" t="s">
        <v>39168</v>
      </c>
    </row>
    <row r="945" spans="3:4" x14ac:dyDescent="0.3">
      <c r="C945" s="43" t="s">
        <v>39168</v>
      </c>
      <c r="D945" s="43" t="s">
        <v>39246</v>
      </c>
    </row>
    <row r="946" spans="3:4" x14ac:dyDescent="0.3">
      <c r="C946" s="43" t="s">
        <v>38374</v>
      </c>
      <c r="D946" s="43" t="s">
        <v>39246</v>
      </c>
    </row>
    <row r="947" spans="3:4" x14ac:dyDescent="0.3">
      <c r="C947" s="43" t="s">
        <v>39247</v>
      </c>
      <c r="D947" s="43" t="s">
        <v>39247</v>
      </c>
    </row>
    <row r="948" spans="3:4" x14ac:dyDescent="0.3">
      <c r="C948" s="43" t="s">
        <v>38374</v>
      </c>
      <c r="D948" s="43" t="s">
        <v>39248</v>
      </c>
    </row>
    <row r="949" spans="3:4" x14ac:dyDescent="0.3">
      <c r="C949" s="43" t="s">
        <v>38374</v>
      </c>
      <c r="D949" s="43" t="s">
        <v>39249</v>
      </c>
    </row>
    <row r="950" spans="3:4" x14ac:dyDescent="0.3">
      <c r="C950" s="43" t="s">
        <v>38374</v>
      </c>
      <c r="D950" s="43" t="s">
        <v>39250</v>
      </c>
    </row>
    <row r="951" spans="3:4" x14ac:dyDescent="0.3">
      <c r="C951" s="43" t="s">
        <v>38374</v>
      </c>
      <c r="D951" s="43" t="s">
        <v>39251</v>
      </c>
    </row>
    <row r="952" spans="3:4" x14ac:dyDescent="0.3">
      <c r="C952" s="43" t="s">
        <v>38374</v>
      </c>
      <c r="D952" s="43" t="s">
        <v>39252</v>
      </c>
    </row>
    <row r="953" spans="3:4" x14ac:dyDescent="0.3">
      <c r="C953" s="43" t="s">
        <v>38374</v>
      </c>
      <c r="D953" s="43" t="s">
        <v>39253</v>
      </c>
    </row>
    <row r="954" spans="3:4" x14ac:dyDescent="0.3">
      <c r="C954" s="43" t="s">
        <v>38374</v>
      </c>
      <c r="D954" s="43" t="s">
        <v>39254</v>
      </c>
    </row>
    <row r="955" spans="3:4" x14ac:dyDescent="0.3">
      <c r="C955" s="43" t="s">
        <v>38374</v>
      </c>
      <c r="D955" s="43" t="s">
        <v>39255</v>
      </c>
    </row>
    <row r="956" spans="3:4" x14ac:dyDescent="0.3">
      <c r="C956" s="43" t="s">
        <v>38374</v>
      </c>
      <c r="D956" s="43" t="s">
        <v>39256</v>
      </c>
    </row>
    <row r="957" spans="3:4" x14ac:dyDescent="0.3">
      <c r="C957" s="43" t="s">
        <v>38374</v>
      </c>
      <c r="D957" s="43" t="s">
        <v>39257</v>
      </c>
    </row>
    <row r="958" spans="3:4" x14ac:dyDescent="0.3">
      <c r="C958" s="43" t="s">
        <v>38374</v>
      </c>
      <c r="D958" s="43" t="s">
        <v>39258</v>
      </c>
    </row>
    <row r="959" spans="3:4" x14ac:dyDescent="0.3">
      <c r="C959" s="43" t="s">
        <v>38374</v>
      </c>
      <c r="D959" s="43" t="s">
        <v>39259</v>
      </c>
    </row>
    <row r="960" spans="3:4" x14ac:dyDescent="0.3">
      <c r="C960" s="43" t="s">
        <v>38374</v>
      </c>
      <c r="D960" s="43" t="s">
        <v>39260</v>
      </c>
    </row>
    <row r="961" spans="3:4" x14ac:dyDescent="0.3">
      <c r="C961" s="43" t="s">
        <v>38374</v>
      </c>
      <c r="D961" s="43" t="s">
        <v>39261</v>
      </c>
    </row>
    <row r="962" spans="3:4" x14ac:dyDescent="0.3">
      <c r="C962" s="43" t="s">
        <v>38374</v>
      </c>
      <c r="D962" s="43" t="s">
        <v>39262</v>
      </c>
    </row>
    <row r="963" spans="3:4" x14ac:dyDescent="0.3">
      <c r="C963" s="43" t="s">
        <v>38374</v>
      </c>
      <c r="D963" s="43" t="s">
        <v>39263</v>
      </c>
    </row>
    <row r="964" spans="3:4" x14ac:dyDescent="0.3">
      <c r="C964" s="43" t="s">
        <v>38374</v>
      </c>
      <c r="D964" s="43" t="s">
        <v>39264</v>
      </c>
    </row>
    <row r="965" spans="3:4" x14ac:dyDescent="0.3">
      <c r="C965" s="43" t="s">
        <v>38374</v>
      </c>
      <c r="D965" s="43" t="s">
        <v>39265</v>
      </c>
    </row>
    <row r="966" spans="3:4" x14ac:dyDescent="0.3">
      <c r="C966" s="43" t="s">
        <v>38374</v>
      </c>
      <c r="D966" s="43" t="s">
        <v>39266</v>
      </c>
    </row>
    <row r="967" spans="3:4" x14ac:dyDescent="0.3">
      <c r="C967" s="43" t="s">
        <v>38374</v>
      </c>
      <c r="D967" s="43" t="s">
        <v>39267</v>
      </c>
    </row>
    <row r="968" spans="3:4" x14ac:dyDescent="0.3">
      <c r="C968" s="43" t="s">
        <v>38374</v>
      </c>
      <c r="D968" s="43" t="s">
        <v>39268</v>
      </c>
    </row>
    <row r="969" spans="3:4" x14ac:dyDescent="0.3">
      <c r="C969" s="43" t="s">
        <v>38374</v>
      </c>
      <c r="D969" s="43" t="s">
        <v>39269</v>
      </c>
    </row>
    <row r="970" spans="3:4" x14ac:dyDescent="0.3">
      <c r="C970" s="43" t="s">
        <v>38374</v>
      </c>
      <c r="D970" s="43" t="s">
        <v>39270</v>
      </c>
    </row>
    <row r="971" spans="3:4" x14ac:dyDescent="0.3">
      <c r="C971" s="43" t="s">
        <v>39271</v>
      </c>
      <c r="D971" s="43" t="s">
        <v>39272</v>
      </c>
    </row>
    <row r="972" spans="3:4" x14ac:dyDescent="0.3">
      <c r="C972" s="43" t="s">
        <v>39271</v>
      </c>
      <c r="D972" s="43" t="s">
        <v>39273</v>
      </c>
    </row>
    <row r="973" spans="3:4" x14ac:dyDescent="0.3">
      <c r="C973" s="43" t="s">
        <v>39271</v>
      </c>
      <c r="D973" s="43" t="s">
        <v>39274</v>
      </c>
    </row>
    <row r="974" spans="3:4" x14ac:dyDescent="0.3">
      <c r="C974" s="43" t="s">
        <v>39271</v>
      </c>
      <c r="D974" s="43" t="s">
        <v>39275</v>
      </c>
    </row>
    <row r="975" spans="3:4" x14ac:dyDescent="0.3">
      <c r="C975" s="43" t="s">
        <v>39271</v>
      </c>
      <c r="D975" s="43" t="s">
        <v>39276</v>
      </c>
    </row>
    <row r="976" spans="3:4" x14ac:dyDescent="0.3">
      <c r="C976" s="43" t="s">
        <v>39271</v>
      </c>
      <c r="D976" s="43" t="s">
        <v>39277</v>
      </c>
    </row>
    <row r="977" spans="3:4" x14ac:dyDescent="0.3">
      <c r="C977" s="43" t="s">
        <v>39271</v>
      </c>
      <c r="D977" s="43" t="s">
        <v>39278</v>
      </c>
    </row>
    <row r="978" spans="3:4" x14ac:dyDescent="0.3">
      <c r="C978" s="43" t="s">
        <v>39271</v>
      </c>
      <c r="D978" s="43" t="s">
        <v>39279</v>
      </c>
    </row>
    <row r="979" spans="3:4" x14ac:dyDescent="0.3">
      <c r="C979" s="43" t="s">
        <v>39271</v>
      </c>
      <c r="D979" s="43" t="s">
        <v>39280</v>
      </c>
    </row>
    <row r="980" spans="3:4" x14ac:dyDescent="0.3">
      <c r="C980" s="43" t="s">
        <v>39271</v>
      </c>
      <c r="D980" s="43" t="s">
        <v>39281</v>
      </c>
    </row>
    <row r="981" spans="3:4" x14ac:dyDescent="0.3">
      <c r="C981" s="43" t="s">
        <v>39271</v>
      </c>
      <c r="D981" s="43" t="s">
        <v>39282</v>
      </c>
    </row>
    <row r="982" spans="3:4" x14ac:dyDescent="0.3">
      <c r="C982" s="43" t="s">
        <v>39271</v>
      </c>
      <c r="D982" s="43" t="s">
        <v>39283</v>
      </c>
    </row>
    <row r="983" spans="3:4" x14ac:dyDescent="0.3">
      <c r="C983" s="43" t="s">
        <v>39271</v>
      </c>
      <c r="D983" s="43" t="s">
        <v>39284</v>
      </c>
    </row>
    <row r="984" spans="3:4" x14ac:dyDescent="0.3">
      <c r="C984" s="43" t="s">
        <v>39271</v>
      </c>
      <c r="D984" s="43" t="s">
        <v>39285</v>
      </c>
    </row>
    <row r="985" spans="3:4" x14ac:dyDescent="0.3">
      <c r="C985" s="43" t="s">
        <v>39271</v>
      </c>
      <c r="D985" s="43" t="s">
        <v>39286</v>
      </c>
    </row>
    <row r="986" spans="3:4" x14ac:dyDescent="0.3">
      <c r="C986" s="43" t="s">
        <v>39271</v>
      </c>
      <c r="D986" s="43" t="s">
        <v>39287</v>
      </c>
    </row>
    <row r="987" spans="3:4" x14ac:dyDescent="0.3">
      <c r="C987" s="43" t="s">
        <v>39271</v>
      </c>
      <c r="D987" s="43" t="s">
        <v>39288</v>
      </c>
    </row>
    <row r="988" spans="3:4" x14ac:dyDescent="0.3">
      <c r="C988" s="43" t="s">
        <v>39271</v>
      </c>
      <c r="D988" s="43" t="s">
        <v>39289</v>
      </c>
    </row>
    <row r="989" spans="3:4" x14ac:dyDescent="0.3">
      <c r="C989" s="43" t="s">
        <v>39271</v>
      </c>
      <c r="D989" s="43" t="s">
        <v>39290</v>
      </c>
    </row>
    <row r="990" spans="3:4" x14ac:dyDescent="0.3">
      <c r="C990" s="43" t="s">
        <v>39271</v>
      </c>
      <c r="D990" s="43" t="s">
        <v>39291</v>
      </c>
    </row>
    <row r="991" spans="3:4" x14ac:dyDescent="0.3">
      <c r="C991" s="43" t="s">
        <v>39271</v>
      </c>
      <c r="D991" s="43" t="s">
        <v>39292</v>
      </c>
    </row>
    <row r="992" spans="3:4" x14ac:dyDescent="0.3">
      <c r="C992" s="43" t="s">
        <v>39271</v>
      </c>
      <c r="D992" s="43" t="s">
        <v>39293</v>
      </c>
    </row>
    <row r="993" spans="3:4" x14ac:dyDescent="0.3">
      <c r="C993" s="43" t="s">
        <v>39271</v>
      </c>
      <c r="D993" s="43" t="s">
        <v>39294</v>
      </c>
    </row>
    <row r="994" spans="3:4" x14ac:dyDescent="0.3">
      <c r="C994" s="43" t="s">
        <v>39271</v>
      </c>
      <c r="D994" s="43" t="s">
        <v>39295</v>
      </c>
    </row>
    <row r="995" spans="3:4" x14ac:dyDescent="0.3">
      <c r="C995" s="43" t="s">
        <v>39271</v>
      </c>
      <c r="D995" s="43" t="s">
        <v>39296</v>
      </c>
    </row>
    <row r="996" spans="3:4" x14ac:dyDescent="0.3">
      <c r="C996" s="43" t="s">
        <v>39271</v>
      </c>
      <c r="D996" s="43" t="s">
        <v>39297</v>
      </c>
    </row>
    <row r="997" spans="3:4" x14ac:dyDescent="0.3">
      <c r="C997" s="43" t="s">
        <v>39271</v>
      </c>
      <c r="D997" s="43" t="s">
        <v>39298</v>
      </c>
    </row>
    <row r="998" spans="3:4" x14ac:dyDescent="0.3">
      <c r="C998" s="43" t="s">
        <v>39271</v>
      </c>
      <c r="D998" s="43" t="s">
        <v>39299</v>
      </c>
    </row>
    <row r="999" spans="3:4" x14ac:dyDescent="0.3">
      <c r="C999" s="43" t="s">
        <v>39271</v>
      </c>
      <c r="D999" s="43" t="s">
        <v>39300</v>
      </c>
    </row>
    <row r="1000" spans="3:4" x14ac:dyDescent="0.3">
      <c r="C1000" s="43" t="s">
        <v>39271</v>
      </c>
      <c r="D1000" s="43" t="s">
        <v>39301</v>
      </c>
    </row>
    <row r="1001" spans="3:4" x14ac:dyDescent="0.3">
      <c r="C1001" s="43" t="s">
        <v>39271</v>
      </c>
      <c r="D1001" s="43" t="s">
        <v>39302</v>
      </c>
    </row>
    <row r="1002" spans="3:4" x14ac:dyDescent="0.3">
      <c r="C1002" s="43" t="s">
        <v>39271</v>
      </c>
      <c r="D1002" s="43" t="s">
        <v>39303</v>
      </c>
    </row>
    <row r="1003" spans="3:4" x14ac:dyDescent="0.3">
      <c r="C1003" s="43" t="s">
        <v>39271</v>
      </c>
      <c r="D1003" s="43" t="s">
        <v>39304</v>
      </c>
    </row>
    <row r="1004" spans="3:4" x14ac:dyDescent="0.3">
      <c r="C1004" s="43" t="s">
        <v>39271</v>
      </c>
      <c r="D1004" s="43" t="s">
        <v>39305</v>
      </c>
    </row>
    <row r="1005" spans="3:4" x14ac:dyDescent="0.3">
      <c r="C1005" s="43" t="s">
        <v>39271</v>
      </c>
      <c r="D1005" s="43" t="s">
        <v>39306</v>
      </c>
    </row>
    <row r="1006" spans="3:4" x14ac:dyDescent="0.3">
      <c r="C1006" s="43" t="s">
        <v>39271</v>
      </c>
      <c r="D1006" s="43" t="s">
        <v>39307</v>
      </c>
    </row>
    <row r="1007" spans="3:4" x14ac:dyDescent="0.3">
      <c r="C1007" s="43" t="s">
        <v>39271</v>
      </c>
      <c r="D1007" s="43" t="s">
        <v>39308</v>
      </c>
    </row>
    <row r="1008" spans="3:4" x14ac:dyDescent="0.3">
      <c r="C1008" s="43" t="s">
        <v>39271</v>
      </c>
      <c r="D1008" s="43" t="s">
        <v>39309</v>
      </c>
    </row>
    <row r="1009" spans="3:4" x14ac:dyDescent="0.3">
      <c r="C1009" s="43" t="s">
        <v>39271</v>
      </c>
      <c r="D1009" s="43" t="s">
        <v>39310</v>
      </c>
    </row>
    <row r="1010" spans="3:4" x14ac:dyDescent="0.3">
      <c r="C1010" s="43" t="s">
        <v>39271</v>
      </c>
      <c r="D1010" s="43" t="s">
        <v>39311</v>
      </c>
    </row>
    <row r="1011" spans="3:4" x14ac:dyDescent="0.3">
      <c r="C1011" s="43" t="s">
        <v>39271</v>
      </c>
      <c r="D1011" s="43" t="s">
        <v>39312</v>
      </c>
    </row>
    <row r="1012" spans="3:4" x14ac:dyDescent="0.3">
      <c r="C1012" s="43" t="s">
        <v>39271</v>
      </c>
      <c r="D1012" s="43" t="s">
        <v>39313</v>
      </c>
    </row>
    <row r="1013" spans="3:4" x14ac:dyDescent="0.3">
      <c r="C1013" s="43" t="s">
        <v>39271</v>
      </c>
      <c r="D1013" s="43" t="s">
        <v>39314</v>
      </c>
    </row>
    <row r="1014" spans="3:4" x14ac:dyDescent="0.3">
      <c r="C1014" s="43" t="s">
        <v>39271</v>
      </c>
      <c r="D1014" s="43" t="s">
        <v>39315</v>
      </c>
    </row>
    <row r="1015" spans="3:4" x14ac:dyDescent="0.3">
      <c r="C1015" s="43" t="s">
        <v>39271</v>
      </c>
      <c r="D1015" s="43" t="s">
        <v>39316</v>
      </c>
    </row>
    <row r="1016" spans="3:4" x14ac:dyDescent="0.3">
      <c r="C1016" s="43" t="s">
        <v>39271</v>
      </c>
      <c r="D1016" s="43" t="s">
        <v>39317</v>
      </c>
    </row>
    <row r="1017" spans="3:4" x14ac:dyDescent="0.3">
      <c r="C1017" s="43" t="s">
        <v>39271</v>
      </c>
      <c r="D1017" s="43" t="s">
        <v>39318</v>
      </c>
    </row>
    <row r="1018" spans="3:4" x14ac:dyDescent="0.3">
      <c r="C1018" s="43" t="s">
        <v>39271</v>
      </c>
      <c r="D1018" s="43" t="s">
        <v>39319</v>
      </c>
    </row>
    <row r="1019" spans="3:4" x14ac:dyDescent="0.3">
      <c r="C1019" s="43" t="s">
        <v>39271</v>
      </c>
      <c r="D1019" s="43" t="s">
        <v>39320</v>
      </c>
    </row>
    <row r="1020" spans="3:4" x14ac:dyDescent="0.3">
      <c r="C1020" s="43" t="s">
        <v>39271</v>
      </c>
      <c r="D1020" s="43" t="s">
        <v>39321</v>
      </c>
    </row>
    <row r="1021" spans="3:4" x14ac:dyDescent="0.3">
      <c r="C1021" s="43" t="s">
        <v>39271</v>
      </c>
      <c r="D1021" s="43" t="s">
        <v>39322</v>
      </c>
    </row>
    <row r="1022" spans="3:4" x14ac:dyDescent="0.3">
      <c r="C1022" s="43" t="s">
        <v>39271</v>
      </c>
      <c r="D1022" s="43" t="s">
        <v>39323</v>
      </c>
    </row>
    <row r="1023" spans="3:4" x14ac:dyDescent="0.3">
      <c r="C1023" s="43" t="s">
        <v>39271</v>
      </c>
      <c r="D1023" s="43" t="s">
        <v>39324</v>
      </c>
    </row>
    <row r="1024" spans="3:4" x14ac:dyDescent="0.3">
      <c r="C1024" s="43" t="s">
        <v>39271</v>
      </c>
      <c r="D1024" s="43" t="s">
        <v>39325</v>
      </c>
    </row>
    <row r="1025" spans="3:4" x14ac:dyDescent="0.3">
      <c r="C1025" s="43" t="s">
        <v>39271</v>
      </c>
      <c r="D1025" s="43" t="s">
        <v>39326</v>
      </c>
    </row>
    <row r="1026" spans="3:4" x14ac:dyDescent="0.3">
      <c r="C1026" s="43" t="s">
        <v>39271</v>
      </c>
      <c r="D1026" s="43" t="s">
        <v>1741</v>
      </c>
    </row>
    <row r="1027" spans="3:4" x14ac:dyDescent="0.3">
      <c r="C1027" s="43" t="s">
        <v>39271</v>
      </c>
      <c r="D1027" s="43" t="s">
        <v>39327</v>
      </c>
    </row>
    <row r="1028" spans="3:4" x14ac:dyDescent="0.3">
      <c r="C1028" s="43" t="s">
        <v>39271</v>
      </c>
      <c r="D1028" s="43" t="s">
        <v>39328</v>
      </c>
    </row>
    <row r="1029" spans="3:4" x14ac:dyDescent="0.3">
      <c r="C1029" s="43" t="s">
        <v>39271</v>
      </c>
      <c r="D1029" s="43" t="s">
        <v>39329</v>
      </c>
    </row>
    <row r="1030" spans="3:4" x14ac:dyDescent="0.3">
      <c r="C1030" s="43" t="s">
        <v>39271</v>
      </c>
      <c r="D1030" s="43" t="s">
        <v>39330</v>
      </c>
    </row>
    <row r="1031" spans="3:4" x14ac:dyDescent="0.3">
      <c r="C1031" s="43" t="s">
        <v>38390</v>
      </c>
      <c r="D1031" s="43" t="s">
        <v>39331</v>
      </c>
    </row>
    <row r="1032" spans="3:4" x14ac:dyDescent="0.3">
      <c r="C1032" s="43" t="s">
        <v>38390</v>
      </c>
      <c r="D1032" s="43" t="s">
        <v>39332</v>
      </c>
    </row>
    <row r="1033" spans="3:4" x14ac:dyDescent="0.3">
      <c r="C1033" s="43" t="s">
        <v>38390</v>
      </c>
      <c r="D1033" s="43" t="s">
        <v>39333</v>
      </c>
    </row>
    <row r="1034" spans="3:4" x14ac:dyDescent="0.3">
      <c r="C1034" s="43" t="s">
        <v>38390</v>
      </c>
      <c r="D1034" s="43" t="s">
        <v>39334</v>
      </c>
    </row>
    <row r="1035" spans="3:4" x14ac:dyDescent="0.3">
      <c r="C1035" s="43" t="s">
        <v>38390</v>
      </c>
      <c r="D1035" s="43" t="s">
        <v>39335</v>
      </c>
    </row>
    <row r="1036" spans="3:4" x14ac:dyDescent="0.3">
      <c r="C1036" s="43" t="s">
        <v>38390</v>
      </c>
      <c r="D1036" s="43" t="s">
        <v>39336</v>
      </c>
    </row>
    <row r="1037" spans="3:4" x14ac:dyDescent="0.3">
      <c r="C1037" s="43" t="s">
        <v>38390</v>
      </c>
      <c r="D1037" s="43" t="s">
        <v>39337</v>
      </c>
    </row>
    <row r="1038" spans="3:4" x14ac:dyDescent="0.3">
      <c r="C1038" s="43" t="s">
        <v>38390</v>
      </c>
      <c r="D1038" s="43" t="s">
        <v>39338</v>
      </c>
    </row>
    <row r="1039" spans="3:4" x14ac:dyDescent="0.3">
      <c r="C1039" s="43" t="s">
        <v>38390</v>
      </c>
      <c r="D1039" s="43" t="s">
        <v>39339</v>
      </c>
    </row>
    <row r="1040" spans="3:4" x14ac:dyDescent="0.3">
      <c r="C1040" s="43" t="s">
        <v>38390</v>
      </c>
      <c r="D1040" s="43" t="s">
        <v>39340</v>
      </c>
    </row>
    <row r="1041" spans="3:4" x14ac:dyDescent="0.3">
      <c r="C1041" s="43" t="s">
        <v>38390</v>
      </c>
      <c r="D1041" s="43" t="s">
        <v>39341</v>
      </c>
    </row>
    <row r="1042" spans="3:4" x14ac:dyDescent="0.3">
      <c r="C1042" s="43" t="s">
        <v>38390</v>
      </c>
      <c r="D1042" s="43" t="s">
        <v>39342</v>
      </c>
    </row>
    <row r="1043" spans="3:4" x14ac:dyDescent="0.3">
      <c r="C1043" s="43" t="s">
        <v>38390</v>
      </c>
      <c r="D1043" s="43" t="s">
        <v>39343</v>
      </c>
    </row>
    <row r="1044" spans="3:4" x14ac:dyDescent="0.3">
      <c r="C1044" s="43" t="s">
        <v>38390</v>
      </c>
      <c r="D1044" s="43" t="s">
        <v>39344</v>
      </c>
    </row>
    <row r="1045" spans="3:4" x14ac:dyDescent="0.3">
      <c r="C1045" s="43" t="s">
        <v>38390</v>
      </c>
      <c r="D1045" s="43" t="s">
        <v>39345</v>
      </c>
    </row>
    <row r="1046" spans="3:4" x14ac:dyDescent="0.3">
      <c r="C1046" s="43" t="s">
        <v>38390</v>
      </c>
      <c r="D1046" s="43" t="s">
        <v>39346</v>
      </c>
    </row>
    <row r="1047" spans="3:4" x14ac:dyDescent="0.3">
      <c r="C1047" s="43" t="s">
        <v>38390</v>
      </c>
      <c r="D1047" s="43" t="s">
        <v>39347</v>
      </c>
    </row>
    <row r="1048" spans="3:4" x14ac:dyDescent="0.3">
      <c r="C1048" s="43" t="s">
        <v>38390</v>
      </c>
      <c r="D1048" s="43" t="s">
        <v>39348</v>
      </c>
    </row>
    <row r="1049" spans="3:4" x14ac:dyDescent="0.3">
      <c r="C1049" s="43" t="s">
        <v>38390</v>
      </c>
      <c r="D1049" s="43" t="s">
        <v>39349</v>
      </c>
    </row>
    <row r="1050" spans="3:4" x14ac:dyDescent="0.3">
      <c r="C1050" s="43" t="s">
        <v>38390</v>
      </c>
      <c r="D1050" s="43" t="s">
        <v>39350</v>
      </c>
    </row>
    <row r="1051" spans="3:4" x14ac:dyDescent="0.3">
      <c r="C1051" s="43" t="s">
        <v>38390</v>
      </c>
      <c r="D1051" s="43" t="s">
        <v>39351</v>
      </c>
    </row>
    <row r="1052" spans="3:4" x14ac:dyDescent="0.3">
      <c r="C1052" s="43" t="s">
        <v>38390</v>
      </c>
      <c r="D1052" s="43" t="s">
        <v>39352</v>
      </c>
    </row>
    <row r="1053" spans="3:4" x14ac:dyDescent="0.3">
      <c r="C1053" s="43" t="s">
        <v>38390</v>
      </c>
      <c r="D1053" s="43" t="s">
        <v>39353</v>
      </c>
    </row>
    <row r="1054" spans="3:4" x14ac:dyDescent="0.3">
      <c r="C1054" s="43" t="s">
        <v>38400</v>
      </c>
      <c r="D1054" s="43" t="s">
        <v>39354</v>
      </c>
    </row>
    <row r="1055" spans="3:4" x14ac:dyDescent="0.3">
      <c r="C1055" s="43" t="s">
        <v>38400</v>
      </c>
      <c r="D1055" s="43" t="s">
        <v>39355</v>
      </c>
    </row>
    <row r="1056" spans="3:4" x14ac:dyDescent="0.3">
      <c r="C1056" s="43" t="s">
        <v>38400</v>
      </c>
      <c r="D1056" s="43" t="s">
        <v>39356</v>
      </c>
    </row>
    <row r="1057" spans="3:4" x14ac:dyDescent="0.3">
      <c r="C1057" s="43" t="s">
        <v>38891</v>
      </c>
      <c r="D1057" s="43" t="s">
        <v>39357</v>
      </c>
    </row>
    <row r="1058" spans="3:4" x14ac:dyDescent="0.3">
      <c r="C1058" s="43" t="s">
        <v>38400</v>
      </c>
      <c r="D1058" s="43" t="s">
        <v>39358</v>
      </c>
    </row>
    <row r="1059" spans="3:4" x14ac:dyDescent="0.3">
      <c r="C1059" s="43" t="s">
        <v>38400</v>
      </c>
      <c r="D1059" s="43" t="s">
        <v>39359</v>
      </c>
    </row>
    <row r="1060" spans="3:4" x14ac:dyDescent="0.3">
      <c r="C1060" s="43" t="s">
        <v>38400</v>
      </c>
      <c r="D1060" s="43" t="s">
        <v>39360</v>
      </c>
    </row>
    <row r="1061" spans="3:4" x14ac:dyDescent="0.3">
      <c r="C1061" s="43" t="s">
        <v>38400</v>
      </c>
      <c r="D1061" s="43" t="s">
        <v>39361</v>
      </c>
    </row>
    <row r="1062" spans="3:4" x14ac:dyDescent="0.3">
      <c r="C1062" s="43" t="s">
        <v>38400</v>
      </c>
      <c r="D1062" s="43" t="s">
        <v>39362</v>
      </c>
    </row>
    <row r="1063" spans="3:4" x14ac:dyDescent="0.3">
      <c r="C1063" s="43" t="s">
        <v>38400</v>
      </c>
      <c r="D1063" s="43" t="s">
        <v>39363</v>
      </c>
    </row>
    <row r="1064" spans="3:4" x14ac:dyDescent="0.3">
      <c r="C1064" s="43" t="s">
        <v>38400</v>
      </c>
      <c r="D1064" s="43" t="s">
        <v>39364</v>
      </c>
    </row>
    <row r="1065" spans="3:4" x14ac:dyDescent="0.3">
      <c r="C1065" s="43" t="s">
        <v>38400</v>
      </c>
      <c r="D1065" s="43" t="s">
        <v>39365</v>
      </c>
    </row>
    <row r="1066" spans="3:4" x14ac:dyDescent="0.3">
      <c r="C1066" s="43" t="s">
        <v>38553</v>
      </c>
      <c r="D1066" s="43" t="s">
        <v>39365</v>
      </c>
    </row>
    <row r="1067" spans="3:4" x14ac:dyDescent="0.3">
      <c r="C1067" s="43" t="s">
        <v>38400</v>
      </c>
      <c r="D1067" s="43" t="s">
        <v>39366</v>
      </c>
    </row>
    <row r="1068" spans="3:4" x14ac:dyDescent="0.3">
      <c r="C1068" s="43" t="s">
        <v>38553</v>
      </c>
      <c r="D1068" s="43" t="s">
        <v>39367</v>
      </c>
    </row>
    <row r="1069" spans="3:4" x14ac:dyDescent="0.3">
      <c r="C1069" s="43" t="s">
        <v>38400</v>
      </c>
      <c r="D1069" s="43" t="s">
        <v>39368</v>
      </c>
    </row>
    <row r="1070" spans="3:4" x14ac:dyDescent="0.3">
      <c r="C1070" s="43" t="s">
        <v>38400</v>
      </c>
      <c r="D1070" s="43" t="s">
        <v>39369</v>
      </c>
    </row>
    <row r="1071" spans="3:4" x14ac:dyDescent="0.3">
      <c r="C1071" s="43" t="s">
        <v>38400</v>
      </c>
      <c r="D1071" s="43" t="s">
        <v>39367</v>
      </c>
    </row>
    <row r="1072" spans="3:4" x14ac:dyDescent="0.3">
      <c r="C1072" s="43" t="s">
        <v>38400</v>
      </c>
      <c r="D1072" s="43" t="s">
        <v>39370</v>
      </c>
    </row>
    <row r="1073" spans="3:4" x14ac:dyDescent="0.3">
      <c r="C1073" s="43" t="s">
        <v>39168</v>
      </c>
      <c r="D1073" s="43" t="s">
        <v>39371</v>
      </c>
    </row>
    <row r="1074" spans="3:4" x14ac:dyDescent="0.3">
      <c r="C1074" s="43" t="s">
        <v>39168</v>
      </c>
      <c r="D1074" s="43" t="s">
        <v>39372</v>
      </c>
    </row>
    <row r="1075" spans="3:4" x14ac:dyDescent="0.3">
      <c r="C1075" s="43" t="s">
        <v>38374</v>
      </c>
      <c r="D1075" s="43" t="s">
        <v>39372</v>
      </c>
    </row>
    <row r="1076" spans="3:4" x14ac:dyDescent="0.3">
      <c r="C1076" s="43" t="s">
        <v>38374</v>
      </c>
      <c r="D1076" s="43" t="s">
        <v>39172</v>
      </c>
    </row>
    <row r="1077" spans="3:4" x14ac:dyDescent="0.3">
      <c r="C1077" s="43" t="s">
        <v>39373</v>
      </c>
      <c r="D1077" s="43" t="s">
        <v>39374</v>
      </c>
    </row>
    <row r="1078" spans="3:4" x14ac:dyDescent="0.3">
      <c r="C1078" s="43" t="s">
        <v>39168</v>
      </c>
      <c r="D1078" s="43" t="s">
        <v>39375</v>
      </c>
    </row>
    <row r="1079" spans="3:4" x14ac:dyDescent="0.3">
      <c r="C1079" s="43" t="s">
        <v>38347</v>
      </c>
      <c r="D1079" s="43" t="s">
        <v>39376</v>
      </c>
    </row>
    <row r="1080" spans="3:4" x14ac:dyDescent="0.3">
      <c r="C1080" s="43" t="s">
        <v>38347</v>
      </c>
      <c r="D1080" s="43" t="s">
        <v>39377</v>
      </c>
    </row>
    <row r="1081" spans="3:4" x14ac:dyDescent="0.3">
      <c r="C1081" s="43" t="s">
        <v>38347</v>
      </c>
      <c r="D1081" s="43" t="s">
        <v>39378</v>
      </c>
    </row>
    <row r="1082" spans="3:4" x14ac:dyDescent="0.3">
      <c r="C1082" s="43" t="s">
        <v>38347</v>
      </c>
      <c r="D1082" s="43" t="s">
        <v>39379</v>
      </c>
    </row>
    <row r="1083" spans="3:4" x14ac:dyDescent="0.3">
      <c r="C1083" s="43" t="s">
        <v>38553</v>
      </c>
      <c r="D1083" s="43" t="s">
        <v>39380</v>
      </c>
    </row>
    <row r="1084" spans="3:4" x14ac:dyDescent="0.3">
      <c r="C1084" s="43" t="s">
        <v>38553</v>
      </c>
      <c r="D1084" s="43" t="s">
        <v>39381</v>
      </c>
    </row>
    <row r="1085" spans="3:4" x14ac:dyDescent="0.3">
      <c r="C1085" s="43" t="s">
        <v>38553</v>
      </c>
      <c r="D1085" s="43" t="s">
        <v>39382</v>
      </c>
    </row>
    <row r="1086" spans="3:4" x14ac:dyDescent="0.3">
      <c r="C1086" s="43" t="s">
        <v>38553</v>
      </c>
      <c r="D1086" s="43" t="s">
        <v>39383</v>
      </c>
    </row>
    <row r="1087" spans="3:4" x14ac:dyDescent="0.3">
      <c r="C1087" s="43" t="s">
        <v>38553</v>
      </c>
      <c r="D1087" s="43" t="s">
        <v>39384</v>
      </c>
    </row>
    <row r="1088" spans="3:4" x14ac:dyDescent="0.3">
      <c r="C1088" s="43" t="s">
        <v>38891</v>
      </c>
      <c r="D1088" s="43" t="s">
        <v>39385</v>
      </c>
    </row>
    <row r="1089" spans="3:4" x14ac:dyDescent="0.3">
      <c r="C1089" s="43" t="s">
        <v>38891</v>
      </c>
      <c r="D1089" s="43" t="s">
        <v>39386</v>
      </c>
    </row>
    <row r="1090" spans="3:4" x14ac:dyDescent="0.3">
      <c r="C1090" s="43" t="s">
        <v>38891</v>
      </c>
      <c r="D1090" s="43" t="s">
        <v>39387</v>
      </c>
    </row>
    <row r="1091" spans="3:4" x14ac:dyDescent="0.3">
      <c r="C1091" s="43" t="s">
        <v>38891</v>
      </c>
      <c r="D1091" s="43" t="s">
        <v>39388</v>
      </c>
    </row>
    <row r="1092" spans="3:4" x14ac:dyDescent="0.3">
      <c r="C1092" s="43" t="s">
        <v>38891</v>
      </c>
      <c r="D1092" s="43" t="s">
        <v>39389</v>
      </c>
    </row>
    <row r="1093" spans="3:4" x14ac:dyDescent="0.3">
      <c r="C1093" s="43" t="s">
        <v>38891</v>
      </c>
      <c r="D1093" s="43" t="s">
        <v>39390</v>
      </c>
    </row>
    <row r="1094" spans="3:4" x14ac:dyDescent="0.3">
      <c r="C1094" s="43" t="s">
        <v>38891</v>
      </c>
      <c r="D1094" s="43" t="s">
        <v>39391</v>
      </c>
    </row>
    <row r="1095" spans="3:4" x14ac:dyDescent="0.3">
      <c r="C1095" s="43" t="s">
        <v>38891</v>
      </c>
      <c r="D1095" s="43" t="s">
        <v>39392</v>
      </c>
    </row>
    <row r="1096" spans="3:4" x14ac:dyDescent="0.3">
      <c r="C1096" s="43" t="s">
        <v>38891</v>
      </c>
      <c r="D1096" s="43" t="s">
        <v>39393</v>
      </c>
    </row>
    <row r="1097" spans="3:4" x14ac:dyDescent="0.3">
      <c r="C1097" s="43" t="s">
        <v>38891</v>
      </c>
      <c r="D1097" s="43" t="s">
        <v>39394</v>
      </c>
    </row>
    <row r="1098" spans="3:4" x14ac:dyDescent="0.3">
      <c r="C1098" s="43" t="s">
        <v>38891</v>
      </c>
      <c r="D1098" s="43" t="s">
        <v>39395</v>
      </c>
    </row>
    <row r="1099" spans="3:4" x14ac:dyDescent="0.3">
      <c r="C1099" s="43" t="s">
        <v>38891</v>
      </c>
      <c r="D1099" s="43" t="s">
        <v>39396</v>
      </c>
    </row>
    <row r="1100" spans="3:4" x14ac:dyDescent="0.3">
      <c r="C1100" s="43" t="s">
        <v>38891</v>
      </c>
      <c r="D1100" s="43" t="s">
        <v>39397</v>
      </c>
    </row>
    <row r="1101" spans="3:4" x14ac:dyDescent="0.3">
      <c r="C1101" s="43" t="s">
        <v>38891</v>
      </c>
      <c r="D1101" s="43" t="s">
        <v>39398</v>
      </c>
    </row>
    <row r="1102" spans="3:4" x14ac:dyDescent="0.3">
      <c r="C1102" s="43" t="s">
        <v>38891</v>
      </c>
      <c r="D1102" s="43" t="s">
        <v>39399</v>
      </c>
    </row>
    <row r="1103" spans="3:4" x14ac:dyDescent="0.3">
      <c r="C1103" s="43" t="s">
        <v>38891</v>
      </c>
      <c r="D1103" s="43" t="s">
        <v>39400</v>
      </c>
    </row>
    <row r="1104" spans="3:4" x14ac:dyDescent="0.3">
      <c r="C1104" s="43" t="s">
        <v>38891</v>
      </c>
      <c r="D1104" s="43" t="s">
        <v>39401</v>
      </c>
    </row>
    <row r="1105" spans="3:4" x14ac:dyDescent="0.3">
      <c r="C1105" s="43" t="s">
        <v>38891</v>
      </c>
      <c r="D1105" s="43" t="s">
        <v>39402</v>
      </c>
    </row>
    <row r="1106" spans="3:4" x14ac:dyDescent="0.3">
      <c r="C1106" s="43" t="s">
        <v>38891</v>
      </c>
      <c r="D1106" s="43" t="s">
        <v>39381</v>
      </c>
    </row>
    <row r="1107" spans="3:4" x14ac:dyDescent="0.3">
      <c r="C1107" s="43" t="s">
        <v>38891</v>
      </c>
      <c r="D1107" s="43" t="s">
        <v>39403</v>
      </c>
    </row>
    <row r="1108" spans="3:4" x14ac:dyDescent="0.3">
      <c r="C1108" s="43" t="s">
        <v>38891</v>
      </c>
      <c r="D1108" s="43" t="s">
        <v>39404</v>
      </c>
    </row>
    <row r="1109" spans="3:4" x14ac:dyDescent="0.3">
      <c r="C1109" s="43" t="s">
        <v>38891</v>
      </c>
      <c r="D1109" s="43" t="s">
        <v>39405</v>
      </c>
    </row>
    <row r="1110" spans="3:4" x14ac:dyDescent="0.3">
      <c r="C1110" s="43" t="s">
        <v>38891</v>
      </c>
      <c r="D1110" s="43" t="s">
        <v>39406</v>
      </c>
    </row>
    <row r="1111" spans="3:4" x14ac:dyDescent="0.3">
      <c r="C1111" s="43" t="s">
        <v>38891</v>
      </c>
      <c r="D1111" s="43" t="s">
        <v>39407</v>
      </c>
    </row>
    <row r="1112" spans="3:4" x14ac:dyDescent="0.3">
      <c r="C1112" s="43" t="s">
        <v>38891</v>
      </c>
      <c r="D1112" s="43" t="s">
        <v>39408</v>
      </c>
    </row>
    <row r="1113" spans="3:4" x14ac:dyDescent="0.3">
      <c r="C1113" s="43" t="s">
        <v>38891</v>
      </c>
      <c r="D1113" s="43" t="s">
        <v>39383</v>
      </c>
    </row>
    <row r="1114" spans="3:4" x14ac:dyDescent="0.3">
      <c r="C1114" s="43" t="s">
        <v>38891</v>
      </c>
      <c r="D1114" s="43" t="s">
        <v>39409</v>
      </c>
    </row>
    <row r="1115" spans="3:4" x14ac:dyDescent="0.3">
      <c r="C1115" s="43" t="s">
        <v>38891</v>
      </c>
      <c r="D1115" s="43" t="s">
        <v>39410</v>
      </c>
    </row>
    <row r="1116" spans="3:4" x14ac:dyDescent="0.3">
      <c r="C1116" s="43" t="s">
        <v>38891</v>
      </c>
      <c r="D1116" s="43" t="s">
        <v>39411</v>
      </c>
    </row>
    <row r="1117" spans="3:4" x14ac:dyDescent="0.3">
      <c r="C1117" s="43" t="s">
        <v>38891</v>
      </c>
      <c r="D1117" s="43" t="s">
        <v>39412</v>
      </c>
    </row>
    <row r="1118" spans="3:4" x14ac:dyDescent="0.3">
      <c r="C1118" s="43" t="s">
        <v>38374</v>
      </c>
      <c r="D1118" s="43" t="s">
        <v>39387</v>
      </c>
    </row>
    <row r="1119" spans="3:4" x14ac:dyDescent="0.3">
      <c r="C1119" s="43" t="s">
        <v>38374</v>
      </c>
      <c r="D1119" s="43" t="s">
        <v>39413</v>
      </c>
    </row>
    <row r="1120" spans="3:4" x14ac:dyDescent="0.3">
      <c r="C1120" s="43" t="s">
        <v>38374</v>
      </c>
      <c r="D1120" s="43" t="s">
        <v>39414</v>
      </c>
    </row>
    <row r="1121" spans="3:4" x14ac:dyDescent="0.3">
      <c r="C1121" s="43" t="s">
        <v>38374</v>
      </c>
      <c r="D1121" s="43" t="s">
        <v>39415</v>
      </c>
    </row>
    <row r="1122" spans="3:4" x14ac:dyDescent="0.3">
      <c r="C1122" s="43" t="s">
        <v>38374</v>
      </c>
      <c r="D1122" s="43" t="s">
        <v>39416</v>
      </c>
    </row>
    <row r="1123" spans="3:4" x14ac:dyDescent="0.3">
      <c r="C1123" s="43" t="s">
        <v>38374</v>
      </c>
      <c r="D1123" s="43" t="s">
        <v>39417</v>
      </c>
    </row>
    <row r="1124" spans="3:4" x14ac:dyDescent="0.3">
      <c r="C1124" s="43" t="s">
        <v>38374</v>
      </c>
      <c r="D1124" s="43" t="s">
        <v>39418</v>
      </c>
    </row>
    <row r="1125" spans="3:4" x14ac:dyDescent="0.3">
      <c r="C1125" s="43" t="s">
        <v>38374</v>
      </c>
      <c r="D1125" s="43" t="s">
        <v>39419</v>
      </c>
    </row>
    <row r="1126" spans="3:4" x14ac:dyDescent="0.3">
      <c r="C1126" s="43" t="s">
        <v>38374</v>
      </c>
      <c r="D1126" s="43" t="s">
        <v>39420</v>
      </c>
    </row>
    <row r="1127" spans="3:4" x14ac:dyDescent="0.3">
      <c r="C1127" s="43" t="s">
        <v>38374</v>
      </c>
      <c r="D1127" s="43" t="s">
        <v>39403</v>
      </c>
    </row>
    <row r="1128" spans="3:4" x14ac:dyDescent="0.3">
      <c r="C1128" s="43" t="s">
        <v>38374</v>
      </c>
      <c r="D1128" s="43" t="s">
        <v>39421</v>
      </c>
    </row>
    <row r="1129" spans="3:4" x14ac:dyDescent="0.3">
      <c r="C1129" s="43" t="s">
        <v>38374</v>
      </c>
      <c r="D1129" s="43" t="s">
        <v>39422</v>
      </c>
    </row>
    <row r="1130" spans="3:4" x14ac:dyDescent="0.3">
      <c r="C1130" s="43" t="s">
        <v>38891</v>
      </c>
      <c r="D1130" s="43" t="s">
        <v>39423</v>
      </c>
    </row>
    <row r="1131" spans="3:4" x14ac:dyDescent="0.3">
      <c r="C1131" s="43" t="s">
        <v>38347</v>
      </c>
      <c r="D1131" s="43" t="s">
        <v>39424</v>
      </c>
    </row>
    <row r="1132" spans="3:4" x14ac:dyDescent="0.3">
      <c r="C1132" s="43" t="s">
        <v>38347</v>
      </c>
      <c r="D1132" s="43" t="s">
        <v>39425</v>
      </c>
    </row>
    <row r="1133" spans="3:4" x14ac:dyDescent="0.3">
      <c r="C1133" s="43" t="s">
        <v>38374</v>
      </c>
      <c r="D1133" s="43" t="s">
        <v>39426</v>
      </c>
    </row>
    <row r="1134" spans="3:4" x14ac:dyDescent="0.3">
      <c r="C1134" s="43" t="s">
        <v>38347</v>
      </c>
      <c r="D1134" s="43" t="s">
        <v>39427</v>
      </c>
    </row>
    <row r="1135" spans="3:4" x14ac:dyDescent="0.3">
      <c r="C1135" s="43" t="s">
        <v>38359</v>
      </c>
      <c r="D1135" s="43" t="s">
        <v>39428</v>
      </c>
    </row>
    <row r="1136" spans="3:4" x14ac:dyDescent="0.3">
      <c r="C1136" s="43" t="s">
        <v>38347</v>
      </c>
      <c r="D1136" s="43" t="s">
        <v>39429</v>
      </c>
    </row>
    <row r="1137" spans="3:4" x14ac:dyDescent="0.3">
      <c r="C1137" s="43" t="s">
        <v>38359</v>
      </c>
      <c r="D1137" s="43" t="s">
        <v>39430</v>
      </c>
    </row>
    <row r="1138" spans="3:4" x14ac:dyDescent="0.3">
      <c r="C1138" s="43" t="s">
        <v>38347</v>
      </c>
      <c r="D1138" s="43" t="s">
        <v>39431</v>
      </c>
    </row>
    <row r="1139" spans="3:4" x14ac:dyDescent="0.3">
      <c r="C1139" s="43" t="s">
        <v>38359</v>
      </c>
      <c r="D1139" s="43" t="s">
        <v>39432</v>
      </c>
    </row>
    <row r="1140" spans="3:4" x14ac:dyDescent="0.3">
      <c r="C1140" s="43" t="s">
        <v>38347</v>
      </c>
      <c r="D1140" s="43" t="s">
        <v>39433</v>
      </c>
    </row>
    <row r="1141" spans="3:4" x14ac:dyDescent="0.3">
      <c r="C1141" s="43" t="s">
        <v>38347</v>
      </c>
      <c r="D1141" s="43" t="s">
        <v>39434</v>
      </c>
    </row>
    <row r="1142" spans="3:4" x14ac:dyDescent="0.3">
      <c r="C1142" s="43" t="s">
        <v>38347</v>
      </c>
      <c r="D1142" s="43" t="s">
        <v>39435</v>
      </c>
    </row>
    <row r="1143" spans="3:4" x14ac:dyDescent="0.3">
      <c r="C1143" s="43" t="s">
        <v>38347</v>
      </c>
      <c r="D1143" s="43" t="s">
        <v>39436</v>
      </c>
    </row>
    <row r="1144" spans="3:4" x14ac:dyDescent="0.3">
      <c r="C1144" s="43" t="s">
        <v>38347</v>
      </c>
      <c r="D1144" s="43" t="s">
        <v>39437</v>
      </c>
    </row>
    <row r="1145" spans="3:4" x14ac:dyDescent="0.3">
      <c r="C1145" s="43" t="s">
        <v>38359</v>
      </c>
      <c r="D1145" s="43" t="s">
        <v>39438</v>
      </c>
    </row>
    <row r="1146" spans="3:4" x14ac:dyDescent="0.3">
      <c r="C1146" s="43" t="s">
        <v>38347</v>
      </c>
      <c r="D1146" s="43" t="s">
        <v>39439</v>
      </c>
    </row>
    <row r="1147" spans="3:4" x14ac:dyDescent="0.3">
      <c r="C1147" s="43" t="s">
        <v>38347</v>
      </c>
      <c r="D1147" s="43" t="s">
        <v>39440</v>
      </c>
    </row>
    <row r="1148" spans="3:4" x14ac:dyDescent="0.3">
      <c r="C1148" s="43" t="s">
        <v>38347</v>
      </c>
      <c r="D1148" s="43" t="s">
        <v>39441</v>
      </c>
    </row>
    <row r="1149" spans="3:4" x14ac:dyDescent="0.3">
      <c r="C1149" s="43" t="s">
        <v>38347</v>
      </c>
      <c r="D1149" s="43" t="s">
        <v>39442</v>
      </c>
    </row>
    <row r="1150" spans="3:4" x14ac:dyDescent="0.3">
      <c r="C1150" s="43" t="s">
        <v>38374</v>
      </c>
      <c r="D1150" s="43" t="s">
        <v>39443</v>
      </c>
    </row>
    <row r="1151" spans="3:4" x14ac:dyDescent="0.3">
      <c r="C1151" s="43" t="s">
        <v>38347</v>
      </c>
      <c r="D1151" s="43" t="s">
        <v>39444</v>
      </c>
    </row>
    <row r="1152" spans="3:4" x14ac:dyDescent="0.3">
      <c r="C1152" s="43" t="s">
        <v>38347</v>
      </c>
      <c r="D1152" s="43" t="s">
        <v>39445</v>
      </c>
    </row>
    <row r="1153" spans="3:4" x14ac:dyDescent="0.3">
      <c r="C1153" s="43" t="s">
        <v>38347</v>
      </c>
      <c r="D1153" s="43" t="s">
        <v>39446</v>
      </c>
    </row>
    <row r="1154" spans="3:4" x14ac:dyDescent="0.3">
      <c r="C1154" s="43" t="s">
        <v>38347</v>
      </c>
      <c r="D1154" s="43" t="s">
        <v>39447</v>
      </c>
    </row>
    <row r="1155" spans="3:4" x14ac:dyDescent="0.3">
      <c r="C1155" s="43" t="s">
        <v>38347</v>
      </c>
      <c r="D1155" s="43" t="s">
        <v>39448</v>
      </c>
    </row>
    <row r="1156" spans="3:4" x14ac:dyDescent="0.3">
      <c r="C1156" s="43" t="s">
        <v>38347</v>
      </c>
      <c r="D1156" s="43" t="s">
        <v>39449</v>
      </c>
    </row>
    <row r="1157" spans="3:4" x14ac:dyDescent="0.3">
      <c r="C1157" s="43" t="s">
        <v>38347</v>
      </c>
      <c r="D1157" s="43" t="s">
        <v>39450</v>
      </c>
    </row>
    <row r="1158" spans="3:4" x14ac:dyDescent="0.3">
      <c r="C1158" s="43" t="s">
        <v>38347</v>
      </c>
      <c r="D1158" s="43" t="s">
        <v>39451</v>
      </c>
    </row>
    <row r="1159" spans="3:4" x14ac:dyDescent="0.3">
      <c r="C1159" s="43" t="s">
        <v>38347</v>
      </c>
      <c r="D1159" s="43" t="s">
        <v>39452</v>
      </c>
    </row>
    <row r="1160" spans="3:4" x14ac:dyDescent="0.3">
      <c r="C1160" s="43" t="s">
        <v>38347</v>
      </c>
      <c r="D1160" s="43" t="s">
        <v>39453</v>
      </c>
    </row>
    <row r="1161" spans="3:4" x14ac:dyDescent="0.3">
      <c r="C1161" s="43" t="s">
        <v>38347</v>
      </c>
      <c r="D1161" s="43" t="s">
        <v>39454</v>
      </c>
    </row>
    <row r="1162" spans="3:4" x14ac:dyDescent="0.3">
      <c r="C1162" s="43" t="s">
        <v>38347</v>
      </c>
      <c r="D1162" s="43" t="s">
        <v>39455</v>
      </c>
    </row>
    <row r="1163" spans="3:4" x14ac:dyDescent="0.3">
      <c r="C1163" s="43" t="s">
        <v>38347</v>
      </c>
      <c r="D1163" s="43" t="s">
        <v>39456</v>
      </c>
    </row>
    <row r="1164" spans="3:4" x14ac:dyDescent="0.3">
      <c r="C1164" s="43" t="s">
        <v>38347</v>
      </c>
      <c r="D1164" s="43" t="s">
        <v>39457</v>
      </c>
    </row>
    <row r="1165" spans="3:4" x14ac:dyDescent="0.3">
      <c r="C1165" s="43" t="s">
        <v>38374</v>
      </c>
      <c r="D1165" s="43" t="s">
        <v>39458</v>
      </c>
    </row>
    <row r="1166" spans="3:4" x14ac:dyDescent="0.3">
      <c r="C1166" s="43" t="s">
        <v>38374</v>
      </c>
      <c r="D1166" s="43" t="s">
        <v>39459</v>
      </c>
    </row>
    <row r="1167" spans="3:4" x14ac:dyDescent="0.3">
      <c r="C1167" s="43" t="s">
        <v>38347</v>
      </c>
      <c r="D1167" s="43" t="s">
        <v>39460</v>
      </c>
    </row>
    <row r="1168" spans="3:4" x14ac:dyDescent="0.3">
      <c r="C1168" s="43" t="s">
        <v>38374</v>
      </c>
      <c r="D1168" s="43" t="s">
        <v>39461</v>
      </c>
    </row>
    <row r="1169" spans="3:4" x14ac:dyDescent="0.3">
      <c r="C1169" s="43" t="s">
        <v>38347</v>
      </c>
      <c r="D1169" s="43" t="s">
        <v>39462</v>
      </c>
    </row>
    <row r="1170" spans="3:4" x14ac:dyDescent="0.3">
      <c r="C1170" s="43" t="s">
        <v>38347</v>
      </c>
      <c r="D1170" s="43" t="s">
        <v>39463</v>
      </c>
    </row>
    <row r="1171" spans="3:4" x14ac:dyDescent="0.3">
      <c r="C1171" s="43" t="s">
        <v>38359</v>
      </c>
      <c r="D1171" s="43" t="s">
        <v>39464</v>
      </c>
    </row>
    <row r="1172" spans="3:4" x14ac:dyDescent="0.3">
      <c r="C1172" s="43" t="s">
        <v>38347</v>
      </c>
      <c r="D1172" s="43" t="s">
        <v>39465</v>
      </c>
    </row>
    <row r="1173" spans="3:4" x14ac:dyDescent="0.3">
      <c r="C1173" s="43" t="s">
        <v>38347</v>
      </c>
      <c r="D1173" s="43" t="s">
        <v>39466</v>
      </c>
    </row>
    <row r="1174" spans="3:4" x14ac:dyDescent="0.3">
      <c r="C1174" s="43" t="s">
        <v>38347</v>
      </c>
      <c r="D1174" s="43" t="s">
        <v>39467</v>
      </c>
    </row>
    <row r="1175" spans="3:4" x14ac:dyDescent="0.3">
      <c r="C1175" s="43" t="s">
        <v>38374</v>
      </c>
      <c r="D1175" s="43" t="s">
        <v>39468</v>
      </c>
    </row>
    <row r="1176" spans="3:4" x14ac:dyDescent="0.3">
      <c r="C1176" s="43" t="s">
        <v>38374</v>
      </c>
      <c r="D1176" s="43" t="s">
        <v>39469</v>
      </c>
    </row>
    <row r="1177" spans="3:4" x14ac:dyDescent="0.3">
      <c r="C1177" s="43" t="s">
        <v>38347</v>
      </c>
      <c r="D1177" s="43" t="s">
        <v>39470</v>
      </c>
    </row>
    <row r="1178" spans="3:4" x14ac:dyDescent="0.3">
      <c r="C1178" s="43" t="s">
        <v>38347</v>
      </c>
      <c r="D1178" s="43" t="s">
        <v>39471</v>
      </c>
    </row>
    <row r="1179" spans="3:4" x14ac:dyDescent="0.3">
      <c r="C1179" s="43" t="s">
        <v>38374</v>
      </c>
      <c r="D1179" s="43" t="s">
        <v>39472</v>
      </c>
    </row>
    <row r="1180" spans="3:4" x14ac:dyDescent="0.3">
      <c r="C1180" s="43" t="s">
        <v>38374</v>
      </c>
      <c r="D1180" s="43" t="s">
        <v>39473</v>
      </c>
    </row>
    <row r="1181" spans="3:4" x14ac:dyDescent="0.3">
      <c r="C1181" s="43" t="s">
        <v>38374</v>
      </c>
      <c r="D1181" s="43" t="s">
        <v>39474</v>
      </c>
    </row>
    <row r="1182" spans="3:4" x14ac:dyDescent="0.3">
      <c r="C1182" s="43" t="s">
        <v>38374</v>
      </c>
      <c r="D1182" s="43" t="s">
        <v>39475</v>
      </c>
    </row>
    <row r="1183" spans="3:4" x14ac:dyDescent="0.3">
      <c r="C1183" s="43" t="s">
        <v>38347</v>
      </c>
      <c r="D1183" s="43" t="s">
        <v>39476</v>
      </c>
    </row>
    <row r="1184" spans="3:4" x14ac:dyDescent="0.3">
      <c r="C1184" s="43" t="s">
        <v>38347</v>
      </c>
      <c r="D1184" s="43" t="s">
        <v>39477</v>
      </c>
    </row>
    <row r="1185" spans="3:4" x14ac:dyDescent="0.3">
      <c r="C1185" s="43" t="s">
        <v>38347</v>
      </c>
      <c r="D1185" s="43" t="s">
        <v>39478</v>
      </c>
    </row>
    <row r="1186" spans="3:4" x14ac:dyDescent="0.3">
      <c r="C1186" s="43" t="s">
        <v>38374</v>
      </c>
      <c r="D1186" s="43" t="s">
        <v>39479</v>
      </c>
    </row>
    <row r="1187" spans="3:4" x14ac:dyDescent="0.3">
      <c r="C1187" s="43" t="s">
        <v>38347</v>
      </c>
      <c r="D1187" s="43" t="s">
        <v>39480</v>
      </c>
    </row>
    <row r="1188" spans="3:4" x14ac:dyDescent="0.3">
      <c r="C1188" s="43" t="s">
        <v>38347</v>
      </c>
      <c r="D1188" s="43" t="s">
        <v>39481</v>
      </c>
    </row>
    <row r="1189" spans="3:4" x14ac:dyDescent="0.3">
      <c r="C1189" s="43" t="s">
        <v>38347</v>
      </c>
      <c r="D1189" s="43" t="s">
        <v>39482</v>
      </c>
    </row>
    <row r="1190" spans="3:4" x14ac:dyDescent="0.3">
      <c r="C1190" s="43" t="s">
        <v>38374</v>
      </c>
      <c r="D1190" s="43" t="s">
        <v>39483</v>
      </c>
    </row>
    <row r="1191" spans="3:4" x14ac:dyDescent="0.3">
      <c r="C1191" s="43" t="s">
        <v>38347</v>
      </c>
      <c r="D1191" s="43" t="s">
        <v>39484</v>
      </c>
    </row>
    <row r="1192" spans="3:4" x14ac:dyDescent="0.3">
      <c r="C1192" s="43" t="s">
        <v>38347</v>
      </c>
      <c r="D1192" s="43" t="s">
        <v>39485</v>
      </c>
    </row>
    <row r="1193" spans="3:4" x14ac:dyDescent="0.3">
      <c r="C1193" s="43" t="s">
        <v>38374</v>
      </c>
      <c r="D1193" s="43" t="s">
        <v>39486</v>
      </c>
    </row>
    <row r="1194" spans="3:4" x14ac:dyDescent="0.3">
      <c r="C1194" s="43" t="s">
        <v>38347</v>
      </c>
      <c r="D1194" s="43" t="s">
        <v>39487</v>
      </c>
    </row>
    <row r="1195" spans="3:4" x14ac:dyDescent="0.3">
      <c r="C1195" s="43" t="s">
        <v>38374</v>
      </c>
      <c r="D1195" s="43" t="s">
        <v>39488</v>
      </c>
    </row>
    <row r="1196" spans="3:4" x14ac:dyDescent="0.3">
      <c r="C1196" s="43" t="s">
        <v>38347</v>
      </c>
      <c r="D1196" s="43" t="s">
        <v>39489</v>
      </c>
    </row>
    <row r="1197" spans="3:4" x14ac:dyDescent="0.3">
      <c r="C1197" s="43" t="s">
        <v>38374</v>
      </c>
      <c r="D1197" s="43" t="s">
        <v>39490</v>
      </c>
    </row>
    <row r="1198" spans="3:4" x14ac:dyDescent="0.3">
      <c r="C1198" s="43" t="s">
        <v>38347</v>
      </c>
      <c r="D1198" s="43" t="s">
        <v>39491</v>
      </c>
    </row>
    <row r="1199" spans="3:4" x14ac:dyDescent="0.3">
      <c r="C1199" s="43" t="s">
        <v>38347</v>
      </c>
      <c r="D1199" s="43" t="s">
        <v>39492</v>
      </c>
    </row>
    <row r="1200" spans="3:4" x14ac:dyDescent="0.3">
      <c r="C1200" s="43" t="s">
        <v>38374</v>
      </c>
      <c r="D1200" s="43" t="s">
        <v>39493</v>
      </c>
    </row>
    <row r="1201" spans="3:4" x14ac:dyDescent="0.3">
      <c r="C1201" s="43" t="s">
        <v>38374</v>
      </c>
      <c r="D1201" s="43" t="s">
        <v>39494</v>
      </c>
    </row>
    <row r="1202" spans="3:4" x14ac:dyDescent="0.3">
      <c r="C1202" s="43" t="s">
        <v>38374</v>
      </c>
      <c r="D1202" s="43" t="s">
        <v>39495</v>
      </c>
    </row>
    <row r="1203" spans="3:4" x14ac:dyDescent="0.3">
      <c r="C1203" s="43" t="s">
        <v>38347</v>
      </c>
      <c r="D1203" s="43" t="s">
        <v>39496</v>
      </c>
    </row>
    <row r="1204" spans="3:4" x14ac:dyDescent="0.3">
      <c r="C1204" s="43" t="s">
        <v>38347</v>
      </c>
      <c r="D1204" s="43" t="s">
        <v>39497</v>
      </c>
    </row>
    <row r="1205" spans="3:4" x14ac:dyDescent="0.3">
      <c r="C1205" s="43" t="s">
        <v>38347</v>
      </c>
      <c r="D1205" s="43" t="s">
        <v>39498</v>
      </c>
    </row>
    <row r="1206" spans="3:4" x14ac:dyDescent="0.3">
      <c r="C1206" s="43" t="s">
        <v>38347</v>
      </c>
      <c r="D1206" s="43" t="s">
        <v>39499</v>
      </c>
    </row>
    <row r="1207" spans="3:4" x14ac:dyDescent="0.3">
      <c r="C1207" s="43" t="s">
        <v>38347</v>
      </c>
      <c r="D1207" s="43" t="s">
        <v>39500</v>
      </c>
    </row>
    <row r="1208" spans="3:4" x14ac:dyDescent="0.3">
      <c r="C1208" s="43" t="s">
        <v>38374</v>
      </c>
      <c r="D1208" s="43" t="s">
        <v>39501</v>
      </c>
    </row>
    <row r="1209" spans="3:4" x14ac:dyDescent="0.3">
      <c r="C1209" s="43" t="s">
        <v>38374</v>
      </c>
      <c r="D1209" s="43" t="s">
        <v>39502</v>
      </c>
    </row>
    <row r="1210" spans="3:4" x14ac:dyDescent="0.3">
      <c r="C1210" s="43" t="s">
        <v>38347</v>
      </c>
      <c r="D1210" s="43" t="s">
        <v>39503</v>
      </c>
    </row>
    <row r="1211" spans="3:4" x14ac:dyDescent="0.3">
      <c r="C1211" s="43" t="s">
        <v>38347</v>
      </c>
      <c r="D1211" s="43" t="s">
        <v>39504</v>
      </c>
    </row>
    <row r="1212" spans="3:4" x14ac:dyDescent="0.3">
      <c r="C1212" s="43" t="s">
        <v>38347</v>
      </c>
      <c r="D1212" s="43" t="s">
        <v>39505</v>
      </c>
    </row>
    <row r="1213" spans="3:4" x14ac:dyDescent="0.3">
      <c r="C1213" s="43" t="s">
        <v>38347</v>
      </c>
      <c r="D1213" s="43" t="s">
        <v>39506</v>
      </c>
    </row>
    <row r="1214" spans="3:4" x14ac:dyDescent="0.3">
      <c r="C1214" s="43" t="s">
        <v>38347</v>
      </c>
      <c r="D1214" s="43" t="s">
        <v>39507</v>
      </c>
    </row>
    <row r="1215" spans="3:4" x14ac:dyDescent="0.3">
      <c r="C1215" s="43" t="s">
        <v>38347</v>
      </c>
      <c r="D1215" s="43" t="s">
        <v>39508</v>
      </c>
    </row>
    <row r="1216" spans="3:4" x14ac:dyDescent="0.3">
      <c r="C1216" s="43" t="s">
        <v>38347</v>
      </c>
      <c r="D1216" s="43" t="s">
        <v>39509</v>
      </c>
    </row>
    <row r="1217" spans="3:4" x14ac:dyDescent="0.3">
      <c r="C1217" s="43" t="s">
        <v>38374</v>
      </c>
      <c r="D1217" s="43" t="s">
        <v>39510</v>
      </c>
    </row>
    <row r="1218" spans="3:4" x14ac:dyDescent="0.3">
      <c r="C1218" s="43" t="s">
        <v>38347</v>
      </c>
      <c r="D1218" s="43" t="s">
        <v>39511</v>
      </c>
    </row>
    <row r="1219" spans="3:4" x14ac:dyDescent="0.3">
      <c r="C1219" s="43" t="s">
        <v>38374</v>
      </c>
      <c r="D1219" s="43" t="s">
        <v>39512</v>
      </c>
    </row>
    <row r="1220" spans="3:4" x14ac:dyDescent="0.3">
      <c r="C1220" s="43" t="s">
        <v>38374</v>
      </c>
      <c r="D1220" s="43" t="s">
        <v>39513</v>
      </c>
    </row>
    <row r="1221" spans="3:4" x14ac:dyDescent="0.3">
      <c r="C1221" s="43" t="s">
        <v>38347</v>
      </c>
      <c r="D1221" s="43" t="s">
        <v>39514</v>
      </c>
    </row>
    <row r="1222" spans="3:4" x14ac:dyDescent="0.3">
      <c r="C1222" s="43" t="s">
        <v>38347</v>
      </c>
      <c r="D1222" s="43" t="s">
        <v>39515</v>
      </c>
    </row>
    <row r="1223" spans="3:4" x14ac:dyDescent="0.3">
      <c r="C1223" s="43" t="s">
        <v>38347</v>
      </c>
      <c r="D1223" s="43" t="s">
        <v>39516</v>
      </c>
    </row>
    <row r="1224" spans="3:4" x14ac:dyDescent="0.3">
      <c r="C1224" s="43" t="s">
        <v>38347</v>
      </c>
      <c r="D1224" s="43" t="s">
        <v>39517</v>
      </c>
    </row>
    <row r="1225" spans="3:4" x14ac:dyDescent="0.3">
      <c r="C1225" s="43" t="s">
        <v>38347</v>
      </c>
      <c r="D1225" s="43" t="s">
        <v>39518</v>
      </c>
    </row>
    <row r="1226" spans="3:4" x14ac:dyDescent="0.3">
      <c r="C1226" s="43" t="s">
        <v>38359</v>
      </c>
      <c r="D1226" s="43" t="s">
        <v>39519</v>
      </c>
    </row>
    <row r="1227" spans="3:4" x14ac:dyDescent="0.3">
      <c r="C1227" s="43" t="s">
        <v>38394</v>
      </c>
      <c r="D1227" s="43" t="s">
        <v>39520</v>
      </c>
    </row>
    <row r="1228" spans="3:4" x14ac:dyDescent="0.3">
      <c r="C1228" s="43" t="s">
        <v>38359</v>
      </c>
      <c r="D1228" s="43" t="s">
        <v>39521</v>
      </c>
    </row>
    <row r="1229" spans="3:4" x14ac:dyDescent="0.3">
      <c r="C1229" s="43" t="s">
        <v>38347</v>
      </c>
      <c r="D1229" s="43" t="s">
        <v>39522</v>
      </c>
    </row>
    <row r="1230" spans="3:4" x14ac:dyDescent="0.3">
      <c r="C1230" s="43" t="s">
        <v>38374</v>
      </c>
      <c r="D1230" s="43" t="s">
        <v>39523</v>
      </c>
    </row>
    <row r="1231" spans="3:4" x14ac:dyDescent="0.3">
      <c r="C1231" s="43" t="s">
        <v>38347</v>
      </c>
      <c r="D1231" s="43" t="s">
        <v>39524</v>
      </c>
    </row>
    <row r="1232" spans="3:4" x14ac:dyDescent="0.3">
      <c r="C1232" s="43" t="s">
        <v>38347</v>
      </c>
      <c r="D1232" s="43" t="s">
        <v>39525</v>
      </c>
    </row>
    <row r="1233" spans="3:4" x14ac:dyDescent="0.3">
      <c r="C1233" s="43" t="s">
        <v>38347</v>
      </c>
      <c r="D1233" s="43" t="s">
        <v>39526</v>
      </c>
    </row>
    <row r="1234" spans="3:4" x14ac:dyDescent="0.3">
      <c r="C1234" s="43" t="s">
        <v>38347</v>
      </c>
      <c r="D1234" s="43" t="s">
        <v>39459</v>
      </c>
    </row>
    <row r="1235" spans="3:4" x14ac:dyDescent="0.3">
      <c r="C1235" s="43" t="s">
        <v>38359</v>
      </c>
      <c r="D1235" s="43" t="s">
        <v>39527</v>
      </c>
    </row>
    <row r="1236" spans="3:4" x14ac:dyDescent="0.3">
      <c r="C1236" s="43" t="s">
        <v>38374</v>
      </c>
      <c r="D1236" s="43" t="s">
        <v>39528</v>
      </c>
    </row>
    <row r="1237" spans="3:4" x14ac:dyDescent="0.3">
      <c r="C1237" s="43" t="s">
        <v>38347</v>
      </c>
      <c r="D1237" s="43" t="s">
        <v>39529</v>
      </c>
    </row>
    <row r="1238" spans="3:4" x14ac:dyDescent="0.3">
      <c r="C1238" s="43" t="s">
        <v>38374</v>
      </c>
      <c r="D1238" s="43" t="s">
        <v>39530</v>
      </c>
    </row>
    <row r="1239" spans="3:4" x14ac:dyDescent="0.3">
      <c r="C1239" s="43" t="s">
        <v>38347</v>
      </c>
      <c r="D1239" s="43" t="s">
        <v>38926</v>
      </c>
    </row>
    <row r="1240" spans="3:4" x14ac:dyDescent="0.3">
      <c r="C1240" s="43" t="s">
        <v>38347</v>
      </c>
      <c r="D1240" s="43" t="s">
        <v>39531</v>
      </c>
    </row>
    <row r="1241" spans="3:4" x14ac:dyDescent="0.3">
      <c r="C1241" s="43" t="s">
        <v>38374</v>
      </c>
      <c r="D1241" s="43" t="s">
        <v>39532</v>
      </c>
    </row>
    <row r="1242" spans="3:4" x14ac:dyDescent="0.3">
      <c r="C1242" s="43" t="s">
        <v>38347</v>
      </c>
      <c r="D1242" s="43" t="s">
        <v>39533</v>
      </c>
    </row>
    <row r="1243" spans="3:4" x14ac:dyDescent="0.3">
      <c r="C1243" s="43" t="s">
        <v>38347</v>
      </c>
      <c r="D1243" s="43" t="s">
        <v>39534</v>
      </c>
    </row>
    <row r="1244" spans="3:4" x14ac:dyDescent="0.3">
      <c r="C1244" s="43" t="s">
        <v>38374</v>
      </c>
      <c r="D1244" s="43" t="s">
        <v>39535</v>
      </c>
    </row>
    <row r="1245" spans="3:4" x14ac:dyDescent="0.3">
      <c r="C1245" s="43" t="s">
        <v>38347</v>
      </c>
      <c r="D1245" s="43" t="s">
        <v>39536</v>
      </c>
    </row>
    <row r="1246" spans="3:4" x14ac:dyDescent="0.3">
      <c r="C1246" s="43" t="s">
        <v>38347</v>
      </c>
      <c r="D1246" s="43" t="s">
        <v>39537</v>
      </c>
    </row>
    <row r="1247" spans="3:4" x14ac:dyDescent="0.3">
      <c r="C1247" s="43" t="s">
        <v>38347</v>
      </c>
      <c r="D1247" s="43" t="s">
        <v>39538</v>
      </c>
    </row>
    <row r="1248" spans="3:4" x14ac:dyDescent="0.3">
      <c r="C1248" s="43" t="s">
        <v>38347</v>
      </c>
      <c r="D1248" s="43" t="s">
        <v>39539</v>
      </c>
    </row>
    <row r="1249" spans="3:4" x14ac:dyDescent="0.3">
      <c r="C1249" s="43" t="s">
        <v>38347</v>
      </c>
      <c r="D1249" s="43" t="s">
        <v>39540</v>
      </c>
    </row>
    <row r="1250" spans="3:4" x14ac:dyDescent="0.3">
      <c r="C1250" s="43" t="s">
        <v>38347</v>
      </c>
      <c r="D1250" s="43" t="s">
        <v>39541</v>
      </c>
    </row>
    <row r="1251" spans="3:4" x14ac:dyDescent="0.3">
      <c r="C1251" s="43" t="s">
        <v>38347</v>
      </c>
      <c r="D1251" s="43" t="s">
        <v>39542</v>
      </c>
    </row>
    <row r="1252" spans="3:4" x14ac:dyDescent="0.3">
      <c r="C1252" s="43" t="s">
        <v>38347</v>
      </c>
      <c r="D1252" s="43" t="s">
        <v>39543</v>
      </c>
    </row>
    <row r="1253" spans="3:4" x14ac:dyDescent="0.3">
      <c r="C1253" s="43" t="s">
        <v>38347</v>
      </c>
      <c r="D1253" s="43" t="s">
        <v>39544</v>
      </c>
    </row>
    <row r="1254" spans="3:4" x14ac:dyDescent="0.3">
      <c r="C1254" s="43" t="s">
        <v>38347</v>
      </c>
      <c r="D1254" s="43" t="s">
        <v>39545</v>
      </c>
    </row>
    <row r="1255" spans="3:4" x14ac:dyDescent="0.3">
      <c r="C1255" s="43" t="s">
        <v>38347</v>
      </c>
      <c r="D1255" s="43" t="s">
        <v>39546</v>
      </c>
    </row>
    <row r="1256" spans="3:4" x14ac:dyDescent="0.3">
      <c r="C1256" s="43" t="s">
        <v>38347</v>
      </c>
      <c r="D1256" s="43" t="s">
        <v>38772</v>
      </c>
    </row>
    <row r="1257" spans="3:4" x14ac:dyDescent="0.3">
      <c r="C1257" s="43" t="s">
        <v>38347</v>
      </c>
      <c r="D1257" s="43" t="s">
        <v>39547</v>
      </c>
    </row>
    <row r="1258" spans="3:4" x14ac:dyDescent="0.3">
      <c r="C1258" s="43" t="s">
        <v>38394</v>
      </c>
      <c r="D1258" s="43" t="s">
        <v>39548</v>
      </c>
    </row>
    <row r="1259" spans="3:4" x14ac:dyDescent="0.3">
      <c r="C1259" s="43" t="s">
        <v>38374</v>
      </c>
      <c r="D1259" s="43" t="s">
        <v>39549</v>
      </c>
    </row>
    <row r="1260" spans="3:4" x14ac:dyDescent="0.3">
      <c r="C1260" s="43" t="s">
        <v>38374</v>
      </c>
      <c r="D1260" s="43" t="s">
        <v>39550</v>
      </c>
    </row>
    <row r="1261" spans="3:4" x14ac:dyDescent="0.3">
      <c r="C1261" s="43" t="s">
        <v>38374</v>
      </c>
      <c r="D1261" s="43" t="s">
        <v>39551</v>
      </c>
    </row>
    <row r="1262" spans="3:4" x14ac:dyDescent="0.3">
      <c r="C1262" s="43" t="s">
        <v>38347</v>
      </c>
      <c r="D1262" s="43" t="s">
        <v>39552</v>
      </c>
    </row>
    <row r="1263" spans="3:4" x14ac:dyDescent="0.3">
      <c r="C1263" s="43" t="s">
        <v>38347</v>
      </c>
      <c r="D1263" s="43" t="s">
        <v>39553</v>
      </c>
    </row>
    <row r="1264" spans="3:4" x14ac:dyDescent="0.3">
      <c r="C1264" s="43" t="s">
        <v>38347</v>
      </c>
      <c r="D1264" s="43" t="s">
        <v>39554</v>
      </c>
    </row>
    <row r="1265" spans="3:4" x14ac:dyDescent="0.3">
      <c r="C1265" s="43" t="s">
        <v>38347</v>
      </c>
      <c r="D1265" s="43" t="s">
        <v>39555</v>
      </c>
    </row>
    <row r="1266" spans="3:4" x14ac:dyDescent="0.3">
      <c r="C1266" s="43" t="s">
        <v>38347</v>
      </c>
      <c r="D1266" s="43" t="s">
        <v>39556</v>
      </c>
    </row>
    <row r="1267" spans="3:4" x14ac:dyDescent="0.3">
      <c r="C1267" s="43" t="s">
        <v>38347</v>
      </c>
      <c r="D1267" s="43" t="s">
        <v>39557</v>
      </c>
    </row>
    <row r="1268" spans="3:4" x14ac:dyDescent="0.3">
      <c r="C1268" s="43" t="s">
        <v>38347</v>
      </c>
      <c r="D1268" s="43" t="s">
        <v>39558</v>
      </c>
    </row>
    <row r="1269" spans="3:4" x14ac:dyDescent="0.3">
      <c r="C1269" s="43" t="s">
        <v>38394</v>
      </c>
      <c r="D1269" s="43" t="s">
        <v>39559</v>
      </c>
    </row>
    <row r="1270" spans="3:4" x14ac:dyDescent="0.3">
      <c r="C1270" s="43" t="s">
        <v>38347</v>
      </c>
      <c r="D1270" s="43" t="s">
        <v>39560</v>
      </c>
    </row>
    <row r="1271" spans="3:4" x14ac:dyDescent="0.3">
      <c r="C1271" s="43" t="s">
        <v>38347</v>
      </c>
      <c r="D1271" s="43" t="s">
        <v>39561</v>
      </c>
    </row>
    <row r="1272" spans="3:4" x14ac:dyDescent="0.3">
      <c r="C1272" s="43" t="s">
        <v>38347</v>
      </c>
      <c r="D1272" s="43" t="s">
        <v>39562</v>
      </c>
    </row>
    <row r="1273" spans="3:4" x14ac:dyDescent="0.3">
      <c r="C1273" s="43" t="s">
        <v>38347</v>
      </c>
      <c r="D1273" s="43" t="s">
        <v>39563</v>
      </c>
    </row>
    <row r="1274" spans="3:4" x14ac:dyDescent="0.3">
      <c r="C1274" s="43" t="s">
        <v>38347</v>
      </c>
      <c r="D1274" s="43" t="s">
        <v>39564</v>
      </c>
    </row>
    <row r="1275" spans="3:4" x14ac:dyDescent="0.3">
      <c r="C1275" s="43" t="s">
        <v>38374</v>
      </c>
      <c r="D1275" s="43" t="s">
        <v>39565</v>
      </c>
    </row>
    <row r="1276" spans="3:4" x14ac:dyDescent="0.3">
      <c r="C1276" s="43" t="s">
        <v>38347</v>
      </c>
      <c r="D1276" s="43" t="s">
        <v>39566</v>
      </c>
    </row>
    <row r="1277" spans="3:4" x14ac:dyDescent="0.3">
      <c r="C1277" s="43" t="s">
        <v>38374</v>
      </c>
      <c r="D1277" s="43" t="s">
        <v>39567</v>
      </c>
    </row>
    <row r="1278" spans="3:4" x14ac:dyDescent="0.3">
      <c r="C1278" s="43" t="s">
        <v>38347</v>
      </c>
      <c r="D1278" s="43" t="s">
        <v>39568</v>
      </c>
    </row>
    <row r="1279" spans="3:4" x14ac:dyDescent="0.3">
      <c r="C1279" s="43" t="s">
        <v>38374</v>
      </c>
      <c r="D1279" s="43" t="s">
        <v>39569</v>
      </c>
    </row>
    <row r="1280" spans="3:4" x14ac:dyDescent="0.3">
      <c r="C1280" s="43" t="s">
        <v>38347</v>
      </c>
      <c r="D1280" s="43" t="s">
        <v>39570</v>
      </c>
    </row>
    <row r="1281" spans="3:4" x14ac:dyDescent="0.3">
      <c r="C1281" s="43" t="s">
        <v>38347</v>
      </c>
      <c r="D1281" s="43" t="s">
        <v>39571</v>
      </c>
    </row>
    <row r="1282" spans="3:4" x14ac:dyDescent="0.3">
      <c r="C1282" s="43" t="s">
        <v>38347</v>
      </c>
      <c r="D1282" s="43" t="s">
        <v>39572</v>
      </c>
    </row>
    <row r="1283" spans="3:4" x14ac:dyDescent="0.3">
      <c r="C1283" s="43" t="s">
        <v>38347</v>
      </c>
      <c r="D1283" s="43" t="s">
        <v>39573</v>
      </c>
    </row>
    <row r="1284" spans="3:4" x14ac:dyDescent="0.3">
      <c r="C1284" s="43" t="s">
        <v>38347</v>
      </c>
      <c r="D1284" s="43" t="s">
        <v>39574</v>
      </c>
    </row>
    <row r="1285" spans="3:4" x14ac:dyDescent="0.3">
      <c r="C1285" s="43" t="s">
        <v>38347</v>
      </c>
      <c r="D1285" s="43" t="s">
        <v>39575</v>
      </c>
    </row>
    <row r="1286" spans="3:4" x14ac:dyDescent="0.3">
      <c r="C1286" s="43" t="s">
        <v>38374</v>
      </c>
      <c r="D1286" s="43" t="s">
        <v>39576</v>
      </c>
    </row>
    <row r="1287" spans="3:4" x14ac:dyDescent="0.3">
      <c r="C1287" s="43" t="s">
        <v>38347</v>
      </c>
      <c r="D1287" s="43" t="s">
        <v>39577</v>
      </c>
    </row>
    <row r="1288" spans="3:4" x14ac:dyDescent="0.3">
      <c r="C1288" s="43" t="s">
        <v>38394</v>
      </c>
      <c r="D1288" s="43" t="s">
        <v>39578</v>
      </c>
    </row>
    <row r="1289" spans="3:4" x14ac:dyDescent="0.3">
      <c r="C1289" s="43" t="s">
        <v>38347</v>
      </c>
      <c r="D1289" s="43" t="s">
        <v>39579</v>
      </c>
    </row>
    <row r="1290" spans="3:4" x14ac:dyDescent="0.3">
      <c r="C1290" s="43" t="s">
        <v>38347</v>
      </c>
      <c r="D1290" s="43" t="s">
        <v>39580</v>
      </c>
    </row>
    <row r="1291" spans="3:4" x14ac:dyDescent="0.3">
      <c r="C1291" s="43" t="s">
        <v>38374</v>
      </c>
      <c r="D1291" s="43" t="s">
        <v>39581</v>
      </c>
    </row>
    <row r="1292" spans="3:4" x14ac:dyDescent="0.3">
      <c r="C1292" s="43" t="s">
        <v>38374</v>
      </c>
      <c r="D1292" s="43" t="s">
        <v>39582</v>
      </c>
    </row>
    <row r="1293" spans="3:4" x14ac:dyDescent="0.3">
      <c r="C1293" s="43" t="s">
        <v>38347</v>
      </c>
      <c r="D1293" s="43" t="s">
        <v>39583</v>
      </c>
    </row>
    <row r="1294" spans="3:4" x14ac:dyDescent="0.3">
      <c r="C1294" s="43" t="s">
        <v>38374</v>
      </c>
      <c r="D1294" s="43" t="s">
        <v>39509</v>
      </c>
    </row>
    <row r="1295" spans="3:4" x14ac:dyDescent="0.3">
      <c r="C1295" s="43" t="s">
        <v>38347</v>
      </c>
      <c r="D1295" s="43" t="s">
        <v>39584</v>
      </c>
    </row>
    <row r="1296" spans="3:4" x14ac:dyDescent="0.3">
      <c r="C1296" s="43" t="s">
        <v>38374</v>
      </c>
      <c r="D1296" s="43" t="s">
        <v>39585</v>
      </c>
    </row>
    <row r="1297" spans="3:4" x14ac:dyDescent="0.3">
      <c r="C1297" s="43" t="s">
        <v>38347</v>
      </c>
      <c r="D1297" s="43" t="s">
        <v>39586</v>
      </c>
    </row>
    <row r="1298" spans="3:4" x14ac:dyDescent="0.3">
      <c r="C1298" s="43" t="s">
        <v>38347</v>
      </c>
      <c r="D1298" s="43" t="s">
        <v>39587</v>
      </c>
    </row>
    <row r="1299" spans="3:4" x14ac:dyDescent="0.3">
      <c r="C1299" s="43" t="s">
        <v>38347</v>
      </c>
      <c r="D1299" s="43" t="s">
        <v>39588</v>
      </c>
    </row>
    <row r="1300" spans="3:4" x14ac:dyDescent="0.3">
      <c r="C1300" s="43" t="s">
        <v>38347</v>
      </c>
      <c r="D1300" s="43" t="s">
        <v>39589</v>
      </c>
    </row>
    <row r="1301" spans="3:4" x14ac:dyDescent="0.3">
      <c r="C1301" s="43" t="s">
        <v>38347</v>
      </c>
      <c r="D1301" s="43" t="s">
        <v>38486</v>
      </c>
    </row>
    <row r="1302" spans="3:4" x14ac:dyDescent="0.3">
      <c r="C1302" s="43" t="s">
        <v>38347</v>
      </c>
      <c r="D1302" s="43" t="s">
        <v>39590</v>
      </c>
    </row>
    <row r="1303" spans="3:4" x14ac:dyDescent="0.3">
      <c r="C1303" s="43" t="s">
        <v>38347</v>
      </c>
      <c r="D1303" s="43" t="s">
        <v>38498</v>
      </c>
    </row>
    <row r="1304" spans="3:4" x14ac:dyDescent="0.3">
      <c r="C1304" s="43" t="s">
        <v>38347</v>
      </c>
      <c r="D1304" s="43" t="s">
        <v>39591</v>
      </c>
    </row>
    <row r="1305" spans="3:4" x14ac:dyDescent="0.3">
      <c r="C1305" s="43" t="s">
        <v>38347</v>
      </c>
      <c r="D1305" s="43" t="s">
        <v>39486</v>
      </c>
    </row>
    <row r="1306" spans="3:4" x14ac:dyDescent="0.3">
      <c r="C1306" s="43" t="s">
        <v>38347</v>
      </c>
      <c r="D1306" s="43" t="s">
        <v>39592</v>
      </c>
    </row>
    <row r="1307" spans="3:4" x14ac:dyDescent="0.3">
      <c r="C1307" s="43" t="s">
        <v>38347</v>
      </c>
      <c r="D1307" s="43" t="s">
        <v>39593</v>
      </c>
    </row>
    <row r="1308" spans="3:4" x14ac:dyDescent="0.3">
      <c r="C1308" s="43" t="s">
        <v>38347</v>
      </c>
      <c r="D1308" s="43" t="s">
        <v>39594</v>
      </c>
    </row>
    <row r="1309" spans="3:4" x14ac:dyDescent="0.3">
      <c r="C1309" s="43" t="s">
        <v>38347</v>
      </c>
      <c r="D1309" s="43" t="s">
        <v>39595</v>
      </c>
    </row>
    <row r="1310" spans="3:4" x14ac:dyDescent="0.3">
      <c r="C1310" s="43" t="s">
        <v>38347</v>
      </c>
      <c r="D1310" s="43" t="s">
        <v>39596</v>
      </c>
    </row>
    <row r="1311" spans="3:4" x14ac:dyDescent="0.3">
      <c r="C1311" s="43" t="s">
        <v>38347</v>
      </c>
      <c r="D1311" s="43" t="s">
        <v>39597</v>
      </c>
    </row>
    <row r="1312" spans="3:4" x14ac:dyDescent="0.3">
      <c r="C1312" s="43" t="s">
        <v>38347</v>
      </c>
      <c r="D1312" s="43" t="s">
        <v>39598</v>
      </c>
    </row>
    <row r="1313" spans="3:4" x14ac:dyDescent="0.3">
      <c r="C1313" s="43" t="s">
        <v>38347</v>
      </c>
      <c r="D1313" s="43" t="s">
        <v>39599</v>
      </c>
    </row>
    <row r="1314" spans="3:4" x14ac:dyDescent="0.3">
      <c r="C1314" s="43" t="s">
        <v>38374</v>
      </c>
      <c r="D1314" s="43" t="s">
        <v>39431</v>
      </c>
    </row>
    <row r="1315" spans="3:4" x14ac:dyDescent="0.3">
      <c r="C1315" s="43" t="s">
        <v>38374</v>
      </c>
      <c r="D1315" s="43" t="s">
        <v>39453</v>
      </c>
    </row>
    <row r="1316" spans="3:4" x14ac:dyDescent="0.3">
      <c r="C1316" s="43" t="s">
        <v>38374</v>
      </c>
      <c r="D1316" s="43" t="s">
        <v>39519</v>
      </c>
    </row>
    <row r="1317" spans="3:4" x14ac:dyDescent="0.3">
      <c r="C1317" s="43" t="s">
        <v>38374</v>
      </c>
      <c r="D1317" s="43" t="s">
        <v>39600</v>
      </c>
    </row>
    <row r="1318" spans="3:4" x14ac:dyDescent="0.3">
      <c r="C1318" s="43" t="s">
        <v>38374</v>
      </c>
      <c r="D1318" s="43" t="s">
        <v>39497</v>
      </c>
    </row>
    <row r="1319" spans="3:4" x14ac:dyDescent="0.3">
      <c r="C1319" s="43" t="s">
        <v>38374</v>
      </c>
      <c r="D1319" s="43" t="s">
        <v>39601</v>
      </c>
    </row>
    <row r="1320" spans="3:4" x14ac:dyDescent="0.3">
      <c r="C1320" s="43" t="s">
        <v>38374</v>
      </c>
      <c r="D1320" s="43" t="s">
        <v>39504</v>
      </c>
    </row>
    <row r="1321" spans="3:4" x14ac:dyDescent="0.3">
      <c r="C1321" s="43" t="s">
        <v>38374</v>
      </c>
      <c r="D1321" s="43" t="s">
        <v>39507</v>
      </c>
    </row>
    <row r="1322" spans="3:4" x14ac:dyDescent="0.3">
      <c r="C1322" s="43" t="s">
        <v>38374</v>
      </c>
      <c r="D1322" s="43" t="s">
        <v>39511</v>
      </c>
    </row>
    <row r="1323" spans="3:4" x14ac:dyDescent="0.3">
      <c r="C1323" s="43" t="s">
        <v>38353</v>
      </c>
      <c r="D1323" s="43" t="s">
        <v>39602</v>
      </c>
    </row>
    <row r="1324" spans="3:4" x14ac:dyDescent="0.3">
      <c r="C1324" s="43" t="s">
        <v>38353</v>
      </c>
      <c r="D1324" s="43" t="s">
        <v>20491</v>
      </c>
    </row>
    <row r="1325" spans="3:4" x14ac:dyDescent="0.3">
      <c r="C1325" s="43" t="s">
        <v>38353</v>
      </c>
      <c r="D1325" s="43" t="s">
        <v>20121</v>
      </c>
    </row>
    <row r="1326" spans="3:4" x14ac:dyDescent="0.3">
      <c r="C1326" s="43" t="s">
        <v>38353</v>
      </c>
      <c r="D1326" s="43" t="s">
        <v>39603</v>
      </c>
    </row>
    <row r="1327" spans="3:4" x14ac:dyDescent="0.3">
      <c r="C1327" s="43" t="s">
        <v>38353</v>
      </c>
      <c r="D1327" s="43" t="s">
        <v>39604</v>
      </c>
    </row>
    <row r="1328" spans="3:4" x14ac:dyDescent="0.3">
      <c r="C1328" s="43" t="s">
        <v>38353</v>
      </c>
      <c r="D1328" s="43" t="s">
        <v>39605</v>
      </c>
    </row>
    <row r="1329" spans="3:4" x14ac:dyDescent="0.3">
      <c r="C1329" s="43" t="s">
        <v>38353</v>
      </c>
      <c r="D1329" s="43" t="s">
        <v>39606</v>
      </c>
    </row>
    <row r="1330" spans="3:4" x14ac:dyDescent="0.3">
      <c r="C1330" s="43" t="s">
        <v>38353</v>
      </c>
      <c r="D1330" s="43" t="s">
        <v>39607</v>
      </c>
    </row>
    <row r="1331" spans="3:4" x14ac:dyDescent="0.3">
      <c r="C1331" s="43" t="s">
        <v>38353</v>
      </c>
      <c r="D1331" s="43" t="s">
        <v>39608</v>
      </c>
    </row>
    <row r="1332" spans="3:4" x14ac:dyDescent="0.3">
      <c r="C1332" s="43" t="s">
        <v>38353</v>
      </c>
      <c r="D1332" s="43" t="s">
        <v>39609</v>
      </c>
    </row>
    <row r="1333" spans="3:4" x14ac:dyDescent="0.3">
      <c r="C1333" s="43" t="s">
        <v>38353</v>
      </c>
      <c r="D1333" s="43" t="s">
        <v>26130</v>
      </c>
    </row>
    <row r="1334" spans="3:4" x14ac:dyDescent="0.3">
      <c r="C1334" s="43" t="s">
        <v>38353</v>
      </c>
      <c r="D1334" s="43" t="s">
        <v>39610</v>
      </c>
    </row>
    <row r="1335" spans="3:4" x14ac:dyDescent="0.3">
      <c r="C1335" s="43" t="s">
        <v>38353</v>
      </c>
      <c r="D1335" s="43" t="s">
        <v>39611</v>
      </c>
    </row>
    <row r="1336" spans="3:4" x14ac:dyDescent="0.3">
      <c r="C1336" s="43" t="s">
        <v>38353</v>
      </c>
      <c r="D1336" s="43" t="s">
        <v>39612</v>
      </c>
    </row>
    <row r="1337" spans="3:4" x14ac:dyDescent="0.3">
      <c r="C1337" s="43" t="s">
        <v>38353</v>
      </c>
      <c r="D1337" s="43" t="s">
        <v>39613</v>
      </c>
    </row>
    <row r="1338" spans="3:4" x14ac:dyDescent="0.3">
      <c r="C1338" s="43" t="s">
        <v>38353</v>
      </c>
      <c r="D1338" s="43" t="s">
        <v>39614</v>
      </c>
    </row>
    <row r="1339" spans="3:4" x14ac:dyDescent="0.3">
      <c r="C1339" s="43" t="s">
        <v>38353</v>
      </c>
      <c r="D1339" s="43" t="s">
        <v>39615</v>
      </c>
    </row>
    <row r="1340" spans="3:4" x14ac:dyDescent="0.3">
      <c r="C1340" s="43" t="s">
        <v>38353</v>
      </c>
      <c r="D1340" s="43" t="s">
        <v>39616</v>
      </c>
    </row>
    <row r="1341" spans="3:4" x14ac:dyDescent="0.3">
      <c r="C1341" s="43" t="s">
        <v>38353</v>
      </c>
      <c r="D1341" s="43" t="s">
        <v>39617</v>
      </c>
    </row>
    <row r="1342" spans="3:4" x14ac:dyDescent="0.3">
      <c r="C1342" s="43" t="s">
        <v>38353</v>
      </c>
      <c r="D1342" s="43" t="s">
        <v>39618</v>
      </c>
    </row>
    <row r="1343" spans="3:4" x14ac:dyDescent="0.3">
      <c r="C1343" s="43" t="s">
        <v>38353</v>
      </c>
      <c r="D1343" s="43" t="s">
        <v>39619</v>
      </c>
    </row>
    <row r="1344" spans="3:4" x14ac:dyDescent="0.3">
      <c r="C1344" s="43" t="s">
        <v>38353</v>
      </c>
      <c r="D1344" s="43" t="s">
        <v>39620</v>
      </c>
    </row>
    <row r="1345" spans="3:4" x14ac:dyDescent="0.3">
      <c r="C1345" s="43" t="s">
        <v>38353</v>
      </c>
      <c r="D1345" s="43" t="s">
        <v>39621</v>
      </c>
    </row>
    <row r="1346" spans="3:4" x14ac:dyDescent="0.3">
      <c r="C1346" s="43" t="s">
        <v>38353</v>
      </c>
      <c r="D1346" s="43" t="s">
        <v>39622</v>
      </c>
    </row>
    <row r="1347" spans="3:4" x14ac:dyDescent="0.3">
      <c r="C1347" s="43" t="s">
        <v>38353</v>
      </c>
      <c r="D1347" s="43" t="s">
        <v>39623</v>
      </c>
    </row>
    <row r="1348" spans="3:4" x14ac:dyDescent="0.3">
      <c r="C1348" s="43" t="s">
        <v>38353</v>
      </c>
      <c r="D1348" s="43" t="s">
        <v>39624</v>
      </c>
    </row>
    <row r="1349" spans="3:4" x14ac:dyDescent="0.3">
      <c r="C1349" s="43" t="s">
        <v>38353</v>
      </c>
      <c r="D1349" s="43" t="s">
        <v>39625</v>
      </c>
    </row>
    <row r="1350" spans="3:4" x14ac:dyDescent="0.3">
      <c r="C1350" s="43" t="s">
        <v>38353</v>
      </c>
      <c r="D1350" s="43" t="s">
        <v>39626</v>
      </c>
    </row>
    <row r="1351" spans="3:4" x14ac:dyDescent="0.3">
      <c r="C1351" s="43" t="s">
        <v>38353</v>
      </c>
      <c r="D1351" s="43" t="s">
        <v>39627</v>
      </c>
    </row>
    <row r="1352" spans="3:4" x14ac:dyDescent="0.3">
      <c r="C1352" s="43" t="s">
        <v>38353</v>
      </c>
      <c r="D1352" s="43" t="s">
        <v>39628</v>
      </c>
    </row>
    <row r="1353" spans="3:4" x14ac:dyDescent="0.3">
      <c r="C1353" s="43" t="s">
        <v>38353</v>
      </c>
      <c r="D1353" s="43" t="s">
        <v>39629</v>
      </c>
    </row>
    <row r="1354" spans="3:4" x14ac:dyDescent="0.3">
      <c r="C1354" s="43" t="s">
        <v>38353</v>
      </c>
      <c r="D1354" s="43" t="s">
        <v>39630</v>
      </c>
    </row>
    <row r="1355" spans="3:4" x14ac:dyDescent="0.3">
      <c r="C1355" s="43" t="s">
        <v>38353</v>
      </c>
      <c r="D1355" s="43" t="s">
        <v>39631</v>
      </c>
    </row>
    <row r="1356" spans="3:4" x14ac:dyDescent="0.3">
      <c r="C1356" s="43" t="s">
        <v>38353</v>
      </c>
      <c r="D1356" s="43" t="s">
        <v>39632</v>
      </c>
    </row>
    <row r="1357" spans="3:4" x14ac:dyDescent="0.3">
      <c r="C1357" s="43" t="s">
        <v>38353</v>
      </c>
      <c r="D1357" s="43" t="s">
        <v>39633</v>
      </c>
    </row>
    <row r="1358" spans="3:4" x14ac:dyDescent="0.3">
      <c r="C1358" s="43" t="s">
        <v>38353</v>
      </c>
      <c r="D1358" s="43" t="s">
        <v>39634</v>
      </c>
    </row>
    <row r="1359" spans="3:4" x14ac:dyDescent="0.3">
      <c r="C1359" s="43" t="s">
        <v>38353</v>
      </c>
      <c r="D1359" s="43" t="s">
        <v>39635</v>
      </c>
    </row>
    <row r="1360" spans="3:4" x14ac:dyDescent="0.3">
      <c r="C1360" s="43" t="s">
        <v>38353</v>
      </c>
      <c r="D1360" s="43" t="s">
        <v>39636</v>
      </c>
    </row>
    <row r="1361" spans="3:4" x14ac:dyDescent="0.3">
      <c r="C1361" s="43" t="s">
        <v>38353</v>
      </c>
      <c r="D1361" s="43" t="s">
        <v>39637</v>
      </c>
    </row>
    <row r="1362" spans="3:4" x14ac:dyDescent="0.3">
      <c r="C1362" s="43" t="s">
        <v>38353</v>
      </c>
      <c r="D1362" s="43" t="s">
        <v>39638</v>
      </c>
    </row>
    <row r="1363" spans="3:4" x14ac:dyDescent="0.3">
      <c r="C1363" s="43" t="s">
        <v>38353</v>
      </c>
      <c r="D1363" s="43" t="s">
        <v>39639</v>
      </c>
    </row>
    <row r="1364" spans="3:4" x14ac:dyDescent="0.3">
      <c r="C1364" s="43" t="s">
        <v>38353</v>
      </c>
      <c r="D1364" s="43" t="s">
        <v>39640</v>
      </c>
    </row>
    <row r="1365" spans="3:4" x14ac:dyDescent="0.3">
      <c r="C1365" s="43" t="s">
        <v>38353</v>
      </c>
      <c r="D1365" s="43" t="s">
        <v>39641</v>
      </c>
    </row>
    <row r="1366" spans="3:4" x14ac:dyDescent="0.3">
      <c r="C1366" s="43" t="s">
        <v>38353</v>
      </c>
      <c r="D1366" s="43" t="s">
        <v>39642</v>
      </c>
    </row>
    <row r="1367" spans="3:4" x14ac:dyDescent="0.3">
      <c r="C1367" s="43" t="s">
        <v>38353</v>
      </c>
      <c r="D1367" s="43" t="s">
        <v>39643</v>
      </c>
    </row>
    <row r="1368" spans="3:4" x14ac:dyDescent="0.3">
      <c r="C1368" s="43" t="s">
        <v>38353</v>
      </c>
      <c r="D1368" s="43" t="s">
        <v>39644</v>
      </c>
    </row>
    <row r="1369" spans="3:4" x14ac:dyDescent="0.3">
      <c r="C1369" s="43" t="s">
        <v>38353</v>
      </c>
      <c r="D1369" s="43" t="s">
        <v>26494</v>
      </c>
    </row>
    <row r="1370" spans="3:4" x14ac:dyDescent="0.3">
      <c r="C1370" s="43" t="s">
        <v>38353</v>
      </c>
      <c r="D1370" s="43" t="s">
        <v>26497</v>
      </c>
    </row>
    <row r="1371" spans="3:4" x14ac:dyDescent="0.3">
      <c r="C1371" s="43" t="s">
        <v>38353</v>
      </c>
      <c r="D1371" s="43" t="s">
        <v>22730</v>
      </c>
    </row>
    <row r="1372" spans="3:4" x14ac:dyDescent="0.3">
      <c r="C1372" s="43" t="s">
        <v>38353</v>
      </c>
      <c r="D1372" s="43" t="s">
        <v>22736</v>
      </c>
    </row>
    <row r="1373" spans="3:4" x14ac:dyDescent="0.3">
      <c r="C1373" s="43" t="s">
        <v>38353</v>
      </c>
      <c r="D1373" s="43" t="s">
        <v>22753</v>
      </c>
    </row>
    <row r="1374" spans="3:4" x14ac:dyDescent="0.3">
      <c r="C1374" s="43" t="s">
        <v>38353</v>
      </c>
      <c r="D1374" s="43" t="s">
        <v>22762</v>
      </c>
    </row>
    <row r="1375" spans="3:4" x14ac:dyDescent="0.3">
      <c r="C1375" s="43" t="s">
        <v>38353</v>
      </c>
      <c r="D1375" s="43" t="s">
        <v>22765</v>
      </c>
    </row>
    <row r="1376" spans="3:4" x14ac:dyDescent="0.3">
      <c r="C1376" s="43" t="s">
        <v>38353</v>
      </c>
      <c r="D1376" s="43" t="s">
        <v>39645</v>
      </c>
    </row>
    <row r="1377" spans="3:4" x14ac:dyDescent="0.3">
      <c r="C1377" s="43" t="s">
        <v>38353</v>
      </c>
      <c r="D1377" s="43" t="s">
        <v>39646</v>
      </c>
    </row>
    <row r="1378" spans="3:4" x14ac:dyDescent="0.3">
      <c r="C1378" s="43" t="s">
        <v>38353</v>
      </c>
      <c r="D1378" s="43" t="s">
        <v>23584</v>
      </c>
    </row>
    <row r="1379" spans="3:4" x14ac:dyDescent="0.3">
      <c r="C1379" s="43" t="s">
        <v>38353</v>
      </c>
      <c r="D1379" s="43" t="s">
        <v>23590</v>
      </c>
    </row>
    <row r="1380" spans="3:4" x14ac:dyDescent="0.3">
      <c r="C1380" s="43" t="s">
        <v>38353</v>
      </c>
      <c r="D1380" s="43" t="s">
        <v>23595</v>
      </c>
    </row>
    <row r="1381" spans="3:4" x14ac:dyDescent="0.3">
      <c r="C1381" s="43" t="s">
        <v>38353</v>
      </c>
      <c r="D1381" s="43" t="s">
        <v>23600</v>
      </c>
    </row>
    <row r="1382" spans="3:4" x14ac:dyDescent="0.3">
      <c r="C1382" s="43" t="s">
        <v>38353</v>
      </c>
      <c r="D1382" s="43" t="s">
        <v>23604</v>
      </c>
    </row>
    <row r="1383" spans="3:4" x14ac:dyDescent="0.3">
      <c r="C1383" s="43" t="s">
        <v>38353</v>
      </c>
      <c r="D1383" s="43" t="s">
        <v>23607</v>
      </c>
    </row>
    <row r="1384" spans="3:4" x14ac:dyDescent="0.3">
      <c r="C1384" s="43" t="s">
        <v>38353</v>
      </c>
      <c r="D1384" s="43" t="s">
        <v>23613</v>
      </c>
    </row>
    <row r="1385" spans="3:4" x14ac:dyDescent="0.3">
      <c r="C1385" s="43" t="s">
        <v>38353</v>
      </c>
      <c r="D1385" s="43" t="s">
        <v>23620</v>
      </c>
    </row>
    <row r="1386" spans="3:4" x14ac:dyDescent="0.3">
      <c r="C1386" s="43" t="s">
        <v>38353</v>
      </c>
      <c r="D1386" s="43" t="s">
        <v>23630</v>
      </c>
    </row>
    <row r="1387" spans="3:4" x14ac:dyDescent="0.3">
      <c r="C1387" s="43" t="s">
        <v>38353</v>
      </c>
      <c r="D1387" s="43" t="s">
        <v>23637</v>
      </c>
    </row>
    <row r="1388" spans="3:4" x14ac:dyDescent="0.3">
      <c r="C1388" s="43" t="s">
        <v>38353</v>
      </c>
      <c r="D1388" s="43" t="s">
        <v>39647</v>
      </c>
    </row>
    <row r="1389" spans="3:4" x14ac:dyDescent="0.3">
      <c r="C1389" s="43" t="s">
        <v>38353</v>
      </c>
      <c r="D1389" s="43" t="s">
        <v>24611</v>
      </c>
    </row>
    <row r="1390" spans="3:4" x14ac:dyDescent="0.3">
      <c r="C1390" s="43" t="s">
        <v>38353</v>
      </c>
      <c r="D1390" s="43" t="s">
        <v>39648</v>
      </c>
    </row>
    <row r="1391" spans="3:4" x14ac:dyDescent="0.3">
      <c r="C1391" s="43" t="s">
        <v>38353</v>
      </c>
      <c r="D1391" s="43" t="s">
        <v>24619</v>
      </c>
    </row>
    <row r="1392" spans="3:4" x14ac:dyDescent="0.3">
      <c r="C1392" s="43" t="s">
        <v>38353</v>
      </c>
      <c r="D1392" s="43" t="s">
        <v>24621</v>
      </c>
    </row>
    <row r="1393" spans="3:4" x14ac:dyDescent="0.3">
      <c r="C1393" s="43" t="s">
        <v>38353</v>
      </c>
      <c r="D1393" s="43" t="s">
        <v>26064</v>
      </c>
    </row>
    <row r="1394" spans="3:4" x14ac:dyDescent="0.3">
      <c r="C1394" s="43" t="s">
        <v>38353</v>
      </c>
      <c r="D1394" s="43" t="s">
        <v>26084</v>
      </c>
    </row>
    <row r="1395" spans="3:4" x14ac:dyDescent="0.3">
      <c r="C1395" s="43" t="s">
        <v>38353</v>
      </c>
      <c r="D1395" s="43" t="s">
        <v>26117</v>
      </c>
    </row>
    <row r="1396" spans="3:4" x14ac:dyDescent="0.3">
      <c r="C1396" s="43" t="s">
        <v>38353</v>
      </c>
      <c r="D1396" s="43" t="s">
        <v>26125</v>
      </c>
    </row>
    <row r="1397" spans="3:4" x14ac:dyDescent="0.3">
      <c r="C1397" s="43" t="s">
        <v>38353</v>
      </c>
      <c r="D1397" s="43" t="s">
        <v>39649</v>
      </c>
    </row>
    <row r="1398" spans="3:4" x14ac:dyDescent="0.3">
      <c r="C1398" s="43" t="s">
        <v>38353</v>
      </c>
      <c r="D1398" s="43" t="s">
        <v>39650</v>
      </c>
    </row>
    <row r="1399" spans="3:4" x14ac:dyDescent="0.3">
      <c r="C1399" s="43" t="s">
        <v>38353</v>
      </c>
      <c r="D1399" s="43" t="s">
        <v>39651</v>
      </c>
    </row>
    <row r="1400" spans="3:4" x14ac:dyDescent="0.3">
      <c r="C1400" s="43" t="s">
        <v>38353</v>
      </c>
      <c r="D1400" s="43" t="s">
        <v>39652</v>
      </c>
    </row>
    <row r="1401" spans="3:4" x14ac:dyDescent="0.3">
      <c r="C1401" s="43" t="s">
        <v>38353</v>
      </c>
      <c r="D1401" s="43" t="s">
        <v>39653</v>
      </c>
    </row>
    <row r="1402" spans="3:4" x14ac:dyDescent="0.3">
      <c r="C1402" s="43" t="s">
        <v>38353</v>
      </c>
      <c r="D1402" s="43" t="s">
        <v>39654</v>
      </c>
    </row>
    <row r="1403" spans="3:4" x14ac:dyDescent="0.3">
      <c r="C1403" s="43" t="s">
        <v>38353</v>
      </c>
      <c r="D1403" s="43" t="s">
        <v>39655</v>
      </c>
    </row>
    <row r="1404" spans="3:4" x14ac:dyDescent="0.3">
      <c r="C1404" s="43" t="s">
        <v>38353</v>
      </c>
      <c r="D1404" s="43" t="s">
        <v>39656</v>
      </c>
    </row>
    <row r="1405" spans="3:4" x14ac:dyDescent="0.3">
      <c r="C1405" s="43" t="s">
        <v>38353</v>
      </c>
      <c r="D1405" s="43" t="s">
        <v>39657</v>
      </c>
    </row>
    <row r="1406" spans="3:4" x14ac:dyDescent="0.3">
      <c r="C1406" s="43" t="s">
        <v>38353</v>
      </c>
      <c r="D1406" s="43" t="s">
        <v>39658</v>
      </c>
    </row>
    <row r="1407" spans="3:4" x14ac:dyDescent="0.3">
      <c r="C1407" s="43" t="s">
        <v>38353</v>
      </c>
      <c r="D1407" s="43" t="s">
        <v>39659</v>
      </c>
    </row>
    <row r="1408" spans="3:4" x14ac:dyDescent="0.3">
      <c r="C1408" s="43" t="s">
        <v>38353</v>
      </c>
      <c r="D1408" s="43" t="s">
        <v>39660</v>
      </c>
    </row>
    <row r="1409" spans="3:4" x14ac:dyDescent="0.3">
      <c r="C1409" s="43" t="s">
        <v>38353</v>
      </c>
      <c r="D1409" s="43" t="s">
        <v>39661</v>
      </c>
    </row>
    <row r="1410" spans="3:4" x14ac:dyDescent="0.3">
      <c r="C1410" s="43" t="s">
        <v>38353</v>
      </c>
      <c r="D1410" s="43" t="s">
        <v>39662</v>
      </c>
    </row>
    <row r="1411" spans="3:4" x14ac:dyDescent="0.3">
      <c r="C1411" s="43" t="s">
        <v>38353</v>
      </c>
      <c r="D1411" s="43" t="s">
        <v>39663</v>
      </c>
    </row>
    <row r="1412" spans="3:4" x14ac:dyDescent="0.3">
      <c r="C1412" s="43" t="s">
        <v>38353</v>
      </c>
      <c r="D1412" s="43" t="s">
        <v>25869</v>
      </c>
    </row>
    <row r="1413" spans="3:4" x14ac:dyDescent="0.3">
      <c r="C1413" s="43" t="s">
        <v>38353</v>
      </c>
      <c r="D1413" s="43" t="s">
        <v>39664</v>
      </c>
    </row>
    <row r="1414" spans="3:4" x14ac:dyDescent="0.3">
      <c r="C1414" s="43" t="s">
        <v>38353</v>
      </c>
      <c r="D1414" s="43" t="s">
        <v>39665</v>
      </c>
    </row>
    <row r="1415" spans="3:4" x14ac:dyDescent="0.3">
      <c r="C1415" s="43" t="s">
        <v>38353</v>
      </c>
      <c r="D1415" s="43" t="s">
        <v>39666</v>
      </c>
    </row>
    <row r="1416" spans="3:4" x14ac:dyDescent="0.3">
      <c r="C1416" s="43" t="s">
        <v>38353</v>
      </c>
      <c r="D1416" s="43" t="s">
        <v>39667</v>
      </c>
    </row>
    <row r="1417" spans="3:4" x14ac:dyDescent="0.3">
      <c r="C1417" s="43" t="s">
        <v>38353</v>
      </c>
      <c r="D1417" s="43" t="s">
        <v>39668</v>
      </c>
    </row>
    <row r="1418" spans="3:4" x14ac:dyDescent="0.3">
      <c r="C1418" s="43" t="s">
        <v>38353</v>
      </c>
      <c r="D1418" s="43" t="s">
        <v>39669</v>
      </c>
    </row>
    <row r="1419" spans="3:4" x14ac:dyDescent="0.3">
      <c r="C1419" s="43" t="s">
        <v>38353</v>
      </c>
      <c r="D1419" s="43" t="s">
        <v>39670</v>
      </c>
    </row>
    <row r="1420" spans="3:4" x14ac:dyDescent="0.3">
      <c r="C1420" s="43" t="s">
        <v>38353</v>
      </c>
      <c r="D1420" s="43" t="s">
        <v>39671</v>
      </c>
    </row>
    <row r="1421" spans="3:4" x14ac:dyDescent="0.3">
      <c r="C1421" s="43" t="s">
        <v>38353</v>
      </c>
      <c r="D1421" s="43" t="s">
        <v>39672</v>
      </c>
    </row>
    <row r="1422" spans="3:4" x14ac:dyDescent="0.3">
      <c r="C1422" s="43" t="s">
        <v>38353</v>
      </c>
      <c r="D1422" s="43" t="s">
        <v>39673</v>
      </c>
    </row>
    <row r="1423" spans="3:4" x14ac:dyDescent="0.3">
      <c r="C1423" s="43" t="s">
        <v>38353</v>
      </c>
      <c r="D1423" s="43" t="s">
        <v>39674</v>
      </c>
    </row>
    <row r="1424" spans="3:4" x14ac:dyDescent="0.3">
      <c r="C1424" s="43" t="s">
        <v>38353</v>
      </c>
      <c r="D1424" s="43" t="s">
        <v>39675</v>
      </c>
    </row>
    <row r="1425" spans="3:4" x14ac:dyDescent="0.3">
      <c r="C1425" s="43" t="s">
        <v>38353</v>
      </c>
      <c r="D1425" s="43" t="s">
        <v>39676</v>
      </c>
    </row>
    <row r="1426" spans="3:4" x14ac:dyDescent="0.3">
      <c r="C1426" s="43" t="s">
        <v>38353</v>
      </c>
      <c r="D1426" s="43" t="s">
        <v>39677</v>
      </c>
    </row>
    <row r="1427" spans="3:4" x14ac:dyDescent="0.3">
      <c r="C1427" s="43" t="s">
        <v>38353</v>
      </c>
      <c r="D1427" s="43" t="s">
        <v>39678</v>
      </c>
    </row>
    <row r="1428" spans="3:4" x14ac:dyDescent="0.3">
      <c r="C1428" s="43" t="s">
        <v>38353</v>
      </c>
      <c r="D1428" s="43" t="s">
        <v>39679</v>
      </c>
    </row>
    <row r="1429" spans="3:4" x14ac:dyDescent="0.3">
      <c r="C1429" s="43" t="s">
        <v>38353</v>
      </c>
      <c r="D1429" s="43" t="s">
        <v>39680</v>
      </c>
    </row>
    <row r="1430" spans="3:4" x14ac:dyDescent="0.3">
      <c r="C1430" s="43" t="s">
        <v>38353</v>
      </c>
      <c r="D1430" s="43" t="s">
        <v>39681</v>
      </c>
    </row>
    <row r="1431" spans="3:4" x14ac:dyDescent="0.3">
      <c r="C1431" s="43" t="s">
        <v>38353</v>
      </c>
      <c r="D1431" s="43" t="s">
        <v>39682</v>
      </c>
    </row>
    <row r="1432" spans="3:4" x14ac:dyDescent="0.3">
      <c r="C1432" s="43" t="s">
        <v>38353</v>
      </c>
      <c r="D1432" s="43" t="s">
        <v>39683</v>
      </c>
    </row>
    <row r="1433" spans="3:4" x14ac:dyDescent="0.3">
      <c r="C1433" s="43" t="s">
        <v>38353</v>
      </c>
      <c r="D1433" s="43" t="s">
        <v>39684</v>
      </c>
    </row>
    <row r="1434" spans="3:4" x14ac:dyDescent="0.3">
      <c r="C1434" s="43" t="s">
        <v>38353</v>
      </c>
      <c r="D1434" s="43" t="s">
        <v>39685</v>
      </c>
    </row>
    <row r="1435" spans="3:4" x14ac:dyDescent="0.3">
      <c r="C1435" s="43" t="s">
        <v>38353</v>
      </c>
      <c r="D1435" s="43" t="s">
        <v>39686</v>
      </c>
    </row>
    <row r="1436" spans="3:4" x14ac:dyDescent="0.3">
      <c r="C1436" s="43" t="s">
        <v>38353</v>
      </c>
      <c r="D1436" s="43" t="s">
        <v>39687</v>
      </c>
    </row>
    <row r="1437" spans="3:4" x14ac:dyDescent="0.3">
      <c r="C1437" s="43" t="s">
        <v>38353</v>
      </c>
      <c r="D1437" s="43" t="s">
        <v>26262</v>
      </c>
    </row>
    <row r="1438" spans="3:4" x14ac:dyDescent="0.3">
      <c r="C1438" s="43" t="s">
        <v>38353</v>
      </c>
      <c r="D1438" s="43" t="s">
        <v>26271</v>
      </c>
    </row>
    <row r="1439" spans="3:4" x14ac:dyDescent="0.3">
      <c r="C1439" s="43" t="s">
        <v>38353</v>
      </c>
      <c r="D1439" s="43" t="s">
        <v>26285</v>
      </c>
    </row>
    <row r="1440" spans="3:4" x14ac:dyDescent="0.3">
      <c r="C1440" s="43" t="s">
        <v>38353</v>
      </c>
      <c r="D1440" s="43" t="s">
        <v>26289</v>
      </c>
    </row>
    <row r="1441" spans="3:4" x14ac:dyDescent="0.3">
      <c r="C1441" s="43" t="s">
        <v>38353</v>
      </c>
      <c r="D1441" s="43" t="s">
        <v>26301</v>
      </c>
    </row>
    <row r="1442" spans="3:4" x14ac:dyDescent="0.3">
      <c r="C1442" s="43" t="s">
        <v>38353</v>
      </c>
      <c r="D1442" s="43" t="s">
        <v>26310</v>
      </c>
    </row>
    <row r="1443" spans="3:4" x14ac:dyDescent="0.3">
      <c r="C1443" s="43" t="s">
        <v>38353</v>
      </c>
      <c r="D1443" s="43" t="s">
        <v>26320</v>
      </c>
    </row>
    <row r="1444" spans="3:4" x14ac:dyDescent="0.3">
      <c r="C1444" s="43" t="s">
        <v>38353</v>
      </c>
      <c r="D1444" s="43" t="s">
        <v>26326</v>
      </c>
    </row>
    <row r="1445" spans="3:4" x14ac:dyDescent="0.3">
      <c r="C1445" s="43" t="s">
        <v>38353</v>
      </c>
      <c r="D1445" s="43" t="s">
        <v>26334</v>
      </c>
    </row>
    <row r="1446" spans="3:4" x14ac:dyDescent="0.3">
      <c r="C1446" s="43" t="s">
        <v>38353</v>
      </c>
      <c r="D1446" s="43" t="s">
        <v>26337</v>
      </c>
    </row>
    <row r="1447" spans="3:4" x14ac:dyDescent="0.3">
      <c r="C1447" s="43" t="s">
        <v>38353</v>
      </c>
      <c r="D1447" s="43" t="s">
        <v>26341</v>
      </c>
    </row>
    <row r="1448" spans="3:4" x14ac:dyDescent="0.3">
      <c r="C1448" s="43" t="s">
        <v>38353</v>
      </c>
      <c r="D1448" s="43" t="s">
        <v>26348</v>
      </c>
    </row>
    <row r="1449" spans="3:4" x14ac:dyDescent="0.3">
      <c r="C1449" s="43" t="s">
        <v>38353</v>
      </c>
      <c r="D1449" s="43" t="s">
        <v>26351</v>
      </c>
    </row>
    <row r="1450" spans="3:4" x14ac:dyDescent="0.3">
      <c r="C1450" s="43" t="s">
        <v>38353</v>
      </c>
      <c r="D1450" s="43" t="s">
        <v>26357</v>
      </c>
    </row>
    <row r="1451" spans="3:4" x14ac:dyDescent="0.3">
      <c r="C1451" s="43" t="s">
        <v>38353</v>
      </c>
      <c r="D1451" s="43" t="s">
        <v>26363</v>
      </c>
    </row>
    <row r="1452" spans="3:4" x14ac:dyDescent="0.3">
      <c r="C1452" s="43" t="s">
        <v>38353</v>
      </c>
      <c r="D1452" s="43" t="s">
        <v>26367</v>
      </c>
    </row>
    <row r="1453" spans="3:4" x14ac:dyDescent="0.3">
      <c r="C1453" s="43" t="s">
        <v>38353</v>
      </c>
      <c r="D1453" s="43" t="s">
        <v>26370</v>
      </c>
    </row>
    <row r="1454" spans="3:4" x14ac:dyDescent="0.3">
      <c r="C1454" s="43" t="s">
        <v>38353</v>
      </c>
      <c r="D1454" s="43" t="s">
        <v>26375</v>
      </c>
    </row>
    <row r="1455" spans="3:4" x14ac:dyDescent="0.3">
      <c r="C1455" s="43" t="s">
        <v>38353</v>
      </c>
      <c r="D1455" s="43" t="s">
        <v>39688</v>
      </c>
    </row>
    <row r="1456" spans="3:4" x14ac:dyDescent="0.3">
      <c r="C1456" s="43" t="s">
        <v>38353</v>
      </c>
      <c r="D1456" s="43" t="s">
        <v>39689</v>
      </c>
    </row>
    <row r="1457" spans="3:4" x14ac:dyDescent="0.3">
      <c r="C1457" s="43" t="s">
        <v>38353</v>
      </c>
      <c r="D1457" s="43" t="s">
        <v>39690</v>
      </c>
    </row>
    <row r="1458" spans="3:4" x14ac:dyDescent="0.3">
      <c r="C1458" s="43" t="s">
        <v>38353</v>
      </c>
      <c r="D1458" s="43" t="s">
        <v>39691</v>
      </c>
    </row>
    <row r="1459" spans="3:4" x14ac:dyDescent="0.3">
      <c r="C1459" s="43" t="s">
        <v>38353</v>
      </c>
      <c r="D1459" s="43" t="s">
        <v>39692</v>
      </c>
    </row>
    <row r="1460" spans="3:4" x14ac:dyDescent="0.3">
      <c r="C1460" s="43" t="s">
        <v>38353</v>
      </c>
      <c r="D1460" s="43" t="s">
        <v>39693</v>
      </c>
    </row>
    <row r="1461" spans="3:4" x14ac:dyDescent="0.3">
      <c r="C1461" s="43" t="s">
        <v>38353</v>
      </c>
      <c r="D1461" s="43" t="s">
        <v>26459</v>
      </c>
    </row>
    <row r="1462" spans="3:4" x14ac:dyDescent="0.3">
      <c r="C1462" s="43" t="s">
        <v>38353</v>
      </c>
      <c r="D1462" s="43" t="s">
        <v>26464</v>
      </c>
    </row>
    <row r="1463" spans="3:4" x14ac:dyDescent="0.3">
      <c r="C1463" s="43" t="s">
        <v>38353</v>
      </c>
      <c r="D1463" s="43" t="s">
        <v>26468</v>
      </c>
    </row>
    <row r="1464" spans="3:4" x14ac:dyDescent="0.3">
      <c r="C1464" s="43" t="s">
        <v>38353</v>
      </c>
      <c r="D1464" s="43" t="s">
        <v>39694</v>
      </c>
    </row>
    <row r="1465" spans="3:4" x14ac:dyDescent="0.3">
      <c r="C1465" s="43" t="s">
        <v>38353</v>
      </c>
      <c r="D1465" s="43" t="s">
        <v>21407</v>
      </c>
    </row>
    <row r="1466" spans="3:4" x14ac:dyDescent="0.3">
      <c r="C1466" s="43" t="s">
        <v>38353</v>
      </c>
      <c r="D1466" s="43" t="s">
        <v>21411</v>
      </c>
    </row>
    <row r="1467" spans="3:4" x14ac:dyDescent="0.3">
      <c r="C1467" s="43" t="s">
        <v>38353</v>
      </c>
      <c r="D1467" s="43" t="s">
        <v>21415</v>
      </c>
    </row>
    <row r="1468" spans="3:4" x14ac:dyDescent="0.3">
      <c r="C1468" s="43" t="s">
        <v>38353</v>
      </c>
      <c r="D1468" s="43" t="s">
        <v>21418</v>
      </c>
    </row>
    <row r="1469" spans="3:4" x14ac:dyDescent="0.3">
      <c r="C1469" s="43" t="s">
        <v>38353</v>
      </c>
      <c r="D1469" s="43" t="s">
        <v>21420</v>
      </c>
    </row>
    <row r="1470" spans="3:4" x14ac:dyDescent="0.3">
      <c r="C1470" s="43" t="s">
        <v>38353</v>
      </c>
      <c r="D1470" s="43" t="s">
        <v>21422</v>
      </c>
    </row>
    <row r="1471" spans="3:4" x14ac:dyDescent="0.3">
      <c r="C1471" s="43" t="s">
        <v>38353</v>
      </c>
      <c r="D1471" s="43" t="s">
        <v>39695</v>
      </c>
    </row>
    <row r="1472" spans="3:4" x14ac:dyDescent="0.3">
      <c r="C1472" s="43" t="s">
        <v>38353</v>
      </c>
      <c r="D1472" s="43" t="s">
        <v>39696</v>
      </c>
    </row>
    <row r="1473" spans="3:4" x14ac:dyDescent="0.3">
      <c r="C1473" s="43" t="s">
        <v>38353</v>
      </c>
      <c r="D1473" s="43" t="s">
        <v>39697</v>
      </c>
    </row>
    <row r="1474" spans="3:4" x14ac:dyDescent="0.3">
      <c r="C1474" s="43" t="s">
        <v>38353</v>
      </c>
      <c r="D1474" s="43" t="s">
        <v>39698</v>
      </c>
    </row>
    <row r="1475" spans="3:4" x14ac:dyDescent="0.3">
      <c r="C1475" s="43" t="s">
        <v>38353</v>
      </c>
      <c r="D1475" s="43" t="s">
        <v>39699</v>
      </c>
    </row>
    <row r="1476" spans="3:4" x14ac:dyDescent="0.3">
      <c r="C1476" s="43" t="s">
        <v>38353</v>
      </c>
      <c r="D1476" s="43" t="s">
        <v>39700</v>
      </c>
    </row>
    <row r="1477" spans="3:4" x14ac:dyDescent="0.3">
      <c r="C1477" s="43" t="s">
        <v>38353</v>
      </c>
      <c r="D1477" s="43" t="s">
        <v>39701</v>
      </c>
    </row>
    <row r="1478" spans="3:4" x14ac:dyDescent="0.3">
      <c r="C1478" s="43" t="s">
        <v>38353</v>
      </c>
      <c r="D1478" s="43" t="s">
        <v>39702</v>
      </c>
    </row>
    <row r="1479" spans="3:4" x14ac:dyDescent="0.3">
      <c r="C1479" s="43" t="s">
        <v>38353</v>
      </c>
      <c r="D1479" s="43" t="s">
        <v>39703</v>
      </c>
    </row>
    <row r="1480" spans="3:4" x14ac:dyDescent="0.3">
      <c r="C1480" s="43" t="s">
        <v>38353</v>
      </c>
      <c r="D1480" s="43" t="s">
        <v>39704</v>
      </c>
    </row>
    <row r="1481" spans="3:4" x14ac:dyDescent="0.3">
      <c r="C1481" s="43" t="s">
        <v>38353</v>
      </c>
      <c r="D1481" s="43" t="s">
        <v>39705</v>
      </c>
    </row>
    <row r="1482" spans="3:4" x14ac:dyDescent="0.3">
      <c r="C1482" s="43" t="s">
        <v>38353</v>
      </c>
      <c r="D1482" s="43" t="s">
        <v>39706</v>
      </c>
    </row>
    <row r="1483" spans="3:4" x14ac:dyDescent="0.3">
      <c r="C1483" s="43" t="s">
        <v>38353</v>
      </c>
      <c r="D1483" s="43" t="s">
        <v>39707</v>
      </c>
    </row>
    <row r="1484" spans="3:4" x14ac:dyDescent="0.3">
      <c r="C1484" s="43" t="s">
        <v>38353</v>
      </c>
      <c r="D1484" s="43" t="s">
        <v>39708</v>
      </c>
    </row>
    <row r="1485" spans="3:4" x14ac:dyDescent="0.3">
      <c r="C1485" s="43" t="s">
        <v>38353</v>
      </c>
      <c r="D1485" s="43" t="s">
        <v>39709</v>
      </c>
    </row>
    <row r="1486" spans="3:4" x14ac:dyDescent="0.3">
      <c r="C1486" s="43" t="s">
        <v>38353</v>
      </c>
      <c r="D1486" s="43" t="s">
        <v>39710</v>
      </c>
    </row>
    <row r="1487" spans="3:4" x14ac:dyDescent="0.3">
      <c r="C1487" s="43" t="s">
        <v>38353</v>
      </c>
      <c r="D1487" s="43" t="s">
        <v>39711</v>
      </c>
    </row>
    <row r="1488" spans="3:4" x14ac:dyDescent="0.3">
      <c r="C1488" s="43" t="s">
        <v>38353</v>
      </c>
      <c r="D1488" s="43" t="s">
        <v>39712</v>
      </c>
    </row>
    <row r="1489" spans="3:4" x14ac:dyDescent="0.3">
      <c r="C1489" s="43" t="s">
        <v>38353</v>
      </c>
      <c r="D1489" s="43" t="s">
        <v>39713</v>
      </c>
    </row>
    <row r="1490" spans="3:4" x14ac:dyDescent="0.3">
      <c r="C1490" s="43" t="s">
        <v>38353</v>
      </c>
      <c r="D1490" s="43" t="s">
        <v>39714</v>
      </c>
    </row>
    <row r="1491" spans="3:4" x14ac:dyDescent="0.3">
      <c r="C1491" s="43" t="s">
        <v>38353</v>
      </c>
      <c r="D1491" s="43" t="s">
        <v>39715</v>
      </c>
    </row>
    <row r="1492" spans="3:4" x14ac:dyDescent="0.3">
      <c r="C1492" s="43" t="s">
        <v>38353</v>
      </c>
      <c r="D1492" s="43" t="s">
        <v>39716</v>
      </c>
    </row>
    <row r="1493" spans="3:4" x14ac:dyDescent="0.3">
      <c r="C1493" s="43" t="s">
        <v>38353</v>
      </c>
      <c r="D1493" s="43" t="s">
        <v>39717</v>
      </c>
    </row>
    <row r="1494" spans="3:4" x14ac:dyDescent="0.3">
      <c r="C1494" s="43" t="s">
        <v>38353</v>
      </c>
      <c r="D1494" s="43" t="s">
        <v>39718</v>
      </c>
    </row>
    <row r="1495" spans="3:4" x14ac:dyDescent="0.3">
      <c r="C1495" s="43" t="s">
        <v>38353</v>
      </c>
      <c r="D1495" s="43" t="s">
        <v>39719</v>
      </c>
    </row>
    <row r="1496" spans="3:4" x14ac:dyDescent="0.3">
      <c r="C1496" s="43" t="s">
        <v>38353</v>
      </c>
      <c r="D1496" s="43" t="s">
        <v>25322</v>
      </c>
    </row>
    <row r="1497" spans="3:4" x14ac:dyDescent="0.3">
      <c r="C1497" s="43" t="s">
        <v>38353</v>
      </c>
      <c r="D1497" s="43" t="s">
        <v>25747</v>
      </c>
    </row>
    <row r="1498" spans="3:4" x14ac:dyDescent="0.3">
      <c r="C1498" s="43" t="s">
        <v>38353</v>
      </c>
      <c r="D1498" s="43" t="s">
        <v>25756</v>
      </c>
    </row>
    <row r="1499" spans="3:4" x14ac:dyDescent="0.3">
      <c r="C1499" s="43" t="s">
        <v>38353</v>
      </c>
      <c r="D1499" s="43" t="s">
        <v>25763</v>
      </c>
    </row>
    <row r="1500" spans="3:4" x14ac:dyDescent="0.3">
      <c r="C1500" s="43" t="s">
        <v>38353</v>
      </c>
      <c r="D1500" s="43" t="s">
        <v>25769</v>
      </c>
    </row>
    <row r="1501" spans="3:4" x14ac:dyDescent="0.3">
      <c r="C1501" s="43" t="s">
        <v>38353</v>
      </c>
      <c r="D1501" s="43" t="s">
        <v>25775</v>
      </c>
    </row>
    <row r="1502" spans="3:4" x14ac:dyDescent="0.3">
      <c r="C1502" s="43" t="s">
        <v>38353</v>
      </c>
      <c r="D1502" s="43" t="s">
        <v>25778</v>
      </c>
    </row>
    <row r="1503" spans="3:4" x14ac:dyDescent="0.3">
      <c r="C1503" s="43" t="s">
        <v>38353</v>
      </c>
      <c r="D1503" s="43" t="s">
        <v>25780</v>
      </c>
    </row>
    <row r="1504" spans="3:4" x14ac:dyDescent="0.3">
      <c r="C1504" s="43" t="s">
        <v>38353</v>
      </c>
      <c r="D1504" s="43" t="s">
        <v>25785</v>
      </c>
    </row>
    <row r="1505" spans="3:4" x14ac:dyDescent="0.3">
      <c r="C1505" s="43" t="s">
        <v>38353</v>
      </c>
      <c r="D1505" s="43" t="s">
        <v>25787</v>
      </c>
    </row>
    <row r="1506" spans="3:4" x14ac:dyDescent="0.3">
      <c r="C1506" s="43" t="s">
        <v>38353</v>
      </c>
      <c r="D1506" s="43" t="s">
        <v>25790</v>
      </c>
    </row>
    <row r="1507" spans="3:4" x14ac:dyDescent="0.3">
      <c r="C1507" s="43" t="s">
        <v>38353</v>
      </c>
      <c r="D1507" s="43" t="s">
        <v>25793</v>
      </c>
    </row>
    <row r="1508" spans="3:4" x14ac:dyDescent="0.3">
      <c r="C1508" s="43" t="s">
        <v>38353</v>
      </c>
      <c r="D1508" s="43" t="s">
        <v>25800</v>
      </c>
    </row>
    <row r="1509" spans="3:4" x14ac:dyDescent="0.3">
      <c r="C1509" s="43" t="s">
        <v>38353</v>
      </c>
      <c r="D1509" s="43" t="s">
        <v>25805</v>
      </c>
    </row>
    <row r="1510" spans="3:4" x14ac:dyDescent="0.3">
      <c r="C1510" s="43" t="s">
        <v>38353</v>
      </c>
      <c r="D1510" s="43" t="s">
        <v>25810</v>
      </c>
    </row>
    <row r="1511" spans="3:4" x14ac:dyDescent="0.3">
      <c r="C1511" s="43" t="s">
        <v>38353</v>
      </c>
      <c r="D1511" s="43" t="s">
        <v>25818</v>
      </c>
    </row>
    <row r="1512" spans="3:4" x14ac:dyDescent="0.3">
      <c r="C1512" s="43" t="s">
        <v>38353</v>
      </c>
      <c r="D1512" s="43" t="s">
        <v>25828</v>
      </c>
    </row>
    <row r="1513" spans="3:4" x14ac:dyDescent="0.3">
      <c r="C1513" s="43" t="s">
        <v>38353</v>
      </c>
      <c r="D1513" s="43" t="s">
        <v>25831</v>
      </c>
    </row>
    <row r="1514" spans="3:4" x14ac:dyDescent="0.3">
      <c r="C1514" s="43" t="s">
        <v>38353</v>
      </c>
      <c r="D1514" s="43" t="s">
        <v>25834</v>
      </c>
    </row>
    <row r="1515" spans="3:4" x14ac:dyDescent="0.3">
      <c r="C1515" s="43" t="s">
        <v>38353</v>
      </c>
      <c r="D1515" s="43" t="s">
        <v>26212</v>
      </c>
    </row>
    <row r="1516" spans="3:4" x14ac:dyDescent="0.3">
      <c r="C1516" s="43" t="s">
        <v>38353</v>
      </c>
      <c r="D1516" s="43" t="s">
        <v>26214</v>
      </c>
    </row>
    <row r="1517" spans="3:4" x14ac:dyDescent="0.3">
      <c r="C1517" s="43" t="s">
        <v>38353</v>
      </c>
      <c r="D1517" s="43" t="s">
        <v>26216</v>
      </c>
    </row>
    <row r="1518" spans="3:4" x14ac:dyDescent="0.3">
      <c r="C1518" s="43" t="s">
        <v>38353</v>
      </c>
      <c r="D1518" s="43" t="s">
        <v>26218</v>
      </c>
    </row>
    <row r="1519" spans="3:4" x14ac:dyDescent="0.3">
      <c r="C1519" s="43" t="s">
        <v>38353</v>
      </c>
      <c r="D1519" s="43" t="s">
        <v>26220</v>
      </c>
    </row>
    <row r="1520" spans="3:4" x14ac:dyDescent="0.3">
      <c r="C1520" s="43" t="s">
        <v>38353</v>
      </c>
      <c r="D1520" s="43" t="s">
        <v>26234</v>
      </c>
    </row>
    <row r="1521" spans="3:4" x14ac:dyDescent="0.3">
      <c r="C1521" s="43" t="s">
        <v>38353</v>
      </c>
      <c r="D1521" s="43" t="s">
        <v>26243</v>
      </c>
    </row>
    <row r="1522" spans="3:4" x14ac:dyDescent="0.3">
      <c r="C1522" s="43" t="s">
        <v>38353</v>
      </c>
      <c r="D1522" s="43" t="s">
        <v>26248</v>
      </c>
    </row>
    <row r="1523" spans="3:4" x14ac:dyDescent="0.3">
      <c r="C1523" s="43" t="s">
        <v>38353</v>
      </c>
      <c r="D1523" s="43" t="s">
        <v>26250</v>
      </c>
    </row>
    <row r="1524" spans="3:4" x14ac:dyDescent="0.3">
      <c r="C1524" s="43" t="s">
        <v>38353</v>
      </c>
      <c r="D1524" s="43" t="s">
        <v>26276</v>
      </c>
    </row>
    <row r="1525" spans="3:4" x14ac:dyDescent="0.3">
      <c r="C1525" s="43" t="s">
        <v>38353</v>
      </c>
      <c r="D1525" s="43" t="s">
        <v>26293</v>
      </c>
    </row>
    <row r="1526" spans="3:4" x14ac:dyDescent="0.3">
      <c r="C1526" s="43" t="s">
        <v>38353</v>
      </c>
      <c r="D1526" s="43" t="s">
        <v>26329</v>
      </c>
    </row>
    <row r="1527" spans="3:4" x14ac:dyDescent="0.3">
      <c r="C1527" s="43" t="s">
        <v>38353</v>
      </c>
      <c r="D1527" s="43" t="s">
        <v>26332</v>
      </c>
    </row>
    <row r="1528" spans="3:4" x14ac:dyDescent="0.3">
      <c r="C1528" s="43" t="s">
        <v>38353</v>
      </c>
      <c r="D1528" s="43" t="s">
        <v>39720</v>
      </c>
    </row>
    <row r="1529" spans="3:4" x14ac:dyDescent="0.3">
      <c r="C1529" s="43" t="s">
        <v>38353</v>
      </c>
      <c r="D1529" s="43" t="s">
        <v>26373</v>
      </c>
    </row>
    <row r="1530" spans="3:4" x14ac:dyDescent="0.3">
      <c r="C1530" s="43" t="s">
        <v>38353</v>
      </c>
      <c r="D1530" s="43" t="s">
        <v>39721</v>
      </c>
    </row>
    <row r="1531" spans="3:4" x14ac:dyDescent="0.3">
      <c r="C1531" s="43" t="s">
        <v>38353</v>
      </c>
      <c r="D1531" s="43" t="s">
        <v>39722</v>
      </c>
    </row>
    <row r="1532" spans="3:4" x14ac:dyDescent="0.3">
      <c r="C1532" s="43" t="s">
        <v>38353</v>
      </c>
      <c r="D1532" s="43" t="s">
        <v>39723</v>
      </c>
    </row>
    <row r="1533" spans="3:4" x14ac:dyDescent="0.3">
      <c r="C1533" s="43" t="s">
        <v>38353</v>
      </c>
      <c r="D1533" s="43" t="s">
        <v>26504</v>
      </c>
    </row>
    <row r="1534" spans="3:4" x14ac:dyDescent="0.3">
      <c r="C1534" s="43" t="s">
        <v>38353</v>
      </c>
      <c r="D1534" s="43" t="s">
        <v>26507</v>
      </c>
    </row>
    <row r="1535" spans="3:4" x14ac:dyDescent="0.3">
      <c r="C1535" s="43" t="s">
        <v>38353</v>
      </c>
      <c r="D1535" s="43" t="s">
        <v>39724</v>
      </c>
    </row>
    <row r="1536" spans="3:4" x14ac:dyDescent="0.3">
      <c r="C1536" s="43" t="s">
        <v>38353</v>
      </c>
      <c r="D1536" s="43" t="s">
        <v>39725</v>
      </c>
    </row>
    <row r="1537" spans="3:4" x14ac:dyDescent="0.3">
      <c r="C1537" s="43" t="s">
        <v>38353</v>
      </c>
      <c r="D1537" s="43" t="s">
        <v>39726</v>
      </c>
    </row>
    <row r="1538" spans="3:4" x14ac:dyDescent="0.3">
      <c r="C1538" s="43" t="s">
        <v>38353</v>
      </c>
      <c r="D1538" s="43" t="s">
        <v>39727</v>
      </c>
    </row>
    <row r="1539" spans="3:4" x14ac:dyDescent="0.3">
      <c r="C1539" s="43" t="s">
        <v>38353</v>
      </c>
      <c r="D1539" s="43" t="s">
        <v>39728</v>
      </c>
    </row>
    <row r="1540" spans="3:4" x14ac:dyDescent="0.3">
      <c r="C1540" s="43" t="s">
        <v>38353</v>
      </c>
      <c r="D1540" s="43" t="s">
        <v>39729</v>
      </c>
    </row>
    <row r="1541" spans="3:4" x14ac:dyDescent="0.3">
      <c r="C1541" s="43" t="s">
        <v>38353</v>
      </c>
      <c r="D1541" s="43" t="s">
        <v>39730</v>
      </c>
    </row>
    <row r="1542" spans="3:4" x14ac:dyDescent="0.3">
      <c r="C1542" s="43" t="s">
        <v>38353</v>
      </c>
      <c r="D1542" s="43" t="s">
        <v>26524</v>
      </c>
    </row>
    <row r="1543" spans="3:4" x14ac:dyDescent="0.3">
      <c r="C1543" s="43" t="s">
        <v>38353</v>
      </c>
      <c r="D1543" s="43" t="s">
        <v>27101</v>
      </c>
    </row>
    <row r="1544" spans="3:4" x14ac:dyDescent="0.3">
      <c r="C1544" s="43" t="s">
        <v>38353</v>
      </c>
      <c r="D1544" s="43" t="s">
        <v>39731</v>
      </c>
    </row>
    <row r="1545" spans="3:4" x14ac:dyDescent="0.3">
      <c r="C1545" s="43" t="s">
        <v>38353</v>
      </c>
      <c r="D1545" s="43" t="s">
        <v>39732</v>
      </c>
    </row>
    <row r="1546" spans="3:4" x14ac:dyDescent="0.3">
      <c r="C1546" s="43" t="s">
        <v>38353</v>
      </c>
      <c r="D1546" s="43" t="s">
        <v>27165</v>
      </c>
    </row>
    <row r="1547" spans="3:4" x14ac:dyDescent="0.3">
      <c r="C1547" s="43" t="s">
        <v>38353</v>
      </c>
      <c r="D1547" s="43" t="s">
        <v>39733</v>
      </c>
    </row>
    <row r="1548" spans="3:4" x14ac:dyDescent="0.3">
      <c r="C1548" s="43" t="s">
        <v>38353</v>
      </c>
      <c r="D1548" s="43" t="s">
        <v>18295</v>
      </c>
    </row>
    <row r="1549" spans="3:4" x14ac:dyDescent="0.3">
      <c r="C1549" s="43" t="s">
        <v>38353</v>
      </c>
      <c r="D1549" s="43" t="s">
        <v>39734</v>
      </c>
    </row>
    <row r="1550" spans="3:4" x14ac:dyDescent="0.3">
      <c r="C1550" s="43" t="s">
        <v>38353</v>
      </c>
      <c r="D1550" s="43" t="s">
        <v>39735</v>
      </c>
    </row>
    <row r="1551" spans="3:4" x14ac:dyDescent="0.3">
      <c r="C1551" s="43" t="s">
        <v>38353</v>
      </c>
      <c r="D1551" s="43" t="s">
        <v>39736</v>
      </c>
    </row>
    <row r="1552" spans="3:4" x14ac:dyDescent="0.3">
      <c r="C1552" s="43" t="s">
        <v>38353</v>
      </c>
      <c r="D1552" s="43" t="s">
        <v>39737</v>
      </c>
    </row>
    <row r="1553" spans="3:4" x14ac:dyDescent="0.3">
      <c r="C1553" s="43" t="s">
        <v>38353</v>
      </c>
      <c r="D1553" s="43" t="s">
        <v>39738</v>
      </c>
    </row>
    <row r="1554" spans="3:4" x14ac:dyDescent="0.3">
      <c r="C1554" s="43" t="s">
        <v>38353</v>
      </c>
      <c r="D1554" s="43" t="s">
        <v>39739</v>
      </c>
    </row>
    <row r="1555" spans="3:4" x14ac:dyDescent="0.3">
      <c r="C1555" s="43" t="s">
        <v>38353</v>
      </c>
      <c r="D1555" s="43" t="s">
        <v>39740</v>
      </c>
    </row>
    <row r="1556" spans="3:4" x14ac:dyDescent="0.3">
      <c r="C1556" s="43" t="s">
        <v>38353</v>
      </c>
      <c r="D1556" s="43" t="s">
        <v>39741</v>
      </c>
    </row>
    <row r="1557" spans="3:4" x14ac:dyDescent="0.3">
      <c r="C1557" s="43" t="s">
        <v>38353</v>
      </c>
      <c r="D1557" s="43" t="s">
        <v>17260</v>
      </c>
    </row>
    <row r="1558" spans="3:4" x14ac:dyDescent="0.3">
      <c r="C1558" s="43" t="s">
        <v>38353</v>
      </c>
      <c r="D1558" s="43" t="s">
        <v>39742</v>
      </c>
    </row>
    <row r="1559" spans="3:4" x14ac:dyDescent="0.3">
      <c r="C1559" s="43" t="s">
        <v>38353</v>
      </c>
      <c r="D1559" s="43" t="s">
        <v>39743</v>
      </c>
    </row>
    <row r="1560" spans="3:4" x14ac:dyDescent="0.3">
      <c r="C1560" s="43" t="s">
        <v>38353</v>
      </c>
      <c r="D1560" s="43" t="s">
        <v>39744</v>
      </c>
    </row>
    <row r="1561" spans="3:4" x14ac:dyDescent="0.3">
      <c r="C1561" s="43" t="s">
        <v>38353</v>
      </c>
      <c r="D1561" s="43" t="s">
        <v>39745</v>
      </c>
    </row>
    <row r="1562" spans="3:4" x14ac:dyDescent="0.3">
      <c r="C1562" s="43" t="s">
        <v>38353</v>
      </c>
      <c r="D1562" s="43" t="s">
        <v>39746</v>
      </c>
    </row>
    <row r="1563" spans="3:4" x14ac:dyDescent="0.3">
      <c r="C1563" s="43" t="s">
        <v>38353</v>
      </c>
      <c r="D1563" s="43" t="s">
        <v>39747</v>
      </c>
    </row>
    <row r="1564" spans="3:4" x14ac:dyDescent="0.3">
      <c r="C1564" s="43" t="s">
        <v>38353</v>
      </c>
      <c r="D1564" s="43" t="s">
        <v>39748</v>
      </c>
    </row>
    <row r="1565" spans="3:4" x14ac:dyDescent="0.3">
      <c r="C1565" s="43" t="s">
        <v>38353</v>
      </c>
      <c r="D1565" s="43" t="s">
        <v>39749</v>
      </c>
    </row>
    <row r="1566" spans="3:4" x14ac:dyDescent="0.3">
      <c r="C1566" s="43" t="s">
        <v>38353</v>
      </c>
      <c r="D1566" s="43" t="s">
        <v>39750</v>
      </c>
    </row>
    <row r="1567" spans="3:4" x14ac:dyDescent="0.3">
      <c r="C1567" s="43" t="s">
        <v>38353</v>
      </c>
      <c r="D1567" s="43" t="s">
        <v>39751</v>
      </c>
    </row>
    <row r="1568" spans="3:4" x14ac:dyDescent="0.3">
      <c r="C1568" s="43" t="s">
        <v>38353</v>
      </c>
      <c r="D1568" s="43" t="s">
        <v>39752</v>
      </c>
    </row>
    <row r="1569" spans="3:4" x14ac:dyDescent="0.3">
      <c r="C1569" s="43" t="s">
        <v>38353</v>
      </c>
      <c r="D1569" s="43" t="s">
        <v>39753</v>
      </c>
    </row>
    <row r="1570" spans="3:4" x14ac:dyDescent="0.3">
      <c r="C1570" s="43" t="s">
        <v>38353</v>
      </c>
      <c r="D1570" s="43" t="s">
        <v>39754</v>
      </c>
    </row>
    <row r="1571" spans="3:4" x14ac:dyDescent="0.3">
      <c r="C1571" s="43" t="s">
        <v>38353</v>
      </c>
      <c r="D1571" s="43" t="s">
        <v>39755</v>
      </c>
    </row>
    <row r="1572" spans="3:4" x14ac:dyDescent="0.3">
      <c r="C1572" s="43" t="s">
        <v>38353</v>
      </c>
      <c r="D1572" s="43" t="s">
        <v>16746</v>
      </c>
    </row>
    <row r="1573" spans="3:4" x14ac:dyDescent="0.3">
      <c r="C1573" s="43" t="s">
        <v>38353</v>
      </c>
      <c r="D1573" s="43" t="s">
        <v>39756</v>
      </c>
    </row>
    <row r="1574" spans="3:4" x14ac:dyDescent="0.3">
      <c r="C1574" s="43" t="s">
        <v>38353</v>
      </c>
      <c r="D1574" s="43" t="s">
        <v>39757</v>
      </c>
    </row>
    <row r="1575" spans="3:4" x14ac:dyDescent="0.3">
      <c r="C1575" s="43" t="s">
        <v>38353</v>
      </c>
      <c r="D1575" s="43" t="s">
        <v>39758</v>
      </c>
    </row>
    <row r="1576" spans="3:4" x14ac:dyDescent="0.3">
      <c r="C1576" s="43" t="s">
        <v>38353</v>
      </c>
      <c r="D1576" s="43" t="s">
        <v>39759</v>
      </c>
    </row>
    <row r="1577" spans="3:4" x14ac:dyDescent="0.3">
      <c r="C1577" s="43" t="s">
        <v>38353</v>
      </c>
      <c r="D1577" s="43" t="s">
        <v>39760</v>
      </c>
    </row>
    <row r="1578" spans="3:4" x14ac:dyDescent="0.3">
      <c r="C1578" s="43" t="s">
        <v>38353</v>
      </c>
      <c r="D1578" s="43" t="s">
        <v>39761</v>
      </c>
    </row>
    <row r="1579" spans="3:4" x14ac:dyDescent="0.3">
      <c r="C1579" s="43" t="s">
        <v>38353</v>
      </c>
      <c r="D1579" s="43" t="s">
        <v>39762</v>
      </c>
    </row>
    <row r="1580" spans="3:4" x14ac:dyDescent="0.3">
      <c r="C1580" s="43" t="s">
        <v>38353</v>
      </c>
      <c r="D1580" s="43" t="s">
        <v>16332</v>
      </c>
    </row>
    <row r="1581" spans="3:4" x14ac:dyDescent="0.3">
      <c r="C1581" s="43" t="s">
        <v>38353</v>
      </c>
      <c r="D1581" s="43" t="s">
        <v>16334</v>
      </c>
    </row>
    <row r="1582" spans="3:4" x14ac:dyDescent="0.3">
      <c r="C1582" s="43" t="s">
        <v>38353</v>
      </c>
      <c r="D1582" s="43" t="s">
        <v>39763</v>
      </c>
    </row>
    <row r="1583" spans="3:4" x14ac:dyDescent="0.3">
      <c r="C1583" s="43" t="s">
        <v>38353</v>
      </c>
      <c r="D1583" s="43" t="s">
        <v>16713</v>
      </c>
    </row>
    <row r="1584" spans="3:4" x14ac:dyDescent="0.3">
      <c r="C1584" s="43" t="s">
        <v>38353</v>
      </c>
      <c r="D1584" s="43" t="s">
        <v>16952</v>
      </c>
    </row>
    <row r="1585" spans="3:4" x14ac:dyDescent="0.3">
      <c r="C1585" s="43" t="s">
        <v>38353</v>
      </c>
      <c r="D1585" s="43" t="s">
        <v>17139</v>
      </c>
    </row>
    <row r="1586" spans="3:4" x14ac:dyDescent="0.3">
      <c r="C1586" s="43" t="s">
        <v>38353</v>
      </c>
      <c r="D1586" s="43" t="s">
        <v>39764</v>
      </c>
    </row>
    <row r="1587" spans="3:4" x14ac:dyDescent="0.3">
      <c r="C1587" s="43" t="s">
        <v>38353</v>
      </c>
      <c r="D1587" s="43" t="s">
        <v>39765</v>
      </c>
    </row>
    <row r="1588" spans="3:4" x14ac:dyDescent="0.3">
      <c r="C1588" s="43" t="s">
        <v>38353</v>
      </c>
      <c r="D1588" s="43" t="s">
        <v>39766</v>
      </c>
    </row>
    <row r="1589" spans="3:4" x14ac:dyDescent="0.3">
      <c r="C1589" s="43" t="s">
        <v>38353</v>
      </c>
      <c r="D1589" s="43" t="s">
        <v>39767</v>
      </c>
    </row>
    <row r="1590" spans="3:4" x14ac:dyDescent="0.3">
      <c r="C1590" s="43" t="s">
        <v>38353</v>
      </c>
      <c r="D1590" s="43" t="s">
        <v>39768</v>
      </c>
    </row>
    <row r="1591" spans="3:4" x14ac:dyDescent="0.3">
      <c r="C1591" s="43" t="s">
        <v>38353</v>
      </c>
      <c r="D1591" s="43" t="s">
        <v>39769</v>
      </c>
    </row>
    <row r="1592" spans="3:4" x14ac:dyDescent="0.3">
      <c r="C1592" s="43" t="s">
        <v>38353</v>
      </c>
      <c r="D1592" s="43" t="s">
        <v>39770</v>
      </c>
    </row>
    <row r="1593" spans="3:4" x14ac:dyDescent="0.3">
      <c r="C1593" s="43" t="s">
        <v>38353</v>
      </c>
      <c r="D1593" s="43" t="s">
        <v>39771</v>
      </c>
    </row>
    <row r="1594" spans="3:4" x14ac:dyDescent="0.3">
      <c r="C1594" s="43" t="s">
        <v>38353</v>
      </c>
      <c r="D1594" s="43" t="s">
        <v>39772</v>
      </c>
    </row>
    <row r="1595" spans="3:4" x14ac:dyDescent="0.3">
      <c r="C1595" s="43" t="s">
        <v>38353</v>
      </c>
      <c r="D1595" s="43" t="s">
        <v>39773</v>
      </c>
    </row>
    <row r="1596" spans="3:4" x14ac:dyDescent="0.3">
      <c r="C1596" s="43" t="s">
        <v>38353</v>
      </c>
      <c r="D1596" s="43" t="s">
        <v>39774</v>
      </c>
    </row>
    <row r="1597" spans="3:4" x14ac:dyDescent="0.3">
      <c r="C1597" s="43" t="s">
        <v>38353</v>
      </c>
      <c r="D1597" s="43" t="s">
        <v>39775</v>
      </c>
    </row>
    <row r="1598" spans="3:4" x14ac:dyDescent="0.3">
      <c r="C1598" s="43" t="s">
        <v>38353</v>
      </c>
      <c r="D1598" s="43" t="s">
        <v>39776</v>
      </c>
    </row>
    <row r="1599" spans="3:4" x14ac:dyDescent="0.3">
      <c r="C1599" s="43" t="s">
        <v>38353</v>
      </c>
      <c r="D1599" s="43" t="s">
        <v>39777</v>
      </c>
    </row>
    <row r="1600" spans="3:4" x14ac:dyDescent="0.3">
      <c r="C1600" s="43" t="s">
        <v>38353</v>
      </c>
      <c r="D1600" s="43" t="s">
        <v>16276</v>
      </c>
    </row>
    <row r="1601" spans="3:4" x14ac:dyDescent="0.3">
      <c r="C1601" s="43" t="s">
        <v>38353</v>
      </c>
      <c r="D1601" s="43" t="s">
        <v>16417</v>
      </c>
    </row>
    <row r="1602" spans="3:4" x14ac:dyDescent="0.3">
      <c r="C1602" s="43" t="s">
        <v>38353</v>
      </c>
      <c r="D1602" s="43" t="s">
        <v>16420</v>
      </c>
    </row>
    <row r="1603" spans="3:4" x14ac:dyDescent="0.3">
      <c r="C1603" s="43" t="s">
        <v>38353</v>
      </c>
      <c r="D1603" s="43" t="s">
        <v>16468</v>
      </c>
    </row>
    <row r="1604" spans="3:4" x14ac:dyDescent="0.3">
      <c r="C1604" s="43" t="s">
        <v>38353</v>
      </c>
      <c r="D1604" s="43" t="s">
        <v>16479</v>
      </c>
    </row>
    <row r="1605" spans="3:4" x14ac:dyDescent="0.3">
      <c r="C1605" s="43" t="s">
        <v>38353</v>
      </c>
      <c r="D1605" s="43" t="s">
        <v>16486</v>
      </c>
    </row>
    <row r="1606" spans="3:4" x14ac:dyDescent="0.3">
      <c r="C1606" s="43" t="s">
        <v>38353</v>
      </c>
      <c r="D1606" s="43" t="s">
        <v>16495</v>
      </c>
    </row>
    <row r="1607" spans="3:4" x14ac:dyDescent="0.3">
      <c r="C1607" s="43" t="s">
        <v>38353</v>
      </c>
      <c r="D1607" s="43" t="s">
        <v>16499</v>
      </c>
    </row>
    <row r="1608" spans="3:4" x14ac:dyDescent="0.3">
      <c r="C1608" s="43" t="s">
        <v>38353</v>
      </c>
      <c r="D1608" s="43" t="s">
        <v>16503</v>
      </c>
    </row>
    <row r="1609" spans="3:4" x14ac:dyDescent="0.3">
      <c r="C1609" s="43" t="s">
        <v>38353</v>
      </c>
      <c r="D1609" s="43" t="s">
        <v>16510</v>
      </c>
    </row>
    <row r="1610" spans="3:4" x14ac:dyDescent="0.3">
      <c r="C1610" s="43" t="s">
        <v>38353</v>
      </c>
      <c r="D1610" s="43" t="s">
        <v>16513</v>
      </c>
    </row>
    <row r="1611" spans="3:4" x14ac:dyDescent="0.3">
      <c r="C1611" s="43" t="s">
        <v>38353</v>
      </c>
      <c r="D1611" s="43" t="s">
        <v>16521</v>
      </c>
    </row>
    <row r="1612" spans="3:4" x14ac:dyDescent="0.3">
      <c r="C1612" s="43" t="s">
        <v>38353</v>
      </c>
      <c r="D1612" s="43" t="s">
        <v>16540</v>
      </c>
    </row>
    <row r="1613" spans="3:4" x14ac:dyDescent="0.3">
      <c r="C1613" s="43" t="s">
        <v>38353</v>
      </c>
      <c r="D1613" s="43" t="s">
        <v>16550</v>
      </c>
    </row>
    <row r="1614" spans="3:4" x14ac:dyDescent="0.3">
      <c r="C1614" s="43" t="s">
        <v>38353</v>
      </c>
      <c r="D1614" s="43" t="s">
        <v>16561</v>
      </c>
    </row>
    <row r="1615" spans="3:4" x14ac:dyDescent="0.3">
      <c r="C1615" s="43" t="s">
        <v>38353</v>
      </c>
      <c r="D1615" s="43" t="s">
        <v>16570</v>
      </c>
    </row>
    <row r="1616" spans="3:4" x14ac:dyDescent="0.3">
      <c r="C1616" s="43" t="s">
        <v>38353</v>
      </c>
      <c r="D1616" s="43" t="s">
        <v>16577</v>
      </c>
    </row>
    <row r="1617" spans="3:4" x14ac:dyDescent="0.3">
      <c r="C1617" s="43" t="s">
        <v>38353</v>
      </c>
      <c r="D1617" s="43" t="s">
        <v>16583</v>
      </c>
    </row>
    <row r="1618" spans="3:4" x14ac:dyDescent="0.3">
      <c r="C1618" s="43" t="s">
        <v>38353</v>
      </c>
      <c r="D1618" s="43" t="s">
        <v>16588</v>
      </c>
    </row>
    <row r="1619" spans="3:4" x14ac:dyDescent="0.3">
      <c r="C1619" s="43" t="s">
        <v>38353</v>
      </c>
      <c r="D1619" s="43" t="s">
        <v>16734</v>
      </c>
    </row>
    <row r="1620" spans="3:4" x14ac:dyDescent="0.3">
      <c r="C1620" s="43" t="s">
        <v>38353</v>
      </c>
      <c r="D1620" s="43" t="s">
        <v>16740</v>
      </c>
    </row>
    <row r="1621" spans="3:4" x14ac:dyDescent="0.3">
      <c r="C1621" s="43" t="s">
        <v>38353</v>
      </c>
      <c r="D1621" s="43" t="s">
        <v>16749</v>
      </c>
    </row>
    <row r="1622" spans="3:4" x14ac:dyDescent="0.3">
      <c r="C1622" s="43" t="s">
        <v>38353</v>
      </c>
      <c r="D1622" s="43" t="s">
        <v>16755</v>
      </c>
    </row>
    <row r="1623" spans="3:4" x14ac:dyDescent="0.3">
      <c r="C1623" s="43" t="s">
        <v>38353</v>
      </c>
      <c r="D1623" s="43" t="s">
        <v>16760</v>
      </c>
    </row>
    <row r="1624" spans="3:4" x14ac:dyDescent="0.3">
      <c r="C1624" s="43" t="s">
        <v>38353</v>
      </c>
      <c r="D1624" s="43" t="s">
        <v>16765</v>
      </c>
    </row>
    <row r="1625" spans="3:4" x14ac:dyDescent="0.3">
      <c r="C1625" s="43" t="s">
        <v>38353</v>
      </c>
      <c r="D1625" s="43" t="s">
        <v>16768</v>
      </c>
    </row>
    <row r="1626" spans="3:4" x14ac:dyDescent="0.3">
      <c r="C1626" s="43" t="s">
        <v>38353</v>
      </c>
      <c r="D1626" s="43" t="s">
        <v>16773</v>
      </c>
    </row>
    <row r="1627" spans="3:4" x14ac:dyDescent="0.3">
      <c r="C1627" s="43" t="s">
        <v>38353</v>
      </c>
      <c r="D1627" s="43" t="s">
        <v>16775</v>
      </c>
    </row>
    <row r="1628" spans="3:4" x14ac:dyDescent="0.3">
      <c r="C1628" s="43" t="s">
        <v>38353</v>
      </c>
      <c r="D1628" s="43" t="s">
        <v>16794</v>
      </c>
    </row>
    <row r="1629" spans="3:4" x14ac:dyDescent="0.3">
      <c r="C1629" s="43" t="s">
        <v>38353</v>
      </c>
      <c r="D1629" s="43" t="s">
        <v>16929</v>
      </c>
    </row>
    <row r="1630" spans="3:4" x14ac:dyDescent="0.3">
      <c r="C1630" s="43" t="s">
        <v>38353</v>
      </c>
      <c r="D1630" s="43" t="s">
        <v>16938</v>
      </c>
    </row>
    <row r="1631" spans="3:4" x14ac:dyDescent="0.3">
      <c r="C1631" s="43" t="s">
        <v>38353</v>
      </c>
      <c r="D1631" s="43" t="s">
        <v>17293</v>
      </c>
    </row>
    <row r="1632" spans="3:4" x14ac:dyDescent="0.3">
      <c r="C1632" s="43" t="s">
        <v>38353</v>
      </c>
      <c r="D1632" s="43" t="s">
        <v>39778</v>
      </c>
    </row>
    <row r="1633" spans="3:4" x14ac:dyDescent="0.3">
      <c r="C1633" s="43" t="s">
        <v>38353</v>
      </c>
      <c r="D1633" s="43" t="s">
        <v>18402</v>
      </c>
    </row>
    <row r="1634" spans="3:4" x14ac:dyDescent="0.3">
      <c r="C1634" s="43" t="s">
        <v>38353</v>
      </c>
      <c r="D1634" s="43" t="s">
        <v>16103</v>
      </c>
    </row>
    <row r="1635" spans="3:4" x14ac:dyDescent="0.3">
      <c r="C1635" s="43" t="s">
        <v>38353</v>
      </c>
      <c r="D1635" s="43" t="s">
        <v>16106</v>
      </c>
    </row>
    <row r="1636" spans="3:4" x14ac:dyDescent="0.3">
      <c r="C1636" s="43" t="s">
        <v>38353</v>
      </c>
      <c r="D1636" s="43" t="s">
        <v>16108</v>
      </c>
    </row>
    <row r="1637" spans="3:4" x14ac:dyDescent="0.3">
      <c r="C1637" s="43" t="s">
        <v>38353</v>
      </c>
      <c r="D1637" s="43" t="s">
        <v>16111</v>
      </c>
    </row>
    <row r="1638" spans="3:4" x14ac:dyDescent="0.3">
      <c r="C1638" s="43" t="s">
        <v>38353</v>
      </c>
      <c r="D1638" s="43" t="s">
        <v>16722</v>
      </c>
    </row>
    <row r="1639" spans="3:4" x14ac:dyDescent="0.3">
      <c r="C1639" s="43" t="s">
        <v>38353</v>
      </c>
      <c r="D1639" s="43" t="s">
        <v>17220</v>
      </c>
    </row>
    <row r="1640" spans="3:4" x14ac:dyDescent="0.3">
      <c r="C1640" s="43" t="s">
        <v>38353</v>
      </c>
      <c r="D1640" s="43" t="s">
        <v>19016</v>
      </c>
    </row>
    <row r="1641" spans="3:4" x14ac:dyDescent="0.3">
      <c r="C1641" s="43" t="s">
        <v>38353</v>
      </c>
      <c r="D1641" s="43" t="s">
        <v>19018</v>
      </c>
    </row>
    <row r="1642" spans="3:4" x14ac:dyDescent="0.3">
      <c r="C1642" s="43" t="s">
        <v>38353</v>
      </c>
      <c r="D1642" s="43" t="s">
        <v>19020</v>
      </c>
    </row>
    <row r="1643" spans="3:4" x14ac:dyDescent="0.3">
      <c r="C1643" s="43" t="s">
        <v>38353</v>
      </c>
      <c r="D1643" s="43" t="s">
        <v>19022</v>
      </c>
    </row>
    <row r="1644" spans="3:4" x14ac:dyDescent="0.3">
      <c r="C1644" s="43" t="s">
        <v>38353</v>
      </c>
      <c r="D1644" s="43" t="s">
        <v>17381</v>
      </c>
    </row>
    <row r="1645" spans="3:4" x14ac:dyDescent="0.3">
      <c r="C1645" s="43" t="s">
        <v>38353</v>
      </c>
      <c r="D1645" s="43" t="s">
        <v>17384</v>
      </c>
    </row>
    <row r="1646" spans="3:4" x14ac:dyDescent="0.3">
      <c r="C1646" s="43" t="s">
        <v>38353</v>
      </c>
      <c r="D1646" s="43" t="s">
        <v>39779</v>
      </c>
    </row>
    <row r="1647" spans="3:4" x14ac:dyDescent="0.3">
      <c r="C1647" s="43" t="s">
        <v>38353</v>
      </c>
      <c r="D1647" s="43" t="s">
        <v>39780</v>
      </c>
    </row>
    <row r="1648" spans="3:4" x14ac:dyDescent="0.3">
      <c r="C1648" s="43" t="s">
        <v>38353</v>
      </c>
      <c r="D1648" s="43" t="s">
        <v>39781</v>
      </c>
    </row>
    <row r="1649" spans="3:4" x14ac:dyDescent="0.3">
      <c r="C1649" s="43" t="s">
        <v>38353</v>
      </c>
      <c r="D1649" s="43" t="s">
        <v>39782</v>
      </c>
    </row>
    <row r="1650" spans="3:4" x14ac:dyDescent="0.3">
      <c r="C1650" s="43" t="s">
        <v>38353</v>
      </c>
      <c r="D1650" s="43" t="s">
        <v>39783</v>
      </c>
    </row>
    <row r="1651" spans="3:4" x14ac:dyDescent="0.3">
      <c r="C1651" s="43" t="s">
        <v>38353</v>
      </c>
      <c r="D1651" s="43" t="s">
        <v>39784</v>
      </c>
    </row>
    <row r="1652" spans="3:4" x14ac:dyDescent="0.3">
      <c r="C1652" s="43" t="s">
        <v>38353</v>
      </c>
      <c r="D1652" s="43" t="s">
        <v>39785</v>
      </c>
    </row>
    <row r="1653" spans="3:4" x14ac:dyDescent="0.3">
      <c r="C1653" s="43" t="s">
        <v>38353</v>
      </c>
      <c r="D1653" s="43" t="s">
        <v>39786</v>
      </c>
    </row>
    <row r="1654" spans="3:4" x14ac:dyDescent="0.3">
      <c r="C1654" s="43" t="s">
        <v>38353</v>
      </c>
      <c r="D1654" s="43" t="s">
        <v>39787</v>
      </c>
    </row>
    <row r="1655" spans="3:4" x14ac:dyDescent="0.3">
      <c r="C1655" s="43" t="s">
        <v>38353</v>
      </c>
      <c r="D1655" s="43" t="s">
        <v>39788</v>
      </c>
    </row>
    <row r="1656" spans="3:4" x14ac:dyDescent="0.3">
      <c r="C1656" s="43" t="s">
        <v>38353</v>
      </c>
      <c r="D1656" s="43" t="s">
        <v>39789</v>
      </c>
    </row>
    <row r="1657" spans="3:4" x14ac:dyDescent="0.3">
      <c r="C1657" s="43" t="s">
        <v>38353</v>
      </c>
      <c r="D1657" s="43" t="s">
        <v>39790</v>
      </c>
    </row>
    <row r="1658" spans="3:4" x14ac:dyDescent="0.3">
      <c r="C1658" s="43" t="s">
        <v>38353</v>
      </c>
      <c r="D1658" s="43" t="s">
        <v>39791</v>
      </c>
    </row>
    <row r="1659" spans="3:4" x14ac:dyDescent="0.3">
      <c r="C1659" s="43" t="s">
        <v>38353</v>
      </c>
      <c r="D1659" s="43" t="s">
        <v>16798</v>
      </c>
    </row>
    <row r="1660" spans="3:4" x14ac:dyDescent="0.3">
      <c r="C1660" s="43" t="s">
        <v>38353</v>
      </c>
      <c r="D1660" s="43" t="s">
        <v>16931</v>
      </c>
    </row>
    <row r="1661" spans="3:4" x14ac:dyDescent="0.3">
      <c r="C1661" s="43" t="s">
        <v>38353</v>
      </c>
      <c r="D1661" s="43" t="s">
        <v>39792</v>
      </c>
    </row>
    <row r="1662" spans="3:4" x14ac:dyDescent="0.3">
      <c r="C1662" s="43" t="s">
        <v>38353</v>
      </c>
      <c r="D1662" s="43" t="s">
        <v>39793</v>
      </c>
    </row>
    <row r="1663" spans="3:4" x14ac:dyDescent="0.3">
      <c r="C1663" s="43" t="s">
        <v>38353</v>
      </c>
      <c r="D1663" s="43" t="s">
        <v>39794</v>
      </c>
    </row>
    <row r="1664" spans="3:4" x14ac:dyDescent="0.3">
      <c r="C1664" s="43" t="s">
        <v>38353</v>
      </c>
      <c r="D1664" s="43" t="s">
        <v>16244</v>
      </c>
    </row>
    <row r="1665" spans="3:4" x14ac:dyDescent="0.3">
      <c r="C1665" s="43" t="s">
        <v>38353</v>
      </c>
      <c r="D1665" s="43" t="s">
        <v>17058</v>
      </c>
    </row>
    <row r="1666" spans="3:4" x14ac:dyDescent="0.3">
      <c r="C1666" s="43" t="s">
        <v>38353</v>
      </c>
      <c r="D1666" s="43" t="s">
        <v>17103</v>
      </c>
    </row>
    <row r="1667" spans="3:4" x14ac:dyDescent="0.3">
      <c r="C1667" s="43" t="s">
        <v>38353</v>
      </c>
      <c r="D1667" s="43" t="s">
        <v>39795</v>
      </c>
    </row>
    <row r="1668" spans="3:4" x14ac:dyDescent="0.3">
      <c r="C1668" s="43" t="s">
        <v>38353</v>
      </c>
      <c r="D1668" s="43" t="s">
        <v>39796</v>
      </c>
    </row>
    <row r="1669" spans="3:4" x14ac:dyDescent="0.3">
      <c r="C1669" s="43" t="s">
        <v>38353</v>
      </c>
      <c r="D1669" s="43" t="s">
        <v>39797</v>
      </c>
    </row>
    <row r="1670" spans="3:4" x14ac:dyDescent="0.3">
      <c r="C1670" s="43" t="s">
        <v>38353</v>
      </c>
      <c r="D1670" s="43" t="s">
        <v>39798</v>
      </c>
    </row>
    <row r="1671" spans="3:4" x14ac:dyDescent="0.3">
      <c r="C1671" s="43" t="s">
        <v>38353</v>
      </c>
      <c r="D1671" s="43" t="s">
        <v>39799</v>
      </c>
    </row>
    <row r="1672" spans="3:4" x14ac:dyDescent="0.3">
      <c r="C1672" s="43" t="s">
        <v>38353</v>
      </c>
      <c r="D1672" s="43" t="s">
        <v>39800</v>
      </c>
    </row>
    <row r="1673" spans="3:4" x14ac:dyDescent="0.3">
      <c r="C1673" s="43" t="s">
        <v>38353</v>
      </c>
      <c r="D1673" s="43" t="s">
        <v>39801</v>
      </c>
    </row>
    <row r="1674" spans="3:4" x14ac:dyDescent="0.3">
      <c r="C1674" s="43" t="s">
        <v>38353</v>
      </c>
      <c r="D1674" s="43" t="s">
        <v>39802</v>
      </c>
    </row>
    <row r="1675" spans="3:4" x14ac:dyDescent="0.3">
      <c r="C1675" s="43" t="s">
        <v>38353</v>
      </c>
      <c r="D1675" s="43" t="s">
        <v>39803</v>
      </c>
    </row>
    <row r="1676" spans="3:4" x14ac:dyDescent="0.3">
      <c r="C1676" s="43" t="s">
        <v>38353</v>
      </c>
      <c r="D1676" s="43" t="s">
        <v>39804</v>
      </c>
    </row>
    <row r="1677" spans="3:4" x14ac:dyDescent="0.3">
      <c r="C1677" s="43" t="s">
        <v>38353</v>
      </c>
      <c r="D1677" s="43" t="s">
        <v>39805</v>
      </c>
    </row>
    <row r="1678" spans="3:4" x14ac:dyDescent="0.3">
      <c r="C1678" s="43" t="s">
        <v>38353</v>
      </c>
      <c r="D1678" s="43" t="s">
        <v>39806</v>
      </c>
    </row>
    <row r="1679" spans="3:4" x14ac:dyDescent="0.3">
      <c r="C1679" s="43" t="s">
        <v>38353</v>
      </c>
      <c r="D1679" s="43" t="s">
        <v>39807</v>
      </c>
    </row>
    <row r="1680" spans="3:4" x14ac:dyDescent="0.3">
      <c r="C1680" s="43" t="s">
        <v>38353</v>
      </c>
      <c r="D1680" s="43" t="s">
        <v>18317</v>
      </c>
    </row>
    <row r="1681" spans="3:4" x14ac:dyDescent="0.3">
      <c r="C1681" s="43" t="s">
        <v>38353</v>
      </c>
      <c r="D1681" s="43" t="s">
        <v>39808</v>
      </c>
    </row>
    <row r="1682" spans="3:4" x14ac:dyDescent="0.3">
      <c r="C1682" s="43" t="s">
        <v>38353</v>
      </c>
      <c r="D1682" s="43" t="s">
        <v>18404</v>
      </c>
    </row>
    <row r="1683" spans="3:4" x14ac:dyDescent="0.3">
      <c r="C1683" s="43" t="s">
        <v>38353</v>
      </c>
      <c r="D1683" s="43" t="s">
        <v>39809</v>
      </c>
    </row>
    <row r="1684" spans="3:4" x14ac:dyDescent="0.3">
      <c r="C1684" s="43" t="s">
        <v>38353</v>
      </c>
      <c r="D1684" s="43" t="s">
        <v>39810</v>
      </c>
    </row>
    <row r="1685" spans="3:4" x14ac:dyDescent="0.3">
      <c r="C1685" s="43" t="s">
        <v>38353</v>
      </c>
      <c r="D1685" s="43" t="s">
        <v>39811</v>
      </c>
    </row>
    <row r="1686" spans="3:4" x14ac:dyDescent="0.3">
      <c r="C1686" s="43" t="s">
        <v>38353</v>
      </c>
      <c r="D1686" s="43" t="s">
        <v>39812</v>
      </c>
    </row>
    <row r="1687" spans="3:4" x14ac:dyDescent="0.3">
      <c r="C1687" s="43" t="s">
        <v>38353</v>
      </c>
      <c r="D1687" s="43" t="s">
        <v>39813</v>
      </c>
    </row>
    <row r="1688" spans="3:4" x14ac:dyDescent="0.3">
      <c r="C1688" s="43" t="s">
        <v>38353</v>
      </c>
      <c r="D1688" s="43" t="s">
        <v>39814</v>
      </c>
    </row>
    <row r="1689" spans="3:4" x14ac:dyDescent="0.3">
      <c r="C1689" s="43" t="s">
        <v>38353</v>
      </c>
      <c r="D1689" s="43" t="s">
        <v>39815</v>
      </c>
    </row>
    <row r="1690" spans="3:4" x14ac:dyDescent="0.3">
      <c r="C1690" s="43" t="s">
        <v>38353</v>
      </c>
      <c r="D1690" s="43" t="s">
        <v>39816</v>
      </c>
    </row>
    <row r="1691" spans="3:4" x14ac:dyDescent="0.3">
      <c r="C1691" s="43" t="s">
        <v>38353</v>
      </c>
      <c r="D1691" s="43" t="s">
        <v>18299</v>
      </c>
    </row>
    <row r="1692" spans="3:4" x14ac:dyDescent="0.3">
      <c r="C1692" s="43" t="s">
        <v>38353</v>
      </c>
      <c r="D1692" s="43" t="s">
        <v>16248</v>
      </c>
    </row>
    <row r="1693" spans="3:4" x14ac:dyDescent="0.3">
      <c r="C1693" s="43" t="s">
        <v>38353</v>
      </c>
      <c r="D1693" s="43" t="s">
        <v>39817</v>
      </c>
    </row>
    <row r="1694" spans="3:4" x14ac:dyDescent="0.3">
      <c r="C1694" s="43" t="s">
        <v>38353</v>
      </c>
      <c r="D1694" s="43" t="s">
        <v>39818</v>
      </c>
    </row>
    <row r="1695" spans="3:4" x14ac:dyDescent="0.3">
      <c r="C1695" s="43" t="s">
        <v>38353</v>
      </c>
      <c r="D1695" s="43" t="s">
        <v>39819</v>
      </c>
    </row>
    <row r="1696" spans="3:4" x14ac:dyDescent="0.3">
      <c r="C1696" s="43" t="s">
        <v>38353</v>
      </c>
      <c r="D1696" s="43" t="s">
        <v>39820</v>
      </c>
    </row>
    <row r="1697" spans="3:4" x14ac:dyDescent="0.3">
      <c r="C1697" s="43" t="s">
        <v>38353</v>
      </c>
      <c r="D1697" s="43" t="s">
        <v>39821</v>
      </c>
    </row>
    <row r="1698" spans="3:4" x14ac:dyDescent="0.3">
      <c r="C1698" s="43" t="s">
        <v>38353</v>
      </c>
      <c r="D1698" s="43" t="s">
        <v>18428</v>
      </c>
    </row>
    <row r="1699" spans="3:4" x14ac:dyDescent="0.3">
      <c r="C1699" s="43" t="s">
        <v>38353</v>
      </c>
      <c r="D1699" s="43" t="s">
        <v>18431</v>
      </c>
    </row>
    <row r="1700" spans="3:4" x14ac:dyDescent="0.3">
      <c r="C1700" s="43" t="s">
        <v>38353</v>
      </c>
      <c r="D1700" s="43" t="s">
        <v>39822</v>
      </c>
    </row>
    <row r="1701" spans="3:4" x14ac:dyDescent="0.3">
      <c r="C1701" s="43" t="s">
        <v>38353</v>
      </c>
      <c r="D1701" s="43" t="s">
        <v>39823</v>
      </c>
    </row>
    <row r="1702" spans="3:4" x14ac:dyDescent="0.3">
      <c r="C1702" s="43" t="s">
        <v>38353</v>
      </c>
      <c r="D1702" s="43" t="s">
        <v>39824</v>
      </c>
    </row>
    <row r="1703" spans="3:4" x14ac:dyDescent="0.3">
      <c r="C1703" s="43" t="s">
        <v>38353</v>
      </c>
      <c r="D1703" s="43" t="s">
        <v>39825</v>
      </c>
    </row>
    <row r="1704" spans="3:4" x14ac:dyDescent="0.3">
      <c r="C1704" s="43" t="s">
        <v>38353</v>
      </c>
      <c r="D1704" s="43" t="s">
        <v>16732</v>
      </c>
    </row>
    <row r="1705" spans="3:4" x14ac:dyDescent="0.3">
      <c r="C1705" s="43" t="s">
        <v>38353</v>
      </c>
      <c r="D1705" s="43" t="s">
        <v>16830</v>
      </c>
    </row>
    <row r="1706" spans="3:4" x14ac:dyDescent="0.3">
      <c r="C1706" s="43" t="s">
        <v>38353</v>
      </c>
      <c r="D1706" s="43" t="s">
        <v>17222</v>
      </c>
    </row>
    <row r="1707" spans="3:4" x14ac:dyDescent="0.3">
      <c r="C1707" s="43" t="s">
        <v>38353</v>
      </c>
      <c r="D1707" s="43" t="s">
        <v>39826</v>
      </c>
    </row>
    <row r="1708" spans="3:4" x14ac:dyDescent="0.3">
      <c r="C1708" s="43" t="s">
        <v>38353</v>
      </c>
      <c r="D1708" s="43" t="s">
        <v>16840</v>
      </c>
    </row>
    <row r="1709" spans="3:4" x14ac:dyDescent="0.3">
      <c r="C1709" s="43" t="s">
        <v>38353</v>
      </c>
      <c r="D1709" s="43" t="s">
        <v>39827</v>
      </c>
    </row>
    <row r="1710" spans="3:4" x14ac:dyDescent="0.3">
      <c r="C1710" s="43" t="s">
        <v>38353</v>
      </c>
      <c r="D1710" s="43" t="s">
        <v>39828</v>
      </c>
    </row>
    <row r="1711" spans="3:4" x14ac:dyDescent="0.3">
      <c r="C1711" s="43" t="s">
        <v>38353</v>
      </c>
      <c r="D1711" s="43" t="s">
        <v>39829</v>
      </c>
    </row>
    <row r="1712" spans="3:4" x14ac:dyDescent="0.3">
      <c r="C1712" s="43" t="s">
        <v>38353</v>
      </c>
      <c r="D1712" s="43" t="s">
        <v>39830</v>
      </c>
    </row>
    <row r="1713" spans="3:4" x14ac:dyDescent="0.3">
      <c r="C1713" s="43" t="s">
        <v>38353</v>
      </c>
      <c r="D1713" s="43" t="s">
        <v>39831</v>
      </c>
    </row>
    <row r="1714" spans="3:4" x14ac:dyDescent="0.3">
      <c r="C1714" s="43" t="s">
        <v>38353</v>
      </c>
      <c r="D1714" s="43" t="s">
        <v>39832</v>
      </c>
    </row>
    <row r="1715" spans="3:4" x14ac:dyDescent="0.3">
      <c r="C1715" s="43" t="s">
        <v>38353</v>
      </c>
      <c r="D1715" s="43" t="s">
        <v>39833</v>
      </c>
    </row>
    <row r="1716" spans="3:4" x14ac:dyDescent="0.3">
      <c r="C1716" s="43" t="s">
        <v>38353</v>
      </c>
      <c r="D1716" s="43" t="s">
        <v>16258</v>
      </c>
    </row>
    <row r="1717" spans="3:4" x14ac:dyDescent="0.3">
      <c r="C1717" s="43" t="s">
        <v>38353</v>
      </c>
      <c r="D1717" s="43" t="s">
        <v>16771</v>
      </c>
    </row>
    <row r="1718" spans="3:4" x14ac:dyDescent="0.3">
      <c r="C1718" s="43" t="s">
        <v>38353</v>
      </c>
      <c r="D1718" s="43" t="s">
        <v>17129</v>
      </c>
    </row>
    <row r="1719" spans="3:4" x14ac:dyDescent="0.3">
      <c r="C1719" s="43" t="s">
        <v>38353</v>
      </c>
      <c r="D1719" s="43" t="s">
        <v>16990</v>
      </c>
    </row>
    <row r="1720" spans="3:4" x14ac:dyDescent="0.3">
      <c r="C1720" s="43" t="s">
        <v>38353</v>
      </c>
      <c r="D1720" s="43" t="s">
        <v>18433</v>
      </c>
    </row>
    <row r="1721" spans="3:4" x14ac:dyDescent="0.3">
      <c r="C1721" s="43" t="s">
        <v>38353</v>
      </c>
      <c r="D1721" s="43" t="s">
        <v>18443</v>
      </c>
    </row>
    <row r="1722" spans="3:4" x14ac:dyDescent="0.3">
      <c r="C1722" s="43" t="s">
        <v>38353</v>
      </c>
      <c r="D1722" s="43" t="s">
        <v>16984</v>
      </c>
    </row>
    <row r="1723" spans="3:4" x14ac:dyDescent="0.3">
      <c r="C1723" s="43" t="s">
        <v>38353</v>
      </c>
      <c r="D1723" s="43" t="s">
        <v>39834</v>
      </c>
    </row>
    <row r="1724" spans="3:4" x14ac:dyDescent="0.3">
      <c r="C1724" s="43" t="s">
        <v>38353</v>
      </c>
      <c r="D1724" s="43" t="s">
        <v>39835</v>
      </c>
    </row>
    <row r="1725" spans="3:4" x14ac:dyDescent="0.3">
      <c r="C1725" s="43" t="s">
        <v>38353</v>
      </c>
      <c r="D1725" s="43" t="s">
        <v>39836</v>
      </c>
    </row>
    <row r="1726" spans="3:4" x14ac:dyDescent="0.3">
      <c r="C1726" s="43" t="s">
        <v>38353</v>
      </c>
      <c r="D1726" s="43" t="s">
        <v>16337</v>
      </c>
    </row>
    <row r="1727" spans="3:4" x14ac:dyDescent="0.3">
      <c r="C1727" s="43" t="s">
        <v>38353</v>
      </c>
      <c r="D1727" s="43" t="s">
        <v>16340</v>
      </c>
    </row>
    <row r="1728" spans="3:4" x14ac:dyDescent="0.3">
      <c r="C1728" s="43" t="s">
        <v>38353</v>
      </c>
      <c r="D1728" s="43" t="s">
        <v>16855</v>
      </c>
    </row>
    <row r="1729" spans="3:4" x14ac:dyDescent="0.3">
      <c r="C1729" s="43" t="s">
        <v>38353</v>
      </c>
      <c r="D1729" s="43" t="s">
        <v>17178</v>
      </c>
    </row>
    <row r="1730" spans="3:4" x14ac:dyDescent="0.3">
      <c r="C1730" s="43" t="s">
        <v>38353</v>
      </c>
      <c r="D1730" s="43" t="s">
        <v>17182</v>
      </c>
    </row>
    <row r="1731" spans="3:4" x14ac:dyDescent="0.3">
      <c r="C1731" s="43" t="s">
        <v>38353</v>
      </c>
      <c r="D1731" s="43" t="s">
        <v>17185</v>
      </c>
    </row>
    <row r="1732" spans="3:4" x14ac:dyDescent="0.3">
      <c r="C1732" s="43" t="s">
        <v>38353</v>
      </c>
      <c r="D1732" s="43" t="s">
        <v>17188</v>
      </c>
    </row>
    <row r="1733" spans="3:4" x14ac:dyDescent="0.3">
      <c r="C1733" s="43" t="s">
        <v>38353</v>
      </c>
      <c r="D1733" s="43" t="s">
        <v>17192</v>
      </c>
    </row>
    <row r="1734" spans="3:4" x14ac:dyDescent="0.3">
      <c r="C1734" s="43" t="s">
        <v>38353</v>
      </c>
      <c r="D1734" s="43" t="s">
        <v>17195</v>
      </c>
    </row>
    <row r="1735" spans="3:4" x14ac:dyDescent="0.3">
      <c r="C1735" s="43" t="s">
        <v>38353</v>
      </c>
      <c r="D1735" s="43" t="s">
        <v>17198</v>
      </c>
    </row>
    <row r="1736" spans="3:4" x14ac:dyDescent="0.3">
      <c r="C1736" s="43" t="s">
        <v>38353</v>
      </c>
      <c r="D1736" s="43" t="s">
        <v>17201</v>
      </c>
    </row>
    <row r="1737" spans="3:4" x14ac:dyDescent="0.3">
      <c r="C1737" s="43" t="s">
        <v>38353</v>
      </c>
      <c r="D1737" s="43" t="s">
        <v>17204</v>
      </c>
    </row>
    <row r="1738" spans="3:4" x14ac:dyDescent="0.3">
      <c r="C1738" s="43" t="s">
        <v>38353</v>
      </c>
      <c r="D1738" s="43" t="s">
        <v>17207</v>
      </c>
    </row>
    <row r="1739" spans="3:4" x14ac:dyDescent="0.3">
      <c r="C1739" s="43" t="s">
        <v>38353</v>
      </c>
      <c r="D1739" s="43" t="s">
        <v>17210</v>
      </c>
    </row>
    <row r="1740" spans="3:4" x14ac:dyDescent="0.3">
      <c r="C1740" s="43" t="s">
        <v>38353</v>
      </c>
      <c r="D1740" s="43" t="s">
        <v>17213</v>
      </c>
    </row>
    <row r="1741" spans="3:4" x14ac:dyDescent="0.3">
      <c r="C1741" s="43" t="s">
        <v>38353</v>
      </c>
      <c r="D1741" s="43" t="s">
        <v>17216</v>
      </c>
    </row>
    <row r="1742" spans="3:4" x14ac:dyDescent="0.3">
      <c r="C1742" s="43" t="s">
        <v>38353</v>
      </c>
      <c r="D1742" s="43" t="s">
        <v>17218</v>
      </c>
    </row>
    <row r="1743" spans="3:4" x14ac:dyDescent="0.3">
      <c r="C1743" s="43" t="s">
        <v>38353</v>
      </c>
      <c r="D1743" s="43" t="s">
        <v>39837</v>
      </c>
    </row>
    <row r="1744" spans="3:4" x14ac:dyDescent="0.3">
      <c r="C1744" s="43" t="s">
        <v>38353</v>
      </c>
      <c r="D1744" s="43" t="s">
        <v>18328</v>
      </c>
    </row>
    <row r="1745" spans="3:4" x14ac:dyDescent="0.3">
      <c r="C1745" s="43" t="s">
        <v>38353</v>
      </c>
      <c r="D1745" s="43" t="s">
        <v>18331</v>
      </c>
    </row>
    <row r="1746" spans="3:4" x14ac:dyDescent="0.3">
      <c r="C1746" s="43" t="s">
        <v>38353</v>
      </c>
      <c r="D1746" s="43" t="s">
        <v>17002</v>
      </c>
    </row>
    <row r="1747" spans="3:4" x14ac:dyDescent="0.3">
      <c r="C1747" s="43" t="s">
        <v>38353</v>
      </c>
      <c r="D1747" s="43" t="s">
        <v>18335</v>
      </c>
    </row>
    <row r="1748" spans="3:4" x14ac:dyDescent="0.3">
      <c r="C1748" s="43" t="s">
        <v>38353</v>
      </c>
      <c r="D1748" s="43" t="s">
        <v>18458</v>
      </c>
    </row>
    <row r="1749" spans="3:4" x14ac:dyDescent="0.3">
      <c r="C1749" s="43" t="s">
        <v>38353</v>
      </c>
      <c r="D1749" s="43" t="s">
        <v>18468</v>
      </c>
    </row>
    <row r="1750" spans="3:4" x14ac:dyDescent="0.3">
      <c r="C1750" s="43" t="s">
        <v>38353</v>
      </c>
      <c r="D1750" s="43" t="s">
        <v>18482</v>
      </c>
    </row>
    <row r="1751" spans="3:4" x14ac:dyDescent="0.3">
      <c r="C1751" s="43" t="s">
        <v>38353</v>
      </c>
      <c r="D1751" s="43" t="s">
        <v>18333</v>
      </c>
    </row>
    <row r="1752" spans="3:4" x14ac:dyDescent="0.3">
      <c r="C1752" s="43" t="s">
        <v>38353</v>
      </c>
      <c r="D1752" s="43" t="s">
        <v>16262</v>
      </c>
    </row>
    <row r="1753" spans="3:4" x14ac:dyDescent="0.3">
      <c r="C1753" s="43" t="s">
        <v>38353</v>
      </c>
      <c r="D1753" s="43" t="s">
        <v>39838</v>
      </c>
    </row>
    <row r="1754" spans="3:4" x14ac:dyDescent="0.3">
      <c r="C1754" s="43" t="s">
        <v>38353</v>
      </c>
      <c r="D1754" s="43" t="s">
        <v>39839</v>
      </c>
    </row>
    <row r="1755" spans="3:4" x14ac:dyDescent="0.3">
      <c r="C1755" s="43" t="s">
        <v>38353</v>
      </c>
      <c r="D1755" s="43" t="s">
        <v>16846</v>
      </c>
    </row>
    <row r="1756" spans="3:4" x14ac:dyDescent="0.3">
      <c r="C1756" s="43" t="s">
        <v>38353</v>
      </c>
      <c r="D1756" s="43" t="s">
        <v>17063</v>
      </c>
    </row>
    <row r="1757" spans="3:4" x14ac:dyDescent="0.3">
      <c r="C1757" s="43" t="s">
        <v>38353</v>
      </c>
      <c r="D1757" s="43" t="s">
        <v>17108</v>
      </c>
    </row>
    <row r="1758" spans="3:4" x14ac:dyDescent="0.3">
      <c r="C1758" s="43" t="s">
        <v>38353</v>
      </c>
      <c r="D1758" s="43" t="s">
        <v>17286</v>
      </c>
    </row>
    <row r="1759" spans="3:4" x14ac:dyDescent="0.3">
      <c r="C1759" s="43" t="s">
        <v>38353</v>
      </c>
      <c r="D1759" s="43" t="s">
        <v>39840</v>
      </c>
    </row>
    <row r="1760" spans="3:4" x14ac:dyDescent="0.3">
      <c r="C1760" s="43" t="s">
        <v>38353</v>
      </c>
      <c r="D1760" s="43" t="s">
        <v>39841</v>
      </c>
    </row>
    <row r="1761" spans="3:4" x14ac:dyDescent="0.3">
      <c r="C1761" s="43" t="s">
        <v>38353</v>
      </c>
      <c r="D1761" s="43" t="s">
        <v>39842</v>
      </c>
    </row>
    <row r="1762" spans="3:4" x14ac:dyDescent="0.3">
      <c r="C1762" s="43" t="s">
        <v>38353</v>
      </c>
      <c r="D1762" s="43" t="s">
        <v>39843</v>
      </c>
    </row>
    <row r="1763" spans="3:4" x14ac:dyDescent="0.3">
      <c r="C1763" s="43" t="s">
        <v>38353</v>
      </c>
      <c r="D1763" s="43" t="s">
        <v>39844</v>
      </c>
    </row>
    <row r="1764" spans="3:4" x14ac:dyDescent="0.3">
      <c r="C1764" s="43" t="s">
        <v>38353</v>
      </c>
      <c r="D1764" s="43" t="s">
        <v>39845</v>
      </c>
    </row>
    <row r="1765" spans="3:4" x14ac:dyDescent="0.3">
      <c r="C1765" s="43" t="s">
        <v>38353</v>
      </c>
      <c r="D1765" s="43" t="s">
        <v>39846</v>
      </c>
    </row>
    <row r="1766" spans="3:4" x14ac:dyDescent="0.3">
      <c r="C1766" s="43" t="s">
        <v>38353</v>
      </c>
      <c r="D1766" s="43" t="s">
        <v>18302</v>
      </c>
    </row>
    <row r="1767" spans="3:4" x14ac:dyDescent="0.3">
      <c r="C1767" s="43" t="s">
        <v>38353</v>
      </c>
      <c r="D1767" s="43" t="s">
        <v>18304</v>
      </c>
    </row>
    <row r="1768" spans="3:4" x14ac:dyDescent="0.3">
      <c r="C1768" s="43" t="s">
        <v>38353</v>
      </c>
      <c r="D1768" s="43" t="s">
        <v>18306</v>
      </c>
    </row>
    <row r="1769" spans="3:4" x14ac:dyDescent="0.3">
      <c r="C1769" s="43" t="s">
        <v>38353</v>
      </c>
      <c r="D1769" s="43" t="s">
        <v>18309</v>
      </c>
    </row>
    <row r="1770" spans="3:4" x14ac:dyDescent="0.3">
      <c r="C1770" s="43" t="s">
        <v>38353</v>
      </c>
      <c r="D1770" s="43" t="s">
        <v>39847</v>
      </c>
    </row>
    <row r="1771" spans="3:4" x14ac:dyDescent="0.3">
      <c r="C1771" s="43" t="s">
        <v>38353</v>
      </c>
      <c r="D1771" s="43" t="s">
        <v>39848</v>
      </c>
    </row>
    <row r="1772" spans="3:4" x14ac:dyDescent="0.3">
      <c r="C1772" s="43" t="s">
        <v>38353</v>
      </c>
      <c r="D1772" s="43" t="s">
        <v>16821</v>
      </c>
    </row>
    <row r="1773" spans="3:4" x14ac:dyDescent="0.3">
      <c r="C1773" s="43" t="s">
        <v>38353</v>
      </c>
      <c r="D1773" s="43" t="s">
        <v>16941</v>
      </c>
    </row>
    <row r="1774" spans="3:4" x14ac:dyDescent="0.3">
      <c r="C1774" s="43" t="s">
        <v>38353</v>
      </c>
      <c r="D1774" s="43" t="s">
        <v>17283</v>
      </c>
    </row>
    <row r="1775" spans="3:4" x14ac:dyDescent="0.3">
      <c r="C1775" s="43" t="s">
        <v>38353</v>
      </c>
      <c r="D1775" s="43" t="s">
        <v>9936</v>
      </c>
    </row>
    <row r="1776" spans="3:4" x14ac:dyDescent="0.3">
      <c r="C1776" s="43" t="s">
        <v>38353</v>
      </c>
      <c r="D1776" s="43" t="s">
        <v>9948</v>
      </c>
    </row>
    <row r="1777" spans="3:4" x14ac:dyDescent="0.3">
      <c r="C1777" s="43" t="s">
        <v>38353</v>
      </c>
      <c r="D1777" s="43" t="s">
        <v>10006</v>
      </c>
    </row>
    <row r="1778" spans="3:4" x14ac:dyDescent="0.3">
      <c r="C1778" s="43" t="s">
        <v>38353</v>
      </c>
      <c r="D1778" s="43" t="s">
        <v>10015</v>
      </c>
    </row>
    <row r="1779" spans="3:4" x14ac:dyDescent="0.3">
      <c r="C1779" s="43" t="s">
        <v>38353</v>
      </c>
      <c r="D1779" s="43" t="s">
        <v>10021</v>
      </c>
    </row>
    <row r="1780" spans="3:4" x14ac:dyDescent="0.3">
      <c r="C1780" s="43" t="s">
        <v>38353</v>
      </c>
      <c r="D1780" s="43" t="s">
        <v>39849</v>
      </c>
    </row>
    <row r="1781" spans="3:4" x14ac:dyDescent="0.3">
      <c r="C1781" s="43" t="s">
        <v>38353</v>
      </c>
      <c r="D1781" s="43" t="s">
        <v>39850</v>
      </c>
    </row>
    <row r="1782" spans="3:4" x14ac:dyDescent="0.3">
      <c r="C1782" s="43" t="s">
        <v>38353</v>
      </c>
      <c r="D1782" s="43" t="s">
        <v>16323</v>
      </c>
    </row>
    <row r="1783" spans="3:4" x14ac:dyDescent="0.3">
      <c r="C1783" s="43" t="s">
        <v>39851</v>
      </c>
      <c r="D1783" s="43" t="s">
        <v>39852</v>
      </c>
    </row>
    <row r="1784" spans="3:4" x14ac:dyDescent="0.3">
      <c r="C1784" s="43" t="s">
        <v>38353</v>
      </c>
      <c r="D1784" s="43" t="s">
        <v>39853</v>
      </c>
    </row>
    <row r="1785" spans="3:4" x14ac:dyDescent="0.3">
      <c r="C1785" s="43" t="s">
        <v>39851</v>
      </c>
      <c r="D1785" s="43" t="s">
        <v>39854</v>
      </c>
    </row>
    <row r="1786" spans="3:4" x14ac:dyDescent="0.3">
      <c r="C1786" s="43" t="s">
        <v>39851</v>
      </c>
      <c r="D1786" s="43" t="s">
        <v>39855</v>
      </c>
    </row>
    <row r="1787" spans="3:4" x14ac:dyDescent="0.3">
      <c r="C1787" s="43" t="s">
        <v>38353</v>
      </c>
      <c r="D1787" s="43" t="s">
        <v>39856</v>
      </c>
    </row>
    <row r="1788" spans="3:4" x14ac:dyDescent="0.3">
      <c r="C1788" s="43" t="s">
        <v>39851</v>
      </c>
      <c r="D1788" s="43" t="s">
        <v>39857</v>
      </c>
    </row>
    <row r="1789" spans="3:4" x14ac:dyDescent="0.3">
      <c r="C1789" s="43" t="s">
        <v>38353</v>
      </c>
      <c r="D1789" s="43" t="s">
        <v>39858</v>
      </c>
    </row>
    <row r="1790" spans="3:4" x14ac:dyDescent="0.3">
      <c r="C1790" s="43" t="s">
        <v>39851</v>
      </c>
      <c r="D1790" s="43" t="s">
        <v>39859</v>
      </c>
    </row>
    <row r="1791" spans="3:4" x14ac:dyDescent="0.3">
      <c r="C1791" s="43" t="s">
        <v>38353</v>
      </c>
      <c r="D1791" s="43" t="s">
        <v>39860</v>
      </c>
    </row>
    <row r="1792" spans="3:4" x14ac:dyDescent="0.3">
      <c r="C1792" s="43" t="s">
        <v>38353</v>
      </c>
      <c r="D1792" s="43" t="s">
        <v>39861</v>
      </c>
    </row>
    <row r="1793" spans="3:4" x14ac:dyDescent="0.3">
      <c r="C1793" s="43" t="s">
        <v>38353</v>
      </c>
      <c r="D1793" s="43" t="s">
        <v>39862</v>
      </c>
    </row>
    <row r="1794" spans="3:4" x14ac:dyDescent="0.3">
      <c r="C1794" s="43" t="s">
        <v>38353</v>
      </c>
      <c r="D1794" s="43" t="s">
        <v>39863</v>
      </c>
    </row>
    <row r="1795" spans="3:4" x14ac:dyDescent="0.3">
      <c r="C1795" s="43" t="s">
        <v>38353</v>
      </c>
      <c r="D1795" s="43" t="s">
        <v>39864</v>
      </c>
    </row>
    <row r="1796" spans="3:4" x14ac:dyDescent="0.3">
      <c r="C1796" s="43" t="s">
        <v>38353</v>
      </c>
      <c r="D1796" s="43" t="s">
        <v>39865</v>
      </c>
    </row>
    <row r="1797" spans="3:4" x14ac:dyDescent="0.3">
      <c r="C1797" s="43" t="s">
        <v>38353</v>
      </c>
      <c r="D1797" s="43" t="s">
        <v>39866</v>
      </c>
    </row>
    <row r="1798" spans="3:4" x14ac:dyDescent="0.3">
      <c r="C1798" s="43" t="s">
        <v>38353</v>
      </c>
      <c r="D1798" s="43" t="s">
        <v>39867</v>
      </c>
    </row>
    <row r="1799" spans="3:4" x14ac:dyDescent="0.3">
      <c r="C1799" s="43" t="s">
        <v>38353</v>
      </c>
      <c r="D1799" s="43" t="s">
        <v>39868</v>
      </c>
    </row>
    <row r="1800" spans="3:4" x14ac:dyDescent="0.3">
      <c r="C1800" s="43" t="s">
        <v>38353</v>
      </c>
      <c r="D1800" s="43" t="s">
        <v>39869</v>
      </c>
    </row>
    <row r="1801" spans="3:4" x14ac:dyDescent="0.3">
      <c r="C1801" s="43" t="s">
        <v>38353</v>
      </c>
      <c r="D1801" s="43" t="s">
        <v>39870</v>
      </c>
    </row>
    <row r="1802" spans="3:4" x14ac:dyDescent="0.3">
      <c r="C1802" s="43" t="s">
        <v>38353</v>
      </c>
      <c r="D1802" s="43" t="s">
        <v>39871</v>
      </c>
    </row>
    <row r="1803" spans="3:4" x14ac:dyDescent="0.3">
      <c r="C1803" s="43" t="s">
        <v>38353</v>
      </c>
      <c r="D1803" s="43" t="s">
        <v>39872</v>
      </c>
    </row>
    <row r="1804" spans="3:4" x14ac:dyDescent="0.3">
      <c r="C1804" s="43" t="s">
        <v>38353</v>
      </c>
      <c r="D1804" s="43" t="s">
        <v>39873</v>
      </c>
    </row>
    <row r="1805" spans="3:4" x14ac:dyDescent="0.3">
      <c r="C1805" s="43" t="s">
        <v>38353</v>
      </c>
      <c r="D1805" s="43" t="s">
        <v>39874</v>
      </c>
    </row>
    <row r="1806" spans="3:4" x14ac:dyDescent="0.3">
      <c r="C1806" s="43" t="s">
        <v>38353</v>
      </c>
      <c r="D1806" s="43" t="s">
        <v>39875</v>
      </c>
    </row>
    <row r="1807" spans="3:4" x14ac:dyDescent="0.3">
      <c r="C1807" s="43" t="s">
        <v>38353</v>
      </c>
      <c r="D1807" s="43" t="s">
        <v>39876</v>
      </c>
    </row>
    <row r="1808" spans="3:4" x14ac:dyDescent="0.3">
      <c r="C1808" s="43" t="s">
        <v>38353</v>
      </c>
      <c r="D1808" s="43" t="s">
        <v>27459</v>
      </c>
    </row>
    <row r="1809" spans="3:4" x14ac:dyDescent="0.3">
      <c r="C1809" s="43" t="s">
        <v>38353</v>
      </c>
      <c r="D1809" s="43" t="s">
        <v>27463</v>
      </c>
    </row>
    <row r="1810" spans="3:4" x14ac:dyDescent="0.3">
      <c r="C1810" s="43" t="s">
        <v>38353</v>
      </c>
      <c r="D1810" s="43" t="s">
        <v>27467</v>
      </c>
    </row>
    <row r="1811" spans="3:4" x14ac:dyDescent="0.3">
      <c r="C1811" s="43" t="s">
        <v>38353</v>
      </c>
      <c r="D1811" s="43" t="s">
        <v>27471</v>
      </c>
    </row>
    <row r="1812" spans="3:4" x14ac:dyDescent="0.3">
      <c r="C1812" s="43" t="s">
        <v>38353</v>
      </c>
      <c r="D1812" s="43" t="s">
        <v>9980</v>
      </c>
    </row>
    <row r="1813" spans="3:4" x14ac:dyDescent="0.3">
      <c r="C1813" s="43" t="s">
        <v>38353</v>
      </c>
      <c r="D1813" s="43" t="s">
        <v>9956</v>
      </c>
    </row>
    <row r="1814" spans="3:4" x14ac:dyDescent="0.3">
      <c r="C1814" s="43" t="s">
        <v>38353</v>
      </c>
      <c r="D1814" s="43" t="s">
        <v>10010</v>
      </c>
    </row>
    <row r="1815" spans="3:4" x14ac:dyDescent="0.3">
      <c r="C1815" s="43" t="s">
        <v>38353</v>
      </c>
      <c r="D1815" s="43" t="s">
        <v>10019</v>
      </c>
    </row>
    <row r="1816" spans="3:4" x14ac:dyDescent="0.3">
      <c r="C1816" s="43" t="s">
        <v>38353</v>
      </c>
      <c r="D1816" s="43" t="s">
        <v>10025</v>
      </c>
    </row>
    <row r="1817" spans="3:4" x14ac:dyDescent="0.3">
      <c r="C1817" s="43" t="s">
        <v>38353</v>
      </c>
      <c r="D1817" s="43" t="s">
        <v>39877</v>
      </c>
    </row>
    <row r="1818" spans="3:4" x14ac:dyDescent="0.3">
      <c r="C1818" s="43" t="s">
        <v>38353</v>
      </c>
      <c r="D1818" s="43" t="s">
        <v>39878</v>
      </c>
    </row>
    <row r="1819" spans="3:4" x14ac:dyDescent="0.3">
      <c r="C1819" s="43" t="s">
        <v>38353</v>
      </c>
      <c r="D1819" s="43" t="s">
        <v>39879</v>
      </c>
    </row>
    <row r="1820" spans="3:4" x14ac:dyDescent="0.3">
      <c r="C1820" s="43" t="s">
        <v>38353</v>
      </c>
      <c r="D1820" s="43" t="s">
        <v>39880</v>
      </c>
    </row>
    <row r="1821" spans="3:4" x14ac:dyDescent="0.3">
      <c r="C1821" s="43" t="s">
        <v>38353</v>
      </c>
      <c r="D1821" s="43" t="s">
        <v>39881</v>
      </c>
    </row>
    <row r="1822" spans="3:4" x14ac:dyDescent="0.3">
      <c r="C1822" s="43" t="s">
        <v>38353</v>
      </c>
      <c r="D1822" s="43" t="s">
        <v>39882</v>
      </c>
    </row>
    <row r="1823" spans="3:4" x14ac:dyDescent="0.3">
      <c r="C1823" s="43" t="s">
        <v>38353</v>
      </c>
      <c r="D1823" s="43" t="s">
        <v>39883</v>
      </c>
    </row>
    <row r="1824" spans="3:4" x14ac:dyDescent="0.3">
      <c r="C1824" s="43" t="s">
        <v>38353</v>
      </c>
      <c r="D1824" s="43" t="s">
        <v>39884</v>
      </c>
    </row>
    <row r="1825" spans="3:4" x14ac:dyDescent="0.3">
      <c r="C1825" s="43" t="s">
        <v>38353</v>
      </c>
      <c r="D1825" s="43" t="s">
        <v>39885</v>
      </c>
    </row>
    <row r="1826" spans="3:4" x14ac:dyDescent="0.3">
      <c r="C1826" s="43" t="s">
        <v>39886</v>
      </c>
      <c r="D1826" s="43" t="s">
        <v>39887</v>
      </c>
    </row>
    <row r="1827" spans="3:4" x14ac:dyDescent="0.3">
      <c r="C1827" s="43" t="s">
        <v>38374</v>
      </c>
      <c r="D1827" s="43" t="s">
        <v>39888</v>
      </c>
    </row>
    <row r="1828" spans="3:4" x14ac:dyDescent="0.3">
      <c r="C1828" s="43" t="s">
        <v>38374</v>
      </c>
      <c r="D1828" s="43" t="s">
        <v>39889</v>
      </c>
    </row>
    <row r="1829" spans="3:4" x14ac:dyDescent="0.3">
      <c r="C1829" s="43" t="s">
        <v>38374</v>
      </c>
      <c r="D1829" s="43" t="s">
        <v>39890</v>
      </c>
    </row>
    <row r="1830" spans="3:4" x14ac:dyDescent="0.3">
      <c r="C1830" s="43" t="s">
        <v>38374</v>
      </c>
      <c r="D1830" s="43" t="s">
        <v>39891</v>
      </c>
    </row>
    <row r="1831" spans="3:4" x14ac:dyDescent="0.3">
      <c r="C1831" s="43" t="s">
        <v>38374</v>
      </c>
      <c r="D1831" s="43" t="s">
        <v>39892</v>
      </c>
    </row>
    <row r="1832" spans="3:4" x14ac:dyDescent="0.3">
      <c r="C1832" s="43" t="s">
        <v>39893</v>
      </c>
      <c r="D1832" s="43" t="s">
        <v>39894</v>
      </c>
    </row>
    <row r="1833" spans="3:4" x14ac:dyDescent="0.3">
      <c r="C1833" s="43" t="s">
        <v>39893</v>
      </c>
      <c r="D1833" s="43" t="s">
        <v>39895</v>
      </c>
    </row>
    <row r="1834" spans="3:4" x14ac:dyDescent="0.3">
      <c r="C1834" s="43" t="s">
        <v>39893</v>
      </c>
      <c r="D1834" s="43" t="s">
        <v>39896</v>
      </c>
    </row>
    <row r="1835" spans="3:4" x14ac:dyDescent="0.3">
      <c r="C1835" s="43" t="s">
        <v>39893</v>
      </c>
      <c r="D1835" s="43" t="s">
        <v>39897</v>
      </c>
    </row>
    <row r="1836" spans="3:4" x14ac:dyDescent="0.3">
      <c r="C1836" s="43" t="s">
        <v>39893</v>
      </c>
      <c r="D1836" s="43" t="s">
        <v>39898</v>
      </c>
    </row>
    <row r="1837" spans="3:4" x14ac:dyDescent="0.3">
      <c r="C1837" s="43" t="s">
        <v>39893</v>
      </c>
      <c r="D1837" s="43" t="s">
        <v>39899</v>
      </c>
    </row>
    <row r="1838" spans="3:4" x14ac:dyDescent="0.3">
      <c r="C1838" s="43" t="s">
        <v>39893</v>
      </c>
      <c r="D1838" s="43" t="s">
        <v>39900</v>
      </c>
    </row>
    <row r="1839" spans="3:4" x14ac:dyDescent="0.3">
      <c r="C1839" s="43" t="s">
        <v>39893</v>
      </c>
      <c r="D1839" s="43" t="s">
        <v>39901</v>
      </c>
    </row>
    <row r="1840" spans="3:4" x14ac:dyDescent="0.3">
      <c r="C1840" s="43" t="s">
        <v>39893</v>
      </c>
      <c r="D1840" s="43" t="s">
        <v>39902</v>
      </c>
    </row>
    <row r="1841" spans="3:4" x14ac:dyDescent="0.3">
      <c r="C1841" s="43" t="s">
        <v>39893</v>
      </c>
      <c r="D1841" s="43" t="s">
        <v>39903</v>
      </c>
    </row>
    <row r="1842" spans="3:4" x14ac:dyDescent="0.3">
      <c r="C1842" s="43" t="s">
        <v>39893</v>
      </c>
      <c r="D1842" s="43" t="s">
        <v>39904</v>
      </c>
    </row>
    <row r="1843" spans="3:4" x14ac:dyDescent="0.3">
      <c r="C1843" s="43" t="s">
        <v>39893</v>
      </c>
      <c r="D1843" s="43" t="s">
        <v>39905</v>
      </c>
    </row>
    <row r="1844" spans="3:4" x14ac:dyDescent="0.3">
      <c r="C1844" s="43" t="s">
        <v>39893</v>
      </c>
      <c r="D1844" s="43" t="s">
        <v>39906</v>
      </c>
    </row>
    <row r="1845" spans="3:4" x14ac:dyDescent="0.3">
      <c r="C1845" s="43" t="s">
        <v>39893</v>
      </c>
      <c r="D1845" s="43" t="s">
        <v>39907</v>
      </c>
    </row>
    <row r="1846" spans="3:4" x14ac:dyDescent="0.3">
      <c r="C1846" s="43" t="s">
        <v>39893</v>
      </c>
      <c r="D1846" s="43" t="s">
        <v>39908</v>
      </c>
    </row>
    <row r="1847" spans="3:4" x14ac:dyDescent="0.3">
      <c r="C1847" s="43" t="s">
        <v>39893</v>
      </c>
      <c r="D1847" s="43" t="s">
        <v>39909</v>
      </c>
    </row>
    <row r="1848" spans="3:4" x14ac:dyDescent="0.3">
      <c r="C1848" s="43" t="s">
        <v>39893</v>
      </c>
      <c r="D1848" s="43" t="s">
        <v>39910</v>
      </c>
    </row>
    <row r="1849" spans="3:4" x14ac:dyDescent="0.3">
      <c r="C1849" s="43" t="s">
        <v>39893</v>
      </c>
      <c r="D1849" s="43" t="s">
        <v>39911</v>
      </c>
    </row>
    <row r="1850" spans="3:4" x14ac:dyDescent="0.3">
      <c r="C1850" s="43" t="s">
        <v>39893</v>
      </c>
      <c r="D1850" s="43" t="s">
        <v>39912</v>
      </c>
    </row>
    <row r="1851" spans="3:4" x14ac:dyDescent="0.3">
      <c r="C1851" s="43" t="s">
        <v>39893</v>
      </c>
      <c r="D1851" s="43" t="s">
        <v>39913</v>
      </c>
    </row>
    <row r="1852" spans="3:4" x14ac:dyDescent="0.3">
      <c r="C1852" s="43" t="s">
        <v>39893</v>
      </c>
      <c r="D1852" s="43" t="s">
        <v>39914</v>
      </c>
    </row>
    <row r="1853" spans="3:4" x14ac:dyDescent="0.3">
      <c r="C1853" s="43" t="s">
        <v>39893</v>
      </c>
      <c r="D1853" s="43" t="s">
        <v>39915</v>
      </c>
    </row>
    <row r="1854" spans="3:4" x14ac:dyDescent="0.3">
      <c r="C1854" s="43" t="s">
        <v>39893</v>
      </c>
      <c r="D1854" s="43" t="s">
        <v>39916</v>
      </c>
    </row>
    <row r="1855" spans="3:4" x14ac:dyDescent="0.3">
      <c r="C1855" s="43" t="s">
        <v>39893</v>
      </c>
      <c r="D1855" s="43" t="s">
        <v>39917</v>
      </c>
    </row>
    <row r="1856" spans="3:4" x14ac:dyDescent="0.3">
      <c r="C1856" s="43" t="s">
        <v>39893</v>
      </c>
      <c r="D1856" s="43" t="s">
        <v>39918</v>
      </c>
    </row>
    <row r="1857" spans="3:4" x14ac:dyDescent="0.3">
      <c r="C1857" s="43" t="s">
        <v>39893</v>
      </c>
      <c r="D1857" s="43" t="s">
        <v>39919</v>
      </c>
    </row>
    <row r="1858" spans="3:4" x14ac:dyDescent="0.3">
      <c r="C1858" s="43" t="s">
        <v>39893</v>
      </c>
      <c r="D1858" s="43" t="s">
        <v>39920</v>
      </c>
    </row>
    <row r="1859" spans="3:4" x14ac:dyDescent="0.3">
      <c r="C1859" s="43" t="s">
        <v>39893</v>
      </c>
      <c r="D1859" s="43" t="s">
        <v>39921</v>
      </c>
    </row>
    <row r="1860" spans="3:4" x14ac:dyDescent="0.3">
      <c r="C1860" s="43" t="s">
        <v>39893</v>
      </c>
      <c r="D1860" s="43" t="s">
        <v>39922</v>
      </c>
    </row>
    <row r="1861" spans="3:4" x14ac:dyDescent="0.3">
      <c r="C1861" s="43" t="s">
        <v>39893</v>
      </c>
      <c r="D1861" s="43" t="s">
        <v>39923</v>
      </c>
    </row>
    <row r="1862" spans="3:4" x14ac:dyDescent="0.3">
      <c r="C1862" s="43" t="s">
        <v>39893</v>
      </c>
      <c r="D1862" s="43" t="s">
        <v>39924</v>
      </c>
    </row>
    <row r="1863" spans="3:4" x14ac:dyDescent="0.3">
      <c r="C1863" s="43" t="s">
        <v>39893</v>
      </c>
      <c r="D1863" s="43" t="s">
        <v>39925</v>
      </c>
    </row>
    <row r="1864" spans="3:4" x14ac:dyDescent="0.3">
      <c r="C1864" s="43" t="s">
        <v>39893</v>
      </c>
      <c r="D1864" s="43" t="s">
        <v>39926</v>
      </c>
    </row>
    <row r="1865" spans="3:4" x14ac:dyDescent="0.3">
      <c r="C1865" s="43" t="s">
        <v>39893</v>
      </c>
      <c r="D1865" s="43" t="s">
        <v>39927</v>
      </c>
    </row>
    <row r="1866" spans="3:4" x14ac:dyDescent="0.3">
      <c r="C1866" s="43" t="s">
        <v>39893</v>
      </c>
      <c r="D1866" s="43" t="s">
        <v>39928</v>
      </c>
    </row>
    <row r="1867" spans="3:4" x14ac:dyDescent="0.3">
      <c r="C1867" s="43" t="s">
        <v>39893</v>
      </c>
      <c r="D1867" s="43" t="s">
        <v>39929</v>
      </c>
    </row>
    <row r="1868" spans="3:4" x14ac:dyDescent="0.3">
      <c r="C1868" s="43" t="s">
        <v>39893</v>
      </c>
      <c r="D1868" s="43" t="s">
        <v>39930</v>
      </c>
    </row>
    <row r="1869" spans="3:4" x14ac:dyDescent="0.3">
      <c r="C1869" s="43" t="s">
        <v>39893</v>
      </c>
      <c r="D1869" s="43" t="s">
        <v>39931</v>
      </c>
    </row>
    <row r="1870" spans="3:4" x14ac:dyDescent="0.3">
      <c r="C1870" s="43" t="s">
        <v>39893</v>
      </c>
      <c r="D1870" s="43" t="s">
        <v>39932</v>
      </c>
    </row>
    <row r="1871" spans="3:4" x14ac:dyDescent="0.3">
      <c r="C1871" s="43" t="s">
        <v>39893</v>
      </c>
      <c r="D1871" s="43" t="s">
        <v>39933</v>
      </c>
    </row>
    <row r="1872" spans="3:4" x14ac:dyDescent="0.3">
      <c r="C1872" s="43" t="s">
        <v>39893</v>
      </c>
      <c r="D1872" s="43" t="s">
        <v>39934</v>
      </c>
    </row>
    <row r="1873" spans="3:4" x14ac:dyDescent="0.3">
      <c r="C1873" s="43" t="s">
        <v>39893</v>
      </c>
      <c r="D1873" s="43" t="s">
        <v>39935</v>
      </c>
    </row>
    <row r="1874" spans="3:4" x14ac:dyDescent="0.3">
      <c r="C1874" s="43" t="s">
        <v>39893</v>
      </c>
      <c r="D1874" s="43" t="s">
        <v>39936</v>
      </c>
    </row>
    <row r="1875" spans="3:4" x14ac:dyDescent="0.3">
      <c r="C1875" s="43" t="s">
        <v>39893</v>
      </c>
      <c r="D1875" s="43" t="s">
        <v>39937</v>
      </c>
    </row>
    <row r="1876" spans="3:4" x14ac:dyDescent="0.3">
      <c r="C1876" s="43" t="s">
        <v>39893</v>
      </c>
      <c r="D1876" s="43" t="s">
        <v>39938</v>
      </c>
    </row>
    <row r="1877" spans="3:4" x14ac:dyDescent="0.3">
      <c r="C1877" s="43" t="s">
        <v>39893</v>
      </c>
      <c r="D1877" s="43" t="s">
        <v>39939</v>
      </c>
    </row>
    <row r="1878" spans="3:4" x14ac:dyDescent="0.3">
      <c r="C1878" s="43" t="s">
        <v>39893</v>
      </c>
      <c r="D1878" s="43" t="s">
        <v>39940</v>
      </c>
    </row>
    <row r="1879" spans="3:4" x14ac:dyDescent="0.3">
      <c r="C1879" s="43" t="s">
        <v>39893</v>
      </c>
      <c r="D1879" s="43" t="s">
        <v>39941</v>
      </c>
    </row>
    <row r="1880" spans="3:4" x14ac:dyDescent="0.3">
      <c r="C1880" s="43" t="s">
        <v>39893</v>
      </c>
      <c r="D1880" s="43" t="s">
        <v>39942</v>
      </c>
    </row>
    <row r="1881" spans="3:4" x14ac:dyDescent="0.3">
      <c r="C1881" s="43" t="s">
        <v>39893</v>
      </c>
      <c r="D1881" s="43" t="s">
        <v>39943</v>
      </c>
    </row>
    <row r="1882" spans="3:4" x14ac:dyDescent="0.3">
      <c r="C1882" s="43" t="s">
        <v>39893</v>
      </c>
      <c r="D1882" s="43" t="s">
        <v>39944</v>
      </c>
    </row>
    <row r="1883" spans="3:4" x14ac:dyDescent="0.3">
      <c r="C1883" s="43" t="s">
        <v>39893</v>
      </c>
      <c r="D1883" s="43" t="s">
        <v>39945</v>
      </c>
    </row>
    <row r="1884" spans="3:4" x14ac:dyDescent="0.3">
      <c r="C1884" s="43" t="s">
        <v>39893</v>
      </c>
      <c r="D1884" s="43" t="s">
        <v>39946</v>
      </c>
    </row>
    <row r="1885" spans="3:4" x14ac:dyDescent="0.3">
      <c r="C1885" s="43" t="s">
        <v>39893</v>
      </c>
      <c r="D1885" s="43" t="s">
        <v>39947</v>
      </c>
    </row>
    <row r="1886" spans="3:4" x14ac:dyDescent="0.3">
      <c r="C1886" s="43" t="s">
        <v>39893</v>
      </c>
      <c r="D1886" s="43" t="s">
        <v>39948</v>
      </c>
    </row>
    <row r="1887" spans="3:4" x14ac:dyDescent="0.3">
      <c r="C1887" s="43" t="s">
        <v>39893</v>
      </c>
      <c r="D1887" s="43" t="s">
        <v>39949</v>
      </c>
    </row>
    <row r="1888" spans="3:4" x14ac:dyDescent="0.3">
      <c r="C1888" s="43" t="s">
        <v>39893</v>
      </c>
      <c r="D1888" s="43" t="s">
        <v>39950</v>
      </c>
    </row>
    <row r="1889" spans="3:4" x14ac:dyDescent="0.3">
      <c r="C1889" s="43" t="s">
        <v>39893</v>
      </c>
      <c r="D1889" s="43" t="s">
        <v>39951</v>
      </c>
    </row>
    <row r="1890" spans="3:4" x14ac:dyDescent="0.3">
      <c r="C1890" s="43" t="s">
        <v>39893</v>
      </c>
      <c r="D1890" s="43" t="s">
        <v>39952</v>
      </c>
    </row>
    <row r="1891" spans="3:4" x14ac:dyDescent="0.3">
      <c r="C1891" s="43" t="s">
        <v>39893</v>
      </c>
      <c r="D1891" s="43" t="s">
        <v>39953</v>
      </c>
    </row>
    <row r="1892" spans="3:4" x14ac:dyDescent="0.3">
      <c r="C1892" s="43" t="s">
        <v>39893</v>
      </c>
      <c r="D1892" s="43" t="s">
        <v>39954</v>
      </c>
    </row>
    <row r="1893" spans="3:4" x14ac:dyDescent="0.3">
      <c r="C1893" s="43" t="s">
        <v>39893</v>
      </c>
      <c r="D1893" s="43" t="s">
        <v>39955</v>
      </c>
    </row>
    <row r="1894" spans="3:4" x14ac:dyDescent="0.3">
      <c r="C1894" s="43" t="s">
        <v>39893</v>
      </c>
      <c r="D1894" s="43" t="s">
        <v>39956</v>
      </c>
    </row>
    <row r="1895" spans="3:4" x14ac:dyDescent="0.3">
      <c r="C1895" s="43" t="s">
        <v>39893</v>
      </c>
      <c r="D1895" s="43" t="s">
        <v>39957</v>
      </c>
    </row>
    <row r="1896" spans="3:4" x14ac:dyDescent="0.3">
      <c r="C1896" s="43" t="s">
        <v>39893</v>
      </c>
      <c r="D1896" s="43" t="s">
        <v>39958</v>
      </c>
    </row>
    <row r="1897" spans="3:4" x14ac:dyDescent="0.3">
      <c r="C1897" s="43" t="s">
        <v>39893</v>
      </c>
      <c r="D1897" s="43" t="s">
        <v>39959</v>
      </c>
    </row>
    <row r="1898" spans="3:4" x14ac:dyDescent="0.3">
      <c r="C1898" s="43" t="s">
        <v>39893</v>
      </c>
      <c r="D1898" s="43" t="s">
        <v>39960</v>
      </c>
    </row>
    <row r="1899" spans="3:4" x14ac:dyDescent="0.3">
      <c r="C1899" s="43" t="s">
        <v>39893</v>
      </c>
      <c r="D1899" s="43" t="s">
        <v>39961</v>
      </c>
    </row>
    <row r="1900" spans="3:4" x14ac:dyDescent="0.3">
      <c r="C1900" s="43" t="s">
        <v>39893</v>
      </c>
      <c r="D1900" s="43" t="s">
        <v>39962</v>
      </c>
    </row>
    <row r="1901" spans="3:4" x14ac:dyDescent="0.3">
      <c r="C1901" s="43" t="s">
        <v>39893</v>
      </c>
      <c r="D1901" s="43" t="s">
        <v>39963</v>
      </c>
    </row>
    <row r="1902" spans="3:4" x14ac:dyDescent="0.3">
      <c r="C1902" s="43" t="s">
        <v>39893</v>
      </c>
      <c r="D1902" s="43" t="s">
        <v>39964</v>
      </c>
    </row>
    <row r="1903" spans="3:4" x14ac:dyDescent="0.3">
      <c r="C1903" s="43" t="s">
        <v>39893</v>
      </c>
      <c r="D1903" s="43" t="s">
        <v>39965</v>
      </c>
    </row>
    <row r="1904" spans="3:4" x14ac:dyDescent="0.3">
      <c r="C1904" s="43" t="s">
        <v>39893</v>
      </c>
      <c r="D1904" s="43" t="s">
        <v>39966</v>
      </c>
    </row>
    <row r="1905" spans="3:4" x14ac:dyDescent="0.3">
      <c r="C1905" s="43" t="s">
        <v>39893</v>
      </c>
      <c r="D1905" s="43" t="s">
        <v>39967</v>
      </c>
    </row>
    <row r="1906" spans="3:4" x14ac:dyDescent="0.3">
      <c r="C1906" s="43" t="s">
        <v>39893</v>
      </c>
      <c r="D1906" s="43" t="s">
        <v>39968</v>
      </c>
    </row>
    <row r="1907" spans="3:4" x14ac:dyDescent="0.3">
      <c r="C1907" s="43" t="s">
        <v>39893</v>
      </c>
      <c r="D1907" s="43" t="s">
        <v>39969</v>
      </c>
    </row>
    <row r="1908" spans="3:4" x14ac:dyDescent="0.3">
      <c r="C1908" s="43" t="s">
        <v>39893</v>
      </c>
      <c r="D1908" s="43" t="s">
        <v>39970</v>
      </c>
    </row>
    <row r="1909" spans="3:4" x14ac:dyDescent="0.3">
      <c r="C1909" s="43" t="s">
        <v>39893</v>
      </c>
      <c r="D1909" s="43" t="s">
        <v>39971</v>
      </c>
    </row>
    <row r="1910" spans="3:4" x14ac:dyDescent="0.3">
      <c r="C1910" s="43" t="s">
        <v>39893</v>
      </c>
      <c r="D1910" s="43" t="s">
        <v>39972</v>
      </c>
    </row>
    <row r="1911" spans="3:4" x14ac:dyDescent="0.3">
      <c r="C1911" s="43" t="s">
        <v>39893</v>
      </c>
      <c r="D1911" s="43" t="s">
        <v>39973</v>
      </c>
    </row>
    <row r="1912" spans="3:4" x14ac:dyDescent="0.3">
      <c r="C1912" s="43" t="s">
        <v>39893</v>
      </c>
      <c r="D1912" s="43" t="s">
        <v>39974</v>
      </c>
    </row>
    <row r="1913" spans="3:4" x14ac:dyDescent="0.3">
      <c r="C1913" s="43" t="s">
        <v>39893</v>
      </c>
      <c r="D1913" s="43" t="s">
        <v>39975</v>
      </c>
    </row>
    <row r="1914" spans="3:4" x14ac:dyDescent="0.3">
      <c r="C1914" s="43" t="s">
        <v>39893</v>
      </c>
      <c r="D1914" s="43" t="s">
        <v>39976</v>
      </c>
    </row>
    <row r="1915" spans="3:4" x14ac:dyDescent="0.3">
      <c r="C1915" s="43" t="s">
        <v>39893</v>
      </c>
      <c r="D1915" s="43" t="s">
        <v>39977</v>
      </c>
    </row>
    <row r="1916" spans="3:4" x14ac:dyDescent="0.3">
      <c r="C1916" s="43" t="s">
        <v>39893</v>
      </c>
      <c r="D1916" s="43" t="s">
        <v>39978</v>
      </c>
    </row>
    <row r="1917" spans="3:4" x14ac:dyDescent="0.3">
      <c r="C1917" s="43" t="s">
        <v>39893</v>
      </c>
      <c r="D1917" s="43" t="s">
        <v>39979</v>
      </c>
    </row>
    <row r="1918" spans="3:4" x14ac:dyDescent="0.3">
      <c r="C1918" s="43" t="s">
        <v>39893</v>
      </c>
      <c r="D1918" s="43" t="s">
        <v>39980</v>
      </c>
    </row>
    <row r="1919" spans="3:4" x14ac:dyDescent="0.3">
      <c r="C1919" s="43" t="s">
        <v>39893</v>
      </c>
      <c r="D1919" s="43" t="s">
        <v>39981</v>
      </c>
    </row>
    <row r="1920" spans="3:4" x14ac:dyDescent="0.3">
      <c r="C1920" s="43" t="s">
        <v>39893</v>
      </c>
      <c r="D1920" s="43" t="s">
        <v>39982</v>
      </c>
    </row>
    <row r="1921" spans="3:4" x14ac:dyDescent="0.3">
      <c r="C1921" s="43" t="s">
        <v>39893</v>
      </c>
      <c r="D1921" s="43" t="s">
        <v>39983</v>
      </c>
    </row>
    <row r="1922" spans="3:4" x14ac:dyDescent="0.3">
      <c r="C1922" s="43" t="s">
        <v>39893</v>
      </c>
      <c r="D1922" s="43" t="s">
        <v>39984</v>
      </c>
    </row>
    <row r="1923" spans="3:4" x14ac:dyDescent="0.3">
      <c r="C1923" s="43" t="s">
        <v>39893</v>
      </c>
      <c r="D1923" s="43" t="s">
        <v>39985</v>
      </c>
    </row>
    <row r="1924" spans="3:4" x14ac:dyDescent="0.3">
      <c r="C1924" s="43" t="s">
        <v>39893</v>
      </c>
      <c r="D1924" s="43" t="s">
        <v>39986</v>
      </c>
    </row>
    <row r="1925" spans="3:4" x14ac:dyDescent="0.3">
      <c r="C1925" s="43" t="s">
        <v>39893</v>
      </c>
      <c r="D1925" s="43" t="s">
        <v>39987</v>
      </c>
    </row>
    <row r="1926" spans="3:4" x14ac:dyDescent="0.3">
      <c r="C1926" s="43" t="s">
        <v>39893</v>
      </c>
      <c r="D1926" s="43" t="s">
        <v>39988</v>
      </c>
    </row>
    <row r="1927" spans="3:4" x14ac:dyDescent="0.3">
      <c r="C1927" s="43" t="s">
        <v>39893</v>
      </c>
      <c r="D1927" s="43" t="s">
        <v>39989</v>
      </c>
    </row>
    <row r="1928" spans="3:4" x14ac:dyDescent="0.3">
      <c r="C1928" s="43" t="s">
        <v>39893</v>
      </c>
      <c r="D1928" s="43" t="s">
        <v>39990</v>
      </c>
    </row>
    <row r="1929" spans="3:4" x14ac:dyDescent="0.3">
      <c r="C1929" s="43" t="s">
        <v>39893</v>
      </c>
      <c r="D1929" s="43" t="s">
        <v>39991</v>
      </c>
    </row>
    <row r="1930" spans="3:4" x14ac:dyDescent="0.3">
      <c r="C1930" s="43" t="s">
        <v>39893</v>
      </c>
      <c r="D1930" s="43" t="s">
        <v>39992</v>
      </c>
    </row>
    <row r="1931" spans="3:4" x14ac:dyDescent="0.3">
      <c r="C1931" s="43" t="s">
        <v>39893</v>
      </c>
      <c r="D1931" s="43" t="s">
        <v>39993</v>
      </c>
    </row>
    <row r="1932" spans="3:4" x14ac:dyDescent="0.3">
      <c r="C1932" s="43" t="s">
        <v>39893</v>
      </c>
      <c r="D1932" s="43" t="s">
        <v>39994</v>
      </c>
    </row>
    <row r="1933" spans="3:4" x14ac:dyDescent="0.3">
      <c r="C1933" s="43" t="s">
        <v>39893</v>
      </c>
      <c r="D1933" s="43" t="s">
        <v>39995</v>
      </c>
    </row>
    <row r="1934" spans="3:4" x14ac:dyDescent="0.3">
      <c r="C1934" s="43" t="s">
        <v>39893</v>
      </c>
      <c r="D1934" s="43" t="s">
        <v>39996</v>
      </c>
    </row>
    <row r="1935" spans="3:4" x14ac:dyDescent="0.3">
      <c r="C1935" s="43" t="s">
        <v>39893</v>
      </c>
      <c r="D1935" s="43" t="s">
        <v>39997</v>
      </c>
    </row>
    <row r="1936" spans="3:4" x14ac:dyDescent="0.3">
      <c r="C1936" s="43" t="s">
        <v>39893</v>
      </c>
      <c r="D1936" s="43" t="s">
        <v>39998</v>
      </c>
    </row>
    <row r="1937" spans="3:4" x14ac:dyDescent="0.3">
      <c r="C1937" s="43" t="s">
        <v>39893</v>
      </c>
      <c r="D1937" s="43" t="s">
        <v>39999</v>
      </c>
    </row>
    <row r="1938" spans="3:4" x14ac:dyDescent="0.3">
      <c r="C1938" s="43" t="s">
        <v>39893</v>
      </c>
      <c r="D1938" s="43" t="s">
        <v>40000</v>
      </c>
    </row>
    <row r="1939" spans="3:4" x14ac:dyDescent="0.3">
      <c r="C1939" s="43" t="s">
        <v>39893</v>
      </c>
      <c r="D1939" s="43" t="s">
        <v>40001</v>
      </c>
    </row>
    <row r="1940" spans="3:4" x14ac:dyDescent="0.3">
      <c r="C1940" s="43" t="s">
        <v>39893</v>
      </c>
      <c r="D1940" s="43" t="s">
        <v>40002</v>
      </c>
    </row>
    <row r="1941" spans="3:4" x14ac:dyDescent="0.3">
      <c r="C1941" s="43" t="s">
        <v>39893</v>
      </c>
      <c r="D1941" s="43" t="s">
        <v>40003</v>
      </c>
    </row>
    <row r="1942" spans="3:4" x14ac:dyDescent="0.3">
      <c r="C1942" s="43" t="s">
        <v>39893</v>
      </c>
      <c r="D1942" s="43" t="s">
        <v>40004</v>
      </c>
    </row>
    <row r="1943" spans="3:4" x14ac:dyDescent="0.3">
      <c r="C1943" s="43" t="s">
        <v>39893</v>
      </c>
      <c r="D1943" s="43" t="s">
        <v>40005</v>
      </c>
    </row>
    <row r="1944" spans="3:4" x14ac:dyDescent="0.3">
      <c r="C1944" s="43" t="s">
        <v>39893</v>
      </c>
      <c r="D1944" s="43" t="s">
        <v>40006</v>
      </c>
    </row>
    <row r="1945" spans="3:4" x14ac:dyDescent="0.3">
      <c r="C1945" s="43" t="s">
        <v>39893</v>
      </c>
      <c r="D1945" s="43" t="s">
        <v>40007</v>
      </c>
    </row>
    <row r="1946" spans="3:4" x14ac:dyDescent="0.3">
      <c r="C1946" s="43" t="s">
        <v>39893</v>
      </c>
      <c r="D1946" s="43" t="s">
        <v>40008</v>
      </c>
    </row>
    <row r="1947" spans="3:4" x14ac:dyDescent="0.3">
      <c r="C1947" s="43" t="s">
        <v>39893</v>
      </c>
      <c r="D1947" s="43" t="s">
        <v>40009</v>
      </c>
    </row>
    <row r="1948" spans="3:4" x14ac:dyDescent="0.3">
      <c r="C1948" s="43" t="s">
        <v>39893</v>
      </c>
      <c r="D1948" s="43" t="s">
        <v>40010</v>
      </c>
    </row>
    <row r="1949" spans="3:4" x14ac:dyDescent="0.3">
      <c r="C1949" s="43" t="s">
        <v>39893</v>
      </c>
      <c r="D1949" s="43" t="s">
        <v>40011</v>
      </c>
    </row>
    <row r="1950" spans="3:4" x14ac:dyDescent="0.3">
      <c r="C1950" s="43" t="s">
        <v>39893</v>
      </c>
      <c r="D1950" s="43" t="s">
        <v>40012</v>
      </c>
    </row>
    <row r="1951" spans="3:4" x14ac:dyDescent="0.3">
      <c r="C1951" s="43" t="s">
        <v>39893</v>
      </c>
      <c r="D1951" s="43" t="s">
        <v>40013</v>
      </c>
    </row>
    <row r="1952" spans="3:4" x14ac:dyDescent="0.3">
      <c r="C1952" s="43" t="s">
        <v>39893</v>
      </c>
      <c r="D1952" s="43" t="s">
        <v>40014</v>
      </c>
    </row>
    <row r="1953" spans="3:4" x14ac:dyDescent="0.3">
      <c r="C1953" s="43" t="s">
        <v>39893</v>
      </c>
      <c r="D1953" s="43" t="s">
        <v>40015</v>
      </c>
    </row>
    <row r="1954" spans="3:4" x14ac:dyDescent="0.3">
      <c r="C1954" s="43" t="s">
        <v>39893</v>
      </c>
      <c r="D1954" s="43" t="s">
        <v>40016</v>
      </c>
    </row>
    <row r="1955" spans="3:4" x14ac:dyDescent="0.3">
      <c r="C1955" s="43" t="s">
        <v>39893</v>
      </c>
      <c r="D1955" s="43" t="s">
        <v>40017</v>
      </c>
    </row>
    <row r="1956" spans="3:4" x14ac:dyDescent="0.3">
      <c r="C1956" s="43" t="s">
        <v>39893</v>
      </c>
      <c r="D1956" s="43" t="s">
        <v>40018</v>
      </c>
    </row>
    <row r="1957" spans="3:4" x14ac:dyDescent="0.3">
      <c r="C1957" s="43" t="s">
        <v>39893</v>
      </c>
      <c r="D1957" s="43" t="s">
        <v>40019</v>
      </c>
    </row>
    <row r="1958" spans="3:4" x14ac:dyDescent="0.3">
      <c r="C1958" s="43" t="s">
        <v>39893</v>
      </c>
      <c r="D1958" s="43" t="s">
        <v>40020</v>
      </c>
    </row>
    <row r="1959" spans="3:4" x14ac:dyDescent="0.3">
      <c r="C1959" s="43" t="s">
        <v>39893</v>
      </c>
      <c r="D1959" s="43" t="s">
        <v>40021</v>
      </c>
    </row>
    <row r="1960" spans="3:4" x14ac:dyDescent="0.3">
      <c r="C1960" s="43" t="s">
        <v>39893</v>
      </c>
      <c r="D1960" s="43" t="s">
        <v>40022</v>
      </c>
    </row>
    <row r="1961" spans="3:4" x14ac:dyDescent="0.3">
      <c r="C1961" s="43" t="s">
        <v>39893</v>
      </c>
      <c r="D1961" s="43" t="s">
        <v>40023</v>
      </c>
    </row>
    <row r="1962" spans="3:4" x14ac:dyDescent="0.3">
      <c r="C1962" s="43" t="s">
        <v>39893</v>
      </c>
      <c r="D1962" s="43" t="s">
        <v>40024</v>
      </c>
    </row>
    <row r="1963" spans="3:4" x14ac:dyDescent="0.3">
      <c r="C1963" s="43" t="s">
        <v>39893</v>
      </c>
      <c r="D1963" s="43" t="s">
        <v>40025</v>
      </c>
    </row>
    <row r="1964" spans="3:4" x14ac:dyDescent="0.3">
      <c r="C1964" s="43" t="s">
        <v>39893</v>
      </c>
      <c r="D1964" s="43" t="s">
        <v>40026</v>
      </c>
    </row>
    <row r="1965" spans="3:4" x14ac:dyDescent="0.3">
      <c r="C1965" s="43" t="s">
        <v>39893</v>
      </c>
      <c r="D1965" s="43" t="s">
        <v>40027</v>
      </c>
    </row>
    <row r="1966" spans="3:4" x14ac:dyDescent="0.3">
      <c r="C1966" s="43" t="s">
        <v>39893</v>
      </c>
      <c r="D1966" s="43" t="s">
        <v>40028</v>
      </c>
    </row>
    <row r="1967" spans="3:4" x14ac:dyDescent="0.3">
      <c r="C1967" s="43" t="s">
        <v>39893</v>
      </c>
      <c r="D1967" s="43" t="s">
        <v>40029</v>
      </c>
    </row>
    <row r="1968" spans="3:4" x14ac:dyDescent="0.3">
      <c r="C1968" s="43" t="s">
        <v>39893</v>
      </c>
      <c r="D1968" s="43" t="s">
        <v>40030</v>
      </c>
    </row>
    <row r="1969" spans="3:4" x14ac:dyDescent="0.3">
      <c r="C1969" s="43" t="s">
        <v>39893</v>
      </c>
      <c r="D1969" s="43" t="s">
        <v>40031</v>
      </c>
    </row>
    <row r="1970" spans="3:4" x14ac:dyDescent="0.3">
      <c r="C1970" s="43" t="s">
        <v>39893</v>
      </c>
      <c r="D1970" s="43" t="s">
        <v>40032</v>
      </c>
    </row>
    <row r="1971" spans="3:4" x14ac:dyDescent="0.3">
      <c r="C1971" s="43" t="s">
        <v>39893</v>
      </c>
      <c r="D1971" s="43" t="s">
        <v>40033</v>
      </c>
    </row>
    <row r="1972" spans="3:4" x14ac:dyDescent="0.3">
      <c r="C1972" s="43" t="s">
        <v>39893</v>
      </c>
      <c r="D1972" s="43" t="s">
        <v>40034</v>
      </c>
    </row>
    <row r="1973" spans="3:4" x14ac:dyDescent="0.3">
      <c r="C1973" s="43" t="s">
        <v>39893</v>
      </c>
      <c r="D1973" s="43" t="s">
        <v>40035</v>
      </c>
    </row>
    <row r="1974" spans="3:4" x14ac:dyDescent="0.3">
      <c r="C1974" s="43" t="s">
        <v>39893</v>
      </c>
      <c r="D1974" s="43" t="s">
        <v>40036</v>
      </c>
    </row>
    <row r="1975" spans="3:4" x14ac:dyDescent="0.3">
      <c r="C1975" s="43" t="s">
        <v>39893</v>
      </c>
      <c r="D1975" s="43" t="s">
        <v>40037</v>
      </c>
    </row>
    <row r="1976" spans="3:4" x14ac:dyDescent="0.3">
      <c r="C1976" s="43" t="s">
        <v>39893</v>
      </c>
      <c r="D1976" s="43" t="s">
        <v>40038</v>
      </c>
    </row>
    <row r="1977" spans="3:4" x14ac:dyDescent="0.3">
      <c r="C1977" s="43" t="s">
        <v>39893</v>
      </c>
      <c r="D1977" s="43" t="s">
        <v>40039</v>
      </c>
    </row>
    <row r="1978" spans="3:4" x14ac:dyDescent="0.3">
      <c r="C1978" s="43" t="s">
        <v>39893</v>
      </c>
      <c r="D1978" s="43" t="s">
        <v>40040</v>
      </c>
    </row>
    <row r="1979" spans="3:4" x14ac:dyDescent="0.3">
      <c r="C1979" s="43" t="s">
        <v>39893</v>
      </c>
      <c r="D1979" s="43" t="s">
        <v>40041</v>
      </c>
    </row>
    <row r="1980" spans="3:4" x14ac:dyDescent="0.3">
      <c r="C1980" s="43" t="s">
        <v>39893</v>
      </c>
      <c r="D1980" s="43" t="s">
        <v>40042</v>
      </c>
    </row>
    <row r="1981" spans="3:4" x14ac:dyDescent="0.3">
      <c r="C1981" s="43" t="s">
        <v>39893</v>
      </c>
      <c r="D1981" s="43" t="s">
        <v>40043</v>
      </c>
    </row>
    <row r="1982" spans="3:4" x14ac:dyDescent="0.3">
      <c r="C1982" s="43" t="s">
        <v>39893</v>
      </c>
      <c r="D1982" s="43" t="s">
        <v>40044</v>
      </c>
    </row>
    <row r="1983" spans="3:4" x14ac:dyDescent="0.3">
      <c r="C1983" s="43" t="s">
        <v>39893</v>
      </c>
      <c r="D1983" s="43" t="s">
        <v>40045</v>
      </c>
    </row>
    <row r="1984" spans="3:4" x14ac:dyDescent="0.3">
      <c r="C1984" s="43" t="s">
        <v>39893</v>
      </c>
      <c r="D1984" s="43" t="s">
        <v>40046</v>
      </c>
    </row>
    <row r="1985" spans="3:4" x14ac:dyDescent="0.3">
      <c r="C1985" s="43" t="s">
        <v>39893</v>
      </c>
      <c r="D1985" s="43" t="s">
        <v>40047</v>
      </c>
    </row>
    <row r="1986" spans="3:4" x14ac:dyDescent="0.3">
      <c r="C1986" s="43" t="s">
        <v>39893</v>
      </c>
      <c r="D1986" s="43" t="s">
        <v>40048</v>
      </c>
    </row>
    <row r="1987" spans="3:4" x14ac:dyDescent="0.3">
      <c r="C1987" s="43" t="s">
        <v>39893</v>
      </c>
      <c r="D1987" s="43" t="s">
        <v>40049</v>
      </c>
    </row>
    <row r="1988" spans="3:4" x14ac:dyDescent="0.3">
      <c r="C1988" s="43" t="s">
        <v>39893</v>
      </c>
      <c r="D1988" s="43" t="s">
        <v>40050</v>
      </c>
    </row>
    <row r="1989" spans="3:4" x14ac:dyDescent="0.3">
      <c r="C1989" s="43" t="s">
        <v>39893</v>
      </c>
      <c r="D1989" s="43" t="s">
        <v>40051</v>
      </c>
    </row>
    <row r="1990" spans="3:4" x14ac:dyDescent="0.3">
      <c r="C1990" s="43" t="s">
        <v>39893</v>
      </c>
      <c r="D1990" s="43" t="s">
        <v>40052</v>
      </c>
    </row>
    <row r="1991" spans="3:4" x14ac:dyDescent="0.3">
      <c r="C1991" s="43" t="s">
        <v>39893</v>
      </c>
      <c r="D1991" s="43" t="s">
        <v>40053</v>
      </c>
    </row>
    <row r="1992" spans="3:4" x14ac:dyDescent="0.3">
      <c r="C1992" s="43" t="s">
        <v>39893</v>
      </c>
      <c r="D1992" s="43" t="s">
        <v>40054</v>
      </c>
    </row>
    <row r="1993" spans="3:4" x14ac:dyDescent="0.3">
      <c r="C1993" s="43" t="s">
        <v>39893</v>
      </c>
      <c r="D1993" s="43" t="s">
        <v>40055</v>
      </c>
    </row>
    <row r="1994" spans="3:4" x14ac:dyDescent="0.3">
      <c r="C1994" s="43" t="s">
        <v>39893</v>
      </c>
      <c r="D1994" s="43" t="s">
        <v>40056</v>
      </c>
    </row>
    <row r="1995" spans="3:4" x14ac:dyDescent="0.3">
      <c r="C1995" s="43" t="s">
        <v>39893</v>
      </c>
      <c r="D1995" s="43" t="s">
        <v>40057</v>
      </c>
    </row>
    <row r="1996" spans="3:4" x14ac:dyDescent="0.3">
      <c r="C1996" s="43" t="s">
        <v>39893</v>
      </c>
      <c r="D1996" s="43" t="s">
        <v>40058</v>
      </c>
    </row>
    <row r="1997" spans="3:4" x14ac:dyDescent="0.3">
      <c r="C1997" s="43" t="s">
        <v>39893</v>
      </c>
      <c r="D1997" s="43" t="s">
        <v>40059</v>
      </c>
    </row>
    <row r="1998" spans="3:4" x14ac:dyDescent="0.3">
      <c r="C1998" s="43" t="s">
        <v>39893</v>
      </c>
      <c r="D1998" s="43" t="s">
        <v>40060</v>
      </c>
    </row>
    <row r="1999" spans="3:4" x14ac:dyDescent="0.3">
      <c r="C1999" s="43" t="s">
        <v>39893</v>
      </c>
      <c r="D1999" s="43" t="s">
        <v>40061</v>
      </c>
    </row>
    <row r="2000" spans="3:4" x14ac:dyDescent="0.3">
      <c r="C2000" s="43" t="s">
        <v>39893</v>
      </c>
      <c r="D2000" s="43" t="s">
        <v>40062</v>
      </c>
    </row>
    <row r="2001" spans="3:4" x14ac:dyDescent="0.3">
      <c r="C2001" s="43" t="s">
        <v>39893</v>
      </c>
      <c r="D2001" s="43" t="s">
        <v>40063</v>
      </c>
    </row>
    <row r="2002" spans="3:4" x14ac:dyDescent="0.3">
      <c r="C2002" s="43" t="s">
        <v>39893</v>
      </c>
      <c r="D2002" s="43" t="s">
        <v>40064</v>
      </c>
    </row>
    <row r="2003" spans="3:4" x14ac:dyDescent="0.3">
      <c r="C2003" s="43" t="s">
        <v>39893</v>
      </c>
      <c r="D2003" s="43" t="s">
        <v>40065</v>
      </c>
    </row>
    <row r="2004" spans="3:4" x14ac:dyDescent="0.3">
      <c r="C2004" s="43" t="s">
        <v>39893</v>
      </c>
      <c r="D2004" s="43" t="s">
        <v>40066</v>
      </c>
    </row>
    <row r="2005" spans="3:4" x14ac:dyDescent="0.3">
      <c r="C2005" s="43" t="s">
        <v>39893</v>
      </c>
      <c r="D2005" s="43" t="s">
        <v>40067</v>
      </c>
    </row>
    <row r="2006" spans="3:4" x14ac:dyDescent="0.3">
      <c r="C2006" s="43" t="s">
        <v>39893</v>
      </c>
      <c r="D2006" s="43" t="s">
        <v>40068</v>
      </c>
    </row>
    <row r="2007" spans="3:4" x14ac:dyDescent="0.3">
      <c r="C2007" s="43" t="s">
        <v>39893</v>
      </c>
      <c r="D2007" s="43" t="s">
        <v>40069</v>
      </c>
    </row>
    <row r="2008" spans="3:4" x14ac:dyDescent="0.3">
      <c r="C2008" s="43" t="s">
        <v>39893</v>
      </c>
      <c r="D2008" s="43" t="s">
        <v>40070</v>
      </c>
    </row>
    <row r="2009" spans="3:4" x14ac:dyDescent="0.3">
      <c r="C2009" s="43" t="s">
        <v>39893</v>
      </c>
      <c r="D2009" s="43" t="s">
        <v>40071</v>
      </c>
    </row>
    <row r="2010" spans="3:4" x14ac:dyDescent="0.3">
      <c r="C2010" s="43" t="s">
        <v>39893</v>
      </c>
      <c r="D2010" s="43" t="s">
        <v>40072</v>
      </c>
    </row>
    <row r="2011" spans="3:4" x14ac:dyDescent="0.3">
      <c r="C2011" s="43" t="s">
        <v>39893</v>
      </c>
      <c r="D2011" s="43" t="s">
        <v>40073</v>
      </c>
    </row>
    <row r="2012" spans="3:4" x14ac:dyDescent="0.3">
      <c r="C2012" s="43" t="s">
        <v>39893</v>
      </c>
      <c r="D2012" s="43" t="s">
        <v>40074</v>
      </c>
    </row>
    <row r="2013" spans="3:4" x14ac:dyDescent="0.3">
      <c r="C2013" s="43" t="s">
        <v>39893</v>
      </c>
      <c r="D2013" s="43" t="s">
        <v>40075</v>
      </c>
    </row>
    <row r="2014" spans="3:4" x14ac:dyDescent="0.3">
      <c r="C2014" s="43" t="s">
        <v>39893</v>
      </c>
      <c r="D2014" s="43" t="s">
        <v>40076</v>
      </c>
    </row>
    <row r="2015" spans="3:4" x14ac:dyDescent="0.3">
      <c r="C2015" s="43" t="s">
        <v>39893</v>
      </c>
      <c r="D2015" s="43" t="s">
        <v>40077</v>
      </c>
    </row>
    <row r="2016" spans="3:4" x14ac:dyDescent="0.3">
      <c r="C2016" s="43" t="s">
        <v>39893</v>
      </c>
      <c r="D2016" s="43" t="s">
        <v>40078</v>
      </c>
    </row>
    <row r="2017" spans="3:4" x14ac:dyDescent="0.3">
      <c r="C2017" s="43" t="s">
        <v>39893</v>
      </c>
      <c r="D2017" s="43" t="s">
        <v>40079</v>
      </c>
    </row>
    <row r="2018" spans="3:4" x14ac:dyDescent="0.3">
      <c r="C2018" s="43" t="s">
        <v>39893</v>
      </c>
      <c r="D2018" s="43" t="s">
        <v>40080</v>
      </c>
    </row>
    <row r="2019" spans="3:4" x14ac:dyDescent="0.3">
      <c r="C2019" s="43" t="s">
        <v>39893</v>
      </c>
      <c r="D2019" s="43" t="s">
        <v>40081</v>
      </c>
    </row>
    <row r="2020" spans="3:4" x14ac:dyDescent="0.3">
      <c r="C2020" s="43" t="s">
        <v>39893</v>
      </c>
      <c r="D2020" s="43" t="s">
        <v>40082</v>
      </c>
    </row>
    <row r="2021" spans="3:4" x14ac:dyDescent="0.3">
      <c r="C2021" s="43" t="s">
        <v>39893</v>
      </c>
      <c r="D2021" s="43" t="s">
        <v>40083</v>
      </c>
    </row>
    <row r="2022" spans="3:4" x14ac:dyDescent="0.3">
      <c r="C2022" s="43" t="s">
        <v>39893</v>
      </c>
      <c r="D2022" s="43" t="s">
        <v>40084</v>
      </c>
    </row>
    <row r="2023" spans="3:4" x14ac:dyDescent="0.3">
      <c r="C2023" s="43" t="s">
        <v>39893</v>
      </c>
      <c r="D2023" s="43" t="s">
        <v>40085</v>
      </c>
    </row>
    <row r="2024" spans="3:4" x14ac:dyDescent="0.3">
      <c r="C2024" s="43" t="s">
        <v>39893</v>
      </c>
      <c r="D2024" s="43" t="s">
        <v>40086</v>
      </c>
    </row>
    <row r="2025" spans="3:4" x14ac:dyDescent="0.3">
      <c r="C2025" s="43" t="s">
        <v>39893</v>
      </c>
      <c r="D2025" s="43" t="s">
        <v>40087</v>
      </c>
    </row>
    <row r="2026" spans="3:4" x14ac:dyDescent="0.3">
      <c r="C2026" s="43" t="s">
        <v>39893</v>
      </c>
      <c r="D2026" s="43" t="s">
        <v>40088</v>
      </c>
    </row>
    <row r="2027" spans="3:4" x14ac:dyDescent="0.3">
      <c r="C2027" s="43" t="s">
        <v>39893</v>
      </c>
      <c r="D2027" s="43" t="s">
        <v>40089</v>
      </c>
    </row>
    <row r="2028" spans="3:4" x14ac:dyDescent="0.3">
      <c r="C2028" s="43" t="s">
        <v>39893</v>
      </c>
      <c r="D2028" s="43" t="s">
        <v>40090</v>
      </c>
    </row>
    <row r="2029" spans="3:4" x14ac:dyDescent="0.3">
      <c r="C2029" s="43" t="s">
        <v>39893</v>
      </c>
      <c r="D2029" s="43" t="s">
        <v>40091</v>
      </c>
    </row>
    <row r="2030" spans="3:4" x14ac:dyDescent="0.3">
      <c r="C2030" s="43" t="s">
        <v>39893</v>
      </c>
      <c r="D2030" s="43" t="s">
        <v>40092</v>
      </c>
    </row>
    <row r="2031" spans="3:4" x14ac:dyDescent="0.3">
      <c r="C2031" s="43" t="s">
        <v>39893</v>
      </c>
      <c r="D2031" s="43" t="s">
        <v>40093</v>
      </c>
    </row>
    <row r="2032" spans="3:4" x14ac:dyDescent="0.3">
      <c r="C2032" s="43" t="s">
        <v>39893</v>
      </c>
      <c r="D2032" s="43" t="s">
        <v>40094</v>
      </c>
    </row>
    <row r="2033" spans="3:4" x14ac:dyDescent="0.3">
      <c r="C2033" s="43" t="s">
        <v>39893</v>
      </c>
      <c r="D2033" s="43" t="s">
        <v>40095</v>
      </c>
    </row>
    <row r="2034" spans="3:4" x14ac:dyDescent="0.3">
      <c r="C2034" s="43" t="s">
        <v>39893</v>
      </c>
      <c r="D2034" s="43" t="s">
        <v>40096</v>
      </c>
    </row>
    <row r="2035" spans="3:4" x14ac:dyDescent="0.3">
      <c r="C2035" s="43" t="s">
        <v>39893</v>
      </c>
      <c r="D2035" s="43" t="s">
        <v>40097</v>
      </c>
    </row>
    <row r="2036" spans="3:4" x14ac:dyDescent="0.3">
      <c r="C2036" s="43" t="s">
        <v>39893</v>
      </c>
      <c r="D2036" s="43" t="s">
        <v>40098</v>
      </c>
    </row>
    <row r="2037" spans="3:4" x14ac:dyDescent="0.3">
      <c r="C2037" s="43" t="s">
        <v>39893</v>
      </c>
      <c r="D2037" s="43" t="s">
        <v>40099</v>
      </c>
    </row>
    <row r="2038" spans="3:4" x14ac:dyDescent="0.3">
      <c r="C2038" s="43" t="s">
        <v>39893</v>
      </c>
      <c r="D2038" s="43" t="s">
        <v>40100</v>
      </c>
    </row>
    <row r="2039" spans="3:4" x14ac:dyDescent="0.3">
      <c r="C2039" s="43" t="s">
        <v>39893</v>
      </c>
      <c r="D2039" s="43" t="s">
        <v>40101</v>
      </c>
    </row>
    <row r="2040" spans="3:4" x14ac:dyDescent="0.3">
      <c r="C2040" s="43" t="s">
        <v>39893</v>
      </c>
      <c r="D2040" s="43" t="s">
        <v>40102</v>
      </c>
    </row>
    <row r="2041" spans="3:4" x14ac:dyDescent="0.3">
      <c r="C2041" s="43" t="s">
        <v>39893</v>
      </c>
      <c r="D2041" s="43" t="s">
        <v>40103</v>
      </c>
    </row>
    <row r="2042" spans="3:4" x14ac:dyDescent="0.3">
      <c r="C2042" s="43" t="s">
        <v>39893</v>
      </c>
      <c r="D2042" s="43" t="s">
        <v>40104</v>
      </c>
    </row>
    <row r="2043" spans="3:4" x14ac:dyDescent="0.3">
      <c r="C2043" s="43" t="s">
        <v>39893</v>
      </c>
      <c r="D2043" s="43" t="s">
        <v>40105</v>
      </c>
    </row>
    <row r="2044" spans="3:4" x14ac:dyDescent="0.3">
      <c r="C2044" s="43" t="s">
        <v>39893</v>
      </c>
      <c r="D2044" s="43" t="s">
        <v>40106</v>
      </c>
    </row>
    <row r="2045" spans="3:4" x14ac:dyDescent="0.3">
      <c r="C2045" s="43" t="s">
        <v>39893</v>
      </c>
      <c r="D2045" s="43" t="s">
        <v>40107</v>
      </c>
    </row>
    <row r="2046" spans="3:4" x14ac:dyDescent="0.3">
      <c r="C2046" s="43" t="s">
        <v>39893</v>
      </c>
      <c r="D2046" s="43" t="s">
        <v>40108</v>
      </c>
    </row>
    <row r="2047" spans="3:4" x14ac:dyDescent="0.3">
      <c r="C2047" s="43" t="s">
        <v>39893</v>
      </c>
      <c r="D2047" s="43" t="s">
        <v>40109</v>
      </c>
    </row>
    <row r="2048" spans="3:4" x14ac:dyDescent="0.3">
      <c r="C2048" s="43" t="s">
        <v>39893</v>
      </c>
      <c r="D2048" s="43" t="s">
        <v>40110</v>
      </c>
    </row>
    <row r="2049" spans="3:4" x14ac:dyDescent="0.3">
      <c r="C2049" s="43" t="s">
        <v>39893</v>
      </c>
      <c r="D2049" s="43" t="s">
        <v>40111</v>
      </c>
    </row>
    <row r="2050" spans="3:4" x14ac:dyDescent="0.3">
      <c r="C2050" s="43" t="s">
        <v>39893</v>
      </c>
      <c r="D2050" s="43" t="s">
        <v>40112</v>
      </c>
    </row>
    <row r="2051" spans="3:4" x14ac:dyDescent="0.3">
      <c r="C2051" s="43" t="s">
        <v>39893</v>
      </c>
      <c r="D2051" s="43" t="s">
        <v>40113</v>
      </c>
    </row>
    <row r="2052" spans="3:4" x14ac:dyDescent="0.3">
      <c r="C2052" s="43" t="s">
        <v>39893</v>
      </c>
      <c r="D2052" s="43" t="s">
        <v>40114</v>
      </c>
    </row>
    <row r="2053" spans="3:4" x14ac:dyDescent="0.3">
      <c r="C2053" s="43" t="s">
        <v>39893</v>
      </c>
      <c r="D2053" s="43" t="s">
        <v>40115</v>
      </c>
    </row>
    <row r="2054" spans="3:4" x14ac:dyDescent="0.3">
      <c r="C2054" s="43" t="s">
        <v>39893</v>
      </c>
      <c r="D2054" s="43" t="s">
        <v>40116</v>
      </c>
    </row>
    <row r="2055" spans="3:4" x14ac:dyDescent="0.3">
      <c r="C2055" s="43" t="s">
        <v>39893</v>
      </c>
      <c r="D2055" s="43" t="s">
        <v>40117</v>
      </c>
    </row>
    <row r="2056" spans="3:4" x14ac:dyDescent="0.3">
      <c r="C2056" s="43" t="s">
        <v>39893</v>
      </c>
      <c r="D2056" s="43" t="s">
        <v>40118</v>
      </c>
    </row>
    <row r="2057" spans="3:4" x14ac:dyDescent="0.3">
      <c r="C2057" s="43" t="s">
        <v>39893</v>
      </c>
      <c r="D2057" s="43" t="s">
        <v>40119</v>
      </c>
    </row>
    <row r="2058" spans="3:4" x14ac:dyDescent="0.3">
      <c r="C2058" s="43" t="s">
        <v>39893</v>
      </c>
      <c r="D2058" s="43" t="s">
        <v>40120</v>
      </c>
    </row>
    <row r="2059" spans="3:4" x14ac:dyDescent="0.3">
      <c r="C2059" s="43" t="s">
        <v>39893</v>
      </c>
      <c r="D2059" s="43" t="s">
        <v>40121</v>
      </c>
    </row>
    <row r="2060" spans="3:4" x14ac:dyDescent="0.3">
      <c r="C2060" s="43" t="s">
        <v>39893</v>
      </c>
      <c r="D2060" s="43" t="s">
        <v>40122</v>
      </c>
    </row>
    <row r="2061" spans="3:4" x14ac:dyDescent="0.3">
      <c r="C2061" s="43" t="s">
        <v>39893</v>
      </c>
      <c r="D2061" s="43" t="s">
        <v>40123</v>
      </c>
    </row>
    <row r="2062" spans="3:4" x14ac:dyDescent="0.3">
      <c r="C2062" s="43" t="s">
        <v>39893</v>
      </c>
      <c r="D2062" s="43" t="s">
        <v>40124</v>
      </c>
    </row>
    <row r="2063" spans="3:4" x14ac:dyDescent="0.3">
      <c r="C2063" s="43" t="s">
        <v>39893</v>
      </c>
      <c r="D2063" s="43" t="s">
        <v>40125</v>
      </c>
    </row>
    <row r="2064" spans="3:4" x14ac:dyDescent="0.3">
      <c r="C2064" s="43" t="s">
        <v>39893</v>
      </c>
      <c r="D2064" s="43" t="s">
        <v>40126</v>
      </c>
    </row>
    <row r="2065" spans="3:4" x14ac:dyDescent="0.3">
      <c r="C2065" s="43" t="s">
        <v>39893</v>
      </c>
      <c r="D2065" s="43" t="s">
        <v>40127</v>
      </c>
    </row>
    <row r="2066" spans="3:4" x14ac:dyDescent="0.3">
      <c r="C2066" s="43" t="s">
        <v>39893</v>
      </c>
      <c r="D2066" s="43" t="s">
        <v>40128</v>
      </c>
    </row>
    <row r="2067" spans="3:4" x14ac:dyDescent="0.3">
      <c r="C2067" s="43" t="s">
        <v>39893</v>
      </c>
      <c r="D2067" s="43" t="s">
        <v>40129</v>
      </c>
    </row>
    <row r="2068" spans="3:4" x14ac:dyDescent="0.3">
      <c r="C2068" s="43" t="s">
        <v>39893</v>
      </c>
      <c r="D2068" s="43" t="s">
        <v>40130</v>
      </c>
    </row>
    <row r="2069" spans="3:4" x14ac:dyDescent="0.3">
      <c r="C2069" s="43" t="s">
        <v>39893</v>
      </c>
      <c r="D2069" s="43" t="s">
        <v>40131</v>
      </c>
    </row>
    <row r="2070" spans="3:4" x14ac:dyDescent="0.3">
      <c r="C2070" s="43" t="s">
        <v>39893</v>
      </c>
      <c r="D2070" s="43" t="s">
        <v>40132</v>
      </c>
    </row>
    <row r="2071" spans="3:4" x14ac:dyDescent="0.3">
      <c r="C2071" s="43" t="s">
        <v>39893</v>
      </c>
      <c r="D2071" s="43" t="s">
        <v>40133</v>
      </c>
    </row>
    <row r="2072" spans="3:4" x14ac:dyDescent="0.3">
      <c r="C2072" s="43" t="s">
        <v>39893</v>
      </c>
      <c r="D2072" s="43" t="s">
        <v>40134</v>
      </c>
    </row>
    <row r="2073" spans="3:4" x14ac:dyDescent="0.3">
      <c r="C2073" s="43" t="s">
        <v>39893</v>
      </c>
      <c r="D2073" s="43" t="s">
        <v>40135</v>
      </c>
    </row>
    <row r="2074" spans="3:4" x14ac:dyDescent="0.3">
      <c r="C2074" s="43" t="s">
        <v>39893</v>
      </c>
      <c r="D2074" s="43" t="s">
        <v>40136</v>
      </c>
    </row>
    <row r="2075" spans="3:4" x14ac:dyDescent="0.3">
      <c r="C2075" s="43" t="s">
        <v>39893</v>
      </c>
      <c r="D2075" s="43" t="s">
        <v>40137</v>
      </c>
    </row>
    <row r="2076" spans="3:4" x14ac:dyDescent="0.3">
      <c r="C2076" s="43" t="s">
        <v>39893</v>
      </c>
      <c r="D2076" s="43" t="s">
        <v>40138</v>
      </c>
    </row>
    <row r="2077" spans="3:4" x14ac:dyDescent="0.3">
      <c r="C2077" s="43" t="s">
        <v>39893</v>
      </c>
      <c r="D2077" s="43" t="s">
        <v>40139</v>
      </c>
    </row>
    <row r="2078" spans="3:4" x14ac:dyDescent="0.3">
      <c r="C2078" s="43" t="s">
        <v>39893</v>
      </c>
      <c r="D2078" s="43" t="s">
        <v>40140</v>
      </c>
    </row>
    <row r="2079" spans="3:4" x14ac:dyDescent="0.3">
      <c r="C2079" s="43" t="s">
        <v>39893</v>
      </c>
      <c r="D2079" s="43" t="s">
        <v>40141</v>
      </c>
    </row>
    <row r="2080" spans="3:4" x14ac:dyDescent="0.3">
      <c r="C2080" s="43" t="s">
        <v>39893</v>
      </c>
      <c r="D2080" s="43" t="s">
        <v>40142</v>
      </c>
    </row>
    <row r="2081" spans="3:4" x14ac:dyDescent="0.3">
      <c r="C2081" s="43" t="s">
        <v>39893</v>
      </c>
      <c r="D2081" s="43" t="s">
        <v>40143</v>
      </c>
    </row>
    <row r="2082" spans="3:4" x14ac:dyDescent="0.3">
      <c r="C2082" s="43" t="s">
        <v>39893</v>
      </c>
      <c r="D2082" s="43" t="s">
        <v>40144</v>
      </c>
    </row>
    <row r="2083" spans="3:4" x14ac:dyDescent="0.3">
      <c r="C2083" s="43" t="s">
        <v>39893</v>
      </c>
      <c r="D2083" s="43" t="s">
        <v>40145</v>
      </c>
    </row>
    <row r="2084" spans="3:4" x14ac:dyDescent="0.3">
      <c r="C2084" s="43" t="s">
        <v>39893</v>
      </c>
      <c r="D2084" s="43" t="s">
        <v>40146</v>
      </c>
    </row>
    <row r="2085" spans="3:4" x14ac:dyDescent="0.3">
      <c r="C2085" s="43" t="s">
        <v>39893</v>
      </c>
      <c r="D2085" s="43" t="s">
        <v>40147</v>
      </c>
    </row>
    <row r="2086" spans="3:4" x14ac:dyDescent="0.3">
      <c r="C2086" s="43" t="s">
        <v>39893</v>
      </c>
      <c r="D2086" s="43" t="s">
        <v>40148</v>
      </c>
    </row>
    <row r="2087" spans="3:4" x14ac:dyDescent="0.3">
      <c r="C2087" s="43" t="s">
        <v>39893</v>
      </c>
      <c r="D2087" s="43" t="s">
        <v>40149</v>
      </c>
    </row>
    <row r="2088" spans="3:4" x14ac:dyDescent="0.3">
      <c r="C2088" s="43" t="s">
        <v>39893</v>
      </c>
      <c r="D2088" s="43" t="s">
        <v>40150</v>
      </c>
    </row>
    <row r="2089" spans="3:4" x14ac:dyDescent="0.3">
      <c r="C2089" s="43" t="s">
        <v>39893</v>
      </c>
      <c r="D2089" s="43" t="s">
        <v>40151</v>
      </c>
    </row>
    <row r="2090" spans="3:4" x14ac:dyDescent="0.3">
      <c r="C2090" s="43" t="s">
        <v>39893</v>
      </c>
      <c r="D2090" s="43" t="s">
        <v>40152</v>
      </c>
    </row>
    <row r="2091" spans="3:4" x14ac:dyDescent="0.3">
      <c r="C2091" s="43" t="s">
        <v>39893</v>
      </c>
      <c r="D2091" s="43" t="s">
        <v>40153</v>
      </c>
    </row>
    <row r="2092" spans="3:4" x14ac:dyDescent="0.3">
      <c r="C2092" s="43" t="s">
        <v>39893</v>
      </c>
      <c r="D2092" s="43" t="s">
        <v>40154</v>
      </c>
    </row>
    <row r="2093" spans="3:4" x14ac:dyDescent="0.3">
      <c r="C2093" s="43" t="s">
        <v>39893</v>
      </c>
      <c r="D2093" s="43" t="s">
        <v>40155</v>
      </c>
    </row>
    <row r="2094" spans="3:4" x14ac:dyDescent="0.3">
      <c r="C2094" s="43" t="s">
        <v>39893</v>
      </c>
      <c r="D2094" s="43" t="s">
        <v>40156</v>
      </c>
    </row>
    <row r="2095" spans="3:4" x14ac:dyDescent="0.3">
      <c r="C2095" s="43" t="s">
        <v>39893</v>
      </c>
      <c r="D2095" s="43" t="s">
        <v>40157</v>
      </c>
    </row>
    <row r="2096" spans="3:4" x14ac:dyDescent="0.3">
      <c r="C2096" s="43" t="s">
        <v>39893</v>
      </c>
      <c r="D2096" s="43" t="s">
        <v>40158</v>
      </c>
    </row>
    <row r="2097" spans="3:4" x14ac:dyDescent="0.3">
      <c r="C2097" s="43" t="s">
        <v>39893</v>
      </c>
      <c r="D2097" s="43" t="s">
        <v>40159</v>
      </c>
    </row>
    <row r="2098" spans="3:4" x14ac:dyDescent="0.3">
      <c r="C2098" s="43" t="s">
        <v>39893</v>
      </c>
      <c r="D2098" s="43" t="s">
        <v>40160</v>
      </c>
    </row>
    <row r="2099" spans="3:4" x14ac:dyDescent="0.3">
      <c r="C2099" s="43" t="s">
        <v>39893</v>
      </c>
      <c r="D2099" s="43" t="s">
        <v>40161</v>
      </c>
    </row>
    <row r="2100" spans="3:4" x14ac:dyDescent="0.3">
      <c r="C2100" s="43" t="s">
        <v>39893</v>
      </c>
      <c r="D2100" s="43" t="s">
        <v>40162</v>
      </c>
    </row>
    <row r="2101" spans="3:4" x14ac:dyDescent="0.3">
      <c r="C2101" s="43" t="s">
        <v>39893</v>
      </c>
      <c r="D2101" s="43" t="s">
        <v>40163</v>
      </c>
    </row>
    <row r="2102" spans="3:4" x14ac:dyDescent="0.3">
      <c r="C2102" s="43" t="s">
        <v>39893</v>
      </c>
      <c r="D2102" s="43" t="s">
        <v>40164</v>
      </c>
    </row>
    <row r="2103" spans="3:4" x14ac:dyDescent="0.3">
      <c r="C2103" s="43" t="s">
        <v>39893</v>
      </c>
      <c r="D2103" s="43" t="s">
        <v>40165</v>
      </c>
    </row>
    <row r="2104" spans="3:4" x14ac:dyDescent="0.3">
      <c r="C2104" s="43" t="s">
        <v>39893</v>
      </c>
      <c r="D2104" s="43" t="s">
        <v>40166</v>
      </c>
    </row>
    <row r="2105" spans="3:4" x14ac:dyDescent="0.3">
      <c r="C2105" s="43" t="s">
        <v>39893</v>
      </c>
      <c r="D2105" s="43" t="s">
        <v>40167</v>
      </c>
    </row>
    <row r="2106" spans="3:4" x14ac:dyDescent="0.3">
      <c r="C2106" s="43" t="s">
        <v>39893</v>
      </c>
      <c r="D2106" s="43" t="s">
        <v>40168</v>
      </c>
    </row>
    <row r="2107" spans="3:4" x14ac:dyDescent="0.3">
      <c r="C2107" s="43" t="s">
        <v>39893</v>
      </c>
      <c r="D2107" s="43" t="s">
        <v>40169</v>
      </c>
    </row>
    <row r="2108" spans="3:4" x14ac:dyDescent="0.3">
      <c r="C2108" s="43" t="s">
        <v>39893</v>
      </c>
      <c r="D2108" s="43" t="s">
        <v>40170</v>
      </c>
    </row>
    <row r="2109" spans="3:4" x14ac:dyDescent="0.3">
      <c r="C2109" s="43" t="s">
        <v>39893</v>
      </c>
      <c r="D2109" s="43" t="s">
        <v>40171</v>
      </c>
    </row>
    <row r="2110" spans="3:4" x14ac:dyDescent="0.3">
      <c r="C2110" s="43" t="s">
        <v>39893</v>
      </c>
      <c r="D2110" s="43" t="s">
        <v>40172</v>
      </c>
    </row>
    <row r="2111" spans="3:4" x14ac:dyDescent="0.3">
      <c r="C2111" s="43" t="s">
        <v>39893</v>
      </c>
      <c r="D2111" s="43" t="s">
        <v>40173</v>
      </c>
    </row>
    <row r="2112" spans="3:4" x14ac:dyDescent="0.3">
      <c r="C2112" s="43" t="s">
        <v>39893</v>
      </c>
      <c r="D2112" s="43" t="s">
        <v>40174</v>
      </c>
    </row>
    <row r="2113" spans="3:4" x14ac:dyDescent="0.3">
      <c r="C2113" s="43" t="s">
        <v>39893</v>
      </c>
      <c r="D2113" s="43" t="s">
        <v>40175</v>
      </c>
    </row>
    <row r="2114" spans="3:4" x14ac:dyDescent="0.3">
      <c r="C2114" s="43" t="s">
        <v>39893</v>
      </c>
      <c r="D2114" s="43" t="s">
        <v>40176</v>
      </c>
    </row>
    <row r="2115" spans="3:4" x14ac:dyDescent="0.3">
      <c r="C2115" s="43" t="s">
        <v>39893</v>
      </c>
      <c r="D2115" s="43" t="s">
        <v>40177</v>
      </c>
    </row>
    <row r="2116" spans="3:4" x14ac:dyDescent="0.3">
      <c r="C2116" s="43" t="s">
        <v>39893</v>
      </c>
      <c r="D2116" s="43" t="s">
        <v>40178</v>
      </c>
    </row>
    <row r="2117" spans="3:4" x14ac:dyDescent="0.3">
      <c r="C2117" s="43" t="s">
        <v>39893</v>
      </c>
      <c r="D2117" s="43" t="s">
        <v>40179</v>
      </c>
    </row>
    <row r="2118" spans="3:4" x14ac:dyDescent="0.3">
      <c r="C2118" s="43" t="s">
        <v>39893</v>
      </c>
      <c r="D2118" s="43" t="s">
        <v>40180</v>
      </c>
    </row>
    <row r="2119" spans="3:4" x14ac:dyDescent="0.3">
      <c r="C2119" s="43" t="s">
        <v>39893</v>
      </c>
      <c r="D2119" s="43" t="s">
        <v>40181</v>
      </c>
    </row>
    <row r="2120" spans="3:4" x14ac:dyDescent="0.3">
      <c r="C2120" s="43" t="s">
        <v>39893</v>
      </c>
      <c r="D2120" s="43" t="s">
        <v>40182</v>
      </c>
    </row>
    <row r="2121" spans="3:4" x14ac:dyDescent="0.3">
      <c r="C2121" s="43" t="s">
        <v>39893</v>
      </c>
      <c r="D2121" s="43" t="s">
        <v>40183</v>
      </c>
    </row>
    <row r="2122" spans="3:4" x14ac:dyDescent="0.3">
      <c r="C2122" s="43" t="s">
        <v>39893</v>
      </c>
      <c r="D2122" s="43" t="s">
        <v>40184</v>
      </c>
    </row>
    <row r="2123" spans="3:4" x14ac:dyDescent="0.3">
      <c r="C2123" s="43" t="s">
        <v>39893</v>
      </c>
      <c r="D2123" s="43" t="s">
        <v>40185</v>
      </c>
    </row>
    <row r="2124" spans="3:4" x14ac:dyDescent="0.3">
      <c r="C2124" s="43" t="s">
        <v>39893</v>
      </c>
      <c r="D2124" s="43" t="s">
        <v>40186</v>
      </c>
    </row>
    <row r="2125" spans="3:4" x14ac:dyDescent="0.3">
      <c r="C2125" s="43" t="s">
        <v>39893</v>
      </c>
      <c r="D2125" s="43" t="s">
        <v>40187</v>
      </c>
    </row>
    <row r="2126" spans="3:4" x14ac:dyDescent="0.3">
      <c r="C2126" s="43" t="s">
        <v>39893</v>
      </c>
      <c r="D2126" s="43" t="s">
        <v>40188</v>
      </c>
    </row>
    <row r="2127" spans="3:4" x14ac:dyDescent="0.3">
      <c r="C2127" s="43" t="s">
        <v>39893</v>
      </c>
      <c r="D2127" s="43" t="s">
        <v>40189</v>
      </c>
    </row>
    <row r="2128" spans="3:4" x14ac:dyDescent="0.3">
      <c r="C2128" s="43" t="s">
        <v>39893</v>
      </c>
      <c r="D2128" s="43" t="s">
        <v>40190</v>
      </c>
    </row>
    <row r="2129" spans="3:4" x14ac:dyDescent="0.3">
      <c r="C2129" s="43" t="s">
        <v>39893</v>
      </c>
      <c r="D2129" s="43" t="s">
        <v>40191</v>
      </c>
    </row>
    <row r="2130" spans="3:4" x14ac:dyDescent="0.3">
      <c r="C2130" s="43" t="s">
        <v>39893</v>
      </c>
      <c r="D2130" s="43" t="s">
        <v>40192</v>
      </c>
    </row>
    <row r="2131" spans="3:4" x14ac:dyDescent="0.3">
      <c r="C2131" s="43" t="s">
        <v>39893</v>
      </c>
      <c r="D2131" s="43" t="s">
        <v>40193</v>
      </c>
    </row>
    <row r="2132" spans="3:4" x14ac:dyDescent="0.3">
      <c r="C2132" s="43" t="s">
        <v>39893</v>
      </c>
      <c r="D2132" s="43" t="s">
        <v>40194</v>
      </c>
    </row>
    <row r="2133" spans="3:4" x14ac:dyDescent="0.3">
      <c r="C2133" s="43" t="s">
        <v>39893</v>
      </c>
      <c r="D2133" s="43" t="s">
        <v>40195</v>
      </c>
    </row>
    <row r="2134" spans="3:4" x14ac:dyDescent="0.3">
      <c r="C2134" s="43" t="s">
        <v>39893</v>
      </c>
      <c r="D2134" s="43" t="s">
        <v>40196</v>
      </c>
    </row>
    <row r="2135" spans="3:4" x14ac:dyDescent="0.3">
      <c r="C2135" s="43" t="s">
        <v>39893</v>
      </c>
      <c r="D2135" s="43" t="s">
        <v>40197</v>
      </c>
    </row>
    <row r="2136" spans="3:4" x14ac:dyDescent="0.3">
      <c r="C2136" s="43" t="s">
        <v>39893</v>
      </c>
      <c r="D2136" s="43" t="s">
        <v>40198</v>
      </c>
    </row>
    <row r="2137" spans="3:4" x14ac:dyDescent="0.3">
      <c r="C2137" s="43" t="s">
        <v>39893</v>
      </c>
      <c r="D2137" s="43" t="s">
        <v>40199</v>
      </c>
    </row>
    <row r="2138" spans="3:4" x14ac:dyDescent="0.3">
      <c r="C2138" s="43" t="s">
        <v>39893</v>
      </c>
      <c r="D2138" s="43" t="s">
        <v>40200</v>
      </c>
    </row>
    <row r="2139" spans="3:4" x14ac:dyDescent="0.3">
      <c r="C2139" s="43" t="s">
        <v>39893</v>
      </c>
      <c r="D2139" s="43" t="s">
        <v>40201</v>
      </c>
    </row>
    <row r="2140" spans="3:4" x14ac:dyDescent="0.3">
      <c r="C2140" s="43" t="s">
        <v>39893</v>
      </c>
      <c r="D2140" s="43" t="s">
        <v>40202</v>
      </c>
    </row>
    <row r="2141" spans="3:4" x14ac:dyDescent="0.3">
      <c r="C2141" s="43" t="s">
        <v>39893</v>
      </c>
      <c r="D2141" s="43" t="s">
        <v>40203</v>
      </c>
    </row>
    <row r="2142" spans="3:4" x14ac:dyDescent="0.3">
      <c r="C2142" s="43" t="s">
        <v>39893</v>
      </c>
      <c r="D2142" s="43" t="s">
        <v>40204</v>
      </c>
    </row>
    <row r="2143" spans="3:4" x14ac:dyDescent="0.3">
      <c r="C2143" s="43" t="s">
        <v>39893</v>
      </c>
      <c r="D2143" s="43" t="s">
        <v>40205</v>
      </c>
    </row>
    <row r="2144" spans="3:4" x14ac:dyDescent="0.3">
      <c r="C2144" s="43" t="s">
        <v>39893</v>
      </c>
      <c r="D2144" s="43" t="s">
        <v>40206</v>
      </c>
    </row>
    <row r="2145" spans="3:4" x14ac:dyDescent="0.3">
      <c r="C2145" s="43" t="s">
        <v>39893</v>
      </c>
      <c r="D2145" s="43" t="s">
        <v>40207</v>
      </c>
    </row>
    <row r="2146" spans="3:4" x14ac:dyDescent="0.3">
      <c r="C2146" s="43" t="s">
        <v>39893</v>
      </c>
      <c r="D2146" s="43" t="s">
        <v>40208</v>
      </c>
    </row>
    <row r="2147" spans="3:4" x14ac:dyDescent="0.3">
      <c r="C2147" s="43" t="s">
        <v>39893</v>
      </c>
      <c r="D2147" s="43" t="s">
        <v>40209</v>
      </c>
    </row>
    <row r="2148" spans="3:4" x14ac:dyDescent="0.3">
      <c r="C2148" s="43" t="s">
        <v>39893</v>
      </c>
      <c r="D2148" s="43" t="s">
        <v>40210</v>
      </c>
    </row>
    <row r="2149" spans="3:4" x14ac:dyDescent="0.3">
      <c r="C2149" s="43" t="s">
        <v>39893</v>
      </c>
      <c r="D2149" s="43" t="s">
        <v>40211</v>
      </c>
    </row>
    <row r="2150" spans="3:4" x14ac:dyDescent="0.3">
      <c r="C2150" s="43" t="s">
        <v>39893</v>
      </c>
      <c r="D2150" s="43" t="s">
        <v>40212</v>
      </c>
    </row>
    <row r="2151" spans="3:4" x14ac:dyDescent="0.3">
      <c r="C2151" s="43" t="s">
        <v>39893</v>
      </c>
      <c r="D2151" s="43" t="s">
        <v>40213</v>
      </c>
    </row>
    <row r="2152" spans="3:4" x14ac:dyDescent="0.3">
      <c r="C2152" s="43" t="s">
        <v>39893</v>
      </c>
      <c r="D2152" s="43" t="s">
        <v>40214</v>
      </c>
    </row>
    <row r="2153" spans="3:4" x14ac:dyDescent="0.3">
      <c r="C2153" s="43" t="s">
        <v>39893</v>
      </c>
      <c r="D2153" s="43" t="s">
        <v>40215</v>
      </c>
    </row>
    <row r="2154" spans="3:4" x14ac:dyDescent="0.3">
      <c r="C2154" s="43" t="s">
        <v>39893</v>
      </c>
      <c r="D2154" s="43" t="s">
        <v>40216</v>
      </c>
    </row>
    <row r="2155" spans="3:4" x14ac:dyDescent="0.3">
      <c r="C2155" s="43" t="s">
        <v>39893</v>
      </c>
      <c r="D2155" s="43" t="s">
        <v>40217</v>
      </c>
    </row>
    <row r="2156" spans="3:4" x14ac:dyDescent="0.3">
      <c r="C2156" s="43" t="s">
        <v>39893</v>
      </c>
      <c r="D2156" s="43" t="s">
        <v>40218</v>
      </c>
    </row>
    <row r="2157" spans="3:4" x14ac:dyDescent="0.3">
      <c r="C2157" s="43" t="s">
        <v>39893</v>
      </c>
      <c r="D2157" s="43" t="s">
        <v>40219</v>
      </c>
    </row>
    <row r="2158" spans="3:4" x14ac:dyDescent="0.3">
      <c r="C2158" s="43" t="s">
        <v>39893</v>
      </c>
      <c r="D2158" s="43" t="s">
        <v>40220</v>
      </c>
    </row>
    <row r="2159" spans="3:4" x14ac:dyDescent="0.3">
      <c r="C2159" s="43" t="s">
        <v>39893</v>
      </c>
      <c r="D2159" s="43" t="s">
        <v>40221</v>
      </c>
    </row>
    <row r="2160" spans="3:4" x14ac:dyDescent="0.3">
      <c r="C2160" s="43" t="s">
        <v>39893</v>
      </c>
      <c r="D2160" s="43" t="s">
        <v>40222</v>
      </c>
    </row>
    <row r="2161" spans="3:4" x14ac:dyDescent="0.3">
      <c r="C2161" s="43" t="s">
        <v>39893</v>
      </c>
      <c r="D2161" s="43" t="s">
        <v>40223</v>
      </c>
    </row>
    <row r="2162" spans="3:4" x14ac:dyDescent="0.3">
      <c r="C2162" s="43" t="s">
        <v>39893</v>
      </c>
      <c r="D2162" s="43" t="s">
        <v>40224</v>
      </c>
    </row>
    <row r="2163" spans="3:4" x14ac:dyDescent="0.3">
      <c r="C2163" s="43" t="s">
        <v>39893</v>
      </c>
      <c r="D2163" s="43" t="s">
        <v>40225</v>
      </c>
    </row>
    <row r="2164" spans="3:4" x14ac:dyDescent="0.3">
      <c r="C2164" s="43" t="s">
        <v>39893</v>
      </c>
      <c r="D2164" s="43" t="s">
        <v>40226</v>
      </c>
    </row>
    <row r="2165" spans="3:4" x14ac:dyDescent="0.3">
      <c r="C2165" s="43" t="s">
        <v>39893</v>
      </c>
      <c r="D2165" s="43" t="s">
        <v>40227</v>
      </c>
    </row>
    <row r="2166" spans="3:4" x14ac:dyDescent="0.3">
      <c r="C2166" s="43" t="s">
        <v>39893</v>
      </c>
      <c r="D2166" s="43" t="s">
        <v>40228</v>
      </c>
    </row>
    <row r="2167" spans="3:4" x14ac:dyDescent="0.3">
      <c r="C2167" s="43" t="s">
        <v>39893</v>
      </c>
      <c r="D2167" s="43" t="s">
        <v>40229</v>
      </c>
    </row>
    <row r="2168" spans="3:4" x14ac:dyDescent="0.3">
      <c r="C2168" s="43" t="s">
        <v>39893</v>
      </c>
      <c r="D2168" s="43" t="s">
        <v>40230</v>
      </c>
    </row>
    <row r="2169" spans="3:4" x14ac:dyDescent="0.3">
      <c r="C2169" s="43" t="s">
        <v>39893</v>
      </c>
      <c r="D2169" s="43" t="s">
        <v>40231</v>
      </c>
    </row>
    <row r="2170" spans="3:4" x14ac:dyDescent="0.3">
      <c r="C2170" s="43" t="s">
        <v>39893</v>
      </c>
      <c r="D2170" s="43" t="s">
        <v>40232</v>
      </c>
    </row>
    <row r="2171" spans="3:4" x14ac:dyDescent="0.3">
      <c r="C2171" s="43" t="s">
        <v>39893</v>
      </c>
      <c r="D2171" s="43" t="s">
        <v>40233</v>
      </c>
    </row>
    <row r="2172" spans="3:4" x14ac:dyDescent="0.3">
      <c r="C2172" s="43" t="s">
        <v>39893</v>
      </c>
      <c r="D2172" s="43" t="s">
        <v>40234</v>
      </c>
    </row>
    <row r="2173" spans="3:4" x14ac:dyDescent="0.3">
      <c r="C2173" s="43" t="s">
        <v>39893</v>
      </c>
      <c r="D2173" s="43" t="s">
        <v>40235</v>
      </c>
    </row>
    <row r="2174" spans="3:4" x14ac:dyDescent="0.3">
      <c r="C2174" s="43" t="s">
        <v>39893</v>
      </c>
      <c r="D2174" s="43" t="s">
        <v>40236</v>
      </c>
    </row>
    <row r="2175" spans="3:4" x14ac:dyDescent="0.3">
      <c r="C2175" s="43" t="s">
        <v>39893</v>
      </c>
      <c r="D2175" s="43" t="s">
        <v>40237</v>
      </c>
    </row>
    <row r="2176" spans="3:4" x14ac:dyDescent="0.3">
      <c r="C2176" s="43" t="s">
        <v>39893</v>
      </c>
      <c r="D2176" s="43" t="s">
        <v>40238</v>
      </c>
    </row>
    <row r="2177" spans="3:4" x14ac:dyDescent="0.3">
      <c r="C2177" s="43" t="s">
        <v>39893</v>
      </c>
      <c r="D2177" s="43" t="s">
        <v>40239</v>
      </c>
    </row>
    <row r="2178" spans="3:4" x14ac:dyDescent="0.3">
      <c r="C2178" s="43" t="s">
        <v>39893</v>
      </c>
      <c r="D2178" s="43" t="s">
        <v>40240</v>
      </c>
    </row>
    <row r="2179" spans="3:4" x14ac:dyDescent="0.3">
      <c r="C2179" s="43" t="s">
        <v>39893</v>
      </c>
      <c r="D2179" s="43" t="s">
        <v>40241</v>
      </c>
    </row>
    <row r="2180" spans="3:4" x14ac:dyDescent="0.3">
      <c r="C2180" s="43" t="s">
        <v>39893</v>
      </c>
      <c r="D2180" s="43" t="s">
        <v>40242</v>
      </c>
    </row>
    <row r="2181" spans="3:4" x14ac:dyDescent="0.3">
      <c r="C2181" s="43" t="s">
        <v>39893</v>
      </c>
      <c r="D2181" s="43" t="s">
        <v>40243</v>
      </c>
    </row>
    <row r="2182" spans="3:4" x14ac:dyDescent="0.3">
      <c r="C2182" s="43" t="s">
        <v>39893</v>
      </c>
      <c r="D2182" s="43" t="s">
        <v>40244</v>
      </c>
    </row>
    <row r="2183" spans="3:4" x14ac:dyDescent="0.3">
      <c r="C2183" s="43" t="s">
        <v>39893</v>
      </c>
      <c r="D2183" s="43" t="s">
        <v>40245</v>
      </c>
    </row>
    <row r="2184" spans="3:4" x14ac:dyDescent="0.3">
      <c r="C2184" s="43" t="s">
        <v>39893</v>
      </c>
      <c r="D2184" s="43" t="s">
        <v>40246</v>
      </c>
    </row>
    <row r="2185" spans="3:4" x14ac:dyDescent="0.3">
      <c r="C2185" s="43" t="s">
        <v>39893</v>
      </c>
      <c r="D2185" s="43" t="s">
        <v>40247</v>
      </c>
    </row>
    <row r="2186" spans="3:4" x14ac:dyDescent="0.3">
      <c r="C2186" s="43" t="s">
        <v>39893</v>
      </c>
      <c r="D2186" s="43" t="s">
        <v>40248</v>
      </c>
    </row>
    <row r="2187" spans="3:4" x14ac:dyDescent="0.3">
      <c r="C2187" s="43" t="s">
        <v>39893</v>
      </c>
      <c r="D2187" s="43" t="s">
        <v>40249</v>
      </c>
    </row>
    <row r="2188" spans="3:4" x14ac:dyDescent="0.3">
      <c r="C2188" s="43" t="s">
        <v>39893</v>
      </c>
      <c r="D2188" s="43" t="s">
        <v>40250</v>
      </c>
    </row>
    <row r="2189" spans="3:4" x14ac:dyDescent="0.3">
      <c r="C2189" s="43" t="s">
        <v>39893</v>
      </c>
      <c r="D2189" s="43" t="s">
        <v>40251</v>
      </c>
    </row>
    <row r="2190" spans="3:4" x14ac:dyDescent="0.3">
      <c r="C2190" s="43" t="s">
        <v>39893</v>
      </c>
      <c r="D2190" s="43" t="s">
        <v>40252</v>
      </c>
    </row>
    <row r="2191" spans="3:4" x14ac:dyDescent="0.3">
      <c r="C2191" s="43" t="s">
        <v>39893</v>
      </c>
      <c r="D2191" s="43" t="s">
        <v>40253</v>
      </c>
    </row>
    <row r="2192" spans="3:4" x14ac:dyDescent="0.3">
      <c r="C2192" s="43" t="s">
        <v>39893</v>
      </c>
      <c r="D2192" s="43" t="s">
        <v>40254</v>
      </c>
    </row>
    <row r="2193" spans="3:4" x14ac:dyDescent="0.3">
      <c r="C2193" s="43" t="s">
        <v>39893</v>
      </c>
      <c r="D2193" s="43" t="s">
        <v>40255</v>
      </c>
    </row>
    <row r="2194" spans="3:4" x14ac:dyDescent="0.3">
      <c r="C2194" s="43" t="s">
        <v>39893</v>
      </c>
      <c r="D2194" s="43" t="s">
        <v>40256</v>
      </c>
    </row>
    <row r="2195" spans="3:4" x14ac:dyDescent="0.3">
      <c r="C2195" s="43" t="s">
        <v>39893</v>
      </c>
      <c r="D2195" s="43" t="s">
        <v>40257</v>
      </c>
    </row>
    <row r="2196" spans="3:4" x14ac:dyDescent="0.3">
      <c r="C2196" s="43" t="s">
        <v>39893</v>
      </c>
      <c r="D2196" s="43" t="s">
        <v>40258</v>
      </c>
    </row>
    <row r="2197" spans="3:4" x14ac:dyDescent="0.3">
      <c r="C2197" s="43" t="s">
        <v>39893</v>
      </c>
      <c r="D2197" s="43" t="s">
        <v>40259</v>
      </c>
    </row>
    <row r="2198" spans="3:4" x14ac:dyDescent="0.3">
      <c r="C2198" s="43" t="s">
        <v>39893</v>
      </c>
      <c r="D2198" s="43" t="s">
        <v>40260</v>
      </c>
    </row>
    <row r="2199" spans="3:4" x14ac:dyDescent="0.3">
      <c r="C2199" s="43" t="s">
        <v>39893</v>
      </c>
      <c r="D2199" s="43" t="s">
        <v>40261</v>
      </c>
    </row>
    <row r="2200" spans="3:4" x14ac:dyDescent="0.3">
      <c r="C2200" s="43" t="s">
        <v>39893</v>
      </c>
      <c r="D2200" s="43" t="s">
        <v>40262</v>
      </c>
    </row>
    <row r="2201" spans="3:4" x14ac:dyDescent="0.3">
      <c r="C2201" s="43" t="s">
        <v>39893</v>
      </c>
      <c r="D2201" s="43" t="s">
        <v>40263</v>
      </c>
    </row>
    <row r="2202" spans="3:4" x14ac:dyDescent="0.3">
      <c r="C2202" s="43" t="s">
        <v>39893</v>
      </c>
      <c r="D2202" s="43" t="s">
        <v>40264</v>
      </c>
    </row>
    <row r="2203" spans="3:4" x14ac:dyDescent="0.3">
      <c r="C2203" s="43" t="s">
        <v>39893</v>
      </c>
      <c r="D2203" s="43" t="s">
        <v>40265</v>
      </c>
    </row>
    <row r="2204" spans="3:4" x14ac:dyDescent="0.3">
      <c r="C2204" s="43" t="s">
        <v>39893</v>
      </c>
      <c r="D2204" s="43" t="s">
        <v>40266</v>
      </c>
    </row>
    <row r="2205" spans="3:4" x14ac:dyDescent="0.3">
      <c r="C2205" s="43" t="s">
        <v>39893</v>
      </c>
      <c r="D2205" s="43" t="s">
        <v>40267</v>
      </c>
    </row>
    <row r="2206" spans="3:4" x14ac:dyDescent="0.3">
      <c r="C2206" s="43" t="s">
        <v>39893</v>
      </c>
      <c r="D2206" s="43" t="s">
        <v>40268</v>
      </c>
    </row>
    <row r="2207" spans="3:4" x14ac:dyDescent="0.3">
      <c r="C2207" s="43" t="s">
        <v>39893</v>
      </c>
      <c r="D2207" s="43" t="s">
        <v>40269</v>
      </c>
    </row>
    <row r="2208" spans="3:4" x14ac:dyDescent="0.3">
      <c r="C2208" s="43" t="s">
        <v>39893</v>
      </c>
      <c r="D2208" s="43" t="s">
        <v>40270</v>
      </c>
    </row>
    <row r="2209" spans="3:4" x14ac:dyDescent="0.3">
      <c r="C2209" s="43" t="s">
        <v>39893</v>
      </c>
      <c r="D2209" s="43" t="s">
        <v>40271</v>
      </c>
    </row>
    <row r="2210" spans="3:4" x14ac:dyDescent="0.3">
      <c r="C2210" s="43" t="s">
        <v>39893</v>
      </c>
      <c r="D2210" s="43" t="s">
        <v>40272</v>
      </c>
    </row>
    <row r="2211" spans="3:4" x14ac:dyDescent="0.3">
      <c r="C2211" s="43" t="s">
        <v>39893</v>
      </c>
      <c r="D2211" s="43" t="s">
        <v>40273</v>
      </c>
    </row>
    <row r="2212" spans="3:4" x14ac:dyDescent="0.3">
      <c r="C2212" s="43" t="s">
        <v>39893</v>
      </c>
      <c r="D2212" s="43" t="s">
        <v>40274</v>
      </c>
    </row>
    <row r="2213" spans="3:4" x14ac:dyDescent="0.3">
      <c r="C2213" s="43" t="s">
        <v>39893</v>
      </c>
      <c r="D2213" s="43" t="s">
        <v>40275</v>
      </c>
    </row>
    <row r="2214" spans="3:4" x14ac:dyDescent="0.3">
      <c r="C2214" s="43" t="s">
        <v>39893</v>
      </c>
      <c r="D2214" s="43" t="s">
        <v>40276</v>
      </c>
    </row>
    <row r="2215" spans="3:4" x14ac:dyDescent="0.3">
      <c r="C2215" s="43" t="s">
        <v>39893</v>
      </c>
      <c r="D2215" s="43" t="s">
        <v>40277</v>
      </c>
    </row>
    <row r="2216" spans="3:4" x14ac:dyDescent="0.3">
      <c r="C2216" s="43" t="s">
        <v>39893</v>
      </c>
      <c r="D2216" s="43" t="s">
        <v>40278</v>
      </c>
    </row>
    <row r="2217" spans="3:4" x14ac:dyDescent="0.3">
      <c r="C2217" s="43" t="s">
        <v>39893</v>
      </c>
      <c r="D2217" s="43" t="s">
        <v>40279</v>
      </c>
    </row>
    <row r="2218" spans="3:4" x14ac:dyDescent="0.3">
      <c r="C2218" s="43" t="s">
        <v>39893</v>
      </c>
      <c r="D2218" s="43" t="s">
        <v>40280</v>
      </c>
    </row>
    <row r="2219" spans="3:4" x14ac:dyDescent="0.3">
      <c r="C2219" s="43" t="s">
        <v>39893</v>
      </c>
      <c r="D2219" s="43" t="s">
        <v>40281</v>
      </c>
    </row>
    <row r="2220" spans="3:4" x14ac:dyDescent="0.3">
      <c r="C2220" s="43" t="s">
        <v>39893</v>
      </c>
      <c r="D2220" s="43" t="s">
        <v>40282</v>
      </c>
    </row>
    <row r="2221" spans="3:4" x14ac:dyDescent="0.3">
      <c r="C2221" s="43" t="s">
        <v>39893</v>
      </c>
      <c r="D2221" s="43" t="s">
        <v>40283</v>
      </c>
    </row>
    <row r="2222" spans="3:4" x14ac:dyDescent="0.3">
      <c r="C2222" s="43" t="s">
        <v>39893</v>
      </c>
      <c r="D2222" s="43" t="s">
        <v>40284</v>
      </c>
    </row>
    <row r="2223" spans="3:4" x14ac:dyDescent="0.3">
      <c r="C2223" s="43" t="s">
        <v>39893</v>
      </c>
      <c r="D2223" s="43" t="s">
        <v>40285</v>
      </c>
    </row>
    <row r="2224" spans="3:4" x14ac:dyDescent="0.3">
      <c r="C2224" s="43" t="s">
        <v>39893</v>
      </c>
      <c r="D2224" s="43" t="s">
        <v>40286</v>
      </c>
    </row>
    <row r="2225" spans="3:4" x14ac:dyDescent="0.3">
      <c r="C2225" s="43" t="s">
        <v>39893</v>
      </c>
      <c r="D2225" s="43" t="s">
        <v>40287</v>
      </c>
    </row>
    <row r="2226" spans="3:4" x14ac:dyDescent="0.3">
      <c r="C2226" s="43" t="s">
        <v>39893</v>
      </c>
      <c r="D2226" s="43" t="s">
        <v>40288</v>
      </c>
    </row>
    <row r="2227" spans="3:4" x14ac:dyDescent="0.3">
      <c r="C2227" s="43" t="s">
        <v>39893</v>
      </c>
      <c r="D2227" s="43" t="s">
        <v>40289</v>
      </c>
    </row>
    <row r="2228" spans="3:4" x14ac:dyDescent="0.3">
      <c r="C2228" s="43" t="s">
        <v>39893</v>
      </c>
      <c r="D2228" s="43" t="s">
        <v>40290</v>
      </c>
    </row>
    <row r="2229" spans="3:4" x14ac:dyDescent="0.3">
      <c r="C2229" s="43" t="s">
        <v>40291</v>
      </c>
      <c r="D2229" s="43" t="s">
        <v>40292</v>
      </c>
    </row>
    <row r="2230" spans="3:4" x14ac:dyDescent="0.3">
      <c r="C2230" s="43" t="s">
        <v>39893</v>
      </c>
      <c r="D2230" s="43" t="s">
        <v>40293</v>
      </c>
    </row>
    <row r="2231" spans="3:4" x14ac:dyDescent="0.3">
      <c r="C2231" s="43" t="s">
        <v>39893</v>
      </c>
      <c r="D2231" s="43" t="s">
        <v>40294</v>
      </c>
    </row>
    <row r="2232" spans="3:4" x14ac:dyDescent="0.3">
      <c r="C2232" s="43" t="s">
        <v>39893</v>
      </c>
      <c r="D2232" s="43" t="s">
        <v>40295</v>
      </c>
    </row>
    <row r="2233" spans="3:4" x14ac:dyDescent="0.3">
      <c r="C2233" s="43" t="s">
        <v>39893</v>
      </c>
      <c r="D2233" s="43" t="s">
        <v>40296</v>
      </c>
    </row>
    <row r="2234" spans="3:4" x14ac:dyDescent="0.3">
      <c r="C2234" s="43" t="s">
        <v>39893</v>
      </c>
      <c r="D2234" s="43" t="s">
        <v>40297</v>
      </c>
    </row>
    <row r="2235" spans="3:4" x14ac:dyDescent="0.3">
      <c r="C2235" s="43" t="s">
        <v>39893</v>
      </c>
      <c r="D2235" s="43" t="s">
        <v>40298</v>
      </c>
    </row>
    <row r="2236" spans="3:4" x14ac:dyDescent="0.3">
      <c r="C2236" s="43" t="s">
        <v>39893</v>
      </c>
      <c r="D2236" s="43" t="s">
        <v>40299</v>
      </c>
    </row>
    <row r="2237" spans="3:4" x14ac:dyDescent="0.3">
      <c r="C2237" s="43" t="s">
        <v>39893</v>
      </c>
      <c r="D2237" s="43" t="s">
        <v>40300</v>
      </c>
    </row>
    <row r="2238" spans="3:4" x14ac:dyDescent="0.3">
      <c r="C2238" s="43" t="s">
        <v>39893</v>
      </c>
      <c r="D2238" s="43" t="s">
        <v>40301</v>
      </c>
    </row>
    <row r="2239" spans="3:4" x14ac:dyDescent="0.3">
      <c r="C2239" s="43" t="s">
        <v>39893</v>
      </c>
      <c r="D2239" s="43" t="s">
        <v>40302</v>
      </c>
    </row>
    <row r="2240" spans="3:4" x14ac:dyDescent="0.3">
      <c r="C2240" s="43" t="s">
        <v>39893</v>
      </c>
      <c r="D2240" s="43" t="s">
        <v>40303</v>
      </c>
    </row>
    <row r="2241" spans="3:4" x14ac:dyDescent="0.3">
      <c r="C2241" s="43" t="s">
        <v>39893</v>
      </c>
      <c r="D2241" s="43" t="s">
        <v>40304</v>
      </c>
    </row>
    <row r="2242" spans="3:4" x14ac:dyDescent="0.3">
      <c r="C2242" s="43" t="s">
        <v>39893</v>
      </c>
      <c r="D2242" s="43" t="s">
        <v>40305</v>
      </c>
    </row>
    <row r="2243" spans="3:4" x14ac:dyDescent="0.3">
      <c r="C2243" s="43" t="s">
        <v>39893</v>
      </c>
      <c r="D2243" s="43" t="s">
        <v>40306</v>
      </c>
    </row>
    <row r="2244" spans="3:4" x14ac:dyDescent="0.3">
      <c r="C2244" s="43" t="s">
        <v>39893</v>
      </c>
      <c r="D2244" s="43" t="s">
        <v>40307</v>
      </c>
    </row>
    <row r="2245" spans="3:4" x14ac:dyDescent="0.3">
      <c r="C2245" s="43" t="s">
        <v>39893</v>
      </c>
      <c r="D2245" s="43" t="s">
        <v>40308</v>
      </c>
    </row>
    <row r="2246" spans="3:4" x14ac:dyDescent="0.3">
      <c r="C2246" s="43" t="s">
        <v>39893</v>
      </c>
      <c r="D2246" s="43" t="s">
        <v>40309</v>
      </c>
    </row>
    <row r="2247" spans="3:4" x14ac:dyDescent="0.3">
      <c r="C2247" s="43" t="s">
        <v>39893</v>
      </c>
      <c r="D2247" s="43" t="s">
        <v>40310</v>
      </c>
    </row>
    <row r="2248" spans="3:4" x14ac:dyDescent="0.3">
      <c r="C2248" s="43" t="s">
        <v>39893</v>
      </c>
      <c r="D2248" s="43" t="s">
        <v>40311</v>
      </c>
    </row>
    <row r="2249" spans="3:4" x14ac:dyDescent="0.3">
      <c r="C2249" s="43" t="s">
        <v>39893</v>
      </c>
      <c r="D2249" s="43" t="s">
        <v>40312</v>
      </c>
    </row>
    <row r="2250" spans="3:4" x14ac:dyDescent="0.3">
      <c r="C2250" s="43" t="s">
        <v>39893</v>
      </c>
      <c r="D2250" s="43" t="s">
        <v>40313</v>
      </c>
    </row>
    <row r="2251" spans="3:4" x14ac:dyDescent="0.3">
      <c r="C2251" s="43" t="s">
        <v>39893</v>
      </c>
      <c r="D2251" s="43" t="s">
        <v>40314</v>
      </c>
    </row>
    <row r="2252" spans="3:4" x14ac:dyDescent="0.3">
      <c r="C2252" s="43" t="s">
        <v>39893</v>
      </c>
      <c r="D2252" s="43" t="s">
        <v>40315</v>
      </c>
    </row>
    <row r="2253" spans="3:4" x14ac:dyDescent="0.3">
      <c r="C2253" s="43" t="s">
        <v>39893</v>
      </c>
      <c r="D2253" s="43" t="s">
        <v>40316</v>
      </c>
    </row>
    <row r="2254" spans="3:4" x14ac:dyDescent="0.3">
      <c r="C2254" s="43" t="s">
        <v>39893</v>
      </c>
      <c r="D2254" s="43" t="s">
        <v>40317</v>
      </c>
    </row>
    <row r="2255" spans="3:4" x14ac:dyDescent="0.3">
      <c r="C2255" s="43" t="s">
        <v>39893</v>
      </c>
      <c r="D2255" s="43" t="s">
        <v>40318</v>
      </c>
    </row>
    <row r="2256" spans="3:4" x14ac:dyDescent="0.3">
      <c r="C2256" s="43" t="s">
        <v>39893</v>
      </c>
      <c r="D2256" s="43" t="s">
        <v>40319</v>
      </c>
    </row>
    <row r="2257" spans="3:4" x14ac:dyDescent="0.3">
      <c r="C2257" s="43" t="s">
        <v>39893</v>
      </c>
      <c r="D2257" s="43" t="s">
        <v>40320</v>
      </c>
    </row>
    <row r="2258" spans="3:4" x14ac:dyDescent="0.3">
      <c r="C2258" s="43" t="s">
        <v>39893</v>
      </c>
      <c r="D2258" s="43" t="s">
        <v>40321</v>
      </c>
    </row>
    <row r="2259" spans="3:4" x14ac:dyDescent="0.3">
      <c r="C2259" s="43" t="s">
        <v>40291</v>
      </c>
      <c r="D2259" s="43" t="s">
        <v>40322</v>
      </c>
    </row>
    <row r="2260" spans="3:4" x14ac:dyDescent="0.3">
      <c r="C2260" s="43" t="s">
        <v>40291</v>
      </c>
      <c r="D2260" s="43" t="s">
        <v>40323</v>
      </c>
    </row>
    <row r="2261" spans="3:4" x14ac:dyDescent="0.3">
      <c r="C2261" s="43" t="s">
        <v>40291</v>
      </c>
      <c r="D2261" s="43" t="s">
        <v>40324</v>
      </c>
    </row>
    <row r="2262" spans="3:4" x14ac:dyDescent="0.3">
      <c r="C2262" s="43" t="s">
        <v>40291</v>
      </c>
      <c r="D2262" s="43" t="s">
        <v>40325</v>
      </c>
    </row>
    <row r="2263" spans="3:4" x14ac:dyDescent="0.3">
      <c r="C2263" s="43" t="s">
        <v>40291</v>
      </c>
      <c r="D2263" s="43" t="s">
        <v>40326</v>
      </c>
    </row>
    <row r="2264" spans="3:4" x14ac:dyDescent="0.3">
      <c r="C2264" s="43" t="s">
        <v>40291</v>
      </c>
      <c r="D2264" s="43" t="s">
        <v>40327</v>
      </c>
    </row>
    <row r="2265" spans="3:4" x14ac:dyDescent="0.3">
      <c r="C2265" s="43" t="s">
        <v>40291</v>
      </c>
      <c r="D2265" s="43" t="s">
        <v>40328</v>
      </c>
    </row>
    <row r="2266" spans="3:4" x14ac:dyDescent="0.3">
      <c r="C2266" s="43" t="s">
        <v>40291</v>
      </c>
      <c r="D2266" s="43" t="s">
        <v>40329</v>
      </c>
    </row>
    <row r="2267" spans="3:4" x14ac:dyDescent="0.3">
      <c r="C2267" s="43" t="s">
        <v>39893</v>
      </c>
      <c r="D2267" s="43" t="s">
        <v>40330</v>
      </c>
    </row>
    <row r="2268" spans="3:4" x14ac:dyDescent="0.3">
      <c r="C2268" s="43" t="s">
        <v>39893</v>
      </c>
      <c r="D2268" s="43" t="s">
        <v>40331</v>
      </c>
    </row>
    <row r="2269" spans="3:4" x14ac:dyDescent="0.3">
      <c r="C2269" s="43" t="s">
        <v>39893</v>
      </c>
      <c r="D2269" s="43" t="s">
        <v>40332</v>
      </c>
    </row>
    <row r="2270" spans="3:4" x14ac:dyDescent="0.3">
      <c r="C2270" s="43" t="s">
        <v>39893</v>
      </c>
      <c r="D2270" s="43" t="s">
        <v>40333</v>
      </c>
    </row>
    <row r="2271" spans="3:4" x14ac:dyDescent="0.3">
      <c r="C2271" s="43" t="s">
        <v>39893</v>
      </c>
      <c r="D2271" s="43" t="s">
        <v>40334</v>
      </c>
    </row>
    <row r="2272" spans="3:4" x14ac:dyDescent="0.3">
      <c r="C2272" s="43" t="s">
        <v>39893</v>
      </c>
      <c r="D2272" s="43" t="s">
        <v>40335</v>
      </c>
    </row>
    <row r="2273" spans="3:4" x14ac:dyDescent="0.3">
      <c r="C2273" s="43" t="s">
        <v>39893</v>
      </c>
      <c r="D2273" s="43" t="s">
        <v>40336</v>
      </c>
    </row>
    <row r="2274" spans="3:4" x14ac:dyDescent="0.3">
      <c r="C2274" s="43" t="s">
        <v>39893</v>
      </c>
      <c r="D2274" s="43" t="s">
        <v>40337</v>
      </c>
    </row>
    <row r="2275" spans="3:4" x14ac:dyDescent="0.3">
      <c r="C2275" s="43" t="s">
        <v>39893</v>
      </c>
      <c r="D2275" s="43" t="s">
        <v>40338</v>
      </c>
    </row>
    <row r="2276" spans="3:4" x14ac:dyDescent="0.3">
      <c r="C2276" s="43" t="s">
        <v>39893</v>
      </c>
      <c r="D2276" s="43" t="s">
        <v>40339</v>
      </c>
    </row>
    <row r="2277" spans="3:4" x14ac:dyDescent="0.3">
      <c r="C2277" s="43" t="s">
        <v>39893</v>
      </c>
      <c r="D2277" s="43" t="s">
        <v>40340</v>
      </c>
    </row>
    <row r="2278" spans="3:4" x14ac:dyDescent="0.3">
      <c r="C2278" s="43" t="s">
        <v>39893</v>
      </c>
      <c r="D2278" s="43" t="s">
        <v>40341</v>
      </c>
    </row>
    <row r="2279" spans="3:4" x14ac:dyDescent="0.3">
      <c r="C2279" s="43" t="s">
        <v>39893</v>
      </c>
      <c r="D2279" s="43" t="s">
        <v>40342</v>
      </c>
    </row>
    <row r="2280" spans="3:4" x14ac:dyDescent="0.3">
      <c r="C2280" s="43" t="s">
        <v>39893</v>
      </c>
      <c r="D2280" s="43" t="s">
        <v>40343</v>
      </c>
    </row>
    <row r="2281" spans="3:4" x14ac:dyDescent="0.3">
      <c r="C2281" s="43" t="s">
        <v>39893</v>
      </c>
      <c r="D2281" s="43" t="s">
        <v>40344</v>
      </c>
    </row>
    <row r="2282" spans="3:4" x14ac:dyDescent="0.3">
      <c r="C2282" s="43" t="s">
        <v>39893</v>
      </c>
      <c r="D2282" s="43" t="s">
        <v>40345</v>
      </c>
    </row>
    <row r="2283" spans="3:4" x14ac:dyDescent="0.3">
      <c r="C2283" s="43" t="s">
        <v>39893</v>
      </c>
      <c r="D2283" s="43" t="s">
        <v>40346</v>
      </c>
    </row>
    <row r="2284" spans="3:4" x14ac:dyDescent="0.3">
      <c r="C2284" s="43" t="s">
        <v>39893</v>
      </c>
      <c r="D2284" s="43" t="s">
        <v>40347</v>
      </c>
    </row>
    <row r="2285" spans="3:4" x14ac:dyDescent="0.3">
      <c r="C2285" s="43" t="s">
        <v>39893</v>
      </c>
      <c r="D2285" s="43" t="s">
        <v>40348</v>
      </c>
    </row>
    <row r="2286" spans="3:4" x14ac:dyDescent="0.3">
      <c r="C2286" s="43" t="s">
        <v>39893</v>
      </c>
      <c r="D2286" s="43" t="s">
        <v>40349</v>
      </c>
    </row>
    <row r="2287" spans="3:4" x14ac:dyDescent="0.3">
      <c r="C2287" s="43" t="s">
        <v>39893</v>
      </c>
      <c r="D2287" s="43" t="s">
        <v>40350</v>
      </c>
    </row>
    <row r="2288" spans="3:4" x14ac:dyDescent="0.3">
      <c r="C2288" s="43" t="s">
        <v>39893</v>
      </c>
      <c r="D2288" s="43" t="s">
        <v>40351</v>
      </c>
    </row>
    <row r="2289" spans="3:4" x14ac:dyDescent="0.3">
      <c r="C2289" s="43" t="s">
        <v>39893</v>
      </c>
      <c r="D2289" s="43" t="s">
        <v>40352</v>
      </c>
    </row>
    <row r="2290" spans="3:4" x14ac:dyDescent="0.3">
      <c r="C2290" s="43" t="s">
        <v>39893</v>
      </c>
      <c r="D2290" s="43" t="s">
        <v>40353</v>
      </c>
    </row>
    <row r="2291" spans="3:4" x14ac:dyDescent="0.3">
      <c r="C2291" s="43" t="s">
        <v>39893</v>
      </c>
      <c r="D2291" s="43" t="s">
        <v>40354</v>
      </c>
    </row>
    <row r="2292" spans="3:4" x14ac:dyDescent="0.3">
      <c r="C2292" s="43" t="s">
        <v>39893</v>
      </c>
      <c r="D2292" s="43" t="s">
        <v>40355</v>
      </c>
    </row>
    <row r="2293" spans="3:4" x14ac:dyDescent="0.3">
      <c r="C2293" s="43" t="s">
        <v>39893</v>
      </c>
      <c r="D2293" s="43" t="s">
        <v>40356</v>
      </c>
    </row>
    <row r="2294" spans="3:4" x14ac:dyDescent="0.3">
      <c r="C2294" s="43" t="s">
        <v>39893</v>
      </c>
      <c r="D2294" s="43" t="s">
        <v>40357</v>
      </c>
    </row>
    <row r="2295" spans="3:4" x14ac:dyDescent="0.3">
      <c r="C2295" s="43" t="s">
        <v>39893</v>
      </c>
      <c r="D2295" s="43" t="s">
        <v>40358</v>
      </c>
    </row>
    <row r="2296" spans="3:4" x14ac:dyDescent="0.3">
      <c r="C2296" s="43" t="s">
        <v>39893</v>
      </c>
      <c r="D2296" s="43" t="s">
        <v>40359</v>
      </c>
    </row>
    <row r="2297" spans="3:4" x14ac:dyDescent="0.3">
      <c r="C2297" s="43" t="s">
        <v>39893</v>
      </c>
      <c r="D2297" s="43" t="s">
        <v>40360</v>
      </c>
    </row>
    <row r="2298" spans="3:4" x14ac:dyDescent="0.3">
      <c r="C2298" s="43" t="s">
        <v>39893</v>
      </c>
      <c r="D2298" s="43" t="s">
        <v>40361</v>
      </c>
    </row>
    <row r="2299" spans="3:4" x14ac:dyDescent="0.3">
      <c r="C2299" s="43" t="s">
        <v>39893</v>
      </c>
      <c r="D2299" s="43" t="s">
        <v>40362</v>
      </c>
    </row>
    <row r="2300" spans="3:4" x14ac:dyDescent="0.3">
      <c r="C2300" s="43" t="s">
        <v>39893</v>
      </c>
      <c r="D2300" s="43" t="s">
        <v>40363</v>
      </c>
    </row>
    <row r="2301" spans="3:4" x14ac:dyDescent="0.3">
      <c r="C2301" s="43" t="s">
        <v>39893</v>
      </c>
      <c r="D2301" s="43" t="s">
        <v>40364</v>
      </c>
    </row>
    <row r="2302" spans="3:4" x14ac:dyDescent="0.3">
      <c r="C2302" s="43" t="s">
        <v>39893</v>
      </c>
      <c r="D2302" s="43" t="s">
        <v>40365</v>
      </c>
    </row>
    <row r="2303" spans="3:4" x14ac:dyDescent="0.3">
      <c r="C2303" s="43" t="s">
        <v>39893</v>
      </c>
      <c r="D2303" s="43" t="s">
        <v>40366</v>
      </c>
    </row>
    <row r="2304" spans="3:4" x14ac:dyDescent="0.3">
      <c r="C2304" s="43" t="s">
        <v>39893</v>
      </c>
      <c r="D2304" s="43" t="s">
        <v>40367</v>
      </c>
    </row>
    <row r="2305" spans="3:4" x14ac:dyDescent="0.3">
      <c r="C2305" s="43" t="s">
        <v>39893</v>
      </c>
      <c r="D2305" s="43" t="s">
        <v>40368</v>
      </c>
    </row>
    <row r="2306" spans="3:4" x14ac:dyDescent="0.3">
      <c r="C2306" s="43" t="s">
        <v>39893</v>
      </c>
      <c r="D2306" s="43" t="s">
        <v>40369</v>
      </c>
    </row>
    <row r="2307" spans="3:4" x14ac:dyDescent="0.3">
      <c r="C2307" s="43" t="s">
        <v>39893</v>
      </c>
      <c r="D2307" s="43" t="s">
        <v>40370</v>
      </c>
    </row>
    <row r="2308" spans="3:4" x14ac:dyDescent="0.3">
      <c r="C2308" s="43" t="s">
        <v>39893</v>
      </c>
      <c r="D2308" s="43" t="s">
        <v>40371</v>
      </c>
    </row>
    <row r="2309" spans="3:4" x14ac:dyDescent="0.3">
      <c r="C2309" s="43" t="s">
        <v>39893</v>
      </c>
      <c r="D2309" s="43" t="s">
        <v>40372</v>
      </c>
    </row>
    <row r="2310" spans="3:4" x14ac:dyDescent="0.3">
      <c r="C2310" s="43" t="s">
        <v>39893</v>
      </c>
      <c r="D2310" s="43" t="s">
        <v>40373</v>
      </c>
    </row>
    <row r="2311" spans="3:4" x14ac:dyDescent="0.3">
      <c r="C2311" s="43" t="s">
        <v>39893</v>
      </c>
      <c r="D2311" s="43" t="s">
        <v>40374</v>
      </c>
    </row>
    <row r="2312" spans="3:4" x14ac:dyDescent="0.3">
      <c r="C2312" s="43" t="s">
        <v>39893</v>
      </c>
      <c r="D2312" s="43" t="s">
        <v>40375</v>
      </c>
    </row>
    <row r="2313" spans="3:4" x14ac:dyDescent="0.3">
      <c r="C2313" s="43" t="s">
        <v>39893</v>
      </c>
      <c r="D2313" s="43" t="s">
        <v>40376</v>
      </c>
    </row>
    <row r="2314" spans="3:4" x14ac:dyDescent="0.3">
      <c r="C2314" s="43" t="s">
        <v>39893</v>
      </c>
      <c r="D2314" s="43" t="s">
        <v>40377</v>
      </c>
    </row>
    <row r="2315" spans="3:4" x14ac:dyDescent="0.3">
      <c r="C2315" s="43" t="s">
        <v>39893</v>
      </c>
      <c r="D2315" s="43" t="s">
        <v>40378</v>
      </c>
    </row>
    <row r="2316" spans="3:4" x14ac:dyDescent="0.3">
      <c r="C2316" s="43" t="s">
        <v>39893</v>
      </c>
      <c r="D2316" s="43" t="s">
        <v>40379</v>
      </c>
    </row>
    <row r="2317" spans="3:4" x14ac:dyDescent="0.3">
      <c r="C2317" s="43" t="s">
        <v>39893</v>
      </c>
      <c r="D2317" s="43" t="s">
        <v>40380</v>
      </c>
    </row>
    <row r="2318" spans="3:4" x14ac:dyDescent="0.3">
      <c r="C2318" s="43" t="s">
        <v>39893</v>
      </c>
      <c r="D2318" s="43" t="s">
        <v>40381</v>
      </c>
    </row>
    <row r="2319" spans="3:4" x14ac:dyDescent="0.3">
      <c r="C2319" s="43" t="s">
        <v>39893</v>
      </c>
      <c r="D2319" s="43" t="s">
        <v>40382</v>
      </c>
    </row>
    <row r="2320" spans="3:4" x14ac:dyDescent="0.3">
      <c r="C2320" s="43" t="s">
        <v>39893</v>
      </c>
      <c r="D2320" s="43" t="s">
        <v>40383</v>
      </c>
    </row>
    <row r="2321" spans="3:4" x14ac:dyDescent="0.3">
      <c r="C2321" s="43" t="s">
        <v>39893</v>
      </c>
      <c r="D2321" s="43" t="s">
        <v>40384</v>
      </c>
    </row>
    <row r="2322" spans="3:4" x14ac:dyDescent="0.3">
      <c r="C2322" s="43" t="s">
        <v>39893</v>
      </c>
      <c r="D2322" s="43" t="s">
        <v>40385</v>
      </c>
    </row>
    <row r="2323" spans="3:4" x14ac:dyDescent="0.3">
      <c r="C2323" s="43" t="s">
        <v>39893</v>
      </c>
      <c r="D2323" s="43" t="s">
        <v>40386</v>
      </c>
    </row>
    <row r="2324" spans="3:4" x14ac:dyDescent="0.3">
      <c r="C2324" s="43" t="s">
        <v>39893</v>
      </c>
      <c r="D2324" s="43" t="s">
        <v>40387</v>
      </c>
    </row>
    <row r="2325" spans="3:4" x14ac:dyDescent="0.3">
      <c r="C2325" s="43" t="s">
        <v>39893</v>
      </c>
      <c r="D2325" s="43" t="s">
        <v>40388</v>
      </c>
    </row>
    <row r="2326" spans="3:4" x14ac:dyDescent="0.3">
      <c r="C2326" s="43" t="s">
        <v>39893</v>
      </c>
      <c r="D2326" s="43" t="s">
        <v>40389</v>
      </c>
    </row>
    <row r="2327" spans="3:4" x14ac:dyDescent="0.3">
      <c r="C2327" s="43" t="s">
        <v>39893</v>
      </c>
      <c r="D2327" s="43" t="s">
        <v>40390</v>
      </c>
    </row>
    <row r="2328" spans="3:4" x14ac:dyDescent="0.3">
      <c r="C2328" s="43" t="s">
        <v>39893</v>
      </c>
      <c r="D2328" s="43" t="s">
        <v>40391</v>
      </c>
    </row>
    <row r="2329" spans="3:4" x14ac:dyDescent="0.3">
      <c r="C2329" s="43" t="s">
        <v>39893</v>
      </c>
      <c r="D2329" s="43" t="s">
        <v>40392</v>
      </c>
    </row>
    <row r="2330" spans="3:4" x14ac:dyDescent="0.3">
      <c r="C2330" s="43" t="s">
        <v>39893</v>
      </c>
      <c r="D2330" s="43" t="s">
        <v>40393</v>
      </c>
    </row>
    <row r="2331" spans="3:4" x14ac:dyDescent="0.3">
      <c r="C2331" s="43" t="s">
        <v>39893</v>
      </c>
      <c r="D2331" s="43" t="s">
        <v>40394</v>
      </c>
    </row>
    <row r="2332" spans="3:4" x14ac:dyDescent="0.3">
      <c r="C2332" s="43" t="s">
        <v>39893</v>
      </c>
      <c r="D2332" s="43" t="s">
        <v>40395</v>
      </c>
    </row>
    <row r="2333" spans="3:4" x14ac:dyDescent="0.3">
      <c r="C2333" s="43" t="s">
        <v>39893</v>
      </c>
      <c r="D2333" s="43" t="s">
        <v>40396</v>
      </c>
    </row>
    <row r="2334" spans="3:4" x14ac:dyDescent="0.3">
      <c r="C2334" s="43" t="s">
        <v>39893</v>
      </c>
      <c r="D2334" s="43" t="s">
        <v>40397</v>
      </c>
    </row>
    <row r="2335" spans="3:4" x14ac:dyDescent="0.3">
      <c r="C2335" s="43" t="s">
        <v>39893</v>
      </c>
      <c r="D2335" s="43" t="s">
        <v>40398</v>
      </c>
    </row>
    <row r="2336" spans="3:4" x14ac:dyDescent="0.3">
      <c r="C2336" s="43" t="s">
        <v>39893</v>
      </c>
      <c r="D2336" s="43" t="s">
        <v>40399</v>
      </c>
    </row>
    <row r="2337" spans="3:4" x14ac:dyDescent="0.3">
      <c r="C2337" s="43" t="s">
        <v>39893</v>
      </c>
      <c r="D2337" s="43" t="s">
        <v>40400</v>
      </c>
    </row>
    <row r="2338" spans="3:4" x14ac:dyDescent="0.3">
      <c r="C2338" s="43" t="s">
        <v>39893</v>
      </c>
      <c r="D2338" s="43" t="s">
        <v>40401</v>
      </c>
    </row>
    <row r="2339" spans="3:4" x14ac:dyDescent="0.3">
      <c r="C2339" s="43" t="s">
        <v>39893</v>
      </c>
      <c r="D2339" s="43" t="s">
        <v>40402</v>
      </c>
    </row>
    <row r="2340" spans="3:4" x14ac:dyDescent="0.3">
      <c r="C2340" s="43" t="s">
        <v>39893</v>
      </c>
      <c r="D2340" s="43" t="s">
        <v>40403</v>
      </c>
    </row>
    <row r="2341" spans="3:4" x14ac:dyDescent="0.3">
      <c r="C2341" s="43" t="s">
        <v>39893</v>
      </c>
      <c r="D2341" s="43" t="s">
        <v>40404</v>
      </c>
    </row>
    <row r="2342" spans="3:4" x14ac:dyDescent="0.3">
      <c r="C2342" s="43" t="s">
        <v>39893</v>
      </c>
      <c r="D2342" s="43" t="s">
        <v>40405</v>
      </c>
    </row>
    <row r="2343" spans="3:4" x14ac:dyDescent="0.3">
      <c r="C2343" s="43" t="s">
        <v>39893</v>
      </c>
      <c r="D2343" s="43" t="s">
        <v>40406</v>
      </c>
    </row>
    <row r="2344" spans="3:4" x14ac:dyDescent="0.3">
      <c r="C2344" s="43" t="s">
        <v>39893</v>
      </c>
      <c r="D2344" s="43" t="s">
        <v>40407</v>
      </c>
    </row>
    <row r="2345" spans="3:4" x14ac:dyDescent="0.3">
      <c r="C2345" s="43" t="s">
        <v>39893</v>
      </c>
      <c r="D2345" s="43" t="s">
        <v>40408</v>
      </c>
    </row>
    <row r="2346" spans="3:4" x14ac:dyDescent="0.3">
      <c r="C2346" s="43" t="s">
        <v>39893</v>
      </c>
      <c r="D2346" s="43" t="s">
        <v>40409</v>
      </c>
    </row>
    <row r="2347" spans="3:4" x14ac:dyDescent="0.3">
      <c r="C2347" s="43" t="s">
        <v>39893</v>
      </c>
      <c r="D2347" s="43" t="s">
        <v>40410</v>
      </c>
    </row>
    <row r="2348" spans="3:4" x14ac:dyDescent="0.3">
      <c r="C2348" s="43" t="s">
        <v>39893</v>
      </c>
      <c r="D2348" s="43" t="s">
        <v>40411</v>
      </c>
    </row>
    <row r="2349" spans="3:4" x14ac:dyDescent="0.3">
      <c r="C2349" s="43" t="s">
        <v>39893</v>
      </c>
      <c r="D2349" s="43" t="s">
        <v>40412</v>
      </c>
    </row>
    <row r="2350" spans="3:4" x14ac:dyDescent="0.3">
      <c r="C2350" s="43" t="s">
        <v>39893</v>
      </c>
      <c r="D2350" s="43" t="s">
        <v>40413</v>
      </c>
    </row>
    <row r="2351" spans="3:4" x14ac:dyDescent="0.3">
      <c r="C2351" s="43" t="s">
        <v>39893</v>
      </c>
      <c r="D2351" s="43" t="s">
        <v>40414</v>
      </c>
    </row>
    <row r="2352" spans="3:4" x14ac:dyDescent="0.3">
      <c r="C2352" s="43" t="s">
        <v>39893</v>
      </c>
      <c r="D2352" s="43" t="s">
        <v>40415</v>
      </c>
    </row>
    <row r="2353" spans="3:4" x14ac:dyDescent="0.3">
      <c r="C2353" s="43" t="s">
        <v>39893</v>
      </c>
      <c r="D2353" s="43" t="s">
        <v>40416</v>
      </c>
    </row>
    <row r="2354" spans="3:4" x14ac:dyDescent="0.3">
      <c r="C2354" s="43" t="s">
        <v>39893</v>
      </c>
      <c r="D2354" s="43" t="s">
        <v>40417</v>
      </c>
    </row>
    <row r="2355" spans="3:4" x14ac:dyDescent="0.3">
      <c r="C2355" s="43" t="s">
        <v>39893</v>
      </c>
      <c r="D2355" s="43" t="s">
        <v>40418</v>
      </c>
    </row>
    <row r="2356" spans="3:4" x14ac:dyDescent="0.3">
      <c r="C2356" s="43" t="s">
        <v>39893</v>
      </c>
      <c r="D2356" s="43" t="s">
        <v>40419</v>
      </c>
    </row>
    <row r="2357" spans="3:4" x14ac:dyDescent="0.3">
      <c r="C2357" s="43" t="s">
        <v>39893</v>
      </c>
      <c r="D2357" s="43" t="s">
        <v>40420</v>
      </c>
    </row>
    <row r="2358" spans="3:4" x14ac:dyDescent="0.3">
      <c r="C2358" s="43" t="s">
        <v>39893</v>
      </c>
      <c r="D2358" s="43" t="s">
        <v>40421</v>
      </c>
    </row>
    <row r="2359" spans="3:4" x14ac:dyDescent="0.3">
      <c r="C2359" s="43" t="s">
        <v>39893</v>
      </c>
      <c r="D2359" s="43" t="s">
        <v>40422</v>
      </c>
    </row>
    <row r="2360" spans="3:4" x14ac:dyDescent="0.3">
      <c r="C2360" s="43" t="s">
        <v>39893</v>
      </c>
      <c r="D2360" s="43" t="s">
        <v>40423</v>
      </c>
    </row>
    <row r="2361" spans="3:4" x14ac:dyDescent="0.3">
      <c r="C2361" s="43" t="s">
        <v>39893</v>
      </c>
      <c r="D2361" s="43" t="s">
        <v>40424</v>
      </c>
    </row>
    <row r="2362" spans="3:4" x14ac:dyDescent="0.3">
      <c r="C2362" s="43" t="s">
        <v>39893</v>
      </c>
      <c r="D2362" s="43" t="s">
        <v>40425</v>
      </c>
    </row>
    <row r="2363" spans="3:4" x14ac:dyDescent="0.3">
      <c r="C2363" s="43" t="s">
        <v>39893</v>
      </c>
      <c r="D2363" s="43" t="s">
        <v>40426</v>
      </c>
    </row>
    <row r="2364" spans="3:4" x14ac:dyDescent="0.3">
      <c r="C2364" s="43" t="s">
        <v>39893</v>
      </c>
      <c r="D2364" s="43" t="s">
        <v>40427</v>
      </c>
    </row>
    <row r="2365" spans="3:4" x14ac:dyDescent="0.3">
      <c r="C2365" s="43" t="s">
        <v>39893</v>
      </c>
      <c r="D2365" s="43" t="s">
        <v>40428</v>
      </c>
    </row>
    <row r="2366" spans="3:4" x14ac:dyDescent="0.3">
      <c r="C2366" s="43" t="s">
        <v>39893</v>
      </c>
      <c r="D2366" s="43" t="s">
        <v>40429</v>
      </c>
    </row>
    <row r="2367" spans="3:4" x14ac:dyDescent="0.3">
      <c r="C2367" s="43" t="s">
        <v>39893</v>
      </c>
      <c r="D2367" s="43" t="s">
        <v>40430</v>
      </c>
    </row>
    <row r="2368" spans="3:4" x14ac:dyDescent="0.3">
      <c r="C2368" s="43" t="s">
        <v>39893</v>
      </c>
      <c r="D2368" s="43" t="s">
        <v>40431</v>
      </c>
    </row>
    <row r="2369" spans="3:4" x14ac:dyDescent="0.3">
      <c r="C2369" s="43" t="s">
        <v>39893</v>
      </c>
      <c r="D2369" s="43" t="s">
        <v>40432</v>
      </c>
    </row>
    <row r="2370" spans="3:4" x14ac:dyDescent="0.3">
      <c r="C2370" s="43" t="s">
        <v>39893</v>
      </c>
      <c r="D2370" s="43" t="s">
        <v>40433</v>
      </c>
    </row>
    <row r="2371" spans="3:4" x14ac:dyDescent="0.3">
      <c r="C2371" s="43" t="s">
        <v>39893</v>
      </c>
      <c r="D2371" s="43" t="s">
        <v>40434</v>
      </c>
    </row>
    <row r="2372" spans="3:4" x14ac:dyDescent="0.3">
      <c r="C2372" s="43" t="s">
        <v>39893</v>
      </c>
      <c r="D2372" s="43" t="s">
        <v>40435</v>
      </c>
    </row>
    <row r="2373" spans="3:4" x14ac:dyDescent="0.3">
      <c r="C2373" s="43" t="s">
        <v>39893</v>
      </c>
      <c r="D2373" s="43" t="s">
        <v>40436</v>
      </c>
    </row>
    <row r="2374" spans="3:4" x14ac:dyDescent="0.3">
      <c r="C2374" s="43" t="s">
        <v>39893</v>
      </c>
      <c r="D2374" s="43" t="s">
        <v>40437</v>
      </c>
    </row>
    <row r="2375" spans="3:4" x14ac:dyDescent="0.3">
      <c r="C2375" s="43" t="s">
        <v>39893</v>
      </c>
      <c r="D2375" s="43" t="s">
        <v>40438</v>
      </c>
    </row>
    <row r="2376" spans="3:4" x14ac:dyDescent="0.3">
      <c r="C2376" s="43" t="s">
        <v>39893</v>
      </c>
      <c r="D2376" s="43" t="s">
        <v>40439</v>
      </c>
    </row>
    <row r="2377" spans="3:4" x14ac:dyDescent="0.3">
      <c r="C2377" s="43" t="s">
        <v>39893</v>
      </c>
      <c r="D2377" s="43" t="s">
        <v>40440</v>
      </c>
    </row>
    <row r="2378" spans="3:4" x14ac:dyDescent="0.3">
      <c r="C2378" s="43" t="s">
        <v>39893</v>
      </c>
      <c r="D2378" s="43" t="s">
        <v>40441</v>
      </c>
    </row>
    <row r="2379" spans="3:4" x14ac:dyDescent="0.3">
      <c r="C2379" s="43" t="s">
        <v>39893</v>
      </c>
      <c r="D2379" s="43" t="s">
        <v>40442</v>
      </c>
    </row>
    <row r="2380" spans="3:4" x14ac:dyDescent="0.3">
      <c r="C2380" s="43" t="s">
        <v>39893</v>
      </c>
      <c r="D2380" s="43" t="s">
        <v>40443</v>
      </c>
    </row>
    <row r="2381" spans="3:4" x14ac:dyDescent="0.3">
      <c r="C2381" s="43" t="s">
        <v>39893</v>
      </c>
      <c r="D2381" s="43" t="s">
        <v>40444</v>
      </c>
    </row>
    <row r="2382" spans="3:4" x14ac:dyDescent="0.3">
      <c r="C2382" s="43" t="s">
        <v>39893</v>
      </c>
      <c r="D2382" s="43" t="s">
        <v>40445</v>
      </c>
    </row>
    <row r="2383" spans="3:4" x14ac:dyDescent="0.3">
      <c r="C2383" s="43" t="s">
        <v>39893</v>
      </c>
      <c r="D2383" s="43" t="s">
        <v>40446</v>
      </c>
    </row>
    <row r="2384" spans="3:4" x14ac:dyDescent="0.3">
      <c r="C2384" s="43" t="s">
        <v>39893</v>
      </c>
      <c r="D2384" s="43" t="s">
        <v>40447</v>
      </c>
    </row>
    <row r="2385" spans="3:4" x14ac:dyDescent="0.3">
      <c r="C2385" s="43" t="s">
        <v>39893</v>
      </c>
      <c r="D2385" s="43" t="s">
        <v>40448</v>
      </c>
    </row>
    <row r="2386" spans="3:4" x14ac:dyDescent="0.3">
      <c r="C2386" s="43" t="s">
        <v>39893</v>
      </c>
      <c r="D2386" s="43" t="s">
        <v>40449</v>
      </c>
    </row>
    <row r="2387" spans="3:4" x14ac:dyDescent="0.3">
      <c r="C2387" s="43" t="s">
        <v>39893</v>
      </c>
      <c r="D2387" s="43" t="s">
        <v>40450</v>
      </c>
    </row>
    <row r="2388" spans="3:4" x14ac:dyDescent="0.3">
      <c r="C2388" s="43" t="s">
        <v>39893</v>
      </c>
      <c r="D2388" s="43" t="s">
        <v>40451</v>
      </c>
    </row>
    <row r="2389" spans="3:4" x14ac:dyDescent="0.3">
      <c r="C2389" s="43" t="s">
        <v>39893</v>
      </c>
      <c r="D2389" s="43" t="s">
        <v>40452</v>
      </c>
    </row>
    <row r="2390" spans="3:4" x14ac:dyDescent="0.3">
      <c r="C2390" s="43" t="s">
        <v>39893</v>
      </c>
      <c r="D2390" s="43" t="s">
        <v>40453</v>
      </c>
    </row>
    <row r="2391" spans="3:4" x14ac:dyDescent="0.3">
      <c r="C2391" s="43" t="s">
        <v>39893</v>
      </c>
      <c r="D2391" s="43" t="s">
        <v>40454</v>
      </c>
    </row>
    <row r="2392" spans="3:4" x14ac:dyDescent="0.3">
      <c r="C2392" s="43" t="s">
        <v>39893</v>
      </c>
      <c r="D2392" s="43" t="s">
        <v>40455</v>
      </c>
    </row>
    <row r="2393" spans="3:4" x14ac:dyDescent="0.3">
      <c r="C2393" s="43" t="s">
        <v>39893</v>
      </c>
      <c r="D2393" s="43" t="s">
        <v>40456</v>
      </c>
    </row>
    <row r="2394" spans="3:4" x14ac:dyDescent="0.3">
      <c r="C2394" s="43" t="s">
        <v>39893</v>
      </c>
      <c r="D2394" s="43" t="s">
        <v>40457</v>
      </c>
    </row>
    <row r="2395" spans="3:4" x14ac:dyDescent="0.3">
      <c r="C2395" s="43" t="s">
        <v>39893</v>
      </c>
      <c r="D2395" s="43" t="s">
        <v>40458</v>
      </c>
    </row>
    <row r="2396" spans="3:4" x14ac:dyDescent="0.3">
      <c r="C2396" s="43" t="s">
        <v>39893</v>
      </c>
      <c r="D2396" s="43" t="s">
        <v>40459</v>
      </c>
    </row>
    <row r="2397" spans="3:4" x14ac:dyDescent="0.3">
      <c r="C2397" s="43" t="s">
        <v>39893</v>
      </c>
      <c r="D2397" s="43" t="s">
        <v>40460</v>
      </c>
    </row>
    <row r="2398" spans="3:4" x14ac:dyDescent="0.3">
      <c r="C2398" s="43" t="s">
        <v>39893</v>
      </c>
      <c r="D2398" s="43" t="s">
        <v>40461</v>
      </c>
    </row>
    <row r="2399" spans="3:4" x14ac:dyDescent="0.3">
      <c r="C2399" s="43" t="s">
        <v>39893</v>
      </c>
      <c r="D2399" s="43" t="s">
        <v>40462</v>
      </c>
    </row>
    <row r="2400" spans="3:4" x14ac:dyDescent="0.3">
      <c r="C2400" s="43" t="s">
        <v>39893</v>
      </c>
      <c r="D2400" s="43" t="s">
        <v>40463</v>
      </c>
    </row>
    <row r="2401" spans="3:4" x14ac:dyDescent="0.3">
      <c r="C2401" s="43" t="s">
        <v>39893</v>
      </c>
      <c r="D2401" s="43" t="s">
        <v>40464</v>
      </c>
    </row>
    <row r="2402" spans="3:4" x14ac:dyDescent="0.3">
      <c r="C2402" s="43" t="s">
        <v>39893</v>
      </c>
      <c r="D2402" s="43" t="s">
        <v>40465</v>
      </c>
    </row>
    <row r="2403" spans="3:4" x14ac:dyDescent="0.3">
      <c r="C2403" s="43" t="s">
        <v>39893</v>
      </c>
      <c r="D2403" s="43" t="s">
        <v>40466</v>
      </c>
    </row>
    <row r="2404" spans="3:4" x14ac:dyDescent="0.3">
      <c r="C2404" s="43" t="s">
        <v>39893</v>
      </c>
      <c r="D2404" s="43" t="s">
        <v>40467</v>
      </c>
    </row>
    <row r="2405" spans="3:4" x14ac:dyDescent="0.3">
      <c r="C2405" s="43" t="s">
        <v>39893</v>
      </c>
      <c r="D2405" s="43" t="s">
        <v>40468</v>
      </c>
    </row>
    <row r="2406" spans="3:4" x14ac:dyDescent="0.3">
      <c r="C2406" s="43" t="s">
        <v>39893</v>
      </c>
      <c r="D2406" s="43" t="s">
        <v>40469</v>
      </c>
    </row>
    <row r="2407" spans="3:4" x14ac:dyDescent="0.3">
      <c r="C2407" s="43" t="s">
        <v>39893</v>
      </c>
      <c r="D2407" s="43" t="s">
        <v>40470</v>
      </c>
    </row>
    <row r="2408" spans="3:4" x14ac:dyDescent="0.3">
      <c r="C2408" s="43" t="s">
        <v>39893</v>
      </c>
      <c r="D2408" s="43" t="s">
        <v>40471</v>
      </c>
    </row>
    <row r="2409" spans="3:4" x14ac:dyDescent="0.3">
      <c r="C2409" s="43" t="s">
        <v>39893</v>
      </c>
      <c r="D2409" s="43" t="s">
        <v>40472</v>
      </c>
    </row>
    <row r="2410" spans="3:4" x14ac:dyDescent="0.3">
      <c r="C2410" s="43" t="s">
        <v>39893</v>
      </c>
      <c r="D2410" s="43" t="s">
        <v>40473</v>
      </c>
    </row>
    <row r="2411" spans="3:4" x14ac:dyDescent="0.3">
      <c r="C2411" s="43" t="s">
        <v>39893</v>
      </c>
      <c r="D2411" s="43" t="s">
        <v>40474</v>
      </c>
    </row>
    <row r="2412" spans="3:4" x14ac:dyDescent="0.3">
      <c r="C2412" s="43" t="s">
        <v>39893</v>
      </c>
      <c r="D2412" s="43" t="s">
        <v>40475</v>
      </c>
    </row>
    <row r="2413" spans="3:4" x14ac:dyDescent="0.3">
      <c r="C2413" s="43" t="s">
        <v>39893</v>
      </c>
      <c r="D2413" s="43" t="s">
        <v>40476</v>
      </c>
    </row>
    <row r="2414" spans="3:4" x14ac:dyDescent="0.3">
      <c r="C2414" s="43" t="s">
        <v>39893</v>
      </c>
      <c r="D2414" s="43" t="s">
        <v>40477</v>
      </c>
    </row>
    <row r="2415" spans="3:4" x14ac:dyDescent="0.3">
      <c r="C2415" s="43" t="s">
        <v>39893</v>
      </c>
      <c r="D2415" s="43" t="s">
        <v>40478</v>
      </c>
    </row>
    <row r="2416" spans="3:4" x14ac:dyDescent="0.3">
      <c r="C2416" s="43" t="s">
        <v>39893</v>
      </c>
      <c r="D2416" s="43" t="s">
        <v>40479</v>
      </c>
    </row>
    <row r="2417" spans="3:4" x14ac:dyDescent="0.3">
      <c r="C2417" s="43" t="s">
        <v>39893</v>
      </c>
      <c r="D2417" s="43" t="s">
        <v>40480</v>
      </c>
    </row>
    <row r="2418" spans="3:4" x14ac:dyDescent="0.3">
      <c r="C2418" s="43" t="s">
        <v>39893</v>
      </c>
      <c r="D2418" s="43" t="s">
        <v>40481</v>
      </c>
    </row>
    <row r="2419" spans="3:4" x14ac:dyDescent="0.3">
      <c r="C2419" s="43" t="s">
        <v>39893</v>
      </c>
      <c r="D2419" s="43" t="s">
        <v>40482</v>
      </c>
    </row>
    <row r="2420" spans="3:4" x14ac:dyDescent="0.3">
      <c r="C2420" s="43" t="s">
        <v>39893</v>
      </c>
      <c r="D2420" s="43" t="s">
        <v>40483</v>
      </c>
    </row>
    <row r="2421" spans="3:4" x14ac:dyDescent="0.3">
      <c r="C2421" s="43" t="s">
        <v>39893</v>
      </c>
      <c r="D2421" s="43" t="s">
        <v>40484</v>
      </c>
    </row>
    <row r="2422" spans="3:4" x14ac:dyDescent="0.3">
      <c r="C2422" s="43" t="s">
        <v>39893</v>
      </c>
      <c r="D2422" s="43" t="s">
        <v>40485</v>
      </c>
    </row>
    <row r="2423" spans="3:4" x14ac:dyDescent="0.3">
      <c r="C2423" s="43" t="s">
        <v>39893</v>
      </c>
      <c r="D2423" s="43" t="s">
        <v>40486</v>
      </c>
    </row>
    <row r="2424" spans="3:4" x14ac:dyDescent="0.3">
      <c r="C2424" s="43" t="s">
        <v>39893</v>
      </c>
      <c r="D2424" s="43" t="s">
        <v>40487</v>
      </c>
    </row>
    <row r="2425" spans="3:4" x14ac:dyDescent="0.3">
      <c r="C2425" s="43" t="s">
        <v>39893</v>
      </c>
      <c r="D2425" s="43" t="s">
        <v>40488</v>
      </c>
    </row>
    <row r="2426" spans="3:4" x14ac:dyDescent="0.3">
      <c r="C2426" s="43" t="s">
        <v>40291</v>
      </c>
      <c r="D2426" s="43" t="s">
        <v>40489</v>
      </c>
    </row>
    <row r="2427" spans="3:4" x14ac:dyDescent="0.3">
      <c r="C2427" s="43" t="s">
        <v>40291</v>
      </c>
      <c r="D2427" s="43" t="s">
        <v>40490</v>
      </c>
    </row>
    <row r="2428" spans="3:4" x14ac:dyDescent="0.3">
      <c r="C2428" s="43" t="s">
        <v>39893</v>
      </c>
      <c r="D2428" s="43" t="s">
        <v>40491</v>
      </c>
    </row>
    <row r="2429" spans="3:4" x14ac:dyDescent="0.3">
      <c r="C2429" s="43" t="s">
        <v>39893</v>
      </c>
      <c r="D2429" s="43" t="s">
        <v>40492</v>
      </c>
    </row>
    <row r="2430" spans="3:4" x14ac:dyDescent="0.3">
      <c r="C2430" s="43" t="s">
        <v>39893</v>
      </c>
      <c r="D2430" s="43" t="s">
        <v>40493</v>
      </c>
    </row>
    <row r="2431" spans="3:4" x14ac:dyDescent="0.3">
      <c r="C2431" s="43" t="s">
        <v>39893</v>
      </c>
      <c r="D2431" s="43" t="s">
        <v>40494</v>
      </c>
    </row>
    <row r="2432" spans="3:4" x14ac:dyDescent="0.3">
      <c r="C2432" s="43" t="s">
        <v>39893</v>
      </c>
      <c r="D2432" s="43" t="s">
        <v>40495</v>
      </c>
    </row>
    <row r="2433" spans="3:4" x14ac:dyDescent="0.3">
      <c r="C2433" s="43" t="s">
        <v>39893</v>
      </c>
      <c r="D2433" s="43" t="s">
        <v>40496</v>
      </c>
    </row>
    <row r="2434" spans="3:4" x14ac:dyDescent="0.3">
      <c r="C2434" s="43" t="s">
        <v>39893</v>
      </c>
      <c r="D2434" s="43" t="s">
        <v>40497</v>
      </c>
    </row>
    <row r="2435" spans="3:4" x14ac:dyDescent="0.3">
      <c r="C2435" s="43" t="s">
        <v>39893</v>
      </c>
      <c r="D2435" s="43" t="s">
        <v>40498</v>
      </c>
    </row>
    <row r="2436" spans="3:4" x14ac:dyDescent="0.3">
      <c r="C2436" s="43" t="s">
        <v>39893</v>
      </c>
      <c r="D2436" s="43" t="s">
        <v>40499</v>
      </c>
    </row>
    <row r="2437" spans="3:4" x14ac:dyDescent="0.3">
      <c r="C2437" s="43" t="s">
        <v>39893</v>
      </c>
      <c r="D2437" s="43" t="s">
        <v>40500</v>
      </c>
    </row>
    <row r="2438" spans="3:4" x14ac:dyDescent="0.3">
      <c r="C2438" s="43" t="s">
        <v>39893</v>
      </c>
      <c r="D2438" s="43" t="s">
        <v>40501</v>
      </c>
    </row>
    <row r="2439" spans="3:4" x14ac:dyDescent="0.3">
      <c r="C2439" s="43" t="s">
        <v>39893</v>
      </c>
      <c r="D2439" s="43" t="s">
        <v>40502</v>
      </c>
    </row>
    <row r="2440" spans="3:4" x14ac:dyDescent="0.3">
      <c r="C2440" s="43" t="s">
        <v>39893</v>
      </c>
      <c r="D2440" s="43" t="s">
        <v>40503</v>
      </c>
    </row>
    <row r="2441" spans="3:4" x14ac:dyDescent="0.3">
      <c r="C2441" s="43" t="s">
        <v>40291</v>
      </c>
      <c r="D2441" s="43" t="s">
        <v>40504</v>
      </c>
    </row>
    <row r="2442" spans="3:4" x14ac:dyDescent="0.3">
      <c r="C2442" s="43" t="s">
        <v>39893</v>
      </c>
      <c r="D2442" s="43" t="s">
        <v>40505</v>
      </c>
    </row>
    <row r="2443" spans="3:4" x14ac:dyDescent="0.3">
      <c r="C2443" s="43" t="s">
        <v>39893</v>
      </c>
      <c r="D2443" s="43" t="s">
        <v>40506</v>
      </c>
    </row>
    <row r="2444" spans="3:4" x14ac:dyDescent="0.3">
      <c r="C2444" s="43" t="s">
        <v>39893</v>
      </c>
      <c r="D2444" s="43" t="s">
        <v>40507</v>
      </c>
    </row>
    <row r="2445" spans="3:4" x14ac:dyDescent="0.3">
      <c r="C2445" s="43" t="s">
        <v>39893</v>
      </c>
      <c r="D2445" s="43" t="s">
        <v>40508</v>
      </c>
    </row>
    <row r="2446" spans="3:4" x14ac:dyDescent="0.3">
      <c r="C2446" s="43" t="s">
        <v>39893</v>
      </c>
      <c r="D2446" s="43" t="s">
        <v>40509</v>
      </c>
    </row>
    <row r="2447" spans="3:4" x14ac:dyDescent="0.3">
      <c r="C2447" s="43" t="s">
        <v>39893</v>
      </c>
      <c r="D2447" s="43" t="s">
        <v>40510</v>
      </c>
    </row>
    <row r="2448" spans="3:4" x14ac:dyDescent="0.3">
      <c r="C2448" s="43" t="s">
        <v>39893</v>
      </c>
      <c r="D2448" s="43" t="s">
        <v>40511</v>
      </c>
    </row>
    <row r="2449" spans="3:4" x14ac:dyDescent="0.3">
      <c r="C2449" s="43" t="s">
        <v>39893</v>
      </c>
      <c r="D2449" s="43" t="s">
        <v>40512</v>
      </c>
    </row>
    <row r="2450" spans="3:4" x14ac:dyDescent="0.3">
      <c r="C2450" s="43" t="s">
        <v>39893</v>
      </c>
      <c r="D2450" s="43" t="s">
        <v>40513</v>
      </c>
    </row>
    <row r="2451" spans="3:4" x14ac:dyDescent="0.3">
      <c r="C2451" s="43" t="s">
        <v>39893</v>
      </c>
      <c r="D2451" s="43" t="s">
        <v>40514</v>
      </c>
    </row>
    <row r="2452" spans="3:4" x14ac:dyDescent="0.3">
      <c r="C2452" s="43" t="s">
        <v>39893</v>
      </c>
      <c r="D2452" s="43" t="s">
        <v>40515</v>
      </c>
    </row>
    <row r="2453" spans="3:4" x14ac:dyDescent="0.3">
      <c r="C2453" s="43" t="s">
        <v>39893</v>
      </c>
      <c r="D2453" s="43" t="s">
        <v>40516</v>
      </c>
    </row>
    <row r="2454" spans="3:4" x14ac:dyDescent="0.3">
      <c r="C2454" s="43" t="s">
        <v>39893</v>
      </c>
      <c r="D2454" s="43" t="s">
        <v>40517</v>
      </c>
    </row>
    <row r="2455" spans="3:4" x14ac:dyDescent="0.3">
      <c r="C2455" s="43" t="s">
        <v>39893</v>
      </c>
      <c r="D2455" s="43" t="s">
        <v>40518</v>
      </c>
    </row>
    <row r="2456" spans="3:4" x14ac:dyDescent="0.3">
      <c r="C2456" s="43" t="s">
        <v>39893</v>
      </c>
      <c r="D2456" s="43" t="s">
        <v>40519</v>
      </c>
    </row>
    <row r="2457" spans="3:4" x14ac:dyDescent="0.3">
      <c r="C2457" s="43" t="s">
        <v>39893</v>
      </c>
      <c r="D2457" s="43" t="s">
        <v>40520</v>
      </c>
    </row>
    <row r="2458" spans="3:4" x14ac:dyDescent="0.3">
      <c r="C2458" s="43" t="s">
        <v>39893</v>
      </c>
      <c r="D2458" s="43" t="s">
        <v>40521</v>
      </c>
    </row>
    <row r="2459" spans="3:4" x14ac:dyDescent="0.3">
      <c r="C2459" s="43" t="s">
        <v>39893</v>
      </c>
      <c r="D2459" s="43" t="s">
        <v>40522</v>
      </c>
    </row>
    <row r="2460" spans="3:4" x14ac:dyDescent="0.3">
      <c r="C2460" s="43" t="s">
        <v>39893</v>
      </c>
      <c r="D2460" s="43" t="s">
        <v>40523</v>
      </c>
    </row>
    <row r="2461" spans="3:4" x14ac:dyDescent="0.3">
      <c r="C2461" s="43" t="s">
        <v>39893</v>
      </c>
      <c r="D2461" s="43" t="s">
        <v>40524</v>
      </c>
    </row>
    <row r="2462" spans="3:4" x14ac:dyDescent="0.3">
      <c r="C2462" s="43" t="s">
        <v>39893</v>
      </c>
      <c r="D2462" s="43" t="s">
        <v>40525</v>
      </c>
    </row>
    <row r="2463" spans="3:4" x14ac:dyDescent="0.3">
      <c r="C2463" s="43" t="s">
        <v>39893</v>
      </c>
      <c r="D2463" s="43" t="s">
        <v>40526</v>
      </c>
    </row>
    <row r="2464" spans="3:4" x14ac:dyDescent="0.3">
      <c r="C2464" s="43" t="s">
        <v>39893</v>
      </c>
      <c r="D2464" s="43" t="s">
        <v>40527</v>
      </c>
    </row>
    <row r="2465" spans="3:4" x14ac:dyDescent="0.3">
      <c r="C2465" s="43" t="s">
        <v>39893</v>
      </c>
      <c r="D2465" s="43" t="s">
        <v>40528</v>
      </c>
    </row>
    <row r="2466" spans="3:4" x14ac:dyDescent="0.3">
      <c r="C2466" s="43" t="s">
        <v>39893</v>
      </c>
      <c r="D2466" s="43" t="s">
        <v>40529</v>
      </c>
    </row>
    <row r="2467" spans="3:4" x14ac:dyDescent="0.3">
      <c r="C2467" s="43" t="s">
        <v>39893</v>
      </c>
      <c r="D2467" s="43" t="s">
        <v>40530</v>
      </c>
    </row>
    <row r="2468" spans="3:4" x14ac:dyDescent="0.3">
      <c r="C2468" s="43" t="s">
        <v>39893</v>
      </c>
      <c r="D2468" s="43" t="s">
        <v>40531</v>
      </c>
    </row>
    <row r="2469" spans="3:4" x14ac:dyDescent="0.3">
      <c r="C2469" s="43" t="s">
        <v>39893</v>
      </c>
      <c r="D2469" s="43" t="s">
        <v>40532</v>
      </c>
    </row>
    <row r="2470" spans="3:4" x14ac:dyDescent="0.3">
      <c r="C2470" s="43" t="s">
        <v>39893</v>
      </c>
      <c r="D2470" s="43" t="s">
        <v>40533</v>
      </c>
    </row>
    <row r="2471" spans="3:4" x14ac:dyDescent="0.3">
      <c r="C2471" s="43" t="s">
        <v>39893</v>
      </c>
      <c r="D2471" s="43" t="s">
        <v>40534</v>
      </c>
    </row>
    <row r="2472" spans="3:4" x14ac:dyDescent="0.3">
      <c r="C2472" s="43" t="s">
        <v>39893</v>
      </c>
      <c r="D2472" s="43" t="s">
        <v>40535</v>
      </c>
    </row>
    <row r="2473" spans="3:4" x14ac:dyDescent="0.3">
      <c r="C2473" s="43" t="s">
        <v>39893</v>
      </c>
      <c r="D2473" s="43" t="s">
        <v>40536</v>
      </c>
    </row>
    <row r="2474" spans="3:4" x14ac:dyDescent="0.3">
      <c r="C2474" s="43" t="s">
        <v>39893</v>
      </c>
      <c r="D2474" s="43" t="s">
        <v>40537</v>
      </c>
    </row>
    <row r="2475" spans="3:4" x14ac:dyDescent="0.3">
      <c r="C2475" s="43" t="s">
        <v>39893</v>
      </c>
      <c r="D2475" s="43" t="s">
        <v>40538</v>
      </c>
    </row>
    <row r="2476" spans="3:4" x14ac:dyDescent="0.3">
      <c r="C2476" s="43" t="s">
        <v>39893</v>
      </c>
      <c r="D2476" s="43" t="s">
        <v>40539</v>
      </c>
    </row>
    <row r="2477" spans="3:4" x14ac:dyDescent="0.3">
      <c r="C2477" s="43" t="s">
        <v>39893</v>
      </c>
      <c r="D2477" s="43" t="s">
        <v>40540</v>
      </c>
    </row>
    <row r="2478" spans="3:4" x14ac:dyDescent="0.3">
      <c r="C2478" s="43" t="s">
        <v>39893</v>
      </c>
      <c r="D2478" s="43" t="s">
        <v>40541</v>
      </c>
    </row>
    <row r="2479" spans="3:4" x14ac:dyDescent="0.3">
      <c r="C2479" s="43" t="s">
        <v>39893</v>
      </c>
      <c r="D2479" s="43" t="s">
        <v>40542</v>
      </c>
    </row>
    <row r="2480" spans="3:4" x14ac:dyDescent="0.3">
      <c r="C2480" s="43" t="s">
        <v>39893</v>
      </c>
      <c r="D2480" s="43" t="s">
        <v>40543</v>
      </c>
    </row>
    <row r="2481" spans="3:4" x14ac:dyDescent="0.3">
      <c r="C2481" s="43" t="s">
        <v>39893</v>
      </c>
      <c r="D2481" s="43" t="s">
        <v>40544</v>
      </c>
    </row>
    <row r="2482" spans="3:4" x14ac:dyDescent="0.3">
      <c r="C2482" s="43" t="s">
        <v>39893</v>
      </c>
      <c r="D2482" s="43" t="s">
        <v>40545</v>
      </c>
    </row>
    <row r="2483" spans="3:4" x14ac:dyDescent="0.3">
      <c r="C2483" s="43" t="s">
        <v>39893</v>
      </c>
      <c r="D2483" s="43" t="s">
        <v>40546</v>
      </c>
    </row>
    <row r="2484" spans="3:4" x14ac:dyDescent="0.3">
      <c r="C2484" s="43" t="s">
        <v>39893</v>
      </c>
      <c r="D2484" s="43" t="s">
        <v>40547</v>
      </c>
    </row>
    <row r="2485" spans="3:4" x14ac:dyDescent="0.3">
      <c r="C2485" s="43" t="s">
        <v>39893</v>
      </c>
      <c r="D2485" s="43" t="s">
        <v>40548</v>
      </c>
    </row>
    <row r="2486" spans="3:4" x14ac:dyDescent="0.3">
      <c r="C2486" s="43" t="s">
        <v>39893</v>
      </c>
      <c r="D2486" s="43" t="s">
        <v>40549</v>
      </c>
    </row>
    <row r="2487" spans="3:4" x14ac:dyDescent="0.3">
      <c r="C2487" s="43" t="s">
        <v>39893</v>
      </c>
      <c r="D2487" s="43" t="s">
        <v>40550</v>
      </c>
    </row>
    <row r="2488" spans="3:4" x14ac:dyDescent="0.3">
      <c r="C2488" s="43" t="s">
        <v>39893</v>
      </c>
      <c r="D2488" s="43" t="s">
        <v>40551</v>
      </c>
    </row>
    <row r="2489" spans="3:4" x14ac:dyDescent="0.3">
      <c r="C2489" s="43" t="s">
        <v>39893</v>
      </c>
      <c r="D2489" s="43" t="s">
        <v>40552</v>
      </c>
    </row>
    <row r="2490" spans="3:4" x14ac:dyDescent="0.3">
      <c r="C2490" s="43" t="s">
        <v>39893</v>
      </c>
      <c r="D2490" s="43" t="s">
        <v>40553</v>
      </c>
    </row>
    <row r="2491" spans="3:4" x14ac:dyDescent="0.3">
      <c r="C2491" s="43" t="s">
        <v>39893</v>
      </c>
      <c r="D2491" s="43" t="s">
        <v>40554</v>
      </c>
    </row>
    <row r="2492" spans="3:4" x14ac:dyDescent="0.3">
      <c r="C2492" s="43" t="s">
        <v>39893</v>
      </c>
      <c r="D2492" s="43" t="s">
        <v>40555</v>
      </c>
    </row>
    <row r="2493" spans="3:4" x14ac:dyDescent="0.3">
      <c r="C2493" s="43" t="s">
        <v>39893</v>
      </c>
      <c r="D2493" s="43" t="s">
        <v>40556</v>
      </c>
    </row>
    <row r="2494" spans="3:4" x14ac:dyDescent="0.3">
      <c r="C2494" s="43" t="s">
        <v>39893</v>
      </c>
      <c r="D2494" s="43" t="s">
        <v>40557</v>
      </c>
    </row>
    <row r="2495" spans="3:4" x14ac:dyDescent="0.3">
      <c r="C2495" s="43" t="s">
        <v>39893</v>
      </c>
      <c r="D2495" s="43" t="s">
        <v>40558</v>
      </c>
    </row>
    <row r="2496" spans="3:4" x14ac:dyDescent="0.3">
      <c r="C2496" s="43" t="s">
        <v>39893</v>
      </c>
      <c r="D2496" s="43" t="s">
        <v>40559</v>
      </c>
    </row>
    <row r="2497" spans="3:4" x14ac:dyDescent="0.3">
      <c r="C2497" s="43" t="s">
        <v>39893</v>
      </c>
      <c r="D2497" s="43" t="s">
        <v>40560</v>
      </c>
    </row>
    <row r="2498" spans="3:4" x14ac:dyDescent="0.3">
      <c r="C2498" s="43" t="s">
        <v>39893</v>
      </c>
      <c r="D2498" s="43" t="s">
        <v>40561</v>
      </c>
    </row>
    <row r="2499" spans="3:4" x14ac:dyDescent="0.3">
      <c r="C2499" s="43" t="s">
        <v>39893</v>
      </c>
      <c r="D2499" s="43" t="s">
        <v>40562</v>
      </c>
    </row>
    <row r="2500" spans="3:4" x14ac:dyDescent="0.3">
      <c r="C2500" s="43" t="s">
        <v>39893</v>
      </c>
      <c r="D2500" s="43" t="s">
        <v>40563</v>
      </c>
    </row>
    <row r="2501" spans="3:4" x14ac:dyDescent="0.3">
      <c r="C2501" s="43" t="s">
        <v>39893</v>
      </c>
      <c r="D2501" s="43" t="s">
        <v>40564</v>
      </c>
    </row>
    <row r="2502" spans="3:4" x14ac:dyDescent="0.3">
      <c r="C2502" s="43" t="s">
        <v>39893</v>
      </c>
      <c r="D2502" s="43" t="s">
        <v>40565</v>
      </c>
    </row>
    <row r="2503" spans="3:4" x14ac:dyDescent="0.3">
      <c r="C2503" s="43" t="s">
        <v>39893</v>
      </c>
      <c r="D2503" s="43" t="s">
        <v>40566</v>
      </c>
    </row>
    <row r="2504" spans="3:4" x14ac:dyDescent="0.3">
      <c r="C2504" s="43" t="s">
        <v>39893</v>
      </c>
      <c r="D2504" s="43" t="s">
        <v>40567</v>
      </c>
    </row>
    <row r="2505" spans="3:4" x14ac:dyDescent="0.3">
      <c r="C2505" s="43" t="s">
        <v>39893</v>
      </c>
      <c r="D2505" s="43" t="s">
        <v>40568</v>
      </c>
    </row>
    <row r="2506" spans="3:4" x14ac:dyDescent="0.3">
      <c r="C2506" s="43" t="s">
        <v>39893</v>
      </c>
      <c r="D2506" s="43" t="s">
        <v>40569</v>
      </c>
    </row>
    <row r="2507" spans="3:4" x14ac:dyDescent="0.3">
      <c r="C2507" s="43" t="s">
        <v>39893</v>
      </c>
      <c r="D2507" s="43" t="s">
        <v>40570</v>
      </c>
    </row>
    <row r="2508" spans="3:4" x14ac:dyDescent="0.3">
      <c r="C2508" s="43" t="s">
        <v>39893</v>
      </c>
      <c r="D2508" s="43" t="s">
        <v>40571</v>
      </c>
    </row>
    <row r="2509" spans="3:4" x14ac:dyDescent="0.3">
      <c r="C2509" s="43" t="s">
        <v>39893</v>
      </c>
      <c r="D2509" s="43" t="s">
        <v>40572</v>
      </c>
    </row>
    <row r="2510" spans="3:4" x14ac:dyDescent="0.3">
      <c r="C2510" s="43" t="s">
        <v>39893</v>
      </c>
      <c r="D2510" s="43" t="s">
        <v>40573</v>
      </c>
    </row>
    <row r="2511" spans="3:4" x14ac:dyDescent="0.3">
      <c r="C2511" s="43" t="s">
        <v>39893</v>
      </c>
      <c r="D2511" s="43" t="s">
        <v>40574</v>
      </c>
    </row>
    <row r="2512" spans="3:4" x14ac:dyDescent="0.3">
      <c r="C2512" s="43" t="s">
        <v>39893</v>
      </c>
      <c r="D2512" s="43" t="s">
        <v>40575</v>
      </c>
    </row>
    <row r="2513" spans="3:4" x14ac:dyDescent="0.3">
      <c r="C2513" s="43" t="s">
        <v>39893</v>
      </c>
      <c r="D2513" s="43" t="s">
        <v>40576</v>
      </c>
    </row>
    <row r="2514" spans="3:4" x14ac:dyDescent="0.3">
      <c r="C2514" s="43" t="s">
        <v>39893</v>
      </c>
      <c r="D2514" s="43" t="s">
        <v>40577</v>
      </c>
    </row>
    <row r="2515" spans="3:4" x14ac:dyDescent="0.3">
      <c r="C2515" s="43" t="s">
        <v>39893</v>
      </c>
      <c r="D2515" s="43" t="s">
        <v>40578</v>
      </c>
    </row>
    <row r="2516" spans="3:4" x14ac:dyDescent="0.3">
      <c r="C2516" s="43" t="s">
        <v>39893</v>
      </c>
      <c r="D2516" s="43" t="s">
        <v>40579</v>
      </c>
    </row>
    <row r="2517" spans="3:4" x14ac:dyDescent="0.3">
      <c r="C2517" s="43" t="s">
        <v>39893</v>
      </c>
      <c r="D2517" s="43" t="s">
        <v>40580</v>
      </c>
    </row>
    <row r="2518" spans="3:4" x14ac:dyDescent="0.3">
      <c r="C2518" s="43" t="s">
        <v>39893</v>
      </c>
      <c r="D2518" s="43" t="s">
        <v>40581</v>
      </c>
    </row>
    <row r="2519" spans="3:4" x14ac:dyDescent="0.3">
      <c r="C2519" s="43" t="s">
        <v>39893</v>
      </c>
      <c r="D2519" s="43" t="s">
        <v>40582</v>
      </c>
    </row>
    <row r="2520" spans="3:4" x14ac:dyDescent="0.3">
      <c r="C2520" s="43" t="s">
        <v>39893</v>
      </c>
      <c r="D2520" s="43" t="s">
        <v>40583</v>
      </c>
    </row>
    <row r="2521" spans="3:4" x14ac:dyDescent="0.3">
      <c r="C2521" s="43" t="s">
        <v>39893</v>
      </c>
      <c r="D2521" s="43" t="s">
        <v>40584</v>
      </c>
    </row>
    <row r="2522" spans="3:4" x14ac:dyDescent="0.3">
      <c r="C2522" s="43" t="s">
        <v>39893</v>
      </c>
      <c r="D2522" s="43" t="s">
        <v>40585</v>
      </c>
    </row>
    <row r="2523" spans="3:4" x14ac:dyDescent="0.3">
      <c r="C2523" s="43" t="s">
        <v>39893</v>
      </c>
      <c r="D2523" s="43" t="s">
        <v>40586</v>
      </c>
    </row>
    <row r="2524" spans="3:4" x14ac:dyDescent="0.3">
      <c r="C2524" s="43" t="s">
        <v>39893</v>
      </c>
      <c r="D2524" s="43" t="s">
        <v>40587</v>
      </c>
    </row>
    <row r="2525" spans="3:4" x14ac:dyDescent="0.3">
      <c r="C2525" s="43" t="s">
        <v>39893</v>
      </c>
      <c r="D2525" s="43" t="s">
        <v>40588</v>
      </c>
    </row>
    <row r="2526" spans="3:4" x14ac:dyDescent="0.3">
      <c r="C2526" s="43" t="s">
        <v>39893</v>
      </c>
      <c r="D2526" s="43" t="s">
        <v>40589</v>
      </c>
    </row>
    <row r="2527" spans="3:4" x14ac:dyDescent="0.3">
      <c r="C2527" s="43" t="s">
        <v>39893</v>
      </c>
      <c r="D2527" s="43" t="s">
        <v>40590</v>
      </c>
    </row>
    <row r="2528" spans="3:4" x14ac:dyDescent="0.3">
      <c r="C2528" s="43" t="s">
        <v>39893</v>
      </c>
      <c r="D2528" s="43" t="s">
        <v>40591</v>
      </c>
    </row>
    <row r="2529" spans="3:4" x14ac:dyDescent="0.3">
      <c r="C2529" s="43" t="s">
        <v>39893</v>
      </c>
      <c r="D2529" s="43" t="s">
        <v>40592</v>
      </c>
    </row>
    <row r="2530" spans="3:4" x14ac:dyDescent="0.3">
      <c r="C2530" s="43" t="s">
        <v>39893</v>
      </c>
      <c r="D2530" s="43" t="s">
        <v>40593</v>
      </c>
    </row>
    <row r="2531" spans="3:4" x14ac:dyDescent="0.3">
      <c r="C2531" s="43" t="s">
        <v>39893</v>
      </c>
      <c r="D2531" s="43" t="s">
        <v>40594</v>
      </c>
    </row>
    <row r="2532" spans="3:4" x14ac:dyDescent="0.3">
      <c r="C2532" s="43" t="s">
        <v>39893</v>
      </c>
      <c r="D2532" s="43" t="s">
        <v>40595</v>
      </c>
    </row>
    <row r="2533" spans="3:4" x14ac:dyDescent="0.3">
      <c r="C2533" s="43" t="s">
        <v>39893</v>
      </c>
      <c r="D2533" s="43" t="s">
        <v>40596</v>
      </c>
    </row>
    <row r="2534" spans="3:4" x14ac:dyDescent="0.3">
      <c r="C2534" s="43" t="s">
        <v>39893</v>
      </c>
      <c r="D2534" s="43" t="s">
        <v>40597</v>
      </c>
    </row>
    <row r="2535" spans="3:4" x14ac:dyDescent="0.3">
      <c r="C2535" s="43" t="s">
        <v>39893</v>
      </c>
      <c r="D2535" s="43" t="s">
        <v>40598</v>
      </c>
    </row>
    <row r="2536" spans="3:4" x14ac:dyDescent="0.3">
      <c r="C2536" s="43" t="s">
        <v>39893</v>
      </c>
      <c r="D2536" s="43" t="s">
        <v>40599</v>
      </c>
    </row>
    <row r="2537" spans="3:4" x14ac:dyDescent="0.3">
      <c r="C2537" s="43" t="s">
        <v>39893</v>
      </c>
      <c r="D2537" s="43" t="s">
        <v>40600</v>
      </c>
    </row>
    <row r="2538" spans="3:4" x14ac:dyDescent="0.3">
      <c r="C2538" s="43" t="s">
        <v>39893</v>
      </c>
      <c r="D2538" s="43" t="s">
        <v>40601</v>
      </c>
    </row>
    <row r="2539" spans="3:4" x14ac:dyDescent="0.3">
      <c r="C2539" s="43" t="s">
        <v>39893</v>
      </c>
      <c r="D2539" s="43" t="s">
        <v>40602</v>
      </c>
    </row>
    <row r="2540" spans="3:4" x14ac:dyDescent="0.3">
      <c r="C2540" s="43" t="s">
        <v>39893</v>
      </c>
      <c r="D2540" s="43" t="s">
        <v>40603</v>
      </c>
    </row>
    <row r="2541" spans="3:4" x14ac:dyDescent="0.3">
      <c r="C2541" s="43" t="s">
        <v>39893</v>
      </c>
      <c r="D2541" s="43" t="s">
        <v>40604</v>
      </c>
    </row>
    <row r="2542" spans="3:4" x14ac:dyDescent="0.3">
      <c r="C2542" s="43" t="s">
        <v>39893</v>
      </c>
      <c r="D2542" s="43" t="s">
        <v>40605</v>
      </c>
    </row>
    <row r="2543" spans="3:4" x14ac:dyDescent="0.3">
      <c r="C2543" s="43" t="s">
        <v>39893</v>
      </c>
      <c r="D2543" s="43" t="s">
        <v>40606</v>
      </c>
    </row>
    <row r="2544" spans="3:4" x14ac:dyDescent="0.3">
      <c r="C2544" s="43" t="s">
        <v>39893</v>
      </c>
      <c r="D2544" s="43" t="s">
        <v>40607</v>
      </c>
    </row>
    <row r="2545" spans="3:4" x14ac:dyDescent="0.3">
      <c r="C2545" s="43" t="s">
        <v>39893</v>
      </c>
      <c r="D2545" s="43" t="s">
        <v>40608</v>
      </c>
    </row>
    <row r="2546" spans="3:4" x14ac:dyDescent="0.3">
      <c r="C2546" s="43" t="s">
        <v>39893</v>
      </c>
      <c r="D2546" s="43" t="s">
        <v>40609</v>
      </c>
    </row>
    <row r="2547" spans="3:4" x14ac:dyDescent="0.3">
      <c r="C2547" s="43" t="s">
        <v>39893</v>
      </c>
      <c r="D2547" s="43" t="s">
        <v>40610</v>
      </c>
    </row>
    <row r="2548" spans="3:4" x14ac:dyDescent="0.3">
      <c r="C2548" s="43" t="s">
        <v>39893</v>
      </c>
      <c r="D2548" s="43" t="s">
        <v>40611</v>
      </c>
    </row>
    <row r="2549" spans="3:4" x14ac:dyDescent="0.3">
      <c r="C2549" s="43" t="s">
        <v>39893</v>
      </c>
      <c r="D2549" s="43" t="s">
        <v>40612</v>
      </c>
    </row>
    <row r="2550" spans="3:4" x14ac:dyDescent="0.3">
      <c r="C2550" s="43" t="s">
        <v>39893</v>
      </c>
      <c r="D2550" s="43" t="s">
        <v>40613</v>
      </c>
    </row>
    <row r="2551" spans="3:4" x14ac:dyDescent="0.3">
      <c r="C2551" s="43" t="s">
        <v>39893</v>
      </c>
      <c r="D2551" s="43" t="s">
        <v>40614</v>
      </c>
    </row>
    <row r="2552" spans="3:4" x14ac:dyDescent="0.3">
      <c r="C2552" s="43" t="s">
        <v>39893</v>
      </c>
      <c r="D2552" s="43" t="s">
        <v>40615</v>
      </c>
    </row>
    <row r="2553" spans="3:4" x14ac:dyDescent="0.3">
      <c r="C2553" s="43" t="s">
        <v>39893</v>
      </c>
      <c r="D2553" s="43" t="s">
        <v>40616</v>
      </c>
    </row>
    <row r="2554" spans="3:4" x14ac:dyDescent="0.3">
      <c r="C2554" s="43" t="s">
        <v>39893</v>
      </c>
      <c r="D2554" s="43" t="s">
        <v>40617</v>
      </c>
    </row>
    <row r="2555" spans="3:4" x14ac:dyDescent="0.3">
      <c r="C2555" s="43" t="s">
        <v>39893</v>
      </c>
      <c r="D2555" s="43" t="s">
        <v>40618</v>
      </c>
    </row>
    <row r="2556" spans="3:4" x14ac:dyDescent="0.3">
      <c r="C2556" s="43" t="s">
        <v>39893</v>
      </c>
      <c r="D2556" s="43" t="s">
        <v>40619</v>
      </c>
    </row>
    <row r="2557" spans="3:4" x14ac:dyDescent="0.3">
      <c r="C2557" s="43" t="s">
        <v>39893</v>
      </c>
      <c r="D2557" s="43" t="s">
        <v>40620</v>
      </c>
    </row>
    <row r="2558" spans="3:4" x14ac:dyDescent="0.3">
      <c r="C2558" s="43" t="s">
        <v>39893</v>
      </c>
      <c r="D2558" s="43" t="s">
        <v>40621</v>
      </c>
    </row>
    <row r="2559" spans="3:4" x14ac:dyDescent="0.3">
      <c r="C2559" s="43" t="s">
        <v>39893</v>
      </c>
      <c r="D2559" s="43" t="s">
        <v>40622</v>
      </c>
    </row>
    <row r="2560" spans="3:4" x14ac:dyDescent="0.3">
      <c r="C2560" s="43" t="s">
        <v>39893</v>
      </c>
      <c r="D2560" s="43" t="s">
        <v>40623</v>
      </c>
    </row>
    <row r="2561" spans="3:4" x14ac:dyDescent="0.3">
      <c r="C2561" s="43" t="s">
        <v>39893</v>
      </c>
      <c r="D2561" s="43" t="s">
        <v>40624</v>
      </c>
    </row>
    <row r="2562" spans="3:4" x14ac:dyDescent="0.3">
      <c r="C2562" s="43" t="s">
        <v>39893</v>
      </c>
      <c r="D2562" s="43" t="s">
        <v>40625</v>
      </c>
    </row>
    <row r="2563" spans="3:4" x14ac:dyDescent="0.3">
      <c r="C2563" s="43" t="s">
        <v>39893</v>
      </c>
      <c r="D2563" s="43" t="s">
        <v>40626</v>
      </c>
    </row>
    <row r="2564" spans="3:4" x14ac:dyDescent="0.3">
      <c r="C2564" s="43" t="s">
        <v>39893</v>
      </c>
      <c r="D2564" s="43" t="s">
        <v>40627</v>
      </c>
    </row>
    <row r="2565" spans="3:4" x14ac:dyDescent="0.3">
      <c r="C2565" s="43" t="s">
        <v>39893</v>
      </c>
      <c r="D2565" s="43" t="s">
        <v>40628</v>
      </c>
    </row>
    <row r="2566" spans="3:4" x14ac:dyDescent="0.3">
      <c r="C2566" s="43" t="s">
        <v>39893</v>
      </c>
      <c r="D2566" s="43" t="s">
        <v>40629</v>
      </c>
    </row>
    <row r="2567" spans="3:4" x14ac:dyDescent="0.3">
      <c r="C2567" s="43" t="s">
        <v>39893</v>
      </c>
      <c r="D2567" s="43" t="s">
        <v>40630</v>
      </c>
    </row>
    <row r="2568" spans="3:4" x14ac:dyDescent="0.3">
      <c r="C2568" s="43" t="s">
        <v>39893</v>
      </c>
      <c r="D2568" s="43" t="s">
        <v>40631</v>
      </c>
    </row>
    <row r="2569" spans="3:4" x14ac:dyDescent="0.3">
      <c r="C2569" s="43" t="s">
        <v>39893</v>
      </c>
      <c r="D2569" s="43" t="s">
        <v>40632</v>
      </c>
    </row>
    <row r="2570" spans="3:4" x14ac:dyDescent="0.3">
      <c r="C2570" s="43" t="s">
        <v>39893</v>
      </c>
      <c r="D2570" s="43" t="s">
        <v>40633</v>
      </c>
    </row>
    <row r="2571" spans="3:4" x14ac:dyDescent="0.3">
      <c r="C2571" s="43" t="s">
        <v>39893</v>
      </c>
      <c r="D2571" s="43" t="s">
        <v>40634</v>
      </c>
    </row>
    <row r="2572" spans="3:4" x14ac:dyDescent="0.3">
      <c r="C2572" s="43" t="s">
        <v>39893</v>
      </c>
      <c r="D2572" s="43" t="s">
        <v>40635</v>
      </c>
    </row>
    <row r="2573" spans="3:4" x14ac:dyDescent="0.3">
      <c r="C2573" s="43" t="s">
        <v>39893</v>
      </c>
      <c r="D2573" s="43" t="s">
        <v>40636</v>
      </c>
    </row>
    <row r="2574" spans="3:4" x14ac:dyDescent="0.3">
      <c r="C2574" s="43" t="s">
        <v>39893</v>
      </c>
      <c r="D2574" s="43" t="s">
        <v>40637</v>
      </c>
    </row>
    <row r="2575" spans="3:4" x14ac:dyDescent="0.3">
      <c r="C2575" s="43" t="s">
        <v>39893</v>
      </c>
      <c r="D2575" s="43" t="s">
        <v>40638</v>
      </c>
    </row>
    <row r="2576" spans="3:4" x14ac:dyDescent="0.3">
      <c r="C2576" s="43" t="s">
        <v>39893</v>
      </c>
      <c r="D2576" s="43" t="s">
        <v>40639</v>
      </c>
    </row>
    <row r="2577" spans="3:4" x14ac:dyDescent="0.3">
      <c r="C2577" s="43" t="s">
        <v>39893</v>
      </c>
      <c r="D2577" s="43" t="s">
        <v>40640</v>
      </c>
    </row>
    <row r="2578" spans="3:4" x14ac:dyDescent="0.3">
      <c r="C2578" s="43" t="s">
        <v>39893</v>
      </c>
      <c r="D2578" s="43" t="s">
        <v>40641</v>
      </c>
    </row>
    <row r="2579" spans="3:4" x14ac:dyDescent="0.3">
      <c r="C2579" s="43" t="s">
        <v>39893</v>
      </c>
      <c r="D2579" s="43" t="s">
        <v>40642</v>
      </c>
    </row>
    <row r="2580" spans="3:4" x14ac:dyDescent="0.3">
      <c r="C2580" s="43" t="s">
        <v>39893</v>
      </c>
      <c r="D2580" s="43" t="s">
        <v>40643</v>
      </c>
    </row>
    <row r="2581" spans="3:4" x14ac:dyDescent="0.3">
      <c r="C2581" s="43" t="s">
        <v>39893</v>
      </c>
      <c r="D2581" s="43" t="s">
        <v>40644</v>
      </c>
    </row>
    <row r="2582" spans="3:4" x14ac:dyDescent="0.3">
      <c r="C2582" s="43" t="s">
        <v>39893</v>
      </c>
      <c r="D2582" s="43" t="s">
        <v>40645</v>
      </c>
    </row>
    <row r="2583" spans="3:4" x14ac:dyDescent="0.3">
      <c r="C2583" s="43" t="s">
        <v>39893</v>
      </c>
      <c r="D2583" s="43" t="s">
        <v>40646</v>
      </c>
    </row>
    <row r="2584" spans="3:4" x14ac:dyDescent="0.3">
      <c r="C2584" s="43" t="s">
        <v>39893</v>
      </c>
      <c r="D2584" s="43" t="s">
        <v>40647</v>
      </c>
    </row>
    <row r="2585" spans="3:4" x14ac:dyDescent="0.3">
      <c r="C2585" s="43" t="s">
        <v>39893</v>
      </c>
      <c r="D2585" s="43" t="s">
        <v>40648</v>
      </c>
    </row>
    <row r="2586" spans="3:4" x14ac:dyDescent="0.3">
      <c r="C2586" s="43" t="s">
        <v>39893</v>
      </c>
      <c r="D2586" s="43" t="s">
        <v>40649</v>
      </c>
    </row>
    <row r="2587" spans="3:4" x14ac:dyDescent="0.3">
      <c r="C2587" s="43" t="s">
        <v>39893</v>
      </c>
      <c r="D2587" s="43" t="s">
        <v>40650</v>
      </c>
    </row>
    <row r="2588" spans="3:4" x14ac:dyDescent="0.3">
      <c r="C2588" s="43" t="s">
        <v>39893</v>
      </c>
      <c r="D2588" s="43" t="s">
        <v>40651</v>
      </c>
    </row>
    <row r="2589" spans="3:4" x14ac:dyDescent="0.3">
      <c r="C2589" s="43" t="s">
        <v>39893</v>
      </c>
      <c r="D2589" s="43" t="s">
        <v>40652</v>
      </c>
    </row>
    <row r="2590" spans="3:4" x14ac:dyDescent="0.3">
      <c r="C2590" s="43" t="s">
        <v>39893</v>
      </c>
      <c r="D2590" s="43" t="s">
        <v>40653</v>
      </c>
    </row>
    <row r="2591" spans="3:4" x14ac:dyDescent="0.3">
      <c r="C2591" s="43" t="s">
        <v>39893</v>
      </c>
      <c r="D2591" s="43" t="s">
        <v>40654</v>
      </c>
    </row>
    <row r="2592" spans="3:4" x14ac:dyDescent="0.3">
      <c r="C2592" s="43" t="s">
        <v>39893</v>
      </c>
      <c r="D2592" s="43" t="s">
        <v>40655</v>
      </c>
    </row>
    <row r="2593" spans="3:4" x14ac:dyDescent="0.3">
      <c r="C2593" s="43" t="s">
        <v>39893</v>
      </c>
      <c r="D2593" s="43" t="s">
        <v>40656</v>
      </c>
    </row>
    <row r="2594" spans="3:4" x14ac:dyDescent="0.3">
      <c r="C2594" s="43" t="s">
        <v>39893</v>
      </c>
      <c r="D2594" s="43" t="s">
        <v>40657</v>
      </c>
    </row>
    <row r="2595" spans="3:4" x14ac:dyDescent="0.3">
      <c r="C2595" s="43" t="s">
        <v>39893</v>
      </c>
      <c r="D2595" s="43" t="s">
        <v>40658</v>
      </c>
    </row>
    <row r="2596" spans="3:4" x14ac:dyDescent="0.3">
      <c r="C2596" s="43" t="s">
        <v>39893</v>
      </c>
      <c r="D2596" s="43" t="s">
        <v>40659</v>
      </c>
    </row>
    <row r="2597" spans="3:4" x14ac:dyDescent="0.3">
      <c r="C2597" s="43" t="s">
        <v>39893</v>
      </c>
      <c r="D2597" s="43" t="s">
        <v>40660</v>
      </c>
    </row>
    <row r="2598" spans="3:4" x14ac:dyDescent="0.3">
      <c r="C2598" s="43" t="s">
        <v>39893</v>
      </c>
      <c r="D2598" s="43" t="s">
        <v>40661</v>
      </c>
    </row>
    <row r="2599" spans="3:4" x14ac:dyDescent="0.3">
      <c r="C2599" s="43" t="s">
        <v>39893</v>
      </c>
      <c r="D2599" s="43" t="s">
        <v>40662</v>
      </c>
    </row>
    <row r="2600" spans="3:4" x14ac:dyDescent="0.3">
      <c r="C2600" s="43" t="s">
        <v>39893</v>
      </c>
      <c r="D2600" s="43" t="s">
        <v>40663</v>
      </c>
    </row>
    <row r="2601" spans="3:4" x14ac:dyDescent="0.3">
      <c r="C2601" s="43" t="s">
        <v>39893</v>
      </c>
      <c r="D2601" s="43" t="s">
        <v>40664</v>
      </c>
    </row>
    <row r="2602" spans="3:4" x14ac:dyDescent="0.3">
      <c r="C2602" s="43" t="s">
        <v>39893</v>
      </c>
      <c r="D2602" s="43" t="s">
        <v>40665</v>
      </c>
    </row>
    <row r="2603" spans="3:4" x14ac:dyDescent="0.3">
      <c r="C2603" s="43" t="s">
        <v>39893</v>
      </c>
      <c r="D2603" s="43" t="s">
        <v>40666</v>
      </c>
    </row>
    <row r="2604" spans="3:4" x14ac:dyDescent="0.3">
      <c r="C2604" s="43" t="s">
        <v>39893</v>
      </c>
      <c r="D2604" s="43" t="s">
        <v>40667</v>
      </c>
    </row>
    <row r="2605" spans="3:4" x14ac:dyDescent="0.3">
      <c r="C2605" s="43" t="s">
        <v>39893</v>
      </c>
      <c r="D2605" s="43" t="s">
        <v>40668</v>
      </c>
    </row>
    <row r="2606" spans="3:4" x14ac:dyDescent="0.3">
      <c r="C2606" s="43" t="s">
        <v>39893</v>
      </c>
      <c r="D2606" s="43" t="s">
        <v>40669</v>
      </c>
    </row>
    <row r="2607" spans="3:4" x14ac:dyDescent="0.3">
      <c r="C2607" s="43" t="s">
        <v>39893</v>
      </c>
      <c r="D2607" s="43" t="s">
        <v>40670</v>
      </c>
    </row>
    <row r="2608" spans="3:4" x14ac:dyDescent="0.3">
      <c r="C2608" s="43" t="s">
        <v>39893</v>
      </c>
      <c r="D2608" s="43" t="s">
        <v>40671</v>
      </c>
    </row>
    <row r="2609" spans="3:4" x14ac:dyDescent="0.3">
      <c r="C2609" s="43" t="s">
        <v>39893</v>
      </c>
      <c r="D2609" s="43" t="s">
        <v>40672</v>
      </c>
    </row>
    <row r="2610" spans="3:4" x14ac:dyDescent="0.3">
      <c r="C2610" s="43" t="s">
        <v>39893</v>
      </c>
      <c r="D2610" s="43" t="s">
        <v>40673</v>
      </c>
    </row>
    <row r="2611" spans="3:4" x14ac:dyDescent="0.3">
      <c r="C2611" s="43" t="s">
        <v>39893</v>
      </c>
      <c r="D2611" s="43" t="s">
        <v>40674</v>
      </c>
    </row>
    <row r="2612" spans="3:4" x14ac:dyDescent="0.3">
      <c r="C2612" s="43" t="s">
        <v>39893</v>
      </c>
      <c r="D2612" s="43" t="s">
        <v>40675</v>
      </c>
    </row>
    <row r="2613" spans="3:4" x14ac:dyDescent="0.3">
      <c r="C2613" s="43" t="s">
        <v>39893</v>
      </c>
      <c r="D2613" s="43" t="s">
        <v>40676</v>
      </c>
    </row>
    <row r="2614" spans="3:4" x14ac:dyDescent="0.3">
      <c r="C2614" s="43" t="s">
        <v>39893</v>
      </c>
      <c r="D2614" s="43" t="s">
        <v>40677</v>
      </c>
    </row>
    <row r="2615" spans="3:4" x14ac:dyDescent="0.3">
      <c r="C2615" s="43" t="s">
        <v>39893</v>
      </c>
      <c r="D2615" s="43" t="s">
        <v>40678</v>
      </c>
    </row>
    <row r="2616" spans="3:4" x14ac:dyDescent="0.3">
      <c r="C2616" s="43" t="s">
        <v>39893</v>
      </c>
      <c r="D2616" s="43" t="s">
        <v>40679</v>
      </c>
    </row>
    <row r="2617" spans="3:4" x14ac:dyDescent="0.3">
      <c r="C2617" s="43" t="s">
        <v>39893</v>
      </c>
      <c r="D2617" s="43" t="s">
        <v>40680</v>
      </c>
    </row>
    <row r="2618" spans="3:4" x14ac:dyDescent="0.3">
      <c r="C2618" s="43" t="s">
        <v>39893</v>
      </c>
      <c r="D2618" s="43" t="s">
        <v>40681</v>
      </c>
    </row>
    <row r="2619" spans="3:4" x14ac:dyDescent="0.3">
      <c r="C2619" s="43" t="s">
        <v>39893</v>
      </c>
      <c r="D2619" s="43" t="s">
        <v>40682</v>
      </c>
    </row>
    <row r="2620" spans="3:4" x14ac:dyDescent="0.3">
      <c r="C2620" s="43" t="s">
        <v>39893</v>
      </c>
      <c r="D2620" s="43" t="s">
        <v>40683</v>
      </c>
    </row>
    <row r="2621" spans="3:4" x14ac:dyDescent="0.3">
      <c r="C2621" s="43" t="s">
        <v>39893</v>
      </c>
      <c r="D2621" s="43" t="s">
        <v>40684</v>
      </c>
    </row>
    <row r="2622" spans="3:4" x14ac:dyDescent="0.3">
      <c r="C2622" s="43" t="s">
        <v>39893</v>
      </c>
      <c r="D2622" s="43" t="s">
        <v>40685</v>
      </c>
    </row>
    <row r="2623" spans="3:4" x14ac:dyDescent="0.3">
      <c r="C2623" s="43" t="s">
        <v>39893</v>
      </c>
      <c r="D2623" s="43" t="s">
        <v>40686</v>
      </c>
    </row>
    <row r="2624" spans="3:4" x14ac:dyDescent="0.3">
      <c r="C2624" s="43" t="s">
        <v>39893</v>
      </c>
      <c r="D2624" s="43" t="s">
        <v>40687</v>
      </c>
    </row>
    <row r="2625" spans="3:4" x14ac:dyDescent="0.3">
      <c r="C2625" s="43" t="s">
        <v>39893</v>
      </c>
      <c r="D2625" s="43" t="s">
        <v>40688</v>
      </c>
    </row>
    <row r="2626" spans="3:4" x14ac:dyDescent="0.3">
      <c r="C2626" s="43" t="s">
        <v>39893</v>
      </c>
      <c r="D2626" s="43" t="s">
        <v>40689</v>
      </c>
    </row>
    <row r="2627" spans="3:4" x14ac:dyDescent="0.3">
      <c r="C2627" s="43" t="s">
        <v>39893</v>
      </c>
      <c r="D2627" s="43" t="s">
        <v>40690</v>
      </c>
    </row>
    <row r="2628" spans="3:4" x14ac:dyDescent="0.3">
      <c r="C2628" s="43" t="s">
        <v>39893</v>
      </c>
      <c r="D2628" s="43" t="s">
        <v>40691</v>
      </c>
    </row>
    <row r="2629" spans="3:4" x14ac:dyDescent="0.3">
      <c r="C2629" s="43" t="s">
        <v>39893</v>
      </c>
      <c r="D2629" s="43" t="s">
        <v>40692</v>
      </c>
    </row>
    <row r="2630" spans="3:4" x14ac:dyDescent="0.3">
      <c r="C2630" s="43" t="s">
        <v>39893</v>
      </c>
      <c r="D2630" s="43" t="s">
        <v>40693</v>
      </c>
    </row>
    <row r="2631" spans="3:4" x14ac:dyDescent="0.3">
      <c r="C2631" s="43" t="s">
        <v>39893</v>
      </c>
      <c r="D2631" s="43" t="s">
        <v>40694</v>
      </c>
    </row>
    <row r="2632" spans="3:4" x14ac:dyDescent="0.3">
      <c r="C2632" s="43" t="s">
        <v>39893</v>
      </c>
      <c r="D2632" s="43" t="s">
        <v>40695</v>
      </c>
    </row>
    <row r="2633" spans="3:4" x14ac:dyDescent="0.3">
      <c r="C2633" s="43" t="s">
        <v>39893</v>
      </c>
      <c r="D2633" s="43" t="s">
        <v>40696</v>
      </c>
    </row>
    <row r="2634" spans="3:4" x14ac:dyDescent="0.3">
      <c r="C2634" s="43" t="s">
        <v>39893</v>
      </c>
      <c r="D2634" s="43" t="s">
        <v>40697</v>
      </c>
    </row>
    <row r="2635" spans="3:4" x14ac:dyDescent="0.3">
      <c r="C2635" s="43" t="s">
        <v>39893</v>
      </c>
      <c r="D2635" s="43" t="s">
        <v>40698</v>
      </c>
    </row>
    <row r="2636" spans="3:4" x14ac:dyDescent="0.3">
      <c r="C2636" s="43" t="s">
        <v>39893</v>
      </c>
      <c r="D2636" s="43" t="s">
        <v>40699</v>
      </c>
    </row>
    <row r="2637" spans="3:4" x14ac:dyDescent="0.3">
      <c r="C2637" s="43" t="s">
        <v>39893</v>
      </c>
      <c r="D2637" s="43" t="s">
        <v>40700</v>
      </c>
    </row>
    <row r="2638" spans="3:4" x14ac:dyDescent="0.3">
      <c r="C2638" s="43" t="s">
        <v>39893</v>
      </c>
      <c r="D2638" s="43" t="s">
        <v>40701</v>
      </c>
    </row>
    <row r="2639" spans="3:4" x14ac:dyDescent="0.3">
      <c r="C2639" s="43" t="s">
        <v>39893</v>
      </c>
      <c r="D2639" s="43" t="s">
        <v>40702</v>
      </c>
    </row>
    <row r="2640" spans="3:4" x14ac:dyDescent="0.3">
      <c r="C2640" s="43" t="s">
        <v>39893</v>
      </c>
      <c r="D2640" s="43" t="s">
        <v>40703</v>
      </c>
    </row>
    <row r="2641" spans="3:4" x14ac:dyDescent="0.3">
      <c r="C2641" s="43" t="s">
        <v>39893</v>
      </c>
      <c r="D2641" s="43" t="s">
        <v>40704</v>
      </c>
    </row>
    <row r="2642" spans="3:4" x14ac:dyDescent="0.3">
      <c r="C2642" s="43" t="s">
        <v>39893</v>
      </c>
      <c r="D2642" s="43" t="s">
        <v>40705</v>
      </c>
    </row>
    <row r="2643" spans="3:4" x14ac:dyDescent="0.3">
      <c r="C2643" s="43" t="s">
        <v>39893</v>
      </c>
      <c r="D2643" s="43" t="s">
        <v>40706</v>
      </c>
    </row>
    <row r="2644" spans="3:4" x14ac:dyDescent="0.3">
      <c r="C2644" s="43" t="s">
        <v>39893</v>
      </c>
      <c r="D2644" s="43" t="s">
        <v>40707</v>
      </c>
    </row>
    <row r="2645" spans="3:4" x14ac:dyDescent="0.3">
      <c r="C2645" s="43" t="s">
        <v>39893</v>
      </c>
      <c r="D2645" s="43" t="s">
        <v>40708</v>
      </c>
    </row>
    <row r="2646" spans="3:4" x14ac:dyDescent="0.3">
      <c r="C2646" s="43" t="s">
        <v>39893</v>
      </c>
      <c r="D2646" s="43" t="s">
        <v>40709</v>
      </c>
    </row>
    <row r="2647" spans="3:4" x14ac:dyDescent="0.3">
      <c r="C2647" s="43" t="s">
        <v>39893</v>
      </c>
      <c r="D2647" s="43" t="s">
        <v>40710</v>
      </c>
    </row>
    <row r="2648" spans="3:4" x14ac:dyDescent="0.3">
      <c r="C2648" s="43" t="s">
        <v>39893</v>
      </c>
      <c r="D2648" s="43" t="s">
        <v>40711</v>
      </c>
    </row>
    <row r="2649" spans="3:4" x14ac:dyDescent="0.3">
      <c r="C2649" s="43" t="s">
        <v>39893</v>
      </c>
      <c r="D2649" s="43" t="s">
        <v>40712</v>
      </c>
    </row>
    <row r="2650" spans="3:4" x14ac:dyDescent="0.3">
      <c r="C2650" s="43" t="s">
        <v>39893</v>
      </c>
      <c r="D2650" s="43" t="s">
        <v>40713</v>
      </c>
    </row>
    <row r="2651" spans="3:4" x14ac:dyDescent="0.3">
      <c r="C2651" s="43" t="s">
        <v>39893</v>
      </c>
      <c r="D2651" s="43" t="s">
        <v>40714</v>
      </c>
    </row>
    <row r="2652" spans="3:4" x14ac:dyDescent="0.3">
      <c r="C2652" s="43" t="s">
        <v>39893</v>
      </c>
      <c r="D2652" s="43" t="s">
        <v>40715</v>
      </c>
    </row>
    <row r="2653" spans="3:4" x14ac:dyDescent="0.3">
      <c r="C2653" s="43" t="s">
        <v>39893</v>
      </c>
      <c r="D2653" s="43" t="s">
        <v>40716</v>
      </c>
    </row>
    <row r="2654" spans="3:4" x14ac:dyDescent="0.3">
      <c r="C2654" s="43" t="s">
        <v>39893</v>
      </c>
      <c r="D2654" s="43" t="s">
        <v>40717</v>
      </c>
    </row>
    <row r="2655" spans="3:4" x14ac:dyDescent="0.3">
      <c r="C2655" s="43" t="s">
        <v>39893</v>
      </c>
      <c r="D2655" s="43" t="s">
        <v>40718</v>
      </c>
    </row>
    <row r="2656" spans="3:4" x14ac:dyDescent="0.3">
      <c r="C2656" s="43" t="s">
        <v>39893</v>
      </c>
      <c r="D2656" s="43" t="s">
        <v>40719</v>
      </c>
    </row>
    <row r="2657" spans="3:4" x14ac:dyDescent="0.3">
      <c r="C2657" s="43" t="s">
        <v>39893</v>
      </c>
      <c r="D2657" s="43" t="s">
        <v>40720</v>
      </c>
    </row>
    <row r="2658" spans="3:4" x14ac:dyDescent="0.3">
      <c r="C2658" s="43" t="s">
        <v>39893</v>
      </c>
      <c r="D2658" s="43" t="s">
        <v>40721</v>
      </c>
    </row>
    <row r="2659" spans="3:4" x14ac:dyDescent="0.3">
      <c r="C2659" s="43" t="s">
        <v>39893</v>
      </c>
      <c r="D2659" s="43" t="s">
        <v>40722</v>
      </c>
    </row>
    <row r="2660" spans="3:4" x14ac:dyDescent="0.3">
      <c r="C2660" s="43" t="s">
        <v>39893</v>
      </c>
      <c r="D2660" s="43" t="s">
        <v>40723</v>
      </c>
    </row>
    <row r="2661" spans="3:4" x14ac:dyDescent="0.3">
      <c r="C2661" s="43" t="s">
        <v>39893</v>
      </c>
      <c r="D2661" s="43" t="s">
        <v>40724</v>
      </c>
    </row>
    <row r="2662" spans="3:4" x14ac:dyDescent="0.3">
      <c r="C2662" s="43" t="s">
        <v>39893</v>
      </c>
      <c r="D2662" s="43" t="s">
        <v>40725</v>
      </c>
    </row>
    <row r="2663" spans="3:4" x14ac:dyDescent="0.3">
      <c r="C2663" s="43" t="s">
        <v>39893</v>
      </c>
      <c r="D2663" s="43" t="s">
        <v>40726</v>
      </c>
    </row>
    <row r="2664" spans="3:4" x14ac:dyDescent="0.3">
      <c r="C2664" s="43" t="s">
        <v>39893</v>
      </c>
      <c r="D2664" s="43" t="s">
        <v>40727</v>
      </c>
    </row>
    <row r="2665" spans="3:4" x14ac:dyDescent="0.3">
      <c r="C2665" s="43" t="s">
        <v>39893</v>
      </c>
      <c r="D2665" s="43" t="s">
        <v>40728</v>
      </c>
    </row>
    <row r="2666" spans="3:4" x14ac:dyDescent="0.3">
      <c r="C2666" s="43" t="s">
        <v>39893</v>
      </c>
      <c r="D2666" s="43" t="s">
        <v>40729</v>
      </c>
    </row>
    <row r="2667" spans="3:4" x14ac:dyDescent="0.3">
      <c r="C2667" s="43" t="s">
        <v>39893</v>
      </c>
      <c r="D2667" s="43" t="s">
        <v>40730</v>
      </c>
    </row>
    <row r="2668" spans="3:4" x14ac:dyDescent="0.3">
      <c r="C2668" s="43" t="s">
        <v>39893</v>
      </c>
      <c r="D2668" s="43" t="s">
        <v>40731</v>
      </c>
    </row>
    <row r="2669" spans="3:4" x14ac:dyDescent="0.3">
      <c r="C2669" s="43" t="s">
        <v>39893</v>
      </c>
      <c r="D2669" s="43" t="s">
        <v>40732</v>
      </c>
    </row>
    <row r="2670" spans="3:4" x14ac:dyDescent="0.3">
      <c r="C2670" s="43" t="s">
        <v>39893</v>
      </c>
      <c r="D2670" s="43" t="s">
        <v>40733</v>
      </c>
    </row>
    <row r="2671" spans="3:4" x14ac:dyDescent="0.3">
      <c r="C2671" s="43" t="s">
        <v>39893</v>
      </c>
      <c r="D2671" s="43" t="s">
        <v>40734</v>
      </c>
    </row>
    <row r="2672" spans="3:4" x14ac:dyDescent="0.3">
      <c r="C2672" s="43" t="s">
        <v>39893</v>
      </c>
      <c r="D2672" s="43" t="s">
        <v>40735</v>
      </c>
    </row>
    <row r="2673" spans="3:4" x14ac:dyDescent="0.3">
      <c r="C2673" s="43" t="s">
        <v>39893</v>
      </c>
      <c r="D2673" s="43" t="s">
        <v>40736</v>
      </c>
    </row>
    <row r="2674" spans="3:4" x14ac:dyDescent="0.3">
      <c r="C2674" s="43" t="s">
        <v>39893</v>
      </c>
      <c r="D2674" s="43" t="s">
        <v>40737</v>
      </c>
    </row>
    <row r="2675" spans="3:4" x14ac:dyDescent="0.3">
      <c r="C2675" s="43" t="s">
        <v>39893</v>
      </c>
      <c r="D2675" s="43" t="s">
        <v>40738</v>
      </c>
    </row>
    <row r="2676" spans="3:4" x14ac:dyDescent="0.3">
      <c r="C2676" s="43" t="s">
        <v>39893</v>
      </c>
      <c r="D2676" s="43" t="s">
        <v>40739</v>
      </c>
    </row>
    <row r="2677" spans="3:4" x14ac:dyDescent="0.3">
      <c r="C2677" s="43" t="s">
        <v>39893</v>
      </c>
      <c r="D2677" s="43" t="s">
        <v>40740</v>
      </c>
    </row>
    <row r="2678" spans="3:4" x14ac:dyDescent="0.3">
      <c r="C2678" s="43" t="s">
        <v>39893</v>
      </c>
      <c r="D2678" s="43" t="s">
        <v>40741</v>
      </c>
    </row>
    <row r="2679" spans="3:4" x14ac:dyDescent="0.3">
      <c r="C2679" s="43" t="s">
        <v>39893</v>
      </c>
      <c r="D2679" s="43" t="s">
        <v>40742</v>
      </c>
    </row>
    <row r="2680" spans="3:4" x14ac:dyDescent="0.3">
      <c r="C2680" s="43" t="s">
        <v>39893</v>
      </c>
      <c r="D2680" s="43" t="s">
        <v>40743</v>
      </c>
    </row>
    <row r="2681" spans="3:4" x14ac:dyDescent="0.3">
      <c r="C2681" s="43" t="s">
        <v>39893</v>
      </c>
      <c r="D2681" s="43" t="s">
        <v>40744</v>
      </c>
    </row>
    <row r="2682" spans="3:4" x14ac:dyDescent="0.3">
      <c r="C2682" s="43" t="s">
        <v>39893</v>
      </c>
      <c r="D2682" s="43" t="s">
        <v>40745</v>
      </c>
    </row>
    <row r="2683" spans="3:4" x14ac:dyDescent="0.3">
      <c r="C2683" s="43" t="s">
        <v>39893</v>
      </c>
      <c r="D2683" s="43" t="s">
        <v>40746</v>
      </c>
    </row>
    <row r="2684" spans="3:4" x14ac:dyDescent="0.3">
      <c r="C2684" s="43" t="s">
        <v>39893</v>
      </c>
      <c r="D2684" s="43" t="s">
        <v>40747</v>
      </c>
    </row>
    <row r="2685" spans="3:4" x14ac:dyDescent="0.3">
      <c r="C2685" s="43" t="s">
        <v>39893</v>
      </c>
      <c r="D2685" s="43" t="s">
        <v>40748</v>
      </c>
    </row>
    <row r="2686" spans="3:4" x14ac:dyDescent="0.3">
      <c r="C2686" s="43" t="s">
        <v>39893</v>
      </c>
      <c r="D2686" s="43" t="s">
        <v>40749</v>
      </c>
    </row>
    <row r="2687" spans="3:4" x14ac:dyDescent="0.3">
      <c r="C2687" s="43" t="s">
        <v>39893</v>
      </c>
      <c r="D2687" s="43" t="s">
        <v>40750</v>
      </c>
    </row>
    <row r="2688" spans="3:4" x14ac:dyDescent="0.3">
      <c r="C2688" s="43" t="s">
        <v>39893</v>
      </c>
      <c r="D2688" s="43" t="s">
        <v>40751</v>
      </c>
    </row>
    <row r="2689" spans="3:4" x14ac:dyDescent="0.3">
      <c r="C2689" s="43" t="s">
        <v>39893</v>
      </c>
      <c r="D2689" s="43" t="s">
        <v>40752</v>
      </c>
    </row>
    <row r="2690" spans="3:4" x14ac:dyDescent="0.3">
      <c r="C2690" s="43" t="s">
        <v>39893</v>
      </c>
      <c r="D2690" s="43" t="s">
        <v>40753</v>
      </c>
    </row>
    <row r="2691" spans="3:4" x14ac:dyDescent="0.3">
      <c r="C2691" s="43" t="s">
        <v>39893</v>
      </c>
      <c r="D2691" s="43" t="s">
        <v>40754</v>
      </c>
    </row>
    <row r="2692" spans="3:4" x14ac:dyDescent="0.3">
      <c r="C2692" s="43" t="s">
        <v>39893</v>
      </c>
      <c r="D2692" s="43" t="s">
        <v>40755</v>
      </c>
    </row>
    <row r="2693" spans="3:4" x14ac:dyDescent="0.3">
      <c r="C2693" s="43" t="s">
        <v>39893</v>
      </c>
      <c r="D2693" s="43" t="s">
        <v>40756</v>
      </c>
    </row>
    <row r="2694" spans="3:4" x14ac:dyDescent="0.3">
      <c r="C2694" s="43" t="s">
        <v>39893</v>
      </c>
      <c r="D2694" s="43" t="s">
        <v>40757</v>
      </c>
    </row>
    <row r="2695" spans="3:4" x14ac:dyDescent="0.3">
      <c r="C2695" s="43" t="s">
        <v>39893</v>
      </c>
      <c r="D2695" s="43" t="s">
        <v>40758</v>
      </c>
    </row>
    <row r="2696" spans="3:4" x14ac:dyDescent="0.3">
      <c r="C2696" s="43" t="s">
        <v>39893</v>
      </c>
      <c r="D2696" s="43" t="s">
        <v>40759</v>
      </c>
    </row>
    <row r="2697" spans="3:4" x14ac:dyDescent="0.3">
      <c r="C2697" s="43" t="s">
        <v>39893</v>
      </c>
      <c r="D2697" s="43" t="s">
        <v>40760</v>
      </c>
    </row>
    <row r="2698" spans="3:4" x14ac:dyDescent="0.3">
      <c r="C2698" s="43" t="s">
        <v>39893</v>
      </c>
      <c r="D2698" s="43" t="s">
        <v>40761</v>
      </c>
    </row>
    <row r="2699" spans="3:4" x14ac:dyDescent="0.3">
      <c r="C2699" s="43" t="s">
        <v>39893</v>
      </c>
      <c r="D2699" s="43" t="s">
        <v>40762</v>
      </c>
    </row>
    <row r="2700" spans="3:4" x14ac:dyDescent="0.3">
      <c r="C2700" s="43" t="s">
        <v>39893</v>
      </c>
      <c r="D2700" s="43" t="s">
        <v>40763</v>
      </c>
    </row>
    <row r="2701" spans="3:4" x14ac:dyDescent="0.3">
      <c r="C2701" s="43" t="s">
        <v>39893</v>
      </c>
      <c r="D2701" s="43" t="s">
        <v>40764</v>
      </c>
    </row>
    <row r="2702" spans="3:4" x14ac:dyDescent="0.3">
      <c r="C2702" s="43" t="s">
        <v>39893</v>
      </c>
      <c r="D2702" s="43" t="s">
        <v>40765</v>
      </c>
    </row>
    <row r="2703" spans="3:4" x14ac:dyDescent="0.3">
      <c r="C2703" s="43" t="s">
        <v>39893</v>
      </c>
      <c r="D2703" s="43" t="s">
        <v>40766</v>
      </c>
    </row>
    <row r="2704" spans="3:4" x14ac:dyDescent="0.3">
      <c r="C2704" s="43" t="s">
        <v>39893</v>
      </c>
      <c r="D2704" s="43" t="s">
        <v>40767</v>
      </c>
    </row>
    <row r="2705" spans="3:4" x14ac:dyDescent="0.3">
      <c r="C2705" s="43" t="s">
        <v>39893</v>
      </c>
      <c r="D2705" s="43" t="s">
        <v>40768</v>
      </c>
    </row>
    <row r="2706" spans="3:4" x14ac:dyDescent="0.3">
      <c r="C2706" s="43" t="s">
        <v>39893</v>
      </c>
      <c r="D2706" s="43" t="s">
        <v>40769</v>
      </c>
    </row>
    <row r="2707" spans="3:4" x14ac:dyDescent="0.3">
      <c r="C2707" s="43" t="s">
        <v>39893</v>
      </c>
      <c r="D2707" s="43" t="s">
        <v>40770</v>
      </c>
    </row>
    <row r="2708" spans="3:4" x14ac:dyDescent="0.3">
      <c r="C2708" s="43" t="s">
        <v>40291</v>
      </c>
      <c r="D2708" s="43" t="s">
        <v>40771</v>
      </c>
    </row>
    <row r="2709" spans="3:4" x14ac:dyDescent="0.3">
      <c r="C2709" s="43" t="s">
        <v>40291</v>
      </c>
      <c r="D2709" s="43" t="s">
        <v>40772</v>
      </c>
    </row>
    <row r="2710" spans="3:4" x14ac:dyDescent="0.3">
      <c r="C2710" s="43" t="s">
        <v>40291</v>
      </c>
      <c r="D2710" s="43" t="s">
        <v>40773</v>
      </c>
    </row>
    <row r="2711" spans="3:4" x14ac:dyDescent="0.3">
      <c r="C2711" s="43" t="s">
        <v>40291</v>
      </c>
      <c r="D2711" s="43" t="s">
        <v>40774</v>
      </c>
    </row>
    <row r="2712" spans="3:4" x14ac:dyDescent="0.3">
      <c r="C2712" s="43" t="s">
        <v>40291</v>
      </c>
      <c r="D2712" s="43" t="s">
        <v>40775</v>
      </c>
    </row>
    <row r="2713" spans="3:4" x14ac:dyDescent="0.3">
      <c r="C2713" s="43" t="s">
        <v>40291</v>
      </c>
      <c r="D2713" s="43" t="s">
        <v>40776</v>
      </c>
    </row>
    <row r="2714" spans="3:4" x14ac:dyDescent="0.3">
      <c r="C2714" s="43" t="s">
        <v>40291</v>
      </c>
      <c r="D2714" s="43" t="s">
        <v>40777</v>
      </c>
    </row>
    <row r="2715" spans="3:4" x14ac:dyDescent="0.3">
      <c r="C2715" s="43" t="s">
        <v>40291</v>
      </c>
      <c r="D2715" s="43" t="s">
        <v>40778</v>
      </c>
    </row>
    <row r="2716" spans="3:4" x14ac:dyDescent="0.3">
      <c r="C2716" s="43" t="s">
        <v>40291</v>
      </c>
      <c r="D2716" s="43" t="s">
        <v>40779</v>
      </c>
    </row>
    <row r="2717" spans="3:4" x14ac:dyDescent="0.3">
      <c r="C2717" s="43" t="s">
        <v>40291</v>
      </c>
      <c r="D2717" s="43" t="s">
        <v>40780</v>
      </c>
    </row>
    <row r="2718" spans="3:4" x14ac:dyDescent="0.3">
      <c r="C2718" s="43" t="s">
        <v>40291</v>
      </c>
      <c r="D2718" s="43" t="s">
        <v>40781</v>
      </c>
    </row>
    <row r="2719" spans="3:4" x14ac:dyDescent="0.3">
      <c r="C2719" s="43" t="s">
        <v>40291</v>
      </c>
      <c r="D2719" s="43" t="s">
        <v>40782</v>
      </c>
    </row>
    <row r="2720" spans="3:4" x14ac:dyDescent="0.3">
      <c r="C2720" s="43" t="s">
        <v>40291</v>
      </c>
      <c r="D2720" s="43" t="s">
        <v>40783</v>
      </c>
    </row>
    <row r="2721" spans="3:4" x14ac:dyDescent="0.3">
      <c r="C2721" s="43" t="s">
        <v>40291</v>
      </c>
      <c r="D2721" s="43" t="s">
        <v>40784</v>
      </c>
    </row>
    <row r="2722" spans="3:4" x14ac:dyDescent="0.3">
      <c r="C2722" s="43" t="s">
        <v>40291</v>
      </c>
      <c r="D2722" s="43" t="s">
        <v>40785</v>
      </c>
    </row>
    <row r="2723" spans="3:4" x14ac:dyDescent="0.3">
      <c r="C2723" s="43" t="s">
        <v>40291</v>
      </c>
      <c r="D2723" s="43" t="s">
        <v>40786</v>
      </c>
    </row>
    <row r="2724" spans="3:4" x14ac:dyDescent="0.3">
      <c r="C2724" s="43" t="s">
        <v>40291</v>
      </c>
      <c r="D2724" s="43" t="s">
        <v>40787</v>
      </c>
    </row>
    <row r="2725" spans="3:4" x14ac:dyDescent="0.3">
      <c r="C2725" s="43" t="s">
        <v>40291</v>
      </c>
      <c r="D2725" s="43" t="s">
        <v>40788</v>
      </c>
    </row>
    <row r="2726" spans="3:4" x14ac:dyDescent="0.3">
      <c r="C2726" s="43" t="s">
        <v>40291</v>
      </c>
      <c r="D2726" s="43" t="s">
        <v>40789</v>
      </c>
    </row>
    <row r="2727" spans="3:4" x14ac:dyDescent="0.3">
      <c r="C2727" s="43" t="s">
        <v>40291</v>
      </c>
      <c r="D2727" s="43" t="s">
        <v>40790</v>
      </c>
    </row>
    <row r="2728" spans="3:4" x14ac:dyDescent="0.3">
      <c r="C2728" s="43" t="s">
        <v>40291</v>
      </c>
      <c r="D2728" s="43" t="s">
        <v>40791</v>
      </c>
    </row>
    <row r="2729" spans="3:4" x14ac:dyDescent="0.3">
      <c r="C2729" s="43" t="s">
        <v>40291</v>
      </c>
      <c r="D2729" s="43" t="s">
        <v>40792</v>
      </c>
    </row>
    <row r="2730" spans="3:4" x14ac:dyDescent="0.3">
      <c r="C2730" s="43" t="s">
        <v>40291</v>
      </c>
      <c r="D2730" s="43" t="s">
        <v>40793</v>
      </c>
    </row>
    <row r="2731" spans="3:4" x14ac:dyDescent="0.3">
      <c r="C2731" s="43" t="s">
        <v>40291</v>
      </c>
      <c r="D2731" s="43" t="s">
        <v>40794</v>
      </c>
    </row>
    <row r="2732" spans="3:4" x14ac:dyDescent="0.3">
      <c r="C2732" s="43" t="s">
        <v>40291</v>
      </c>
      <c r="D2732" s="43" t="s">
        <v>40795</v>
      </c>
    </row>
    <row r="2733" spans="3:4" x14ac:dyDescent="0.3">
      <c r="C2733" s="43" t="s">
        <v>40291</v>
      </c>
      <c r="D2733" s="43" t="s">
        <v>40796</v>
      </c>
    </row>
    <row r="2734" spans="3:4" x14ac:dyDescent="0.3">
      <c r="C2734" s="43" t="s">
        <v>40291</v>
      </c>
      <c r="D2734" s="43" t="s">
        <v>40797</v>
      </c>
    </row>
    <row r="2735" spans="3:4" x14ac:dyDescent="0.3">
      <c r="C2735" s="43" t="s">
        <v>40291</v>
      </c>
      <c r="D2735" s="43" t="s">
        <v>40798</v>
      </c>
    </row>
    <row r="2736" spans="3:4" x14ac:dyDescent="0.3">
      <c r="C2736" s="43" t="s">
        <v>40291</v>
      </c>
      <c r="D2736" s="43" t="s">
        <v>40799</v>
      </c>
    </row>
    <row r="2737" spans="3:4" x14ac:dyDescent="0.3">
      <c r="C2737" s="43" t="s">
        <v>40291</v>
      </c>
      <c r="D2737" s="43" t="s">
        <v>40800</v>
      </c>
    </row>
    <row r="2738" spans="3:4" x14ac:dyDescent="0.3">
      <c r="C2738" s="43" t="s">
        <v>40291</v>
      </c>
      <c r="D2738" s="43" t="s">
        <v>40801</v>
      </c>
    </row>
    <row r="2739" spans="3:4" x14ac:dyDescent="0.3">
      <c r="C2739" s="43" t="s">
        <v>40291</v>
      </c>
      <c r="D2739" s="43" t="s">
        <v>40802</v>
      </c>
    </row>
    <row r="2740" spans="3:4" x14ac:dyDescent="0.3">
      <c r="C2740" s="43" t="s">
        <v>40291</v>
      </c>
      <c r="D2740" s="43" t="s">
        <v>40803</v>
      </c>
    </row>
    <row r="2741" spans="3:4" x14ac:dyDescent="0.3">
      <c r="C2741" s="43" t="s">
        <v>40291</v>
      </c>
      <c r="D2741" s="43" t="s">
        <v>40804</v>
      </c>
    </row>
    <row r="2742" spans="3:4" x14ac:dyDescent="0.3">
      <c r="C2742" s="43" t="s">
        <v>40291</v>
      </c>
      <c r="D2742" s="43" t="s">
        <v>40805</v>
      </c>
    </row>
    <row r="2743" spans="3:4" x14ac:dyDescent="0.3">
      <c r="C2743" s="43" t="s">
        <v>40291</v>
      </c>
      <c r="D2743" s="43" t="s">
        <v>40806</v>
      </c>
    </row>
    <row r="2744" spans="3:4" x14ac:dyDescent="0.3">
      <c r="C2744" s="43" t="s">
        <v>40291</v>
      </c>
      <c r="D2744" s="43" t="s">
        <v>40807</v>
      </c>
    </row>
    <row r="2745" spans="3:4" x14ac:dyDescent="0.3">
      <c r="C2745" s="43" t="s">
        <v>40291</v>
      </c>
      <c r="D2745" s="43" t="s">
        <v>40808</v>
      </c>
    </row>
    <row r="2746" spans="3:4" x14ac:dyDescent="0.3">
      <c r="C2746" s="43" t="s">
        <v>40291</v>
      </c>
      <c r="D2746" s="43" t="s">
        <v>40809</v>
      </c>
    </row>
    <row r="2747" spans="3:4" x14ac:dyDescent="0.3">
      <c r="C2747" s="43" t="s">
        <v>40291</v>
      </c>
      <c r="D2747" s="43" t="s">
        <v>40810</v>
      </c>
    </row>
    <row r="2748" spans="3:4" x14ac:dyDescent="0.3">
      <c r="C2748" s="43" t="s">
        <v>40291</v>
      </c>
      <c r="D2748" s="43" t="s">
        <v>40811</v>
      </c>
    </row>
    <row r="2749" spans="3:4" x14ac:dyDescent="0.3">
      <c r="C2749" s="43" t="s">
        <v>40291</v>
      </c>
      <c r="D2749" s="43" t="s">
        <v>40812</v>
      </c>
    </row>
    <row r="2750" spans="3:4" x14ac:dyDescent="0.3">
      <c r="C2750" s="43" t="s">
        <v>40291</v>
      </c>
      <c r="D2750" s="43" t="s">
        <v>40813</v>
      </c>
    </row>
    <row r="2751" spans="3:4" x14ac:dyDescent="0.3">
      <c r="C2751" s="43" t="s">
        <v>40291</v>
      </c>
      <c r="D2751" s="43" t="s">
        <v>40814</v>
      </c>
    </row>
    <row r="2752" spans="3:4" x14ac:dyDescent="0.3">
      <c r="C2752" s="43" t="s">
        <v>40291</v>
      </c>
      <c r="D2752" s="43" t="s">
        <v>40815</v>
      </c>
    </row>
    <row r="2753" spans="3:4" x14ac:dyDescent="0.3">
      <c r="C2753" s="43" t="s">
        <v>40291</v>
      </c>
      <c r="D2753" s="43" t="s">
        <v>40816</v>
      </c>
    </row>
    <row r="2754" spans="3:4" x14ac:dyDescent="0.3">
      <c r="C2754" s="43" t="s">
        <v>40291</v>
      </c>
      <c r="D2754" s="43" t="s">
        <v>40817</v>
      </c>
    </row>
    <row r="2755" spans="3:4" x14ac:dyDescent="0.3">
      <c r="C2755" s="43" t="s">
        <v>40291</v>
      </c>
      <c r="D2755" s="43" t="s">
        <v>40818</v>
      </c>
    </row>
    <row r="2756" spans="3:4" x14ac:dyDescent="0.3">
      <c r="C2756" s="43" t="s">
        <v>40291</v>
      </c>
      <c r="D2756" s="43" t="s">
        <v>40819</v>
      </c>
    </row>
    <row r="2757" spans="3:4" x14ac:dyDescent="0.3">
      <c r="C2757" s="43" t="s">
        <v>40291</v>
      </c>
      <c r="D2757" s="43" t="s">
        <v>40820</v>
      </c>
    </row>
    <row r="2758" spans="3:4" x14ac:dyDescent="0.3">
      <c r="C2758" s="43" t="s">
        <v>40291</v>
      </c>
      <c r="D2758" s="43" t="s">
        <v>40821</v>
      </c>
    </row>
    <row r="2759" spans="3:4" x14ac:dyDescent="0.3">
      <c r="C2759" s="43" t="s">
        <v>40291</v>
      </c>
      <c r="D2759" s="43" t="s">
        <v>40822</v>
      </c>
    </row>
    <row r="2760" spans="3:4" x14ac:dyDescent="0.3">
      <c r="C2760" s="43" t="s">
        <v>40291</v>
      </c>
      <c r="D2760" s="43" t="s">
        <v>40823</v>
      </c>
    </row>
    <row r="2761" spans="3:4" x14ac:dyDescent="0.3">
      <c r="C2761" s="43" t="s">
        <v>40291</v>
      </c>
      <c r="D2761" s="43" t="s">
        <v>40824</v>
      </c>
    </row>
    <row r="2762" spans="3:4" x14ac:dyDescent="0.3">
      <c r="C2762" s="43" t="s">
        <v>40291</v>
      </c>
      <c r="D2762" s="43" t="s">
        <v>40825</v>
      </c>
    </row>
    <row r="2763" spans="3:4" x14ac:dyDescent="0.3">
      <c r="C2763" s="43" t="s">
        <v>40291</v>
      </c>
      <c r="D2763" s="43" t="s">
        <v>40826</v>
      </c>
    </row>
    <row r="2764" spans="3:4" x14ac:dyDescent="0.3">
      <c r="C2764" s="43" t="s">
        <v>40291</v>
      </c>
      <c r="D2764" s="43" t="s">
        <v>40827</v>
      </c>
    </row>
    <row r="2765" spans="3:4" x14ac:dyDescent="0.3">
      <c r="C2765" s="43" t="s">
        <v>40291</v>
      </c>
      <c r="D2765" s="43" t="s">
        <v>40828</v>
      </c>
    </row>
    <row r="2766" spans="3:4" x14ac:dyDescent="0.3">
      <c r="C2766" s="43" t="s">
        <v>40291</v>
      </c>
      <c r="D2766" s="43" t="s">
        <v>40829</v>
      </c>
    </row>
    <row r="2767" spans="3:4" x14ac:dyDescent="0.3">
      <c r="C2767" s="43" t="s">
        <v>40291</v>
      </c>
      <c r="D2767" s="43" t="s">
        <v>40830</v>
      </c>
    </row>
    <row r="2768" spans="3:4" x14ac:dyDescent="0.3">
      <c r="C2768" s="43" t="s">
        <v>40291</v>
      </c>
      <c r="D2768" s="43" t="s">
        <v>40831</v>
      </c>
    </row>
    <row r="2769" spans="3:4" x14ac:dyDescent="0.3">
      <c r="C2769" s="43" t="s">
        <v>40291</v>
      </c>
      <c r="D2769" s="43" t="s">
        <v>40832</v>
      </c>
    </row>
    <row r="2770" spans="3:4" x14ac:dyDescent="0.3">
      <c r="C2770" s="43" t="s">
        <v>40291</v>
      </c>
      <c r="D2770" s="43" t="s">
        <v>40833</v>
      </c>
    </row>
    <row r="2771" spans="3:4" x14ac:dyDescent="0.3">
      <c r="C2771" s="43" t="s">
        <v>40291</v>
      </c>
      <c r="D2771" s="43" t="s">
        <v>40834</v>
      </c>
    </row>
    <row r="2772" spans="3:4" x14ac:dyDescent="0.3">
      <c r="C2772" s="43" t="s">
        <v>40291</v>
      </c>
      <c r="D2772" s="43" t="s">
        <v>40835</v>
      </c>
    </row>
    <row r="2773" spans="3:4" x14ac:dyDescent="0.3">
      <c r="C2773" s="43" t="s">
        <v>40291</v>
      </c>
      <c r="D2773" s="43" t="s">
        <v>40836</v>
      </c>
    </row>
    <row r="2774" spans="3:4" x14ac:dyDescent="0.3">
      <c r="C2774" s="43" t="s">
        <v>40291</v>
      </c>
      <c r="D2774" s="43" t="s">
        <v>40837</v>
      </c>
    </row>
    <row r="2775" spans="3:4" x14ac:dyDescent="0.3">
      <c r="C2775" s="43" t="s">
        <v>40291</v>
      </c>
      <c r="D2775" s="43" t="s">
        <v>40838</v>
      </c>
    </row>
    <row r="2776" spans="3:4" x14ac:dyDescent="0.3">
      <c r="C2776" s="43" t="s">
        <v>40291</v>
      </c>
      <c r="D2776" s="43" t="s">
        <v>40839</v>
      </c>
    </row>
    <row r="2777" spans="3:4" x14ac:dyDescent="0.3">
      <c r="C2777" s="43" t="s">
        <v>40291</v>
      </c>
      <c r="D2777" s="43" t="s">
        <v>40840</v>
      </c>
    </row>
    <row r="2778" spans="3:4" x14ac:dyDescent="0.3">
      <c r="C2778" s="43" t="s">
        <v>40291</v>
      </c>
      <c r="D2778" s="43" t="s">
        <v>40841</v>
      </c>
    </row>
    <row r="2779" spans="3:4" x14ac:dyDescent="0.3">
      <c r="C2779" s="43" t="s">
        <v>40291</v>
      </c>
      <c r="D2779" s="43" t="s">
        <v>40842</v>
      </c>
    </row>
    <row r="2780" spans="3:4" x14ac:dyDescent="0.3">
      <c r="C2780" s="43" t="s">
        <v>40291</v>
      </c>
      <c r="D2780" s="43" t="s">
        <v>40843</v>
      </c>
    </row>
    <row r="2781" spans="3:4" x14ac:dyDescent="0.3">
      <c r="C2781" s="43" t="s">
        <v>40291</v>
      </c>
      <c r="D2781" s="43" t="s">
        <v>40844</v>
      </c>
    </row>
    <row r="2782" spans="3:4" x14ac:dyDescent="0.3">
      <c r="C2782" s="43" t="s">
        <v>40291</v>
      </c>
      <c r="D2782" s="43" t="s">
        <v>40845</v>
      </c>
    </row>
    <row r="2783" spans="3:4" x14ac:dyDescent="0.3">
      <c r="C2783" s="43" t="s">
        <v>40291</v>
      </c>
      <c r="D2783" s="43" t="s">
        <v>40846</v>
      </c>
    </row>
    <row r="2784" spans="3:4" x14ac:dyDescent="0.3">
      <c r="C2784" s="43" t="s">
        <v>40291</v>
      </c>
      <c r="D2784" s="43" t="s">
        <v>40847</v>
      </c>
    </row>
    <row r="2785" spans="3:4" x14ac:dyDescent="0.3">
      <c r="C2785" s="43" t="s">
        <v>40291</v>
      </c>
      <c r="D2785" s="43" t="s">
        <v>40848</v>
      </c>
    </row>
    <row r="2786" spans="3:4" x14ac:dyDescent="0.3">
      <c r="C2786" s="43" t="s">
        <v>39893</v>
      </c>
      <c r="D2786" s="43" t="s">
        <v>40849</v>
      </c>
    </row>
    <row r="2787" spans="3:4" x14ac:dyDescent="0.3">
      <c r="C2787" s="43" t="s">
        <v>39893</v>
      </c>
      <c r="D2787" s="43" t="s">
        <v>40850</v>
      </c>
    </row>
    <row r="2788" spans="3:4" x14ac:dyDescent="0.3">
      <c r="C2788" s="43" t="s">
        <v>39893</v>
      </c>
      <c r="D2788" s="43" t="s">
        <v>40851</v>
      </c>
    </row>
    <row r="2789" spans="3:4" x14ac:dyDescent="0.3">
      <c r="C2789" s="43" t="s">
        <v>39893</v>
      </c>
      <c r="D2789" s="43" t="s">
        <v>40852</v>
      </c>
    </row>
    <row r="2790" spans="3:4" x14ac:dyDescent="0.3">
      <c r="C2790" s="43" t="s">
        <v>39893</v>
      </c>
      <c r="D2790" s="43" t="s">
        <v>40853</v>
      </c>
    </row>
    <row r="2791" spans="3:4" x14ac:dyDescent="0.3">
      <c r="C2791" s="43" t="s">
        <v>39893</v>
      </c>
      <c r="D2791" s="43" t="s">
        <v>40854</v>
      </c>
    </row>
    <row r="2792" spans="3:4" x14ac:dyDescent="0.3">
      <c r="C2792" s="43" t="s">
        <v>39893</v>
      </c>
      <c r="D2792" s="43" t="s">
        <v>40855</v>
      </c>
    </row>
    <row r="2793" spans="3:4" x14ac:dyDescent="0.3">
      <c r="C2793" s="43" t="s">
        <v>39893</v>
      </c>
      <c r="D2793" s="43" t="s">
        <v>40856</v>
      </c>
    </row>
    <row r="2794" spans="3:4" x14ac:dyDescent="0.3">
      <c r="C2794" s="43" t="s">
        <v>39893</v>
      </c>
      <c r="D2794" s="43" t="s">
        <v>40857</v>
      </c>
    </row>
    <row r="2795" spans="3:4" x14ac:dyDescent="0.3">
      <c r="C2795" s="43" t="s">
        <v>39893</v>
      </c>
      <c r="D2795" s="43" t="s">
        <v>40858</v>
      </c>
    </row>
    <row r="2796" spans="3:4" x14ac:dyDescent="0.3">
      <c r="C2796" s="43" t="s">
        <v>39893</v>
      </c>
      <c r="D2796" s="43" t="s">
        <v>40859</v>
      </c>
    </row>
    <row r="2797" spans="3:4" x14ac:dyDescent="0.3">
      <c r="C2797" s="43" t="s">
        <v>39893</v>
      </c>
      <c r="D2797" s="43" t="s">
        <v>40860</v>
      </c>
    </row>
    <row r="2798" spans="3:4" x14ac:dyDescent="0.3">
      <c r="C2798" s="43" t="s">
        <v>39893</v>
      </c>
      <c r="D2798" s="43" t="s">
        <v>40861</v>
      </c>
    </row>
    <row r="2799" spans="3:4" x14ac:dyDescent="0.3">
      <c r="C2799" s="43" t="s">
        <v>39893</v>
      </c>
      <c r="D2799" s="43" t="s">
        <v>40862</v>
      </c>
    </row>
    <row r="2800" spans="3:4" x14ac:dyDescent="0.3">
      <c r="C2800" s="43" t="s">
        <v>39893</v>
      </c>
      <c r="D2800" s="43" t="s">
        <v>40863</v>
      </c>
    </row>
    <row r="2801" spans="3:4" x14ac:dyDescent="0.3">
      <c r="C2801" s="43" t="s">
        <v>39893</v>
      </c>
      <c r="D2801" s="43" t="s">
        <v>40864</v>
      </c>
    </row>
    <row r="2802" spans="3:4" x14ac:dyDescent="0.3">
      <c r="C2802" s="43" t="s">
        <v>39893</v>
      </c>
      <c r="D2802" s="43" t="s">
        <v>40865</v>
      </c>
    </row>
    <row r="2803" spans="3:4" x14ac:dyDescent="0.3">
      <c r="C2803" s="43" t="s">
        <v>39893</v>
      </c>
      <c r="D2803" s="43" t="s">
        <v>40866</v>
      </c>
    </row>
    <row r="2804" spans="3:4" x14ac:dyDescent="0.3">
      <c r="C2804" s="43" t="s">
        <v>39893</v>
      </c>
      <c r="D2804" s="43" t="s">
        <v>40867</v>
      </c>
    </row>
    <row r="2805" spans="3:4" x14ac:dyDescent="0.3">
      <c r="C2805" s="43" t="s">
        <v>39893</v>
      </c>
      <c r="D2805" s="43" t="s">
        <v>40868</v>
      </c>
    </row>
    <row r="2806" spans="3:4" x14ac:dyDescent="0.3">
      <c r="C2806" s="43" t="s">
        <v>39893</v>
      </c>
      <c r="D2806" s="43" t="s">
        <v>40869</v>
      </c>
    </row>
    <row r="2807" spans="3:4" x14ac:dyDescent="0.3">
      <c r="C2807" s="43" t="s">
        <v>39893</v>
      </c>
      <c r="D2807" s="43" t="s">
        <v>40870</v>
      </c>
    </row>
    <row r="2808" spans="3:4" x14ac:dyDescent="0.3">
      <c r="C2808" s="43" t="s">
        <v>39893</v>
      </c>
      <c r="D2808" s="43" t="s">
        <v>40871</v>
      </c>
    </row>
    <row r="2809" spans="3:4" x14ac:dyDescent="0.3">
      <c r="C2809" s="43" t="s">
        <v>39893</v>
      </c>
      <c r="D2809" s="43" t="s">
        <v>40872</v>
      </c>
    </row>
    <row r="2810" spans="3:4" x14ac:dyDescent="0.3">
      <c r="C2810" s="43" t="s">
        <v>39893</v>
      </c>
      <c r="D2810" s="43" t="s">
        <v>40873</v>
      </c>
    </row>
    <row r="2811" spans="3:4" x14ac:dyDescent="0.3">
      <c r="C2811" s="43" t="s">
        <v>39893</v>
      </c>
      <c r="D2811" s="43" t="s">
        <v>40874</v>
      </c>
    </row>
    <row r="2812" spans="3:4" x14ac:dyDescent="0.3">
      <c r="C2812" s="43" t="s">
        <v>39893</v>
      </c>
      <c r="D2812" s="43" t="s">
        <v>40875</v>
      </c>
    </row>
    <row r="2813" spans="3:4" x14ac:dyDescent="0.3">
      <c r="C2813" s="43" t="s">
        <v>39893</v>
      </c>
      <c r="D2813" s="43" t="s">
        <v>40876</v>
      </c>
    </row>
    <row r="2814" spans="3:4" x14ac:dyDescent="0.3">
      <c r="C2814" s="43" t="s">
        <v>39893</v>
      </c>
      <c r="D2814" s="43" t="s">
        <v>40877</v>
      </c>
    </row>
    <row r="2815" spans="3:4" x14ac:dyDescent="0.3">
      <c r="C2815" s="43" t="s">
        <v>39893</v>
      </c>
      <c r="D2815" s="43" t="s">
        <v>40878</v>
      </c>
    </row>
    <row r="2816" spans="3:4" x14ac:dyDescent="0.3">
      <c r="C2816" s="43" t="s">
        <v>39893</v>
      </c>
      <c r="D2816" s="43" t="s">
        <v>40879</v>
      </c>
    </row>
    <row r="2817" spans="3:4" x14ac:dyDescent="0.3">
      <c r="C2817" s="43" t="s">
        <v>39893</v>
      </c>
      <c r="D2817" s="43" t="s">
        <v>40880</v>
      </c>
    </row>
    <row r="2818" spans="3:4" x14ac:dyDescent="0.3">
      <c r="C2818" s="43" t="s">
        <v>39893</v>
      </c>
      <c r="D2818" s="43" t="s">
        <v>40881</v>
      </c>
    </row>
    <row r="2819" spans="3:4" x14ac:dyDescent="0.3">
      <c r="C2819" s="43" t="s">
        <v>39893</v>
      </c>
      <c r="D2819" s="43" t="s">
        <v>40882</v>
      </c>
    </row>
    <row r="2820" spans="3:4" x14ac:dyDescent="0.3">
      <c r="C2820" s="43" t="s">
        <v>39893</v>
      </c>
      <c r="D2820" s="43" t="s">
        <v>40883</v>
      </c>
    </row>
    <row r="2821" spans="3:4" x14ac:dyDescent="0.3">
      <c r="C2821" s="43" t="s">
        <v>39893</v>
      </c>
      <c r="D2821" s="43" t="s">
        <v>40884</v>
      </c>
    </row>
    <row r="2822" spans="3:4" x14ac:dyDescent="0.3">
      <c r="C2822" s="43" t="s">
        <v>39893</v>
      </c>
      <c r="D2822" s="43" t="s">
        <v>40885</v>
      </c>
    </row>
    <row r="2823" spans="3:4" x14ac:dyDescent="0.3">
      <c r="C2823" s="43" t="s">
        <v>39893</v>
      </c>
      <c r="D2823" s="43" t="s">
        <v>40886</v>
      </c>
    </row>
    <row r="2824" spans="3:4" x14ac:dyDescent="0.3">
      <c r="C2824" s="43" t="s">
        <v>39893</v>
      </c>
      <c r="D2824" s="43" t="s">
        <v>40887</v>
      </c>
    </row>
    <row r="2825" spans="3:4" x14ac:dyDescent="0.3">
      <c r="C2825" s="43" t="s">
        <v>39893</v>
      </c>
      <c r="D2825" s="43" t="s">
        <v>40888</v>
      </c>
    </row>
    <row r="2826" spans="3:4" x14ac:dyDescent="0.3">
      <c r="C2826" s="43" t="s">
        <v>39893</v>
      </c>
      <c r="D2826" s="43" t="s">
        <v>40889</v>
      </c>
    </row>
    <row r="2827" spans="3:4" x14ac:dyDescent="0.3">
      <c r="C2827" s="43" t="s">
        <v>39893</v>
      </c>
      <c r="D2827" s="43" t="s">
        <v>40890</v>
      </c>
    </row>
    <row r="2828" spans="3:4" x14ac:dyDescent="0.3">
      <c r="C2828" s="43" t="s">
        <v>39893</v>
      </c>
      <c r="D2828" s="43" t="s">
        <v>40891</v>
      </c>
    </row>
    <row r="2829" spans="3:4" x14ac:dyDescent="0.3">
      <c r="C2829" s="43" t="s">
        <v>39893</v>
      </c>
      <c r="D2829" s="43" t="s">
        <v>40892</v>
      </c>
    </row>
    <row r="2830" spans="3:4" x14ac:dyDescent="0.3">
      <c r="C2830" s="43" t="s">
        <v>39893</v>
      </c>
      <c r="D2830" s="43" t="s">
        <v>40893</v>
      </c>
    </row>
    <row r="2831" spans="3:4" x14ac:dyDescent="0.3">
      <c r="C2831" s="43" t="s">
        <v>39893</v>
      </c>
      <c r="D2831" s="43" t="s">
        <v>40894</v>
      </c>
    </row>
    <row r="2832" spans="3:4" x14ac:dyDescent="0.3">
      <c r="C2832" s="43" t="s">
        <v>39893</v>
      </c>
      <c r="D2832" s="43" t="s">
        <v>40895</v>
      </c>
    </row>
    <row r="2833" spans="3:4" x14ac:dyDescent="0.3">
      <c r="C2833" s="43" t="s">
        <v>39893</v>
      </c>
      <c r="D2833" s="43" t="s">
        <v>40896</v>
      </c>
    </row>
    <row r="2834" spans="3:4" x14ac:dyDescent="0.3">
      <c r="C2834" s="43" t="s">
        <v>39893</v>
      </c>
      <c r="D2834" s="43" t="s">
        <v>40897</v>
      </c>
    </row>
    <row r="2835" spans="3:4" x14ac:dyDescent="0.3">
      <c r="C2835" s="43" t="s">
        <v>39893</v>
      </c>
      <c r="D2835" s="43" t="s">
        <v>40898</v>
      </c>
    </row>
    <row r="2836" spans="3:4" x14ac:dyDescent="0.3">
      <c r="C2836" s="43" t="s">
        <v>39893</v>
      </c>
      <c r="D2836" s="43" t="s">
        <v>40899</v>
      </c>
    </row>
    <row r="2837" spans="3:4" x14ac:dyDescent="0.3">
      <c r="C2837" s="43" t="s">
        <v>39893</v>
      </c>
      <c r="D2837" s="43" t="s">
        <v>40900</v>
      </c>
    </row>
    <row r="2838" spans="3:4" x14ac:dyDescent="0.3">
      <c r="C2838" s="43" t="s">
        <v>39893</v>
      </c>
      <c r="D2838" s="43" t="s">
        <v>40901</v>
      </c>
    </row>
    <row r="2839" spans="3:4" x14ac:dyDescent="0.3">
      <c r="C2839" s="43" t="s">
        <v>39893</v>
      </c>
      <c r="D2839" s="43" t="s">
        <v>40902</v>
      </c>
    </row>
    <row r="2840" spans="3:4" x14ac:dyDescent="0.3">
      <c r="C2840" s="43" t="s">
        <v>39893</v>
      </c>
      <c r="D2840" s="43" t="s">
        <v>40903</v>
      </c>
    </row>
    <row r="2841" spans="3:4" x14ac:dyDescent="0.3">
      <c r="C2841" s="43" t="s">
        <v>39893</v>
      </c>
      <c r="D2841" s="43" t="s">
        <v>40904</v>
      </c>
    </row>
    <row r="2842" spans="3:4" x14ac:dyDescent="0.3">
      <c r="C2842" s="43" t="s">
        <v>39893</v>
      </c>
      <c r="D2842" s="43" t="s">
        <v>40905</v>
      </c>
    </row>
    <row r="2843" spans="3:4" x14ac:dyDescent="0.3">
      <c r="C2843" s="43" t="s">
        <v>39893</v>
      </c>
      <c r="D2843" s="43" t="s">
        <v>40906</v>
      </c>
    </row>
    <row r="2844" spans="3:4" x14ac:dyDescent="0.3">
      <c r="C2844" s="43" t="s">
        <v>39893</v>
      </c>
      <c r="D2844" s="43" t="s">
        <v>40907</v>
      </c>
    </row>
    <row r="2845" spans="3:4" x14ac:dyDescent="0.3">
      <c r="C2845" s="43" t="s">
        <v>39893</v>
      </c>
      <c r="D2845" s="43" t="s">
        <v>40908</v>
      </c>
    </row>
    <row r="2846" spans="3:4" x14ac:dyDescent="0.3">
      <c r="C2846" s="43" t="s">
        <v>39893</v>
      </c>
      <c r="D2846" s="43" t="s">
        <v>40909</v>
      </c>
    </row>
    <row r="2847" spans="3:4" x14ac:dyDescent="0.3">
      <c r="C2847" s="43" t="s">
        <v>39893</v>
      </c>
      <c r="D2847" s="43" t="s">
        <v>40910</v>
      </c>
    </row>
    <row r="2848" spans="3:4" x14ac:dyDescent="0.3">
      <c r="C2848" s="43" t="s">
        <v>39893</v>
      </c>
      <c r="D2848" s="43" t="s">
        <v>40911</v>
      </c>
    </row>
    <row r="2849" spans="3:4" x14ac:dyDescent="0.3">
      <c r="C2849" s="43" t="s">
        <v>39893</v>
      </c>
      <c r="D2849" s="43" t="s">
        <v>40912</v>
      </c>
    </row>
    <row r="2850" spans="3:4" x14ac:dyDescent="0.3">
      <c r="C2850" s="43" t="s">
        <v>39893</v>
      </c>
      <c r="D2850" s="43" t="s">
        <v>40913</v>
      </c>
    </row>
    <row r="2851" spans="3:4" x14ac:dyDescent="0.3">
      <c r="C2851" s="43" t="s">
        <v>39893</v>
      </c>
      <c r="D2851" s="43" t="s">
        <v>40914</v>
      </c>
    </row>
    <row r="2852" spans="3:4" x14ac:dyDescent="0.3">
      <c r="C2852" s="43" t="s">
        <v>39893</v>
      </c>
      <c r="D2852" s="43" t="s">
        <v>40915</v>
      </c>
    </row>
    <row r="2853" spans="3:4" x14ac:dyDescent="0.3">
      <c r="C2853" s="43" t="s">
        <v>39893</v>
      </c>
      <c r="D2853" s="43" t="s">
        <v>40916</v>
      </c>
    </row>
    <row r="2854" spans="3:4" x14ac:dyDescent="0.3">
      <c r="C2854" s="43" t="s">
        <v>39893</v>
      </c>
      <c r="D2854" s="43" t="s">
        <v>40917</v>
      </c>
    </row>
    <row r="2855" spans="3:4" x14ac:dyDescent="0.3">
      <c r="C2855" s="43" t="s">
        <v>39893</v>
      </c>
      <c r="D2855" s="43" t="s">
        <v>40918</v>
      </c>
    </row>
    <row r="2856" spans="3:4" x14ac:dyDescent="0.3">
      <c r="C2856" s="43" t="s">
        <v>39893</v>
      </c>
      <c r="D2856" s="43" t="s">
        <v>40919</v>
      </c>
    </row>
    <row r="2857" spans="3:4" x14ac:dyDescent="0.3">
      <c r="C2857" s="43" t="s">
        <v>39893</v>
      </c>
      <c r="D2857" s="43" t="s">
        <v>40920</v>
      </c>
    </row>
    <row r="2858" spans="3:4" x14ac:dyDescent="0.3">
      <c r="C2858" s="43" t="s">
        <v>39893</v>
      </c>
      <c r="D2858" s="43" t="s">
        <v>40921</v>
      </c>
    </row>
    <row r="2859" spans="3:4" x14ac:dyDescent="0.3">
      <c r="C2859" s="43" t="s">
        <v>39893</v>
      </c>
      <c r="D2859" s="43" t="s">
        <v>40922</v>
      </c>
    </row>
    <row r="2860" spans="3:4" x14ac:dyDescent="0.3">
      <c r="C2860" s="43" t="s">
        <v>39893</v>
      </c>
      <c r="D2860" s="43" t="s">
        <v>40923</v>
      </c>
    </row>
    <row r="2861" spans="3:4" x14ac:dyDescent="0.3">
      <c r="C2861" s="43" t="s">
        <v>39893</v>
      </c>
      <c r="D2861" s="43" t="s">
        <v>40924</v>
      </c>
    </row>
    <row r="2862" spans="3:4" x14ac:dyDescent="0.3">
      <c r="C2862" s="43" t="s">
        <v>39893</v>
      </c>
      <c r="D2862" s="43" t="s">
        <v>40925</v>
      </c>
    </row>
    <row r="2863" spans="3:4" x14ac:dyDescent="0.3">
      <c r="C2863" s="43" t="s">
        <v>39893</v>
      </c>
      <c r="D2863" s="43" t="s">
        <v>40926</v>
      </c>
    </row>
    <row r="2864" spans="3:4" x14ac:dyDescent="0.3">
      <c r="C2864" s="43" t="s">
        <v>39893</v>
      </c>
      <c r="D2864" s="43" t="s">
        <v>40927</v>
      </c>
    </row>
    <row r="2865" spans="3:4" x14ac:dyDescent="0.3">
      <c r="C2865" s="43" t="s">
        <v>39893</v>
      </c>
      <c r="D2865" s="43" t="s">
        <v>40928</v>
      </c>
    </row>
    <row r="2866" spans="3:4" x14ac:dyDescent="0.3">
      <c r="C2866" s="43" t="s">
        <v>39893</v>
      </c>
      <c r="D2866" s="43" t="s">
        <v>40929</v>
      </c>
    </row>
    <row r="2867" spans="3:4" x14ac:dyDescent="0.3">
      <c r="C2867" s="43" t="s">
        <v>39893</v>
      </c>
      <c r="D2867" s="43" t="s">
        <v>40930</v>
      </c>
    </row>
    <row r="2868" spans="3:4" x14ac:dyDescent="0.3">
      <c r="C2868" s="43" t="s">
        <v>39893</v>
      </c>
      <c r="D2868" s="43" t="s">
        <v>40931</v>
      </c>
    </row>
    <row r="2869" spans="3:4" x14ac:dyDescent="0.3">
      <c r="C2869" s="43" t="s">
        <v>39893</v>
      </c>
      <c r="D2869" s="43" t="s">
        <v>40932</v>
      </c>
    </row>
    <row r="2870" spans="3:4" x14ac:dyDescent="0.3">
      <c r="C2870" s="43" t="s">
        <v>39893</v>
      </c>
      <c r="D2870" s="43" t="s">
        <v>40933</v>
      </c>
    </row>
    <row r="2871" spans="3:4" x14ac:dyDescent="0.3">
      <c r="C2871" s="43" t="s">
        <v>39893</v>
      </c>
      <c r="D2871" s="43" t="s">
        <v>40934</v>
      </c>
    </row>
    <row r="2872" spans="3:4" x14ac:dyDescent="0.3">
      <c r="C2872" s="43" t="s">
        <v>39893</v>
      </c>
      <c r="D2872" s="43" t="s">
        <v>40935</v>
      </c>
    </row>
    <row r="2873" spans="3:4" x14ac:dyDescent="0.3">
      <c r="C2873" s="43" t="s">
        <v>39893</v>
      </c>
      <c r="D2873" s="43" t="s">
        <v>40936</v>
      </c>
    </row>
    <row r="2874" spans="3:4" x14ac:dyDescent="0.3">
      <c r="C2874" s="43" t="s">
        <v>39893</v>
      </c>
      <c r="D2874" s="43" t="s">
        <v>40937</v>
      </c>
    </row>
    <row r="2875" spans="3:4" x14ac:dyDescent="0.3">
      <c r="C2875" s="43" t="s">
        <v>39893</v>
      </c>
      <c r="D2875" s="43" t="s">
        <v>40938</v>
      </c>
    </row>
    <row r="2876" spans="3:4" x14ac:dyDescent="0.3">
      <c r="C2876" s="43" t="s">
        <v>39893</v>
      </c>
      <c r="D2876" s="43" t="s">
        <v>40939</v>
      </c>
    </row>
    <row r="2877" spans="3:4" x14ac:dyDescent="0.3">
      <c r="C2877" s="43" t="s">
        <v>39893</v>
      </c>
      <c r="D2877" s="43" t="s">
        <v>40940</v>
      </c>
    </row>
    <row r="2878" spans="3:4" x14ac:dyDescent="0.3">
      <c r="C2878" s="43" t="s">
        <v>39893</v>
      </c>
      <c r="D2878" s="43" t="s">
        <v>40941</v>
      </c>
    </row>
    <row r="2879" spans="3:4" x14ac:dyDescent="0.3">
      <c r="C2879" s="43" t="s">
        <v>39893</v>
      </c>
      <c r="D2879" s="43" t="s">
        <v>40942</v>
      </c>
    </row>
    <row r="2880" spans="3:4" x14ac:dyDescent="0.3">
      <c r="C2880" s="43" t="s">
        <v>39893</v>
      </c>
      <c r="D2880" s="43" t="s">
        <v>40943</v>
      </c>
    </row>
    <row r="2881" spans="3:4" x14ac:dyDescent="0.3">
      <c r="C2881" s="43" t="s">
        <v>39893</v>
      </c>
      <c r="D2881" s="43" t="s">
        <v>40944</v>
      </c>
    </row>
    <row r="2882" spans="3:4" x14ac:dyDescent="0.3">
      <c r="C2882" s="43" t="s">
        <v>39893</v>
      </c>
      <c r="D2882" s="43" t="s">
        <v>40945</v>
      </c>
    </row>
    <row r="2883" spans="3:4" x14ac:dyDescent="0.3">
      <c r="C2883" s="43" t="s">
        <v>39893</v>
      </c>
      <c r="D2883" s="43" t="s">
        <v>40946</v>
      </c>
    </row>
    <row r="2884" spans="3:4" x14ac:dyDescent="0.3">
      <c r="C2884" s="43" t="s">
        <v>39893</v>
      </c>
      <c r="D2884" s="43" t="s">
        <v>40947</v>
      </c>
    </row>
    <row r="2885" spans="3:4" x14ac:dyDescent="0.3">
      <c r="C2885" s="43" t="s">
        <v>39893</v>
      </c>
      <c r="D2885" s="43" t="s">
        <v>40948</v>
      </c>
    </row>
    <row r="2886" spans="3:4" x14ac:dyDescent="0.3">
      <c r="C2886" s="43" t="s">
        <v>39893</v>
      </c>
      <c r="D2886" s="43" t="s">
        <v>40949</v>
      </c>
    </row>
    <row r="2887" spans="3:4" x14ac:dyDescent="0.3">
      <c r="C2887" s="43" t="s">
        <v>39893</v>
      </c>
      <c r="D2887" s="43" t="s">
        <v>40950</v>
      </c>
    </row>
    <row r="2888" spans="3:4" x14ac:dyDescent="0.3">
      <c r="C2888" s="43" t="s">
        <v>39893</v>
      </c>
      <c r="D2888" s="43" t="s">
        <v>40951</v>
      </c>
    </row>
    <row r="2889" spans="3:4" x14ac:dyDescent="0.3">
      <c r="C2889" s="43" t="s">
        <v>39893</v>
      </c>
      <c r="D2889" s="43" t="s">
        <v>40952</v>
      </c>
    </row>
    <row r="2890" spans="3:4" x14ac:dyDescent="0.3">
      <c r="C2890" s="43" t="s">
        <v>39893</v>
      </c>
      <c r="D2890" s="43" t="s">
        <v>40953</v>
      </c>
    </row>
    <row r="2891" spans="3:4" x14ac:dyDescent="0.3">
      <c r="C2891" s="43" t="s">
        <v>39893</v>
      </c>
      <c r="D2891" s="43" t="s">
        <v>40954</v>
      </c>
    </row>
    <row r="2892" spans="3:4" x14ac:dyDescent="0.3">
      <c r="C2892" s="43" t="s">
        <v>39893</v>
      </c>
      <c r="D2892" s="43" t="s">
        <v>40955</v>
      </c>
    </row>
    <row r="2893" spans="3:4" x14ac:dyDescent="0.3">
      <c r="C2893" s="43" t="s">
        <v>39893</v>
      </c>
      <c r="D2893" s="43" t="s">
        <v>40956</v>
      </c>
    </row>
    <row r="2894" spans="3:4" x14ac:dyDescent="0.3">
      <c r="C2894" s="43" t="s">
        <v>39893</v>
      </c>
      <c r="D2894" s="43" t="s">
        <v>40957</v>
      </c>
    </row>
    <row r="2895" spans="3:4" x14ac:dyDescent="0.3">
      <c r="C2895" s="43" t="s">
        <v>39893</v>
      </c>
      <c r="D2895" s="43" t="s">
        <v>40958</v>
      </c>
    </row>
    <row r="2896" spans="3:4" x14ac:dyDescent="0.3">
      <c r="C2896" s="43" t="s">
        <v>39893</v>
      </c>
      <c r="D2896" s="43" t="s">
        <v>40959</v>
      </c>
    </row>
    <row r="2897" spans="3:4" x14ac:dyDescent="0.3">
      <c r="C2897" s="43" t="s">
        <v>39893</v>
      </c>
      <c r="D2897" s="43" t="s">
        <v>40960</v>
      </c>
    </row>
    <row r="2898" spans="3:4" x14ac:dyDescent="0.3">
      <c r="C2898" s="43" t="s">
        <v>39893</v>
      </c>
      <c r="D2898" s="43" t="s">
        <v>40961</v>
      </c>
    </row>
    <row r="2899" spans="3:4" x14ac:dyDescent="0.3">
      <c r="C2899" s="43" t="s">
        <v>39893</v>
      </c>
      <c r="D2899" s="43" t="s">
        <v>40962</v>
      </c>
    </row>
    <row r="2900" spans="3:4" x14ac:dyDescent="0.3">
      <c r="C2900" s="43" t="s">
        <v>39893</v>
      </c>
      <c r="D2900" s="43" t="s">
        <v>40963</v>
      </c>
    </row>
    <row r="2901" spans="3:4" x14ac:dyDescent="0.3">
      <c r="C2901" s="43" t="s">
        <v>39893</v>
      </c>
      <c r="D2901" s="43" t="s">
        <v>40964</v>
      </c>
    </row>
    <row r="2902" spans="3:4" x14ac:dyDescent="0.3">
      <c r="C2902" s="43" t="s">
        <v>39893</v>
      </c>
      <c r="D2902" s="43" t="s">
        <v>40965</v>
      </c>
    </row>
    <row r="2903" spans="3:4" x14ac:dyDescent="0.3">
      <c r="C2903" s="43" t="s">
        <v>39893</v>
      </c>
      <c r="D2903" s="43" t="s">
        <v>40966</v>
      </c>
    </row>
    <row r="2904" spans="3:4" x14ac:dyDescent="0.3">
      <c r="C2904" s="43" t="s">
        <v>39893</v>
      </c>
      <c r="D2904" s="43" t="s">
        <v>40967</v>
      </c>
    </row>
    <row r="2905" spans="3:4" x14ac:dyDescent="0.3">
      <c r="C2905" s="43" t="s">
        <v>39893</v>
      </c>
      <c r="D2905" s="43" t="s">
        <v>40968</v>
      </c>
    </row>
    <row r="2906" spans="3:4" x14ac:dyDescent="0.3">
      <c r="C2906" s="43" t="s">
        <v>39893</v>
      </c>
      <c r="D2906" s="43" t="s">
        <v>40969</v>
      </c>
    </row>
    <row r="2907" spans="3:4" x14ac:dyDescent="0.3">
      <c r="C2907" s="43" t="s">
        <v>39893</v>
      </c>
      <c r="D2907" s="43" t="s">
        <v>40970</v>
      </c>
    </row>
    <row r="2908" spans="3:4" x14ac:dyDescent="0.3">
      <c r="C2908" s="43" t="s">
        <v>39893</v>
      </c>
      <c r="D2908" s="43" t="s">
        <v>40971</v>
      </c>
    </row>
    <row r="2909" spans="3:4" x14ac:dyDescent="0.3">
      <c r="C2909" s="43" t="s">
        <v>39893</v>
      </c>
      <c r="D2909" s="43" t="s">
        <v>40972</v>
      </c>
    </row>
    <row r="2910" spans="3:4" x14ac:dyDescent="0.3">
      <c r="C2910" s="43" t="s">
        <v>39893</v>
      </c>
      <c r="D2910" s="43" t="s">
        <v>40973</v>
      </c>
    </row>
    <row r="2911" spans="3:4" x14ac:dyDescent="0.3">
      <c r="C2911" s="43" t="s">
        <v>39893</v>
      </c>
      <c r="D2911" s="43" t="s">
        <v>40974</v>
      </c>
    </row>
    <row r="2912" spans="3:4" x14ac:dyDescent="0.3">
      <c r="C2912" s="43" t="s">
        <v>39893</v>
      </c>
      <c r="D2912" s="43" t="s">
        <v>40975</v>
      </c>
    </row>
    <row r="2913" spans="3:4" x14ac:dyDescent="0.3">
      <c r="C2913" s="43" t="s">
        <v>39893</v>
      </c>
      <c r="D2913" s="43" t="s">
        <v>40976</v>
      </c>
    </row>
    <row r="2914" spans="3:4" x14ac:dyDescent="0.3">
      <c r="C2914" s="43" t="s">
        <v>39893</v>
      </c>
      <c r="D2914" s="43" t="s">
        <v>40977</v>
      </c>
    </row>
    <row r="2915" spans="3:4" x14ac:dyDescent="0.3">
      <c r="C2915" s="43" t="s">
        <v>39893</v>
      </c>
      <c r="D2915" s="43" t="s">
        <v>40978</v>
      </c>
    </row>
    <row r="2916" spans="3:4" x14ac:dyDescent="0.3">
      <c r="C2916" s="43" t="s">
        <v>39893</v>
      </c>
      <c r="D2916" s="43" t="s">
        <v>40979</v>
      </c>
    </row>
    <row r="2917" spans="3:4" x14ac:dyDescent="0.3">
      <c r="C2917" s="43" t="s">
        <v>39893</v>
      </c>
      <c r="D2917" s="43" t="s">
        <v>40980</v>
      </c>
    </row>
    <row r="2918" spans="3:4" x14ac:dyDescent="0.3">
      <c r="C2918" s="43" t="s">
        <v>39893</v>
      </c>
      <c r="D2918" s="43" t="s">
        <v>40981</v>
      </c>
    </row>
    <row r="2919" spans="3:4" x14ac:dyDescent="0.3">
      <c r="C2919" s="43" t="s">
        <v>39893</v>
      </c>
      <c r="D2919" s="43" t="s">
        <v>40982</v>
      </c>
    </row>
    <row r="2920" spans="3:4" x14ac:dyDescent="0.3">
      <c r="C2920" s="43" t="s">
        <v>39893</v>
      </c>
      <c r="D2920" s="43" t="s">
        <v>40983</v>
      </c>
    </row>
    <row r="2921" spans="3:4" x14ac:dyDescent="0.3">
      <c r="C2921" s="43" t="s">
        <v>39893</v>
      </c>
      <c r="D2921" s="43" t="s">
        <v>40984</v>
      </c>
    </row>
    <row r="2922" spans="3:4" x14ac:dyDescent="0.3">
      <c r="C2922" s="43" t="s">
        <v>39893</v>
      </c>
      <c r="D2922" s="43" t="s">
        <v>40985</v>
      </c>
    </row>
    <row r="2923" spans="3:4" x14ac:dyDescent="0.3">
      <c r="C2923" s="43" t="s">
        <v>39893</v>
      </c>
      <c r="D2923" s="43" t="s">
        <v>40986</v>
      </c>
    </row>
    <row r="2924" spans="3:4" x14ac:dyDescent="0.3">
      <c r="C2924" s="43" t="s">
        <v>39893</v>
      </c>
      <c r="D2924" s="43" t="s">
        <v>40987</v>
      </c>
    </row>
    <row r="2925" spans="3:4" x14ac:dyDescent="0.3">
      <c r="C2925" s="43" t="s">
        <v>39893</v>
      </c>
      <c r="D2925" s="43" t="s">
        <v>40988</v>
      </c>
    </row>
    <row r="2926" spans="3:4" x14ac:dyDescent="0.3">
      <c r="C2926" s="43" t="s">
        <v>39893</v>
      </c>
      <c r="D2926" s="43" t="s">
        <v>40989</v>
      </c>
    </row>
    <row r="2927" spans="3:4" x14ac:dyDescent="0.3">
      <c r="C2927" s="43" t="s">
        <v>39893</v>
      </c>
      <c r="D2927" s="43" t="s">
        <v>40990</v>
      </c>
    </row>
    <row r="2928" spans="3:4" x14ac:dyDescent="0.3">
      <c r="C2928" s="43" t="s">
        <v>39893</v>
      </c>
      <c r="D2928" s="43" t="s">
        <v>40991</v>
      </c>
    </row>
    <row r="2929" spans="3:4" x14ac:dyDescent="0.3">
      <c r="C2929" s="43" t="s">
        <v>39893</v>
      </c>
      <c r="D2929" s="43" t="s">
        <v>40992</v>
      </c>
    </row>
    <row r="2930" spans="3:4" x14ac:dyDescent="0.3">
      <c r="C2930" s="43" t="s">
        <v>39893</v>
      </c>
      <c r="D2930" s="43" t="s">
        <v>40993</v>
      </c>
    </row>
    <row r="2931" spans="3:4" x14ac:dyDescent="0.3">
      <c r="C2931" s="43" t="s">
        <v>39893</v>
      </c>
      <c r="D2931" s="43" t="s">
        <v>40994</v>
      </c>
    </row>
    <row r="2932" spans="3:4" x14ac:dyDescent="0.3">
      <c r="C2932" s="43" t="s">
        <v>39893</v>
      </c>
      <c r="D2932" s="43" t="s">
        <v>40995</v>
      </c>
    </row>
    <row r="2933" spans="3:4" x14ac:dyDescent="0.3">
      <c r="C2933" s="43" t="s">
        <v>39893</v>
      </c>
      <c r="D2933" s="43" t="s">
        <v>40996</v>
      </c>
    </row>
    <row r="2934" spans="3:4" x14ac:dyDescent="0.3">
      <c r="C2934" s="43" t="s">
        <v>39893</v>
      </c>
      <c r="D2934" s="43" t="s">
        <v>40997</v>
      </c>
    </row>
    <row r="2935" spans="3:4" x14ac:dyDescent="0.3">
      <c r="C2935" s="43" t="s">
        <v>39893</v>
      </c>
      <c r="D2935" s="43" t="s">
        <v>40998</v>
      </c>
    </row>
    <row r="2936" spans="3:4" x14ac:dyDescent="0.3">
      <c r="C2936" s="43" t="s">
        <v>39893</v>
      </c>
      <c r="D2936" s="43" t="s">
        <v>40999</v>
      </c>
    </row>
    <row r="2937" spans="3:4" x14ac:dyDescent="0.3">
      <c r="C2937" s="43" t="s">
        <v>39893</v>
      </c>
      <c r="D2937" s="43" t="s">
        <v>41000</v>
      </c>
    </row>
    <row r="2938" spans="3:4" x14ac:dyDescent="0.3">
      <c r="C2938" s="43" t="s">
        <v>39893</v>
      </c>
      <c r="D2938" s="43" t="s">
        <v>41001</v>
      </c>
    </row>
    <row r="2939" spans="3:4" x14ac:dyDescent="0.3">
      <c r="C2939" s="43" t="s">
        <v>39893</v>
      </c>
      <c r="D2939" s="43" t="s">
        <v>41002</v>
      </c>
    </row>
    <row r="2940" spans="3:4" x14ac:dyDescent="0.3">
      <c r="C2940" s="43" t="s">
        <v>39893</v>
      </c>
      <c r="D2940" s="43" t="s">
        <v>41003</v>
      </c>
    </row>
    <row r="2941" spans="3:4" x14ac:dyDescent="0.3">
      <c r="C2941" s="43" t="s">
        <v>39893</v>
      </c>
      <c r="D2941" s="43" t="s">
        <v>41004</v>
      </c>
    </row>
    <row r="2942" spans="3:4" x14ac:dyDescent="0.3">
      <c r="C2942" s="43" t="s">
        <v>39893</v>
      </c>
      <c r="D2942" s="43" t="s">
        <v>41005</v>
      </c>
    </row>
    <row r="2943" spans="3:4" x14ac:dyDescent="0.3">
      <c r="C2943" s="43" t="s">
        <v>39893</v>
      </c>
      <c r="D2943" s="43" t="s">
        <v>41006</v>
      </c>
    </row>
    <row r="2944" spans="3:4" x14ac:dyDescent="0.3">
      <c r="C2944" s="43" t="s">
        <v>39893</v>
      </c>
      <c r="D2944" s="43" t="s">
        <v>41007</v>
      </c>
    </row>
    <row r="2945" spans="3:4" x14ac:dyDescent="0.3">
      <c r="C2945" s="43" t="s">
        <v>39893</v>
      </c>
      <c r="D2945" s="43" t="s">
        <v>41008</v>
      </c>
    </row>
    <row r="2946" spans="3:4" x14ac:dyDescent="0.3">
      <c r="C2946" s="43" t="s">
        <v>39893</v>
      </c>
      <c r="D2946" s="43" t="s">
        <v>41009</v>
      </c>
    </row>
    <row r="2947" spans="3:4" x14ac:dyDescent="0.3">
      <c r="C2947" s="43" t="s">
        <v>39893</v>
      </c>
      <c r="D2947" s="43" t="s">
        <v>41010</v>
      </c>
    </row>
    <row r="2948" spans="3:4" x14ac:dyDescent="0.3">
      <c r="C2948" s="43" t="s">
        <v>39893</v>
      </c>
      <c r="D2948" s="43" t="s">
        <v>41011</v>
      </c>
    </row>
    <row r="2949" spans="3:4" x14ac:dyDescent="0.3">
      <c r="C2949" s="43" t="s">
        <v>39893</v>
      </c>
      <c r="D2949" s="43" t="s">
        <v>41012</v>
      </c>
    </row>
    <row r="2950" spans="3:4" x14ac:dyDescent="0.3">
      <c r="C2950" s="43" t="s">
        <v>39893</v>
      </c>
      <c r="D2950" s="43" t="s">
        <v>41013</v>
      </c>
    </row>
    <row r="2951" spans="3:4" x14ac:dyDescent="0.3">
      <c r="C2951" s="43" t="s">
        <v>39893</v>
      </c>
      <c r="D2951" s="43" t="s">
        <v>41014</v>
      </c>
    </row>
    <row r="2952" spans="3:4" x14ac:dyDescent="0.3">
      <c r="C2952" s="43" t="s">
        <v>39893</v>
      </c>
      <c r="D2952" s="43" t="s">
        <v>41015</v>
      </c>
    </row>
    <row r="2953" spans="3:4" x14ac:dyDescent="0.3">
      <c r="C2953" s="43" t="s">
        <v>39893</v>
      </c>
      <c r="D2953" s="43" t="s">
        <v>41016</v>
      </c>
    </row>
    <row r="2954" spans="3:4" x14ac:dyDescent="0.3">
      <c r="C2954" s="43" t="s">
        <v>39893</v>
      </c>
      <c r="D2954" s="43" t="s">
        <v>41017</v>
      </c>
    </row>
    <row r="2955" spans="3:4" x14ac:dyDescent="0.3">
      <c r="C2955" s="43" t="s">
        <v>39893</v>
      </c>
      <c r="D2955" s="43" t="s">
        <v>41018</v>
      </c>
    </row>
    <row r="2956" spans="3:4" x14ac:dyDescent="0.3">
      <c r="C2956" s="43" t="s">
        <v>39893</v>
      </c>
      <c r="D2956" s="43" t="s">
        <v>41019</v>
      </c>
    </row>
    <row r="2957" spans="3:4" x14ac:dyDescent="0.3">
      <c r="C2957" s="43" t="s">
        <v>39893</v>
      </c>
      <c r="D2957" s="43" t="s">
        <v>41020</v>
      </c>
    </row>
    <row r="2958" spans="3:4" x14ac:dyDescent="0.3">
      <c r="C2958" s="43" t="s">
        <v>39893</v>
      </c>
      <c r="D2958" s="43" t="s">
        <v>41021</v>
      </c>
    </row>
    <row r="2959" spans="3:4" x14ac:dyDescent="0.3">
      <c r="C2959" s="43" t="s">
        <v>39893</v>
      </c>
      <c r="D2959" s="43" t="s">
        <v>41022</v>
      </c>
    </row>
    <row r="2960" spans="3:4" x14ac:dyDescent="0.3">
      <c r="C2960" s="43" t="s">
        <v>39893</v>
      </c>
      <c r="D2960" s="43" t="s">
        <v>41023</v>
      </c>
    </row>
    <row r="2961" spans="3:4" x14ac:dyDescent="0.3">
      <c r="C2961" s="43" t="s">
        <v>39893</v>
      </c>
      <c r="D2961" s="43" t="s">
        <v>41024</v>
      </c>
    </row>
    <row r="2962" spans="3:4" x14ac:dyDescent="0.3">
      <c r="C2962" s="43" t="s">
        <v>39893</v>
      </c>
      <c r="D2962" s="43" t="s">
        <v>41025</v>
      </c>
    </row>
    <row r="2963" spans="3:4" x14ac:dyDescent="0.3">
      <c r="C2963" s="43" t="s">
        <v>39893</v>
      </c>
      <c r="D2963" s="43" t="s">
        <v>41026</v>
      </c>
    </row>
    <row r="2964" spans="3:4" x14ac:dyDescent="0.3">
      <c r="C2964" s="43" t="s">
        <v>39893</v>
      </c>
      <c r="D2964" s="43" t="s">
        <v>41027</v>
      </c>
    </row>
    <row r="2965" spans="3:4" x14ac:dyDescent="0.3">
      <c r="C2965" s="43" t="s">
        <v>39893</v>
      </c>
      <c r="D2965" s="43" t="s">
        <v>41028</v>
      </c>
    </row>
    <row r="2966" spans="3:4" x14ac:dyDescent="0.3">
      <c r="C2966" s="43" t="s">
        <v>39893</v>
      </c>
      <c r="D2966" s="43" t="s">
        <v>41029</v>
      </c>
    </row>
    <row r="2967" spans="3:4" x14ac:dyDescent="0.3">
      <c r="C2967" s="43" t="s">
        <v>39893</v>
      </c>
      <c r="D2967" s="43" t="s">
        <v>41030</v>
      </c>
    </row>
    <row r="2968" spans="3:4" x14ac:dyDescent="0.3">
      <c r="C2968" s="43" t="s">
        <v>39893</v>
      </c>
      <c r="D2968" s="43" t="s">
        <v>41031</v>
      </c>
    </row>
    <row r="2969" spans="3:4" x14ac:dyDescent="0.3">
      <c r="C2969" s="43" t="s">
        <v>39893</v>
      </c>
      <c r="D2969" s="43" t="s">
        <v>41032</v>
      </c>
    </row>
    <row r="2970" spans="3:4" x14ac:dyDescent="0.3">
      <c r="C2970" s="43" t="s">
        <v>39893</v>
      </c>
      <c r="D2970" s="43" t="s">
        <v>41033</v>
      </c>
    </row>
    <row r="2971" spans="3:4" x14ac:dyDescent="0.3">
      <c r="C2971" s="43" t="s">
        <v>39893</v>
      </c>
      <c r="D2971" s="43" t="s">
        <v>41034</v>
      </c>
    </row>
    <row r="2972" spans="3:4" x14ac:dyDescent="0.3">
      <c r="C2972" s="43" t="s">
        <v>39893</v>
      </c>
      <c r="D2972" s="43" t="s">
        <v>41035</v>
      </c>
    </row>
    <row r="2973" spans="3:4" x14ac:dyDescent="0.3">
      <c r="C2973" s="43" t="s">
        <v>39893</v>
      </c>
      <c r="D2973" s="43" t="s">
        <v>41036</v>
      </c>
    </row>
    <row r="2974" spans="3:4" x14ac:dyDescent="0.3">
      <c r="C2974" s="43" t="s">
        <v>39893</v>
      </c>
      <c r="D2974" s="43" t="s">
        <v>41037</v>
      </c>
    </row>
    <row r="2975" spans="3:4" x14ac:dyDescent="0.3">
      <c r="C2975" s="43" t="s">
        <v>39893</v>
      </c>
      <c r="D2975" s="43" t="s">
        <v>41038</v>
      </c>
    </row>
    <row r="2976" spans="3:4" x14ac:dyDescent="0.3">
      <c r="C2976" s="43" t="s">
        <v>39893</v>
      </c>
      <c r="D2976" s="43" t="s">
        <v>41039</v>
      </c>
    </row>
    <row r="2977" spans="3:4" x14ac:dyDescent="0.3">
      <c r="C2977" s="43" t="s">
        <v>39893</v>
      </c>
      <c r="D2977" s="43" t="s">
        <v>41040</v>
      </c>
    </row>
    <row r="2978" spans="3:4" x14ac:dyDescent="0.3">
      <c r="C2978" s="43" t="s">
        <v>39893</v>
      </c>
      <c r="D2978" s="43" t="s">
        <v>41041</v>
      </c>
    </row>
    <row r="2979" spans="3:4" x14ac:dyDescent="0.3">
      <c r="C2979" s="43" t="s">
        <v>39893</v>
      </c>
      <c r="D2979" s="43" t="s">
        <v>41042</v>
      </c>
    </row>
    <row r="2980" spans="3:4" x14ac:dyDescent="0.3">
      <c r="C2980" s="43" t="s">
        <v>39893</v>
      </c>
      <c r="D2980" s="43" t="s">
        <v>41043</v>
      </c>
    </row>
    <row r="2981" spans="3:4" x14ac:dyDescent="0.3">
      <c r="C2981" s="43" t="s">
        <v>39893</v>
      </c>
      <c r="D2981" s="43" t="s">
        <v>41044</v>
      </c>
    </row>
    <row r="2982" spans="3:4" x14ac:dyDescent="0.3">
      <c r="C2982" s="43" t="s">
        <v>39893</v>
      </c>
      <c r="D2982" s="43" t="s">
        <v>41045</v>
      </c>
    </row>
    <row r="2983" spans="3:4" x14ac:dyDescent="0.3">
      <c r="C2983" s="43" t="s">
        <v>39893</v>
      </c>
      <c r="D2983" s="43" t="s">
        <v>41046</v>
      </c>
    </row>
    <row r="2984" spans="3:4" x14ac:dyDescent="0.3">
      <c r="C2984" s="43" t="s">
        <v>39893</v>
      </c>
      <c r="D2984" s="43" t="s">
        <v>41047</v>
      </c>
    </row>
    <row r="2985" spans="3:4" x14ac:dyDescent="0.3">
      <c r="C2985" s="43" t="s">
        <v>39893</v>
      </c>
      <c r="D2985" s="43" t="s">
        <v>41048</v>
      </c>
    </row>
    <row r="2986" spans="3:4" x14ac:dyDescent="0.3">
      <c r="C2986" s="43" t="s">
        <v>39893</v>
      </c>
      <c r="D2986" s="43" t="s">
        <v>41049</v>
      </c>
    </row>
    <row r="2987" spans="3:4" x14ac:dyDescent="0.3">
      <c r="C2987" s="43" t="s">
        <v>39893</v>
      </c>
      <c r="D2987" s="43" t="s">
        <v>41050</v>
      </c>
    </row>
    <row r="2988" spans="3:4" x14ac:dyDescent="0.3">
      <c r="C2988" s="43" t="s">
        <v>39893</v>
      </c>
      <c r="D2988" s="43" t="s">
        <v>41051</v>
      </c>
    </row>
    <row r="2989" spans="3:4" x14ac:dyDescent="0.3">
      <c r="C2989" s="43" t="s">
        <v>39893</v>
      </c>
      <c r="D2989" s="43" t="s">
        <v>41052</v>
      </c>
    </row>
    <row r="2990" spans="3:4" x14ac:dyDescent="0.3">
      <c r="C2990" s="43" t="s">
        <v>39893</v>
      </c>
      <c r="D2990" s="43" t="s">
        <v>41053</v>
      </c>
    </row>
    <row r="2991" spans="3:4" x14ac:dyDescent="0.3">
      <c r="C2991" s="43" t="s">
        <v>39893</v>
      </c>
      <c r="D2991" s="43" t="s">
        <v>41054</v>
      </c>
    </row>
    <row r="2992" spans="3:4" x14ac:dyDescent="0.3">
      <c r="C2992" s="43" t="s">
        <v>39893</v>
      </c>
      <c r="D2992" s="43" t="s">
        <v>41055</v>
      </c>
    </row>
    <row r="2993" spans="3:4" x14ac:dyDescent="0.3">
      <c r="C2993" s="43" t="s">
        <v>39893</v>
      </c>
      <c r="D2993" s="43" t="s">
        <v>41056</v>
      </c>
    </row>
    <row r="2994" spans="3:4" x14ac:dyDescent="0.3">
      <c r="C2994" s="43" t="s">
        <v>39893</v>
      </c>
      <c r="D2994" s="43" t="s">
        <v>41057</v>
      </c>
    </row>
    <row r="2995" spans="3:4" x14ac:dyDescent="0.3">
      <c r="C2995" s="43" t="s">
        <v>39893</v>
      </c>
      <c r="D2995" s="43" t="s">
        <v>41058</v>
      </c>
    </row>
    <row r="2996" spans="3:4" x14ac:dyDescent="0.3">
      <c r="C2996" s="43" t="s">
        <v>39893</v>
      </c>
      <c r="D2996" s="43" t="s">
        <v>41059</v>
      </c>
    </row>
    <row r="2997" spans="3:4" x14ac:dyDescent="0.3">
      <c r="C2997" s="43" t="s">
        <v>39893</v>
      </c>
      <c r="D2997" s="43" t="s">
        <v>41060</v>
      </c>
    </row>
    <row r="2998" spans="3:4" x14ac:dyDescent="0.3">
      <c r="C2998" s="43" t="s">
        <v>39893</v>
      </c>
      <c r="D2998" s="43" t="s">
        <v>41061</v>
      </c>
    </row>
    <row r="2999" spans="3:4" x14ac:dyDescent="0.3">
      <c r="C2999" s="43" t="s">
        <v>39893</v>
      </c>
      <c r="D2999" s="43" t="s">
        <v>41062</v>
      </c>
    </row>
    <row r="3000" spans="3:4" x14ac:dyDescent="0.3">
      <c r="C3000" s="43" t="s">
        <v>39893</v>
      </c>
      <c r="D3000" s="43" t="s">
        <v>41063</v>
      </c>
    </row>
    <row r="3001" spans="3:4" x14ac:dyDescent="0.3">
      <c r="C3001" s="43" t="s">
        <v>39893</v>
      </c>
      <c r="D3001" s="43" t="s">
        <v>41064</v>
      </c>
    </row>
    <row r="3002" spans="3:4" x14ac:dyDescent="0.3">
      <c r="C3002" s="43" t="s">
        <v>39893</v>
      </c>
      <c r="D3002" s="43" t="s">
        <v>41065</v>
      </c>
    </row>
    <row r="3003" spans="3:4" x14ac:dyDescent="0.3">
      <c r="C3003" s="43" t="s">
        <v>39893</v>
      </c>
      <c r="D3003" s="43" t="s">
        <v>41066</v>
      </c>
    </row>
    <row r="3004" spans="3:4" x14ac:dyDescent="0.3">
      <c r="C3004" s="43" t="s">
        <v>39893</v>
      </c>
      <c r="D3004" s="43" t="s">
        <v>41067</v>
      </c>
    </row>
    <row r="3005" spans="3:4" x14ac:dyDescent="0.3">
      <c r="C3005" s="43" t="s">
        <v>39893</v>
      </c>
      <c r="D3005" s="43" t="s">
        <v>41068</v>
      </c>
    </row>
    <row r="3006" spans="3:4" x14ac:dyDescent="0.3">
      <c r="C3006" s="43" t="s">
        <v>39893</v>
      </c>
      <c r="D3006" s="43" t="s">
        <v>41069</v>
      </c>
    </row>
    <row r="3007" spans="3:4" x14ac:dyDescent="0.3">
      <c r="C3007" s="43" t="s">
        <v>39893</v>
      </c>
      <c r="D3007" s="43" t="s">
        <v>41070</v>
      </c>
    </row>
    <row r="3008" spans="3:4" x14ac:dyDescent="0.3">
      <c r="C3008" s="43" t="s">
        <v>39893</v>
      </c>
      <c r="D3008" s="43" t="s">
        <v>41071</v>
      </c>
    </row>
    <row r="3009" spans="3:4" x14ac:dyDescent="0.3">
      <c r="C3009" s="43" t="s">
        <v>39893</v>
      </c>
      <c r="D3009" s="43" t="s">
        <v>41072</v>
      </c>
    </row>
    <row r="3010" spans="3:4" x14ac:dyDescent="0.3">
      <c r="C3010" s="43" t="s">
        <v>39893</v>
      </c>
      <c r="D3010" s="43" t="s">
        <v>41073</v>
      </c>
    </row>
    <row r="3011" spans="3:4" x14ac:dyDescent="0.3">
      <c r="C3011" s="43" t="s">
        <v>39893</v>
      </c>
      <c r="D3011" s="43" t="s">
        <v>41074</v>
      </c>
    </row>
    <row r="3012" spans="3:4" x14ac:dyDescent="0.3">
      <c r="C3012" s="43" t="s">
        <v>39893</v>
      </c>
      <c r="D3012" s="43" t="s">
        <v>41075</v>
      </c>
    </row>
    <row r="3013" spans="3:4" x14ac:dyDescent="0.3">
      <c r="C3013" s="43" t="s">
        <v>39893</v>
      </c>
      <c r="D3013" s="43" t="s">
        <v>41076</v>
      </c>
    </row>
    <row r="3014" spans="3:4" x14ac:dyDescent="0.3">
      <c r="C3014" s="43" t="s">
        <v>39893</v>
      </c>
      <c r="D3014" s="43" t="s">
        <v>41077</v>
      </c>
    </row>
    <row r="3015" spans="3:4" x14ac:dyDescent="0.3">
      <c r="C3015" s="43" t="s">
        <v>39893</v>
      </c>
      <c r="D3015" s="43" t="s">
        <v>41078</v>
      </c>
    </row>
    <row r="3016" spans="3:4" x14ac:dyDescent="0.3">
      <c r="C3016" s="43" t="s">
        <v>39893</v>
      </c>
      <c r="D3016" s="43" t="s">
        <v>41079</v>
      </c>
    </row>
    <row r="3017" spans="3:4" x14ac:dyDescent="0.3">
      <c r="C3017" s="43" t="s">
        <v>39893</v>
      </c>
      <c r="D3017" s="43" t="s">
        <v>41080</v>
      </c>
    </row>
    <row r="3018" spans="3:4" x14ac:dyDescent="0.3">
      <c r="C3018" s="43" t="s">
        <v>39893</v>
      </c>
      <c r="D3018" s="43" t="s">
        <v>41081</v>
      </c>
    </row>
    <row r="3019" spans="3:4" x14ac:dyDescent="0.3">
      <c r="C3019" s="43" t="s">
        <v>39893</v>
      </c>
      <c r="D3019" s="43" t="s">
        <v>41082</v>
      </c>
    </row>
    <row r="3020" spans="3:4" x14ac:dyDescent="0.3">
      <c r="C3020" s="43" t="s">
        <v>39893</v>
      </c>
      <c r="D3020" s="43" t="s">
        <v>41083</v>
      </c>
    </row>
    <row r="3021" spans="3:4" x14ac:dyDescent="0.3">
      <c r="C3021" s="43" t="s">
        <v>39893</v>
      </c>
      <c r="D3021" s="43" t="s">
        <v>41084</v>
      </c>
    </row>
    <row r="3022" spans="3:4" x14ac:dyDescent="0.3">
      <c r="C3022" s="43" t="s">
        <v>39893</v>
      </c>
      <c r="D3022" s="43" t="s">
        <v>41085</v>
      </c>
    </row>
    <row r="3023" spans="3:4" x14ac:dyDescent="0.3">
      <c r="C3023" s="43" t="s">
        <v>39893</v>
      </c>
      <c r="D3023" s="43" t="s">
        <v>41086</v>
      </c>
    </row>
    <row r="3024" spans="3:4" x14ac:dyDescent="0.3">
      <c r="C3024" s="43" t="s">
        <v>39893</v>
      </c>
      <c r="D3024" s="43" t="s">
        <v>41087</v>
      </c>
    </row>
    <row r="3025" spans="3:4" x14ac:dyDescent="0.3">
      <c r="C3025" s="43" t="s">
        <v>39893</v>
      </c>
      <c r="D3025" s="43" t="s">
        <v>41088</v>
      </c>
    </row>
    <row r="3026" spans="3:4" x14ac:dyDescent="0.3">
      <c r="C3026" s="43" t="s">
        <v>39893</v>
      </c>
      <c r="D3026" s="43" t="s">
        <v>41089</v>
      </c>
    </row>
    <row r="3027" spans="3:4" x14ac:dyDescent="0.3">
      <c r="C3027" s="43" t="s">
        <v>39893</v>
      </c>
      <c r="D3027" s="43" t="s">
        <v>41090</v>
      </c>
    </row>
    <row r="3028" spans="3:4" x14ac:dyDescent="0.3">
      <c r="C3028" s="43" t="s">
        <v>39893</v>
      </c>
      <c r="D3028" s="43" t="s">
        <v>41091</v>
      </c>
    </row>
    <row r="3029" spans="3:4" x14ac:dyDescent="0.3">
      <c r="C3029" s="43" t="s">
        <v>39893</v>
      </c>
      <c r="D3029" s="43" t="s">
        <v>41092</v>
      </c>
    </row>
    <row r="3030" spans="3:4" x14ac:dyDescent="0.3">
      <c r="C3030" s="43" t="s">
        <v>39893</v>
      </c>
      <c r="D3030" s="43" t="s">
        <v>41093</v>
      </c>
    </row>
    <row r="3031" spans="3:4" x14ac:dyDescent="0.3">
      <c r="C3031" s="43" t="s">
        <v>39893</v>
      </c>
      <c r="D3031" s="43" t="s">
        <v>41094</v>
      </c>
    </row>
    <row r="3032" spans="3:4" x14ac:dyDescent="0.3">
      <c r="C3032" s="43" t="s">
        <v>39893</v>
      </c>
      <c r="D3032" s="43" t="s">
        <v>41095</v>
      </c>
    </row>
    <row r="3033" spans="3:4" x14ac:dyDescent="0.3">
      <c r="C3033" s="43" t="s">
        <v>39893</v>
      </c>
      <c r="D3033" s="43" t="s">
        <v>41096</v>
      </c>
    </row>
    <row r="3034" spans="3:4" x14ac:dyDescent="0.3">
      <c r="C3034" s="43" t="s">
        <v>39893</v>
      </c>
      <c r="D3034" s="43" t="s">
        <v>41097</v>
      </c>
    </row>
    <row r="3035" spans="3:4" x14ac:dyDescent="0.3">
      <c r="C3035" s="43" t="s">
        <v>39893</v>
      </c>
      <c r="D3035" s="43" t="s">
        <v>41098</v>
      </c>
    </row>
    <row r="3036" spans="3:4" x14ac:dyDescent="0.3">
      <c r="C3036" s="43" t="s">
        <v>39893</v>
      </c>
      <c r="D3036" s="43" t="s">
        <v>41099</v>
      </c>
    </row>
    <row r="3037" spans="3:4" x14ac:dyDescent="0.3">
      <c r="C3037" s="43" t="s">
        <v>39893</v>
      </c>
      <c r="D3037" s="43" t="s">
        <v>41100</v>
      </c>
    </row>
    <row r="3038" spans="3:4" x14ac:dyDescent="0.3">
      <c r="C3038" s="43" t="s">
        <v>39893</v>
      </c>
      <c r="D3038" s="43" t="s">
        <v>41101</v>
      </c>
    </row>
    <row r="3039" spans="3:4" x14ac:dyDescent="0.3">
      <c r="C3039" s="43" t="s">
        <v>39893</v>
      </c>
      <c r="D3039" s="43" t="s">
        <v>41102</v>
      </c>
    </row>
    <row r="3040" spans="3:4" x14ac:dyDescent="0.3">
      <c r="C3040" s="43" t="s">
        <v>39893</v>
      </c>
      <c r="D3040" s="43" t="s">
        <v>41103</v>
      </c>
    </row>
    <row r="3041" spans="3:4" x14ac:dyDescent="0.3">
      <c r="C3041" s="43" t="s">
        <v>39893</v>
      </c>
      <c r="D3041" s="43" t="s">
        <v>41104</v>
      </c>
    </row>
    <row r="3042" spans="3:4" x14ac:dyDescent="0.3">
      <c r="C3042" s="43" t="s">
        <v>39893</v>
      </c>
      <c r="D3042" s="43" t="s">
        <v>41105</v>
      </c>
    </row>
    <row r="3043" spans="3:4" x14ac:dyDescent="0.3">
      <c r="C3043" s="43" t="s">
        <v>39893</v>
      </c>
      <c r="D3043" s="43" t="s">
        <v>41106</v>
      </c>
    </row>
    <row r="3044" spans="3:4" x14ac:dyDescent="0.3">
      <c r="C3044" s="43" t="s">
        <v>39893</v>
      </c>
      <c r="D3044" s="43" t="s">
        <v>41107</v>
      </c>
    </row>
    <row r="3045" spans="3:4" x14ac:dyDescent="0.3">
      <c r="C3045" s="43" t="s">
        <v>39893</v>
      </c>
      <c r="D3045" s="43" t="s">
        <v>41108</v>
      </c>
    </row>
    <row r="3046" spans="3:4" x14ac:dyDescent="0.3">
      <c r="C3046" s="43" t="s">
        <v>39893</v>
      </c>
      <c r="D3046" s="43" t="s">
        <v>41109</v>
      </c>
    </row>
    <row r="3047" spans="3:4" x14ac:dyDescent="0.3">
      <c r="C3047" s="43" t="s">
        <v>39893</v>
      </c>
      <c r="D3047" s="43" t="s">
        <v>41110</v>
      </c>
    </row>
    <row r="3048" spans="3:4" x14ac:dyDescent="0.3">
      <c r="C3048" s="43" t="s">
        <v>39893</v>
      </c>
      <c r="D3048" s="43" t="s">
        <v>41111</v>
      </c>
    </row>
    <row r="3049" spans="3:4" x14ac:dyDescent="0.3">
      <c r="C3049" s="43" t="s">
        <v>39893</v>
      </c>
      <c r="D3049" s="43" t="s">
        <v>41112</v>
      </c>
    </row>
    <row r="3050" spans="3:4" x14ac:dyDescent="0.3">
      <c r="C3050" s="43" t="s">
        <v>39893</v>
      </c>
      <c r="D3050" s="43" t="s">
        <v>41113</v>
      </c>
    </row>
    <row r="3051" spans="3:4" x14ac:dyDescent="0.3">
      <c r="C3051" s="43" t="s">
        <v>39893</v>
      </c>
      <c r="D3051" s="43" t="s">
        <v>41114</v>
      </c>
    </row>
    <row r="3052" spans="3:4" x14ac:dyDescent="0.3">
      <c r="C3052" s="43" t="s">
        <v>39893</v>
      </c>
      <c r="D3052" s="43" t="s">
        <v>41115</v>
      </c>
    </row>
    <row r="3053" spans="3:4" x14ac:dyDescent="0.3">
      <c r="C3053" s="43" t="s">
        <v>39893</v>
      </c>
      <c r="D3053" s="43" t="s">
        <v>41116</v>
      </c>
    </row>
    <row r="3054" spans="3:4" x14ac:dyDescent="0.3">
      <c r="C3054" s="43" t="s">
        <v>39893</v>
      </c>
      <c r="D3054" s="43" t="s">
        <v>41117</v>
      </c>
    </row>
    <row r="3055" spans="3:4" x14ac:dyDescent="0.3">
      <c r="C3055" s="43" t="s">
        <v>39893</v>
      </c>
      <c r="D3055" s="43" t="s">
        <v>41118</v>
      </c>
    </row>
    <row r="3056" spans="3:4" x14ac:dyDescent="0.3">
      <c r="C3056" s="43" t="s">
        <v>39893</v>
      </c>
      <c r="D3056" s="43" t="s">
        <v>41119</v>
      </c>
    </row>
    <row r="3057" spans="3:4" x14ac:dyDescent="0.3">
      <c r="C3057" s="43" t="s">
        <v>39893</v>
      </c>
      <c r="D3057" s="43" t="s">
        <v>41120</v>
      </c>
    </row>
    <row r="3058" spans="3:4" x14ac:dyDescent="0.3">
      <c r="C3058" s="43" t="s">
        <v>39893</v>
      </c>
      <c r="D3058" s="43" t="s">
        <v>41121</v>
      </c>
    </row>
    <row r="3059" spans="3:4" x14ac:dyDescent="0.3">
      <c r="C3059" s="43" t="s">
        <v>39893</v>
      </c>
      <c r="D3059" s="43" t="s">
        <v>41122</v>
      </c>
    </row>
    <row r="3060" spans="3:4" x14ac:dyDescent="0.3">
      <c r="C3060" s="43" t="s">
        <v>39893</v>
      </c>
      <c r="D3060" s="43" t="s">
        <v>41123</v>
      </c>
    </row>
    <row r="3061" spans="3:4" x14ac:dyDescent="0.3">
      <c r="C3061" s="43" t="s">
        <v>39893</v>
      </c>
      <c r="D3061" s="43" t="s">
        <v>41124</v>
      </c>
    </row>
    <row r="3062" spans="3:4" x14ac:dyDescent="0.3">
      <c r="C3062" s="43" t="s">
        <v>39893</v>
      </c>
      <c r="D3062" s="43" t="s">
        <v>41125</v>
      </c>
    </row>
    <row r="3063" spans="3:4" x14ac:dyDescent="0.3">
      <c r="C3063" s="43" t="s">
        <v>39893</v>
      </c>
      <c r="D3063" s="43" t="s">
        <v>41126</v>
      </c>
    </row>
    <row r="3064" spans="3:4" x14ac:dyDescent="0.3">
      <c r="C3064" s="43" t="s">
        <v>39893</v>
      </c>
      <c r="D3064" s="43" t="s">
        <v>41127</v>
      </c>
    </row>
    <row r="3065" spans="3:4" x14ac:dyDescent="0.3">
      <c r="C3065" s="43" t="s">
        <v>39893</v>
      </c>
      <c r="D3065" s="43" t="s">
        <v>41128</v>
      </c>
    </row>
    <row r="3066" spans="3:4" x14ac:dyDescent="0.3">
      <c r="C3066" s="43" t="s">
        <v>39893</v>
      </c>
      <c r="D3066" s="43" t="s">
        <v>41129</v>
      </c>
    </row>
    <row r="3067" spans="3:4" x14ac:dyDescent="0.3">
      <c r="C3067" s="43" t="s">
        <v>39893</v>
      </c>
      <c r="D3067" s="43" t="s">
        <v>41130</v>
      </c>
    </row>
    <row r="3068" spans="3:4" x14ac:dyDescent="0.3">
      <c r="C3068" s="43" t="s">
        <v>39893</v>
      </c>
      <c r="D3068" s="43" t="s">
        <v>41131</v>
      </c>
    </row>
    <row r="3069" spans="3:4" x14ac:dyDescent="0.3">
      <c r="C3069" s="43" t="s">
        <v>39893</v>
      </c>
      <c r="D3069" s="43" t="s">
        <v>41132</v>
      </c>
    </row>
    <row r="3070" spans="3:4" x14ac:dyDescent="0.3">
      <c r="C3070" s="43" t="s">
        <v>39893</v>
      </c>
      <c r="D3070" s="43" t="s">
        <v>41133</v>
      </c>
    </row>
    <row r="3071" spans="3:4" x14ac:dyDescent="0.3">
      <c r="C3071" s="43" t="s">
        <v>39893</v>
      </c>
      <c r="D3071" s="43" t="s">
        <v>41134</v>
      </c>
    </row>
    <row r="3072" spans="3:4" x14ac:dyDescent="0.3">
      <c r="C3072" s="43" t="s">
        <v>39893</v>
      </c>
      <c r="D3072" s="43" t="s">
        <v>41135</v>
      </c>
    </row>
    <row r="3073" spans="3:4" x14ac:dyDescent="0.3">
      <c r="C3073" s="43" t="s">
        <v>39893</v>
      </c>
      <c r="D3073" s="43" t="s">
        <v>41136</v>
      </c>
    </row>
    <row r="3074" spans="3:4" x14ac:dyDescent="0.3">
      <c r="C3074" s="43" t="s">
        <v>39893</v>
      </c>
      <c r="D3074" s="43" t="s">
        <v>41137</v>
      </c>
    </row>
    <row r="3075" spans="3:4" x14ac:dyDescent="0.3">
      <c r="C3075" s="43" t="s">
        <v>39893</v>
      </c>
      <c r="D3075" s="43" t="s">
        <v>41138</v>
      </c>
    </row>
    <row r="3076" spans="3:4" x14ac:dyDescent="0.3">
      <c r="C3076" s="43" t="s">
        <v>39893</v>
      </c>
      <c r="D3076" s="43" t="s">
        <v>41139</v>
      </c>
    </row>
    <row r="3077" spans="3:4" x14ac:dyDescent="0.3">
      <c r="C3077" s="43" t="s">
        <v>39893</v>
      </c>
      <c r="D3077" s="43" t="s">
        <v>41140</v>
      </c>
    </row>
    <row r="3078" spans="3:4" x14ac:dyDescent="0.3">
      <c r="C3078" s="43" t="s">
        <v>39893</v>
      </c>
      <c r="D3078" s="43" t="s">
        <v>41141</v>
      </c>
    </row>
    <row r="3079" spans="3:4" x14ac:dyDescent="0.3">
      <c r="C3079" s="43" t="s">
        <v>39893</v>
      </c>
      <c r="D3079" s="43" t="s">
        <v>41142</v>
      </c>
    </row>
    <row r="3080" spans="3:4" x14ac:dyDescent="0.3">
      <c r="C3080" s="43" t="s">
        <v>39893</v>
      </c>
      <c r="D3080" s="43" t="s">
        <v>41143</v>
      </c>
    </row>
    <row r="3081" spans="3:4" x14ac:dyDescent="0.3">
      <c r="C3081" s="43" t="s">
        <v>39893</v>
      </c>
      <c r="D3081" s="43" t="s">
        <v>41144</v>
      </c>
    </row>
    <row r="3082" spans="3:4" x14ac:dyDescent="0.3">
      <c r="C3082" s="43" t="s">
        <v>39893</v>
      </c>
      <c r="D3082" s="43" t="s">
        <v>41145</v>
      </c>
    </row>
    <row r="3083" spans="3:4" x14ac:dyDescent="0.3">
      <c r="C3083" s="43" t="s">
        <v>39893</v>
      </c>
      <c r="D3083" s="43" t="s">
        <v>41146</v>
      </c>
    </row>
    <row r="3084" spans="3:4" x14ac:dyDescent="0.3">
      <c r="C3084" s="43" t="s">
        <v>39893</v>
      </c>
      <c r="D3084" s="43" t="s">
        <v>41147</v>
      </c>
    </row>
    <row r="3085" spans="3:4" x14ac:dyDescent="0.3">
      <c r="C3085" s="43" t="s">
        <v>39893</v>
      </c>
      <c r="D3085" s="43" t="s">
        <v>41148</v>
      </c>
    </row>
    <row r="3086" spans="3:4" x14ac:dyDescent="0.3">
      <c r="C3086" s="43" t="s">
        <v>39893</v>
      </c>
      <c r="D3086" s="43" t="s">
        <v>41149</v>
      </c>
    </row>
    <row r="3087" spans="3:4" x14ac:dyDescent="0.3">
      <c r="C3087" s="43" t="s">
        <v>39893</v>
      </c>
      <c r="D3087" s="43" t="s">
        <v>41150</v>
      </c>
    </row>
    <row r="3088" spans="3:4" x14ac:dyDescent="0.3">
      <c r="C3088" s="43" t="s">
        <v>39893</v>
      </c>
      <c r="D3088" s="43" t="s">
        <v>41151</v>
      </c>
    </row>
    <row r="3089" spans="3:4" x14ac:dyDescent="0.3">
      <c r="C3089" s="43" t="s">
        <v>39893</v>
      </c>
      <c r="D3089" s="43" t="s">
        <v>41152</v>
      </c>
    </row>
    <row r="3090" spans="3:4" x14ac:dyDescent="0.3">
      <c r="C3090" s="43" t="s">
        <v>39893</v>
      </c>
      <c r="D3090" s="43" t="s">
        <v>41153</v>
      </c>
    </row>
    <row r="3091" spans="3:4" x14ac:dyDescent="0.3">
      <c r="C3091" s="43" t="s">
        <v>39893</v>
      </c>
      <c r="D3091" s="43" t="s">
        <v>41154</v>
      </c>
    </row>
    <row r="3092" spans="3:4" x14ac:dyDescent="0.3">
      <c r="C3092" s="43" t="s">
        <v>39893</v>
      </c>
      <c r="D3092" s="43" t="s">
        <v>41155</v>
      </c>
    </row>
    <row r="3093" spans="3:4" x14ac:dyDescent="0.3">
      <c r="C3093" s="43" t="s">
        <v>39893</v>
      </c>
      <c r="D3093" s="43" t="s">
        <v>41156</v>
      </c>
    </row>
    <row r="3094" spans="3:4" x14ac:dyDescent="0.3">
      <c r="C3094" s="43" t="s">
        <v>39893</v>
      </c>
      <c r="D3094" s="43" t="s">
        <v>41157</v>
      </c>
    </row>
    <row r="3095" spans="3:4" x14ac:dyDescent="0.3">
      <c r="C3095" s="43" t="s">
        <v>39893</v>
      </c>
      <c r="D3095" s="43" t="s">
        <v>41158</v>
      </c>
    </row>
    <row r="3096" spans="3:4" x14ac:dyDescent="0.3">
      <c r="C3096" s="43" t="s">
        <v>39893</v>
      </c>
      <c r="D3096" s="43" t="s">
        <v>41159</v>
      </c>
    </row>
    <row r="3097" spans="3:4" x14ac:dyDescent="0.3">
      <c r="C3097" s="43" t="s">
        <v>39893</v>
      </c>
      <c r="D3097" s="43" t="s">
        <v>41160</v>
      </c>
    </row>
    <row r="3098" spans="3:4" x14ac:dyDescent="0.3">
      <c r="C3098" s="43" t="s">
        <v>39893</v>
      </c>
      <c r="D3098" s="43" t="s">
        <v>41161</v>
      </c>
    </row>
    <row r="3099" spans="3:4" x14ac:dyDescent="0.3">
      <c r="C3099" s="43" t="s">
        <v>39893</v>
      </c>
      <c r="D3099" s="43" t="s">
        <v>41162</v>
      </c>
    </row>
    <row r="3100" spans="3:4" x14ac:dyDescent="0.3">
      <c r="C3100" s="43" t="s">
        <v>39893</v>
      </c>
      <c r="D3100" s="43" t="s">
        <v>41163</v>
      </c>
    </row>
    <row r="3101" spans="3:4" x14ac:dyDescent="0.3">
      <c r="C3101" s="43" t="s">
        <v>39893</v>
      </c>
      <c r="D3101" s="43" t="s">
        <v>41164</v>
      </c>
    </row>
    <row r="3102" spans="3:4" x14ac:dyDescent="0.3">
      <c r="C3102" s="43" t="s">
        <v>39893</v>
      </c>
      <c r="D3102" s="43" t="s">
        <v>41165</v>
      </c>
    </row>
    <row r="3103" spans="3:4" x14ac:dyDescent="0.3">
      <c r="C3103" s="43" t="s">
        <v>39893</v>
      </c>
      <c r="D3103" s="43" t="s">
        <v>41166</v>
      </c>
    </row>
    <row r="3104" spans="3:4" x14ac:dyDescent="0.3">
      <c r="C3104" s="43" t="s">
        <v>39893</v>
      </c>
      <c r="D3104" s="43" t="s">
        <v>41167</v>
      </c>
    </row>
    <row r="3105" spans="3:4" x14ac:dyDescent="0.3">
      <c r="C3105" s="43" t="s">
        <v>39893</v>
      </c>
      <c r="D3105" s="43" t="s">
        <v>41168</v>
      </c>
    </row>
    <row r="3106" spans="3:4" x14ac:dyDescent="0.3">
      <c r="C3106" s="43" t="s">
        <v>39893</v>
      </c>
      <c r="D3106" s="43" t="s">
        <v>41169</v>
      </c>
    </row>
    <row r="3107" spans="3:4" x14ac:dyDescent="0.3">
      <c r="C3107" s="43" t="s">
        <v>39893</v>
      </c>
      <c r="D3107" s="43" t="s">
        <v>41170</v>
      </c>
    </row>
    <row r="3108" spans="3:4" x14ac:dyDescent="0.3">
      <c r="C3108" s="43" t="s">
        <v>39893</v>
      </c>
      <c r="D3108" s="43" t="s">
        <v>41171</v>
      </c>
    </row>
    <row r="3109" spans="3:4" x14ac:dyDescent="0.3">
      <c r="C3109" s="43" t="s">
        <v>39893</v>
      </c>
      <c r="D3109" s="43" t="s">
        <v>41172</v>
      </c>
    </row>
    <row r="3110" spans="3:4" x14ac:dyDescent="0.3">
      <c r="C3110" s="43" t="s">
        <v>39893</v>
      </c>
      <c r="D3110" s="43" t="s">
        <v>41173</v>
      </c>
    </row>
    <row r="3111" spans="3:4" x14ac:dyDescent="0.3">
      <c r="C3111" s="43" t="s">
        <v>39893</v>
      </c>
      <c r="D3111" s="43" t="s">
        <v>41174</v>
      </c>
    </row>
    <row r="3112" spans="3:4" x14ac:dyDescent="0.3">
      <c r="C3112" s="43" t="s">
        <v>39893</v>
      </c>
      <c r="D3112" s="43" t="s">
        <v>41175</v>
      </c>
    </row>
    <row r="3113" spans="3:4" x14ac:dyDescent="0.3">
      <c r="C3113" s="43" t="s">
        <v>39893</v>
      </c>
      <c r="D3113" s="43" t="s">
        <v>41176</v>
      </c>
    </row>
    <row r="3114" spans="3:4" x14ac:dyDescent="0.3">
      <c r="C3114" s="43" t="s">
        <v>39893</v>
      </c>
      <c r="D3114" s="43" t="s">
        <v>41177</v>
      </c>
    </row>
    <row r="3115" spans="3:4" x14ac:dyDescent="0.3">
      <c r="C3115" s="43" t="s">
        <v>39893</v>
      </c>
      <c r="D3115" s="43" t="s">
        <v>41178</v>
      </c>
    </row>
    <row r="3116" spans="3:4" x14ac:dyDescent="0.3">
      <c r="C3116" s="43" t="s">
        <v>39893</v>
      </c>
      <c r="D3116" s="43" t="s">
        <v>41179</v>
      </c>
    </row>
    <row r="3117" spans="3:4" x14ac:dyDescent="0.3">
      <c r="C3117" s="43" t="s">
        <v>39893</v>
      </c>
      <c r="D3117" s="43" t="s">
        <v>41180</v>
      </c>
    </row>
    <row r="3118" spans="3:4" x14ac:dyDescent="0.3">
      <c r="C3118" s="43" t="s">
        <v>39893</v>
      </c>
      <c r="D3118" s="43" t="s">
        <v>41181</v>
      </c>
    </row>
    <row r="3119" spans="3:4" x14ac:dyDescent="0.3">
      <c r="C3119" s="43" t="s">
        <v>39893</v>
      </c>
      <c r="D3119" s="43" t="s">
        <v>41182</v>
      </c>
    </row>
    <row r="3120" spans="3:4" x14ac:dyDescent="0.3">
      <c r="C3120" s="43" t="s">
        <v>39893</v>
      </c>
      <c r="D3120" s="43" t="s">
        <v>41183</v>
      </c>
    </row>
    <row r="3121" spans="3:4" x14ac:dyDescent="0.3">
      <c r="C3121" s="43" t="s">
        <v>39893</v>
      </c>
      <c r="D3121" s="43" t="s">
        <v>41184</v>
      </c>
    </row>
    <row r="3122" spans="3:4" x14ac:dyDescent="0.3">
      <c r="C3122" s="43" t="s">
        <v>39893</v>
      </c>
      <c r="D3122" s="43" t="s">
        <v>41185</v>
      </c>
    </row>
    <row r="3123" spans="3:4" x14ac:dyDescent="0.3">
      <c r="C3123" s="43" t="s">
        <v>39893</v>
      </c>
      <c r="D3123" s="43" t="s">
        <v>41186</v>
      </c>
    </row>
    <row r="3124" spans="3:4" x14ac:dyDescent="0.3">
      <c r="C3124" s="43" t="s">
        <v>39893</v>
      </c>
      <c r="D3124" s="43" t="s">
        <v>41187</v>
      </c>
    </row>
    <row r="3125" spans="3:4" x14ac:dyDescent="0.3">
      <c r="C3125" s="43" t="s">
        <v>39893</v>
      </c>
      <c r="D3125" s="43" t="s">
        <v>41188</v>
      </c>
    </row>
    <row r="3126" spans="3:4" x14ac:dyDescent="0.3">
      <c r="C3126" s="43" t="s">
        <v>39893</v>
      </c>
      <c r="D3126" s="43" t="s">
        <v>41189</v>
      </c>
    </row>
    <row r="3127" spans="3:4" x14ac:dyDescent="0.3">
      <c r="C3127" s="43" t="s">
        <v>39893</v>
      </c>
      <c r="D3127" s="43" t="s">
        <v>41190</v>
      </c>
    </row>
    <row r="3128" spans="3:4" x14ac:dyDescent="0.3">
      <c r="C3128" s="43" t="s">
        <v>39893</v>
      </c>
      <c r="D3128" s="43" t="s">
        <v>41191</v>
      </c>
    </row>
    <row r="3129" spans="3:4" x14ac:dyDescent="0.3">
      <c r="C3129" s="43" t="s">
        <v>39893</v>
      </c>
      <c r="D3129" s="43" t="s">
        <v>41192</v>
      </c>
    </row>
    <row r="3130" spans="3:4" x14ac:dyDescent="0.3">
      <c r="C3130" s="43" t="s">
        <v>39893</v>
      </c>
      <c r="D3130" s="43" t="s">
        <v>41193</v>
      </c>
    </row>
    <row r="3131" spans="3:4" x14ac:dyDescent="0.3">
      <c r="C3131" s="43" t="s">
        <v>39893</v>
      </c>
      <c r="D3131" s="43" t="s">
        <v>41194</v>
      </c>
    </row>
    <row r="3132" spans="3:4" x14ac:dyDescent="0.3">
      <c r="C3132" s="43" t="s">
        <v>39893</v>
      </c>
      <c r="D3132" s="43" t="s">
        <v>41195</v>
      </c>
    </row>
    <row r="3133" spans="3:4" x14ac:dyDescent="0.3">
      <c r="C3133" s="43" t="s">
        <v>39893</v>
      </c>
      <c r="D3133" s="43" t="s">
        <v>41196</v>
      </c>
    </row>
    <row r="3134" spans="3:4" x14ac:dyDescent="0.3">
      <c r="C3134" s="43" t="s">
        <v>39893</v>
      </c>
      <c r="D3134" s="43" t="s">
        <v>41197</v>
      </c>
    </row>
    <row r="3135" spans="3:4" x14ac:dyDescent="0.3">
      <c r="C3135" s="43" t="s">
        <v>39893</v>
      </c>
      <c r="D3135" s="43" t="s">
        <v>41198</v>
      </c>
    </row>
    <row r="3136" spans="3:4" x14ac:dyDescent="0.3">
      <c r="C3136" s="43" t="s">
        <v>39893</v>
      </c>
      <c r="D3136" s="43" t="s">
        <v>41199</v>
      </c>
    </row>
    <row r="3137" spans="3:4" x14ac:dyDescent="0.3">
      <c r="C3137" s="43" t="s">
        <v>39893</v>
      </c>
      <c r="D3137" s="43" t="s">
        <v>41200</v>
      </c>
    </row>
    <row r="3138" spans="3:4" x14ac:dyDescent="0.3">
      <c r="C3138" s="43" t="s">
        <v>39893</v>
      </c>
      <c r="D3138" s="43" t="s">
        <v>41201</v>
      </c>
    </row>
    <row r="3139" spans="3:4" x14ac:dyDescent="0.3">
      <c r="C3139" s="43" t="s">
        <v>39893</v>
      </c>
      <c r="D3139" s="43" t="s">
        <v>41202</v>
      </c>
    </row>
    <row r="3140" spans="3:4" x14ac:dyDescent="0.3">
      <c r="C3140" s="43" t="s">
        <v>39893</v>
      </c>
      <c r="D3140" s="43" t="s">
        <v>41203</v>
      </c>
    </row>
    <row r="3141" spans="3:4" x14ac:dyDescent="0.3">
      <c r="C3141" s="43" t="s">
        <v>39893</v>
      </c>
      <c r="D3141" s="43" t="s">
        <v>41204</v>
      </c>
    </row>
    <row r="3142" spans="3:4" x14ac:dyDescent="0.3">
      <c r="C3142" s="43" t="s">
        <v>39893</v>
      </c>
      <c r="D3142" s="43" t="s">
        <v>41205</v>
      </c>
    </row>
    <row r="3143" spans="3:4" x14ac:dyDescent="0.3">
      <c r="C3143" s="43" t="s">
        <v>39893</v>
      </c>
      <c r="D3143" s="43" t="s">
        <v>41206</v>
      </c>
    </row>
    <row r="3144" spans="3:4" x14ac:dyDescent="0.3">
      <c r="C3144" s="43" t="s">
        <v>39893</v>
      </c>
      <c r="D3144" s="43" t="s">
        <v>41207</v>
      </c>
    </row>
    <row r="3145" spans="3:4" x14ac:dyDescent="0.3">
      <c r="C3145" s="43" t="s">
        <v>39893</v>
      </c>
      <c r="D3145" s="43" t="s">
        <v>41208</v>
      </c>
    </row>
    <row r="3146" spans="3:4" x14ac:dyDescent="0.3">
      <c r="C3146" s="43" t="s">
        <v>39893</v>
      </c>
      <c r="D3146" s="43" t="s">
        <v>41209</v>
      </c>
    </row>
    <row r="3147" spans="3:4" x14ac:dyDescent="0.3">
      <c r="C3147" s="43" t="s">
        <v>39893</v>
      </c>
      <c r="D3147" s="43" t="s">
        <v>41210</v>
      </c>
    </row>
    <row r="3148" spans="3:4" x14ac:dyDescent="0.3">
      <c r="C3148" s="43" t="s">
        <v>39893</v>
      </c>
      <c r="D3148" s="43" t="s">
        <v>41211</v>
      </c>
    </row>
    <row r="3149" spans="3:4" x14ac:dyDescent="0.3">
      <c r="C3149" s="43" t="s">
        <v>39893</v>
      </c>
      <c r="D3149" s="43" t="s">
        <v>41212</v>
      </c>
    </row>
    <row r="3150" spans="3:4" x14ac:dyDescent="0.3">
      <c r="C3150" s="43" t="s">
        <v>39893</v>
      </c>
      <c r="D3150" s="43" t="s">
        <v>41213</v>
      </c>
    </row>
    <row r="3151" spans="3:4" x14ac:dyDescent="0.3">
      <c r="C3151" s="43" t="s">
        <v>39893</v>
      </c>
      <c r="D3151" s="43" t="s">
        <v>41214</v>
      </c>
    </row>
    <row r="3152" spans="3:4" x14ac:dyDescent="0.3">
      <c r="C3152" s="43" t="s">
        <v>39893</v>
      </c>
      <c r="D3152" s="43" t="s">
        <v>41215</v>
      </c>
    </row>
    <row r="3153" spans="3:4" x14ac:dyDescent="0.3">
      <c r="C3153" s="43" t="s">
        <v>39893</v>
      </c>
      <c r="D3153" s="43" t="s">
        <v>41216</v>
      </c>
    </row>
    <row r="3154" spans="3:4" x14ac:dyDescent="0.3">
      <c r="C3154" s="43" t="s">
        <v>39893</v>
      </c>
      <c r="D3154" s="43" t="s">
        <v>41217</v>
      </c>
    </row>
    <row r="3155" spans="3:4" x14ac:dyDescent="0.3">
      <c r="C3155" s="43" t="s">
        <v>39893</v>
      </c>
      <c r="D3155" s="43" t="s">
        <v>41218</v>
      </c>
    </row>
    <row r="3156" spans="3:4" x14ac:dyDescent="0.3">
      <c r="C3156" s="43" t="s">
        <v>39893</v>
      </c>
      <c r="D3156" s="43" t="s">
        <v>41219</v>
      </c>
    </row>
    <row r="3157" spans="3:4" x14ac:dyDescent="0.3">
      <c r="C3157" s="43" t="s">
        <v>39893</v>
      </c>
      <c r="D3157" s="43" t="s">
        <v>41220</v>
      </c>
    </row>
    <row r="3158" spans="3:4" x14ac:dyDescent="0.3">
      <c r="C3158" s="43" t="s">
        <v>39893</v>
      </c>
      <c r="D3158" s="43" t="s">
        <v>41221</v>
      </c>
    </row>
    <row r="3159" spans="3:4" x14ac:dyDescent="0.3">
      <c r="C3159" s="43" t="s">
        <v>39893</v>
      </c>
      <c r="D3159" s="43" t="s">
        <v>41222</v>
      </c>
    </row>
    <row r="3160" spans="3:4" x14ac:dyDescent="0.3">
      <c r="C3160" s="43" t="s">
        <v>39893</v>
      </c>
      <c r="D3160" s="43" t="s">
        <v>41223</v>
      </c>
    </row>
    <row r="3161" spans="3:4" x14ac:dyDescent="0.3">
      <c r="C3161" s="43" t="s">
        <v>39893</v>
      </c>
      <c r="D3161" s="43" t="s">
        <v>41224</v>
      </c>
    </row>
    <row r="3162" spans="3:4" x14ac:dyDescent="0.3">
      <c r="C3162" s="43" t="s">
        <v>39893</v>
      </c>
      <c r="D3162" s="43" t="s">
        <v>41225</v>
      </c>
    </row>
    <row r="3163" spans="3:4" x14ac:dyDescent="0.3">
      <c r="C3163" s="43" t="s">
        <v>39893</v>
      </c>
      <c r="D3163" s="43" t="s">
        <v>41226</v>
      </c>
    </row>
    <row r="3164" spans="3:4" x14ac:dyDescent="0.3">
      <c r="C3164" s="43" t="s">
        <v>39893</v>
      </c>
      <c r="D3164" s="43" t="s">
        <v>41227</v>
      </c>
    </row>
    <row r="3165" spans="3:4" x14ac:dyDescent="0.3">
      <c r="C3165" s="43" t="s">
        <v>39893</v>
      </c>
      <c r="D3165" s="43" t="s">
        <v>41228</v>
      </c>
    </row>
    <row r="3166" spans="3:4" x14ac:dyDescent="0.3">
      <c r="C3166" s="43" t="s">
        <v>39893</v>
      </c>
      <c r="D3166" s="43" t="s">
        <v>41229</v>
      </c>
    </row>
    <row r="3167" spans="3:4" x14ac:dyDescent="0.3">
      <c r="C3167" s="43" t="s">
        <v>39893</v>
      </c>
      <c r="D3167" s="43" t="s">
        <v>41230</v>
      </c>
    </row>
    <row r="3168" spans="3:4" x14ac:dyDescent="0.3">
      <c r="C3168" s="43" t="s">
        <v>39893</v>
      </c>
      <c r="D3168" s="43" t="s">
        <v>41231</v>
      </c>
    </row>
    <row r="3169" spans="3:4" x14ac:dyDescent="0.3">
      <c r="C3169" s="43" t="s">
        <v>39893</v>
      </c>
      <c r="D3169" s="43" t="s">
        <v>41232</v>
      </c>
    </row>
    <row r="3170" spans="3:4" x14ac:dyDescent="0.3">
      <c r="C3170" s="43" t="s">
        <v>39893</v>
      </c>
      <c r="D3170" s="43" t="s">
        <v>41233</v>
      </c>
    </row>
    <row r="3171" spans="3:4" x14ac:dyDescent="0.3">
      <c r="C3171" s="43" t="s">
        <v>39893</v>
      </c>
      <c r="D3171" s="43" t="s">
        <v>41234</v>
      </c>
    </row>
    <row r="3172" spans="3:4" x14ac:dyDescent="0.3">
      <c r="C3172" s="43" t="s">
        <v>39893</v>
      </c>
      <c r="D3172" s="43" t="s">
        <v>41235</v>
      </c>
    </row>
    <row r="3173" spans="3:4" x14ac:dyDescent="0.3">
      <c r="C3173" s="43" t="s">
        <v>39893</v>
      </c>
      <c r="D3173" s="43" t="s">
        <v>41236</v>
      </c>
    </row>
    <row r="3174" spans="3:4" x14ac:dyDescent="0.3">
      <c r="C3174" s="43" t="s">
        <v>39893</v>
      </c>
      <c r="D3174" s="43" t="s">
        <v>41237</v>
      </c>
    </row>
    <row r="3175" spans="3:4" x14ac:dyDescent="0.3">
      <c r="C3175" s="43" t="s">
        <v>39893</v>
      </c>
      <c r="D3175" s="43" t="s">
        <v>41238</v>
      </c>
    </row>
    <row r="3176" spans="3:4" x14ac:dyDescent="0.3">
      <c r="C3176" s="43" t="s">
        <v>39893</v>
      </c>
      <c r="D3176" s="43" t="s">
        <v>41239</v>
      </c>
    </row>
    <row r="3177" spans="3:4" x14ac:dyDescent="0.3">
      <c r="C3177" s="43" t="s">
        <v>39893</v>
      </c>
      <c r="D3177" s="43" t="s">
        <v>41240</v>
      </c>
    </row>
    <row r="3178" spans="3:4" x14ac:dyDescent="0.3">
      <c r="C3178" s="43" t="s">
        <v>39893</v>
      </c>
      <c r="D3178" s="43" t="s">
        <v>41241</v>
      </c>
    </row>
    <row r="3179" spans="3:4" x14ac:dyDescent="0.3">
      <c r="C3179" s="43" t="s">
        <v>39893</v>
      </c>
      <c r="D3179" s="43" t="s">
        <v>41242</v>
      </c>
    </row>
    <row r="3180" spans="3:4" x14ac:dyDescent="0.3">
      <c r="C3180" s="43" t="s">
        <v>39893</v>
      </c>
      <c r="D3180" s="43" t="s">
        <v>41243</v>
      </c>
    </row>
    <row r="3181" spans="3:4" x14ac:dyDescent="0.3">
      <c r="C3181" s="43" t="s">
        <v>39893</v>
      </c>
      <c r="D3181" s="43" t="s">
        <v>41244</v>
      </c>
    </row>
    <row r="3182" spans="3:4" x14ac:dyDescent="0.3">
      <c r="C3182" s="43" t="s">
        <v>39893</v>
      </c>
      <c r="D3182" s="43" t="s">
        <v>41245</v>
      </c>
    </row>
    <row r="3183" spans="3:4" x14ac:dyDescent="0.3">
      <c r="C3183" s="43" t="s">
        <v>39893</v>
      </c>
      <c r="D3183" s="43" t="s">
        <v>41246</v>
      </c>
    </row>
    <row r="3184" spans="3:4" x14ac:dyDescent="0.3">
      <c r="C3184" s="43" t="s">
        <v>39893</v>
      </c>
      <c r="D3184" s="43" t="s">
        <v>41247</v>
      </c>
    </row>
    <row r="3185" spans="3:4" x14ac:dyDescent="0.3">
      <c r="C3185" s="43" t="s">
        <v>39893</v>
      </c>
      <c r="D3185" s="43" t="s">
        <v>41248</v>
      </c>
    </row>
    <row r="3186" spans="3:4" x14ac:dyDescent="0.3">
      <c r="C3186" s="43" t="s">
        <v>39893</v>
      </c>
      <c r="D3186" s="43" t="s">
        <v>41249</v>
      </c>
    </row>
    <row r="3187" spans="3:4" x14ac:dyDescent="0.3">
      <c r="C3187" s="43" t="s">
        <v>39893</v>
      </c>
      <c r="D3187" s="43" t="s">
        <v>41250</v>
      </c>
    </row>
    <row r="3188" spans="3:4" x14ac:dyDescent="0.3">
      <c r="C3188" s="43" t="s">
        <v>39893</v>
      </c>
      <c r="D3188" s="43" t="s">
        <v>41251</v>
      </c>
    </row>
    <row r="3189" spans="3:4" x14ac:dyDescent="0.3">
      <c r="C3189" s="43" t="s">
        <v>39893</v>
      </c>
      <c r="D3189" s="43" t="s">
        <v>41252</v>
      </c>
    </row>
    <row r="3190" spans="3:4" x14ac:dyDescent="0.3">
      <c r="C3190" s="43" t="s">
        <v>39893</v>
      </c>
      <c r="D3190" s="43" t="s">
        <v>41253</v>
      </c>
    </row>
    <row r="3191" spans="3:4" x14ac:dyDescent="0.3">
      <c r="C3191" s="43" t="s">
        <v>39893</v>
      </c>
      <c r="D3191" s="43" t="s">
        <v>41254</v>
      </c>
    </row>
    <row r="3192" spans="3:4" x14ac:dyDescent="0.3">
      <c r="C3192" s="43" t="s">
        <v>39893</v>
      </c>
      <c r="D3192" s="43" t="s">
        <v>41255</v>
      </c>
    </row>
    <row r="3193" spans="3:4" x14ac:dyDescent="0.3">
      <c r="C3193" s="43" t="s">
        <v>39893</v>
      </c>
      <c r="D3193" s="43" t="s">
        <v>41256</v>
      </c>
    </row>
    <row r="3194" spans="3:4" x14ac:dyDescent="0.3">
      <c r="C3194" s="43" t="s">
        <v>39893</v>
      </c>
      <c r="D3194" s="43" t="s">
        <v>41257</v>
      </c>
    </row>
    <row r="3195" spans="3:4" x14ac:dyDescent="0.3">
      <c r="C3195" s="43" t="s">
        <v>39893</v>
      </c>
      <c r="D3195" s="43" t="s">
        <v>41258</v>
      </c>
    </row>
    <row r="3196" spans="3:4" x14ac:dyDescent="0.3">
      <c r="C3196" s="43" t="s">
        <v>39893</v>
      </c>
      <c r="D3196" s="43" t="s">
        <v>41259</v>
      </c>
    </row>
    <row r="3197" spans="3:4" x14ac:dyDescent="0.3">
      <c r="C3197" s="43" t="s">
        <v>39893</v>
      </c>
      <c r="D3197" s="43" t="s">
        <v>41260</v>
      </c>
    </row>
    <row r="3198" spans="3:4" x14ac:dyDescent="0.3">
      <c r="C3198" s="43" t="s">
        <v>39893</v>
      </c>
      <c r="D3198" s="43" t="s">
        <v>41261</v>
      </c>
    </row>
    <row r="3199" spans="3:4" x14ac:dyDescent="0.3">
      <c r="C3199" s="43" t="s">
        <v>39893</v>
      </c>
      <c r="D3199" s="43" t="s">
        <v>41262</v>
      </c>
    </row>
    <row r="3200" spans="3:4" x14ac:dyDescent="0.3">
      <c r="C3200" s="43" t="s">
        <v>39893</v>
      </c>
      <c r="D3200" s="43" t="s">
        <v>41263</v>
      </c>
    </row>
    <row r="3201" spans="3:4" x14ac:dyDescent="0.3">
      <c r="C3201" s="43" t="s">
        <v>39893</v>
      </c>
      <c r="D3201" s="43" t="s">
        <v>41264</v>
      </c>
    </row>
    <row r="3202" spans="3:4" x14ac:dyDescent="0.3">
      <c r="C3202" s="43" t="s">
        <v>39893</v>
      </c>
      <c r="D3202" s="43" t="s">
        <v>41265</v>
      </c>
    </row>
    <row r="3203" spans="3:4" x14ac:dyDescent="0.3">
      <c r="C3203" s="43" t="s">
        <v>39893</v>
      </c>
      <c r="D3203" s="43" t="s">
        <v>41266</v>
      </c>
    </row>
    <row r="3204" spans="3:4" x14ac:dyDescent="0.3">
      <c r="C3204" s="43" t="s">
        <v>39893</v>
      </c>
      <c r="D3204" s="43" t="s">
        <v>41267</v>
      </c>
    </row>
    <row r="3205" spans="3:4" x14ac:dyDescent="0.3">
      <c r="C3205" s="43" t="s">
        <v>39893</v>
      </c>
      <c r="D3205" s="43" t="s">
        <v>41268</v>
      </c>
    </row>
    <row r="3206" spans="3:4" x14ac:dyDescent="0.3">
      <c r="C3206" s="43" t="s">
        <v>39893</v>
      </c>
      <c r="D3206" s="43" t="s">
        <v>41269</v>
      </c>
    </row>
    <row r="3207" spans="3:4" x14ac:dyDescent="0.3">
      <c r="C3207" s="43" t="s">
        <v>39893</v>
      </c>
      <c r="D3207" s="43" t="s">
        <v>41270</v>
      </c>
    </row>
    <row r="3208" spans="3:4" x14ac:dyDescent="0.3">
      <c r="C3208" s="43" t="s">
        <v>39893</v>
      </c>
      <c r="D3208" s="43" t="s">
        <v>41271</v>
      </c>
    </row>
    <row r="3209" spans="3:4" x14ac:dyDescent="0.3">
      <c r="C3209" s="43" t="s">
        <v>39893</v>
      </c>
      <c r="D3209" s="43" t="s">
        <v>41272</v>
      </c>
    </row>
    <row r="3210" spans="3:4" x14ac:dyDescent="0.3">
      <c r="C3210" s="43" t="s">
        <v>39893</v>
      </c>
      <c r="D3210" s="43" t="s">
        <v>41273</v>
      </c>
    </row>
    <row r="3211" spans="3:4" x14ac:dyDescent="0.3">
      <c r="C3211" s="43" t="s">
        <v>39893</v>
      </c>
      <c r="D3211" s="43" t="s">
        <v>41274</v>
      </c>
    </row>
    <row r="3212" spans="3:4" x14ac:dyDescent="0.3">
      <c r="C3212" s="43" t="s">
        <v>39893</v>
      </c>
      <c r="D3212" s="43" t="s">
        <v>41275</v>
      </c>
    </row>
    <row r="3213" spans="3:4" x14ac:dyDescent="0.3">
      <c r="C3213" s="43" t="s">
        <v>39893</v>
      </c>
      <c r="D3213" s="43" t="s">
        <v>41276</v>
      </c>
    </row>
    <row r="3214" spans="3:4" x14ac:dyDescent="0.3">
      <c r="C3214" s="43" t="s">
        <v>39893</v>
      </c>
      <c r="D3214" s="43" t="s">
        <v>41277</v>
      </c>
    </row>
    <row r="3215" spans="3:4" x14ac:dyDescent="0.3">
      <c r="C3215" s="43" t="s">
        <v>39893</v>
      </c>
      <c r="D3215" s="43" t="s">
        <v>41278</v>
      </c>
    </row>
    <row r="3216" spans="3:4" x14ac:dyDescent="0.3">
      <c r="C3216" s="43" t="s">
        <v>39893</v>
      </c>
      <c r="D3216" s="43" t="s">
        <v>41279</v>
      </c>
    </row>
    <row r="3217" spans="3:4" x14ac:dyDescent="0.3">
      <c r="C3217" s="43" t="s">
        <v>39893</v>
      </c>
      <c r="D3217" s="43" t="s">
        <v>41280</v>
      </c>
    </row>
    <row r="3218" spans="3:4" x14ac:dyDescent="0.3">
      <c r="C3218" s="43" t="s">
        <v>39893</v>
      </c>
      <c r="D3218" s="43" t="s">
        <v>41281</v>
      </c>
    </row>
    <row r="3219" spans="3:4" x14ac:dyDescent="0.3">
      <c r="C3219" s="43" t="s">
        <v>39893</v>
      </c>
      <c r="D3219" s="43" t="s">
        <v>41282</v>
      </c>
    </row>
    <row r="3220" spans="3:4" x14ac:dyDescent="0.3">
      <c r="C3220" s="43" t="s">
        <v>39893</v>
      </c>
      <c r="D3220" s="43" t="s">
        <v>41283</v>
      </c>
    </row>
    <row r="3221" spans="3:4" x14ac:dyDescent="0.3">
      <c r="C3221" s="43" t="s">
        <v>39893</v>
      </c>
      <c r="D3221" s="43" t="s">
        <v>41284</v>
      </c>
    </row>
    <row r="3222" spans="3:4" x14ac:dyDescent="0.3">
      <c r="C3222" s="43" t="s">
        <v>39893</v>
      </c>
      <c r="D3222" s="43" t="s">
        <v>41285</v>
      </c>
    </row>
    <row r="3223" spans="3:4" x14ac:dyDescent="0.3">
      <c r="C3223" s="43" t="s">
        <v>39893</v>
      </c>
      <c r="D3223" s="43" t="s">
        <v>41286</v>
      </c>
    </row>
    <row r="3224" spans="3:4" x14ac:dyDescent="0.3">
      <c r="C3224" s="43" t="s">
        <v>39893</v>
      </c>
      <c r="D3224" s="43" t="s">
        <v>41287</v>
      </c>
    </row>
    <row r="3225" spans="3:4" x14ac:dyDescent="0.3">
      <c r="C3225" s="43" t="s">
        <v>39893</v>
      </c>
      <c r="D3225" s="43" t="s">
        <v>41288</v>
      </c>
    </row>
    <row r="3226" spans="3:4" x14ac:dyDescent="0.3">
      <c r="C3226" s="43" t="s">
        <v>39893</v>
      </c>
      <c r="D3226" s="43" t="s">
        <v>41289</v>
      </c>
    </row>
    <row r="3227" spans="3:4" x14ac:dyDescent="0.3">
      <c r="C3227" s="43" t="s">
        <v>39893</v>
      </c>
      <c r="D3227" s="43" t="s">
        <v>41290</v>
      </c>
    </row>
    <row r="3228" spans="3:4" x14ac:dyDescent="0.3">
      <c r="C3228" s="43" t="s">
        <v>39893</v>
      </c>
      <c r="D3228" s="43" t="s">
        <v>41291</v>
      </c>
    </row>
    <row r="3229" spans="3:4" x14ac:dyDescent="0.3">
      <c r="C3229" s="43" t="s">
        <v>39893</v>
      </c>
      <c r="D3229" s="43" t="s">
        <v>41292</v>
      </c>
    </row>
    <row r="3230" spans="3:4" x14ac:dyDescent="0.3">
      <c r="C3230" s="43" t="s">
        <v>39893</v>
      </c>
      <c r="D3230" s="43" t="s">
        <v>41293</v>
      </c>
    </row>
    <row r="3231" spans="3:4" x14ac:dyDescent="0.3">
      <c r="C3231" s="43" t="s">
        <v>39893</v>
      </c>
      <c r="D3231" s="43" t="s">
        <v>41294</v>
      </c>
    </row>
    <row r="3232" spans="3:4" x14ac:dyDescent="0.3">
      <c r="C3232" s="43" t="s">
        <v>39893</v>
      </c>
      <c r="D3232" s="43" t="s">
        <v>41295</v>
      </c>
    </row>
    <row r="3233" spans="3:4" x14ac:dyDescent="0.3">
      <c r="C3233" s="43" t="s">
        <v>39893</v>
      </c>
      <c r="D3233" s="43" t="s">
        <v>41296</v>
      </c>
    </row>
    <row r="3234" spans="3:4" x14ac:dyDescent="0.3">
      <c r="C3234" s="43" t="s">
        <v>39893</v>
      </c>
      <c r="D3234" s="43" t="s">
        <v>41297</v>
      </c>
    </row>
    <row r="3235" spans="3:4" x14ac:dyDescent="0.3">
      <c r="C3235" s="43" t="s">
        <v>39893</v>
      </c>
      <c r="D3235" s="43" t="s">
        <v>41298</v>
      </c>
    </row>
    <row r="3236" spans="3:4" x14ac:dyDescent="0.3">
      <c r="C3236" s="43" t="s">
        <v>39893</v>
      </c>
      <c r="D3236" s="43" t="s">
        <v>41299</v>
      </c>
    </row>
    <row r="3237" spans="3:4" x14ac:dyDescent="0.3">
      <c r="C3237" s="43" t="s">
        <v>39893</v>
      </c>
      <c r="D3237" s="43" t="s">
        <v>41300</v>
      </c>
    </row>
    <row r="3238" spans="3:4" x14ac:dyDescent="0.3">
      <c r="C3238" s="43" t="s">
        <v>39893</v>
      </c>
      <c r="D3238" s="43" t="s">
        <v>41301</v>
      </c>
    </row>
    <row r="3239" spans="3:4" x14ac:dyDescent="0.3">
      <c r="C3239" s="43" t="s">
        <v>39893</v>
      </c>
      <c r="D3239" s="43" t="s">
        <v>41302</v>
      </c>
    </row>
    <row r="3240" spans="3:4" x14ac:dyDescent="0.3">
      <c r="C3240" s="43" t="s">
        <v>39893</v>
      </c>
      <c r="D3240" s="43" t="s">
        <v>41303</v>
      </c>
    </row>
    <row r="3241" spans="3:4" x14ac:dyDescent="0.3">
      <c r="C3241" s="43" t="s">
        <v>39893</v>
      </c>
      <c r="D3241" s="43" t="s">
        <v>41304</v>
      </c>
    </row>
    <row r="3242" spans="3:4" x14ac:dyDescent="0.3">
      <c r="C3242" s="43" t="s">
        <v>39893</v>
      </c>
      <c r="D3242" s="43" t="s">
        <v>41305</v>
      </c>
    </row>
    <row r="3243" spans="3:4" x14ac:dyDescent="0.3">
      <c r="C3243" s="43" t="s">
        <v>39893</v>
      </c>
      <c r="D3243" s="43" t="s">
        <v>41306</v>
      </c>
    </row>
    <row r="3244" spans="3:4" x14ac:dyDescent="0.3">
      <c r="C3244" s="43" t="s">
        <v>39893</v>
      </c>
      <c r="D3244" s="43" t="s">
        <v>41307</v>
      </c>
    </row>
    <row r="3245" spans="3:4" x14ac:dyDescent="0.3">
      <c r="C3245" s="43" t="s">
        <v>39893</v>
      </c>
      <c r="D3245" s="43" t="s">
        <v>41308</v>
      </c>
    </row>
    <row r="3246" spans="3:4" x14ac:dyDescent="0.3">
      <c r="C3246" s="43" t="s">
        <v>39893</v>
      </c>
      <c r="D3246" s="43" t="s">
        <v>41309</v>
      </c>
    </row>
    <row r="3247" spans="3:4" x14ac:dyDescent="0.3">
      <c r="C3247" s="43" t="s">
        <v>39893</v>
      </c>
      <c r="D3247" s="43" t="s">
        <v>41310</v>
      </c>
    </row>
    <row r="3248" spans="3:4" x14ac:dyDescent="0.3">
      <c r="C3248" s="43" t="s">
        <v>39893</v>
      </c>
      <c r="D3248" s="43" t="s">
        <v>41311</v>
      </c>
    </row>
    <row r="3249" spans="3:4" x14ac:dyDescent="0.3">
      <c r="C3249" s="43" t="s">
        <v>39893</v>
      </c>
      <c r="D3249" s="43" t="s">
        <v>41312</v>
      </c>
    </row>
    <row r="3250" spans="3:4" x14ac:dyDescent="0.3">
      <c r="C3250" s="43" t="s">
        <v>39893</v>
      </c>
      <c r="D3250" s="43" t="s">
        <v>41313</v>
      </c>
    </row>
    <row r="3251" spans="3:4" x14ac:dyDescent="0.3">
      <c r="C3251" s="43" t="s">
        <v>39893</v>
      </c>
      <c r="D3251" s="43" t="s">
        <v>41314</v>
      </c>
    </row>
    <row r="3252" spans="3:4" x14ac:dyDescent="0.3">
      <c r="C3252" s="43" t="s">
        <v>39893</v>
      </c>
      <c r="D3252" s="43" t="s">
        <v>41315</v>
      </c>
    </row>
    <row r="3253" spans="3:4" x14ac:dyDescent="0.3">
      <c r="C3253" s="43" t="s">
        <v>39893</v>
      </c>
      <c r="D3253" s="43" t="s">
        <v>41316</v>
      </c>
    </row>
    <row r="3254" spans="3:4" x14ac:dyDescent="0.3">
      <c r="C3254" s="43" t="s">
        <v>39893</v>
      </c>
      <c r="D3254" s="43" t="s">
        <v>41317</v>
      </c>
    </row>
    <row r="3255" spans="3:4" x14ac:dyDescent="0.3">
      <c r="C3255" s="43" t="s">
        <v>39893</v>
      </c>
      <c r="D3255" s="43" t="s">
        <v>41318</v>
      </c>
    </row>
    <row r="3256" spans="3:4" x14ac:dyDescent="0.3">
      <c r="C3256" s="43" t="s">
        <v>39893</v>
      </c>
      <c r="D3256" s="43" t="s">
        <v>41319</v>
      </c>
    </row>
    <row r="3257" spans="3:4" x14ac:dyDescent="0.3">
      <c r="C3257" s="43" t="s">
        <v>39893</v>
      </c>
      <c r="D3257" s="43" t="s">
        <v>41320</v>
      </c>
    </row>
    <row r="3258" spans="3:4" x14ac:dyDescent="0.3">
      <c r="C3258" s="43" t="s">
        <v>39893</v>
      </c>
      <c r="D3258" s="43" t="s">
        <v>41321</v>
      </c>
    </row>
    <row r="3259" spans="3:4" x14ac:dyDescent="0.3">
      <c r="C3259" s="43" t="s">
        <v>39893</v>
      </c>
      <c r="D3259" s="43" t="s">
        <v>41322</v>
      </c>
    </row>
    <row r="3260" spans="3:4" x14ac:dyDescent="0.3">
      <c r="C3260" s="43" t="s">
        <v>39893</v>
      </c>
      <c r="D3260" s="43" t="s">
        <v>41323</v>
      </c>
    </row>
    <row r="3261" spans="3:4" x14ac:dyDescent="0.3">
      <c r="C3261" s="43" t="s">
        <v>39893</v>
      </c>
      <c r="D3261" s="43" t="s">
        <v>41324</v>
      </c>
    </row>
    <row r="3262" spans="3:4" x14ac:dyDescent="0.3">
      <c r="C3262" s="43" t="s">
        <v>39893</v>
      </c>
      <c r="D3262" s="43" t="s">
        <v>41325</v>
      </c>
    </row>
    <row r="3263" spans="3:4" x14ac:dyDescent="0.3">
      <c r="C3263" s="43" t="s">
        <v>39893</v>
      </c>
      <c r="D3263" s="43" t="s">
        <v>41326</v>
      </c>
    </row>
    <row r="3264" spans="3:4" x14ac:dyDescent="0.3">
      <c r="C3264" s="43" t="s">
        <v>39893</v>
      </c>
      <c r="D3264" s="43" t="s">
        <v>41327</v>
      </c>
    </row>
    <row r="3265" spans="3:4" x14ac:dyDescent="0.3">
      <c r="C3265" s="43" t="s">
        <v>39893</v>
      </c>
      <c r="D3265" s="43" t="s">
        <v>41328</v>
      </c>
    </row>
    <row r="3266" spans="3:4" x14ac:dyDescent="0.3">
      <c r="C3266" s="43" t="s">
        <v>39893</v>
      </c>
      <c r="D3266" s="43" t="s">
        <v>41329</v>
      </c>
    </row>
    <row r="3267" spans="3:4" x14ac:dyDescent="0.3">
      <c r="C3267" s="43" t="s">
        <v>39893</v>
      </c>
      <c r="D3267" s="43" t="s">
        <v>41330</v>
      </c>
    </row>
    <row r="3268" spans="3:4" x14ac:dyDescent="0.3">
      <c r="C3268" s="43" t="s">
        <v>39893</v>
      </c>
      <c r="D3268" s="43" t="s">
        <v>41331</v>
      </c>
    </row>
    <row r="3269" spans="3:4" x14ac:dyDescent="0.3">
      <c r="C3269" s="43" t="s">
        <v>39893</v>
      </c>
      <c r="D3269" s="43" t="s">
        <v>41332</v>
      </c>
    </row>
    <row r="3270" spans="3:4" x14ac:dyDescent="0.3">
      <c r="C3270" s="43" t="s">
        <v>39893</v>
      </c>
      <c r="D3270" s="43" t="s">
        <v>41333</v>
      </c>
    </row>
    <row r="3271" spans="3:4" x14ac:dyDescent="0.3">
      <c r="C3271" s="43" t="s">
        <v>39893</v>
      </c>
      <c r="D3271" s="43" t="s">
        <v>41334</v>
      </c>
    </row>
    <row r="3272" spans="3:4" x14ac:dyDescent="0.3">
      <c r="C3272" s="43" t="s">
        <v>39893</v>
      </c>
      <c r="D3272" s="43" t="s">
        <v>41335</v>
      </c>
    </row>
    <row r="3273" spans="3:4" x14ac:dyDescent="0.3">
      <c r="C3273" s="43" t="s">
        <v>39893</v>
      </c>
      <c r="D3273" s="43" t="s">
        <v>41336</v>
      </c>
    </row>
    <row r="3274" spans="3:4" x14ac:dyDescent="0.3">
      <c r="C3274" s="43" t="s">
        <v>39893</v>
      </c>
      <c r="D3274" s="43" t="s">
        <v>41337</v>
      </c>
    </row>
    <row r="3275" spans="3:4" x14ac:dyDescent="0.3">
      <c r="C3275" s="43" t="s">
        <v>39893</v>
      </c>
      <c r="D3275" s="43" t="s">
        <v>41338</v>
      </c>
    </row>
    <row r="3276" spans="3:4" x14ac:dyDescent="0.3">
      <c r="C3276" s="43" t="s">
        <v>39893</v>
      </c>
      <c r="D3276" s="43" t="s">
        <v>41339</v>
      </c>
    </row>
    <row r="3277" spans="3:4" x14ac:dyDescent="0.3">
      <c r="C3277" s="43" t="s">
        <v>39893</v>
      </c>
      <c r="D3277" s="43" t="s">
        <v>41340</v>
      </c>
    </row>
    <row r="3278" spans="3:4" x14ac:dyDescent="0.3">
      <c r="C3278" s="43" t="s">
        <v>39893</v>
      </c>
      <c r="D3278" s="43" t="s">
        <v>41341</v>
      </c>
    </row>
    <row r="3279" spans="3:4" x14ac:dyDescent="0.3">
      <c r="C3279" s="43" t="s">
        <v>39893</v>
      </c>
      <c r="D3279" s="43" t="s">
        <v>41342</v>
      </c>
    </row>
    <row r="3280" spans="3:4" x14ac:dyDescent="0.3">
      <c r="C3280" s="43" t="s">
        <v>39893</v>
      </c>
      <c r="D3280" s="43" t="s">
        <v>41343</v>
      </c>
    </row>
    <row r="3281" spans="3:4" x14ac:dyDescent="0.3">
      <c r="C3281" s="43" t="s">
        <v>39893</v>
      </c>
      <c r="D3281" s="43" t="s">
        <v>41344</v>
      </c>
    </row>
    <row r="3282" spans="3:4" x14ac:dyDescent="0.3">
      <c r="C3282" s="43" t="s">
        <v>39893</v>
      </c>
      <c r="D3282" s="43" t="s">
        <v>41345</v>
      </c>
    </row>
    <row r="3283" spans="3:4" x14ac:dyDescent="0.3">
      <c r="C3283" s="43" t="s">
        <v>39893</v>
      </c>
      <c r="D3283" s="43" t="s">
        <v>41346</v>
      </c>
    </row>
    <row r="3284" spans="3:4" x14ac:dyDescent="0.3">
      <c r="C3284" s="43" t="s">
        <v>39893</v>
      </c>
      <c r="D3284" s="43" t="s">
        <v>41347</v>
      </c>
    </row>
    <row r="3285" spans="3:4" x14ac:dyDescent="0.3">
      <c r="C3285" s="43" t="s">
        <v>39893</v>
      </c>
      <c r="D3285" s="43" t="s">
        <v>41348</v>
      </c>
    </row>
    <row r="3286" spans="3:4" x14ac:dyDescent="0.3">
      <c r="C3286" s="43" t="s">
        <v>39893</v>
      </c>
      <c r="D3286" s="43" t="s">
        <v>41349</v>
      </c>
    </row>
    <row r="3287" spans="3:4" x14ac:dyDescent="0.3">
      <c r="C3287" s="43" t="s">
        <v>39893</v>
      </c>
      <c r="D3287" s="43" t="s">
        <v>41350</v>
      </c>
    </row>
    <row r="3288" spans="3:4" x14ac:dyDescent="0.3">
      <c r="C3288" s="43" t="s">
        <v>39893</v>
      </c>
      <c r="D3288" s="43" t="s">
        <v>41351</v>
      </c>
    </row>
    <row r="3289" spans="3:4" x14ac:dyDescent="0.3">
      <c r="C3289" s="43" t="s">
        <v>39893</v>
      </c>
      <c r="D3289" s="43" t="s">
        <v>41352</v>
      </c>
    </row>
    <row r="3290" spans="3:4" x14ac:dyDescent="0.3">
      <c r="C3290" s="43" t="s">
        <v>40291</v>
      </c>
      <c r="D3290" s="43" t="s">
        <v>41353</v>
      </c>
    </row>
    <row r="3291" spans="3:4" x14ac:dyDescent="0.3">
      <c r="C3291" s="43" t="s">
        <v>40291</v>
      </c>
      <c r="D3291" s="43" t="s">
        <v>41354</v>
      </c>
    </row>
    <row r="3292" spans="3:4" x14ac:dyDescent="0.3">
      <c r="C3292" s="43" t="s">
        <v>40291</v>
      </c>
      <c r="D3292" s="43" t="s">
        <v>41355</v>
      </c>
    </row>
    <row r="3293" spans="3:4" x14ac:dyDescent="0.3">
      <c r="C3293" s="43" t="s">
        <v>40291</v>
      </c>
      <c r="D3293" s="43" t="s">
        <v>41356</v>
      </c>
    </row>
    <row r="3294" spans="3:4" x14ac:dyDescent="0.3">
      <c r="C3294" s="43" t="s">
        <v>40291</v>
      </c>
      <c r="D3294" s="43" t="s">
        <v>41357</v>
      </c>
    </row>
    <row r="3295" spans="3:4" x14ac:dyDescent="0.3">
      <c r="C3295" s="43" t="s">
        <v>40291</v>
      </c>
      <c r="D3295" s="43" t="s">
        <v>41358</v>
      </c>
    </row>
    <row r="3296" spans="3:4" x14ac:dyDescent="0.3">
      <c r="C3296" s="43" t="s">
        <v>40291</v>
      </c>
      <c r="D3296" s="43" t="s">
        <v>41359</v>
      </c>
    </row>
    <row r="3297" spans="3:4" x14ac:dyDescent="0.3">
      <c r="C3297" s="43" t="s">
        <v>40291</v>
      </c>
      <c r="D3297" s="43" t="s">
        <v>41360</v>
      </c>
    </row>
    <row r="3298" spans="3:4" x14ac:dyDescent="0.3">
      <c r="C3298" s="43" t="s">
        <v>40291</v>
      </c>
      <c r="D3298" s="43" t="s">
        <v>41361</v>
      </c>
    </row>
    <row r="3299" spans="3:4" x14ac:dyDescent="0.3">
      <c r="C3299" s="43" t="s">
        <v>40291</v>
      </c>
      <c r="D3299" s="43" t="s">
        <v>41362</v>
      </c>
    </row>
    <row r="3300" spans="3:4" x14ac:dyDescent="0.3">
      <c r="C3300" s="43" t="s">
        <v>40291</v>
      </c>
      <c r="D3300" s="43" t="s">
        <v>41363</v>
      </c>
    </row>
    <row r="3301" spans="3:4" x14ac:dyDescent="0.3">
      <c r="C3301" s="43" t="s">
        <v>40291</v>
      </c>
      <c r="D3301" s="43" t="s">
        <v>41364</v>
      </c>
    </row>
    <row r="3302" spans="3:4" x14ac:dyDescent="0.3">
      <c r="C3302" s="43" t="s">
        <v>40291</v>
      </c>
      <c r="D3302" s="43" t="s">
        <v>41365</v>
      </c>
    </row>
    <row r="3303" spans="3:4" x14ac:dyDescent="0.3">
      <c r="C3303" s="43" t="s">
        <v>40291</v>
      </c>
      <c r="D3303" s="43" t="s">
        <v>41366</v>
      </c>
    </row>
    <row r="3304" spans="3:4" x14ac:dyDescent="0.3">
      <c r="C3304" s="43" t="s">
        <v>40291</v>
      </c>
      <c r="D3304" s="43" t="s">
        <v>41367</v>
      </c>
    </row>
    <row r="3305" spans="3:4" x14ac:dyDescent="0.3">
      <c r="C3305" s="43" t="s">
        <v>40291</v>
      </c>
      <c r="D3305" s="43" t="s">
        <v>41368</v>
      </c>
    </row>
    <row r="3306" spans="3:4" x14ac:dyDescent="0.3">
      <c r="C3306" s="43" t="s">
        <v>40291</v>
      </c>
      <c r="D3306" s="43" t="s">
        <v>41369</v>
      </c>
    </row>
    <row r="3307" spans="3:4" x14ac:dyDescent="0.3">
      <c r="C3307" s="43" t="s">
        <v>40291</v>
      </c>
      <c r="D3307" s="43" t="s">
        <v>41370</v>
      </c>
    </row>
    <row r="3308" spans="3:4" x14ac:dyDescent="0.3">
      <c r="C3308" s="43" t="s">
        <v>40291</v>
      </c>
      <c r="D3308" s="43" t="s">
        <v>41371</v>
      </c>
    </row>
    <row r="3309" spans="3:4" x14ac:dyDescent="0.3">
      <c r="C3309" s="43" t="s">
        <v>40291</v>
      </c>
      <c r="D3309" s="43" t="s">
        <v>41372</v>
      </c>
    </row>
    <row r="3310" spans="3:4" x14ac:dyDescent="0.3">
      <c r="C3310" s="43" t="s">
        <v>40291</v>
      </c>
      <c r="D3310" s="43" t="s">
        <v>41373</v>
      </c>
    </row>
    <row r="3311" spans="3:4" x14ac:dyDescent="0.3">
      <c r="C3311" s="43" t="s">
        <v>40291</v>
      </c>
      <c r="D3311" s="43" t="s">
        <v>41374</v>
      </c>
    </row>
    <row r="3312" spans="3:4" x14ac:dyDescent="0.3">
      <c r="C3312" s="43" t="s">
        <v>40291</v>
      </c>
      <c r="D3312" s="43" t="s">
        <v>41375</v>
      </c>
    </row>
    <row r="3313" spans="3:4" x14ac:dyDescent="0.3">
      <c r="C3313" s="43" t="s">
        <v>40291</v>
      </c>
      <c r="D3313" s="43" t="s">
        <v>41376</v>
      </c>
    </row>
    <row r="3314" spans="3:4" x14ac:dyDescent="0.3">
      <c r="C3314" s="43" t="s">
        <v>39893</v>
      </c>
      <c r="D3314" s="43" t="s">
        <v>41377</v>
      </c>
    </row>
    <row r="3315" spans="3:4" x14ac:dyDescent="0.3">
      <c r="C3315" s="43" t="s">
        <v>39893</v>
      </c>
      <c r="D3315" s="43" t="s">
        <v>41378</v>
      </c>
    </row>
    <row r="3316" spans="3:4" x14ac:dyDescent="0.3">
      <c r="C3316" s="43" t="s">
        <v>39893</v>
      </c>
      <c r="D3316" s="43" t="s">
        <v>41379</v>
      </c>
    </row>
    <row r="3317" spans="3:4" x14ac:dyDescent="0.3">
      <c r="C3317" s="43" t="s">
        <v>39893</v>
      </c>
      <c r="D3317" s="43" t="s">
        <v>41380</v>
      </c>
    </row>
    <row r="3318" spans="3:4" x14ac:dyDescent="0.3">
      <c r="C3318" s="43" t="s">
        <v>39893</v>
      </c>
      <c r="D3318" s="43" t="s">
        <v>41381</v>
      </c>
    </row>
    <row r="3319" spans="3:4" x14ac:dyDescent="0.3">
      <c r="C3319" s="43" t="s">
        <v>39893</v>
      </c>
      <c r="D3319" s="43" t="s">
        <v>41382</v>
      </c>
    </row>
    <row r="3320" spans="3:4" x14ac:dyDescent="0.3">
      <c r="C3320" s="43" t="s">
        <v>39893</v>
      </c>
      <c r="D3320" s="43" t="s">
        <v>41383</v>
      </c>
    </row>
    <row r="3321" spans="3:4" x14ac:dyDescent="0.3">
      <c r="C3321" s="43" t="s">
        <v>39893</v>
      </c>
      <c r="D3321" s="43" t="s">
        <v>41384</v>
      </c>
    </row>
    <row r="3322" spans="3:4" x14ac:dyDescent="0.3">
      <c r="C3322" s="43" t="s">
        <v>39893</v>
      </c>
      <c r="D3322" s="43" t="s">
        <v>41385</v>
      </c>
    </row>
    <row r="3323" spans="3:4" x14ac:dyDescent="0.3">
      <c r="C3323" s="43" t="s">
        <v>39893</v>
      </c>
      <c r="D3323" s="43" t="s">
        <v>41386</v>
      </c>
    </row>
    <row r="3324" spans="3:4" x14ac:dyDescent="0.3">
      <c r="C3324" s="43" t="s">
        <v>39893</v>
      </c>
      <c r="D3324" s="43" t="s">
        <v>41387</v>
      </c>
    </row>
    <row r="3325" spans="3:4" x14ac:dyDescent="0.3">
      <c r="C3325" s="43" t="s">
        <v>39893</v>
      </c>
      <c r="D3325" s="43" t="s">
        <v>41388</v>
      </c>
    </row>
    <row r="3326" spans="3:4" x14ac:dyDescent="0.3">
      <c r="C3326" s="43" t="s">
        <v>39893</v>
      </c>
      <c r="D3326" s="43" t="s">
        <v>41389</v>
      </c>
    </row>
    <row r="3327" spans="3:4" x14ac:dyDescent="0.3">
      <c r="C3327" s="43" t="s">
        <v>39893</v>
      </c>
      <c r="D3327" s="43" t="s">
        <v>41390</v>
      </c>
    </row>
    <row r="3328" spans="3:4" x14ac:dyDescent="0.3">
      <c r="C3328" s="43" t="s">
        <v>39893</v>
      </c>
      <c r="D3328" s="43" t="s">
        <v>41391</v>
      </c>
    </row>
    <row r="3329" spans="3:4" x14ac:dyDescent="0.3">
      <c r="C3329" s="43" t="s">
        <v>39893</v>
      </c>
      <c r="D3329" s="43" t="s">
        <v>41392</v>
      </c>
    </row>
    <row r="3330" spans="3:4" x14ac:dyDescent="0.3">
      <c r="C3330" s="43" t="s">
        <v>39893</v>
      </c>
      <c r="D3330" s="43" t="s">
        <v>41393</v>
      </c>
    </row>
    <row r="3331" spans="3:4" x14ac:dyDescent="0.3">
      <c r="C3331" s="43" t="s">
        <v>39893</v>
      </c>
      <c r="D3331" s="43" t="s">
        <v>41394</v>
      </c>
    </row>
    <row r="3332" spans="3:4" x14ac:dyDescent="0.3">
      <c r="C3332" s="43" t="s">
        <v>39893</v>
      </c>
      <c r="D3332" s="43" t="s">
        <v>41395</v>
      </c>
    </row>
    <row r="3333" spans="3:4" x14ac:dyDescent="0.3">
      <c r="C3333" s="43" t="s">
        <v>39893</v>
      </c>
      <c r="D3333" s="43" t="s">
        <v>41396</v>
      </c>
    </row>
    <row r="3334" spans="3:4" x14ac:dyDescent="0.3">
      <c r="C3334" s="43" t="s">
        <v>39893</v>
      </c>
      <c r="D3334" s="43" t="s">
        <v>41397</v>
      </c>
    </row>
    <row r="3335" spans="3:4" x14ac:dyDescent="0.3">
      <c r="C3335" s="43" t="s">
        <v>39893</v>
      </c>
      <c r="D3335" s="43" t="s">
        <v>41398</v>
      </c>
    </row>
    <row r="3336" spans="3:4" x14ac:dyDescent="0.3">
      <c r="C3336" s="43" t="s">
        <v>39893</v>
      </c>
      <c r="D3336" s="43" t="s">
        <v>41399</v>
      </c>
    </row>
    <row r="3337" spans="3:4" x14ac:dyDescent="0.3">
      <c r="C3337" s="43" t="s">
        <v>39893</v>
      </c>
      <c r="D3337" s="43" t="s">
        <v>41400</v>
      </c>
    </row>
    <row r="3338" spans="3:4" x14ac:dyDescent="0.3">
      <c r="C3338" s="43" t="s">
        <v>39893</v>
      </c>
      <c r="D3338" s="43" t="s">
        <v>41401</v>
      </c>
    </row>
    <row r="3339" spans="3:4" x14ac:dyDescent="0.3">
      <c r="C3339" s="43" t="s">
        <v>39893</v>
      </c>
      <c r="D3339" s="43" t="s">
        <v>41402</v>
      </c>
    </row>
    <row r="3340" spans="3:4" x14ac:dyDescent="0.3">
      <c r="C3340" s="43" t="s">
        <v>39893</v>
      </c>
      <c r="D3340" s="43" t="s">
        <v>41403</v>
      </c>
    </row>
    <row r="3341" spans="3:4" x14ac:dyDescent="0.3">
      <c r="C3341" s="43" t="s">
        <v>39893</v>
      </c>
      <c r="D3341" s="43" t="s">
        <v>41404</v>
      </c>
    </row>
    <row r="3342" spans="3:4" x14ac:dyDescent="0.3">
      <c r="C3342" s="43" t="s">
        <v>39893</v>
      </c>
      <c r="D3342" s="43" t="s">
        <v>41405</v>
      </c>
    </row>
    <row r="3343" spans="3:4" x14ac:dyDescent="0.3">
      <c r="C3343" s="43" t="s">
        <v>39893</v>
      </c>
      <c r="D3343" s="43" t="s">
        <v>41406</v>
      </c>
    </row>
    <row r="3344" spans="3:4" x14ac:dyDescent="0.3">
      <c r="C3344" s="43" t="s">
        <v>40291</v>
      </c>
      <c r="D3344" s="43" t="s">
        <v>41407</v>
      </c>
    </row>
    <row r="3345" spans="3:4" x14ac:dyDescent="0.3">
      <c r="C3345" s="43" t="s">
        <v>40291</v>
      </c>
      <c r="D3345" s="43" t="s">
        <v>41408</v>
      </c>
    </row>
    <row r="3346" spans="3:4" x14ac:dyDescent="0.3">
      <c r="C3346" s="43" t="s">
        <v>40291</v>
      </c>
      <c r="D3346" s="43" t="s">
        <v>41409</v>
      </c>
    </row>
    <row r="3347" spans="3:4" x14ac:dyDescent="0.3">
      <c r="C3347" s="43" t="s">
        <v>40291</v>
      </c>
      <c r="D3347" s="43" t="s">
        <v>41410</v>
      </c>
    </row>
    <row r="3348" spans="3:4" x14ac:dyDescent="0.3">
      <c r="C3348" s="43" t="s">
        <v>40291</v>
      </c>
      <c r="D3348" s="43" t="s">
        <v>41411</v>
      </c>
    </row>
    <row r="3349" spans="3:4" x14ac:dyDescent="0.3">
      <c r="C3349" s="43" t="s">
        <v>40291</v>
      </c>
      <c r="D3349" s="43" t="s">
        <v>41412</v>
      </c>
    </row>
    <row r="3350" spans="3:4" x14ac:dyDescent="0.3">
      <c r="C3350" s="43" t="s">
        <v>40291</v>
      </c>
      <c r="D3350" s="43" t="s">
        <v>41413</v>
      </c>
    </row>
    <row r="3351" spans="3:4" x14ac:dyDescent="0.3">
      <c r="C3351" s="43" t="s">
        <v>40291</v>
      </c>
      <c r="D3351" s="43" t="s">
        <v>41414</v>
      </c>
    </row>
    <row r="3352" spans="3:4" x14ac:dyDescent="0.3">
      <c r="C3352" s="43" t="s">
        <v>40291</v>
      </c>
      <c r="D3352" s="43" t="s">
        <v>41415</v>
      </c>
    </row>
    <row r="3353" spans="3:4" x14ac:dyDescent="0.3">
      <c r="C3353" s="43" t="s">
        <v>40291</v>
      </c>
      <c r="D3353" s="43" t="s">
        <v>41416</v>
      </c>
    </row>
    <row r="3354" spans="3:4" x14ac:dyDescent="0.3">
      <c r="C3354" s="43" t="s">
        <v>40291</v>
      </c>
      <c r="D3354" s="43" t="s">
        <v>41417</v>
      </c>
    </row>
    <row r="3355" spans="3:4" x14ac:dyDescent="0.3">
      <c r="C3355" s="43" t="s">
        <v>40291</v>
      </c>
      <c r="D3355" s="43" t="s">
        <v>41418</v>
      </c>
    </row>
    <row r="3356" spans="3:4" x14ac:dyDescent="0.3">
      <c r="C3356" s="43" t="s">
        <v>40291</v>
      </c>
      <c r="D3356" s="43" t="s">
        <v>41419</v>
      </c>
    </row>
    <row r="3357" spans="3:4" x14ac:dyDescent="0.3">
      <c r="C3357" s="43" t="s">
        <v>40291</v>
      </c>
      <c r="D3357" s="43" t="s">
        <v>41420</v>
      </c>
    </row>
    <row r="3358" spans="3:4" x14ac:dyDescent="0.3">
      <c r="C3358" s="43" t="s">
        <v>40291</v>
      </c>
      <c r="D3358" s="43" t="s">
        <v>41421</v>
      </c>
    </row>
    <row r="3359" spans="3:4" x14ac:dyDescent="0.3">
      <c r="C3359" s="43" t="s">
        <v>40291</v>
      </c>
      <c r="D3359" s="43" t="s">
        <v>41422</v>
      </c>
    </row>
    <row r="3360" spans="3:4" x14ac:dyDescent="0.3">
      <c r="C3360" s="43" t="s">
        <v>40291</v>
      </c>
      <c r="D3360" s="43" t="s">
        <v>41423</v>
      </c>
    </row>
    <row r="3361" spans="3:4" x14ac:dyDescent="0.3">
      <c r="C3361" s="43" t="s">
        <v>40291</v>
      </c>
      <c r="D3361" s="43" t="s">
        <v>41424</v>
      </c>
    </row>
    <row r="3362" spans="3:4" x14ac:dyDescent="0.3">
      <c r="C3362" s="43" t="s">
        <v>40291</v>
      </c>
      <c r="D3362" s="43" t="s">
        <v>41425</v>
      </c>
    </row>
    <row r="3363" spans="3:4" x14ac:dyDescent="0.3">
      <c r="C3363" s="43" t="s">
        <v>40291</v>
      </c>
      <c r="D3363" s="43" t="s">
        <v>41426</v>
      </c>
    </row>
    <row r="3364" spans="3:4" x14ac:dyDescent="0.3">
      <c r="C3364" s="43" t="s">
        <v>40291</v>
      </c>
      <c r="D3364" s="43" t="s">
        <v>41427</v>
      </c>
    </row>
    <row r="3365" spans="3:4" x14ac:dyDescent="0.3">
      <c r="C3365" s="43" t="s">
        <v>40291</v>
      </c>
      <c r="D3365" s="43" t="s">
        <v>41428</v>
      </c>
    </row>
    <row r="3366" spans="3:4" x14ac:dyDescent="0.3">
      <c r="C3366" s="43" t="s">
        <v>40291</v>
      </c>
      <c r="D3366" s="43" t="s">
        <v>41429</v>
      </c>
    </row>
    <row r="3367" spans="3:4" x14ac:dyDescent="0.3">
      <c r="C3367" s="43" t="s">
        <v>40291</v>
      </c>
      <c r="D3367" s="43" t="s">
        <v>41430</v>
      </c>
    </row>
    <row r="3368" spans="3:4" x14ac:dyDescent="0.3">
      <c r="C3368" s="43" t="s">
        <v>40291</v>
      </c>
      <c r="D3368" s="43" t="s">
        <v>41431</v>
      </c>
    </row>
    <row r="3369" spans="3:4" x14ac:dyDescent="0.3">
      <c r="C3369" s="43" t="s">
        <v>40291</v>
      </c>
      <c r="D3369" s="43" t="s">
        <v>41432</v>
      </c>
    </row>
    <row r="3370" spans="3:4" x14ac:dyDescent="0.3">
      <c r="C3370" s="43" t="s">
        <v>40291</v>
      </c>
      <c r="D3370" s="43" t="s">
        <v>41433</v>
      </c>
    </row>
    <row r="3371" spans="3:4" x14ac:dyDescent="0.3">
      <c r="C3371" s="43" t="s">
        <v>40291</v>
      </c>
      <c r="D3371" s="43" t="s">
        <v>41434</v>
      </c>
    </row>
    <row r="3372" spans="3:4" x14ac:dyDescent="0.3">
      <c r="C3372" s="43" t="s">
        <v>39893</v>
      </c>
      <c r="D3372" s="43" t="s">
        <v>41435</v>
      </c>
    </row>
    <row r="3373" spans="3:4" x14ac:dyDescent="0.3">
      <c r="C3373" s="43" t="s">
        <v>39893</v>
      </c>
      <c r="D3373" s="43" t="s">
        <v>41436</v>
      </c>
    </row>
    <row r="3374" spans="3:4" x14ac:dyDescent="0.3">
      <c r="C3374" s="43" t="s">
        <v>39893</v>
      </c>
      <c r="D3374" s="43" t="s">
        <v>41437</v>
      </c>
    </row>
    <row r="3375" spans="3:4" x14ac:dyDescent="0.3">
      <c r="C3375" s="43" t="s">
        <v>39893</v>
      </c>
      <c r="D3375" s="43" t="s">
        <v>41438</v>
      </c>
    </row>
    <row r="3376" spans="3:4" x14ac:dyDescent="0.3">
      <c r="C3376" s="43" t="s">
        <v>39893</v>
      </c>
      <c r="D3376" s="43" t="s">
        <v>41439</v>
      </c>
    </row>
    <row r="3377" spans="3:4" x14ac:dyDescent="0.3">
      <c r="C3377" s="43" t="s">
        <v>39893</v>
      </c>
      <c r="D3377" s="43" t="s">
        <v>41440</v>
      </c>
    </row>
    <row r="3378" spans="3:4" x14ac:dyDescent="0.3">
      <c r="C3378" s="43" t="s">
        <v>39893</v>
      </c>
      <c r="D3378" s="43" t="s">
        <v>41441</v>
      </c>
    </row>
    <row r="3379" spans="3:4" x14ac:dyDescent="0.3">
      <c r="C3379" s="43" t="s">
        <v>39893</v>
      </c>
      <c r="D3379" s="43" t="s">
        <v>41442</v>
      </c>
    </row>
    <row r="3380" spans="3:4" x14ac:dyDescent="0.3">
      <c r="C3380" s="43" t="s">
        <v>39893</v>
      </c>
      <c r="D3380" s="43" t="s">
        <v>41443</v>
      </c>
    </row>
    <row r="3381" spans="3:4" x14ac:dyDescent="0.3">
      <c r="C3381" s="43" t="s">
        <v>39893</v>
      </c>
      <c r="D3381" s="43" t="s">
        <v>41444</v>
      </c>
    </row>
    <row r="3382" spans="3:4" x14ac:dyDescent="0.3">
      <c r="C3382" s="43" t="s">
        <v>39893</v>
      </c>
      <c r="D3382" s="43" t="s">
        <v>41445</v>
      </c>
    </row>
    <row r="3383" spans="3:4" x14ac:dyDescent="0.3">
      <c r="C3383" s="43" t="s">
        <v>39893</v>
      </c>
      <c r="D3383" s="43" t="s">
        <v>41446</v>
      </c>
    </row>
    <row r="3384" spans="3:4" x14ac:dyDescent="0.3">
      <c r="C3384" s="43" t="s">
        <v>39893</v>
      </c>
      <c r="D3384" s="43" t="s">
        <v>41447</v>
      </c>
    </row>
    <row r="3385" spans="3:4" x14ac:dyDescent="0.3">
      <c r="C3385" s="43" t="s">
        <v>39893</v>
      </c>
      <c r="D3385" s="43" t="s">
        <v>41448</v>
      </c>
    </row>
    <row r="3386" spans="3:4" x14ac:dyDescent="0.3">
      <c r="C3386" s="43" t="s">
        <v>39893</v>
      </c>
      <c r="D3386" s="43" t="s">
        <v>41449</v>
      </c>
    </row>
    <row r="3387" spans="3:4" x14ac:dyDescent="0.3">
      <c r="C3387" s="43" t="s">
        <v>38361</v>
      </c>
      <c r="D3387" s="43" t="s">
        <v>41450</v>
      </c>
    </row>
    <row r="3388" spans="3:4" x14ac:dyDescent="0.3">
      <c r="C3388" s="43" t="s">
        <v>38361</v>
      </c>
      <c r="D3388" s="43" t="s">
        <v>41451</v>
      </c>
    </row>
    <row r="3389" spans="3:4" x14ac:dyDescent="0.3">
      <c r="C3389" s="43" t="s">
        <v>38361</v>
      </c>
      <c r="D3389" s="43" t="s">
        <v>41452</v>
      </c>
    </row>
    <row r="3390" spans="3:4" x14ac:dyDescent="0.3">
      <c r="C3390" s="43" t="s">
        <v>38361</v>
      </c>
      <c r="D3390" s="43" t="s">
        <v>41453</v>
      </c>
    </row>
    <row r="3391" spans="3:4" x14ac:dyDescent="0.3">
      <c r="C3391" s="43" t="s">
        <v>38361</v>
      </c>
      <c r="D3391" s="43" t="s">
        <v>41454</v>
      </c>
    </row>
    <row r="3392" spans="3:4" x14ac:dyDescent="0.3">
      <c r="C3392" s="43" t="s">
        <v>38361</v>
      </c>
      <c r="D3392" s="43" t="s">
        <v>41455</v>
      </c>
    </row>
    <row r="3393" spans="3:4" x14ac:dyDescent="0.3">
      <c r="C3393" s="43" t="s">
        <v>38361</v>
      </c>
      <c r="D3393" s="43" t="s">
        <v>41456</v>
      </c>
    </row>
    <row r="3394" spans="3:4" x14ac:dyDescent="0.3">
      <c r="C3394" s="43" t="s">
        <v>38361</v>
      </c>
      <c r="D3394" s="43" t="s">
        <v>41457</v>
      </c>
    </row>
    <row r="3395" spans="3:4" x14ac:dyDescent="0.3">
      <c r="C3395" s="43" t="s">
        <v>38361</v>
      </c>
      <c r="D3395" s="43" t="s">
        <v>41458</v>
      </c>
    </row>
    <row r="3396" spans="3:4" x14ac:dyDescent="0.3">
      <c r="C3396" s="43" t="s">
        <v>38361</v>
      </c>
      <c r="D3396" s="43" t="s">
        <v>41459</v>
      </c>
    </row>
    <row r="3397" spans="3:4" x14ac:dyDescent="0.3">
      <c r="C3397" s="43" t="s">
        <v>38361</v>
      </c>
      <c r="D3397" s="43" t="s">
        <v>41460</v>
      </c>
    </row>
    <row r="3398" spans="3:4" x14ac:dyDescent="0.3">
      <c r="C3398" s="43" t="s">
        <v>38361</v>
      </c>
      <c r="D3398" s="43" t="s">
        <v>41461</v>
      </c>
    </row>
    <row r="3399" spans="3:4" x14ac:dyDescent="0.3">
      <c r="C3399" s="43" t="s">
        <v>38361</v>
      </c>
      <c r="D3399" s="43" t="s">
        <v>41462</v>
      </c>
    </row>
    <row r="3400" spans="3:4" x14ac:dyDescent="0.3">
      <c r="C3400" s="43" t="s">
        <v>38361</v>
      </c>
      <c r="D3400" s="43" t="s">
        <v>41463</v>
      </c>
    </row>
    <row r="3401" spans="3:4" x14ac:dyDescent="0.3">
      <c r="C3401" s="43" t="s">
        <v>38398</v>
      </c>
      <c r="D3401" s="43" t="s">
        <v>39182</v>
      </c>
    </row>
    <row r="3402" spans="3:4" x14ac:dyDescent="0.3">
      <c r="C3402" s="43" t="s">
        <v>38350</v>
      </c>
      <c r="D3402" s="43" t="s">
        <v>41464</v>
      </c>
    </row>
    <row r="3403" spans="3:4" x14ac:dyDescent="0.3">
      <c r="C3403" s="43" t="s">
        <v>38350</v>
      </c>
      <c r="D3403" s="43" t="s">
        <v>41465</v>
      </c>
    </row>
    <row r="3404" spans="3:4" x14ac:dyDescent="0.3">
      <c r="C3404" s="43" t="s">
        <v>41466</v>
      </c>
      <c r="D3404" s="43" t="s">
        <v>41464</v>
      </c>
    </row>
    <row r="3405" spans="3:4" x14ac:dyDescent="0.3">
      <c r="C3405" s="43" t="s">
        <v>38350</v>
      </c>
      <c r="D3405" s="43" t="s">
        <v>41467</v>
      </c>
    </row>
    <row r="3406" spans="3:4" x14ac:dyDescent="0.3">
      <c r="C3406" s="43" t="s">
        <v>38350</v>
      </c>
      <c r="D3406" s="43" t="s">
        <v>41468</v>
      </c>
    </row>
    <row r="3407" spans="3:4" x14ac:dyDescent="0.3">
      <c r="C3407" s="43" t="s">
        <v>38350</v>
      </c>
      <c r="D3407" s="43" t="s">
        <v>41469</v>
      </c>
    </row>
    <row r="3408" spans="3:4" x14ac:dyDescent="0.3">
      <c r="C3408" s="43" t="s">
        <v>38350</v>
      </c>
      <c r="D3408" s="43" t="s">
        <v>41470</v>
      </c>
    </row>
    <row r="3409" spans="3:4" x14ac:dyDescent="0.3">
      <c r="C3409" s="43" t="s">
        <v>41466</v>
      </c>
      <c r="D3409" s="43" t="s">
        <v>41471</v>
      </c>
    </row>
    <row r="3410" spans="3:4" x14ac:dyDescent="0.3">
      <c r="C3410" s="43" t="s">
        <v>38350</v>
      </c>
      <c r="D3410" s="43" t="s">
        <v>41472</v>
      </c>
    </row>
    <row r="3411" spans="3:4" x14ac:dyDescent="0.3">
      <c r="C3411" s="43" t="s">
        <v>38350</v>
      </c>
      <c r="D3411" s="43" t="s">
        <v>41473</v>
      </c>
    </row>
    <row r="3412" spans="3:4" x14ac:dyDescent="0.3">
      <c r="C3412" s="43" t="s">
        <v>38350</v>
      </c>
      <c r="D3412" s="43" t="s">
        <v>41474</v>
      </c>
    </row>
    <row r="3413" spans="3:4" x14ac:dyDescent="0.3">
      <c r="C3413" s="43" t="s">
        <v>38350</v>
      </c>
      <c r="D3413" s="43" t="s">
        <v>41475</v>
      </c>
    </row>
    <row r="3414" spans="3:4" x14ac:dyDescent="0.3">
      <c r="C3414" s="43" t="s">
        <v>38350</v>
      </c>
      <c r="D3414" s="43" t="s">
        <v>41476</v>
      </c>
    </row>
    <row r="3415" spans="3:4" x14ac:dyDescent="0.3">
      <c r="C3415" s="43" t="s">
        <v>38350</v>
      </c>
      <c r="D3415" s="43" t="s">
        <v>41477</v>
      </c>
    </row>
    <row r="3416" spans="3:4" x14ac:dyDescent="0.3">
      <c r="C3416" s="43" t="s">
        <v>38350</v>
      </c>
      <c r="D3416" s="43" t="s">
        <v>41478</v>
      </c>
    </row>
    <row r="3417" spans="3:4" x14ac:dyDescent="0.3">
      <c r="C3417" s="43" t="s">
        <v>38350</v>
      </c>
      <c r="D3417" s="43" t="s">
        <v>41479</v>
      </c>
    </row>
    <row r="3418" spans="3:4" x14ac:dyDescent="0.3">
      <c r="C3418" s="43" t="s">
        <v>38350</v>
      </c>
      <c r="D3418" s="43" t="s">
        <v>41480</v>
      </c>
    </row>
    <row r="3419" spans="3:4" x14ac:dyDescent="0.3">
      <c r="C3419" s="43" t="s">
        <v>41466</v>
      </c>
      <c r="D3419" s="43" t="s">
        <v>41481</v>
      </c>
    </row>
    <row r="3420" spans="3:4" x14ac:dyDescent="0.3">
      <c r="C3420" s="43" t="s">
        <v>38350</v>
      </c>
      <c r="D3420" s="43" t="s">
        <v>41471</v>
      </c>
    </row>
    <row r="3421" spans="3:4" x14ac:dyDescent="0.3">
      <c r="C3421" s="43" t="s">
        <v>38350</v>
      </c>
      <c r="D3421" s="43" t="s">
        <v>41482</v>
      </c>
    </row>
    <row r="3422" spans="3:4" x14ac:dyDescent="0.3">
      <c r="C3422" s="43" t="s">
        <v>41466</v>
      </c>
      <c r="D3422" s="43" t="s">
        <v>41483</v>
      </c>
    </row>
    <row r="3423" spans="3:4" x14ac:dyDescent="0.3">
      <c r="C3423" s="43" t="s">
        <v>41466</v>
      </c>
      <c r="D3423" s="43" t="s">
        <v>41484</v>
      </c>
    </row>
    <row r="3424" spans="3:4" x14ac:dyDescent="0.3">
      <c r="C3424" s="43" t="s">
        <v>38350</v>
      </c>
      <c r="D3424" s="43" t="s">
        <v>41485</v>
      </c>
    </row>
    <row r="3425" spans="3:4" x14ac:dyDescent="0.3">
      <c r="C3425" s="43" t="s">
        <v>38350</v>
      </c>
      <c r="D3425" s="43" t="s">
        <v>41486</v>
      </c>
    </row>
    <row r="3426" spans="3:4" x14ac:dyDescent="0.3">
      <c r="C3426" s="43" t="s">
        <v>38350</v>
      </c>
      <c r="D3426" s="43" t="s">
        <v>41487</v>
      </c>
    </row>
    <row r="3427" spans="3:4" x14ac:dyDescent="0.3">
      <c r="C3427" s="43" t="s">
        <v>38350</v>
      </c>
      <c r="D3427" s="43" t="s">
        <v>41488</v>
      </c>
    </row>
    <row r="3428" spans="3:4" x14ac:dyDescent="0.3">
      <c r="C3428" s="43" t="s">
        <v>41466</v>
      </c>
      <c r="D3428" s="43" t="s">
        <v>41489</v>
      </c>
    </row>
    <row r="3429" spans="3:4" x14ac:dyDescent="0.3">
      <c r="C3429" s="43" t="s">
        <v>38350</v>
      </c>
      <c r="D3429" s="43" t="s">
        <v>41490</v>
      </c>
    </row>
    <row r="3430" spans="3:4" x14ac:dyDescent="0.3">
      <c r="C3430" s="43" t="s">
        <v>41466</v>
      </c>
      <c r="D3430" s="43" t="s">
        <v>41491</v>
      </c>
    </row>
    <row r="3431" spans="3:4" x14ac:dyDescent="0.3">
      <c r="C3431" s="43" t="s">
        <v>41466</v>
      </c>
      <c r="D3431" s="43" t="s">
        <v>41492</v>
      </c>
    </row>
    <row r="3432" spans="3:4" x14ac:dyDescent="0.3">
      <c r="C3432" s="43" t="s">
        <v>38350</v>
      </c>
      <c r="D3432" s="43" t="s">
        <v>41493</v>
      </c>
    </row>
    <row r="3433" spans="3:4" x14ac:dyDescent="0.3">
      <c r="C3433" s="43" t="s">
        <v>38350</v>
      </c>
      <c r="D3433" s="43" t="s">
        <v>41494</v>
      </c>
    </row>
    <row r="3434" spans="3:4" x14ac:dyDescent="0.3">
      <c r="C3434" s="43" t="s">
        <v>38350</v>
      </c>
      <c r="D3434" s="43" t="s">
        <v>41495</v>
      </c>
    </row>
    <row r="3435" spans="3:4" x14ac:dyDescent="0.3">
      <c r="C3435" s="43" t="s">
        <v>38350</v>
      </c>
      <c r="D3435" s="43" t="s">
        <v>41496</v>
      </c>
    </row>
    <row r="3436" spans="3:4" x14ac:dyDescent="0.3">
      <c r="C3436" s="43" t="s">
        <v>38350</v>
      </c>
      <c r="D3436" s="43" t="s">
        <v>41497</v>
      </c>
    </row>
    <row r="3437" spans="3:4" x14ac:dyDescent="0.3">
      <c r="C3437" s="43" t="s">
        <v>38350</v>
      </c>
      <c r="D3437" s="43" t="s">
        <v>41498</v>
      </c>
    </row>
    <row r="3438" spans="3:4" x14ac:dyDescent="0.3">
      <c r="C3438" s="43" t="s">
        <v>38350</v>
      </c>
      <c r="D3438" s="43" t="s">
        <v>41499</v>
      </c>
    </row>
    <row r="3439" spans="3:4" x14ac:dyDescent="0.3">
      <c r="C3439" s="43" t="s">
        <v>38350</v>
      </c>
      <c r="D3439" s="43" t="s">
        <v>41500</v>
      </c>
    </row>
    <row r="3440" spans="3:4" x14ac:dyDescent="0.3">
      <c r="C3440" s="43" t="s">
        <v>38350</v>
      </c>
      <c r="D3440" s="43" t="s">
        <v>41501</v>
      </c>
    </row>
    <row r="3441" spans="3:4" x14ac:dyDescent="0.3">
      <c r="C3441" s="43" t="s">
        <v>39166</v>
      </c>
      <c r="D3441" s="43" t="s">
        <v>41502</v>
      </c>
    </row>
    <row r="3442" spans="3:4" x14ac:dyDescent="0.3">
      <c r="C3442" s="43" t="s">
        <v>38350</v>
      </c>
      <c r="D3442" s="43" t="s">
        <v>41503</v>
      </c>
    </row>
    <row r="3443" spans="3:4" x14ac:dyDescent="0.3">
      <c r="C3443" s="43" t="s">
        <v>41466</v>
      </c>
      <c r="D3443" s="43" t="s">
        <v>41504</v>
      </c>
    </row>
    <row r="3444" spans="3:4" x14ac:dyDescent="0.3">
      <c r="C3444" s="43" t="s">
        <v>38350</v>
      </c>
      <c r="D3444" s="43" t="s">
        <v>41505</v>
      </c>
    </row>
    <row r="3445" spans="3:4" x14ac:dyDescent="0.3">
      <c r="C3445" s="43" t="s">
        <v>41466</v>
      </c>
      <c r="D3445" s="43" t="s">
        <v>41506</v>
      </c>
    </row>
    <row r="3446" spans="3:4" x14ac:dyDescent="0.3">
      <c r="C3446" s="43" t="s">
        <v>38350</v>
      </c>
      <c r="D3446" s="43" t="s">
        <v>41507</v>
      </c>
    </row>
    <row r="3447" spans="3:4" x14ac:dyDescent="0.3">
      <c r="C3447" s="43" t="s">
        <v>41466</v>
      </c>
      <c r="D3447" s="43" t="s">
        <v>41508</v>
      </c>
    </row>
    <row r="3448" spans="3:4" x14ac:dyDescent="0.3">
      <c r="C3448" s="43" t="s">
        <v>38350</v>
      </c>
      <c r="D3448" s="43" t="s">
        <v>41509</v>
      </c>
    </row>
    <row r="3449" spans="3:4" x14ac:dyDescent="0.3">
      <c r="C3449" s="43" t="s">
        <v>38350</v>
      </c>
      <c r="D3449" s="43" t="s">
        <v>41510</v>
      </c>
    </row>
    <row r="3450" spans="3:4" x14ac:dyDescent="0.3">
      <c r="C3450" s="43" t="s">
        <v>38350</v>
      </c>
      <c r="D3450" s="43" t="s">
        <v>41511</v>
      </c>
    </row>
    <row r="3451" spans="3:4" x14ac:dyDescent="0.3">
      <c r="C3451" s="43" t="s">
        <v>41466</v>
      </c>
      <c r="D3451" s="43" t="s">
        <v>41512</v>
      </c>
    </row>
    <row r="3452" spans="3:4" x14ac:dyDescent="0.3">
      <c r="C3452" s="43" t="s">
        <v>38350</v>
      </c>
      <c r="D3452" s="43" t="s">
        <v>41513</v>
      </c>
    </row>
    <row r="3453" spans="3:4" x14ac:dyDescent="0.3">
      <c r="C3453" s="43" t="s">
        <v>41466</v>
      </c>
      <c r="D3453" s="43" t="s">
        <v>41514</v>
      </c>
    </row>
    <row r="3454" spans="3:4" x14ac:dyDescent="0.3">
      <c r="C3454" s="43" t="s">
        <v>41515</v>
      </c>
      <c r="D3454" s="43" t="s">
        <v>38551</v>
      </c>
    </row>
    <row r="3455" spans="3:4" x14ac:dyDescent="0.3">
      <c r="C3455" s="43" t="s">
        <v>41516</v>
      </c>
      <c r="D3455" s="43" t="s">
        <v>41517</v>
      </c>
    </row>
    <row r="3456" spans="3:4" x14ac:dyDescent="0.3">
      <c r="C3456" s="43" t="s">
        <v>41516</v>
      </c>
      <c r="D3456" s="43" t="s">
        <v>41518</v>
      </c>
    </row>
    <row r="3457" spans="3:4" x14ac:dyDescent="0.3">
      <c r="C3457" s="43" t="s">
        <v>41516</v>
      </c>
      <c r="D3457" s="43" t="s">
        <v>41519</v>
      </c>
    </row>
    <row r="3458" spans="3:4" x14ac:dyDescent="0.3">
      <c r="C3458" s="43" t="s">
        <v>41516</v>
      </c>
      <c r="D3458" s="43" t="s">
        <v>41520</v>
      </c>
    </row>
    <row r="3459" spans="3:4" x14ac:dyDescent="0.3">
      <c r="C3459" s="43" t="s">
        <v>39164</v>
      </c>
      <c r="D3459" s="43" t="s">
        <v>41521</v>
      </c>
    </row>
    <row r="3460" spans="3:4" x14ac:dyDescent="0.3">
      <c r="C3460" s="43" t="s">
        <v>39164</v>
      </c>
      <c r="D3460" s="43" t="s">
        <v>41522</v>
      </c>
    </row>
    <row r="3461" spans="3:4" x14ac:dyDescent="0.3">
      <c r="C3461" s="43" t="s">
        <v>41523</v>
      </c>
      <c r="D3461" s="43" t="s">
        <v>41524</v>
      </c>
    </row>
    <row r="3462" spans="3:4" x14ac:dyDescent="0.3">
      <c r="C3462" s="43" t="s">
        <v>41525</v>
      </c>
      <c r="D3462" s="43" t="s">
        <v>41524</v>
      </c>
    </row>
    <row r="3463" spans="3:4" x14ac:dyDescent="0.3">
      <c r="C3463" s="43" t="s">
        <v>41516</v>
      </c>
      <c r="D3463" s="43" t="s">
        <v>41526</v>
      </c>
    </row>
    <row r="3464" spans="3:4" x14ac:dyDescent="0.3">
      <c r="C3464" s="43" t="s">
        <v>39166</v>
      </c>
      <c r="D3464" s="43" t="s">
        <v>41527</v>
      </c>
    </row>
    <row r="3465" spans="3:4" x14ac:dyDescent="0.3">
      <c r="C3465" s="43" t="s">
        <v>41516</v>
      </c>
      <c r="D3465" s="43" t="s">
        <v>41528</v>
      </c>
    </row>
    <row r="3466" spans="3:4" x14ac:dyDescent="0.3">
      <c r="C3466" s="43" t="s">
        <v>38374</v>
      </c>
      <c r="D3466" s="43" t="s">
        <v>41529</v>
      </c>
    </row>
    <row r="3467" spans="3:4" x14ac:dyDescent="0.3">
      <c r="C3467" s="43" t="s">
        <v>41530</v>
      </c>
      <c r="D3467" s="43" t="s">
        <v>41524</v>
      </c>
    </row>
    <row r="3468" spans="3:4" x14ac:dyDescent="0.3">
      <c r="C3468" s="43" t="s">
        <v>41531</v>
      </c>
      <c r="D3468" s="43" t="s">
        <v>41524</v>
      </c>
    </row>
    <row r="3469" spans="3:4" x14ac:dyDescent="0.3">
      <c r="C3469" s="43" t="s">
        <v>41532</v>
      </c>
      <c r="D3469" s="43" t="s">
        <v>41524</v>
      </c>
    </row>
    <row r="3470" spans="3:4" x14ac:dyDescent="0.3">
      <c r="C3470" s="43" t="s">
        <v>39166</v>
      </c>
      <c r="D3470" s="43" t="s">
        <v>41533</v>
      </c>
    </row>
    <row r="3471" spans="3:4" x14ac:dyDescent="0.3">
      <c r="C3471" s="43" t="s">
        <v>41534</v>
      </c>
      <c r="D3471" s="43" t="s">
        <v>41524</v>
      </c>
    </row>
    <row r="3472" spans="3:4" x14ac:dyDescent="0.3">
      <c r="C3472" s="43" t="s">
        <v>41535</v>
      </c>
      <c r="D3472" s="43" t="s">
        <v>41536</v>
      </c>
    </row>
    <row r="3473" spans="3:4" x14ac:dyDescent="0.3">
      <c r="C3473" s="43" t="s">
        <v>41537</v>
      </c>
      <c r="D3473" s="43" t="s">
        <v>41538</v>
      </c>
    </row>
    <row r="3474" spans="3:4" x14ac:dyDescent="0.3">
      <c r="C3474" s="43" t="s">
        <v>41539</v>
      </c>
      <c r="D3474" s="43" t="s">
        <v>41540</v>
      </c>
    </row>
    <row r="3475" spans="3:4" x14ac:dyDescent="0.3">
      <c r="C3475" s="43" t="s">
        <v>41537</v>
      </c>
      <c r="D3475" s="43" t="s">
        <v>41541</v>
      </c>
    </row>
    <row r="3476" spans="3:4" x14ac:dyDescent="0.3">
      <c r="C3476" s="43" t="s">
        <v>41542</v>
      </c>
      <c r="D3476" s="43" t="s">
        <v>41543</v>
      </c>
    </row>
    <row r="3477" spans="3:4" x14ac:dyDescent="0.3">
      <c r="C3477" s="43" t="s">
        <v>41537</v>
      </c>
      <c r="D3477" s="43" t="s">
        <v>41544</v>
      </c>
    </row>
    <row r="3478" spans="3:4" x14ac:dyDescent="0.3">
      <c r="C3478" s="43" t="s">
        <v>41535</v>
      </c>
      <c r="D3478" s="43" t="s">
        <v>41545</v>
      </c>
    </row>
    <row r="3479" spans="3:4" x14ac:dyDescent="0.3">
      <c r="C3479" s="43" t="s">
        <v>41546</v>
      </c>
      <c r="D3479" s="43" t="s">
        <v>41547</v>
      </c>
    </row>
    <row r="3480" spans="3:4" x14ac:dyDescent="0.3">
      <c r="C3480" s="43" t="s">
        <v>41537</v>
      </c>
      <c r="D3480" s="43" t="s">
        <v>41548</v>
      </c>
    </row>
    <row r="3481" spans="3:4" x14ac:dyDescent="0.3">
      <c r="C3481" s="43" t="s">
        <v>39164</v>
      </c>
      <c r="D3481" s="43" t="s">
        <v>41549</v>
      </c>
    </row>
    <row r="3482" spans="3:4" x14ac:dyDescent="0.3">
      <c r="C3482" s="43" t="s">
        <v>41535</v>
      </c>
      <c r="D3482" s="43" t="s">
        <v>41550</v>
      </c>
    </row>
    <row r="3483" spans="3:4" x14ac:dyDescent="0.3">
      <c r="C3483" s="43" t="s">
        <v>41551</v>
      </c>
      <c r="D3483" s="43" t="s">
        <v>41533</v>
      </c>
    </row>
    <row r="3484" spans="3:4" x14ac:dyDescent="0.3">
      <c r="C3484" s="43" t="s">
        <v>41535</v>
      </c>
      <c r="D3484" s="43" t="s">
        <v>41552</v>
      </c>
    </row>
    <row r="3485" spans="3:4" x14ac:dyDescent="0.3">
      <c r="C3485" s="43" t="s">
        <v>41537</v>
      </c>
      <c r="D3485" s="43" t="s">
        <v>41553</v>
      </c>
    </row>
    <row r="3486" spans="3:4" x14ac:dyDescent="0.3">
      <c r="C3486" s="43" t="s">
        <v>41554</v>
      </c>
      <c r="D3486" s="43" t="s">
        <v>41543</v>
      </c>
    </row>
    <row r="3487" spans="3:4" x14ac:dyDescent="0.3">
      <c r="C3487" s="43" t="s">
        <v>41537</v>
      </c>
      <c r="D3487" s="43" t="s">
        <v>41555</v>
      </c>
    </row>
    <row r="3488" spans="3:4" x14ac:dyDescent="0.3">
      <c r="C3488" s="43" t="s">
        <v>41546</v>
      </c>
      <c r="D3488" s="43" t="s">
        <v>41556</v>
      </c>
    </row>
    <row r="3489" spans="3:4" x14ac:dyDescent="0.3">
      <c r="C3489" s="43" t="s">
        <v>41557</v>
      </c>
      <c r="D3489" s="43" t="s">
        <v>39172</v>
      </c>
    </row>
    <row r="3490" spans="3:4" x14ac:dyDescent="0.3">
      <c r="C3490" s="43" t="s">
        <v>41537</v>
      </c>
      <c r="D3490" s="43" t="s">
        <v>41558</v>
      </c>
    </row>
    <row r="3491" spans="3:4" x14ac:dyDescent="0.3">
      <c r="C3491" s="43" t="s">
        <v>41559</v>
      </c>
      <c r="D3491" s="43" t="s">
        <v>41560</v>
      </c>
    </row>
    <row r="3492" spans="3:4" x14ac:dyDescent="0.3">
      <c r="C3492" s="43" t="s">
        <v>39164</v>
      </c>
      <c r="D3492" s="43" t="s">
        <v>41561</v>
      </c>
    </row>
    <row r="3493" spans="3:4" x14ac:dyDescent="0.3">
      <c r="C3493" s="43" t="s">
        <v>41562</v>
      </c>
      <c r="D3493" s="43" t="s">
        <v>41563</v>
      </c>
    </row>
    <row r="3494" spans="3:4" x14ac:dyDescent="0.3">
      <c r="C3494" s="43" t="s">
        <v>41564</v>
      </c>
      <c r="D3494" s="43" t="s">
        <v>41563</v>
      </c>
    </row>
    <row r="3495" spans="3:4" x14ac:dyDescent="0.3">
      <c r="C3495" s="43" t="s">
        <v>41565</v>
      </c>
      <c r="D3495" s="43" t="s">
        <v>41563</v>
      </c>
    </row>
    <row r="3496" spans="3:4" x14ac:dyDescent="0.3">
      <c r="C3496" s="43" t="s">
        <v>41559</v>
      </c>
      <c r="D3496" s="43" t="s">
        <v>41566</v>
      </c>
    </row>
    <row r="3497" spans="3:4" x14ac:dyDescent="0.3">
      <c r="C3497" s="43" t="s">
        <v>41567</v>
      </c>
      <c r="D3497" s="43" t="s">
        <v>41568</v>
      </c>
    </row>
    <row r="3498" spans="3:4" x14ac:dyDescent="0.3">
      <c r="C3498" s="43" t="s">
        <v>41569</v>
      </c>
      <c r="D3498" s="43" t="s">
        <v>41568</v>
      </c>
    </row>
    <row r="3499" spans="3:4" x14ac:dyDescent="0.3">
      <c r="C3499" s="43" t="s">
        <v>41570</v>
      </c>
      <c r="D3499" s="43" t="s">
        <v>41543</v>
      </c>
    </row>
    <row r="3500" spans="3:4" x14ac:dyDescent="0.3">
      <c r="C3500" s="43" t="s">
        <v>41571</v>
      </c>
      <c r="D3500" s="43" t="s">
        <v>41568</v>
      </c>
    </row>
    <row r="3501" spans="3:4" x14ac:dyDescent="0.3">
      <c r="C3501" s="43" t="s">
        <v>41546</v>
      </c>
      <c r="D3501" s="43" t="s">
        <v>41572</v>
      </c>
    </row>
    <row r="3502" spans="3:4" x14ac:dyDescent="0.3">
      <c r="C3502" s="43" t="s">
        <v>39168</v>
      </c>
      <c r="D3502" s="43" t="s">
        <v>41573</v>
      </c>
    </row>
    <row r="3503" spans="3:4" x14ac:dyDescent="0.3">
      <c r="C3503" s="43" t="s">
        <v>41574</v>
      </c>
      <c r="D3503" s="43" t="s">
        <v>39246</v>
      </c>
    </row>
    <row r="3504" spans="3:4" x14ac:dyDescent="0.3">
      <c r="C3504" s="43" t="s">
        <v>38390</v>
      </c>
      <c r="D3504" s="43" t="s">
        <v>41575</v>
      </c>
    </row>
    <row r="3505" spans="3:4" x14ac:dyDescent="0.3">
      <c r="C3505" s="43" t="s">
        <v>38390</v>
      </c>
      <c r="D3505" s="43" t="s">
        <v>41576</v>
      </c>
    </row>
    <row r="3506" spans="3:4" x14ac:dyDescent="0.3">
      <c r="C3506" s="43" t="s">
        <v>38390</v>
      </c>
      <c r="D3506" s="43" t="s">
        <v>41577</v>
      </c>
    </row>
    <row r="3507" spans="3:4" x14ac:dyDescent="0.3">
      <c r="C3507" s="43" t="s">
        <v>38390</v>
      </c>
      <c r="D3507" s="43" t="s">
        <v>41578</v>
      </c>
    </row>
    <row r="3508" spans="3:4" x14ac:dyDescent="0.3">
      <c r="C3508" s="43" t="s">
        <v>38390</v>
      </c>
      <c r="D3508" s="43" t="s">
        <v>41579</v>
      </c>
    </row>
    <row r="3509" spans="3:4" x14ac:dyDescent="0.3">
      <c r="C3509" s="43" t="s">
        <v>39242</v>
      </c>
      <c r="D3509" s="43" t="s">
        <v>41580</v>
      </c>
    </row>
    <row r="3510" spans="3:4" x14ac:dyDescent="0.3">
      <c r="C3510" s="43" t="s">
        <v>39242</v>
      </c>
      <c r="D3510" s="43" t="s">
        <v>41581</v>
      </c>
    </row>
    <row r="3511" spans="3:4" x14ac:dyDescent="0.3">
      <c r="C3511" s="43" t="s">
        <v>41582</v>
      </c>
      <c r="D3511" s="43" t="s">
        <v>41583</v>
      </c>
    </row>
    <row r="3512" spans="3:4" x14ac:dyDescent="0.3">
      <c r="C3512" s="43" t="s">
        <v>38390</v>
      </c>
      <c r="D3512" s="43" t="s">
        <v>41584</v>
      </c>
    </row>
    <row r="3513" spans="3:4" x14ac:dyDescent="0.3">
      <c r="C3513" s="43" t="s">
        <v>38394</v>
      </c>
      <c r="D3513" s="43" t="s">
        <v>39165</v>
      </c>
    </row>
    <row r="3514" spans="3:4" x14ac:dyDescent="0.3">
      <c r="C3514" s="43" t="s">
        <v>41585</v>
      </c>
      <c r="D3514" s="43" t="s">
        <v>39175</v>
      </c>
    </row>
    <row r="3515" spans="3:4" x14ac:dyDescent="0.3">
      <c r="C3515" s="43" t="s">
        <v>38390</v>
      </c>
      <c r="D3515" s="43" t="s">
        <v>41586</v>
      </c>
    </row>
    <row r="3516" spans="3:4" x14ac:dyDescent="0.3">
      <c r="C3516" s="43" t="s">
        <v>38374</v>
      </c>
      <c r="D3516" s="43" t="s">
        <v>41587</v>
      </c>
    </row>
    <row r="3517" spans="3:4" x14ac:dyDescent="0.3">
      <c r="C3517" s="43" t="s">
        <v>38374</v>
      </c>
      <c r="D3517" s="43" t="s">
        <v>41588</v>
      </c>
    </row>
    <row r="3518" spans="3:4" x14ac:dyDescent="0.3">
      <c r="C3518" s="43" t="s">
        <v>38374</v>
      </c>
      <c r="D3518" s="43" t="s">
        <v>41589</v>
      </c>
    </row>
    <row r="3519" spans="3:4" x14ac:dyDescent="0.3">
      <c r="C3519" s="43" t="s">
        <v>38374</v>
      </c>
      <c r="D3519" s="43" t="s">
        <v>41590</v>
      </c>
    </row>
    <row r="3520" spans="3:4" x14ac:dyDescent="0.3">
      <c r="C3520" s="43" t="s">
        <v>38374</v>
      </c>
      <c r="D3520" s="43" t="s">
        <v>41591</v>
      </c>
    </row>
    <row r="3521" spans="3:4" x14ac:dyDescent="0.3">
      <c r="C3521" s="43" t="s">
        <v>38374</v>
      </c>
      <c r="D3521" s="43" t="s">
        <v>41592</v>
      </c>
    </row>
    <row r="3522" spans="3:4" x14ac:dyDescent="0.3">
      <c r="C3522" s="43" t="s">
        <v>38374</v>
      </c>
      <c r="D3522" s="43" t="s">
        <v>41593</v>
      </c>
    </row>
    <row r="3523" spans="3:4" x14ac:dyDescent="0.3">
      <c r="C3523" s="43" t="s">
        <v>38374</v>
      </c>
      <c r="D3523" s="43" t="s">
        <v>41594</v>
      </c>
    </row>
    <row r="3524" spans="3:4" x14ac:dyDescent="0.3">
      <c r="C3524" s="43" t="s">
        <v>38374</v>
      </c>
      <c r="D3524" s="43" t="s">
        <v>41595</v>
      </c>
    </row>
    <row r="3525" spans="3:4" x14ac:dyDescent="0.3">
      <c r="C3525" s="43" t="s">
        <v>38374</v>
      </c>
      <c r="D3525" s="43" t="s">
        <v>41596</v>
      </c>
    </row>
    <row r="3526" spans="3:4" x14ac:dyDescent="0.3">
      <c r="C3526" s="43" t="s">
        <v>38374</v>
      </c>
      <c r="D3526" s="43" t="s">
        <v>41597</v>
      </c>
    </row>
    <row r="3527" spans="3:4" x14ac:dyDescent="0.3">
      <c r="C3527" s="43" t="s">
        <v>38374</v>
      </c>
      <c r="D3527" s="43" t="s">
        <v>41598</v>
      </c>
    </row>
    <row r="3528" spans="3:4" x14ac:dyDescent="0.3">
      <c r="C3528" s="43" t="s">
        <v>38374</v>
      </c>
      <c r="D3528" s="43" t="s">
        <v>41599</v>
      </c>
    </row>
    <row r="3529" spans="3:4" x14ac:dyDescent="0.3">
      <c r="C3529" s="43" t="s">
        <v>38374</v>
      </c>
      <c r="D3529" s="43" t="s">
        <v>41600</v>
      </c>
    </row>
    <row r="3530" spans="3:4" x14ac:dyDescent="0.3">
      <c r="C3530" s="43" t="s">
        <v>38374</v>
      </c>
      <c r="D3530" s="43" t="s">
        <v>41601</v>
      </c>
    </row>
    <row r="3531" spans="3:4" x14ac:dyDescent="0.3">
      <c r="C3531" s="43" t="s">
        <v>38374</v>
      </c>
      <c r="D3531" s="43" t="s">
        <v>41602</v>
      </c>
    </row>
    <row r="3532" spans="3:4" x14ac:dyDescent="0.3">
      <c r="C3532" s="43" t="s">
        <v>38374</v>
      </c>
      <c r="D3532" s="43" t="s">
        <v>41603</v>
      </c>
    </row>
    <row r="3533" spans="3:4" x14ac:dyDescent="0.3">
      <c r="C3533" s="43" t="s">
        <v>38374</v>
      </c>
      <c r="D3533" s="43" t="s">
        <v>41604</v>
      </c>
    </row>
    <row r="3534" spans="3:4" x14ac:dyDescent="0.3">
      <c r="C3534" s="43" t="s">
        <v>38374</v>
      </c>
      <c r="D3534" s="43" t="s">
        <v>41605</v>
      </c>
    </row>
    <row r="3535" spans="3:4" x14ac:dyDescent="0.3">
      <c r="C3535" s="43" t="s">
        <v>38374</v>
      </c>
      <c r="D3535" s="43" t="s">
        <v>41606</v>
      </c>
    </row>
    <row r="3536" spans="3:4" x14ac:dyDescent="0.3">
      <c r="C3536" s="43" t="s">
        <v>38374</v>
      </c>
      <c r="D3536" s="43" t="s">
        <v>41607</v>
      </c>
    </row>
    <row r="3537" spans="3:4" x14ac:dyDescent="0.3">
      <c r="C3537" s="43" t="s">
        <v>38374</v>
      </c>
      <c r="D3537" s="43" t="s">
        <v>41608</v>
      </c>
    </row>
    <row r="3538" spans="3:4" x14ac:dyDescent="0.3">
      <c r="C3538" s="43" t="s">
        <v>38374</v>
      </c>
      <c r="D3538" s="43" t="s">
        <v>41609</v>
      </c>
    </row>
    <row r="3539" spans="3:4" x14ac:dyDescent="0.3">
      <c r="C3539" s="43" t="s">
        <v>38374</v>
      </c>
      <c r="D3539" s="43" t="s">
        <v>41610</v>
      </c>
    </row>
    <row r="3540" spans="3:4" x14ac:dyDescent="0.3">
      <c r="C3540" s="43" t="s">
        <v>38374</v>
      </c>
      <c r="D3540" s="43" t="s">
        <v>41611</v>
      </c>
    </row>
    <row r="3541" spans="3:4" x14ac:dyDescent="0.3">
      <c r="C3541" s="43" t="s">
        <v>38374</v>
      </c>
      <c r="D3541" s="43" t="s">
        <v>41612</v>
      </c>
    </row>
    <row r="3542" spans="3:4" x14ac:dyDescent="0.3">
      <c r="C3542" s="43" t="s">
        <v>38374</v>
      </c>
      <c r="D3542" s="43" t="s">
        <v>41613</v>
      </c>
    </row>
    <row r="3543" spans="3:4" x14ac:dyDescent="0.3">
      <c r="C3543" s="43" t="s">
        <v>38374</v>
      </c>
      <c r="D3543" s="43" t="s">
        <v>41614</v>
      </c>
    </row>
    <row r="3544" spans="3:4" x14ac:dyDescent="0.3">
      <c r="C3544" s="43" t="s">
        <v>38374</v>
      </c>
      <c r="D3544" s="43" t="s">
        <v>41615</v>
      </c>
    </row>
    <row r="3545" spans="3:4" x14ac:dyDescent="0.3">
      <c r="C3545" s="43" t="s">
        <v>38374</v>
      </c>
      <c r="D3545" s="43" t="s">
        <v>41616</v>
      </c>
    </row>
    <row r="3546" spans="3:4" x14ac:dyDescent="0.3">
      <c r="C3546"/>
      <c r="D3546"/>
    </row>
    <row r="3547" spans="3:4" x14ac:dyDescent="0.3">
      <c r="C3547"/>
      <c r="D3547"/>
    </row>
    <row r="3548" spans="3:4" x14ac:dyDescent="0.3">
      <c r="C3548"/>
      <c r="D3548"/>
    </row>
    <row r="3549" spans="3:4" x14ac:dyDescent="0.3">
      <c r="C3549"/>
      <c r="D3549"/>
    </row>
    <row r="3550" spans="3:4" x14ac:dyDescent="0.3">
      <c r="C3550"/>
      <c r="D3550"/>
    </row>
    <row r="3551" spans="3:4" x14ac:dyDescent="0.3">
      <c r="C3551"/>
      <c r="D3551"/>
    </row>
    <row r="3552" spans="3:4" x14ac:dyDescent="0.3">
      <c r="C3552"/>
      <c r="D3552"/>
    </row>
    <row r="3553" spans="3:4" x14ac:dyDescent="0.3">
      <c r="C3553"/>
      <c r="D3553"/>
    </row>
    <row r="3554" spans="3:4" x14ac:dyDescent="0.3">
      <c r="C3554"/>
      <c r="D3554"/>
    </row>
    <row r="3555" spans="3:4" x14ac:dyDescent="0.3">
      <c r="C3555"/>
      <c r="D3555"/>
    </row>
    <row r="3556" spans="3:4" x14ac:dyDescent="0.3">
      <c r="C3556"/>
      <c r="D3556"/>
    </row>
    <row r="3557" spans="3:4" x14ac:dyDescent="0.3">
      <c r="C3557"/>
      <c r="D3557"/>
    </row>
    <row r="3558" spans="3:4" x14ac:dyDescent="0.3">
      <c r="C3558"/>
      <c r="D3558"/>
    </row>
    <row r="3559" spans="3:4" x14ac:dyDescent="0.3">
      <c r="C3559"/>
      <c r="D3559"/>
    </row>
    <row r="3560" spans="3:4" x14ac:dyDescent="0.3">
      <c r="C3560"/>
      <c r="D3560"/>
    </row>
    <row r="3561" spans="3:4" x14ac:dyDescent="0.3">
      <c r="C3561"/>
      <c r="D3561"/>
    </row>
    <row r="3562" spans="3:4" x14ac:dyDescent="0.3">
      <c r="C3562"/>
      <c r="D3562"/>
    </row>
    <row r="3563" spans="3:4" x14ac:dyDescent="0.3">
      <c r="C3563"/>
      <c r="D3563"/>
    </row>
    <row r="3564" spans="3:4" x14ac:dyDescent="0.3">
      <c r="C3564"/>
      <c r="D3564"/>
    </row>
    <row r="3565" spans="3:4" x14ac:dyDescent="0.3">
      <c r="C3565"/>
      <c r="D3565"/>
    </row>
    <row r="3566" spans="3:4" x14ac:dyDescent="0.3">
      <c r="C3566"/>
      <c r="D3566"/>
    </row>
    <row r="3567" spans="3:4" x14ac:dyDescent="0.3">
      <c r="C3567"/>
      <c r="D3567"/>
    </row>
    <row r="3568" spans="3:4" x14ac:dyDescent="0.3">
      <c r="C3568"/>
      <c r="D3568"/>
    </row>
    <row r="3569" spans="3:4" x14ac:dyDescent="0.3">
      <c r="C3569"/>
      <c r="D3569"/>
    </row>
    <row r="3570" spans="3:4" x14ac:dyDescent="0.3">
      <c r="C3570"/>
      <c r="D3570"/>
    </row>
    <row r="3571" spans="3:4" x14ac:dyDescent="0.3">
      <c r="C3571"/>
      <c r="D3571"/>
    </row>
    <row r="3572" spans="3:4" x14ac:dyDescent="0.3">
      <c r="C3572"/>
      <c r="D3572"/>
    </row>
    <row r="3573" spans="3:4" x14ac:dyDescent="0.3">
      <c r="C3573"/>
      <c r="D3573"/>
    </row>
    <row r="3574" spans="3:4" x14ac:dyDescent="0.3">
      <c r="C3574"/>
      <c r="D3574"/>
    </row>
    <row r="3575" spans="3:4" x14ac:dyDescent="0.3">
      <c r="C3575"/>
      <c r="D3575"/>
    </row>
    <row r="3576" spans="3:4" x14ac:dyDescent="0.3">
      <c r="C3576"/>
      <c r="D3576"/>
    </row>
    <row r="3577" spans="3:4" x14ac:dyDescent="0.3">
      <c r="C3577"/>
      <c r="D3577"/>
    </row>
    <row r="3578" spans="3:4" x14ac:dyDescent="0.3">
      <c r="C3578"/>
      <c r="D3578"/>
    </row>
    <row r="3579" spans="3:4" x14ac:dyDescent="0.3">
      <c r="C3579"/>
      <c r="D3579"/>
    </row>
    <row r="3580" spans="3:4" x14ac:dyDescent="0.3">
      <c r="C3580"/>
      <c r="D3580"/>
    </row>
    <row r="3581" spans="3:4" x14ac:dyDescent="0.3">
      <c r="C3581"/>
      <c r="D3581"/>
    </row>
    <row r="3582" spans="3:4" x14ac:dyDescent="0.3">
      <c r="C3582"/>
      <c r="D3582"/>
    </row>
    <row r="3583" spans="3:4" x14ac:dyDescent="0.3">
      <c r="C3583"/>
      <c r="D3583"/>
    </row>
    <row r="3584" spans="3:4" x14ac:dyDescent="0.3">
      <c r="C3584"/>
      <c r="D3584"/>
    </row>
    <row r="3585" spans="3:4" x14ac:dyDescent="0.3">
      <c r="C3585"/>
      <c r="D3585"/>
    </row>
    <row r="3586" spans="3:4" x14ac:dyDescent="0.3">
      <c r="C3586"/>
      <c r="D3586"/>
    </row>
    <row r="3587" spans="3:4" x14ac:dyDescent="0.3">
      <c r="C3587"/>
      <c r="D3587"/>
    </row>
    <row r="3588" spans="3:4" x14ac:dyDescent="0.3">
      <c r="C3588"/>
      <c r="D3588"/>
    </row>
    <row r="3589" spans="3:4" x14ac:dyDescent="0.3">
      <c r="C3589"/>
      <c r="D3589"/>
    </row>
    <row r="3590" spans="3:4" x14ac:dyDescent="0.3">
      <c r="C3590"/>
      <c r="D3590"/>
    </row>
    <row r="3591" spans="3:4" x14ac:dyDescent="0.3">
      <c r="C3591"/>
      <c r="D3591"/>
    </row>
    <row r="3592" spans="3:4" x14ac:dyDescent="0.3">
      <c r="C3592"/>
      <c r="D3592"/>
    </row>
    <row r="3593" spans="3:4" x14ac:dyDescent="0.3">
      <c r="C3593"/>
      <c r="D3593"/>
    </row>
    <row r="3594" spans="3:4" x14ac:dyDescent="0.3">
      <c r="C3594"/>
      <c r="D3594"/>
    </row>
    <row r="3595" spans="3:4" x14ac:dyDescent="0.3">
      <c r="C3595"/>
      <c r="D3595"/>
    </row>
    <row r="3596" spans="3:4" x14ac:dyDescent="0.3">
      <c r="C3596"/>
      <c r="D3596"/>
    </row>
    <row r="3597" spans="3:4" x14ac:dyDescent="0.3">
      <c r="C3597"/>
      <c r="D3597"/>
    </row>
    <row r="3598" spans="3:4" x14ac:dyDescent="0.3">
      <c r="C3598"/>
      <c r="D3598"/>
    </row>
    <row r="3599" spans="3:4" x14ac:dyDescent="0.3">
      <c r="C3599"/>
      <c r="D3599"/>
    </row>
    <row r="3600" spans="3:4" x14ac:dyDescent="0.3">
      <c r="C3600"/>
      <c r="D3600"/>
    </row>
    <row r="3601" spans="3:4" x14ac:dyDescent="0.3">
      <c r="C3601"/>
      <c r="D3601"/>
    </row>
    <row r="3602" spans="3:4" x14ac:dyDescent="0.3">
      <c r="C3602"/>
      <c r="D3602"/>
    </row>
    <row r="3603" spans="3:4" x14ac:dyDescent="0.3">
      <c r="C3603"/>
      <c r="D3603"/>
    </row>
    <row r="3604" spans="3:4" x14ac:dyDescent="0.3">
      <c r="C3604"/>
      <c r="D3604"/>
    </row>
    <row r="3605" spans="3:4" x14ac:dyDescent="0.3">
      <c r="C3605"/>
      <c r="D3605"/>
    </row>
    <row r="3606" spans="3:4" x14ac:dyDescent="0.3">
      <c r="C3606"/>
      <c r="D3606"/>
    </row>
    <row r="3607" spans="3:4" x14ac:dyDescent="0.3">
      <c r="C3607"/>
      <c r="D3607"/>
    </row>
    <row r="3608" spans="3:4" x14ac:dyDescent="0.3">
      <c r="C3608"/>
      <c r="D3608"/>
    </row>
    <row r="3609" spans="3:4" x14ac:dyDescent="0.3">
      <c r="C3609"/>
      <c r="D3609"/>
    </row>
    <row r="3610" spans="3:4" x14ac:dyDescent="0.3">
      <c r="C3610"/>
      <c r="D3610"/>
    </row>
    <row r="3611" spans="3:4" x14ac:dyDescent="0.3">
      <c r="C3611"/>
      <c r="D3611"/>
    </row>
    <row r="3612" spans="3:4" x14ac:dyDescent="0.3">
      <c r="C3612"/>
      <c r="D3612"/>
    </row>
    <row r="3613" spans="3:4" x14ac:dyDescent="0.3">
      <c r="C3613"/>
      <c r="D3613"/>
    </row>
    <row r="3614" spans="3:4" x14ac:dyDescent="0.3">
      <c r="C3614"/>
      <c r="D3614"/>
    </row>
    <row r="3615" spans="3:4" x14ac:dyDescent="0.3">
      <c r="C3615"/>
      <c r="D3615"/>
    </row>
    <row r="3616" spans="3:4" x14ac:dyDescent="0.3">
      <c r="C3616"/>
      <c r="D3616"/>
    </row>
    <row r="3617" spans="3:4" x14ac:dyDescent="0.3">
      <c r="C3617"/>
      <c r="D3617"/>
    </row>
    <row r="3618" spans="3:4" x14ac:dyDescent="0.3">
      <c r="C3618"/>
      <c r="D3618"/>
    </row>
    <row r="3619" spans="3:4" x14ac:dyDescent="0.3">
      <c r="C3619"/>
      <c r="D3619"/>
    </row>
    <row r="3620" spans="3:4" x14ac:dyDescent="0.3">
      <c r="C3620"/>
      <c r="D3620"/>
    </row>
    <row r="3621" spans="3:4" x14ac:dyDescent="0.3">
      <c r="C3621"/>
      <c r="D3621"/>
    </row>
    <row r="3622" spans="3:4" x14ac:dyDescent="0.3">
      <c r="C3622"/>
      <c r="D3622"/>
    </row>
    <row r="3623" spans="3:4" x14ac:dyDescent="0.3">
      <c r="C3623"/>
      <c r="D3623"/>
    </row>
    <row r="3624" spans="3:4" x14ac:dyDescent="0.3">
      <c r="C3624"/>
      <c r="D3624"/>
    </row>
    <row r="3625" spans="3:4" x14ac:dyDescent="0.3">
      <c r="C3625"/>
      <c r="D3625"/>
    </row>
    <row r="3626" spans="3:4" x14ac:dyDescent="0.3">
      <c r="C3626"/>
      <c r="D3626"/>
    </row>
    <row r="3627" spans="3:4" x14ac:dyDescent="0.3">
      <c r="C3627"/>
      <c r="D3627"/>
    </row>
    <row r="3628" spans="3:4" x14ac:dyDescent="0.3">
      <c r="C3628"/>
      <c r="D3628"/>
    </row>
    <row r="3629" spans="3:4" x14ac:dyDescent="0.3">
      <c r="C3629"/>
      <c r="D3629"/>
    </row>
    <row r="3630" spans="3:4" x14ac:dyDescent="0.3">
      <c r="C3630"/>
      <c r="D3630"/>
    </row>
    <row r="3631" spans="3:4" x14ac:dyDescent="0.3">
      <c r="C3631"/>
      <c r="D3631"/>
    </row>
    <row r="3632" spans="3:4" x14ac:dyDescent="0.3">
      <c r="C3632"/>
      <c r="D3632"/>
    </row>
    <row r="3633" spans="3:4" x14ac:dyDescent="0.3">
      <c r="C3633"/>
      <c r="D3633"/>
    </row>
    <row r="3634" spans="3:4" x14ac:dyDescent="0.3">
      <c r="C3634"/>
      <c r="D3634"/>
    </row>
    <row r="3635" spans="3:4" x14ac:dyDescent="0.3">
      <c r="C3635"/>
      <c r="D3635"/>
    </row>
    <row r="3636" spans="3:4" x14ac:dyDescent="0.3">
      <c r="C3636"/>
      <c r="D3636"/>
    </row>
    <row r="3637" spans="3:4" x14ac:dyDescent="0.3">
      <c r="C3637"/>
      <c r="D3637"/>
    </row>
    <row r="3638" spans="3:4" x14ac:dyDescent="0.3">
      <c r="C3638"/>
      <c r="D3638"/>
    </row>
    <row r="3639" spans="3:4" x14ac:dyDescent="0.3">
      <c r="C3639"/>
      <c r="D3639"/>
    </row>
    <row r="3640" spans="3:4" x14ac:dyDescent="0.3">
      <c r="C3640"/>
      <c r="D3640"/>
    </row>
    <row r="3641" spans="3:4" x14ac:dyDescent="0.3">
      <c r="C3641"/>
      <c r="D3641"/>
    </row>
    <row r="3642" spans="3:4" x14ac:dyDescent="0.3">
      <c r="C3642"/>
      <c r="D3642"/>
    </row>
    <row r="3643" spans="3:4" x14ac:dyDescent="0.3">
      <c r="C3643"/>
      <c r="D3643"/>
    </row>
    <row r="3644" spans="3:4" x14ac:dyDescent="0.3">
      <c r="C3644"/>
      <c r="D3644"/>
    </row>
    <row r="3645" spans="3:4" x14ac:dyDescent="0.3">
      <c r="C3645"/>
      <c r="D3645"/>
    </row>
    <row r="3646" spans="3:4" x14ac:dyDescent="0.3">
      <c r="C3646"/>
      <c r="D3646"/>
    </row>
    <row r="3647" spans="3:4" x14ac:dyDescent="0.3">
      <c r="C3647"/>
      <c r="D3647"/>
    </row>
    <row r="3648" spans="3:4" x14ac:dyDescent="0.3">
      <c r="C3648"/>
      <c r="D3648"/>
    </row>
    <row r="3649" spans="3:4" x14ac:dyDescent="0.3">
      <c r="C3649"/>
      <c r="D3649"/>
    </row>
    <row r="3650" spans="3:4" x14ac:dyDescent="0.3">
      <c r="C3650"/>
      <c r="D3650"/>
    </row>
    <row r="3651" spans="3:4" x14ac:dyDescent="0.3">
      <c r="C3651"/>
      <c r="D3651"/>
    </row>
    <row r="3652" spans="3:4" x14ac:dyDescent="0.3">
      <c r="C3652"/>
      <c r="D3652"/>
    </row>
    <row r="3653" spans="3:4" x14ac:dyDescent="0.3">
      <c r="C3653"/>
      <c r="D3653"/>
    </row>
    <row r="3654" spans="3:4" x14ac:dyDescent="0.3">
      <c r="C3654"/>
      <c r="D3654"/>
    </row>
    <row r="3655" spans="3:4" x14ac:dyDescent="0.3">
      <c r="C3655"/>
      <c r="D3655"/>
    </row>
    <row r="3656" spans="3:4" x14ac:dyDescent="0.3">
      <c r="C3656"/>
      <c r="D3656"/>
    </row>
    <row r="3657" spans="3:4" x14ac:dyDescent="0.3">
      <c r="C3657"/>
      <c r="D3657"/>
    </row>
    <row r="3658" spans="3:4" x14ac:dyDescent="0.3">
      <c r="C3658"/>
      <c r="D3658"/>
    </row>
    <row r="3659" spans="3:4" x14ac:dyDescent="0.3">
      <c r="C3659"/>
      <c r="D3659"/>
    </row>
    <row r="3660" spans="3:4" x14ac:dyDescent="0.3">
      <c r="C3660"/>
      <c r="D3660"/>
    </row>
    <row r="3661" spans="3:4" x14ac:dyDescent="0.3">
      <c r="C3661"/>
      <c r="D3661"/>
    </row>
    <row r="3662" spans="3:4" x14ac:dyDescent="0.3">
      <c r="C3662"/>
      <c r="D3662"/>
    </row>
    <row r="3663" spans="3:4" x14ac:dyDescent="0.3">
      <c r="C3663"/>
      <c r="D3663"/>
    </row>
    <row r="3664" spans="3:4" x14ac:dyDescent="0.3">
      <c r="C3664"/>
      <c r="D3664"/>
    </row>
    <row r="3665" spans="3:4" x14ac:dyDescent="0.3">
      <c r="C3665"/>
      <c r="D3665"/>
    </row>
    <row r="3666" spans="3:4" x14ac:dyDescent="0.3">
      <c r="C3666"/>
      <c r="D3666"/>
    </row>
    <row r="3667" spans="3:4" x14ac:dyDescent="0.3">
      <c r="C3667"/>
      <c r="D3667"/>
    </row>
    <row r="3668" spans="3:4" x14ac:dyDescent="0.3">
      <c r="C3668"/>
      <c r="D3668"/>
    </row>
    <row r="3669" spans="3:4" x14ac:dyDescent="0.3">
      <c r="C3669"/>
      <c r="D3669"/>
    </row>
    <row r="3670" spans="3:4" x14ac:dyDescent="0.3">
      <c r="C3670"/>
      <c r="D3670"/>
    </row>
    <row r="3671" spans="3:4" x14ac:dyDescent="0.3">
      <c r="C3671"/>
      <c r="D3671"/>
    </row>
    <row r="3672" spans="3:4" x14ac:dyDescent="0.3">
      <c r="C3672"/>
      <c r="D3672"/>
    </row>
    <row r="3673" spans="3:4" x14ac:dyDescent="0.3">
      <c r="C3673"/>
      <c r="D3673"/>
    </row>
    <row r="3674" spans="3:4" x14ac:dyDescent="0.3">
      <c r="C3674"/>
      <c r="D3674"/>
    </row>
    <row r="3675" spans="3:4" x14ac:dyDescent="0.3">
      <c r="C3675"/>
      <c r="D3675"/>
    </row>
    <row r="3676" spans="3:4" x14ac:dyDescent="0.3">
      <c r="C3676"/>
      <c r="D3676"/>
    </row>
    <row r="3677" spans="3:4" x14ac:dyDescent="0.3">
      <c r="C3677"/>
      <c r="D3677"/>
    </row>
    <row r="3678" spans="3:4" x14ac:dyDescent="0.3">
      <c r="C3678"/>
      <c r="D3678"/>
    </row>
    <row r="3679" spans="3:4" x14ac:dyDescent="0.3">
      <c r="C3679"/>
      <c r="D3679"/>
    </row>
    <row r="3680" spans="3:4" x14ac:dyDescent="0.3">
      <c r="C3680"/>
      <c r="D3680"/>
    </row>
    <row r="3681" spans="3:4" x14ac:dyDescent="0.3">
      <c r="C3681"/>
      <c r="D3681"/>
    </row>
    <row r="3682" spans="3:4" x14ac:dyDescent="0.3">
      <c r="C3682"/>
      <c r="D3682"/>
    </row>
    <row r="3683" spans="3:4" x14ac:dyDescent="0.3">
      <c r="C3683"/>
      <c r="D3683"/>
    </row>
    <row r="3684" spans="3:4" x14ac:dyDescent="0.3">
      <c r="C3684"/>
      <c r="D3684"/>
    </row>
    <row r="3685" spans="3:4" x14ac:dyDescent="0.3">
      <c r="C3685"/>
      <c r="D3685"/>
    </row>
    <row r="3686" spans="3:4" x14ac:dyDescent="0.3">
      <c r="C3686"/>
      <c r="D3686"/>
    </row>
    <row r="3687" spans="3:4" x14ac:dyDescent="0.3">
      <c r="C3687"/>
      <c r="D3687"/>
    </row>
    <row r="3688" spans="3:4" x14ac:dyDescent="0.3">
      <c r="C3688"/>
      <c r="D3688"/>
    </row>
    <row r="3689" spans="3:4" x14ac:dyDescent="0.3">
      <c r="C3689"/>
      <c r="D3689"/>
    </row>
    <row r="3690" spans="3:4" x14ac:dyDescent="0.3">
      <c r="C3690"/>
      <c r="D3690"/>
    </row>
    <row r="3691" spans="3:4" x14ac:dyDescent="0.3">
      <c r="C3691"/>
      <c r="D3691"/>
    </row>
    <row r="3692" spans="3:4" x14ac:dyDescent="0.3">
      <c r="C3692"/>
      <c r="D3692"/>
    </row>
    <row r="3693" spans="3:4" x14ac:dyDescent="0.3">
      <c r="C3693"/>
      <c r="D3693"/>
    </row>
    <row r="3694" spans="3:4" x14ac:dyDescent="0.3">
      <c r="C3694"/>
      <c r="D3694"/>
    </row>
    <row r="3695" spans="3:4" x14ac:dyDescent="0.3">
      <c r="C3695"/>
      <c r="D3695"/>
    </row>
    <row r="3696" spans="3:4" x14ac:dyDescent="0.3">
      <c r="C3696"/>
      <c r="D3696"/>
    </row>
    <row r="3697" spans="3:4" x14ac:dyDescent="0.3">
      <c r="C3697"/>
      <c r="D3697"/>
    </row>
    <row r="3698" spans="3:4" x14ac:dyDescent="0.3">
      <c r="C3698"/>
      <c r="D3698"/>
    </row>
    <row r="3699" spans="3:4" x14ac:dyDescent="0.3">
      <c r="C3699"/>
      <c r="D3699"/>
    </row>
    <row r="3700" spans="3:4" x14ac:dyDescent="0.3">
      <c r="C3700"/>
      <c r="D3700"/>
    </row>
    <row r="3701" spans="3:4" x14ac:dyDescent="0.3">
      <c r="C3701"/>
      <c r="D3701"/>
    </row>
    <row r="3702" spans="3:4" x14ac:dyDescent="0.3">
      <c r="C3702"/>
      <c r="D3702"/>
    </row>
    <row r="3703" spans="3:4" x14ac:dyDescent="0.3">
      <c r="C3703"/>
      <c r="D3703"/>
    </row>
    <row r="3704" spans="3:4" x14ac:dyDescent="0.3">
      <c r="C3704"/>
      <c r="D3704"/>
    </row>
    <row r="3705" spans="3:4" x14ac:dyDescent="0.3">
      <c r="C3705"/>
      <c r="D3705"/>
    </row>
    <row r="3706" spans="3:4" x14ac:dyDescent="0.3">
      <c r="C3706"/>
      <c r="D3706"/>
    </row>
    <row r="3707" spans="3:4" x14ac:dyDescent="0.3">
      <c r="C3707"/>
      <c r="D3707"/>
    </row>
    <row r="3708" spans="3:4" x14ac:dyDescent="0.3">
      <c r="C3708"/>
      <c r="D3708"/>
    </row>
    <row r="3709" spans="3:4" x14ac:dyDescent="0.3">
      <c r="C3709"/>
      <c r="D3709"/>
    </row>
    <row r="3710" spans="3:4" x14ac:dyDescent="0.3">
      <c r="C3710"/>
      <c r="D3710"/>
    </row>
    <row r="3711" spans="3:4" x14ac:dyDescent="0.3">
      <c r="C3711"/>
      <c r="D3711"/>
    </row>
    <row r="3712" spans="3:4" x14ac:dyDescent="0.3">
      <c r="C3712"/>
      <c r="D3712"/>
    </row>
    <row r="3713" spans="3:4" x14ac:dyDescent="0.3">
      <c r="C3713"/>
      <c r="D3713"/>
    </row>
    <row r="3714" spans="3:4" x14ac:dyDescent="0.3">
      <c r="C3714"/>
      <c r="D3714"/>
    </row>
    <row r="3715" spans="3:4" x14ac:dyDescent="0.3">
      <c r="C3715"/>
      <c r="D3715"/>
    </row>
    <row r="3716" spans="3:4" x14ac:dyDescent="0.3">
      <c r="C3716"/>
      <c r="D3716"/>
    </row>
    <row r="3717" spans="3:4" x14ac:dyDescent="0.3">
      <c r="C3717"/>
      <c r="D3717"/>
    </row>
    <row r="3718" spans="3:4" x14ac:dyDescent="0.3">
      <c r="C3718"/>
      <c r="D3718"/>
    </row>
    <row r="3719" spans="3:4" x14ac:dyDescent="0.3">
      <c r="C3719"/>
      <c r="D3719"/>
    </row>
    <row r="3720" spans="3:4" x14ac:dyDescent="0.3">
      <c r="C3720"/>
      <c r="D3720"/>
    </row>
    <row r="3721" spans="3:4" x14ac:dyDescent="0.3">
      <c r="C3721"/>
      <c r="D3721"/>
    </row>
    <row r="3722" spans="3:4" x14ac:dyDescent="0.3">
      <c r="C3722"/>
      <c r="D3722"/>
    </row>
    <row r="3723" spans="3:4" x14ac:dyDescent="0.3">
      <c r="C3723"/>
      <c r="D3723"/>
    </row>
    <row r="3724" spans="3:4" x14ac:dyDescent="0.3">
      <c r="C3724"/>
      <c r="D3724"/>
    </row>
    <row r="3725" spans="3:4" x14ac:dyDescent="0.3">
      <c r="C3725"/>
      <c r="D3725"/>
    </row>
    <row r="3726" spans="3:4" x14ac:dyDescent="0.3">
      <c r="C3726"/>
      <c r="D3726"/>
    </row>
    <row r="3727" spans="3:4" x14ac:dyDescent="0.3">
      <c r="C3727"/>
      <c r="D3727"/>
    </row>
    <row r="3728" spans="3:4" x14ac:dyDescent="0.3">
      <c r="C3728"/>
      <c r="D3728"/>
    </row>
    <row r="3729" spans="3:4" x14ac:dyDescent="0.3">
      <c r="C3729"/>
      <c r="D3729"/>
    </row>
    <row r="3730" spans="3:4" x14ac:dyDescent="0.3">
      <c r="C3730"/>
      <c r="D3730"/>
    </row>
    <row r="3731" spans="3:4" x14ac:dyDescent="0.3">
      <c r="C3731"/>
      <c r="D3731"/>
    </row>
    <row r="3732" spans="3:4" x14ac:dyDescent="0.3">
      <c r="C3732"/>
      <c r="D3732"/>
    </row>
    <row r="3733" spans="3:4" x14ac:dyDescent="0.3">
      <c r="C3733"/>
      <c r="D3733"/>
    </row>
    <row r="3734" spans="3:4" x14ac:dyDescent="0.3">
      <c r="C3734"/>
      <c r="D3734"/>
    </row>
    <row r="3735" spans="3:4" x14ac:dyDescent="0.3">
      <c r="C3735"/>
      <c r="D3735"/>
    </row>
    <row r="3736" spans="3:4" x14ac:dyDescent="0.3">
      <c r="C3736"/>
      <c r="D3736"/>
    </row>
    <row r="3737" spans="3:4" x14ac:dyDescent="0.3">
      <c r="C3737"/>
      <c r="D3737"/>
    </row>
    <row r="3738" spans="3:4" x14ac:dyDescent="0.3">
      <c r="C3738"/>
      <c r="D3738"/>
    </row>
    <row r="3739" spans="3:4" x14ac:dyDescent="0.3">
      <c r="C3739"/>
      <c r="D3739"/>
    </row>
    <row r="3740" spans="3:4" x14ac:dyDescent="0.3">
      <c r="C3740"/>
      <c r="D3740"/>
    </row>
    <row r="3741" spans="3:4" x14ac:dyDescent="0.3">
      <c r="C3741"/>
      <c r="D3741"/>
    </row>
    <row r="3742" spans="3:4" x14ac:dyDescent="0.3">
      <c r="C3742"/>
      <c r="D3742"/>
    </row>
    <row r="3743" spans="3:4" x14ac:dyDescent="0.3">
      <c r="C3743"/>
      <c r="D3743"/>
    </row>
    <row r="3744" spans="3:4" x14ac:dyDescent="0.3">
      <c r="C3744"/>
      <c r="D3744"/>
    </row>
    <row r="3745" spans="3:4" x14ac:dyDescent="0.3">
      <c r="C3745"/>
      <c r="D3745"/>
    </row>
    <row r="3746" spans="3:4" x14ac:dyDescent="0.3">
      <c r="C3746"/>
      <c r="D3746"/>
    </row>
    <row r="3747" spans="3:4" x14ac:dyDescent="0.3">
      <c r="C3747"/>
      <c r="D3747"/>
    </row>
    <row r="3748" spans="3:4" x14ac:dyDescent="0.3">
      <c r="C3748"/>
      <c r="D3748"/>
    </row>
    <row r="3749" spans="3:4" x14ac:dyDescent="0.3">
      <c r="C3749"/>
      <c r="D3749"/>
    </row>
    <row r="3750" spans="3:4" x14ac:dyDescent="0.3">
      <c r="C3750"/>
      <c r="D3750"/>
    </row>
    <row r="3751" spans="3:4" x14ac:dyDescent="0.3">
      <c r="C3751"/>
      <c r="D3751"/>
    </row>
    <row r="3752" spans="3:4" x14ac:dyDescent="0.3">
      <c r="C3752"/>
      <c r="D3752"/>
    </row>
    <row r="3753" spans="3:4" x14ac:dyDescent="0.3">
      <c r="C3753"/>
      <c r="D3753"/>
    </row>
    <row r="3754" spans="3:4" x14ac:dyDescent="0.3">
      <c r="C3754"/>
      <c r="D3754"/>
    </row>
    <row r="3755" spans="3:4" x14ac:dyDescent="0.3">
      <c r="C3755"/>
      <c r="D3755"/>
    </row>
    <row r="3756" spans="3:4" x14ac:dyDescent="0.3">
      <c r="C3756"/>
      <c r="D3756"/>
    </row>
    <row r="3757" spans="3:4" x14ac:dyDescent="0.3">
      <c r="C3757"/>
      <c r="D3757"/>
    </row>
    <row r="3758" spans="3:4" x14ac:dyDescent="0.3">
      <c r="C3758"/>
      <c r="D3758"/>
    </row>
    <row r="3759" spans="3:4" x14ac:dyDescent="0.3">
      <c r="C3759"/>
      <c r="D3759"/>
    </row>
    <row r="3760" spans="3:4" x14ac:dyDescent="0.3">
      <c r="C3760"/>
      <c r="D3760"/>
    </row>
    <row r="3761" spans="3:4" x14ac:dyDescent="0.3">
      <c r="C3761"/>
      <c r="D3761"/>
    </row>
    <row r="3762" spans="3:4" x14ac:dyDescent="0.3">
      <c r="C3762"/>
      <c r="D3762"/>
    </row>
    <row r="3763" spans="3:4" x14ac:dyDescent="0.3">
      <c r="C3763"/>
      <c r="D3763"/>
    </row>
    <row r="3764" spans="3:4" x14ac:dyDescent="0.3">
      <c r="C3764"/>
      <c r="D3764"/>
    </row>
    <row r="3765" spans="3:4" x14ac:dyDescent="0.3">
      <c r="C3765"/>
      <c r="D3765"/>
    </row>
    <row r="3766" spans="3:4" x14ac:dyDescent="0.3">
      <c r="C3766"/>
      <c r="D3766"/>
    </row>
    <row r="3767" spans="3:4" x14ac:dyDescent="0.3">
      <c r="C3767"/>
      <c r="D3767"/>
    </row>
    <row r="3768" spans="3:4" x14ac:dyDescent="0.3">
      <c r="C3768"/>
      <c r="D3768"/>
    </row>
    <row r="3769" spans="3:4" x14ac:dyDescent="0.3">
      <c r="C3769"/>
      <c r="D3769"/>
    </row>
    <row r="3770" spans="3:4" x14ac:dyDescent="0.3">
      <c r="C3770"/>
      <c r="D3770"/>
    </row>
    <row r="3771" spans="3:4" x14ac:dyDescent="0.3">
      <c r="C3771"/>
      <c r="D3771"/>
    </row>
    <row r="3772" spans="3:4" x14ac:dyDescent="0.3">
      <c r="C3772"/>
      <c r="D3772"/>
    </row>
    <row r="3773" spans="3:4" x14ac:dyDescent="0.3">
      <c r="C3773"/>
      <c r="D3773"/>
    </row>
    <row r="3774" spans="3:4" x14ac:dyDescent="0.3">
      <c r="C3774"/>
      <c r="D3774"/>
    </row>
    <row r="3775" spans="3:4" x14ac:dyDescent="0.3">
      <c r="C3775"/>
      <c r="D3775"/>
    </row>
    <row r="3776" spans="3:4" x14ac:dyDescent="0.3">
      <c r="C3776"/>
      <c r="D3776"/>
    </row>
    <row r="3777" spans="3:4" x14ac:dyDescent="0.3">
      <c r="C3777"/>
      <c r="D3777"/>
    </row>
    <row r="3778" spans="3:4" x14ac:dyDescent="0.3">
      <c r="C3778"/>
      <c r="D3778"/>
    </row>
    <row r="3779" spans="3:4" x14ac:dyDescent="0.3">
      <c r="C3779"/>
      <c r="D3779"/>
    </row>
    <row r="3780" spans="3:4" x14ac:dyDescent="0.3">
      <c r="C3780"/>
      <c r="D3780"/>
    </row>
    <row r="3781" spans="3:4" x14ac:dyDescent="0.3">
      <c r="C3781"/>
      <c r="D3781"/>
    </row>
    <row r="3782" spans="3:4" x14ac:dyDescent="0.3">
      <c r="C3782"/>
      <c r="D3782"/>
    </row>
    <row r="3783" spans="3:4" x14ac:dyDescent="0.3">
      <c r="C3783"/>
      <c r="D3783"/>
    </row>
    <row r="3784" spans="3:4" x14ac:dyDescent="0.3">
      <c r="C3784"/>
      <c r="D3784"/>
    </row>
    <row r="3785" spans="3:4" x14ac:dyDescent="0.3">
      <c r="C3785"/>
      <c r="D3785"/>
    </row>
    <row r="3786" spans="3:4" x14ac:dyDescent="0.3">
      <c r="C3786"/>
      <c r="D3786"/>
    </row>
    <row r="3787" spans="3:4" x14ac:dyDescent="0.3">
      <c r="C3787"/>
      <c r="D3787"/>
    </row>
    <row r="3788" spans="3:4" x14ac:dyDescent="0.3">
      <c r="C3788"/>
      <c r="D3788"/>
    </row>
    <row r="3789" spans="3:4" x14ac:dyDescent="0.3">
      <c r="C3789"/>
      <c r="D3789"/>
    </row>
    <row r="3790" spans="3:4" x14ac:dyDescent="0.3">
      <c r="C3790"/>
      <c r="D3790"/>
    </row>
    <row r="3791" spans="3:4" x14ac:dyDescent="0.3">
      <c r="C3791"/>
      <c r="D3791"/>
    </row>
    <row r="3792" spans="3:4" x14ac:dyDescent="0.3">
      <c r="C3792"/>
      <c r="D3792"/>
    </row>
    <row r="3793" spans="3:4" x14ac:dyDescent="0.3">
      <c r="C3793"/>
      <c r="D3793"/>
    </row>
    <row r="3794" spans="3:4" x14ac:dyDescent="0.3">
      <c r="C3794"/>
      <c r="D3794"/>
    </row>
    <row r="3795" spans="3:4" x14ac:dyDescent="0.3">
      <c r="C3795"/>
      <c r="D3795"/>
    </row>
    <row r="3796" spans="3:4" x14ac:dyDescent="0.3">
      <c r="C3796"/>
      <c r="D3796"/>
    </row>
    <row r="3797" spans="3:4" x14ac:dyDescent="0.3">
      <c r="C3797"/>
      <c r="D3797"/>
    </row>
    <row r="3798" spans="3:4" x14ac:dyDescent="0.3">
      <c r="C3798"/>
      <c r="D3798"/>
    </row>
    <row r="3799" spans="3:4" x14ac:dyDescent="0.3">
      <c r="C3799"/>
      <c r="D3799"/>
    </row>
    <row r="3800" spans="3:4" x14ac:dyDescent="0.3">
      <c r="C3800"/>
      <c r="D3800"/>
    </row>
    <row r="3801" spans="3:4" x14ac:dyDescent="0.3">
      <c r="C3801"/>
      <c r="D3801"/>
    </row>
    <row r="3802" spans="3:4" x14ac:dyDescent="0.3">
      <c r="C3802"/>
      <c r="D3802"/>
    </row>
    <row r="3803" spans="3:4" x14ac:dyDescent="0.3">
      <c r="C3803"/>
      <c r="D3803"/>
    </row>
    <row r="3804" spans="3:4" x14ac:dyDescent="0.3">
      <c r="C3804"/>
      <c r="D3804"/>
    </row>
    <row r="3805" spans="3:4" x14ac:dyDescent="0.3">
      <c r="C3805"/>
      <c r="D3805"/>
    </row>
    <row r="3806" spans="3:4" x14ac:dyDescent="0.3">
      <c r="C3806"/>
      <c r="D3806"/>
    </row>
    <row r="3807" spans="3:4" x14ac:dyDescent="0.3">
      <c r="C3807"/>
      <c r="D3807"/>
    </row>
    <row r="3808" spans="3:4" x14ac:dyDescent="0.3">
      <c r="C3808"/>
      <c r="D3808"/>
    </row>
    <row r="3809" spans="3:4" x14ac:dyDescent="0.3">
      <c r="C3809"/>
      <c r="D3809"/>
    </row>
    <row r="3810" spans="3:4" x14ac:dyDescent="0.3">
      <c r="C3810"/>
      <c r="D3810"/>
    </row>
    <row r="3811" spans="3:4" x14ac:dyDescent="0.3">
      <c r="C3811"/>
      <c r="D3811"/>
    </row>
    <row r="3812" spans="3:4" x14ac:dyDescent="0.3">
      <c r="C3812"/>
      <c r="D3812"/>
    </row>
    <row r="3813" spans="3:4" x14ac:dyDescent="0.3">
      <c r="C3813"/>
      <c r="D3813"/>
    </row>
    <row r="3814" spans="3:4" x14ac:dyDescent="0.3">
      <c r="C3814"/>
      <c r="D3814"/>
    </row>
    <row r="3815" spans="3:4" x14ac:dyDescent="0.3">
      <c r="C3815"/>
      <c r="D3815"/>
    </row>
    <row r="3816" spans="3:4" x14ac:dyDescent="0.3">
      <c r="C3816"/>
      <c r="D3816"/>
    </row>
    <row r="3817" spans="3:4" x14ac:dyDescent="0.3">
      <c r="C3817"/>
      <c r="D3817"/>
    </row>
    <row r="3818" spans="3:4" x14ac:dyDescent="0.3">
      <c r="C3818"/>
      <c r="D3818"/>
    </row>
    <row r="3819" spans="3:4" x14ac:dyDescent="0.3">
      <c r="C3819"/>
      <c r="D3819"/>
    </row>
    <row r="3820" spans="3:4" x14ac:dyDescent="0.3">
      <c r="C3820"/>
      <c r="D3820"/>
    </row>
    <row r="3821" spans="3:4" x14ac:dyDescent="0.3">
      <c r="C3821"/>
      <c r="D3821"/>
    </row>
    <row r="3822" spans="3:4" x14ac:dyDescent="0.3">
      <c r="C3822"/>
      <c r="D3822"/>
    </row>
    <row r="3823" spans="3:4" x14ac:dyDescent="0.3">
      <c r="C3823"/>
      <c r="D3823"/>
    </row>
    <row r="3824" spans="3:4" x14ac:dyDescent="0.3">
      <c r="C3824"/>
      <c r="D3824"/>
    </row>
    <row r="3825" spans="3:4" x14ac:dyDescent="0.3">
      <c r="C3825"/>
      <c r="D3825"/>
    </row>
    <row r="3826" spans="3:4" x14ac:dyDescent="0.3">
      <c r="C3826"/>
      <c r="D3826"/>
    </row>
    <row r="3827" spans="3:4" x14ac:dyDescent="0.3">
      <c r="C3827"/>
      <c r="D3827"/>
    </row>
    <row r="3828" spans="3:4" x14ac:dyDescent="0.3">
      <c r="C3828"/>
      <c r="D3828"/>
    </row>
    <row r="3829" spans="3:4" x14ac:dyDescent="0.3">
      <c r="C3829"/>
      <c r="D3829"/>
    </row>
    <row r="3830" spans="3:4" x14ac:dyDescent="0.3">
      <c r="C3830"/>
      <c r="D3830"/>
    </row>
    <row r="3831" spans="3:4" x14ac:dyDescent="0.3">
      <c r="C3831"/>
      <c r="D3831"/>
    </row>
    <row r="3832" spans="3:4" x14ac:dyDescent="0.3">
      <c r="C3832"/>
      <c r="D3832"/>
    </row>
    <row r="3833" spans="3:4" x14ac:dyDescent="0.3">
      <c r="C3833"/>
      <c r="D3833"/>
    </row>
    <row r="3834" spans="3:4" x14ac:dyDescent="0.3">
      <c r="C3834"/>
      <c r="D3834"/>
    </row>
    <row r="3835" spans="3:4" x14ac:dyDescent="0.3">
      <c r="C3835"/>
      <c r="D3835"/>
    </row>
    <row r="3836" spans="3:4" x14ac:dyDescent="0.3">
      <c r="C3836"/>
      <c r="D3836"/>
    </row>
    <row r="3837" spans="3:4" x14ac:dyDescent="0.3">
      <c r="C3837"/>
      <c r="D3837"/>
    </row>
    <row r="3838" spans="3:4" x14ac:dyDescent="0.3">
      <c r="C3838"/>
      <c r="D3838"/>
    </row>
    <row r="3839" spans="3:4" x14ac:dyDescent="0.3">
      <c r="C3839"/>
      <c r="D3839"/>
    </row>
    <row r="3840" spans="3:4" x14ac:dyDescent="0.3">
      <c r="C3840"/>
      <c r="D3840"/>
    </row>
    <row r="3841" spans="3:4" x14ac:dyDescent="0.3">
      <c r="C3841"/>
      <c r="D3841"/>
    </row>
    <row r="3842" spans="3:4" x14ac:dyDescent="0.3">
      <c r="C3842"/>
      <c r="D3842"/>
    </row>
    <row r="3843" spans="3:4" x14ac:dyDescent="0.3">
      <c r="C3843"/>
      <c r="D3843"/>
    </row>
    <row r="3844" spans="3:4" x14ac:dyDescent="0.3">
      <c r="C3844"/>
      <c r="D3844"/>
    </row>
    <row r="3845" spans="3:4" x14ac:dyDescent="0.3">
      <c r="C3845"/>
      <c r="D3845"/>
    </row>
    <row r="3846" spans="3:4" x14ac:dyDescent="0.3">
      <c r="C3846"/>
      <c r="D3846"/>
    </row>
    <row r="3847" spans="3:4" x14ac:dyDescent="0.3">
      <c r="C3847"/>
      <c r="D3847"/>
    </row>
    <row r="3848" spans="3:4" x14ac:dyDescent="0.3">
      <c r="C3848"/>
      <c r="D3848"/>
    </row>
    <row r="3849" spans="3:4" x14ac:dyDescent="0.3">
      <c r="C3849"/>
      <c r="D3849"/>
    </row>
    <row r="3850" spans="3:4" x14ac:dyDescent="0.3">
      <c r="C3850"/>
      <c r="D3850"/>
    </row>
    <row r="3851" spans="3:4" x14ac:dyDescent="0.3">
      <c r="C3851"/>
      <c r="D3851"/>
    </row>
    <row r="3852" spans="3:4" x14ac:dyDescent="0.3">
      <c r="C3852"/>
      <c r="D3852"/>
    </row>
    <row r="3853" spans="3:4" x14ac:dyDescent="0.3">
      <c r="C3853"/>
      <c r="D3853"/>
    </row>
    <row r="3854" spans="3:4" x14ac:dyDescent="0.3">
      <c r="C3854"/>
      <c r="D3854"/>
    </row>
    <row r="3855" spans="3:4" x14ac:dyDescent="0.3">
      <c r="C3855"/>
      <c r="D3855"/>
    </row>
    <row r="3856" spans="3:4" x14ac:dyDescent="0.3">
      <c r="C3856"/>
      <c r="D3856"/>
    </row>
    <row r="3857" spans="3:4" x14ac:dyDescent="0.3">
      <c r="C3857"/>
      <c r="D3857"/>
    </row>
    <row r="3858" spans="3:4" x14ac:dyDescent="0.3">
      <c r="C3858"/>
      <c r="D3858"/>
    </row>
    <row r="3859" spans="3:4" x14ac:dyDescent="0.3">
      <c r="C3859"/>
      <c r="D3859"/>
    </row>
    <row r="3860" spans="3:4" x14ac:dyDescent="0.3">
      <c r="C3860"/>
      <c r="D3860"/>
    </row>
    <row r="3861" spans="3:4" x14ac:dyDescent="0.3">
      <c r="C3861"/>
      <c r="D3861"/>
    </row>
    <row r="3862" spans="3:4" x14ac:dyDescent="0.3">
      <c r="C3862"/>
      <c r="D3862"/>
    </row>
    <row r="3863" spans="3:4" x14ac:dyDescent="0.3">
      <c r="C3863"/>
      <c r="D3863"/>
    </row>
    <row r="3864" spans="3:4" x14ac:dyDescent="0.3">
      <c r="C3864"/>
      <c r="D3864"/>
    </row>
    <row r="3865" spans="3:4" x14ac:dyDescent="0.3">
      <c r="C3865"/>
      <c r="D3865"/>
    </row>
    <row r="3866" spans="3:4" x14ac:dyDescent="0.3">
      <c r="C3866"/>
      <c r="D3866"/>
    </row>
    <row r="3867" spans="3:4" x14ac:dyDescent="0.3">
      <c r="C3867"/>
      <c r="D3867"/>
    </row>
    <row r="3868" spans="3:4" x14ac:dyDescent="0.3">
      <c r="C3868"/>
      <c r="D3868"/>
    </row>
    <row r="3869" spans="3:4" x14ac:dyDescent="0.3">
      <c r="C3869"/>
      <c r="D3869"/>
    </row>
    <row r="3870" spans="3:4" x14ac:dyDescent="0.3">
      <c r="C3870"/>
      <c r="D3870"/>
    </row>
    <row r="3871" spans="3:4" x14ac:dyDescent="0.3">
      <c r="C3871"/>
      <c r="D3871"/>
    </row>
    <row r="3872" spans="3:4" x14ac:dyDescent="0.3">
      <c r="C3872"/>
      <c r="D3872"/>
    </row>
    <row r="3873" spans="3:4" x14ac:dyDescent="0.3">
      <c r="C3873"/>
      <c r="D3873"/>
    </row>
    <row r="3874" spans="3:4" x14ac:dyDescent="0.3">
      <c r="C3874"/>
      <c r="D3874"/>
    </row>
    <row r="3875" spans="3:4" x14ac:dyDescent="0.3">
      <c r="C3875"/>
      <c r="D3875"/>
    </row>
    <row r="3876" spans="3:4" x14ac:dyDescent="0.3">
      <c r="C3876"/>
      <c r="D3876"/>
    </row>
    <row r="3877" spans="3:4" x14ac:dyDescent="0.3">
      <c r="C3877"/>
      <c r="D3877"/>
    </row>
    <row r="3878" spans="3:4" x14ac:dyDescent="0.3">
      <c r="C3878"/>
      <c r="D3878"/>
    </row>
    <row r="3879" spans="3:4" x14ac:dyDescent="0.3">
      <c r="C3879"/>
      <c r="D3879"/>
    </row>
    <row r="3880" spans="3:4" x14ac:dyDescent="0.3">
      <c r="C3880"/>
      <c r="D3880"/>
    </row>
    <row r="3881" spans="3:4" x14ac:dyDescent="0.3">
      <c r="C3881"/>
      <c r="D3881"/>
    </row>
    <row r="3882" spans="3:4" x14ac:dyDescent="0.3">
      <c r="C3882"/>
      <c r="D3882"/>
    </row>
    <row r="3883" spans="3:4" x14ac:dyDescent="0.3">
      <c r="C3883"/>
      <c r="D3883"/>
    </row>
    <row r="3884" spans="3:4" x14ac:dyDescent="0.3">
      <c r="C3884"/>
      <c r="D3884"/>
    </row>
    <row r="3885" spans="3:4" x14ac:dyDescent="0.3">
      <c r="C3885"/>
      <c r="D3885"/>
    </row>
    <row r="3886" spans="3:4" x14ac:dyDescent="0.3">
      <c r="C3886"/>
      <c r="D3886"/>
    </row>
    <row r="3887" spans="3:4" x14ac:dyDescent="0.3">
      <c r="C3887"/>
      <c r="D3887"/>
    </row>
    <row r="3888" spans="3:4" x14ac:dyDescent="0.3">
      <c r="C3888"/>
      <c r="D3888"/>
    </row>
    <row r="3889" spans="3:4" x14ac:dyDescent="0.3">
      <c r="C3889"/>
      <c r="D3889"/>
    </row>
    <row r="3890" spans="3:4" x14ac:dyDescent="0.3">
      <c r="C3890"/>
      <c r="D3890"/>
    </row>
    <row r="3891" spans="3:4" x14ac:dyDescent="0.3">
      <c r="C3891"/>
      <c r="D3891"/>
    </row>
    <row r="3892" spans="3:4" x14ac:dyDescent="0.3">
      <c r="C3892"/>
      <c r="D3892"/>
    </row>
    <row r="3893" spans="3:4" x14ac:dyDescent="0.3">
      <c r="C3893"/>
      <c r="D3893"/>
    </row>
    <row r="3894" spans="3:4" x14ac:dyDescent="0.3">
      <c r="C3894"/>
      <c r="D3894"/>
    </row>
    <row r="3895" spans="3:4" x14ac:dyDescent="0.3">
      <c r="C3895"/>
      <c r="D3895"/>
    </row>
    <row r="3896" spans="3:4" x14ac:dyDescent="0.3">
      <c r="C3896"/>
      <c r="D3896"/>
    </row>
    <row r="3897" spans="3:4" x14ac:dyDescent="0.3">
      <c r="C3897"/>
      <c r="D3897"/>
    </row>
    <row r="3898" spans="3:4" x14ac:dyDescent="0.3">
      <c r="C3898"/>
      <c r="D3898"/>
    </row>
    <row r="3899" spans="3:4" x14ac:dyDescent="0.3">
      <c r="C3899"/>
      <c r="D3899"/>
    </row>
    <row r="3900" spans="3:4" x14ac:dyDescent="0.3">
      <c r="C3900"/>
      <c r="D3900"/>
    </row>
    <row r="3901" spans="3:4" x14ac:dyDescent="0.3">
      <c r="C3901"/>
      <c r="D3901"/>
    </row>
    <row r="3902" spans="3:4" x14ac:dyDescent="0.3">
      <c r="C3902"/>
      <c r="D3902"/>
    </row>
    <row r="3903" spans="3:4" x14ac:dyDescent="0.3">
      <c r="C3903"/>
      <c r="D3903"/>
    </row>
    <row r="3904" spans="3:4" x14ac:dyDescent="0.3">
      <c r="C3904"/>
      <c r="D3904"/>
    </row>
    <row r="3905" spans="3:4" x14ac:dyDescent="0.3">
      <c r="C3905"/>
      <c r="D3905"/>
    </row>
    <row r="3906" spans="3:4" x14ac:dyDescent="0.3">
      <c r="C3906"/>
      <c r="D3906"/>
    </row>
    <row r="3907" spans="3:4" x14ac:dyDescent="0.3">
      <c r="C3907"/>
      <c r="D3907"/>
    </row>
    <row r="3908" spans="3:4" x14ac:dyDescent="0.3">
      <c r="C3908"/>
      <c r="D3908"/>
    </row>
    <row r="3909" spans="3:4" x14ac:dyDescent="0.3">
      <c r="C3909"/>
      <c r="D3909"/>
    </row>
    <row r="3910" spans="3:4" x14ac:dyDescent="0.3">
      <c r="C3910"/>
      <c r="D3910"/>
    </row>
    <row r="3911" spans="3:4" x14ac:dyDescent="0.3">
      <c r="C3911"/>
      <c r="D3911"/>
    </row>
    <row r="3912" spans="3:4" x14ac:dyDescent="0.3">
      <c r="C3912"/>
      <c r="D3912"/>
    </row>
    <row r="3913" spans="3:4" x14ac:dyDescent="0.3">
      <c r="C3913"/>
      <c r="D3913"/>
    </row>
    <row r="3914" spans="3:4" x14ac:dyDescent="0.3">
      <c r="C3914"/>
      <c r="D3914"/>
    </row>
    <row r="3915" spans="3:4" x14ac:dyDescent="0.3">
      <c r="C3915"/>
      <c r="D3915"/>
    </row>
    <row r="3916" spans="3:4" x14ac:dyDescent="0.3">
      <c r="C3916"/>
      <c r="D3916"/>
    </row>
    <row r="3917" spans="3:4" x14ac:dyDescent="0.3">
      <c r="C3917"/>
      <c r="D3917"/>
    </row>
    <row r="3918" spans="3:4" x14ac:dyDescent="0.3">
      <c r="C3918"/>
      <c r="D3918"/>
    </row>
    <row r="3919" spans="3:4" x14ac:dyDescent="0.3">
      <c r="C3919"/>
      <c r="D3919"/>
    </row>
    <row r="3920" spans="3:4" x14ac:dyDescent="0.3">
      <c r="C3920"/>
      <c r="D3920"/>
    </row>
    <row r="3921" spans="3:4" x14ac:dyDescent="0.3">
      <c r="C3921"/>
      <c r="D3921"/>
    </row>
    <row r="3922" spans="3:4" x14ac:dyDescent="0.3">
      <c r="C3922"/>
      <c r="D3922"/>
    </row>
    <row r="3923" spans="3:4" x14ac:dyDescent="0.3">
      <c r="C3923"/>
      <c r="D3923"/>
    </row>
    <row r="3924" spans="3:4" x14ac:dyDescent="0.3">
      <c r="C3924"/>
      <c r="D3924"/>
    </row>
    <row r="3925" spans="3:4" x14ac:dyDescent="0.3">
      <c r="C3925"/>
      <c r="D3925"/>
    </row>
    <row r="3926" spans="3:4" x14ac:dyDescent="0.3">
      <c r="C3926"/>
      <c r="D3926"/>
    </row>
    <row r="3927" spans="3:4" x14ac:dyDescent="0.3">
      <c r="C3927"/>
      <c r="D3927"/>
    </row>
    <row r="3928" spans="3:4" x14ac:dyDescent="0.3">
      <c r="C3928"/>
      <c r="D3928"/>
    </row>
    <row r="3929" spans="3:4" x14ac:dyDescent="0.3">
      <c r="C3929"/>
      <c r="D3929"/>
    </row>
    <row r="3930" spans="3:4" x14ac:dyDescent="0.3">
      <c r="C3930"/>
      <c r="D3930"/>
    </row>
    <row r="3931" spans="3:4" x14ac:dyDescent="0.3">
      <c r="C3931"/>
      <c r="D3931"/>
    </row>
    <row r="3932" spans="3:4" x14ac:dyDescent="0.3">
      <c r="C3932"/>
      <c r="D3932"/>
    </row>
    <row r="3933" spans="3:4" x14ac:dyDescent="0.3">
      <c r="C3933"/>
      <c r="D3933"/>
    </row>
    <row r="3934" spans="3:4" x14ac:dyDescent="0.3">
      <c r="C3934"/>
      <c r="D3934"/>
    </row>
    <row r="3935" spans="3:4" x14ac:dyDescent="0.3">
      <c r="C3935"/>
      <c r="D3935"/>
    </row>
    <row r="3936" spans="3:4" x14ac:dyDescent="0.3">
      <c r="C3936"/>
      <c r="D3936"/>
    </row>
    <row r="3937" spans="3:4" x14ac:dyDescent="0.3">
      <c r="C3937"/>
      <c r="D3937"/>
    </row>
    <row r="3938" spans="3:4" x14ac:dyDescent="0.3">
      <c r="C3938"/>
      <c r="D3938"/>
    </row>
    <row r="3939" spans="3:4" x14ac:dyDescent="0.3">
      <c r="C3939"/>
      <c r="D3939"/>
    </row>
    <row r="3940" spans="3:4" x14ac:dyDescent="0.3">
      <c r="C3940"/>
      <c r="D3940"/>
    </row>
    <row r="3941" spans="3:4" x14ac:dyDescent="0.3">
      <c r="C3941"/>
      <c r="D3941"/>
    </row>
    <row r="3942" spans="3:4" x14ac:dyDescent="0.3">
      <c r="C3942"/>
      <c r="D3942"/>
    </row>
    <row r="3943" spans="3:4" x14ac:dyDescent="0.3">
      <c r="C3943"/>
      <c r="D3943"/>
    </row>
    <row r="3944" spans="3:4" x14ac:dyDescent="0.3">
      <c r="C3944"/>
      <c r="D3944"/>
    </row>
    <row r="3945" spans="3:4" x14ac:dyDescent="0.3">
      <c r="C3945"/>
      <c r="D3945"/>
    </row>
    <row r="3946" spans="3:4" x14ac:dyDescent="0.3">
      <c r="C3946"/>
      <c r="D3946"/>
    </row>
    <row r="3947" spans="3:4" x14ac:dyDescent="0.3">
      <c r="C3947"/>
      <c r="D3947"/>
    </row>
    <row r="3948" spans="3:4" x14ac:dyDescent="0.3">
      <c r="C3948"/>
      <c r="D3948"/>
    </row>
    <row r="3949" spans="3:4" x14ac:dyDescent="0.3">
      <c r="C3949"/>
      <c r="D3949"/>
    </row>
    <row r="3950" spans="3:4" x14ac:dyDescent="0.3">
      <c r="C3950"/>
      <c r="D3950"/>
    </row>
    <row r="3951" spans="3:4" x14ac:dyDescent="0.3">
      <c r="C3951"/>
      <c r="D3951"/>
    </row>
    <row r="3952" spans="3:4" x14ac:dyDescent="0.3">
      <c r="C3952"/>
      <c r="D3952"/>
    </row>
    <row r="3953" spans="3:4" x14ac:dyDescent="0.3">
      <c r="C3953"/>
      <c r="D3953"/>
    </row>
    <row r="3954" spans="3:4" x14ac:dyDescent="0.3">
      <c r="C3954"/>
      <c r="D3954"/>
    </row>
    <row r="3955" spans="3:4" x14ac:dyDescent="0.3">
      <c r="C3955"/>
      <c r="D3955"/>
    </row>
    <row r="3956" spans="3:4" x14ac:dyDescent="0.3">
      <c r="C3956"/>
      <c r="D3956"/>
    </row>
    <row r="3957" spans="3:4" x14ac:dyDescent="0.3">
      <c r="C3957"/>
      <c r="D3957"/>
    </row>
    <row r="3958" spans="3:4" x14ac:dyDescent="0.3">
      <c r="C3958"/>
      <c r="D3958"/>
    </row>
    <row r="3959" spans="3:4" x14ac:dyDescent="0.3">
      <c r="C3959"/>
      <c r="D3959"/>
    </row>
    <row r="3960" spans="3:4" x14ac:dyDescent="0.3">
      <c r="C3960"/>
      <c r="D3960"/>
    </row>
    <row r="3961" spans="3:4" x14ac:dyDescent="0.3">
      <c r="C3961"/>
      <c r="D3961"/>
    </row>
    <row r="3962" spans="3:4" x14ac:dyDescent="0.3">
      <c r="C3962"/>
      <c r="D3962"/>
    </row>
    <row r="3963" spans="3:4" x14ac:dyDescent="0.3">
      <c r="C3963"/>
      <c r="D3963"/>
    </row>
    <row r="3964" spans="3:4" x14ac:dyDescent="0.3">
      <c r="C3964"/>
      <c r="D3964"/>
    </row>
    <row r="3965" spans="3:4" x14ac:dyDescent="0.3">
      <c r="C3965"/>
      <c r="D3965"/>
    </row>
    <row r="3966" spans="3:4" x14ac:dyDescent="0.3">
      <c r="C3966"/>
      <c r="D3966"/>
    </row>
    <row r="3967" spans="3:4" x14ac:dyDescent="0.3">
      <c r="C3967"/>
      <c r="D3967"/>
    </row>
    <row r="3968" spans="3:4" x14ac:dyDescent="0.3">
      <c r="C3968"/>
      <c r="D3968"/>
    </row>
    <row r="3969" spans="3:4" x14ac:dyDescent="0.3">
      <c r="C3969"/>
      <c r="D3969"/>
    </row>
    <row r="3970" spans="3:4" x14ac:dyDescent="0.3">
      <c r="C3970"/>
      <c r="D3970"/>
    </row>
    <row r="3971" spans="3:4" x14ac:dyDescent="0.3">
      <c r="C3971"/>
      <c r="D3971"/>
    </row>
    <row r="3972" spans="3:4" x14ac:dyDescent="0.3">
      <c r="C3972"/>
      <c r="D3972"/>
    </row>
    <row r="3973" spans="3:4" x14ac:dyDescent="0.3">
      <c r="C3973"/>
      <c r="D3973"/>
    </row>
    <row r="3974" spans="3:4" x14ac:dyDescent="0.3">
      <c r="C3974"/>
      <c r="D3974"/>
    </row>
    <row r="3975" spans="3:4" x14ac:dyDescent="0.3">
      <c r="C3975"/>
      <c r="D3975"/>
    </row>
    <row r="3976" spans="3:4" x14ac:dyDescent="0.3">
      <c r="C3976"/>
      <c r="D3976"/>
    </row>
    <row r="3977" spans="3:4" x14ac:dyDescent="0.3">
      <c r="C3977"/>
      <c r="D3977"/>
    </row>
    <row r="3978" spans="3:4" x14ac:dyDescent="0.3">
      <c r="C3978"/>
      <c r="D3978"/>
    </row>
    <row r="3979" spans="3:4" x14ac:dyDescent="0.3">
      <c r="C3979"/>
      <c r="D3979"/>
    </row>
    <row r="3980" spans="3:4" x14ac:dyDescent="0.3">
      <c r="C3980"/>
      <c r="D3980"/>
    </row>
    <row r="3981" spans="3:4" x14ac:dyDescent="0.3">
      <c r="C3981"/>
      <c r="D3981"/>
    </row>
    <row r="3982" spans="3:4" x14ac:dyDescent="0.3">
      <c r="C3982"/>
      <c r="D3982"/>
    </row>
    <row r="3983" spans="3:4" x14ac:dyDescent="0.3">
      <c r="C3983"/>
      <c r="D3983"/>
    </row>
    <row r="3984" spans="3:4" x14ac:dyDescent="0.3">
      <c r="C3984"/>
      <c r="D3984"/>
    </row>
    <row r="3985" spans="3:4" x14ac:dyDescent="0.3">
      <c r="C3985"/>
      <c r="D3985"/>
    </row>
    <row r="3986" spans="3:4" x14ac:dyDescent="0.3">
      <c r="C3986"/>
      <c r="D3986"/>
    </row>
    <row r="3987" spans="3:4" x14ac:dyDescent="0.3">
      <c r="C3987"/>
      <c r="D3987"/>
    </row>
    <row r="3988" spans="3:4" x14ac:dyDescent="0.3">
      <c r="C3988"/>
      <c r="D3988"/>
    </row>
    <row r="3989" spans="3:4" x14ac:dyDescent="0.3">
      <c r="C3989"/>
      <c r="D3989"/>
    </row>
    <row r="3990" spans="3:4" x14ac:dyDescent="0.3">
      <c r="C3990"/>
      <c r="D3990"/>
    </row>
    <row r="3991" spans="3:4" x14ac:dyDescent="0.3">
      <c r="C3991"/>
      <c r="D3991"/>
    </row>
    <row r="3992" spans="3:4" x14ac:dyDescent="0.3">
      <c r="C3992"/>
      <c r="D3992"/>
    </row>
    <row r="3993" spans="3:4" x14ac:dyDescent="0.3">
      <c r="C3993"/>
      <c r="D3993"/>
    </row>
    <row r="3994" spans="3:4" x14ac:dyDescent="0.3">
      <c r="C3994"/>
      <c r="D3994"/>
    </row>
    <row r="3995" spans="3:4" x14ac:dyDescent="0.3">
      <c r="C3995"/>
      <c r="D3995"/>
    </row>
    <row r="3996" spans="3:4" x14ac:dyDescent="0.3">
      <c r="C3996"/>
      <c r="D3996"/>
    </row>
    <row r="3997" spans="3:4" x14ac:dyDescent="0.3">
      <c r="C3997"/>
      <c r="D3997"/>
    </row>
    <row r="3998" spans="3:4" x14ac:dyDescent="0.3">
      <c r="C3998"/>
      <c r="D3998"/>
    </row>
    <row r="3999" spans="3:4" x14ac:dyDescent="0.3">
      <c r="C3999"/>
      <c r="D3999"/>
    </row>
    <row r="4000" spans="3:4" x14ac:dyDescent="0.3">
      <c r="C4000"/>
      <c r="D4000"/>
    </row>
    <row r="4001" spans="3:4" x14ac:dyDescent="0.3">
      <c r="C4001"/>
      <c r="D4001"/>
    </row>
    <row r="4002" spans="3:4" x14ac:dyDescent="0.3">
      <c r="C4002"/>
      <c r="D4002"/>
    </row>
    <row r="4003" spans="3:4" x14ac:dyDescent="0.3">
      <c r="C4003"/>
      <c r="D4003"/>
    </row>
    <row r="4004" spans="3:4" x14ac:dyDescent="0.3">
      <c r="C4004"/>
      <c r="D4004"/>
    </row>
    <row r="4005" spans="3:4" x14ac:dyDescent="0.3">
      <c r="C4005"/>
      <c r="D4005"/>
    </row>
    <row r="4006" spans="3:4" x14ac:dyDescent="0.3">
      <c r="C4006"/>
      <c r="D4006"/>
    </row>
    <row r="4007" spans="3:4" x14ac:dyDescent="0.3">
      <c r="C4007"/>
      <c r="D4007"/>
    </row>
    <row r="4008" spans="3:4" x14ac:dyDescent="0.3">
      <c r="C4008"/>
      <c r="D4008"/>
    </row>
    <row r="4009" spans="3:4" x14ac:dyDescent="0.3">
      <c r="C4009"/>
      <c r="D4009"/>
    </row>
    <row r="4010" spans="3:4" x14ac:dyDescent="0.3">
      <c r="C4010"/>
      <c r="D4010"/>
    </row>
    <row r="4011" spans="3:4" x14ac:dyDescent="0.3">
      <c r="C4011"/>
      <c r="D4011"/>
    </row>
    <row r="4012" spans="3:4" x14ac:dyDescent="0.3">
      <c r="C4012"/>
      <c r="D4012"/>
    </row>
    <row r="4013" spans="3:4" x14ac:dyDescent="0.3">
      <c r="C4013"/>
      <c r="D4013"/>
    </row>
    <row r="4014" spans="3:4" x14ac:dyDescent="0.3">
      <c r="C4014"/>
      <c r="D4014"/>
    </row>
    <row r="4015" spans="3:4" x14ac:dyDescent="0.3">
      <c r="C4015"/>
      <c r="D4015"/>
    </row>
    <row r="4016" spans="3:4" x14ac:dyDescent="0.3">
      <c r="C4016"/>
      <c r="D4016"/>
    </row>
    <row r="4017" spans="3:4" x14ac:dyDescent="0.3">
      <c r="C4017"/>
      <c r="D4017"/>
    </row>
    <row r="4018" spans="3:4" x14ac:dyDescent="0.3">
      <c r="C4018"/>
      <c r="D4018"/>
    </row>
    <row r="4019" spans="3:4" x14ac:dyDescent="0.3">
      <c r="C4019"/>
      <c r="D4019"/>
    </row>
    <row r="4020" spans="3:4" x14ac:dyDescent="0.3">
      <c r="C4020"/>
      <c r="D4020"/>
    </row>
    <row r="4021" spans="3:4" x14ac:dyDescent="0.3">
      <c r="C4021"/>
      <c r="D4021"/>
    </row>
    <row r="4022" spans="3:4" x14ac:dyDescent="0.3">
      <c r="C4022"/>
      <c r="D4022"/>
    </row>
    <row r="4023" spans="3:4" x14ac:dyDescent="0.3">
      <c r="C4023"/>
      <c r="D4023"/>
    </row>
    <row r="4024" spans="3:4" x14ac:dyDescent="0.3">
      <c r="C4024"/>
      <c r="D4024"/>
    </row>
    <row r="4025" spans="3:4" x14ac:dyDescent="0.3">
      <c r="C4025"/>
      <c r="D4025"/>
    </row>
    <row r="4026" spans="3:4" x14ac:dyDescent="0.3">
      <c r="C4026"/>
      <c r="D4026"/>
    </row>
    <row r="4027" spans="3:4" x14ac:dyDescent="0.3">
      <c r="C4027"/>
      <c r="D4027"/>
    </row>
    <row r="4028" spans="3:4" x14ac:dyDescent="0.3">
      <c r="C4028"/>
      <c r="D4028"/>
    </row>
    <row r="4029" spans="3:4" x14ac:dyDescent="0.3">
      <c r="C4029"/>
      <c r="D4029"/>
    </row>
    <row r="4030" spans="3:4" x14ac:dyDescent="0.3">
      <c r="C4030"/>
      <c r="D4030"/>
    </row>
    <row r="4031" spans="3:4" x14ac:dyDescent="0.3">
      <c r="C4031"/>
      <c r="D4031"/>
    </row>
    <row r="4032" spans="3:4" x14ac:dyDescent="0.3">
      <c r="C4032"/>
      <c r="D4032"/>
    </row>
    <row r="4033" spans="3:4" x14ac:dyDescent="0.3">
      <c r="C4033"/>
      <c r="D4033"/>
    </row>
    <row r="4034" spans="3:4" x14ac:dyDescent="0.3">
      <c r="C4034"/>
      <c r="D4034"/>
    </row>
    <row r="4035" spans="3:4" x14ac:dyDescent="0.3">
      <c r="C4035"/>
      <c r="D4035"/>
    </row>
    <row r="4036" spans="3:4" x14ac:dyDescent="0.3">
      <c r="C4036"/>
      <c r="D4036"/>
    </row>
    <row r="4037" spans="3:4" x14ac:dyDescent="0.3">
      <c r="C4037"/>
      <c r="D4037"/>
    </row>
    <row r="4038" spans="3:4" x14ac:dyDescent="0.3">
      <c r="C4038"/>
      <c r="D4038"/>
    </row>
    <row r="4039" spans="3:4" x14ac:dyDescent="0.3">
      <c r="C4039"/>
      <c r="D4039"/>
    </row>
    <row r="4040" spans="3:4" x14ac:dyDescent="0.3">
      <c r="C4040"/>
      <c r="D4040"/>
    </row>
    <row r="4041" spans="3:4" x14ac:dyDescent="0.3">
      <c r="C4041"/>
      <c r="D4041"/>
    </row>
    <row r="4042" spans="3:4" x14ac:dyDescent="0.3">
      <c r="C4042"/>
      <c r="D4042"/>
    </row>
    <row r="4043" spans="3:4" x14ac:dyDescent="0.3">
      <c r="C4043"/>
      <c r="D4043"/>
    </row>
    <row r="4044" spans="3:4" x14ac:dyDescent="0.3">
      <c r="C4044"/>
      <c r="D4044"/>
    </row>
    <row r="4045" spans="3:4" x14ac:dyDescent="0.3">
      <c r="C4045"/>
      <c r="D4045"/>
    </row>
    <row r="4046" spans="3:4" x14ac:dyDescent="0.3">
      <c r="C4046"/>
      <c r="D4046"/>
    </row>
    <row r="4047" spans="3:4" x14ac:dyDescent="0.3">
      <c r="C4047"/>
      <c r="D4047"/>
    </row>
    <row r="4048" spans="3:4" x14ac:dyDescent="0.3">
      <c r="C4048"/>
      <c r="D4048"/>
    </row>
    <row r="4049" spans="3:4" x14ac:dyDescent="0.3">
      <c r="C4049"/>
      <c r="D4049"/>
    </row>
    <row r="4050" spans="3:4" x14ac:dyDescent="0.3">
      <c r="C4050"/>
      <c r="D4050"/>
    </row>
    <row r="4051" spans="3:4" x14ac:dyDescent="0.3">
      <c r="C4051"/>
      <c r="D4051"/>
    </row>
    <row r="4052" spans="3:4" x14ac:dyDescent="0.3">
      <c r="C4052"/>
      <c r="D4052"/>
    </row>
    <row r="4053" spans="3:4" x14ac:dyDescent="0.3">
      <c r="C4053"/>
      <c r="D4053"/>
    </row>
    <row r="4054" spans="3:4" x14ac:dyDescent="0.3">
      <c r="C4054"/>
      <c r="D4054"/>
    </row>
    <row r="4055" spans="3:4" x14ac:dyDescent="0.3">
      <c r="C4055"/>
      <c r="D4055"/>
    </row>
    <row r="4056" spans="3:4" x14ac:dyDescent="0.3">
      <c r="C4056"/>
      <c r="D4056"/>
    </row>
    <row r="4057" spans="3:4" x14ac:dyDescent="0.3">
      <c r="C4057"/>
      <c r="D4057"/>
    </row>
    <row r="4058" spans="3:4" x14ac:dyDescent="0.3">
      <c r="C4058"/>
      <c r="D4058"/>
    </row>
    <row r="4059" spans="3:4" x14ac:dyDescent="0.3">
      <c r="C4059"/>
      <c r="D4059"/>
    </row>
    <row r="4060" spans="3:4" x14ac:dyDescent="0.3">
      <c r="C4060"/>
      <c r="D4060"/>
    </row>
    <row r="4061" spans="3:4" x14ac:dyDescent="0.3">
      <c r="C4061"/>
      <c r="D4061"/>
    </row>
    <row r="4062" spans="3:4" x14ac:dyDescent="0.3">
      <c r="C4062"/>
      <c r="D4062"/>
    </row>
    <row r="4063" spans="3:4" x14ac:dyDescent="0.3">
      <c r="C4063"/>
      <c r="D4063"/>
    </row>
    <row r="4064" spans="3:4" x14ac:dyDescent="0.3">
      <c r="C4064"/>
      <c r="D4064"/>
    </row>
    <row r="4065" spans="3:4" x14ac:dyDescent="0.3">
      <c r="C4065"/>
      <c r="D4065"/>
    </row>
    <row r="4066" spans="3:4" x14ac:dyDescent="0.3">
      <c r="C4066"/>
      <c r="D4066"/>
    </row>
    <row r="4067" spans="3:4" x14ac:dyDescent="0.3">
      <c r="C4067"/>
      <c r="D4067"/>
    </row>
    <row r="4068" spans="3:4" x14ac:dyDescent="0.3">
      <c r="C4068"/>
      <c r="D4068"/>
    </row>
    <row r="4069" spans="3:4" x14ac:dyDescent="0.3">
      <c r="C4069"/>
      <c r="D4069"/>
    </row>
    <row r="4070" spans="3:4" x14ac:dyDescent="0.3">
      <c r="C4070"/>
      <c r="D4070"/>
    </row>
    <row r="4071" spans="3:4" x14ac:dyDescent="0.3">
      <c r="C4071"/>
      <c r="D4071"/>
    </row>
    <row r="4072" spans="3:4" x14ac:dyDescent="0.3">
      <c r="C4072"/>
      <c r="D4072"/>
    </row>
    <row r="4073" spans="3:4" x14ac:dyDescent="0.3">
      <c r="C4073"/>
      <c r="D4073"/>
    </row>
    <row r="4074" spans="3:4" x14ac:dyDescent="0.3">
      <c r="C4074"/>
      <c r="D4074"/>
    </row>
    <row r="4075" spans="3:4" x14ac:dyDescent="0.3">
      <c r="C4075"/>
      <c r="D4075"/>
    </row>
    <row r="4076" spans="3:4" x14ac:dyDescent="0.3">
      <c r="C4076"/>
      <c r="D4076"/>
    </row>
    <row r="4077" spans="3:4" x14ac:dyDescent="0.3">
      <c r="C4077"/>
      <c r="D4077"/>
    </row>
    <row r="4078" spans="3:4" x14ac:dyDescent="0.3">
      <c r="C4078"/>
      <c r="D4078"/>
    </row>
    <row r="4079" spans="3:4" x14ac:dyDescent="0.3">
      <c r="C4079"/>
      <c r="D4079"/>
    </row>
    <row r="4080" spans="3:4" x14ac:dyDescent="0.3">
      <c r="C4080"/>
      <c r="D4080"/>
    </row>
    <row r="4081" spans="3:4" x14ac:dyDescent="0.3">
      <c r="C4081"/>
      <c r="D4081"/>
    </row>
    <row r="4082" spans="3:4" x14ac:dyDescent="0.3">
      <c r="C4082"/>
      <c r="D4082"/>
    </row>
    <row r="4083" spans="3:4" x14ac:dyDescent="0.3">
      <c r="C4083"/>
      <c r="D4083"/>
    </row>
    <row r="4084" spans="3:4" x14ac:dyDescent="0.3">
      <c r="C4084"/>
      <c r="D4084"/>
    </row>
    <row r="4085" spans="3:4" x14ac:dyDescent="0.3">
      <c r="C4085"/>
      <c r="D4085"/>
    </row>
    <row r="4086" spans="3:4" x14ac:dyDescent="0.3">
      <c r="C4086"/>
      <c r="D4086"/>
    </row>
    <row r="4087" spans="3:4" x14ac:dyDescent="0.3">
      <c r="C4087"/>
      <c r="D4087"/>
    </row>
    <row r="4088" spans="3:4" x14ac:dyDescent="0.3">
      <c r="C4088"/>
      <c r="D4088"/>
    </row>
    <row r="4089" spans="3:4" x14ac:dyDescent="0.3">
      <c r="C4089"/>
      <c r="D4089"/>
    </row>
    <row r="4090" spans="3:4" x14ac:dyDescent="0.3">
      <c r="C4090"/>
      <c r="D4090"/>
    </row>
    <row r="4091" spans="3:4" x14ac:dyDescent="0.3">
      <c r="C4091"/>
      <c r="D4091"/>
    </row>
    <row r="4092" spans="3:4" x14ac:dyDescent="0.3">
      <c r="C4092"/>
      <c r="D4092"/>
    </row>
    <row r="4093" spans="3:4" x14ac:dyDescent="0.3">
      <c r="C4093"/>
      <c r="D4093"/>
    </row>
    <row r="4094" spans="3:4" x14ac:dyDescent="0.3">
      <c r="C4094"/>
      <c r="D4094"/>
    </row>
    <row r="4095" spans="3:4" x14ac:dyDescent="0.3">
      <c r="C4095"/>
      <c r="D4095"/>
    </row>
    <row r="4096" spans="3:4" x14ac:dyDescent="0.3">
      <c r="C4096"/>
      <c r="D4096"/>
    </row>
    <row r="4097" spans="3:4" x14ac:dyDescent="0.3">
      <c r="C4097"/>
      <c r="D4097"/>
    </row>
    <row r="4098" spans="3:4" x14ac:dyDescent="0.3">
      <c r="C4098"/>
      <c r="D4098"/>
    </row>
    <row r="4099" spans="3:4" x14ac:dyDescent="0.3">
      <c r="C4099"/>
      <c r="D4099"/>
    </row>
    <row r="4100" spans="3:4" x14ac:dyDescent="0.3">
      <c r="C4100"/>
      <c r="D4100"/>
    </row>
    <row r="4101" spans="3:4" x14ac:dyDescent="0.3">
      <c r="C4101"/>
      <c r="D4101"/>
    </row>
    <row r="4102" spans="3:4" x14ac:dyDescent="0.3">
      <c r="C4102"/>
      <c r="D4102"/>
    </row>
    <row r="4103" spans="3:4" x14ac:dyDescent="0.3">
      <c r="C4103"/>
      <c r="D4103"/>
    </row>
    <row r="4104" spans="3:4" x14ac:dyDescent="0.3">
      <c r="C4104"/>
      <c r="D4104"/>
    </row>
    <row r="4105" spans="3:4" x14ac:dyDescent="0.3">
      <c r="C4105"/>
      <c r="D4105"/>
    </row>
    <row r="4106" spans="3:4" x14ac:dyDescent="0.3">
      <c r="C4106"/>
      <c r="D4106"/>
    </row>
    <row r="4107" spans="3:4" x14ac:dyDescent="0.3">
      <c r="C4107"/>
      <c r="D4107"/>
    </row>
    <row r="4108" spans="3:4" x14ac:dyDescent="0.3">
      <c r="C4108"/>
      <c r="D4108"/>
    </row>
    <row r="4109" spans="3:4" x14ac:dyDescent="0.3">
      <c r="C4109"/>
      <c r="D4109"/>
    </row>
    <row r="4110" spans="3:4" x14ac:dyDescent="0.3">
      <c r="C4110"/>
      <c r="D4110"/>
    </row>
    <row r="4111" spans="3:4" x14ac:dyDescent="0.3">
      <c r="C4111"/>
      <c r="D4111"/>
    </row>
    <row r="4112" spans="3:4" x14ac:dyDescent="0.3">
      <c r="C4112"/>
      <c r="D4112"/>
    </row>
    <row r="4113" spans="3:4" x14ac:dyDescent="0.3">
      <c r="C4113"/>
      <c r="D4113"/>
    </row>
    <row r="4114" spans="3:4" x14ac:dyDescent="0.3">
      <c r="C4114"/>
      <c r="D4114"/>
    </row>
    <row r="4115" spans="3:4" x14ac:dyDescent="0.3">
      <c r="C4115"/>
      <c r="D4115"/>
    </row>
    <row r="4116" spans="3:4" x14ac:dyDescent="0.3">
      <c r="C4116"/>
      <c r="D4116"/>
    </row>
    <row r="4117" spans="3:4" x14ac:dyDescent="0.3">
      <c r="C4117"/>
      <c r="D4117"/>
    </row>
    <row r="4118" spans="3:4" x14ac:dyDescent="0.3">
      <c r="C4118"/>
      <c r="D4118"/>
    </row>
    <row r="4119" spans="3:4" x14ac:dyDescent="0.3">
      <c r="C4119"/>
      <c r="D4119"/>
    </row>
    <row r="4120" spans="3:4" x14ac:dyDescent="0.3">
      <c r="C4120"/>
      <c r="D4120"/>
    </row>
    <row r="4121" spans="3:4" x14ac:dyDescent="0.3">
      <c r="C4121"/>
      <c r="D4121"/>
    </row>
    <row r="4122" spans="3:4" x14ac:dyDescent="0.3">
      <c r="C4122"/>
      <c r="D4122"/>
    </row>
    <row r="4123" spans="3:4" x14ac:dyDescent="0.3">
      <c r="C4123"/>
      <c r="D4123"/>
    </row>
    <row r="4124" spans="3:4" x14ac:dyDescent="0.3">
      <c r="C4124"/>
      <c r="D4124"/>
    </row>
    <row r="4125" spans="3:4" x14ac:dyDescent="0.3">
      <c r="C4125"/>
      <c r="D4125"/>
    </row>
    <row r="4126" spans="3:4" x14ac:dyDescent="0.3">
      <c r="C4126"/>
      <c r="D4126"/>
    </row>
    <row r="4127" spans="3:4" x14ac:dyDescent="0.3">
      <c r="C4127"/>
      <c r="D4127"/>
    </row>
    <row r="4128" spans="3:4" x14ac:dyDescent="0.3">
      <c r="C4128"/>
      <c r="D4128"/>
    </row>
    <row r="4129" spans="3:4" x14ac:dyDescent="0.3">
      <c r="C4129"/>
      <c r="D4129"/>
    </row>
    <row r="4130" spans="3:4" x14ac:dyDescent="0.3">
      <c r="C4130"/>
      <c r="D4130"/>
    </row>
    <row r="4131" spans="3:4" x14ac:dyDescent="0.3">
      <c r="C4131"/>
      <c r="D4131"/>
    </row>
    <row r="4132" spans="3:4" x14ac:dyDescent="0.3">
      <c r="C4132"/>
      <c r="D4132"/>
    </row>
    <row r="4133" spans="3:4" x14ac:dyDescent="0.3">
      <c r="C4133"/>
      <c r="D4133"/>
    </row>
    <row r="4134" spans="3:4" x14ac:dyDescent="0.3">
      <c r="C4134"/>
      <c r="D4134"/>
    </row>
    <row r="4135" spans="3:4" x14ac:dyDescent="0.3">
      <c r="C4135"/>
      <c r="D4135"/>
    </row>
    <row r="4136" spans="3:4" x14ac:dyDescent="0.3">
      <c r="C4136"/>
      <c r="D4136"/>
    </row>
    <row r="4137" spans="3:4" x14ac:dyDescent="0.3">
      <c r="C4137"/>
      <c r="D4137"/>
    </row>
    <row r="4138" spans="3:4" x14ac:dyDescent="0.3">
      <c r="C4138"/>
      <c r="D4138"/>
    </row>
    <row r="4139" spans="3:4" x14ac:dyDescent="0.3">
      <c r="C4139"/>
      <c r="D4139"/>
    </row>
    <row r="4140" spans="3:4" x14ac:dyDescent="0.3">
      <c r="C4140"/>
      <c r="D4140"/>
    </row>
    <row r="4141" spans="3:4" x14ac:dyDescent="0.3">
      <c r="C4141"/>
      <c r="D4141"/>
    </row>
    <row r="4142" spans="3:4" x14ac:dyDescent="0.3">
      <c r="C4142"/>
      <c r="D4142"/>
    </row>
    <row r="4143" spans="3:4" x14ac:dyDescent="0.3">
      <c r="C4143"/>
      <c r="D4143"/>
    </row>
    <row r="4144" spans="3:4" x14ac:dyDescent="0.3">
      <c r="C4144"/>
      <c r="D4144"/>
    </row>
    <row r="4145" spans="3:4" x14ac:dyDescent="0.3">
      <c r="C4145"/>
      <c r="D4145"/>
    </row>
    <row r="4146" spans="3:4" x14ac:dyDescent="0.3">
      <c r="C4146"/>
      <c r="D4146"/>
    </row>
    <row r="4147" spans="3:4" x14ac:dyDescent="0.3">
      <c r="C4147"/>
      <c r="D4147"/>
    </row>
    <row r="4148" spans="3:4" x14ac:dyDescent="0.3">
      <c r="C4148"/>
      <c r="D4148"/>
    </row>
    <row r="4149" spans="3:4" x14ac:dyDescent="0.3">
      <c r="C4149"/>
      <c r="D4149"/>
    </row>
    <row r="4150" spans="3:4" x14ac:dyDescent="0.3">
      <c r="C4150"/>
      <c r="D4150"/>
    </row>
    <row r="4151" spans="3:4" x14ac:dyDescent="0.3">
      <c r="C4151"/>
      <c r="D4151"/>
    </row>
    <row r="4152" spans="3:4" x14ac:dyDescent="0.3">
      <c r="C4152"/>
      <c r="D4152"/>
    </row>
    <row r="4153" spans="3:4" x14ac:dyDescent="0.3">
      <c r="C4153"/>
      <c r="D4153"/>
    </row>
    <row r="4154" spans="3:4" x14ac:dyDescent="0.3">
      <c r="C4154"/>
      <c r="D4154"/>
    </row>
    <row r="4155" spans="3:4" x14ac:dyDescent="0.3">
      <c r="C4155"/>
      <c r="D4155"/>
    </row>
    <row r="4156" spans="3:4" x14ac:dyDescent="0.3">
      <c r="C4156"/>
      <c r="D4156"/>
    </row>
    <row r="4157" spans="3:4" x14ac:dyDescent="0.3">
      <c r="C4157"/>
      <c r="D4157"/>
    </row>
    <row r="4158" spans="3:4" x14ac:dyDescent="0.3">
      <c r="C4158"/>
      <c r="D4158"/>
    </row>
    <row r="4159" spans="3:4" x14ac:dyDescent="0.3">
      <c r="C4159"/>
      <c r="D4159"/>
    </row>
    <row r="4160" spans="3:4" x14ac:dyDescent="0.3">
      <c r="C4160"/>
      <c r="D4160"/>
    </row>
    <row r="4161" spans="3:4" x14ac:dyDescent="0.3">
      <c r="C4161"/>
      <c r="D4161"/>
    </row>
    <row r="4162" spans="3:4" x14ac:dyDescent="0.3">
      <c r="C4162"/>
      <c r="D4162"/>
    </row>
    <row r="4163" spans="3:4" x14ac:dyDescent="0.3">
      <c r="C4163"/>
      <c r="D4163"/>
    </row>
    <row r="4164" spans="3:4" x14ac:dyDescent="0.3">
      <c r="C4164"/>
      <c r="D4164"/>
    </row>
    <row r="4165" spans="3:4" x14ac:dyDescent="0.3">
      <c r="C4165"/>
      <c r="D4165"/>
    </row>
    <row r="4166" spans="3:4" x14ac:dyDescent="0.3">
      <c r="C4166"/>
      <c r="D4166"/>
    </row>
    <row r="4167" spans="3:4" x14ac:dyDescent="0.3">
      <c r="C4167"/>
      <c r="D4167"/>
    </row>
    <row r="4168" spans="3:4" x14ac:dyDescent="0.3">
      <c r="C4168"/>
      <c r="D4168"/>
    </row>
    <row r="4169" spans="3:4" x14ac:dyDescent="0.3">
      <c r="C4169"/>
      <c r="D4169"/>
    </row>
    <row r="4170" spans="3:4" x14ac:dyDescent="0.3">
      <c r="C4170"/>
      <c r="D4170"/>
    </row>
    <row r="4171" spans="3:4" x14ac:dyDescent="0.3">
      <c r="C4171"/>
      <c r="D4171"/>
    </row>
    <row r="4172" spans="3:4" x14ac:dyDescent="0.3">
      <c r="C4172"/>
      <c r="D4172"/>
    </row>
    <row r="4173" spans="3:4" x14ac:dyDescent="0.3">
      <c r="C4173"/>
      <c r="D4173"/>
    </row>
    <row r="4174" spans="3:4" x14ac:dyDescent="0.3">
      <c r="C4174"/>
      <c r="D4174"/>
    </row>
    <row r="4175" spans="3:4" x14ac:dyDescent="0.3">
      <c r="C4175"/>
      <c r="D4175"/>
    </row>
    <row r="4176" spans="3:4" x14ac:dyDescent="0.3">
      <c r="C4176"/>
      <c r="D4176"/>
    </row>
    <row r="4177" spans="3:4" x14ac:dyDescent="0.3">
      <c r="C4177"/>
      <c r="D4177"/>
    </row>
    <row r="4178" spans="3:4" x14ac:dyDescent="0.3">
      <c r="C4178"/>
      <c r="D4178"/>
    </row>
    <row r="4179" spans="3:4" x14ac:dyDescent="0.3">
      <c r="C4179"/>
      <c r="D4179"/>
    </row>
    <row r="4180" spans="3:4" x14ac:dyDescent="0.3">
      <c r="C4180"/>
      <c r="D4180"/>
    </row>
    <row r="4181" spans="3:4" x14ac:dyDescent="0.3">
      <c r="C4181"/>
      <c r="D4181"/>
    </row>
    <row r="4182" spans="3:4" x14ac:dyDescent="0.3">
      <c r="C4182"/>
      <c r="D4182"/>
    </row>
    <row r="4183" spans="3:4" x14ac:dyDescent="0.3">
      <c r="C4183"/>
      <c r="D4183"/>
    </row>
    <row r="4184" spans="3:4" x14ac:dyDescent="0.3">
      <c r="C4184"/>
      <c r="D4184"/>
    </row>
    <row r="4185" spans="3:4" x14ac:dyDescent="0.3">
      <c r="C4185"/>
      <c r="D4185"/>
    </row>
    <row r="4186" spans="3:4" x14ac:dyDescent="0.3">
      <c r="C4186"/>
      <c r="D4186"/>
    </row>
    <row r="4187" spans="3:4" x14ac:dyDescent="0.3">
      <c r="C4187"/>
      <c r="D4187"/>
    </row>
    <row r="4188" spans="3:4" x14ac:dyDescent="0.3">
      <c r="C4188"/>
      <c r="D4188"/>
    </row>
    <row r="4189" spans="3:4" x14ac:dyDescent="0.3">
      <c r="C4189"/>
      <c r="D4189"/>
    </row>
    <row r="4190" spans="3:4" x14ac:dyDescent="0.3">
      <c r="C4190"/>
      <c r="D4190"/>
    </row>
    <row r="4191" spans="3:4" x14ac:dyDescent="0.3">
      <c r="C4191"/>
      <c r="D4191"/>
    </row>
    <row r="4192" spans="3:4" x14ac:dyDescent="0.3">
      <c r="C4192"/>
      <c r="D4192"/>
    </row>
    <row r="4193" spans="3:4" x14ac:dyDescent="0.3">
      <c r="C4193"/>
      <c r="D4193"/>
    </row>
    <row r="4194" spans="3:4" x14ac:dyDescent="0.3">
      <c r="C4194"/>
      <c r="D4194"/>
    </row>
    <row r="4195" spans="3:4" x14ac:dyDescent="0.3">
      <c r="C4195"/>
      <c r="D4195"/>
    </row>
    <row r="4196" spans="3:4" x14ac:dyDescent="0.3">
      <c r="C4196"/>
      <c r="D4196"/>
    </row>
    <row r="4197" spans="3:4" x14ac:dyDescent="0.3">
      <c r="C4197"/>
      <c r="D4197"/>
    </row>
    <row r="4198" spans="3:4" x14ac:dyDescent="0.3">
      <c r="C4198"/>
      <c r="D4198"/>
    </row>
    <row r="4199" spans="3:4" x14ac:dyDescent="0.3">
      <c r="C4199"/>
      <c r="D4199"/>
    </row>
    <row r="4200" spans="3:4" x14ac:dyDescent="0.3">
      <c r="C4200"/>
      <c r="D4200"/>
    </row>
    <row r="4201" spans="3:4" x14ac:dyDescent="0.3">
      <c r="C4201"/>
      <c r="D4201"/>
    </row>
    <row r="4202" spans="3:4" x14ac:dyDescent="0.3">
      <c r="C4202"/>
      <c r="D4202"/>
    </row>
    <row r="4203" spans="3:4" x14ac:dyDescent="0.3">
      <c r="C4203"/>
      <c r="D4203"/>
    </row>
    <row r="4204" spans="3:4" x14ac:dyDescent="0.3">
      <c r="C4204"/>
      <c r="D4204"/>
    </row>
    <row r="4205" spans="3:4" x14ac:dyDescent="0.3">
      <c r="C4205"/>
      <c r="D4205"/>
    </row>
    <row r="4206" spans="3:4" x14ac:dyDescent="0.3">
      <c r="C4206"/>
      <c r="D4206"/>
    </row>
    <row r="4207" spans="3:4" x14ac:dyDescent="0.3">
      <c r="C4207"/>
      <c r="D4207"/>
    </row>
    <row r="4208" spans="3:4" x14ac:dyDescent="0.3">
      <c r="C4208"/>
      <c r="D4208"/>
    </row>
    <row r="4209" spans="3:4" x14ac:dyDescent="0.3">
      <c r="C4209"/>
      <c r="D4209"/>
    </row>
    <row r="4210" spans="3:4" x14ac:dyDescent="0.3">
      <c r="C4210"/>
      <c r="D4210"/>
    </row>
    <row r="4211" spans="3:4" x14ac:dyDescent="0.3">
      <c r="C4211"/>
      <c r="D4211"/>
    </row>
    <row r="4212" spans="3:4" x14ac:dyDescent="0.3">
      <c r="C4212"/>
      <c r="D4212"/>
    </row>
    <row r="4213" spans="3:4" x14ac:dyDescent="0.3">
      <c r="C4213"/>
      <c r="D4213"/>
    </row>
    <row r="4214" spans="3:4" x14ac:dyDescent="0.3">
      <c r="C4214"/>
      <c r="D4214"/>
    </row>
    <row r="4215" spans="3:4" x14ac:dyDescent="0.3">
      <c r="C4215"/>
      <c r="D4215"/>
    </row>
    <row r="4216" spans="3:4" x14ac:dyDescent="0.3">
      <c r="C4216"/>
      <c r="D4216"/>
    </row>
    <row r="4217" spans="3:4" x14ac:dyDescent="0.3">
      <c r="C4217"/>
      <c r="D4217"/>
    </row>
    <row r="4218" spans="3:4" x14ac:dyDescent="0.3">
      <c r="C4218"/>
      <c r="D4218"/>
    </row>
    <row r="4219" spans="3:4" x14ac:dyDescent="0.3">
      <c r="C4219"/>
      <c r="D4219"/>
    </row>
    <row r="4220" spans="3:4" x14ac:dyDescent="0.3">
      <c r="C4220"/>
      <c r="D4220"/>
    </row>
    <row r="4221" spans="3:4" x14ac:dyDescent="0.3">
      <c r="C4221"/>
      <c r="D4221"/>
    </row>
    <row r="4222" spans="3:4" x14ac:dyDescent="0.3">
      <c r="C4222"/>
      <c r="D4222"/>
    </row>
    <row r="4223" spans="3:4" x14ac:dyDescent="0.3">
      <c r="C4223"/>
      <c r="D4223"/>
    </row>
    <row r="4224" spans="3:4" x14ac:dyDescent="0.3">
      <c r="C4224"/>
      <c r="D4224"/>
    </row>
    <row r="4225" spans="3:4" x14ac:dyDescent="0.3">
      <c r="C4225"/>
      <c r="D4225"/>
    </row>
    <row r="4226" spans="3:4" x14ac:dyDescent="0.3">
      <c r="C4226"/>
      <c r="D4226"/>
    </row>
    <row r="4227" spans="3:4" x14ac:dyDescent="0.3">
      <c r="C4227"/>
      <c r="D4227"/>
    </row>
    <row r="4228" spans="3:4" x14ac:dyDescent="0.3">
      <c r="C4228"/>
      <c r="D4228"/>
    </row>
    <row r="4229" spans="3:4" x14ac:dyDescent="0.3">
      <c r="C4229"/>
      <c r="D4229"/>
    </row>
    <row r="4230" spans="3:4" x14ac:dyDescent="0.3">
      <c r="C4230"/>
      <c r="D4230"/>
    </row>
    <row r="4231" spans="3:4" x14ac:dyDescent="0.3">
      <c r="C4231"/>
      <c r="D4231"/>
    </row>
    <row r="4232" spans="3:4" x14ac:dyDescent="0.3">
      <c r="C4232"/>
      <c r="D4232"/>
    </row>
    <row r="4233" spans="3:4" x14ac:dyDescent="0.3">
      <c r="C4233"/>
      <c r="D4233"/>
    </row>
    <row r="4234" spans="3:4" x14ac:dyDescent="0.3">
      <c r="C4234"/>
      <c r="D4234"/>
    </row>
    <row r="4235" spans="3:4" x14ac:dyDescent="0.3">
      <c r="C4235"/>
      <c r="D4235"/>
    </row>
    <row r="4236" spans="3:4" x14ac:dyDescent="0.3">
      <c r="C4236"/>
      <c r="D4236"/>
    </row>
    <row r="4237" spans="3:4" x14ac:dyDescent="0.3">
      <c r="C4237"/>
      <c r="D4237"/>
    </row>
    <row r="4238" spans="3:4" x14ac:dyDescent="0.3">
      <c r="C4238"/>
      <c r="D4238"/>
    </row>
    <row r="4239" spans="3:4" x14ac:dyDescent="0.3">
      <c r="C4239"/>
      <c r="D4239"/>
    </row>
    <row r="4240" spans="3:4" x14ac:dyDescent="0.3">
      <c r="C4240"/>
      <c r="D4240"/>
    </row>
    <row r="4241" spans="3:4" x14ac:dyDescent="0.3">
      <c r="C4241"/>
      <c r="D4241"/>
    </row>
    <row r="4242" spans="3:4" x14ac:dyDescent="0.3">
      <c r="C4242"/>
      <c r="D4242"/>
    </row>
    <row r="4243" spans="3:4" x14ac:dyDescent="0.3">
      <c r="C4243"/>
      <c r="D4243"/>
    </row>
    <row r="4244" spans="3:4" x14ac:dyDescent="0.3">
      <c r="C4244"/>
      <c r="D4244"/>
    </row>
    <row r="4245" spans="3:4" x14ac:dyDescent="0.3">
      <c r="C4245"/>
      <c r="D4245"/>
    </row>
    <row r="4246" spans="3:4" x14ac:dyDescent="0.3">
      <c r="C4246"/>
      <c r="D4246"/>
    </row>
    <row r="4247" spans="3:4" x14ac:dyDescent="0.3">
      <c r="C4247"/>
      <c r="D4247"/>
    </row>
    <row r="4248" spans="3:4" x14ac:dyDescent="0.3">
      <c r="C4248"/>
      <c r="D4248"/>
    </row>
    <row r="4249" spans="3:4" x14ac:dyDescent="0.3">
      <c r="C4249"/>
      <c r="D4249"/>
    </row>
    <row r="4250" spans="3:4" x14ac:dyDescent="0.3">
      <c r="C4250"/>
      <c r="D4250"/>
    </row>
    <row r="4251" spans="3:4" x14ac:dyDescent="0.3">
      <c r="C4251"/>
      <c r="D4251"/>
    </row>
    <row r="4252" spans="3:4" x14ac:dyDescent="0.3">
      <c r="C4252"/>
      <c r="D4252"/>
    </row>
    <row r="4253" spans="3:4" x14ac:dyDescent="0.3">
      <c r="C4253"/>
      <c r="D4253"/>
    </row>
    <row r="4254" spans="3:4" x14ac:dyDescent="0.3">
      <c r="C4254"/>
      <c r="D4254"/>
    </row>
    <row r="4255" spans="3:4" x14ac:dyDescent="0.3">
      <c r="C4255"/>
      <c r="D4255"/>
    </row>
    <row r="4256" spans="3:4" x14ac:dyDescent="0.3">
      <c r="C4256"/>
      <c r="D4256"/>
    </row>
    <row r="4257" spans="3:4" x14ac:dyDescent="0.3">
      <c r="C4257"/>
      <c r="D4257"/>
    </row>
    <row r="4258" spans="3:4" x14ac:dyDescent="0.3">
      <c r="C4258"/>
      <c r="D4258"/>
    </row>
    <row r="4259" spans="3:4" x14ac:dyDescent="0.3">
      <c r="C4259"/>
      <c r="D4259"/>
    </row>
    <row r="4260" spans="3:4" x14ac:dyDescent="0.3">
      <c r="C4260"/>
      <c r="D4260"/>
    </row>
    <row r="4261" spans="3:4" x14ac:dyDescent="0.3">
      <c r="C4261"/>
      <c r="D4261"/>
    </row>
    <row r="4262" spans="3:4" x14ac:dyDescent="0.3">
      <c r="C4262"/>
      <c r="D4262"/>
    </row>
    <row r="4263" spans="3:4" x14ac:dyDescent="0.3">
      <c r="C4263"/>
      <c r="D4263"/>
    </row>
    <row r="4264" spans="3:4" x14ac:dyDescent="0.3">
      <c r="C4264"/>
      <c r="D4264"/>
    </row>
    <row r="4265" spans="3:4" x14ac:dyDescent="0.3">
      <c r="C4265"/>
      <c r="D4265"/>
    </row>
    <row r="4266" spans="3:4" x14ac:dyDescent="0.3">
      <c r="C4266"/>
      <c r="D4266"/>
    </row>
    <row r="4267" spans="3:4" x14ac:dyDescent="0.3">
      <c r="C4267"/>
      <c r="D4267"/>
    </row>
    <row r="4268" spans="3:4" x14ac:dyDescent="0.3">
      <c r="C4268"/>
      <c r="D4268"/>
    </row>
    <row r="4269" spans="3:4" x14ac:dyDescent="0.3">
      <c r="C4269"/>
      <c r="D4269"/>
    </row>
    <row r="4270" spans="3:4" x14ac:dyDescent="0.3">
      <c r="C4270"/>
      <c r="D4270"/>
    </row>
    <row r="4271" spans="3:4" x14ac:dyDescent="0.3">
      <c r="C4271"/>
      <c r="D4271"/>
    </row>
    <row r="4272" spans="3:4" x14ac:dyDescent="0.3">
      <c r="C4272"/>
      <c r="D4272"/>
    </row>
    <row r="4273" spans="3:4" x14ac:dyDescent="0.3">
      <c r="C4273"/>
      <c r="D4273"/>
    </row>
    <row r="4274" spans="3:4" x14ac:dyDescent="0.3">
      <c r="C4274"/>
      <c r="D4274"/>
    </row>
    <row r="4275" spans="3:4" x14ac:dyDescent="0.3">
      <c r="C4275"/>
      <c r="D4275"/>
    </row>
    <row r="4276" spans="3:4" x14ac:dyDescent="0.3">
      <c r="C4276"/>
      <c r="D4276"/>
    </row>
    <row r="4277" spans="3:4" x14ac:dyDescent="0.3">
      <c r="C4277"/>
      <c r="D4277"/>
    </row>
    <row r="4278" spans="3:4" x14ac:dyDescent="0.3">
      <c r="C4278"/>
      <c r="D4278"/>
    </row>
    <row r="4279" spans="3:4" x14ac:dyDescent="0.3">
      <c r="C4279"/>
      <c r="D4279"/>
    </row>
    <row r="4280" spans="3:4" x14ac:dyDescent="0.3">
      <c r="C4280"/>
      <c r="D4280"/>
    </row>
    <row r="4281" spans="3:4" x14ac:dyDescent="0.3">
      <c r="C4281"/>
      <c r="D4281"/>
    </row>
    <row r="4282" spans="3:4" x14ac:dyDescent="0.3">
      <c r="C4282"/>
      <c r="D4282"/>
    </row>
    <row r="4283" spans="3:4" x14ac:dyDescent="0.3">
      <c r="C4283"/>
      <c r="D4283"/>
    </row>
    <row r="4284" spans="3:4" x14ac:dyDescent="0.3">
      <c r="C4284"/>
      <c r="D4284"/>
    </row>
    <row r="4285" spans="3:4" x14ac:dyDescent="0.3">
      <c r="C4285"/>
      <c r="D4285"/>
    </row>
    <row r="4286" spans="3:4" x14ac:dyDescent="0.3">
      <c r="C4286"/>
      <c r="D4286"/>
    </row>
    <row r="4287" spans="3:4" x14ac:dyDescent="0.3">
      <c r="C4287"/>
      <c r="D4287"/>
    </row>
    <row r="4288" spans="3:4" x14ac:dyDescent="0.3">
      <c r="C4288"/>
      <c r="D4288"/>
    </row>
    <row r="4289" spans="3:4" x14ac:dyDescent="0.3">
      <c r="C4289"/>
      <c r="D4289"/>
    </row>
    <row r="4290" spans="3:4" x14ac:dyDescent="0.3">
      <c r="C4290"/>
      <c r="D4290"/>
    </row>
    <row r="4291" spans="3:4" x14ac:dyDescent="0.3">
      <c r="C4291"/>
      <c r="D4291"/>
    </row>
    <row r="4292" spans="3:4" x14ac:dyDescent="0.3">
      <c r="C4292"/>
      <c r="D4292"/>
    </row>
    <row r="4293" spans="3:4" x14ac:dyDescent="0.3">
      <c r="C4293"/>
      <c r="D4293"/>
    </row>
    <row r="4294" spans="3:4" x14ac:dyDescent="0.3">
      <c r="C4294"/>
      <c r="D4294"/>
    </row>
    <row r="4295" spans="3:4" x14ac:dyDescent="0.3">
      <c r="C4295"/>
      <c r="D4295"/>
    </row>
    <row r="4296" spans="3:4" x14ac:dyDescent="0.3">
      <c r="C4296"/>
      <c r="D4296"/>
    </row>
    <row r="4297" spans="3:4" x14ac:dyDescent="0.3">
      <c r="C4297"/>
      <c r="D4297"/>
    </row>
    <row r="4298" spans="3:4" x14ac:dyDescent="0.3">
      <c r="C4298"/>
      <c r="D4298"/>
    </row>
    <row r="4299" spans="3:4" x14ac:dyDescent="0.3">
      <c r="C4299"/>
      <c r="D4299"/>
    </row>
    <row r="4300" spans="3:4" x14ac:dyDescent="0.3">
      <c r="C4300"/>
      <c r="D4300"/>
    </row>
    <row r="4301" spans="3:4" x14ac:dyDescent="0.3">
      <c r="C4301"/>
      <c r="D4301"/>
    </row>
    <row r="4302" spans="3:4" x14ac:dyDescent="0.3">
      <c r="C4302"/>
      <c r="D4302"/>
    </row>
    <row r="4303" spans="3:4" x14ac:dyDescent="0.3">
      <c r="C4303"/>
      <c r="D4303"/>
    </row>
    <row r="4304" spans="3:4" x14ac:dyDescent="0.3">
      <c r="C4304"/>
      <c r="D4304"/>
    </row>
    <row r="4305" spans="3:4" x14ac:dyDescent="0.3">
      <c r="C4305"/>
      <c r="D4305"/>
    </row>
    <row r="4306" spans="3:4" x14ac:dyDescent="0.3">
      <c r="C4306"/>
      <c r="D4306"/>
    </row>
    <row r="4307" spans="3:4" x14ac:dyDescent="0.3">
      <c r="C4307"/>
      <c r="D4307"/>
    </row>
    <row r="4308" spans="3:4" x14ac:dyDescent="0.3">
      <c r="C4308"/>
      <c r="D4308"/>
    </row>
    <row r="4309" spans="3:4" x14ac:dyDescent="0.3">
      <c r="C4309"/>
      <c r="D4309"/>
    </row>
    <row r="4310" spans="3:4" x14ac:dyDescent="0.3">
      <c r="C4310"/>
      <c r="D4310"/>
    </row>
    <row r="4311" spans="3:4" x14ac:dyDescent="0.3">
      <c r="C4311"/>
      <c r="D4311"/>
    </row>
    <row r="4312" spans="3:4" x14ac:dyDescent="0.3">
      <c r="C4312"/>
      <c r="D4312"/>
    </row>
    <row r="4313" spans="3:4" x14ac:dyDescent="0.3">
      <c r="C4313"/>
      <c r="D4313"/>
    </row>
    <row r="4314" spans="3:4" x14ac:dyDescent="0.3">
      <c r="C4314"/>
      <c r="D4314"/>
    </row>
    <row r="4315" spans="3:4" x14ac:dyDescent="0.3">
      <c r="C4315"/>
      <c r="D4315"/>
    </row>
    <row r="4316" spans="3:4" x14ac:dyDescent="0.3">
      <c r="C4316"/>
      <c r="D4316"/>
    </row>
    <row r="4317" spans="3:4" x14ac:dyDescent="0.3">
      <c r="C4317"/>
      <c r="D4317"/>
    </row>
    <row r="4318" spans="3:4" x14ac:dyDescent="0.3">
      <c r="C4318"/>
      <c r="D4318"/>
    </row>
    <row r="4319" spans="3:4" x14ac:dyDescent="0.3">
      <c r="C4319"/>
      <c r="D4319"/>
    </row>
    <row r="4320" spans="3:4" x14ac:dyDescent="0.3">
      <c r="C4320"/>
      <c r="D4320"/>
    </row>
    <row r="4321" spans="3:4" x14ac:dyDescent="0.3">
      <c r="C4321"/>
      <c r="D4321"/>
    </row>
    <row r="4322" spans="3:4" x14ac:dyDescent="0.3">
      <c r="C4322"/>
      <c r="D4322"/>
    </row>
    <row r="4323" spans="3:4" x14ac:dyDescent="0.3">
      <c r="C4323"/>
      <c r="D4323"/>
    </row>
    <row r="4324" spans="3:4" x14ac:dyDescent="0.3">
      <c r="C4324"/>
      <c r="D4324"/>
    </row>
    <row r="4325" spans="3:4" x14ac:dyDescent="0.3">
      <c r="C4325"/>
      <c r="D4325"/>
    </row>
    <row r="4326" spans="3:4" x14ac:dyDescent="0.3">
      <c r="C4326"/>
      <c r="D4326"/>
    </row>
    <row r="4327" spans="3:4" x14ac:dyDescent="0.3">
      <c r="C4327"/>
      <c r="D4327"/>
    </row>
    <row r="4328" spans="3:4" x14ac:dyDescent="0.3">
      <c r="C4328"/>
      <c r="D4328"/>
    </row>
    <row r="4329" spans="3:4" x14ac:dyDescent="0.3">
      <c r="C4329"/>
      <c r="D4329"/>
    </row>
    <row r="4330" spans="3:4" x14ac:dyDescent="0.3">
      <c r="C4330"/>
      <c r="D4330"/>
    </row>
    <row r="4331" spans="3:4" x14ac:dyDescent="0.3">
      <c r="C4331"/>
      <c r="D4331"/>
    </row>
    <row r="4332" spans="3:4" x14ac:dyDescent="0.3">
      <c r="C4332"/>
      <c r="D4332"/>
    </row>
    <row r="4333" spans="3:4" x14ac:dyDescent="0.3">
      <c r="C4333"/>
      <c r="D4333"/>
    </row>
    <row r="4334" spans="3:4" x14ac:dyDescent="0.3">
      <c r="C4334"/>
      <c r="D4334"/>
    </row>
    <row r="4335" spans="3:4" x14ac:dyDescent="0.3">
      <c r="C4335"/>
      <c r="D4335"/>
    </row>
    <row r="4336" spans="3:4" x14ac:dyDescent="0.3">
      <c r="C4336"/>
      <c r="D4336"/>
    </row>
    <row r="4337" spans="3:4" x14ac:dyDescent="0.3">
      <c r="C4337"/>
      <c r="D4337"/>
    </row>
    <row r="4338" spans="3:4" x14ac:dyDescent="0.3">
      <c r="C4338"/>
      <c r="D4338"/>
    </row>
    <row r="4339" spans="3:4" x14ac:dyDescent="0.3">
      <c r="C4339"/>
      <c r="D4339"/>
    </row>
    <row r="4340" spans="3:4" x14ac:dyDescent="0.3">
      <c r="C4340"/>
      <c r="D4340"/>
    </row>
    <row r="4341" spans="3:4" x14ac:dyDescent="0.3">
      <c r="C4341"/>
      <c r="D4341"/>
    </row>
    <row r="4342" spans="3:4" x14ac:dyDescent="0.3">
      <c r="C4342"/>
      <c r="D4342"/>
    </row>
    <row r="4343" spans="3:4" x14ac:dyDescent="0.3">
      <c r="C4343"/>
      <c r="D4343"/>
    </row>
    <row r="4344" spans="3:4" x14ac:dyDescent="0.3">
      <c r="C4344"/>
      <c r="D4344"/>
    </row>
    <row r="4345" spans="3:4" x14ac:dyDescent="0.3">
      <c r="C4345"/>
      <c r="D4345"/>
    </row>
    <row r="4346" spans="3:4" x14ac:dyDescent="0.3">
      <c r="C4346"/>
      <c r="D4346"/>
    </row>
    <row r="4347" spans="3:4" x14ac:dyDescent="0.3">
      <c r="C4347"/>
      <c r="D4347"/>
    </row>
    <row r="4348" spans="3:4" x14ac:dyDescent="0.3">
      <c r="C4348"/>
      <c r="D4348"/>
    </row>
    <row r="4349" spans="3:4" x14ac:dyDescent="0.3">
      <c r="C4349"/>
      <c r="D4349"/>
    </row>
    <row r="4350" spans="3:4" x14ac:dyDescent="0.3">
      <c r="C4350"/>
      <c r="D4350"/>
    </row>
    <row r="4351" spans="3:4" x14ac:dyDescent="0.3">
      <c r="C4351"/>
      <c r="D4351"/>
    </row>
    <row r="4352" spans="3:4" x14ac:dyDescent="0.3">
      <c r="C4352"/>
      <c r="D4352"/>
    </row>
    <row r="4353" spans="3:4" x14ac:dyDescent="0.3">
      <c r="C4353"/>
      <c r="D4353"/>
    </row>
    <row r="4354" spans="3:4" x14ac:dyDescent="0.3">
      <c r="C4354"/>
      <c r="D4354"/>
    </row>
    <row r="4355" spans="3:4" x14ac:dyDescent="0.3">
      <c r="C4355"/>
      <c r="D4355"/>
    </row>
    <row r="4356" spans="3:4" x14ac:dyDescent="0.3">
      <c r="C4356"/>
      <c r="D4356"/>
    </row>
    <row r="4357" spans="3:4" x14ac:dyDescent="0.3">
      <c r="C4357"/>
      <c r="D4357"/>
    </row>
    <row r="4358" spans="3:4" x14ac:dyDescent="0.3">
      <c r="C4358"/>
      <c r="D4358"/>
    </row>
    <row r="4359" spans="3:4" x14ac:dyDescent="0.3">
      <c r="C4359"/>
      <c r="D4359"/>
    </row>
    <row r="4360" spans="3:4" x14ac:dyDescent="0.3">
      <c r="C4360"/>
      <c r="D4360"/>
    </row>
    <row r="4361" spans="3:4" x14ac:dyDescent="0.3">
      <c r="C4361"/>
      <c r="D4361"/>
    </row>
    <row r="4362" spans="3:4" x14ac:dyDescent="0.3">
      <c r="C4362"/>
      <c r="D4362"/>
    </row>
    <row r="4363" spans="3:4" x14ac:dyDescent="0.3">
      <c r="C4363"/>
      <c r="D4363"/>
    </row>
    <row r="4364" spans="3:4" x14ac:dyDescent="0.3">
      <c r="C4364"/>
      <c r="D4364"/>
    </row>
    <row r="4365" spans="3:4" x14ac:dyDescent="0.3">
      <c r="C4365"/>
      <c r="D4365"/>
    </row>
    <row r="4366" spans="3:4" x14ac:dyDescent="0.3">
      <c r="C4366"/>
      <c r="D4366"/>
    </row>
    <row r="4367" spans="3:4" x14ac:dyDescent="0.3">
      <c r="C4367"/>
      <c r="D4367"/>
    </row>
    <row r="4368" spans="3:4" x14ac:dyDescent="0.3">
      <c r="C4368"/>
      <c r="D4368"/>
    </row>
    <row r="4369" spans="3:4" x14ac:dyDescent="0.3">
      <c r="C4369"/>
      <c r="D4369"/>
    </row>
    <row r="4370" spans="3:4" x14ac:dyDescent="0.3">
      <c r="C4370"/>
      <c r="D4370"/>
    </row>
    <row r="4371" spans="3:4" x14ac:dyDescent="0.3">
      <c r="C4371"/>
      <c r="D4371"/>
    </row>
    <row r="4372" spans="3:4" x14ac:dyDescent="0.3">
      <c r="C4372"/>
      <c r="D4372"/>
    </row>
    <row r="4373" spans="3:4" x14ac:dyDescent="0.3">
      <c r="C4373"/>
      <c r="D4373"/>
    </row>
    <row r="4374" spans="3:4" x14ac:dyDescent="0.3">
      <c r="C4374"/>
      <c r="D4374"/>
    </row>
    <row r="4375" spans="3:4" x14ac:dyDescent="0.3">
      <c r="C4375"/>
      <c r="D4375"/>
    </row>
    <row r="4376" spans="3:4" x14ac:dyDescent="0.3">
      <c r="C4376"/>
      <c r="D4376"/>
    </row>
    <row r="4377" spans="3:4" x14ac:dyDescent="0.3">
      <c r="C4377"/>
      <c r="D4377"/>
    </row>
    <row r="4378" spans="3:4" x14ac:dyDescent="0.3">
      <c r="C4378"/>
      <c r="D4378"/>
    </row>
    <row r="4379" spans="3:4" x14ac:dyDescent="0.3">
      <c r="C4379"/>
      <c r="D4379"/>
    </row>
    <row r="4380" spans="3:4" x14ac:dyDescent="0.3">
      <c r="C4380"/>
      <c r="D4380"/>
    </row>
    <row r="4381" spans="3:4" x14ac:dyDescent="0.3">
      <c r="C4381"/>
      <c r="D4381"/>
    </row>
    <row r="4382" spans="3:4" x14ac:dyDescent="0.3">
      <c r="C4382"/>
      <c r="D4382"/>
    </row>
    <row r="4383" spans="3:4" x14ac:dyDescent="0.3">
      <c r="C4383"/>
      <c r="D4383"/>
    </row>
    <row r="4384" spans="3:4" x14ac:dyDescent="0.3">
      <c r="C4384"/>
      <c r="D4384"/>
    </row>
    <row r="4385" spans="3:4" x14ac:dyDescent="0.3">
      <c r="C4385"/>
      <c r="D4385"/>
    </row>
    <row r="4386" spans="3:4" x14ac:dyDescent="0.3">
      <c r="C4386"/>
      <c r="D4386"/>
    </row>
    <row r="4387" spans="3:4" x14ac:dyDescent="0.3">
      <c r="C4387"/>
      <c r="D4387"/>
    </row>
    <row r="4388" spans="3:4" x14ac:dyDescent="0.3">
      <c r="C4388"/>
      <c r="D4388"/>
    </row>
    <row r="4389" spans="3:4" x14ac:dyDescent="0.3">
      <c r="C4389"/>
      <c r="D4389"/>
    </row>
    <row r="4390" spans="3:4" x14ac:dyDescent="0.3">
      <c r="C4390"/>
      <c r="D4390"/>
    </row>
    <row r="4391" spans="3:4" x14ac:dyDescent="0.3">
      <c r="C4391"/>
      <c r="D4391"/>
    </row>
    <row r="4392" spans="3:4" x14ac:dyDescent="0.3">
      <c r="C4392"/>
      <c r="D4392"/>
    </row>
    <row r="4393" spans="3:4" x14ac:dyDescent="0.3">
      <c r="C4393"/>
      <c r="D4393"/>
    </row>
    <row r="4394" spans="3:4" x14ac:dyDescent="0.3">
      <c r="C4394"/>
      <c r="D4394"/>
    </row>
    <row r="4395" spans="3:4" x14ac:dyDescent="0.3">
      <c r="C4395"/>
      <c r="D4395"/>
    </row>
    <row r="4396" spans="3:4" x14ac:dyDescent="0.3">
      <c r="C4396"/>
      <c r="D4396"/>
    </row>
    <row r="4397" spans="3:4" x14ac:dyDescent="0.3">
      <c r="C4397"/>
      <c r="D4397"/>
    </row>
    <row r="4398" spans="3:4" x14ac:dyDescent="0.3">
      <c r="C4398"/>
      <c r="D4398"/>
    </row>
    <row r="4399" spans="3:4" x14ac:dyDescent="0.3">
      <c r="C4399"/>
      <c r="D4399"/>
    </row>
    <row r="4400" spans="3:4" x14ac:dyDescent="0.3">
      <c r="C4400"/>
      <c r="D4400"/>
    </row>
    <row r="4401" spans="3:4" x14ac:dyDescent="0.3">
      <c r="C4401"/>
      <c r="D4401"/>
    </row>
    <row r="4402" spans="3:4" x14ac:dyDescent="0.3">
      <c r="C4402"/>
      <c r="D4402"/>
    </row>
    <row r="4403" spans="3:4" x14ac:dyDescent="0.3">
      <c r="C4403"/>
      <c r="D4403"/>
    </row>
    <row r="4404" spans="3:4" x14ac:dyDescent="0.3">
      <c r="C4404"/>
      <c r="D4404"/>
    </row>
    <row r="4405" spans="3:4" x14ac:dyDescent="0.3">
      <c r="C4405"/>
      <c r="D4405"/>
    </row>
    <row r="4406" spans="3:4" x14ac:dyDescent="0.3">
      <c r="C4406"/>
      <c r="D4406"/>
    </row>
    <row r="4407" spans="3:4" x14ac:dyDescent="0.3">
      <c r="C4407"/>
      <c r="D4407"/>
    </row>
    <row r="4408" spans="3:4" x14ac:dyDescent="0.3">
      <c r="C4408"/>
      <c r="D4408"/>
    </row>
    <row r="4409" spans="3:4" x14ac:dyDescent="0.3">
      <c r="C4409"/>
      <c r="D4409"/>
    </row>
    <row r="4410" spans="3:4" x14ac:dyDescent="0.3">
      <c r="C4410"/>
      <c r="D4410"/>
    </row>
    <row r="4411" spans="3:4" x14ac:dyDescent="0.3">
      <c r="C4411"/>
      <c r="D4411"/>
    </row>
    <row r="4412" spans="3:4" x14ac:dyDescent="0.3">
      <c r="C4412"/>
      <c r="D4412"/>
    </row>
    <row r="4413" spans="3:4" x14ac:dyDescent="0.3">
      <c r="C4413"/>
      <c r="D4413"/>
    </row>
    <row r="4414" spans="3:4" x14ac:dyDescent="0.3">
      <c r="C4414"/>
      <c r="D4414"/>
    </row>
    <row r="4415" spans="3:4" x14ac:dyDescent="0.3">
      <c r="C4415"/>
      <c r="D4415"/>
    </row>
    <row r="4416" spans="3:4" x14ac:dyDescent="0.3">
      <c r="C4416"/>
      <c r="D4416"/>
    </row>
    <row r="4417" spans="3:4" x14ac:dyDescent="0.3">
      <c r="C4417"/>
      <c r="D4417"/>
    </row>
    <row r="4418" spans="3:4" x14ac:dyDescent="0.3">
      <c r="C4418"/>
      <c r="D4418"/>
    </row>
    <row r="4419" spans="3:4" x14ac:dyDescent="0.3">
      <c r="C4419"/>
      <c r="D4419"/>
    </row>
    <row r="4420" spans="3:4" x14ac:dyDescent="0.3">
      <c r="C4420"/>
      <c r="D4420"/>
    </row>
    <row r="4421" spans="3:4" x14ac:dyDescent="0.3">
      <c r="C4421"/>
      <c r="D4421"/>
    </row>
    <row r="4422" spans="3:4" x14ac:dyDescent="0.3">
      <c r="C4422"/>
      <c r="D4422"/>
    </row>
    <row r="4423" spans="3:4" x14ac:dyDescent="0.3">
      <c r="C4423"/>
      <c r="D4423"/>
    </row>
    <row r="4424" spans="3:4" x14ac:dyDescent="0.3">
      <c r="C4424"/>
      <c r="D4424"/>
    </row>
    <row r="4425" spans="3:4" x14ac:dyDescent="0.3">
      <c r="C4425"/>
      <c r="D4425"/>
    </row>
    <row r="4426" spans="3:4" x14ac:dyDescent="0.3">
      <c r="C4426"/>
      <c r="D4426"/>
    </row>
    <row r="4427" spans="3:4" x14ac:dyDescent="0.3">
      <c r="C4427"/>
      <c r="D4427"/>
    </row>
    <row r="4428" spans="3:4" x14ac:dyDescent="0.3">
      <c r="C4428"/>
      <c r="D4428"/>
    </row>
    <row r="4429" spans="3:4" x14ac:dyDescent="0.3">
      <c r="C4429"/>
      <c r="D4429"/>
    </row>
    <row r="4430" spans="3:4" x14ac:dyDescent="0.3">
      <c r="C4430"/>
      <c r="D4430"/>
    </row>
    <row r="4431" spans="3:4" x14ac:dyDescent="0.3">
      <c r="C4431"/>
      <c r="D4431"/>
    </row>
    <row r="4432" spans="3:4" x14ac:dyDescent="0.3">
      <c r="C4432"/>
      <c r="D4432"/>
    </row>
    <row r="4433" spans="3:4" x14ac:dyDescent="0.3">
      <c r="C4433"/>
      <c r="D4433"/>
    </row>
    <row r="4434" spans="3:4" x14ac:dyDescent="0.3">
      <c r="C4434"/>
      <c r="D4434"/>
    </row>
    <row r="4435" spans="3:4" x14ac:dyDescent="0.3">
      <c r="C4435"/>
      <c r="D4435"/>
    </row>
    <row r="4436" spans="3:4" x14ac:dyDescent="0.3">
      <c r="C4436"/>
      <c r="D4436"/>
    </row>
    <row r="4437" spans="3:4" x14ac:dyDescent="0.3">
      <c r="C4437"/>
      <c r="D4437"/>
    </row>
    <row r="4438" spans="3:4" x14ac:dyDescent="0.3">
      <c r="C4438"/>
      <c r="D4438"/>
    </row>
    <row r="4439" spans="3:4" x14ac:dyDescent="0.3">
      <c r="C4439"/>
      <c r="D4439"/>
    </row>
    <row r="4440" spans="3:4" x14ac:dyDescent="0.3">
      <c r="C4440"/>
      <c r="D4440"/>
    </row>
    <row r="4441" spans="3:4" x14ac:dyDescent="0.3">
      <c r="C4441"/>
      <c r="D4441"/>
    </row>
    <row r="4442" spans="3:4" x14ac:dyDescent="0.3">
      <c r="C4442"/>
      <c r="D4442"/>
    </row>
    <row r="4443" spans="3:4" x14ac:dyDescent="0.3">
      <c r="C4443"/>
      <c r="D4443"/>
    </row>
    <row r="4444" spans="3:4" x14ac:dyDescent="0.3">
      <c r="C4444"/>
      <c r="D4444"/>
    </row>
    <row r="4445" spans="3:4" x14ac:dyDescent="0.3">
      <c r="C4445"/>
      <c r="D4445"/>
    </row>
    <row r="4446" spans="3:4" x14ac:dyDescent="0.3">
      <c r="C4446"/>
      <c r="D4446"/>
    </row>
    <row r="4447" spans="3:4" x14ac:dyDescent="0.3">
      <c r="C4447"/>
      <c r="D4447"/>
    </row>
    <row r="4448" spans="3:4" x14ac:dyDescent="0.3">
      <c r="C4448"/>
      <c r="D4448"/>
    </row>
    <row r="4449" spans="3:4" x14ac:dyDescent="0.3">
      <c r="C4449"/>
      <c r="D4449"/>
    </row>
    <row r="4450" spans="3:4" x14ac:dyDescent="0.3">
      <c r="C4450"/>
      <c r="D4450"/>
    </row>
    <row r="4451" spans="3:4" x14ac:dyDescent="0.3">
      <c r="C4451"/>
      <c r="D4451"/>
    </row>
    <row r="4452" spans="3:4" x14ac:dyDescent="0.3">
      <c r="C4452"/>
      <c r="D4452"/>
    </row>
    <row r="4453" spans="3:4" x14ac:dyDescent="0.3">
      <c r="C4453"/>
      <c r="D4453"/>
    </row>
    <row r="4454" spans="3:4" x14ac:dyDescent="0.3">
      <c r="C4454"/>
      <c r="D4454"/>
    </row>
    <row r="4455" spans="3:4" x14ac:dyDescent="0.3">
      <c r="C4455"/>
      <c r="D4455"/>
    </row>
    <row r="4456" spans="3:4" x14ac:dyDescent="0.3">
      <c r="C4456"/>
      <c r="D4456"/>
    </row>
    <row r="4457" spans="3:4" x14ac:dyDescent="0.3">
      <c r="C4457"/>
      <c r="D4457"/>
    </row>
    <row r="4458" spans="3:4" x14ac:dyDescent="0.3">
      <c r="C4458"/>
      <c r="D4458"/>
    </row>
    <row r="4459" spans="3:4" x14ac:dyDescent="0.3">
      <c r="C4459"/>
      <c r="D4459"/>
    </row>
    <row r="4460" spans="3:4" x14ac:dyDescent="0.3">
      <c r="C4460"/>
      <c r="D4460"/>
    </row>
    <row r="4461" spans="3:4" x14ac:dyDescent="0.3">
      <c r="C4461"/>
      <c r="D4461"/>
    </row>
    <row r="4462" spans="3:4" x14ac:dyDescent="0.3">
      <c r="C4462"/>
      <c r="D4462"/>
    </row>
    <row r="4463" spans="3:4" x14ac:dyDescent="0.3">
      <c r="C4463"/>
      <c r="D4463"/>
    </row>
    <row r="4464" spans="3:4" x14ac:dyDescent="0.3">
      <c r="C4464"/>
      <c r="D4464"/>
    </row>
    <row r="4465" spans="3:4" x14ac:dyDescent="0.3">
      <c r="C4465"/>
      <c r="D4465"/>
    </row>
    <row r="4466" spans="3:4" x14ac:dyDescent="0.3">
      <c r="C4466"/>
      <c r="D4466"/>
    </row>
    <row r="4467" spans="3:4" x14ac:dyDescent="0.3">
      <c r="C4467"/>
      <c r="D4467"/>
    </row>
    <row r="4468" spans="3:4" x14ac:dyDescent="0.3">
      <c r="C4468"/>
      <c r="D4468"/>
    </row>
    <row r="4469" spans="3:4" x14ac:dyDescent="0.3">
      <c r="C4469"/>
      <c r="D4469"/>
    </row>
    <row r="4470" spans="3:4" x14ac:dyDescent="0.3">
      <c r="C4470"/>
      <c r="D4470"/>
    </row>
    <row r="4471" spans="3:4" x14ac:dyDescent="0.3">
      <c r="C4471"/>
      <c r="D4471"/>
    </row>
    <row r="4472" spans="3:4" x14ac:dyDescent="0.3">
      <c r="C4472"/>
      <c r="D4472"/>
    </row>
    <row r="4473" spans="3:4" x14ac:dyDescent="0.3">
      <c r="C4473"/>
      <c r="D4473"/>
    </row>
    <row r="4474" spans="3:4" x14ac:dyDescent="0.3">
      <c r="C4474"/>
      <c r="D4474"/>
    </row>
    <row r="4475" spans="3:4" x14ac:dyDescent="0.3">
      <c r="C4475"/>
      <c r="D4475"/>
    </row>
    <row r="4476" spans="3:4" x14ac:dyDescent="0.3">
      <c r="C4476"/>
      <c r="D4476"/>
    </row>
    <row r="4477" spans="3:4" x14ac:dyDescent="0.3">
      <c r="C4477"/>
      <c r="D4477"/>
    </row>
    <row r="4478" spans="3:4" x14ac:dyDescent="0.3">
      <c r="C4478"/>
      <c r="D4478"/>
    </row>
    <row r="4479" spans="3:4" x14ac:dyDescent="0.3">
      <c r="C4479"/>
      <c r="D4479"/>
    </row>
    <row r="4480" spans="3:4" x14ac:dyDescent="0.3">
      <c r="C4480"/>
      <c r="D4480"/>
    </row>
    <row r="4481" spans="3:4" x14ac:dyDescent="0.3">
      <c r="C4481"/>
      <c r="D4481"/>
    </row>
    <row r="4482" spans="3:4" x14ac:dyDescent="0.3">
      <c r="C4482"/>
      <c r="D4482"/>
    </row>
    <row r="4483" spans="3:4" x14ac:dyDescent="0.3">
      <c r="C4483"/>
      <c r="D4483"/>
    </row>
    <row r="4484" spans="3:4" x14ac:dyDescent="0.3">
      <c r="C4484"/>
      <c r="D4484"/>
    </row>
    <row r="4485" spans="3:4" x14ac:dyDescent="0.3">
      <c r="C4485"/>
      <c r="D4485"/>
    </row>
    <row r="4486" spans="3:4" x14ac:dyDescent="0.3">
      <c r="C4486"/>
      <c r="D4486"/>
    </row>
    <row r="4487" spans="3:4" x14ac:dyDescent="0.3">
      <c r="C4487"/>
      <c r="D4487"/>
    </row>
    <row r="4488" spans="3:4" x14ac:dyDescent="0.3">
      <c r="C4488"/>
      <c r="D4488"/>
    </row>
    <row r="4489" spans="3:4" x14ac:dyDescent="0.3">
      <c r="C4489"/>
      <c r="D4489"/>
    </row>
    <row r="4490" spans="3:4" x14ac:dyDescent="0.3">
      <c r="C4490"/>
      <c r="D4490"/>
    </row>
    <row r="4491" spans="3:4" x14ac:dyDescent="0.3">
      <c r="C4491"/>
      <c r="D4491"/>
    </row>
    <row r="4492" spans="3:4" x14ac:dyDescent="0.3">
      <c r="C4492"/>
      <c r="D4492"/>
    </row>
    <row r="4493" spans="3:4" x14ac:dyDescent="0.3">
      <c r="C4493"/>
      <c r="D4493"/>
    </row>
    <row r="4494" spans="3:4" x14ac:dyDescent="0.3">
      <c r="C4494"/>
      <c r="D4494"/>
    </row>
    <row r="4495" spans="3:4" x14ac:dyDescent="0.3">
      <c r="C4495"/>
      <c r="D4495"/>
    </row>
    <row r="4496" spans="3:4" x14ac:dyDescent="0.3">
      <c r="C4496"/>
      <c r="D4496"/>
    </row>
    <row r="4497" spans="3:4" x14ac:dyDescent="0.3">
      <c r="C4497"/>
      <c r="D4497"/>
    </row>
    <row r="4498" spans="3:4" x14ac:dyDescent="0.3">
      <c r="C4498"/>
      <c r="D4498"/>
    </row>
    <row r="4499" spans="3:4" x14ac:dyDescent="0.3">
      <c r="C4499"/>
      <c r="D4499"/>
    </row>
    <row r="4500" spans="3:4" x14ac:dyDescent="0.3">
      <c r="C4500"/>
      <c r="D4500"/>
    </row>
    <row r="4501" spans="3:4" x14ac:dyDescent="0.3">
      <c r="C4501"/>
      <c r="D4501"/>
    </row>
    <row r="4502" spans="3:4" x14ac:dyDescent="0.3">
      <c r="C4502"/>
      <c r="D4502"/>
    </row>
    <row r="4503" spans="3:4" x14ac:dyDescent="0.3">
      <c r="C4503"/>
      <c r="D4503"/>
    </row>
    <row r="4504" spans="3:4" x14ac:dyDescent="0.3">
      <c r="C4504"/>
      <c r="D4504"/>
    </row>
    <row r="4505" spans="3:4" x14ac:dyDescent="0.3">
      <c r="C4505"/>
      <c r="D4505"/>
    </row>
    <row r="4506" spans="3:4" x14ac:dyDescent="0.3">
      <c r="C4506"/>
      <c r="D4506"/>
    </row>
    <row r="4507" spans="3:4" x14ac:dyDescent="0.3">
      <c r="C4507"/>
      <c r="D4507"/>
    </row>
    <row r="4508" spans="3:4" x14ac:dyDescent="0.3">
      <c r="C4508"/>
      <c r="D4508"/>
    </row>
    <row r="4509" spans="3:4" x14ac:dyDescent="0.3">
      <c r="C4509"/>
      <c r="D4509"/>
    </row>
    <row r="4510" spans="3:4" x14ac:dyDescent="0.3">
      <c r="C4510"/>
      <c r="D4510"/>
    </row>
    <row r="4511" spans="3:4" x14ac:dyDescent="0.3">
      <c r="C4511"/>
      <c r="D4511"/>
    </row>
    <row r="4512" spans="3:4" x14ac:dyDescent="0.3">
      <c r="C4512"/>
      <c r="D4512"/>
    </row>
    <row r="4513" spans="3:4" x14ac:dyDescent="0.3">
      <c r="C4513"/>
      <c r="D4513"/>
    </row>
    <row r="4514" spans="3:4" x14ac:dyDescent="0.3">
      <c r="C4514"/>
      <c r="D4514"/>
    </row>
    <row r="4515" spans="3:4" x14ac:dyDescent="0.3">
      <c r="C4515"/>
      <c r="D4515"/>
    </row>
    <row r="4516" spans="3:4" x14ac:dyDescent="0.3">
      <c r="C4516"/>
      <c r="D4516"/>
    </row>
    <row r="4517" spans="3:4" x14ac:dyDescent="0.3">
      <c r="C4517"/>
      <c r="D4517"/>
    </row>
    <row r="4518" spans="3:4" x14ac:dyDescent="0.3">
      <c r="C4518"/>
      <c r="D4518"/>
    </row>
    <row r="4519" spans="3:4" x14ac:dyDescent="0.3">
      <c r="C4519"/>
      <c r="D4519"/>
    </row>
    <row r="4520" spans="3:4" x14ac:dyDescent="0.3">
      <c r="C4520"/>
      <c r="D4520"/>
    </row>
    <row r="4521" spans="3:4" x14ac:dyDescent="0.3">
      <c r="C4521"/>
      <c r="D4521"/>
    </row>
    <row r="4522" spans="3:4" x14ac:dyDescent="0.3">
      <c r="C4522"/>
      <c r="D4522"/>
    </row>
    <row r="4523" spans="3:4" x14ac:dyDescent="0.3">
      <c r="C4523"/>
      <c r="D4523"/>
    </row>
    <row r="4524" spans="3:4" x14ac:dyDescent="0.3">
      <c r="C4524"/>
      <c r="D4524"/>
    </row>
    <row r="4525" spans="3:4" x14ac:dyDescent="0.3">
      <c r="C4525"/>
      <c r="D4525"/>
    </row>
    <row r="4526" spans="3:4" x14ac:dyDescent="0.3">
      <c r="C4526"/>
      <c r="D4526"/>
    </row>
    <row r="4527" spans="3:4" x14ac:dyDescent="0.3">
      <c r="C4527"/>
      <c r="D4527"/>
    </row>
    <row r="4528" spans="3:4" x14ac:dyDescent="0.3">
      <c r="C4528"/>
      <c r="D4528"/>
    </row>
    <row r="4529" spans="3:4" x14ac:dyDescent="0.3">
      <c r="C4529"/>
      <c r="D4529"/>
    </row>
    <row r="4530" spans="3:4" x14ac:dyDescent="0.3">
      <c r="C4530"/>
      <c r="D4530"/>
    </row>
    <row r="4531" spans="3:4" x14ac:dyDescent="0.3">
      <c r="C4531"/>
      <c r="D4531"/>
    </row>
    <row r="4532" spans="3:4" x14ac:dyDescent="0.3">
      <c r="C4532"/>
      <c r="D4532"/>
    </row>
    <row r="4533" spans="3:4" x14ac:dyDescent="0.3">
      <c r="C4533"/>
      <c r="D4533"/>
    </row>
    <row r="4534" spans="3:4" x14ac:dyDescent="0.3">
      <c r="C4534"/>
      <c r="D4534"/>
    </row>
    <row r="4535" spans="3:4" x14ac:dyDescent="0.3">
      <c r="C4535"/>
      <c r="D4535"/>
    </row>
    <row r="4536" spans="3:4" x14ac:dyDescent="0.3">
      <c r="C4536"/>
      <c r="D4536"/>
    </row>
    <row r="4537" spans="3:4" x14ac:dyDescent="0.3">
      <c r="C4537"/>
      <c r="D4537"/>
    </row>
    <row r="4538" spans="3:4" x14ac:dyDescent="0.3">
      <c r="C4538"/>
      <c r="D4538"/>
    </row>
    <row r="4539" spans="3:4" x14ac:dyDescent="0.3">
      <c r="C4539"/>
      <c r="D4539"/>
    </row>
    <row r="4540" spans="3:4" x14ac:dyDescent="0.3">
      <c r="C4540"/>
      <c r="D4540"/>
    </row>
    <row r="4541" spans="3:4" x14ac:dyDescent="0.3">
      <c r="C4541"/>
      <c r="D4541"/>
    </row>
    <row r="4542" spans="3:4" x14ac:dyDescent="0.3">
      <c r="C4542"/>
      <c r="D4542"/>
    </row>
    <row r="4543" spans="3:4" x14ac:dyDescent="0.3">
      <c r="C4543"/>
      <c r="D4543"/>
    </row>
    <row r="4544" spans="3:4" x14ac:dyDescent="0.3">
      <c r="C4544"/>
      <c r="D4544"/>
    </row>
    <row r="4545" spans="3:4" x14ac:dyDescent="0.3">
      <c r="C4545"/>
      <c r="D4545"/>
    </row>
    <row r="4546" spans="3:4" x14ac:dyDescent="0.3">
      <c r="C4546"/>
      <c r="D4546"/>
    </row>
    <row r="4547" spans="3:4" x14ac:dyDescent="0.3">
      <c r="C4547"/>
      <c r="D4547"/>
    </row>
    <row r="4548" spans="3:4" x14ac:dyDescent="0.3">
      <c r="C4548"/>
      <c r="D4548"/>
    </row>
    <row r="4549" spans="3:4" x14ac:dyDescent="0.3">
      <c r="C4549"/>
      <c r="D4549"/>
    </row>
    <row r="4550" spans="3:4" x14ac:dyDescent="0.3">
      <c r="C4550"/>
      <c r="D4550"/>
    </row>
    <row r="4551" spans="3:4" x14ac:dyDescent="0.3">
      <c r="C4551"/>
      <c r="D4551"/>
    </row>
    <row r="4552" spans="3:4" x14ac:dyDescent="0.3">
      <c r="C4552"/>
      <c r="D4552"/>
    </row>
    <row r="4553" spans="3:4" x14ac:dyDescent="0.3">
      <c r="C4553"/>
      <c r="D4553"/>
    </row>
    <row r="4554" spans="3:4" x14ac:dyDescent="0.3">
      <c r="C4554"/>
      <c r="D4554"/>
    </row>
    <row r="4555" spans="3:4" x14ac:dyDescent="0.3">
      <c r="C4555"/>
      <c r="D4555"/>
    </row>
    <row r="4556" spans="3:4" x14ac:dyDescent="0.3">
      <c r="C4556"/>
      <c r="D4556"/>
    </row>
    <row r="4557" spans="3:4" x14ac:dyDescent="0.3">
      <c r="C4557"/>
      <c r="D4557"/>
    </row>
    <row r="4558" spans="3:4" x14ac:dyDescent="0.3">
      <c r="C4558"/>
      <c r="D4558"/>
    </row>
    <row r="4559" spans="3:4" x14ac:dyDescent="0.3">
      <c r="C4559"/>
      <c r="D4559"/>
    </row>
    <row r="4560" spans="3:4" x14ac:dyDescent="0.3">
      <c r="C4560"/>
      <c r="D4560"/>
    </row>
    <row r="4561" spans="3:4" x14ac:dyDescent="0.3">
      <c r="C4561"/>
      <c r="D4561"/>
    </row>
    <row r="4562" spans="3:4" x14ac:dyDescent="0.3">
      <c r="C4562"/>
      <c r="D4562"/>
    </row>
    <row r="4563" spans="3:4" x14ac:dyDescent="0.3">
      <c r="C4563"/>
      <c r="D4563"/>
    </row>
    <row r="4564" spans="3:4" x14ac:dyDescent="0.3">
      <c r="C4564"/>
      <c r="D4564"/>
    </row>
    <row r="4565" spans="3:4" x14ac:dyDescent="0.3">
      <c r="C4565"/>
      <c r="D4565"/>
    </row>
    <row r="4566" spans="3:4" x14ac:dyDescent="0.3">
      <c r="C4566"/>
      <c r="D4566"/>
    </row>
    <row r="4567" spans="3:4" x14ac:dyDescent="0.3">
      <c r="C4567"/>
      <c r="D4567"/>
    </row>
    <row r="4568" spans="3:4" x14ac:dyDescent="0.3">
      <c r="C4568"/>
      <c r="D4568"/>
    </row>
    <row r="4569" spans="3:4" x14ac:dyDescent="0.3">
      <c r="C4569"/>
      <c r="D4569"/>
    </row>
    <row r="4570" spans="3:4" x14ac:dyDescent="0.3">
      <c r="C4570"/>
      <c r="D4570"/>
    </row>
    <row r="4571" spans="3:4" x14ac:dyDescent="0.3">
      <c r="C4571"/>
      <c r="D4571"/>
    </row>
    <row r="4572" spans="3:4" x14ac:dyDescent="0.3">
      <c r="C4572"/>
      <c r="D4572"/>
    </row>
    <row r="4573" spans="3:4" x14ac:dyDescent="0.3">
      <c r="C4573"/>
      <c r="D4573"/>
    </row>
    <row r="4574" spans="3:4" x14ac:dyDescent="0.3">
      <c r="C4574"/>
      <c r="D4574"/>
    </row>
    <row r="4575" spans="3:4" x14ac:dyDescent="0.3">
      <c r="C4575"/>
      <c r="D4575"/>
    </row>
    <row r="4576" spans="3:4" x14ac:dyDescent="0.3">
      <c r="C4576"/>
      <c r="D4576"/>
    </row>
    <row r="4577" spans="3:4" x14ac:dyDescent="0.3">
      <c r="C4577"/>
      <c r="D4577"/>
    </row>
    <row r="4578" spans="3:4" x14ac:dyDescent="0.3">
      <c r="C4578"/>
      <c r="D4578"/>
    </row>
    <row r="4579" spans="3:4" x14ac:dyDescent="0.3">
      <c r="C4579"/>
      <c r="D4579"/>
    </row>
    <row r="4580" spans="3:4" x14ac:dyDescent="0.3">
      <c r="C4580"/>
      <c r="D4580"/>
    </row>
    <row r="4581" spans="3:4" x14ac:dyDescent="0.3">
      <c r="C4581"/>
      <c r="D4581"/>
    </row>
    <row r="4582" spans="3:4" x14ac:dyDescent="0.3">
      <c r="C4582"/>
      <c r="D4582"/>
    </row>
    <row r="4583" spans="3:4" x14ac:dyDescent="0.3">
      <c r="C4583"/>
      <c r="D4583"/>
    </row>
    <row r="4584" spans="3:4" x14ac:dyDescent="0.3">
      <c r="C4584"/>
      <c r="D4584"/>
    </row>
    <row r="4585" spans="3:4" x14ac:dyDescent="0.3">
      <c r="C4585"/>
      <c r="D4585"/>
    </row>
    <row r="4586" spans="3:4" x14ac:dyDescent="0.3">
      <c r="C4586"/>
      <c r="D4586"/>
    </row>
    <row r="4587" spans="3:4" x14ac:dyDescent="0.3">
      <c r="C4587"/>
      <c r="D4587"/>
    </row>
    <row r="4588" spans="3:4" x14ac:dyDescent="0.3">
      <c r="C4588"/>
      <c r="D4588"/>
    </row>
    <row r="4589" spans="3:4" x14ac:dyDescent="0.3">
      <c r="C4589"/>
      <c r="D4589"/>
    </row>
    <row r="4590" spans="3:4" x14ac:dyDescent="0.3">
      <c r="C4590"/>
      <c r="D4590"/>
    </row>
    <row r="4591" spans="3:4" x14ac:dyDescent="0.3">
      <c r="C4591"/>
      <c r="D4591"/>
    </row>
    <row r="4592" spans="3:4" x14ac:dyDescent="0.3">
      <c r="C4592"/>
      <c r="D4592"/>
    </row>
    <row r="4593" spans="3:4" x14ac:dyDescent="0.3">
      <c r="C4593"/>
      <c r="D4593"/>
    </row>
    <row r="4594" spans="3:4" x14ac:dyDescent="0.3">
      <c r="C4594"/>
      <c r="D4594"/>
    </row>
    <row r="4595" spans="3:4" x14ac:dyDescent="0.3">
      <c r="C4595"/>
      <c r="D4595"/>
    </row>
    <row r="4596" spans="3:4" x14ac:dyDescent="0.3">
      <c r="C4596"/>
      <c r="D4596"/>
    </row>
    <row r="4597" spans="3:4" x14ac:dyDescent="0.3">
      <c r="C4597"/>
      <c r="D4597"/>
    </row>
    <row r="4598" spans="3:4" x14ac:dyDescent="0.3">
      <c r="C4598"/>
      <c r="D4598"/>
    </row>
    <row r="4599" spans="3:4" x14ac:dyDescent="0.3">
      <c r="C4599"/>
      <c r="D4599"/>
    </row>
    <row r="4600" spans="3:4" x14ac:dyDescent="0.3">
      <c r="C4600"/>
      <c r="D4600"/>
    </row>
    <row r="4601" spans="3:4" x14ac:dyDescent="0.3">
      <c r="C4601"/>
      <c r="D4601"/>
    </row>
    <row r="4602" spans="3:4" x14ac:dyDescent="0.3">
      <c r="C4602"/>
      <c r="D4602"/>
    </row>
    <row r="4603" spans="3:4" x14ac:dyDescent="0.3">
      <c r="C4603"/>
      <c r="D4603"/>
    </row>
    <row r="4604" spans="3:4" x14ac:dyDescent="0.3">
      <c r="C4604"/>
      <c r="D4604"/>
    </row>
    <row r="4605" spans="3:4" x14ac:dyDescent="0.3">
      <c r="C4605"/>
      <c r="D4605"/>
    </row>
    <row r="4606" spans="3:4" x14ac:dyDescent="0.3">
      <c r="C4606"/>
      <c r="D4606"/>
    </row>
    <row r="4607" spans="3:4" x14ac:dyDescent="0.3">
      <c r="C4607"/>
      <c r="D4607"/>
    </row>
    <row r="4608" spans="3:4" x14ac:dyDescent="0.3">
      <c r="C4608"/>
      <c r="D4608"/>
    </row>
    <row r="4609" spans="3:4" x14ac:dyDescent="0.3">
      <c r="C4609"/>
      <c r="D4609"/>
    </row>
    <row r="4610" spans="3:4" x14ac:dyDescent="0.3">
      <c r="C4610"/>
      <c r="D4610"/>
    </row>
    <row r="4611" spans="3:4" x14ac:dyDescent="0.3">
      <c r="C4611"/>
      <c r="D4611"/>
    </row>
    <row r="4612" spans="3:4" x14ac:dyDescent="0.3">
      <c r="C4612"/>
      <c r="D4612"/>
    </row>
    <row r="4613" spans="3:4" x14ac:dyDescent="0.3">
      <c r="C4613"/>
      <c r="D4613"/>
    </row>
    <row r="4614" spans="3:4" x14ac:dyDescent="0.3">
      <c r="C4614"/>
      <c r="D4614"/>
    </row>
    <row r="4615" spans="3:4" x14ac:dyDescent="0.3">
      <c r="C4615"/>
      <c r="D4615"/>
    </row>
    <row r="4616" spans="3:4" x14ac:dyDescent="0.3">
      <c r="C4616"/>
      <c r="D4616"/>
    </row>
    <row r="4617" spans="3:4" x14ac:dyDescent="0.3">
      <c r="C4617"/>
      <c r="D4617"/>
    </row>
    <row r="4618" spans="3:4" x14ac:dyDescent="0.3">
      <c r="C4618"/>
      <c r="D4618"/>
    </row>
    <row r="4619" spans="3:4" x14ac:dyDescent="0.3">
      <c r="C4619"/>
      <c r="D4619"/>
    </row>
    <row r="4620" spans="3:4" x14ac:dyDescent="0.3">
      <c r="C4620"/>
      <c r="D4620"/>
    </row>
    <row r="4621" spans="3:4" x14ac:dyDescent="0.3">
      <c r="C4621"/>
      <c r="D4621"/>
    </row>
    <row r="4622" spans="3:4" x14ac:dyDescent="0.3">
      <c r="C4622"/>
      <c r="D4622"/>
    </row>
    <row r="4623" spans="3:4" x14ac:dyDescent="0.3">
      <c r="C4623"/>
      <c r="D4623"/>
    </row>
    <row r="4624" spans="3:4" x14ac:dyDescent="0.3">
      <c r="C4624"/>
      <c r="D4624"/>
    </row>
    <row r="4625" spans="3:4" x14ac:dyDescent="0.3">
      <c r="C4625"/>
      <c r="D4625"/>
    </row>
    <row r="4626" spans="3:4" x14ac:dyDescent="0.3">
      <c r="C4626"/>
      <c r="D4626"/>
    </row>
    <row r="4627" spans="3:4" x14ac:dyDescent="0.3">
      <c r="C4627"/>
      <c r="D4627"/>
    </row>
    <row r="4628" spans="3:4" x14ac:dyDescent="0.3">
      <c r="C4628"/>
      <c r="D4628"/>
    </row>
    <row r="4629" spans="3:4" x14ac:dyDescent="0.3">
      <c r="C4629"/>
      <c r="D4629"/>
    </row>
    <row r="4630" spans="3:4" x14ac:dyDescent="0.3">
      <c r="C4630"/>
      <c r="D4630"/>
    </row>
    <row r="4631" spans="3:4" x14ac:dyDescent="0.3">
      <c r="C4631"/>
      <c r="D4631"/>
    </row>
    <row r="4632" spans="3:4" x14ac:dyDescent="0.3">
      <c r="C4632"/>
      <c r="D4632"/>
    </row>
    <row r="4633" spans="3:4" x14ac:dyDescent="0.3">
      <c r="C4633"/>
      <c r="D4633"/>
    </row>
    <row r="4634" spans="3:4" x14ac:dyDescent="0.3">
      <c r="C4634"/>
      <c r="D4634"/>
    </row>
    <row r="4635" spans="3:4" x14ac:dyDescent="0.3">
      <c r="C4635"/>
      <c r="D4635"/>
    </row>
    <row r="4636" spans="3:4" x14ac:dyDescent="0.3">
      <c r="C4636"/>
      <c r="D4636"/>
    </row>
    <row r="4637" spans="3:4" x14ac:dyDescent="0.3">
      <c r="C4637"/>
      <c r="D4637"/>
    </row>
    <row r="4638" spans="3:4" x14ac:dyDescent="0.3">
      <c r="C4638"/>
      <c r="D4638"/>
    </row>
    <row r="4639" spans="3:4" x14ac:dyDescent="0.3">
      <c r="C4639"/>
      <c r="D4639"/>
    </row>
    <row r="4640" spans="3:4" x14ac:dyDescent="0.3">
      <c r="C4640"/>
      <c r="D4640"/>
    </row>
    <row r="4641" spans="3:4" x14ac:dyDescent="0.3">
      <c r="C4641"/>
      <c r="D4641"/>
    </row>
    <row r="4642" spans="3:4" x14ac:dyDescent="0.3">
      <c r="C4642"/>
      <c r="D4642"/>
    </row>
    <row r="4643" spans="3:4" x14ac:dyDescent="0.3">
      <c r="C4643"/>
      <c r="D4643"/>
    </row>
    <row r="4644" spans="3:4" x14ac:dyDescent="0.3">
      <c r="C4644"/>
      <c r="D4644"/>
    </row>
    <row r="4645" spans="3:4" x14ac:dyDescent="0.3">
      <c r="C4645"/>
      <c r="D4645"/>
    </row>
    <row r="4646" spans="3:4" x14ac:dyDescent="0.3">
      <c r="C4646"/>
      <c r="D4646"/>
    </row>
    <row r="4647" spans="3:4" x14ac:dyDescent="0.3">
      <c r="C4647"/>
      <c r="D4647"/>
    </row>
    <row r="4648" spans="3:4" x14ac:dyDescent="0.3">
      <c r="C4648"/>
      <c r="D4648"/>
    </row>
    <row r="4649" spans="3:4" x14ac:dyDescent="0.3">
      <c r="C4649"/>
      <c r="D4649"/>
    </row>
    <row r="4650" spans="3:4" x14ac:dyDescent="0.3">
      <c r="C4650"/>
      <c r="D4650"/>
    </row>
    <row r="4651" spans="3:4" x14ac:dyDescent="0.3">
      <c r="C4651"/>
      <c r="D4651"/>
    </row>
    <row r="4652" spans="3:4" x14ac:dyDescent="0.3">
      <c r="C4652"/>
      <c r="D4652"/>
    </row>
    <row r="4653" spans="3:4" x14ac:dyDescent="0.3">
      <c r="C4653"/>
      <c r="D4653"/>
    </row>
    <row r="4654" spans="3:4" x14ac:dyDescent="0.3">
      <c r="C4654"/>
      <c r="D4654"/>
    </row>
    <row r="4655" spans="3:4" x14ac:dyDescent="0.3">
      <c r="C4655"/>
      <c r="D4655"/>
    </row>
    <row r="4656" spans="3:4" x14ac:dyDescent="0.3">
      <c r="C4656"/>
      <c r="D4656"/>
    </row>
    <row r="4657" spans="3:4" x14ac:dyDescent="0.3">
      <c r="C4657"/>
      <c r="D4657"/>
    </row>
    <row r="4658" spans="3:4" x14ac:dyDescent="0.3">
      <c r="C4658"/>
      <c r="D4658"/>
    </row>
    <row r="4659" spans="3:4" x14ac:dyDescent="0.3">
      <c r="C4659"/>
      <c r="D4659"/>
    </row>
    <row r="4660" spans="3:4" x14ac:dyDescent="0.3">
      <c r="C4660"/>
      <c r="D4660"/>
    </row>
    <row r="4661" spans="3:4" x14ac:dyDescent="0.3">
      <c r="C4661"/>
      <c r="D4661"/>
    </row>
    <row r="4662" spans="3:4" x14ac:dyDescent="0.3">
      <c r="C4662"/>
      <c r="D4662"/>
    </row>
    <row r="4663" spans="3:4" x14ac:dyDescent="0.3">
      <c r="C4663"/>
      <c r="D4663"/>
    </row>
    <row r="4664" spans="3:4" x14ac:dyDescent="0.3">
      <c r="C4664"/>
      <c r="D4664"/>
    </row>
    <row r="4665" spans="3:4" x14ac:dyDescent="0.3">
      <c r="C4665"/>
      <c r="D4665"/>
    </row>
    <row r="4666" spans="3:4" x14ac:dyDescent="0.3">
      <c r="C4666"/>
      <c r="D4666"/>
    </row>
    <row r="4667" spans="3:4" x14ac:dyDescent="0.3">
      <c r="C4667"/>
      <c r="D4667"/>
    </row>
    <row r="4668" spans="3:4" x14ac:dyDescent="0.3">
      <c r="C4668"/>
      <c r="D4668"/>
    </row>
    <row r="4669" spans="3:4" x14ac:dyDescent="0.3">
      <c r="C4669"/>
      <c r="D4669"/>
    </row>
    <row r="4670" spans="3:4" x14ac:dyDescent="0.3">
      <c r="C4670"/>
      <c r="D4670"/>
    </row>
    <row r="4671" spans="3:4" x14ac:dyDescent="0.3">
      <c r="C4671"/>
      <c r="D4671"/>
    </row>
    <row r="4672" spans="3:4" x14ac:dyDescent="0.3">
      <c r="C4672"/>
      <c r="D4672"/>
    </row>
    <row r="4673" spans="3:4" x14ac:dyDescent="0.3">
      <c r="C4673"/>
      <c r="D4673"/>
    </row>
    <row r="4674" spans="3:4" x14ac:dyDescent="0.3">
      <c r="C4674"/>
      <c r="D4674"/>
    </row>
    <row r="4675" spans="3:4" x14ac:dyDescent="0.3">
      <c r="C4675"/>
      <c r="D4675"/>
    </row>
    <row r="4676" spans="3:4" x14ac:dyDescent="0.3">
      <c r="C4676"/>
      <c r="D4676"/>
    </row>
    <row r="4677" spans="3:4" x14ac:dyDescent="0.3">
      <c r="C4677"/>
      <c r="D4677"/>
    </row>
    <row r="4678" spans="3:4" x14ac:dyDescent="0.3">
      <c r="C4678"/>
      <c r="D4678"/>
    </row>
    <row r="4679" spans="3:4" x14ac:dyDescent="0.3">
      <c r="C4679"/>
      <c r="D4679"/>
    </row>
    <row r="4680" spans="3:4" x14ac:dyDescent="0.3">
      <c r="C4680"/>
      <c r="D4680"/>
    </row>
    <row r="4681" spans="3:4" x14ac:dyDescent="0.3">
      <c r="C4681"/>
      <c r="D4681"/>
    </row>
    <row r="4682" spans="3:4" x14ac:dyDescent="0.3">
      <c r="C4682"/>
      <c r="D4682"/>
    </row>
    <row r="4683" spans="3:4" x14ac:dyDescent="0.3">
      <c r="C4683"/>
      <c r="D4683"/>
    </row>
    <row r="4684" spans="3:4" x14ac:dyDescent="0.3">
      <c r="C4684"/>
      <c r="D4684"/>
    </row>
    <row r="4685" spans="3:4" x14ac:dyDescent="0.3">
      <c r="C4685"/>
      <c r="D4685"/>
    </row>
    <row r="4686" spans="3:4" x14ac:dyDescent="0.3">
      <c r="C4686"/>
      <c r="D4686"/>
    </row>
    <row r="4687" spans="3:4" x14ac:dyDescent="0.3">
      <c r="C4687"/>
      <c r="D4687"/>
    </row>
    <row r="4688" spans="3:4" x14ac:dyDescent="0.3">
      <c r="C4688"/>
      <c r="D4688"/>
    </row>
    <row r="4689" spans="3:4" x14ac:dyDescent="0.3">
      <c r="C4689"/>
      <c r="D4689"/>
    </row>
    <row r="4690" spans="3:4" x14ac:dyDescent="0.3">
      <c r="C4690"/>
      <c r="D4690"/>
    </row>
    <row r="4691" spans="3:4" x14ac:dyDescent="0.3">
      <c r="C4691"/>
      <c r="D4691"/>
    </row>
    <row r="4692" spans="3:4" x14ac:dyDescent="0.3">
      <c r="C4692"/>
      <c r="D4692"/>
    </row>
    <row r="4693" spans="3:4" x14ac:dyDescent="0.3">
      <c r="C4693"/>
      <c r="D4693"/>
    </row>
    <row r="4694" spans="3:4" x14ac:dyDescent="0.3">
      <c r="C4694"/>
      <c r="D4694"/>
    </row>
    <row r="4695" spans="3:4" x14ac:dyDescent="0.3">
      <c r="C4695"/>
      <c r="D4695"/>
    </row>
    <row r="4696" spans="3:4" x14ac:dyDescent="0.3">
      <c r="C4696"/>
      <c r="D4696"/>
    </row>
    <row r="4697" spans="3:4" x14ac:dyDescent="0.3">
      <c r="C4697"/>
      <c r="D4697"/>
    </row>
    <row r="4698" spans="3:4" x14ac:dyDescent="0.3">
      <c r="C4698"/>
      <c r="D4698"/>
    </row>
    <row r="4699" spans="3:4" x14ac:dyDescent="0.3">
      <c r="C4699"/>
      <c r="D4699"/>
    </row>
    <row r="4700" spans="3:4" x14ac:dyDescent="0.3">
      <c r="C4700"/>
      <c r="D4700"/>
    </row>
    <row r="4701" spans="3:4" x14ac:dyDescent="0.3">
      <c r="C4701"/>
      <c r="D4701"/>
    </row>
    <row r="4702" spans="3:4" x14ac:dyDescent="0.3">
      <c r="C4702"/>
      <c r="D4702"/>
    </row>
    <row r="4703" spans="3:4" x14ac:dyDescent="0.3">
      <c r="C4703"/>
      <c r="D4703"/>
    </row>
    <row r="4704" spans="3:4" x14ac:dyDescent="0.3">
      <c r="C4704"/>
      <c r="D4704"/>
    </row>
    <row r="4705" spans="3:4" x14ac:dyDescent="0.3">
      <c r="C4705"/>
      <c r="D4705"/>
    </row>
    <row r="4706" spans="3:4" x14ac:dyDescent="0.3">
      <c r="C4706"/>
      <c r="D4706"/>
    </row>
    <row r="4707" spans="3:4" x14ac:dyDescent="0.3">
      <c r="C4707"/>
      <c r="D4707"/>
    </row>
    <row r="4708" spans="3:4" x14ac:dyDescent="0.3">
      <c r="C4708"/>
      <c r="D4708"/>
    </row>
    <row r="4709" spans="3:4" x14ac:dyDescent="0.3">
      <c r="C4709"/>
      <c r="D4709"/>
    </row>
    <row r="4710" spans="3:4" x14ac:dyDescent="0.3">
      <c r="C4710"/>
      <c r="D4710"/>
    </row>
    <row r="4711" spans="3:4" x14ac:dyDescent="0.3">
      <c r="C4711"/>
      <c r="D4711"/>
    </row>
    <row r="4712" spans="3:4" x14ac:dyDescent="0.3">
      <c r="C4712"/>
      <c r="D4712"/>
    </row>
    <row r="4713" spans="3:4" x14ac:dyDescent="0.3">
      <c r="C4713"/>
      <c r="D4713"/>
    </row>
    <row r="4714" spans="3:4" x14ac:dyDescent="0.3">
      <c r="C4714"/>
      <c r="D4714"/>
    </row>
    <row r="4715" spans="3:4" x14ac:dyDescent="0.3">
      <c r="C4715"/>
      <c r="D4715"/>
    </row>
    <row r="4716" spans="3:4" x14ac:dyDescent="0.3">
      <c r="C4716"/>
      <c r="D4716"/>
    </row>
    <row r="4717" spans="3:4" x14ac:dyDescent="0.3">
      <c r="C4717"/>
      <c r="D4717"/>
    </row>
    <row r="4718" spans="3:4" x14ac:dyDescent="0.3">
      <c r="C4718"/>
      <c r="D4718"/>
    </row>
    <row r="4719" spans="3:4" x14ac:dyDescent="0.3">
      <c r="C4719"/>
      <c r="D4719"/>
    </row>
    <row r="4720" spans="3:4" x14ac:dyDescent="0.3">
      <c r="C4720"/>
      <c r="D4720"/>
    </row>
    <row r="4721" spans="3:4" x14ac:dyDescent="0.3">
      <c r="C4721"/>
      <c r="D4721"/>
    </row>
    <row r="4722" spans="3:4" x14ac:dyDescent="0.3">
      <c r="C4722"/>
      <c r="D4722"/>
    </row>
    <row r="4723" spans="3:4" x14ac:dyDescent="0.3">
      <c r="C4723"/>
      <c r="D4723"/>
    </row>
    <row r="4724" spans="3:4" x14ac:dyDescent="0.3">
      <c r="C4724"/>
      <c r="D4724"/>
    </row>
    <row r="4725" spans="3:4" x14ac:dyDescent="0.3">
      <c r="C4725"/>
      <c r="D4725"/>
    </row>
    <row r="4726" spans="3:4" x14ac:dyDescent="0.3">
      <c r="C4726"/>
      <c r="D4726"/>
    </row>
    <row r="4727" spans="3:4" x14ac:dyDescent="0.3">
      <c r="C4727"/>
      <c r="D4727"/>
    </row>
    <row r="4728" spans="3:4" x14ac:dyDescent="0.3">
      <c r="C4728"/>
      <c r="D4728"/>
    </row>
    <row r="4729" spans="3:4" x14ac:dyDescent="0.3">
      <c r="C4729"/>
      <c r="D4729"/>
    </row>
    <row r="4730" spans="3:4" x14ac:dyDescent="0.3">
      <c r="C4730"/>
      <c r="D4730"/>
    </row>
    <row r="4731" spans="3:4" x14ac:dyDescent="0.3">
      <c r="C4731"/>
      <c r="D4731"/>
    </row>
    <row r="4732" spans="3:4" x14ac:dyDescent="0.3">
      <c r="C4732"/>
      <c r="D4732"/>
    </row>
    <row r="4733" spans="3:4" x14ac:dyDescent="0.3">
      <c r="C4733"/>
      <c r="D4733"/>
    </row>
    <row r="4734" spans="3:4" x14ac:dyDescent="0.3">
      <c r="C4734"/>
      <c r="D4734"/>
    </row>
    <row r="4735" spans="3:4" x14ac:dyDescent="0.3">
      <c r="C4735"/>
      <c r="D4735"/>
    </row>
    <row r="4736" spans="3:4" x14ac:dyDescent="0.3">
      <c r="C4736"/>
      <c r="D4736"/>
    </row>
    <row r="4737" spans="3:4" x14ac:dyDescent="0.3">
      <c r="C4737"/>
      <c r="D4737"/>
    </row>
    <row r="4738" spans="3:4" x14ac:dyDescent="0.3">
      <c r="C4738"/>
      <c r="D4738"/>
    </row>
    <row r="4739" spans="3:4" x14ac:dyDescent="0.3">
      <c r="C4739"/>
      <c r="D4739"/>
    </row>
    <row r="4740" spans="3:4" x14ac:dyDescent="0.3">
      <c r="C4740"/>
      <c r="D4740"/>
    </row>
    <row r="4741" spans="3:4" x14ac:dyDescent="0.3">
      <c r="C4741"/>
      <c r="D4741"/>
    </row>
    <row r="4742" spans="3:4" x14ac:dyDescent="0.3">
      <c r="C4742"/>
      <c r="D4742"/>
    </row>
    <row r="4743" spans="3:4" x14ac:dyDescent="0.3">
      <c r="C4743"/>
      <c r="D4743"/>
    </row>
    <row r="4744" spans="3:4" x14ac:dyDescent="0.3">
      <c r="C4744"/>
      <c r="D4744"/>
    </row>
    <row r="4745" spans="3:4" x14ac:dyDescent="0.3">
      <c r="C4745"/>
      <c r="D4745"/>
    </row>
    <row r="4746" spans="3:4" x14ac:dyDescent="0.3">
      <c r="C4746"/>
      <c r="D4746"/>
    </row>
    <row r="4747" spans="3:4" x14ac:dyDescent="0.3">
      <c r="C4747"/>
      <c r="D4747"/>
    </row>
    <row r="4748" spans="3:4" x14ac:dyDescent="0.3">
      <c r="C4748"/>
      <c r="D4748"/>
    </row>
    <row r="4749" spans="3:4" x14ac:dyDescent="0.3">
      <c r="C4749"/>
      <c r="D4749"/>
    </row>
    <row r="4750" spans="3:4" x14ac:dyDescent="0.3">
      <c r="C4750"/>
      <c r="D4750"/>
    </row>
    <row r="4751" spans="3:4" x14ac:dyDescent="0.3">
      <c r="C4751"/>
      <c r="D4751"/>
    </row>
    <row r="4752" spans="3:4" x14ac:dyDescent="0.3">
      <c r="C4752"/>
      <c r="D4752"/>
    </row>
    <row r="4753" spans="3:4" x14ac:dyDescent="0.3">
      <c r="C4753"/>
      <c r="D4753"/>
    </row>
    <row r="4754" spans="3:4" x14ac:dyDescent="0.3">
      <c r="C4754"/>
      <c r="D4754"/>
    </row>
    <row r="4755" spans="3:4" x14ac:dyDescent="0.3">
      <c r="C4755"/>
      <c r="D4755"/>
    </row>
    <row r="4756" spans="3:4" x14ac:dyDescent="0.3">
      <c r="C4756"/>
      <c r="D4756"/>
    </row>
    <row r="4757" spans="3:4" x14ac:dyDescent="0.3">
      <c r="C4757"/>
      <c r="D4757"/>
    </row>
    <row r="4758" spans="3:4" x14ac:dyDescent="0.3">
      <c r="C4758"/>
      <c r="D4758"/>
    </row>
    <row r="4759" spans="3:4" x14ac:dyDescent="0.3">
      <c r="C4759"/>
      <c r="D4759"/>
    </row>
    <row r="4760" spans="3:4" x14ac:dyDescent="0.3">
      <c r="C4760"/>
      <c r="D4760"/>
    </row>
    <row r="4761" spans="3:4" x14ac:dyDescent="0.3">
      <c r="C4761"/>
      <c r="D4761"/>
    </row>
    <row r="4762" spans="3:4" x14ac:dyDescent="0.3">
      <c r="C4762"/>
      <c r="D4762"/>
    </row>
    <row r="4763" spans="3:4" x14ac:dyDescent="0.3">
      <c r="C4763"/>
      <c r="D4763"/>
    </row>
    <row r="4764" spans="3:4" x14ac:dyDescent="0.3">
      <c r="C4764"/>
      <c r="D4764"/>
    </row>
    <row r="4765" spans="3:4" x14ac:dyDescent="0.3">
      <c r="C4765"/>
      <c r="D4765"/>
    </row>
    <row r="4766" spans="3:4" x14ac:dyDescent="0.3">
      <c r="C4766"/>
      <c r="D4766"/>
    </row>
    <row r="4767" spans="3:4" x14ac:dyDescent="0.3">
      <c r="C4767"/>
      <c r="D4767"/>
    </row>
    <row r="4768" spans="3:4" x14ac:dyDescent="0.3">
      <c r="C4768"/>
      <c r="D4768"/>
    </row>
    <row r="4769" spans="3:4" x14ac:dyDescent="0.3">
      <c r="C4769"/>
      <c r="D4769"/>
    </row>
    <row r="4770" spans="3:4" x14ac:dyDescent="0.3">
      <c r="C4770"/>
      <c r="D4770"/>
    </row>
    <row r="4771" spans="3:4" x14ac:dyDescent="0.3">
      <c r="C4771"/>
      <c r="D4771"/>
    </row>
    <row r="4772" spans="3:4" x14ac:dyDescent="0.3">
      <c r="C4772"/>
      <c r="D4772"/>
    </row>
    <row r="4773" spans="3:4" x14ac:dyDescent="0.3">
      <c r="C4773"/>
      <c r="D4773"/>
    </row>
    <row r="4774" spans="3:4" x14ac:dyDescent="0.3">
      <c r="C4774"/>
      <c r="D4774"/>
    </row>
    <row r="4775" spans="3:4" x14ac:dyDescent="0.3">
      <c r="C4775"/>
      <c r="D4775"/>
    </row>
    <row r="4776" spans="3:4" x14ac:dyDescent="0.3">
      <c r="C4776"/>
      <c r="D4776"/>
    </row>
    <row r="4777" spans="3:4" x14ac:dyDescent="0.3">
      <c r="C4777"/>
      <c r="D4777"/>
    </row>
    <row r="4778" spans="3:4" x14ac:dyDescent="0.3">
      <c r="C4778"/>
      <c r="D4778"/>
    </row>
    <row r="4779" spans="3:4" x14ac:dyDescent="0.3">
      <c r="C4779"/>
      <c r="D4779"/>
    </row>
    <row r="4780" spans="3:4" x14ac:dyDescent="0.3">
      <c r="C4780"/>
      <c r="D4780"/>
    </row>
    <row r="4781" spans="3:4" x14ac:dyDescent="0.3">
      <c r="C4781"/>
      <c r="D4781"/>
    </row>
    <row r="4782" spans="3:4" x14ac:dyDescent="0.3">
      <c r="C4782"/>
      <c r="D4782"/>
    </row>
    <row r="4783" spans="3:4" x14ac:dyDescent="0.3">
      <c r="C4783"/>
      <c r="D4783"/>
    </row>
    <row r="4784" spans="3:4" x14ac:dyDescent="0.3">
      <c r="C4784"/>
      <c r="D4784"/>
    </row>
    <row r="4785" spans="3:4" x14ac:dyDescent="0.3">
      <c r="C4785"/>
      <c r="D4785"/>
    </row>
    <row r="4786" spans="3:4" x14ac:dyDescent="0.3">
      <c r="C4786"/>
      <c r="D4786"/>
    </row>
    <row r="4787" spans="3:4" x14ac:dyDescent="0.3">
      <c r="C4787"/>
      <c r="D4787"/>
    </row>
    <row r="4788" spans="3:4" x14ac:dyDescent="0.3">
      <c r="C4788"/>
      <c r="D4788"/>
    </row>
    <row r="4789" spans="3:4" x14ac:dyDescent="0.3">
      <c r="C4789"/>
      <c r="D4789"/>
    </row>
    <row r="4790" spans="3:4" x14ac:dyDescent="0.3">
      <c r="C4790"/>
      <c r="D4790"/>
    </row>
    <row r="4791" spans="3:4" x14ac:dyDescent="0.3">
      <c r="C4791"/>
      <c r="D4791"/>
    </row>
    <row r="4792" spans="3:4" x14ac:dyDescent="0.3">
      <c r="C4792"/>
      <c r="D4792"/>
    </row>
    <row r="4793" spans="3:4" x14ac:dyDescent="0.3">
      <c r="C4793"/>
      <c r="D4793"/>
    </row>
    <row r="4794" spans="3:4" x14ac:dyDescent="0.3">
      <c r="C4794"/>
      <c r="D4794"/>
    </row>
    <row r="4795" spans="3:4" x14ac:dyDescent="0.3">
      <c r="C4795"/>
      <c r="D4795"/>
    </row>
    <row r="4796" spans="3:4" x14ac:dyDescent="0.3">
      <c r="C4796"/>
      <c r="D4796"/>
    </row>
    <row r="4797" spans="3:4" x14ac:dyDescent="0.3">
      <c r="C4797"/>
      <c r="D4797"/>
    </row>
    <row r="4798" spans="3:4" x14ac:dyDescent="0.3">
      <c r="C4798"/>
      <c r="D4798"/>
    </row>
    <row r="4799" spans="3:4" x14ac:dyDescent="0.3">
      <c r="C4799"/>
      <c r="D4799"/>
    </row>
    <row r="4800" spans="3:4" x14ac:dyDescent="0.3">
      <c r="C4800"/>
      <c r="D4800"/>
    </row>
    <row r="4801" spans="3:4" x14ac:dyDescent="0.3">
      <c r="C4801"/>
      <c r="D4801"/>
    </row>
    <row r="4802" spans="3:4" x14ac:dyDescent="0.3">
      <c r="C4802"/>
      <c r="D4802"/>
    </row>
    <row r="4803" spans="3:4" x14ac:dyDescent="0.3">
      <c r="C4803"/>
      <c r="D4803"/>
    </row>
    <row r="4804" spans="3:4" x14ac:dyDescent="0.3">
      <c r="C4804"/>
      <c r="D4804"/>
    </row>
    <row r="4805" spans="3:4" x14ac:dyDescent="0.3">
      <c r="C4805"/>
      <c r="D4805"/>
    </row>
    <row r="4806" spans="3:4" x14ac:dyDescent="0.3">
      <c r="C4806"/>
      <c r="D4806"/>
    </row>
    <row r="4807" spans="3:4" x14ac:dyDescent="0.3">
      <c r="C4807"/>
      <c r="D4807"/>
    </row>
    <row r="4808" spans="3:4" x14ac:dyDescent="0.3">
      <c r="C4808"/>
      <c r="D4808"/>
    </row>
    <row r="4809" spans="3:4" x14ac:dyDescent="0.3">
      <c r="C4809"/>
      <c r="D4809"/>
    </row>
    <row r="4810" spans="3:4" x14ac:dyDescent="0.3">
      <c r="C4810"/>
      <c r="D4810"/>
    </row>
    <row r="4811" spans="3:4" x14ac:dyDescent="0.3">
      <c r="C4811"/>
      <c r="D4811"/>
    </row>
    <row r="4812" spans="3:4" x14ac:dyDescent="0.3">
      <c r="C4812"/>
      <c r="D4812"/>
    </row>
    <row r="4813" spans="3:4" x14ac:dyDescent="0.3">
      <c r="C4813"/>
      <c r="D4813"/>
    </row>
    <row r="4814" spans="3:4" x14ac:dyDescent="0.3">
      <c r="C4814"/>
      <c r="D4814"/>
    </row>
    <row r="4815" spans="3:4" x14ac:dyDescent="0.3">
      <c r="C4815"/>
      <c r="D4815"/>
    </row>
    <row r="4816" spans="3:4" x14ac:dyDescent="0.3">
      <c r="C4816"/>
      <c r="D4816"/>
    </row>
    <row r="4817" spans="3:4" x14ac:dyDescent="0.3">
      <c r="C4817"/>
      <c r="D4817"/>
    </row>
    <row r="4818" spans="3:4" x14ac:dyDescent="0.3">
      <c r="C4818"/>
      <c r="D4818"/>
    </row>
    <row r="4819" spans="3:4" x14ac:dyDescent="0.3">
      <c r="C4819"/>
      <c r="D4819"/>
    </row>
    <row r="4820" spans="3:4" x14ac:dyDescent="0.3">
      <c r="C4820"/>
      <c r="D4820"/>
    </row>
    <row r="4821" spans="3:4" x14ac:dyDescent="0.3">
      <c r="C4821"/>
      <c r="D4821"/>
    </row>
    <row r="4822" spans="3:4" x14ac:dyDescent="0.3">
      <c r="C4822"/>
      <c r="D4822"/>
    </row>
    <row r="4823" spans="3:4" x14ac:dyDescent="0.3">
      <c r="C4823"/>
      <c r="D4823"/>
    </row>
    <row r="4824" spans="3:4" x14ac:dyDescent="0.3">
      <c r="C4824"/>
      <c r="D4824"/>
    </row>
    <row r="4825" spans="3:4" x14ac:dyDescent="0.3">
      <c r="C4825"/>
      <c r="D4825"/>
    </row>
    <row r="4826" spans="3:4" x14ac:dyDescent="0.3">
      <c r="C4826"/>
      <c r="D4826"/>
    </row>
    <row r="4827" spans="3:4" x14ac:dyDescent="0.3">
      <c r="C4827"/>
      <c r="D4827"/>
    </row>
    <row r="4828" spans="3:4" x14ac:dyDescent="0.3">
      <c r="C4828"/>
      <c r="D4828"/>
    </row>
    <row r="4829" spans="3:4" x14ac:dyDescent="0.3">
      <c r="C4829"/>
      <c r="D4829"/>
    </row>
    <row r="4830" spans="3:4" x14ac:dyDescent="0.3">
      <c r="C4830"/>
      <c r="D4830"/>
    </row>
    <row r="4831" spans="3:4" x14ac:dyDescent="0.3">
      <c r="C4831"/>
      <c r="D4831"/>
    </row>
    <row r="4832" spans="3:4" x14ac:dyDescent="0.3">
      <c r="C4832"/>
      <c r="D4832"/>
    </row>
    <row r="4833" spans="3:4" x14ac:dyDescent="0.3">
      <c r="C4833"/>
      <c r="D4833"/>
    </row>
    <row r="4834" spans="3:4" x14ac:dyDescent="0.3">
      <c r="C4834"/>
      <c r="D4834"/>
    </row>
    <row r="4835" spans="3:4" x14ac:dyDescent="0.3">
      <c r="C4835"/>
      <c r="D4835"/>
    </row>
    <row r="4836" spans="3:4" x14ac:dyDescent="0.3">
      <c r="C4836"/>
      <c r="D4836"/>
    </row>
    <row r="4837" spans="3:4" x14ac:dyDescent="0.3">
      <c r="C4837"/>
      <c r="D4837"/>
    </row>
    <row r="4838" spans="3:4" x14ac:dyDescent="0.3">
      <c r="C4838"/>
      <c r="D4838"/>
    </row>
    <row r="4839" spans="3:4" x14ac:dyDescent="0.3">
      <c r="C4839"/>
      <c r="D4839"/>
    </row>
    <row r="4840" spans="3:4" x14ac:dyDescent="0.3">
      <c r="C4840"/>
      <c r="D4840"/>
    </row>
    <row r="4841" spans="3:4" x14ac:dyDescent="0.3">
      <c r="C4841"/>
      <c r="D4841"/>
    </row>
    <row r="4842" spans="3:4" x14ac:dyDescent="0.3">
      <c r="C4842"/>
      <c r="D4842"/>
    </row>
    <row r="4843" spans="3:4" x14ac:dyDescent="0.3">
      <c r="C4843"/>
      <c r="D4843"/>
    </row>
    <row r="4844" spans="3:4" x14ac:dyDescent="0.3">
      <c r="C4844"/>
      <c r="D4844"/>
    </row>
    <row r="4845" spans="3:4" x14ac:dyDescent="0.3">
      <c r="C4845"/>
      <c r="D4845"/>
    </row>
    <row r="4846" spans="3:4" x14ac:dyDescent="0.3">
      <c r="C4846"/>
      <c r="D4846"/>
    </row>
    <row r="4847" spans="3:4" x14ac:dyDescent="0.3">
      <c r="C4847"/>
      <c r="D4847"/>
    </row>
    <row r="4848" spans="3:4" x14ac:dyDescent="0.3">
      <c r="C4848"/>
      <c r="D4848"/>
    </row>
    <row r="4849" spans="3:4" x14ac:dyDescent="0.3">
      <c r="C4849"/>
      <c r="D4849"/>
    </row>
    <row r="4850" spans="3:4" x14ac:dyDescent="0.3">
      <c r="C4850"/>
      <c r="D4850"/>
    </row>
    <row r="4851" spans="3:4" x14ac:dyDescent="0.3">
      <c r="C4851"/>
      <c r="D4851"/>
    </row>
    <row r="4852" spans="3:4" x14ac:dyDescent="0.3">
      <c r="C4852"/>
      <c r="D4852"/>
    </row>
    <row r="4853" spans="3:4" x14ac:dyDescent="0.3">
      <c r="C4853"/>
      <c r="D4853"/>
    </row>
    <row r="4854" spans="3:4" x14ac:dyDescent="0.3">
      <c r="C4854"/>
      <c r="D4854"/>
    </row>
    <row r="4855" spans="3:4" x14ac:dyDescent="0.3">
      <c r="C4855"/>
      <c r="D4855"/>
    </row>
    <row r="4856" spans="3:4" x14ac:dyDescent="0.3">
      <c r="C4856"/>
      <c r="D4856"/>
    </row>
    <row r="4857" spans="3:4" x14ac:dyDescent="0.3">
      <c r="C4857"/>
      <c r="D4857"/>
    </row>
    <row r="4858" spans="3:4" x14ac:dyDescent="0.3">
      <c r="C4858"/>
      <c r="D4858"/>
    </row>
    <row r="4859" spans="3:4" x14ac:dyDescent="0.3">
      <c r="C4859"/>
      <c r="D4859"/>
    </row>
    <row r="4860" spans="3:4" x14ac:dyDescent="0.3">
      <c r="C4860"/>
      <c r="D4860"/>
    </row>
    <row r="4861" spans="3:4" x14ac:dyDescent="0.3">
      <c r="C4861"/>
      <c r="D4861"/>
    </row>
    <row r="4862" spans="3:4" x14ac:dyDescent="0.3">
      <c r="C4862"/>
      <c r="D4862"/>
    </row>
    <row r="4863" spans="3:4" x14ac:dyDescent="0.3">
      <c r="C4863"/>
      <c r="D4863"/>
    </row>
    <row r="4864" spans="3:4" x14ac:dyDescent="0.3">
      <c r="C4864"/>
      <c r="D4864"/>
    </row>
    <row r="4865" spans="3:4" x14ac:dyDescent="0.3">
      <c r="C4865"/>
      <c r="D4865"/>
    </row>
    <row r="4866" spans="3:4" x14ac:dyDescent="0.3">
      <c r="C4866"/>
      <c r="D4866"/>
    </row>
    <row r="4867" spans="3:4" x14ac:dyDescent="0.3">
      <c r="C4867"/>
      <c r="D4867"/>
    </row>
    <row r="4868" spans="3:4" x14ac:dyDescent="0.3">
      <c r="C4868"/>
      <c r="D4868"/>
    </row>
    <row r="4869" spans="3:4" x14ac:dyDescent="0.3">
      <c r="C4869"/>
      <c r="D4869"/>
    </row>
    <row r="4870" spans="3:4" x14ac:dyDescent="0.3">
      <c r="C4870"/>
      <c r="D4870"/>
    </row>
    <row r="4871" spans="3:4" x14ac:dyDescent="0.3">
      <c r="C4871"/>
      <c r="D4871"/>
    </row>
    <row r="4872" spans="3:4" x14ac:dyDescent="0.3">
      <c r="C4872"/>
      <c r="D4872"/>
    </row>
    <row r="4873" spans="3:4" x14ac:dyDescent="0.3">
      <c r="C4873"/>
      <c r="D4873"/>
    </row>
    <row r="4874" spans="3:4" x14ac:dyDescent="0.3">
      <c r="C4874"/>
      <c r="D4874"/>
    </row>
    <row r="4875" spans="3:4" x14ac:dyDescent="0.3">
      <c r="C4875"/>
      <c r="D4875"/>
    </row>
    <row r="4876" spans="3:4" x14ac:dyDescent="0.3">
      <c r="C4876"/>
      <c r="D4876"/>
    </row>
    <row r="4877" spans="3:4" x14ac:dyDescent="0.3">
      <c r="C4877"/>
      <c r="D4877"/>
    </row>
    <row r="4878" spans="3:4" x14ac:dyDescent="0.3">
      <c r="C4878"/>
      <c r="D4878"/>
    </row>
    <row r="4879" spans="3:4" x14ac:dyDescent="0.3">
      <c r="C4879"/>
      <c r="D4879"/>
    </row>
    <row r="4880" spans="3:4" x14ac:dyDescent="0.3">
      <c r="C4880"/>
      <c r="D4880"/>
    </row>
    <row r="4881" spans="3:4" x14ac:dyDescent="0.3">
      <c r="C4881"/>
      <c r="D4881"/>
    </row>
    <row r="4882" spans="3:4" x14ac:dyDescent="0.3">
      <c r="C4882"/>
      <c r="D4882"/>
    </row>
    <row r="4883" spans="3:4" x14ac:dyDescent="0.3">
      <c r="C4883"/>
      <c r="D4883"/>
    </row>
    <row r="4884" spans="3:4" x14ac:dyDescent="0.3">
      <c r="C4884"/>
      <c r="D4884"/>
    </row>
    <row r="4885" spans="3:4" x14ac:dyDescent="0.3">
      <c r="C4885"/>
      <c r="D4885"/>
    </row>
    <row r="4886" spans="3:4" x14ac:dyDescent="0.3">
      <c r="C4886"/>
      <c r="D4886"/>
    </row>
    <row r="4887" spans="3:4" x14ac:dyDescent="0.3">
      <c r="C4887"/>
      <c r="D4887"/>
    </row>
    <row r="4888" spans="3:4" x14ac:dyDescent="0.3">
      <c r="C4888"/>
      <c r="D4888"/>
    </row>
    <row r="4889" spans="3:4" x14ac:dyDescent="0.3">
      <c r="C4889"/>
      <c r="D4889"/>
    </row>
    <row r="4890" spans="3:4" x14ac:dyDescent="0.3">
      <c r="C4890"/>
      <c r="D4890"/>
    </row>
    <row r="4891" spans="3:4" x14ac:dyDescent="0.3">
      <c r="C4891"/>
      <c r="D4891"/>
    </row>
    <row r="4892" spans="3:4" x14ac:dyDescent="0.3">
      <c r="C4892"/>
      <c r="D4892"/>
    </row>
    <row r="4893" spans="3:4" x14ac:dyDescent="0.3">
      <c r="C4893"/>
      <c r="D4893"/>
    </row>
    <row r="4894" spans="3:4" x14ac:dyDescent="0.3">
      <c r="C4894"/>
      <c r="D4894"/>
    </row>
    <row r="4895" spans="3:4" x14ac:dyDescent="0.3">
      <c r="C4895"/>
      <c r="D4895"/>
    </row>
    <row r="4896" spans="3:4" x14ac:dyDescent="0.3">
      <c r="C4896"/>
      <c r="D4896"/>
    </row>
    <row r="4897" spans="3:4" x14ac:dyDescent="0.3">
      <c r="C4897"/>
      <c r="D4897"/>
    </row>
    <row r="4898" spans="3:4" x14ac:dyDescent="0.3">
      <c r="C4898"/>
      <c r="D4898"/>
    </row>
    <row r="4899" spans="3:4" x14ac:dyDescent="0.3">
      <c r="C4899"/>
      <c r="D4899"/>
    </row>
    <row r="4900" spans="3:4" x14ac:dyDescent="0.3">
      <c r="C4900"/>
      <c r="D4900"/>
    </row>
    <row r="4901" spans="3:4" x14ac:dyDescent="0.3">
      <c r="C4901"/>
      <c r="D4901"/>
    </row>
    <row r="4902" spans="3:4" x14ac:dyDescent="0.3">
      <c r="C4902"/>
      <c r="D4902"/>
    </row>
    <row r="4903" spans="3:4" x14ac:dyDescent="0.3">
      <c r="C4903"/>
      <c r="D4903"/>
    </row>
    <row r="4904" spans="3:4" x14ac:dyDescent="0.3">
      <c r="C4904"/>
      <c r="D4904"/>
    </row>
    <row r="4905" spans="3:4" x14ac:dyDescent="0.3">
      <c r="C4905"/>
      <c r="D4905"/>
    </row>
    <row r="4906" spans="3:4" x14ac:dyDescent="0.3">
      <c r="C4906"/>
      <c r="D4906"/>
    </row>
    <row r="4907" spans="3:4" x14ac:dyDescent="0.3">
      <c r="C4907"/>
      <c r="D4907"/>
    </row>
    <row r="4908" spans="3:4" x14ac:dyDescent="0.3">
      <c r="C4908"/>
      <c r="D4908"/>
    </row>
    <row r="4909" spans="3:4" x14ac:dyDescent="0.3">
      <c r="C4909"/>
      <c r="D4909"/>
    </row>
    <row r="4910" spans="3:4" x14ac:dyDescent="0.3">
      <c r="C4910"/>
      <c r="D4910"/>
    </row>
    <row r="4911" spans="3:4" x14ac:dyDescent="0.3">
      <c r="C4911"/>
      <c r="D4911"/>
    </row>
    <row r="4912" spans="3:4" x14ac:dyDescent="0.3">
      <c r="C4912"/>
      <c r="D4912"/>
    </row>
    <row r="4913" spans="3:4" x14ac:dyDescent="0.3">
      <c r="C4913"/>
      <c r="D4913"/>
    </row>
    <row r="4914" spans="3:4" x14ac:dyDescent="0.3">
      <c r="C4914"/>
      <c r="D4914"/>
    </row>
    <row r="4915" spans="3:4" x14ac:dyDescent="0.3">
      <c r="C4915"/>
      <c r="D4915"/>
    </row>
    <row r="4916" spans="3:4" x14ac:dyDescent="0.3">
      <c r="C4916"/>
      <c r="D4916"/>
    </row>
    <row r="4917" spans="3:4" x14ac:dyDescent="0.3">
      <c r="C4917"/>
      <c r="D4917"/>
    </row>
    <row r="4918" spans="3:4" x14ac:dyDescent="0.3">
      <c r="C4918"/>
      <c r="D4918"/>
    </row>
    <row r="4919" spans="3:4" x14ac:dyDescent="0.3">
      <c r="C4919"/>
      <c r="D4919"/>
    </row>
    <row r="4920" spans="3:4" x14ac:dyDescent="0.3">
      <c r="C4920"/>
      <c r="D4920"/>
    </row>
    <row r="4921" spans="3:4" x14ac:dyDescent="0.3">
      <c r="C4921"/>
      <c r="D4921"/>
    </row>
    <row r="4922" spans="3:4" x14ac:dyDescent="0.3">
      <c r="C4922"/>
      <c r="D4922"/>
    </row>
    <row r="4923" spans="3:4" x14ac:dyDescent="0.3">
      <c r="C4923"/>
      <c r="D4923"/>
    </row>
    <row r="4924" spans="3:4" x14ac:dyDescent="0.3">
      <c r="C4924"/>
      <c r="D4924"/>
    </row>
    <row r="4925" spans="3:4" x14ac:dyDescent="0.3">
      <c r="C4925"/>
      <c r="D4925"/>
    </row>
    <row r="4926" spans="3:4" x14ac:dyDescent="0.3">
      <c r="C4926"/>
      <c r="D4926"/>
    </row>
    <row r="4927" spans="3:4" x14ac:dyDescent="0.3">
      <c r="C4927"/>
      <c r="D4927"/>
    </row>
    <row r="4928" spans="3:4" x14ac:dyDescent="0.3">
      <c r="C4928"/>
      <c r="D4928"/>
    </row>
    <row r="4929" spans="3:4" x14ac:dyDescent="0.3">
      <c r="C4929"/>
      <c r="D4929"/>
    </row>
    <row r="4930" spans="3:4" x14ac:dyDescent="0.3">
      <c r="C4930"/>
      <c r="D4930"/>
    </row>
    <row r="4931" spans="3:4" x14ac:dyDescent="0.3">
      <c r="C4931"/>
      <c r="D4931"/>
    </row>
    <row r="4932" spans="3:4" x14ac:dyDescent="0.3">
      <c r="C4932"/>
      <c r="D4932"/>
    </row>
    <row r="4933" spans="3:4" x14ac:dyDescent="0.3">
      <c r="C4933"/>
      <c r="D4933"/>
    </row>
    <row r="4934" spans="3:4" x14ac:dyDescent="0.3">
      <c r="C4934"/>
      <c r="D4934"/>
    </row>
    <row r="4935" spans="3:4" x14ac:dyDescent="0.3">
      <c r="C4935"/>
      <c r="D4935"/>
    </row>
    <row r="4936" spans="3:4" x14ac:dyDescent="0.3">
      <c r="C4936"/>
      <c r="D4936"/>
    </row>
    <row r="4937" spans="3:4" x14ac:dyDescent="0.3">
      <c r="C4937"/>
      <c r="D4937"/>
    </row>
    <row r="4938" spans="3:4" x14ac:dyDescent="0.3">
      <c r="C4938"/>
      <c r="D4938"/>
    </row>
    <row r="4939" spans="3:4" x14ac:dyDescent="0.3">
      <c r="C4939"/>
      <c r="D4939"/>
    </row>
    <row r="4940" spans="3:4" x14ac:dyDescent="0.3">
      <c r="C4940"/>
      <c r="D4940"/>
    </row>
    <row r="4941" spans="3:4" x14ac:dyDescent="0.3">
      <c r="C4941"/>
      <c r="D4941"/>
    </row>
    <row r="4942" spans="3:4" x14ac:dyDescent="0.3">
      <c r="C4942"/>
      <c r="D4942"/>
    </row>
    <row r="4943" spans="3:4" x14ac:dyDescent="0.3">
      <c r="C4943"/>
      <c r="D4943"/>
    </row>
    <row r="4944" spans="3:4" x14ac:dyDescent="0.3">
      <c r="C4944"/>
      <c r="D4944"/>
    </row>
    <row r="4945" spans="3:4" x14ac:dyDescent="0.3">
      <c r="C4945"/>
      <c r="D4945"/>
    </row>
    <row r="4946" spans="3:4" x14ac:dyDescent="0.3">
      <c r="C4946"/>
      <c r="D4946"/>
    </row>
    <row r="4947" spans="3:4" x14ac:dyDescent="0.3">
      <c r="C4947"/>
      <c r="D4947"/>
    </row>
    <row r="4948" spans="3:4" x14ac:dyDescent="0.3">
      <c r="C4948"/>
      <c r="D4948"/>
    </row>
    <row r="4949" spans="3:4" x14ac:dyDescent="0.3">
      <c r="C4949"/>
      <c r="D4949"/>
    </row>
    <row r="4950" spans="3:4" x14ac:dyDescent="0.3">
      <c r="C4950"/>
      <c r="D4950"/>
    </row>
    <row r="4951" spans="3:4" x14ac:dyDescent="0.3">
      <c r="C4951"/>
      <c r="D4951"/>
    </row>
    <row r="4952" spans="3:4" x14ac:dyDescent="0.3">
      <c r="C4952"/>
      <c r="D4952"/>
    </row>
    <row r="4953" spans="3:4" x14ac:dyDescent="0.3">
      <c r="C4953"/>
      <c r="D4953"/>
    </row>
    <row r="4954" spans="3:4" x14ac:dyDescent="0.3">
      <c r="C4954"/>
      <c r="D4954"/>
    </row>
    <row r="4955" spans="3:4" x14ac:dyDescent="0.3">
      <c r="C4955"/>
      <c r="D4955"/>
    </row>
    <row r="4956" spans="3:4" x14ac:dyDescent="0.3">
      <c r="C4956"/>
      <c r="D4956"/>
    </row>
    <row r="4957" spans="3:4" x14ac:dyDescent="0.3">
      <c r="C4957"/>
      <c r="D4957"/>
    </row>
    <row r="4958" spans="3:4" x14ac:dyDescent="0.3">
      <c r="C4958"/>
      <c r="D4958"/>
    </row>
    <row r="4959" spans="3:4" x14ac:dyDescent="0.3">
      <c r="C4959"/>
      <c r="D4959"/>
    </row>
    <row r="4960" spans="3:4" x14ac:dyDescent="0.3">
      <c r="C4960"/>
      <c r="D4960"/>
    </row>
    <row r="4961" spans="3:4" x14ac:dyDescent="0.3">
      <c r="C4961"/>
      <c r="D4961"/>
    </row>
    <row r="4962" spans="3:4" x14ac:dyDescent="0.3">
      <c r="C4962"/>
      <c r="D4962"/>
    </row>
    <row r="4963" spans="3:4" x14ac:dyDescent="0.3">
      <c r="C4963"/>
      <c r="D4963"/>
    </row>
    <row r="4964" spans="3:4" x14ac:dyDescent="0.3">
      <c r="C4964"/>
      <c r="D4964"/>
    </row>
    <row r="4965" spans="3:4" x14ac:dyDescent="0.3">
      <c r="C4965"/>
      <c r="D4965"/>
    </row>
    <row r="4966" spans="3:4" x14ac:dyDescent="0.3">
      <c r="C4966"/>
      <c r="D4966"/>
    </row>
    <row r="4967" spans="3:4" x14ac:dyDescent="0.3">
      <c r="C4967"/>
      <c r="D4967"/>
    </row>
    <row r="4968" spans="3:4" x14ac:dyDescent="0.3">
      <c r="C4968"/>
      <c r="D4968"/>
    </row>
    <row r="4969" spans="3:4" x14ac:dyDescent="0.3">
      <c r="C4969"/>
      <c r="D4969"/>
    </row>
    <row r="4970" spans="3:4" x14ac:dyDescent="0.3">
      <c r="C4970"/>
      <c r="D4970"/>
    </row>
    <row r="4971" spans="3:4" x14ac:dyDescent="0.3">
      <c r="C4971"/>
      <c r="D4971"/>
    </row>
    <row r="4972" spans="3:4" x14ac:dyDescent="0.3">
      <c r="C4972"/>
      <c r="D4972"/>
    </row>
    <row r="4973" spans="3:4" x14ac:dyDescent="0.3">
      <c r="C4973"/>
      <c r="D4973"/>
    </row>
    <row r="4974" spans="3:4" x14ac:dyDescent="0.3">
      <c r="C4974"/>
      <c r="D4974"/>
    </row>
    <row r="4975" spans="3:4" x14ac:dyDescent="0.3">
      <c r="C4975"/>
      <c r="D4975"/>
    </row>
    <row r="4976" spans="3:4" x14ac:dyDescent="0.3">
      <c r="C4976"/>
      <c r="D4976"/>
    </row>
    <row r="4977" spans="3:4" x14ac:dyDescent="0.3">
      <c r="C4977"/>
      <c r="D4977"/>
    </row>
    <row r="4978" spans="3:4" x14ac:dyDescent="0.3">
      <c r="C4978"/>
      <c r="D4978"/>
    </row>
    <row r="4979" spans="3:4" x14ac:dyDescent="0.3">
      <c r="C4979"/>
      <c r="D4979"/>
    </row>
    <row r="4980" spans="3:4" x14ac:dyDescent="0.3">
      <c r="C4980"/>
      <c r="D4980"/>
    </row>
    <row r="4981" spans="3:4" x14ac:dyDescent="0.3">
      <c r="C4981"/>
      <c r="D4981"/>
    </row>
    <row r="4982" spans="3:4" x14ac:dyDescent="0.3">
      <c r="C4982"/>
      <c r="D4982"/>
    </row>
    <row r="4983" spans="3:4" x14ac:dyDescent="0.3">
      <c r="C4983"/>
      <c r="D4983"/>
    </row>
    <row r="4984" spans="3:4" x14ac:dyDescent="0.3">
      <c r="C4984"/>
      <c r="D4984"/>
    </row>
    <row r="4985" spans="3:4" x14ac:dyDescent="0.3">
      <c r="C4985"/>
      <c r="D4985"/>
    </row>
    <row r="4986" spans="3:4" x14ac:dyDescent="0.3">
      <c r="C4986"/>
      <c r="D4986"/>
    </row>
    <row r="4987" spans="3:4" x14ac:dyDescent="0.3">
      <c r="C4987"/>
      <c r="D4987"/>
    </row>
    <row r="4988" spans="3:4" x14ac:dyDescent="0.3">
      <c r="C4988"/>
      <c r="D4988"/>
    </row>
    <row r="4989" spans="3:4" x14ac:dyDescent="0.3">
      <c r="C4989"/>
      <c r="D4989"/>
    </row>
    <row r="4990" spans="3:4" x14ac:dyDescent="0.3">
      <c r="C4990"/>
      <c r="D4990"/>
    </row>
    <row r="4991" spans="3:4" x14ac:dyDescent="0.3">
      <c r="C4991"/>
      <c r="D4991"/>
    </row>
    <row r="4992" spans="3:4" x14ac:dyDescent="0.3">
      <c r="C4992"/>
      <c r="D4992"/>
    </row>
    <row r="4993" spans="3:4" x14ac:dyDescent="0.3">
      <c r="C4993"/>
      <c r="D4993"/>
    </row>
    <row r="4994" spans="3:4" x14ac:dyDescent="0.3">
      <c r="C4994"/>
      <c r="D4994"/>
    </row>
    <row r="4995" spans="3:4" x14ac:dyDescent="0.3">
      <c r="C4995"/>
      <c r="D4995"/>
    </row>
    <row r="4996" spans="3:4" x14ac:dyDescent="0.3">
      <c r="C4996"/>
      <c r="D4996"/>
    </row>
    <row r="4997" spans="3:4" x14ac:dyDescent="0.3">
      <c r="C4997"/>
      <c r="D4997"/>
    </row>
    <row r="4998" spans="3:4" x14ac:dyDescent="0.3">
      <c r="C4998"/>
      <c r="D4998"/>
    </row>
    <row r="4999" spans="3:4" x14ac:dyDescent="0.3">
      <c r="C4999"/>
      <c r="D4999"/>
    </row>
    <row r="5000" spans="3:4" x14ac:dyDescent="0.3">
      <c r="C5000"/>
      <c r="D5000"/>
    </row>
    <row r="5001" spans="3:4" x14ac:dyDescent="0.3">
      <c r="C5001"/>
      <c r="D5001"/>
    </row>
    <row r="5002" spans="3:4" x14ac:dyDescent="0.3">
      <c r="C5002"/>
      <c r="D5002"/>
    </row>
    <row r="5003" spans="3:4" x14ac:dyDescent="0.3">
      <c r="C5003"/>
      <c r="D5003"/>
    </row>
    <row r="5004" spans="3:4" x14ac:dyDescent="0.3">
      <c r="C5004"/>
      <c r="D5004"/>
    </row>
    <row r="5005" spans="3:4" x14ac:dyDescent="0.3">
      <c r="C5005"/>
      <c r="D5005"/>
    </row>
    <row r="5006" spans="3:4" x14ac:dyDescent="0.3">
      <c r="C5006"/>
      <c r="D5006"/>
    </row>
    <row r="5007" spans="3:4" x14ac:dyDescent="0.3">
      <c r="C5007"/>
      <c r="D5007"/>
    </row>
    <row r="5008" spans="3:4" x14ac:dyDescent="0.3">
      <c r="C5008"/>
      <c r="D5008"/>
    </row>
    <row r="5009" spans="3:4" x14ac:dyDescent="0.3">
      <c r="C5009"/>
      <c r="D5009"/>
    </row>
    <row r="5010" spans="3:4" x14ac:dyDescent="0.3">
      <c r="C5010"/>
      <c r="D5010"/>
    </row>
    <row r="5011" spans="3:4" x14ac:dyDescent="0.3">
      <c r="C5011"/>
      <c r="D5011"/>
    </row>
    <row r="5012" spans="3:4" x14ac:dyDescent="0.3">
      <c r="C5012"/>
      <c r="D5012"/>
    </row>
    <row r="5013" spans="3:4" x14ac:dyDescent="0.3">
      <c r="C5013"/>
      <c r="D5013"/>
    </row>
    <row r="5014" spans="3:4" x14ac:dyDescent="0.3">
      <c r="C5014"/>
      <c r="D5014"/>
    </row>
    <row r="5015" spans="3:4" x14ac:dyDescent="0.3">
      <c r="C5015"/>
      <c r="D5015"/>
    </row>
    <row r="5016" spans="3:4" x14ac:dyDescent="0.3">
      <c r="C5016"/>
      <c r="D5016"/>
    </row>
    <row r="5017" spans="3:4" x14ac:dyDescent="0.3">
      <c r="C5017"/>
      <c r="D5017"/>
    </row>
    <row r="5018" spans="3:4" x14ac:dyDescent="0.3">
      <c r="C5018"/>
      <c r="D5018"/>
    </row>
    <row r="5019" spans="3:4" x14ac:dyDescent="0.3">
      <c r="C5019"/>
      <c r="D5019"/>
    </row>
    <row r="5020" spans="3:4" x14ac:dyDescent="0.3">
      <c r="C5020"/>
      <c r="D5020"/>
    </row>
    <row r="5021" spans="3:4" x14ac:dyDescent="0.3">
      <c r="C5021"/>
      <c r="D5021"/>
    </row>
    <row r="5022" spans="3:4" x14ac:dyDescent="0.3">
      <c r="C5022"/>
      <c r="D5022"/>
    </row>
    <row r="5023" spans="3:4" x14ac:dyDescent="0.3">
      <c r="C5023"/>
      <c r="D5023"/>
    </row>
    <row r="5024" spans="3:4" x14ac:dyDescent="0.3">
      <c r="C5024"/>
      <c r="D5024"/>
    </row>
    <row r="5025" spans="3:4" x14ac:dyDescent="0.3">
      <c r="C5025"/>
      <c r="D5025"/>
    </row>
    <row r="5026" spans="3:4" x14ac:dyDescent="0.3">
      <c r="C5026"/>
      <c r="D5026"/>
    </row>
    <row r="5027" spans="3:4" x14ac:dyDescent="0.3">
      <c r="C5027"/>
      <c r="D5027"/>
    </row>
    <row r="5028" spans="3:4" x14ac:dyDescent="0.3">
      <c r="C5028"/>
      <c r="D5028"/>
    </row>
    <row r="5029" spans="3:4" x14ac:dyDescent="0.3">
      <c r="C5029"/>
      <c r="D5029"/>
    </row>
    <row r="5030" spans="3:4" x14ac:dyDescent="0.3">
      <c r="C5030"/>
      <c r="D5030"/>
    </row>
    <row r="5031" spans="3:4" x14ac:dyDescent="0.3">
      <c r="C5031"/>
      <c r="D5031"/>
    </row>
    <row r="5032" spans="3:4" x14ac:dyDescent="0.3">
      <c r="C5032"/>
      <c r="D5032"/>
    </row>
    <row r="5033" spans="3:4" x14ac:dyDescent="0.3">
      <c r="C5033"/>
      <c r="D5033"/>
    </row>
    <row r="5034" spans="3:4" x14ac:dyDescent="0.3">
      <c r="C5034"/>
      <c r="D5034"/>
    </row>
    <row r="5035" spans="3:4" x14ac:dyDescent="0.3">
      <c r="C5035"/>
      <c r="D5035"/>
    </row>
    <row r="5036" spans="3:4" x14ac:dyDescent="0.3">
      <c r="C5036"/>
      <c r="D5036"/>
    </row>
    <row r="5037" spans="3:4" x14ac:dyDescent="0.3">
      <c r="C5037"/>
      <c r="D5037"/>
    </row>
    <row r="5038" spans="3:4" x14ac:dyDescent="0.3">
      <c r="C5038"/>
      <c r="D5038"/>
    </row>
    <row r="5039" spans="3:4" x14ac:dyDescent="0.3">
      <c r="C5039"/>
      <c r="D5039"/>
    </row>
    <row r="5040" spans="3:4" x14ac:dyDescent="0.3">
      <c r="C5040"/>
      <c r="D5040"/>
    </row>
    <row r="5041" spans="3:4" x14ac:dyDescent="0.3">
      <c r="C5041"/>
      <c r="D5041"/>
    </row>
    <row r="5042" spans="3:4" x14ac:dyDescent="0.3">
      <c r="C5042"/>
      <c r="D5042"/>
    </row>
    <row r="5043" spans="3:4" x14ac:dyDescent="0.3">
      <c r="C5043"/>
      <c r="D5043"/>
    </row>
    <row r="5044" spans="3:4" x14ac:dyDescent="0.3">
      <c r="C5044"/>
      <c r="D5044"/>
    </row>
    <row r="5045" spans="3:4" x14ac:dyDescent="0.3">
      <c r="C5045"/>
      <c r="D5045"/>
    </row>
    <row r="5046" spans="3:4" x14ac:dyDescent="0.3">
      <c r="C5046"/>
      <c r="D5046"/>
    </row>
    <row r="5047" spans="3:4" x14ac:dyDescent="0.3">
      <c r="C5047"/>
      <c r="D5047"/>
    </row>
    <row r="5048" spans="3:4" x14ac:dyDescent="0.3">
      <c r="C5048"/>
      <c r="D5048"/>
    </row>
    <row r="5049" spans="3:4" x14ac:dyDescent="0.3">
      <c r="C5049"/>
      <c r="D5049"/>
    </row>
    <row r="5050" spans="3:4" x14ac:dyDescent="0.3">
      <c r="C5050"/>
      <c r="D5050"/>
    </row>
    <row r="5051" spans="3:4" x14ac:dyDescent="0.3">
      <c r="C5051"/>
      <c r="D5051"/>
    </row>
    <row r="5052" spans="3:4" x14ac:dyDescent="0.3">
      <c r="C5052"/>
      <c r="D5052"/>
    </row>
    <row r="5053" spans="3:4" x14ac:dyDescent="0.3">
      <c r="C5053"/>
      <c r="D5053"/>
    </row>
    <row r="5054" spans="3:4" x14ac:dyDescent="0.3">
      <c r="C5054"/>
      <c r="D5054"/>
    </row>
    <row r="5055" spans="3:4" x14ac:dyDescent="0.3">
      <c r="C5055"/>
      <c r="D5055"/>
    </row>
    <row r="5056" spans="3:4" x14ac:dyDescent="0.3">
      <c r="C5056"/>
      <c r="D5056"/>
    </row>
    <row r="5057" spans="3:4" x14ac:dyDescent="0.3">
      <c r="C5057"/>
      <c r="D5057"/>
    </row>
    <row r="5058" spans="3:4" x14ac:dyDescent="0.3">
      <c r="C5058"/>
      <c r="D5058"/>
    </row>
    <row r="5059" spans="3:4" x14ac:dyDescent="0.3">
      <c r="C5059"/>
      <c r="D5059"/>
    </row>
    <row r="5060" spans="3:4" x14ac:dyDescent="0.3">
      <c r="C5060"/>
      <c r="D5060"/>
    </row>
    <row r="5061" spans="3:4" x14ac:dyDescent="0.3">
      <c r="C5061"/>
      <c r="D5061"/>
    </row>
    <row r="5062" spans="3:4" x14ac:dyDescent="0.3">
      <c r="C5062"/>
      <c r="D5062"/>
    </row>
    <row r="5063" spans="3:4" x14ac:dyDescent="0.3">
      <c r="C5063"/>
      <c r="D5063"/>
    </row>
    <row r="5064" spans="3:4" x14ac:dyDescent="0.3">
      <c r="C5064"/>
      <c r="D5064"/>
    </row>
    <row r="5065" spans="3:4" x14ac:dyDescent="0.3">
      <c r="C5065"/>
      <c r="D5065"/>
    </row>
    <row r="5066" spans="3:4" x14ac:dyDescent="0.3">
      <c r="C5066"/>
      <c r="D5066"/>
    </row>
    <row r="5067" spans="3:4" x14ac:dyDescent="0.3">
      <c r="C5067"/>
      <c r="D5067"/>
    </row>
    <row r="5068" spans="3:4" x14ac:dyDescent="0.3">
      <c r="C5068"/>
      <c r="D5068"/>
    </row>
    <row r="5069" spans="3:4" x14ac:dyDescent="0.3">
      <c r="C5069"/>
      <c r="D5069"/>
    </row>
    <row r="5070" spans="3:4" x14ac:dyDescent="0.3">
      <c r="C5070"/>
      <c r="D5070"/>
    </row>
    <row r="5071" spans="3:4" x14ac:dyDescent="0.3">
      <c r="C5071"/>
      <c r="D5071"/>
    </row>
    <row r="5072" spans="3:4" x14ac:dyDescent="0.3">
      <c r="C5072"/>
      <c r="D5072"/>
    </row>
    <row r="5073" spans="3:4" x14ac:dyDescent="0.3">
      <c r="C5073"/>
      <c r="D5073"/>
    </row>
    <row r="5074" spans="3:4" x14ac:dyDescent="0.3">
      <c r="C5074"/>
      <c r="D5074"/>
    </row>
    <row r="5075" spans="3:4" x14ac:dyDescent="0.3">
      <c r="C5075"/>
      <c r="D5075"/>
    </row>
    <row r="5076" spans="3:4" x14ac:dyDescent="0.3">
      <c r="C5076"/>
      <c r="D5076"/>
    </row>
    <row r="5077" spans="3:4" x14ac:dyDescent="0.3">
      <c r="C5077"/>
      <c r="D5077"/>
    </row>
    <row r="5078" spans="3:4" x14ac:dyDescent="0.3">
      <c r="C5078"/>
      <c r="D5078"/>
    </row>
    <row r="5079" spans="3:4" x14ac:dyDescent="0.3">
      <c r="C5079"/>
      <c r="D5079"/>
    </row>
    <row r="5080" spans="3:4" x14ac:dyDescent="0.3">
      <c r="C5080"/>
      <c r="D5080"/>
    </row>
    <row r="5081" spans="3:4" x14ac:dyDescent="0.3">
      <c r="C5081"/>
      <c r="D5081"/>
    </row>
    <row r="5082" spans="3:4" x14ac:dyDescent="0.3">
      <c r="C5082"/>
      <c r="D5082"/>
    </row>
    <row r="5083" spans="3:4" x14ac:dyDescent="0.3">
      <c r="C5083"/>
      <c r="D5083"/>
    </row>
    <row r="5084" spans="3:4" x14ac:dyDescent="0.3">
      <c r="C5084"/>
      <c r="D5084"/>
    </row>
    <row r="5085" spans="3:4" x14ac:dyDescent="0.3">
      <c r="C5085"/>
      <c r="D5085"/>
    </row>
    <row r="5086" spans="3:4" x14ac:dyDescent="0.3">
      <c r="C5086"/>
      <c r="D5086"/>
    </row>
    <row r="5087" spans="3:4" x14ac:dyDescent="0.3">
      <c r="C5087"/>
      <c r="D5087"/>
    </row>
    <row r="5088" spans="3:4" x14ac:dyDescent="0.3">
      <c r="C5088"/>
      <c r="D5088"/>
    </row>
    <row r="5089" spans="3:4" x14ac:dyDescent="0.3">
      <c r="C5089"/>
      <c r="D5089"/>
    </row>
    <row r="5090" spans="3:4" x14ac:dyDescent="0.3">
      <c r="C5090"/>
      <c r="D5090"/>
    </row>
    <row r="5091" spans="3:4" x14ac:dyDescent="0.3">
      <c r="C5091"/>
      <c r="D5091"/>
    </row>
    <row r="5092" spans="3:4" x14ac:dyDescent="0.3">
      <c r="C5092"/>
      <c r="D5092"/>
    </row>
    <row r="5093" spans="3:4" x14ac:dyDescent="0.3">
      <c r="C5093"/>
      <c r="D5093"/>
    </row>
    <row r="5094" spans="3:4" x14ac:dyDescent="0.3">
      <c r="C5094"/>
      <c r="D5094"/>
    </row>
    <row r="5095" spans="3:4" x14ac:dyDescent="0.3">
      <c r="C5095"/>
      <c r="D5095"/>
    </row>
    <row r="5096" spans="3:4" x14ac:dyDescent="0.3">
      <c r="C5096"/>
      <c r="D5096"/>
    </row>
    <row r="5097" spans="3:4" x14ac:dyDescent="0.3">
      <c r="C5097"/>
      <c r="D5097"/>
    </row>
    <row r="5098" spans="3:4" x14ac:dyDescent="0.3">
      <c r="C5098"/>
      <c r="D5098"/>
    </row>
    <row r="5099" spans="3:4" x14ac:dyDescent="0.3">
      <c r="C5099"/>
      <c r="D5099"/>
    </row>
    <row r="5100" spans="3:4" x14ac:dyDescent="0.3">
      <c r="C5100"/>
      <c r="D5100"/>
    </row>
    <row r="5101" spans="3:4" x14ac:dyDescent="0.3">
      <c r="C5101"/>
      <c r="D5101"/>
    </row>
    <row r="5102" spans="3:4" x14ac:dyDescent="0.3">
      <c r="C5102"/>
      <c r="D5102"/>
    </row>
    <row r="5103" spans="3:4" x14ac:dyDescent="0.3">
      <c r="C5103"/>
      <c r="D5103"/>
    </row>
    <row r="5104" spans="3:4" x14ac:dyDescent="0.3">
      <c r="C5104"/>
      <c r="D5104"/>
    </row>
    <row r="5105" spans="3:4" x14ac:dyDescent="0.3">
      <c r="C5105"/>
      <c r="D5105"/>
    </row>
    <row r="5106" spans="3:4" x14ac:dyDescent="0.3">
      <c r="C5106"/>
      <c r="D5106"/>
    </row>
    <row r="5107" spans="3:4" x14ac:dyDescent="0.3">
      <c r="C5107"/>
      <c r="D5107"/>
    </row>
    <row r="5108" spans="3:4" x14ac:dyDescent="0.3">
      <c r="C5108"/>
      <c r="D5108"/>
    </row>
    <row r="5109" spans="3:4" x14ac:dyDescent="0.3">
      <c r="C5109"/>
      <c r="D5109"/>
    </row>
    <row r="5110" spans="3:4" x14ac:dyDescent="0.3">
      <c r="C5110"/>
      <c r="D5110"/>
    </row>
    <row r="5111" spans="3:4" x14ac:dyDescent="0.3">
      <c r="C5111"/>
      <c r="D5111"/>
    </row>
    <row r="5112" spans="3:4" x14ac:dyDescent="0.3">
      <c r="C5112"/>
      <c r="D5112"/>
    </row>
    <row r="5113" spans="3:4" x14ac:dyDescent="0.3">
      <c r="C5113"/>
      <c r="D5113"/>
    </row>
    <row r="5114" spans="3:4" x14ac:dyDescent="0.3">
      <c r="C5114"/>
      <c r="D5114"/>
    </row>
    <row r="5115" spans="3:4" x14ac:dyDescent="0.3">
      <c r="C5115"/>
      <c r="D5115"/>
    </row>
    <row r="5116" spans="3:4" x14ac:dyDescent="0.3">
      <c r="C5116"/>
      <c r="D5116"/>
    </row>
    <row r="5117" spans="3:4" x14ac:dyDescent="0.3">
      <c r="C5117"/>
      <c r="D5117"/>
    </row>
    <row r="5118" spans="3:4" x14ac:dyDescent="0.3">
      <c r="C5118"/>
      <c r="D5118"/>
    </row>
    <row r="5119" spans="3:4" x14ac:dyDescent="0.3">
      <c r="C5119"/>
      <c r="D5119"/>
    </row>
    <row r="5120" spans="3:4" x14ac:dyDescent="0.3">
      <c r="C5120"/>
      <c r="D5120"/>
    </row>
    <row r="5121" spans="3:4" x14ac:dyDescent="0.3">
      <c r="C5121"/>
      <c r="D5121"/>
    </row>
    <row r="5122" spans="3:4" x14ac:dyDescent="0.3">
      <c r="C5122"/>
      <c r="D5122"/>
    </row>
    <row r="5123" spans="3:4" x14ac:dyDescent="0.3">
      <c r="C5123"/>
      <c r="D5123"/>
    </row>
    <row r="5124" spans="3:4" x14ac:dyDescent="0.3">
      <c r="C5124"/>
      <c r="D5124"/>
    </row>
    <row r="5125" spans="3:4" x14ac:dyDescent="0.3">
      <c r="C5125"/>
      <c r="D5125"/>
    </row>
    <row r="5126" spans="3:4" x14ac:dyDescent="0.3">
      <c r="C5126"/>
      <c r="D5126"/>
    </row>
    <row r="5127" spans="3:4" x14ac:dyDescent="0.3">
      <c r="C5127"/>
      <c r="D5127"/>
    </row>
    <row r="5128" spans="3:4" x14ac:dyDescent="0.3">
      <c r="C5128"/>
      <c r="D5128"/>
    </row>
    <row r="5129" spans="3:4" x14ac:dyDescent="0.3">
      <c r="C5129"/>
      <c r="D5129"/>
    </row>
    <row r="5130" spans="3:4" x14ac:dyDescent="0.3">
      <c r="C5130"/>
      <c r="D5130"/>
    </row>
    <row r="5131" spans="3:4" x14ac:dyDescent="0.3">
      <c r="C5131"/>
      <c r="D5131"/>
    </row>
    <row r="5132" spans="3:4" x14ac:dyDescent="0.3">
      <c r="C5132"/>
      <c r="D5132"/>
    </row>
    <row r="5133" spans="3:4" x14ac:dyDescent="0.3">
      <c r="C5133"/>
      <c r="D5133"/>
    </row>
    <row r="5134" spans="3:4" x14ac:dyDescent="0.3">
      <c r="C5134"/>
      <c r="D5134"/>
    </row>
    <row r="5135" spans="3:4" x14ac:dyDescent="0.3">
      <c r="C5135"/>
      <c r="D5135"/>
    </row>
    <row r="5136" spans="3:4" x14ac:dyDescent="0.3">
      <c r="C5136"/>
      <c r="D5136"/>
    </row>
    <row r="5137" spans="3:4" x14ac:dyDescent="0.3">
      <c r="C5137"/>
      <c r="D5137"/>
    </row>
    <row r="5138" spans="3:4" x14ac:dyDescent="0.3">
      <c r="C5138"/>
      <c r="D5138"/>
    </row>
    <row r="5139" spans="3:4" x14ac:dyDescent="0.3">
      <c r="C5139"/>
      <c r="D5139"/>
    </row>
    <row r="5140" spans="3:4" x14ac:dyDescent="0.3">
      <c r="C5140"/>
      <c r="D5140"/>
    </row>
    <row r="5141" spans="3:4" x14ac:dyDescent="0.3">
      <c r="C5141"/>
      <c r="D5141"/>
    </row>
    <row r="5142" spans="3:4" x14ac:dyDescent="0.3">
      <c r="C5142"/>
      <c r="D5142"/>
    </row>
    <row r="5143" spans="3:4" x14ac:dyDescent="0.3">
      <c r="C5143"/>
      <c r="D5143"/>
    </row>
    <row r="5144" spans="3:4" x14ac:dyDescent="0.3">
      <c r="C5144"/>
      <c r="D5144"/>
    </row>
    <row r="5145" spans="3:4" x14ac:dyDescent="0.3">
      <c r="C5145"/>
      <c r="D5145"/>
    </row>
    <row r="5146" spans="3:4" x14ac:dyDescent="0.3">
      <c r="C5146"/>
      <c r="D5146"/>
    </row>
    <row r="5147" spans="3:4" x14ac:dyDescent="0.3">
      <c r="C5147"/>
      <c r="D5147"/>
    </row>
    <row r="5148" spans="3:4" x14ac:dyDescent="0.3">
      <c r="C5148"/>
      <c r="D5148"/>
    </row>
    <row r="5149" spans="3:4" x14ac:dyDescent="0.3">
      <c r="C5149"/>
      <c r="D5149"/>
    </row>
    <row r="5150" spans="3:4" x14ac:dyDescent="0.3">
      <c r="C5150"/>
      <c r="D5150"/>
    </row>
    <row r="5151" spans="3:4" x14ac:dyDescent="0.3">
      <c r="C5151"/>
      <c r="D5151"/>
    </row>
    <row r="5152" spans="3:4" x14ac:dyDescent="0.3">
      <c r="C5152"/>
      <c r="D5152"/>
    </row>
    <row r="5153" spans="3:4" x14ac:dyDescent="0.3">
      <c r="C5153"/>
      <c r="D5153"/>
    </row>
    <row r="5154" spans="3:4" x14ac:dyDescent="0.3">
      <c r="C5154"/>
      <c r="D5154"/>
    </row>
    <row r="5155" spans="3:4" x14ac:dyDescent="0.3">
      <c r="C5155"/>
      <c r="D5155"/>
    </row>
    <row r="5156" spans="3:4" x14ac:dyDescent="0.3">
      <c r="C5156"/>
      <c r="D5156"/>
    </row>
    <row r="5157" spans="3:4" x14ac:dyDescent="0.3">
      <c r="C5157"/>
      <c r="D5157"/>
    </row>
    <row r="5158" spans="3:4" x14ac:dyDescent="0.3">
      <c r="C5158"/>
      <c r="D5158"/>
    </row>
    <row r="5159" spans="3:4" x14ac:dyDescent="0.3">
      <c r="C5159"/>
      <c r="D5159"/>
    </row>
    <row r="5160" spans="3:4" x14ac:dyDescent="0.3">
      <c r="C5160"/>
      <c r="D5160"/>
    </row>
    <row r="5161" spans="3:4" x14ac:dyDescent="0.3">
      <c r="C5161"/>
      <c r="D5161"/>
    </row>
    <row r="5162" spans="3:4" x14ac:dyDescent="0.3">
      <c r="C5162"/>
      <c r="D5162"/>
    </row>
    <row r="5163" spans="3:4" x14ac:dyDescent="0.3">
      <c r="C5163"/>
      <c r="D5163"/>
    </row>
    <row r="5164" spans="3:4" x14ac:dyDescent="0.3">
      <c r="C5164"/>
      <c r="D5164"/>
    </row>
    <row r="5165" spans="3:4" x14ac:dyDescent="0.3">
      <c r="C5165"/>
      <c r="D5165"/>
    </row>
    <row r="5166" spans="3:4" x14ac:dyDescent="0.3">
      <c r="C5166"/>
      <c r="D5166"/>
    </row>
    <row r="5167" spans="3:4" x14ac:dyDescent="0.3">
      <c r="C5167"/>
      <c r="D5167"/>
    </row>
    <row r="5168" spans="3:4" x14ac:dyDescent="0.3">
      <c r="C5168"/>
      <c r="D5168"/>
    </row>
    <row r="5169" spans="3:4" x14ac:dyDescent="0.3">
      <c r="C5169"/>
      <c r="D5169"/>
    </row>
    <row r="5170" spans="3:4" x14ac:dyDescent="0.3">
      <c r="C5170"/>
      <c r="D5170"/>
    </row>
    <row r="5171" spans="3:4" x14ac:dyDescent="0.3">
      <c r="C5171"/>
      <c r="D5171"/>
    </row>
    <row r="5172" spans="3:4" x14ac:dyDescent="0.3">
      <c r="C5172"/>
      <c r="D5172"/>
    </row>
    <row r="5173" spans="3:4" x14ac:dyDescent="0.3">
      <c r="C5173"/>
      <c r="D5173"/>
    </row>
    <row r="5174" spans="3:4" x14ac:dyDescent="0.3">
      <c r="C5174"/>
      <c r="D5174"/>
    </row>
    <row r="5175" spans="3:4" x14ac:dyDescent="0.3">
      <c r="C5175"/>
      <c r="D5175"/>
    </row>
    <row r="5176" spans="3:4" x14ac:dyDescent="0.3">
      <c r="C5176"/>
      <c r="D5176"/>
    </row>
    <row r="5177" spans="3:4" x14ac:dyDescent="0.3">
      <c r="C5177"/>
      <c r="D5177"/>
    </row>
    <row r="5178" spans="3:4" x14ac:dyDescent="0.3">
      <c r="C5178"/>
      <c r="D5178"/>
    </row>
    <row r="5179" spans="3:4" x14ac:dyDescent="0.3">
      <c r="C5179"/>
      <c r="D5179"/>
    </row>
    <row r="5180" spans="3:4" x14ac:dyDescent="0.3">
      <c r="C5180"/>
      <c r="D5180"/>
    </row>
    <row r="5181" spans="3:4" x14ac:dyDescent="0.3">
      <c r="C5181"/>
      <c r="D5181"/>
    </row>
    <row r="5182" spans="3:4" x14ac:dyDescent="0.3">
      <c r="C5182"/>
      <c r="D5182"/>
    </row>
    <row r="5183" spans="3:4" x14ac:dyDescent="0.3">
      <c r="C5183"/>
      <c r="D5183"/>
    </row>
    <row r="5184" spans="3:4" x14ac:dyDescent="0.3">
      <c r="C5184"/>
      <c r="D5184"/>
    </row>
    <row r="5185" spans="3:4" x14ac:dyDescent="0.3">
      <c r="C5185"/>
      <c r="D5185"/>
    </row>
    <row r="5186" spans="3:4" x14ac:dyDescent="0.3">
      <c r="C5186"/>
      <c r="D5186"/>
    </row>
    <row r="5187" spans="3:4" x14ac:dyDescent="0.3">
      <c r="C5187"/>
      <c r="D5187"/>
    </row>
    <row r="5188" spans="3:4" x14ac:dyDescent="0.3">
      <c r="C5188"/>
      <c r="D5188"/>
    </row>
    <row r="5189" spans="3:4" x14ac:dyDescent="0.3">
      <c r="C5189"/>
      <c r="D5189"/>
    </row>
    <row r="5190" spans="3:4" x14ac:dyDescent="0.3">
      <c r="C5190"/>
      <c r="D5190"/>
    </row>
    <row r="5191" spans="3:4" x14ac:dyDescent="0.3">
      <c r="C5191"/>
      <c r="D5191"/>
    </row>
    <row r="5192" spans="3:4" x14ac:dyDescent="0.3">
      <c r="C5192"/>
      <c r="D5192"/>
    </row>
    <row r="5193" spans="3:4" x14ac:dyDescent="0.3">
      <c r="C5193"/>
      <c r="D5193"/>
    </row>
    <row r="5194" spans="3:4" x14ac:dyDescent="0.3">
      <c r="C5194"/>
      <c r="D5194"/>
    </row>
    <row r="5195" spans="3:4" x14ac:dyDescent="0.3">
      <c r="C5195"/>
      <c r="D5195"/>
    </row>
    <row r="5196" spans="3:4" x14ac:dyDescent="0.3">
      <c r="C5196"/>
      <c r="D5196"/>
    </row>
    <row r="5197" spans="3:4" x14ac:dyDescent="0.3">
      <c r="C5197"/>
      <c r="D5197"/>
    </row>
    <row r="5198" spans="3:4" x14ac:dyDescent="0.3">
      <c r="C5198"/>
      <c r="D5198"/>
    </row>
    <row r="5199" spans="3:4" x14ac:dyDescent="0.3">
      <c r="C5199"/>
      <c r="D5199"/>
    </row>
    <row r="5200" spans="3:4" x14ac:dyDescent="0.3">
      <c r="C5200"/>
      <c r="D5200"/>
    </row>
    <row r="5201" spans="3:4" x14ac:dyDescent="0.3">
      <c r="C5201"/>
      <c r="D5201"/>
    </row>
    <row r="5202" spans="3:4" x14ac:dyDescent="0.3">
      <c r="C5202"/>
      <c r="D5202"/>
    </row>
    <row r="5203" spans="3:4" x14ac:dyDescent="0.3">
      <c r="C5203"/>
      <c r="D5203"/>
    </row>
    <row r="5204" spans="3:4" x14ac:dyDescent="0.3">
      <c r="C5204"/>
      <c r="D5204"/>
    </row>
    <row r="5205" spans="3:4" x14ac:dyDescent="0.3">
      <c r="C5205"/>
      <c r="D5205"/>
    </row>
    <row r="5206" spans="3:4" x14ac:dyDescent="0.3">
      <c r="C5206"/>
      <c r="D5206"/>
    </row>
    <row r="5207" spans="3:4" x14ac:dyDescent="0.3">
      <c r="C5207"/>
      <c r="D5207"/>
    </row>
    <row r="5208" spans="3:4" x14ac:dyDescent="0.3">
      <c r="C5208"/>
      <c r="D5208"/>
    </row>
    <row r="5209" spans="3:4" x14ac:dyDescent="0.3">
      <c r="C5209"/>
      <c r="D5209"/>
    </row>
    <row r="5210" spans="3:4" x14ac:dyDescent="0.3">
      <c r="C5210"/>
      <c r="D5210"/>
    </row>
    <row r="5211" spans="3:4" x14ac:dyDescent="0.3">
      <c r="C5211"/>
      <c r="D5211"/>
    </row>
    <row r="5212" spans="3:4" x14ac:dyDescent="0.3">
      <c r="C5212"/>
      <c r="D5212"/>
    </row>
    <row r="5213" spans="3:4" x14ac:dyDescent="0.3">
      <c r="C5213"/>
      <c r="D5213"/>
    </row>
    <row r="5214" spans="3:4" x14ac:dyDescent="0.3">
      <c r="C5214"/>
      <c r="D5214"/>
    </row>
    <row r="5215" spans="3:4" x14ac:dyDescent="0.3">
      <c r="C5215"/>
      <c r="D5215"/>
    </row>
    <row r="5216" spans="3:4" x14ac:dyDescent="0.3">
      <c r="C5216"/>
      <c r="D5216"/>
    </row>
    <row r="5217" spans="3:4" x14ac:dyDescent="0.3">
      <c r="C5217"/>
      <c r="D5217"/>
    </row>
    <row r="5218" spans="3:4" x14ac:dyDescent="0.3">
      <c r="C5218"/>
      <c r="D5218"/>
    </row>
    <row r="5219" spans="3:4" x14ac:dyDescent="0.3">
      <c r="C5219"/>
      <c r="D5219"/>
    </row>
    <row r="5220" spans="3:4" x14ac:dyDescent="0.3">
      <c r="C5220"/>
      <c r="D5220"/>
    </row>
    <row r="5221" spans="3:4" x14ac:dyDescent="0.3">
      <c r="C5221"/>
      <c r="D5221"/>
    </row>
    <row r="5222" spans="3:4" x14ac:dyDescent="0.3">
      <c r="C5222"/>
      <c r="D5222"/>
    </row>
    <row r="5223" spans="3:4" x14ac:dyDescent="0.3">
      <c r="C5223"/>
      <c r="D5223"/>
    </row>
    <row r="5224" spans="3:4" x14ac:dyDescent="0.3">
      <c r="C5224"/>
      <c r="D5224"/>
    </row>
    <row r="5225" spans="3:4" x14ac:dyDescent="0.3">
      <c r="C5225"/>
      <c r="D5225"/>
    </row>
    <row r="5226" spans="3:4" x14ac:dyDescent="0.3">
      <c r="C5226"/>
      <c r="D5226"/>
    </row>
    <row r="5227" spans="3:4" x14ac:dyDescent="0.3">
      <c r="C5227"/>
      <c r="D5227"/>
    </row>
    <row r="5228" spans="3:4" x14ac:dyDescent="0.3">
      <c r="C5228"/>
      <c r="D5228"/>
    </row>
    <row r="5229" spans="3:4" x14ac:dyDescent="0.3">
      <c r="C5229"/>
      <c r="D5229"/>
    </row>
    <row r="5230" spans="3:4" x14ac:dyDescent="0.3">
      <c r="C5230"/>
      <c r="D5230"/>
    </row>
    <row r="5231" spans="3:4" x14ac:dyDescent="0.3">
      <c r="C5231"/>
      <c r="D5231"/>
    </row>
    <row r="5232" spans="3:4" x14ac:dyDescent="0.3">
      <c r="C5232"/>
      <c r="D5232"/>
    </row>
    <row r="5233" spans="3:4" x14ac:dyDescent="0.3">
      <c r="C5233"/>
      <c r="D5233"/>
    </row>
    <row r="5234" spans="3:4" x14ac:dyDescent="0.3">
      <c r="C5234"/>
      <c r="D5234"/>
    </row>
    <row r="5235" spans="3:4" x14ac:dyDescent="0.3">
      <c r="C5235"/>
      <c r="D5235"/>
    </row>
    <row r="5236" spans="3:4" x14ac:dyDescent="0.3">
      <c r="C5236"/>
      <c r="D5236"/>
    </row>
    <row r="5237" spans="3:4" x14ac:dyDescent="0.3">
      <c r="C5237"/>
      <c r="D5237"/>
    </row>
    <row r="5238" spans="3:4" x14ac:dyDescent="0.3">
      <c r="C5238"/>
      <c r="D5238"/>
    </row>
    <row r="5239" spans="3:4" x14ac:dyDescent="0.3">
      <c r="C5239"/>
      <c r="D5239"/>
    </row>
    <row r="5240" spans="3:4" x14ac:dyDescent="0.3">
      <c r="C5240"/>
      <c r="D5240"/>
    </row>
    <row r="5241" spans="3:4" x14ac:dyDescent="0.3">
      <c r="C5241"/>
      <c r="D5241"/>
    </row>
    <row r="5242" spans="3:4" x14ac:dyDescent="0.3">
      <c r="C5242"/>
      <c r="D5242"/>
    </row>
    <row r="5243" spans="3:4" x14ac:dyDescent="0.3">
      <c r="C5243"/>
      <c r="D5243"/>
    </row>
    <row r="5244" spans="3:4" x14ac:dyDescent="0.3">
      <c r="C5244"/>
      <c r="D5244"/>
    </row>
    <row r="5245" spans="3:4" x14ac:dyDescent="0.3">
      <c r="C5245"/>
      <c r="D5245"/>
    </row>
    <row r="5246" spans="3:4" x14ac:dyDescent="0.3">
      <c r="C5246"/>
      <c r="D5246"/>
    </row>
    <row r="5247" spans="3:4" x14ac:dyDescent="0.3">
      <c r="C5247"/>
      <c r="D5247"/>
    </row>
    <row r="5248" spans="3:4" x14ac:dyDescent="0.3">
      <c r="C5248"/>
      <c r="D5248"/>
    </row>
    <row r="5249" spans="3:4" x14ac:dyDescent="0.3">
      <c r="C5249"/>
      <c r="D5249"/>
    </row>
    <row r="5250" spans="3:4" x14ac:dyDescent="0.3">
      <c r="C5250"/>
      <c r="D5250"/>
    </row>
    <row r="5251" spans="3:4" x14ac:dyDescent="0.3">
      <c r="C5251"/>
      <c r="D5251"/>
    </row>
    <row r="5252" spans="3:4" x14ac:dyDescent="0.3">
      <c r="C5252"/>
      <c r="D5252"/>
    </row>
    <row r="5253" spans="3:4" x14ac:dyDescent="0.3">
      <c r="C5253"/>
      <c r="D5253"/>
    </row>
    <row r="5254" spans="3:4" x14ac:dyDescent="0.3">
      <c r="C5254"/>
      <c r="D5254"/>
    </row>
    <row r="5255" spans="3:4" x14ac:dyDescent="0.3">
      <c r="C5255"/>
      <c r="D5255"/>
    </row>
    <row r="5256" spans="3:4" x14ac:dyDescent="0.3">
      <c r="C5256"/>
      <c r="D5256"/>
    </row>
    <row r="5257" spans="3:4" x14ac:dyDescent="0.3">
      <c r="C5257"/>
      <c r="D5257"/>
    </row>
    <row r="5258" spans="3:4" x14ac:dyDescent="0.3">
      <c r="C5258"/>
      <c r="D5258"/>
    </row>
    <row r="5259" spans="3:4" x14ac:dyDescent="0.3">
      <c r="C5259"/>
      <c r="D5259"/>
    </row>
    <row r="5260" spans="3:4" x14ac:dyDescent="0.3">
      <c r="C5260"/>
      <c r="D5260"/>
    </row>
    <row r="5261" spans="3:4" x14ac:dyDescent="0.3">
      <c r="C5261"/>
      <c r="D5261"/>
    </row>
    <row r="5262" spans="3:4" x14ac:dyDescent="0.3">
      <c r="C5262"/>
      <c r="D5262"/>
    </row>
    <row r="5263" spans="3:4" x14ac:dyDescent="0.3">
      <c r="C5263"/>
      <c r="D5263"/>
    </row>
    <row r="5264" spans="3:4" x14ac:dyDescent="0.3">
      <c r="C5264"/>
      <c r="D5264"/>
    </row>
    <row r="5265" spans="3:4" x14ac:dyDescent="0.3">
      <c r="C5265"/>
      <c r="D5265"/>
    </row>
    <row r="5266" spans="3:4" x14ac:dyDescent="0.3">
      <c r="C5266"/>
      <c r="D5266"/>
    </row>
    <row r="5267" spans="3:4" x14ac:dyDescent="0.3">
      <c r="C5267"/>
      <c r="D5267"/>
    </row>
    <row r="5268" spans="3:4" x14ac:dyDescent="0.3">
      <c r="C5268"/>
      <c r="D5268"/>
    </row>
    <row r="5269" spans="3:4" x14ac:dyDescent="0.3">
      <c r="C5269"/>
      <c r="D5269"/>
    </row>
    <row r="5270" spans="3:4" x14ac:dyDescent="0.3">
      <c r="C5270"/>
      <c r="D5270"/>
    </row>
    <row r="5271" spans="3:4" x14ac:dyDescent="0.3">
      <c r="C5271"/>
      <c r="D5271"/>
    </row>
    <row r="5272" spans="3:4" x14ac:dyDescent="0.3">
      <c r="C5272"/>
      <c r="D5272"/>
    </row>
    <row r="5273" spans="3:4" x14ac:dyDescent="0.3">
      <c r="C5273"/>
      <c r="D5273"/>
    </row>
    <row r="5274" spans="3:4" x14ac:dyDescent="0.3">
      <c r="C5274"/>
      <c r="D5274"/>
    </row>
    <row r="5275" spans="3:4" x14ac:dyDescent="0.3">
      <c r="C5275"/>
      <c r="D5275"/>
    </row>
    <row r="5276" spans="3:4" x14ac:dyDescent="0.3">
      <c r="C5276"/>
      <c r="D5276"/>
    </row>
    <row r="5277" spans="3:4" x14ac:dyDescent="0.3">
      <c r="C5277"/>
      <c r="D5277"/>
    </row>
    <row r="5278" spans="3:4" x14ac:dyDescent="0.3">
      <c r="C5278"/>
      <c r="D5278"/>
    </row>
    <row r="5279" spans="3:4" x14ac:dyDescent="0.3">
      <c r="C5279"/>
      <c r="D5279"/>
    </row>
    <row r="5280" spans="3:4" x14ac:dyDescent="0.3">
      <c r="C5280"/>
      <c r="D5280"/>
    </row>
    <row r="5281" spans="3:4" x14ac:dyDescent="0.3">
      <c r="C5281"/>
      <c r="D5281"/>
    </row>
    <row r="5282" spans="3:4" x14ac:dyDescent="0.3">
      <c r="C5282"/>
      <c r="D5282"/>
    </row>
    <row r="5283" spans="3:4" x14ac:dyDescent="0.3">
      <c r="C5283"/>
      <c r="D5283"/>
    </row>
    <row r="5284" spans="3:4" x14ac:dyDescent="0.3">
      <c r="C5284"/>
      <c r="D5284"/>
    </row>
    <row r="5285" spans="3:4" x14ac:dyDescent="0.3">
      <c r="C5285"/>
      <c r="D5285"/>
    </row>
    <row r="5286" spans="3:4" x14ac:dyDescent="0.3">
      <c r="C5286"/>
      <c r="D5286"/>
    </row>
    <row r="5287" spans="3:4" x14ac:dyDescent="0.3">
      <c r="C5287"/>
      <c r="D5287"/>
    </row>
    <row r="5288" spans="3:4" x14ac:dyDescent="0.3">
      <c r="C5288"/>
      <c r="D5288"/>
    </row>
    <row r="5289" spans="3:4" x14ac:dyDescent="0.3">
      <c r="C5289"/>
      <c r="D5289"/>
    </row>
    <row r="5290" spans="3:4" x14ac:dyDescent="0.3">
      <c r="C5290"/>
      <c r="D5290"/>
    </row>
    <row r="5291" spans="3:4" x14ac:dyDescent="0.3">
      <c r="C5291"/>
      <c r="D5291"/>
    </row>
    <row r="5292" spans="3:4" x14ac:dyDescent="0.3">
      <c r="C5292"/>
      <c r="D5292"/>
    </row>
    <row r="5293" spans="3:4" x14ac:dyDescent="0.3">
      <c r="C5293"/>
      <c r="D5293"/>
    </row>
    <row r="5294" spans="3:4" x14ac:dyDescent="0.3">
      <c r="C5294"/>
      <c r="D5294"/>
    </row>
    <row r="5295" spans="3:4" x14ac:dyDescent="0.3">
      <c r="C5295"/>
      <c r="D5295"/>
    </row>
    <row r="5296" spans="3:4" x14ac:dyDescent="0.3">
      <c r="C5296"/>
      <c r="D5296"/>
    </row>
    <row r="5297" spans="3:4" x14ac:dyDescent="0.3">
      <c r="C5297"/>
      <c r="D5297"/>
    </row>
    <row r="5298" spans="3:4" x14ac:dyDescent="0.3">
      <c r="C5298"/>
      <c r="D5298"/>
    </row>
    <row r="5299" spans="3:4" x14ac:dyDescent="0.3">
      <c r="C5299"/>
      <c r="D5299"/>
    </row>
    <row r="5300" spans="3:4" x14ac:dyDescent="0.3">
      <c r="C5300"/>
      <c r="D5300"/>
    </row>
    <row r="5301" spans="3:4" x14ac:dyDescent="0.3">
      <c r="C5301"/>
      <c r="D5301"/>
    </row>
    <row r="5302" spans="3:4" x14ac:dyDescent="0.3">
      <c r="C5302"/>
      <c r="D5302"/>
    </row>
    <row r="5303" spans="3:4" x14ac:dyDescent="0.3">
      <c r="C5303"/>
      <c r="D5303"/>
    </row>
    <row r="5304" spans="3:4" x14ac:dyDescent="0.3">
      <c r="C5304"/>
      <c r="D5304"/>
    </row>
    <row r="5305" spans="3:4" x14ac:dyDescent="0.3">
      <c r="C5305"/>
      <c r="D5305"/>
    </row>
    <row r="5306" spans="3:4" x14ac:dyDescent="0.3">
      <c r="C5306"/>
      <c r="D5306"/>
    </row>
    <row r="5307" spans="3:4" x14ac:dyDescent="0.3">
      <c r="C5307"/>
      <c r="D5307"/>
    </row>
    <row r="5308" spans="3:4" x14ac:dyDescent="0.3">
      <c r="C5308"/>
      <c r="D5308"/>
    </row>
    <row r="5309" spans="3:4" x14ac:dyDescent="0.3">
      <c r="C5309"/>
      <c r="D5309"/>
    </row>
    <row r="5310" spans="3:4" x14ac:dyDescent="0.3">
      <c r="C5310"/>
      <c r="D5310"/>
    </row>
    <row r="5311" spans="3:4" x14ac:dyDescent="0.3">
      <c r="C5311"/>
      <c r="D5311"/>
    </row>
    <row r="5312" spans="3:4" x14ac:dyDescent="0.3">
      <c r="C5312"/>
      <c r="D5312"/>
    </row>
    <row r="5313" spans="3:4" x14ac:dyDescent="0.3">
      <c r="C5313"/>
      <c r="D5313"/>
    </row>
    <row r="5314" spans="3:4" x14ac:dyDescent="0.3">
      <c r="C5314"/>
      <c r="D5314"/>
    </row>
    <row r="5315" spans="3:4" x14ac:dyDescent="0.3">
      <c r="C5315"/>
      <c r="D5315"/>
    </row>
    <row r="5316" spans="3:4" x14ac:dyDescent="0.3">
      <c r="C5316"/>
      <c r="D5316"/>
    </row>
    <row r="5317" spans="3:4" x14ac:dyDescent="0.3">
      <c r="C5317"/>
      <c r="D5317"/>
    </row>
    <row r="5318" spans="3:4" x14ac:dyDescent="0.3">
      <c r="C5318"/>
      <c r="D5318"/>
    </row>
    <row r="5319" spans="3:4" x14ac:dyDescent="0.3">
      <c r="C5319"/>
      <c r="D5319"/>
    </row>
    <row r="5320" spans="3:4" x14ac:dyDescent="0.3">
      <c r="C5320"/>
      <c r="D5320"/>
    </row>
    <row r="5321" spans="3:4" x14ac:dyDescent="0.3">
      <c r="C5321"/>
      <c r="D5321"/>
    </row>
    <row r="5322" spans="3:4" x14ac:dyDescent="0.3">
      <c r="C5322"/>
      <c r="D5322"/>
    </row>
    <row r="5323" spans="3:4" x14ac:dyDescent="0.3">
      <c r="C5323"/>
      <c r="D5323"/>
    </row>
    <row r="5324" spans="3:4" x14ac:dyDescent="0.3">
      <c r="C5324"/>
      <c r="D5324"/>
    </row>
    <row r="5325" spans="3:4" x14ac:dyDescent="0.3">
      <c r="C5325"/>
      <c r="D5325"/>
    </row>
    <row r="5326" spans="3:4" x14ac:dyDescent="0.3">
      <c r="C5326"/>
      <c r="D5326"/>
    </row>
    <row r="5327" spans="3:4" x14ac:dyDescent="0.3">
      <c r="C5327"/>
      <c r="D5327"/>
    </row>
    <row r="5328" spans="3:4" x14ac:dyDescent="0.3">
      <c r="C5328"/>
      <c r="D5328"/>
    </row>
    <row r="5329" spans="3:4" x14ac:dyDescent="0.3">
      <c r="C5329"/>
      <c r="D5329"/>
    </row>
    <row r="5330" spans="3:4" x14ac:dyDescent="0.3">
      <c r="C5330"/>
      <c r="D5330"/>
    </row>
    <row r="5331" spans="3:4" x14ac:dyDescent="0.3">
      <c r="C5331"/>
      <c r="D5331"/>
    </row>
    <row r="5332" spans="3:4" x14ac:dyDescent="0.3">
      <c r="C5332"/>
      <c r="D5332"/>
    </row>
    <row r="5333" spans="3:4" x14ac:dyDescent="0.3">
      <c r="C5333"/>
      <c r="D5333"/>
    </row>
    <row r="5334" spans="3:4" x14ac:dyDescent="0.3">
      <c r="C5334"/>
      <c r="D5334"/>
    </row>
    <row r="5335" spans="3:4" x14ac:dyDescent="0.3">
      <c r="C5335"/>
      <c r="D5335"/>
    </row>
    <row r="5336" spans="3:4" x14ac:dyDescent="0.3">
      <c r="C5336"/>
      <c r="D5336"/>
    </row>
    <row r="5337" spans="3:4" x14ac:dyDescent="0.3">
      <c r="C5337"/>
      <c r="D5337"/>
    </row>
    <row r="5338" spans="3:4" x14ac:dyDescent="0.3">
      <c r="C5338"/>
      <c r="D5338"/>
    </row>
    <row r="5339" spans="3:4" x14ac:dyDescent="0.3">
      <c r="C5339"/>
      <c r="D5339"/>
    </row>
    <row r="5340" spans="3:4" x14ac:dyDescent="0.3">
      <c r="C5340"/>
      <c r="D5340"/>
    </row>
    <row r="5341" spans="3:4" x14ac:dyDescent="0.3">
      <c r="C5341"/>
      <c r="D5341"/>
    </row>
    <row r="5342" spans="3:4" x14ac:dyDescent="0.3">
      <c r="C5342"/>
      <c r="D5342"/>
    </row>
    <row r="5343" spans="3:4" x14ac:dyDescent="0.3">
      <c r="C5343"/>
      <c r="D5343"/>
    </row>
    <row r="5344" spans="3:4" x14ac:dyDescent="0.3">
      <c r="C5344"/>
      <c r="D5344"/>
    </row>
    <row r="5345" spans="3:4" x14ac:dyDescent="0.3">
      <c r="C5345"/>
      <c r="D5345"/>
    </row>
    <row r="5346" spans="3:4" x14ac:dyDescent="0.3">
      <c r="C5346"/>
      <c r="D5346"/>
    </row>
    <row r="5347" spans="3:4" x14ac:dyDescent="0.3">
      <c r="C5347"/>
      <c r="D5347"/>
    </row>
    <row r="5348" spans="3:4" x14ac:dyDescent="0.3">
      <c r="C5348"/>
      <c r="D5348"/>
    </row>
    <row r="5349" spans="3:4" x14ac:dyDescent="0.3">
      <c r="C5349"/>
      <c r="D5349"/>
    </row>
    <row r="5350" spans="3:4" x14ac:dyDescent="0.3">
      <c r="C5350"/>
      <c r="D5350"/>
    </row>
    <row r="5351" spans="3:4" x14ac:dyDescent="0.3">
      <c r="C5351"/>
      <c r="D5351"/>
    </row>
    <row r="5352" spans="3:4" x14ac:dyDescent="0.3">
      <c r="C5352"/>
      <c r="D5352"/>
    </row>
    <row r="5353" spans="3:4" x14ac:dyDescent="0.3">
      <c r="C5353"/>
      <c r="D5353"/>
    </row>
    <row r="5354" spans="3:4" x14ac:dyDescent="0.3">
      <c r="C5354"/>
      <c r="D5354"/>
    </row>
    <row r="5355" spans="3:4" x14ac:dyDescent="0.3">
      <c r="C5355"/>
      <c r="D5355"/>
    </row>
    <row r="5356" spans="3:4" x14ac:dyDescent="0.3">
      <c r="C5356"/>
      <c r="D5356"/>
    </row>
    <row r="5357" spans="3:4" x14ac:dyDescent="0.3">
      <c r="C5357"/>
      <c r="D5357"/>
    </row>
    <row r="5358" spans="3:4" x14ac:dyDescent="0.3">
      <c r="C5358"/>
      <c r="D5358"/>
    </row>
    <row r="5359" spans="3:4" x14ac:dyDescent="0.3">
      <c r="C5359"/>
      <c r="D5359"/>
    </row>
    <row r="5360" spans="3:4" x14ac:dyDescent="0.3">
      <c r="C5360"/>
      <c r="D5360"/>
    </row>
    <row r="5361" spans="3:4" x14ac:dyDescent="0.3">
      <c r="C5361"/>
      <c r="D5361"/>
    </row>
    <row r="5362" spans="3:4" x14ac:dyDescent="0.3">
      <c r="C5362"/>
      <c r="D5362"/>
    </row>
    <row r="5363" spans="3:4" x14ac:dyDescent="0.3">
      <c r="C5363"/>
      <c r="D5363"/>
    </row>
    <row r="5364" spans="3:4" x14ac:dyDescent="0.3">
      <c r="C5364"/>
      <c r="D5364"/>
    </row>
    <row r="5365" spans="3:4" x14ac:dyDescent="0.3">
      <c r="C5365"/>
      <c r="D5365"/>
    </row>
    <row r="5366" spans="3:4" x14ac:dyDescent="0.3">
      <c r="C5366"/>
      <c r="D5366"/>
    </row>
    <row r="5367" spans="3:4" x14ac:dyDescent="0.3">
      <c r="C5367"/>
      <c r="D5367"/>
    </row>
    <row r="5368" spans="3:4" x14ac:dyDescent="0.3">
      <c r="C5368"/>
      <c r="D5368"/>
    </row>
    <row r="5369" spans="3:4" x14ac:dyDescent="0.3">
      <c r="C5369"/>
      <c r="D5369"/>
    </row>
    <row r="5370" spans="3:4" x14ac:dyDescent="0.3">
      <c r="C5370"/>
      <c r="D5370"/>
    </row>
    <row r="5371" spans="3:4" x14ac:dyDescent="0.3">
      <c r="C5371"/>
      <c r="D5371"/>
    </row>
    <row r="5372" spans="3:4" x14ac:dyDescent="0.3">
      <c r="C5372"/>
      <c r="D5372"/>
    </row>
    <row r="5373" spans="3:4" x14ac:dyDescent="0.3">
      <c r="C5373"/>
      <c r="D5373"/>
    </row>
    <row r="5374" spans="3:4" x14ac:dyDescent="0.3">
      <c r="C5374"/>
      <c r="D5374"/>
    </row>
    <row r="5375" spans="3:4" x14ac:dyDescent="0.3">
      <c r="C5375"/>
      <c r="D5375"/>
    </row>
    <row r="5376" spans="3:4" x14ac:dyDescent="0.3">
      <c r="C5376"/>
      <c r="D5376"/>
    </row>
    <row r="5377" spans="3:4" x14ac:dyDescent="0.3">
      <c r="C5377"/>
      <c r="D5377"/>
    </row>
    <row r="5378" spans="3:4" x14ac:dyDescent="0.3">
      <c r="C5378"/>
      <c r="D5378"/>
    </row>
    <row r="5379" spans="3:4" x14ac:dyDescent="0.3">
      <c r="C5379"/>
      <c r="D5379"/>
    </row>
    <row r="5380" spans="3:4" x14ac:dyDescent="0.3">
      <c r="C5380"/>
      <c r="D5380"/>
    </row>
    <row r="5381" spans="3:4" x14ac:dyDescent="0.3">
      <c r="C5381"/>
      <c r="D5381"/>
    </row>
    <row r="5382" spans="3:4" x14ac:dyDescent="0.3">
      <c r="C5382"/>
      <c r="D5382"/>
    </row>
    <row r="5383" spans="3:4" x14ac:dyDescent="0.3">
      <c r="C5383"/>
      <c r="D5383"/>
    </row>
    <row r="5384" spans="3:4" x14ac:dyDescent="0.3">
      <c r="C5384"/>
      <c r="D5384"/>
    </row>
    <row r="5385" spans="3:4" x14ac:dyDescent="0.3">
      <c r="C5385"/>
      <c r="D5385"/>
    </row>
    <row r="5386" spans="3:4" x14ac:dyDescent="0.3">
      <c r="C5386"/>
      <c r="D5386"/>
    </row>
    <row r="5387" spans="3:4" x14ac:dyDescent="0.3">
      <c r="C5387"/>
      <c r="D5387"/>
    </row>
    <row r="5388" spans="3:4" x14ac:dyDescent="0.3">
      <c r="C5388"/>
      <c r="D5388"/>
    </row>
    <row r="5389" spans="3:4" x14ac:dyDescent="0.3">
      <c r="C5389"/>
      <c r="D5389"/>
    </row>
    <row r="5390" spans="3:4" x14ac:dyDescent="0.3">
      <c r="C5390"/>
      <c r="D5390"/>
    </row>
    <row r="5391" spans="3:4" x14ac:dyDescent="0.3">
      <c r="C5391"/>
      <c r="D5391"/>
    </row>
    <row r="5392" spans="3:4" x14ac:dyDescent="0.3">
      <c r="C5392"/>
      <c r="D5392"/>
    </row>
    <row r="5393" spans="3:4" x14ac:dyDescent="0.3">
      <c r="C5393"/>
      <c r="D5393"/>
    </row>
    <row r="5394" spans="3:4" x14ac:dyDescent="0.3">
      <c r="C5394"/>
      <c r="D5394"/>
    </row>
    <row r="5395" spans="3:4" x14ac:dyDescent="0.3">
      <c r="C5395"/>
      <c r="D5395"/>
    </row>
    <row r="5396" spans="3:4" x14ac:dyDescent="0.3">
      <c r="C5396"/>
      <c r="D5396"/>
    </row>
    <row r="5397" spans="3:4" x14ac:dyDescent="0.3">
      <c r="C5397"/>
      <c r="D5397"/>
    </row>
    <row r="5398" spans="3:4" x14ac:dyDescent="0.3">
      <c r="C5398"/>
      <c r="D5398"/>
    </row>
    <row r="5399" spans="3:4" x14ac:dyDescent="0.3">
      <c r="C5399"/>
      <c r="D5399"/>
    </row>
    <row r="5400" spans="3:4" x14ac:dyDescent="0.3">
      <c r="C5400"/>
      <c r="D5400"/>
    </row>
    <row r="5401" spans="3:4" x14ac:dyDescent="0.3">
      <c r="C5401"/>
      <c r="D5401"/>
    </row>
    <row r="5402" spans="3:4" x14ac:dyDescent="0.3">
      <c r="C5402"/>
      <c r="D5402"/>
    </row>
    <row r="5403" spans="3:4" x14ac:dyDescent="0.3">
      <c r="C5403"/>
      <c r="D5403"/>
    </row>
    <row r="5404" spans="3:4" x14ac:dyDescent="0.3">
      <c r="C5404"/>
      <c r="D5404"/>
    </row>
    <row r="5405" spans="3:4" x14ac:dyDescent="0.3">
      <c r="C5405"/>
      <c r="D5405"/>
    </row>
    <row r="5406" spans="3:4" x14ac:dyDescent="0.3">
      <c r="C5406"/>
      <c r="D5406"/>
    </row>
    <row r="5407" spans="3:4" x14ac:dyDescent="0.3">
      <c r="C5407"/>
      <c r="D5407"/>
    </row>
    <row r="5408" spans="3:4" x14ac:dyDescent="0.3">
      <c r="C5408"/>
      <c r="D5408"/>
    </row>
    <row r="5409" spans="3:4" x14ac:dyDescent="0.3">
      <c r="C5409"/>
      <c r="D5409"/>
    </row>
    <row r="5410" spans="3:4" x14ac:dyDescent="0.3">
      <c r="C5410"/>
      <c r="D5410"/>
    </row>
    <row r="5411" spans="3:4" x14ac:dyDescent="0.3">
      <c r="C5411"/>
      <c r="D5411"/>
    </row>
    <row r="5412" spans="3:4" x14ac:dyDescent="0.3">
      <c r="C5412"/>
      <c r="D5412"/>
    </row>
    <row r="5413" spans="3:4" x14ac:dyDescent="0.3">
      <c r="C5413"/>
      <c r="D5413"/>
    </row>
    <row r="5414" spans="3:4" x14ac:dyDescent="0.3">
      <c r="C5414"/>
      <c r="D5414"/>
    </row>
    <row r="5415" spans="3:4" x14ac:dyDescent="0.3">
      <c r="C5415"/>
      <c r="D5415"/>
    </row>
    <row r="5416" spans="3:4" x14ac:dyDescent="0.3">
      <c r="C5416"/>
      <c r="D5416"/>
    </row>
    <row r="5417" spans="3:4" x14ac:dyDescent="0.3">
      <c r="C5417"/>
      <c r="D5417"/>
    </row>
    <row r="5418" spans="3:4" x14ac:dyDescent="0.3">
      <c r="C5418"/>
      <c r="D5418"/>
    </row>
    <row r="5419" spans="3:4" x14ac:dyDescent="0.3">
      <c r="C5419"/>
      <c r="D5419"/>
    </row>
    <row r="5420" spans="3:4" x14ac:dyDescent="0.3">
      <c r="C5420"/>
      <c r="D5420"/>
    </row>
    <row r="5421" spans="3:4" x14ac:dyDescent="0.3">
      <c r="C5421"/>
      <c r="D5421"/>
    </row>
    <row r="5422" spans="3:4" x14ac:dyDescent="0.3">
      <c r="C5422"/>
      <c r="D5422"/>
    </row>
    <row r="5423" spans="3:4" x14ac:dyDescent="0.3">
      <c r="C5423"/>
      <c r="D5423"/>
    </row>
    <row r="5424" spans="3:4" x14ac:dyDescent="0.3">
      <c r="C5424"/>
      <c r="D5424"/>
    </row>
    <row r="5425" spans="3:4" x14ac:dyDescent="0.3">
      <c r="C5425"/>
      <c r="D5425"/>
    </row>
    <row r="5426" spans="3:4" x14ac:dyDescent="0.3">
      <c r="C5426"/>
      <c r="D5426"/>
    </row>
    <row r="5427" spans="3:4" x14ac:dyDescent="0.3">
      <c r="C5427"/>
      <c r="D5427"/>
    </row>
    <row r="5428" spans="3:4" x14ac:dyDescent="0.3">
      <c r="C5428"/>
      <c r="D5428"/>
    </row>
    <row r="5429" spans="3:4" x14ac:dyDescent="0.3">
      <c r="C5429"/>
      <c r="D5429"/>
    </row>
    <row r="5430" spans="3:4" x14ac:dyDescent="0.3">
      <c r="C5430"/>
      <c r="D5430"/>
    </row>
    <row r="5431" spans="3:4" x14ac:dyDescent="0.3">
      <c r="C5431"/>
      <c r="D5431"/>
    </row>
    <row r="5432" spans="3:4" x14ac:dyDescent="0.3">
      <c r="C5432"/>
      <c r="D5432"/>
    </row>
    <row r="5433" spans="3:4" x14ac:dyDescent="0.3">
      <c r="C5433"/>
      <c r="D5433"/>
    </row>
    <row r="5434" spans="3:4" x14ac:dyDescent="0.3">
      <c r="C5434"/>
      <c r="D5434"/>
    </row>
    <row r="5435" spans="3:4" x14ac:dyDescent="0.3">
      <c r="C5435"/>
      <c r="D5435"/>
    </row>
    <row r="5436" spans="3:4" x14ac:dyDescent="0.3">
      <c r="C5436"/>
      <c r="D5436"/>
    </row>
    <row r="5437" spans="3:4" x14ac:dyDescent="0.3">
      <c r="C5437"/>
      <c r="D5437"/>
    </row>
    <row r="5438" spans="3:4" x14ac:dyDescent="0.3">
      <c r="C5438"/>
      <c r="D5438"/>
    </row>
    <row r="5439" spans="3:4" x14ac:dyDescent="0.3">
      <c r="C5439"/>
      <c r="D5439"/>
    </row>
    <row r="5440" spans="3:4" x14ac:dyDescent="0.3">
      <c r="C5440"/>
      <c r="D5440"/>
    </row>
    <row r="5441" spans="3:4" x14ac:dyDescent="0.3">
      <c r="C5441"/>
      <c r="D5441"/>
    </row>
    <row r="5442" spans="3:4" x14ac:dyDescent="0.3">
      <c r="C5442"/>
      <c r="D5442"/>
    </row>
    <row r="5443" spans="3:4" x14ac:dyDescent="0.3">
      <c r="C5443"/>
      <c r="D5443"/>
    </row>
    <row r="5444" spans="3:4" x14ac:dyDescent="0.3">
      <c r="C5444"/>
      <c r="D5444"/>
    </row>
    <row r="5445" spans="3:4" x14ac:dyDescent="0.3">
      <c r="C5445"/>
      <c r="D5445"/>
    </row>
    <row r="5446" spans="3:4" x14ac:dyDescent="0.3">
      <c r="C5446"/>
      <c r="D5446"/>
    </row>
    <row r="5447" spans="3:4" x14ac:dyDescent="0.3">
      <c r="C5447"/>
      <c r="D5447"/>
    </row>
    <row r="5448" spans="3:4" x14ac:dyDescent="0.3">
      <c r="C5448"/>
      <c r="D5448"/>
    </row>
    <row r="5449" spans="3:4" x14ac:dyDescent="0.3">
      <c r="C5449"/>
      <c r="D5449"/>
    </row>
    <row r="5450" spans="3:4" x14ac:dyDescent="0.3">
      <c r="C5450"/>
      <c r="D5450"/>
    </row>
    <row r="5451" spans="3:4" x14ac:dyDescent="0.3">
      <c r="C5451"/>
      <c r="D5451"/>
    </row>
    <row r="5452" spans="3:4" x14ac:dyDescent="0.3">
      <c r="C5452"/>
      <c r="D5452"/>
    </row>
    <row r="5453" spans="3:4" x14ac:dyDescent="0.3">
      <c r="C5453"/>
      <c r="D5453"/>
    </row>
    <row r="5454" spans="3:4" x14ac:dyDescent="0.3">
      <c r="C5454"/>
      <c r="D5454"/>
    </row>
    <row r="5455" spans="3:4" x14ac:dyDescent="0.3">
      <c r="C5455"/>
      <c r="D5455"/>
    </row>
    <row r="5456" spans="3:4" x14ac:dyDescent="0.3">
      <c r="C5456"/>
      <c r="D5456"/>
    </row>
    <row r="5457" spans="3:4" x14ac:dyDescent="0.3">
      <c r="C5457"/>
      <c r="D5457"/>
    </row>
    <row r="5458" spans="3:4" x14ac:dyDescent="0.3">
      <c r="C5458"/>
      <c r="D5458"/>
    </row>
    <row r="5459" spans="3:4" x14ac:dyDescent="0.3">
      <c r="C5459"/>
      <c r="D5459"/>
    </row>
    <row r="5460" spans="3:4" x14ac:dyDescent="0.3">
      <c r="C5460"/>
      <c r="D5460"/>
    </row>
    <row r="5461" spans="3:4" x14ac:dyDescent="0.3">
      <c r="C5461"/>
      <c r="D5461"/>
    </row>
    <row r="5462" spans="3:4" x14ac:dyDescent="0.3">
      <c r="C5462"/>
      <c r="D5462"/>
    </row>
    <row r="5463" spans="3:4" x14ac:dyDescent="0.3">
      <c r="C5463"/>
      <c r="D5463"/>
    </row>
    <row r="5464" spans="3:4" x14ac:dyDescent="0.3">
      <c r="C5464"/>
      <c r="D5464"/>
    </row>
    <row r="5465" spans="3:4" x14ac:dyDescent="0.3">
      <c r="C5465"/>
      <c r="D5465"/>
    </row>
    <row r="5466" spans="3:4" x14ac:dyDescent="0.3">
      <c r="C5466"/>
      <c r="D5466"/>
    </row>
    <row r="5467" spans="3:4" x14ac:dyDescent="0.3">
      <c r="C5467"/>
      <c r="D5467"/>
    </row>
    <row r="5468" spans="3:4" x14ac:dyDescent="0.3">
      <c r="C5468"/>
      <c r="D5468"/>
    </row>
    <row r="5469" spans="3:4" x14ac:dyDescent="0.3">
      <c r="C5469"/>
      <c r="D5469"/>
    </row>
    <row r="5470" spans="3:4" x14ac:dyDescent="0.3">
      <c r="C5470"/>
      <c r="D5470"/>
    </row>
    <row r="5471" spans="3:4" x14ac:dyDescent="0.3">
      <c r="C5471"/>
      <c r="D5471"/>
    </row>
    <row r="5472" spans="3:4" x14ac:dyDescent="0.3">
      <c r="C5472"/>
      <c r="D5472"/>
    </row>
    <row r="5473" spans="3:4" x14ac:dyDescent="0.3">
      <c r="C5473"/>
      <c r="D5473"/>
    </row>
    <row r="5474" spans="3:4" x14ac:dyDescent="0.3">
      <c r="C5474"/>
      <c r="D5474"/>
    </row>
    <row r="5475" spans="3:4" x14ac:dyDescent="0.3">
      <c r="C5475"/>
      <c r="D5475"/>
    </row>
    <row r="5476" spans="3:4" x14ac:dyDescent="0.3">
      <c r="C5476"/>
      <c r="D5476"/>
    </row>
    <row r="5477" spans="3:4" x14ac:dyDescent="0.3">
      <c r="C5477"/>
      <c r="D5477"/>
    </row>
    <row r="5478" spans="3:4" x14ac:dyDescent="0.3">
      <c r="C5478"/>
      <c r="D5478"/>
    </row>
    <row r="5479" spans="3:4" x14ac:dyDescent="0.3">
      <c r="C5479"/>
      <c r="D5479"/>
    </row>
    <row r="5480" spans="3:4" x14ac:dyDescent="0.3">
      <c r="C5480"/>
      <c r="D5480"/>
    </row>
    <row r="5481" spans="3:4" x14ac:dyDescent="0.3">
      <c r="C5481"/>
      <c r="D5481"/>
    </row>
    <row r="5482" spans="3:4" x14ac:dyDescent="0.3">
      <c r="C5482"/>
      <c r="D5482"/>
    </row>
    <row r="5483" spans="3:4" x14ac:dyDescent="0.3">
      <c r="C5483"/>
      <c r="D5483"/>
    </row>
    <row r="5484" spans="3:4" x14ac:dyDescent="0.3">
      <c r="C5484"/>
      <c r="D5484"/>
    </row>
    <row r="5485" spans="3:4" x14ac:dyDescent="0.3">
      <c r="C5485"/>
      <c r="D5485"/>
    </row>
    <row r="5486" spans="3:4" x14ac:dyDescent="0.3">
      <c r="C5486"/>
      <c r="D5486"/>
    </row>
    <row r="5487" spans="3:4" x14ac:dyDescent="0.3">
      <c r="C5487"/>
      <c r="D5487"/>
    </row>
    <row r="5488" spans="3:4" x14ac:dyDescent="0.3">
      <c r="C5488"/>
      <c r="D5488"/>
    </row>
    <row r="5489" spans="3:4" x14ac:dyDescent="0.3">
      <c r="C5489"/>
      <c r="D5489"/>
    </row>
    <row r="5490" spans="3:4" x14ac:dyDescent="0.3">
      <c r="C5490"/>
      <c r="D5490"/>
    </row>
    <row r="5491" spans="3:4" x14ac:dyDescent="0.3">
      <c r="C5491"/>
      <c r="D5491"/>
    </row>
    <row r="5492" spans="3:4" x14ac:dyDescent="0.3">
      <c r="C5492"/>
      <c r="D5492"/>
    </row>
    <row r="5493" spans="3:4" x14ac:dyDescent="0.3">
      <c r="C5493"/>
      <c r="D5493"/>
    </row>
    <row r="5494" spans="3:4" x14ac:dyDescent="0.3">
      <c r="C5494"/>
      <c r="D5494"/>
    </row>
    <row r="5495" spans="3:4" x14ac:dyDescent="0.3">
      <c r="C5495"/>
      <c r="D5495"/>
    </row>
    <row r="5496" spans="3:4" x14ac:dyDescent="0.3">
      <c r="C5496"/>
      <c r="D5496"/>
    </row>
    <row r="5497" spans="3:4" x14ac:dyDescent="0.3">
      <c r="C5497"/>
      <c r="D5497"/>
    </row>
    <row r="5498" spans="3:4" x14ac:dyDescent="0.3">
      <c r="C5498"/>
      <c r="D5498"/>
    </row>
    <row r="5499" spans="3:4" x14ac:dyDescent="0.3">
      <c r="C5499"/>
      <c r="D5499"/>
    </row>
    <row r="5500" spans="3:4" x14ac:dyDescent="0.3">
      <c r="C5500"/>
      <c r="D5500"/>
    </row>
    <row r="5501" spans="3:4" x14ac:dyDescent="0.3">
      <c r="C5501"/>
      <c r="D5501"/>
    </row>
    <row r="5502" spans="3:4" x14ac:dyDescent="0.3">
      <c r="C5502"/>
      <c r="D5502"/>
    </row>
    <row r="5503" spans="3:4" x14ac:dyDescent="0.3">
      <c r="C5503"/>
      <c r="D5503"/>
    </row>
    <row r="5504" spans="3:4" x14ac:dyDescent="0.3">
      <c r="C5504"/>
      <c r="D5504"/>
    </row>
    <row r="5505" spans="3:4" x14ac:dyDescent="0.3">
      <c r="C5505"/>
      <c r="D5505"/>
    </row>
    <row r="5506" spans="3:4" x14ac:dyDescent="0.3">
      <c r="C5506"/>
      <c r="D5506"/>
    </row>
    <row r="5507" spans="3:4" x14ac:dyDescent="0.3">
      <c r="C5507"/>
      <c r="D5507"/>
    </row>
    <row r="5508" spans="3:4" x14ac:dyDescent="0.3">
      <c r="C5508"/>
      <c r="D5508"/>
    </row>
    <row r="5509" spans="3:4" x14ac:dyDescent="0.3">
      <c r="C5509"/>
      <c r="D5509"/>
    </row>
    <row r="5510" spans="3:4" x14ac:dyDescent="0.3">
      <c r="C5510"/>
      <c r="D5510"/>
    </row>
    <row r="5511" spans="3:4" x14ac:dyDescent="0.3">
      <c r="C5511"/>
      <c r="D5511"/>
    </row>
    <row r="5512" spans="3:4" x14ac:dyDescent="0.3">
      <c r="C5512"/>
      <c r="D5512"/>
    </row>
    <row r="5513" spans="3:4" x14ac:dyDescent="0.3">
      <c r="C5513"/>
      <c r="D5513"/>
    </row>
    <row r="5514" spans="3:4" x14ac:dyDescent="0.3">
      <c r="C5514"/>
      <c r="D5514"/>
    </row>
    <row r="5515" spans="3:4" x14ac:dyDescent="0.3">
      <c r="C5515"/>
      <c r="D5515"/>
    </row>
    <row r="5516" spans="3:4" x14ac:dyDescent="0.3">
      <c r="C5516"/>
      <c r="D5516"/>
    </row>
    <row r="5517" spans="3:4" x14ac:dyDescent="0.3">
      <c r="C5517"/>
      <c r="D5517"/>
    </row>
    <row r="5518" spans="3:4" x14ac:dyDescent="0.3">
      <c r="C5518"/>
      <c r="D5518"/>
    </row>
    <row r="5519" spans="3:4" x14ac:dyDescent="0.3">
      <c r="C5519"/>
      <c r="D5519"/>
    </row>
    <row r="5520" spans="3:4" x14ac:dyDescent="0.3">
      <c r="C5520"/>
      <c r="D5520"/>
    </row>
    <row r="5521" spans="3:4" x14ac:dyDescent="0.3">
      <c r="C5521"/>
      <c r="D5521"/>
    </row>
    <row r="5522" spans="3:4" x14ac:dyDescent="0.3">
      <c r="C5522"/>
      <c r="D5522"/>
    </row>
    <row r="5523" spans="3:4" x14ac:dyDescent="0.3">
      <c r="C5523"/>
      <c r="D5523"/>
    </row>
    <row r="5524" spans="3:4" x14ac:dyDescent="0.3">
      <c r="C5524"/>
      <c r="D5524"/>
    </row>
    <row r="5525" spans="3:4" x14ac:dyDescent="0.3">
      <c r="C5525"/>
      <c r="D5525"/>
    </row>
    <row r="5526" spans="3:4" x14ac:dyDescent="0.3">
      <c r="C5526"/>
      <c r="D5526"/>
    </row>
    <row r="5527" spans="3:4" x14ac:dyDescent="0.3">
      <c r="C5527"/>
      <c r="D5527"/>
    </row>
    <row r="5528" spans="3:4" x14ac:dyDescent="0.3">
      <c r="C5528"/>
      <c r="D5528"/>
    </row>
    <row r="5529" spans="3:4" x14ac:dyDescent="0.3">
      <c r="C5529"/>
      <c r="D5529"/>
    </row>
    <row r="5530" spans="3:4" x14ac:dyDescent="0.3">
      <c r="C5530"/>
      <c r="D5530"/>
    </row>
    <row r="5531" spans="3:4" x14ac:dyDescent="0.3">
      <c r="C5531"/>
      <c r="D5531"/>
    </row>
    <row r="5532" spans="3:4" x14ac:dyDescent="0.3">
      <c r="C5532"/>
      <c r="D5532"/>
    </row>
    <row r="5533" spans="3:4" x14ac:dyDescent="0.3">
      <c r="C5533"/>
      <c r="D5533"/>
    </row>
    <row r="5534" spans="3:4" x14ac:dyDescent="0.3">
      <c r="C5534"/>
      <c r="D5534"/>
    </row>
    <row r="5535" spans="3:4" x14ac:dyDescent="0.3">
      <c r="C5535"/>
      <c r="D5535"/>
    </row>
    <row r="5536" spans="3:4" x14ac:dyDescent="0.3">
      <c r="C5536"/>
      <c r="D5536"/>
    </row>
    <row r="5537" spans="3:4" x14ac:dyDescent="0.3">
      <c r="C5537"/>
      <c r="D5537"/>
    </row>
    <row r="5538" spans="3:4" x14ac:dyDescent="0.3">
      <c r="C5538"/>
      <c r="D5538"/>
    </row>
    <row r="5539" spans="3:4" x14ac:dyDescent="0.3">
      <c r="C5539"/>
      <c r="D5539"/>
    </row>
    <row r="5540" spans="3:4" x14ac:dyDescent="0.3">
      <c r="C5540"/>
      <c r="D5540"/>
    </row>
    <row r="5541" spans="3:4" x14ac:dyDescent="0.3">
      <c r="C5541"/>
      <c r="D5541"/>
    </row>
    <row r="5542" spans="3:4" x14ac:dyDescent="0.3">
      <c r="C5542"/>
      <c r="D5542"/>
    </row>
    <row r="5543" spans="3:4" x14ac:dyDescent="0.3">
      <c r="C5543"/>
      <c r="D5543"/>
    </row>
    <row r="5544" spans="3:4" x14ac:dyDescent="0.3">
      <c r="C5544"/>
      <c r="D5544"/>
    </row>
    <row r="5545" spans="3:4" x14ac:dyDescent="0.3">
      <c r="C5545"/>
      <c r="D5545"/>
    </row>
    <row r="5546" spans="3:4" x14ac:dyDescent="0.3">
      <c r="C5546"/>
      <c r="D5546"/>
    </row>
    <row r="5547" spans="3:4" x14ac:dyDescent="0.3">
      <c r="C5547"/>
      <c r="D5547"/>
    </row>
    <row r="5548" spans="3:4" x14ac:dyDescent="0.3">
      <c r="C5548"/>
      <c r="D5548"/>
    </row>
    <row r="5549" spans="3:4" x14ac:dyDescent="0.3">
      <c r="C5549"/>
      <c r="D5549"/>
    </row>
    <row r="5550" spans="3:4" x14ac:dyDescent="0.3">
      <c r="C5550"/>
      <c r="D5550"/>
    </row>
    <row r="5551" spans="3:4" x14ac:dyDescent="0.3">
      <c r="C5551"/>
      <c r="D5551"/>
    </row>
    <row r="5552" spans="3:4" x14ac:dyDescent="0.3">
      <c r="C5552"/>
      <c r="D5552"/>
    </row>
    <row r="5553" spans="3:4" x14ac:dyDescent="0.3">
      <c r="C5553"/>
      <c r="D5553"/>
    </row>
    <row r="5554" spans="3:4" x14ac:dyDescent="0.3">
      <c r="C5554"/>
      <c r="D5554"/>
    </row>
    <row r="5555" spans="3:4" x14ac:dyDescent="0.3">
      <c r="C5555"/>
      <c r="D5555"/>
    </row>
    <row r="5556" spans="3:4" x14ac:dyDescent="0.3">
      <c r="C5556"/>
      <c r="D5556"/>
    </row>
    <row r="5557" spans="3:4" x14ac:dyDescent="0.3">
      <c r="C5557"/>
      <c r="D5557"/>
    </row>
    <row r="5558" spans="3:4" x14ac:dyDescent="0.3">
      <c r="C5558"/>
      <c r="D5558"/>
    </row>
    <row r="5559" spans="3:4" x14ac:dyDescent="0.3">
      <c r="C5559"/>
      <c r="D5559"/>
    </row>
    <row r="5560" spans="3:4" x14ac:dyDescent="0.3">
      <c r="C5560"/>
      <c r="D5560"/>
    </row>
    <row r="5561" spans="3:4" x14ac:dyDescent="0.3">
      <c r="C5561"/>
      <c r="D5561"/>
    </row>
    <row r="5562" spans="3:4" x14ac:dyDescent="0.3">
      <c r="C5562"/>
      <c r="D5562"/>
    </row>
    <row r="5563" spans="3:4" x14ac:dyDescent="0.3">
      <c r="C5563"/>
      <c r="D5563"/>
    </row>
    <row r="5564" spans="3:4" x14ac:dyDescent="0.3">
      <c r="C5564"/>
      <c r="D5564"/>
    </row>
    <row r="5565" spans="3:4" x14ac:dyDescent="0.3">
      <c r="C5565"/>
      <c r="D5565"/>
    </row>
    <row r="5566" spans="3:4" x14ac:dyDescent="0.3">
      <c r="C5566"/>
      <c r="D5566"/>
    </row>
    <row r="5567" spans="3:4" x14ac:dyDescent="0.3">
      <c r="C5567"/>
      <c r="D5567"/>
    </row>
    <row r="5568" spans="3:4" x14ac:dyDescent="0.3">
      <c r="C5568"/>
      <c r="D5568"/>
    </row>
    <row r="5569" spans="3:4" x14ac:dyDescent="0.3">
      <c r="C5569"/>
      <c r="D5569"/>
    </row>
    <row r="5570" spans="3:4" x14ac:dyDescent="0.3">
      <c r="C5570"/>
      <c r="D5570"/>
    </row>
    <row r="5571" spans="3:4" x14ac:dyDescent="0.3">
      <c r="C5571"/>
      <c r="D5571"/>
    </row>
    <row r="5572" spans="3:4" x14ac:dyDescent="0.3">
      <c r="C5572"/>
      <c r="D5572"/>
    </row>
    <row r="5573" spans="3:4" x14ac:dyDescent="0.3">
      <c r="C5573"/>
      <c r="D5573"/>
    </row>
    <row r="5574" spans="3:4" x14ac:dyDescent="0.3">
      <c r="C5574"/>
      <c r="D5574"/>
    </row>
    <row r="5575" spans="3:4" x14ac:dyDescent="0.3">
      <c r="C5575"/>
      <c r="D5575"/>
    </row>
    <row r="5576" spans="3:4" x14ac:dyDescent="0.3">
      <c r="C5576"/>
      <c r="D5576"/>
    </row>
    <row r="5577" spans="3:4" x14ac:dyDescent="0.3">
      <c r="C5577"/>
      <c r="D5577"/>
    </row>
    <row r="5578" spans="3:4" x14ac:dyDescent="0.3">
      <c r="C5578"/>
      <c r="D5578"/>
    </row>
    <row r="5579" spans="3:4" x14ac:dyDescent="0.3">
      <c r="C5579"/>
      <c r="D5579"/>
    </row>
    <row r="5580" spans="3:4" x14ac:dyDescent="0.3">
      <c r="C5580"/>
      <c r="D5580"/>
    </row>
    <row r="5581" spans="3:4" x14ac:dyDescent="0.3">
      <c r="C5581"/>
      <c r="D5581"/>
    </row>
    <row r="5582" spans="3:4" x14ac:dyDescent="0.3">
      <c r="C5582"/>
      <c r="D5582"/>
    </row>
    <row r="5583" spans="3:4" x14ac:dyDescent="0.3">
      <c r="C5583"/>
      <c r="D5583"/>
    </row>
    <row r="5584" spans="3:4" x14ac:dyDescent="0.3">
      <c r="C5584"/>
      <c r="D5584"/>
    </row>
    <row r="5585" spans="3:4" x14ac:dyDescent="0.3">
      <c r="C5585"/>
      <c r="D5585"/>
    </row>
    <row r="5586" spans="3:4" x14ac:dyDescent="0.3">
      <c r="C5586"/>
      <c r="D5586"/>
    </row>
    <row r="5587" spans="3:4" x14ac:dyDescent="0.3">
      <c r="C5587"/>
      <c r="D5587"/>
    </row>
    <row r="5588" spans="3:4" x14ac:dyDescent="0.3">
      <c r="C5588"/>
      <c r="D5588"/>
    </row>
    <row r="5589" spans="3:4" x14ac:dyDescent="0.3">
      <c r="C5589"/>
      <c r="D5589"/>
    </row>
    <row r="5590" spans="3:4" x14ac:dyDescent="0.3">
      <c r="C5590"/>
      <c r="D5590"/>
    </row>
    <row r="5591" spans="3:4" x14ac:dyDescent="0.3">
      <c r="C5591"/>
      <c r="D5591"/>
    </row>
    <row r="5592" spans="3:4" x14ac:dyDescent="0.3">
      <c r="C5592"/>
      <c r="D5592"/>
    </row>
    <row r="5593" spans="3:4" x14ac:dyDescent="0.3">
      <c r="C5593"/>
      <c r="D5593"/>
    </row>
    <row r="5594" spans="3:4" x14ac:dyDescent="0.3">
      <c r="C5594"/>
      <c r="D5594"/>
    </row>
    <row r="5595" spans="3:4" x14ac:dyDescent="0.3">
      <c r="C5595"/>
      <c r="D5595"/>
    </row>
    <row r="5596" spans="3:4" x14ac:dyDescent="0.3">
      <c r="C5596"/>
      <c r="D5596"/>
    </row>
    <row r="5597" spans="3:4" x14ac:dyDescent="0.3">
      <c r="C5597"/>
      <c r="D5597"/>
    </row>
    <row r="5598" spans="3:4" x14ac:dyDescent="0.3">
      <c r="C5598"/>
      <c r="D5598"/>
    </row>
    <row r="5599" spans="3:4" x14ac:dyDescent="0.3">
      <c r="C5599"/>
      <c r="D5599"/>
    </row>
    <row r="5600" spans="3:4" x14ac:dyDescent="0.3">
      <c r="C5600"/>
      <c r="D5600"/>
    </row>
    <row r="5601" spans="3:4" x14ac:dyDescent="0.3">
      <c r="C5601"/>
      <c r="D5601"/>
    </row>
    <row r="5602" spans="3:4" x14ac:dyDescent="0.3">
      <c r="C5602"/>
      <c r="D5602"/>
    </row>
    <row r="5603" spans="3:4" x14ac:dyDescent="0.3">
      <c r="C5603"/>
      <c r="D5603"/>
    </row>
    <row r="5604" spans="3:4" x14ac:dyDescent="0.3">
      <c r="C5604"/>
      <c r="D5604"/>
    </row>
    <row r="5605" spans="3:4" x14ac:dyDescent="0.3">
      <c r="C5605"/>
      <c r="D5605"/>
    </row>
    <row r="5606" spans="3:4" x14ac:dyDescent="0.3">
      <c r="C5606"/>
      <c r="D5606"/>
    </row>
    <row r="5607" spans="3:4" x14ac:dyDescent="0.3">
      <c r="C5607"/>
      <c r="D5607"/>
    </row>
    <row r="5608" spans="3:4" x14ac:dyDescent="0.3">
      <c r="C5608"/>
      <c r="D5608"/>
    </row>
    <row r="5609" spans="3:4" x14ac:dyDescent="0.3">
      <c r="C5609"/>
      <c r="D5609"/>
    </row>
    <row r="5610" spans="3:4" x14ac:dyDescent="0.3">
      <c r="C5610"/>
      <c r="D5610"/>
    </row>
    <row r="5611" spans="3:4" x14ac:dyDescent="0.3">
      <c r="C5611"/>
      <c r="D5611"/>
    </row>
    <row r="5612" spans="3:4" x14ac:dyDescent="0.3">
      <c r="C5612"/>
      <c r="D5612"/>
    </row>
    <row r="5613" spans="3:4" x14ac:dyDescent="0.3">
      <c r="C5613"/>
      <c r="D5613"/>
    </row>
    <row r="5614" spans="3:4" x14ac:dyDescent="0.3">
      <c r="C5614"/>
      <c r="D5614"/>
    </row>
    <row r="5615" spans="3:4" x14ac:dyDescent="0.3">
      <c r="C5615"/>
      <c r="D5615"/>
    </row>
    <row r="5616" spans="3:4" x14ac:dyDescent="0.3">
      <c r="C5616"/>
      <c r="D5616"/>
    </row>
    <row r="5617" spans="3:4" x14ac:dyDescent="0.3">
      <c r="C5617"/>
      <c r="D5617"/>
    </row>
    <row r="5618" spans="3:4" x14ac:dyDescent="0.3">
      <c r="C5618"/>
      <c r="D5618"/>
    </row>
    <row r="5619" spans="3:4" x14ac:dyDescent="0.3">
      <c r="C5619"/>
      <c r="D5619"/>
    </row>
    <row r="5620" spans="3:4" x14ac:dyDescent="0.3">
      <c r="C5620"/>
      <c r="D5620"/>
    </row>
    <row r="5621" spans="3:4" x14ac:dyDescent="0.3">
      <c r="C5621"/>
      <c r="D5621"/>
    </row>
    <row r="5622" spans="3:4" x14ac:dyDescent="0.3">
      <c r="C5622"/>
      <c r="D5622"/>
    </row>
    <row r="5623" spans="3:4" x14ac:dyDescent="0.3">
      <c r="C5623"/>
      <c r="D5623"/>
    </row>
    <row r="5624" spans="3:4" x14ac:dyDescent="0.3">
      <c r="C5624"/>
      <c r="D5624"/>
    </row>
    <row r="5625" spans="3:4" x14ac:dyDescent="0.3">
      <c r="C5625"/>
      <c r="D5625"/>
    </row>
    <row r="5626" spans="3:4" x14ac:dyDescent="0.3">
      <c r="C5626"/>
      <c r="D5626"/>
    </row>
    <row r="5627" spans="3:4" x14ac:dyDescent="0.3">
      <c r="C5627"/>
      <c r="D5627"/>
    </row>
    <row r="5628" spans="3:4" x14ac:dyDescent="0.3">
      <c r="C5628"/>
      <c r="D5628"/>
    </row>
    <row r="5629" spans="3:4" x14ac:dyDescent="0.3">
      <c r="C5629"/>
      <c r="D5629"/>
    </row>
    <row r="5630" spans="3:4" x14ac:dyDescent="0.3">
      <c r="C5630"/>
      <c r="D5630"/>
    </row>
    <row r="5631" spans="3:4" x14ac:dyDescent="0.3">
      <c r="C5631"/>
      <c r="D5631"/>
    </row>
    <row r="5632" spans="3:4" x14ac:dyDescent="0.3">
      <c r="C5632"/>
      <c r="D5632"/>
    </row>
    <row r="5633" spans="3:4" x14ac:dyDescent="0.3">
      <c r="C5633"/>
      <c r="D5633"/>
    </row>
    <row r="5634" spans="3:4" x14ac:dyDescent="0.3">
      <c r="C5634"/>
      <c r="D5634"/>
    </row>
    <row r="5635" spans="3:4" x14ac:dyDescent="0.3">
      <c r="C5635"/>
      <c r="D5635"/>
    </row>
    <row r="5636" spans="3:4" x14ac:dyDescent="0.3">
      <c r="C5636"/>
      <c r="D5636"/>
    </row>
    <row r="5637" spans="3:4" x14ac:dyDescent="0.3">
      <c r="C5637"/>
      <c r="D5637"/>
    </row>
    <row r="5638" spans="3:4" x14ac:dyDescent="0.3">
      <c r="C5638"/>
      <c r="D5638"/>
    </row>
    <row r="5639" spans="3:4" x14ac:dyDescent="0.3">
      <c r="C5639"/>
      <c r="D5639"/>
    </row>
    <row r="5640" spans="3:4" x14ac:dyDescent="0.3">
      <c r="C5640"/>
      <c r="D5640"/>
    </row>
    <row r="5641" spans="3:4" x14ac:dyDescent="0.3">
      <c r="C5641"/>
      <c r="D5641"/>
    </row>
    <row r="5642" spans="3:4" x14ac:dyDescent="0.3">
      <c r="C5642"/>
      <c r="D5642"/>
    </row>
    <row r="5643" spans="3:4" x14ac:dyDescent="0.3">
      <c r="C5643"/>
      <c r="D5643"/>
    </row>
    <row r="5644" spans="3:4" x14ac:dyDescent="0.3">
      <c r="C5644"/>
      <c r="D5644"/>
    </row>
    <row r="5645" spans="3:4" x14ac:dyDescent="0.3">
      <c r="C5645"/>
      <c r="D5645"/>
    </row>
    <row r="5646" spans="3:4" x14ac:dyDescent="0.3">
      <c r="C5646"/>
      <c r="D5646"/>
    </row>
    <row r="5647" spans="3:4" x14ac:dyDescent="0.3">
      <c r="C5647"/>
      <c r="D5647"/>
    </row>
    <row r="5648" spans="3:4" x14ac:dyDescent="0.3">
      <c r="C5648"/>
      <c r="D5648"/>
    </row>
    <row r="5649" spans="3:4" x14ac:dyDescent="0.3">
      <c r="C5649"/>
      <c r="D5649"/>
    </row>
    <row r="5650" spans="3:4" x14ac:dyDescent="0.3">
      <c r="C5650"/>
      <c r="D5650"/>
    </row>
    <row r="5651" spans="3:4" x14ac:dyDescent="0.3">
      <c r="C5651"/>
      <c r="D5651"/>
    </row>
    <row r="5652" spans="3:4" x14ac:dyDescent="0.3">
      <c r="C5652"/>
      <c r="D5652"/>
    </row>
    <row r="5653" spans="3:4" x14ac:dyDescent="0.3">
      <c r="C5653"/>
      <c r="D5653"/>
    </row>
    <row r="5654" spans="3:4" x14ac:dyDescent="0.3">
      <c r="C5654"/>
      <c r="D5654"/>
    </row>
    <row r="5655" spans="3:4" x14ac:dyDescent="0.3">
      <c r="C5655"/>
      <c r="D5655"/>
    </row>
    <row r="5656" spans="3:4" x14ac:dyDescent="0.3">
      <c r="C5656"/>
      <c r="D5656"/>
    </row>
    <row r="5657" spans="3:4" x14ac:dyDescent="0.3">
      <c r="C5657"/>
      <c r="D5657"/>
    </row>
    <row r="5658" spans="3:4" x14ac:dyDescent="0.3">
      <c r="C5658"/>
      <c r="D5658"/>
    </row>
    <row r="5659" spans="3:4" x14ac:dyDescent="0.3">
      <c r="C5659"/>
      <c r="D5659"/>
    </row>
    <row r="5660" spans="3:4" x14ac:dyDescent="0.3">
      <c r="C5660"/>
      <c r="D5660"/>
    </row>
    <row r="5661" spans="3:4" x14ac:dyDescent="0.3">
      <c r="C5661"/>
      <c r="D5661"/>
    </row>
    <row r="5662" spans="3:4" x14ac:dyDescent="0.3">
      <c r="C5662"/>
      <c r="D5662"/>
    </row>
    <row r="5663" spans="3:4" x14ac:dyDescent="0.3">
      <c r="C5663"/>
      <c r="D5663"/>
    </row>
    <row r="5664" spans="3:4" x14ac:dyDescent="0.3">
      <c r="C5664"/>
      <c r="D5664"/>
    </row>
    <row r="5665" spans="3:4" x14ac:dyDescent="0.3">
      <c r="C5665"/>
      <c r="D5665"/>
    </row>
    <row r="5666" spans="3:4" x14ac:dyDescent="0.3">
      <c r="C5666"/>
      <c r="D5666"/>
    </row>
    <row r="5667" spans="3:4" x14ac:dyDescent="0.3">
      <c r="C5667"/>
      <c r="D5667"/>
    </row>
    <row r="5668" spans="3:4" x14ac:dyDescent="0.3">
      <c r="C5668"/>
      <c r="D5668"/>
    </row>
    <row r="5669" spans="3:4" x14ac:dyDescent="0.3">
      <c r="C5669"/>
      <c r="D5669"/>
    </row>
    <row r="5670" spans="3:4" x14ac:dyDescent="0.3">
      <c r="C5670"/>
      <c r="D5670"/>
    </row>
    <row r="5671" spans="3:4" x14ac:dyDescent="0.3">
      <c r="C5671"/>
      <c r="D5671"/>
    </row>
    <row r="5672" spans="3:4" x14ac:dyDescent="0.3">
      <c r="C5672"/>
      <c r="D5672"/>
    </row>
    <row r="5673" spans="3:4" x14ac:dyDescent="0.3">
      <c r="C5673"/>
      <c r="D5673"/>
    </row>
    <row r="5674" spans="3:4" x14ac:dyDescent="0.3">
      <c r="C5674"/>
      <c r="D5674"/>
    </row>
    <row r="5675" spans="3:4" x14ac:dyDescent="0.3">
      <c r="C5675"/>
      <c r="D5675"/>
    </row>
    <row r="5676" spans="3:4" x14ac:dyDescent="0.3">
      <c r="C5676"/>
      <c r="D5676"/>
    </row>
    <row r="5677" spans="3:4" x14ac:dyDescent="0.3">
      <c r="C5677"/>
      <c r="D5677"/>
    </row>
    <row r="5678" spans="3:4" x14ac:dyDescent="0.3">
      <c r="C5678"/>
      <c r="D5678"/>
    </row>
    <row r="5679" spans="3:4" x14ac:dyDescent="0.3">
      <c r="C5679"/>
      <c r="D5679"/>
    </row>
    <row r="5680" spans="3:4" x14ac:dyDescent="0.3">
      <c r="C5680"/>
      <c r="D5680"/>
    </row>
    <row r="5681" spans="3:4" x14ac:dyDescent="0.3">
      <c r="C5681"/>
      <c r="D5681"/>
    </row>
    <row r="5682" spans="3:4" x14ac:dyDescent="0.3">
      <c r="C5682"/>
      <c r="D5682"/>
    </row>
    <row r="5683" spans="3:4" x14ac:dyDescent="0.3">
      <c r="C5683"/>
      <c r="D5683"/>
    </row>
    <row r="5684" spans="3:4" x14ac:dyDescent="0.3">
      <c r="C5684"/>
      <c r="D5684"/>
    </row>
    <row r="5685" spans="3:4" x14ac:dyDescent="0.3">
      <c r="C5685"/>
      <c r="D5685"/>
    </row>
    <row r="5686" spans="3:4" x14ac:dyDescent="0.3">
      <c r="C5686"/>
      <c r="D5686"/>
    </row>
    <row r="5687" spans="3:4" x14ac:dyDescent="0.3">
      <c r="C5687"/>
      <c r="D5687"/>
    </row>
    <row r="5688" spans="3:4" x14ac:dyDescent="0.3">
      <c r="C5688"/>
      <c r="D5688"/>
    </row>
    <row r="5689" spans="3:4" x14ac:dyDescent="0.3">
      <c r="C5689"/>
      <c r="D5689"/>
    </row>
    <row r="5690" spans="3:4" x14ac:dyDescent="0.3">
      <c r="C5690"/>
      <c r="D5690"/>
    </row>
    <row r="5691" spans="3:4" x14ac:dyDescent="0.3">
      <c r="C5691"/>
      <c r="D5691"/>
    </row>
    <row r="5692" spans="3:4" x14ac:dyDescent="0.3">
      <c r="C5692"/>
      <c r="D5692"/>
    </row>
    <row r="5693" spans="3:4" x14ac:dyDescent="0.3">
      <c r="C5693"/>
      <c r="D5693"/>
    </row>
    <row r="5694" spans="3:4" x14ac:dyDescent="0.3">
      <c r="C5694"/>
      <c r="D5694"/>
    </row>
    <row r="5695" spans="3:4" x14ac:dyDescent="0.3">
      <c r="C5695"/>
      <c r="D5695"/>
    </row>
    <row r="5696" spans="3:4" x14ac:dyDescent="0.3">
      <c r="C5696"/>
      <c r="D5696"/>
    </row>
    <row r="5697" spans="3:4" x14ac:dyDescent="0.3">
      <c r="C5697"/>
      <c r="D5697"/>
    </row>
    <row r="5698" spans="3:4" x14ac:dyDescent="0.3">
      <c r="C5698"/>
      <c r="D5698"/>
    </row>
    <row r="5699" spans="3:4" x14ac:dyDescent="0.3">
      <c r="C5699"/>
      <c r="D5699"/>
    </row>
    <row r="5700" spans="3:4" x14ac:dyDescent="0.3">
      <c r="C5700"/>
      <c r="D5700"/>
    </row>
    <row r="5701" spans="3:4" x14ac:dyDescent="0.3">
      <c r="C5701"/>
      <c r="D5701"/>
    </row>
    <row r="5702" spans="3:4" x14ac:dyDescent="0.3">
      <c r="C5702"/>
      <c r="D5702"/>
    </row>
    <row r="5703" spans="3:4" x14ac:dyDescent="0.3">
      <c r="C5703"/>
      <c r="D5703"/>
    </row>
    <row r="5704" spans="3:4" x14ac:dyDescent="0.3">
      <c r="C5704"/>
      <c r="D5704"/>
    </row>
    <row r="5705" spans="3:4" x14ac:dyDescent="0.3">
      <c r="C5705"/>
      <c r="D5705"/>
    </row>
    <row r="5706" spans="3:4" x14ac:dyDescent="0.3">
      <c r="C5706"/>
      <c r="D5706"/>
    </row>
    <row r="5707" spans="3:4" x14ac:dyDescent="0.3">
      <c r="C5707"/>
      <c r="D5707"/>
    </row>
    <row r="5708" spans="3:4" x14ac:dyDescent="0.3">
      <c r="C5708"/>
      <c r="D5708"/>
    </row>
    <row r="5709" spans="3:4" x14ac:dyDescent="0.3">
      <c r="C5709"/>
      <c r="D5709"/>
    </row>
    <row r="5710" spans="3:4" x14ac:dyDescent="0.3">
      <c r="C5710"/>
      <c r="D5710"/>
    </row>
    <row r="5711" spans="3:4" x14ac:dyDescent="0.3">
      <c r="C5711"/>
      <c r="D5711"/>
    </row>
    <row r="5712" spans="3:4" x14ac:dyDescent="0.3">
      <c r="C5712"/>
      <c r="D5712"/>
    </row>
    <row r="5713" spans="3:4" x14ac:dyDescent="0.3">
      <c r="C5713"/>
      <c r="D5713"/>
    </row>
    <row r="5714" spans="3:4" x14ac:dyDescent="0.3">
      <c r="C5714"/>
      <c r="D5714"/>
    </row>
    <row r="5715" spans="3:4" x14ac:dyDescent="0.3">
      <c r="C5715"/>
      <c r="D5715"/>
    </row>
    <row r="5716" spans="3:4" x14ac:dyDescent="0.3">
      <c r="C5716"/>
      <c r="D5716"/>
    </row>
    <row r="5717" spans="3:4" x14ac:dyDescent="0.3">
      <c r="C5717"/>
      <c r="D5717"/>
    </row>
    <row r="5718" spans="3:4" x14ac:dyDescent="0.3">
      <c r="C5718"/>
      <c r="D5718"/>
    </row>
    <row r="5719" spans="3:4" x14ac:dyDescent="0.3">
      <c r="C5719"/>
      <c r="D5719"/>
    </row>
    <row r="5720" spans="3:4" x14ac:dyDescent="0.3">
      <c r="C5720"/>
      <c r="D5720"/>
    </row>
    <row r="5721" spans="3:4" x14ac:dyDescent="0.3">
      <c r="C5721"/>
      <c r="D5721"/>
    </row>
    <row r="5722" spans="3:4" x14ac:dyDescent="0.3">
      <c r="C5722"/>
      <c r="D5722"/>
    </row>
    <row r="5723" spans="3:4" x14ac:dyDescent="0.3">
      <c r="C5723"/>
      <c r="D5723"/>
    </row>
    <row r="5724" spans="3:4" x14ac:dyDescent="0.3">
      <c r="C5724"/>
      <c r="D5724"/>
    </row>
    <row r="5725" spans="3:4" x14ac:dyDescent="0.3">
      <c r="C5725"/>
      <c r="D5725"/>
    </row>
    <row r="5726" spans="3:4" x14ac:dyDescent="0.3">
      <c r="C5726"/>
      <c r="D5726"/>
    </row>
    <row r="5727" spans="3:4" x14ac:dyDescent="0.3">
      <c r="C5727"/>
      <c r="D5727"/>
    </row>
    <row r="5728" spans="3:4" x14ac:dyDescent="0.3">
      <c r="C5728"/>
      <c r="D5728"/>
    </row>
    <row r="5729" spans="3:4" x14ac:dyDescent="0.3">
      <c r="C5729"/>
      <c r="D5729"/>
    </row>
    <row r="5730" spans="3:4" x14ac:dyDescent="0.3">
      <c r="C5730"/>
      <c r="D5730"/>
    </row>
    <row r="5731" spans="3:4" x14ac:dyDescent="0.3">
      <c r="C5731"/>
      <c r="D5731"/>
    </row>
    <row r="5732" spans="3:4" x14ac:dyDescent="0.3">
      <c r="C5732"/>
      <c r="D5732"/>
    </row>
    <row r="5733" spans="3:4" x14ac:dyDescent="0.3">
      <c r="C5733"/>
      <c r="D5733"/>
    </row>
    <row r="5734" spans="3:4" x14ac:dyDescent="0.3">
      <c r="C5734"/>
      <c r="D5734"/>
    </row>
    <row r="5735" spans="3:4" x14ac:dyDescent="0.3">
      <c r="C5735"/>
      <c r="D5735"/>
    </row>
    <row r="5736" spans="3:4" x14ac:dyDescent="0.3">
      <c r="C5736"/>
      <c r="D5736"/>
    </row>
    <row r="5737" spans="3:4" x14ac:dyDescent="0.3">
      <c r="C5737"/>
      <c r="D5737"/>
    </row>
    <row r="5738" spans="3:4" x14ac:dyDescent="0.3">
      <c r="C5738"/>
      <c r="D5738"/>
    </row>
    <row r="5739" spans="3:4" x14ac:dyDescent="0.3">
      <c r="C5739"/>
      <c r="D5739"/>
    </row>
    <row r="5740" spans="3:4" x14ac:dyDescent="0.3">
      <c r="C5740"/>
      <c r="D5740"/>
    </row>
    <row r="5741" spans="3:4" x14ac:dyDescent="0.3">
      <c r="C5741"/>
      <c r="D5741"/>
    </row>
    <row r="5742" spans="3:4" x14ac:dyDescent="0.3">
      <c r="C5742"/>
      <c r="D5742"/>
    </row>
    <row r="5743" spans="3:4" x14ac:dyDescent="0.3">
      <c r="C5743"/>
      <c r="D5743"/>
    </row>
    <row r="5744" spans="3:4" x14ac:dyDescent="0.3">
      <c r="C5744"/>
      <c r="D5744"/>
    </row>
    <row r="5745" spans="3:4" x14ac:dyDescent="0.3">
      <c r="C5745"/>
      <c r="D5745"/>
    </row>
    <row r="5746" spans="3:4" x14ac:dyDescent="0.3">
      <c r="C5746"/>
      <c r="D5746"/>
    </row>
    <row r="5747" spans="3:4" x14ac:dyDescent="0.3">
      <c r="C5747"/>
      <c r="D5747"/>
    </row>
    <row r="5748" spans="3:4" x14ac:dyDescent="0.3">
      <c r="C5748"/>
      <c r="D5748"/>
    </row>
    <row r="5749" spans="3:4" x14ac:dyDescent="0.3">
      <c r="C5749"/>
      <c r="D5749"/>
    </row>
    <row r="5750" spans="3:4" x14ac:dyDescent="0.3">
      <c r="C5750"/>
      <c r="D5750"/>
    </row>
    <row r="5751" spans="3:4" x14ac:dyDescent="0.3">
      <c r="C5751"/>
      <c r="D5751"/>
    </row>
    <row r="5752" spans="3:4" x14ac:dyDescent="0.3">
      <c r="C5752"/>
      <c r="D5752"/>
    </row>
    <row r="5753" spans="3:4" x14ac:dyDescent="0.3">
      <c r="C5753"/>
      <c r="D5753"/>
    </row>
    <row r="5754" spans="3:4" x14ac:dyDescent="0.3">
      <c r="C5754"/>
      <c r="D5754"/>
    </row>
    <row r="5755" spans="3:4" x14ac:dyDescent="0.3">
      <c r="C5755"/>
      <c r="D5755"/>
    </row>
    <row r="5756" spans="3:4" x14ac:dyDescent="0.3">
      <c r="C5756"/>
      <c r="D5756"/>
    </row>
    <row r="5757" spans="3:4" x14ac:dyDescent="0.3">
      <c r="C5757"/>
      <c r="D5757"/>
    </row>
    <row r="5758" spans="3:4" x14ac:dyDescent="0.3">
      <c r="C5758"/>
      <c r="D5758"/>
    </row>
    <row r="5759" spans="3:4" x14ac:dyDescent="0.3">
      <c r="C5759"/>
      <c r="D5759"/>
    </row>
    <row r="5760" spans="3:4" x14ac:dyDescent="0.3">
      <c r="C5760"/>
      <c r="D5760"/>
    </row>
    <row r="5761" spans="3:4" x14ac:dyDescent="0.3">
      <c r="C5761"/>
      <c r="D5761"/>
    </row>
    <row r="5762" spans="3:4" x14ac:dyDescent="0.3">
      <c r="C5762"/>
      <c r="D5762"/>
    </row>
    <row r="5763" spans="3:4" x14ac:dyDescent="0.3">
      <c r="C5763"/>
      <c r="D5763"/>
    </row>
    <row r="5764" spans="3:4" x14ac:dyDescent="0.3">
      <c r="C5764"/>
      <c r="D5764"/>
    </row>
    <row r="5765" spans="3:4" x14ac:dyDescent="0.3">
      <c r="C5765"/>
      <c r="D5765"/>
    </row>
    <row r="5766" spans="3:4" x14ac:dyDescent="0.3">
      <c r="C5766"/>
      <c r="D5766"/>
    </row>
    <row r="5767" spans="3:4" x14ac:dyDescent="0.3">
      <c r="C5767"/>
      <c r="D5767"/>
    </row>
    <row r="5768" spans="3:4" x14ac:dyDescent="0.3">
      <c r="C5768"/>
      <c r="D5768"/>
    </row>
    <row r="5769" spans="3:4" x14ac:dyDescent="0.3">
      <c r="C5769"/>
      <c r="D5769"/>
    </row>
    <row r="5770" spans="3:4" x14ac:dyDescent="0.3">
      <c r="C5770"/>
      <c r="D5770"/>
    </row>
    <row r="5771" spans="3:4" x14ac:dyDescent="0.3">
      <c r="C5771"/>
      <c r="D5771"/>
    </row>
    <row r="5772" spans="3:4" x14ac:dyDescent="0.3">
      <c r="C5772"/>
      <c r="D5772"/>
    </row>
    <row r="5773" spans="3:4" x14ac:dyDescent="0.3">
      <c r="C5773"/>
      <c r="D5773"/>
    </row>
    <row r="5774" spans="3:4" x14ac:dyDescent="0.3">
      <c r="C5774"/>
      <c r="D5774"/>
    </row>
    <row r="5775" spans="3:4" x14ac:dyDescent="0.3">
      <c r="C5775"/>
      <c r="D5775"/>
    </row>
    <row r="5776" spans="3:4" x14ac:dyDescent="0.3">
      <c r="C5776"/>
      <c r="D5776"/>
    </row>
    <row r="5777" spans="3:4" x14ac:dyDescent="0.3">
      <c r="C5777"/>
      <c r="D5777"/>
    </row>
    <row r="5778" spans="3:4" x14ac:dyDescent="0.3">
      <c r="C5778"/>
      <c r="D5778"/>
    </row>
    <row r="5779" spans="3:4" x14ac:dyDescent="0.3">
      <c r="C5779"/>
      <c r="D5779"/>
    </row>
    <row r="5780" spans="3:4" x14ac:dyDescent="0.3">
      <c r="C5780"/>
      <c r="D5780"/>
    </row>
    <row r="5781" spans="3:4" x14ac:dyDescent="0.3">
      <c r="C5781"/>
      <c r="D5781"/>
    </row>
    <row r="5782" spans="3:4" x14ac:dyDescent="0.3">
      <c r="C5782"/>
      <c r="D5782"/>
    </row>
    <row r="5783" spans="3:4" x14ac:dyDescent="0.3">
      <c r="C5783"/>
      <c r="D5783"/>
    </row>
    <row r="5784" spans="3:4" x14ac:dyDescent="0.3">
      <c r="C5784"/>
      <c r="D5784"/>
    </row>
    <row r="5785" spans="3:4" x14ac:dyDescent="0.3">
      <c r="C5785"/>
      <c r="D5785"/>
    </row>
    <row r="5786" spans="3:4" x14ac:dyDescent="0.3">
      <c r="C5786"/>
      <c r="D5786"/>
    </row>
    <row r="5787" spans="3:4" x14ac:dyDescent="0.3">
      <c r="C5787"/>
      <c r="D5787"/>
    </row>
    <row r="5788" spans="3:4" x14ac:dyDescent="0.3">
      <c r="C5788"/>
      <c r="D5788"/>
    </row>
    <row r="5789" spans="3:4" x14ac:dyDescent="0.3">
      <c r="C5789"/>
      <c r="D5789"/>
    </row>
    <row r="5790" spans="3:4" x14ac:dyDescent="0.3">
      <c r="C5790"/>
      <c r="D5790"/>
    </row>
    <row r="5791" spans="3:4" x14ac:dyDescent="0.3">
      <c r="C5791"/>
      <c r="D5791"/>
    </row>
    <row r="5792" spans="3:4" x14ac:dyDescent="0.3">
      <c r="C5792"/>
      <c r="D5792"/>
    </row>
    <row r="5793" spans="3:4" x14ac:dyDescent="0.3">
      <c r="C5793"/>
      <c r="D5793"/>
    </row>
    <row r="5794" spans="3:4" x14ac:dyDescent="0.3">
      <c r="C5794"/>
      <c r="D5794"/>
    </row>
    <row r="5795" spans="3:4" x14ac:dyDescent="0.3">
      <c r="C5795"/>
      <c r="D5795"/>
    </row>
    <row r="5796" spans="3:4" x14ac:dyDescent="0.3">
      <c r="C5796"/>
      <c r="D5796"/>
    </row>
    <row r="5797" spans="3:4" x14ac:dyDescent="0.3">
      <c r="C5797"/>
      <c r="D5797"/>
    </row>
    <row r="5798" spans="3:4" x14ac:dyDescent="0.3">
      <c r="C5798"/>
      <c r="D5798"/>
    </row>
    <row r="5799" spans="3:4" x14ac:dyDescent="0.3">
      <c r="C5799"/>
      <c r="D5799"/>
    </row>
    <row r="5800" spans="3:4" x14ac:dyDescent="0.3">
      <c r="C5800"/>
      <c r="D5800"/>
    </row>
    <row r="5801" spans="3:4" x14ac:dyDescent="0.3">
      <c r="C5801"/>
      <c r="D5801"/>
    </row>
    <row r="5802" spans="3:4" x14ac:dyDescent="0.3">
      <c r="C5802"/>
      <c r="D5802"/>
    </row>
    <row r="5803" spans="3:4" x14ac:dyDescent="0.3">
      <c r="C5803"/>
      <c r="D5803"/>
    </row>
    <row r="5804" spans="3:4" x14ac:dyDescent="0.3">
      <c r="C5804"/>
      <c r="D5804"/>
    </row>
    <row r="5805" spans="3:4" x14ac:dyDescent="0.3">
      <c r="C5805"/>
      <c r="D5805"/>
    </row>
    <row r="5806" spans="3:4" x14ac:dyDescent="0.3">
      <c r="C5806"/>
      <c r="D5806"/>
    </row>
    <row r="5807" spans="3:4" x14ac:dyDescent="0.3">
      <c r="C5807"/>
      <c r="D5807"/>
    </row>
    <row r="5808" spans="3:4" x14ac:dyDescent="0.3">
      <c r="C5808"/>
      <c r="D5808"/>
    </row>
    <row r="5809" spans="3:4" x14ac:dyDescent="0.3">
      <c r="C5809"/>
      <c r="D5809"/>
    </row>
    <row r="5810" spans="3:4" x14ac:dyDescent="0.3">
      <c r="C5810"/>
      <c r="D5810"/>
    </row>
    <row r="5811" spans="3:4" x14ac:dyDescent="0.3">
      <c r="C5811"/>
      <c r="D5811"/>
    </row>
    <row r="5812" spans="3:4" x14ac:dyDescent="0.3">
      <c r="C5812"/>
      <c r="D5812"/>
    </row>
    <row r="5813" spans="3:4" x14ac:dyDescent="0.3">
      <c r="C5813"/>
      <c r="D5813"/>
    </row>
    <row r="5814" spans="3:4" x14ac:dyDescent="0.3">
      <c r="C5814"/>
      <c r="D5814"/>
    </row>
    <row r="5815" spans="3:4" x14ac:dyDescent="0.3">
      <c r="C5815"/>
      <c r="D5815"/>
    </row>
    <row r="5816" spans="3:4" x14ac:dyDescent="0.3">
      <c r="C5816"/>
      <c r="D5816"/>
    </row>
    <row r="5817" spans="3:4" x14ac:dyDescent="0.3">
      <c r="C5817"/>
      <c r="D5817"/>
    </row>
    <row r="5818" spans="3:4" x14ac:dyDescent="0.3">
      <c r="C5818"/>
      <c r="D5818"/>
    </row>
    <row r="5819" spans="3:4" x14ac:dyDescent="0.3">
      <c r="C5819"/>
      <c r="D5819"/>
    </row>
    <row r="5820" spans="3:4" x14ac:dyDescent="0.3">
      <c r="C5820"/>
      <c r="D5820"/>
    </row>
    <row r="5821" spans="3:4" x14ac:dyDescent="0.3">
      <c r="C5821"/>
      <c r="D5821"/>
    </row>
    <row r="5822" spans="3:4" x14ac:dyDescent="0.3">
      <c r="C5822"/>
      <c r="D5822"/>
    </row>
    <row r="5823" spans="3:4" x14ac:dyDescent="0.3">
      <c r="C5823"/>
      <c r="D5823"/>
    </row>
    <row r="5824" spans="3:4" x14ac:dyDescent="0.3">
      <c r="C5824"/>
      <c r="D5824"/>
    </row>
    <row r="5825" spans="3:4" x14ac:dyDescent="0.3">
      <c r="C5825"/>
      <c r="D5825"/>
    </row>
    <row r="5826" spans="3:4" x14ac:dyDescent="0.3">
      <c r="C5826"/>
      <c r="D5826"/>
    </row>
    <row r="5827" spans="3:4" x14ac:dyDescent="0.3">
      <c r="C5827"/>
      <c r="D5827"/>
    </row>
    <row r="5828" spans="3:4" x14ac:dyDescent="0.3">
      <c r="C5828"/>
      <c r="D5828"/>
    </row>
    <row r="5829" spans="3:4" x14ac:dyDescent="0.3">
      <c r="C5829"/>
      <c r="D5829"/>
    </row>
    <row r="5830" spans="3:4" x14ac:dyDescent="0.3">
      <c r="C5830"/>
      <c r="D5830"/>
    </row>
    <row r="5831" spans="3:4" x14ac:dyDescent="0.3">
      <c r="C5831"/>
      <c r="D5831"/>
    </row>
    <row r="5832" spans="3:4" x14ac:dyDescent="0.3">
      <c r="C5832"/>
      <c r="D5832"/>
    </row>
    <row r="5833" spans="3:4" x14ac:dyDescent="0.3">
      <c r="C5833"/>
      <c r="D5833"/>
    </row>
    <row r="5834" spans="3:4" x14ac:dyDescent="0.3">
      <c r="C5834"/>
      <c r="D5834"/>
    </row>
    <row r="5835" spans="3:4" x14ac:dyDescent="0.3">
      <c r="C5835"/>
      <c r="D5835"/>
    </row>
    <row r="5836" spans="3:4" x14ac:dyDescent="0.3">
      <c r="C5836"/>
      <c r="D5836"/>
    </row>
    <row r="5837" spans="3:4" x14ac:dyDescent="0.3">
      <c r="C5837"/>
      <c r="D5837"/>
    </row>
    <row r="5838" spans="3:4" x14ac:dyDescent="0.3">
      <c r="C5838"/>
      <c r="D5838"/>
    </row>
    <row r="5839" spans="3:4" x14ac:dyDescent="0.3">
      <c r="C5839"/>
      <c r="D5839"/>
    </row>
    <row r="5840" spans="3:4" x14ac:dyDescent="0.3">
      <c r="C5840"/>
      <c r="D5840"/>
    </row>
    <row r="5841" spans="3:4" x14ac:dyDescent="0.3">
      <c r="C5841"/>
      <c r="D5841"/>
    </row>
    <row r="5842" spans="3:4" x14ac:dyDescent="0.3">
      <c r="C5842"/>
      <c r="D5842"/>
    </row>
    <row r="5843" spans="3:4" x14ac:dyDescent="0.3">
      <c r="C5843"/>
      <c r="D5843"/>
    </row>
    <row r="5844" spans="3:4" x14ac:dyDescent="0.3">
      <c r="C5844"/>
      <c r="D5844"/>
    </row>
    <row r="5845" spans="3:4" x14ac:dyDescent="0.3">
      <c r="C5845"/>
      <c r="D5845"/>
    </row>
    <row r="5846" spans="3:4" x14ac:dyDescent="0.3">
      <c r="C5846"/>
      <c r="D5846"/>
    </row>
    <row r="5847" spans="3:4" x14ac:dyDescent="0.3">
      <c r="C5847"/>
      <c r="D5847"/>
    </row>
    <row r="5848" spans="3:4" x14ac:dyDescent="0.3">
      <c r="C5848"/>
      <c r="D5848"/>
    </row>
    <row r="5849" spans="3:4" x14ac:dyDescent="0.3">
      <c r="C5849"/>
      <c r="D5849"/>
    </row>
    <row r="5850" spans="3:4" x14ac:dyDescent="0.3">
      <c r="C5850"/>
      <c r="D5850"/>
    </row>
    <row r="5851" spans="3:4" x14ac:dyDescent="0.3">
      <c r="C5851"/>
      <c r="D5851"/>
    </row>
    <row r="5852" spans="3:4" x14ac:dyDescent="0.3">
      <c r="C5852"/>
      <c r="D5852"/>
    </row>
    <row r="5853" spans="3:4" x14ac:dyDescent="0.3">
      <c r="C5853"/>
      <c r="D5853"/>
    </row>
    <row r="5854" spans="3:4" x14ac:dyDescent="0.3">
      <c r="C5854"/>
      <c r="D5854"/>
    </row>
    <row r="5855" spans="3:4" x14ac:dyDescent="0.3">
      <c r="C5855"/>
      <c r="D5855"/>
    </row>
    <row r="5856" spans="3:4" x14ac:dyDescent="0.3">
      <c r="C5856"/>
      <c r="D5856"/>
    </row>
    <row r="5857" spans="3:4" x14ac:dyDescent="0.3">
      <c r="C5857"/>
      <c r="D5857"/>
    </row>
    <row r="5858" spans="3:4" x14ac:dyDescent="0.3">
      <c r="C5858"/>
      <c r="D5858"/>
    </row>
    <row r="5859" spans="3:4" x14ac:dyDescent="0.3">
      <c r="C5859"/>
      <c r="D5859"/>
    </row>
    <row r="5860" spans="3:4" x14ac:dyDescent="0.3">
      <c r="C5860"/>
      <c r="D5860"/>
    </row>
    <row r="5861" spans="3:4" x14ac:dyDescent="0.3">
      <c r="C5861"/>
      <c r="D5861"/>
    </row>
    <row r="5862" spans="3:4" x14ac:dyDescent="0.3">
      <c r="C5862"/>
      <c r="D5862"/>
    </row>
    <row r="5863" spans="3:4" x14ac:dyDescent="0.3">
      <c r="C5863"/>
      <c r="D5863"/>
    </row>
    <row r="5864" spans="3:4" x14ac:dyDescent="0.3">
      <c r="C5864"/>
      <c r="D5864"/>
    </row>
    <row r="5865" spans="3:4" x14ac:dyDescent="0.3">
      <c r="C5865"/>
      <c r="D5865"/>
    </row>
    <row r="5866" spans="3:4" x14ac:dyDescent="0.3">
      <c r="C5866"/>
      <c r="D5866"/>
    </row>
    <row r="5867" spans="3:4" x14ac:dyDescent="0.3">
      <c r="C5867"/>
      <c r="D5867"/>
    </row>
    <row r="5868" spans="3:4" x14ac:dyDescent="0.3">
      <c r="C5868"/>
      <c r="D5868"/>
    </row>
    <row r="5869" spans="3:4" x14ac:dyDescent="0.3">
      <c r="C5869"/>
      <c r="D5869"/>
    </row>
    <row r="5870" spans="3:4" x14ac:dyDescent="0.3">
      <c r="C5870"/>
      <c r="D5870"/>
    </row>
    <row r="5871" spans="3:4" x14ac:dyDescent="0.3">
      <c r="C5871"/>
      <c r="D5871"/>
    </row>
    <row r="5872" spans="3:4" x14ac:dyDescent="0.3">
      <c r="C5872"/>
      <c r="D5872"/>
    </row>
    <row r="5873" spans="3:4" x14ac:dyDescent="0.3">
      <c r="C5873"/>
      <c r="D5873"/>
    </row>
    <row r="5874" spans="3:4" x14ac:dyDescent="0.3">
      <c r="C5874"/>
      <c r="D5874"/>
    </row>
    <row r="5875" spans="3:4" x14ac:dyDescent="0.3">
      <c r="C5875"/>
      <c r="D5875"/>
    </row>
    <row r="5876" spans="3:4" x14ac:dyDescent="0.3">
      <c r="C5876"/>
      <c r="D5876"/>
    </row>
    <row r="5877" spans="3:4" x14ac:dyDescent="0.3">
      <c r="C5877"/>
      <c r="D5877"/>
    </row>
    <row r="5878" spans="3:4" x14ac:dyDescent="0.3">
      <c r="C5878"/>
      <c r="D5878"/>
    </row>
    <row r="5879" spans="3:4" x14ac:dyDescent="0.3">
      <c r="C5879"/>
      <c r="D5879"/>
    </row>
    <row r="5880" spans="3:4" x14ac:dyDescent="0.3">
      <c r="C5880"/>
      <c r="D5880"/>
    </row>
    <row r="5881" spans="3:4" x14ac:dyDescent="0.3">
      <c r="C5881"/>
      <c r="D5881"/>
    </row>
    <row r="5882" spans="3:4" x14ac:dyDescent="0.3">
      <c r="C5882"/>
      <c r="D5882"/>
    </row>
    <row r="5883" spans="3:4" x14ac:dyDescent="0.3">
      <c r="C5883"/>
      <c r="D5883"/>
    </row>
    <row r="5884" spans="3:4" x14ac:dyDescent="0.3">
      <c r="C5884"/>
      <c r="D5884"/>
    </row>
    <row r="5885" spans="3:4" x14ac:dyDescent="0.3">
      <c r="C5885"/>
      <c r="D5885"/>
    </row>
    <row r="5886" spans="3:4" x14ac:dyDescent="0.3">
      <c r="C5886"/>
      <c r="D5886"/>
    </row>
    <row r="5887" spans="3:4" x14ac:dyDescent="0.3">
      <c r="C5887"/>
      <c r="D5887"/>
    </row>
    <row r="5888" spans="3:4" x14ac:dyDescent="0.3">
      <c r="C5888"/>
      <c r="D5888"/>
    </row>
    <row r="5889" spans="3:4" x14ac:dyDescent="0.3">
      <c r="C5889"/>
      <c r="D5889"/>
    </row>
    <row r="5890" spans="3:4" x14ac:dyDescent="0.3">
      <c r="C5890"/>
      <c r="D5890"/>
    </row>
    <row r="5891" spans="3:4" x14ac:dyDescent="0.3">
      <c r="C5891"/>
      <c r="D5891"/>
    </row>
    <row r="5892" spans="3:4" x14ac:dyDescent="0.3">
      <c r="C5892"/>
      <c r="D5892"/>
    </row>
    <row r="5893" spans="3:4" x14ac:dyDescent="0.3">
      <c r="C5893"/>
      <c r="D5893"/>
    </row>
    <row r="5894" spans="3:4" x14ac:dyDescent="0.3">
      <c r="C5894"/>
      <c r="D5894"/>
    </row>
    <row r="5895" spans="3:4" x14ac:dyDescent="0.3">
      <c r="C5895"/>
      <c r="D5895"/>
    </row>
    <row r="5896" spans="3:4" x14ac:dyDescent="0.3">
      <c r="C5896"/>
      <c r="D5896"/>
    </row>
    <row r="5897" spans="3:4" x14ac:dyDescent="0.3">
      <c r="C5897"/>
      <c r="D5897"/>
    </row>
    <row r="5898" spans="3:4" x14ac:dyDescent="0.3">
      <c r="C5898"/>
      <c r="D5898"/>
    </row>
    <row r="5899" spans="3:4" x14ac:dyDescent="0.3">
      <c r="C5899"/>
      <c r="D5899"/>
    </row>
    <row r="5900" spans="3:4" x14ac:dyDescent="0.3">
      <c r="C5900"/>
      <c r="D5900"/>
    </row>
    <row r="5901" spans="3:4" x14ac:dyDescent="0.3">
      <c r="C5901"/>
      <c r="D5901"/>
    </row>
    <row r="5902" spans="3:4" x14ac:dyDescent="0.3">
      <c r="C5902"/>
      <c r="D5902"/>
    </row>
    <row r="5903" spans="3:4" x14ac:dyDescent="0.3">
      <c r="C5903"/>
      <c r="D5903"/>
    </row>
    <row r="5904" spans="3:4" x14ac:dyDescent="0.3">
      <c r="C5904"/>
      <c r="D5904"/>
    </row>
    <row r="5905" spans="3:4" x14ac:dyDescent="0.3">
      <c r="C5905"/>
      <c r="D5905"/>
    </row>
    <row r="5906" spans="3:4" x14ac:dyDescent="0.3">
      <c r="C5906"/>
      <c r="D5906"/>
    </row>
    <row r="5907" spans="3:4" x14ac:dyDescent="0.3">
      <c r="C5907"/>
      <c r="D5907"/>
    </row>
    <row r="5908" spans="3:4" x14ac:dyDescent="0.3">
      <c r="C5908"/>
      <c r="D5908"/>
    </row>
    <row r="5909" spans="3:4" x14ac:dyDescent="0.3">
      <c r="C5909"/>
      <c r="D5909"/>
    </row>
    <row r="5910" spans="3:4" x14ac:dyDescent="0.3">
      <c r="C5910"/>
      <c r="D5910"/>
    </row>
    <row r="5911" spans="3:4" x14ac:dyDescent="0.3">
      <c r="C5911"/>
      <c r="D5911"/>
    </row>
    <row r="5912" spans="3:4" x14ac:dyDescent="0.3">
      <c r="C5912"/>
      <c r="D5912"/>
    </row>
    <row r="5913" spans="3:4" x14ac:dyDescent="0.3">
      <c r="C5913"/>
      <c r="D5913"/>
    </row>
    <row r="5914" spans="3:4" x14ac:dyDescent="0.3">
      <c r="C5914"/>
      <c r="D5914"/>
    </row>
    <row r="5915" spans="3:4" x14ac:dyDescent="0.3">
      <c r="C5915"/>
      <c r="D5915"/>
    </row>
    <row r="5916" spans="3:4" x14ac:dyDescent="0.3">
      <c r="C5916"/>
      <c r="D5916"/>
    </row>
    <row r="5917" spans="3:4" x14ac:dyDescent="0.3">
      <c r="C5917"/>
      <c r="D5917"/>
    </row>
    <row r="5918" spans="3:4" x14ac:dyDescent="0.3">
      <c r="C5918"/>
      <c r="D5918"/>
    </row>
    <row r="5919" spans="3:4" x14ac:dyDescent="0.3">
      <c r="C5919"/>
      <c r="D5919"/>
    </row>
    <row r="5920" spans="3:4" x14ac:dyDescent="0.3">
      <c r="C5920"/>
      <c r="D5920"/>
    </row>
    <row r="5921" spans="3:4" x14ac:dyDescent="0.3">
      <c r="C5921"/>
      <c r="D5921"/>
    </row>
    <row r="5922" spans="3:4" x14ac:dyDescent="0.3">
      <c r="C5922"/>
      <c r="D5922"/>
    </row>
    <row r="5923" spans="3:4" x14ac:dyDescent="0.3">
      <c r="C5923"/>
      <c r="D5923"/>
    </row>
    <row r="5924" spans="3:4" x14ac:dyDescent="0.3">
      <c r="C5924"/>
      <c r="D5924"/>
    </row>
    <row r="5925" spans="3:4" x14ac:dyDescent="0.3">
      <c r="C5925"/>
      <c r="D5925"/>
    </row>
    <row r="5926" spans="3:4" x14ac:dyDescent="0.3">
      <c r="C5926"/>
      <c r="D5926"/>
    </row>
    <row r="5927" spans="3:4" x14ac:dyDescent="0.3">
      <c r="C5927"/>
      <c r="D5927"/>
    </row>
    <row r="5928" spans="3:4" x14ac:dyDescent="0.3">
      <c r="C5928"/>
      <c r="D5928"/>
    </row>
    <row r="5929" spans="3:4" x14ac:dyDescent="0.3">
      <c r="C5929"/>
      <c r="D5929"/>
    </row>
    <row r="5930" spans="3:4" x14ac:dyDescent="0.3">
      <c r="C5930"/>
      <c r="D5930"/>
    </row>
    <row r="5931" spans="3:4" x14ac:dyDescent="0.3">
      <c r="C5931"/>
      <c r="D5931"/>
    </row>
    <row r="5932" spans="3:4" x14ac:dyDescent="0.3">
      <c r="C5932"/>
      <c r="D5932"/>
    </row>
    <row r="5933" spans="3:4" x14ac:dyDescent="0.3">
      <c r="C5933"/>
      <c r="D5933"/>
    </row>
    <row r="5934" spans="3:4" x14ac:dyDescent="0.3">
      <c r="C5934"/>
      <c r="D5934"/>
    </row>
    <row r="5935" spans="3:4" x14ac:dyDescent="0.3">
      <c r="C5935"/>
      <c r="D5935"/>
    </row>
    <row r="5936" spans="3:4" x14ac:dyDescent="0.3">
      <c r="C5936"/>
      <c r="D5936"/>
    </row>
    <row r="5937" spans="3:4" x14ac:dyDescent="0.3">
      <c r="C5937"/>
      <c r="D5937"/>
    </row>
    <row r="5938" spans="3:4" x14ac:dyDescent="0.3">
      <c r="C5938"/>
      <c r="D5938"/>
    </row>
    <row r="5939" spans="3:4" x14ac:dyDescent="0.3">
      <c r="C5939"/>
      <c r="D5939"/>
    </row>
    <row r="5940" spans="3:4" x14ac:dyDescent="0.3">
      <c r="C5940"/>
      <c r="D5940"/>
    </row>
    <row r="5941" spans="3:4" x14ac:dyDescent="0.3">
      <c r="C5941"/>
      <c r="D5941"/>
    </row>
    <row r="5942" spans="3:4" x14ac:dyDescent="0.3">
      <c r="C5942"/>
      <c r="D5942"/>
    </row>
    <row r="5943" spans="3:4" x14ac:dyDescent="0.3">
      <c r="C5943"/>
      <c r="D5943"/>
    </row>
    <row r="5944" spans="3:4" x14ac:dyDescent="0.3">
      <c r="C5944"/>
      <c r="D5944"/>
    </row>
    <row r="5945" spans="3:4" x14ac:dyDescent="0.3">
      <c r="C5945"/>
      <c r="D5945"/>
    </row>
    <row r="5946" spans="3:4" x14ac:dyDescent="0.3">
      <c r="C5946"/>
      <c r="D5946"/>
    </row>
    <row r="5947" spans="3:4" x14ac:dyDescent="0.3">
      <c r="C5947"/>
      <c r="D5947"/>
    </row>
    <row r="5948" spans="3:4" x14ac:dyDescent="0.3">
      <c r="C5948"/>
      <c r="D5948"/>
    </row>
    <row r="5949" spans="3:4" x14ac:dyDescent="0.3">
      <c r="C5949"/>
      <c r="D5949"/>
    </row>
    <row r="5950" spans="3:4" x14ac:dyDescent="0.3">
      <c r="C5950"/>
      <c r="D5950"/>
    </row>
    <row r="5951" spans="3:4" x14ac:dyDescent="0.3">
      <c r="C5951"/>
      <c r="D5951"/>
    </row>
    <row r="5952" spans="3:4" x14ac:dyDescent="0.3">
      <c r="C5952"/>
      <c r="D5952"/>
    </row>
    <row r="5953" spans="3:4" x14ac:dyDescent="0.3">
      <c r="C5953"/>
      <c r="D5953"/>
    </row>
    <row r="5954" spans="3:4" x14ac:dyDescent="0.3">
      <c r="C5954"/>
      <c r="D5954"/>
    </row>
    <row r="5955" spans="3:4" x14ac:dyDescent="0.3">
      <c r="C5955"/>
      <c r="D5955"/>
    </row>
    <row r="5956" spans="3:4" x14ac:dyDescent="0.3">
      <c r="C5956"/>
      <c r="D5956"/>
    </row>
    <row r="5957" spans="3:4" x14ac:dyDescent="0.3">
      <c r="C5957"/>
      <c r="D5957"/>
    </row>
    <row r="5958" spans="3:4" x14ac:dyDescent="0.3">
      <c r="C5958"/>
      <c r="D5958"/>
    </row>
    <row r="5959" spans="3:4" x14ac:dyDescent="0.3">
      <c r="C5959"/>
      <c r="D5959"/>
    </row>
    <row r="5960" spans="3:4" x14ac:dyDescent="0.3">
      <c r="C5960"/>
      <c r="D5960"/>
    </row>
    <row r="5961" spans="3:4" x14ac:dyDescent="0.3">
      <c r="C5961"/>
      <c r="D5961"/>
    </row>
    <row r="5962" spans="3:4" x14ac:dyDescent="0.3">
      <c r="C5962"/>
      <c r="D5962"/>
    </row>
    <row r="5963" spans="3:4" x14ac:dyDescent="0.3">
      <c r="C5963"/>
      <c r="D5963"/>
    </row>
    <row r="5964" spans="3:4" x14ac:dyDescent="0.3">
      <c r="C5964"/>
      <c r="D5964"/>
    </row>
    <row r="5965" spans="3:4" x14ac:dyDescent="0.3">
      <c r="C5965"/>
      <c r="D5965"/>
    </row>
    <row r="5966" spans="3:4" x14ac:dyDescent="0.3">
      <c r="C5966"/>
      <c r="D5966"/>
    </row>
    <row r="5967" spans="3:4" x14ac:dyDescent="0.3">
      <c r="C5967"/>
      <c r="D5967"/>
    </row>
    <row r="5968" spans="3:4" x14ac:dyDescent="0.3">
      <c r="C5968"/>
      <c r="D5968"/>
    </row>
    <row r="5969" spans="3:4" x14ac:dyDescent="0.3">
      <c r="C5969"/>
      <c r="D5969"/>
    </row>
    <row r="5970" spans="3:4" x14ac:dyDescent="0.3">
      <c r="C5970"/>
      <c r="D5970"/>
    </row>
    <row r="5971" spans="3:4" x14ac:dyDescent="0.3">
      <c r="C5971"/>
      <c r="D5971"/>
    </row>
    <row r="5972" spans="3:4" x14ac:dyDescent="0.3">
      <c r="C5972"/>
      <c r="D5972"/>
    </row>
    <row r="5973" spans="3:4" x14ac:dyDescent="0.3">
      <c r="C5973"/>
      <c r="D5973"/>
    </row>
    <row r="5974" spans="3:4" x14ac:dyDescent="0.3">
      <c r="C5974"/>
      <c r="D5974"/>
    </row>
    <row r="5975" spans="3:4" x14ac:dyDescent="0.3">
      <c r="C5975"/>
      <c r="D5975"/>
    </row>
    <row r="5976" spans="3:4" x14ac:dyDescent="0.3">
      <c r="C5976"/>
      <c r="D5976"/>
    </row>
    <row r="5977" spans="3:4" x14ac:dyDescent="0.3">
      <c r="C5977"/>
      <c r="D5977"/>
    </row>
    <row r="5978" spans="3:4" x14ac:dyDescent="0.3">
      <c r="C5978"/>
      <c r="D5978"/>
    </row>
    <row r="5979" spans="3:4" x14ac:dyDescent="0.3">
      <c r="C5979"/>
      <c r="D5979"/>
    </row>
    <row r="5980" spans="3:4" x14ac:dyDescent="0.3">
      <c r="C5980"/>
      <c r="D5980"/>
    </row>
    <row r="5981" spans="3:4" x14ac:dyDescent="0.3">
      <c r="C5981"/>
      <c r="D5981"/>
    </row>
    <row r="5982" spans="3:4" x14ac:dyDescent="0.3">
      <c r="C5982"/>
      <c r="D5982"/>
    </row>
    <row r="5983" spans="3:4" x14ac:dyDescent="0.3">
      <c r="C5983"/>
      <c r="D5983"/>
    </row>
    <row r="5984" spans="3:4" x14ac:dyDescent="0.3">
      <c r="C5984"/>
      <c r="D5984"/>
    </row>
    <row r="5985" spans="3:4" x14ac:dyDescent="0.3">
      <c r="C5985"/>
      <c r="D5985"/>
    </row>
    <row r="5986" spans="3:4" x14ac:dyDescent="0.3">
      <c r="C5986"/>
      <c r="D5986"/>
    </row>
    <row r="5987" spans="3:4" x14ac:dyDescent="0.3">
      <c r="C5987"/>
      <c r="D5987"/>
    </row>
    <row r="5988" spans="3:4" x14ac:dyDescent="0.3">
      <c r="C5988"/>
      <c r="D5988"/>
    </row>
    <row r="5989" spans="3:4" x14ac:dyDescent="0.3">
      <c r="C5989"/>
      <c r="D5989"/>
    </row>
    <row r="5990" spans="3:4" x14ac:dyDescent="0.3">
      <c r="C5990"/>
      <c r="D5990"/>
    </row>
    <row r="5991" spans="3:4" x14ac:dyDescent="0.3">
      <c r="C5991"/>
      <c r="D5991"/>
    </row>
    <row r="5992" spans="3:4" x14ac:dyDescent="0.3">
      <c r="C5992"/>
      <c r="D5992"/>
    </row>
    <row r="5993" spans="3:4" x14ac:dyDescent="0.3">
      <c r="C5993"/>
      <c r="D5993"/>
    </row>
    <row r="5994" spans="3:4" x14ac:dyDescent="0.3">
      <c r="C5994"/>
      <c r="D5994"/>
    </row>
    <row r="5995" spans="3:4" x14ac:dyDescent="0.3">
      <c r="C5995"/>
      <c r="D5995"/>
    </row>
    <row r="5996" spans="3:4" x14ac:dyDescent="0.3">
      <c r="C5996"/>
      <c r="D5996"/>
    </row>
    <row r="5997" spans="3:4" x14ac:dyDescent="0.3">
      <c r="C5997"/>
      <c r="D5997"/>
    </row>
    <row r="5998" spans="3:4" x14ac:dyDescent="0.3">
      <c r="C5998"/>
      <c r="D5998"/>
    </row>
    <row r="5999" spans="3:4" x14ac:dyDescent="0.3">
      <c r="C5999"/>
      <c r="D5999"/>
    </row>
    <row r="6000" spans="3:4" x14ac:dyDescent="0.3">
      <c r="C6000"/>
      <c r="D6000"/>
    </row>
    <row r="6001" spans="3:4" x14ac:dyDescent="0.3">
      <c r="C6001"/>
      <c r="D6001"/>
    </row>
    <row r="6002" spans="3:4" x14ac:dyDescent="0.3">
      <c r="C6002"/>
      <c r="D6002"/>
    </row>
    <row r="6003" spans="3:4" x14ac:dyDescent="0.3">
      <c r="C6003"/>
      <c r="D6003"/>
    </row>
    <row r="6004" spans="3:4" x14ac:dyDescent="0.3">
      <c r="C6004"/>
      <c r="D6004"/>
    </row>
    <row r="6005" spans="3:4" x14ac:dyDescent="0.3">
      <c r="C6005"/>
      <c r="D6005"/>
    </row>
    <row r="6006" spans="3:4" x14ac:dyDescent="0.3">
      <c r="C6006"/>
      <c r="D6006"/>
    </row>
    <row r="6007" spans="3:4" x14ac:dyDescent="0.3">
      <c r="C6007"/>
      <c r="D6007"/>
    </row>
    <row r="6008" spans="3:4" x14ac:dyDescent="0.3">
      <c r="C6008"/>
      <c r="D6008"/>
    </row>
    <row r="6009" spans="3:4" x14ac:dyDescent="0.3">
      <c r="C6009"/>
      <c r="D6009"/>
    </row>
    <row r="6010" spans="3:4" x14ac:dyDescent="0.3">
      <c r="C6010"/>
      <c r="D6010"/>
    </row>
    <row r="6011" spans="3:4" x14ac:dyDescent="0.3">
      <c r="C6011"/>
      <c r="D6011"/>
    </row>
    <row r="6012" spans="3:4" x14ac:dyDescent="0.3">
      <c r="C6012"/>
      <c r="D6012"/>
    </row>
    <row r="6013" spans="3:4" x14ac:dyDescent="0.3">
      <c r="C6013"/>
      <c r="D6013"/>
    </row>
    <row r="6014" spans="3:4" x14ac:dyDescent="0.3">
      <c r="C6014"/>
      <c r="D6014"/>
    </row>
    <row r="6015" spans="3:4" x14ac:dyDescent="0.3">
      <c r="C6015"/>
      <c r="D6015"/>
    </row>
    <row r="6016" spans="3:4" x14ac:dyDescent="0.3">
      <c r="C6016"/>
      <c r="D6016"/>
    </row>
    <row r="6017" spans="3:4" x14ac:dyDescent="0.3">
      <c r="C6017"/>
      <c r="D6017"/>
    </row>
    <row r="6018" spans="3:4" x14ac:dyDescent="0.3">
      <c r="C6018"/>
      <c r="D6018"/>
    </row>
    <row r="6019" spans="3:4" x14ac:dyDescent="0.3">
      <c r="C6019"/>
      <c r="D6019"/>
    </row>
    <row r="6020" spans="3:4" x14ac:dyDescent="0.3">
      <c r="C6020"/>
      <c r="D6020"/>
    </row>
    <row r="6021" spans="3:4" x14ac:dyDescent="0.3">
      <c r="C6021"/>
      <c r="D6021"/>
    </row>
    <row r="6022" spans="3:4" x14ac:dyDescent="0.3">
      <c r="C6022"/>
      <c r="D6022"/>
    </row>
    <row r="6023" spans="3:4" x14ac:dyDescent="0.3">
      <c r="C6023"/>
      <c r="D6023"/>
    </row>
    <row r="6024" spans="3:4" x14ac:dyDescent="0.3">
      <c r="C6024"/>
      <c r="D6024"/>
    </row>
    <row r="6025" spans="3:4" x14ac:dyDescent="0.3">
      <c r="C6025"/>
      <c r="D6025"/>
    </row>
    <row r="6026" spans="3:4" x14ac:dyDescent="0.3">
      <c r="C6026"/>
      <c r="D6026"/>
    </row>
    <row r="6027" spans="3:4" x14ac:dyDescent="0.3">
      <c r="C6027"/>
      <c r="D6027"/>
    </row>
    <row r="6028" spans="3:4" x14ac:dyDescent="0.3">
      <c r="C6028"/>
      <c r="D6028"/>
    </row>
    <row r="6029" spans="3:4" x14ac:dyDescent="0.3">
      <c r="C6029"/>
      <c r="D6029"/>
    </row>
    <row r="6030" spans="3:4" x14ac:dyDescent="0.3">
      <c r="C6030"/>
      <c r="D6030"/>
    </row>
    <row r="6031" spans="3:4" x14ac:dyDescent="0.3">
      <c r="C6031"/>
      <c r="D6031"/>
    </row>
    <row r="6032" spans="3:4" x14ac:dyDescent="0.3">
      <c r="C6032"/>
      <c r="D6032"/>
    </row>
    <row r="6033" spans="3:4" x14ac:dyDescent="0.3">
      <c r="C6033"/>
      <c r="D6033"/>
    </row>
    <row r="6034" spans="3:4" x14ac:dyDescent="0.3">
      <c r="C6034"/>
      <c r="D6034"/>
    </row>
    <row r="6035" spans="3:4" x14ac:dyDescent="0.3">
      <c r="C6035"/>
      <c r="D6035"/>
    </row>
    <row r="6036" spans="3:4" x14ac:dyDescent="0.3">
      <c r="C6036"/>
      <c r="D6036"/>
    </row>
    <row r="6037" spans="3:4" x14ac:dyDescent="0.3">
      <c r="C6037"/>
      <c r="D6037"/>
    </row>
    <row r="6038" spans="3:4" x14ac:dyDescent="0.3">
      <c r="C6038"/>
      <c r="D6038"/>
    </row>
    <row r="6039" spans="3:4" x14ac:dyDescent="0.3">
      <c r="C6039"/>
      <c r="D6039"/>
    </row>
    <row r="6040" spans="3:4" x14ac:dyDescent="0.3">
      <c r="C6040"/>
      <c r="D6040"/>
    </row>
    <row r="6041" spans="3:4" x14ac:dyDescent="0.3">
      <c r="C6041"/>
      <c r="D6041"/>
    </row>
    <row r="6042" spans="3:4" x14ac:dyDescent="0.3">
      <c r="C6042"/>
      <c r="D6042"/>
    </row>
    <row r="6043" spans="3:4" x14ac:dyDescent="0.3">
      <c r="C6043"/>
      <c r="D6043"/>
    </row>
    <row r="6044" spans="3:4" x14ac:dyDescent="0.3">
      <c r="C6044"/>
      <c r="D6044"/>
    </row>
    <row r="6045" spans="3:4" x14ac:dyDescent="0.3">
      <c r="C6045"/>
      <c r="D6045"/>
    </row>
    <row r="6046" spans="3:4" x14ac:dyDescent="0.3">
      <c r="C6046"/>
      <c r="D6046"/>
    </row>
    <row r="6047" spans="3:4" x14ac:dyDescent="0.3">
      <c r="C6047"/>
      <c r="D6047"/>
    </row>
    <row r="6048" spans="3:4" x14ac:dyDescent="0.3">
      <c r="C6048"/>
      <c r="D6048"/>
    </row>
    <row r="6049" spans="3:4" x14ac:dyDescent="0.3">
      <c r="C6049"/>
      <c r="D6049"/>
    </row>
    <row r="6050" spans="3:4" x14ac:dyDescent="0.3">
      <c r="C6050"/>
      <c r="D6050"/>
    </row>
    <row r="6051" spans="3:4" x14ac:dyDescent="0.3">
      <c r="C6051"/>
      <c r="D6051"/>
    </row>
    <row r="6052" spans="3:4" x14ac:dyDescent="0.3">
      <c r="C6052"/>
      <c r="D6052"/>
    </row>
    <row r="6053" spans="3:4" x14ac:dyDescent="0.3">
      <c r="C6053"/>
      <c r="D6053"/>
    </row>
    <row r="6054" spans="3:4" x14ac:dyDescent="0.3">
      <c r="C6054"/>
      <c r="D6054"/>
    </row>
    <row r="6055" spans="3:4" x14ac:dyDescent="0.3">
      <c r="C6055"/>
      <c r="D6055"/>
    </row>
    <row r="6056" spans="3:4" x14ac:dyDescent="0.3">
      <c r="C6056"/>
      <c r="D6056"/>
    </row>
    <row r="6057" spans="3:4" x14ac:dyDescent="0.3">
      <c r="C6057"/>
      <c r="D6057"/>
    </row>
    <row r="6058" spans="3:4" x14ac:dyDescent="0.3">
      <c r="C6058"/>
      <c r="D6058"/>
    </row>
    <row r="6059" spans="3:4" x14ac:dyDescent="0.3">
      <c r="C6059"/>
      <c r="D6059"/>
    </row>
    <row r="6060" spans="3:4" x14ac:dyDescent="0.3">
      <c r="C6060"/>
      <c r="D6060"/>
    </row>
    <row r="6061" spans="3:4" x14ac:dyDescent="0.3">
      <c r="C6061"/>
      <c r="D6061"/>
    </row>
    <row r="6062" spans="3:4" x14ac:dyDescent="0.3">
      <c r="C6062"/>
      <c r="D6062"/>
    </row>
    <row r="6063" spans="3:4" x14ac:dyDescent="0.3">
      <c r="C6063"/>
      <c r="D6063"/>
    </row>
    <row r="6064" spans="3:4" x14ac:dyDescent="0.3">
      <c r="C6064"/>
      <c r="D6064"/>
    </row>
    <row r="6065" spans="3:4" x14ac:dyDescent="0.3">
      <c r="C6065"/>
      <c r="D6065"/>
    </row>
    <row r="6066" spans="3:4" x14ac:dyDescent="0.3">
      <c r="C6066"/>
      <c r="D6066"/>
    </row>
    <row r="6067" spans="3:4" x14ac:dyDescent="0.3">
      <c r="C6067"/>
      <c r="D6067"/>
    </row>
    <row r="6068" spans="3:4" x14ac:dyDescent="0.3">
      <c r="C6068"/>
      <c r="D6068"/>
    </row>
    <row r="6069" spans="3:4" x14ac:dyDescent="0.3">
      <c r="C6069"/>
      <c r="D6069"/>
    </row>
    <row r="6070" spans="3:4" x14ac:dyDescent="0.3">
      <c r="C6070"/>
      <c r="D6070"/>
    </row>
    <row r="6071" spans="3:4" x14ac:dyDescent="0.3">
      <c r="C6071"/>
      <c r="D6071"/>
    </row>
    <row r="6072" spans="3:4" x14ac:dyDescent="0.3">
      <c r="C6072"/>
      <c r="D6072"/>
    </row>
    <row r="6073" spans="3:4" x14ac:dyDescent="0.3">
      <c r="C6073"/>
      <c r="D6073"/>
    </row>
    <row r="6074" spans="3:4" x14ac:dyDescent="0.3">
      <c r="C6074"/>
      <c r="D6074"/>
    </row>
    <row r="6075" spans="3:4" x14ac:dyDescent="0.3">
      <c r="C6075"/>
      <c r="D6075"/>
    </row>
    <row r="6076" spans="3:4" x14ac:dyDescent="0.3">
      <c r="C6076"/>
      <c r="D6076"/>
    </row>
    <row r="6077" spans="3:4" x14ac:dyDescent="0.3">
      <c r="C6077"/>
      <c r="D6077"/>
    </row>
    <row r="6078" spans="3:4" x14ac:dyDescent="0.3">
      <c r="C6078"/>
      <c r="D6078"/>
    </row>
    <row r="6079" spans="3:4" x14ac:dyDescent="0.3">
      <c r="C6079"/>
      <c r="D6079"/>
    </row>
    <row r="6080" spans="3:4" x14ac:dyDescent="0.3">
      <c r="C6080"/>
      <c r="D6080"/>
    </row>
    <row r="6081" spans="3:4" x14ac:dyDescent="0.3">
      <c r="C6081"/>
      <c r="D6081"/>
    </row>
    <row r="6082" spans="3:4" x14ac:dyDescent="0.3">
      <c r="C6082"/>
      <c r="D6082"/>
    </row>
    <row r="6083" spans="3:4" x14ac:dyDescent="0.3">
      <c r="C6083"/>
      <c r="D6083"/>
    </row>
    <row r="6084" spans="3:4" x14ac:dyDescent="0.3">
      <c r="C6084"/>
      <c r="D6084"/>
    </row>
    <row r="6085" spans="3:4" x14ac:dyDescent="0.3">
      <c r="C6085"/>
      <c r="D6085"/>
    </row>
    <row r="6086" spans="3:4" x14ac:dyDescent="0.3">
      <c r="C6086"/>
      <c r="D6086"/>
    </row>
    <row r="6087" spans="3:4" x14ac:dyDescent="0.3">
      <c r="C6087"/>
      <c r="D6087"/>
    </row>
    <row r="6088" spans="3:4" x14ac:dyDescent="0.3">
      <c r="C6088"/>
      <c r="D6088"/>
    </row>
    <row r="6089" spans="3:4" x14ac:dyDescent="0.3">
      <c r="C6089"/>
      <c r="D6089"/>
    </row>
    <row r="6090" spans="3:4" x14ac:dyDescent="0.3">
      <c r="C6090"/>
      <c r="D6090"/>
    </row>
    <row r="6091" spans="3:4" x14ac:dyDescent="0.3">
      <c r="C6091"/>
      <c r="D6091"/>
    </row>
    <row r="6092" spans="3:4" x14ac:dyDescent="0.3">
      <c r="C6092"/>
      <c r="D6092"/>
    </row>
    <row r="6093" spans="3:4" x14ac:dyDescent="0.3">
      <c r="C6093"/>
      <c r="D6093"/>
    </row>
    <row r="6094" spans="3:4" x14ac:dyDescent="0.3">
      <c r="C6094"/>
      <c r="D6094"/>
    </row>
    <row r="6095" spans="3:4" x14ac:dyDescent="0.3">
      <c r="C6095"/>
      <c r="D6095"/>
    </row>
    <row r="6096" spans="3:4" x14ac:dyDescent="0.3">
      <c r="C6096"/>
      <c r="D6096"/>
    </row>
    <row r="6097" spans="3:4" x14ac:dyDescent="0.3">
      <c r="C6097"/>
      <c r="D6097"/>
    </row>
    <row r="6098" spans="3:4" x14ac:dyDescent="0.3">
      <c r="C6098"/>
      <c r="D6098"/>
    </row>
    <row r="6099" spans="3:4" x14ac:dyDescent="0.3">
      <c r="C6099"/>
      <c r="D6099"/>
    </row>
    <row r="6100" spans="3:4" x14ac:dyDescent="0.3">
      <c r="C6100"/>
      <c r="D6100"/>
    </row>
    <row r="6101" spans="3:4" x14ac:dyDescent="0.3">
      <c r="C6101"/>
      <c r="D6101"/>
    </row>
    <row r="6102" spans="3:4" x14ac:dyDescent="0.3">
      <c r="C6102"/>
      <c r="D6102"/>
    </row>
    <row r="6103" spans="3:4" x14ac:dyDescent="0.3">
      <c r="C6103"/>
      <c r="D6103"/>
    </row>
    <row r="6104" spans="3:4" x14ac:dyDescent="0.3">
      <c r="C6104"/>
      <c r="D6104"/>
    </row>
    <row r="6105" spans="3:4" x14ac:dyDescent="0.3">
      <c r="C6105"/>
      <c r="D6105"/>
    </row>
    <row r="6106" spans="3:4" x14ac:dyDescent="0.3">
      <c r="C6106"/>
      <c r="D6106"/>
    </row>
    <row r="6107" spans="3:4" x14ac:dyDescent="0.3">
      <c r="C6107"/>
      <c r="D6107"/>
    </row>
    <row r="6108" spans="3:4" x14ac:dyDescent="0.3">
      <c r="C6108"/>
      <c r="D6108"/>
    </row>
    <row r="6109" spans="3:4" x14ac:dyDescent="0.3">
      <c r="C6109"/>
      <c r="D6109"/>
    </row>
    <row r="6110" spans="3:4" x14ac:dyDescent="0.3">
      <c r="C6110"/>
      <c r="D6110"/>
    </row>
    <row r="6111" spans="3:4" x14ac:dyDescent="0.3">
      <c r="C6111"/>
      <c r="D6111"/>
    </row>
    <row r="6112" spans="3:4" x14ac:dyDescent="0.3">
      <c r="C6112"/>
      <c r="D6112"/>
    </row>
    <row r="6113" spans="3:4" x14ac:dyDescent="0.3">
      <c r="C6113"/>
      <c r="D6113"/>
    </row>
    <row r="6114" spans="3:4" x14ac:dyDescent="0.3">
      <c r="C6114"/>
      <c r="D6114"/>
    </row>
    <row r="6115" spans="3:4" x14ac:dyDescent="0.3">
      <c r="C6115"/>
      <c r="D6115"/>
    </row>
    <row r="6116" spans="3:4" x14ac:dyDescent="0.3">
      <c r="C6116"/>
      <c r="D6116"/>
    </row>
    <row r="6117" spans="3:4" x14ac:dyDescent="0.3">
      <c r="C6117"/>
      <c r="D6117"/>
    </row>
    <row r="6118" spans="3:4" x14ac:dyDescent="0.3">
      <c r="C6118"/>
      <c r="D6118"/>
    </row>
    <row r="6119" spans="3:4" x14ac:dyDescent="0.3">
      <c r="C6119"/>
      <c r="D6119"/>
    </row>
    <row r="6120" spans="3:4" x14ac:dyDescent="0.3">
      <c r="C6120"/>
      <c r="D6120"/>
    </row>
    <row r="6121" spans="3:4" x14ac:dyDescent="0.3">
      <c r="C6121"/>
      <c r="D6121"/>
    </row>
    <row r="6122" spans="3:4" x14ac:dyDescent="0.3">
      <c r="C6122"/>
      <c r="D6122"/>
    </row>
    <row r="6123" spans="3:4" x14ac:dyDescent="0.3">
      <c r="C6123"/>
      <c r="D6123"/>
    </row>
    <row r="6124" spans="3:4" x14ac:dyDescent="0.3">
      <c r="C6124"/>
      <c r="D6124"/>
    </row>
    <row r="6125" spans="3:4" x14ac:dyDescent="0.3">
      <c r="C6125"/>
      <c r="D6125"/>
    </row>
    <row r="6126" spans="3:4" x14ac:dyDescent="0.3">
      <c r="C6126"/>
      <c r="D6126"/>
    </row>
    <row r="6127" spans="3:4" x14ac:dyDescent="0.3">
      <c r="C6127"/>
      <c r="D6127"/>
    </row>
    <row r="6128" spans="3:4" x14ac:dyDescent="0.3">
      <c r="C6128"/>
      <c r="D6128"/>
    </row>
    <row r="6129" spans="3:4" x14ac:dyDescent="0.3">
      <c r="C6129"/>
      <c r="D6129"/>
    </row>
    <row r="6130" spans="3:4" x14ac:dyDescent="0.3">
      <c r="C6130"/>
      <c r="D6130"/>
    </row>
    <row r="6131" spans="3:4" x14ac:dyDescent="0.3">
      <c r="C6131"/>
      <c r="D6131"/>
    </row>
    <row r="6132" spans="3:4" x14ac:dyDescent="0.3">
      <c r="C6132"/>
      <c r="D6132"/>
    </row>
    <row r="6133" spans="3:4" x14ac:dyDescent="0.3">
      <c r="C6133"/>
      <c r="D6133"/>
    </row>
    <row r="6134" spans="3:4" x14ac:dyDescent="0.3">
      <c r="C6134"/>
      <c r="D6134"/>
    </row>
    <row r="6135" spans="3:4" x14ac:dyDescent="0.3">
      <c r="C6135"/>
      <c r="D6135"/>
    </row>
    <row r="6136" spans="3:4" x14ac:dyDescent="0.3">
      <c r="C6136"/>
      <c r="D6136"/>
    </row>
    <row r="6137" spans="3:4" x14ac:dyDescent="0.3">
      <c r="C6137"/>
      <c r="D6137"/>
    </row>
    <row r="6138" spans="3:4" x14ac:dyDescent="0.3">
      <c r="C6138"/>
      <c r="D6138"/>
    </row>
    <row r="6139" spans="3:4" x14ac:dyDescent="0.3">
      <c r="C6139"/>
      <c r="D6139"/>
    </row>
    <row r="6140" spans="3:4" x14ac:dyDescent="0.3">
      <c r="C6140"/>
      <c r="D6140"/>
    </row>
    <row r="6141" spans="3:4" x14ac:dyDescent="0.3">
      <c r="C6141"/>
      <c r="D6141"/>
    </row>
    <row r="6142" spans="3:4" x14ac:dyDescent="0.3">
      <c r="C6142"/>
      <c r="D6142"/>
    </row>
    <row r="6143" spans="3:4" x14ac:dyDescent="0.3">
      <c r="C6143"/>
      <c r="D6143"/>
    </row>
    <row r="6144" spans="3:4" x14ac:dyDescent="0.3">
      <c r="C6144"/>
      <c r="D6144"/>
    </row>
    <row r="6145" spans="3:4" x14ac:dyDescent="0.3">
      <c r="C6145"/>
      <c r="D6145"/>
    </row>
    <row r="6146" spans="3:4" x14ac:dyDescent="0.3">
      <c r="C6146"/>
      <c r="D6146"/>
    </row>
    <row r="6147" spans="3:4" x14ac:dyDescent="0.3">
      <c r="C6147"/>
      <c r="D6147"/>
    </row>
    <row r="6148" spans="3:4" x14ac:dyDescent="0.3">
      <c r="C6148"/>
      <c r="D6148"/>
    </row>
    <row r="6149" spans="3:4" x14ac:dyDescent="0.3">
      <c r="C6149"/>
      <c r="D6149"/>
    </row>
    <row r="6150" spans="3:4" x14ac:dyDescent="0.3">
      <c r="C6150"/>
      <c r="D6150"/>
    </row>
    <row r="6151" spans="3:4" x14ac:dyDescent="0.3">
      <c r="C6151"/>
      <c r="D6151"/>
    </row>
    <row r="6152" spans="3:4" x14ac:dyDescent="0.3">
      <c r="C6152"/>
      <c r="D6152"/>
    </row>
    <row r="6153" spans="3:4" x14ac:dyDescent="0.3">
      <c r="C6153"/>
      <c r="D6153"/>
    </row>
    <row r="6154" spans="3:4" x14ac:dyDescent="0.3">
      <c r="C6154"/>
      <c r="D6154"/>
    </row>
    <row r="6155" spans="3:4" x14ac:dyDescent="0.3">
      <c r="C6155"/>
      <c r="D6155"/>
    </row>
    <row r="6156" spans="3:4" x14ac:dyDescent="0.3">
      <c r="C6156"/>
      <c r="D6156"/>
    </row>
    <row r="6157" spans="3:4" x14ac:dyDescent="0.3">
      <c r="C6157"/>
      <c r="D6157"/>
    </row>
    <row r="6158" spans="3:4" x14ac:dyDescent="0.3">
      <c r="C6158"/>
      <c r="D6158"/>
    </row>
    <row r="6159" spans="3:4" x14ac:dyDescent="0.3">
      <c r="C6159"/>
      <c r="D6159"/>
    </row>
    <row r="6160" spans="3:4" x14ac:dyDescent="0.3">
      <c r="C6160"/>
      <c r="D6160"/>
    </row>
    <row r="6161" spans="3:4" x14ac:dyDescent="0.3">
      <c r="C6161"/>
      <c r="D6161"/>
    </row>
    <row r="6162" spans="3:4" x14ac:dyDescent="0.3">
      <c r="C6162"/>
      <c r="D6162"/>
    </row>
    <row r="6163" spans="3:4" x14ac:dyDescent="0.3">
      <c r="C6163"/>
      <c r="D6163"/>
    </row>
    <row r="6164" spans="3:4" x14ac:dyDescent="0.3">
      <c r="C6164"/>
      <c r="D6164"/>
    </row>
    <row r="6165" spans="3:4" x14ac:dyDescent="0.3">
      <c r="C6165"/>
      <c r="D6165"/>
    </row>
    <row r="6166" spans="3:4" x14ac:dyDescent="0.3">
      <c r="C6166"/>
      <c r="D6166"/>
    </row>
    <row r="6167" spans="3:4" x14ac:dyDescent="0.3">
      <c r="C6167"/>
      <c r="D6167"/>
    </row>
    <row r="6168" spans="3:4" x14ac:dyDescent="0.3">
      <c r="C6168"/>
      <c r="D6168"/>
    </row>
    <row r="6169" spans="3:4" x14ac:dyDescent="0.3">
      <c r="C6169"/>
      <c r="D6169"/>
    </row>
    <row r="6170" spans="3:4" x14ac:dyDescent="0.3">
      <c r="C6170"/>
      <c r="D6170"/>
    </row>
    <row r="6171" spans="3:4" x14ac:dyDescent="0.3">
      <c r="C6171"/>
      <c r="D6171"/>
    </row>
    <row r="6172" spans="3:4" x14ac:dyDescent="0.3">
      <c r="C6172"/>
      <c r="D6172"/>
    </row>
    <row r="6173" spans="3:4" x14ac:dyDescent="0.3">
      <c r="C6173"/>
      <c r="D6173"/>
    </row>
    <row r="6174" spans="3:4" x14ac:dyDescent="0.3">
      <c r="C6174"/>
      <c r="D6174"/>
    </row>
    <row r="6175" spans="3:4" x14ac:dyDescent="0.3">
      <c r="C6175"/>
      <c r="D6175"/>
    </row>
    <row r="6176" spans="3:4" x14ac:dyDescent="0.3">
      <c r="C6176"/>
      <c r="D6176"/>
    </row>
    <row r="6177" spans="3:4" x14ac:dyDescent="0.3">
      <c r="C6177"/>
      <c r="D6177"/>
    </row>
    <row r="6178" spans="3:4" x14ac:dyDescent="0.3">
      <c r="C6178"/>
      <c r="D6178"/>
    </row>
    <row r="6179" spans="3:4" x14ac:dyDescent="0.3">
      <c r="C6179"/>
      <c r="D6179"/>
    </row>
    <row r="6180" spans="3:4" x14ac:dyDescent="0.3">
      <c r="C6180"/>
      <c r="D6180"/>
    </row>
    <row r="6181" spans="3:4" x14ac:dyDescent="0.3">
      <c r="C6181"/>
      <c r="D6181"/>
    </row>
    <row r="6182" spans="3:4" x14ac:dyDescent="0.3">
      <c r="C6182"/>
      <c r="D6182"/>
    </row>
    <row r="6183" spans="3:4" x14ac:dyDescent="0.3">
      <c r="C6183"/>
      <c r="D6183"/>
    </row>
    <row r="6184" spans="3:4" x14ac:dyDescent="0.3">
      <c r="C6184"/>
      <c r="D6184"/>
    </row>
    <row r="6185" spans="3:4" x14ac:dyDescent="0.3">
      <c r="C6185"/>
      <c r="D6185"/>
    </row>
    <row r="6186" spans="3:4" x14ac:dyDescent="0.3">
      <c r="C6186"/>
      <c r="D6186"/>
    </row>
    <row r="6187" spans="3:4" x14ac:dyDescent="0.3">
      <c r="C6187"/>
      <c r="D6187"/>
    </row>
    <row r="6188" spans="3:4" x14ac:dyDescent="0.3">
      <c r="C6188"/>
      <c r="D6188"/>
    </row>
    <row r="6189" spans="3:4" x14ac:dyDescent="0.3">
      <c r="C6189"/>
      <c r="D6189"/>
    </row>
    <row r="6190" spans="3:4" x14ac:dyDescent="0.3">
      <c r="C6190"/>
      <c r="D6190"/>
    </row>
    <row r="6191" spans="3:4" x14ac:dyDescent="0.3">
      <c r="C6191"/>
      <c r="D6191"/>
    </row>
    <row r="6192" spans="3:4" x14ac:dyDescent="0.3">
      <c r="C6192"/>
      <c r="D6192"/>
    </row>
    <row r="6193" spans="3:4" x14ac:dyDescent="0.3">
      <c r="C6193"/>
      <c r="D6193"/>
    </row>
    <row r="6194" spans="3:4" x14ac:dyDescent="0.3">
      <c r="C6194"/>
      <c r="D6194"/>
    </row>
    <row r="6195" spans="3:4" x14ac:dyDescent="0.3">
      <c r="C6195"/>
      <c r="D6195"/>
    </row>
    <row r="6196" spans="3:4" x14ac:dyDescent="0.3">
      <c r="C6196"/>
      <c r="D6196"/>
    </row>
    <row r="6197" spans="3:4" x14ac:dyDescent="0.3">
      <c r="C6197"/>
      <c r="D6197"/>
    </row>
    <row r="6198" spans="3:4" x14ac:dyDescent="0.3">
      <c r="C6198"/>
      <c r="D6198"/>
    </row>
    <row r="6199" spans="3:4" x14ac:dyDescent="0.3">
      <c r="C6199"/>
      <c r="D6199"/>
    </row>
  </sheetData>
  <sortState xmlns:xlrd2="http://schemas.microsoft.com/office/spreadsheetml/2017/richdata2" ref="K5:K8">
    <sortCondition ref="K5:K8"/>
  </sortState>
  <pageMargins left="0.511811024" right="0.511811024" top="0.78740157499999996" bottom="0.78740157499999996" header="0.31496062000000002" footer="0.31496062000000002"/>
  <tableParts count="5">
    <tablePart r:id="rId1"/>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61858439AEB44FAE6E965C4D9C09FC" ma:contentTypeVersion="3" ma:contentTypeDescription="Create a new document." ma:contentTypeScope="" ma:versionID="35ecde6ee96dae255dd11ce78ab9181a">
  <xsd:schema xmlns:xsd="http://www.w3.org/2001/XMLSchema" xmlns:xs="http://www.w3.org/2001/XMLSchema" xmlns:p="http://schemas.microsoft.com/office/2006/metadata/properties" xmlns:ns2="d76a5018-9630-46f2-9342-27a97fce1fae" targetNamespace="http://schemas.microsoft.com/office/2006/metadata/properties" ma:root="true" ma:fieldsID="42a008781979445021b0c0cab7fe96b5" ns2:_="">
    <xsd:import namespace="d76a5018-9630-46f2-9342-27a97fce1fa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6a5018-9630-46f2-9342-27a97fce1f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875983D0-35A1-4755-AFE2-B86D43524C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6a5018-9630-46f2-9342-27a97fce1f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52FF935-E20B-4204-BF90-FD5FDAAD95CD}">
  <ds:schemaRefs>
    <ds:schemaRef ds:uri="d76a5018-9630-46f2-9342-27a97fce1fae"/>
    <ds:schemaRef ds:uri="http://purl.org/dc/dcmitype/"/>
    <ds:schemaRef ds:uri="http://schemas.microsoft.com/office/2006/documentManagement/types"/>
    <ds:schemaRef ds:uri="http://purl.org/dc/elements/1.1/"/>
    <ds:schemaRef ds:uri="http://purl.org/dc/term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9C3C53A1-8B03-4B5B-A156-C8162AA575AC}">
  <ds:schemaRefs>
    <ds:schemaRef ds:uri="http://schemas.microsoft.com/sharepoint/v3/contenttype/forms"/>
  </ds:schemaRefs>
</ds:datastoreItem>
</file>

<file path=customXml/itemProps4.xml><?xml version="1.0" encoding="utf-8"?>
<ds:datastoreItem xmlns:ds="http://schemas.openxmlformats.org/officeDocument/2006/customXml" ds:itemID="{9E2209DA-2985-4B67-9F10-95CA87CDD3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25</vt:i4>
      </vt:variant>
      <vt:variant>
        <vt:lpstr>Intervalos Nomeados</vt:lpstr>
      </vt:variant>
      <vt:variant>
        <vt:i4>41</vt:i4>
      </vt:variant>
    </vt:vector>
  </HeadingPairs>
  <TitlesOfParts>
    <vt:vector size="66" baseType="lpstr">
      <vt:lpstr>Modelo_aPreencher</vt:lpstr>
      <vt:lpstr>Atividades</vt:lpstr>
      <vt:lpstr>Planilha1</vt:lpstr>
      <vt:lpstr>Grupo</vt:lpstr>
      <vt:lpstr>Consolidado-Eletronorte</vt:lpstr>
      <vt:lpstr>Carga do orçamento</vt:lpstr>
      <vt:lpstr>Planilha9</vt:lpstr>
      <vt:lpstr>Valor divido por 1000</vt:lpstr>
      <vt:lpstr>Planilha8</vt:lpstr>
      <vt:lpstr>Planilha3</vt:lpstr>
      <vt:lpstr>Anotações gerais</vt:lpstr>
      <vt:lpstr>Status contratação</vt:lpstr>
      <vt:lpstr>PEP</vt:lpstr>
      <vt:lpstr>Usina</vt:lpstr>
      <vt:lpstr>Planilha5</vt:lpstr>
      <vt:lpstr>Tabelas Dinâmicas</vt:lpstr>
      <vt:lpstr>Planilha2</vt:lpstr>
      <vt:lpstr>ModeloFinal-CGT Eletrosul</vt:lpstr>
      <vt:lpstr>ModeloFinal-Eletronorte</vt:lpstr>
      <vt:lpstr>ModeloFinal-Operação Sudeste</vt:lpstr>
      <vt:lpstr>ModeloFinal-Chesf</vt:lpstr>
      <vt:lpstr>LO</vt:lpstr>
      <vt:lpstr>R&amp;M</vt:lpstr>
      <vt:lpstr>SGPMR</vt:lpstr>
      <vt:lpstr>_Config</vt:lpstr>
      <vt:lpstr>'ModeloFinal-CGT Eletrosul'!_Corporativo_SPE</vt:lpstr>
      <vt:lpstr>'ModeloFinal-Eletronorte'!_Corporativo_SPE</vt:lpstr>
      <vt:lpstr>'ModeloFinal-Operação Sudeste'!_Corporativo_SPE</vt:lpstr>
      <vt:lpstr>_Corporativo_SPE</vt:lpstr>
      <vt:lpstr>'ModeloFinal-CGT Eletrosul'!_InvContratado</vt:lpstr>
      <vt:lpstr>'ModeloFinal-Eletronorte'!_InvContratado</vt:lpstr>
      <vt:lpstr>'ModeloFinal-Operação Sudeste'!_InvContratado</vt:lpstr>
      <vt:lpstr>_InvContratado</vt:lpstr>
      <vt:lpstr>'ModeloFinal-CGT Eletrosul'!_Investimento_Novo</vt:lpstr>
      <vt:lpstr>'ModeloFinal-Eletronorte'!_Investimento_Novo</vt:lpstr>
      <vt:lpstr>'ModeloFinal-Operação Sudeste'!_Investimento_Novo</vt:lpstr>
      <vt:lpstr>_Investimento_Novo</vt:lpstr>
      <vt:lpstr>'ModeloFinal-CGT Eletrosul'!_Segmento</vt:lpstr>
      <vt:lpstr>'ModeloFinal-Eletronorte'!_Segmento</vt:lpstr>
      <vt:lpstr>'ModeloFinal-Operação Sudeste'!_Segmento</vt:lpstr>
      <vt:lpstr>_Segmento</vt:lpstr>
      <vt:lpstr>'ModeloFinal-CGT Eletrosul'!_VP</vt:lpstr>
      <vt:lpstr>'ModeloFinal-Eletronorte'!_VP</vt:lpstr>
      <vt:lpstr>'ModeloFinal-Operação Sudeste'!_VP</vt:lpstr>
      <vt:lpstr>_VP</vt:lpstr>
      <vt:lpstr>Ambiental</vt:lpstr>
      <vt:lpstr>AmbientalAmbiental</vt:lpstr>
      <vt:lpstr>Corporativo</vt:lpstr>
      <vt:lpstr>Geração</vt:lpstr>
      <vt:lpstr>GeraçãoAmpliação</vt:lpstr>
      <vt:lpstr>GeraçãoMelhoriaPequenoPorte</vt:lpstr>
      <vt:lpstr>GeraçãoModernização</vt:lpstr>
      <vt:lpstr>GeraçãoSegurançadeBarragem</vt:lpstr>
      <vt:lpstr>Infraestrutura</vt:lpstr>
      <vt:lpstr>InfraestruturaBensImóveis</vt:lpstr>
      <vt:lpstr>InfraestruturaBensMóveis</vt:lpstr>
      <vt:lpstr>InfraestruturaTecnologiadaInformação</vt:lpstr>
      <vt:lpstr>Reforços_E_Melhorias</vt:lpstr>
      <vt:lpstr>SPE</vt:lpstr>
      <vt:lpstr>Transmissão</vt:lpstr>
      <vt:lpstr>TransmissãoAmpliação</vt:lpstr>
      <vt:lpstr>TransmissãoInvestimentodeApoio</vt:lpstr>
      <vt:lpstr>TransmissãoMelhoriaGrandePorte</vt:lpstr>
      <vt:lpstr>TransmissãoMelhoriaPequenoPorte</vt:lpstr>
      <vt:lpstr>TransmissãoReforçoGrandePorte</vt:lpstr>
      <vt:lpstr>TransmissãoReforçoPequenoPorte</vt:lpstr>
    </vt:vector>
  </TitlesOfParts>
  <Manager/>
  <Company>ELETROBRAS - CENTRAIS ELETRICAS BRASILEIRAS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Vinicius Pereira de Oliveira</dc:creator>
  <cp:keywords/>
  <dc:description/>
  <cp:lastModifiedBy>Kelvin Gomes Pimentel Rodrigo Dos Santos</cp:lastModifiedBy>
  <cp:revision/>
  <dcterms:created xsi:type="dcterms:W3CDTF">2024-05-27T13:16:50Z</dcterms:created>
  <dcterms:modified xsi:type="dcterms:W3CDTF">2026-03-24T15:07:03Z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d1bec2f-76ff-4ec4-a400-40fa874b44be_Enabled">
    <vt:lpwstr>true</vt:lpwstr>
  </property>
  <property fmtid="{D5CDD505-2E9C-101B-9397-08002B2CF9AE}" pid="3" name="MSIP_Label_1d1bec2f-76ff-4ec4-a400-40fa874b44be_SetDate">
    <vt:lpwstr>2024-05-27T13:35:54Z</vt:lpwstr>
  </property>
  <property fmtid="{D5CDD505-2E9C-101B-9397-08002B2CF9AE}" pid="4" name="MSIP_Label_1d1bec2f-76ff-4ec4-a400-40fa874b44be_Method">
    <vt:lpwstr>Privileged</vt:lpwstr>
  </property>
  <property fmtid="{D5CDD505-2E9C-101B-9397-08002B2CF9AE}" pid="5" name="MSIP_Label_1d1bec2f-76ff-4ec4-a400-40fa874b44be_Name">
    <vt:lpwstr>Interno</vt:lpwstr>
  </property>
  <property fmtid="{D5CDD505-2E9C-101B-9397-08002B2CF9AE}" pid="6" name="MSIP_Label_1d1bec2f-76ff-4ec4-a400-40fa874b44be_SiteId">
    <vt:lpwstr>8a0ffb54-9716-4a93-9158-9e3a7206f18e</vt:lpwstr>
  </property>
  <property fmtid="{D5CDD505-2E9C-101B-9397-08002B2CF9AE}" pid="7" name="MSIP_Label_1d1bec2f-76ff-4ec4-a400-40fa874b44be_ActionId">
    <vt:lpwstr>812751aa-6bc9-4c67-bed3-cd49768f0d52</vt:lpwstr>
  </property>
  <property fmtid="{D5CDD505-2E9C-101B-9397-08002B2CF9AE}" pid="8" name="MSIP_Label_1d1bec2f-76ff-4ec4-a400-40fa874b44be_ContentBits">
    <vt:lpwstr>2</vt:lpwstr>
  </property>
  <property fmtid="{D5CDD505-2E9C-101B-9397-08002B2CF9AE}" pid="9" name="ContentTypeId">
    <vt:lpwstr>0x010100DA61858439AEB44FAE6E965C4D9C09FC</vt:lpwstr>
  </property>
  <property fmtid="{D5CDD505-2E9C-101B-9397-08002B2CF9AE}" pid="10" name="MediaServiceImageTags">
    <vt:lpwstr/>
  </property>
</Properties>
</file>